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ustin.parker\Desktop\"/>
    </mc:Choice>
  </mc:AlternateContent>
  <xr:revisionPtr revIDLastSave="0" documentId="13_ncr:1_{A2D94DB2-DF3C-4BE8-8AC6-2E516AE0B084}" xr6:coauthVersionLast="47" xr6:coauthVersionMax="47" xr10:uidLastSave="{00000000-0000-0000-0000-000000000000}"/>
  <bookViews>
    <workbookView xWindow="28680" yWindow="-120" windowWidth="29040" windowHeight="15840" tabRatio="894" xr2:uid="{19BFA52A-1C09-473C-B6D6-E850BD0A5BCE}" activeTab="3"/>
  </bookViews>
  <sheets>
    <sheet name="GUC" sheetId="2" r:id="rId1"/>
    <sheet name="GUC (Loan Calc)" sheetId="3" state="hidden" r:id="rId2"/>
    <sheet name="GUC (Legend)" sheetId="4" state="hidden" r:id="rId3"/>
    <sheet name="RTL" sheetId="6" r:id="rId4"/>
    <sheet name="RTL (Loan Calc)" sheetId="7" state="hidden" r:id="rId5"/>
    <sheet name="RTL (Legend)" sheetId="8" state="hidden" r:id="rId6"/>
    <sheet name="DSCR (Single Asset)" sheetId="10" r:id="rId7"/>
    <sheet name="DSCR (Loan Calc)" sheetId="11" state="hidden" r:id="rId8"/>
    <sheet name="DSCR (LLPA)" sheetId="12" state="hidden" r:id="rId9"/>
    <sheet name="DSCR (Legend)" sheetId="13" state="hidden" r:id="rId10"/>
    <sheet name="DSCR (Portfolio)" sheetId="14" r:id="rId11"/>
    <sheet name="DSCR (Port Loan)" sheetId="15" state="hidden" r:id="rId12"/>
    <sheet name="DSCR (Port Calc)" sheetId="16" state="hidden" r:id="rId13"/>
    <sheet name="DSCR (Port LLPA)" sheetId="17" state="hidden" r:id="rId14"/>
    <sheet name="DSCR (Port Legend)" sheetId="18" state="hidden" r:id="rId15"/>
    <sheet name="Investor Portfolio (IRP)" sheetId="20" r:id="rId16" state="hidden"/>
    <sheet name="IRP (Calc)" sheetId="21" state="hidden" r:id="rId17"/>
    <sheet name="IRP (LLPA)" sheetId="22" state="hidden" r:id="rId18"/>
    <sheet name="IRP (Legend)" sheetId="23" state="hidden" r:id="rId19"/>
    <sheet name="DSCR (Quote Sheet)" sheetId="19" r:id="rId20"/>
    <sheet name="IRP (QuoteSheet)" sheetId="24" r:id="rId21" state="hidden"/>
    <sheet name="Market" sheetId="25" state="hidden" r:id="rId22"/>
  </sheets>
  <definedNames>
    <definedName name="_xlnm._FilterDatabase" localSheetId="4" hidden="1">'RTL (Loan Calc)'!$B$2:$J$258</definedName>
    <definedName name="GUCProp1to4">'GUC (Legend)'!$D$2:$D$5</definedName>
    <definedName name="GUCProp5">'GUC (Legend)'!$E$2:$E$6</definedName>
    <definedName name="IRPTerm">'IRP (Legend)'!$O$2:$O$5</definedName>
    <definedName name="MultiAmort">'DSCR (Legend)'!$AB$2:$AB$5</definedName>
    <definedName name="MultiIO">'DSCR (Legend)'!$AD$2:$AD$5</definedName>
    <definedName name="MultiPPP">'DSCR (Legend)'!$X$2:$X$8</definedName>
    <definedName name="MultiRebate">'DSCR (Legend)'!$AJ$2:$AJ$6</definedName>
    <definedName name="MultiTerm">'DSCR (Legend)'!$Z$2</definedName>
    <definedName name="PPP10Y">'IRP (Legend)'!$T$2:$T$6</definedName>
    <definedName name="PPP3Y">'IRP (Legend)'!$Q$2:$Q$3</definedName>
    <definedName name="PPP5Y">'IRP (Legend)'!$R$2:$R$5</definedName>
    <definedName name="PPP7Y">'IRP (Legend)'!$S$2:$S$5</definedName>
    <definedName name="_xlnm.Print_Area" localSheetId="6">'DSCR (Single Asset)'!$A$1:$S$63</definedName>
    <definedName name="_xlnm.Print_Area" localSheetId="0">GUC!$B$1:$P$45</definedName>
    <definedName name="Rebate10Y">'IRP (Legend)'!$Z$2:$Z$10</definedName>
    <definedName name="Rebate3Y">'IRP (Legend)'!$W$2:$W$4</definedName>
    <definedName name="Rebate5Y">'IRP (Legend)'!$X$2:$X$6</definedName>
    <definedName name="Rebate7Y">'IRP (Legend)'!$Y$2:$Y$8</definedName>
    <definedName name="SFRAmort">'DSCR (Legend)'!$AA$2:$AA$5</definedName>
    <definedName name="SFRIO">'DSCR (Legend)'!$AC$2:$AC$5</definedName>
    <definedName name="SFRPPP">'DSCR (Legend)'!$W$2:$W$8</definedName>
    <definedName name="SFRRebate">'DSCR (Legend)'!$AJ$2:$AJ$14</definedName>
    <definedName name="SFRTerm">'DSCR (Legend)'!$Y$2</definedName>
  </definedNames>
  <calcPr calcId="191029" calcMode="auto" fullCalcOnLoad="1" calcCompleted="0"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3" i="17" l="1"/>
  <c r="J33" i="17"/>
  <c r="I33" i="17"/>
  <c r="H33" i="17"/>
  <c r="G33" i="17"/>
  <c r="F33" i="17"/>
  <c r="E33" i="17"/>
  <c r="D33" i="17"/>
  <c r="C33" i="17"/>
  <c r="K32" i="17"/>
  <c r="J32" i="17"/>
  <c r="I32" i="17"/>
  <c r="H32" i="17"/>
  <c r="G32" i="17"/>
  <c r="F32" i="17"/>
  <c r="E32" i="17"/>
  <c r="D32" i="17"/>
  <c r="C32" i="17"/>
  <c r="K31" i="17"/>
  <c r="J31" i="17"/>
  <c r="I31" i="17"/>
  <c r="H31" i="17"/>
  <c r="G31" i="17"/>
  <c r="F31" i="17"/>
  <c r="E31" i="17"/>
  <c r="D31" i="17"/>
  <c r="C31" i="17"/>
  <c r="K30" i="17"/>
  <c r="J30" i="17"/>
  <c r="I30" i="17"/>
  <c r="H30" i="17"/>
  <c r="G30" i="17"/>
  <c r="F30" i="17"/>
  <c r="E30" i="17"/>
  <c r="D30" i="17"/>
  <c r="C30" i="17"/>
  <c r="K29" i="17"/>
  <c r="J29" i="17"/>
  <c r="I29" i="17"/>
  <c r="H29" i="17"/>
  <c r="G29" i="17"/>
  <c r="F29" i="17"/>
  <c r="E29" i="17"/>
  <c r="D29" i="17"/>
  <c r="C29" i="17"/>
  <c r="K28" i="17"/>
  <c r="J28" i="17"/>
  <c r="I28" i="17"/>
  <c r="H28" i="17"/>
  <c r="G28" i="17"/>
  <c r="F28" i="17"/>
  <c r="E28" i="17"/>
  <c r="D28" i="17"/>
  <c r="C28" i="17"/>
  <c r="K27" i="17"/>
  <c r="J27" i="17"/>
  <c r="I27" i="17"/>
  <c r="H27" i="17"/>
  <c r="G27" i="17"/>
  <c r="F27" i="17"/>
  <c r="E27" i="17"/>
  <c r="D27" i="17"/>
  <c r="C27" i="17"/>
  <c r="K26" i="17"/>
  <c r="J26" i="17"/>
  <c r="I26" i="17"/>
  <c r="H26" i="17"/>
  <c r="G26" i="17"/>
  <c r="F26" i="17"/>
  <c r="E26" i="17"/>
  <c r="D26" i="17"/>
  <c r="C26" i="17"/>
  <c r="K25" i="17"/>
  <c r="J25" i="17"/>
  <c r="I25" i="17"/>
  <c r="H25" i="17"/>
  <c r="G25" i="17"/>
  <c r="F25" i="17"/>
  <c r="E25" i="17"/>
  <c r="D25" i="17"/>
  <c r="C25" i="17"/>
  <c r="K24" i="17"/>
  <c r="J24" i="17"/>
  <c r="I24" i="17"/>
  <c r="H24" i="17"/>
  <c r="G24" i="17"/>
  <c r="F24" i="17"/>
  <c r="E24" i="17"/>
  <c r="D24" i="17"/>
  <c r="C24" i="17"/>
  <c r="K23" i="17"/>
  <c r="J23" i="17"/>
  <c r="I23" i="17"/>
  <c r="H23" i="17"/>
  <c r="G23" i="17"/>
  <c r="F23" i="17"/>
  <c r="E23" i="17"/>
  <c r="D23" i="17"/>
  <c r="C23" i="17"/>
  <c r="K22" i="17"/>
  <c r="J22" i="17"/>
  <c r="I22" i="17"/>
  <c r="H22" i="17"/>
  <c r="G22" i="17"/>
  <c r="F22" i="17"/>
  <c r="E22" i="17"/>
  <c r="D22" i="17"/>
  <c r="C22" i="17"/>
  <c r="K21" i="17"/>
  <c r="J21" i="17"/>
  <c r="I21" i="17"/>
  <c r="H21" i="17"/>
  <c r="G21" i="17"/>
  <c r="F21" i="17"/>
  <c r="E21" i="17"/>
  <c r="D21" i="17"/>
  <c r="C21" i="17"/>
  <c r="K20" i="17"/>
  <c r="J20" i="17"/>
  <c r="I20" i="17"/>
  <c r="H20" i="17"/>
  <c r="G20" i="17"/>
  <c r="F20" i="17"/>
  <c r="E20" i="17"/>
  <c r="D20" i="17"/>
  <c r="C20" i="17"/>
  <c r="K33" i="12"/>
  <c r="J33" i="12"/>
  <c r="I33" i="12"/>
  <c r="H33" i="12"/>
  <c r="G33" i="12"/>
  <c r="F33" i="12"/>
  <c r="E33" i="12"/>
  <c r="D33" i="12"/>
  <c r="C33" i="12"/>
  <c r="K32" i="12"/>
  <c r="J32" i="12"/>
  <c r="I32" i="12"/>
  <c r="H32" i="12"/>
  <c r="G32" i="12"/>
  <c r="F32" i="12"/>
  <c r="E32" i="12"/>
  <c r="D32" i="12"/>
  <c r="C32" i="12"/>
  <c r="K31" i="12"/>
  <c r="J31" i="12"/>
  <c r="I31" i="12"/>
  <c r="H31" i="12"/>
  <c r="G31" i="12"/>
  <c r="F31" i="12"/>
  <c r="E31" i="12"/>
  <c r="D31" i="12"/>
  <c r="C31" i="12"/>
  <c r="K30" i="12"/>
  <c r="J30" i="12"/>
  <c r="I30" i="12"/>
  <c r="H30" i="12"/>
  <c r="G30" i="12"/>
  <c r="F30" i="12"/>
  <c r="E30" i="12"/>
  <c r="D30" i="12"/>
  <c r="C30" i="12"/>
  <c r="K29" i="12"/>
  <c r="J29" i="12"/>
  <c r="I29" i="12"/>
  <c r="H29" i="12"/>
  <c r="G29" i="12"/>
  <c r="F29" i="12"/>
  <c r="E29" i="12"/>
  <c r="D29" i="12"/>
  <c r="C29" i="12"/>
  <c r="K28" i="12"/>
  <c r="J28" i="12"/>
  <c r="I28" i="12"/>
  <c r="H28" i="12"/>
  <c r="G28" i="12"/>
  <c r="F28" i="12"/>
  <c r="E28" i="12"/>
  <c r="D28" i="12"/>
  <c r="C28" i="12"/>
  <c r="K27" i="12"/>
  <c r="J27" i="12"/>
  <c r="I27" i="12"/>
  <c r="H27" i="12"/>
  <c r="G27" i="12"/>
  <c r="F27" i="12"/>
  <c r="E27" i="12"/>
  <c r="D27" i="12"/>
  <c r="C27" i="12"/>
  <c r="K26" i="12"/>
  <c r="J26" i="12"/>
  <c r="I26" i="12"/>
  <c r="H26" i="12"/>
  <c r="G26" i="12"/>
  <c r="F26" i="12"/>
  <c r="E26" i="12"/>
  <c r="D26" i="12"/>
  <c r="C26" i="12"/>
  <c r="K25" i="12"/>
  <c r="J25" i="12"/>
  <c r="I25" i="12"/>
  <c r="H25" i="12"/>
  <c r="G25" i="12"/>
  <c r="F25" i="12"/>
  <c r="E25" i="12"/>
  <c r="D25" i="12"/>
  <c r="C25" i="12"/>
  <c r="K24" i="12"/>
  <c r="J24" i="12"/>
  <c r="I24" i="12"/>
  <c r="H24" i="12"/>
  <c r="G24" i="12"/>
  <c r="F24" i="12"/>
  <c r="E24" i="12"/>
  <c r="D24" i="12"/>
  <c r="C24" i="12"/>
  <c r="K23" i="12"/>
  <c r="J23" i="12"/>
  <c r="I23" i="12"/>
  <c r="H23" i="12"/>
  <c r="G23" i="12"/>
  <c r="F23" i="12"/>
  <c r="E23" i="12"/>
  <c r="D23" i="12"/>
  <c r="C23" i="12"/>
  <c r="K22" i="12"/>
  <c r="J22" i="12"/>
  <c r="I22" i="12"/>
  <c r="H22" i="12"/>
  <c r="G22" i="12"/>
  <c r="F22" i="12"/>
  <c r="E22" i="12"/>
  <c r="D22" i="12"/>
  <c r="C22" i="12"/>
  <c r="K21" i="12"/>
  <c r="J21" i="12"/>
  <c r="I21" i="12"/>
  <c r="H21" i="12"/>
  <c r="G21" i="12"/>
  <c r="F21" i="12"/>
  <c r="E21" i="12"/>
  <c r="D21" i="12"/>
  <c r="C21" i="12"/>
  <c r="K20" i="12"/>
  <c r="J20" i="12"/>
  <c r="I20" i="12"/>
  <c r="H20" i="12"/>
  <c r="G20" i="12"/>
  <c r="F20" i="12"/>
  <c r="E20" i="12"/>
  <c r="D20" i="12"/>
  <c r="C20" i="12"/>
  <c r="AN55" i="14"/>
  <c r="AN54" i="14"/>
  <c r="AN53" i="14"/>
  <c r="AN52" i="14"/>
  <c r="AN51" i="14"/>
  <c r="AN50" i="14"/>
  <c r="AN49" i="14"/>
  <c r="AN48" i="14"/>
  <c r="AN47" i="14"/>
  <c r="AN46" i="14"/>
  <c r="AN45" i="14"/>
  <c r="AN44" i="14"/>
  <c r="AN43" i="14"/>
  <c r="AN42" i="14"/>
  <c r="AN41" i="14"/>
  <c r="AN40" i="14"/>
  <c r="AN39" i="14"/>
  <c r="AN38" i="14"/>
  <c r="AN37" i="14"/>
  <c r="AN36" i="14"/>
  <c r="AN35" i="14"/>
  <c r="AN34" i="14"/>
  <c r="AN33" i="14"/>
  <c r="AN32" i="14"/>
  <c r="AN31" i="14"/>
  <c r="AF55" i="14"/>
  <c r="AE55" i="14"/>
  <c r="AD55" i="14"/>
  <c r="AC55" i="14"/>
  <c r="AF54" i="14"/>
  <c r="AE54" i="14"/>
  <c r="AD54" i="14"/>
  <c r="AC54" i="14"/>
  <c r="AF53" i="14"/>
  <c r="AE53" i="14"/>
  <c r="AD53" i="14"/>
  <c r="AC53" i="14"/>
  <c r="AF52" i="14"/>
  <c r="AE52" i="14"/>
  <c r="AD52" i="14"/>
  <c r="AC52" i="14"/>
  <c r="AF51" i="14"/>
  <c r="AE51" i="14"/>
  <c r="AD51" i="14"/>
  <c r="AC51" i="14"/>
  <c r="AF50" i="14"/>
  <c r="AE50" i="14"/>
  <c r="AD50" i="14"/>
  <c r="AC50" i="14"/>
  <c r="AF49" i="14"/>
  <c r="AE49" i="14"/>
  <c r="AD49" i="14"/>
  <c r="AC49" i="14"/>
  <c r="AF48" i="14"/>
  <c r="AE48" i="14"/>
  <c r="AD48" i="14"/>
  <c r="AC48" i="14"/>
  <c r="AF47" i="14"/>
  <c r="AE47" i="14"/>
  <c r="AD47" i="14"/>
  <c r="AC47" i="14"/>
  <c r="AF46" i="14"/>
  <c r="AE46" i="14"/>
  <c r="AD46" i="14"/>
  <c r="AC46" i="14"/>
  <c r="AF45" i="14"/>
  <c r="AE45" i="14"/>
  <c r="AD45" i="14"/>
  <c r="AC45" i="14"/>
  <c r="AF44" i="14"/>
  <c r="AE44" i="14"/>
  <c r="AD44" i="14"/>
  <c r="AC44" i="14"/>
  <c r="AF43" i="14"/>
  <c r="AE43" i="14"/>
  <c r="AD43" i="14"/>
  <c r="AC43" i="14"/>
  <c r="AF42" i="14"/>
  <c r="AE42" i="14"/>
  <c r="AD42" i="14"/>
  <c r="AC42" i="14"/>
  <c r="AF41" i="14"/>
  <c r="AE41" i="14"/>
  <c r="AD41" i="14"/>
  <c r="AC41" i="14"/>
  <c r="AF40" i="14"/>
  <c r="AE40" i="14"/>
  <c r="AD40" i="14"/>
  <c r="AC40" i="14"/>
  <c r="AF39" i="14"/>
  <c r="AE39" i="14"/>
  <c r="AD39" i="14"/>
  <c r="AC39" i="14"/>
  <c r="AF38" i="14"/>
  <c r="AE38" i="14"/>
  <c r="AD38" i="14"/>
  <c r="AC38" i="14"/>
  <c r="AF37" i="14"/>
  <c r="AE37" i="14"/>
  <c r="AD37" i="14"/>
  <c r="AC37" i="14"/>
  <c r="AF36" i="14"/>
  <c r="AE36" i="14"/>
  <c r="AD36" i="14"/>
  <c r="AC36" i="14"/>
  <c r="AF35" i="14"/>
  <c r="AE35" i="14"/>
  <c r="AD35" i="14"/>
  <c r="AC35" i="14"/>
  <c r="AF34" i="14"/>
  <c r="AE34" i="14"/>
  <c r="AD34" i="14"/>
  <c r="AC34" i="14"/>
  <c r="AF33" i="14"/>
  <c r="AE33" i="14"/>
  <c r="AD33" i="14"/>
  <c r="AC33" i="14"/>
  <c r="AF32" i="14"/>
  <c r="AE32" i="14"/>
  <c r="AD32" i="14"/>
  <c r="AC32" i="14"/>
  <c r="AF31" i="14"/>
  <c r="AE31" i="14"/>
  <c r="AD31" i="14"/>
  <c r="AC31" i="14"/>
  <c r="G23" i="2"/>
  <c r="J28" i="10"/>
  <c r="O6" i="14"/>
  <c r="O7" i="14" s="1"/>
  <c r="O8" i="14" s="1"/>
  <c r="O9" i="14" s="1"/>
  <c r="O10" i="14" s="1"/>
  <c r="O11" i="14" s="1"/>
  <c r="O12" i="14" s="1"/>
  <c r="O13" i="14" s="1"/>
  <c r="O14" i="14" s="1"/>
  <c r="O15" i="14" s="1"/>
  <c r="O16" i="14" s="1"/>
  <c r="O17" i="14" s="1"/>
  <c r="O18" i="14" s="1"/>
  <c r="O19" i="14" s="1"/>
  <c r="O20" i="14" s="1"/>
  <c r="O21" i="14" s="1"/>
  <c r="O22" i="14" s="1"/>
  <c r="F6" i="14"/>
  <c r="F7" i="14" s="1"/>
  <c r="F8" i="14" s="1"/>
  <c r="F9" i="14" s="1"/>
  <c r="F10" i="14" s="1"/>
  <c r="F11" i="14" s="1"/>
  <c r="F12" i="14" s="1"/>
  <c r="F13" i="14" s="1"/>
  <c r="F14" i="14" s="1"/>
  <c r="F15" i="14" s="1"/>
  <c r="F16" i="14" s="1"/>
  <c r="F17" i="14" s="1"/>
  <c r="F18" i="14" s="1"/>
  <c r="F19" i="14" s="1"/>
  <c r="F20" i="14" s="1"/>
  <c r="F21" i="14" s="1"/>
  <c r="F22" i="14" s="1"/>
  <c r="K28" i="10"/>
  <c r="K29" i="10" s="1"/>
  <c r="K30" i="10" s="1"/>
  <c r="K31" i="10" s="1"/>
  <c r="K32" i="10" s="1"/>
  <c r="K33" i="10" s="1"/>
  <c r="K34" i="10" s="1"/>
  <c r="K35" i="10" s="1"/>
  <c r="K36" i="10" s="1"/>
  <c r="K37" i="10" s="1"/>
  <c r="K38" i="10" s="1"/>
  <c r="K39" i="10" s="1"/>
  <c r="K40" i="10" s="1"/>
  <c r="K41" i="10" s="1"/>
  <c r="K42" i="10" s="1"/>
  <c r="K43" i="10" s="1"/>
  <c r="K44" i="10" s="1"/>
  <c r="K7" i="10"/>
  <c r="K8" i="10" s="1"/>
  <c r="K9" i="10" s="1"/>
  <c r="K10" i="10" s="1"/>
  <c r="K11" i="10" s="1"/>
  <c r="K12" i="10" s="1"/>
  <c r="K13" i="10" s="1"/>
  <c r="K14" i="10" s="1"/>
  <c r="K15" i="10" s="1"/>
  <c r="K16" i="10" s="1"/>
  <c r="K17" i="10" s="1"/>
  <c r="K18" i="10" s="1"/>
  <c r="K19" i="10" s="1"/>
  <c r="K20" i="10" s="1"/>
  <c r="K21" i="10" s="1"/>
  <c r="K22" i="10" s="1"/>
  <c r="K23" i="10" s="1"/>
  <c r="D29" i="10"/>
  <c r="E10" i="14"/>
  <c r="BA1" i="18" s="1"/>
  <c r="BI14" i="18" s="1"/>
  <c r="M21" i="25"/>
  <c r="M20" i="25"/>
  <c r="M19" i="25"/>
  <c r="M18" i="25"/>
  <c r="M17" i="25"/>
  <c r="M16" i="25"/>
  <c r="M15" i="25"/>
  <c r="M14" i="25"/>
  <c r="M13" i="25"/>
  <c r="M12" i="25"/>
  <c r="M11" i="25"/>
  <c r="M10" i="25"/>
  <c r="M9" i="25"/>
  <c r="M8" i="25"/>
  <c r="M7" i="25"/>
  <c r="M6" i="25"/>
  <c r="M5" i="25"/>
  <c r="M4" i="25"/>
  <c r="M3" i="25"/>
  <c r="M2" i="25"/>
  <c r="L1" i="25"/>
  <c r="G16" i="23"/>
  <c r="G15" i="23"/>
  <c r="G14" i="23"/>
  <c r="G13" i="23"/>
  <c r="G12" i="23"/>
  <c r="G11" i="23"/>
  <c r="G10" i="23"/>
  <c r="G9" i="23"/>
  <c r="H4" i="23"/>
  <c r="H5" i="23" s="1"/>
  <c r="G4" i="23"/>
  <c r="E4" i="23"/>
  <c r="E5" i="23" s="1"/>
  <c r="D4" i="23"/>
  <c r="AC50" i="22"/>
  <c r="AB50" i="22"/>
  <c r="AA50" i="22"/>
  <c r="Z50" i="22"/>
  <c r="Y50" i="22"/>
  <c r="X50" i="22"/>
  <c r="W50" i="22"/>
  <c r="AC49" i="22"/>
  <c r="AB49" i="22"/>
  <c r="AC48" i="22"/>
  <c r="AB48" i="22"/>
  <c r="AC47" i="22"/>
  <c r="AB47" i="22"/>
  <c r="AC46" i="22"/>
  <c r="AB46" i="22"/>
  <c r="AC45" i="22"/>
  <c r="AB45" i="22"/>
  <c r="AC44" i="22"/>
  <c r="AB44" i="22"/>
  <c r="AC43" i="22"/>
  <c r="AB43" i="22"/>
  <c r="AC42" i="22"/>
  <c r="AB42" i="22"/>
  <c r="AA42" i="22"/>
  <c r="Z42" i="22"/>
  <c r="Y42" i="22"/>
  <c r="X42" i="22"/>
  <c r="W42" i="22"/>
  <c r="AC41" i="22"/>
  <c r="AB41" i="22"/>
  <c r="AA41" i="22"/>
  <c r="Z41" i="22"/>
  <c r="Y41" i="22"/>
  <c r="X41" i="22"/>
  <c r="W41" i="22"/>
  <c r="AC38" i="22"/>
  <c r="AB38" i="22"/>
  <c r="AA38" i="22"/>
  <c r="Z38" i="22"/>
  <c r="Y38" i="22"/>
  <c r="X38" i="22"/>
  <c r="W38" i="22"/>
  <c r="AC37" i="22"/>
  <c r="AB37" i="22"/>
  <c r="AC36" i="22"/>
  <c r="AB36" i="22"/>
  <c r="AC35" i="22"/>
  <c r="AB35" i="22"/>
  <c r="AC34" i="22"/>
  <c r="AB34" i="22"/>
  <c r="AC33" i="22"/>
  <c r="AB33" i="22"/>
  <c r="AC32" i="22"/>
  <c r="AB32" i="22"/>
  <c r="AC31" i="22"/>
  <c r="AB31" i="22"/>
  <c r="AC30" i="22"/>
  <c r="AB30" i="22"/>
  <c r="AA30" i="22"/>
  <c r="Z30" i="22"/>
  <c r="Y30" i="22"/>
  <c r="X30" i="22"/>
  <c r="W30" i="22"/>
  <c r="AC29" i="22"/>
  <c r="AB29" i="22"/>
  <c r="AA29" i="22"/>
  <c r="Z29" i="22"/>
  <c r="Y29" i="22"/>
  <c r="X29" i="22"/>
  <c r="W29" i="22"/>
  <c r="AC26" i="22"/>
  <c r="AB26" i="22"/>
  <c r="AA26" i="22"/>
  <c r="Z26" i="22"/>
  <c r="Y26" i="22"/>
  <c r="X26" i="22"/>
  <c r="W26" i="22"/>
  <c r="AC25" i="22"/>
  <c r="AB25" i="22"/>
  <c r="AC24" i="22"/>
  <c r="AB24" i="22"/>
  <c r="AC23" i="22"/>
  <c r="AB23" i="22"/>
  <c r="AC22" i="22"/>
  <c r="AB22" i="22"/>
  <c r="AC21" i="22"/>
  <c r="AB21" i="22"/>
  <c r="AC20" i="22"/>
  <c r="AB20" i="22"/>
  <c r="AC19" i="22"/>
  <c r="AB19" i="22"/>
  <c r="AC18" i="22"/>
  <c r="AB18" i="22"/>
  <c r="AA18" i="22"/>
  <c r="Z18" i="22"/>
  <c r="Y18" i="22"/>
  <c r="X18" i="22"/>
  <c r="W18" i="22"/>
  <c r="AC17" i="22"/>
  <c r="AB17" i="22"/>
  <c r="AA17" i="22"/>
  <c r="Z17" i="22"/>
  <c r="Y17" i="22"/>
  <c r="X17" i="22"/>
  <c r="W17" i="22"/>
  <c r="D17" i="22"/>
  <c r="B17" i="22"/>
  <c r="AC14" i="22"/>
  <c r="AB14" i="22"/>
  <c r="AA14" i="22"/>
  <c r="Z14" i="22"/>
  <c r="Y14" i="22"/>
  <c r="X14" i="22"/>
  <c r="W14" i="22"/>
  <c r="AC13" i="22"/>
  <c r="AB13" i="22"/>
  <c r="AC12" i="22"/>
  <c r="AB12" i="22"/>
  <c r="AC11" i="22"/>
  <c r="AB11" i="22"/>
  <c r="AC10" i="22"/>
  <c r="AB10" i="22"/>
  <c r="AC9" i="22"/>
  <c r="AB9" i="22"/>
  <c r="AC8" i="22"/>
  <c r="AB8" i="22"/>
  <c r="AC7" i="22"/>
  <c r="AB7" i="22"/>
  <c r="B7" i="22"/>
  <c r="X49" i="22" s="1"/>
  <c r="AC6" i="22"/>
  <c r="AB6" i="22"/>
  <c r="AA6" i="22"/>
  <c r="Z6" i="22"/>
  <c r="Y6" i="22"/>
  <c r="X6" i="22"/>
  <c r="W6" i="22"/>
  <c r="B6" i="22"/>
  <c r="X36" i="22" s="1"/>
  <c r="AC5" i="22"/>
  <c r="AB5" i="22"/>
  <c r="AA5" i="22"/>
  <c r="Z5" i="22"/>
  <c r="Y5" i="22"/>
  <c r="X5" i="22"/>
  <c r="W5" i="22"/>
  <c r="B5" i="22"/>
  <c r="Z25" i="22" s="1"/>
  <c r="B4" i="22"/>
  <c r="X7" i="22" s="1"/>
  <c r="D3" i="22"/>
  <c r="H14" i="22" s="1"/>
  <c r="H27" i="22" s="1"/>
  <c r="Z58" i="21"/>
  <c r="AT57" i="21"/>
  <c r="AU57" i="21" s="1"/>
  <c r="Z55" i="21"/>
  <c r="Z32" i="21"/>
  <c r="Z33" i="21" s="1"/>
  <c r="AT31" i="21"/>
  <c r="AU31" i="21" s="1"/>
  <c r="O5" i="20" s="1"/>
  <c r="BK26" i="21"/>
  <c r="AT26" i="21"/>
  <c r="AC26" i="21"/>
  <c r="BK25" i="21"/>
  <c r="AT25" i="21"/>
  <c r="AC25" i="21"/>
  <c r="BK24" i="21"/>
  <c r="AT24" i="21"/>
  <c r="AC24" i="21"/>
  <c r="BK23" i="21"/>
  <c r="AT23" i="21"/>
  <c r="AC23" i="21"/>
  <c r="BK22" i="21"/>
  <c r="AT22" i="21"/>
  <c r="AC22" i="21"/>
  <c r="BK21" i="21"/>
  <c r="AT21" i="21"/>
  <c r="AC21" i="21"/>
  <c r="BK20" i="21"/>
  <c r="AT20" i="21"/>
  <c r="AC20" i="21"/>
  <c r="BK19" i="21"/>
  <c r="AT19" i="21"/>
  <c r="AC19" i="21"/>
  <c r="BK18" i="21"/>
  <c r="AT18" i="21"/>
  <c r="AC18" i="21"/>
  <c r="C18" i="21"/>
  <c r="C43" i="21" s="1"/>
  <c r="BF3" i="21" s="1"/>
  <c r="BK17" i="21"/>
  <c r="AT17" i="21"/>
  <c r="AC17" i="21"/>
  <c r="BK16" i="21"/>
  <c r="AT16" i="21"/>
  <c r="AC16" i="21"/>
  <c r="BK15" i="21"/>
  <c r="AT15" i="21"/>
  <c r="AC15" i="21"/>
  <c r="BK14" i="21"/>
  <c r="AT14" i="21"/>
  <c r="AC14" i="21"/>
  <c r="BK13" i="21"/>
  <c r="AT13" i="21"/>
  <c r="AC13" i="21"/>
  <c r="BK12" i="21"/>
  <c r="AT12" i="21"/>
  <c r="AC12" i="21"/>
  <c r="BK11" i="21"/>
  <c r="AT11" i="21"/>
  <c r="AC11" i="21"/>
  <c r="BK10" i="21"/>
  <c r="AT10" i="21"/>
  <c r="AC10" i="21"/>
  <c r="BK9" i="21"/>
  <c r="AT9" i="21"/>
  <c r="AC9" i="21"/>
  <c r="BK8" i="21"/>
  <c r="AT8" i="21"/>
  <c r="AC8" i="21"/>
  <c r="C8" i="21"/>
  <c r="G24" i="21" s="1"/>
  <c r="BK7" i="21"/>
  <c r="AT7" i="21"/>
  <c r="AC7" i="21"/>
  <c r="C7" i="21"/>
  <c r="A48" i="21" s="1"/>
  <c r="L2" i="21" s="1"/>
  <c r="BK6" i="21"/>
  <c r="AT6" i="21"/>
  <c r="AC6" i="21"/>
  <c r="BK5" i="21"/>
  <c r="AT5" i="21"/>
  <c r="AC5" i="21"/>
  <c r="L5" i="21"/>
  <c r="L6" i="21" s="1"/>
  <c r="L7" i="21" s="1"/>
  <c r="L8" i="21" s="1"/>
  <c r="L9" i="21" s="1"/>
  <c r="L10" i="21" s="1"/>
  <c r="L11" i="21" s="1"/>
  <c r="L12" i="21" s="1"/>
  <c r="L13" i="21" s="1"/>
  <c r="L14" i="21" s="1"/>
  <c r="L15" i="21" s="1"/>
  <c r="L16" i="21" s="1"/>
  <c r="L17" i="21" s="1"/>
  <c r="L18" i="21" s="1"/>
  <c r="L19" i="21" s="1"/>
  <c r="L20" i="21" s="1"/>
  <c r="L21" i="21" s="1"/>
  <c r="L22" i="21" s="1"/>
  <c r="L23" i="21" s="1"/>
  <c r="L24" i="21" s="1"/>
  <c r="L25" i="21" s="1"/>
  <c r="L26" i="21" s="1"/>
  <c r="C5" i="21"/>
  <c r="BK4" i="21"/>
  <c r="AT4" i="21"/>
  <c r="AC4" i="21"/>
  <c r="C4" i="21"/>
  <c r="C3" i="21"/>
  <c r="N2" i="21"/>
  <c r="M2" i="21"/>
  <c r="BG227" i="20"/>
  <c r="BF227" i="20"/>
  <c r="BE227" i="20"/>
  <c r="AZ227" i="20"/>
  <c r="BD227" i="20" s="1"/>
  <c r="AY227" i="20"/>
  <c r="AT227" i="20"/>
  <c r="AS227" i="20"/>
  <c r="AU227" i="20" s="1"/>
  <c r="AN227" i="20"/>
  <c r="AM227" i="20"/>
  <c r="AL227" i="20"/>
  <c r="AK227" i="20"/>
  <c r="AH227" i="20"/>
  <c r="AF227" i="20"/>
  <c r="AE227" i="20"/>
  <c r="AD227" i="20"/>
  <c r="AC227" i="20"/>
  <c r="AB227" i="20"/>
  <c r="AA227" i="20"/>
  <c r="AJ227" i="20" s="1"/>
  <c r="BA227" i="20" s="1"/>
  <c r="BG226" i="20"/>
  <c r="BF226" i="20"/>
  <c r="BE226" i="20"/>
  <c r="AZ226" i="20"/>
  <c r="AY226" i="20"/>
  <c r="AT226" i="20"/>
  <c r="AS226" i="20"/>
  <c r="AU226" i="20" s="1"/>
  <c r="AN226" i="20"/>
  <c r="AM226" i="20"/>
  <c r="AL226" i="20"/>
  <c r="AK226" i="20"/>
  <c r="AH226" i="20"/>
  <c r="AF226" i="20"/>
  <c r="AE226" i="20"/>
  <c r="AD226" i="20"/>
  <c r="AC226" i="20"/>
  <c r="AB226" i="20"/>
  <c r="AA226" i="20"/>
  <c r="AJ226" i="20" s="1"/>
  <c r="BG225" i="20"/>
  <c r="BF225" i="20"/>
  <c r="BE225" i="20"/>
  <c r="AZ225" i="20"/>
  <c r="AY225" i="20"/>
  <c r="AT225" i="20"/>
  <c r="AS225" i="20"/>
  <c r="AU225" i="20" s="1"/>
  <c r="AN225" i="20"/>
  <c r="AM225" i="20"/>
  <c r="AL225" i="20"/>
  <c r="AK225" i="20"/>
  <c r="AH225" i="20"/>
  <c r="AF225" i="20"/>
  <c r="AE225" i="20"/>
  <c r="AD225" i="20"/>
  <c r="AC225" i="20"/>
  <c r="AB225" i="20"/>
  <c r="AA225" i="20"/>
  <c r="AJ225" i="20" s="1"/>
  <c r="BA225" i="20" s="1"/>
  <c r="BG224" i="20"/>
  <c r="BF224" i="20"/>
  <c r="BE224" i="20"/>
  <c r="AZ224" i="20"/>
  <c r="BD224" i="20" s="1"/>
  <c r="AY224" i="20"/>
  <c r="AT224" i="20"/>
  <c r="AS224" i="20"/>
  <c r="AU224" i="20" s="1"/>
  <c r="AN224" i="20"/>
  <c r="AM224" i="20"/>
  <c r="AL224" i="20"/>
  <c r="AK224" i="20"/>
  <c r="AH224" i="20"/>
  <c r="AF224" i="20"/>
  <c r="AE224" i="20"/>
  <c r="AD224" i="20"/>
  <c r="AC224" i="20"/>
  <c r="AB224" i="20"/>
  <c r="AA224" i="20"/>
  <c r="AJ224" i="20" s="1"/>
  <c r="BA224" i="20" s="1"/>
  <c r="BG223" i="20"/>
  <c r="BF223" i="20"/>
  <c r="BE223" i="20"/>
  <c r="AZ223" i="20"/>
  <c r="BD223" i="20" s="1"/>
  <c r="AY223" i="20"/>
  <c r="AT223" i="20"/>
  <c r="AS223" i="20"/>
  <c r="AU223" i="20" s="1"/>
  <c r="AN223" i="20"/>
  <c r="AM223" i="20"/>
  <c r="AL223" i="20"/>
  <c r="AK223" i="20"/>
  <c r="AH223" i="20"/>
  <c r="AF223" i="20"/>
  <c r="AE223" i="20"/>
  <c r="AD223" i="20"/>
  <c r="AC223" i="20"/>
  <c r="AB223" i="20"/>
  <c r="AA223" i="20"/>
  <c r="AJ223" i="20" s="1"/>
  <c r="BG222" i="20"/>
  <c r="BF222" i="20"/>
  <c r="BE222" i="20"/>
  <c r="AZ222" i="20"/>
  <c r="BD222" i="20" s="1"/>
  <c r="AY222" i="20"/>
  <c r="AT222" i="20"/>
  <c r="AS222" i="20"/>
  <c r="AU222" i="20" s="1"/>
  <c r="AN222" i="20"/>
  <c r="AM222" i="20"/>
  <c r="AL222" i="20"/>
  <c r="AK222" i="20"/>
  <c r="AH222" i="20"/>
  <c r="AF222" i="20"/>
  <c r="AE222" i="20"/>
  <c r="AD222" i="20"/>
  <c r="AC222" i="20"/>
  <c r="AB222" i="20"/>
  <c r="AA222" i="20"/>
  <c r="AJ222" i="20" s="1"/>
  <c r="BA222" i="20" s="1"/>
  <c r="BG221" i="20"/>
  <c r="BF221" i="20"/>
  <c r="BE221" i="20"/>
  <c r="AZ221" i="20"/>
  <c r="BD221" i="20" s="1"/>
  <c r="AY221" i="20"/>
  <c r="AT221" i="20"/>
  <c r="AS221" i="20"/>
  <c r="AU221" i="20" s="1"/>
  <c r="AN221" i="20"/>
  <c r="AM221" i="20"/>
  <c r="AL221" i="20"/>
  <c r="AK221" i="20"/>
  <c r="AH221" i="20"/>
  <c r="AF221" i="20"/>
  <c r="AE221" i="20"/>
  <c r="AD221" i="20"/>
  <c r="AC221" i="20"/>
  <c r="AB221" i="20"/>
  <c r="AA221" i="20"/>
  <c r="AJ221" i="20" s="1"/>
  <c r="BA221" i="20" s="1"/>
  <c r="BG220" i="20"/>
  <c r="BF220" i="20"/>
  <c r="BE220" i="20"/>
  <c r="AZ220" i="20"/>
  <c r="BD220" i="20" s="1"/>
  <c r="AY220" i="20"/>
  <c r="AT220" i="20"/>
  <c r="AS220" i="20"/>
  <c r="AU220" i="20" s="1"/>
  <c r="AN220" i="20"/>
  <c r="AM220" i="20"/>
  <c r="AL220" i="20"/>
  <c r="AK220" i="20"/>
  <c r="AH220" i="20"/>
  <c r="AF220" i="20"/>
  <c r="AE220" i="20"/>
  <c r="AD220" i="20"/>
  <c r="AC220" i="20"/>
  <c r="AB220" i="20"/>
  <c r="AA220" i="20"/>
  <c r="AJ220" i="20" s="1"/>
  <c r="BA220" i="20" s="1"/>
  <c r="BG219" i="20"/>
  <c r="BF219" i="20"/>
  <c r="BE219" i="20"/>
  <c r="AZ219" i="20"/>
  <c r="BD219" i="20" s="1"/>
  <c r="AY219" i="20"/>
  <c r="AT219" i="20"/>
  <c r="AS219" i="20"/>
  <c r="AU219" i="20" s="1"/>
  <c r="AN219" i="20"/>
  <c r="AM219" i="20"/>
  <c r="AL219" i="20"/>
  <c r="AK219" i="20"/>
  <c r="AH219" i="20"/>
  <c r="AF219" i="20"/>
  <c r="AE219" i="20"/>
  <c r="AD219" i="20"/>
  <c r="AC219" i="20"/>
  <c r="AB219" i="20"/>
  <c r="AA219" i="20"/>
  <c r="AJ219" i="20" s="1"/>
  <c r="BA219" i="20" s="1"/>
  <c r="BG218" i="20"/>
  <c r="BF218" i="20"/>
  <c r="BE218" i="20"/>
  <c r="AZ218" i="20"/>
  <c r="AY218" i="20"/>
  <c r="AT218" i="20"/>
  <c r="AS218" i="20"/>
  <c r="AU218" i="20" s="1"/>
  <c r="AN218" i="20"/>
  <c r="AM218" i="20"/>
  <c r="AL218" i="20"/>
  <c r="AK218" i="20"/>
  <c r="AH218" i="20"/>
  <c r="AF218" i="20"/>
  <c r="AE218" i="20"/>
  <c r="AD218" i="20"/>
  <c r="AC218" i="20"/>
  <c r="AB218" i="20"/>
  <c r="AA218" i="20"/>
  <c r="AJ218" i="20" s="1"/>
  <c r="BG217" i="20"/>
  <c r="BF217" i="20"/>
  <c r="BE217" i="20"/>
  <c r="AZ217" i="20"/>
  <c r="AY217" i="20"/>
  <c r="AT217" i="20"/>
  <c r="AS217" i="20"/>
  <c r="AU217" i="20" s="1"/>
  <c r="AN217" i="20"/>
  <c r="AM217" i="20"/>
  <c r="AL217" i="20"/>
  <c r="AK217" i="20"/>
  <c r="AH217" i="20"/>
  <c r="AF217" i="20"/>
  <c r="AE217" i="20"/>
  <c r="AD217" i="20"/>
  <c r="AC217" i="20"/>
  <c r="AB217" i="20"/>
  <c r="AA217" i="20"/>
  <c r="AJ217" i="20" s="1"/>
  <c r="BA217" i="20" s="1"/>
  <c r="BG216" i="20"/>
  <c r="BF216" i="20"/>
  <c r="BE216" i="20"/>
  <c r="AZ216" i="20"/>
  <c r="BD216" i="20" s="1"/>
  <c r="AY216" i="20"/>
  <c r="AT216" i="20"/>
  <c r="AS216" i="20"/>
  <c r="AU216" i="20" s="1"/>
  <c r="AN216" i="20"/>
  <c r="AM216" i="20"/>
  <c r="AL216" i="20"/>
  <c r="AK216" i="20"/>
  <c r="AH216" i="20"/>
  <c r="AF216" i="20"/>
  <c r="AE216" i="20"/>
  <c r="AD216" i="20"/>
  <c r="AC216" i="20"/>
  <c r="AB216" i="20"/>
  <c r="AA216" i="20"/>
  <c r="AJ216" i="20" s="1"/>
  <c r="BA216" i="20" s="1"/>
  <c r="BG215" i="20"/>
  <c r="BF215" i="20"/>
  <c r="BE215" i="20"/>
  <c r="AZ215" i="20"/>
  <c r="BD215" i="20" s="1"/>
  <c r="AY215" i="20"/>
  <c r="AT215" i="20"/>
  <c r="AS215" i="20"/>
  <c r="AU215" i="20" s="1"/>
  <c r="AN215" i="20"/>
  <c r="AM215" i="20"/>
  <c r="AL215" i="20"/>
  <c r="AK215" i="20"/>
  <c r="AH215" i="20"/>
  <c r="AF215" i="20"/>
  <c r="AE215" i="20"/>
  <c r="AD215" i="20"/>
  <c r="AC215" i="20"/>
  <c r="AB215" i="20"/>
  <c r="AA215" i="20"/>
  <c r="AJ215" i="20" s="1"/>
  <c r="BG214" i="20"/>
  <c r="BF214" i="20"/>
  <c r="BE214" i="20"/>
  <c r="AZ214" i="20"/>
  <c r="BD214" i="20" s="1"/>
  <c r="AY214" i="20"/>
  <c r="AT214" i="20"/>
  <c r="AS214" i="20"/>
  <c r="AU214" i="20" s="1"/>
  <c r="AN214" i="20"/>
  <c r="AM214" i="20"/>
  <c r="AL214" i="20"/>
  <c r="AK214" i="20"/>
  <c r="AH214" i="20"/>
  <c r="AF214" i="20"/>
  <c r="AE214" i="20"/>
  <c r="AD214" i="20"/>
  <c r="AC214" i="20"/>
  <c r="AB214" i="20"/>
  <c r="AA214" i="20"/>
  <c r="AJ214" i="20" s="1"/>
  <c r="BA214" i="20" s="1"/>
  <c r="BG213" i="20"/>
  <c r="BF213" i="20"/>
  <c r="BE213" i="20"/>
  <c r="AZ213" i="20"/>
  <c r="BD213" i="20" s="1"/>
  <c r="AY213" i="20"/>
  <c r="AT213" i="20"/>
  <c r="AS213" i="20"/>
  <c r="AU213" i="20" s="1"/>
  <c r="AN213" i="20"/>
  <c r="AM213" i="20"/>
  <c r="AL213" i="20"/>
  <c r="AK213" i="20"/>
  <c r="AH213" i="20"/>
  <c r="AF213" i="20"/>
  <c r="AE213" i="20"/>
  <c r="AD213" i="20"/>
  <c r="AC213" i="20"/>
  <c r="AB213" i="20"/>
  <c r="AA213" i="20"/>
  <c r="AJ213" i="20" s="1"/>
  <c r="BA213" i="20" s="1"/>
  <c r="BG212" i="20"/>
  <c r="BF212" i="20"/>
  <c r="BE212" i="20"/>
  <c r="AZ212" i="20"/>
  <c r="BD212" i="20" s="1"/>
  <c r="AY212" i="20"/>
  <c r="AT212" i="20"/>
  <c r="AS212" i="20"/>
  <c r="AU212" i="20" s="1"/>
  <c r="AN212" i="20"/>
  <c r="AM212" i="20"/>
  <c r="AL212" i="20"/>
  <c r="AK212" i="20"/>
  <c r="AH212" i="20"/>
  <c r="AF212" i="20"/>
  <c r="AE212" i="20"/>
  <c r="AD212" i="20"/>
  <c r="AC212" i="20"/>
  <c r="AB212" i="20"/>
  <c r="AA212" i="20"/>
  <c r="AJ212" i="20" s="1"/>
  <c r="BA212" i="20" s="1"/>
  <c r="BG211" i="20"/>
  <c r="BF211" i="20"/>
  <c r="BE211" i="20"/>
  <c r="AZ211" i="20"/>
  <c r="BD211" i="20" s="1"/>
  <c r="AY211" i="20"/>
  <c r="AT211" i="20"/>
  <c r="AS211" i="20"/>
  <c r="AU211" i="20" s="1"/>
  <c r="AN211" i="20"/>
  <c r="AM211" i="20"/>
  <c r="AL211" i="20"/>
  <c r="AK211" i="20"/>
  <c r="AH211" i="20"/>
  <c r="AF211" i="20"/>
  <c r="AE211" i="20"/>
  <c r="AD211" i="20"/>
  <c r="AC211" i="20"/>
  <c r="AB211" i="20"/>
  <c r="AA211" i="20"/>
  <c r="AJ211" i="20" s="1"/>
  <c r="BA211" i="20" s="1"/>
  <c r="BG210" i="20"/>
  <c r="BF210" i="20"/>
  <c r="BE210" i="20"/>
  <c r="AZ210" i="20"/>
  <c r="AY210" i="20"/>
  <c r="AT210" i="20"/>
  <c r="AS210" i="20"/>
  <c r="AU210" i="20" s="1"/>
  <c r="AN210" i="20"/>
  <c r="AM210" i="20"/>
  <c r="AL210" i="20"/>
  <c r="AK210" i="20"/>
  <c r="AH210" i="20"/>
  <c r="AF210" i="20"/>
  <c r="AE210" i="20"/>
  <c r="AD210" i="20"/>
  <c r="AC210" i="20"/>
  <c r="AB210" i="20"/>
  <c r="AA210" i="20"/>
  <c r="AJ210" i="20" s="1"/>
  <c r="BG209" i="20"/>
  <c r="BF209" i="20"/>
  <c r="BE209" i="20"/>
  <c r="AZ209" i="20"/>
  <c r="AY209" i="20"/>
  <c r="AT209" i="20"/>
  <c r="AS209" i="20"/>
  <c r="AU209" i="20" s="1"/>
  <c r="AN209" i="20"/>
  <c r="AM209" i="20"/>
  <c r="AL209" i="20"/>
  <c r="AK209" i="20"/>
  <c r="AH209" i="20"/>
  <c r="AF209" i="20"/>
  <c r="AE209" i="20"/>
  <c r="AD209" i="20"/>
  <c r="AC209" i="20"/>
  <c r="AB209" i="20"/>
  <c r="AA209" i="20"/>
  <c r="AJ209" i="20" s="1"/>
  <c r="BG208" i="20"/>
  <c r="BF208" i="20"/>
  <c r="BE208" i="20"/>
  <c r="AZ208" i="20"/>
  <c r="BD208" i="20" s="1"/>
  <c r="AY208" i="20"/>
  <c r="AT208" i="20"/>
  <c r="AS208" i="20"/>
  <c r="AU208" i="20" s="1"/>
  <c r="AN208" i="20"/>
  <c r="AM208" i="20"/>
  <c r="AL208" i="20"/>
  <c r="AK208" i="20"/>
  <c r="AH208" i="20"/>
  <c r="AF208" i="20"/>
  <c r="AE208" i="20"/>
  <c r="AD208" i="20"/>
  <c r="AC208" i="20"/>
  <c r="AB208" i="20"/>
  <c r="AA208" i="20"/>
  <c r="AJ208" i="20" s="1"/>
  <c r="BA208" i="20" s="1"/>
  <c r="BG207" i="20"/>
  <c r="BF207" i="20"/>
  <c r="BE207" i="20"/>
  <c r="AZ207" i="20"/>
  <c r="BD207" i="20" s="1"/>
  <c r="AY207" i="20"/>
  <c r="AT207" i="20"/>
  <c r="AS207" i="20"/>
  <c r="AU207" i="20" s="1"/>
  <c r="AN207" i="20"/>
  <c r="AM207" i="20"/>
  <c r="AL207" i="20"/>
  <c r="AK207" i="20"/>
  <c r="AH207" i="20"/>
  <c r="AF207" i="20"/>
  <c r="AE207" i="20"/>
  <c r="AD207" i="20"/>
  <c r="AC207" i="20"/>
  <c r="AB207" i="20"/>
  <c r="AA207" i="20"/>
  <c r="AJ207" i="20" s="1"/>
  <c r="BA207" i="20" s="1"/>
  <c r="BG206" i="20"/>
  <c r="BF206" i="20"/>
  <c r="BE206" i="20"/>
  <c r="AZ206" i="20"/>
  <c r="BD206" i="20" s="1"/>
  <c r="AY206" i="20"/>
  <c r="AT206" i="20"/>
  <c r="AS206" i="20"/>
  <c r="AU206" i="20" s="1"/>
  <c r="AN206" i="20"/>
  <c r="AM206" i="20"/>
  <c r="AL206" i="20"/>
  <c r="AK206" i="20"/>
  <c r="AH206" i="20"/>
  <c r="AF206" i="20"/>
  <c r="AE206" i="20"/>
  <c r="AD206" i="20"/>
  <c r="AC206" i="20"/>
  <c r="AB206" i="20"/>
  <c r="AA206" i="20"/>
  <c r="AJ206" i="20" s="1"/>
  <c r="BA206" i="20" s="1"/>
  <c r="BG205" i="20"/>
  <c r="BF205" i="20"/>
  <c r="BE205" i="20"/>
  <c r="AZ205" i="20"/>
  <c r="BD205" i="20" s="1"/>
  <c r="AY205" i="20"/>
  <c r="AT205" i="20"/>
  <c r="AS205" i="20"/>
  <c r="AU205" i="20" s="1"/>
  <c r="AN205" i="20"/>
  <c r="AM205" i="20"/>
  <c r="AL205" i="20"/>
  <c r="AK205" i="20"/>
  <c r="AH205" i="20"/>
  <c r="AF205" i="20"/>
  <c r="AE205" i="20"/>
  <c r="AD205" i="20"/>
  <c r="AC205" i="20"/>
  <c r="AB205" i="20"/>
  <c r="AA205" i="20"/>
  <c r="AJ205" i="20" s="1"/>
  <c r="BA205" i="20" s="1"/>
  <c r="BG204" i="20"/>
  <c r="BF204" i="20"/>
  <c r="BE204" i="20"/>
  <c r="AZ204" i="20"/>
  <c r="BD204" i="20" s="1"/>
  <c r="AY204" i="20"/>
  <c r="AT204" i="20"/>
  <c r="AS204" i="20"/>
  <c r="AU204" i="20" s="1"/>
  <c r="AN204" i="20"/>
  <c r="AM204" i="20"/>
  <c r="AL204" i="20"/>
  <c r="AK204" i="20"/>
  <c r="AH204" i="20"/>
  <c r="AF204" i="20"/>
  <c r="AE204" i="20"/>
  <c r="AD204" i="20"/>
  <c r="AC204" i="20"/>
  <c r="AB204" i="20"/>
  <c r="AA204" i="20"/>
  <c r="AJ204" i="20" s="1"/>
  <c r="BA204" i="20" s="1"/>
  <c r="BG203" i="20"/>
  <c r="BF203" i="20"/>
  <c r="BE203" i="20"/>
  <c r="AZ203" i="20"/>
  <c r="AY203" i="20"/>
  <c r="AT203" i="20"/>
  <c r="AS203" i="20"/>
  <c r="AU203" i="20" s="1"/>
  <c r="AN203" i="20"/>
  <c r="AM203" i="20"/>
  <c r="AL203" i="20"/>
  <c r="AK203" i="20"/>
  <c r="AH203" i="20"/>
  <c r="AF203" i="20"/>
  <c r="AE203" i="20"/>
  <c r="AD203" i="20"/>
  <c r="AC203" i="20"/>
  <c r="AB203" i="20"/>
  <c r="AA203" i="20"/>
  <c r="AJ203" i="20" s="1"/>
  <c r="BA203" i="20" s="1"/>
  <c r="BG202" i="20"/>
  <c r="BF202" i="20"/>
  <c r="BE202" i="20"/>
  <c r="AZ202" i="20"/>
  <c r="AY202" i="20"/>
  <c r="AT202" i="20"/>
  <c r="AS202" i="20"/>
  <c r="AU202" i="20" s="1"/>
  <c r="AN202" i="20"/>
  <c r="AM202" i="20"/>
  <c r="AL202" i="20"/>
  <c r="AK202" i="20"/>
  <c r="AH202" i="20"/>
  <c r="AF202" i="20"/>
  <c r="AE202" i="20"/>
  <c r="AD202" i="20"/>
  <c r="AC202" i="20"/>
  <c r="AB202" i="20"/>
  <c r="AA202" i="20"/>
  <c r="AJ202" i="20" s="1"/>
  <c r="BG201" i="20"/>
  <c r="BF201" i="20"/>
  <c r="BE201" i="20"/>
  <c r="AZ201" i="20"/>
  <c r="AY201" i="20"/>
  <c r="AT201" i="20"/>
  <c r="AS201" i="20"/>
  <c r="AU201" i="20" s="1"/>
  <c r="AN201" i="20"/>
  <c r="AM201" i="20"/>
  <c r="AL201" i="20"/>
  <c r="AK201" i="20"/>
  <c r="AH201" i="20"/>
  <c r="AF201" i="20"/>
  <c r="AE201" i="20"/>
  <c r="AD201" i="20"/>
  <c r="AC201" i="20"/>
  <c r="AB201" i="20"/>
  <c r="AA201" i="20"/>
  <c r="AJ201" i="20" s="1"/>
  <c r="BA201" i="20" s="1"/>
  <c r="BG200" i="20"/>
  <c r="BF200" i="20"/>
  <c r="BE200" i="20"/>
  <c r="AZ200" i="20"/>
  <c r="BD200" i="20" s="1"/>
  <c r="AY200" i="20"/>
  <c r="AT200" i="20"/>
  <c r="AS200" i="20"/>
  <c r="AU200" i="20" s="1"/>
  <c r="AN200" i="20"/>
  <c r="AM200" i="20"/>
  <c r="AL200" i="20"/>
  <c r="AK200" i="20"/>
  <c r="AH200" i="20"/>
  <c r="AF200" i="20"/>
  <c r="AE200" i="20"/>
  <c r="AD200" i="20"/>
  <c r="AC200" i="20"/>
  <c r="AB200" i="20"/>
  <c r="AA200" i="20"/>
  <c r="AJ200" i="20" s="1"/>
  <c r="BA200" i="20" s="1"/>
  <c r="BG199" i="20"/>
  <c r="BF199" i="20"/>
  <c r="BE199" i="20"/>
  <c r="AZ199" i="20"/>
  <c r="BD199" i="20" s="1"/>
  <c r="AY199" i="20"/>
  <c r="AT199" i="20"/>
  <c r="AS199" i="20"/>
  <c r="AU199" i="20" s="1"/>
  <c r="AN199" i="20"/>
  <c r="AM199" i="20"/>
  <c r="AL199" i="20"/>
  <c r="AK199" i="20"/>
  <c r="AH199" i="20"/>
  <c r="AF199" i="20"/>
  <c r="AE199" i="20"/>
  <c r="AD199" i="20"/>
  <c r="AC199" i="20"/>
  <c r="AB199" i="20"/>
  <c r="AA199" i="20"/>
  <c r="AJ199" i="20" s="1"/>
  <c r="BA199" i="20" s="1"/>
  <c r="BG198" i="20"/>
  <c r="BF198" i="20"/>
  <c r="BE198" i="20"/>
  <c r="AZ198" i="20"/>
  <c r="BD198" i="20" s="1"/>
  <c r="AY198" i="20"/>
  <c r="AT198" i="20"/>
  <c r="AS198" i="20"/>
  <c r="AU198" i="20" s="1"/>
  <c r="AN198" i="20"/>
  <c r="AM198" i="20"/>
  <c r="AL198" i="20"/>
  <c r="AK198" i="20"/>
  <c r="AH198" i="20"/>
  <c r="AF198" i="20"/>
  <c r="AE198" i="20"/>
  <c r="AD198" i="20"/>
  <c r="AC198" i="20"/>
  <c r="AB198" i="20"/>
  <c r="AA198" i="20"/>
  <c r="AJ198" i="20" s="1"/>
  <c r="BA198" i="20" s="1"/>
  <c r="BG197" i="20"/>
  <c r="BF197" i="20"/>
  <c r="BE197" i="20"/>
  <c r="AZ197" i="20"/>
  <c r="BD197" i="20" s="1"/>
  <c r="AY197" i="20"/>
  <c r="AT197" i="20"/>
  <c r="AS197" i="20"/>
  <c r="AU197" i="20" s="1"/>
  <c r="AN197" i="20"/>
  <c r="AM197" i="20"/>
  <c r="AL197" i="20"/>
  <c r="AK197" i="20"/>
  <c r="AH197" i="20"/>
  <c r="AF197" i="20"/>
  <c r="AE197" i="20"/>
  <c r="AD197" i="20"/>
  <c r="AC197" i="20"/>
  <c r="AB197" i="20"/>
  <c r="AA197" i="20"/>
  <c r="AJ197" i="20" s="1"/>
  <c r="BA197" i="20" s="1"/>
  <c r="BG196" i="20"/>
  <c r="BF196" i="20"/>
  <c r="BE196" i="20"/>
  <c r="AZ196" i="20"/>
  <c r="BD196" i="20" s="1"/>
  <c r="AY196" i="20"/>
  <c r="AT196" i="20"/>
  <c r="AS196" i="20"/>
  <c r="AU196" i="20" s="1"/>
  <c r="AN196" i="20"/>
  <c r="AM196" i="20"/>
  <c r="AL196" i="20"/>
  <c r="AK196" i="20"/>
  <c r="AH196" i="20"/>
  <c r="AF196" i="20"/>
  <c r="AE196" i="20"/>
  <c r="AD196" i="20"/>
  <c r="AC196" i="20"/>
  <c r="AB196" i="20"/>
  <c r="AA196" i="20"/>
  <c r="AJ196" i="20" s="1"/>
  <c r="BA196" i="20" s="1"/>
  <c r="BG195" i="20"/>
  <c r="BF195" i="20"/>
  <c r="BE195" i="20"/>
  <c r="AZ195" i="20"/>
  <c r="AY195" i="20"/>
  <c r="AT195" i="20"/>
  <c r="AS195" i="20"/>
  <c r="AU195" i="20" s="1"/>
  <c r="AN195" i="20"/>
  <c r="AM195" i="20"/>
  <c r="AL195" i="20"/>
  <c r="AK195" i="20"/>
  <c r="AH195" i="20"/>
  <c r="AF195" i="20"/>
  <c r="AE195" i="20"/>
  <c r="AD195" i="20"/>
  <c r="AC195" i="20"/>
  <c r="AB195" i="20"/>
  <c r="AA195" i="20"/>
  <c r="AJ195" i="20" s="1"/>
  <c r="BA195" i="20" s="1"/>
  <c r="BG194" i="20"/>
  <c r="BF194" i="20"/>
  <c r="BE194" i="20"/>
  <c r="AZ194" i="20"/>
  <c r="AY194" i="20"/>
  <c r="AT194" i="20"/>
  <c r="AS194" i="20"/>
  <c r="AU194" i="20" s="1"/>
  <c r="AN194" i="20"/>
  <c r="AM194" i="20"/>
  <c r="AL194" i="20"/>
  <c r="AK194" i="20"/>
  <c r="AH194" i="20"/>
  <c r="AF194" i="20"/>
  <c r="AE194" i="20"/>
  <c r="AD194" i="20"/>
  <c r="AC194" i="20"/>
  <c r="AB194" i="20"/>
  <c r="AA194" i="20"/>
  <c r="AJ194" i="20" s="1"/>
  <c r="BG193" i="20"/>
  <c r="BF193" i="20"/>
  <c r="BE193" i="20"/>
  <c r="AZ193" i="20"/>
  <c r="AY193" i="20"/>
  <c r="AT193" i="20"/>
  <c r="AS193" i="20"/>
  <c r="AU193" i="20" s="1"/>
  <c r="AN193" i="20"/>
  <c r="AM193" i="20"/>
  <c r="AL193" i="20"/>
  <c r="AK193" i="20"/>
  <c r="AH193" i="20"/>
  <c r="AF193" i="20"/>
  <c r="AE193" i="20"/>
  <c r="AD193" i="20"/>
  <c r="AC193" i="20"/>
  <c r="AB193" i="20"/>
  <c r="AA193" i="20"/>
  <c r="AJ193" i="20" s="1"/>
  <c r="BG192" i="20"/>
  <c r="BF192" i="20"/>
  <c r="BE192" i="20"/>
  <c r="AZ192" i="20"/>
  <c r="BD192" i="20" s="1"/>
  <c r="AY192" i="20"/>
  <c r="AT192" i="20"/>
  <c r="AS192" i="20"/>
  <c r="AU192" i="20" s="1"/>
  <c r="AN192" i="20"/>
  <c r="AM192" i="20"/>
  <c r="AL192" i="20"/>
  <c r="AK192" i="20"/>
  <c r="AH192" i="20"/>
  <c r="AF192" i="20"/>
  <c r="AE192" i="20"/>
  <c r="AD192" i="20"/>
  <c r="AC192" i="20"/>
  <c r="AB192" i="20"/>
  <c r="AA192" i="20"/>
  <c r="AJ192" i="20" s="1"/>
  <c r="BA192" i="20" s="1"/>
  <c r="BG191" i="20"/>
  <c r="BF191" i="20"/>
  <c r="BE191" i="20"/>
  <c r="AZ191" i="20"/>
  <c r="BD191" i="20" s="1"/>
  <c r="AY191" i="20"/>
  <c r="AT191" i="20"/>
  <c r="AS191" i="20"/>
  <c r="AU191" i="20" s="1"/>
  <c r="AN191" i="20"/>
  <c r="AM191" i="20"/>
  <c r="AL191" i="20"/>
  <c r="AK191" i="20"/>
  <c r="AH191" i="20"/>
  <c r="AF191" i="20"/>
  <c r="AE191" i="20"/>
  <c r="AD191" i="20"/>
  <c r="AC191" i="20"/>
  <c r="AB191" i="20"/>
  <c r="AA191" i="20"/>
  <c r="AJ191" i="20" s="1"/>
  <c r="BA191" i="20" s="1"/>
  <c r="BG190" i="20"/>
  <c r="BF190" i="20"/>
  <c r="BE190" i="20"/>
  <c r="AZ190" i="20"/>
  <c r="BD190" i="20" s="1"/>
  <c r="AY190" i="20"/>
  <c r="AT190" i="20"/>
  <c r="AS190" i="20"/>
  <c r="AU190" i="20" s="1"/>
  <c r="AN190" i="20"/>
  <c r="AM190" i="20"/>
  <c r="AL190" i="20"/>
  <c r="AK190" i="20"/>
  <c r="AH190" i="20"/>
  <c r="AF190" i="20"/>
  <c r="AE190" i="20"/>
  <c r="AD190" i="20"/>
  <c r="AC190" i="20"/>
  <c r="AB190" i="20"/>
  <c r="AA190" i="20"/>
  <c r="AJ190" i="20" s="1"/>
  <c r="BA190" i="20" s="1"/>
  <c r="BG189" i="20"/>
  <c r="BF189" i="20"/>
  <c r="BE189" i="20"/>
  <c r="AZ189" i="20"/>
  <c r="BD189" i="20" s="1"/>
  <c r="AY189" i="20"/>
  <c r="AT189" i="20"/>
  <c r="AS189" i="20"/>
  <c r="AU189" i="20" s="1"/>
  <c r="AN189" i="20"/>
  <c r="AM189" i="20"/>
  <c r="AL189" i="20"/>
  <c r="AK189" i="20"/>
  <c r="AH189" i="20"/>
  <c r="AF189" i="20"/>
  <c r="AE189" i="20"/>
  <c r="AD189" i="20"/>
  <c r="AC189" i="20"/>
  <c r="AB189" i="20"/>
  <c r="AA189" i="20"/>
  <c r="AJ189" i="20" s="1"/>
  <c r="BA189" i="20" s="1"/>
  <c r="BG188" i="20"/>
  <c r="BF188" i="20"/>
  <c r="BE188" i="20"/>
  <c r="AZ188" i="20"/>
  <c r="BD188" i="20" s="1"/>
  <c r="AY188" i="20"/>
  <c r="AT188" i="20"/>
  <c r="AS188" i="20"/>
  <c r="AU188" i="20" s="1"/>
  <c r="AN188" i="20"/>
  <c r="AM188" i="20"/>
  <c r="AL188" i="20"/>
  <c r="AK188" i="20"/>
  <c r="AH188" i="20"/>
  <c r="AF188" i="20"/>
  <c r="AE188" i="20"/>
  <c r="AD188" i="20"/>
  <c r="AC188" i="20"/>
  <c r="AB188" i="20"/>
  <c r="AA188" i="20"/>
  <c r="AJ188" i="20" s="1"/>
  <c r="BA188" i="20" s="1"/>
  <c r="BG187" i="20"/>
  <c r="BF187" i="20"/>
  <c r="BE187" i="20"/>
  <c r="AZ187" i="20"/>
  <c r="AY187" i="20"/>
  <c r="AT187" i="20"/>
  <c r="AS187" i="20"/>
  <c r="AU187" i="20" s="1"/>
  <c r="AN187" i="20"/>
  <c r="AM187" i="20"/>
  <c r="AL187" i="20"/>
  <c r="AK187" i="20"/>
  <c r="AH187" i="20"/>
  <c r="AF187" i="20"/>
  <c r="AE187" i="20"/>
  <c r="AD187" i="20"/>
  <c r="AC187" i="20"/>
  <c r="AB187" i="20"/>
  <c r="AA187" i="20"/>
  <c r="AJ187" i="20" s="1"/>
  <c r="BA187" i="20" s="1"/>
  <c r="BG186" i="20"/>
  <c r="BF186" i="20"/>
  <c r="BE186" i="20"/>
  <c r="AZ186" i="20"/>
  <c r="AY186" i="20"/>
  <c r="AT186" i="20"/>
  <c r="AS186" i="20"/>
  <c r="AU186" i="20" s="1"/>
  <c r="AN186" i="20"/>
  <c r="AM186" i="20"/>
  <c r="AL186" i="20"/>
  <c r="AK186" i="20"/>
  <c r="AH186" i="20"/>
  <c r="AF186" i="20"/>
  <c r="AE186" i="20"/>
  <c r="AD186" i="20"/>
  <c r="AC186" i="20"/>
  <c r="AB186" i="20"/>
  <c r="AA186" i="20"/>
  <c r="AJ186" i="20" s="1"/>
  <c r="BG185" i="20"/>
  <c r="BF185" i="20"/>
  <c r="BE185" i="20"/>
  <c r="AZ185" i="20"/>
  <c r="AY185" i="20"/>
  <c r="AT185" i="20"/>
  <c r="AS185" i="20"/>
  <c r="AU185" i="20" s="1"/>
  <c r="AN185" i="20"/>
  <c r="AM185" i="20"/>
  <c r="AL185" i="20"/>
  <c r="AK185" i="20"/>
  <c r="AH185" i="20"/>
  <c r="AF185" i="20"/>
  <c r="AE185" i="20"/>
  <c r="AD185" i="20"/>
  <c r="AC185" i="20"/>
  <c r="AB185" i="20"/>
  <c r="AA185" i="20"/>
  <c r="AJ185" i="20" s="1"/>
  <c r="BA185" i="20" s="1"/>
  <c r="BG184" i="20"/>
  <c r="BF184" i="20"/>
  <c r="BE184" i="20"/>
  <c r="AZ184" i="20"/>
  <c r="BD184" i="20" s="1"/>
  <c r="AY184" i="20"/>
  <c r="AT184" i="20"/>
  <c r="AS184" i="20"/>
  <c r="AU184" i="20" s="1"/>
  <c r="AN184" i="20"/>
  <c r="AM184" i="20"/>
  <c r="AL184" i="20"/>
  <c r="AK184" i="20"/>
  <c r="AH184" i="20"/>
  <c r="AF184" i="20"/>
  <c r="AE184" i="20"/>
  <c r="AD184" i="20"/>
  <c r="AC184" i="20"/>
  <c r="AB184" i="20"/>
  <c r="AA184" i="20"/>
  <c r="AJ184" i="20" s="1"/>
  <c r="BA184" i="20" s="1"/>
  <c r="BG183" i="20"/>
  <c r="BF183" i="20"/>
  <c r="BE183" i="20"/>
  <c r="AZ183" i="20"/>
  <c r="BD183" i="20" s="1"/>
  <c r="AY183" i="20"/>
  <c r="AT183" i="20"/>
  <c r="AS183" i="20"/>
  <c r="AU183" i="20" s="1"/>
  <c r="AN183" i="20"/>
  <c r="AM183" i="20"/>
  <c r="AL183" i="20"/>
  <c r="AK183" i="20"/>
  <c r="AH183" i="20"/>
  <c r="AF183" i="20"/>
  <c r="AE183" i="20"/>
  <c r="AD183" i="20"/>
  <c r="AC183" i="20"/>
  <c r="AB183" i="20"/>
  <c r="AA183" i="20"/>
  <c r="AJ183" i="20" s="1"/>
  <c r="BG182" i="20"/>
  <c r="BF182" i="20"/>
  <c r="BE182" i="20"/>
  <c r="AZ182" i="20"/>
  <c r="BD182" i="20" s="1"/>
  <c r="AY182" i="20"/>
  <c r="AT182" i="20"/>
  <c r="AS182" i="20"/>
  <c r="AU182" i="20" s="1"/>
  <c r="AN182" i="20"/>
  <c r="AM182" i="20"/>
  <c r="AL182" i="20"/>
  <c r="AK182" i="20"/>
  <c r="AH182" i="20"/>
  <c r="AF182" i="20"/>
  <c r="AE182" i="20"/>
  <c r="AD182" i="20"/>
  <c r="AC182" i="20"/>
  <c r="AB182" i="20"/>
  <c r="AA182" i="20"/>
  <c r="AJ182" i="20" s="1"/>
  <c r="BA182" i="20" s="1"/>
  <c r="BG181" i="20"/>
  <c r="BF181" i="20"/>
  <c r="BE181" i="20"/>
  <c r="AZ181" i="20"/>
  <c r="BD181" i="20" s="1"/>
  <c r="AY181" i="20"/>
  <c r="AT181" i="20"/>
  <c r="AS181" i="20"/>
  <c r="AU181" i="20" s="1"/>
  <c r="AN181" i="20"/>
  <c r="AM181" i="20"/>
  <c r="AL181" i="20"/>
  <c r="AK181" i="20"/>
  <c r="AH181" i="20"/>
  <c r="AF181" i="20"/>
  <c r="AE181" i="20"/>
  <c r="AD181" i="20"/>
  <c r="AC181" i="20"/>
  <c r="AB181" i="20"/>
  <c r="AA181" i="20"/>
  <c r="AJ181" i="20" s="1"/>
  <c r="BA181" i="20" s="1"/>
  <c r="BG180" i="20"/>
  <c r="BF180" i="20"/>
  <c r="BE180" i="20"/>
  <c r="AZ180" i="20"/>
  <c r="BD180" i="20" s="1"/>
  <c r="AY180" i="20"/>
  <c r="AT180" i="20"/>
  <c r="AS180" i="20"/>
  <c r="AU180" i="20" s="1"/>
  <c r="AN180" i="20"/>
  <c r="AM180" i="20"/>
  <c r="AL180" i="20"/>
  <c r="AK180" i="20"/>
  <c r="AH180" i="20"/>
  <c r="AF180" i="20"/>
  <c r="AE180" i="20"/>
  <c r="AD180" i="20"/>
  <c r="AC180" i="20"/>
  <c r="AB180" i="20"/>
  <c r="AA180" i="20"/>
  <c r="AJ180" i="20" s="1"/>
  <c r="BA180" i="20" s="1"/>
  <c r="BG179" i="20"/>
  <c r="BF179" i="20"/>
  <c r="BE179" i="20"/>
  <c r="AZ179" i="20"/>
  <c r="AY179" i="20"/>
  <c r="AT179" i="20"/>
  <c r="AS179" i="20"/>
  <c r="AU179" i="20" s="1"/>
  <c r="AN179" i="20"/>
  <c r="AM179" i="20"/>
  <c r="AL179" i="20"/>
  <c r="AK179" i="20"/>
  <c r="AH179" i="20"/>
  <c r="AF179" i="20"/>
  <c r="AE179" i="20"/>
  <c r="AD179" i="20"/>
  <c r="AC179" i="20"/>
  <c r="AB179" i="20"/>
  <c r="AA179" i="20"/>
  <c r="AJ179" i="20" s="1"/>
  <c r="BA179" i="20" s="1"/>
  <c r="BG178" i="20"/>
  <c r="BF178" i="20"/>
  <c r="BE178" i="20"/>
  <c r="AZ178" i="20"/>
  <c r="AY178" i="20"/>
  <c r="AT178" i="20"/>
  <c r="AS178" i="20"/>
  <c r="AU178" i="20" s="1"/>
  <c r="AN178" i="20"/>
  <c r="AM178" i="20"/>
  <c r="AL178" i="20"/>
  <c r="AK178" i="20"/>
  <c r="AH178" i="20"/>
  <c r="AF178" i="20"/>
  <c r="AE178" i="20"/>
  <c r="AD178" i="20"/>
  <c r="AC178" i="20"/>
  <c r="AB178" i="20"/>
  <c r="AA178" i="20"/>
  <c r="AJ178" i="20" s="1"/>
  <c r="BG177" i="20"/>
  <c r="BF177" i="20"/>
  <c r="BE177" i="20"/>
  <c r="AZ177" i="20"/>
  <c r="AY177" i="20"/>
  <c r="AT177" i="20"/>
  <c r="AS177" i="20"/>
  <c r="AU177" i="20" s="1"/>
  <c r="AN177" i="20"/>
  <c r="AM177" i="20"/>
  <c r="AL177" i="20"/>
  <c r="AK177" i="20"/>
  <c r="AH177" i="20"/>
  <c r="AF177" i="20"/>
  <c r="AE177" i="20"/>
  <c r="AD177" i="20"/>
  <c r="AC177" i="20"/>
  <c r="AB177" i="20"/>
  <c r="AA177" i="20"/>
  <c r="AJ177" i="20" s="1"/>
  <c r="BG176" i="20"/>
  <c r="BF176" i="20"/>
  <c r="BE176" i="20"/>
  <c r="AZ176" i="20"/>
  <c r="BD176" i="20" s="1"/>
  <c r="AY176" i="20"/>
  <c r="AT176" i="20"/>
  <c r="AS176" i="20"/>
  <c r="AU176" i="20" s="1"/>
  <c r="AN176" i="20"/>
  <c r="AM176" i="20"/>
  <c r="AL176" i="20"/>
  <c r="AK176" i="20"/>
  <c r="AH176" i="20"/>
  <c r="AF176" i="20"/>
  <c r="AE176" i="20"/>
  <c r="AD176" i="20"/>
  <c r="AC176" i="20"/>
  <c r="AB176" i="20"/>
  <c r="AA176" i="20"/>
  <c r="AJ176" i="20" s="1"/>
  <c r="BA176" i="20" s="1"/>
  <c r="BG175" i="20"/>
  <c r="BF175" i="20"/>
  <c r="BE175" i="20"/>
  <c r="AZ175" i="20"/>
  <c r="BD175" i="20" s="1"/>
  <c r="AY175" i="20"/>
  <c r="AT175" i="20"/>
  <c r="AS175" i="20"/>
  <c r="AU175" i="20" s="1"/>
  <c r="AN175" i="20"/>
  <c r="AM175" i="20"/>
  <c r="AL175" i="20"/>
  <c r="AK175" i="20"/>
  <c r="AH175" i="20"/>
  <c r="AF175" i="20"/>
  <c r="AE175" i="20"/>
  <c r="AD175" i="20"/>
  <c r="AC175" i="20"/>
  <c r="AB175" i="20"/>
  <c r="AA175" i="20"/>
  <c r="AJ175" i="20" s="1"/>
  <c r="BG174" i="20"/>
  <c r="BF174" i="20"/>
  <c r="BE174" i="20"/>
  <c r="AZ174" i="20"/>
  <c r="BD174" i="20" s="1"/>
  <c r="AY174" i="20"/>
  <c r="AT174" i="20"/>
  <c r="AS174" i="20"/>
  <c r="AU174" i="20" s="1"/>
  <c r="AN174" i="20"/>
  <c r="AM174" i="20"/>
  <c r="AL174" i="20"/>
  <c r="AK174" i="20"/>
  <c r="AH174" i="20"/>
  <c r="AF174" i="20"/>
  <c r="AE174" i="20"/>
  <c r="AD174" i="20"/>
  <c r="AC174" i="20"/>
  <c r="AB174" i="20"/>
  <c r="AA174" i="20"/>
  <c r="AJ174" i="20" s="1"/>
  <c r="BA174" i="20" s="1"/>
  <c r="BG173" i="20"/>
  <c r="BF173" i="20"/>
  <c r="BE173" i="20"/>
  <c r="AZ173" i="20"/>
  <c r="BD173" i="20" s="1"/>
  <c r="AY173" i="20"/>
  <c r="AT173" i="20"/>
  <c r="AS173" i="20"/>
  <c r="AU173" i="20" s="1"/>
  <c r="AN173" i="20"/>
  <c r="AM173" i="20"/>
  <c r="AL173" i="20"/>
  <c r="AK173" i="20"/>
  <c r="AH173" i="20"/>
  <c r="AF173" i="20"/>
  <c r="AE173" i="20"/>
  <c r="AD173" i="20"/>
  <c r="AC173" i="20"/>
  <c r="AB173" i="20"/>
  <c r="AA173" i="20"/>
  <c r="AJ173" i="20" s="1"/>
  <c r="BA173" i="20" s="1"/>
  <c r="BG172" i="20"/>
  <c r="BF172" i="20"/>
  <c r="BE172" i="20"/>
  <c r="AZ172" i="20"/>
  <c r="AY172" i="20"/>
  <c r="AT172" i="20"/>
  <c r="AS172" i="20"/>
  <c r="AU172" i="20" s="1"/>
  <c r="AN172" i="20"/>
  <c r="AM172" i="20"/>
  <c r="AL172" i="20"/>
  <c r="AK172" i="20"/>
  <c r="AH172" i="20"/>
  <c r="AF172" i="20"/>
  <c r="AE172" i="20"/>
  <c r="AD172" i="20"/>
  <c r="AC172" i="20"/>
  <c r="AB172" i="20"/>
  <c r="AA172" i="20"/>
  <c r="AJ172" i="20" s="1"/>
  <c r="BA172" i="20" s="1"/>
  <c r="BG171" i="20"/>
  <c r="BF171" i="20"/>
  <c r="BE171" i="20"/>
  <c r="AZ171" i="20"/>
  <c r="AY171" i="20"/>
  <c r="AT171" i="20"/>
  <c r="AS171" i="20"/>
  <c r="AU171" i="20" s="1"/>
  <c r="AN171" i="20"/>
  <c r="AM171" i="20"/>
  <c r="AL171" i="20"/>
  <c r="AK171" i="20"/>
  <c r="AH171" i="20"/>
  <c r="AF171" i="20"/>
  <c r="AE171" i="20"/>
  <c r="AD171" i="20"/>
  <c r="AC171" i="20"/>
  <c r="AB171" i="20"/>
  <c r="AA171" i="20"/>
  <c r="AJ171" i="20" s="1"/>
  <c r="BA171" i="20" s="1"/>
  <c r="BG170" i="20"/>
  <c r="BF170" i="20"/>
  <c r="BE170" i="20"/>
  <c r="AZ170" i="20"/>
  <c r="AY170" i="20"/>
  <c r="AT170" i="20"/>
  <c r="AS170" i="20"/>
  <c r="AU170" i="20" s="1"/>
  <c r="AN170" i="20"/>
  <c r="AM170" i="20"/>
  <c r="AL170" i="20"/>
  <c r="AK170" i="20"/>
  <c r="AH170" i="20"/>
  <c r="AF170" i="20"/>
  <c r="AE170" i="20"/>
  <c r="AD170" i="20"/>
  <c r="AC170" i="20"/>
  <c r="AB170" i="20"/>
  <c r="AA170" i="20"/>
  <c r="AJ170" i="20" s="1"/>
  <c r="BG169" i="20"/>
  <c r="BF169" i="20"/>
  <c r="BE169" i="20"/>
  <c r="AZ169" i="20"/>
  <c r="AY169" i="20"/>
  <c r="AT169" i="20"/>
  <c r="AS169" i="20"/>
  <c r="AU169" i="20" s="1"/>
  <c r="AN169" i="20"/>
  <c r="AM169" i="20"/>
  <c r="AL169" i="20"/>
  <c r="AK169" i="20"/>
  <c r="AH169" i="20"/>
  <c r="AF169" i="20"/>
  <c r="AE169" i="20"/>
  <c r="AD169" i="20"/>
  <c r="AC169" i="20"/>
  <c r="AB169" i="20"/>
  <c r="AA169" i="20"/>
  <c r="AJ169" i="20" s="1"/>
  <c r="BA169" i="20" s="1"/>
  <c r="BG168" i="20"/>
  <c r="BF168" i="20"/>
  <c r="BE168" i="20"/>
  <c r="AZ168" i="20"/>
  <c r="BD168" i="20" s="1"/>
  <c r="AY168" i="20"/>
  <c r="AT168" i="20"/>
  <c r="AS168" i="20"/>
  <c r="AU168" i="20" s="1"/>
  <c r="AN168" i="20"/>
  <c r="AM168" i="20"/>
  <c r="AL168" i="20"/>
  <c r="AK168" i="20"/>
  <c r="AH168" i="20"/>
  <c r="AF168" i="20"/>
  <c r="AE168" i="20"/>
  <c r="AD168" i="20"/>
  <c r="AC168" i="20"/>
  <c r="AB168" i="20"/>
  <c r="AA168" i="20"/>
  <c r="AJ168" i="20" s="1"/>
  <c r="BG167" i="20"/>
  <c r="BF167" i="20"/>
  <c r="BE167" i="20"/>
  <c r="AZ167" i="20"/>
  <c r="BD167" i="20" s="1"/>
  <c r="AY167" i="20"/>
  <c r="AT167" i="20"/>
  <c r="AS167" i="20"/>
  <c r="AU167" i="20" s="1"/>
  <c r="AN167" i="20"/>
  <c r="AM167" i="20"/>
  <c r="AL167" i="20"/>
  <c r="AK167" i="20"/>
  <c r="AH167" i="20"/>
  <c r="AF167" i="20"/>
  <c r="AE167" i="20"/>
  <c r="AD167" i="20"/>
  <c r="AC167" i="20"/>
  <c r="AB167" i="20"/>
  <c r="AA167" i="20"/>
  <c r="AJ167" i="20" s="1"/>
  <c r="BA167" i="20" s="1"/>
  <c r="BG166" i="20"/>
  <c r="BF166" i="20"/>
  <c r="BE166" i="20"/>
  <c r="AZ166" i="20"/>
  <c r="BD166" i="20" s="1"/>
  <c r="AY166" i="20"/>
  <c r="AT166" i="20"/>
  <c r="AS166" i="20"/>
  <c r="AU166" i="20" s="1"/>
  <c r="AN166" i="20"/>
  <c r="AM166" i="20"/>
  <c r="AL166" i="20"/>
  <c r="AK166" i="20"/>
  <c r="AH166" i="20"/>
  <c r="AF166" i="20"/>
  <c r="AE166" i="20"/>
  <c r="AD166" i="20"/>
  <c r="AC166" i="20"/>
  <c r="AB166" i="20"/>
  <c r="AA166" i="20"/>
  <c r="AJ166" i="20" s="1"/>
  <c r="BA166" i="20" s="1"/>
  <c r="BG165" i="20"/>
  <c r="BF165" i="20"/>
  <c r="BE165" i="20"/>
  <c r="AZ165" i="20"/>
  <c r="BD165" i="20" s="1"/>
  <c r="AY165" i="20"/>
  <c r="AT165" i="20"/>
  <c r="AS165" i="20"/>
  <c r="AU165" i="20" s="1"/>
  <c r="AN165" i="20"/>
  <c r="AM165" i="20"/>
  <c r="AL165" i="20"/>
  <c r="AK165" i="20"/>
  <c r="AH165" i="20"/>
  <c r="AF165" i="20"/>
  <c r="AE165" i="20"/>
  <c r="AD165" i="20"/>
  <c r="AC165" i="20"/>
  <c r="AB165" i="20"/>
  <c r="AA165" i="20"/>
  <c r="AJ165" i="20" s="1"/>
  <c r="BA165" i="20" s="1"/>
  <c r="BG164" i="20"/>
  <c r="BF164" i="20"/>
  <c r="BE164" i="20"/>
  <c r="AZ164" i="20"/>
  <c r="BD164" i="20" s="1"/>
  <c r="AY164" i="20"/>
  <c r="AT164" i="20"/>
  <c r="AS164" i="20"/>
  <c r="AU164" i="20" s="1"/>
  <c r="AN164" i="20"/>
  <c r="AM164" i="20"/>
  <c r="AL164" i="20"/>
  <c r="AK164" i="20"/>
  <c r="AH164" i="20"/>
  <c r="AF164" i="20"/>
  <c r="AE164" i="20"/>
  <c r="AD164" i="20"/>
  <c r="AC164" i="20"/>
  <c r="AB164" i="20"/>
  <c r="AA164" i="20"/>
  <c r="AJ164" i="20" s="1"/>
  <c r="BA164" i="20" s="1"/>
  <c r="BG163" i="20"/>
  <c r="BF163" i="20"/>
  <c r="BE163" i="20"/>
  <c r="AZ163" i="20"/>
  <c r="AY163" i="20"/>
  <c r="AT163" i="20"/>
  <c r="AS163" i="20"/>
  <c r="AU163" i="20" s="1"/>
  <c r="AN163" i="20"/>
  <c r="AM163" i="20"/>
  <c r="AL163" i="20"/>
  <c r="AK163" i="20"/>
  <c r="AH163" i="20"/>
  <c r="AF163" i="20"/>
  <c r="AE163" i="20"/>
  <c r="AD163" i="20"/>
  <c r="AC163" i="20"/>
  <c r="AB163" i="20"/>
  <c r="AA163" i="20"/>
  <c r="AJ163" i="20" s="1"/>
  <c r="BA163" i="20" s="1"/>
  <c r="BG162" i="20"/>
  <c r="BF162" i="20"/>
  <c r="BE162" i="20"/>
  <c r="AZ162" i="20"/>
  <c r="AY162" i="20"/>
  <c r="AT162" i="20"/>
  <c r="AS162" i="20"/>
  <c r="AU162" i="20" s="1"/>
  <c r="AN162" i="20"/>
  <c r="AM162" i="20"/>
  <c r="AL162" i="20"/>
  <c r="AK162" i="20"/>
  <c r="AH162" i="20"/>
  <c r="AF162" i="20"/>
  <c r="AE162" i="20"/>
  <c r="AD162" i="20"/>
  <c r="AC162" i="20"/>
  <c r="AB162" i="20"/>
  <c r="AA162" i="20"/>
  <c r="AJ162" i="20" s="1"/>
  <c r="BG161" i="20"/>
  <c r="BF161" i="20"/>
  <c r="BE161" i="20"/>
  <c r="AZ161" i="20"/>
  <c r="AY161" i="20"/>
  <c r="AT161" i="20"/>
  <c r="AS161" i="20"/>
  <c r="AU161" i="20" s="1"/>
  <c r="AN161" i="20"/>
  <c r="AM161" i="20"/>
  <c r="AL161" i="20"/>
  <c r="AK161" i="20"/>
  <c r="AH161" i="20"/>
  <c r="AF161" i="20"/>
  <c r="AE161" i="20"/>
  <c r="AD161" i="20"/>
  <c r="AC161" i="20"/>
  <c r="AB161" i="20"/>
  <c r="AA161" i="20"/>
  <c r="AJ161" i="20" s="1"/>
  <c r="BG160" i="20"/>
  <c r="BF160" i="20"/>
  <c r="BE160" i="20"/>
  <c r="AZ160" i="20"/>
  <c r="BD160" i="20" s="1"/>
  <c r="AY160" i="20"/>
  <c r="AT160" i="20"/>
  <c r="AS160" i="20"/>
  <c r="AU160" i="20" s="1"/>
  <c r="AN160" i="20"/>
  <c r="AM160" i="20"/>
  <c r="AL160" i="20"/>
  <c r="AK160" i="20"/>
  <c r="AH160" i="20"/>
  <c r="AF160" i="20"/>
  <c r="AE160" i="20"/>
  <c r="AD160" i="20"/>
  <c r="AC160" i="20"/>
  <c r="AB160" i="20"/>
  <c r="AA160" i="20"/>
  <c r="AJ160" i="20" s="1"/>
  <c r="BG159" i="20"/>
  <c r="BF159" i="20"/>
  <c r="BE159" i="20"/>
  <c r="AZ159" i="20"/>
  <c r="BD159" i="20" s="1"/>
  <c r="AY159" i="20"/>
  <c r="AT159" i="20"/>
  <c r="AS159" i="20"/>
  <c r="AU159" i="20" s="1"/>
  <c r="AN159" i="20"/>
  <c r="AM159" i="20"/>
  <c r="AL159" i="20"/>
  <c r="AK159" i="20"/>
  <c r="AH159" i="20"/>
  <c r="AF159" i="20"/>
  <c r="AE159" i="20"/>
  <c r="AD159" i="20"/>
  <c r="AC159" i="20"/>
  <c r="AB159" i="20"/>
  <c r="AA159" i="20"/>
  <c r="AJ159" i="20" s="1"/>
  <c r="BA159" i="20" s="1"/>
  <c r="BG158" i="20"/>
  <c r="BF158" i="20"/>
  <c r="BE158" i="20"/>
  <c r="AZ158" i="20"/>
  <c r="BD158" i="20" s="1"/>
  <c r="AY158" i="20"/>
  <c r="AT158" i="20"/>
  <c r="AS158" i="20"/>
  <c r="AU158" i="20" s="1"/>
  <c r="AN158" i="20"/>
  <c r="AM158" i="20"/>
  <c r="AL158" i="20"/>
  <c r="AK158" i="20"/>
  <c r="AH158" i="20"/>
  <c r="AF158" i="20"/>
  <c r="AE158" i="20"/>
  <c r="AD158" i="20"/>
  <c r="AC158" i="20"/>
  <c r="AB158" i="20"/>
  <c r="AA158" i="20"/>
  <c r="AJ158" i="20" s="1"/>
  <c r="BA158" i="20" s="1"/>
  <c r="BG157" i="20"/>
  <c r="BF157" i="20"/>
  <c r="BE157" i="20"/>
  <c r="AZ157" i="20"/>
  <c r="BD157" i="20" s="1"/>
  <c r="AY157" i="20"/>
  <c r="AT157" i="20"/>
  <c r="AS157" i="20"/>
  <c r="AU157" i="20" s="1"/>
  <c r="AN157" i="20"/>
  <c r="AM157" i="20"/>
  <c r="AL157" i="20"/>
  <c r="AK157" i="20"/>
  <c r="AH157" i="20"/>
  <c r="AF157" i="20"/>
  <c r="AE157" i="20"/>
  <c r="AD157" i="20"/>
  <c r="AC157" i="20"/>
  <c r="AB157" i="20"/>
  <c r="AA157" i="20"/>
  <c r="AJ157" i="20" s="1"/>
  <c r="BA157" i="20" s="1"/>
  <c r="BG156" i="20"/>
  <c r="BF156" i="20"/>
  <c r="BE156" i="20"/>
  <c r="AZ156" i="20"/>
  <c r="BD156" i="20" s="1"/>
  <c r="AY156" i="20"/>
  <c r="AT156" i="20"/>
  <c r="AS156" i="20"/>
  <c r="AU156" i="20" s="1"/>
  <c r="AN156" i="20"/>
  <c r="AM156" i="20"/>
  <c r="AL156" i="20"/>
  <c r="AK156" i="20"/>
  <c r="AH156" i="20"/>
  <c r="AF156" i="20"/>
  <c r="AE156" i="20"/>
  <c r="AD156" i="20"/>
  <c r="AC156" i="20"/>
  <c r="AB156" i="20"/>
  <c r="AA156" i="20"/>
  <c r="AJ156" i="20" s="1"/>
  <c r="BA156" i="20" s="1"/>
  <c r="BG155" i="20"/>
  <c r="BF155" i="20"/>
  <c r="BE155" i="20"/>
  <c r="AZ155" i="20"/>
  <c r="AY155" i="20"/>
  <c r="AT155" i="20"/>
  <c r="AS155" i="20"/>
  <c r="AU155" i="20" s="1"/>
  <c r="AN155" i="20"/>
  <c r="AM155" i="20"/>
  <c r="AL155" i="20"/>
  <c r="AK155" i="20"/>
  <c r="AH155" i="20"/>
  <c r="AF155" i="20"/>
  <c r="AE155" i="20"/>
  <c r="AD155" i="20"/>
  <c r="AC155" i="20"/>
  <c r="AB155" i="20"/>
  <c r="AA155" i="20"/>
  <c r="AJ155" i="20" s="1"/>
  <c r="BA155" i="20" s="1"/>
  <c r="BG154" i="20"/>
  <c r="BF154" i="20"/>
  <c r="BE154" i="20"/>
  <c r="AZ154" i="20"/>
  <c r="AY154" i="20"/>
  <c r="AT154" i="20"/>
  <c r="AS154" i="20"/>
  <c r="AU154" i="20" s="1"/>
  <c r="AN154" i="20"/>
  <c r="AM154" i="20"/>
  <c r="AL154" i="20"/>
  <c r="AK154" i="20"/>
  <c r="AH154" i="20"/>
  <c r="AF154" i="20"/>
  <c r="AE154" i="20"/>
  <c r="AD154" i="20"/>
  <c r="AC154" i="20"/>
  <c r="AB154" i="20"/>
  <c r="AA154" i="20"/>
  <c r="AJ154" i="20" s="1"/>
  <c r="BA154" i="20" s="1"/>
  <c r="BG153" i="20"/>
  <c r="BF153" i="20"/>
  <c r="BE153" i="20"/>
  <c r="AZ153" i="20"/>
  <c r="BD153" i="20" s="1"/>
  <c r="AY153" i="20"/>
  <c r="AT153" i="20"/>
  <c r="AS153" i="20"/>
  <c r="AU153" i="20" s="1"/>
  <c r="AN153" i="20"/>
  <c r="AM153" i="20"/>
  <c r="AL153" i="20"/>
  <c r="AK153" i="20"/>
  <c r="AH153" i="20"/>
  <c r="AF153" i="20"/>
  <c r="AE153" i="20"/>
  <c r="AD153" i="20"/>
  <c r="AC153" i="20"/>
  <c r="AB153" i="20"/>
  <c r="AA153" i="20"/>
  <c r="AJ153" i="20" s="1"/>
  <c r="BA153" i="20" s="1"/>
  <c r="BG152" i="20"/>
  <c r="BF152" i="20"/>
  <c r="BE152" i="20"/>
  <c r="AZ152" i="20"/>
  <c r="AY152" i="20"/>
  <c r="AT152" i="20"/>
  <c r="AS152" i="20"/>
  <c r="AU152" i="20" s="1"/>
  <c r="AN152" i="20"/>
  <c r="AM152" i="20"/>
  <c r="AL152" i="20"/>
  <c r="AK152" i="20"/>
  <c r="AH152" i="20"/>
  <c r="AF152" i="20"/>
  <c r="AE152" i="20"/>
  <c r="AD152" i="20"/>
  <c r="AC152" i="20"/>
  <c r="AB152" i="20"/>
  <c r="AA152" i="20"/>
  <c r="AJ152" i="20" s="1"/>
  <c r="BG151" i="20"/>
  <c r="BF151" i="20"/>
  <c r="BE151" i="20"/>
  <c r="AZ151" i="20"/>
  <c r="BD151" i="20" s="1"/>
  <c r="AY151" i="20"/>
  <c r="AT151" i="20"/>
  <c r="AS151" i="20"/>
  <c r="AU151" i="20" s="1"/>
  <c r="AN151" i="20"/>
  <c r="AM151" i="20"/>
  <c r="AL151" i="20"/>
  <c r="AK151" i="20"/>
  <c r="AH151" i="20"/>
  <c r="AF151" i="20"/>
  <c r="AE151" i="20"/>
  <c r="AD151" i="20"/>
  <c r="AC151" i="20"/>
  <c r="AB151" i="20"/>
  <c r="AA151" i="20"/>
  <c r="AJ151" i="20" s="1"/>
  <c r="BA151" i="20" s="1"/>
  <c r="BG150" i="20"/>
  <c r="BF150" i="20"/>
  <c r="BE150" i="20"/>
  <c r="AZ150" i="20"/>
  <c r="BD150" i="20" s="1"/>
  <c r="AY150" i="20"/>
  <c r="AT150" i="20"/>
  <c r="AS150" i="20"/>
  <c r="AU150" i="20" s="1"/>
  <c r="AN150" i="20"/>
  <c r="AM150" i="20"/>
  <c r="AL150" i="20"/>
  <c r="AK150" i="20"/>
  <c r="AH150" i="20"/>
  <c r="AF150" i="20"/>
  <c r="AE150" i="20"/>
  <c r="AD150" i="20"/>
  <c r="AC150" i="20"/>
  <c r="AB150" i="20"/>
  <c r="AA150" i="20"/>
  <c r="AJ150" i="20" s="1"/>
  <c r="BA150" i="20" s="1"/>
  <c r="BG149" i="20"/>
  <c r="BF149" i="20"/>
  <c r="BE149" i="20"/>
  <c r="AZ149" i="20"/>
  <c r="BD149" i="20" s="1"/>
  <c r="AY149" i="20"/>
  <c r="AT149" i="20"/>
  <c r="AS149" i="20"/>
  <c r="AU149" i="20" s="1"/>
  <c r="AN149" i="20"/>
  <c r="AM149" i="20"/>
  <c r="AL149" i="20"/>
  <c r="AK149" i="20"/>
  <c r="AH149" i="20"/>
  <c r="AF149" i="20"/>
  <c r="AE149" i="20"/>
  <c r="AD149" i="20"/>
  <c r="AC149" i="20"/>
  <c r="AB149" i="20"/>
  <c r="AA149" i="20"/>
  <c r="AJ149" i="20" s="1"/>
  <c r="BG148" i="20"/>
  <c r="BF148" i="20"/>
  <c r="BE148" i="20"/>
  <c r="AZ148" i="20"/>
  <c r="BD148" i="20" s="1"/>
  <c r="AY148" i="20"/>
  <c r="AT148" i="20"/>
  <c r="AS148" i="20"/>
  <c r="AU148" i="20" s="1"/>
  <c r="AN148" i="20"/>
  <c r="AM148" i="20"/>
  <c r="AL148" i="20"/>
  <c r="AK148" i="20"/>
  <c r="AH148" i="20"/>
  <c r="AF148" i="20"/>
  <c r="AE148" i="20"/>
  <c r="AD148" i="20"/>
  <c r="AC148" i="20"/>
  <c r="AB148" i="20"/>
  <c r="AA148" i="20"/>
  <c r="AJ148" i="20" s="1"/>
  <c r="BA148" i="20" s="1"/>
  <c r="BG147" i="20"/>
  <c r="BF147" i="20"/>
  <c r="BE147" i="20"/>
  <c r="AZ147" i="20"/>
  <c r="AY147" i="20"/>
  <c r="AT147" i="20"/>
  <c r="AS147" i="20"/>
  <c r="AU147" i="20" s="1"/>
  <c r="AN147" i="20"/>
  <c r="AM147" i="20"/>
  <c r="AL147" i="20"/>
  <c r="AK147" i="20"/>
  <c r="AH147" i="20"/>
  <c r="AF147" i="20"/>
  <c r="AE147" i="20"/>
  <c r="AD147" i="20"/>
  <c r="AC147" i="20"/>
  <c r="AB147" i="20"/>
  <c r="AA147" i="20"/>
  <c r="AJ147" i="20" s="1"/>
  <c r="BG146" i="20"/>
  <c r="BF146" i="20"/>
  <c r="BE146" i="20"/>
  <c r="AZ146" i="20"/>
  <c r="AY146" i="20"/>
  <c r="AT146" i="20"/>
  <c r="AS146" i="20"/>
  <c r="AU146" i="20" s="1"/>
  <c r="AN146" i="20"/>
  <c r="AM146" i="20"/>
  <c r="AL146" i="20"/>
  <c r="AK146" i="20"/>
  <c r="AH146" i="20"/>
  <c r="AF146" i="20"/>
  <c r="AE146" i="20"/>
  <c r="AD146" i="20"/>
  <c r="AC146" i="20"/>
  <c r="AB146" i="20"/>
  <c r="AA146" i="20"/>
  <c r="AJ146" i="20" s="1"/>
  <c r="BG145" i="20"/>
  <c r="BF145" i="20"/>
  <c r="BE145" i="20"/>
  <c r="AZ145" i="20"/>
  <c r="BD145" i="20" s="1"/>
  <c r="AY145" i="20"/>
  <c r="AT145" i="20"/>
  <c r="AS145" i="20"/>
  <c r="AU145" i="20" s="1"/>
  <c r="AN145" i="20"/>
  <c r="AM145" i="20"/>
  <c r="AL145" i="20"/>
  <c r="AK145" i="20"/>
  <c r="AH145" i="20"/>
  <c r="AF145" i="20"/>
  <c r="AE145" i="20"/>
  <c r="AD145" i="20"/>
  <c r="AC145" i="20"/>
  <c r="AB145" i="20"/>
  <c r="AA145" i="20"/>
  <c r="AJ145" i="20" s="1"/>
  <c r="BG144" i="20"/>
  <c r="BF144" i="20"/>
  <c r="BE144" i="20"/>
  <c r="AZ144" i="20"/>
  <c r="BD144" i="20" s="1"/>
  <c r="AY144" i="20"/>
  <c r="AT144" i="20"/>
  <c r="AS144" i="20"/>
  <c r="AU144" i="20" s="1"/>
  <c r="AN144" i="20"/>
  <c r="AM144" i="20"/>
  <c r="AL144" i="20"/>
  <c r="AK144" i="20"/>
  <c r="AH144" i="20"/>
  <c r="AF144" i="20"/>
  <c r="AE144" i="20"/>
  <c r="AD144" i="20"/>
  <c r="AC144" i="20"/>
  <c r="AB144" i="20"/>
  <c r="AA144" i="20"/>
  <c r="AJ144" i="20" s="1"/>
  <c r="BA144" i="20" s="1"/>
  <c r="BG143" i="20"/>
  <c r="BF143" i="20"/>
  <c r="BE143" i="20"/>
  <c r="AZ143" i="20"/>
  <c r="BD143" i="20" s="1"/>
  <c r="AY143" i="20"/>
  <c r="AT143" i="20"/>
  <c r="AS143" i="20"/>
  <c r="AU143" i="20" s="1"/>
  <c r="AN143" i="20"/>
  <c r="AM143" i="20"/>
  <c r="AL143" i="20"/>
  <c r="AK143" i="20"/>
  <c r="AH143" i="20"/>
  <c r="AF143" i="20"/>
  <c r="AE143" i="20"/>
  <c r="AD143" i="20"/>
  <c r="AC143" i="20"/>
  <c r="AB143" i="20"/>
  <c r="AA143" i="20"/>
  <c r="AJ143" i="20" s="1"/>
  <c r="BA143" i="20" s="1"/>
  <c r="BG142" i="20"/>
  <c r="BF142" i="20"/>
  <c r="BE142" i="20"/>
  <c r="AZ142" i="20"/>
  <c r="BD142" i="20" s="1"/>
  <c r="AY142" i="20"/>
  <c r="AT142" i="20"/>
  <c r="AS142" i="20"/>
  <c r="AU142" i="20" s="1"/>
  <c r="AN142" i="20"/>
  <c r="AM142" i="20"/>
  <c r="AL142" i="20"/>
  <c r="AK142" i="20"/>
  <c r="AH142" i="20"/>
  <c r="AF142" i="20"/>
  <c r="AE142" i="20"/>
  <c r="AD142" i="20"/>
  <c r="AC142" i="20"/>
  <c r="AB142" i="20"/>
  <c r="AA142" i="20"/>
  <c r="AJ142" i="20" s="1"/>
  <c r="BA142" i="20" s="1"/>
  <c r="BG141" i="20"/>
  <c r="BF141" i="20"/>
  <c r="BE141" i="20"/>
  <c r="AZ141" i="20"/>
  <c r="BD141" i="20" s="1"/>
  <c r="AY141" i="20"/>
  <c r="AT141" i="20"/>
  <c r="AS141" i="20"/>
  <c r="AU141" i="20" s="1"/>
  <c r="AN141" i="20"/>
  <c r="AM141" i="20"/>
  <c r="AL141" i="20"/>
  <c r="AK141" i="20"/>
  <c r="AH141" i="20"/>
  <c r="AF141" i="20"/>
  <c r="AE141" i="20"/>
  <c r="AD141" i="20"/>
  <c r="AC141" i="20"/>
  <c r="AB141" i="20"/>
  <c r="AA141" i="20"/>
  <c r="AJ141" i="20" s="1"/>
  <c r="BA141" i="20" s="1"/>
  <c r="BG140" i="20"/>
  <c r="BF140" i="20"/>
  <c r="BE140" i="20"/>
  <c r="AZ140" i="20"/>
  <c r="AY140" i="20"/>
  <c r="AT140" i="20"/>
  <c r="AS140" i="20"/>
  <c r="AU140" i="20" s="1"/>
  <c r="AN140" i="20"/>
  <c r="AM140" i="20"/>
  <c r="AL140" i="20"/>
  <c r="AK140" i="20"/>
  <c r="AH140" i="20"/>
  <c r="AF140" i="20"/>
  <c r="AE140" i="20"/>
  <c r="AD140" i="20"/>
  <c r="AC140" i="20"/>
  <c r="AB140" i="20"/>
  <c r="AA140" i="20"/>
  <c r="AJ140" i="20" s="1"/>
  <c r="BA140" i="20" s="1"/>
  <c r="BG139" i="20"/>
  <c r="BF139" i="20"/>
  <c r="BE139" i="20"/>
  <c r="AZ139" i="20"/>
  <c r="AY139" i="20"/>
  <c r="AT139" i="20"/>
  <c r="AS139" i="20"/>
  <c r="AU139" i="20" s="1"/>
  <c r="AN139" i="20"/>
  <c r="AM139" i="20"/>
  <c r="AL139" i="20"/>
  <c r="AK139" i="20"/>
  <c r="AH139" i="20"/>
  <c r="AF139" i="20"/>
  <c r="AE139" i="20"/>
  <c r="AD139" i="20"/>
  <c r="AC139" i="20"/>
  <c r="AB139" i="20"/>
  <c r="AA139" i="20"/>
  <c r="AJ139" i="20" s="1"/>
  <c r="BG138" i="20"/>
  <c r="BF138" i="20"/>
  <c r="BE138" i="20"/>
  <c r="AZ138" i="20"/>
  <c r="AY138" i="20"/>
  <c r="AT138" i="20"/>
  <c r="AS138" i="20"/>
  <c r="AU138" i="20" s="1"/>
  <c r="AN138" i="20"/>
  <c r="AM138" i="20"/>
  <c r="AL138" i="20"/>
  <c r="AK138" i="20"/>
  <c r="AH138" i="20"/>
  <c r="AF138" i="20"/>
  <c r="AE138" i="20"/>
  <c r="AD138" i="20"/>
  <c r="AC138" i="20"/>
  <c r="AB138" i="20"/>
  <c r="AA138" i="20"/>
  <c r="AJ138" i="20" s="1"/>
  <c r="BG137" i="20"/>
  <c r="BF137" i="20"/>
  <c r="BE137" i="20"/>
  <c r="AZ137" i="20"/>
  <c r="BD137" i="20" s="1"/>
  <c r="AY137" i="20"/>
  <c r="AT137" i="20"/>
  <c r="AS137" i="20"/>
  <c r="AU137" i="20" s="1"/>
  <c r="AN137" i="20"/>
  <c r="AM137" i="20"/>
  <c r="AL137" i="20"/>
  <c r="AK137" i="20"/>
  <c r="AH137" i="20"/>
  <c r="AF137" i="20"/>
  <c r="AE137" i="20"/>
  <c r="AD137" i="20"/>
  <c r="AC137" i="20"/>
  <c r="AB137" i="20"/>
  <c r="AA137" i="20"/>
  <c r="AJ137" i="20" s="1"/>
  <c r="BG136" i="20"/>
  <c r="BF136" i="20"/>
  <c r="BE136" i="20"/>
  <c r="AZ136" i="20"/>
  <c r="BD136" i="20" s="1"/>
  <c r="AY136" i="20"/>
  <c r="AT136" i="20"/>
  <c r="AS136" i="20"/>
  <c r="AU136" i="20" s="1"/>
  <c r="AN136" i="20"/>
  <c r="AM136" i="20"/>
  <c r="AL136" i="20"/>
  <c r="AK136" i="20"/>
  <c r="AH136" i="20"/>
  <c r="AF136" i="20"/>
  <c r="AE136" i="20"/>
  <c r="AD136" i="20"/>
  <c r="AC136" i="20"/>
  <c r="AB136" i="20"/>
  <c r="AA136" i="20"/>
  <c r="AJ136" i="20" s="1"/>
  <c r="BG135" i="20"/>
  <c r="BF135" i="20"/>
  <c r="BE135" i="20"/>
  <c r="AZ135" i="20"/>
  <c r="BD135" i="20" s="1"/>
  <c r="AY135" i="20"/>
  <c r="AT135" i="20"/>
  <c r="AS135" i="20"/>
  <c r="AU135" i="20" s="1"/>
  <c r="AN135" i="20"/>
  <c r="AM135" i="20"/>
  <c r="AL135" i="20"/>
  <c r="AK135" i="20"/>
  <c r="AH135" i="20"/>
  <c r="AF135" i="20"/>
  <c r="AE135" i="20"/>
  <c r="AD135" i="20"/>
  <c r="AC135" i="20"/>
  <c r="AB135" i="20"/>
  <c r="AA135" i="20"/>
  <c r="AJ135" i="20" s="1"/>
  <c r="BA135" i="20" s="1"/>
  <c r="BG134" i="20"/>
  <c r="BF134" i="20"/>
  <c r="BE134" i="20"/>
  <c r="AZ134" i="20"/>
  <c r="BD134" i="20" s="1"/>
  <c r="AY134" i="20"/>
  <c r="AT134" i="20"/>
  <c r="AS134" i="20"/>
  <c r="AU134" i="20" s="1"/>
  <c r="AN134" i="20"/>
  <c r="AM134" i="20"/>
  <c r="AL134" i="20"/>
  <c r="AK134" i="20"/>
  <c r="AH134" i="20"/>
  <c r="AF134" i="20"/>
  <c r="AE134" i="20"/>
  <c r="AD134" i="20"/>
  <c r="AC134" i="20"/>
  <c r="AB134" i="20"/>
  <c r="AA134" i="20"/>
  <c r="AJ134" i="20" s="1"/>
  <c r="BA134" i="20" s="1"/>
  <c r="BG133" i="20"/>
  <c r="BF133" i="20"/>
  <c r="BE133" i="20"/>
  <c r="AZ133" i="20"/>
  <c r="BD133" i="20" s="1"/>
  <c r="AY133" i="20"/>
  <c r="AT133" i="20"/>
  <c r="AS133" i="20"/>
  <c r="AU133" i="20" s="1"/>
  <c r="AN133" i="20"/>
  <c r="AM133" i="20"/>
  <c r="AL133" i="20"/>
  <c r="AK133" i="20"/>
  <c r="AH133" i="20"/>
  <c r="AF133" i="20"/>
  <c r="AE133" i="20"/>
  <c r="AD133" i="20"/>
  <c r="AC133" i="20"/>
  <c r="AB133" i="20"/>
  <c r="AA133" i="20"/>
  <c r="AJ133" i="20" s="1"/>
  <c r="BG132" i="20"/>
  <c r="BF132" i="20"/>
  <c r="BE132" i="20"/>
  <c r="AZ132" i="20"/>
  <c r="AY132" i="20"/>
  <c r="AT132" i="20"/>
  <c r="AS132" i="20"/>
  <c r="AU132" i="20" s="1"/>
  <c r="AN132" i="20"/>
  <c r="AM132" i="20"/>
  <c r="AL132" i="20"/>
  <c r="AK132" i="20"/>
  <c r="AH132" i="20"/>
  <c r="AF132" i="20"/>
  <c r="AE132" i="20"/>
  <c r="AD132" i="20"/>
  <c r="AC132" i="20"/>
  <c r="AB132" i="20"/>
  <c r="AA132" i="20"/>
  <c r="AJ132" i="20" s="1"/>
  <c r="BA132" i="20" s="1"/>
  <c r="BG131" i="20"/>
  <c r="BF131" i="20"/>
  <c r="BE131" i="20"/>
  <c r="AZ131" i="20"/>
  <c r="AY131" i="20"/>
  <c r="AT131" i="20"/>
  <c r="AS131" i="20"/>
  <c r="AU131" i="20" s="1"/>
  <c r="AN131" i="20"/>
  <c r="AM131" i="20"/>
  <c r="AL131" i="20"/>
  <c r="AK131" i="20"/>
  <c r="AH131" i="20"/>
  <c r="AF131" i="20"/>
  <c r="AE131" i="20"/>
  <c r="AD131" i="20"/>
  <c r="AC131" i="20"/>
  <c r="AB131" i="20"/>
  <c r="AA131" i="20"/>
  <c r="AJ131" i="20" s="1"/>
  <c r="BG130" i="20"/>
  <c r="BF130" i="20"/>
  <c r="BE130" i="20"/>
  <c r="AZ130" i="20"/>
  <c r="AY130" i="20"/>
  <c r="AT130" i="20"/>
  <c r="AS130" i="20"/>
  <c r="AU130" i="20" s="1"/>
  <c r="AN130" i="20"/>
  <c r="AM130" i="20"/>
  <c r="AL130" i="20"/>
  <c r="AK130" i="20"/>
  <c r="AH130" i="20"/>
  <c r="AF130" i="20"/>
  <c r="AE130" i="20"/>
  <c r="AD130" i="20"/>
  <c r="AC130" i="20"/>
  <c r="AB130" i="20"/>
  <c r="AA130" i="20"/>
  <c r="AJ130" i="20" s="1"/>
  <c r="BG129" i="20"/>
  <c r="BF129" i="20"/>
  <c r="BE129" i="20"/>
  <c r="AZ129" i="20"/>
  <c r="BD129" i="20" s="1"/>
  <c r="AY129" i="20"/>
  <c r="AT129" i="20"/>
  <c r="AS129" i="20"/>
  <c r="AU129" i="20" s="1"/>
  <c r="AN129" i="20"/>
  <c r="AM129" i="20"/>
  <c r="AL129" i="20"/>
  <c r="AK129" i="20"/>
  <c r="AH129" i="20"/>
  <c r="AF129" i="20"/>
  <c r="AE129" i="20"/>
  <c r="AD129" i="20"/>
  <c r="AC129" i="20"/>
  <c r="AB129" i="20"/>
  <c r="AA129" i="20"/>
  <c r="AJ129" i="20" s="1"/>
  <c r="BG128" i="20"/>
  <c r="BF128" i="20"/>
  <c r="BE128" i="20"/>
  <c r="AZ128" i="20"/>
  <c r="BD128" i="20" s="1"/>
  <c r="AY128" i="20"/>
  <c r="AT128" i="20"/>
  <c r="AS128" i="20"/>
  <c r="AU128" i="20" s="1"/>
  <c r="AN128" i="20"/>
  <c r="AM128" i="20"/>
  <c r="AL128" i="20"/>
  <c r="AK128" i="20"/>
  <c r="AH128" i="20"/>
  <c r="AF128" i="20"/>
  <c r="AE128" i="20"/>
  <c r="AD128" i="20"/>
  <c r="AC128" i="20"/>
  <c r="AB128" i="20"/>
  <c r="AA128" i="20"/>
  <c r="AJ128" i="20" s="1"/>
  <c r="BG127" i="20"/>
  <c r="BF127" i="20"/>
  <c r="BE127" i="20"/>
  <c r="AZ127" i="20"/>
  <c r="AY127" i="20"/>
  <c r="AT127" i="20"/>
  <c r="AS127" i="20"/>
  <c r="AU127" i="20" s="1"/>
  <c r="AN127" i="20"/>
  <c r="AM127" i="20"/>
  <c r="AL127" i="20"/>
  <c r="AK127" i="20"/>
  <c r="AH127" i="20"/>
  <c r="AF127" i="20"/>
  <c r="AE127" i="20"/>
  <c r="AD127" i="20"/>
  <c r="AC127" i="20"/>
  <c r="AB127" i="20"/>
  <c r="AA127" i="20"/>
  <c r="AJ127" i="20" s="1"/>
  <c r="BA127" i="20" s="1"/>
  <c r="BG126" i="20"/>
  <c r="BF126" i="20"/>
  <c r="BE126" i="20"/>
  <c r="AZ126" i="20"/>
  <c r="BD126" i="20" s="1"/>
  <c r="AY126" i="20"/>
  <c r="AT126" i="20"/>
  <c r="AS126" i="20"/>
  <c r="AU126" i="20" s="1"/>
  <c r="AN126" i="20"/>
  <c r="AM126" i="20"/>
  <c r="AL126" i="20"/>
  <c r="AK126" i="20"/>
  <c r="AH126" i="20"/>
  <c r="AF126" i="20"/>
  <c r="AE126" i="20"/>
  <c r="AD126" i="20"/>
  <c r="AC126" i="20"/>
  <c r="AB126" i="20"/>
  <c r="AA126" i="20"/>
  <c r="AJ126" i="20" s="1"/>
  <c r="BA126" i="20" s="1"/>
  <c r="BG125" i="20"/>
  <c r="BF125" i="20"/>
  <c r="BE125" i="20"/>
  <c r="AZ125" i="20"/>
  <c r="BD125" i="20" s="1"/>
  <c r="AY125" i="20"/>
  <c r="AT125" i="20"/>
  <c r="AS125" i="20"/>
  <c r="AU125" i="20" s="1"/>
  <c r="AN125" i="20"/>
  <c r="AM125" i="20"/>
  <c r="AL125" i="20"/>
  <c r="AK125" i="20"/>
  <c r="AH125" i="20"/>
  <c r="AF125" i="20"/>
  <c r="AE125" i="20"/>
  <c r="AD125" i="20"/>
  <c r="AC125" i="20"/>
  <c r="AB125" i="20"/>
  <c r="AA125" i="20"/>
  <c r="AJ125" i="20" s="1"/>
  <c r="BA125" i="20" s="1"/>
  <c r="BG124" i="20"/>
  <c r="BF124" i="20"/>
  <c r="BE124" i="20"/>
  <c r="AZ124" i="20"/>
  <c r="AY124" i="20"/>
  <c r="AT124" i="20"/>
  <c r="AS124" i="20"/>
  <c r="AU124" i="20" s="1"/>
  <c r="AN124" i="20"/>
  <c r="AM124" i="20"/>
  <c r="AL124" i="20"/>
  <c r="AK124" i="20"/>
  <c r="AH124" i="20"/>
  <c r="AF124" i="20"/>
  <c r="AE124" i="20"/>
  <c r="AD124" i="20"/>
  <c r="AC124" i="20"/>
  <c r="AB124" i="20"/>
  <c r="AA124" i="20"/>
  <c r="AJ124" i="20" s="1"/>
  <c r="BA124" i="20" s="1"/>
  <c r="BG123" i="20"/>
  <c r="BF123" i="20"/>
  <c r="BE123" i="20"/>
  <c r="AZ123" i="20"/>
  <c r="AY123" i="20"/>
  <c r="AT123" i="20"/>
  <c r="AS123" i="20"/>
  <c r="AU123" i="20" s="1"/>
  <c r="AN123" i="20"/>
  <c r="AM123" i="20"/>
  <c r="AL123" i="20"/>
  <c r="AK123" i="20"/>
  <c r="AH123" i="20"/>
  <c r="AF123" i="20"/>
  <c r="AE123" i="20"/>
  <c r="AD123" i="20"/>
  <c r="AC123" i="20"/>
  <c r="AB123" i="20"/>
  <c r="AA123" i="20"/>
  <c r="AJ123" i="20" s="1"/>
  <c r="BG122" i="20"/>
  <c r="BF122" i="20"/>
  <c r="BE122" i="20"/>
  <c r="AZ122" i="20"/>
  <c r="AY122" i="20"/>
  <c r="AT122" i="20"/>
  <c r="AS122" i="20"/>
  <c r="AU122" i="20" s="1"/>
  <c r="AN122" i="20"/>
  <c r="AM122" i="20"/>
  <c r="AL122" i="20"/>
  <c r="AK122" i="20"/>
  <c r="AH122" i="20"/>
  <c r="AF122" i="20"/>
  <c r="AE122" i="20"/>
  <c r="AD122" i="20"/>
  <c r="AC122" i="20"/>
  <c r="AB122" i="20"/>
  <c r="AA122" i="20"/>
  <c r="AJ122" i="20" s="1"/>
  <c r="BA122" i="20" s="1"/>
  <c r="BG121" i="20"/>
  <c r="BF121" i="20"/>
  <c r="BE121" i="20"/>
  <c r="AZ121" i="20"/>
  <c r="BD121" i="20" s="1"/>
  <c r="AY121" i="20"/>
  <c r="AT121" i="20"/>
  <c r="AS121" i="20"/>
  <c r="AU121" i="20" s="1"/>
  <c r="AN121" i="20"/>
  <c r="AM121" i="20"/>
  <c r="AL121" i="20"/>
  <c r="AK121" i="20"/>
  <c r="AH121" i="20"/>
  <c r="AF121" i="20"/>
  <c r="AE121" i="20"/>
  <c r="AD121" i="20"/>
  <c r="AC121" i="20"/>
  <c r="AB121" i="20"/>
  <c r="AA121" i="20"/>
  <c r="AJ121" i="20" s="1"/>
  <c r="BG120" i="20"/>
  <c r="BF120" i="20"/>
  <c r="BE120" i="20"/>
  <c r="AZ120" i="20"/>
  <c r="BD120" i="20" s="1"/>
  <c r="AY120" i="20"/>
  <c r="AT120" i="20"/>
  <c r="AS120" i="20"/>
  <c r="AU120" i="20" s="1"/>
  <c r="AN120" i="20"/>
  <c r="AM120" i="20"/>
  <c r="AL120" i="20"/>
  <c r="AK120" i="20"/>
  <c r="AH120" i="20"/>
  <c r="AF120" i="20"/>
  <c r="AE120" i="20"/>
  <c r="AD120" i="20"/>
  <c r="AC120" i="20"/>
  <c r="AB120" i="20"/>
  <c r="AA120" i="20"/>
  <c r="AJ120" i="20" s="1"/>
  <c r="BA120" i="20" s="1"/>
  <c r="BG119" i="20"/>
  <c r="BF119" i="20"/>
  <c r="BE119" i="20"/>
  <c r="AZ119" i="20"/>
  <c r="BD119" i="20" s="1"/>
  <c r="AY119" i="20"/>
  <c r="AT119" i="20"/>
  <c r="AS119" i="20"/>
  <c r="AU119" i="20" s="1"/>
  <c r="AN119" i="20"/>
  <c r="AM119" i="20"/>
  <c r="AL119" i="20"/>
  <c r="AK119" i="20"/>
  <c r="AH119" i="20"/>
  <c r="AF119" i="20"/>
  <c r="AE119" i="20"/>
  <c r="AD119" i="20"/>
  <c r="AC119" i="20"/>
  <c r="AB119" i="20"/>
  <c r="AA119" i="20"/>
  <c r="AJ119" i="20" s="1"/>
  <c r="BA119" i="20" s="1"/>
  <c r="BG118" i="20"/>
  <c r="BF118" i="20"/>
  <c r="BE118" i="20"/>
  <c r="AZ118" i="20"/>
  <c r="AY118" i="20"/>
  <c r="AT118" i="20"/>
  <c r="AS118" i="20"/>
  <c r="AU118" i="20" s="1"/>
  <c r="AN118" i="20"/>
  <c r="AM118" i="20"/>
  <c r="AL118" i="20"/>
  <c r="AK118" i="20"/>
  <c r="AH118" i="20"/>
  <c r="AF118" i="20"/>
  <c r="AE118" i="20"/>
  <c r="AD118" i="20"/>
  <c r="AC118" i="20"/>
  <c r="AB118" i="20"/>
  <c r="AA118" i="20"/>
  <c r="AJ118" i="20" s="1"/>
  <c r="BA118" i="20" s="1"/>
  <c r="BG117" i="20"/>
  <c r="BF117" i="20"/>
  <c r="BE117" i="20"/>
  <c r="AZ117" i="20"/>
  <c r="BD117" i="20" s="1"/>
  <c r="AY117" i="20"/>
  <c r="AT117" i="20"/>
  <c r="AS117" i="20"/>
  <c r="AU117" i="20" s="1"/>
  <c r="AN117" i="20"/>
  <c r="AM117" i="20"/>
  <c r="AL117" i="20"/>
  <c r="AK117" i="20"/>
  <c r="AH117" i="20"/>
  <c r="AF117" i="20"/>
  <c r="AE117" i="20"/>
  <c r="AD117" i="20"/>
  <c r="AC117" i="20"/>
  <c r="AB117" i="20"/>
  <c r="AA117" i="20"/>
  <c r="AJ117" i="20" s="1"/>
  <c r="BG116" i="20"/>
  <c r="BF116" i="20"/>
  <c r="BE116" i="20"/>
  <c r="AZ116" i="20"/>
  <c r="AY116" i="20"/>
  <c r="AT116" i="20"/>
  <c r="AS116" i="20"/>
  <c r="AU116" i="20" s="1"/>
  <c r="AN116" i="20"/>
  <c r="AM116" i="20"/>
  <c r="AL116" i="20"/>
  <c r="AK116" i="20"/>
  <c r="AH116" i="20"/>
  <c r="AF116" i="20"/>
  <c r="AE116" i="20"/>
  <c r="AD116" i="20"/>
  <c r="AC116" i="20"/>
  <c r="AB116" i="20"/>
  <c r="AA116" i="20"/>
  <c r="AJ116" i="20" s="1"/>
  <c r="BG115" i="20"/>
  <c r="BF115" i="20"/>
  <c r="BE115" i="20"/>
  <c r="AZ115" i="20"/>
  <c r="AY115" i="20"/>
  <c r="AT115" i="20"/>
  <c r="AS115" i="20"/>
  <c r="AU115" i="20" s="1"/>
  <c r="AN115" i="20"/>
  <c r="AM115" i="20"/>
  <c r="AL115" i="20"/>
  <c r="AK115" i="20"/>
  <c r="AH115" i="20"/>
  <c r="AF115" i="20"/>
  <c r="AE115" i="20"/>
  <c r="AD115" i="20"/>
  <c r="AC115" i="20"/>
  <c r="AB115" i="20"/>
  <c r="AA115" i="20"/>
  <c r="AJ115" i="20" s="1"/>
  <c r="BG114" i="20"/>
  <c r="BF114" i="20"/>
  <c r="BE114" i="20"/>
  <c r="AZ114" i="20"/>
  <c r="AY114" i="20"/>
  <c r="AT114" i="20"/>
  <c r="AS114" i="20"/>
  <c r="AU114" i="20" s="1"/>
  <c r="AN114" i="20"/>
  <c r="AM114" i="20"/>
  <c r="AL114" i="20"/>
  <c r="AK114" i="20"/>
  <c r="AH114" i="20"/>
  <c r="AF114" i="20"/>
  <c r="AE114" i="20"/>
  <c r="AD114" i="20"/>
  <c r="AC114" i="20"/>
  <c r="AB114" i="20"/>
  <c r="AA114" i="20"/>
  <c r="AJ114" i="20" s="1"/>
  <c r="BG113" i="20"/>
  <c r="BF113" i="20"/>
  <c r="BE113" i="20"/>
  <c r="AZ113" i="20"/>
  <c r="BD113" i="20" s="1"/>
  <c r="AY113" i="20"/>
  <c r="AT113" i="20"/>
  <c r="AS113" i="20"/>
  <c r="AU113" i="20" s="1"/>
  <c r="AN113" i="20"/>
  <c r="AM113" i="20"/>
  <c r="AL113" i="20"/>
  <c r="AK113" i="20"/>
  <c r="AH113" i="20"/>
  <c r="AF113" i="20"/>
  <c r="AE113" i="20"/>
  <c r="AD113" i="20"/>
  <c r="AC113" i="20"/>
  <c r="AB113" i="20"/>
  <c r="AA113" i="20"/>
  <c r="AJ113" i="20" s="1"/>
  <c r="BG112" i="20"/>
  <c r="BF112" i="20"/>
  <c r="BE112" i="20"/>
  <c r="AZ112" i="20"/>
  <c r="BD112" i="20" s="1"/>
  <c r="AY112" i="20"/>
  <c r="AT112" i="20"/>
  <c r="AS112" i="20"/>
  <c r="AU112" i="20" s="1"/>
  <c r="AN112" i="20"/>
  <c r="AM112" i="20"/>
  <c r="AL112" i="20"/>
  <c r="AK112" i="20"/>
  <c r="AH112" i="20"/>
  <c r="AF112" i="20"/>
  <c r="AE112" i="20"/>
  <c r="AD112" i="20"/>
  <c r="AC112" i="20"/>
  <c r="AB112" i="20"/>
  <c r="AA112" i="20"/>
  <c r="AJ112" i="20" s="1"/>
  <c r="BG111" i="20"/>
  <c r="BF111" i="20"/>
  <c r="BE111" i="20"/>
  <c r="AZ111" i="20"/>
  <c r="BD111" i="20" s="1"/>
  <c r="AY111" i="20"/>
  <c r="AT111" i="20"/>
  <c r="AS111" i="20"/>
  <c r="AU111" i="20" s="1"/>
  <c r="AN111" i="20"/>
  <c r="AM111" i="20"/>
  <c r="AL111" i="20"/>
  <c r="AK111" i="20"/>
  <c r="AH111" i="20"/>
  <c r="AF111" i="20"/>
  <c r="AE111" i="20"/>
  <c r="AD111" i="20"/>
  <c r="AC111" i="20"/>
  <c r="AB111" i="20"/>
  <c r="AA111" i="20"/>
  <c r="AJ111" i="20" s="1"/>
  <c r="BA111" i="20" s="1"/>
  <c r="BG110" i="20"/>
  <c r="BF110" i="20"/>
  <c r="BE110" i="20"/>
  <c r="AZ110" i="20"/>
  <c r="BD110" i="20" s="1"/>
  <c r="AY110" i="20"/>
  <c r="AT110" i="20"/>
  <c r="AS110" i="20"/>
  <c r="AU110" i="20" s="1"/>
  <c r="AN110" i="20"/>
  <c r="AM110" i="20"/>
  <c r="AL110" i="20"/>
  <c r="AK110" i="20"/>
  <c r="AH110" i="20"/>
  <c r="AF110" i="20"/>
  <c r="AE110" i="20"/>
  <c r="AD110" i="20"/>
  <c r="AC110" i="20"/>
  <c r="AB110" i="20"/>
  <c r="AA110" i="20"/>
  <c r="AJ110" i="20" s="1"/>
  <c r="BA110" i="20" s="1"/>
  <c r="BG109" i="20"/>
  <c r="BF109" i="20"/>
  <c r="BE109" i="20"/>
  <c r="AZ109" i="20"/>
  <c r="BD109" i="20" s="1"/>
  <c r="AY109" i="20"/>
  <c r="AT109" i="20"/>
  <c r="AS109" i="20"/>
  <c r="AU109" i="20" s="1"/>
  <c r="AN109" i="20"/>
  <c r="AM109" i="20"/>
  <c r="AL109" i="20"/>
  <c r="AK109" i="20"/>
  <c r="AH109" i="20"/>
  <c r="AF109" i="20"/>
  <c r="AE109" i="20"/>
  <c r="AD109" i="20"/>
  <c r="AC109" i="20"/>
  <c r="AB109" i="20"/>
  <c r="AA109" i="20"/>
  <c r="AJ109" i="20" s="1"/>
  <c r="BA109" i="20" s="1"/>
  <c r="BG108" i="20"/>
  <c r="BF108" i="20"/>
  <c r="BE108" i="20"/>
  <c r="AZ108" i="20"/>
  <c r="AY108" i="20"/>
  <c r="AT108" i="20"/>
  <c r="AS108" i="20"/>
  <c r="AU108" i="20" s="1"/>
  <c r="AN108" i="20"/>
  <c r="AM108" i="20"/>
  <c r="AL108" i="20"/>
  <c r="AK108" i="20"/>
  <c r="AH108" i="20"/>
  <c r="AF108" i="20"/>
  <c r="AE108" i="20"/>
  <c r="AD108" i="20"/>
  <c r="AC108" i="20"/>
  <c r="AB108" i="20"/>
  <c r="AA108" i="20"/>
  <c r="AJ108" i="20" s="1"/>
  <c r="BA108" i="20" s="1"/>
  <c r="BG107" i="20"/>
  <c r="BF107" i="20"/>
  <c r="BE107" i="20"/>
  <c r="AZ107" i="20"/>
  <c r="AY107" i="20"/>
  <c r="AT107" i="20"/>
  <c r="AS107" i="20"/>
  <c r="AU107" i="20" s="1"/>
  <c r="AN107" i="20"/>
  <c r="AM107" i="20"/>
  <c r="AL107" i="20"/>
  <c r="AK107" i="20"/>
  <c r="AH107" i="20"/>
  <c r="AF107" i="20"/>
  <c r="AE107" i="20"/>
  <c r="AD107" i="20"/>
  <c r="AC107" i="20"/>
  <c r="AB107" i="20"/>
  <c r="AA107" i="20"/>
  <c r="AJ107" i="20" s="1"/>
  <c r="BG106" i="20"/>
  <c r="BF106" i="20"/>
  <c r="BE106" i="20"/>
  <c r="AZ106" i="20"/>
  <c r="AY106" i="20"/>
  <c r="AT106" i="20"/>
  <c r="AS106" i="20"/>
  <c r="AU106" i="20" s="1"/>
  <c r="AN106" i="20"/>
  <c r="AM106" i="20"/>
  <c r="AL106" i="20"/>
  <c r="AK106" i="20"/>
  <c r="AH106" i="20"/>
  <c r="AF106" i="20"/>
  <c r="AE106" i="20"/>
  <c r="AD106" i="20"/>
  <c r="AC106" i="20"/>
  <c r="AB106" i="20"/>
  <c r="AA106" i="20"/>
  <c r="AJ106" i="20" s="1"/>
  <c r="BG105" i="20"/>
  <c r="BF105" i="20"/>
  <c r="BE105" i="20"/>
  <c r="AZ105" i="20"/>
  <c r="BD105" i="20" s="1"/>
  <c r="AY105" i="20"/>
  <c r="AT105" i="20"/>
  <c r="AS105" i="20"/>
  <c r="AU105" i="20" s="1"/>
  <c r="AN105" i="20"/>
  <c r="AM105" i="20"/>
  <c r="AL105" i="20"/>
  <c r="AK105" i="20"/>
  <c r="AH105" i="20"/>
  <c r="AF105" i="20"/>
  <c r="AE105" i="20"/>
  <c r="AD105" i="20"/>
  <c r="AC105" i="20"/>
  <c r="AB105" i="20"/>
  <c r="AA105" i="20"/>
  <c r="AJ105" i="20" s="1"/>
  <c r="BG104" i="20"/>
  <c r="BF104" i="20"/>
  <c r="BE104" i="20"/>
  <c r="AZ104" i="20"/>
  <c r="BD104" i="20" s="1"/>
  <c r="AY104" i="20"/>
  <c r="AT104" i="20"/>
  <c r="AS104" i="20"/>
  <c r="AU104" i="20" s="1"/>
  <c r="AN104" i="20"/>
  <c r="AM104" i="20"/>
  <c r="AL104" i="20"/>
  <c r="AK104" i="20"/>
  <c r="AH104" i="20"/>
  <c r="AF104" i="20"/>
  <c r="AE104" i="20"/>
  <c r="AD104" i="20"/>
  <c r="AC104" i="20"/>
  <c r="AB104" i="20"/>
  <c r="AA104" i="20"/>
  <c r="AJ104" i="20" s="1"/>
  <c r="BG103" i="20"/>
  <c r="BF103" i="20"/>
  <c r="BE103" i="20"/>
  <c r="AZ103" i="20"/>
  <c r="BD103" i="20" s="1"/>
  <c r="AY103" i="20"/>
  <c r="AT103" i="20"/>
  <c r="AS103" i="20"/>
  <c r="AU103" i="20" s="1"/>
  <c r="AN103" i="20"/>
  <c r="AM103" i="20"/>
  <c r="AL103" i="20"/>
  <c r="AK103" i="20"/>
  <c r="AH103" i="20"/>
  <c r="AF103" i="20"/>
  <c r="AE103" i="20"/>
  <c r="AD103" i="20"/>
  <c r="AC103" i="20"/>
  <c r="AB103" i="20"/>
  <c r="AA103" i="20"/>
  <c r="AJ103" i="20" s="1"/>
  <c r="BA103" i="20" s="1"/>
  <c r="BG102" i="20"/>
  <c r="BF102" i="20"/>
  <c r="BE102" i="20"/>
  <c r="AZ102" i="20"/>
  <c r="AY102" i="20"/>
  <c r="AT102" i="20"/>
  <c r="AS102" i="20"/>
  <c r="AU102" i="20" s="1"/>
  <c r="AN102" i="20"/>
  <c r="AM102" i="20"/>
  <c r="AL102" i="20"/>
  <c r="AK102" i="20"/>
  <c r="AH102" i="20"/>
  <c r="AF102" i="20"/>
  <c r="AE102" i="20"/>
  <c r="AD102" i="20"/>
  <c r="AC102" i="20"/>
  <c r="AB102" i="20"/>
  <c r="AA102" i="20"/>
  <c r="AJ102" i="20" s="1"/>
  <c r="BA102" i="20" s="1"/>
  <c r="BG101" i="20"/>
  <c r="BF101" i="20"/>
  <c r="BE101" i="20"/>
  <c r="AZ101" i="20"/>
  <c r="BD101" i="20" s="1"/>
  <c r="AY101" i="20"/>
  <c r="AT101" i="20"/>
  <c r="AS101" i="20"/>
  <c r="AU101" i="20" s="1"/>
  <c r="AN101" i="20"/>
  <c r="AM101" i="20"/>
  <c r="AL101" i="20"/>
  <c r="AK101" i="20"/>
  <c r="AH101" i="20"/>
  <c r="AF101" i="20"/>
  <c r="AE101" i="20"/>
  <c r="AD101" i="20"/>
  <c r="AC101" i="20"/>
  <c r="AB101" i="20"/>
  <c r="AA101" i="20"/>
  <c r="AJ101" i="20" s="1"/>
  <c r="BA101" i="20" s="1"/>
  <c r="BG100" i="20"/>
  <c r="BF100" i="20"/>
  <c r="BE100" i="20"/>
  <c r="AZ100" i="20"/>
  <c r="AY100" i="20"/>
  <c r="AT100" i="20"/>
  <c r="AS100" i="20"/>
  <c r="AU100" i="20" s="1"/>
  <c r="AN100" i="20"/>
  <c r="AM100" i="20"/>
  <c r="AL100" i="20"/>
  <c r="AK100" i="20"/>
  <c r="AH100" i="20"/>
  <c r="AF100" i="20"/>
  <c r="AE100" i="20"/>
  <c r="AD100" i="20"/>
  <c r="AC100" i="20"/>
  <c r="AB100" i="20"/>
  <c r="AA100" i="20"/>
  <c r="AJ100" i="20" s="1"/>
  <c r="BA100" i="20" s="1"/>
  <c r="BG99" i="20"/>
  <c r="BF99" i="20"/>
  <c r="BE99" i="20"/>
  <c r="AZ99" i="20"/>
  <c r="AY99" i="20"/>
  <c r="AT99" i="20"/>
  <c r="AS99" i="20"/>
  <c r="AU99" i="20" s="1"/>
  <c r="AN99" i="20"/>
  <c r="AM99" i="20"/>
  <c r="AL99" i="20"/>
  <c r="AK99" i="20"/>
  <c r="AH99" i="20"/>
  <c r="AF99" i="20"/>
  <c r="AE99" i="20"/>
  <c r="AD99" i="20"/>
  <c r="AC99" i="20"/>
  <c r="AB99" i="20"/>
  <c r="AA99" i="20"/>
  <c r="AJ99" i="20" s="1"/>
  <c r="BG98" i="20"/>
  <c r="BF98" i="20"/>
  <c r="BE98" i="20"/>
  <c r="AZ98" i="20"/>
  <c r="AY98" i="20"/>
  <c r="AT98" i="20"/>
  <c r="AS98" i="20"/>
  <c r="AU98" i="20" s="1"/>
  <c r="AN98" i="20"/>
  <c r="AM98" i="20"/>
  <c r="AL98" i="20"/>
  <c r="AK98" i="20"/>
  <c r="AH98" i="20"/>
  <c r="AF98" i="20"/>
  <c r="AE98" i="20"/>
  <c r="AD98" i="20"/>
  <c r="AC98" i="20"/>
  <c r="AB98" i="20"/>
  <c r="AA98" i="20"/>
  <c r="AJ98" i="20" s="1"/>
  <c r="BA98" i="20" s="1"/>
  <c r="BG97" i="20"/>
  <c r="BF97" i="20"/>
  <c r="BE97" i="20"/>
  <c r="AZ97" i="20"/>
  <c r="BD97" i="20" s="1"/>
  <c r="AY97" i="20"/>
  <c r="AT97" i="20"/>
  <c r="AS97" i="20"/>
  <c r="AU97" i="20" s="1"/>
  <c r="AN97" i="20"/>
  <c r="AM97" i="20"/>
  <c r="AL97" i="20"/>
  <c r="AK97" i="20"/>
  <c r="AH97" i="20"/>
  <c r="AF97" i="20"/>
  <c r="AE97" i="20"/>
  <c r="AD97" i="20"/>
  <c r="AC97" i="20"/>
  <c r="AB97" i="20"/>
  <c r="AA97" i="20"/>
  <c r="AJ97" i="20" s="1"/>
  <c r="BG96" i="20"/>
  <c r="BF96" i="20"/>
  <c r="BE96" i="20"/>
  <c r="AZ96" i="20"/>
  <c r="BD96" i="20" s="1"/>
  <c r="AY96" i="20"/>
  <c r="AT96" i="20"/>
  <c r="AS96" i="20"/>
  <c r="AU96" i="20" s="1"/>
  <c r="AN96" i="20"/>
  <c r="AM96" i="20"/>
  <c r="AL96" i="20"/>
  <c r="AK96" i="20"/>
  <c r="AH96" i="20"/>
  <c r="AF96" i="20"/>
  <c r="AE96" i="20"/>
  <c r="AD96" i="20"/>
  <c r="AC96" i="20"/>
  <c r="AB96" i="20"/>
  <c r="AA96" i="20"/>
  <c r="AJ96" i="20" s="1"/>
  <c r="BG95" i="20"/>
  <c r="BF95" i="20"/>
  <c r="BE95" i="20"/>
  <c r="AZ95" i="20"/>
  <c r="BD95" i="20" s="1"/>
  <c r="AY95" i="20"/>
  <c r="AT95" i="20"/>
  <c r="AS95" i="20"/>
  <c r="AU95" i="20" s="1"/>
  <c r="AN95" i="20"/>
  <c r="AM95" i="20"/>
  <c r="AL95" i="20"/>
  <c r="AK95" i="20"/>
  <c r="AH95" i="20"/>
  <c r="AF95" i="20"/>
  <c r="AE95" i="20"/>
  <c r="AD95" i="20"/>
  <c r="AC95" i="20"/>
  <c r="AB95" i="20"/>
  <c r="AA95" i="20"/>
  <c r="AJ95" i="20" s="1"/>
  <c r="BA95" i="20" s="1"/>
  <c r="BG94" i="20"/>
  <c r="BF94" i="20"/>
  <c r="BE94" i="20"/>
  <c r="AZ94" i="20"/>
  <c r="BD94" i="20" s="1"/>
  <c r="AY94" i="20"/>
  <c r="AT94" i="20"/>
  <c r="AS94" i="20"/>
  <c r="AU94" i="20" s="1"/>
  <c r="AN94" i="20"/>
  <c r="AM94" i="20"/>
  <c r="AL94" i="20"/>
  <c r="AK94" i="20"/>
  <c r="AH94" i="20"/>
  <c r="AF94" i="20"/>
  <c r="AE94" i="20"/>
  <c r="AD94" i="20"/>
  <c r="AC94" i="20"/>
  <c r="AB94" i="20"/>
  <c r="AA94" i="20"/>
  <c r="AJ94" i="20" s="1"/>
  <c r="BA94" i="20" s="1"/>
  <c r="BG93" i="20"/>
  <c r="BF93" i="20"/>
  <c r="BE93" i="20"/>
  <c r="AZ93" i="20"/>
  <c r="BD93" i="20" s="1"/>
  <c r="AY93" i="20"/>
  <c r="AT93" i="20"/>
  <c r="AS93" i="20"/>
  <c r="AU93" i="20" s="1"/>
  <c r="AN93" i="20"/>
  <c r="AM93" i="20"/>
  <c r="AL93" i="20"/>
  <c r="AK93" i="20"/>
  <c r="AH93" i="20"/>
  <c r="AF93" i="20"/>
  <c r="AE93" i="20"/>
  <c r="AD93" i="20"/>
  <c r="AC93" i="20"/>
  <c r="AB93" i="20"/>
  <c r="AA93" i="20"/>
  <c r="AJ93" i="20" s="1"/>
  <c r="BA93" i="20" s="1"/>
  <c r="BG92" i="20"/>
  <c r="BF92" i="20"/>
  <c r="BE92" i="20"/>
  <c r="AZ92" i="20"/>
  <c r="AY92" i="20"/>
  <c r="AT92" i="20"/>
  <c r="AS92" i="20"/>
  <c r="AU92" i="20" s="1"/>
  <c r="AN92" i="20"/>
  <c r="AM92" i="20"/>
  <c r="AL92" i="20"/>
  <c r="AK92" i="20"/>
  <c r="AH92" i="20"/>
  <c r="AF92" i="20"/>
  <c r="AE92" i="20"/>
  <c r="AD92" i="20"/>
  <c r="AC92" i="20"/>
  <c r="AB92" i="20"/>
  <c r="AA92" i="20"/>
  <c r="AJ92" i="20" s="1"/>
  <c r="BG91" i="20"/>
  <c r="BF91" i="20"/>
  <c r="BE91" i="20"/>
  <c r="AZ91" i="20"/>
  <c r="AY91" i="20"/>
  <c r="AT91" i="20"/>
  <c r="AS91" i="20"/>
  <c r="AU91" i="20" s="1"/>
  <c r="AN91" i="20"/>
  <c r="AM91" i="20"/>
  <c r="AL91" i="20"/>
  <c r="AK91" i="20"/>
  <c r="AH91" i="20"/>
  <c r="AF91" i="20"/>
  <c r="AE91" i="20"/>
  <c r="AD91" i="20"/>
  <c r="AC91" i="20"/>
  <c r="AB91" i="20"/>
  <c r="AA91" i="20"/>
  <c r="AJ91" i="20" s="1"/>
  <c r="BG90" i="20"/>
  <c r="BF90" i="20"/>
  <c r="BE90" i="20"/>
  <c r="AZ90" i="20"/>
  <c r="AY90" i="20"/>
  <c r="AT90" i="20"/>
  <c r="AS90" i="20"/>
  <c r="AU90" i="20" s="1"/>
  <c r="AN90" i="20"/>
  <c r="AM90" i="20"/>
  <c r="AL90" i="20"/>
  <c r="AK90" i="20"/>
  <c r="AH90" i="20"/>
  <c r="AF90" i="20"/>
  <c r="AE90" i="20"/>
  <c r="AD90" i="20"/>
  <c r="AC90" i="20"/>
  <c r="AB90" i="20"/>
  <c r="AA90" i="20"/>
  <c r="AJ90" i="20" s="1"/>
  <c r="BA90" i="20" s="1"/>
  <c r="BG89" i="20"/>
  <c r="BF89" i="20"/>
  <c r="BE89" i="20"/>
  <c r="AZ89" i="20"/>
  <c r="BD89" i="20" s="1"/>
  <c r="AY89" i="20"/>
  <c r="AT89" i="20"/>
  <c r="AS89" i="20"/>
  <c r="AU89" i="20" s="1"/>
  <c r="AN89" i="20"/>
  <c r="AM89" i="20"/>
  <c r="AL89" i="20"/>
  <c r="AK89" i="20"/>
  <c r="AH89" i="20"/>
  <c r="AF89" i="20"/>
  <c r="AE89" i="20"/>
  <c r="AD89" i="20"/>
  <c r="AC89" i="20"/>
  <c r="AB89" i="20"/>
  <c r="AA89" i="20"/>
  <c r="AJ89" i="20" s="1"/>
  <c r="BG88" i="20"/>
  <c r="BF88" i="20"/>
  <c r="BE88" i="20"/>
  <c r="AZ88" i="20"/>
  <c r="BD88" i="20" s="1"/>
  <c r="AY88" i="20"/>
  <c r="AT88" i="20"/>
  <c r="AS88" i="20"/>
  <c r="AU88" i="20" s="1"/>
  <c r="AN88" i="20"/>
  <c r="AM88" i="20"/>
  <c r="AL88" i="20"/>
  <c r="AK88" i="20"/>
  <c r="AH88" i="20"/>
  <c r="AF88" i="20"/>
  <c r="AE88" i="20"/>
  <c r="AD88" i="20"/>
  <c r="AC88" i="20"/>
  <c r="AB88" i="20"/>
  <c r="AA88" i="20"/>
  <c r="AJ88" i="20" s="1"/>
  <c r="BG87" i="20"/>
  <c r="BF87" i="20"/>
  <c r="BE87" i="20"/>
  <c r="AZ87" i="20"/>
  <c r="AY87" i="20"/>
  <c r="AT87" i="20"/>
  <c r="AS87" i="20"/>
  <c r="AU87" i="20" s="1"/>
  <c r="AN87" i="20"/>
  <c r="AM87" i="20"/>
  <c r="AL87" i="20"/>
  <c r="AK87" i="20"/>
  <c r="AH87" i="20"/>
  <c r="AF87" i="20"/>
  <c r="AE87" i="20"/>
  <c r="AD87" i="20"/>
  <c r="AC87" i="20"/>
  <c r="AB87" i="20"/>
  <c r="AA87" i="20"/>
  <c r="AJ87" i="20" s="1"/>
  <c r="BA87" i="20" s="1"/>
  <c r="BG86" i="20"/>
  <c r="BF86" i="20"/>
  <c r="BE86" i="20"/>
  <c r="AZ86" i="20"/>
  <c r="BD86" i="20" s="1"/>
  <c r="AY86" i="20"/>
  <c r="AT86" i="20"/>
  <c r="AS86" i="20"/>
  <c r="AU86" i="20" s="1"/>
  <c r="AN86" i="20"/>
  <c r="AM86" i="20"/>
  <c r="AL86" i="20"/>
  <c r="AK86" i="20"/>
  <c r="AH86" i="20"/>
  <c r="AF86" i="20"/>
  <c r="AE86" i="20"/>
  <c r="AD86" i="20"/>
  <c r="AC86" i="20"/>
  <c r="AB86" i="20"/>
  <c r="AA86" i="20"/>
  <c r="AJ86" i="20" s="1"/>
  <c r="BA86" i="20" s="1"/>
  <c r="BG85" i="20"/>
  <c r="BF85" i="20"/>
  <c r="BE85" i="20"/>
  <c r="AZ85" i="20"/>
  <c r="BD85" i="20" s="1"/>
  <c r="AY85" i="20"/>
  <c r="AT85" i="20"/>
  <c r="AS85" i="20"/>
  <c r="AU85" i="20" s="1"/>
  <c r="AN85" i="20"/>
  <c r="AM85" i="20"/>
  <c r="AL85" i="20"/>
  <c r="AK85" i="20"/>
  <c r="AH85" i="20"/>
  <c r="AF85" i="20"/>
  <c r="AE85" i="20"/>
  <c r="AD85" i="20"/>
  <c r="AC85" i="20"/>
  <c r="AB85" i="20"/>
  <c r="AA85" i="20"/>
  <c r="AJ85" i="20" s="1"/>
  <c r="BG84" i="20"/>
  <c r="BF84" i="20"/>
  <c r="BE84" i="20"/>
  <c r="AZ84" i="20"/>
  <c r="AY84" i="20"/>
  <c r="AT84" i="20"/>
  <c r="AS84" i="20"/>
  <c r="AU84" i="20" s="1"/>
  <c r="AN84" i="20"/>
  <c r="AM84" i="20"/>
  <c r="AL84" i="20"/>
  <c r="AK84" i="20"/>
  <c r="AH84" i="20"/>
  <c r="AF84" i="20"/>
  <c r="AE84" i="20"/>
  <c r="AD84" i="20"/>
  <c r="AC84" i="20"/>
  <c r="AB84" i="20"/>
  <c r="AA84" i="20"/>
  <c r="AJ84" i="20" s="1"/>
  <c r="BG83" i="20"/>
  <c r="BF83" i="20"/>
  <c r="BE83" i="20"/>
  <c r="AZ83" i="20"/>
  <c r="AY83" i="20"/>
  <c r="AT83" i="20"/>
  <c r="AS83" i="20"/>
  <c r="AU83" i="20" s="1"/>
  <c r="AN83" i="20"/>
  <c r="AM83" i="20"/>
  <c r="AL83" i="20"/>
  <c r="AK83" i="20"/>
  <c r="AH83" i="20"/>
  <c r="AF83" i="20"/>
  <c r="AE83" i="20"/>
  <c r="AD83" i="20"/>
  <c r="AC83" i="20"/>
  <c r="AB83" i="20"/>
  <c r="AA83" i="20"/>
  <c r="AJ83" i="20" s="1"/>
  <c r="BA83" i="20" s="1"/>
  <c r="BG82" i="20"/>
  <c r="BF82" i="20"/>
  <c r="BE82" i="20"/>
  <c r="AZ82" i="20"/>
  <c r="BD82" i="20" s="1"/>
  <c r="AY82" i="20"/>
  <c r="AT82" i="20"/>
  <c r="AS82" i="20"/>
  <c r="AU82" i="20" s="1"/>
  <c r="AN82" i="20"/>
  <c r="AM82" i="20"/>
  <c r="AL82" i="20"/>
  <c r="AK82" i="20"/>
  <c r="AH82" i="20"/>
  <c r="AF82" i="20"/>
  <c r="AE82" i="20"/>
  <c r="AD82" i="20"/>
  <c r="AC82" i="20"/>
  <c r="AB82" i="20"/>
  <c r="AA82" i="20"/>
  <c r="AJ82" i="20" s="1"/>
  <c r="BA82" i="20" s="1"/>
  <c r="BG81" i="20"/>
  <c r="BF81" i="20"/>
  <c r="BE81" i="20"/>
  <c r="AZ81" i="20"/>
  <c r="AY81" i="20"/>
  <c r="AT81" i="20"/>
  <c r="AS81" i="20"/>
  <c r="AU81" i="20" s="1"/>
  <c r="AN81" i="20"/>
  <c r="AM81" i="20"/>
  <c r="AL81" i="20"/>
  <c r="AK81" i="20"/>
  <c r="AH81" i="20"/>
  <c r="AF81" i="20"/>
  <c r="AE81" i="20"/>
  <c r="AD81" i="20"/>
  <c r="AC81" i="20"/>
  <c r="AB81" i="20"/>
  <c r="AA81" i="20"/>
  <c r="AJ81" i="20" s="1"/>
  <c r="BA81" i="20" s="1"/>
  <c r="BG80" i="20"/>
  <c r="BF80" i="20"/>
  <c r="BE80" i="20"/>
  <c r="AZ80" i="20"/>
  <c r="BD80" i="20" s="1"/>
  <c r="AY80" i="20"/>
  <c r="AT80" i="20"/>
  <c r="AS80" i="20"/>
  <c r="AU80" i="20" s="1"/>
  <c r="AN80" i="20"/>
  <c r="AM80" i="20"/>
  <c r="AL80" i="20"/>
  <c r="AK80" i="20"/>
  <c r="AH80" i="20"/>
  <c r="AF80" i="20"/>
  <c r="AE80" i="20"/>
  <c r="AD80" i="20"/>
  <c r="AC80" i="20"/>
  <c r="AB80" i="20"/>
  <c r="AA80" i="20"/>
  <c r="AJ80" i="20" s="1"/>
  <c r="BA80" i="20" s="1"/>
  <c r="BG79" i="20"/>
  <c r="BF79" i="20"/>
  <c r="BE79" i="20"/>
  <c r="AZ79" i="20"/>
  <c r="AY79" i="20"/>
  <c r="AT79" i="20"/>
  <c r="AS79" i="20"/>
  <c r="AU79" i="20" s="1"/>
  <c r="AN79" i="20"/>
  <c r="AM79" i="20"/>
  <c r="AL79" i="20"/>
  <c r="AK79" i="20"/>
  <c r="AH79" i="20"/>
  <c r="AF79" i="20"/>
  <c r="AE79" i="20"/>
  <c r="AD79" i="20"/>
  <c r="AC79" i="20"/>
  <c r="AB79" i="20"/>
  <c r="AA79" i="20"/>
  <c r="AJ79" i="20" s="1"/>
  <c r="BA79" i="20" s="1"/>
  <c r="BG78" i="20"/>
  <c r="BF78" i="20"/>
  <c r="BE78" i="20"/>
  <c r="AZ78" i="20"/>
  <c r="AY78" i="20"/>
  <c r="AT78" i="20"/>
  <c r="AS78" i="20"/>
  <c r="AU78" i="20" s="1"/>
  <c r="AN78" i="20"/>
  <c r="AM78" i="20"/>
  <c r="AL78" i="20"/>
  <c r="AK78" i="20"/>
  <c r="AH78" i="20"/>
  <c r="AF78" i="20"/>
  <c r="AE78" i="20"/>
  <c r="AD78" i="20"/>
  <c r="AC78" i="20"/>
  <c r="AB78" i="20"/>
  <c r="AA78" i="20"/>
  <c r="AJ78" i="20" s="1"/>
  <c r="BA78" i="20" s="1"/>
  <c r="BG77" i="20"/>
  <c r="BF77" i="20"/>
  <c r="BE77" i="20"/>
  <c r="AZ77" i="20"/>
  <c r="BD77" i="20" s="1"/>
  <c r="AY77" i="20"/>
  <c r="AT77" i="20"/>
  <c r="AS77" i="20"/>
  <c r="AU77" i="20" s="1"/>
  <c r="AN77" i="20"/>
  <c r="AM77" i="20"/>
  <c r="AL77" i="20"/>
  <c r="AK77" i="20"/>
  <c r="AH77" i="20"/>
  <c r="AF77" i="20"/>
  <c r="AE77" i="20"/>
  <c r="AD77" i="20"/>
  <c r="AC77" i="20"/>
  <c r="AB77" i="20"/>
  <c r="AA77" i="20"/>
  <c r="AJ77" i="20" s="1"/>
  <c r="BG76" i="20"/>
  <c r="BF76" i="20"/>
  <c r="BE76" i="20"/>
  <c r="AZ76" i="20"/>
  <c r="BD76" i="20" s="1"/>
  <c r="AY76" i="20"/>
  <c r="AT76" i="20"/>
  <c r="AS76" i="20"/>
  <c r="AU76" i="20" s="1"/>
  <c r="AN76" i="20"/>
  <c r="AM76" i="20"/>
  <c r="AL76" i="20"/>
  <c r="AK76" i="20"/>
  <c r="AH76" i="20"/>
  <c r="AF76" i="20"/>
  <c r="AE76" i="20"/>
  <c r="AD76" i="20"/>
  <c r="AC76" i="20"/>
  <c r="AB76" i="20"/>
  <c r="AA76" i="20"/>
  <c r="AJ76" i="20" s="1"/>
  <c r="BG75" i="20"/>
  <c r="BF75" i="20"/>
  <c r="BE75" i="20"/>
  <c r="AZ75" i="20"/>
  <c r="BD75" i="20" s="1"/>
  <c r="AY75" i="20"/>
  <c r="AT75" i="20"/>
  <c r="AS75" i="20"/>
  <c r="AU75" i="20" s="1"/>
  <c r="AN75" i="20"/>
  <c r="AM75" i="20"/>
  <c r="AL75" i="20"/>
  <c r="AK75" i="20"/>
  <c r="AH75" i="20"/>
  <c r="AF75" i="20"/>
  <c r="AE75" i="20"/>
  <c r="AD75" i="20"/>
  <c r="AC75" i="20"/>
  <c r="AB75" i="20"/>
  <c r="AA75" i="20"/>
  <c r="AJ75" i="20" s="1"/>
  <c r="BG74" i="20"/>
  <c r="BF74" i="20"/>
  <c r="BE74" i="20"/>
  <c r="AZ74" i="20"/>
  <c r="BD74" i="20" s="1"/>
  <c r="AY74" i="20"/>
  <c r="AT74" i="20"/>
  <c r="AS74" i="20"/>
  <c r="AU74" i="20" s="1"/>
  <c r="AN74" i="20"/>
  <c r="AM74" i="20"/>
  <c r="AL74" i="20"/>
  <c r="AK74" i="20"/>
  <c r="AH74" i="20"/>
  <c r="AF74" i="20"/>
  <c r="AE74" i="20"/>
  <c r="AD74" i="20"/>
  <c r="AC74" i="20"/>
  <c r="AB74" i="20"/>
  <c r="AA74" i="20"/>
  <c r="AJ74" i="20" s="1"/>
  <c r="BA74" i="20" s="1"/>
  <c r="BG73" i="20"/>
  <c r="BF73" i="20"/>
  <c r="BE73" i="20"/>
  <c r="AZ73" i="20"/>
  <c r="BD73" i="20" s="1"/>
  <c r="AY73" i="20"/>
  <c r="AT73" i="20"/>
  <c r="AS73" i="20"/>
  <c r="AU73" i="20" s="1"/>
  <c r="AN73" i="20"/>
  <c r="AM73" i="20"/>
  <c r="AL73" i="20"/>
  <c r="AK73" i="20"/>
  <c r="AH73" i="20"/>
  <c r="AF73" i="20"/>
  <c r="AE73" i="20"/>
  <c r="AD73" i="20"/>
  <c r="AC73" i="20"/>
  <c r="AB73" i="20"/>
  <c r="AA73" i="20"/>
  <c r="AJ73" i="20" s="1"/>
  <c r="BA73" i="20" s="1"/>
  <c r="BG72" i="20"/>
  <c r="BF72" i="20"/>
  <c r="BE72" i="20"/>
  <c r="AZ72" i="20"/>
  <c r="BD72" i="20" s="1"/>
  <c r="AY72" i="20"/>
  <c r="AT72" i="20"/>
  <c r="AS72" i="20"/>
  <c r="AU72" i="20" s="1"/>
  <c r="AN72" i="20"/>
  <c r="AM72" i="20"/>
  <c r="AL72" i="20"/>
  <c r="AK72" i="20"/>
  <c r="AH72" i="20"/>
  <c r="AF72" i="20"/>
  <c r="AE72" i="20"/>
  <c r="AD72" i="20"/>
  <c r="AC72" i="20"/>
  <c r="AB72" i="20"/>
  <c r="AA72" i="20"/>
  <c r="AJ72" i="20" s="1"/>
  <c r="BA72" i="20" s="1"/>
  <c r="BG71" i="20"/>
  <c r="BF71" i="20"/>
  <c r="BE71" i="20"/>
  <c r="AZ71" i="20"/>
  <c r="AY71" i="20"/>
  <c r="AT71" i="20"/>
  <c r="AS71" i="20"/>
  <c r="AU71" i="20" s="1"/>
  <c r="AN71" i="20"/>
  <c r="AM71" i="20"/>
  <c r="AL71" i="20"/>
  <c r="AK71" i="20"/>
  <c r="AH71" i="20"/>
  <c r="AF71" i="20"/>
  <c r="AE71" i="20"/>
  <c r="AD71" i="20"/>
  <c r="AC71" i="20"/>
  <c r="AB71" i="20"/>
  <c r="AA71" i="20"/>
  <c r="AJ71" i="20" s="1"/>
  <c r="BA71" i="20" s="1"/>
  <c r="BG70" i="20"/>
  <c r="BF70" i="20"/>
  <c r="BE70" i="20"/>
  <c r="AZ70" i="20"/>
  <c r="AY70" i="20"/>
  <c r="AT70" i="20"/>
  <c r="AS70" i="20"/>
  <c r="AU70" i="20" s="1"/>
  <c r="AN70" i="20"/>
  <c r="AM70" i="20"/>
  <c r="AL70" i="20"/>
  <c r="AK70" i="20"/>
  <c r="AH70" i="20"/>
  <c r="AF70" i="20"/>
  <c r="AE70" i="20"/>
  <c r="AD70" i="20"/>
  <c r="AC70" i="20"/>
  <c r="AB70" i="20"/>
  <c r="AA70" i="20"/>
  <c r="AJ70" i="20" s="1"/>
  <c r="BA70" i="20" s="1"/>
  <c r="BG69" i="20"/>
  <c r="BF69" i="20"/>
  <c r="BE69" i="20"/>
  <c r="AZ69" i="20"/>
  <c r="BD69" i="20" s="1"/>
  <c r="AY69" i="20"/>
  <c r="AT69" i="20"/>
  <c r="AS69" i="20"/>
  <c r="AU69" i="20" s="1"/>
  <c r="AN69" i="20"/>
  <c r="AM69" i="20"/>
  <c r="AL69" i="20"/>
  <c r="AK69" i="20"/>
  <c r="AH69" i="20"/>
  <c r="AF69" i="20"/>
  <c r="AE69" i="20"/>
  <c r="AD69" i="20"/>
  <c r="AC69" i="20"/>
  <c r="AB69" i="20"/>
  <c r="AA69" i="20"/>
  <c r="AJ69" i="20" s="1"/>
  <c r="BG68" i="20"/>
  <c r="BF68" i="20"/>
  <c r="BE68" i="20"/>
  <c r="AZ68" i="20"/>
  <c r="BD68" i="20" s="1"/>
  <c r="AY68" i="20"/>
  <c r="AT68" i="20"/>
  <c r="AS68" i="20"/>
  <c r="AU68" i="20" s="1"/>
  <c r="AN68" i="20"/>
  <c r="AM68" i="20"/>
  <c r="AL68" i="20"/>
  <c r="AK68" i="20"/>
  <c r="AH68" i="20"/>
  <c r="AF68" i="20"/>
  <c r="AE68" i="20"/>
  <c r="AD68" i="20"/>
  <c r="AC68" i="20"/>
  <c r="AB68" i="20"/>
  <c r="AA68" i="20"/>
  <c r="AJ68" i="20" s="1"/>
  <c r="BG67" i="20"/>
  <c r="BF67" i="20"/>
  <c r="BE67" i="20"/>
  <c r="AZ67" i="20"/>
  <c r="BD67" i="20" s="1"/>
  <c r="AY67" i="20"/>
  <c r="AT67" i="20"/>
  <c r="AS67" i="20"/>
  <c r="AU67" i="20" s="1"/>
  <c r="AN67" i="20"/>
  <c r="AM67" i="20"/>
  <c r="AL67" i="20"/>
  <c r="AK67" i="20"/>
  <c r="AH67" i="20"/>
  <c r="AF67" i="20"/>
  <c r="AE67" i="20"/>
  <c r="AD67" i="20"/>
  <c r="AC67" i="20"/>
  <c r="AB67" i="20"/>
  <c r="AA67" i="20"/>
  <c r="AJ67" i="20" s="1"/>
  <c r="BG66" i="20"/>
  <c r="BF66" i="20"/>
  <c r="BE66" i="20"/>
  <c r="AZ66" i="20"/>
  <c r="BD66" i="20" s="1"/>
  <c r="AY66" i="20"/>
  <c r="AT66" i="20"/>
  <c r="AS66" i="20"/>
  <c r="AU66" i="20" s="1"/>
  <c r="AN66" i="20"/>
  <c r="AM66" i="20"/>
  <c r="AL66" i="20"/>
  <c r="AK66" i="20"/>
  <c r="AH66" i="20"/>
  <c r="AF66" i="20"/>
  <c r="AE66" i="20"/>
  <c r="AD66" i="20"/>
  <c r="AC66" i="20"/>
  <c r="AB66" i="20"/>
  <c r="AA66" i="20"/>
  <c r="AJ66" i="20" s="1"/>
  <c r="BA66" i="20" s="1"/>
  <c r="BG65" i="20"/>
  <c r="BF65" i="20"/>
  <c r="BE65" i="20"/>
  <c r="AZ65" i="20"/>
  <c r="BD65" i="20" s="1"/>
  <c r="AY65" i="20"/>
  <c r="AT65" i="20"/>
  <c r="AS65" i="20"/>
  <c r="AU65" i="20" s="1"/>
  <c r="AN65" i="20"/>
  <c r="AM65" i="20"/>
  <c r="AL65" i="20"/>
  <c r="AK65" i="20"/>
  <c r="AH65" i="20"/>
  <c r="AF65" i="20"/>
  <c r="AE65" i="20"/>
  <c r="AD65" i="20"/>
  <c r="AC65" i="20"/>
  <c r="AB65" i="20"/>
  <c r="AA65" i="20"/>
  <c r="AJ65" i="20" s="1"/>
  <c r="BG64" i="20"/>
  <c r="BF64" i="20"/>
  <c r="BE64" i="20"/>
  <c r="AZ64" i="20"/>
  <c r="BD64" i="20" s="1"/>
  <c r="AY64" i="20"/>
  <c r="AT64" i="20"/>
  <c r="AS64" i="20"/>
  <c r="AU64" i="20" s="1"/>
  <c r="AN64" i="20"/>
  <c r="AM64" i="20"/>
  <c r="AL64" i="20"/>
  <c r="AK64" i="20"/>
  <c r="AH64" i="20"/>
  <c r="AF64" i="20"/>
  <c r="AE64" i="20"/>
  <c r="AD64" i="20"/>
  <c r="AC64" i="20"/>
  <c r="AB64" i="20"/>
  <c r="AA64" i="20"/>
  <c r="AJ64" i="20" s="1"/>
  <c r="BA64" i="20" s="1"/>
  <c r="BG63" i="20"/>
  <c r="BF63" i="20"/>
  <c r="BE63" i="20"/>
  <c r="AZ63" i="20"/>
  <c r="BD63" i="20" s="1"/>
  <c r="AY63" i="20"/>
  <c r="AT63" i="20"/>
  <c r="AS63" i="20"/>
  <c r="AU63" i="20" s="1"/>
  <c r="AN63" i="20"/>
  <c r="AM63" i="20"/>
  <c r="AL63" i="20"/>
  <c r="AK63" i="20"/>
  <c r="AH63" i="20"/>
  <c r="AF63" i="20"/>
  <c r="AE63" i="20"/>
  <c r="AD63" i="20"/>
  <c r="AC63" i="20"/>
  <c r="AB63" i="20"/>
  <c r="AA63" i="20"/>
  <c r="AJ63" i="20" s="1"/>
  <c r="BA63" i="20" s="1"/>
  <c r="BG62" i="20"/>
  <c r="BF62" i="20"/>
  <c r="BE62" i="20"/>
  <c r="AZ62" i="20"/>
  <c r="BD62" i="20" s="1"/>
  <c r="AY62" i="20"/>
  <c r="AT62" i="20"/>
  <c r="AS62" i="20"/>
  <c r="AU62" i="20" s="1"/>
  <c r="AN62" i="20"/>
  <c r="AM62" i="20"/>
  <c r="AL62" i="20"/>
  <c r="AK62" i="20"/>
  <c r="AH62" i="20"/>
  <c r="AF62" i="20"/>
  <c r="AE62" i="20"/>
  <c r="AD62" i="20"/>
  <c r="AC62" i="20"/>
  <c r="AB62" i="20"/>
  <c r="AA62" i="20"/>
  <c r="AJ62" i="20" s="1"/>
  <c r="BA62" i="20" s="1"/>
  <c r="BG61" i="20"/>
  <c r="BF61" i="20"/>
  <c r="BE61" i="20"/>
  <c r="AZ61" i="20"/>
  <c r="BD61" i="20" s="1"/>
  <c r="AY61" i="20"/>
  <c r="AT61" i="20"/>
  <c r="AS61" i="20"/>
  <c r="AU61" i="20" s="1"/>
  <c r="AN61" i="20"/>
  <c r="AM61" i="20"/>
  <c r="AL61" i="20"/>
  <c r="AK61" i="20"/>
  <c r="AH61" i="20"/>
  <c r="AF61" i="20"/>
  <c r="AE61" i="20"/>
  <c r="AD61" i="20"/>
  <c r="AC61" i="20"/>
  <c r="AB61" i="20"/>
  <c r="AA61" i="20"/>
  <c r="AJ61" i="20" s="1"/>
  <c r="BA61" i="20" s="1"/>
  <c r="BG60" i="20"/>
  <c r="BF60" i="20"/>
  <c r="BE60" i="20"/>
  <c r="AZ60" i="20"/>
  <c r="BD60" i="20" s="1"/>
  <c r="AY60" i="20"/>
  <c r="AT60" i="20"/>
  <c r="AS60" i="20"/>
  <c r="AU60" i="20" s="1"/>
  <c r="AN60" i="20"/>
  <c r="AM60" i="20"/>
  <c r="AL60" i="20"/>
  <c r="AK60" i="20"/>
  <c r="AH60" i="20"/>
  <c r="AF60" i="20"/>
  <c r="AE60" i="20"/>
  <c r="AD60" i="20"/>
  <c r="AC60" i="20"/>
  <c r="AB60" i="20"/>
  <c r="AA60" i="20"/>
  <c r="AJ60" i="20" s="1"/>
  <c r="BA60" i="20" s="1"/>
  <c r="BG59" i="20"/>
  <c r="BF59" i="20"/>
  <c r="BE59" i="20"/>
  <c r="AZ59" i="20"/>
  <c r="BD59" i="20" s="1"/>
  <c r="AY59" i="20"/>
  <c r="AT59" i="20"/>
  <c r="AS59" i="20"/>
  <c r="AU59" i="20" s="1"/>
  <c r="AN59" i="20"/>
  <c r="AM59" i="20"/>
  <c r="AL59" i="20"/>
  <c r="AK59" i="20"/>
  <c r="AH59" i="20"/>
  <c r="AF59" i="20"/>
  <c r="AE59" i="20"/>
  <c r="AD59" i="20"/>
  <c r="AC59" i="20"/>
  <c r="AB59" i="20"/>
  <c r="AA59" i="20"/>
  <c r="AJ59" i="20" s="1"/>
  <c r="BA59" i="20" s="1"/>
  <c r="BG58" i="20"/>
  <c r="BF58" i="20"/>
  <c r="BE58" i="20"/>
  <c r="AZ58" i="20"/>
  <c r="BD58" i="20" s="1"/>
  <c r="AY58" i="20"/>
  <c r="AT58" i="20"/>
  <c r="AS58" i="20"/>
  <c r="AU58" i="20" s="1"/>
  <c r="AN58" i="20"/>
  <c r="AM58" i="20"/>
  <c r="AL58" i="20"/>
  <c r="AK58" i="20"/>
  <c r="AH58" i="20"/>
  <c r="AF58" i="20"/>
  <c r="AE58" i="20"/>
  <c r="AD58" i="20"/>
  <c r="AC58" i="20"/>
  <c r="AB58" i="20"/>
  <c r="AA58" i="20"/>
  <c r="AJ58" i="20" s="1"/>
  <c r="BG57" i="20"/>
  <c r="BF57" i="20"/>
  <c r="BE57" i="20"/>
  <c r="AZ57" i="20"/>
  <c r="BD57" i="20" s="1"/>
  <c r="AY57" i="20"/>
  <c r="AT57" i="20"/>
  <c r="AS57" i="20"/>
  <c r="AU57" i="20" s="1"/>
  <c r="AN57" i="20"/>
  <c r="AM57" i="20"/>
  <c r="AL57" i="20"/>
  <c r="AK57" i="20"/>
  <c r="AH57" i="20"/>
  <c r="AF57" i="20"/>
  <c r="AE57" i="20"/>
  <c r="AD57" i="20"/>
  <c r="AC57" i="20"/>
  <c r="AB57" i="20"/>
  <c r="AA57" i="20"/>
  <c r="AJ57" i="20" s="1"/>
  <c r="BA57" i="20" s="1"/>
  <c r="BG56" i="20"/>
  <c r="BF56" i="20"/>
  <c r="BE56" i="20"/>
  <c r="AZ56" i="20"/>
  <c r="AY56" i="20"/>
  <c r="AT56" i="20"/>
  <c r="AS56" i="20"/>
  <c r="AU56" i="20" s="1"/>
  <c r="AN56" i="20"/>
  <c r="AM56" i="20"/>
  <c r="AL56" i="20"/>
  <c r="AK56" i="20"/>
  <c r="AH56" i="20"/>
  <c r="AF56" i="20"/>
  <c r="AE56" i="20"/>
  <c r="AD56" i="20"/>
  <c r="AC56" i="20"/>
  <c r="AB56" i="20"/>
  <c r="AA56" i="20"/>
  <c r="AJ56" i="20" s="1"/>
  <c r="BA56" i="20" s="1"/>
  <c r="BG55" i="20"/>
  <c r="BF55" i="20"/>
  <c r="BE55" i="20"/>
  <c r="AZ55" i="20"/>
  <c r="BD55" i="20" s="1"/>
  <c r="AY55" i="20"/>
  <c r="AT55" i="20"/>
  <c r="AS55" i="20"/>
  <c r="AU55" i="20" s="1"/>
  <c r="AN55" i="20"/>
  <c r="AM55" i="20"/>
  <c r="AL55" i="20"/>
  <c r="AK55" i="20"/>
  <c r="AH55" i="20"/>
  <c r="AF55" i="20"/>
  <c r="AE55" i="20"/>
  <c r="AD55" i="20"/>
  <c r="AC55" i="20"/>
  <c r="AB55" i="20"/>
  <c r="AA55" i="20"/>
  <c r="AJ55" i="20" s="1"/>
  <c r="BA55" i="20" s="1"/>
  <c r="BG54" i="20"/>
  <c r="BF54" i="20"/>
  <c r="BE54" i="20"/>
  <c r="AZ54" i="20"/>
  <c r="BD54" i="20" s="1"/>
  <c r="AY54" i="20"/>
  <c r="AT54" i="20"/>
  <c r="AS54" i="20"/>
  <c r="AU54" i="20" s="1"/>
  <c r="AN54" i="20"/>
  <c r="AM54" i="20"/>
  <c r="AL54" i="20"/>
  <c r="AK54" i="20"/>
  <c r="AH54" i="20"/>
  <c r="AF54" i="20"/>
  <c r="AE54" i="20"/>
  <c r="AD54" i="20"/>
  <c r="AC54" i="20"/>
  <c r="AB54" i="20"/>
  <c r="AA54" i="20"/>
  <c r="AJ54" i="20" s="1"/>
  <c r="BG53" i="20"/>
  <c r="BF53" i="20"/>
  <c r="BE53" i="20"/>
  <c r="AZ53" i="20"/>
  <c r="BD53" i="20" s="1"/>
  <c r="AY53" i="20"/>
  <c r="AT53" i="20"/>
  <c r="AS53" i="20"/>
  <c r="AU53" i="20" s="1"/>
  <c r="AN53" i="20"/>
  <c r="AM53" i="20"/>
  <c r="AL53" i="20"/>
  <c r="AK53" i="20"/>
  <c r="AH53" i="20"/>
  <c r="AF53" i="20"/>
  <c r="AE53" i="20"/>
  <c r="AD53" i="20"/>
  <c r="AC53" i="20"/>
  <c r="AB53" i="20"/>
  <c r="AA53" i="20"/>
  <c r="AJ53" i="20" s="1"/>
  <c r="BA53" i="20" s="1"/>
  <c r="BG52" i="20"/>
  <c r="BF52" i="20"/>
  <c r="BE52" i="20"/>
  <c r="AZ52" i="20"/>
  <c r="AY52" i="20"/>
  <c r="AT52" i="20"/>
  <c r="AS52" i="20"/>
  <c r="AU52" i="20" s="1"/>
  <c r="AN52" i="20"/>
  <c r="AM52" i="20"/>
  <c r="AL52" i="20"/>
  <c r="AK52" i="20"/>
  <c r="AH52" i="20"/>
  <c r="AF52" i="20"/>
  <c r="AE52" i="20"/>
  <c r="AD52" i="20"/>
  <c r="AC52" i="20"/>
  <c r="AB52" i="20"/>
  <c r="AA52" i="20"/>
  <c r="AJ52" i="20" s="1"/>
  <c r="BG51" i="20"/>
  <c r="BF51" i="20"/>
  <c r="BE51" i="20"/>
  <c r="AZ51" i="20"/>
  <c r="BD51" i="20" s="1"/>
  <c r="AY51" i="20"/>
  <c r="AT51" i="20"/>
  <c r="AS51" i="20"/>
  <c r="AU51" i="20" s="1"/>
  <c r="AN51" i="20"/>
  <c r="AM51" i="20"/>
  <c r="AL51" i="20"/>
  <c r="AK51" i="20"/>
  <c r="AH51" i="20"/>
  <c r="AF51" i="20"/>
  <c r="AE51" i="20"/>
  <c r="AD51" i="20"/>
  <c r="AC51" i="20"/>
  <c r="AB51" i="20"/>
  <c r="AA51" i="20"/>
  <c r="AJ51" i="20" s="1"/>
  <c r="BA51" i="20" s="1"/>
  <c r="BG50" i="20"/>
  <c r="BF50" i="20"/>
  <c r="BE50" i="20"/>
  <c r="AZ50" i="20"/>
  <c r="BD50" i="20" s="1"/>
  <c r="AY50" i="20"/>
  <c r="AT50" i="20"/>
  <c r="AS50" i="20"/>
  <c r="AU50" i="20" s="1"/>
  <c r="AN50" i="20"/>
  <c r="AM50" i="20"/>
  <c r="AL50" i="20"/>
  <c r="AK50" i="20"/>
  <c r="AH50" i="20"/>
  <c r="AF50" i="20"/>
  <c r="AE50" i="20"/>
  <c r="AD50" i="20"/>
  <c r="AC50" i="20"/>
  <c r="AB50" i="20"/>
  <c r="AA50" i="20"/>
  <c r="AJ50" i="20" s="1"/>
  <c r="BG49" i="20"/>
  <c r="BF49" i="20"/>
  <c r="BE49" i="20"/>
  <c r="AZ49" i="20"/>
  <c r="AY49" i="20"/>
  <c r="AT49" i="20"/>
  <c r="AS49" i="20"/>
  <c r="AU49" i="20" s="1"/>
  <c r="AN49" i="20"/>
  <c r="AM49" i="20"/>
  <c r="AL49" i="20"/>
  <c r="AK49" i="20"/>
  <c r="AH49" i="20"/>
  <c r="AF49" i="20"/>
  <c r="AE49" i="20"/>
  <c r="AD49" i="20"/>
  <c r="AC49" i="20"/>
  <c r="AB49" i="20"/>
  <c r="AA49" i="20"/>
  <c r="AJ49" i="20" s="1"/>
  <c r="BA49" i="20" s="1"/>
  <c r="BG48" i="20"/>
  <c r="BF48" i="20"/>
  <c r="BE48" i="20"/>
  <c r="AZ48" i="20"/>
  <c r="BD48" i="20" s="1"/>
  <c r="AY48" i="20"/>
  <c r="AT48" i="20"/>
  <c r="AS48" i="20"/>
  <c r="AU48" i="20" s="1"/>
  <c r="AN48" i="20"/>
  <c r="AM48" i="20"/>
  <c r="AL48" i="20"/>
  <c r="AK48" i="20"/>
  <c r="AH48" i="20"/>
  <c r="AF48" i="20"/>
  <c r="AE48" i="20"/>
  <c r="AD48" i="20"/>
  <c r="AC48" i="20"/>
  <c r="AB48" i="20"/>
  <c r="AA48" i="20"/>
  <c r="AJ48" i="20" s="1"/>
  <c r="BA48" i="20" s="1"/>
  <c r="BG47" i="20"/>
  <c r="BF47" i="20"/>
  <c r="BE47" i="20"/>
  <c r="AZ47" i="20"/>
  <c r="BD47" i="20" s="1"/>
  <c r="AY47" i="20"/>
  <c r="AT47" i="20"/>
  <c r="AS47" i="20"/>
  <c r="AU47" i="20" s="1"/>
  <c r="AN47" i="20"/>
  <c r="AM47" i="20"/>
  <c r="AL47" i="20"/>
  <c r="AK47" i="20"/>
  <c r="AH47" i="20"/>
  <c r="AF47" i="20"/>
  <c r="AE47" i="20"/>
  <c r="AD47" i="20"/>
  <c r="AC47" i="20"/>
  <c r="AB47" i="20"/>
  <c r="AA47" i="20"/>
  <c r="AJ47" i="20" s="1"/>
  <c r="BA47" i="20" s="1"/>
  <c r="BG46" i="20"/>
  <c r="BF46" i="20"/>
  <c r="BE46" i="20"/>
  <c r="AZ46" i="20"/>
  <c r="BD46" i="20" s="1"/>
  <c r="AY46" i="20"/>
  <c r="AT46" i="20"/>
  <c r="AS46" i="20"/>
  <c r="AU46" i="20" s="1"/>
  <c r="AN46" i="20"/>
  <c r="AM46" i="20"/>
  <c r="AL46" i="20"/>
  <c r="AK46" i="20"/>
  <c r="AH46" i="20"/>
  <c r="AF46" i="20"/>
  <c r="AE46" i="20"/>
  <c r="AD46" i="20"/>
  <c r="AC46" i="20"/>
  <c r="AB46" i="20"/>
  <c r="AA46" i="20"/>
  <c r="AJ46" i="20" s="1"/>
  <c r="BA46" i="20" s="1"/>
  <c r="BG45" i="20"/>
  <c r="BF45" i="20"/>
  <c r="BE45" i="20"/>
  <c r="AZ45" i="20"/>
  <c r="BD45" i="20" s="1"/>
  <c r="AY45" i="20"/>
  <c r="AT45" i="20"/>
  <c r="AS45" i="20"/>
  <c r="AU45" i="20" s="1"/>
  <c r="AN45" i="20"/>
  <c r="AM45" i="20"/>
  <c r="AL45" i="20"/>
  <c r="AK45" i="20"/>
  <c r="AH45" i="20"/>
  <c r="AF45" i="20"/>
  <c r="AE45" i="20"/>
  <c r="AD45" i="20"/>
  <c r="AC45" i="20"/>
  <c r="AB45" i="20"/>
  <c r="AA45" i="20"/>
  <c r="AJ45" i="20" s="1"/>
  <c r="BA45" i="20" s="1"/>
  <c r="BG44" i="20"/>
  <c r="BF44" i="20"/>
  <c r="BE44" i="20"/>
  <c r="AZ44" i="20"/>
  <c r="AY44" i="20"/>
  <c r="AT44" i="20"/>
  <c r="AS44" i="20"/>
  <c r="AU44" i="20" s="1"/>
  <c r="AN44" i="20"/>
  <c r="AM44" i="20"/>
  <c r="AL44" i="20"/>
  <c r="AK44" i="20"/>
  <c r="AH44" i="20"/>
  <c r="AF44" i="20"/>
  <c r="AE44" i="20"/>
  <c r="AD44" i="20"/>
  <c r="AC44" i="20"/>
  <c r="AB44" i="20"/>
  <c r="AA44" i="20"/>
  <c r="AJ44" i="20" s="1"/>
  <c r="BA44" i="20" s="1"/>
  <c r="BG43" i="20"/>
  <c r="BF43" i="20"/>
  <c r="BE43" i="20"/>
  <c r="AZ43" i="20"/>
  <c r="BD43" i="20" s="1"/>
  <c r="AY43" i="20"/>
  <c r="AT43" i="20"/>
  <c r="AS43" i="20"/>
  <c r="AU43" i="20" s="1"/>
  <c r="AN43" i="20"/>
  <c r="AM43" i="20"/>
  <c r="AL43" i="20"/>
  <c r="AK43" i="20"/>
  <c r="AH43" i="20"/>
  <c r="AF43" i="20"/>
  <c r="AE43" i="20"/>
  <c r="AD43" i="20"/>
  <c r="AC43" i="20"/>
  <c r="AB43" i="20"/>
  <c r="AA43" i="20"/>
  <c r="AJ43" i="20" s="1"/>
  <c r="BA43" i="20" s="1"/>
  <c r="BG42" i="20"/>
  <c r="BF42" i="20"/>
  <c r="BE42" i="20"/>
  <c r="AZ42" i="20"/>
  <c r="BD42" i="20" s="1"/>
  <c r="AY42" i="20"/>
  <c r="AT42" i="20"/>
  <c r="AS42" i="20"/>
  <c r="AU42" i="20" s="1"/>
  <c r="AN42" i="20"/>
  <c r="AM42" i="20"/>
  <c r="AL42" i="20"/>
  <c r="AK42" i="20"/>
  <c r="AH42" i="20"/>
  <c r="AF42" i="20"/>
  <c r="AE42" i="20"/>
  <c r="AD42" i="20"/>
  <c r="AC42" i="20"/>
  <c r="AB42" i="20"/>
  <c r="AA42" i="20"/>
  <c r="AJ42" i="20" s="1"/>
  <c r="BG41" i="20"/>
  <c r="BF41" i="20"/>
  <c r="BE41" i="20"/>
  <c r="AZ41" i="20"/>
  <c r="BD41" i="20" s="1"/>
  <c r="AY41" i="20"/>
  <c r="AT41" i="20"/>
  <c r="AS41" i="20"/>
  <c r="AU41" i="20" s="1"/>
  <c r="AN41" i="20"/>
  <c r="AM41" i="20"/>
  <c r="AL41" i="20"/>
  <c r="AK41" i="20"/>
  <c r="AH41" i="20"/>
  <c r="AF41" i="20"/>
  <c r="AE41" i="20"/>
  <c r="AD41" i="20"/>
  <c r="AC41" i="20"/>
  <c r="AB41" i="20"/>
  <c r="AA41" i="20"/>
  <c r="AJ41" i="20" s="1"/>
  <c r="BA41" i="20" s="1"/>
  <c r="BG40" i="20"/>
  <c r="BF40" i="20"/>
  <c r="BE40" i="20"/>
  <c r="AZ40" i="20"/>
  <c r="BD40" i="20" s="1"/>
  <c r="AY40" i="20"/>
  <c r="AT40" i="20"/>
  <c r="AS40" i="20"/>
  <c r="AU40" i="20" s="1"/>
  <c r="AN40" i="20"/>
  <c r="AM40" i="20"/>
  <c r="AL40" i="20"/>
  <c r="AK40" i="20"/>
  <c r="AH40" i="20"/>
  <c r="AF40" i="20"/>
  <c r="AE40" i="20"/>
  <c r="AD40" i="20"/>
  <c r="AC40" i="20"/>
  <c r="AB40" i="20"/>
  <c r="AA40" i="20"/>
  <c r="AJ40" i="20" s="1"/>
  <c r="BA40" i="20" s="1"/>
  <c r="BG39" i="20"/>
  <c r="BF39" i="20"/>
  <c r="BE39" i="20"/>
  <c r="AZ39" i="20"/>
  <c r="BD39" i="20" s="1"/>
  <c r="AY39" i="20"/>
  <c r="AT39" i="20"/>
  <c r="AS39" i="20"/>
  <c r="AU39" i="20" s="1"/>
  <c r="AN39" i="20"/>
  <c r="AM39" i="20"/>
  <c r="AL39" i="20"/>
  <c r="AK39" i="20"/>
  <c r="AH39" i="20"/>
  <c r="AF39" i="20"/>
  <c r="AE39" i="20"/>
  <c r="AD39" i="20"/>
  <c r="AC39" i="20"/>
  <c r="AB39" i="20"/>
  <c r="AA39" i="20"/>
  <c r="AJ39" i="20" s="1"/>
  <c r="BA39" i="20" s="1"/>
  <c r="BG38" i="20"/>
  <c r="BF38" i="20"/>
  <c r="BE38" i="20"/>
  <c r="AZ38" i="20"/>
  <c r="BD38" i="20" s="1"/>
  <c r="AY38" i="20"/>
  <c r="AT38" i="20"/>
  <c r="AS38" i="20"/>
  <c r="AU38" i="20" s="1"/>
  <c r="AN38" i="20"/>
  <c r="AM38" i="20"/>
  <c r="AL38" i="20"/>
  <c r="AK38" i="20"/>
  <c r="AH38" i="20"/>
  <c r="AF38" i="20"/>
  <c r="AE38" i="20"/>
  <c r="AD38" i="20"/>
  <c r="AC38" i="20"/>
  <c r="AB38" i="20"/>
  <c r="AA38" i="20"/>
  <c r="AJ38" i="20" s="1"/>
  <c r="BA38" i="20" s="1"/>
  <c r="BG37" i="20"/>
  <c r="BF37" i="20"/>
  <c r="BE37" i="20"/>
  <c r="AZ37" i="20"/>
  <c r="AY37" i="20"/>
  <c r="AT37" i="20"/>
  <c r="AS37" i="20"/>
  <c r="AU37" i="20" s="1"/>
  <c r="AN37" i="20"/>
  <c r="AM37" i="20"/>
  <c r="AL37" i="20"/>
  <c r="AK37" i="20"/>
  <c r="AH37" i="20"/>
  <c r="AF37" i="20"/>
  <c r="AE37" i="20"/>
  <c r="AD37" i="20"/>
  <c r="AC37" i="20"/>
  <c r="AB37" i="20"/>
  <c r="AA37" i="20"/>
  <c r="AJ37" i="20" s="1"/>
  <c r="BG36" i="20"/>
  <c r="BF36" i="20"/>
  <c r="BE36" i="20"/>
  <c r="AZ36" i="20"/>
  <c r="AY36" i="20"/>
  <c r="AT36" i="20"/>
  <c r="AS36" i="20"/>
  <c r="AU36" i="20" s="1"/>
  <c r="AN36" i="20"/>
  <c r="AM36" i="20"/>
  <c r="AL36" i="20"/>
  <c r="AK36" i="20"/>
  <c r="AH36" i="20"/>
  <c r="AF36" i="20"/>
  <c r="AE36" i="20"/>
  <c r="AD36" i="20"/>
  <c r="AC36" i="20"/>
  <c r="AB36" i="20"/>
  <c r="AA36" i="20"/>
  <c r="AJ36" i="20" s="1"/>
  <c r="BA36" i="20" s="1"/>
  <c r="BG35" i="20"/>
  <c r="BF35" i="20"/>
  <c r="BE35" i="20"/>
  <c r="AZ35" i="20"/>
  <c r="BD35" i="20" s="1"/>
  <c r="AY35" i="20"/>
  <c r="AT35" i="20"/>
  <c r="AS35" i="20"/>
  <c r="AU35" i="20" s="1"/>
  <c r="AN35" i="20"/>
  <c r="AM35" i="20"/>
  <c r="AL35" i="20"/>
  <c r="AK35" i="20"/>
  <c r="AH35" i="20"/>
  <c r="AF35" i="20"/>
  <c r="AE35" i="20"/>
  <c r="AD35" i="20"/>
  <c r="AC35" i="20"/>
  <c r="AB35" i="20"/>
  <c r="AA35" i="20"/>
  <c r="AJ35" i="20" s="1"/>
  <c r="BA35" i="20" s="1"/>
  <c r="BG34" i="20"/>
  <c r="BF34" i="20"/>
  <c r="BE34" i="20"/>
  <c r="AZ34" i="20"/>
  <c r="BD34" i="20" s="1"/>
  <c r="AY34" i="20"/>
  <c r="AT34" i="20"/>
  <c r="AS34" i="20"/>
  <c r="AU34" i="20" s="1"/>
  <c r="AN34" i="20"/>
  <c r="AM34" i="20"/>
  <c r="AL34" i="20"/>
  <c r="AK34" i="20"/>
  <c r="AH34" i="20"/>
  <c r="AF34" i="20"/>
  <c r="AE34" i="20"/>
  <c r="AD34" i="20"/>
  <c r="AC34" i="20"/>
  <c r="AB34" i="20"/>
  <c r="AA34" i="20"/>
  <c r="AJ34" i="20" s="1"/>
  <c r="BA34" i="20" s="1"/>
  <c r="BG33" i="20"/>
  <c r="BF33" i="20"/>
  <c r="BE33" i="20"/>
  <c r="AZ33" i="20"/>
  <c r="BD33" i="20" s="1"/>
  <c r="AY33" i="20"/>
  <c r="AT33" i="20"/>
  <c r="AS33" i="20"/>
  <c r="AU33" i="20" s="1"/>
  <c r="AN33" i="20"/>
  <c r="AM33" i="20"/>
  <c r="AL33" i="20"/>
  <c r="AK33" i="20"/>
  <c r="AH33" i="20"/>
  <c r="AF33" i="20"/>
  <c r="AE33" i="20"/>
  <c r="AD33" i="20"/>
  <c r="AC33" i="20"/>
  <c r="AB33" i="20"/>
  <c r="AA33" i="20"/>
  <c r="AJ33" i="20" s="1"/>
  <c r="BA33" i="20" s="1"/>
  <c r="BG32" i="20"/>
  <c r="BF32" i="20"/>
  <c r="BE32" i="20"/>
  <c r="AZ32" i="20"/>
  <c r="BD32" i="20" s="1"/>
  <c r="AY32" i="20"/>
  <c r="AT32" i="20"/>
  <c r="AS32" i="20"/>
  <c r="AU32" i="20" s="1"/>
  <c r="AN32" i="20"/>
  <c r="AM32" i="20"/>
  <c r="AL32" i="20"/>
  <c r="AK32" i="20"/>
  <c r="AH32" i="20"/>
  <c r="AF32" i="20"/>
  <c r="AE32" i="20"/>
  <c r="AD32" i="20"/>
  <c r="AC32" i="20"/>
  <c r="AB32" i="20"/>
  <c r="AA32" i="20"/>
  <c r="AJ32" i="20" s="1"/>
  <c r="BA32" i="20" s="1"/>
  <c r="BG31" i="20"/>
  <c r="BF31" i="20"/>
  <c r="BE31" i="20"/>
  <c r="AZ31" i="20"/>
  <c r="BD31" i="20" s="1"/>
  <c r="AY31" i="20"/>
  <c r="AT31" i="20"/>
  <c r="AS31" i="20"/>
  <c r="AU31" i="20" s="1"/>
  <c r="AN31" i="20"/>
  <c r="AM31" i="20"/>
  <c r="AL31" i="20"/>
  <c r="AK31" i="20"/>
  <c r="AH31" i="20"/>
  <c r="AF31" i="20"/>
  <c r="AE31" i="20"/>
  <c r="AD31" i="20"/>
  <c r="AC31" i="20"/>
  <c r="AB31" i="20"/>
  <c r="AA31" i="20"/>
  <c r="AJ31" i="20" s="1"/>
  <c r="BA31" i="20" s="1"/>
  <c r="BG30" i="20"/>
  <c r="BF30" i="20"/>
  <c r="BE30" i="20"/>
  <c r="AZ30" i="20"/>
  <c r="BD30" i="20" s="1"/>
  <c r="AY30" i="20"/>
  <c r="AT30" i="20"/>
  <c r="AS30" i="20"/>
  <c r="AU30" i="20" s="1"/>
  <c r="AN30" i="20"/>
  <c r="AM30" i="20"/>
  <c r="AL30" i="20"/>
  <c r="AK30" i="20"/>
  <c r="AH30" i="20"/>
  <c r="AF30" i="20"/>
  <c r="AE30" i="20"/>
  <c r="AD30" i="20"/>
  <c r="AC30" i="20"/>
  <c r="AB30" i="20"/>
  <c r="AA30" i="20"/>
  <c r="AJ30" i="20" s="1"/>
  <c r="BG29" i="20"/>
  <c r="BF29" i="20"/>
  <c r="BE29" i="20"/>
  <c r="AZ29" i="20"/>
  <c r="AY29" i="20"/>
  <c r="AT29" i="20"/>
  <c r="AS29" i="20"/>
  <c r="AU29" i="20" s="1"/>
  <c r="AN29" i="20"/>
  <c r="AM29" i="20"/>
  <c r="AL29" i="20"/>
  <c r="AK29" i="20"/>
  <c r="AH29" i="20"/>
  <c r="AF29" i="20"/>
  <c r="AE29" i="20"/>
  <c r="AD29" i="20"/>
  <c r="AC29" i="20"/>
  <c r="AB29" i="20"/>
  <c r="AA29" i="20"/>
  <c r="AJ29" i="20" s="1"/>
  <c r="A29" i="20"/>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BG28" i="20"/>
  <c r="BF28" i="20"/>
  <c r="BE28" i="20"/>
  <c r="AZ28" i="20"/>
  <c r="AY28" i="20"/>
  <c r="AT28" i="20"/>
  <c r="AS28" i="20"/>
  <c r="AU28" i="20" s="1"/>
  <c r="AN28" i="20"/>
  <c r="AM28" i="20"/>
  <c r="AL28" i="20"/>
  <c r="AK28" i="20"/>
  <c r="AH28" i="20"/>
  <c r="AF28" i="20"/>
  <c r="AE28" i="20"/>
  <c r="AD28" i="20"/>
  <c r="AC28" i="20"/>
  <c r="AB28" i="20"/>
  <c r="AA28" i="20"/>
  <c r="AJ28" i="20" s="1"/>
  <c r="BA28" i="20" s="1"/>
  <c r="AX27" i="20"/>
  <c r="Z27" i="20"/>
  <c r="Y27" i="20"/>
  <c r="X27" i="20"/>
  <c r="W27" i="20"/>
  <c r="V27" i="20"/>
  <c r="U27" i="20"/>
  <c r="T27" i="20"/>
  <c r="S27" i="20"/>
  <c r="R27" i="20"/>
  <c r="Q27" i="20"/>
  <c r="P27" i="20"/>
  <c r="O27" i="20"/>
  <c r="N27" i="20"/>
  <c r="M27" i="20"/>
  <c r="L27" i="20"/>
  <c r="C10" i="21" s="1"/>
  <c r="C11" i="21" s="1"/>
  <c r="C41" i="21" s="1"/>
  <c r="K27" i="20"/>
  <c r="I27" i="20"/>
  <c r="H27" i="20"/>
  <c r="AX26" i="20"/>
  <c r="Z26" i="20"/>
  <c r="Y26" i="20"/>
  <c r="X26" i="20"/>
  <c r="W26" i="20"/>
  <c r="V26" i="20"/>
  <c r="U26" i="20"/>
  <c r="T26" i="20"/>
  <c r="S26" i="20"/>
  <c r="R26" i="20"/>
  <c r="Q26" i="20"/>
  <c r="P26" i="20"/>
  <c r="O26" i="20"/>
  <c r="N26" i="20"/>
  <c r="M26" i="20"/>
  <c r="L26" i="20"/>
  <c r="C9" i="21" s="1"/>
  <c r="K26" i="20"/>
  <c r="C13" i="21" s="1"/>
  <c r="I26" i="20"/>
  <c r="C12" i="21" s="1"/>
  <c r="H26" i="20"/>
  <c r="C17" i="21" s="1"/>
  <c r="G26" i="20"/>
  <c r="G22" i="20"/>
  <c r="C42" i="21" s="1"/>
  <c r="F18" i="20"/>
  <c r="C17" i="20"/>
  <c r="C11" i="20"/>
  <c r="E7" i="20"/>
  <c r="Q6" i="20"/>
  <c r="Q7" i="20" s="1"/>
  <c r="Q8" i="20" s="1"/>
  <c r="Q9" i="20" s="1"/>
  <c r="Q10" i="20" s="1"/>
  <c r="Q11" i="20" s="1"/>
  <c r="Q12" i="20" s="1"/>
  <c r="Q13" i="20" s="1"/>
  <c r="Q14" i="20" s="1"/>
  <c r="Q15" i="20" s="1"/>
  <c r="Q16" i="20" s="1"/>
  <c r="Q17" i="20" s="1"/>
  <c r="Q18" i="20" s="1"/>
  <c r="Q19" i="20" s="1"/>
  <c r="Q20" i="20" s="1"/>
  <c r="Q21" i="20" s="1"/>
  <c r="H6" i="20"/>
  <c r="H7" i="20" s="1"/>
  <c r="H8" i="20" s="1"/>
  <c r="H9" i="20" s="1"/>
  <c r="H10" i="20" s="1"/>
  <c r="H11" i="20" s="1"/>
  <c r="H12" i="20" s="1"/>
  <c r="H13" i="20" s="1"/>
  <c r="H14" i="20" s="1"/>
  <c r="H15" i="20" s="1"/>
  <c r="H16" i="20" s="1"/>
  <c r="H17" i="20" s="1"/>
  <c r="H18" i="20" s="1"/>
  <c r="H19" i="20" s="1"/>
  <c r="H20" i="20" s="1"/>
  <c r="H21" i="20" s="1"/>
  <c r="G4" i="20"/>
  <c r="G6" i="20" s="1"/>
  <c r="E1" i="20"/>
  <c r="J17" i="18"/>
  <c r="J16" i="18"/>
  <c r="J15" i="18"/>
  <c r="J14" i="18"/>
  <c r="J13" i="18"/>
  <c r="J12" i="18"/>
  <c r="J11" i="18"/>
  <c r="N10" i="18"/>
  <c r="J10" i="18"/>
  <c r="N9" i="18"/>
  <c r="N8" i="18"/>
  <c r="N7" i="18"/>
  <c r="N6" i="18"/>
  <c r="N5" i="18"/>
  <c r="K5" i="18"/>
  <c r="K6" i="18" s="1"/>
  <c r="J7" i="18" s="1"/>
  <c r="J5" i="18"/>
  <c r="G5" i="18"/>
  <c r="G6" i="18" s="1"/>
  <c r="F5" i="18"/>
  <c r="AS34" i="17"/>
  <c r="K16" i="17" s="1"/>
  <c r="K67" i="17" s="1"/>
  <c r="AR34" i="17"/>
  <c r="J16" i="17" s="1"/>
  <c r="H16" i="17"/>
  <c r="G16" i="17"/>
  <c r="F16" i="17"/>
  <c r="E16" i="17"/>
  <c r="D16" i="17"/>
  <c r="C16" i="17"/>
  <c r="AS33" i="17"/>
  <c r="K15" i="17" s="1"/>
  <c r="K49" i="17" s="1"/>
  <c r="AR33" i="17"/>
  <c r="J15" i="17" s="1"/>
  <c r="J49" i="17" s="1"/>
  <c r="H15" i="17"/>
  <c r="G15" i="17"/>
  <c r="F15" i="17"/>
  <c r="E15" i="17"/>
  <c r="D15" i="17"/>
  <c r="C15" i="17"/>
  <c r="AS32" i="17"/>
  <c r="K14" i="17" s="1"/>
  <c r="K65" i="17" s="1"/>
  <c r="AR32" i="17"/>
  <c r="J14" i="17" s="1"/>
  <c r="H14" i="17"/>
  <c r="G14" i="17"/>
  <c r="F14" i="17"/>
  <c r="E14" i="17"/>
  <c r="D14" i="17"/>
  <c r="C14" i="17"/>
  <c r="AS31" i="17"/>
  <c r="K13" i="17" s="1"/>
  <c r="K47" i="17" s="1"/>
  <c r="AR31" i="17"/>
  <c r="J13" i="17" s="1"/>
  <c r="H13" i="17"/>
  <c r="G13" i="17"/>
  <c r="F13" i="17"/>
  <c r="E13" i="17"/>
  <c r="D13" i="17"/>
  <c r="C13" i="17"/>
  <c r="AS30" i="17"/>
  <c r="K12" i="17" s="1"/>
  <c r="AR30" i="17"/>
  <c r="J12" i="17" s="1"/>
  <c r="H12" i="17"/>
  <c r="G12" i="17"/>
  <c r="F12" i="17"/>
  <c r="E12" i="17"/>
  <c r="D12" i="17"/>
  <c r="C12" i="17"/>
  <c r="AS29" i="17"/>
  <c r="K11" i="17" s="1"/>
  <c r="AR29" i="17"/>
  <c r="J11" i="17" s="1"/>
  <c r="J45" i="17" s="1"/>
  <c r="H11" i="17"/>
  <c r="G11" i="17"/>
  <c r="F11" i="17"/>
  <c r="E11" i="17"/>
  <c r="D11" i="17"/>
  <c r="C11" i="17"/>
  <c r="AS28" i="17"/>
  <c r="K10" i="17" s="1"/>
  <c r="K44" i="17" s="1"/>
  <c r="AR28" i="17"/>
  <c r="J10" i="17" s="1"/>
  <c r="H10" i="17"/>
  <c r="G10" i="17"/>
  <c r="F10" i="17"/>
  <c r="E10" i="17"/>
  <c r="D10" i="17"/>
  <c r="C10" i="17"/>
  <c r="AS27" i="17"/>
  <c r="K9" i="17" s="1"/>
  <c r="AR27" i="17"/>
  <c r="J9" i="17" s="1"/>
  <c r="H9" i="17"/>
  <c r="G9" i="17"/>
  <c r="F9" i="17"/>
  <c r="E9" i="17"/>
  <c r="D9" i="17"/>
  <c r="C9" i="17"/>
  <c r="AS26" i="17"/>
  <c r="K8" i="17" s="1"/>
  <c r="K42" i="17" s="1"/>
  <c r="AR26" i="17"/>
  <c r="J8" i="17" s="1"/>
  <c r="J42" i="17" s="1"/>
  <c r="AQ26" i="17"/>
  <c r="I8" i="17" s="1"/>
  <c r="AP26" i="17"/>
  <c r="H8" i="17" s="1"/>
  <c r="H42" i="17" s="1"/>
  <c r="AO26" i="17"/>
  <c r="G8" i="17" s="1"/>
  <c r="G42" i="17" s="1"/>
  <c r="AN26" i="17"/>
  <c r="F8" i="17" s="1"/>
  <c r="AM26" i="17"/>
  <c r="E8" i="17" s="1"/>
  <c r="AL26" i="17"/>
  <c r="D8" i="17" s="1"/>
  <c r="D42" i="17" s="1"/>
  <c r="AK26" i="17"/>
  <c r="C8" i="17" s="1"/>
  <c r="C42" i="17" s="1"/>
  <c r="AS25" i="17"/>
  <c r="K7" i="17" s="1"/>
  <c r="K41" i="17" s="1"/>
  <c r="AR25" i="17"/>
  <c r="J7" i="17" s="1"/>
  <c r="AQ25" i="17"/>
  <c r="I7" i="17" s="1"/>
  <c r="AP25" i="17"/>
  <c r="H7" i="17" s="1"/>
  <c r="H58" i="17" s="1"/>
  <c r="AO25" i="17"/>
  <c r="G7" i="17" s="1"/>
  <c r="G41" i="17" s="1"/>
  <c r="AN25" i="17"/>
  <c r="F7" i="17" s="1"/>
  <c r="F58" i="17" s="1"/>
  <c r="AM25" i="17"/>
  <c r="E7" i="17" s="1"/>
  <c r="E41" i="17" s="1"/>
  <c r="AL25" i="17"/>
  <c r="D7" i="17" s="1"/>
  <c r="AK25" i="17"/>
  <c r="C7" i="17" s="1"/>
  <c r="C41" i="17" s="1"/>
  <c r="AS24" i="17"/>
  <c r="K6" i="17" s="1"/>
  <c r="K40" i="17" s="1"/>
  <c r="AR24" i="17"/>
  <c r="J6" i="17" s="1"/>
  <c r="J40" i="17" s="1"/>
  <c r="AQ24" i="17"/>
  <c r="I6" i="17" s="1"/>
  <c r="I40" i="17" s="1"/>
  <c r="AP24" i="17"/>
  <c r="H6" i="17" s="1"/>
  <c r="AO24" i="17"/>
  <c r="G6" i="17" s="1"/>
  <c r="G57" i="17" s="1"/>
  <c r="AN24" i="17"/>
  <c r="F6" i="17" s="1"/>
  <c r="AM24" i="17"/>
  <c r="E6" i="17" s="1"/>
  <c r="E40" i="17" s="1"/>
  <c r="AL24" i="17"/>
  <c r="D6" i="17" s="1"/>
  <c r="D40" i="17" s="1"/>
  <c r="AK24" i="17"/>
  <c r="C6" i="17" s="1"/>
  <c r="C40" i="17" s="1"/>
  <c r="AS23" i="17"/>
  <c r="K5" i="17" s="1"/>
  <c r="AR23" i="17"/>
  <c r="J5" i="17" s="1"/>
  <c r="J56" i="17" s="1"/>
  <c r="AQ23" i="17"/>
  <c r="I5" i="17" s="1"/>
  <c r="AP23" i="17"/>
  <c r="H5" i="17" s="1"/>
  <c r="AO23" i="17"/>
  <c r="G5" i="17" s="1"/>
  <c r="G39" i="17" s="1"/>
  <c r="AN23" i="17"/>
  <c r="F5" i="17" s="1"/>
  <c r="F39" i="17" s="1"/>
  <c r="AM23" i="17"/>
  <c r="E5" i="17" s="1"/>
  <c r="AL23" i="17"/>
  <c r="D5" i="17" s="1"/>
  <c r="D39" i="17" s="1"/>
  <c r="AK23" i="17"/>
  <c r="C5" i="17" s="1"/>
  <c r="AS22" i="17"/>
  <c r="K4" i="17" s="1"/>
  <c r="K55" i="17" s="1"/>
  <c r="AR22" i="17"/>
  <c r="J4" i="17" s="1"/>
  <c r="AQ22" i="17"/>
  <c r="I4" i="17" s="1"/>
  <c r="I55" i="17" s="1"/>
  <c r="AP22" i="17"/>
  <c r="H4" i="17" s="1"/>
  <c r="H38" i="17" s="1"/>
  <c r="AO22" i="17"/>
  <c r="G4" i="17" s="1"/>
  <c r="AN22" i="17"/>
  <c r="F4" i="17" s="1"/>
  <c r="F38" i="17" s="1"/>
  <c r="AM22" i="17"/>
  <c r="E4" i="17" s="1"/>
  <c r="E38" i="17" s="1"/>
  <c r="AL22" i="17"/>
  <c r="D4" i="17" s="1"/>
  <c r="AK22" i="17"/>
  <c r="C4" i="17" s="1"/>
  <c r="C55" i="17" s="1"/>
  <c r="AS21" i="17"/>
  <c r="K3" i="17" s="1"/>
  <c r="AR21" i="17"/>
  <c r="J3" i="17" s="1"/>
  <c r="J54" i="17" s="1"/>
  <c r="AQ21" i="17"/>
  <c r="I3" i="17" s="1"/>
  <c r="I37" i="17" s="1"/>
  <c r="AP21" i="17"/>
  <c r="H3" i="17" s="1"/>
  <c r="H37" i="17" s="1"/>
  <c r="AO21" i="17"/>
  <c r="G3" i="17" s="1"/>
  <c r="G37" i="17" s="1"/>
  <c r="AN21" i="17"/>
  <c r="F3" i="17" s="1"/>
  <c r="F37" i="17" s="1"/>
  <c r="AM21" i="17"/>
  <c r="E3" i="17" s="1"/>
  <c r="E54" i="17" s="1"/>
  <c r="AL21" i="17"/>
  <c r="D3" i="17" s="1"/>
  <c r="AK21" i="17"/>
  <c r="C3" i="17" s="1"/>
  <c r="I16" i="17"/>
  <c r="I15" i="17"/>
  <c r="I14" i="17"/>
  <c r="I13" i="17"/>
  <c r="I12" i="17"/>
  <c r="I11" i="17"/>
  <c r="I10" i="17"/>
  <c r="I9" i="17"/>
  <c r="J123" i="16"/>
  <c r="J8" i="16" s="1"/>
  <c r="I123" i="16"/>
  <c r="I8" i="16" s="1"/>
  <c r="H123" i="16"/>
  <c r="H8" i="16" s="1"/>
  <c r="G123" i="16"/>
  <c r="F123" i="16"/>
  <c r="F8" i="16" s="1"/>
  <c r="E123" i="16"/>
  <c r="E8" i="16" s="1"/>
  <c r="J122" i="16"/>
  <c r="J7" i="16" s="1"/>
  <c r="I122" i="16"/>
  <c r="I7" i="16" s="1"/>
  <c r="H122" i="16"/>
  <c r="H7" i="16" s="1"/>
  <c r="G122" i="16"/>
  <c r="G7" i="16" s="1"/>
  <c r="F122" i="16"/>
  <c r="F7" i="16" s="1"/>
  <c r="E122" i="16"/>
  <c r="E7" i="16" s="1"/>
  <c r="J121" i="16"/>
  <c r="J6" i="16" s="1"/>
  <c r="I121" i="16"/>
  <c r="I6" i="16" s="1"/>
  <c r="H121" i="16"/>
  <c r="G121" i="16"/>
  <c r="G6" i="16" s="1"/>
  <c r="F121" i="16"/>
  <c r="F6" i="16" s="1"/>
  <c r="E121" i="16"/>
  <c r="E6" i="16" s="1"/>
  <c r="J120" i="16"/>
  <c r="J5" i="16" s="1"/>
  <c r="I120" i="16"/>
  <c r="I5" i="16" s="1"/>
  <c r="H120" i="16"/>
  <c r="H5" i="16" s="1"/>
  <c r="G120" i="16"/>
  <c r="G5" i="16" s="1"/>
  <c r="F120" i="16"/>
  <c r="F5" i="16" s="1"/>
  <c r="E120" i="16"/>
  <c r="E5" i="16" s="1"/>
  <c r="J119" i="16"/>
  <c r="J4" i="16" s="1"/>
  <c r="I119" i="16"/>
  <c r="I4" i="16" s="1"/>
  <c r="H119" i="16"/>
  <c r="H4" i="16" s="1"/>
  <c r="G119" i="16"/>
  <c r="F119" i="16"/>
  <c r="F4" i="16" s="1"/>
  <c r="E119" i="16"/>
  <c r="E4" i="16" s="1"/>
  <c r="B83" i="16"/>
  <c r="B82" i="16"/>
  <c r="B81" i="16"/>
  <c r="B80" i="16"/>
  <c r="B79" i="16"/>
  <c r="B78" i="16"/>
  <c r="B77" i="16"/>
  <c r="B76" i="16"/>
  <c r="B75" i="16"/>
  <c r="B74" i="16"/>
  <c r="B73" i="16"/>
  <c r="B72" i="16"/>
  <c r="B71" i="16"/>
  <c r="B70" i="16"/>
  <c r="B69" i="16"/>
  <c r="B68" i="16"/>
  <c r="B67" i="16"/>
  <c r="B62" i="16"/>
  <c r="G43" i="16"/>
  <c r="J43" i="16" s="1"/>
  <c r="M43" i="16" s="1"/>
  <c r="D36" i="16"/>
  <c r="D35" i="16"/>
  <c r="D34" i="16"/>
  <c r="D33" i="16"/>
  <c r="D32" i="16"/>
  <c r="D31" i="16"/>
  <c r="D30" i="16"/>
  <c r="D29" i="16"/>
  <c r="C29" i="16"/>
  <c r="B56" i="16" s="1"/>
  <c r="D28" i="16"/>
  <c r="L27" i="16"/>
  <c r="D27" i="16"/>
  <c r="CU26" i="16"/>
  <c r="CV26" i="16" s="1"/>
  <c r="L26" i="16"/>
  <c r="D26" i="16"/>
  <c r="L25" i="16"/>
  <c r="D25" i="16"/>
  <c r="BT24" i="16"/>
  <c r="BS39" i="16" s="1"/>
  <c r="L24" i="16"/>
  <c r="D24" i="16"/>
  <c r="C24" i="16"/>
  <c r="AA23" i="16"/>
  <c r="L23" i="16"/>
  <c r="L29" i="16" s="1"/>
  <c r="L31" i="16" s="1"/>
  <c r="D23" i="16"/>
  <c r="O22" i="16"/>
  <c r="D17" i="16"/>
  <c r="D16" i="16"/>
  <c r="D15" i="16"/>
  <c r="D14" i="16"/>
  <c r="D13" i="16"/>
  <c r="D12" i="16"/>
  <c r="D11" i="16"/>
  <c r="D10" i="16"/>
  <c r="D9" i="16"/>
  <c r="G8" i="16"/>
  <c r="D8" i="16"/>
  <c r="D7" i="16"/>
  <c r="H6" i="16"/>
  <c r="D6" i="16"/>
  <c r="D5" i="16"/>
  <c r="C5" i="16"/>
  <c r="AS3" i="16" s="1"/>
  <c r="CU4" i="16"/>
  <c r="CV4" i="16" s="1"/>
  <c r="G4" i="16"/>
  <c r="D4" i="16"/>
  <c r="C4" i="16"/>
  <c r="H131" i="16" s="1"/>
  <c r="H16" i="16" s="1"/>
  <c r="BA3" i="16"/>
  <c r="AD3" i="16"/>
  <c r="BT2" i="16"/>
  <c r="BS12" i="16" s="1"/>
  <c r="AO2" i="16"/>
  <c r="AO13" i="16" s="1"/>
  <c r="O2" i="16"/>
  <c r="O8" i="16" s="1"/>
  <c r="C43" i="15"/>
  <c r="C42" i="15"/>
  <c r="C41" i="15"/>
  <c r="C38" i="15"/>
  <c r="H34" i="15"/>
  <c r="C34" i="15"/>
  <c r="C14" i="16" s="1"/>
  <c r="C33" i="15"/>
  <c r="C13" i="16" s="1"/>
  <c r="F32" i="15"/>
  <c r="C32" i="15"/>
  <c r="C12" i="16" s="1"/>
  <c r="C30" i="15"/>
  <c r="AA3" i="16" s="1"/>
  <c r="H29" i="15"/>
  <c r="H30" i="15" s="1"/>
  <c r="F29" i="15"/>
  <c r="C20" i="15"/>
  <c r="C25" i="16" s="1"/>
  <c r="H14" i="15"/>
  <c r="G14" i="15"/>
  <c r="J13" i="15"/>
  <c r="J12" i="15"/>
  <c r="C12" i="15"/>
  <c r="C9" i="16" s="1"/>
  <c r="J11" i="15"/>
  <c r="C11" i="15"/>
  <c r="C8" i="16" s="1"/>
  <c r="J10" i="15"/>
  <c r="C9" i="15"/>
  <c r="A52" i="17" s="1"/>
  <c r="C8" i="15"/>
  <c r="C3" i="16" s="1"/>
  <c r="C7" i="15"/>
  <c r="K4" i="15"/>
  <c r="BR24" i="16" s="1"/>
  <c r="BT25" i="16" s="1"/>
  <c r="BI55" i="14"/>
  <c r="BH55" i="14"/>
  <c r="BE55" i="14"/>
  <c r="BB55" i="14"/>
  <c r="AV55" i="14"/>
  <c r="AU55" i="14"/>
  <c r="AW55" i="14" s="1"/>
  <c r="AP55" i="14"/>
  <c r="AK55" i="14"/>
  <c r="AJ55" i="14"/>
  <c r="BC55" i="14" s="1"/>
  <c r="BI54" i="14"/>
  <c r="BH54" i="14"/>
  <c r="BE54" i="14"/>
  <c r="BB54" i="14"/>
  <c r="AV54" i="14"/>
  <c r="AU54" i="14"/>
  <c r="AW54" i="14" s="1"/>
  <c r="AP54" i="14"/>
  <c r="AK54" i="14"/>
  <c r="AJ54" i="14"/>
  <c r="BI53" i="14"/>
  <c r="BH53" i="14"/>
  <c r="BE53" i="14"/>
  <c r="BB53" i="14"/>
  <c r="AV53" i="14"/>
  <c r="AU53" i="14"/>
  <c r="AW53" i="14" s="1"/>
  <c r="AP53" i="14"/>
  <c r="AK53" i="14"/>
  <c r="AJ53" i="14"/>
  <c r="BC53" i="14" s="1"/>
  <c r="BI52" i="14"/>
  <c r="BH52" i="14"/>
  <c r="BE52" i="14"/>
  <c r="BB52" i="14"/>
  <c r="AV52" i="14"/>
  <c r="AU52" i="14"/>
  <c r="AW52" i="14" s="1"/>
  <c r="AP52" i="14"/>
  <c r="AK52" i="14"/>
  <c r="AJ52" i="14"/>
  <c r="BC52" i="14" s="1"/>
  <c r="BI51" i="14"/>
  <c r="BH51" i="14"/>
  <c r="BE51" i="14"/>
  <c r="BB51" i="14"/>
  <c r="AV51" i="14"/>
  <c r="AU51" i="14"/>
  <c r="AW51" i="14" s="1"/>
  <c r="AP51" i="14"/>
  <c r="AK51" i="14"/>
  <c r="AJ51" i="14"/>
  <c r="BC51" i="14" s="1"/>
  <c r="BI50" i="14"/>
  <c r="BH50" i="14"/>
  <c r="BE50" i="14"/>
  <c r="BB50" i="14"/>
  <c r="AV50" i="14"/>
  <c r="AU50" i="14"/>
  <c r="AW50" i="14" s="1"/>
  <c r="AP50" i="14"/>
  <c r="AK50" i="14"/>
  <c r="AJ50" i="14"/>
  <c r="BC50" i="14" s="1"/>
  <c r="BI49" i="14"/>
  <c r="BH49" i="14"/>
  <c r="BE49" i="14"/>
  <c r="BB49" i="14"/>
  <c r="AV49" i="14"/>
  <c r="AU49" i="14"/>
  <c r="AW49" i="14" s="1"/>
  <c r="AP49" i="14"/>
  <c r="AK49" i="14"/>
  <c r="AJ49" i="14"/>
  <c r="BC49" i="14" s="1"/>
  <c r="BI48" i="14"/>
  <c r="BH48" i="14"/>
  <c r="BE48" i="14"/>
  <c r="BB48" i="14"/>
  <c r="AV48" i="14"/>
  <c r="AU48" i="14"/>
  <c r="AW48" i="14" s="1"/>
  <c r="AP48" i="14"/>
  <c r="AK48" i="14"/>
  <c r="AJ48" i="14"/>
  <c r="BC48" i="14" s="1"/>
  <c r="BI47" i="14"/>
  <c r="BH47" i="14"/>
  <c r="BE47" i="14"/>
  <c r="BB47" i="14"/>
  <c r="AV47" i="14"/>
  <c r="AU47" i="14"/>
  <c r="AW47" i="14" s="1"/>
  <c r="AP47" i="14"/>
  <c r="AK47" i="14"/>
  <c r="AJ47" i="14"/>
  <c r="BI46" i="14"/>
  <c r="BH46" i="14"/>
  <c r="BE46" i="14"/>
  <c r="BB46" i="14"/>
  <c r="AV46" i="14"/>
  <c r="AU46" i="14"/>
  <c r="AW46" i="14" s="1"/>
  <c r="AP46" i="14"/>
  <c r="AK46" i="14"/>
  <c r="AJ46" i="14"/>
  <c r="BC46" i="14" s="1"/>
  <c r="BI45" i="14"/>
  <c r="BH45" i="14"/>
  <c r="BE45" i="14"/>
  <c r="BB45" i="14"/>
  <c r="AV45" i="14"/>
  <c r="AU45" i="14"/>
  <c r="AW45" i="14" s="1"/>
  <c r="AP45" i="14"/>
  <c r="AK45" i="14"/>
  <c r="AJ45" i="14"/>
  <c r="BC45" i="14" s="1"/>
  <c r="BI44" i="14"/>
  <c r="BH44" i="14"/>
  <c r="BE44" i="14"/>
  <c r="BB44" i="14"/>
  <c r="AV44" i="14"/>
  <c r="AU44" i="14"/>
  <c r="AW44" i="14" s="1"/>
  <c r="AP44" i="14"/>
  <c r="AK44" i="14"/>
  <c r="AJ44" i="14"/>
  <c r="BC44" i="14" s="1"/>
  <c r="BI43" i="14"/>
  <c r="BH43" i="14"/>
  <c r="BE43" i="14"/>
  <c r="BB43" i="14"/>
  <c r="AV43" i="14"/>
  <c r="AU43" i="14"/>
  <c r="AW43" i="14" s="1"/>
  <c r="AP43" i="14"/>
  <c r="AK43" i="14"/>
  <c r="AJ43" i="14"/>
  <c r="BC43" i="14" s="1"/>
  <c r="BI42" i="14"/>
  <c r="BH42" i="14"/>
  <c r="BE42" i="14"/>
  <c r="BB42" i="14"/>
  <c r="AV42" i="14"/>
  <c r="AU42" i="14"/>
  <c r="AW42" i="14" s="1"/>
  <c r="AP42" i="14"/>
  <c r="AK42" i="14"/>
  <c r="AJ42" i="14"/>
  <c r="BI41" i="14"/>
  <c r="BH41" i="14"/>
  <c r="BE41" i="14"/>
  <c r="BB41" i="14"/>
  <c r="AV41" i="14"/>
  <c r="AU41" i="14"/>
  <c r="AW41" i="14" s="1"/>
  <c r="AP41" i="14"/>
  <c r="AK41" i="14"/>
  <c r="AJ41" i="14"/>
  <c r="BC41" i="14" s="1"/>
  <c r="BI40" i="14"/>
  <c r="BH40" i="14"/>
  <c r="BE40" i="14"/>
  <c r="BB40" i="14"/>
  <c r="AV40" i="14"/>
  <c r="AU40" i="14"/>
  <c r="AW40" i="14" s="1"/>
  <c r="AP40" i="14"/>
  <c r="AK40" i="14"/>
  <c r="AJ40" i="14"/>
  <c r="BC40" i="14" s="1"/>
  <c r="BI39" i="14"/>
  <c r="BH39" i="14"/>
  <c r="BE39" i="14"/>
  <c r="BB39" i="14"/>
  <c r="AV39" i="14"/>
  <c r="AU39" i="14"/>
  <c r="AW39" i="14" s="1"/>
  <c r="AP39" i="14"/>
  <c r="AK39" i="14"/>
  <c r="AJ39" i="14"/>
  <c r="BI38" i="14"/>
  <c r="BH38" i="14"/>
  <c r="BE38" i="14"/>
  <c r="BB38" i="14"/>
  <c r="AV38" i="14"/>
  <c r="AU38" i="14"/>
  <c r="AW38" i="14" s="1"/>
  <c r="AP38" i="14"/>
  <c r="AK38" i="14"/>
  <c r="AJ38" i="14"/>
  <c r="BC38" i="14" s="1"/>
  <c r="BI37" i="14"/>
  <c r="BH37" i="14"/>
  <c r="BE37" i="14"/>
  <c r="BB37" i="14"/>
  <c r="AV37" i="14"/>
  <c r="AU37" i="14"/>
  <c r="AW37" i="14" s="1"/>
  <c r="AP37" i="14"/>
  <c r="AK37" i="14"/>
  <c r="AJ37" i="14"/>
  <c r="BC37" i="14" s="1"/>
  <c r="BI36" i="14"/>
  <c r="BH36" i="14"/>
  <c r="BE36" i="14"/>
  <c r="BB36" i="14"/>
  <c r="AV36" i="14"/>
  <c r="AU36" i="14"/>
  <c r="AW36" i="14" s="1"/>
  <c r="AP36" i="14"/>
  <c r="AK36" i="14"/>
  <c r="AJ36" i="14"/>
  <c r="BC36" i="14" s="1"/>
  <c r="BI35" i="14"/>
  <c r="BH35" i="14"/>
  <c r="BE35" i="14"/>
  <c r="BB35" i="14"/>
  <c r="AV35" i="14"/>
  <c r="AU35" i="14"/>
  <c r="AW35" i="14" s="1"/>
  <c r="AP35" i="14"/>
  <c r="AK35" i="14"/>
  <c r="AJ35" i="14"/>
  <c r="BI34" i="14"/>
  <c r="BH34" i="14"/>
  <c r="BE34" i="14"/>
  <c r="BB34" i="14"/>
  <c r="AV34" i="14"/>
  <c r="AU34" i="14"/>
  <c r="AW34" i="14" s="1"/>
  <c r="AP34" i="14"/>
  <c r="AK34" i="14"/>
  <c r="AJ34" i="14"/>
  <c r="BC34" i="14" s="1"/>
  <c r="BI33" i="14"/>
  <c r="BH33" i="14"/>
  <c r="BE33" i="14"/>
  <c r="BB33" i="14"/>
  <c r="AV33" i="14"/>
  <c r="AU33" i="14"/>
  <c r="AW33" i="14" s="1"/>
  <c r="AP33" i="14"/>
  <c r="AK33" i="14"/>
  <c r="AJ33" i="14"/>
  <c r="BC33" i="14" s="1"/>
  <c r="BJ32" i="14"/>
  <c r="BJ34" i="14" s="1"/>
  <c r="BJ36" i="14" s="1"/>
  <c r="BJ38" i="14" s="1"/>
  <c r="BJ40" i="14" s="1"/>
  <c r="BJ42" i="14" s="1"/>
  <c r="BJ44" i="14" s="1"/>
  <c r="BJ46" i="14" s="1"/>
  <c r="BJ48" i="14" s="1"/>
  <c r="BJ50" i="14" s="1"/>
  <c r="BJ52" i="14" s="1"/>
  <c r="BJ54" i="14" s="1"/>
  <c r="BI32" i="14"/>
  <c r="BH32" i="14"/>
  <c r="BE32" i="14"/>
  <c r="BB32" i="14"/>
  <c r="AV32" i="14"/>
  <c r="AU32" i="14"/>
  <c r="AW32" i="14" s="1"/>
  <c r="AP32" i="14"/>
  <c r="AK32" i="14"/>
  <c r="AJ32" i="14"/>
  <c r="BC32" i="14" s="1"/>
  <c r="BJ31" i="14"/>
  <c r="BJ33" i="14" s="1"/>
  <c r="BJ35" i="14" s="1"/>
  <c r="BJ37" i="14" s="1"/>
  <c r="BJ39" i="14" s="1"/>
  <c r="BJ41" i="14" s="1"/>
  <c r="BJ43" i="14" s="1"/>
  <c r="BJ45" i="14" s="1"/>
  <c r="BJ47" i="14" s="1"/>
  <c r="BJ49" i="14" s="1"/>
  <c r="BJ51" i="14" s="1"/>
  <c r="BJ53" i="14" s="1"/>
  <c r="BJ55" i="14" s="1"/>
  <c r="BI31" i="14"/>
  <c r="BH31" i="14"/>
  <c r="BE31" i="14"/>
  <c r="BB31" i="14"/>
  <c r="AV31" i="14"/>
  <c r="AU31" i="14"/>
  <c r="AW31" i="14" s="1"/>
  <c r="AP31" i="14"/>
  <c r="AK31" i="14"/>
  <c r="AJ31" i="14"/>
  <c r="BC31" i="14" s="1"/>
  <c r="AB30" i="14"/>
  <c r="AA30" i="14"/>
  <c r="Y30" i="14"/>
  <c r="X30" i="14"/>
  <c r="V30" i="14"/>
  <c r="U30" i="14"/>
  <c r="S30" i="14"/>
  <c r="R30" i="14"/>
  <c r="P30" i="14"/>
  <c r="O30" i="14"/>
  <c r="M30" i="14"/>
  <c r="L30" i="14"/>
  <c r="K30" i="14"/>
  <c r="J30" i="14"/>
  <c r="I30" i="14"/>
  <c r="H30" i="14"/>
  <c r="AZ29" i="14"/>
  <c r="AL29" i="14"/>
  <c r="AB29" i="14"/>
  <c r="AA29" i="14"/>
  <c r="Y29" i="14"/>
  <c r="X29" i="14"/>
  <c r="V29" i="14"/>
  <c r="U29" i="14"/>
  <c r="S29" i="14"/>
  <c r="R29" i="14"/>
  <c r="P29" i="14"/>
  <c r="C27" i="15" s="1"/>
  <c r="O29" i="14"/>
  <c r="C26" i="15" s="1"/>
  <c r="C21" i="16" s="1"/>
  <c r="M29" i="14"/>
  <c r="C25" i="15" s="1"/>
  <c r="C20" i="16" s="1"/>
  <c r="L29" i="14"/>
  <c r="C22" i="15" s="1"/>
  <c r="K29" i="14"/>
  <c r="I17" i="15" s="1"/>
  <c r="L8" i="16" s="1"/>
  <c r="J29" i="14"/>
  <c r="H17" i="15" s="1"/>
  <c r="L7" i="16" s="1"/>
  <c r="I29" i="14"/>
  <c r="G17" i="15" s="1"/>
  <c r="L6" i="16" s="1"/>
  <c r="H29" i="14"/>
  <c r="F17" i="15" s="1"/>
  <c r="L5" i="16" s="1"/>
  <c r="C5" i="14"/>
  <c r="C1" i="14"/>
  <c r="J17" i="13"/>
  <c r="J16" i="13"/>
  <c r="J15" i="13"/>
  <c r="J14" i="13"/>
  <c r="J13" i="13"/>
  <c r="J12" i="13"/>
  <c r="J11" i="13"/>
  <c r="N10" i="13"/>
  <c r="J10" i="13"/>
  <c r="N9" i="13"/>
  <c r="N8" i="13"/>
  <c r="N7" i="13"/>
  <c r="N6" i="13"/>
  <c r="N5" i="13"/>
  <c r="K5" i="13"/>
  <c r="J6" i="13" s="1"/>
  <c r="J5" i="13"/>
  <c r="G5" i="13"/>
  <c r="F6" i="13" s="1"/>
  <c r="F5" i="13"/>
  <c r="A52" i="12"/>
  <c r="A35" i="12"/>
  <c r="AS34" i="12"/>
  <c r="AR34" i="12"/>
  <c r="J16" i="12" s="1"/>
  <c r="J67" i="12" s="1"/>
  <c r="AS33" i="12"/>
  <c r="K15" i="12" s="1"/>
  <c r="K66" i="12" s="1"/>
  <c r="AR33" i="12"/>
  <c r="J15" i="12" s="1"/>
  <c r="AS32" i="12"/>
  <c r="K14" i="12" s="1"/>
  <c r="K65" i="12" s="1"/>
  <c r="AR32" i="12"/>
  <c r="J14" i="12" s="1"/>
  <c r="AS31" i="12"/>
  <c r="K13" i="12" s="1"/>
  <c r="K64" i="12" s="1"/>
  <c r="AR31" i="12"/>
  <c r="J13" i="12" s="1"/>
  <c r="AS30" i="12"/>
  <c r="K12" i="12" s="1"/>
  <c r="K46" i="12" s="1"/>
  <c r="AR30" i="12"/>
  <c r="J12" i="12" s="1"/>
  <c r="J46" i="12" s="1"/>
  <c r="AS29" i="12"/>
  <c r="K11" i="12" s="1"/>
  <c r="K45" i="12" s="1"/>
  <c r="AR29" i="12"/>
  <c r="J11" i="12" s="1"/>
  <c r="AS28" i="12"/>
  <c r="K10" i="12" s="1"/>
  <c r="K61" i="12" s="1"/>
  <c r="AR28" i="12"/>
  <c r="J10" i="12" s="1"/>
  <c r="AS27" i="12"/>
  <c r="K9" i="12" s="1"/>
  <c r="K43" i="12" s="1"/>
  <c r="AR27" i="12"/>
  <c r="J9" i="12" s="1"/>
  <c r="AS26" i="12"/>
  <c r="K8" i="12" s="1"/>
  <c r="K42" i="12" s="1"/>
  <c r="AR26" i="12"/>
  <c r="J8" i="12" s="1"/>
  <c r="AS25" i="12"/>
  <c r="K7" i="12" s="1"/>
  <c r="AR25" i="12"/>
  <c r="J7" i="12" s="1"/>
  <c r="AQ25" i="12"/>
  <c r="I7" i="12" s="1"/>
  <c r="I58" i="12" s="1"/>
  <c r="AP25" i="12"/>
  <c r="H7" i="12" s="1"/>
  <c r="AO25" i="12"/>
  <c r="G7" i="12" s="1"/>
  <c r="G41" i="12" s="1"/>
  <c r="AN25" i="12"/>
  <c r="F7" i="12" s="1"/>
  <c r="AM25" i="12"/>
  <c r="E7" i="12" s="1"/>
  <c r="E41" i="12" s="1"/>
  <c r="AL25" i="12"/>
  <c r="D7" i="12" s="1"/>
  <c r="AK25" i="12"/>
  <c r="C7" i="12" s="1"/>
  <c r="AS24" i="12"/>
  <c r="K6" i="12" s="1"/>
  <c r="K57" i="12" s="1"/>
  <c r="AR24" i="12"/>
  <c r="J6" i="12" s="1"/>
  <c r="J57" i="12" s="1"/>
  <c r="AQ24" i="12"/>
  <c r="I6" i="12" s="1"/>
  <c r="I40" i="12" s="1"/>
  <c r="AP24" i="12"/>
  <c r="H6" i="12" s="1"/>
  <c r="H40" i="12" s="1"/>
  <c r="AO24" i="12"/>
  <c r="G6" i="12" s="1"/>
  <c r="AN24" i="12"/>
  <c r="F6" i="12" s="1"/>
  <c r="F40" i="12" s="1"/>
  <c r="AM24" i="12"/>
  <c r="E6" i="12" s="1"/>
  <c r="E40" i="12" s="1"/>
  <c r="AL24" i="12"/>
  <c r="D6" i="12" s="1"/>
  <c r="D57" i="12" s="1"/>
  <c r="AK24" i="12"/>
  <c r="C6" i="12" s="1"/>
  <c r="C57" i="12" s="1"/>
  <c r="AS23" i="12"/>
  <c r="K5" i="12" s="1"/>
  <c r="AR23" i="12"/>
  <c r="J5" i="12" s="1"/>
  <c r="J39" i="12" s="1"/>
  <c r="AQ23" i="12"/>
  <c r="I5" i="12" s="1"/>
  <c r="I39" i="12" s="1"/>
  <c r="AP23" i="12"/>
  <c r="H5" i="12" s="1"/>
  <c r="AO23" i="12"/>
  <c r="G5" i="12" s="1"/>
  <c r="G39" i="12" s="1"/>
  <c r="AN23" i="12"/>
  <c r="F5" i="12" s="1"/>
  <c r="AM23" i="12"/>
  <c r="E5" i="12" s="1"/>
  <c r="E56" i="12" s="1"/>
  <c r="AL23" i="12"/>
  <c r="D5" i="12" s="1"/>
  <c r="AK23" i="12"/>
  <c r="C5" i="12" s="1"/>
  <c r="C56" i="12" s="1"/>
  <c r="AS22" i="12"/>
  <c r="K4" i="12" s="1"/>
  <c r="AR22" i="12"/>
  <c r="J4" i="12" s="1"/>
  <c r="J38" i="12" s="1"/>
  <c r="AQ22" i="12"/>
  <c r="I4" i="12" s="1"/>
  <c r="AP22" i="12"/>
  <c r="H4" i="12" s="1"/>
  <c r="AO22" i="12"/>
  <c r="G4" i="12" s="1"/>
  <c r="AN22" i="12"/>
  <c r="F4" i="12" s="1"/>
  <c r="F55" i="12" s="1"/>
  <c r="AM22" i="12"/>
  <c r="E4" i="12" s="1"/>
  <c r="E55" i="12" s="1"/>
  <c r="AL22" i="12"/>
  <c r="D4" i="12" s="1"/>
  <c r="AK22" i="12"/>
  <c r="C4" i="12" s="1"/>
  <c r="AS21" i="12"/>
  <c r="K3" i="12" s="1"/>
  <c r="K37" i="12" s="1"/>
  <c r="AR21" i="12"/>
  <c r="J3" i="12" s="1"/>
  <c r="AQ21" i="12"/>
  <c r="I3" i="12" s="1"/>
  <c r="I54" i="12" s="1"/>
  <c r="AP21" i="12"/>
  <c r="H3" i="12" s="1"/>
  <c r="AO21" i="12"/>
  <c r="G3" i="12" s="1"/>
  <c r="AN21" i="12"/>
  <c r="F3" i="12" s="1"/>
  <c r="F54" i="12" s="1"/>
  <c r="AM21" i="12"/>
  <c r="E3" i="12" s="1"/>
  <c r="E54" i="12" s="1"/>
  <c r="AL21" i="12"/>
  <c r="D3" i="12" s="1"/>
  <c r="AK21" i="12"/>
  <c r="C3" i="12" s="1"/>
  <c r="C37" i="12" s="1"/>
  <c r="AQ16" i="12"/>
  <c r="K16" i="12"/>
  <c r="K50" i="12" s="1"/>
  <c r="AQ15" i="12"/>
  <c r="AQ14" i="12"/>
  <c r="AQ13" i="12"/>
  <c r="AQ12" i="12"/>
  <c r="AQ11" i="12"/>
  <c r="AQ10" i="12"/>
  <c r="AQ9" i="12"/>
  <c r="AQ8" i="12" s="1"/>
  <c r="J123" i="11"/>
  <c r="J8" i="11" s="1"/>
  <c r="I123" i="11"/>
  <c r="I8" i="11" s="1"/>
  <c r="H123" i="11"/>
  <c r="H8" i="11" s="1"/>
  <c r="G123" i="11"/>
  <c r="G8" i="11" s="1"/>
  <c r="F123" i="11"/>
  <c r="F8" i="11" s="1"/>
  <c r="E123" i="11"/>
  <c r="E8" i="11" s="1"/>
  <c r="J122" i="11"/>
  <c r="J7" i="11" s="1"/>
  <c r="I122" i="11"/>
  <c r="I7" i="11" s="1"/>
  <c r="H122" i="11"/>
  <c r="H7" i="11" s="1"/>
  <c r="G122" i="11"/>
  <c r="G7" i="11" s="1"/>
  <c r="F122" i="11"/>
  <c r="F7" i="11" s="1"/>
  <c r="E122" i="11"/>
  <c r="E7" i="11" s="1"/>
  <c r="J121" i="11"/>
  <c r="J6" i="11" s="1"/>
  <c r="I121" i="11"/>
  <c r="I6" i="11" s="1"/>
  <c r="H121" i="11"/>
  <c r="H6" i="11" s="1"/>
  <c r="G121" i="11"/>
  <c r="G6" i="11" s="1"/>
  <c r="F121" i="11"/>
  <c r="F6" i="11" s="1"/>
  <c r="E121" i="11"/>
  <c r="E6" i="11" s="1"/>
  <c r="J120" i="11"/>
  <c r="J5" i="11" s="1"/>
  <c r="I120" i="11"/>
  <c r="I5" i="11" s="1"/>
  <c r="H120" i="11"/>
  <c r="H5" i="11" s="1"/>
  <c r="G120" i="11"/>
  <c r="G5" i="11" s="1"/>
  <c r="F120" i="11"/>
  <c r="F5" i="11" s="1"/>
  <c r="E120" i="11"/>
  <c r="E5" i="11" s="1"/>
  <c r="J119" i="11"/>
  <c r="J4" i="11" s="1"/>
  <c r="I119" i="11"/>
  <c r="I4" i="11" s="1"/>
  <c r="H119" i="11"/>
  <c r="H4" i="11" s="1"/>
  <c r="G119" i="11"/>
  <c r="G4" i="11" s="1"/>
  <c r="F119" i="11"/>
  <c r="F4" i="11" s="1"/>
  <c r="E119" i="11"/>
  <c r="E4" i="11" s="1"/>
  <c r="B89" i="11"/>
  <c r="C89" i="11" s="1"/>
  <c r="F87" i="11"/>
  <c r="G87" i="11" s="1"/>
  <c r="B83" i="11"/>
  <c r="B82" i="11"/>
  <c r="B81" i="11"/>
  <c r="B80" i="11"/>
  <c r="B79" i="11"/>
  <c r="B78" i="11"/>
  <c r="B77" i="11"/>
  <c r="B76" i="11"/>
  <c r="B75" i="11"/>
  <c r="B74" i="11"/>
  <c r="B73" i="11"/>
  <c r="B72" i="11"/>
  <c r="B71" i="11"/>
  <c r="B70" i="11"/>
  <c r="B69" i="11"/>
  <c r="B68" i="11"/>
  <c r="B67" i="11"/>
  <c r="B62" i="11"/>
  <c r="B59" i="11"/>
  <c r="G43" i="11"/>
  <c r="J43" i="11" s="1"/>
  <c r="M43" i="11" s="1"/>
  <c r="P43" i="11" s="1"/>
  <c r="S43" i="11" s="1"/>
  <c r="V43" i="11" s="1"/>
  <c r="D36" i="11"/>
  <c r="D35" i="11"/>
  <c r="D34" i="11"/>
  <c r="D33" i="11"/>
  <c r="D32" i="11"/>
  <c r="D31" i="11"/>
  <c r="D30" i="11"/>
  <c r="D29" i="11"/>
  <c r="C29" i="11"/>
  <c r="B56" i="11" s="1"/>
  <c r="D28" i="11"/>
  <c r="L27" i="11"/>
  <c r="D27" i="11"/>
  <c r="CU26" i="11"/>
  <c r="CV26" i="11" s="1"/>
  <c r="L26" i="11"/>
  <c r="D26" i="11"/>
  <c r="L25" i="11"/>
  <c r="D25" i="11"/>
  <c r="BT24" i="11"/>
  <c r="BS29" i="11" s="1"/>
  <c r="BK7" i="11" s="1"/>
  <c r="BR24" i="11"/>
  <c r="BU25" i="11" s="1"/>
  <c r="L24" i="11"/>
  <c r="D24" i="11"/>
  <c r="C24" i="11"/>
  <c r="AA23" i="11"/>
  <c r="X23" i="11"/>
  <c r="L23" i="11"/>
  <c r="L29" i="11" s="1"/>
  <c r="L31" i="11" s="1"/>
  <c r="D23" i="11"/>
  <c r="O22" i="11"/>
  <c r="O38" i="11" s="1"/>
  <c r="C21" i="11"/>
  <c r="C20" i="11"/>
  <c r="C19" i="11"/>
  <c r="D17" i="11"/>
  <c r="D16" i="11"/>
  <c r="D15" i="11"/>
  <c r="D14" i="11"/>
  <c r="C14" i="11"/>
  <c r="Z3" i="11" s="1"/>
  <c r="D13" i="11"/>
  <c r="C13" i="11"/>
  <c r="Y3" i="11" s="1"/>
  <c r="D12" i="11"/>
  <c r="C12" i="11"/>
  <c r="AU3" i="11" s="1"/>
  <c r="D11" i="11"/>
  <c r="D10" i="11"/>
  <c r="D9" i="11"/>
  <c r="C9" i="11"/>
  <c r="L8" i="11"/>
  <c r="D8" i="11"/>
  <c r="C8" i="11"/>
  <c r="L7" i="11"/>
  <c r="D7" i="11"/>
  <c r="L6" i="11"/>
  <c r="D6" i="11"/>
  <c r="L5" i="11"/>
  <c r="D5" i="11"/>
  <c r="C5" i="11"/>
  <c r="V3" i="11" s="1"/>
  <c r="CU4" i="11"/>
  <c r="CV4" i="11" s="1"/>
  <c r="R7" i="10" s="1"/>
  <c r="D4" i="11"/>
  <c r="BA3" i="11"/>
  <c r="AX3" i="11"/>
  <c r="AD3" i="11"/>
  <c r="AA3" i="11"/>
  <c r="C3" i="11"/>
  <c r="B54" i="11" s="1"/>
  <c r="BT2" i="11"/>
  <c r="BS11" i="11" s="1"/>
  <c r="AO2" i="11"/>
  <c r="AO19" i="11" s="1"/>
  <c r="O2" i="11"/>
  <c r="O10" i="11" s="1"/>
  <c r="H40" i="10"/>
  <c r="F40" i="10"/>
  <c r="C40" i="10"/>
  <c r="F38" i="10"/>
  <c r="F90" i="11" s="1"/>
  <c r="H34" i="10"/>
  <c r="F32" i="10"/>
  <c r="C31" i="10"/>
  <c r="C44" i="10" s="1"/>
  <c r="D30" i="10"/>
  <c r="BA1" i="13" s="1"/>
  <c r="H29" i="10"/>
  <c r="H30" i="10" s="1"/>
  <c r="F29" i="10"/>
  <c r="C28" i="10"/>
  <c r="C30" i="11" s="1"/>
  <c r="C31" i="11" s="1"/>
  <c r="C32" i="11" s="1"/>
  <c r="F26" i="10" s="1"/>
  <c r="F21" i="10"/>
  <c r="L11" i="11" s="1"/>
  <c r="F20" i="10"/>
  <c r="C20" i="10"/>
  <c r="C25" i="11" s="1"/>
  <c r="F19" i="10"/>
  <c r="H14" i="10"/>
  <c r="G14" i="10"/>
  <c r="J13" i="10"/>
  <c r="I13" i="10"/>
  <c r="J12" i="10"/>
  <c r="I12" i="10"/>
  <c r="J11" i="10"/>
  <c r="I11" i="10"/>
  <c r="J10" i="10"/>
  <c r="I10" i="10"/>
  <c r="C7" i="10"/>
  <c r="C1" i="10"/>
  <c r="F258" i="7"/>
  <c r="F257" i="7"/>
  <c r="F256" i="7"/>
  <c r="F255" i="7"/>
  <c r="F254" i="7"/>
  <c r="F253" i="7"/>
  <c r="F252" i="7"/>
  <c r="F251" i="7"/>
  <c r="F250" i="7"/>
  <c r="F249"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2" i="7"/>
  <c r="F221" i="7"/>
  <c r="F220" i="7"/>
  <c r="F219" i="7"/>
  <c r="F218" i="7"/>
  <c r="F217" i="7"/>
  <c r="F216" i="7"/>
  <c r="F215" i="7"/>
  <c r="F214" i="7"/>
  <c r="F213" i="7"/>
  <c r="F212" i="7"/>
  <c r="F211" i="7"/>
  <c r="F210" i="7"/>
  <c r="F209" i="7"/>
  <c r="F208" i="7"/>
  <c r="F207" i="7"/>
  <c r="F206" i="7"/>
  <c r="F205" i="7"/>
  <c r="F204" i="7"/>
  <c r="F203" i="7"/>
  <c r="F202" i="7"/>
  <c r="F201" i="7"/>
  <c r="F200" i="7"/>
  <c r="F199" i="7"/>
  <c r="F198" i="7"/>
  <c r="F197" i="7"/>
  <c r="F196" i="7"/>
  <c r="F195" i="7"/>
  <c r="F194" i="7"/>
  <c r="F193" i="7"/>
  <c r="F192" i="7"/>
  <c r="F191" i="7"/>
  <c r="F190" i="7"/>
  <c r="F189" i="7"/>
  <c r="F188" i="7"/>
  <c r="F187" i="7"/>
  <c r="F186" i="7"/>
  <c r="F185" i="7"/>
  <c r="F184" i="7"/>
  <c r="F183" i="7"/>
  <c r="F182" i="7"/>
  <c r="F181" i="7"/>
  <c r="F180" i="7"/>
  <c r="F179" i="7"/>
  <c r="F178" i="7"/>
  <c r="F177" i="7"/>
  <c r="F176" i="7"/>
  <c r="F175" i="7"/>
  <c r="F174" i="7"/>
  <c r="F173" i="7"/>
  <c r="F172" i="7"/>
  <c r="F171" i="7"/>
  <c r="F170" i="7"/>
  <c r="F169" i="7"/>
  <c r="F168" i="7"/>
  <c r="F167" i="7"/>
  <c r="F166" i="7"/>
  <c r="F165" i="7"/>
  <c r="F164" i="7"/>
  <c r="F163" i="7"/>
  <c r="F162" i="7"/>
  <c r="F161" i="7"/>
  <c r="F160" i="7"/>
  <c r="F159" i="7"/>
  <c r="F158" i="7"/>
  <c r="F157" i="7"/>
  <c r="F156" i="7"/>
  <c r="F155" i="7"/>
  <c r="F154" i="7"/>
  <c r="F153" i="7"/>
  <c r="F152" i="7"/>
  <c r="F151" i="7"/>
  <c r="F150" i="7"/>
  <c r="F149" i="7"/>
  <c r="F148" i="7"/>
  <c r="F147" i="7"/>
  <c r="F146" i="7"/>
  <c r="F145" i="7"/>
  <c r="F144" i="7"/>
  <c r="F143" i="7"/>
  <c r="F142" i="7"/>
  <c r="F141" i="7"/>
  <c r="F140" i="7"/>
  <c r="F139" i="7"/>
  <c r="F138" i="7"/>
  <c r="F137" i="7"/>
  <c r="F136" i="7"/>
  <c r="F135" i="7"/>
  <c r="F134" i="7"/>
  <c r="F133" i="7"/>
  <c r="F132" i="7"/>
  <c r="F131" i="7"/>
  <c r="F130" i="7"/>
  <c r="F129" i="7"/>
  <c r="F128" i="7"/>
  <c r="F127" i="7"/>
  <c r="F126" i="7"/>
  <c r="F125" i="7"/>
  <c r="F124" i="7"/>
  <c r="F123" i="7"/>
  <c r="F122" i="7"/>
  <c r="F121" i="7"/>
  <c r="F120" i="7"/>
  <c r="F119" i="7"/>
  <c r="F118" i="7"/>
  <c r="F117" i="7"/>
  <c r="F116" i="7"/>
  <c r="F115" i="7"/>
  <c r="F114" i="7"/>
  <c r="F113" i="7"/>
  <c r="F112" i="7"/>
  <c r="F111" i="7"/>
  <c r="F110" i="7"/>
  <c r="F109" i="7"/>
  <c r="F108" i="7"/>
  <c r="F107" i="7"/>
  <c r="F106" i="7"/>
  <c r="F105" i="7"/>
  <c r="F104" i="7"/>
  <c r="F103" i="7"/>
  <c r="F102" i="7"/>
  <c r="F101" i="7"/>
  <c r="F100" i="7"/>
  <c r="F99" i="7"/>
  <c r="F98" i="7"/>
  <c r="F97" i="7"/>
  <c r="F96" i="7"/>
  <c r="F95" i="7"/>
  <c r="F94" i="7"/>
  <c r="F93" i="7"/>
  <c r="F92" i="7"/>
  <c r="F91" i="7"/>
  <c r="F90" i="7"/>
  <c r="F89" i="7"/>
  <c r="F88" i="7"/>
  <c r="F87" i="7"/>
  <c r="F86" i="7"/>
  <c r="F85" i="7"/>
  <c r="F84" i="7"/>
  <c r="F83" i="7"/>
  <c r="F82" i="7"/>
  <c r="F81" i="7"/>
  <c r="F80" i="7"/>
  <c r="F79" i="7"/>
  <c r="F78" i="7"/>
  <c r="F77" i="7"/>
  <c r="F76" i="7"/>
  <c r="F75" i="7"/>
  <c r="F74" i="7"/>
  <c r="F73" i="7"/>
  <c r="F72" i="7"/>
  <c r="F71" i="7"/>
  <c r="F70" i="7"/>
  <c r="F69" i="7"/>
  <c r="F68" i="7"/>
  <c r="F67" i="7"/>
  <c r="F66" i="7"/>
  <c r="F65" i="7"/>
  <c r="F64" i="7"/>
  <c r="F63" i="7"/>
  <c r="F62" i="7"/>
  <c r="F61" i="7"/>
  <c r="F60" i="7"/>
  <c r="F59" i="7"/>
  <c r="F58" i="7"/>
  <c r="F57" i="7"/>
  <c r="F56" i="7"/>
  <c r="F55" i="7"/>
  <c r="F54" i="7"/>
  <c r="F53" i="7"/>
  <c r="F52" i="7"/>
  <c r="F51" i="7"/>
  <c r="F50" i="7"/>
  <c r="F49" i="7"/>
  <c r="F48" i="7"/>
  <c r="F47" i="7"/>
  <c r="F46" i="7"/>
  <c r="F45" i="7"/>
  <c r="F44" i="7"/>
  <c r="F43" i="7"/>
  <c r="F42" i="7"/>
  <c r="F41" i="7"/>
  <c r="F40" i="7"/>
  <c r="F39" i="7"/>
  <c r="F38" i="7"/>
  <c r="F37" i="7"/>
  <c r="F36" i="7"/>
  <c r="F35" i="7"/>
  <c r="F34" i="7"/>
  <c r="F33" i="7"/>
  <c r="T32" i="7"/>
  <c r="W32" i="7" s="1"/>
  <c r="F32" i="7"/>
  <c r="F31" i="7"/>
  <c r="F30" i="7"/>
  <c r="T29" i="7"/>
  <c r="W29" i="7" s="1"/>
  <c r="F29" i="7"/>
  <c r="T28" i="7"/>
  <c r="W28" i="7" s="1"/>
  <c r="F28" i="7"/>
  <c r="T27" i="7"/>
  <c r="W27" i="7" s="1"/>
  <c r="F27" i="7"/>
  <c r="T26" i="7"/>
  <c r="W26" i="7" s="1"/>
  <c r="F26" i="7"/>
  <c r="T25" i="7"/>
  <c r="W25" i="7" s="1"/>
  <c r="F25" i="7"/>
  <c r="F24" i="7"/>
  <c r="F23" i="7"/>
  <c r="F22" i="7"/>
  <c r="F21" i="7"/>
  <c r="F20" i="7"/>
  <c r="F19" i="7"/>
  <c r="F18" i="7"/>
  <c r="F17" i="7"/>
  <c r="F16" i="7"/>
  <c r="F15" i="7"/>
  <c r="F14" i="7"/>
  <c r="AB13" i="7"/>
  <c r="F13" i="7"/>
  <c r="AB12" i="7"/>
  <c r="AB14" i="7" s="1"/>
  <c r="AB15" i="7" s="1"/>
  <c r="AB17" i="7" s="1"/>
  <c r="O17" i="6" s="1"/>
  <c r="V12" i="7"/>
  <c r="F12" i="7"/>
  <c r="V11" i="7"/>
  <c r="F11" i="7"/>
  <c r="F10" i="7"/>
  <c r="N9" i="7"/>
  <c r="P9" i="7" s="1"/>
  <c r="F9" i="7"/>
  <c r="F8" i="7"/>
  <c r="N7" i="7"/>
  <c r="W37" i="7" s="1"/>
  <c r="F7" i="7"/>
  <c r="N6" i="7"/>
  <c r="F6" i="7"/>
  <c r="AG5" i="7"/>
  <c r="P5" i="7"/>
  <c r="N5" i="7"/>
  <c r="F5" i="7"/>
  <c r="AG4" i="7"/>
  <c r="P4" i="7"/>
  <c r="N4" i="7"/>
  <c r="F4" i="7"/>
  <c r="AG3" i="7"/>
  <c r="P3" i="7"/>
  <c r="V10" i="7" s="1"/>
  <c r="N3" i="7"/>
  <c r="M63" i="7" s="1"/>
  <c r="F3" i="7"/>
  <c r="I45" i="6"/>
  <c r="T37" i="6"/>
  <c r="N43" i="6"/>
  <c r="N42" i="6"/>
  <c r="N41" i="6"/>
  <c r="I38" i="6"/>
  <c r="I37" i="6"/>
  <c r="I28" i="6"/>
  <c r="D24" i="6"/>
  <c r="AG6" i="7" s="1"/>
  <c r="N22" i="6"/>
  <c r="D21" i="6"/>
  <c r="W19" i="6"/>
  <c r="T19" i="6"/>
  <c r="W18" i="6"/>
  <c r="W17" i="6"/>
  <c r="T17" i="6"/>
  <c r="W16" i="6"/>
  <c r="T16" i="6"/>
  <c r="W15" i="6"/>
  <c r="T15" i="6" s="1"/>
  <c r="N11" i="6"/>
  <c r="N12" i="6" s="1"/>
  <c r="N14" i="6" s="1"/>
  <c r="K10" i="6"/>
  <c r="K9" i="6"/>
  <c r="K8" i="6"/>
  <c r="K7" i="6"/>
  <c r="D6" i="6"/>
  <c r="D1" i="6"/>
  <c r="K46" i="3"/>
  <c r="K47" i="3" s="1"/>
  <c r="O42" i="3"/>
  <c r="O40" i="3"/>
  <c r="O39" i="3"/>
  <c r="O38" i="3"/>
  <c r="O37" i="3"/>
  <c r="F31" i="3"/>
  <c r="F32" i="3" s="1"/>
  <c r="F33" i="3" s="1"/>
  <c r="F34" i="3" s="1"/>
  <c r="F35" i="3" s="1"/>
  <c r="F36" i="3" s="1"/>
  <c r="F37" i="3" s="1"/>
  <c r="F38" i="3" s="1"/>
  <c r="F39" i="3" s="1"/>
  <c r="F40" i="3" s="1"/>
  <c r="C23" i="3"/>
  <c r="C22" i="3"/>
  <c r="C21" i="3"/>
  <c r="G19" i="3"/>
  <c r="O17" i="3" s="1"/>
  <c r="C19" i="3"/>
  <c r="C17" i="3"/>
  <c r="C16" i="3"/>
  <c r="C15" i="3"/>
  <c r="C14" i="3"/>
  <c r="C12" i="3"/>
  <c r="R11" i="3"/>
  <c r="C10" i="3"/>
  <c r="R27" i="3" s="1"/>
  <c r="R28" i="3" s="1"/>
  <c r="C26" i="2" s="1"/>
  <c r="C9" i="3"/>
  <c r="R25" i="3" s="1"/>
  <c r="R8" i="3"/>
  <c r="Q8" i="3"/>
  <c r="R7" i="3"/>
  <c r="Q7" i="3"/>
  <c r="R6" i="3"/>
  <c r="Q6" i="3"/>
  <c r="C6" i="3"/>
  <c r="R5" i="3"/>
  <c r="Q5" i="3"/>
  <c r="C5" i="3"/>
  <c r="C7" i="3" s="1"/>
  <c r="R4" i="3"/>
  <c r="Q4" i="3"/>
  <c r="C4" i="3"/>
  <c r="R3" i="3"/>
  <c r="Q3" i="3"/>
  <c r="C3" i="3"/>
  <c r="C2" i="3"/>
  <c r="K41" i="2"/>
  <c r="K42" i="2" s="1"/>
  <c r="K44" i="2" s="1"/>
  <c r="K31" i="2"/>
  <c r="K29" i="2"/>
  <c r="K28" i="2"/>
  <c r="K27" i="2"/>
  <c r="O25" i="2"/>
  <c r="C25" i="2"/>
  <c r="C18" i="3" s="1"/>
  <c r="O24" i="2"/>
  <c r="O23" i="2"/>
  <c r="K23" i="2"/>
  <c r="O19" i="2"/>
  <c r="C18" i="2"/>
  <c r="G22" i="2" s="1"/>
  <c r="G17" i="2"/>
  <c r="C17" i="2"/>
  <c r="A11" i="2"/>
  <c r="K7" i="2"/>
  <c r="N6" i="2"/>
  <c r="N7" i="2" s="1"/>
  <c r="N8" i="2" s="1"/>
  <c r="N9" i="2" s="1"/>
  <c r="N10" i="2" s="1"/>
  <c r="N11" i="2" s="1"/>
  <c r="N12" i="2" s="1"/>
  <c r="N13" i="2" s="1"/>
  <c r="N14" i="2" s="1"/>
  <c r="N15" i="2" s="1"/>
  <c r="K60" i="17" l="1"/>
  <c r="AN26" i="12"/>
  <c r="F8" i="12" s="1"/>
  <c r="BB191" i="20"/>
  <c r="Y47" i="22"/>
  <c r="BB224" i="20"/>
  <c r="BB120" i="20"/>
  <c r="BB55" i="20"/>
  <c r="AO51" i="14"/>
  <c r="AQ51" i="14" s="1"/>
  <c r="BB216" i="20"/>
  <c r="K66" i="17"/>
  <c r="AO219" i="20"/>
  <c r="BB127" i="20"/>
  <c r="BB158" i="20"/>
  <c r="BB227" i="20"/>
  <c r="CB16" i="16"/>
  <c r="AO44" i="14"/>
  <c r="AQ44" i="14" s="1"/>
  <c r="BB159" i="20"/>
  <c r="G12" i="20"/>
  <c r="AO129" i="20"/>
  <c r="AO145" i="20"/>
  <c r="BB46" i="20"/>
  <c r="BB80" i="20"/>
  <c r="AO53" i="14"/>
  <c r="AQ53" i="14" s="1"/>
  <c r="BS32" i="16"/>
  <c r="BK10" i="16" s="1"/>
  <c r="AO206" i="20"/>
  <c r="AO5" i="16"/>
  <c r="AO34" i="20"/>
  <c r="G6" i="13"/>
  <c r="G7" i="13" s="1"/>
  <c r="F8" i="13" s="1"/>
  <c r="AO93" i="20"/>
  <c r="AO113" i="20"/>
  <c r="BB166" i="20"/>
  <c r="BD51" i="14"/>
  <c r="BF51" i="14" s="1"/>
  <c r="AG154" i="20"/>
  <c r="AI154" i="20" s="1"/>
  <c r="AO171" i="20"/>
  <c r="AO187" i="20"/>
  <c r="AG211" i="20"/>
  <c r="AO124" i="20"/>
  <c r="BB192" i="20"/>
  <c r="K43" i="17"/>
  <c r="AG43" i="20"/>
  <c r="AI43" i="20" s="1"/>
  <c r="AO64" i="20"/>
  <c r="AO71" i="20"/>
  <c r="AO79" i="20"/>
  <c r="AO83" i="20"/>
  <c r="AO136" i="20"/>
  <c r="AQ26" i="12"/>
  <c r="I8" i="12" s="1"/>
  <c r="I42" i="12" s="1"/>
  <c r="AG84" i="20"/>
  <c r="AV84" i="20" s="1"/>
  <c r="AW84" i="20" s="1"/>
  <c r="CB13" i="16"/>
  <c r="E12" i="22"/>
  <c r="E25" i="22" s="1"/>
  <c r="O16" i="11"/>
  <c r="BD40" i="14"/>
  <c r="BF40" i="14" s="1"/>
  <c r="AO42" i="14"/>
  <c r="AQ42" i="14" s="1"/>
  <c r="BD44" i="14"/>
  <c r="BF44" i="14" s="1"/>
  <c r="BD48" i="14"/>
  <c r="BF48" i="14" s="1"/>
  <c r="C22" i="21"/>
  <c r="AO100" i="20"/>
  <c r="BB101" i="20"/>
  <c r="BB214" i="20"/>
  <c r="G38" i="17"/>
  <c r="G55" i="17"/>
  <c r="G21" i="2"/>
  <c r="O29" i="2" s="1"/>
  <c r="O44" i="2" s="1"/>
  <c r="AO35" i="14"/>
  <c r="AQ35" i="14" s="1"/>
  <c r="BH29" i="14"/>
  <c r="AO36" i="14"/>
  <c r="AQ36" i="14" s="1"/>
  <c r="AO40" i="14"/>
  <c r="AQ40" i="14" s="1"/>
  <c r="BD43" i="14"/>
  <c r="BF43" i="14" s="1"/>
  <c r="CD17" i="16"/>
  <c r="F6" i="18"/>
  <c r="BB34" i="20"/>
  <c r="AO53" i="20"/>
  <c r="AO73" i="20"/>
  <c r="AO88" i="20"/>
  <c r="AG91" i="20"/>
  <c r="AI91" i="20" s="1"/>
  <c r="AO119" i="20"/>
  <c r="BB140" i="20"/>
  <c r="AO207" i="20"/>
  <c r="BB208" i="20"/>
  <c r="AO211" i="20"/>
  <c r="BB212" i="20"/>
  <c r="I5" i="22"/>
  <c r="I18" i="22" s="1"/>
  <c r="I9" i="22"/>
  <c r="I22" i="22" s="1"/>
  <c r="AO47" i="20"/>
  <c r="BB51" i="20"/>
  <c r="AG54" i="20"/>
  <c r="AI54" i="20" s="1"/>
  <c r="AO81" i="20"/>
  <c r="AG101" i="20"/>
  <c r="AG187" i="20"/>
  <c r="E7" i="22"/>
  <c r="E20" i="22" s="1"/>
  <c r="AD29" i="14"/>
  <c r="I11" i="15" s="1"/>
  <c r="AG36" i="14"/>
  <c r="AO96" i="20"/>
  <c r="AG117" i="20"/>
  <c r="AV117" i="20" s="1"/>
  <c r="AW117" i="20" s="1"/>
  <c r="AG140" i="20"/>
  <c r="AV140" i="20" s="1"/>
  <c r="AW140" i="20" s="1"/>
  <c r="K7" i="22"/>
  <c r="K20" i="22" s="1"/>
  <c r="AO32" i="14"/>
  <c r="AQ32" i="14" s="1"/>
  <c r="AO41" i="14"/>
  <c r="AQ41" i="14" s="1"/>
  <c r="BB31" i="20"/>
  <c r="AO46" i="20"/>
  <c r="BB47" i="20"/>
  <c r="AO101" i="20"/>
  <c r="AO125" i="20"/>
  <c r="AP125" i="20" s="1"/>
  <c r="BB176" i="20"/>
  <c r="BB190" i="20"/>
  <c r="AO196" i="20"/>
  <c r="BB204" i="20"/>
  <c r="AA21" i="22"/>
  <c r="Y24" i="22"/>
  <c r="BD32" i="14"/>
  <c r="BF32" i="14" s="1"/>
  <c r="BD42" i="14"/>
  <c r="BF42" i="14" s="1"/>
  <c r="CB10" i="16"/>
  <c r="CB17" i="16"/>
  <c r="I57" i="17"/>
  <c r="BB35" i="20"/>
  <c r="AO38" i="20"/>
  <c r="BB39" i="20"/>
  <c r="BB56" i="20"/>
  <c r="AG71" i="20"/>
  <c r="AP71" i="20" s="1"/>
  <c r="AO137" i="20"/>
  <c r="AO140" i="20"/>
  <c r="AG172" i="20"/>
  <c r="AV172" i="20" s="1"/>
  <c r="AW172" i="20" s="1"/>
  <c r="AO26" i="12"/>
  <c r="G8" i="12" s="1"/>
  <c r="G42" i="12" s="1"/>
  <c r="BD31" i="14"/>
  <c r="BF31" i="14" s="1"/>
  <c r="AG41" i="14"/>
  <c r="AO43" i="14"/>
  <c r="AQ43" i="14" s="1"/>
  <c r="AG49" i="14"/>
  <c r="O17" i="16"/>
  <c r="K57" i="17"/>
  <c r="AG93" i="20"/>
  <c r="AV93" i="20" s="1"/>
  <c r="AW93" i="20" s="1"/>
  <c r="AG178" i="20"/>
  <c r="AV178" i="20" s="1"/>
  <c r="AW178" i="20" s="1"/>
  <c r="BB182" i="20"/>
  <c r="BB220" i="20"/>
  <c r="AO222" i="20"/>
  <c r="W23" i="22"/>
  <c r="AO216" i="20"/>
  <c r="G8" i="22"/>
  <c r="G21" i="22" s="1"/>
  <c r="AL26" i="12"/>
  <c r="D8" i="12" s="1"/>
  <c r="D42" i="12" s="1"/>
  <c r="F20" i="20"/>
  <c r="AG46" i="20"/>
  <c r="AV46" i="20" s="1"/>
  <c r="AW46" i="20" s="1"/>
  <c r="AG115" i="20"/>
  <c r="AV115" i="20" s="1"/>
  <c r="AW115" i="20" s="1"/>
  <c r="AO141" i="20"/>
  <c r="BA145" i="20"/>
  <c r="BB145" i="20" s="1"/>
  <c r="AG179" i="20"/>
  <c r="AI179" i="20" s="1"/>
  <c r="AO199" i="20"/>
  <c r="BB200" i="20"/>
  <c r="AP26" i="12"/>
  <c r="H8" i="12" s="1"/>
  <c r="H59" i="12" s="1"/>
  <c r="AM26" i="12"/>
  <c r="E8" i="12" s="1"/>
  <c r="E42" i="12" s="1"/>
  <c r="AK26" i="12"/>
  <c r="C8" i="12" s="1"/>
  <c r="C42" i="12" s="1"/>
  <c r="O5" i="3"/>
  <c r="J64" i="17"/>
  <c r="J47" i="17"/>
  <c r="BA215" i="20"/>
  <c r="BB215" i="20" s="1"/>
  <c r="AO215" i="20"/>
  <c r="K30" i="3"/>
  <c r="I12" i="6"/>
  <c r="BS42" i="11"/>
  <c r="BK20" i="11" s="1"/>
  <c r="CB5" i="16"/>
  <c r="CB14" i="16"/>
  <c r="BS26" i="16"/>
  <c r="BK4" i="16" s="1"/>
  <c r="J6" i="18"/>
  <c r="F17" i="20"/>
  <c r="AG38" i="20"/>
  <c r="AV38" i="20" s="1"/>
  <c r="AW38" i="20" s="1"/>
  <c r="BB64" i="20"/>
  <c r="BB87" i="20"/>
  <c r="AG125" i="20"/>
  <c r="AV125" i="20" s="1"/>
  <c r="AW125" i="20" s="1"/>
  <c r="AO154" i="20"/>
  <c r="BB184" i="20"/>
  <c r="AG198" i="20"/>
  <c r="AI198" i="20" s="1"/>
  <c r="AO198" i="20"/>
  <c r="BB203" i="20"/>
  <c r="K33" i="3"/>
  <c r="AG47" i="14"/>
  <c r="AO55" i="14"/>
  <c r="AQ55" i="14" s="1"/>
  <c r="CB11" i="16"/>
  <c r="CD14" i="16"/>
  <c r="CB18" i="16"/>
  <c r="F64" i="17"/>
  <c r="K50" i="17"/>
  <c r="AG30" i="20"/>
  <c r="AV30" i="20" s="1"/>
  <c r="AW30" i="20" s="1"/>
  <c r="BB61" i="20"/>
  <c r="AG100" i="20"/>
  <c r="AG131" i="20"/>
  <c r="AV131" i="20" s="1"/>
  <c r="AW131" i="20" s="1"/>
  <c r="AG163" i="20"/>
  <c r="AI163" i="20" s="1"/>
  <c r="BB164" i="20"/>
  <c r="AG169" i="20"/>
  <c r="AV169" i="20" s="1"/>
  <c r="AW169" i="20" s="1"/>
  <c r="AO172" i="20"/>
  <c r="BB188" i="20"/>
  <c r="E11" i="22"/>
  <c r="E24" i="22" s="1"/>
  <c r="R10" i="3"/>
  <c r="R13" i="3" s="1"/>
  <c r="BB124" i="20"/>
  <c r="O13" i="11"/>
  <c r="AO34" i="14"/>
  <c r="AQ34" i="14" s="1"/>
  <c r="CB8" i="16"/>
  <c r="CB19" i="16"/>
  <c r="CD27" i="16"/>
  <c r="BS31" i="16"/>
  <c r="BK9" i="16" s="1"/>
  <c r="J128" i="16"/>
  <c r="J13" i="16" s="1"/>
  <c r="K7" i="18"/>
  <c r="J8" i="18" s="1"/>
  <c r="AE26" i="20"/>
  <c r="AG70" i="20"/>
  <c r="AI70" i="20" s="1"/>
  <c r="AO104" i="20"/>
  <c r="AG116" i="20"/>
  <c r="AI116" i="20" s="1"/>
  <c r="AG133" i="20"/>
  <c r="AI133" i="20" s="1"/>
  <c r="AG155" i="20"/>
  <c r="AV155" i="20" s="1"/>
  <c r="AW155" i="20" s="1"/>
  <c r="AG213" i="20"/>
  <c r="AI213" i="20" s="1"/>
  <c r="AG219" i="20"/>
  <c r="X3" i="21"/>
  <c r="J6" i="22"/>
  <c r="J19" i="22" s="1"/>
  <c r="G9" i="22"/>
  <c r="G22" i="22" s="1"/>
  <c r="K14" i="22"/>
  <c r="K27" i="22" s="1"/>
  <c r="W19" i="22"/>
  <c r="AA25" i="22"/>
  <c r="AA49" i="22"/>
  <c r="AG35" i="14"/>
  <c r="AO45" i="14"/>
  <c r="AQ45" i="14" s="1"/>
  <c r="AG46" i="14"/>
  <c r="CB7" i="16"/>
  <c r="AO12" i="16"/>
  <c r="CB15" i="16"/>
  <c r="CB20" i="16"/>
  <c r="F54" i="17"/>
  <c r="BB59" i="20"/>
  <c r="AO61" i="20"/>
  <c r="AG64" i="20"/>
  <c r="AV64" i="20" s="1"/>
  <c r="AW64" i="20" s="1"/>
  <c r="AO87" i="20"/>
  <c r="BB93" i="20"/>
  <c r="AG107" i="20"/>
  <c r="AI107" i="20" s="1"/>
  <c r="AG109" i="20"/>
  <c r="AI109" i="20" s="1"/>
  <c r="BB111" i="20"/>
  <c r="BB125" i="20"/>
  <c r="BC125" i="20" s="1"/>
  <c r="BB153" i="20"/>
  <c r="AO155" i="20"/>
  <c r="BB167" i="20"/>
  <c r="BB180" i="20"/>
  <c r="AO188" i="20"/>
  <c r="AG203" i="20"/>
  <c r="AV203" i="20" s="1"/>
  <c r="AW203" i="20" s="1"/>
  <c r="AO3" i="21"/>
  <c r="AG39" i="14"/>
  <c r="BG39" i="14" s="1"/>
  <c r="CB9" i="16"/>
  <c r="CB12" i="16"/>
  <c r="CB27" i="16"/>
  <c r="AG85" i="20"/>
  <c r="AV85" i="20" s="1"/>
  <c r="AW85" i="20" s="1"/>
  <c r="AG130" i="20"/>
  <c r="AI130" i="20" s="1"/>
  <c r="AG147" i="20"/>
  <c r="AI147" i="20" s="1"/>
  <c r="AG180" i="20"/>
  <c r="AV180" i="20" s="1"/>
  <c r="AW180" i="20" s="1"/>
  <c r="AO212" i="20"/>
  <c r="BS27" i="11"/>
  <c r="BK5" i="11" s="1"/>
  <c r="BD55" i="14"/>
  <c r="BF55" i="14" s="1"/>
  <c r="AG59" i="20"/>
  <c r="AV59" i="20" s="1"/>
  <c r="AW59" i="20" s="1"/>
  <c r="AO68" i="20"/>
  <c r="AG108" i="20"/>
  <c r="AV108" i="20" s="1"/>
  <c r="AW108" i="20" s="1"/>
  <c r="AO112" i="20"/>
  <c r="AO128" i="20"/>
  <c r="BB142" i="20"/>
  <c r="AG156" i="20"/>
  <c r="AV156" i="20" s="1"/>
  <c r="AW156" i="20" s="1"/>
  <c r="AO183" i="20"/>
  <c r="AG210" i="20"/>
  <c r="AV210" i="20" s="1"/>
  <c r="AW210" i="20" s="1"/>
  <c r="Z12" i="22"/>
  <c r="AG32" i="14"/>
  <c r="AG38" i="14"/>
  <c r="BD39" i="14"/>
  <c r="BF39" i="14" s="1"/>
  <c r="BD50" i="14"/>
  <c r="BF50" i="14" s="1"/>
  <c r="AG53" i="14"/>
  <c r="H40" i="15"/>
  <c r="CB4" i="16"/>
  <c r="O5" i="16"/>
  <c r="CB6" i="16"/>
  <c r="BS10" i="16"/>
  <c r="BB43" i="20"/>
  <c r="BB60" i="20"/>
  <c r="BB72" i="20"/>
  <c r="AG79" i="20"/>
  <c r="AV79" i="20" s="1"/>
  <c r="AW79" i="20" s="1"/>
  <c r="AO95" i="20"/>
  <c r="BB109" i="20"/>
  <c r="AG128" i="20"/>
  <c r="AI128" i="20" s="1"/>
  <c r="BA137" i="20"/>
  <c r="BB137" i="20" s="1"/>
  <c r="AG195" i="20"/>
  <c r="AI195" i="20" s="1"/>
  <c r="BB211" i="20"/>
  <c r="BC211" i="20" s="1"/>
  <c r="AG220" i="20"/>
  <c r="AI220" i="20" s="1"/>
  <c r="AG225" i="20"/>
  <c r="AI225" i="20" s="1"/>
  <c r="I10" i="22"/>
  <c r="I23" i="22" s="1"/>
  <c r="I39" i="17"/>
  <c r="I56" i="17"/>
  <c r="I41" i="17"/>
  <c r="I58" i="17"/>
  <c r="E39" i="17"/>
  <c r="E56" i="17"/>
  <c r="K39" i="17"/>
  <c r="K56" i="17"/>
  <c r="C39" i="17"/>
  <c r="C56" i="17"/>
  <c r="E59" i="17"/>
  <c r="E42" i="17"/>
  <c r="BS37" i="11"/>
  <c r="BK15" i="11" s="1"/>
  <c r="BI29" i="14"/>
  <c r="BD45" i="14"/>
  <c r="BF45" i="14" s="1"/>
  <c r="AO50" i="14"/>
  <c r="AQ50" i="14" s="1"/>
  <c r="CD4" i="16"/>
  <c r="CD6" i="16"/>
  <c r="CD9" i="16"/>
  <c r="CD11" i="16"/>
  <c r="CD16" i="16"/>
  <c r="CD20" i="16"/>
  <c r="H54" i="17"/>
  <c r="G60" i="17"/>
  <c r="G61" i="17"/>
  <c r="I38" i="17"/>
  <c r="AA27" i="20"/>
  <c r="AG29" i="20"/>
  <c r="AI29" i="20" s="1"/>
  <c r="BA85" i="20"/>
  <c r="BB85" i="20" s="1"/>
  <c r="AO85" i="20"/>
  <c r="AG92" i="20"/>
  <c r="AV92" i="20" s="1"/>
  <c r="AW92" i="20" s="1"/>
  <c r="BA223" i="20"/>
  <c r="BB223" i="20" s="1"/>
  <c r="AO223" i="20"/>
  <c r="N8" i="7"/>
  <c r="W35" i="7" s="1"/>
  <c r="BS32" i="11"/>
  <c r="BK10" i="11" s="1"/>
  <c r="BS38" i="11"/>
  <c r="BK16" i="11" s="1"/>
  <c r="AC29" i="14"/>
  <c r="I10" i="15" s="1"/>
  <c r="AG34" i="14"/>
  <c r="BD35" i="14"/>
  <c r="BF35" i="14" s="1"/>
  <c r="BD38" i="14"/>
  <c r="BF38" i="14" s="1"/>
  <c r="AG48" i="14"/>
  <c r="AO49" i="14"/>
  <c r="AQ49" i="14" s="1"/>
  <c r="AO52" i="14"/>
  <c r="AQ52" i="14" s="1"/>
  <c r="AG55" i="14"/>
  <c r="V3" i="16"/>
  <c r="CD7" i="16"/>
  <c r="E55" i="17"/>
  <c r="C57" i="17"/>
  <c r="AL27" i="20"/>
  <c r="BA68" i="20"/>
  <c r="BB68" i="20" s="1"/>
  <c r="AO13" i="11"/>
  <c r="AO17" i="11"/>
  <c r="BT25" i="11"/>
  <c r="BS34" i="11"/>
  <c r="BK12" i="11" s="1"/>
  <c r="AF29" i="14"/>
  <c r="I13" i="15" s="1"/>
  <c r="AE29" i="14"/>
  <c r="I12" i="15" s="1"/>
  <c r="AO38" i="14"/>
  <c r="AQ38" i="14" s="1"/>
  <c r="AG54" i="14"/>
  <c r="CD10" i="16"/>
  <c r="CD12" i="16"/>
  <c r="CD38" i="16"/>
  <c r="AO105" i="20"/>
  <c r="BA105" i="20"/>
  <c r="BB105" i="20" s="1"/>
  <c r="BB118" i="20"/>
  <c r="BD118" i="20"/>
  <c r="AG171" i="20"/>
  <c r="AP171" i="20" s="1"/>
  <c r="AQ171" i="20" s="1"/>
  <c r="BB172" i="20"/>
  <c r="BD172" i="20"/>
  <c r="AB56" i="21"/>
  <c r="AC56" i="21"/>
  <c r="AC72" i="21" s="1"/>
  <c r="AW29" i="14"/>
  <c r="AW30" i="14" s="1"/>
  <c r="CD28" i="16"/>
  <c r="CD35" i="16"/>
  <c r="BB102" i="20"/>
  <c r="BD102" i="20"/>
  <c r="R20" i="3"/>
  <c r="CD8" i="16"/>
  <c r="AA26" i="20"/>
  <c r="C24" i="21" s="1"/>
  <c r="BF26" i="20"/>
  <c r="AO10" i="11"/>
  <c r="K6" i="13"/>
  <c r="K7" i="13" s="1"/>
  <c r="K8" i="13" s="1"/>
  <c r="J9" i="13" s="1"/>
  <c r="BD41" i="14"/>
  <c r="BF41" i="14" s="1"/>
  <c r="AG50" i="14"/>
  <c r="CD5" i="16"/>
  <c r="O6" i="16"/>
  <c r="CD15" i="16"/>
  <c r="CD41" i="16"/>
  <c r="CD29" i="16"/>
  <c r="CB39" i="16"/>
  <c r="G58" i="17"/>
  <c r="BE26" i="20"/>
  <c r="AO60" i="20"/>
  <c r="AO86" i="20"/>
  <c r="AG148" i="20"/>
  <c r="AV148" i="20" s="1"/>
  <c r="AW148" i="20" s="1"/>
  <c r="AO175" i="20"/>
  <c r="AG204" i="20"/>
  <c r="AV204" i="20" s="1"/>
  <c r="AW204" i="20" s="1"/>
  <c r="AG33" i="14"/>
  <c r="BD36" i="14"/>
  <c r="BF36" i="14" s="1"/>
  <c r="AG51" i="14"/>
  <c r="AG52" i="14"/>
  <c r="K61" i="17"/>
  <c r="AO76" i="20"/>
  <c r="BA76" i="20"/>
  <c r="BB76" i="20" s="1"/>
  <c r="BS35" i="11"/>
  <c r="BK13" i="11" s="1"/>
  <c r="AL30" i="14"/>
  <c r="AL43" i="14" s="1"/>
  <c r="AO33" i="14"/>
  <c r="AQ33" i="14" s="1"/>
  <c r="BD34" i="14"/>
  <c r="BF34" i="14" s="1"/>
  <c r="AG42" i="14"/>
  <c r="AR42" i="14" s="1"/>
  <c r="BD49" i="14"/>
  <c r="BF49" i="14" s="1"/>
  <c r="BD52" i="14"/>
  <c r="BF52" i="14" s="1"/>
  <c r="J14" i="15"/>
  <c r="H19" i="15" s="1"/>
  <c r="BS4" i="16"/>
  <c r="AO6" i="16"/>
  <c r="BS9" i="16"/>
  <c r="AO11" i="16"/>
  <c r="CB33" i="16"/>
  <c r="BS41" i="16"/>
  <c r="BK19" i="16" s="1"/>
  <c r="AG31" i="20"/>
  <c r="AI31" i="20" s="1"/>
  <c r="AO109" i="20"/>
  <c r="AG124" i="20"/>
  <c r="AI124" i="20" s="1"/>
  <c r="AG132" i="20"/>
  <c r="AV132" i="20" s="1"/>
  <c r="AW132" i="20" s="1"/>
  <c r="BB157" i="20"/>
  <c r="AO160" i="20"/>
  <c r="BA160" i="20"/>
  <c r="BB160" i="20" s="1"/>
  <c r="AO204" i="20"/>
  <c r="AO5" i="11"/>
  <c r="AO31" i="14"/>
  <c r="AQ31" i="14" s="1"/>
  <c r="AQ29" i="14" s="1"/>
  <c r="AG37" i="14"/>
  <c r="AO48" i="14"/>
  <c r="AQ48" i="14" s="1"/>
  <c r="BD53" i="14"/>
  <c r="BF53" i="14" s="1"/>
  <c r="F21" i="15"/>
  <c r="CD13" i="16"/>
  <c r="BS30" i="16"/>
  <c r="BK8" i="16" s="1"/>
  <c r="CD33" i="16"/>
  <c r="BS42" i="16"/>
  <c r="BK20" i="16" s="1"/>
  <c r="BA65" i="20"/>
  <c r="BB65" i="20" s="1"/>
  <c r="AO65" i="20"/>
  <c r="AG37" i="20"/>
  <c r="AI37" i="20" s="1"/>
  <c r="AG48" i="20"/>
  <c r="AG52" i="20"/>
  <c r="AI52" i="20" s="1"/>
  <c r="AG68" i="20"/>
  <c r="AG78" i="20"/>
  <c r="AI78" i="20" s="1"/>
  <c r="AG83" i="20"/>
  <c r="AV83" i="20" s="1"/>
  <c r="AW83" i="20" s="1"/>
  <c r="BB94" i="20"/>
  <c r="AG114" i="20"/>
  <c r="AI114" i="20" s="1"/>
  <c r="AG122" i="20"/>
  <c r="AI122" i="20" s="1"/>
  <c r="AO126" i="20"/>
  <c r="AG137" i="20"/>
  <c r="AV137" i="20" s="1"/>
  <c r="AW137" i="20" s="1"/>
  <c r="BB151" i="20"/>
  <c r="AG153" i="20"/>
  <c r="AV153" i="20" s="1"/>
  <c r="AW153" i="20" s="1"/>
  <c r="AG173" i="20"/>
  <c r="AI173" i="20" s="1"/>
  <c r="BB174" i="20"/>
  <c r="AO180" i="20"/>
  <c r="AG184" i="20"/>
  <c r="AV184" i="20" s="1"/>
  <c r="AW184" i="20" s="1"/>
  <c r="BB187" i="20"/>
  <c r="AG190" i="20"/>
  <c r="AG196" i="20"/>
  <c r="AI196" i="20" s="1"/>
  <c r="AG200" i="20"/>
  <c r="AI200" i="20" s="1"/>
  <c r="AG208" i="20"/>
  <c r="AI208" i="20" s="1"/>
  <c r="AG218" i="20"/>
  <c r="AI218" i="20" s="1"/>
  <c r="C6" i="21"/>
  <c r="K5" i="22"/>
  <c r="K18" i="22" s="1"/>
  <c r="K10" i="22"/>
  <c r="K23" i="22" s="1"/>
  <c r="G12" i="22"/>
  <c r="G25" i="22" s="1"/>
  <c r="I14" i="22"/>
  <c r="I27" i="22" s="1"/>
  <c r="Y23" i="22"/>
  <c r="W45" i="22"/>
  <c r="AO31" i="20"/>
  <c r="AG35" i="20"/>
  <c r="AV35" i="20" s="1"/>
  <c r="AW35" i="20" s="1"/>
  <c r="AO43" i="20"/>
  <c r="AG47" i="20"/>
  <c r="AV47" i="20" s="1"/>
  <c r="AW47" i="20" s="1"/>
  <c r="AO48" i="20"/>
  <c r="AO59" i="20"/>
  <c r="AG60" i="20"/>
  <c r="AI60" i="20" s="1"/>
  <c r="AG72" i="20"/>
  <c r="AV72" i="20" s="1"/>
  <c r="AW72" i="20" s="1"/>
  <c r="AO72" i="20"/>
  <c r="AG76" i="20"/>
  <c r="AI76" i="20" s="1"/>
  <c r="AG82" i="20"/>
  <c r="AI82" i="20" s="1"/>
  <c r="AG94" i="20"/>
  <c r="AV94" i="20" s="1"/>
  <c r="AW94" i="20" s="1"/>
  <c r="AG98" i="20"/>
  <c r="AV98" i="20" s="1"/>
  <c r="AW98" i="20" s="1"/>
  <c r="AG106" i="20"/>
  <c r="AV106" i="20" s="1"/>
  <c r="AW106" i="20" s="1"/>
  <c r="AG161" i="20"/>
  <c r="AI161" i="20" s="1"/>
  <c r="AO165" i="20"/>
  <c r="AG170" i="20"/>
  <c r="AV170" i="20" s="1"/>
  <c r="AW170" i="20" s="1"/>
  <c r="AG176" i="20"/>
  <c r="AV176" i="20" s="1"/>
  <c r="AW176" i="20" s="1"/>
  <c r="AG188" i="20"/>
  <c r="BC188" i="20" s="1"/>
  <c r="AG214" i="20"/>
  <c r="AI214" i="20" s="1"/>
  <c r="BB38" i="20"/>
  <c r="AO39" i="20"/>
  <c r="BB40" i="20"/>
  <c r="AG41" i="20"/>
  <c r="BB49" i="20"/>
  <c r="AD26" i="20"/>
  <c r="AG65" i="20"/>
  <c r="AI65" i="20" s="1"/>
  <c r="BB73" i="20"/>
  <c r="BD87" i="20"/>
  <c r="AO102" i="20"/>
  <c r="AO110" i="20"/>
  <c r="AO118" i="20"/>
  <c r="BD127" i="20"/>
  <c r="BA129" i="20"/>
  <c r="BB129" i="20" s="1"/>
  <c r="BB134" i="20"/>
  <c r="AG141" i="20"/>
  <c r="AI141" i="20" s="1"/>
  <c r="BB144" i="20"/>
  <c r="BB150" i="20"/>
  <c r="AO151" i="20"/>
  <c r="AO157" i="20"/>
  <c r="AO167" i="20"/>
  <c r="BB181" i="20"/>
  <c r="BB196" i="20"/>
  <c r="BB199" i="20"/>
  <c r="BB207" i="20"/>
  <c r="AO208" i="20"/>
  <c r="AG212" i="20"/>
  <c r="AV212" i="20" s="1"/>
  <c r="AW212" i="20" s="1"/>
  <c r="Y19" i="22"/>
  <c r="X48" i="22"/>
  <c r="AG44" i="20"/>
  <c r="AI44" i="20" s="1"/>
  <c r="BD49" i="20"/>
  <c r="AG51" i="20"/>
  <c r="AI51" i="20" s="1"/>
  <c r="AG53" i="20"/>
  <c r="AI53" i="20" s="1"/>
  <c r="AO55" i="20"/>
  <c r="BD56" i="20"/>
  <c r="AG61" i="20"/>
  <c r="AG63" i="20"/>
  <c r="AV63" i="20" s="1"/>
  <c r="AW63" i="20" s="1"/>
  <c r="AG73" i="20"/>
  <c r="AV73" i="20" s="1"/>
  <c r="AW73" i="20" s="1"/>
  <c r="AG80" i="20"/>
  <c r="AI80" i="20" s="1"/>
  <c r="AO80" i="20"/>
  <c r="AO94" i="20"/>
  <c r="BB103" i="20"/>
  <c r="AO120" i="20"/>
  <c r="AG129" i="20"/>
  <c r="AV129" i="20" s="1"/>
  <c r="AW129" i="20" s="1"/>
  <c r="AO159" i="20"/>
  <c r="AG162" i="20"/>
  <c r="AI162" i="20" s="1"/>
  <c r="BB171" i="20"/>
  <c r="AO176" i="20"/>
  <c r="AO192" i="20"/>
  <c r="AG199" i="20"/>
  <c r="AG201" i="20"/>
  <c r="AI201" i="20" s="1"/>
  <c r="AO205" i="20"/>
  <c r="BB219" i="20"/>
  <c r="AG226" i="20"/>
  <c r="AI226" i="20" s="1"/>
  <c r="Y37" i="22"/>
  <c r="AA43" i="22"/>
  <c r="X46" i="22"/>
  <c r="Z48" i="22"/>
  <c r="AG39" i="20"/>
  <c r="AI39" i="20" s="1"/>
  <c r="AG40" i="20"/>
  <c r="AV40" i="20" s="1"/>
  <c r="AW40" i="20" s="1"/>
  <c r="AG49" i="20"/>
  <c r="BC49" i="20" s="1"/>
  <c r="AG87" i="20"/>
  <c r="AG138" i="20"/>
  <c r="AI138" i="20" s="1"/>
  <c r="AO142" i="20"/>
  <c r="AO150" i="20"/>
  <c r="AG168" i="20"/>
  <c r="AV168" i="20" s="1"/>
  <c r="AW168" i="20" s="1"/>
  <c r="AG185" i="20"/>
  <c r="AI185" i="20" s="1"/>
  <c r="AG191" i="20"/>
  <c r="AI191" i="20" s="1"/>
  <c r="AG193" i="20"/>
  <c r="AV193" i="20" s="1"/>
  <c r="AW193" i="20" s="1"/>
  <c r="AG209" i="20"/>
  <c r="AI209" i="20" s="1"/>
  <c r="AO220" i="20"/>
  <c r="AG222" i="20"/>
  <c r="AI222" i="20" s="1"/>
  <c r="AG224" i="20"/>
  <c r="AI224" i="20" s="1"/>
  <c r="G19" i="21"/>
  <c r="Z9" i="22"/>
  <c r="K11" i="22"/>
  <c r="K24" i="22" s="1"/>
  <c r="G13" i="22"/>
  <c r="G26" i="22" s="1"/>
  <c r="W22" i="22"/>
  <c r="AA24" i="22"/>
  <c r="AG34" i="20"/>
  <c r="AV34" i="20" s="1"/>
  <c r="AW34" i="20" s="1"/>
  <c r="AG42" i="20"/>
  <c r="AI42" i="20" s="1"/>
  <c r="AO49" i="20"/>
  <c r="AO51" i="20"/>
  <c r="AG55" i="20"/>
  <c r="AV55" i="20" s="1"/>
  <c r="AW55" i="20" s="1"/>
  <c r="AG58" i="20"/>
  <c r="AI58" i="20" s="1"/>
  <c r="AG67" i="20"/>
  <c r="AI67" i="20" s="1"/>
  <c r="AG69" i="20"/>
  <c r="AV69" i="20" s="1"/>
  <c r="AW69" i="20" s="1"/>
  <c r="AG86" i="20"/>
  <c r="AV86" i="20" s="1"/>
  <c r="AW86" i="20" s="1"/>
  <c r="AG105" i="20"/>
  <c r="AI105" i="20" s="1"/>
  <c r="BB108" i="20"/>
  <c r="AG111" i="20"/>
  <c r="AV111" i="20" s="1"/>
  <c r="AW111" i="20" s="1"/>
  <c r="AG121" i="20"/>
  <c r="AV121" i="20" s="1"/>
  <c r="AW121" i="20" s="1"/>
  <c r="AG123" i="20"/>
  <c r="AI123" i="20" s="1"/>
  <c r="BB126" i="20"/>
  <c r="AO134" i="20"/>
  <c r="BB141" i="20"/>
  <c r="AO144" i="20"/>
  <c r="AG146" i="20"/>
  <c r="AI146" i="20" s="1"/>
  <c r="AO152" i="20"/>
  <c r="AO156" i="20"/>
  <c r="AG160" i="20"/>
  <c r="AI160" i="20" s="1"/>
  <c r="AG166" i="20"/>
  <c r="AI166" i="20" s="1"/>
  <c r="AO166" i="20"/>
  <c r="AG177" i="20"/>
  <c r="AV177" i="20" s="1"/>
  <c r="AW177" i="20" s="1"/>
  <c r="AG197" i="20"/>
  <c r="AV197" i="20" s="1"/>
  <c r="AW197" i="20" s="1"/>
  <c r="BB198" i="20"/>
  <c r="BB206" i="20"/>
  <c r="AG215" i="20"/>
  <c r="AI215" i="20" s="1"/>
  <c r="AG217" i="20"/>
  <c r="AI217" i="20" s="1"/>
  <c r="I13" i="22"/>
  <c r="I26" i="22" s="1"/>
  <c r="Y20" i="22"/>
  <c r="D5" i="23"/>
  <c r="BB33" i="20"/>
  <c r="BB41" i="20"/>
  <c r="AG45" i="20"/>
  <c r="AV45" i="20" s="1"/>
  <c r="AW45" i="20" s="1"/>
  <c r="BB48" i="20"/>
  <c r="BB57" i="20"/>
  <c r="AG75" i="20"/>
  <c r="AI75" i="20" s="1"/>
  <c r="AG77" i="20"/>
  <c r="AV77" i="20" s="1"/>
  <c r="AW77" i="20" s="1"/>
  <c r="AG81" i="20"/>
  <c r="AG90" i="20"/>
  <c r="AV90" i="20" s="1"/>
  <c r="AW90" i="20" s="1"/>
  <c r="AG97" i="20"/>
  <c r="AI97" i="20" s="1"/>
  <c r="AG99" i="20"/>
  <c r="AI99" i="20" s="1"/>
  <c r="BB100" i="20"/>
  <c r="AG139" i="20"/>
  <c r="AI139" i="20" s="1"/>
  <c r="AG149" i="20"/>
  <c r="AI149" i="20" s="1"/>
  <c r="AG164" i="20"/>
  <c r="AV164" i="20" s="1"/>
  <c r="AW164" i="20" s="1"/>
  <c r="BB165" i="20"/>
  <c r="AG186" i="20"/>
  <c r="AI186" i="20" s="1"/>
  <c r="AG189" i="20"/>
  <c r="AI189" i="20" s="1"/>
  <c r="AO191" i="20"/>
  <c r="AG194" i="20"/>
  <c r="AI194" i="20" s="1"/>
  <c r="AG202" i="20"/>
  <c r="AI202" i="20" s="1"/>
  <c r="E8" i="22"/>
  <c r="E21" i="22" s="1"/>
  <c r="AA20" i="22"/>
  <c r="W47" i="22"/>
  <c r="Y49" i="22"/>
  <c r="G5" i="23"/>
  <c r="CC14" i="16"/>
  <c r="CA12" i="16"/>
  <c r="CA11" i="16"/>
  <c r="BS14" i="11"/>
  <c r="AO16" i="11"/>
  <c r="O18" i="11"/>
  <c r="BS19" i="11"/>
  <c r="O30" i="11"/>
  <c r="O39" i="11"/>
  <c r="C19" i="16"/>
  <c r="C28" i="15"/>
  <c r="C30" i="16" s="1"/>
  <c r="C31" i="16" s="1"/>
  <c r="C32" i="16" s="1"/>
  <c r="F26" i="15" s="1"/>
  <c r="F30" i="15" s="1"/>
  <c r="AG31" i="14"/>
  <c r="BD33" i="14"/>
  <c r="BF33" i="14" s="1"/>
  <c r="BD46" i="14"/>
  <c r="BF46" i="14" s="1"/>
  <c r="BD54" i="14"/>
  <c r="BF54" i="14" s="1"/>
  <c r="BC54" i="14"/>
  <c r="B57" i="16"/>
  <c r="V23" i="16"/>
  <c r="Y3" i="16"/>
  <c r="AV3" i="16"/>
  <c r="AT3" i="16"/>
  <c r="BK17" i="16"/>
  <c r="D54" i="17"/>
  <c r="D37" i="17"/>
  <c r="M65" i="7"/>
  <c r="E43" i="6" s="1"/>
  <c r="R21" i="3"/>
  <c r="O9" i="11"/>
  <c r="BS10" i="11"/>
  <c r="O12" i="11"/>
  <c r="AO18" i="11"/>
  <c r="O26" i="11"/>
  <c r="O28" i="11"/>
  <c r="BS30" i="11"/>
  <c r="BK8" i="11" s="1"/>
  <c r="O33" i="11"/>
  <c r="BS39" i="11"/>
  <c r="BK17" i="11" s="1"/>
  <c r="CC38" i="16"/>
  <c r="CC35" i="16"/>
  <c r="CA33" i="16"/>
  <c r="CC29" i="16"/>
  <c r="CC28" i="16"/>
  <c r="CA27" i="16"/>
  <c r="CC41" i="16"/>
  <c r="CA40" i="16"/>
  <c r="CA34" i="16"/>
  <c r="CC31" i="16"/>
  <c r="CC30" i="16"/>
  <c r="CA26" i="16"/>
  <c r="CC17" i="16"/>
  <c r="CA38" i="16"/>
  <c r="CC36" i="16"/>
  <c r="CA35" i="16"/>
  <c r="CA29" i="16"/>
  <c r="CA28" i="16"/>
  <c r="CC20" i="16"/>
  <c r="CC19" i="16"/>
  <c r="CC18" i="16"/>
  <c r="CC42" i="16"/>
  <c r="CA41" i="16"/>
  <c r="CC32" i="16"/>
  <c r="CA31" i="16"/>
  <c r="CA30" i="16"/>
  <c r="CC39" i="16"/>
  <c r="CA36" i="16"/>
  <c r="CA39" i="16"/>
  <c r="CC33" i="16"/>
  <c r="CC27" i="16"/>
  <c r="CC40" i="16"/>
  <c r="CA20" i="16"/>
  <c r="CA18" i="16"/>
  <c r="CC15" i="16"/>
  <c r="CA13" i="16"/>
  <c r="CC37" i="16"/>
  <c r="CC16" i="16"/>
  <c r="CA14" i="16"/>
  <c r="CA37" i="16"/>
  <c r="CA15" i="16"/>
  <c r="CC6" i="16"/>
  <c r="CC5" i="16"/>
  <c r="CA16" i="16"/>
  <c r="CC8" i="16"/>
  <c r="CC7" i="16"/>
  <c r="CC26" i="16"/>
  <c r="CA19" i="16"/>
  <c r="CA17" i="16"/>
  <c r="CC10" i="16"/>
  <c r="CC9" i="16"/>
  <c r="CA6" i="16"/>
  <c r="CA5" i="16"/>
  <c r="CC4" i="16"/>
  <c r="CA42" i="16"/>
  <c r="CC34" i="16"/>
  <c r="CC12" i="16"/>
  <c r="CC11" i="16"/>
  <c r="CA8" i="16"/>
  <c r="CA7" i="16"/>
  <c r="CA32" i="16"/>
  <c r="CC13" i="16"/>
  <c r="CA10" i="16"/>
  <c r="CA9" i="16"/>
  <c r="CA4" i="16"/>
  <c r="BC35" i="14"/>
  <c r="BD37" i="14"/>
  <c r="BF37" i="14" s="1"/>
  <c r="AO39" i="14"/>
  <c r="AQ39" i="14" s="1"/>
  <c r="BC39" i="14"/>
  <c r="AG40" i="14"/>
  <c r="AO46" i="14"/>
  <c r="AQ46" i="14" s="1"/>
  <c r="F40" i="15"/>
  <c r="B58" i="16"/>
  <c r="B88" i="16"/>
  <c r="C88" i="16" s="1"/>
  <c r="CR4" i="16"/>
  <c r="Z3" i="16"/>
  <c r="CR26" i="16"/>
  <c r="AW3" i="16"/>
  <c r="C15" i="16"/>
  <c r="C16" i="16" s="1"/>
  <c r="C17" i="16" s="1"/>
  <c r="BA36" i="14" s="1"/>
  <c r="C62" i="17"/>
  <c r="J63" i="17"/>
  <c r="J46" i="17"/>
  <c r="AO9" i="11"/>
  <c r="AO12" i="11"/>
  <c r="BS13" i="11"/>
  <c r="O15" i="11"/>
  <c r="BS16" i="11"/>
  <c r="O20" i="11"/>
  <c r="BS26" i="11"/>
  <c r="BK4" i="11" s="1"/>
  <c r="BS28" i="11"/>
  <c r="BK6" i="11" s="1"/>
  <c r="BS33" i="11"/>
  <c r="BK11" i="11" s="1"/>
  <c r="O36" i="11"/>
  <c r="O40" i="11"/>
  <c r="AO37" i="14"/>
  <c r="AQ37" i="14" s="1"/>
  <c r="AO47" i="14"/>
  <c r="AQ47" i="14" s="1"/>
  <c r="BD47" i="14"/>
  <c r="BF47" i="14" s="1"/>
  <c r="BC47" i="14"/>
  <c r="AO54" i="14"/>
  <c r="AQ54" i="14" s="1"/>
  <c r="Q4" i="16"/>
  <c r="W23" i="16"/>
  <c r="BA30" i="20"/>
  <c r="BB30" i="20" s="1"/>
  <c r="AO30" i="20"/>
  <c r="AG50" i="20"/>
  <c r="AC26" i="20"/>
  <c r="O4" i="11"/>
  <c r="O6" i="11"/>
  <c r="O7" i="11"/>
  <c r="O8" i="11"/>
  <c r="O11" i="11"/>
  <c r="AO15" i="11"/>
  <c r="BS18" i="11"/>
  <c r="AO20" i="11"/>
  <c r="O31" i="11"/>
  <c r="BS36" i="11"/>
  <c r="BK14" i="11" s="1"/>
  <c r="BS40" i="11"/>
  <c r="BK18" i="11" s="1"/>
  <c r="AZ30" i="14"/>
  <c r="AG43" i="14"/>
  <c r="AG44" i="14"/>
  <c r="F87" i="16"/>
  <c r="G87" i="16" s="1"/>
  <c r="G89" i="16" s="1"/>
  <c r="Q9" i="16"/>
  <c r="G59" i="17"/>
  <c r="J41" i="17"/>
  <c r="J58" i="17"/>
  <c r="BS5" i="11"/>
  <c r="BS17" i="11"/>
  <c r="O24" i="11"/>
  <c r="O35" i="11"/>
  <c r="H56" i="17"/>
  <c r="H39" i="17"/>
  <c r="G15" i="2"/>
  <c r="R18" i="3"/>
  <c r="AO4" i="11"/>
  <c r="O5" i="11"/>
  <c r="AO6" i="11"/>
  <c r="AO7" i="11"/>
  <c r="AO8" i="11"/>
  <c r="BS9" i="11"/>
  <c r="AO11" i="11"/>
  <c r="BS12" i="11"/>
  <c r="O17" i="11"/>
  <c r="O25" i="11"/>
  <c r="BS31" i="11"/>
  <c r="BK9" i="11" s="1"/>
  <c r="O34" i="11"/>
  <c r="O37" i="11"/>
  <c r="BS41" i="11"/>
  <c r="BK19" i="11" s="1"/>
  <c r="T23" i="16"/>
  <c r="V48" i="16"/>
  <c r="M45" i="16"/>
  <c r="S48" i="16"/>
  <c r="J45" i="16"/>
  <c r="B54" i="16"/>
  <c r="P48" i="16"/>
  <c r="G45" i="16"/>
  <c r="M48" i="16"/>
  <c r="D45" i="16"/>
  <c r="B34" i="16"/>
  <c r="G48" i="16"/>
  <c r="Q20" i="16"/>
  <c r="Q18" i="16"/>
  <c r="S14" i="16"/>
  <c r="Q12" i="16"/>
  <c r="Q11" i="16"/>
  <c r="J48" i="16"/>
  <c r="S15" i="16"/>
  <c r="Q13" i="16"/>
  <c r="D48" i="16"/>
  <c r="S19" i="16"/>
  <c r="S16" i="16"/>
  <c r="Q14" i="16"/>
  <c r="S17" i="16"/>
  <c r="Q15" i="16"/>
  <c r="S6" i="16"/>
  <c r="S5" i="16"/>
  <c r="B35" i="16"/>
  <c r="Q19" i="16"/>
  <c r="Q16" i="16"/>
  <c r="S8" i="16"/>
  <c r="S7" i="16"/>
  <c r="Q17" i="16"/>
  <c r="S10" i="16"/>
  <c r="S9" i="16"/>
  <c r="Q6" i="16"/>
  <c r="Q5" i="16"/>
  <c r="S4" i="16"/>
  <c r="W3" i="16"/>
  <c r="F88" i="16"/>
  <c r="G88" i="16" s="1"/>
  <c r="S20" i="16"/>
  <c r="S18" i="16"/>
  <c r="S12" i="16"/>
  <c r="S11" i="16"/>
  <c r="Q8" i="16"/>
  <c r="Q7" i="16"/>
  <c r="Q10" i="16"/>
  <c r="S13" i="16"/>
  <c r="D55" i="17"/>
  <c r="D38" i="17"/>
  <c r="C66" i="17"/>
  <c r="O14" i="11"/>
  <c r="BS15" i="11"/>
  <c r="O19" i="11"/>
  <c r="BS20" i="11"/>
  <c r="O29" i="11"/>
  <c r="C10" i="16"/>
  <c r="K30" i="2"/>
  <c r="K32" i="2" s="1"/>
  <c r="BS4" i="11"/>
  <c r="BS6" i="11"/>
  <c r="BS7" i="11"/>
  <c r="BS8" i="11"/>
  <c r="AO14" i="11"/>
  <c r="O27" i="11"/>
  <c r="O32" i="11"/>
  <c r="C22" i="16"/>
  <c r="AG45" i="14"/>
  <c r="B55" i="16"/>
  <c r="U23" i="16"/>
  <c r="X3" i="16"/>
  <c r="AU3" i="16"/>
  <c r="J43" i="17"/>
  <c r="J60" i="17"/>
  <c r="F38" i="15"/>
  <c r="F90" i="16" s="1"/>
  <c r="AO4" i="16"/>
  <c r="BS7" i="16"/>
  <c r="BS8" i="16"/>
  <c r="AO9" i="16"/>
  <c r="AO10" i="16"/>
  <c r="O16" i="16"/>
  <c r="O19" i="16"/>
  <c r="F129" i="16"/>
  <c r="F14" i="16" s="1"/>
  <c r="E64" i="17"/>
  <c r="E65" i="17"/>
  <c r="F40" i="17"/>
  <c r="F57" i="17"/>
  <c r="H67" i="17"/>
  <c r="K38" i="17"/>
  <c r="BA42" i="20"/>
  <c r="BB42" i="20" s="1"/>
  <c r="AO42" i="20"/>
  <c r="BS5" i="16"/>
  <c r="BS6" i="16"/>
  <c r="AO7" i="16"/>
  <c r="AO8" i="16"/>
  <c r="O15" i="16"/>
  <c r="BS17" i="16"/>
  <c r="AO18" i="16"/>
  <c r="BS19" i="16"/>
  <c r="AO20" i="16"/>
  <c r="J124" i="16"/>
  <c r="J9" i="16" s="1"/>
  <c r="F130" i="16"/>
  <c r="F15" i="16" s="1"/>
  <c r="E67" i="17"/>
  <c r="C54" i="17"/>
  <c r="C37" i="17"/>
  <c r="K54" i="17"/>
  <c r="K37" i="17"/>
  <c r="D41" i="17"/>
  <c r="D58" i="17"/>
  <c r="F60" i="17"/>
  <c r="I42" i="17"/>
  <c r="I59" i="17"/>
  <c r="E62" i="17"/>
  <c r="J65" i="17"/>
  <c r="J48" i="17"/>
  <c r="O14" i="16"/>
  <c r="BS16" i="16"/>
  <c r="AO17" i="16"/>
  <c r="O33" i="16"/>
  <c r="O24" i="16"/>
  <c r="O40" i="16"/>
  <c r="O34" i="16"/>
  <c r="O27" i="16"/>
  <c r="O38" i="16"/>
  <c r="O35" i="16"/>
  <c r="O26" i="16"/>
  <c r="O29" i="16"/>
  <c r="O28" i="16"/>
  <c r="O36" i="16"/>
  <c r="O31" i="16"/>
  <c r="O30" i="16"/>
  <c r="O39" i="16"/>
  <c r="O25" i="16"/>
  <c r="O37" i="16"/>
  <c r="F125" i="16"/>
  <c r="F10" i="16" s="1"/>
  <c r="H130" i="16"/>
  <c r="H15" i="16" s="1"/>
  <c r="D61" i="17"/>
  <c r="G64" i="17"/>
  <c r="J67" i="17"/>
  <c r="J50" i="17"/>
  <c r="H57" i="17"/>
  <c r="H40" i="17"/>
  <c r="J39" i="17"/>
  <c r="G7" i="18"/>
  <c r="F7" i="18"/>
  <c r="AF26" i="20"/>
  <c r="AO37" i="20"/>
  <c r="BA37" i="20"/>
  <c r="BB37" i="20" s="1"/>
  <c r="O13" i="16"/>
  <c r="BS15" i="16"/>
  <c r="AO16" i="16"/>
  <c r="F126" i="16"/>
  <c r="F11" i="16" s="1"/>
  <c r="E61" i="17"/>
  <c r="A35" i="17"/>
  <c r="C49" i="17" s="1"/>
  <c r="G40" i="17"/>
  <c r="BA54" i="20"/>
  <c r="BB54" i="20" s="1"/>
  <c r="AO54" i="20"/>
  <c r="I132" i="16"/>
  <c r="I17" i="16" s="1"/>
  <c r="G131" i="16"/>
  <c r="G16" i="16" s="1"/>
  <c r="E130" i="16"/>
  <c r="E15" i="16" s="1"/>
  <c r="I128" i="16"/>
  <c r="I13" i="16" s="1"/>
  <c r="G127" i="16"/>
  <c r="G12" i="16" s="1"/>
  <c r="E126" i="16"/>
  <c r="E11" i="16" s="1"/>
  <c r="I124" i="16"/>
  <c r="I9" i="16" s="1"/>
  <c r="H132" i="16"/>
  <c r="H17" i="16" s="1"/>
  <c r="F131" i="16"/>
  <c r="F16" i="16" s="1"/>
  <c r="J129" i="16"/>
  <c r="J14" i="16" s="1"/>
  <c r="H128" i="16"/>
  <c r="H13" i="16" s="1"/>
  <c r="F127" i="16"/>
  <c r="F12" i="16" s="1"/>
  <c r="J125" i="16"/>
  <c r="J10" i="16" s="1"/>
  <c r="H124" i="16"/>
  <c r="H9" i="16" s="1"/>
  <c r="G132" i="16"/>
  <c r="G17" i="16" s="1"/>
  <c r="E131" i="16"/>
  <c r="E16" i="16" s="1"/>
  <c r="I129" i="16"/>
  <c r="I14" i="16" s="1"/>
  <c r="G128" i="16"/>
  <c r="G13" i="16" s="1"/>
  <c r="E127" i="16"/>
  <c r="E12" i="16" s="1"/>
  <c r="I125" i="16"/>
  <c r="I10" i="16" s="1"/>
  <c r="G124" i="16"/>
  <c r="G9" i="16" s="1"/>
  <c r="F132" i="16"/>
  <c r="F17" i="16" s="1"/>
  <c r="J130" i="16"/>
  <c r="J15" i="16" s="1"/>
  <c r="H129" i="16"/>
  <c r="H14" i="16" s="1"/>
  <c r="F128" i="16"/>
  <c r="F13" i="16" s="1"/>
  <c r="J126" i="16"/>
  <c r="J11" i="16" s="1"/>
  <c r="H125" i="16"/>
  <c r="H10" i="16" s="1"/>
  <c r="F124" i="16"/>
  <c r="F9" i="16" s="1"/>
  <c r="E132" i="16"/>
  <c r="E17" i="16" s="1"/>
  <c r="I130" i="16"/>
  <c r="I15" i="16" s="1"/>
  <c r="G129" i="16"/>
  <c r="G14" i="16" s="1"/>
  <c r="E128" i="16"/>
  <c r="E13" i="16" s="1"/>
  <c r="I126" i="16"/>
  <c r="I11" i="16" s="1"/>
  <c r="G125" i="16"/>
  <c r="G10" i="16" s="1"/>
  <c r="E124" i="16"/>
  <c r="E9" i="16" s="1"/>
  <c r="I131" i="16"/>
  <c r="I16" i="16" s="1"/>
  <c r="G130" i="16"/>
  <c r="G15" i="16" s="1"/>
  <c r="E129" i="16"/>
  <c r="E14" i="16" s="1"/>
  <c r="I127" i="16"/>
  <c r="I12" i="16" s="1"/>
  <c r="G126" i="16"/>
  <c r="G11" i="16" s="1"/>
  <c r="E125" i="16"/>
  <c r="E10" i="16" s="1"/>
  <c r="O11" i="16"/>
  <c r="O12" i="16"/>
  <c r="BS14" i="16"/>
  <c r="AO15" i="16"/>
  <c r="O18" i="16"/>
  <c r="O20" i="16"/>
  <c r="BU25" i="16"/>
  <c r="P43" i="16"/>
  <c r="H126" i="16"/>
  <c r="H11" i="16" s="1"/>
  <c r="J131" i="16"/>
  <c r="J16" i="16" s="1"/>
  <c r="C21" i="21"/>
  <c r="C18" i="20"/>
  <c r="C19" i="20" s="1"/>
  <c r="F19" i="20" s="1"/>
  <c r="AL25" i="20"/>
  <c r="BB79" i="20"/>
  <c r="BD79" i="20"/>
  <c r="BC42" i="14"/>
  <c r="C40" i="15"/>
  <c r="O4" i="16"/>
  <c r="R7" i="15"/>
  <c r="M6" i="14" s="1"/>
  <c r="O9" i="16"/>
  <c r="O10" i="16"/>
  <c r="BS13" i="16"/>
  <c r="AO14" i="16"/>
  <c r="BS18" i="16"/>
  <c r="AO19" i="16"/>
  <c r="BS20" i="16"/>
  <c r="H127" i="16"/>
  <c r="H12" i="16" s="1"/>
  <c r="J132" i="16"/>
  <c r="J17" i="16" s="1"/>
  <c r="H63" i="17"/>
  <c r="J55" i="17"/>
  <c r="J38" i="17"/>
  <c r="J62" i="17"/>
  <c r="G63" i="17"/>
  <c r="J37" i="17"/>
  <c r="F41" i="17"/>
  <c r="AO45" i="20"/>
  <c r="BA52" i="20"/>
  <c r="BB52" i="20" s="1"/>
  <c r="S23" i="16"/>
  <c r="B53" i="16"/>
  <c r="C36" i="16"/>
  <c r="C6" i="16"/>
  <c r="O7" i="16"/>
  <c r="BS11" i="16"/>
  <c r="O32" i="16"/>
  <c r="J127" i="16"/>
  <c r="J12" i="16" s="1"/>
  <c r="J61" i="17"/>
  <c r="J44" i="17"/>
  <c r="K63" i="17"/>
  <c r="K46" i="17"/>
  <c r="C65" i="17"/>
  <c r="F42" i="17"/>
  <c r="F59" i="17"/>
  <c r="K45" i="17"/>
  <c r="K62" i="17"/>
  <c r="C38" i="17"/>
  <c r="H41" i="17"/>
  <c r="AB26" i="20"/>
  <c r="BB28" i="20"/>
  <c r="BD28" i="20"/>
  <c r="AG57" i="20"/>
  <c r="CD26" i="16"/>
  <c r="CD34" i="16"/>
  <c r="BS36" i="16"/>
  <c r="CB37" i="16"/>
  <c r="CD40" i="16"/>
  <c r="H61" i="17"/>
  <c r="G54" i="17"/>
  <c r="F55" i="17"/>
  <c r="D56" i="17"/>
  <c r="J57" i="17"/>
  <c r="J66" i="17"/>
  <c r="AO28" i="20"/>
  <c r="AO29" i="20"/>
  <c r="BA29" i="20"/>
  <c r="BB29" i="20" s="1"/>
  <c r="AO32" i="20"/>
  <c r="BB32" i="20"/>
  <c r="AG33" i="20"/>
  <c r="AG36" i="20"/>
  <c r="AO40" i="20"/>
  <c r="BD52" i="20"/>
  <c r="AO57" i="20"/>
  <c r="BS28" i="16"/>
  <c r="BS29" i="16"/>
  <c r="CB32" i="16"/>
  <c r="BS35" i="16"/>
  <c r="CD37" i="16"/>
  <c r="BS38" i="16"/>
  <c r="CB42" i="16"/>
  <c r="I54" i="17"/>
  <c r="H55" i="17"/>
  <c r="F56" i="17"/>
  <c r="D57" i="17"/>
  <c r="H59" i="17"/>
  <c r="K64" i="17"/>
  <c r="E37" i="17"/>
  <c r="BE3" i="21"/>
  <c r="W3" i="21"/>
  <c r="AN3" i="21"/>
  <c r="V3" i="21"/>
  <c r="BD3" i="21"/>
  <c r="AM3" i="21"/>
  <c r="AO33" i="20"/>
  <c r="BB36" i="20"/>
  <c r="BD44" i="20"/>
  <c r="BB44" i="20"/>
  <c r="AO52" i="20"/>
  <c r="BA77" i="20"/>
  <c r="BB77" i="20" s="1"/>
  <c r="AO77" i="20"/>
  <c r="BS34" i="16"/>
  <c r="CB36" i="16"/>
  <c r="CD39" i="16"/>
  <c r="BS40" i="16"/>
  <c r="G56" i="17"/>
  <c r="E57" i="17"/>
  <c r="C58" i="17"/>
  <c r="K58" i="17"/>
  <c r="D65" i="17"/>
  <c r="AO35" i="20"/>
  <c r="AO36" i="20"/>
  <c r="BD37" i="20"/>
  <c r="AG56" i="20"/>
  <c r="BA58" i="20"/>
  <c r="BB58" i="20" s="1"/>
  <c r="AO58" i="20"/>
  <c r="BS27" i="16"/>
  <c r="CB30" i="16"/>
  <c r="CB31" i="16"/>
  <c r="CD32" i="16"/>
  <c r="BS33" i="16"/>
  <c r="CB41" i="16"/>
  <c r="CD42" i="16"/>
  <c r="C61" i="17"/>
  <c r="J59" i="17"/>
  <c r="K48" i="17"/>
  <c r="BD29" i="20"/>
  <c r="BD36" i="20"/>
  <c r="AO41" i="20"/>
  <c r="AO44" i="20"/>
  <c r="AO56" i="20"/>
  <c r="BB71" i="20"/>
  <c r="BD71" i="20"/>
  <c r="BD98" i="20"/>
  <c r="BB98" i="20"/>
  <c r="CD18" i="16"/>
  <c r="CD19" i="16"/>
  <c r="CB28" i="16"/>
  <c r="CB29" i="16"/>
  <c r="CB35" i="16"/>
  <c r="CD36" i="16"/>
  <c r="BS37" i="16"/>
  <c r="CB38" i="16"/>
  <c r="E58" i="17"/>
  <c r="C59" i="17"/>
  <c r="K59" i="17"/>
  <c r="AG28" i="20"/>
  <c r="AG32" i="20"/>
  <c r="BA50" i="20"/>
  <c r="BB50" i="20" s="1"/>
  <c r="AO50" i="20"/>
  <c r="BA69" i="20"/>
  <c r="BB69" i="20" s="1"/>
  <c r="AO69" i="20"/>
  <c r="BA146" i="20"/>
  <c r="BB146" i="20" s="1"/>
  <c r="CB26" i="16"/>
  <c r="CD30" i="16"/>
  <c r="CD31" i="16"/>
  <c r="CB34" i="16"/>
  <c r="CB40" i="16"/>
  <c r="F62" i="17"/>
  <c r="D59" i="17"/>
  <c r="C14" i="21"/>
  <c r="C23" i="21"/>
  <c r="AL26" i="20"/>
  <c r="BA114" i="20"/>
  <c r="BB114" i="20" s="1"/>
  <c r="AO62" i="20"/>
  <c r="BD81" i="20"/>
  <c r="BB81" i="20"/>
  <c r="BA117" i="20"/>
  <c r="BB117" i="20" s="1"/>
  <c r="AO117" i="20"/>
  <c r="BB62" i="20"/>
  <c r="AG66" i="20"/>
  <c r="BA67" i="20"/>
  <c r="BB67" i="20" s="1"/>
  <c r="AO67" i="20"/>
  <c r="AG74" i="20"/>
  <c r="BA75" i="20"/>
  <c r="BB75" i="20" s="1"/>
  <c r="AO75" i="20"/>
  <c r="BD123" i="20"/>
  <c r="BA130" i="20"/>
  <c r="BB130" i="20" s="1"/>
  <c r="BD138" i="20"/>
  <c r="BD209" i="20"/>
  <c r="BB45" i="20"/>
  <c r="BB53" i="20"/>
  <c r="BB66" i="20"/>
  <c r="BB74" i="20"/>
  <c r="BA84" i="20"/>
  <c r="BB84" i="20" s="1"/>
  <c r="AO84" i="20"/>
  <c r="AG104" i="20"/>
  <c r="AG126" i="20"/>
  <c r="BA138" i="20"/>
  <c r="BB138" i="20" s="1"/>
  <c r="BD186" i="20"/>
  <c r="BA193" i="20"/>
  <c r="BB193" i="20" s="1"/>
  <c r="AO66" i="20"/>
  <c r="AO70" i="20"/>
  <c r="AO74" i="20"/>
  <c r="AO78" i="20"/>
  <c r="BD99" i="20"/>
  <c r="BA106" i="20"/>
  <c r="BB106" i="20" s="1"/>
  <c r="AO121" i="20"/>
  <c r="BA121" i="20"/>
  <c r="BB121" i="20" s="1"/>
  <c r="BD70" i="20"/>
  <c r="BB70" i="20"/>
  <c r="BD78" i="20"/>
  <c r="BB78" i="20"/>
  <c r="BA92" i="20"/>
  <c r="BB92" i="20" s="1"/>
  <c r="AO92" i="20"/>
  <c r="BA116" i="20"/>
  <c r="BB116" i="20" s="1"/>
  <c r="AO116" i="20"/>
  <c r="AG62" i="20"/>
  <c r="AO63" i="20"/>
  <c r="BB63" i="20"/>
  <c r="AO89" i="20"/>
  <c r="BA89" i="20"/>
  <c r="BB89" i="20" s="1"/>
  <c r="AO97" i="20"/>
  <c r="BA97" i="20"/>
  <c r="BB97" i="20" s="1"/>
  <c r="BD122" i="20"/>
  <c r="BB122" i="20"/>
  <c r="BA133" i="20"/>
  <c r="BB133" i="20" s="1"/>
  <c r="AO133" i="20"/>
  <c r="BD139" i="20"/>
  <c r="BB83" i="20"/>
  <c r="BD83" i="20"/>
  <c r="BA91" i="20"/>
  <c r="BB91" i="20" s="1"/>
  <c r="AO91" i="20"/>
  <c r="BA115" i="20"/>
  <c r="BB115" i="20" s="1"/>
  <c r="AO115" i="20"/>
  <c r="AG119" i="20"/>
  <c r="BB143" i="20"/>
  <c r="BB86" i="20"/>
  <c r="AO111" i="20"/>
  <c r="AO138" i="20"/>
  <c r="BA147" i="20"/>
  <c r="BB147" i="20" s="1"/>
  <c r="AO147" i="20"/>
  <c r="BA209" i="20"/>
  <c r="BB209" i="20" s="1"/>
  <c r="AG89" i="20"/>
  <c r="BD90" i="20"/>
  <c r="BB90" i="20"/>
  <c r="AO98" i="20"/>
  <c r="BA107" i="20"/>
  <c r="BB107" i="20" s="1"/>
  <c r="AO107" i="20"/>
  <c r="BB110" i="20"/>
  <c r="BD114" i="20"/>
  <c r="AO122" i="20"/>
  <c r="AG127" i="20"/>
  <c r="BA131" i="20"/>
  <c r="BB131" i="20" s="1"/>
  <c r="AO131" i="20"/>
  <c r="AG134" i="20"/>
  <c r="AG136" i="20"/>
  <c r="AG143" i="20"/>
  <c r="AO143" i="20"/>
  <c r="BB148" i="20"/>
  <c r="BD152" i="20"/>
  <c r="AO168" i="20"/>
  <c r="BA168" i="20"/>
  <c r="BB168" i="20" s="1"/>
  <c r="AO90" i="20"/>
  <c r="BD91" i="20"/>
  <c r="AG96" i="20"/>
  <c r="AG103" i="20"/>
  <c r="AO103" i="20"/>
  <c r="AG113" i="20"/>
  <c r="BA113" i="20"/>
  <c r="BB113" i="20" s="1"/>
  <c r="BD115" i="20"/>
  <c r="AG118" i="20"/>
  <c r="AG120" i="20"/>
  <c r="AO127" i="20"/>
  <c r="BB132" i="20"/>
  <c r="BB135" i="20"/>
  <c r="BD146" i="20"/>
  <c r="BD147" i="20"/>
  <c r="BA152" i="20"/>
  <c r="BB152" i="20" s="1"/>
  <c r="AO164" i="20"/>
  <c r="BA202" i="20"/>
  <c r="BB202" i="20" s="1"/>
  <c r="AO202" i="20"/>
  <c r="BD210" i="20"/>
  <c r="AO82" i="20"/>
  <c r="AG88" i="20"/>
  <c r="BB95" i="20"/>
  <c r="AG102" i="20"/>
  <c r="BD106" i="20"/>
  <c r="AG110" i="20"/>
  <c r="AO114" i="20"/>
  <c r="BB119" i="20"/>
  <c r="BD130" i="20"/>
  <c r="BD131" i="20"/>
  <c r="AG145" i="20"/>
  <c r="BD185" i="20"/>
  <c r="BB185" i="20"/>
  <c r="BB82" i="20"/>
  <c r="BD107" i="20"/>
  <c r="AG112" i="20"/>
  <c r="AO132" i="20"/>
  <c r="BA139" i="20"/>
  <c r="BB139" i="20" s="1"/>
  <c r="AO139" i="20"/>
  <c r="AO146" i="20"/>
  <c r="AO149" i="20"/>
  <c r="BA149" i="20"/>
  <c r="BB149" i="20" s="1"/>
  <c r="AG150" i="20"/>
  <c r="BD154" i="20"/>
  <c r="BB154" i="20"/>
  <c r="BA177" i="20"/>
  <c r="BB177" i="20" s="1"/>
  <c r="AG95" i="20"/>
  <c r="BA99" i="20"/>
  <c r="BB99" i="20" s="1"/>
  <c r="AO99" i="20"/>
  <c r="AO106" i="20"/>
  <c r="AO108" i="20"/>
  <c r="BA123" i="20"/>
  <c r="BB123" i="20" s="1"/>
  <c r="AO123" i="20"/>
  <c r="AO130" i="20"/>
  <c r="AG135" i="20"/>
  <c r="AO135" i="20"/>
  <c r="AG142" i="20"/>
  <c r="AG144" i="20"/>
  <c r="BA161" i="20"/>
  <c r="BB161" i="20" s="1"/>
  <c r="BD84" i="20"/>
  <c r="BD92" i="20"/>
  <c r="BD100" i="20"/>
  <c r="BD108" i="20"/>
  <c r="BD116" i="20"/>
  <c r="BD124" i="20"/>
  <c r="BD132" i="20"/>
  <c r="BD140" i="20"/>
  <c r="BB156" i="20"/>
  <c r="AO161" i="20"/>
  <c r="AO173" i="20"/>
  <c r="AO177" i="20"/>
  <c r="AG182" i="20"/>
  <c r="BA186" i="20"/>
  <c r="BB186" i="20" s="1"/>
  <c r="AO186" i="20"/>
  <c r="AO189" i="20"/>
  <c r="AG192" i="20"/>
  <c r="AO195" i="20"/>
  <c r="BB205" i="20"/>
  <c r="BA210" i="20"/>
  <c r="BB210" i="20" s="1"/>
  <c r="AO210" i="20"/>
  <c r="AO213" i="20"/>
  <c r="AG216" i="20"/>
  <c r="BD217" i="20"/>
  <c r="BB217" i="20"/>
  <c r="BD218" i="20"/>
  <c r="AG221" i="20"/>
  <c r="BB222" i="20"/>
  <c r="AG223" i="20"/>
  <c r="AO224" i="20"/>
  <c r="BA88" i="20"/>
  <c r="BB88" i="20" s="1"/>
  <c r="BA96" i="20"/>
  <c r="BB96" i="20" s="1"/>
  <c r="BA104" i="20"/>
  <c r="BB104" i="20" s="1"/>
  <c r="BA112" i="20"/>
  <c r="BB112" i="20" s="1"/>
  <c r="BA128" i="20"/>
  <c r="BB128" i="20" s="1"/>
  <c r="BA136" i="20"/>
  <c r="BB136" i="20" s="1"/>
  <c r="AO148" i="20"/>
  <c r="AG152" i="20"/>
  <c r="AG157" i="20"/>
  <c r="AG159" i="20"/>
  <c r="BA170" i="20"/>
  <c r="BB170" i="20" s="1"/>
  <c r="AO170" i="20"/>
  <c r="AG175" i="20"/>
  <c r="AO182" i="20"/>
  <c r="AO193" i="20"/>
  <c r="AO217" i="20"/>
  <c r="BD169" i="20"/>
  <c r="BB169" i="20"/>
  <c r="BD170" i="20"/>
  <c r="BB197" i="20"/>
  <c r="AO209" i="20"/>
  <c r="S34" i="21"/>
  <c r="P34" i="21"/>
  <c r="O23" i="21"/>
  <c r="M34" i="21"/>
  <c r="J34" i="21"/>
  <c r="O25" i="21"/>
  <c r="G34" i="21"/>
  <c r="C39" i="21"/>
  <c r="O24" i="21"/>
  <c r="V34" i="21"/>
  <c r="O26" i="21"/>
  <c r="O21" i="21"/>
  <c r="O18" i="21"/>
  <c r="O15" i="21"/>
  <c r="O16" i="21"/>
  <c r="D34" i="21"/>
  <c r="O20" i="21"/>
  <c r="O19" i="21"/>
  <c r="O14" i="21"/>
  <c r="B16" i="21"/>
  <c r="O17" i="21"/>
  <c r="O8" i="21"/>
  <c r="O4" i="21"/>
  <c r="O22" i="21"/>
  <c r="O12" i="21"/>
  <c r="B15" i="21"/>
  <c r="O13" i="21"/>
  <c r="O9" i="21"/>
  <c r="O5" i="21"/>
  <c r="O11" i="21"/>
  <c r="O7" i="21"/>
  <c r="O10" i="21"/>
  <c r="O6" i="21"/>
  <c r="BA162" i="20"/>
  <c r="BB162" i="20" s="1"/>
  <c r="AO162" i="20"/>
  <c r="BA178" i="20"/>
  <c r="BB178" i="20" s="1"/>
  <c r="AO178" i="20"/>
  <c r="AO181" i="20"/>
  <c r="AO185" i="20"/>
  <c r="BD201" i="20"/>
  <c r="BB201" i="20"/>
  <c r="BD202" i="20"/>
  <c r="AG205" i="20"/>
  <c r="AG207" i="20"/>
  <c r="BB221" i="20"/>
  <c r="BA226" i="20"/>
  <c r="BB226" i="20" s="1"/>
  <c r="AO226" i="20"/>
  <c r="AG158" i="20"/>
  <c r="AO158" i="20"/>
  <c r="AO169" i="20"/>
  <c r="AG174" i="20"/>
  <c r="AO174" i="20"/>
  <c r="BB179" i="20"/>
  <c r="AG183" i="20"/>
  <c r="AO184" i="20"/>
  <c r="AO190" i="20"/>
  <c r="BA194" i="20"/>
  <c r="BB194" i="20" s="1"/>
  <c r="AO194" i="20"/>
  <c r="AO197" i="20"/>
  <c r="AO203" i="20"/>
  <c r="AO214" i="20"/>
  <c r="AO153" i="20"/>
  <c r="BD161" i="20"/>
  <c r="BD162" i="20"/>
  <c r="BB163" i="20"/>
  <c r="AG165" i="20"/>
  <c r="AG167" i="20"/>
  <c r="BB173" i="20"/>
  <c r="BD177" i="20"/>
  <c r="BD178" i="20"/>
  <c r="AG181" i="20"/>
  <c r="BB189" i="20"/>
  <c r="BB195" i="20"/>
  <c r="AO201" i="20"/>
  <c r="AG206" i="20"/>
  <c r="BB213" i="20"/>
  <c r="BA218" i="20"/>
  <c r="BB218" i="20" s="1"/>
  <c r="AO218" i="20"/>
  <c r="AO221" i="20"/>
  <c r="BD225" i="20"/>
  <c r="BB225" i="20"/>
  <c r="BD226" i="20"/>
  <c r="AG151" i="20"/>
  <c r="BB155" i="20"/>
  <c r="BD155" i="20"/>
  <c r="AO163" i="20"/>
  <c r="AO179" i="20"/>
  <c r="BD193" i="20"/>
  <c r="BD194" i="20"/>
  <c r="AO200" i="20"/>
  <c r="AO225" i="20"/>
  <c r="BD163" i="20"/>
  <c r="BD171" i="20"/>
  <c r="BD179" i="20"/>
  <c r="BD187" i="20"/>
  <c r="BD195" i="20"/>
  <c r="BD203" i="20"/>
  <c r="AA33" i="21"/>
  <c r="M24" i="21"/>
  <c r="N24" i="21" s="1"/>
  <c r="M26" i="21"/>
  <c r="N26" i="21" s="1"/>
  <c r="AA32" i="21"/>
  <c r="M23" i="21"/>
  <c r="N23" i="21" s="1"/>
  <c r="AA31" i="21"/>
  <c r="M25" i="21"/>
  <c r="N25" i="21" s="1"/>
  <c r="M19" i="21"/>
  <c r="N19" i="21" s="1"/>
  <c r="M14" i="21"/>
  <c r="N14" i="21" s="1"/>
  <c r="M21" i="21"/>
  <c r="N21" i="21" s="1"/>
  <c r="M18" i="21"/>
  <c r="N18" i="21" s="1"/>
  <c r="M15" i="21"/>
  <c r="N15" i="21" s="1"/>
  <c r="M22" i="21"/>
  <c r="N22" i="21" s="1"/>
  <c r="M17" i="21"/>
  <c r="N17" i="21" s="1"/>
  <c r="M11" i="21"/>
  <c r="N11" i="21" s="1"/>
  <c r="M7" i="21"/>
  <c r="N7" i="21" s="1"/>
  <c r="M8" i="21"/>
  <c r="N8" i="21" s="1"/>
  <c r="M20" i="21"/>
  <c r="N20" i="21" s="1"/>
  <c r="M16" i="21"/>
  <c r="N16" i="21" s="1"/>
  <c r="M10" i="21"/>
  <c r="N10" i="21" s="1"/>
  <c r="M6" i="21"/>
  <c r="N6" i="21" s="1"/>
  <c r="M4" i="21"/>
  <c r="N4" i="21" s="1"/>
  <c r="BA175" i="20"/>
  <c r="BB175" i="20" s="1"/>
  <c r="BA183" i="20"/>
  <c r="BB183" i="20" s="1"/>
  <c r="C40" i="21"/>
  <c r="I25" i="21"/>
  <c r="G23" i="21"/>
  <c r="H25" i="21"/>
  <c r="F23" i="21"/>
  <c r="G25" i="21"/>
  <c r="J24" i="21"/>
  <c r="E23" i="21"/>
  <c r="F25" i="21"/>
  <c r="I24" i="21"/>
  <c r="E25" i="21"/>
  <c r="H24" i="21"/>
  <c r="F24" i="21"/>
  <c r="I23" i="21"/>
  <c r="J25" i="21"/>
  <c r="E24" i="21"/>
  <c r="H23" i="21"/>
  <c r="F21" i="21"/>
  <c r="I20" i="21"/>
  <c r="J22" i="21"/>
  <c r="E21" i="21"/>
  <c r="H20" i="21"/>
  <c r="I22" i="21"/>
  <c r="G20" i="21"/>
  <c r="J19" i="21"/>
  <c r="H22" i="21"/>
  <c r="F20" i="21"/>
  <c r="I19" i="21"/>
  <c r="E22" i="21"/>
  <c r="H21" i="21"/>
  <c r="F19" i="21"/>
  <c r="J23" i="21"/>
  <c r="G21" i="21"/>
  <c r="J20" i="21"/>
  <c r="E19" i="21"/>
  <c r="E20" i="21"/>
  <c r="G22" i="21"/>
  <c r="H19" i="21"/>
  <c r="J21" i="21"/>
  <c r="I21" i="21"/>
  <c r="M12" i="21"/>
  <c r="N12" i="21" s="1"/>
  <c r="M9" i="21"/>
  <c r="N9" i="21" s="1"/>
  <c r="AG227" i="20"/>
  <c r="M5" i="21"/>
  <c r="N5" i="21" s="1"/>
  <c r="M13" i="21"/>
  <c r="N13" i="21" s="1"/>
  <c r="AO227" i="20"/>
  <c r="F22" i="21"/>
  <c r="C69" i="21"/>
  <c r="C68" i="21"/>
  <c r="C67" i="21"/>
  <c r="C61" i="21"/>
  <c r="C54" i="21"/>
  <c r="C60" i="21"/>
  <c r="C71" i="21"/>
  <c r="C70" i="21"/>
  <c r="C66" i="21"/>
  <c r="C58" i="21"/>
  <c r="C57" i="21"/>
  <c r="C56" i="21"/>
  <c r="C63" i="21"/>
  <c r="C62" i="21"/>
  <c r="C64" i="21"/>
  <c r="C51" i="21"/>
  <c r="C50" i="21"/>
  <c r="C65" i="21"/>
  <c r="C59" i="21"/>
  <c r="C55" i="21"/>
  <c r="C53" i="21"/>
  <c r="C52" i="21"/>
  <c r="C49" i="21"/>
  <c r="Z34" i="21"/>
  <c r="AA34" i="21" s="1"/>
  <c r="Z59" i="21"/>
  <c r="E6" i="23"/>
  <c r="D6" i="23"/>
  <c r="Y13" i="22"/>
  <c r="W12" i="22"/>
  <c r="AA10" i="22"/>
  <c r="Y9" i="22"/>
  <c r="W8" i="22"/>
  <c r="X13" i="22"/>
  <c r="Z10" i="22"/>
  <c r="X9" i="22"/>
  <c r="W13" i="22"/>
  <c r="AA11" i="22"/>
  <c r="Y10" i="22"/>
  <c r="W9" i="22"/>
  <c r="AA7" i="22"/>
  <c r="Z11" i="22"/>
  <c r="X10" i="22"/>
  <c r="Z7" i="22"/>
  <c r="AA12" i="22"/>
  <c r="Y11" i="22"/>
  <c r="W10" i="22"/>
  <c r="AA8" i="22"/>
  <c r="Y7" i="22"/>
  <c r="AA13" i="22"/>
  <c r="Y12" i="22"/>
  <c r="W11" i="22"/>
  <c r="AA9" i="22"/>
  <c r="Y8" i="22"/>
  <c r="W7" i="22"/>
  <c r="X12" i="22"/>
  <c r="AA34" i="22"/>
  <c r="Z33" i="22"/>
  <c r="Y32" i="22"/>
  <c r="X31" i="22"/>
  <c r="AA35" i="22"/>
  <c r="Z34" i="22"/>
  <c r="Y33" i="22"/>
  <c r="X32" i="22"/>
  <c r="W31" i="22"/>
  <c r="AA36" i="22"/>
  <c r="Z35" i="22"/>
  <c r="Y34" i="22"/>
  <c r="X33" i="22"/>
  <c r="W32" i="22"/>
  <c r="AA37" i="22"/>
  <c r="Z36" i="22"/>
  <c r="Y35" i="22"/>
  <c r="X34" i="22"/>
  <c r="W33" i="22"/>
  <c r="Z37" i="22"/>
  <c r="Y36" i="22"/>
  <c r="X35" i="22"/>
  <c r="W34" i="22"/>
  <c r="X37" i="22"/>
  <c r="W36" i="22"/>
  <c r="AA32" i="22"/>
  <c r="Z31" i="22"/>
  <c r="W37" i="22"/>
  <c r="AA33" i="22"/>
  <c r="Z32" i="22"/>
  <c r="Y31" i="22"/>
  <c r="X11" i="22"/>
  <c r="AA31" i="22"/>
  <c r="H6" i="23"/>
  <c r="G6" i="23"/>
  <c r="X8" i="22"/>
  <c r="W35" i="22"/>
  <c r="Z8" i="22"/>
  <c r="Z13" i="22"/>
  <c r="J5" i="22"/>
  <c r="J18" i="22" s="1"/>
  <c r="K6" i="22"/>
  <c r="K19" i="22" s="1"/>
  <c r="F8" i="22"/>
  <c r="F21" i="22" s="1"/>
  <c r="H9" i="22"/>
  <c r="H22" i="22" s="1"/>
  <c r="J10" i="22"/>
  <c r="J23" i="22" s="1"/>
  <c r="F12" i="22"/>
  <c r="F25" i="22" s="1"/>
  <c r="H13" i="22"/>
  <c r="H26" i="22" s="1"/>
  <c r="J14" i="22"/>
  <c r="J27" i="22" s="1"/>
  <c r="X19" i="22"/>
  <c r="Z20" i="22"/>
  <c r="X23" i="22"/>
  <c r="Z24" i="22"/>
  <c r="W46" i="22"/>
  <c r="X47" i="22"/>
  <c r="Y48" i="22"/>
  <c r="Z49" i="22"/>
  <c r="E6" i="22"/>
  <c r="E19" i="22" s="1"/>
  <c r="F7" i="22"/>
  <c r="F20" i="22" s="1"/>
  <c r="H8" i="22"/>
  <c r="H21" i="22" s="1"/>
  <c r="J9" i="22"/>
  <c r="J22" i="22" s="1"/>
  <c r="F11" i="22"/>
  <c r="F24" i="22" s="1"/>
  <c r="H12" i="22"/>
  <c r="H25" i="22" s="1"/>
  <c r="J13" i="22"/>
  <c r="J26" i="22" s="1"/>
  <c r="Z19" i="22"/>
  <c r="X22" i="22"/>
  <c r="Z23" i="22"/>
  <c r="W44" i="22"/>
  <c r="X45" i="22"/>
  <c r="Y46" i="22"/>
  <c r="Z47" i="22"/>
  <c r="AA48" i="22"/>
  <c r="E5" i="22"/>
  <c r="E18" i="22" s="1"/>
  <c r="F6" i="22"/>
  <c r="F19" i="22" s="1"/>
  <c r="G7" i="22"/>
  <c r="G20" i="22" s="1"/>
  <c r="I8" i="22"/>
  <c r="I21" i="22" s="1"/>
  <c r="K9" i="22"/>
  <c r="K22" i="22" s="1"/>
  <c r="E10" i="22"/>
  <c r="E23" i="22" s="1"/>
  <c r="G11" i="22"/>
  <c r="G24" i="22" s="1"/>
  <c r="I12" i="22"/>
  <c r="I25" i="22" s="1"/>
  <c r="K13" i="22"/>
  <c r="K26" i="22" s="1"/>
  <c r="E14" i="22"/>
  <c r="E27" i="22" s="1"/>
  <c r="AA19" i="22"/>
  <c r="W21" i="22"/>
  <c r="Y22" i="22"/>
  <c r="AA23" i="22"/>
  <c r="W25" i="22"/>
  <c r="W43" i="22"/>
  <c r="X44" i="22"/>
  <c r="Y45" i="22"/>
  <c r="Z46" i="22"/>
  <c r="AA47" i="22"/>
  <c r="F5" i="22"/>
  <c r="F18" i="22" s="1"/>
  <c r="G6" i="22"/>
  <c r="G19" i="22" s="1"/>
  <c r="H7" i="22"/>
  <c r="H20" i="22" s="1"/>
  <c r="J8" i="22"/>
  <c r="J21" i="22" s="1"/>
  <c r="F10" i="22"/>
  <c r="F23" i="22" s="1"/>
  <c r="H11" i="22"/>
  <c r="H24" i="22" s="1"/>
  <c r="J12" i="22"/>
  <c r="J25" i="22" s="1"/>
  <c r="F14" i="22"/>
  <c r="F27" i="22" s="1"/>
  <c r="X21" i="22"/>
  <c r="Z22" i="22"/>
  <c r="X25" i="22"/>
  <c r="X43" i="22"/>
  <c r="Y44" i="22"/>
  <c r="Z45" i="22"/>
  <c r="AA46" i="22"/>
  <c r="G5" i="22"/>
  <c r="G18" i="22" s="1"/>
  <c r="H6" i="22"/>
  <c r="H19" i="22" s="1"/>
  <c r="I7" i="22"/>
  <c r="I20" i="22" s="1"/>
  <c r="K8" i="22"/>
  <c r="K21" i="22" s="1"/>
  <c r="E9" i="22"/>
  <c r="E22" i="22" s="1"/>
  <c r="G10" i="22"/>
  <c r="G23" i="22" s="1"/>
  <c r="I11" i="22"/>
  <c r="I24" i="22" s="1"/>
  <c r="K12" i="22"/>
  <c r="K25" i="22" s="1"/>
  <c r="E13" i="22"/>
  <c r="E26" i="22" s="1"/>
  <c r="G14" i="22"/>
  <c r="G27" i="22" s="1"/>
  <c r="W20" i="22"/>
  <c r="Y21" i="22"/>
  <c r="AA22" i="22"/>
  <c r="W24" i="22"/>
  <c r="Y25" i="22"/>
  <c r="Y43" i="22"/>
  <c r="Z44" i="22"/>
  <c r="AA45" i="22"/>
  <c r="W49" i="22"/>
  <c r="H5" i="22"/>
  <c r="H18" i="22" s="1"/>
  <c r="I6" i="22"/>
  <c r="I19" i="22" s="1"/>
  <c r="J7" i="22"/>
  <c r="J20" i="22" s="1"/>
  <c r="F9" i="22"/>
  <c r="F22" i="22" s="1"/>
  <c r="H10" i="22"/>
  <c r="H23" i="22" s="1"/>
  <c r="J11" i="22"/>
  <c r="J24" i="22" s="1"/>
  <c r="F13" i="22"/>
  <c r="F26" i="22" s="1"/>
  <c r="X20" i="22"/>
  <c r="Z21" i="22"/>
  <c r="X24" i="22"/>
  <c r="Z43" i="22"/>
  <c r="AA44" i="22"/>
  <c r="W48" i="22"/>
  <c r="I64" i="17"/>
  <c r="F61" i="17"/>
  <c r="I63" i="17"/>
  <c r="C60" i="17"/>
  <c r="D62" i="17"/>
  <c r="D64" i="17"/>
  <c r="I65" i="17"/>
  <c r="D66" i="17"/>
  <c r="I62" i="17"/>
  <c r="D60" i="17"/>
  <c r="I61" i="17"/>
  <c r="F67" i="17"/>
  <c r="F63" i="17"/>
  <c r="C64" i="17"/>
  <c r="I60" i="17"/>
  <c r="I67" i="17"/>
  <c r="G62" i="17"/>
  <c r="G66" i="17"/>
  <c r="G67" i="17"/>
  <c r="I66" i="17"/>
  <c r="H62" i="17"/>
  <c r="H64" i="17"/>
  <c r="H66" i="17"/>
  <c r="H60" i="17"/>
  <c r="E63" i="17"/>
  <c r="F65" i="17"/>
  <c r="C63" i="17"/>
  <c r="G65" i="17"/>
  <c r="E66" i="17"/>
  <c r="C67" i="17"/>
  <c r="D63" i="17"/>
  <c r="H65" i="17"/>
  <c r="F66" i="17"/>
  <c r="D67" i="17"/>
  <c r="E60" i="17"/>
  <c r="S6" i="11"/>
  <c r="F30" i="10"/>
  <c r="CB9" i="11"/>
  <c r="CA20" i="11"/>
  <c r="CC30" i="11"/>
  <c r="S15" i="11"/>
  <c r="K63" i="12"/>
  <c r="K59" i="12"/>
  <c r="K49" i="12"/>
  <c r="CA19" i="11"/>
  <c r="CA7" i="11"/>
  <c r="I14" i="10"/>
  <c r="L4" i="11" s="1"/>
  <c r="L10" i="11" s="1"/>
  <c r="S8" i="11"/>
  <c r="G56" i="12"/>
  <c r="CC35" i="11"/>
  <c r="CD38" i="11"/>
  <c r="C41" i="12"/>
  <c r="C58" i="12"/>
  <c r="K41" i="12"/>
  <c r="K58" i="12"/>
  <c r="J59" i="12"/>
  <c r="J42" i="12"/>
  <c r="D37" i="12"/>
  <c r="D54" i="12"/>
  <c r="C38" i="12"/>
  <c r="C55" i="12"/>
  <c r="K38" i="12"/>
  <c r="K55" i="12"/>
  <c r="D55" i="12"/>
  <c r="D38" i="12"/>
  <c r="K56" i="12"/>
  <c r="K39" i="12"/>
  <c r="G54" i="12"/>
  <c r="G37" i="12"/>
  <c r="CC4" i="11"/>
  <c r="CA5" i="11"/>
  <c r="CA6" i="11"/>
  <c r="CA16" i="11"/>
  <c r="CC20" i="11"/>
  <c r="K67" i="12"/>
  <c r="K47" i="12"/>
  <c r="J14" i="10"/>
  <c r="H19" i="10" s="1"/>
  <c r="S7" i="11"/>
  <c r="CC10" i="11"/>
  <c r="C22" i="11"/>
  <c r="P48" i="11"/>
  <c r="E39" i="12"/>
  <c r="J50" i="12"/>
  <c r="CC18" i="11"/>
  <c r="CA37" i="11"/>
  <c r="K62" i="12"/>
  <c r="CB5" i="11"/>
  <c r="CC16" i="11"/>
  <c r="E58" i="12"/>
  <c r="C39" i="12"/>
  <c r="CD4" i="11"/>
  <c r="W3" i="11"/>
  <c r="CA13" i="11"/>
  <c r="I56" i="12"/>
  <c r="I41" i="12"/>
  <c r="E37" i="12"/>
  <c r="I11" i="6"/>
  <c r="I31" i="6" s="1"/>
  <c r="L17" i="6"/>
  <c r="AB16" i="7"/>
  <c r="N17" i="6" s="1"/>
  <c r="N10" i="6" s="1"/>
  <c r="O63" i="7"/>
  <c r="AE10" i="7"/>
  <c r="AD15" i="7"/>
  <c r="AE11" i="7"/>
  <c r="R16" i="7"/>
  <c r="AE9" i="7"/>
  <c r="D25" i="6"/>
  <c r="D27" i="6"/>
  <c r="T25" i="6" s="1"/>
  <c r="M1" i="25"/>
  <c r="D26" i="6"/>
  <c r="O65" i="7"/>
  <c r="E44" i="6" s="1"/>
  <c r="P6" i="7"/>
  <c r="I22" i="6" s="1"/>
  <c r="N1" i="25"/>
  <c r="W36" i="7"/>
  <c r="K34" i="3"/>
  <c r="S23" i="3"/>
  <c r="S18" i="3"/>
  <c r="O10" i="3"/>
  <c r="S21" i="3"/>
  <c r="S20" i="3"/>
  <c r="O4" i="3"/>
  <c r="S25" i="3"/>
  <c r="T25" i="3" s="1"/>
  <c r="V25" i="3" s="1"/>
  <c r="S24" i="3"/>
  <c r="O16" i="3"/>
  <c r="S22" i="3"/>
  <c r="S19" i="3"/>
  <c r="L47" i="3"/>
  <c r="L42" i="3"/>
  <c r="M47" i="3"/>
  <c r="M42" i="3"/>
  <c r="L45" i="3"/>
  <c r="M45" i="3"/>
  <c r="D24" i="2"/>
  <c r="L40" i="3"/>
  <c r="L43" i="3"/>
  <c r="R19" i="3"/>
  <c r="R22" i="3"/>
  <c r="K31" i="3"/>
  <c r="M40" i="3"/>
  <c r="M43" i="3"/>
  <c r="C44" i="3"/>
  <c r="C45" i="3" s="1"/>
  <c r="C46" i="3" s="1"/>
  <c r="C47" i="3" s="1"/>
  <c r="K40" i="2" s="1"/>
  <c r="C11" i="3"/>
  <c r="R23" i="3"/>
  <c r="L41" i="3"/>
  <c r="L44" i="3"/>
  <c r="R24" i="3"/>
  <c r="M41" i="3"/>
  <c r="M44" i="3"/>
  <c r="C31" i="15"/>
  <c r="C44" i="15" s="1"/>
  <c r="AX3" i="16"/>
  <c r="B88" i="11"/>
  <c r="C88" i="11" s="1"/>
  <c r="J65" i="12"/>
  <c r="J48" i="12"/>
  <c r="AN34" i="12"/>
  <c r="F16" i="12" s="1"/>
  <c r="AO33" i="12"/>
  <c r="G15" i="12" s="1"/>
  <c r="AQ32" i="12"/>
  <c r="I14" i="12" s="1"/>
  <c r="AK31" i="12"/>
  <c r="C13" i="12" s="1"/>
  <c r="AM30" i="12"/>
  <c r="E12" i="12" s="1"/>
  <c r="AO29" i="12"/>
  <c r="G11" i="12" s="1"/>
  <c r="AQ28" i="12"/>
  <c r="I10" i="12" s="1"/>
  <c r="AK27" i="12"/>
  <c r="C9" i="12" s="1"/>
  <c r="AM34" i="12"/>
  <c r="E16" i="12" s="1"/>
  <c r="AN33" i="12"/>
  <c r="F15" i="12" s="1"/>
  <c r="AP32" i="12"/>
  <c r="H14" i="12" s="1"/>
  <c r="AL30" i="12"/>
  <c r="D12" i="12" s="1"/>
  <c r="AN29" i="12"/>
  <c r="F11" i="12" s="1"/>
  <c r="AP28" i="12"/>
  <c r="H10" i="12" s="1"/>
  <c r="AL34" i="12"/>
  <c r="D16" i="12" s="1"/>
  <c r="AM33" i="12"/>
  <c r="E15" i="12" s="1"/>
  <c r="AO32" i="12"/>
  <c r="G14" i="12" s="1"/>
  <c r="AQ31" i="12"/>
  <c r="I13" i="12" s="1"/>
  <c r="AK30" i="12"/>
  <c r="C12" i="12" s="1"/>
  <c r="AM29" i="12"/>
  <c r="E11" i="12" s="1"/>
  <c r="AO28" i="12"/>
  <c r="G10" i="12" s="1"/>
  <c r="AQ27" i="12"/>
  <c r="I9" i="12" s="1"/>
  <c r="AK34" i="12"/>
  <c r="C16" i="12" s="1"/>
  <c r="AL33" i="12"/>
  <c r="D15" i="12" s="1"/>
  <c r="AN32" i="12"/>
  <c r="F14" i="12" s="1"/>
  <c r="AP31" i="12"/>
  <c r="H13" i="12" s="1"/>
  <c r="AL29" i="12"/>
  <c r="D11" i="12" s="1"/>
  <c r="AN28" i="12"/>
  <c r="F10" i="12" s="1"/>
  <c r="AP27" i="12"/>
  <c r="H9" i="12" s="1"/>
  <c r="AK33" i="12"/>
  <c r="C15" i="12" s="1"/>
  <c r="AM32" i="12"/>
  <c r="E14" i="12" s="1"/>
  <c r="AO31" i="12"/>
  <c r="G13" i="12" s="1"/>
  <c r="AQ30" i="12"/>
  <c r="I12" i="12" s="1"/>
  <c r="AK29" i="12"/>
  <c r="C11" i="12" s="1"/>
  <c r="AM28" i="12"/>
  <c r="E10" i="12" s="1"/>
  <c r="AO27" i="12"/>
  <c r="G9" i="12" s="1"/>
  <c r="AP34" i="12"/>
  <c r="H16" i="12" s="1"/>
  <c r="AQ33" i="12"/>
  <c r="I15" i="12" s="1"/>
  <c r="AK32" i="12"/>
  <c r="C14" i="12" s="1"/>
  <c r="AM31" i="12"/>
  <c r="E13" i="12" s="1"/>
  <c r="AO30" i="12"/>
  <c r="G12" i="12" s="1"/>
  <c r="AQ29" i="12"/>
  <c r="I11" i="12" s="1"/>
  <c r="AK28" i="12"/>
  <c r="C10" i="12" s="1"/>
  <c r="AM27" i="12"/>
  <c r="E9" i="12" s="1"/>
  <c r="AN30" i="12"/>
  <c r="F12" i="12" s="1"/>
  <c r="AQ34" i="12"/>
  <c r="I16" i="12" s="1"/>
  <c r="AN31" i="12"/>
  <c r="F13" i="12" s="1"/>
  <c r="AN27" i="12"/>
  <c r="F9" i="12" s="1"/>
  <c r="AO34" i="12"/>
  <c r="G16" i="12" s="1"/>
  <c r="AL31" i="12"/>
  <c r="D13" i="12" s="1"/>
  <c r="AL27" i="12"/>
  <c r="D9" i="12" s="1"/>
  <c r="AL32" i="12"/>
  <c r="D14" i="12" s="1"/>
  <c r="AL28" i="12"/>
  <c r="D10" i="12" s="1"/>
  <c r="AP30" i="12"/>
  <c r="H12" i="12" s="1"/>
  <c r="AP29" i="12"/>
  <c r="H11" i="12" s="1"/>
  <c r="AP33" i="12"/>
  <c r="H15" i="12" s="1"/>
  <c r="C4" i="11"/>
  <c r="B53" i="11"/>
  <c r="S23" i="11"/>
  <c r="C36" i="11"/>
  <c r="CC41" i="11"/>
  <c r="CA40" i="11"/>
  <c r="CA34" i="11"/>
  <c r="CA33" i="11"/>
  <c r="CC26" i="11"/>
  <c r="CA38" i="11"/>
  <c r="CC36" i="11"/>
  <c r="CA35" i="11"/>
  <c r="CC29" i="11"/>
  <c r="CC28" i="11"/>
  <c r="CA27" i="11"/>
  <c r="CC15" i="11"/>
  <c r="CC39" i="11"/>
  <c r="CA36" i="11"/>
  <c r="CA29" i="11"/>
  <c r="CA28" i="11"/>
  <c r="CC17" i="11"/>
  <c r="CA39" i="11"/>
  <c r="CA17" i="11"/>
  <c r="CC34" i="11"/>
  <c r="CA18" i="11"/>
  <c r="CC14" i="11"/>
  <c r="CC12" i="11"/>
  <c r="CC11" i="11"/>
  <c r="CC42" i="11"/>
  <c r="CC33" i="11"/>
  <c r="CA14" i="11"/>
  <c r="CC13" i="11"/>
  <c r="CA10" i="11"/>
  <c r="CA9" i="11"/>
  <c r="CA4" i="11"/>
  <c r="CA42" i="11"/>
  <c r="CC32" i="11"/>
  <c r="CC31" i="11"/>
  <c r="CA26" i="11"/>
  <c r="CA15" i="11"/>
  <c r="CA12" i="11"/>
  <c r="CA11" i="11"/>
  <c r="CC38" i="11"/>
  <c r="CC37" i="11"/>
  <c r="CC19" i="11"/>
  <c r="CC6" i="11"/>
  <c r="CC5" i="11"/>
  <c r="CD5" i="11"/>
  <c r="CB6" i="11"/>
  <c r="CB7" i="11"/>
  <c r="CA8" i="11"/>
  <c r="CC9" i="11"/>
  <c r="CD14" i="11"/>
  <c r="S16" i="11"/>
  <c r="CD41" i="11"/>
  <c r="CB38" i="11"/>
  <c r="CD36" i="11"/>
  <c r="CB35" i="11"/>
  <c r="CD29" i="11"/>
  <c r="CD28" i="11"/>
  <c r="CB27" i="11"/>
  <c r="CD42" i="11"/>
  <c r="CB41" i="11"/>
  <c r="CD31" i="11"/>
  <c r="CD30" i="11"/>
  <c r="CB26" i="11"/>
  <c r="CD16" i="11"/>
  <c r="CB14" i="11"/>
  <c r="CB42" i="11"/>
  <c r="CD37" i="11"/>
  <c r="CD32" i="11"/>
  <c r="CB31" i="11"/>
  <c r="CB30" i="11"/>
  <c r="CD20" i="11"/>
  <c r="CD19" i="11"/>
  <c r="CD18" i="11"/>
  <c r="CB16" i="11"/>
  <c r="CD40" i="11"/>
  <c r="CB37" i="11"/>
  <c r="CD34" i="11"/>
  <c r="CD33" i="11"/>
  <c r="CB32" i="11"/>
  <c r="CB20" i="11"/>
  <c r="CB19" i="11"/>
  <c r="CB18" i="11"/>
  <c r="CB40" i="11"/>
  <c r="CB34" i="11"/>
  <c r="CD15" i="11"/>
  <c r="CD13" i="11"/>
  <c r="CD26" i="11"/>
  <c r="CD17" i="11"/>
  <c r="CB15" i="11"/>
  <c r="CB12" i="11"/>
  <c r="CB11" i="11"/>
  <c r="CB33" i="11"/>
  <c r="CB17" i="11"/>
  <c r="CB13" i="11"/>
  <c r="CD39" i="11"/>
  <c r="CB36" i="11"/>
  <c r="CD35" i="11"/>
  <c r="CB28" i="11"/>
  <c r="CD27" i="11"/>
  <c r="CD8" i="11"/>
  <c r="CD7" i="11"/>
  <c r="CA32" i="11"/>
  <c r="CB39" i="11"/>
  <c r="AS3" i="11"/>
  <c r="S4" i="11"/>
  <c r="C6" i="11"/>
  <c r="F42" i="10" s="1"/>
  <c r="CD6" i="11"/>
  <c r="CC7" i="11"/>
  <c r="CB8" i="11"/>
  <c r="CD9" i="11"/>
  <c r="S10" i="11"/>
  <c r="CD12" i="11"/>
  <c r="C15" i="11"/>
  <c r="C16" i="11" s="1"/>
  <c r="C17" i="11" s="1"/>
  <c r="F39" i="10" s="1"/>
  <c r="F91" i="11" s="1"/>
  <c r="CC27" i="11"/>
  <c r="CA31" i="11"/>
  <c r="F88" i="11"/>
  <c r="G88" i="11" s="1"/>
  <c r="G89" i="11" s="1"/>
  <c r="P45" i="11"/>
  <c r="V48" i="11"/>
  <c r="M45" i="11"/>
  <c r="S48" i="11"/>
  <c r="J45" i="11"/>
  <c r="S14" i="11"/>
  <c r="M48" i="11"/>
  <c r="D45" i="11"/>
  <c r="G48" i="11"/>
  <c r="V45" i="11"/>
  <c r="S20" i="11"/>
  <c r="S19" i="11"/>
  <c r="S18" i="11"/>
  <c r="J48" i="11"/>
  <c r="G45" i="11"/>
  <c r="D48" i="11"/>
  <c r="B34" i="11"/>
  <c r="S12" i="11"/>
  <c r="S11" i="11"/>
  <c r="S17" i="11"/>
  <c r="S13" i="11"/>
  <c r="T23" i="11"/>
  <c r="AT3" i="11"/>
  <c r="C10" i="11"/>
  <c r="CC8" i="11"/>
  <c r="CB10" i="11"/>
  <c r="CD11" i="11"/>
  <c r="B57" i="11"/>
  <c r="V23" i="11"/>
  <c r="AV3" i="11"/>
  <c r="CA30" i="11"/>
  <c r="CC40" i="11"/>
  <c r="H54" i="12"/>
  <c r="H37" i="12"/>
  <c r="B55" i="11"/>
  <c r="U23" i="11"/>
  <c r="X3" i="11"/>
  <c r="W23" i="11"/>
  <c r="CB29" i="11"/>
  <c r="B35" i="11"/>
  <c r="B58" i="11"/>
  <c r="AW3" i="11"/>
  <c r="CB4" i="11"/>
  <c r="S5" i="11"/>
  <c r="S9" i="11"/>
  <c r="CD10" i="11"/>
  <c r="CA41" i="11"/>
  <c r="S45" i="11"/>
  <c r="I38" i="12"/>
  <c r="I55" i="12"/>
  <c r="D56" i="12"/>
  <c r="D39" i="12"/>
  <c r="J37" i="12"/>
  <c r="J54" i="12"/>
  <c r="F56" i="12"/>
  <c r="F39" i="12"/>
  <c r="J40" i="12"/>
  <c r="G40" i="12"/>
  <c r="G57" i="12"/>
  <c r="G55" i="12"/>
  <c r="G38" i="12"/>
  <c r="H39" i="12"/>
  <c r="H56" i="12"/>
  <c r="H55" i="12"/>
  <c r="H38" i="12"/>
  <c r="D40" i="12"/>
  <c r="J43" i="12"/>
  <c r="J60" i="12"/>
  <c r="J62" i="12"/>
  <c r="J45" i="12"/>
  <c r="J66" i="12"/>
  <c r="J49" i="12"/>
  <c r="J47" i="12"/>
  <c r="J64" i="12"/>
  <c r="H41" i="12"/>
  <c r="H58" i="12"/>
  <c r="D41" i="12"/>
  <c r="D58" i="12"/>
  <c r="E57" i="12"/>
  <c r="F42" i="12"/>
  <c r="F59" i="12"/>
  <c r="F38" i="12"/>
  <c r="J58" i="12"/>
  <c r="J41" i="12"/>
  <c r="F41" i="12"/>
  <c r="F58" i="12"/>
  <c r="J61" i="12"/>
  <c r="J44" i="12"/>
  <c r="C54" i="12"/>
  <c r="K54" i="12"/>
  <c r="J55" i="12"/>
  <c r="F57" i="12"/>
  <c r="J63" i="12"/>
  <c r="F37" i="12"/>
  <c r="E38" i="12"/>
  <c r="C40" i="12"/>
  <c r="K40" i="12"/>
  <c r="K48" i="12"/>
  <c r="J56" i="12"/>
  <c r="H57" i="12"/>
  <c r="I57" i="12"/>
  <c r="G58" i="12"/>
  <c r="K60" i="12"/>
  <c r="I37" i="12"/>
  <c r="K44" i="12"/>
  <c r="B89" i="16"/>
  <c r="C89" i="16" s="1"/>
  <c r="B59" i="16"/>
  <c r="X23" i="16"/>
  <c r="BI7" i="18"/>
  <c r="BI8" i="18"/>
  <c r="BI9" i="18"/>
  <c r="BI10" i="18"/>
  <c r="BI3" i="18"/>
  <c r="BI11" i="18"/>
  <c r="BI2" i="18"/>
  <c r="BI4" i="18"/>
  <c r="BI12" i="18"/>
  <c r="BI5" i="18"/>
  <c r="BI13" i="18"/>
  <c r="BI6" i="18"/>
  <c r="BI6" i="13"/>
  <c r="BI14" i="13"/>
  <c r="BI12" i="13"/>
  <c r="BI10" i="13"/>
  <c r="BI7" i="13"/>
  <c r="BI8" i="13"/>
  <c r="BI4" i="13"/>
  <c r="BI3" i="13"/>
  <c r="BI5" i="13"/>
  <c r="BI11" i="13"/>
  <c r="BI9" i="13"/>
  <c r="BI2" i="13"/>
  <c r="BI13" i="13"/>
  <c r="D59" i="12" l="1"/>
  <c r="C39" i="10"/>
  <c r="F44" i="10"/>
  <c r="AI169" i="20"/>
  <c r="AI172" i="20"/>
  <c r="BC133" i="20"/>
  <c r="AP210" i="20"/>
  <c r="BC210" i="20"/>
  <c r="AV124" i="20"/>
  <c r="AW124" i="20" s="1"/>
  <c r="BC169" i="20"/>
  <c r="AI93" i="20"/>
  <c r="AI210" i="20"/>
  <c r="AP59" i="20"/>
  <c r="AQ59" i="20" s="1"/>
  <c r="BC124" i="20"/>
  <c r="AP169" i="20"/>
  <c r="AR169" i="20" s="1"/>
  <c r="BG51" i="14"/>
  <c r="AP130" i="20"/>
  <c r="AQ130" i="20" s="1"/>
  <c r="BC107" i="20"/>
  <c r="K35" i="3"/>
  <c r="L22" i="2" s="1"/>
  <c r="BC82" i="20"/>
  <c r="AV107" i="20"/>
  <c r="AW107" i="20" s="1"/>
  <c r="AI108" i="20"/>
  <c r="AV133" i="20"/>
  <c r="AW133" i="20" s="1"/>
  <c r="AV130" i="20"/>
  <c r="AW130" i="20" s="1"/>
  <c r="AP133" i="20"/>
  <c r="AQ133" i="20" s="1"/>
  <c r="AV171" i="20"/>
  <c r="AW171" i="20" s="1"/>
  <c r="W38" i="7"/>
  <c r="AP107" i="20"/>
  <c r="AQ107" i="20" s="1"/>
  <c r="AV91" i="20"/>
  <c r="AW91" i="20" s="1"/>
  <c r="BC161" i="20"/>
  <c r="AV160" i="20"/>
  <c r="AW160" i="20" s="1"/>
  <c r="AV201" i="20"/>
  <c r="AW201" i="20" s="1"/>
  <c r="AP219" i="20"/>
  <c r="AR219" i="20" s="1"/>
  <c r="AV43" i="20"/>
  <c r="AW43" i="20" s="1"/>
  <c r="AP43" i="20"/>
  <c r="AQ43" i="20" s="1"/>
  <c r="T21" i="3"/>
  <c r="V21" i="3" s="1"/>
  <c r="F21" i="20"/>
  <c r="BC43" i="20"/>
  <c r="AP100" i="20"/>
  <c r="AR100" i="20" s="1"/>
  <c r="AI30" i="20"/>
  <c r="AI46" i="20"/>
  <c r="BC30" i="20"/>
  <c r="AV75" i="20"/>
  <c r="AW75" i="20" s="1"/>
  <c r="BC67" i="20"/>
  <c r="AV37" i="20"/>
  <c r="AW37" i="20" s="1"/>
  <c r="BC58" i="20"/>
  <c r="F46" i="17"/>
  <c r="D47" i="17"/>
  <c r="BC195" i="20"/>
  <c r="AI178" i="20"/>
  <c r="AP138" i="20"/>
  <c r="AR138" i="20" s="1"/>
  <c r="AP54" i="20"/>
  <c r="AR54" i="20" s="1"/>
  <c r="AV51" i="20"/>
  <c r="AW51" i="20" s="1"/>
  <c r="BC54" i="20"/>
  <c r="AV54" i="20"/>
  <c r="AW54" i="20" s="1"/>
  <c r="AI125" i="20"/>
  <c r="BC93" i="20"/>
  <c r="AP172" i="20"/>
  <c r="AQ172" i="20" s="1"/>
  <c r="AP94" i="20"/>
  <c r="AQ94" i="20" s="1"/>
  <c r="AV209" i="20"/>
  <c r="AW209" i="20" s="1"/>
  <c r="BC149" i="20"/>
  <c r="C59" i="12"/>
  <c r="AP188" i="20"/>
  <c r="AR188" i="20" s="1"/>
  <c r="AV65" i="20"/>
  <c r="AW65" i="20" s="1"/>
  <c r="AV80" i="20"/>
  <c r="AW80" i="20" s="1"/>
  <c r="AP47" i="20"/>
  <c r="AR47" i="20" s="1"/>
  <c r="AP75" i="20"/>
  <c r="AQ75" i="20" s="1"/>
  <c r="AP155" i="20"/>
  <c r="AR155" i="20" s="1"/>
  <c r="BC209" i="20"/>
  <c r="AP101" i="20"/>
  <c r="AR101" i="20" s="1"/>
  <c r="AC74" i="21"/>
  <c r="AB74" i="21" s="1"/>
  <c r="AG74" i="21" s="1"/>
  <c r="BA41" i="14"/>
  <c r="AP179" i="20"/>
  <c r="AR179" i="20" s="1"/>
  <c r="BC172" i="20"/>
  <c r="I59" i="12"/>
  <c r="AV78" i="20"/>
  <c r="AW78" i="20" s="1"/>
  <c r="AI156" i="20"/>
  <c r="AI106" i="20"/>
  <c r="AC57" i="21"/>
  <c r="AB57" i="21" s="1"/>
  <c r="AG57" i="21" s="1"/>
  <c r="AP177" i="20"/>
  <c r="AR177" i="20" s="1"/>
  <c r="AC76" i="21"/>
  <c r="AB76" i="21" s="1"/>
  <c r="AG76" i="21" s="1"/>
  <c r="BC166" i="20"/>
  <c r="AR53" i="14"/>
  <c r="AS53" i="14" s="1"/>
  <c r="AC58" i="21"/>
  <c r="AB58" i="21" s="1"/>
  <c r="AP163" i="20"/>
  <c r="AR163" i="20" s="1"/>
  <c r="BC163" i="20"/>
  <c r="AR35" i="14"/>
  <c r="AT35" i="14" s="1"/>
  <c r="AC66" i="21"/>
  <c r="AB66" i="21" s="1"/>
  <c r="AG66" i="21" s="1"/>
  <c r="AV53" i="20"/>
  <c r="AW53" i="20" s="1"/>
  <c r="AP225" i="20"/>
  <c r="AR225" i="20" s="1"/>
  <c r="AC67" i="21"/>
  <c r="AB67" i="21" s="1"/>
  <c r="AG67" i="21" s="1"/>
  <c r="AI101" i="20"/>
  <c r="AI115" i="20"/>
  <c r="BG53" i="14"/>
  <c r="BG41" i="14"/>
  <c r="AR36" i="14"/>
  <c r="AT36" i="14" s="1"/>
  <c r="AC75" i="21"/>
  <c r="AB75" i="21" s="1"/>
  <c r="AG75" i="21" s="1"/>
  <c r="AP148" i="20"/>
  <c r="AR148" i="20" s="1"/>
  <c r="BC196" i="20"/>
  <c r="BA31" i="14"/>
  <c r="AC79" i="21"/>
  <c r="AB79" i="21" s="1"/>
  <c r="AG79" i="21" s="1"/>
  <c r="BC179" i="20"/>
  <c r="AV179" i="20"/>
  <c r="AW179" i="20" s="1"/>
  <c r="AI98" i="20"/>
  <c r="AI64" i="20"/>
  <c r="AP84" i="20"/>
  <c r="AR84" i="20" s="1"/>
  <c r="BC92" i="20"/>
  <c r="AR41" i="14"/>
  <c r="AT41" i="14" s="1"/>
  <c r="AV225" i="20"/>
  <c r="AW225" i="20" s="1"/>
  <c r="AV186" i="20"/>
  <c r="AW186" i="20" s="1"/>
  <c r="BC105" i="20"/>
  <c r="AI92" i="20"/>
  <c r="AI137" i="20"/>
  <c r="BC38" i="20"/>
  <c r="AI164" i="20"/>
  <c r="AP198" i="20"/>
  <c r="AQ198" i="20" s="1"/>
  <c r="BC94" i="20"/>
  <c r="AP178" i="20"/>
  <c r="AR178" i="20" s="1"/>
  <c r="BC198" i="20"/>
  <c r="AI188" i="20"/>
  <c r="AV146" i="20"/>
  <c r="AW146" i="20" s="1"/>
  <c r="AP91" i="20"/>
  <c r="AR91" i="20" s="1"/>
  <c r="BC106" i="20"/>
  <c r="AI94" i="20"/>
  <c r="AI212" i="20"/>
  <c r="BC75" i="20"/>
  <c r="AI47" i="20"/>
  <c r="AP199" i="20"/>
  <c r="AR199" i="20" s="1"/>
  <c r="H42" i="12"/>
  <c r="G59" i="12"/>
  <c r="BC178" i="20"/>
  <c r="AV208" i="20"/>
  <c r="AW208" i="20" s="1"/>
  <c r="AV97" i="20"/>
  <c r="AW97" i="20" s="1"/>
  <c r="BC91" i="20"/>
  <c r="K32" i="3"/>
  <c r="L19" i="2" s="1"/>
  <c r="BC173" i="20"/>
  <c r="BC222" i="20"/>
  <c r="AV196" i="20"/>
  <c r="AW196" i="20" s="1"/>
  <c r="AV138" i="20"/>
  <c r="AW138" i="20" s="1"/>
  <c r="AP106" i="20"/>
  <c r="AQ106" i="20" s="1"/>
  <c r="AP149" i="20"/>
  <c r="AQ149" i="20" s="1"/>
  <c r="BC138" i="20"/>
  <c r="AP67" i="20"/>
  <c r="AR67" i="20" s="1"/>
  <c r="BC190" i="20"/>
  <c r="AP85" i="20"/>
  <c r="AR85" i="20" s="1"/>
  <c r="BC101" i="20"/>
  <c r="AP173" i="20"/>
  <c r="AR173" i="20" s="1"/>
  <c r="AP196" i="20"/>
  <c r="AQ196" i="20" s="1"/>
  <c r="AV166" i="20"/>
  <c r="AW166" i="20" s="1"/>
  <c r="AV154" i="20"/>
  <c r="AW154" i="20" s="1"/>
  <c r="AV149" i="20"/>
  <c r="AW149" i="20" s="1"/>
  <c r="AP116" i="20"/>
  <c r="AR116" i="20" s="1"/>
  <c r="AR46" i="14"/>
  <c r="AT46" i="14" s="1"/>
  <c r="BG55" i="14"/>
  <c r="AI85" i="20"/>
  <c r="AI72" i="20"/>
  <c r="BC85" i="20"/>
  <c r="AP212" i="20"/>
  <c r="AR212" i="20" s="1"/>
  <c r="AP154" i="20"/>
  <c r="AR154" i="20" s="1"/>
  <c r="BG49" i="14"/>
  <c r="BC208" i="20"/>
  <c r="E46" i="17"/>
  <c r="BC225" i="20"/>
  <c r="AV188" i="20"/>
  <c r="AW188" i="20" s="1"/>
  <c r="BC116" i="20"/>
  <c r="AI38" i="20"/>
  <c r="BG34" i="14"/>
  <c r="BC109" i="20"/>
  <c r="BC47" i="20"/>
  <c r="AP79" i="20"/>
  <c r="AR79" i="20" s="1"/>
  <c r="G45" i="17"/>
  <c r="AP209" i="20"/>
  <c r="AR209" i="20" s="1"/>
  <c r="BC154" i="20"/>
  <c r="AP92" i="20"/>
  <c r="AQ92" i="20" s="1"/>
  <c r="AV67" i="20"/>
  <c r="AW67" i="20" s="1"/>
  <c r="BC53" i="20"/>
  <c r="AI83" i="20"/>
  <c r="AP189" i="20"/>
  <c r="AQ189" i="20" s="1"/>
  <c r="AP146" i="20"/>
  <c r="AQ146" i="20" s="1"/>
  <c r="AR54" i="14"/>
  <c r="AS54" i="14" s="1"/>
  <c r="BG54" i="14"/>
  <c r="AP194" i="20"/>
  <c r="AQ194" i="20" s="1"/>
  <c r="AI171" i="20"/>
  <c r="BC171" i="20"/>
  <c r="AP161" i="20"/>
  <c r="AQ161" i="20" s="1"/>
  <c r="AV215" i="20"/>
  <c r="AW215" i="20" s="1"/>
  <c r="AP115" i="20"/>
  <c r="AR115" i="20" s="1"/>
  <c r="BC130" i="20"/>
  <c r="BC146" i="20"/>
  <c r="G47" i="17"/>
  <c r="E49" i="17"/>
  <c r="BC48" i="20"/>
  <c r="AP201" i="20"/>
  <c r="AQ201" i="20" s="1"/>
  <c r="H45" i="17"/>
  <c r="I45" i="17"/>
  <c r="BC224" i="20"/>
  <c r="BC189" i="20"/>
  <c r="AV161" i="20"/>
  <c r="AW161" i="20" s="1"/>
  <c r="AP215" i="20"/>
  <c r="AR215" i="20" s="1"/>
  <c r="BC115" i="20"/>
  <c r="AV173" i="20"/>
  <c r="AW173" i="20" s="1"/>
  <c r="AV191" i="20"/>
  <c r="AW191" i="20" s="1"/>
  <c r="F43" i="17"/>
  <c r="BC214" i="20"/>
  <c r="AP109" i="20"/>
  <c r="AR109" i="20" s="1"/>
  <c r="P63" i="7"/>
  <c r="O64" i="7" s="1"/>
  <c r="E45" i="6" s="1"/>
  <c r="C44" i="17"/>
  <c r="C47" i="17"/>
  <c r="AP208" i="20"/>
  <c r="AR208" i="20" s="1"/>
  <c r="AV189" i="20"/>
  <c r="AW189" i="20" s="1"/>
  <c r="AV109" i="20"/>
  <c r="AW109" i="20" s="1"/>
  <c r="BC97" i="20"/>
  <c r="AP191" i="20"/>
  <c r="AR191" i="20" s="1"/>
  <c r="BG47" i="14"/>
  <c r="AP187" i="20"/>
  <c r="AI155" i="20"/>
  <c r="T18" i="3"/>
  <c r="V18" i="3" s="1"/>
  <c r="N63" i="7"/>
  <c r="M64" i="7" s="1"/>
  <c r="E42" i="6" s="1"/>
  <c r="BC155" i="20"/>
  <c r="BC201" i="20"/>
  <c r="AP97" i="20"/>
  <c r="AQ97" i="20" s="1"/>
  <c r="BC39" i="20"/>
  <c r="AP30" i="20"/>
  <c r="AQ30" i="20" s="1"/>
  <c r="AR47" i="14"/>
  <c r="AS47" i="14" s="1"/>
  <c r="BC87" i="20"/>
  <c r="BC72" i="20"/>
  <c r="BC80" i="20"/>
  <c r="AV48" i="20"/>
  <c r="AW48" i="20" s="1"/>
  <c r="J7" i="13"/>
  <c r="BC61" i="20"/>
  <c r="AP72" i="20"/>
  <c r="AR72" i="20" s="1"/>
  <c r="AP211" i="20"/>
  <c r="AR211" i="20" s="1"/>
  <c r="BC160" i="20"/>
  <c r="AP93" i="20"/>
  <c r="AQ93" i="20" s="1"/>
  <c r="BC46" i="20"/>
  <c r="BG42" i="14"/>
  <c r="AV194" i="20"/>
  <c r="AW194" i="20" s="1"/>
  <c r="AI121" i="20"/>
  <c r="AP121" i="20"/>
  <c r="AR121" i="20" s="1"/>
  <c r="AV87" i="20"/>
  <c r="AW87" i="20" s="1"/>
  <c r="AP48" i="20"/>
  <c r="AR48" i="20" s="1"/>
  <c r="AI55" i="20"/>
  <c r="AV163" i="20"/>
  <c r="AW163" i="20" s="1"/>
  <c r="AV195" i="20"/>
  <c r="AW195" i="20" s="1"/>
  <c r="BC121" i="20"/>
  <c r="AI48" i="20"/>
  <c r="AP44" i="20"/>
  <c r="AQ44" i="20" s="1"/>
  <c r="BC55" i="20"/>
  <c r="AI63" i="20"/>
  <c r="AP184" i="20"/>
  <c r="AQ184" i="20" s="1"/>
  <c r="AV162" i="20"/>
  <c r="AW162" i="20" s="1"/>
  <c r="AP123" i="20"/>
  <c r="AR123" i="20" s="1"/>
  <c r="AP117" i="20"/>
  <c r="AR117" i="20" s="1"/>
  <c r="F7" i="13"/>
  <c r="BG48" i="14"/>
  <c r="BC194" i="20"/>
  <c r="AV211" i="20"/>
  <c r="AW211" i="20" s="1"/>
  <c r="AP195" i="20"/>
  <c r="AR195" i="20" s="1"/>
  <c r="AI117" i="20"/>
  <c r="AV114" i="20"/>
  <c r="AW114" i="20" s="1"/>
  <c r="BC117" i="20"/>
  <c r="AP53" i="20"/>
  <c r="AI180" i="20"/>
  <c r="AI211" i="20"/>
  <c r="AP162" i="20"/>
  <c r="AR162" i="20" s="1"/>
  <c r="BC156" i="20"/>
  <c r="AV139" i="20"/>
  <c r="AW139" i="20" s="1"/>
  <c r="AP156" i="20"/>
  <c r="AR156" i="20" s="1"/>
  <c r="AP122" i="20"/>
  <c r="AR122" i="20" s="1"/>
  <c r="BC191" i="20"/>
  <c r="AV101" i="20"/>
  <c r="AW101" i="20" s="1"/>
  <c r="AV82" i="20"/>
  <c r="AW82" i="20" s="1"/>
  <c r="G8" i="13"/>
  <c r="G9" i="13" s="1"/>
  <c r="BG52" i="14"/>
  <c r="AP202" i="20"/>
  <c r="AR202" i="20" s="1"/>
  <c r="BC193" i="20"/>
  <c r="AP87" i="20"/>
  <c r="AQ87" i="20" s="1"/>
  <c r="AV58" i="20"/>
  <c r="AW58" i="20" s="1"/>
  <c r="AC64" i="21"/>
  <c r="AB64" i="21" s="1"/>
  <c r="AG64" i="21" s="1"/>
  <c r="AC60" i="21"/>
  <c r="AB60" i="21" s="1"/>
  <c r="AC68" i="21"/>
  <c r="AB68" i="21" s="1"/>
  <c r="AP218" i="20"/>
  <c r="AR218" i="20" s="1"/>
  <c r="AI184" i="20"/>
  <c r="AP99" i="20"/>
  <c r="AR99" i="20" s="1"/>
  <c r="BC202" i="20"/>
  <c r="AI193" i="20"/>
  <c r="AI87" i="20"/>
  <c r="BC114" i="20"/>
  <c r="AP55" i="20"/>
  <c r="AR55" i="20" s="1"/>
  <c r="AP39" i="20"/>
  <c r="AR39" i="20" s="1"/>
  <c r="BC65" i="20"/>
  <c r="AR33" i="14"/>
  <c r="AT33" i="14" s="1"/>
  <c r="AR38" i="14"/>
  <c r="AT38" i="14" s="1"/>
  <c r="AC65" i="21"/>
  <c r="AB65" i="21" s="1"/>
  <c r="AC70" i="21"/>
  <c r="AB70" i="21" s="1"/>
  <c r="AG70" i="21" s="1"/>
  <c r="AC78" i="21"/>
  <c r="AB78" i="21" s="1"/>
  <c r="AG78" i="21" s="1"/>
  <c r="AI176" i="20"/>
  <c r="BC218" i="20"/>
  <c r="AP226" i="20"/>
  <c r="AR226" i="20" s="1"/>
  <c r="BC184" i="20"/>
  <c r="AP193" i="20"/>
  <c r="AR193" i="20" s="1"/>
  <c r="AP139" i="20"/>
  <c r="AR139" i="20" s="1"/>
  <c r="AP114" i="20"/>
  <c r="AR114" i="20" s="1"/>
  <c r="AI73" i="20"/>
  <c r="AP222" i="20"/>
  <c r="AQ222" i="20" s="1"/>
  <c r="AP124" i="20"/>
  <c r="AP128" i="20"/>
  <c r="AQ128" i="20" s="1"/>
  <c r="BG32" i="14"/>
  <c r="AC62" i="21"/>
  <c r="AB62" i="21" s="1"/>
  <c r="AG62" i="21" s="1"/>
  <c r="AC71" i="21"/>
  <c r="AB71" i="21" s="1"/>
  <c r="AC69" i="21"/>
  <c r="AB69" i="21" s="1"/>
  <c r="AG69" i="21" s="1"/>
  <c r="AV218" i="20"/>
  <c r="AW218" i="20" s="1"/>
  <c r="AP217" i="20"/>
  <c r="AQ217" i="20" s="1"/>
  <c r="AV226" i="20"/>
  <c r="AW226" i="20" s="1"/>
  <c r="BC226" i="20"/>
  <c r="AI148" i="20"/>
  <c r="BC139" i="20"/>
  <c r="BC148" i="20"/>
  <c r="AP41" i="20"/>
  <c r="AR41" i="20" s="1"/>
  <c r="C20" i="20"/>
  <c r="BC37" i="20"/>
  <c r="K8" i="18"/>
  <c r="J9" i="18" s="1"/>
  <c r="AP80" i="20"/>
  <c r="AR80" i="20" s="1"/>
  <c r="AC63" i="21"/>
  <c r="AB63" i="21" s="1"/>
  <c r="AG63" i="21" s="1"/>
  <c r="AC61" i="21"/>
  <c r="AB61" i="21" s="1"/>
  <c r="AG61" i="21" s="1"/>
  <c r="AC73" i="21"/>
  <c r="AB73" i="21" s="1"/>
  <c r="AG73" i="21" s="1"/>
  <c r="AP160" i="20"/>
  <c r="AR160" i="20" s="1"/>
  <c r="AV217" i="20"/>
  <c r="AW217" i="20" s="1"/>
  <c r="AV219" i="20"/>
  <c r="AW219" i="20" s="1"/>
  <c r="BC217" i="20"/>
  <c r="AV123" i="20"/>
  <c r="AW123" i="20" s="1"/>
  <c r="AP61" i="20"/>
  <c r="AQ61" i="20" s="1"/>
  <c r="AP58" i="20"/>
  <c r="AR58" i="20" s="1"/>
  <c r="AP37" i="20"/>
  <c r="AR37" i="20" s="1"/>
  <c r="AR39" i="14"/>
  <c r="AT39" i="14" s="1"/>
  <c r="BG46" i="14"/>
  <c r="AR34" i="14"/>
  <c r="AS34" i="14" s="1"/>
  <c r="BC215" i="20"/>
  <c r="BC212" i="20"/>
  <c r="AC59" i="21"/>
  <c r="AB59" i="21" s="1"/>
  <c r="AS59" i="21" s="1"/>
  <c r="AC77" i="21"/>
  <c r="AB77" i="21" s="1"/>
  <c r="AG77" i="21" s="1"/>
  <c r="BC162" i="20"/>
  <c r="AV202" i="20"/>
  <c r="AW202" i="20" s="1"/>
  <c r="BC123" i="20"/>
  <c r="AP129" i="20"/>
  <c r="AQ129" i="20" s="1"/>
  <c r="AR171" i="20"/>
  <c r="AV39" i="20"/>
  <c r="AW39" i="20" s="1"/>
  <c r="AV224" i="20"/>
  <c r="AW224" i="20" s="1"/>
  <c r="AV198" i="20"/>
  <c r="AW198" i="20" s="1"/>
  <c r="AV105" i="20"/>
  <c r="AW105" i="20" s="1"/>
  <c r="AI140" i="20"/>
  <c r="BC70" i="20"/>
  <c r="BC84" i="20"/>
  <c r="AP137" i="20"/>
  <c r="AQ137" i="20" s="1"/>
  <c r="BC51" i="20"/>
  <c r="BA49" i="14"/>
  <c r="BA43" i="14"/>
  <c r="AP81" i="20"/>
  <c r="AQ81" i="20" s="1"/>
  <c r="AI131" i="20"/>
  <c r="AP190" i="20"/>
  <c r="AQ190" i="20" s="1"/>
  <c r="AI168" i="20"/>
  <c r="AI219" i="20"/>
  <c r="AP168" i="20"/>
  <c r="AQ168" i="20" s="1"/>
  <c r="AV141" i="20"/>
  <c r="AW141" i="20" s="1"/>
  <c r="AP70" i="20"/>
  <c r="AQ70" i="20" s="1"/>
  <c r="BC137" i="20"/>
  <c r="AI69" i="20"/>
  <c r="AP69" i="20"/>
  <c r="AR69" i="20" s="1"/>
  <c r="F39" i="15"/>
  <c r="F91" i="16" s="1"/>
  <c r="BA37" i="14"/>
  <c r="AR37" i="14"/>
  <c r="AT37" i="14" s="1"/>
  <c r="BG33" i="14"/>
  <c r="BC187" i="20"/>
  <c r="BG38" i="14"/>
  <c r="AR55" i="14"/>
  <c r="AS55" i="14" s="1"/>
  <c r="BC204" i="20"/>
  <c r="AV190" i="20"/>
  <c r="AW190" i="20" s="1"/>
  <c r="BC168" i="20"/>
  <c r="AI84" i="20"/>
  <c r="AP131" i="20"/>
  <c r="AQ131" i="20" s="1"/>
  <c r="BC141" i="20"/>
  <c r="AV70" i="20"/>
  <c r="AW70" i="20" s="1"/>
  <c r="BC69" i="20"/>
  <c r="BC77" i="20"/>
  <c r="BA48" i="14"/>
  <c r="AI204" i="20"/>
  <c r="AI190" i="20"/>
  <c r="BC131" i="20"/>
  <c r="AP98" i="20"/>
  <c r="AR98" i="20" s="1"/>
  <c r="AP141" i="20"/>
  <c r="AQ141" i="20" s="1"/>
  <c r="AI132" i="20"/>
  <c r="BC64" i="20"/>
  <c r="BC98" i="20"/>
  <c r="BC60" i="20"/>
  <c r="BA40" i="14"/>
  <c r="AL34" i="14"/>
  <c r="AM34" i="14" s="1"/>
  <c r="BC219" i="20"/>
  <c r="C15" i="21"/>
  <c r="P31" i="21" s="1"/>
  <c r="AP180" i="20"/>
  <c r="AR180" i="20" s="1"/>
  <c r="AP214" i="20"/>
  <c r="AR214" i="20" s="1"/>
  <c r="AV187" i="20"/>
  <c r="AW187" i="20" s="1"/>
  <c r="AP224" i="20"/>
  <c r="AQ224" i="20" s="1"/>
  <c r="AP105" i="20"/>
  <c r="AR105" i="20" s="1"/>
  <c r="BC78" i="20"/>
  <c r="AI90" i="20"/>
  <c r="AP64" i="20"/>
  <c r="AR64" i="20" s="1"/>
  <c r="AV60" i="20"/>
  <c r="AW60" i="20" s="1"/>
  <c r="AV42" i="20"/>
  <c r="AW42" i="20" s="1"/>
  <c r="BA38" i="14"/>
  <c r="AL31" i="14"/>
  <c r="AM31" i="14" s="1"/>
  <c r="AP51" i="20"/>
  <c r="AQ51" i="20" s="1"/>
  <c r="AP220" i="20"/>
  <c r="AR220" i="20" s="1"/>
  <c r="BC180" i="20"/>
  <c r="AV214" i="20"/>
  <c r="AW214" i="20" s="1"/>
  <c r="BC200" i="20"/>
  <c r="AI187" i="20"/>
  <c r="BC164" i="20"/>
  <c r="AP78" i="20"/>
  <c r="AR78" i="20" s="1"/>
  <c r="BA45" i="14"/>
  <c r="BG37" i="14"/>
  <c r="AP65" i="20"/>
  <c r="AR65" i="20" s="1"/>
  <c r="AR48" i="14"/>
  <c r="AT48" i="14" s="1"/>
  <c r="BC203" i="20"/>
  <c r="AV200" i="20"/>
  <c r="AW200" i="20" s="1"/>
  <c r="C16" i="21"/>
  <c r="AR26" i="20" s="1"/>
  <c r="BC128" i="20"/>
  <c r="AV116" i="20"/>
  <c r="AW116" i="20" s="1"/>
  <c r="AI177" i="20"/>
  <c r="AI111" i="20"/>
  <c r="AP63" i="20"/>
  <c r="AR63" i="20" s="1"/>
  <c r="AI153" i="20"/>
  <c r="AV122" i="20"/>
  <c r="AW122" i="20" s="1"/>
  <c r="AV71" i="20"/>
  <c r="AW71" i="20" s="1"/>
  <c r="BC59" i="20"/>
  <c r="AI45" i="20"/>
  <c r="AP45" i="20"/>
  <c r="AQ45" i="20" s="1"/>
  <c r="BC35" i="20"/>
  <c r="AP49" i="20"/>
  <c r="AR49" i="20" s="1"/>
  <c r="R14" i="3"/>
  <c r="AP166" i="20"/>
  <c r="AR166" i="20" s="1"/>
  <c r="BG36" i="14"/>
  <c r="AR50" i="14"/>
  <c r="AS50" i="14" s="1"/>
  <c r="AP38" i="20"/>
  <c r="AP200" i="20"/>
  <c r="AQ200" i="20" s="1"/>
  <c r="AV185" i="20"/>
  <c r="AW185" i="20" s="1"/>
  <c r="BC177" i="20"/>
  <c r="AV99" i="20"/>
  <c r="AW99" i="20" s="1"/>
  <c r="AI170" i="20"/>
  <c r="AI86" i="20"/>
  <c r="BC153" i="20"/>
  <c r="AI71" i="20"/>
  <c r="AI81" i="20"/>
  <c r="AI59" i="20"/>
  <c r="AI35" i="20"/>
  <c r="AI49" i="20"/>
  <c r="AP140" i="20"/>
  <c r="AP203" i="20"/>
  <c r="AR203" i="20" s="1"/>
  <c r="AP213" i="20"/>
  <c r="AR213" i="20" s="1"/>
  <c r="BC99" i="20"/>
  <c r="AV100" i="20"/>
  <c r="AW100" i="20" s="1"/>
  <c r="BC45" i="20"/>
  <c r="AV128" i="20"/>
  <c r="AW128" i="20" s="1"/>
  <c r="BC71" i="20"/>
  <c r="AV31" i="20"/>
  <c r="AW31" i="20" s="1"/>
  <c r="AI203" i="20"/>
  <c r="BC170" i="20"/>
  <c r="AP111" i="20"/>
  <c r="AQ111" i="20" s="1"/>
  <c r="BC122" i="20"/>
  <c r="BC63" i="20"/>
  <c r="AV52" i="20"/>
  <c r="AW52" i="20" s="1"/>
  <c r="I14" i="15"/>
  <c r="L4" i="16" s="1"/>
  <c r="L10" i="16" s="1"/>
  <c r="E59" i="12"/>
  <c r="O28" i="2"/>
  <c r="T20" i="3"/>
  <c r="V20" i="3" s="1"/>
  <c r="AI199" i="20"/>
  <c r="AP185" i="20"/>
  <c r="AQ185" i="20" s="1"/>
  <c r="BC220" i="20"/>
  <c r="AP108" i="20"/>
  <c r="AR108" i="20" s="1"/>
  <c r="AV213" i="20"/>
  <c r="AW213" i="20" s="1"/>
  <c r="BC185" i="20"/>
  <c r="BC147" i="20"/>
  <c r="BC76" i="20"/>
  <c r="AV76" i="20"/>
  <c r="AW76" i="20" s="1"/>
  <c r="AV81" i="20"/>
  <c r="AW81" i="20" s="1"/>
  <c r="BC79" i="20"/>
  <c r="AR51" i="14"/>
  <c r="AT51" i="14" s="1"/>
  <c r="AR49" i="14"/>
  <c r="AT49" i="14" s="1"/>
  <c r="BC140" i="20"/>
  <c r="AP147" i="20"/>
  <c r="AQ147" i="20" s="1"/>
  <c r="BC108" i="20"/>
  <c r="BC100" i="20"/>
  <c r="AV147" i="20"/>
  <c r="AW147" i="20" s="1"/>
  <c r="BC52" i="20"/>
  <c r="AV49" i="20"/>
  <c r="AW49" i="20" s="1"/>
  <c r="BC31" i="20"/>
  <c r="AP153" i="20"/>
  <c r="AR153" i="20" s="1"/>
  <c r="AV220" i="20"/>
  <c r="AW220" i="20" s="1"/>
  <c r="AP76" i="20"/>
  <c r="AR76" i="20" s="1"/>
  <c r="BC81" i="20"/>
  <c r="AP60" i="20"/>
  <c r="AR60" i="20" s="1"/>
  <c r="AP52" i="20"/>
  <c r="AR52" i="20" s="1"/>
  <c r="AP46" i="20"/>
  <c r="AR46" i="20" s="1"/>
  <c r="BC41" i="20"/>
  <c r="AP31" i="20"/>
  <c r="AQ31" i="20" s="1"/>
  <c r="BC213" i="20"/>
  <c r="AP170" i="20"/>
  <c r="AR170" i="20" s="1"/>
  <c r="AI100" i="20"/>
  <c r="AI79" i="20"/>
  <c r="AP35" i="20"/>
  <c r="AQ35" i="20" s="1"/>
  <c r="AP34" i="20"/>
  <c r="AR34" i="20" s="1"/>
  <c r="AL47" i="14"/>
  <c r="AM47" i="14" s="1"/>
  <c r="AR32" i="14"/>
  <c r="AT32" i="14" s="1"/>
  <c r="BC42" i="20"/>
  <c r="BG35" i="14"/>
  <c r="AP42" i="20"/>
  <c r="AR42" i="20" s="1"/>
  <c r="AL51" i="14"/>
  <c r="AM51" i="14" s="1"/>
  <c r="BC111" i="20"/>
  <c r="AP68" i="20"/>
  <c r="AQ68" i="20" s="1"/>
  <c r="AP204" i="20"/>
  <c r="AQ204" i="20" s="1"/>
  <c r="AR52" i="14"/>
  <c r="AS52" i="14" s="1"/>
  <c r="BC90" i="20"/>
  <c r="BC40" i="20"/>
  <c r="G46" i="17"/>
  <c r="F48" i="17"/>
  <c r="H47" i="17"/>
  <c r="G49" i="17"/>
  <c r="D43" i="17"/>
  <c r="F44" i="17"/>
  <c r="BC199" i="20"/>
  <c r="AP176" i="20"/>
  <c r="AQ176" i="20" s="1"/>
  <c r="AP164" i="20"/>
  <c r="AR164" i="20" s="1"/>
  <c r="AP132" i="20"/>
  <c r="AR132" i="20" s="1"/>
  <c r="AP83" i="20"/>
  <c r="AR83" i="20" s="1"/>
  <c r="BC132" i="20"/>
  <c r="AP73" i="20"/>
  <c r="AR73" i="20" s="1"/>
  <c r="AI61" i="20"/>
  <c r="AV44" i="20"/>
  <c r="AW44" i="20" s="1"/>
  <c r="AP40" i="20"/>
  <c r="AR40" i="20" s="1"/>
  <c r="AI34" i="20"/>
  <c r="AI40" i="20"/>
  <c r="G43" i="17"/>
  <c r="AL44" i="14"/>
  <c r="AM44" i="14" s="1"/>
  <c r="AL52" i="14"/>
  <c r="AM52" i="14" s="1"/>
  <c r="AL55" i="14"/>
  <c r="AM55" i="14" s="1"/>
  <c r="AL37" i="14"/>
  <c r="AM37" i="14" s="1"/>
  <c r="AL32" i="14"/>
  <c r="AM32" i="14" s="1"/>
  <c r="AL48" i="14"/>
  <c r="AM48" i="14" s="1"/>
  <c r="D45" i="17"/>
  <c r="I47" i="17"/>
  <c r="AV199" i="20"/>
  <c r="AW199" i="20" s="1"/>
  <c r="BC176" i="20"/>
  <c r="AI129" i="20"/>
  <c r="AP82" i="20"/>
  <c r="AR82" i="20" s="1"/>
  <c r="AV68" i="20"/>
  <c r="AW68" i="20" s="1"/>
  <c r="BC73" i="20"/>
  <c r="BA52" i="14"/>
  <c r="AL35" i="14"/>
  <c r="AM35" i="14" s="1"/>
  <c r="AL53" i="14"/>
  <c r="AM53" i="14" s="1"/>
  <c r="AL41" i="14"/>
  <c r="AM41" i="14" s="1"/>
  <c r="J8" i="13"/>
  <c r="E45" i="17"/>
  <c r="I49" i="17"/>
  <c r="I50" i="17"/>
  <c r="BC129" i="20"/>
  <c r="BC68" i="20"/>
  <c r="AI68" i="20"/>
  <c r="AV41" i="20"/>
  <c r="AW41" i="20" s="1"/>
  <c r="E44" i="17"/>
  <c r="G48" i="17"/>
  <c r="C45" i="17"/>
  <c r="AL40" i="14"/>
  <c r="AM40" i="14" s="1"/>
  <c r="AL38" i="14"/>
  <c r="AL49" i="14"/>
  <c r="AM49" i="14" s="1"/>
  <c r="L11" i="16"/>
  <c r="AF29" i="16" s="1"/>
  <c r="AH29" i="14"/>
  <c r="C48" i="17"/>
  <c r="H43" i="17"/>
  <c r="F50" i="17"/>
  <c r="D49" i="17"/>
  <c r="C43" i="17"/>
  <c r="BC197" i="20"/>
  <c r="AP197" i="20"/>
  <c r="AR197" i="20" s="1"/>
  <c r="D50" i="17"/>
  <c r="AI41" i="20"/>
  <c r="H46" i="17"/>
  <c r="AI77" i="20"/>
  <c r="F47" i="17"/>
  <c r="AV29" i="20"/>
  <c r="AW29" i="20" s="1"/>
  <c r="BG50" i="14"/>
  <c r="AL36" i="14"/>
  <c r="AM36" i="14" s="1"/>
  <c r="AL46" i="14"/>
  <c r="AM46" i="14" s="1"/>
  <c r="AL42" i="14"/>
  <c r="AM42" i="14" s="1"/>
  <c r="E47" i="17"/>
  <c r="F45" i="17"/>
  <c r="H49" i="17"/>
  <c r="G50" i="17"/>
  <c r="I44" i="17"/>
  <c r="I48" i="17"/>
  <c r="AI197" i="20"/>
  <c r="AV222" i="20"/>
  <c r="AW222" i="20" s="1"/>
  <c r="AP186" i="20"/>
  <c r="AR186" i="20" s="1"/>
  <c r="BC86" i="20"/>
  <c r="D44" i="17"/>
  <c r="AV61" i="20"/>
  <c r="AW61" i="20" s="1"/>
  <c r="C46" i="17"/>
  <c r="BC29" i="20"/>
  <c r="D48" i="17"/>
  <c r="BC34" i="20"/>
  <c r="AL33" i="14"/>
  <c r="AM33" i="14" s="1"/>
  <c r="AL54" i="14"/>
  <c r="AM54" i="14" s="1"/>
  <c r="AL50" i="14"/>
  <c r="AM50" i="14" s="1"/>
  <c r="H44" i="17"/>
  <c r="G44" i="17"/>
  <c r="I43" i="17"/>
  <c r="I46" i="17"/>
  <c r="BC186" i="20"/>
  <c r="AP90" i="20"/>
  <c r="AR90" i="20" s="1"/>
  <c r="AP86" i="20"/>
  <c r="AR86" i="20" s="1"/>
  <c r="BC83" i="20"/>
  <c r="E43" i="17"/>
  <c r="AP77" i="20"/>
  <c r="AQ77" i="20" s="1"/>
  <c r="BC44" i="20"/>
  <c r="AP29" i="20"/>
  <c r="AQ29" i="20" s="1"/>
  <c r="H50" i="17"/>
  <c r="F49" i="17"/>
  <c r="AL45" i="14"/>
  <c r="AM45" i="14" s="1"/>
  <c r="AL39" i="14"/>
  <c r="AM39" i="14" s="1"/>
  <c r="AM38" i="14"/>
  <c r="Q14" i="21"/>
  <c r="P14" i="21"/>
  <c r="BB3" i="21"/>
  <c r="AK3" i="21"/>
  <c r="T3" i="21"/>
  <c r="AI103" i="20"/>
  <c r="AP103" i="20"/>
  <c r="AV103" i="20"/>
  <c r="AW103" i="20" s="1"/>
  <c r="BC103" i="20"/>
  <c r="AI126" i="20"/>
  <c r="AP126" i="20"/>
  <c r="BC126" i="20"/>
  <c r="AV126" i="20"/>
  <c r="AW126" i="20" s="1"/>
  <c r="BC3" i="21"/>
  <c r="U3" i="21"/>
  <c r="AL3" i="21"/>
  <c r="AP183" i="20"/>
  <c r="AV183" i="20"/>
  <c r="AW183" i="20" s="1"/>
  <c r="AI183" i="20"/>
  <c r="BC183" i="20"/>
  <c r="AI174" i="20"/>
  <c r="AP174" i="20"/>
  <c r="AV174" i="20"/>
  <c r="AW174" i="20" s="1"/>
  <c r="BC174" i="20"/>
  <c r="AI158" i="20"/>
  <c r="AP158" i="20"/>
  <c r="AV158" i="20"/>
  <c r="AW158" i="20" s="1"/>
  <c r="BC158" i="20"/>
  <c r="AR210" i="20"/>
  <c r="AQ210" i="20"/>
  <c r="Q13" i="21"/>
  <c r="P13" i="21"/>
  <c r="Q15" i="21"/>
  <c r="P15" i="21"/>
  <c r="AP223" i="20"/>
  <c r="AV223" i="20"/>
  <c r="AW223" i="20" s="1"/>
  <c r="AI223" i="20"/>
  <c r="BC223" i="20"/>
  <c r="AV192" i="20"/>
  <c r="AW192" i="20" s="1"/>
  <c r="BC192" i="20"/>
  <c r="AI192" i="20"/>
  <c r="AP192" i="20"/>
  <c r="AI102" i="20"/>
  <c r="AP102" i="20"/>
  <c r="BC102" i="20"/>
  <c r="AV102" i="20"/>
  <c r="AW102" i="20" s="1"/>
  <c r="AI118" i="20"/>
  <c r="AP118" i="20"/>
  <c r="BC118" i="20"/>
  <c r="AV118" i="20"/>
  <c r="AW118" i="20" s="1"/>
  <c r="AI143" i="20"/>
  <c r="AP143" i="20"/>
  <c r="AV143" i="20"/>
  <c r="AW143" i="20" s="1"/>
  <c r="BC143" i="20"/>
  <c r="AI127" i="20"/>
  <c r="AP127" i="20"/>
  <c r="AV127" i="20"/>
  <c r="AW127" i="20" s="1"/>
  <c r="BC127" i="20"/>
  <c r="BK5" i="16"/>
  <c r="BK16" i="16"/>
  <c r="AH32" i="16"/>
  <c r="AH25" i="16"/>
  <c r="B87" i="16"/>
  <c r="AH39" i="16"/>
  <c r="C40" i="16"/>
  <c r="R12" i="16" s="1"/>
  <c r="T12" i="16" s="1"/>
  <c r="AH37" i="16"/>
  <c r="C34" i="16"/>
  <c r="C37" i="16" s="1"/>
  <c r="P44" i="16" s="1"/>
  <c r="P46" i="16" s="1"/>
  <c r="AH33" i="16"/>
  <c r="C66" i="16"/>
  <c r="BU39" i="16" s="1"/>
  <c r="AH40" i="16"/>
  <c r="C35" i="16"/>
  <c r="C38" i="16" s="1"/>
  <c r="AT29" i="14" s="1"/>
  <c r="AH34" i="16"/>
  <c r="AH27" i="16"/>
  <c r="AH29" i="16"/>
  <c r="AH28" i="16"/>
  <c r="AH24" i="16"/>
  <c r="AK12" i="16"/>
  <c r="AK11" i="16"/>
  <c r="BH8" i="16"/>
  <c r="BH7" i="16"/>
  <c r="AH35" i="16"/>
  <c r="AH30" i="16"/>
  <c r="AK13" i="16"/>
  <c r="BH10" i="16"/>
  <c r="BH9" i="16"/>
  <c r="BH4" i="16"/>
  <c r="A9" i="15"/>
  <c r="AK19" i="16"/>
  <c r="AK14" i="16"/>
  <c r="BH12" i="16"/>
  <c r="BH11" i="16"/>
  <c r="A34" i="15"/>
  <c r="BH20" i="16"/>
  <c r="BH18" i="16"/>
  <c r="AK15" i="16"/>
  <c r="BH13" i="16"/>
  <c r="F42" i="15"/>
  <c r="C24" i="14" s="1"/>
  <c r="A30" i="15"/>
  <c r="AH31" i="16"/>
  <c r="AK16" i="16"/>
  <c r="BH14" i="16"/>
  <c r="A33" i="15"/>
  <c r="AK17" i="16"/>
  <c r="BH15" i="16"/>
  <c r="AK6" i="16"/>
  <c r="AK5" i="16"/>
  <c r="AH36" i="16"/>
  <c r="AH26" i="16"/>
  <c r="AK20" i="16"/>
  <c r="AK18" i="16"/>
  <c r="BH16" i="16"/>
  <c r="AK8" i="16"/>
  <c r="AK7" i="16"/>
  <c r="AK10" i="16"/>
  <c r="BH5" i="16"/>
  <c r="AK9" i="16"/>
  <c r="A32" i="15"/>
  <c r="BH17" i="16"/>
  <c r="BH6" i="16"/>
  <c r="AK4" i="16"/>
  <c r="BH19" i="16"/>
  <c r="AH38" i="16"/>
  <c r="AJ79" i="21"/>
  <c r="AI79" i="21"/>
  <c r="AJ76" i="21"/>
  <c r="AI71" i="21"/>
  <c r="AJ70" i="21"/>
  <c r="AI76" i="21"/>
  <c r="AJ73" i="21"/>
  <c r="AI70" i="21"/>
  <c r="AJ69" i="21"/>
  <c r="AJ78" i="21"/>
  <c r="AI73" i="21"/>
  <c r="AI69" i="21"/>
  <c r="AJ68" i="21"/>
  <c r="AI78" i="21"/>
  <c r="AJ75" i="21"/>
  <c r="AI68" i="21"/>
  <c r="AJ67" i="21"/>
  <c r="AJ77" i="21"/>
  <c r="AI72" i="21"/>
  <c r="AI66" i="21"/>
  <c r="AI63" i="21"/>
  <c r="AJ62" i="21"/>
  <c r="AJ74" i="21"/>
  <c r="AI62" i="21"/>
  <c r="AJ61" i="21"/>
  <c r="AI75" i="21"/>
  <c r="AI74" i="21"/>
  <c r="AI60" i="21"/>
  <c r="AJ59" i="21"/>
  <c r="AI53" i="21"/>
  <c r="AI65" i="21"/>
  <c r="AJ64" i="21"/>
  <c r="AI57" i="21"/>
  <c r="AJ72" i="21"/>
  <c r="AJ71" i="21"/>
  <c r="AI64" i="21"/>
  <c r="AJ63" i="21"/>
  <c r="AI67" i="21"/>
  <c r="AI52" i="21"/>
  <c r="AI48" i="21"/>
  <c r="AJ46" i="21"/>
  <c r="AI44" i="21"/>
  <c r="AJ51" i="21"/>
  <c r="AI46" i="21"/>
  <c r="AJ58" i="21"/>
  <c r="AJ57" i="21"/>
  <c r="AI51" i="21"/>
  <c r="AJ43" i="21"/>
  <c r="AJ41" i="21"/>
  <c r="AJ39" i="21"/>
  <c r="AJ37" i="21"/>
  <c r="AJ60" i="21"/>
  <c r="AI59" i="21"/>
  <c r="AI58" i="21"/>
  <c r="AJ50" i="21"/>
  <c r="AI43" i="21"/>
  <c r="AI41" i="21"/>
  <c r="AI39" i="21"/>
  <c r="AI37" i="21"/>
  <c r="AI77" i="21"/>
  <c r="AJ53" i="21"/>
  <c r="AI49" i="21"/>
  <c r="AJ65" i="21"/>
  <c r="AJ52" i="21"/>
  <c r="AJ48" i="21"/>
  <c r="AJ44" i="21"/>
  <c r="AI42" i="21"/>
  <c r="AI40" i="21"/>
  <c r="AI38" i="21"/>
  <c r="AI61" i="21"/>
  <c r="AI33" i="21"/>
  <c r="AJ45" i="21"/>
  <c r="AJ42" i="21"/>
  <c r="AJ35" i="21"/>
  <c r="BM23" i="21"/>
  <c r="AV23" i="21"/>
  <c r="AE23" i="21"/>
  <c r="AI45" i="21"/>
  <c r="AI35" i="21"/>
  <c r="AJ32" i="21"/>
  <c r="AJ66" i="21"/>
  <c r="AJ38" i="21"/>
  <c r="AI32" i="21"/>
  <c r="BM25" i="21"/>
  <c r="AV25" i="21"/>
  <c r="AE25" i="21"/>
  <c r="AI50" i="21"/>
  <c r="AJ34" i="21"/>
  <c r="BM22" i="21"/>
  <c r="AV22" i="21"/>
  <c r="AE22" i="21"/>
  <c r="AJ47" i="21"/>
  <c r="AJ40" i="21"/>
  <c r="AJ36" i="21"/>
  <c r="AI31" i="21"/>
  <c r="BM24" i="21"/>
  <c r="AV24" i="21"/>
  <c r="AE24" i="21"/>
  <c r="AJ49" i="21"/>
  <c r="AI47" i="21"/>
  <c r="AI36" i="21"/>
  <c r="AJ33" i="21"/>
  <c r="BM26" i="21"/>
  <c r="AV26" i="21"/>
  <c r="AE26" i="21"/>
  <c r="BM21" i="21"/>
  <c r="AV21" i="21"/>
  <c r="AE21" i="21"/>
  <c r="BM18" i="21"/>
  <c r="AV18" i="21"/>
  <c r="AE18" i="21"/>
  <c r="BM15" i="21"/>
  <c r="AV15" i="21"/>
  <c r="AE15" i="21"/>
  <c r="BM12" i="21"/>
  <c r="AV12" i="21"/>
  <c r="AI34" i="21"/>
  <c r="BM16" i="21"/>
  <c r="AV16" i="21"/>
  <c r="AE16" i="21"/>
  <c r="BM20" i="21"/>
  <c r="AV20" i="21"/>
  <c r="AE20" i="21"/>
  <c r="BM19" i="21"/>
  <c r="AV19" i="21"/>
  <c r="AE19" i="21"/>
  <c r="BM14" i="21"/>
  <c r="AV14" i="21"/>
  <c r="AE14" i="21"/>
  <c r="BM17" i="21"/>
  <c r="BM13" i="21"/>
  <c r="BM8" i="21"/>
  <c r="AV8" i="21"/>
  <c r="AE8" i="21"/>
  <c r="BM4" i="21"/>
  <c r="AV4" i="21"/>
  <c r="AE4" i="21"/>
  <c r="AE12" i="21"/>
  <c r="AE17" i="21"/>
  <c r="BM9" i="21"/>
  <c r="AV9" i="21"/>
  <c r="AE9" i="21"/>
  <c r="BM5" i="21"/>
  <c r="AV5" i="21"/>
  <c r="AE5" i="21"/>
  <c r="AV17" i="21"/>
  <c r="AV13" i="21"/>
  <c r="BM11" i="21"/>
  <c r="AV11" i="21"/>
  <c r="AE11" i="21"/>
  <c r="BM7" i="21"/>
  <c r="AV7" i="21"/>
  <c r="AE7" i="21"/>
  <c r="AV10" i="21"/>
  <c r="AV6" i="21"/>
  <c r="AJ31" i="21"/>
  <c r="AE10" i="21"/>
  <c r="AE6" i="21"/>
  <c r="AE13" i="21"/>
  <c r="BM6" i="21"/>
  <c r="BM10" i="21"/>
  <c r="E50" i="17"/>
  <c r="H38" i="15"/>
  <c r="F41" i="15" s="1"/>
  <c r="C23" i="14" s="1"/>
  <c r="E48" i="17"/>
  <c r="AR45" i="14"/>
  <c r="BG45" i="14"/>
  <c r="F44" i="15"/>
  <c r="C39" i="15"/>
  <c r="AR43" i="14"/>
  <c r="BG43" i="14"/>
  <c r="AI205" i="20"/>
  <c r="AP205" i="20"/>
  <c r="BC205" i="20"/>
  <c r="AV205" i="20"/>
  <c r="AW205" i="20" s="1"/>
  <c r="AI119" i="20"/>
  <c r="AP119" i="20"/>
  <c r="AV119" i="20"/>
  <c r="AW119" i="20" s="1"/>
  <c r="BC119" i="20"/>
  <c r="AO27" i="20"/>
  <c r="AO26" i="20"/>
  <c r="AT42" i="14"/>
  <c r="AS42" i="14"/>
  <c r="T19" i="3"/>
  <c r="V19" i="3" s="1"/>
  <c r="AV151" i="20"/>
  <c r="AW151" i="20" s="1"/>
  <c r="AI151" i="20"/>
  <c r="BC151" i="20"/>
  <c r="AP151" i="20"/>
  <c r="AI206" i="20"/>
  <c r="AP206" i="20"/>
  <c r="AV206" i="20"/>
  <c r="AW206" i="20" s="1"/>
  <c r="BC206" i="20"/>
  <c r="AP207" i="20"/>
  <c r="AV207" i="20"/>
  <c r="AW207" i="20" s="1"/>
  <c r="AI207" i="20"/>
  <c r="BC207" i="20"/>
  <c r="Q18" i="21"/>
  <c r="P18" i="21"/>
  <c r="AV89" i="20"/>
  <c r="AW89" i="20" s="1"/>
  <c r="BC89" i="20"/>
  <c r="AI89" i="20"/>
  <c r="AP89" i="20"/>
  <c r="AI66" i="20"/>
  <c r="AP66" i="20"/>
  <c r="BC66" i="20"/>
  <c r="AV66" i="20"/>
  <c r="AW66" i="20" s="1"/>
  <c r="C50" i="17"/>
  <c r="AI50" i="20"/>
  <c r="AP50" i="20"/>
  <c r="AV50" i="20"/>
  <c r="AW50" i="20" s="1"/>
  <c r="BC50" i="20"/>
  <c r="BA53" i="14"/>
  <c r="E7" i="23"/>
  <c r="D7" i="23"/>
  <c r="AI181" i="20"/>
  <c r="AP181" i="20"/>
  <c r="BC181" i="20"/>
  <c r="AV181" i="20"/>
  <c r="AW181" i="20" s="1"/>
  <c r="Q10" i="21"/>
  <c r="P10" i="21"/>
  <c r="Q12" i="21"/>
  <c r="P12" i="21"/>
  <c r="Q19" i="21"/>
  <c r="P19" i="21"/>
  <c r="P26" i="21"/>
  <c r="Q26" i="21"/>
  <c r="AP104" i="20"/>
  <c r="AV104" i="20"/>
  <c r="AW104" i="20" s="1"/>
  <c r="AI104" i="20"/>
  <c r="BC104" i="20"/>
  <c r="AR71" i="20"/>
  <c r="AQ71" i="20"/>
  <c r="BC32" i="20"/>
  <c r="AP32" i="20"/>
  <c r="AV32" i="20"/>
  <c r="AW32" i="20" s="1"/>
  <c r="AI32" i="20"/>
  <c r="BK15" i="16"/>
  <c r="BA34" i="14"/>
  <c r="Q6" i="21"/>
  <c r="P6" i="21"/>
  <c r="BK18" i="16"/>
  <c r="T24" i="3"/>
  <c r="V24" i="3" s="1"/>
  <c r="H7" i="23"/>
  <c r="G8" i="23" s="1"/>
  <c r="G7" i="23"/>
  <c r="Z60" i="21"/>
  <c r="AP167" i="20"/>
  <c r="AV167" i="20"/>
  <c r="AW167" i="20" s="1"/>
  <c r="AI167" i="20"/>
  <c r="BC167" i="20"/>
  <c r="P7" i="21"/>
  <c r="Q7" i="21"/>
  <c r="Q22" i="21"/>
  <c r="P22" i="21"/>
  <c r="Q20" i="21"/>
  <c r="P20" i="21"/>
  <c r="AP159" i="20"/>
  <c r="AV159" i="20"/>
  <c r="AW159" i="20" s="1"/>
  <c r="AI159" i="20"/>
  <c r="BC159" i="20"/>
  <c r="AI182" i="20"/>
  <c r="AP182" i="20"/>
  <c r="AV182" i="20"/>
  <c r="AW182" i="20" s="1"/>
  <c r="BC182" i="20"/>
  <c r="AP136" i="20"/>
  <c r="AV136" i="20"/>
  <c r="AW136" i="20" s="1"/>
  <c r="AI136" i="20"/>
  <c r="BC136" i="20"/>
  <c r="AR125" i="20"/>
  <c r="AQ125" i="20"/>
  <c r="BC28" i="20"/>
  <c r="AG26" i="20"/>
  <c r="AI28" i="20"/>
  <c r="AV28" i="20"/>
  <c r="AW28" i="20" s="1"/>
  <c r="AP28" i="20"/>
  <c r="BK11" i="16"/>
  <c r="BC56" i="20"/>
  <c r="AI56" i="20"/>
  <c r="AP56" i="20"/>
  <c r="AV56" i="20"/>
  <c r="AW56" i="20" s="1"/>
  <c r="BK7" i="16"/>
  <c r="AP36" i="20"/>
  <c r="AV36" i="20"/>
  <c r="AW36" i="20" s="1"/>
  <c r="BC36" i="20"/>
  <c r="AI36" i="20"/>
  <c r="BK14" i="16"/>
  <c r="H48" i="17"/>
  <c r="BA50" i="14"/>
  <c r="BA42" i="14"/>
  <c r="BA33" i="14"/>
  <c r="BA54" i="14"/>
  <c r="AM43" i="14"/>
  <c r="BA35" i="14"/>
  <c r="BA47" i="14"/>
  <c r="BA39" i="14"/>
  <c r="BA46" i="14"/>
  <c r="BA32" i="14"/>
  <c r="AI227" i="20"/>
  <c r="AV227" i="20"/>
  <c r="AW227" i="20" s="1"/>
  <c r="AP227" i="20"/>
  <c r="BC227" i="20"/>
  <c r="AI165" i="20"/>
  <c r="AP165" i="20"/>
  <c r="BC165" i="20"/>
  <c r="AV165" i="20"/>
  <c r="AW165" i="20" s="1"/>
  <c r="P11" i="21"/>
  <c r="Q11" i="21"/>
  <c r="Q4" i="21"/>
  <c r="P4" i="21"/>
  <c r="Q25" i="21"/>
  <c r="P25" i="21"/>
  <c r="AI157" i="20"/>
  <c r="AP157" i="20"/>
  <c r="BC157" i="20"/>
  <c r="AV157" i="20"/>
  <c r="AW157" i="20" s="1"/>
  <c r="AP144" i="20"/>
  <c r="AV144" i="20"/>
  <c r="AW144" i="20" s="1"/>
  <c r="AI144" i="20"/>
  <c r="BC144" i="20"/>
  <c r="AI135" i="20"/>
  <c r="AP135" i="20"/>
  <c r="AV135" i="20"/>
  <c r="AW135" i="20" s="1"/>
  <c r="BC135" i="20"/>
  <c r="AI95" i="20"/>
  <c r="AP95" i="20"/>
  <c r="AV95" i="20"/>
  <c r="AW95" i="20" s="1"/>
  <c r="BC95" i="20"/>
  <c r="AP150" i="20"/>
  <c r="BC150" i="20"/>
  <c r="AI150" i="20"/>
  <c r="AV150" i="20"/>
  <c r="AW150" i="20" s="1"/>
  <c r="AI110" i="20"/>
  <c r="AP110" i="20"/>
  <c r="BC110" i="20"/>
  <c r="AV110" i="20"/>
  <c r="AW110" i="20" s="1"/>
  <c r="AP88" i="20"/>
  <c r="AV88" i="20"/>
  <c r="AW88" i="20" s="1"/>
  <c r="AI88" i="20"/>
  <c r="BC88" i="20"/>
  <c r="AV113" i="20"/>
  <c r="AW113" i="20" s="1"/>
  <c r="BC113" i="20"/>
  <c r="AI113" i="20"/>
  <c r="AP113" i="20"/>
  <c r="AI134" i="20"/>
  <c r="AP134" i="20"/>
  <c r="BC134" i="20"/>
  <c r="AV134" i="20"/>
  <c r="AW134" i="20" s="1"/>
  <c r="BK12" i="16"/>
  <c r="AR59" i="20"/>
  <c r="BK6" i="16"/>
  <c r="AV33" i="20"/>
  <c r="AW33" i="20" s="1"/>
  <c r="AI33" i="20"/>
  <c r="AP33" i="20"/>
  <c r="BC33" i="20"/>
  <c r="S43" i="16"/>
  <c r="G8" i="18"/>
  <c r="F8" i="18"/>
  <c r="BA51" i="14"/>
  <c r="C22" i="14"/>
  <c r="AG29" i="14"/>
  <c r="AR29" i="14" s="1"/>
  <c r="AR31" i="14"/>
  <c r="BG31" i="14"/>
  <c r="Z35" i="21"/>
  <c r="Q5" i="21"/>
  <c r="P5" i="21"/>
  <c r="P8" i="21"/>
  <c r="Q8" i="21"/>
  <c r="Q16" i="21"/>
  <c r="P16" i="21"/>
  <c r="P23" i="21"/>
  <c r="Q23" i="21"/>
  <c r="AP175" i="20"/>
  <c r="AV175" i="20"/>
  <c r="AW175" i="20" s="1"/>
  <c r="AI175" i="20"/>
  <c r="BC175" i="20"/>
  <c r="AI142" i="20"/>
  <c r="AP142" i="20"/>
  <c r="BC142" i="20"/>
  <c r="AV142" i="20"/>
  <c r="AW142" i="20" s="1"/>
  <c r="AP112" i="20"/>
  <c r="AV112" i="20"/>
  <c r="AW112" i="20" s="1"/>
  <c r="AI112" i="20"/>
  <c r="BC112" i="20"/>
  <c r="AV145" i="20"/>
  <c r="AW145" i="20" s="1"/>
  <c r="BC145" i="20"/>
  <c r="AI145" i="20"/>
  <c r="AP145" i="20"/>
  <c r="AP96" i="20"/>
  <c r="AV96" i="20"/>
  <c r="AW96" i="20" s="1"/>
  <c r="AI96" i="20"/>
  <c r="BC96" i="20"/>
  <c r="BC62" i="20"/>
  <c r="AI62" i="20"/>
  <c r="AP62" i="20"/>
  <c r="AV62" i="20"/>
  <c r="AW62" i="20" s="1"/>
  <c r="AI74" i="20"/>
  <c r="AP74" i="20"/>
  <c r="BC74" i="20"/>
  <c r="AV74" i="20"/>
  <c r="AW74" i="20" s="1"/>
  <c r="AR40" i="14"/>
  <c r="BG40" i="14"/>
  <c r="Q21" i="21"/>
  <c r="P21" i="21"/>
  <c r="AI221" i="20"/>
  <c r="AP221" i="20"/>
  <c r="BC221" i="20"/>
  <c r="AV221" i="20"/>
  <c r="AW221" i="20" s="1"/>
  <c r="BK13" i="16"/>
  <c r="AB72" i="21"/>
  <c r="Q9" i="21"/>
  <c r="P9" i="21"/>
  <c r="Q17" i="21"/>
  <c r="P17" i="21"/>
  <c r="Q24" i="21"/>
  <c r="P24" i="21"/>
  <c r="AV152" i="20"/>
  <c r="AW152" i="20" s="1"/>
  <c r="AP152" i="20"/>
  <c r="AI152" i="20"/>
  <c r="BC152" i="20"/>
  <c r="AV216" i="20"/>
  <c r="AW216" i="20" s="1"/>
  <c r="BC216" i="20"/>
  <c r="AI216" i="20"/>
  <c r="AP216" i="20"/>
  <c r="AP120" i="20"/>
  <c r="AV120" i="20"/>
  <c r="AW120" i="20" s="1"/>
  <c r="AI120" i="20"/>
  <c r="BC120" i="20"/>
  <c r="AI57" i="20"/>
  <c r="AP57" i="20"/>
  <c r="AV57" i="20"/>
  <c r="AW57" i="20" s="1"/>
  <c r="BC57" i="20"/>
  <c r="D46" i="17"/>
  <c r="P45" i="16"/>
  <c r="AR44" i="14"/>
  <c r="BG44" i="14"/>
  <c r="BA55" i="14"/>
  <c r="BA44" i="14"/>
  <c r="L12" i="11"/>
  <c r="BE11" i="11" s="1"/>
  <c r="P7" i="7"/>
  <c r="P8" i="7" s="1"/>
  <c r="N18" i="25"/>
  <c r="N14" i="25"/>
  <c r="N10" i="25"/>
  <c r="N6" i="25"/>
  <c r="N2" i="25"/>
  <c r="N21" i="25"/>
  <c r="N17" i="25"/>
  <c r="N13" i="25"/>
  <c r="N9" i="25"/>
  <c r="N5" i="25"/>
  <c r="N20" i="25"/>
  <c r="N16" i="25"/>
  <c r="N12" i="25"/>
  <c r="N19" i="25"/>
  <c r="N15" i="25"/>
  <c r="N4" i="25"/>
  <c r="N8" i="25"/>
  <c r="N3" i="25"/>
  <c r="N7" i="25"/>
  <c r="N11" i="25"/>
  <c r="N22" i="25"/>
  <c r="N25" i="25"/>
  <c r="N24" i="25"/>
  <c r="N23" i="25"/>
  <c r="AE12" i="7"/>
  <c r="T22" i="3"/>
  <c r="V22" i="3" s="1"/>
  <c r="T23" i="3"/>
  <c r="V23" i="3" s="1"/>
  <c r="C31" i="2"/>
  <c r="C30" i="3"/>
  <c r="O34" i="2"/>
  <c r="O43" i="2" s="1"/>
  <c r="H24" i="3" s="1"/>
  <c r="C26" i="3"/>
  <c r="O33" i="2"/>
  <c r="C30" i="2"/>
  <c r="O32" i="2"/>
  <c r="G18" i="2"/>
  <c r="B87" i="11"/>
  <c r="C87" i="11" s="1"/>
  <c r="F92" i="11"/>
  <c r="AH39" i="11"/>
  <c r="AF36" i="11"/>
  <c r="AH31" i="11"/>
  <c r="AH30" i="11"/>
  <c r="AG29" i="11"/>
  <c r="AG28" i="11"/>
  <c r="AF26" i="11"/>
  <c r="AJ20" i="11"/>
  <c r="AJ19" i="11"/>
  <c r="AJ18" i="11"/>
  <c r="C40" i="11"/>
  <c r="AG39" i="11"/>
  <c r="AH37" i="11"/>
  <c r="AH32" i="11"/>
  <c r="AG31" i="11"/>
  <c r="AG30" i="11"/>
  <c r="AF29" i="11"/>
  <c r="AF28" i="11"/>
  <c r="AH25" i="11"/>
  <c r="BH20" i="11"/>
  <c r="AI20" i="11"/>
  <c r="BH19" i="11"/>
  <c r="AI19" i="11"/>
  <c r="BH18" i="11"/>
  <c r="AI18" i="11"/>
  <c r="BG17" i="11"/>
  <c r="BF16" i="11"/>
  <c r="AH40" i="11"/>
  <c r="AF37" i="11"/>
  <c r="C35" i="11"/>
  <c r="C38" i="11" s="1"/>
  <c r="AF32" i="11"/>
  <c r="AF25" i="11"/>
  <c r="BF20" i="11"/>
  <c r="BF19" i="11"/>
  <c r="BF18" i="11"/>
  <c r="AF40" i="11"/>
  <c r="AG38" i="11"/>
  <c r="AG35" i="11"/>
  <c r="AG34" i="11"/>
  <c r="AG33" i="11"/>
  <c r="AH27" i="11"/>
  <c r="AG24" i="11"/>
  <c r="AK16" i="11"/>
  <c r="AJ15" i="11"/>
  <c r="BH14" i="11"/>
  <c r="AI14" i="11"/>
  <c r="AH38" i="11"/>
  <c r="AH36" i="11"/>
  <c r="AH29" i="11"/>
  <c r="BG16" i="11"/>
  <c r="AK14" i="11"/>
  <c r="BF13" i="11"/>
  <c r="AG40" i="11"/>
  <c r="AF39" i="11"/>
  <c r="AF38" i="11"/>
  <c r="AG37" i="11"/>
  <c r="AG36" i="11"/>
  <c r="AH35" i="11"/>
  <c r="AH28" i="11"/>
  <c r="BG19" i="11"/>
  <c r="AK17" i="11"/>
  <c r="AJ14" i="11"/>
  <c r="AK8" i="11"/>
  <c r="AK7" i="11"/>
  <c r="AJ6" i="11"/>
  <c r="AJ5" i="11"/>
  <c r="AF35" i="11"/>
  <c r="AG27" i="11"/>
  <c r="AK20" i="11"/>
  <c r="AJ17" i="11"/>
  <c r="AK15" i="11"/>
  <c r="AK10" i="11"/>
  <c r="AH34" i="11"/>
  <c r="AH33" i="11"/>
  <c r="AG26" i="11"/>
  <c r="BH17" i="11"/>
  <c r="AI16" i="11"/>
  <c r="BH15" i="11"/>
  <c r="BF14" i="11"/>
  <c r="AJ13" i="11"/>
  <c r="BH12" i="11"/>
  <c r="AI12" i="11"/>
  <c r="BH11" i="11"/>
  <c r="AI11" i="11"/>
  <c r="BG10" i="11"/>
  <c r="BG9" i="11"/>
  <c r="BF8" i="11"/>
  <c r="BF7" i="11"/>
  <c r="BG4" i="11"/>
  <c r="A32" i="10"/>
  <c r="AG32" i="11"/>
  <c r="AI17" i="11"/>
  <c r="AJ16" i="11"/>
  <c r="BG14" i="11"/>
  <c r="BF12" i="11"/>
  <c r="AI9" i="11"/>
  <c r="BH8" i="11"/>
  <c r="AI5" i="11"/>
  <c r="A33" i="10"/>
  <c r="AF33" i="11"/>
  <c r="BG18" i="11"/>
  <c r="AI15" i="11"/>
  <c r="AK11" i="11"/>
  <c r="BH9" i="11"/>
  <c r="BG8" i="11"/>
  <c r="BH7" i="11"/>
  <c r="BH6" i="11"/>
  <c r="AK4" i="11"/>
  <c r="AH24" i="11"/>
  <c r="BH13" i="11"/>
  <c r="AK12" i="11"/>
  <c r="AJ11" i="11"/>
  <c r="BF9" i="11"/>
  <c r="BG7" i="11"/>
  <c r="BG6" i="11"/>
  <c r="BH5" i="11"/>
  <c r="AJ4" i="11"/>
  <c r="H39" i="10"/>
  <c r="G91" i="11" s="1"/>
  <c r="AF24" i="11"/>
  <c r="BG20" i="11"/>
  <c r="BG13" i="11"/>
  <c r="AJ12" i="11"/>
  <c r="AJ10" i="11"/>
  <c r="BF6" i="11"/>
  <c r="BG5" i="11"/>
  <c r="AI4" i="11"/>
  <c r="AF34" i="11"/>
  <c r="AG25" i="11"/>
  <c r="AK18" i="11"/>
  <c r="AI10" i="11"/>
  <c r="BF5" i="11"/>
  <c r="BH4" i="11"/>
  <c r="H38" i="10"/>
  <c r="G90" i="11" s="1"/>
  <c r="AJ7" i="11"/>
  <c r="A30" i="10"/>
  <c r="AF27" i="11"/>
  <c r="BF15" i="11"/>
  <c r="BF11" i="11"/>
  <c r="AI7" i="11"/>
  <c r="AK5" i="11"/>
  <c r="AH26" i="11"/>
  <c r="BF17" i="11"/>
  <c r="AK13" i="11"/>
  <c r="AJ8" i="11"/>
  <c r="BF4" i="11"/>
  <c r="AF31" i="11"/>
  <c r="AF30" i="11"/>
  <c r="BH16" i="11"/>
  <c r="BG15" i="11"/>
  <c r="AI13" i="11"/>
  <c r="BG11" i="11"/>
  <c r="BH10" i="11"/>
  <c r="AK9" i="11"/>
  <c r="AI8" i="11"/>
  <c r="AK6" i="11"/>
  <c r="C66" i="11"/>
  <c r="AK19" i="11"/>
  <c r="BG12" i="11"/>
  <c r="BF10" i="11"/>
  <c r="AJ9" i="11"/>
  <c r="AI6" i="11"/>
  <c r="A34" i="10"/>
  <c r="G132" i="11"/>
  <c r="G17" i="11" s="1"/>
  <c r="E131" i="11"/>
  <c r="E16" i="11" s="1"/>
  <c r="I129" i="11"/>
  <c r="I14" i="11" s="1"/>
  <c r="G128" i="11"/>
  <c r="G13" i="11" s="1"/>
  <c r="E127" i="11"/>
  <c r="E12" i="11" s="1"/>
  <c r="I125" i="11"/>
  <c r="I10" i="11" s="1"/>
  <c r="G124" i="11"/>
  <c r="G9" i="11" s="1"/>
  <c r="F132" i="11"/>
  <c r="F17" i="11" s="1"/>
  <c r="J130" i="11"/>
  <c r="J15" i="11" s="1"/>
  <c r="H129" i="11"/>
  <c r="H14" i="11" s="1"/>
  <c r="F128" i="11"/>
  <c r="F13" i="11" s="1"/>
  <c r="J126" i="11"/>
  <c r="J11" i="11" s="1"/>
  <c r="H125" i="11"/>
  <c r="H10" i="11" s="1"/>
  <c r="F124" i="11"/>
  <c r="F9" i="11" s="1"/>
  <c r="E132" i="11"/>
  <c r="E17" i="11" s="1"/>
  <c r="I130" i="11"/>
  <c r="I15" i="11" s="1"/>
  <c r="G129" i="11"/>
  <c r="G14" i="11" s="1"/>
  <c r="E128" i="11"/>
  <c r="E13" i="11" s="1"/>
  <c r="I126" i="11"/>
  <c r="I11" i="11" s="1"/>
  <c r="G125" i="11"/>
  <c r="G10" i="11" s="1"/>
  <c r="E124" i="11"/>
  <c r="E9" i="11" s="1"/>
  <c r="J131" i="11"/>
  <c r="J16" i="11" s="1"/>
  <c r="H130" i="11"/>
  <c r="H15" i="11" s="1"/>
  <c r="F129" i="11"/>
  <c r="F14" i="11" s="1"/>
  <c r="J127" i="11"/>
  <c r="J12" i="11" s="1"/>
  <c r="H126" i="11"/>
  <c r="H11" i="11" s="1"/>
  <c r="F125" i="11"/>
  <c r="F10" i="11" s="1"/>
  <c r="I131" i="11"/>
  <c r="I16" i="11" s="1"/>
  <c r="G130" i="11"/>
  <c r="G15" i="11" s="1"/>
  <c r="E129" i="11"/>
  <c r="E14" i="11" s="1"/>
  <c r="I127" i="11"/>
  <c r="I12" i="11" s="1"/>
  <c r="G126" i="11"/>
  <c r="G11" i="11" s="1"/>
  <c r="E125" i="11"/>
  <c r="E10" i="11" s="1"/>
  <c r="I132" i="11"/>
  <c r="I17" i="11" s="1"/>
  <c r="G131" i="11"/>
  <c r="G16" i="11" s="1"/>
  <c r="E130" i="11"/>
  <c r="E15" i="11" s="1"/>
  <c r="I128" i="11"/>
  <c r="I13" i="11" s="1"/>
  <c r="G127" i="11"/>
  <c r="G12" i="11" s="1"/>
  <c r="E126" i="11"/>
  <c r="E11" i="11" s="1"/>
  <c r="I124" i="11"/>
  <c r="I9" i="11" s="1"/>
  <c r="J129" i="11"/>
  <c r="J14" i="11" s="1"/>
  <c r="H124" i="11"/>
  <c r="H9" i="11" s="1"/>
  <c r="J128" i="11"/>
  <c r="J13" i="11" s="1"/>
  <c r="H128" i="11"/>
  <c r="H13" i="11" s="1"/>
  <c r="J132" i="11"/>
  <c r="J17" i="11" s="1"/>
  <c r="H127" i="11"/>
  <c r="H12" i="11" s="1"/>
  <c r="H132" i="11"/>
  <c r="H17" i="11" s="1"/>
  <c r="F127" i="11"/>
  <c r="F12" i="11" s="1"/>
  <c r="F131" i="11"/>
  <c r="F16" i="11" s="1"/>
  <c r="J125" i="11"/>
  <c r="J10" i="11" s="1"/>
  <c r="C34" i="11" s="1"/>
  <c r="C37" i="11" s="1"/>
  <c r="H131" i="11"/>
  <c r="H16" i="11" s="1"/>
  <c r="F130" i="11"/>
  <c r="F15" i="11" s="1"/>
  <c r="J124" i="11"/>
  <c r="J9" i="11" s="1"/>
  <c r="F126" i="11"/>
  <c r="F11" i="11" s="1"/>
  <c r="G50" i="12"/>
  <c r="G67" i="12"/>
  <c r="G63" i="12"/>
  <c r="G46" i="12"/>
  <c r="I46" i="12"/>
  <c r="I63" i="12"/>
  <c r="F48" i="12"/>
  <c r="F65" i="12"/>
  <c r="G48" i="12"/>
  <c r="G65" i="12"/>
  <c r="E50" i="12"/>
  <c r="E67" i="12"/>
  <c r="F50" i="12"/>
  <c r="F67" i="12"/>
  <c r="D65" i="12"/>
  <c r="D48" i="12"/>
  <c r="F61" i="12"/>
  <c r="F44" i="12"/>
  <c r="E45" i="12"/>
  <c r="E62" i="12"/>
  <c r="C64" i="12"/>
  <c r="C47" i="12"/>
  <c r="E44" i="12"/>
  <c r="E61" i="12"/>
  <c r="I48" i="12"/>
  <c r="I65" i="12"/>
  <c r="D64" i="12"/>
  <c r="D47" i="12"/>
  <c r="H47" i="12"/>
  <c r="H64" i="12"/>
  <c r="H49" i="12"/>
  <c r="H66" i="12"/>
  <c r="F43" i="12"/>
  <c r="F60" i="12"/>
  <c r="E64" i="12"/>
  <c r="E47" i="12"/>
  <c r="G47" i="12"/>
  <c r="G64" i="12"/>
  <c r="D49" i="12"/>
  <c r="D66" i="12"/>
  <c r="E49" i="12"/>
  <c r="E66" i="12"/>
  <c r="C43" i="12"/>
  <c r="C60" i="12"/>
  <c r="E43" i="12"/>
  <c r="E60" i="12"/>
  <c r="D45" i="12"/>
  <c r="D62" i="12"/>
  <c r="I62" i="12"/>
  <c r="I45" i="12"/>
  <c r="C45" i="12"/>
  <c r="C62" i="12"/>
  <c r="G49" i="12"/>
  <c r="G66" i="12"/>
  <c r="H62" i="12"/>
  <c r="H45" i="12"/>
  <c r="F64" i="12"/>
  <c r="F47" i="12"/>
  <c r="C65" i="12"/>
  <c r="C48" i="12"/>
  <c r="E48" i="12"/>
  <c r="E65" i="12"/>
  <c r="C50" i="12"/>
  <c r="C67" i="12"/>
  <c r="D50" i="12"/>
  <c r="D67" i="12"/>
  <c r="I61" i="12"/>
  <c r="I44" i="12"/>
  <c r="G60" i="12"/>
  <c r="G43" i="12"/>
  <c r="D63" i="12"/>
  <c r="D46" i="12"/>
  <c r="D43" i="12"/>
  <c r="D60" i="12"/>
  <c r="C46" i="12"/>
  <c r="C63" i="12"/>
  <c r="I47" i="12"/>
  <c r="I64" i="12"/>
  <c r="H63" i="12"/>
  <c r="H46" i="12"/>
  <c r="I50" i="12"/>
  <c r="I67" i="12"/>
  <c r="I66" i="12"/>
  <c r="I49" i="12"/>
  <c r="C49" i="12"/>
  <c r="C66" i="12"/>
  <c r="I43" i="12"/>
  <c r="I60" i="12"/>
  <c r="H61" i="12"/>
  <c r="H44" i="12"/>
  <c r="G62" i="12"/>
  <c r="G45" i="12"/>
  <c r="C61" i="12"/>
  <c r="C44" i="12"/>
  <c r="H48" i="12"/>
  <c r="H65" i="12"/>
  <c r="F49" i="12"/>
  <c r="F66" i="12"/>
  <c r="D61" i="12"/>
  <c r="D44" i="12"/>
  <c r="F63" i="12"/>
  <c r="F46" i="12"/>
  <c r="H67" i="12"/>
  <c r="H50" i="12"/>
  <c r="H43" i="12"/>
  <c r="H60" i="12"/>
  <c r="G44" i="12"/>
  <c r="G61" i="12"/>
  <c r="F62" i="12"/>
  <c r="F45" i="12"/>
  <c r="E63" i="12"/>
  <c r="E46" i="12"/>
  <c r="AQ169" i="20" l="1"/>
  <c r="AQ100" i="20"/>
  <c r="BE18" i="11"/>
  <c r="BE9" i="11"/>
  <c r="AH12" i="11"/>
  <c r="AE29" i="11"/>
  <c r="BE17" i="11"/>
  <c r="BE15" i="11"/>
  <c r="AR133" i="20"/>
  <c r="Q15" i="11"/>
  <c r="Q12" i="11"/>
  <c r="Q17" i="11"/>
  <c r="R17" i="11" s="1"/>
  <c r="T17" i="11" s="1"/>
  <c r="Q8" i="11"/>
  <c r="Q7" i="11"/>
  <c r="R7" i="11" s="1"/>
  <c r="T7" i="11" s="1"/>
  <c r="U7" i="11" s="1"/>
  <c r="Q9" i="11"/>
  <c r="R9" i="11" s="1"/>
  <c r="T9" i="11" s="1"/>
  <c r="Q4" i="11"/>
  <c r="R4" i="11" s="1"/>
  <c r="T4" i="11" s="1"/>
  <c r="U4" i="11" s="1"/>
  <c r="Q10" i="11"/>
  <c r="R10" i="11" s="1"/>
  <c r="T10" i="11" s="1"/>
  <c r="U10" i="11" s="1"/>
  <c r="Q18" i="11"/>
  <c r="R18" i="11" s="1"/>
  <c r="T18" i="11" s="1"/>
  <c r="Q5" i="11"/>
  <c r="R5" i="11" s="1"/>
  <c r="T5" i="11" s="1"/>
  <c r="AB5" i="11" s="1"/>
  <c r="Q20" i="11"/>
  <c r="R20" i="11" s="1"/>
  <c r="T20" i="11" s="1"/>
  <c r="Q16" i="11"/>
  <c r="Q6" i="11"/>
  <c r="R6" i="11" s="1"/>
  <c r="T6" i="11" s="1"/>
  <c r="Q13" i="11"/>
  <c r="R13" i="11" s="1"/>
  <c r="T13" i="11" s="1"/>
  <c r="AB13" i="11" s="1"/>
  <c r="Q14" i="11"/>
  <c r="R14" i="11" s="1"/>
  <c r="T14" i="11" s="1"/>
  <c r="U14" i="11" s="1"/>
  <c r="Q19" i="11"/>
  <c r="R19" i="11" s="1"/>
  <c r="T19" i="11" s="1"/>
  <c r="AB19" i="11" s="1"/>
  <c r="Q11" i="11"/>
  <c r="R11" i="11" s="1"/>
  <c r="T11" i="11" s="1"/>
  <c r="AH19" i="11"/>
  <c r="AE26" i="11"/>
  <c r="AE24" i="11"/>
  <c r="AH15" i="11"/>
  <c r="BE10" i="11"/>
  <c r="BE5" i="11"/>
  <c r="AE35" i="11"/>
  <c r="AH11" i="11"/>
  <c r="BE6" i="11"/>
  <c r="AH20" i="11"/>
  <c r="BE4" i="11"/>
  <c r="AE32" i="11"/>
  <c r="BE13" i="11"/>
  <c r="AE28" i="11"/>
  <c r="AE37" i="11"/>
  <c r="AE30" i="11"/>
  <c r="AE36" i="11"/>
  <c r="AE27" i="11"/>
  <c r="AH14" i="11"/>
  <c r="BE12" i="11"/>
  <c r="AE31" i="11"/>
  <c r="AH17" i="11"/>
  <c r="AH8" i="11"/>
  <c r="BE8" i="11"/>
  <c r="AE33" i="11"/>
  <c r="BE14" i="11"/>
  <c r="AH6" i="11"/>
  <c r="AE25" i="11"/>
  <c r="AE38" i="11"/>
  <c r="BE16" i="11"/>
  <c r="BE20" i="11"/>
  <c r="AH9" i="11"/>
  <c r="AE40" i="11"/>
  <c r="AH13" i="11"/>
  <c r="AH5" i="11"/>
  <c r="AH16" i="11"/>
  <c r="BE19" i="11"/>
  <c r="AE39" i="11"/>
  <c r="AH7" i="11"/>
  <c r="AH18" i="11"/>
  <c r="BE7" i="11"/>
  <c r="AH4" i="11"/>
  <c r="AH10" i="11"/>
  <c r="AE34" i="11"/>
  <c r="AR107" i="20"/>
  <c r="AR130" i="20"/>
  <c r="AQ219" i="20"/>
  <c r="AQ225" i="20"/>
  <c r="AR172" i="20"/>
  <c r="AR94" i="20"/>
  <c r="AQ138" i="20"/>
  <c r="AR43" i="20"/>
  <c r="AQ99" i="20"/>
  <c r="AR196" i="20"/>
  <c r="AS41" i="14"/>
  <c r="AR106" i="20"/>
  <c r="AS33" i="14"/>
  <c r="AT54" i="14"/>
  <c r="AQ85" i="20"/>
  <c r="AR161" i="20"/>
  <c r="S31" i="21"/>
  <c r="S33" i="21" s="1"/>
  <c r="S35" i="21" s="1"/>
  <c r="AR45" i="20"/>
  <c r="AQ188" i="20"/>
  <c r="AS35" i="14"/>
  <c r="AQ72" i="20"/>
  <c r="AQ164" i="20"/>
  <c r="R9" i="16"/>
  <c r="T9" i="16" s="1"/>
  <c r="U9" i="16" s="1"/>
  <c r="AQ105" i="20"/>
  <c r="AQ101" i="20"/>
  <c r="AR194" i="20"/>
  <c r="AR92" i="20"/>
  <c r="AQ178" i="20"/>
  <c r="AQ37" i="20"/>
  <c r="AQ156" i="20"/>
  <c r="AQ123" i="20"/>
  <c r="AQ155" i="20"/>
  <c r="AR198" i="20"/>
  <c r="AQ209" i="20"/>
  <c r="AR61" i="20"/>
  <c r="AQ54" i="20"/>
  <c r="AR81" i="20"/>
  <c r="AS46" i="14"/>
  <c r="AQ55" i="20"/>
  <c r="AR217" i="20"/>
  <c r="AQ208" i="20"/>
  <c r="AQ179" i="20"/>
  <c r="F9" i="13"/>
  <c r="AR75" i="20"/>
  <c r="AT53" i="14"/>
  <c r="H39" i="15"/>
  <c r="G91" i="16" s="1"/>
  <c r="AQ163" i="20"/>
  <c r="AR128" i="20"/>
  <c r="AQ42" i="20"/>
  <c r="AR111" i="20"/>
  <c r="AT47" i="14"/>
  <c r="AQ60" i="20"/>
  <c r="AQ132" i="20"/>
  <c r="AQ177" i="20"/>
  <c r="AQ116" i="20"/>
  <c r="AQ84" i="20"/>
  <c r="AQ47" i="20"/>
  <c r="AQ39" i="20"/>
  <c r="AQ46" i="20"/>
  <c r="AR184" i="20"/>
  <c r="AR93" i="20"/>
  <c r="AR189" i="20"/>
  <c r="AS51" i="14"/>
  <c r="AQ218" i="20"/>
  <c r="AR68" i="20"/>
  <c r="AQ148" i="20"/>
  <c r="AR190" i="20"/>
  <c r="AQ195" i="20"/>
  <c r="AQ79" i="20"/>
  <c r="AQ91" i="20"/>
  <c r="AR185" i="20"/>
  <c r="AQ108" i="20"/>
  <c r="AQ139" i="20"/>
  <c r="AR168" i="20"/>
  <c r="R19" i="16"/>
  <c r="T19" i="16" s="1"/>
  <c r="U19" i="16" s="1"/>
  <c r="AT50" i="14"/>
  <c r="R20" i="16"/>
  <c r="T20" i="16" s="1"/>
  <c r="U20" i="16" s="1"/>
  <c r="AQ86" i="20"/>
  <c r="R7" i="16"/>
  <c r="T7" i="16" s="1"/>
  <c r="U7" i="16" s="1"/>
  <c r="AR51" i="20"/>
  <c r="R15" i="16"/>
  <c r="T15" i="16" s="1"/>
  <c r="AB15" i="16" s="1"/>
  <c r="R17" i="16"/>
  <c r="T17" i="16" s="1"/>
  <c r="U17" i="16" s="1"/>
  <c r="R18" i="16"/>
  <c r="T18" i="16" s="1"/>
  <c r="U18" i="16" s="1"/>
  <c r="AS37" i="14"/>
  <c r="R8" i="16"/>
  <c r="T8" i="16" s="1"/>
  <c r="AB8" i="16" s="1"/>
  <c r="R13" i="16"/>
  <c r="T13" i="16" s="1"/>
  <c r="U13" i="16" s="1"/>
  <c r="AQ212" i="20"/>
  <c r="R16" i="16"/>
  <c r="T16" i="16" s="1"/>
  <c r="U16" i="16" s="1"/>
  <c r="AQ122" i="20"/>
  <c r="R4" i="16"/>
  <c r="T4" i="16" s="1"/>
  <c r="U4" i="16" s="1"/>
  <c r="R10" i="16"/>
  <c r="T10" i="16" s="1"/>
  <c r="U10" i="16" s="1"/>
  <c r="AQ199" i="20"/>
  <c r="AQ211" i="20"/>
  <c r="P47" i="16"/>
  <c r="P49" i="16" s="1"/>
  <c r="P27" i="15" s="1"/>
  <c r="T5" i="14" s="1"/>
  <c r="AS36" i="14"/>
  <c r="AQ69" i="20"/>
  <c r="AQ226" i="20"/>
  <c r="AQ202" i="20"/>
  <c r="R14" i="16"/>
  <c r="T14" i="16" s="1"/>
  <c r="U14" i="16" s="1"/>
  <c r="AQ173" i="20"/>
  <c r="AQ76" i="20"/>
  <c r="AQ115" i="20"/>
  <c r="AR146" i="20"/>
  <c r="AQ80" i="20"/>
  <c r="R5" i="16"/>
  <c r="T5" i="16" s="1"/>
  <c r="U5" i="16" s="1"/>
  <c r="AQ214" i="20"/>
  <c r="AR44" i="20"/>
  <c r="BU40" i="16"/>
  <c r="BT40" i="16" s="1"/>
  <c r="AQ154" i="20"/>
  <c r="AQ215" i="20"/>
  <c r="BU29" i="16"/>
  <c r="BT29" i="16" s="1"/>
  <c r="BU33" i="16"/>
  <c r="BT33" i="16" s="1"/>
  <c r="BY33" i="16" s="1"/>
  <c r="AQ52" i="20"/>
  <c r="AR204" i="20"/>
  <c r="AQ67" i="20"/>
  <c r="AQ121" i="20"/>
  <c r="AR30" i="20"/>
  <c r="AQ160" i="20"/>
  <c r="AJ12" i="16"/>
  <c r="AQ193" i="20"/>
  <c r="BU35" i="16"/>
  <c r="BT35" i="16" s="1"/>
  <c r="BV35" i="16" s="1"/>
  <c r="AR224" i="20"/>
  <c r="BU36" i="16"/>
  <c r="BT36" i="16" s="1"/>
  <c r="BY36" i="16" s="1"/>
  <c r="AQ109" i="20"/>
  <c r="AR35" i="20"/>
  <c r="BU34" i="16"/>
  <c r="BT34" i="16" s="1"/>
  <c r="AQ49" i="20"/>
  <c r="AR97" i="20"/>
  <c r="AQ83" i="20"/>
  <c r="AQ191" i="20"/>
  <c r="BU42" i="16"/>
  <c r="BT42" i="16" s="1"/>
  <c r="BY42" i="16" s="1"/>
  <c r="AQ78" i="20"/>
  <c r="AQ58" i="20"/>
  <c r="BU26" i="16"/>
  <c r="BT26" i="16" s="1"/>
  <c r="AR87" i="20"/>
  <c r="AR200" i="20"/>
  <c r="AR137" i="20"/>
  <c r="AS38" i="14"/>
  <c r="AR149" i="20"/>
  <c r="AQ63" i="20"/>
  <c r="AQ117" i="20"/>
  <c r="BU28" i="16"/>
  <c r="BT28" i="16" s="1"/>
  <c r="BV28" i="16" s="1"/>
  <c r="AQ203" i="20"/>
  <c r="AR222" i="20"/>
  <c r="AQ26" i="20"/>
  <c r="AR131" i="20"/>
  <c r="AR201" i="20"/>
  <c r="AQ187" i="20"/>
  <c r="AR187" i="20"/>
  <c r="AR129" i="20"/>
  <c r="AR147" i="20"/>
  <c r="AG28" i="16"/>
  <c r="AR141" i="20"/>
  <c r="V31" i="21"/>
  <c r="V32" i="21" s="1"/>
  <c r="D31" i="21"/>
  <c r="D32" i="21" s="1"/>
  <c r="BF18" i="16"/>
  <c r="AQ48" i="20"/>
  <c r="G31" i="21"/>
  <c r="G33" i="21" s="1"/>
  <c r="G35" i="21" s="1"/>
  <c r="AQ162" i="20"/>
  <c r="AS48" i="14"/>
  <c r="BF15" i="16"/>
  <c r="AG25" i="16"/>
  <c r="J31" i="21"/>
  <c r="J33" i="21" s="1"/>
  <c r="J35" i="21" s="1"/>
  <c r="AT34" i="14"/>
  <c r="AQ64" i="20"/>
  <c r="M31" i="21"/>
  <c r="M33" i="21" s="1"/>
  <c r="M35" i="21" s="1"/>
  <c r="AI18" i="16"/>
  <c r="AR53" i="20"/>
  <c r="AQ53" i="20"/>
  <c r="AQ220" i="20"/>
  <c r="AS39" i="14"/>
  <c r="BG4" i="16"/>
  <c r="AR70" i="20"/>
  <c r="AS49" i="14"/>
  <c r="AQ114" i="20"/>
  <c r="BF10" i="16"/>
  <c r="AI11" i="16"/>
  <c r="BF6" i="16"/>
  <c r="BG19" i="16"/>
  <c r="AQ41" i="20"/>
  <c r="AR77" i="20"/>
  <c r="AQ166" i="20"/>
  <c r="AF26" i="16"/>
  <c r="BG7" i="16"/>
  <c r="AI8" i="16"/>
  <c r="AQ73" i="20"/>
  <c r="AJ9" i="16"/>
  <c r="AG33" i="16"/>
  <c r="AR124" i="20"/>
  <c r="AQ124" i="20"/>
  <c r="AS32" i="14"/>
  <c r="AQ153" i="20"/>
  <c r="AQ65" i="20"/>
  <c r="AT52" i="14"/>
  <c r="AR31" i="20"/>
  <c r="AQ98" i="20"/>
  <c r="AT55" i="14"/>
  <c r="AQ186" i="20"/>
  <c r="AQ213" i="20"/>
  <c r="AQ180" i="20"/>
  <c r="AQ90" i="20"/>
  <c r="AQ170" i="20"/>
  <c r="AR29" i="20"/>
  <c r="AJ6" i="16"/>
  <c r="AJ14" i="16"/>
  <c r="AG40" i="16"/>
  <c r="AG24" i="16"/>
  <c r="A66" i="16"/>
  <c r="C80" i="16" s="1"/>
  <c r="C87" i="16"/>
  <c r="C90" i="16" s="1"/>
  <c r="AG30" i="16"/>
  <c r="BU37" i="16"/>
  <c r="BT37" i="16" s="1"/>
  <c r="BY37" i="16" s="1"/>
  <c r="AJ7" i="16"/>
  <c r="AI5" i="16"/>
  <c r="BF13" i="16"/>
  <c r="AJ15" i="16"/>
  <c r="BG10" i="16"/>
  <c r="AJ11" i="16"/>
  <c r="AJ4" i="16"/>
  <c r="BG17" i="16"/>
  <c r="AF25" i="16"/>
  <c r="BF19" i="16"/>
  <c r="BG18" i="16"/>
  <c r="AG31" i="16"/>
  <c r="L12" i="16"/>
  <c r="AH12" i="16" s="1"/>
  <c r="AR140" i="20"/>
  <c r="AQ140" i="20"/>
  <c r="BU32" i="16"/>
  <c r="BT32" i="16" s="1"/>
  <c r="BY32" i="16" s="1"/>
  <c r="BG16" i="16"/>
  <c r="AJ20" i="16"/>
  <c r="BF14" i="16"/>
  <c r="AG27" i="16"/>
  <c r="BG14" i="16"/>
  <c r="BF11" i="16"/>
  <c r="AI19" i="16"/>
  <c r="AJ19" i="16"/>
  <c r="BG5" i="16"/>
  <c r="AJ10" i="16"/>
  <c r="AI20" i="16"/>
  <c r="AF34" i="16"/>
  <c r="AF32" i="16"/>
  <c r="AG36" i="16"/>
  <c r="AG34" i="16"/>
  <c r="BF12" i="16"/>
  <c r="BG11" i="16"/>
  <c r="BF7" i="16"/>
  <c r="AI12" i="16"/>
  <c r="BG8" i="16"/>
  <c r="AG35" i="16"/>
  <c r="AF30" i="16"/>
  <c r="BG20" i="16"/>
  <c r="AQ34" i="20"/>
  <c r="BU41" i="16"/>
  <c r="BT41" i="16" s="1"/>
  <c r="BY41" i="16" s="1"/>
  <c r="BG15" i="16"/>
  <c r="AJ16" i="16"/>
  <c r="BG12" i="16"/>
  <c r="AF33" i="16"/>
  <c r="BF8" i="16"/>
  <c r="AI4" i="16"/>
  <c r="AI9" i="16"/>
  <c r="BF17" i="16"/>
  <c r="BG6" i="16"/>
  <c r="AG38" i="16"/>
  <c r="AF37" i="16"/>
  <c r="AG37" i="16"/>
  <c r="AG32" i="16"/>
  <c r="AQ197" i="20"/>
  <c r="AI17" i="16"/>
  <c r="BG13" i="16"/>
  <c r="AI13" i="16"/>
  <c r="AJ13" i="16"/>
  <c r="AI7" i="16"/>
  <c r="AG26" i="16"/>
  <c r="AF40" i="16"/>
  <c r="AF39" i="16"/>
  <c r="AG39" i="16"/>
  <c r="AF36" i="16"/>
  <c r="AJ18" i="16"/>
  <c r="AJ8" i="16"/>
  <c r="AJ5" i="16"/>
  <c r="AJ17" i="16"/>
  <c r="AG29" i="16"/>
  <c r="AI14" i="16"/>
  <c r="BF4" i="16"/>
  <c r="BG9" i="16"/>
  <c r="BF5" i="16"/>
  <c r="AI10" i="16"/>
  <c r="BF16" i="16"/>
  <c r="AF27" i="16"/>
  <c r="F92" i="16"/>
  <c r="F94" i="16" s="1"/>
  <c r="AF28" i="16"/>
  <c r="AR38" i="20"/>
  <c r="AQ38" i="20"/>
  <c r="O10" i="7"/>
  <c r="N12" i="7" s="1"/>
  <c r="R9" i="6" s="1"/>
  <c r="T22" i="6"/>
  <c r="I23" i="6"/>
  <c r="T34" i="6" s="1"/>
  <c r="V13" i="7"/>
  <c r="V14" i="7" s="1"/>
  <c r="S19" i="7" s="1"/>
  <c r="M36" i="6" s="1"/>
  <c r="R6" i="16"/>
  <c r="T6" i="16" s="1"/>
  <c r="U6" i="16" s="1"/>
  <c r="AI6" i="16"/>
  <c r="AF35" i="16"/>
  <c r="AF31" i="16"/>
  <c r="R11" i="16"/>
  <c r="T11" i="16" s="1"/>
  <c r="U11" i="16" s="1"/>
  <c r="AI16" i="16"/>
  <c r="AI15" i="16"/>
  <c r="BF9" i="16"/>
  <c r="AF24" i="16"/>
  <c r="AF38" i="16"/>
  <c r="BF20" i="16"/>
  <c r="O25" i="25"/>
  <c r="N28" i="25" s="1"/>
  <c r="AQ40" i="20"/>
  <c r="AQ82" i="20"/>
  <c r="BC26" i="20"/>
  <c r="AR176" i="20"/>
  <c r="AH48" i="14"/>
  <c r="AH41" i="14"/>
  <c r="AH35" i="14"/>
  <c r="AH40" i="14"/>
  <c r="AH31" i="14"/>
  <c r="AH33" i="14"/>
  <c r="AH39" i="14"/>
  <c r="AH44" i="14"/>
  <c r="AH45" i="14"/>
  <c r="AH49" i="14"/>
  <c r="AH54" i="14"/>
  <c r="AH51" i="14"/>
  <c r="AH32" i="14"/>
  <c r="AH34" i="14"/>
  <c r="AH46" i="14"/>
  <c r="AH43" i="14"/>
  <c r="AH38" i="14"/>
  <c r="AH50" i="14"/>
  <c r="AH53" i="14"/>
  <c r="AH42" i="14"/>
  <c r="AH55" i="14"/>
  <c r="AH37" i="14"/>
  <c r="AH47" i="14"/>
  <c r="AH52" i="14"/>
  <c r="AH36" i="14"/>
  <c r="AG59" i="21"/>
  <c r="AK59" i="21" s="1"/>
  <c r="AK61" i="21"/>
  <c r="AM61" i="21"/>
  <c r="BT39" i="16"/>
  <c r="BY39" i="16" s="1"/>
  <c r="U12" i="16"/>
  <c r="AB12" i="16"/>
  <c r="AM75" i="21"/>
  <c r="AK75" i="21"/>
  <c r="AM77" i="21"/>
  <c r="AK77" i="21"/>
  <c r="AK62" i="21"/>
  <c r="AM62" i="21"/>
  <c r="AD71" i="21"/>
  <c r="AE71" i="21"/>
  <c r="AH71" i="21"/>
  <c r="AM70" i="21"/>
  <c r="AK70" i="21"/>
  <c r="AG71" i="21"/>
  <c r="AD70" i="21"/>
  <c r="AH70" i="21"/>
  <c r="AE70" i="21"/>
  <c r="R18" i="21"/>
  <c r="S18" i="21" s="1"/>
  <c r="AD57" i="21"/>
  <c r="AS57" i="21"/>
  <c r="AE57" i="21"/>
  <c r="AH57" i="21"/>
  <c r="AR96" i="20"/>
  <c r="AQ96" i="20"/>
  <c r="AR88" i="20"/>
  <c r="AQ88" i="20"/>
  <c r="AR150" i="20"/>
  <c r="AQ150" i="20"/>
  <c r="AR159" i="20"/>
  <c r="AQ159" i="20"/>
  <c r="AR32" i="20"/>
  <c r="AQ32" i="20"/>
  <c r="AR181" i="20"/>
  <c r="AQ181" i="20"/>
  <c r="AD65" i="21"/>
  <c r="AE65" i="21"/>
  <c r="AH65" i="21"/>
  <c r="AR50" i="20"/>
  <c r="AQ50" i="20"/>
  <c r="AQ66" i="20"/>
  <c r="AR66" i="20"/>
  <c r="AQ89" i="20"/>
  <c r="AR89" i="20"/>
  <c r="AQ151" i="20"/>
  <c r="AR151" i="20"/>
  <c r="AR223" i="20"/>
  <c r="AQ223" i="20"/>
  <c r="AQ174" i="20"/>
  <c r="AR174" i="20"/>
  <c r="AM67" i="21"/>
  <c r="AK67" i="21"/>
  <c r="AR221" i="20"/>
  <c r="AQ221" i="20"/>
  <c r="AR165" i="20"/>
  <c r="AQ165" i="20"/>
  <c r="AQ206" i="20"/>
  <c r="AR206" i="20"/>
  <c r="AT45" i="14"/>
  <c r="AS45" i="14"/>
  <c r="AD79" i="21"/>
  <c r="AH79" i="21"/>
  <c r="AE79" i="21"/>
  <c r="AQ135" i="20"/>
  <c r="AR135" i="20"/>
  <c r="AD73" i="21"/>
  <c r="AH73" i="21"/>
  <c r="AE73" i="21"/>
  <c r="R13" i="21"/>
  <c r="S13" i="21" s="1"/>
  <c r="H25" i="3"/>
  <c r="AQ216" i="20"/>
  <c r="AR216" i="20"/>
  <c r="AM57" i="21"/>
  <c r="AK57" i="21"/>
  <c r="R21" i="21"/>
  <c r="S21" i="21" s="1"/>
  <c r="AQ145" i="20"/>
  <c r="AR145" i="20"/>
  <c r="Z36" i="21"/>
  <c r="AA35" i="21"/>
  <c r="BG29" i="14"/>
  <c r="F9" i="18"/>
  <c r="G9" i="18"/>
  <c r="AQ113" i="20"/>
  <c r="AR113" i="20"/>
  <c r="AR157" i="20"/>
  <c r="AQ157" i="20"/>
  <c r="R4" i="21"/>
  <c r="S4" i="21" s="1"/>
  <c r="AD61" i="21"/>
  <c r="AE61" i="21"/>
  <c r="AH61" i="21"/>
  <c r="AR167" i="20"/>
  <c r="AQ167" i="20"/>
  <c r="AD62" i="21"/>
  <c r="AH62" i="21"/>
  <c r="AE62" i="21"/>
  <c r="R19" i="21"/>
  <c r="S19" i="21" s="1"/>
  <c r="AG65" i="21"/>
  <c r="AD75" i="21"/>
  <c r="AE75" i="21"/>
  <c r="AH75" i="21"/>
  <c r="AR205" i="20"/>
  <c r="AQ205" i="20"/>
  <c r="G90" i="16"/>
  <c r="C20" i="14"/>
  <c r="AP2" i="16"/>
  <c r="P22" i="16"/>
  <c r="P2" i="16"/>
  <c r="BU31" i="16"/>
  <c r="BT31" i="16" s="1"/>
  <c r="BU30" i="16"/>
  <c r="AQ127" i="20"/>
  <c r="AR127" i="20"/>
  <c r="AR118" i="20"/>
  <c r="AQ118" i="20"/>
  <c r="AQ192" i="20"/>
  <c r="AR192" i="20"/>
  <c r="AD67" i="21"/>
  <c r="AH67" i="21"/>
  <c r="AE67" i="21"/>
  <c r="R14" i="21"/>
  <c r="S14" i="21" s="1"/>
  <c r="AD64" i="21"/>
  <c r="AH64" i="21"/>
  <c r="AE64" i="21"/>
  <c r="AR112" i="20"/>
  <c r="AQ112" i="20"/>
  <c r="AD74" i="21"/>
  <c r="AE74" i="21"/>
  <c r="AH74" i="21"/>
  <c r="F43" i="15"/>
  <c r="C25" i="14" s="1"/>
  <c r="R11" i="21"/>
  <c r="S11" i="21" s="1"/>
  <c r="AD63" i="21"/>
  <c r="AE63" i="21"/>
  <c r="AH63" i="21"/>
  <c r="AR28" i="20"/>
  <c r="AQ28" i="20"/>
  <c r="AD66" i="21"/>
  <c r="AH66" i="21"/>
  <c r="AE66" i="21"/>
  <c r="AT43" i="14"/>
  <c r="AS43" i="14"/>
  <c r="AD58" i="21"/>
  <c r="AE58" i="21"/>
  <c r="AH58" i="21"/>
  <c r="AS58" i="21"/>
  <c r="AS40" i="14"/>
  <c r="AT40" i="14"/>
  <c r="AR62" i="20"/>
  <c r="AQ62" i="20"/>
  <c r="AR33" i="20"/>
  <c r="AQ33" i="20"/>
  <c r="R25" i="21"/>
  <c r="S25" i="21" s="1"/>
  <c r="AR134" i="20"/>
  <c r="AQ134" i="20"/>
  <c r="R24" i="21"/>
  <c r="S24" i="21" s="1"/>
  <c r="AM64" i="21"/>
  <c r="AK64" i="21"/>
  <c r="R16" i="21"/>
  <c r="S16" i="21" s="1"/>
  <c r="AM74" i="21"/>
  <c r="AK74" i="21"/>
  <c r="V43" i="16"/>
  <c r="S44" i="16"/>
  <c r="S46" i="16" s="1"/>
  <c r="S47" i="16" s="1"/>
  <c r="S49" i="16" s="1"/>
  <c r="S45" i="16"/>
  <c r="AR110" i="20"/>
  <c r="AQ110" i="20"/>
  <c r="AQ95" i="20"/>
  <c r="AR95" i="20"/>
  <c r="AQ227" i="20"/>
  <c r="AR227" i="20"/>
  <c r="AK63" i="21"/>
  <c r="AM63" i="21"/>
  <c r="AR56" i="20"/>
  <c r="AQ56" i="20"/>
  <c r="AQ182" i="20"/>
  <c r="AR182" i="20"/>
  <c r="R20" i="21"/>
  <c r="S20" i="21" s="1"/>
  <c r="AS60" i="21"/>
  <c r="Z61" i="21"/>
  <c r="AR104" i="20"/>
  <c r="AQ104" i="20"/>
  <c r="R12" i="21"/>
  <c r="S12" i="21" s="1"/>
  <c r="E8" i="23"/>
  <c r="D8" i="23"/>
  <c r="AR207" i="20"/>
  <c r="AQ207" i="20"/>
  <c r="AK66" i="21"/>
  <c r="AM66" i="21"/>
  <c r="AQ119" i="20"/>
  <c r="AR119" i="20"/>
  <c r="AG58" i="21"/>
  <c r="AD77" i="21"/>
  <c r="AE77" i="21"/>
  <c r="AH77" i="21"/>
  <c r="AK73" i="21"/>
  <c r="AM73" i="21"/>
  <c r="R7" i="21"/>
  <c r="S7" i="21" s="1"/>
  <c r="R26" i="21"/>
  <c r="S26" i="21" s="1"/>
  <c r="R9" i="21"/>
  <c r="S9" i="21" s="1"/>
  <c r="R23" i="21"/>
  <c r="S23" i="21" s="1"/>
  <c r="AS44" i="14"/>
  <c r="AT44" i="14"/>
  <c r="AD72" i="21"/>
  <c r="AE72" i="21"/>
  <c r="AH72" i="21"/>
  <c r="AR175" i="20"/>
  <c r="AQ175" i="20"/>
  <c r="R8" i="21"/>
  <c r="S8" i="21" s="1"/>
  <c r="AM76" i="21"/>
  <c r="AK76" i="21"/>
  <c r="AT31" i="14"/>
  <c r="AS31" i="14"/>
  <c r="AR144" i="20"/>
  <c r="AQ144" i="20"/>
  <c r="AK69" i="21"/>
  <c r="AM69" i="21"/>
  <c r="R6" i="21"/>
  <c r="S6" i="21" s="1"/>
  <c r="AM78" i="21"/>
  <c r="AK78" i="21"/>
  <c r="BU38" i="16"/>
  <c r="AQ158" i="20"/>
  <c r="AR158" i="20"/>
  <c r="AQ103" i="20"/>
  <c r="AR103" i="20"/>
  <c r="AR120" i="20"/>
  <c r="AQ120" i="20"/>
  <c r="AM79" i="21"/>
  <c r="AK79" i="21"/>
  <c r="AR136" i="20"/>
  <c r="AQ136" i="20"/>
  <c r="AD68" i="21"/>
  <c r="AE68" i="21"/>
  <c r="AH68" i="21"/>
  <c r="AD60" i="21"/>
  <c r="AE60" i="21"/>
  <c r="AH60" i="21"/>
  <c r="AR152" i="20"/>
  <c r="AQ152" i="20"/>
  <c r="R5" i="21"/>
  <c r="S5" i="21" s="1"/>
  <c r="O21" i="25"/>
  <c r="N29" i="25" s="1"/>
  <c r="F10" i="13"/>
  <c r="G10" i="13"/>
  <c r="AR57" i="20"/>
  <c r="AQ57" i="20"/>
  <c r="R17" i="21"/>
  <c r="S17" i="21" s="1"/>
  <c r="AG72" i="21"/>
  <c r="AQ74" i="20"/>
  <c r="AR74" i="20"/>
  <c r="AR142" i="20"/>
  <c r="AQ142" i="20"/>
  <c r="AD76" i="21"/>
  <c r="AH76" i="21"/>
  <c r="AE76" i="21"/>
  <c r="AD59" i="21"/>
  <c r="AE59" i="21"/>
  <c r="AH59" i="21"/>
  <c r="AR36" i="20"/>
  <c r="AQ36" i="20"/>
  <c r="C20" i="21"/>
  <c r="AP26" i="20"/>
  <c r="C21" i="20"/>
  <c r="R22" i="21"/>
  <c r="S22" i="21" s="1"/>
  <c r="AD69" i="21"/>
  <c r="AE69" i="21"/>
  <c r="AH69" i="21"/>
  <c r="AG68" i="21"/>
  <c r="R10" i="21"/>
  <c r="S10" i="21" s="1"/>
  <c r="AD78" i="21"/>
  <c r="AE78" i="21"/>
  <c r="AH78" i="21"/>
  <c r="AG60" i="21"/>
  <c r="G44" i="16"/>
  <c r="G46" i="16" s="1"/>
  <c r="G47" i="16" s="1"/>
  <c r="G49" i="16" s="1"/>
  <c r="D44" i="16"/>
  <c r="D46" i="16" s="1"/>
  <c r="D47" i="16" s="1"/>
  <c r="D49" i="16" s="1"/>
  <c r="AS29" i="14"/>
  <c r="M44" i="16"/>
  <c r="M46" i="16" s="1"/>
  <c r="M47" i="16" s="1"/>
  <c r="M49" i="16" s="1"/>
  <c r="J44" i="16"/>
  <c r="J46" i="16" s="1"/>
  <c r="J47" i="16" s="1"/>
  <c r="J49" i="16" s="1"/>
  <c r="AQ143" i="20"/>
  <c r="AR143" i="20"/>
  <c r="AR102" i="20"/>
  <c r="AQ102" i="20"/>
  <c r="R15" i="21"/>
  <c r="S15" i="21" s="1"/>
  <c r="AR183" i="20"/>
  <c r="AQ183" i="20"/>
  <c r="BU27" i="16"/>
  <c r="P33" i="21"/>
  <c r="P35" i="21" s="1"/>
  <c r="P32" i="21"/>
  <c r="AR126" i="20"/>
  <c r="AQ126" i="20"/>
  <c r="F41" i="10"/>
  <c r="F43" i="10" s="1"/>
  <c r="R16" i="11"/>
  <c r="T16" i="11" s="1"/>
  <c r="AB16" i="11" s="1"/>
  <c r="R8" i="11"/>
  <c r="T8" i="11" s="1"/>
  <c r="U8" i="11" s="1"/>
  <c r="T31" i="7"/>
  <c r="W31" i="7" s="1"/>
  <c r="O16" i="25"/>
  <c r="N27" i="25" s="1"/>
  <c r="C27" i="3"/>
  <c r="H22" i="3"/>
  <c r="H21" i="3"/>
  <c r="H23" i="3"/>
  <c r="A66" i="11"/>
  <c r="C77" i="11" s="1"/>
  <c r="C90" i="11"/>
  <c r="M44" i="11"/>
  <c r="M46" i="11" s="1"/>
  <c r="M47" i="11" s="1"/>
  <c r="M49" i="11" s="1"/>
  <c r="J44" i="11"/>
  <c r="J46" i="11" s="1"/>
  <c r="J47" i="11" s="1"/>
  <c r="J49" i="11" s="1"/>
  <c r="G44" i="11"/>
  <c r="G46" i="11" s="1"/>
  <c r="G47" i="11" s="1"/>
  <c r="G49" i="11" s="1"/>
  <c r="S44" i="11"/>
  <c r="S46" i="11" s="1"/>
  <c r="S47" i="11" s="1"/>
  <c r="S49" i="11" s="1"/>
  <c r="V44" i="11"/>
  <c r="V46" i="11" s="1"/>
  <c r="V47" i="11" s="1"/>
  <c r="V49" i="11" s="1"/>
  <c r="P44" i="11"/>
  <c r="P46" i="11" s="1"/>
  <c r="P47" i="11" s="1"/>
  <c r="P49" i="11" s="1"/>
  <c r="D44" i="11"/>
  <c r="D46" i="11" s="1"/>
  <c r="D47" i="11" s="1"/>
  <c r="D49" i="11" s="1"/>
  <c r="BU40" i="11"/>
  <c r="BU34" i="11"/>
  <c r="BU33" i="11"/>
  <c r="BU41" i="11"/>
  <c r="BU26" i="11"/>
  <c r="BU42" i="11"/>
  <c r="BU31" i="11"/>
  <c r="BU30" i="11"/>
  <c r="BU39" i="11"/>
  <c r="BU37" i="11"/>
  <c r="BU35" i="11"/>
  <c r="P22" i="11"/>
  <c r="P2" i="11"/>
  <c r="BU29" i="11"/>
  <c r="BU28" i="11"/>
  <c r="BU38" i="11"/>
  <c r="BU36" i="11"/>
  <c r="BU32" i="11"/>
  <c r="BU27" i="11"/>
  <c r="AP2" i="11"/>
  <c r="R12" i="11"/>
  <c r="T12" i="11" s="1"/>
  <c r="R15" i="11"/>
  <c r="T15" i="11" s="1"/>
  <c r="F93" i="11"/>
  <c r="F96" i="11" s="1"/>
  <c r="H44" i="10" s="1"/>
  <c r="F94" i="11"/>
  <c r="T39" i="6" l="1"/>
  <c r="AB11" i="11"/>
  <c r="U11" i="11"/>
  <c r="AD11" i="11" s="1"/>
  <c r="AB9" i="16"/>
  <c r="AC9" i="16" s="1"/>
  <c r="AB17" i="16"/>
  <c r="AC17" i="16" s="1"/>
  <c r="C69" i="16"/>
  <c r="V33" i="21"/>
  <c r="V35" i="21" s="1"/>
  <c r="V36" i="21" s="1"/>
  <c r="V37" i="21" s="1"/>
  <c r="S32" i="21"/>
  <c r="CT35" i="16"/>
  <c r="AB5" i="16"/>
  <c r="AC5" i="16" s="1"/>
  <c r="U15" i="16"/>
  <c r="W15" i="16" s="1"/>
  <c r="U8" i="16"/>
  <c r="AC8" i="16" s="1"/>
  <c r="C21" i="14"/>
  <c r="AB4" i="16"/>
  <c r="AC4" i="16" s="1"/>
  <c r="AB11" i="16"/>
  <c r="AC11" i="16" s="1"/>
  <c r="C71" i="16"/>
  <c r="AM59" i="21"/>
  <c r="AB20" i="16"/>
  <c r="AC20" i="16" s="1"/>
  <c r="C77" i="16"/>
  <c r="C72" i="16"/>
  <c r="BE12" i="16"/>
  <c r="AB13" i="16"/>
  <c r="AC13" i="16" s="1"/>
  <c r="P60" i="16"/>
  <c r="BW28" i="16"/>
  <c r="BX28" i="16" s="1"/>
  <c r="P50" i="16"/>
  <c r="P51" i="16" s="1"/>
  <c r="P56" i="16" s="1"/>
  <c r="BH29" i="16"/>
  <c r="AB7" i="16"/>
  <c r="AC7" i="16" s="1"/>
  <c r="C75" i="16"/>
  <c r="AB10" i="16"/>
  <c r="AC10" i="16" s="1"/>
  <c r="N2" i="16"/>
  <c r="P17" i="16" s="1"/>
  <c r="BE13" i="16"/>
  <c r="AB19" i="16"/>
  <c r="AC19" i="16" s="1"/>
  <c r="C74" i="16"/>
  <c r="C79" i="16"/>
  <c r="AB14" i="16"/>
  <c r="AC14" i="16" s="1"/>
  <c r="N22" i="16"/>
  <c r="AE31" i="16"/>
  <c r="AE35" i="16"/>
  <c r="D33" i="21"/>
  <c r="D35" i="21" s="1"/>
  <c r="D36" i="21" s="1"/>
  <c r="D37" i="21" s="1"/>
  <c r="C81" i="16"/>
  <c r="C82" i="16"/>
  <c r="C83" i="16"/>
  <c r="AN2" i="16"/>
  <c r="AB16" i="16"/>
  <c r="AC16" i="16" s="1"/>
  <c r="AH18" i="16"/>
  <c r="C78" i="16"/>
  <c r="C68" i="16"/>
  <c r="AE28" i="16"/>
  <c r="BE19" i="16"/>
  <c r="AB18" i="16"/>
  <c r="AC18" i="16" s="1"/>
  <c r="C73" i="16"/>
  <c r="C76" i="16"/>
  <c r="BE10" i="16"/>
  <c r="BE6" i="16"/>
  <c r="C70" i="16"/>
  <c r="C67" i="16"/>
  <c r="J32" i="21"/>
  <c r="BY35" i="16"/>
  <c r="CE35" i="16" s="1"/>
  <c r="CN35" i="16" s="1"/>
  <c r="BZ28" i="16"/>
  <c r="CJ28" i="16" s="1"/>
  <c r="CL28" i="16" s="1"/>
  <c r="CS29" i="16"/>
  <c r="CU29" i="16" s="1"/>
  <c r="CV29" i="16" s="1"/>
  <c r="CT28" i="16"/>
  <c r="BY28" i="16"/>
  <c r="CG28" i="16" s="1"/>
  <c r="BY26" i="16"/>
  <c r="BV26" i="16"/>
  <c r="BZ26" i="16"/>
  <c r="BW26" i="16"/>
  <c r="CT26" i="16"/>
  <c r="BZ35" i="16"/>
  <c r="BW35" i="16"/>
  <c r="BX35" i="16" s="1"/>
  <c r="M32" i="21"/>
  <c r="G32" i="21"/>
  <c r="AC12" i="16"/>
  <c r="AB6" i="16"/>
  <c r="AC6" i="16" s="1"/>
  <c r="F93" i="16"/>
  <c r="F96" i="16" s="1"/>
  <c r="H44" i="15" s="1"/>
  <c r="AC15" i="16"/>
  <c r="AH19" i="16"/>
  <c r="BE18" i="16"/>
  <c r="AE26" i="16"/>
  <c r="AE39" i="16"/>
  <c r="BE15" i="16"/>
  <c r="AH9" i="16"/>
  <c r="AE37" i="16"/>
  <c r="AE24" i="16"/>
  <c r="AH13" i="16"/>
  <c r="AH16" i="16"/>
  <c r="AE38" i="16"/>
  <c r="AE36" i="16"/>
  <c r="AH6" i="16"/>
  <c r="BE16" i="16"/>
  <c r="AH15" i="16"/>
  <c r="AE34" i="16"/>
  <c r="AH20" i="16"/>
  <c r="AE29" i="16"/>
  <c r="AH8" i="16"/>
  <c r="AE40" i="16"/>
  <c r="BE5" i="16"/>
  <c r="AH11" i="16"/>
  <c r="AE30" i="16"/>
  <c r="AE32" i="16"/>
  <c r="AE33" i="16"/>
  <c r="AH5" i="16"/>
  <c r="BE9" i="16"/>
  <c r="AH14" i="16"/>
  <c r="AE27" i="16"/>
  <c r="AE25" i="16"/>
  <c r="AH7" i="16"/>
  <c r="AH4" i="16"/>
  <c r="BE8" i="16"/>
  <c r="BE4" i="16"/>
  <c r="BE14" i="16"/>
  <c r="BE20" i="16"/>
  <c r="AH17" i="16"/>
  <c r="BE17" i="16"/>
  <c r="AH10" i="16"/>
  <c r="BE7" i="16"/>
  <c r="BE11" i="16"/>
  <c r="U13" i="11"/>
  <c r="AB4" i="11"/>
  <c r="AC4" i="11" s="1"/>
  <c r="S20" i="7"/>
  <c r="M37" i="6" s="1"/>
  <c r="M12" i="7"/>
  <c r="Q9" i="6" s="1"/>
  <c r="S18" i="7"/>
  <c r="U18" i="7" s="1"/>
  <c r="W18" i="7" s="1"/>
  <c r="O35" i="6" s="1"/>
  <c r="P41" i="6"/>
  <c r="N44" i="6" s="1"/>
  <c r="I24" i="6"/>
  <c r="I30" i="6"/>
  <c r="N15" i="7"/>
  <c r="Q5" i="6"/>
  <c r="W33" i="7"/>
  <c r="AH15" i="7" s="1"/>
  <c r="P12" i="7"/>
  <c r="T9" i="6" s="1"/>
  <c r="O12" i="7"/>
  <c r="O15" i="7" s="1"/>
  <c r="S21" i="7"/>
  <c r="U21" i="7" s="1"/>
  <c r="W21" i="7" s="1"/>
  <c r="I29" i="6"/>
  <c r="U19" i="7"/>
  <c r="W19" i="7" s="1"/>
  <c r="O36" i="6" s="1"/>
  <c r="S17" i="7"/>
  <c r="U17" i="7" s="1"/>
  <c r="N34" i="6" s="1"/>
  <c r="AB14" i="11"/>
  <c r="AC14" i="11" s="1"/>
  <c r="BY29" i="16"/>
  <c r="CE29" i="16" s="1"/>
  <c r="CN29" i="16" s="1"/>
  <c r="AF72" i="21"/>
  <c r="AF63" i="21"/>
  <c r="AF59" i="21"/>
  <c r="AF73" i="21"/>
  <c r="AI47" i="14"/>
  <c r="AY47" i="14"/>
  <c r="AX47" i="14" s="1"/>
  <c r="AY46" i="14"/>
  <c r="AX46" i="14" s="1"/>
  <c r="AI46" i="14"/>
  <c r="AI39" i="14"/>
  <c r="AY39" i="14"/>
  <c r="AX39" i="14" s="1"/>
  <c r="AY37" i="14"/>
  <c r="AX37" i="14" s="1"/>
  <c r="AI37" i="14"/>
  <c r="AY34" i="14"/>
  <c r="AX34" i="14" s="1"/>
  <c r="AI34" i="14"/>
  <c r="AY33" i="14"/>
  <c r="AX33" i="14" s="1"/>
  <c r="AI33" i="14"/>
  <c r="AY44" i="14"/>
  <c r="AX44" i="14" s="1"/>
  <c r="AI44" i="14"/>
  <c r="AF65" i="21"/>
  <c r="AI55" i="14"/>
  <c r="AY55" i="14"/>
  <c r="AX55" i="14" s="1"/>
  <c r="AY32" i="14"/>
  <c r="AX32" i="14" s="1"/>
  <c r="AI32" i="14"/>
  <c r="AY31" i="14"/>
  <c r="AX31" i="14" s="1"/>
  <c r="AI31" i="14"/>
  <c r="AY42" i="14"/>
  <c r="AX42" i="14" s="1"/>
  <c r="AI42" i="14"/>
  <c r="AY51" i="14"/>
  <c r="AX51" i="14" s="1"/>
  <c r="AI51" i="14"/>
  <c r="AY40" i="14"/>
  <c r="AX40" i="14" s="1"/>
  <c r="AI40" i="14"/>
  <c r="AY43" i="14"/>
  <c r="AX43" i="14" s="1"/>
  <c r="AI43" i="14"/>
  <c r="AY53" i="14"/>
  <c r="AX53" i="14" s="1"/>
  <c r="AI53" i="14"/>
  <c r="AI54" i="14"/>
  <c r="AY54" i="14"/>
  <c r="AX54" i="14" s="1"/>
  <c r="AY35" i="14"/>
  <c r="AX35" i="14" s="1"/>
  <c r="AI35" i="14"/>
  <c r="AY52" i="14"/>
  <c r="AX52" i="14" s="1"/>
  <c r="AI52" i="14"/>
  <c r="AF60" i="21"/>
  <c r="AF64" i="21"/>
  <c r="AF62" i="21"/>
  <c r="AF79" i="21"/>
  <c r="AI50" i="14"/>
  <c r="AY50" i="14"/>
  <c r="AX50" i="14" s="1"/>
  <c r="AY49" i="14"/>
  <c r="AX49" i="14" s="1"/>
  <c r="AI49" i="14"/>
  <c r="AY41" i="14"/>
  <c r="AX41" i="14" s="1"/>
  <c r="AI41" i="14"/>
  <c r="AI36" i="14"/>
  <c r="AY36" i="14"/>
  <c r="AX36" i="14" s="1"/>
  <c r="AI38" i="14"/>
  <c r="AY38" i="14"/>
  <c r="AX38" i="14" s="1"/>
  <c r="AY45" i="14"/>
  <c r="AX45" i="14" s="1"/>
  <c r="AI45" i="14"/>
  <c r="AI48" i="14"/>
  <c r="AY48" i="14"/>
  <c r="AX48" i="14" s="1"/>
  <c r="CG33" i="16"/>
  <c r="CE33" i="16"/>
  <c r="CN33" i="16" s="1"/>
  <c r="CE37" i="16"/>
  <c r="CN37" i="16" s="1"/>
  <c r="CG37" i="16"/>
  <c r="CE36" i="16"/>
  <c r="CN36" i="16" s="1"/>
  <c r="CG36" i="16"/>
  <c r="CE41" i="16"/>
  <c r="CN41" i="16" s="1"/>
  <c r="CG41" i="16"/>
  <c r="CE42" i="16"/>
  <c r="CN42" i="16" s="1"/>
  <c r="CG42" i="16"/>
  <c r="W15" i="21"/>
  <c r="V15" i="21"/>
  <c r="U15" i="21"/>
  <c r="T15" i="21"/>
  <c r="Y15" i="21"/>
  <c r="Z15" i="21" s="1"/>
  <c r="AA15" i="21" s="1"/>
  <c r="AF15" i="21"/>
  <c r="AH15" i="21" s="1"/>
  <c r="AI15" i="21" s="1"/>
  <c r="AJ15" i="21" s="1"/>
  <c r="X15" i="21"/>
  <c r="Y9" i="16"/>
  <c r="V9" i="16"/>
  <c r="Z9" i="16"/>
  <c r="X9" i="16"/>
  <c r="W9" i="16"/>
  <c r="AD9" i="16"/>
  <c r="AA9" i="16"/>
  <c r="AL78" i="21"/>
  <c r="AN78" i="21"/>
  <c r="CG32" i="16"/>
  <c r="CE32" i="16"/>
  <c r="CN32" i="16" s="1"/>
  <c r="AN64" i="21"/>
  <c r="AL64" i="21"/>
  <c r="W21" i="21"/>
  <c r="V21" i="21"/>
  <c r="U21" i="21"/>
  <c r="T21" i="21"/>
  <c r="Y21" i="21"/>
  <c r="Z21" i="21" s="1"/>
  <c r="AA21" i="21" s="1"/>
  <c r="AF21" i="21"/>
  <c r="AH21" i="21" s="1"/>
  <c r="AI21" i="21" s="1"/>
  <c r="AJ21" i="21" s="1"/>
  <c r="X21" i="21"/>
  <c r="P36" i="21"/>
  <c r="P37" i="21" s="1"/>
  <c r="CA8" i="21"/>
  <c r="V4" i="20"/>
  <c r="M60" i="16"/>
  <c r="M50" i="16"/>
  <c r="M51" i="16" s="1"/>
  <c r="BH28" i="16"/>
  <c r="O27" i="15"/>
  <c r="S5" i="14" s="1"/>
  <c r="AF69" i="21"/>
  <c r="BL26" i="21"/>
  <c r="AU26" i="21"/>
  <c r="AD26" i="21"/>
  <c r="BL23" i="21"/>
  <c r="AU23" i="21"/>
  <c r="AD23" i="21"/>
  <c r="BL25" i="21"/>
  <c r="AU25" i="21"/>
  <c r="AD25" i="21"/>
  <c r="BL24" i="21"/>
  <c r="AU24" i="21"/>
  <c r="AD24" i="21"/>
  <c r="C25" i="21"/>
  <c r="BL21" i="21"/>
  <c r="AU21" i="21"/>
  <c r="AD21" i="21"/>
  <c r="BL18" i="21"/>
  <c r="AU18" i="21"/>
  <c r="AD18" i="21"/>
  <c r="BL15" i="21"/>
  <c r="AU15" i="21"/>
  <c r="AD15" i="21"/>
  <c r="BL12" i="21"/>
  <c r="BL22" i="21"/>
  <c r="AD22" i="21"/>
  <c r="BL16" i="21"/>
  <c r="AU16" i="21"/>
  <c r="AD16" i="21"/>
  <c r="AU22" i="21"/>
  <c r="BL17" i="21"/>
  <c r="AU17" i="21"/>
  <c r="AD17" i="21"/>
  <c r="BL19" i="21"/>
  <c r="AU19" i="21"/>
  <c r="AD19" i="21"/>
  <c r="BL14" i="21"/>
  <c r="AU14" i="21"/>
  <c r="AD14" i="21"/>
  <c r="AU13" i="21"/>
  <c r="BL11" i="21"/>
  <c r="AU11" i="21"/>
  <c r="AD11" i="21"/>
  <c r="BL7" i="21"/>
  <c r="AU7" i="21"/>
  <c r="AD7" i="21"/>
  <c r="BL20" i="21"/>
  <c r="AD20" i="21"/>
  <c r="BL13" i="21"/>
  <c r="BL8" i="21"/>
  <c r="AU8" i="21"/>
  <c r="AD8" i="21"/>
  <c r="AU12" i="21"/>
  <c r="AD12" i="21"/>
  <c r="AU20" i="21"/>
  <c r="AD13" i="21"/>
  <c r="BL10" i="21"/>
  <c r="AU10" i="21"/>
  <c r="AD10" i="21"/>
  <c r="BL6" i="21"/>
  <c r="AU6" i="21"/>
  <c r="AD6" i="21"/>
  <c r="BL4" i="21"/>
  <c r="AU9" i="21"/>
  <c r="AU4" i="21"/>
  <c r="AD5" i="21"/>
  <c r="AD4" i="21"/>
  <c r="BL9" i="21"/>
  <c r="AD9" i="21"/>
  <c r="BL5" i="21"/>
  <c r="AU5" i="21"/>
  <c r="AN76" i="21"/>
  <c r="AL76" i="21"/>
  <c r="BZ32" i="16"/>
  <c r="BV32" i="16"/>
  <c r="CT32" i="16"/>
  <c r="BW32" i="16"/>
  <c r="CS32" i="16"/>
  <c r="CU32" i="16" s="1"/>
  <c r="CV32" i="16" s="1"/>
  <c r="J36" i="21"/>
  <c r="J37" i="21" s="1"/>
  <c r="CA6" i="21"/>
  <c r="T4" i="20"/>
  <c r="Y9" i="21"/>
  <c r="Z9" i="21" s="1"/>
  <c r="AA9" i="21" s="1"/>
  <c r="AF9" i="21"/>
  <c r="AH9" i="21" s="1"/>
  <c r="AI9" i="21" s="1"/>
  <c r="AJ9" i="21" s="1"/>
  <c r="X9" i="21"/>
  <c r="W9" i="21"/>
  <c r="T9" i="21"/>
  <c r="V9" i="21"/>
  <c r="U9" i="21"/>
  <c r="V7" i="21"/>
  <c r="U7" i="21"/>
  <c r="T7" i="21"/>
  <c r="AF7" i="21"/>
  <c r="AH7" i="21" s="1"/>
  <c r="AI7" i="21" s="1"/>
  <c r="AJ7" i="21" s="1"/>
  <c r="X7" i="21"/>
  <c r="W7" i="21"/>
  <c r="Y7" i="21"/>
  <c r="Z7" i="21" s="1"/>
  <c r="AA7" i="21" s="1"/>
  <c r="AN63" i="21"/>
  <c r="AL63" i="21"/>
  <c r="AF74" i="21"/>
  <c r="Z62" i="21"/>
  <c r="AS61" i="21"/>
  <c r="AL75" i="21"/>
  <c r="AN75" i="21"/>
  <c r="AA10" i="16"/>
  <c r="W10" i="16"/>
  <c r="Z10" i="16"/>
  <c r="V10" i="16"/>
  <c r="AD10" i="16"/>
  <c r="X10" i="16"/>
  <c r="Y10" i="16"/>
  <c r="Y12" i="21"/>
  <c r="Z12" i="21" s="1"/>
  <c r="AA12" i="21" s="1"/>
  <c r="AF12" i="21"/>
  <c r="AH12" i="21" s="1"/>
  <c r="AI12" i="21" s="1"/>
  <c r="AJ12" i="21" s="1"/>
  <c r="X12" i="21"/>
  <c r="W12" i="21"/>
  <c r="V12" i="21"/>
  <c r="U12" i="21"/>
  <c r="T12" i="21"/>
  <c r="BT27" i="16"/>
  <c r="BY27" i="16" s="1"/>
  <c r="CS37" i="16"/>
  <c r="CU37" i="16" s="1"/>
  <c r="CV37" i="16" s="1"/>
  <c r="BV37" i="16"/>
  <c r="CT37" i="16"/>
  <c r="BZ37" i="16"/>
  <c r="BW37" i="16"/>
  <c r="Y22" i="21"/>
  <c r="Z22" i="21" s="1"/>
  <c r="AA22" i="21" s="1"/>
  <c r="AF22" i="21"/>
  <c r="AH22" i="21" s="1"/>
  <c r="AI22" i="21" s="1"/>
  <c r="AJ22" i="21" s="1"/>
  <c r="T22" i="21"/>
  <c r="U22" i="21"/>
  <c r="W22" i="21"/>
  <c r="V22" i="21"/>
  <c r="X22" i="21"/>
  <c r="AL68" i="21"/>
  <c r="AN68" i="21"/>
  <c r="AN72" i="21"/>
  <c r="AL72" i="21"/>
  <c r="AF77" i="21"/>
  <c r="AA13" i="16"/>
  <c r="V13" i="16"/>
  <c r="Y13" i="16"/>
  <c r="X13" i="16"/>
  <c r="W13" i="16"/>
  <c r="AD13" i="16"/>
  <c r="Z13" i="16"/>
  <c r="AF67" i="21"/>
  <c r="BT30" i="16"/>
  <c r="BY30" i="16" s="1"/>
  <c r="AF75" i="21"/>
  <c r="AL62" i="21"/>
  <c r="AN62" i="21"/>
  <c r="AF61" i="21"/>
  <c r="AA12" i="16"/>
  <c r="Y12" i="16"/>
  <c r="AD12" i="16"/>
  <c r="V12" i="16"/>
  <c r="Z12" i="16"/>
  <c r="X12" i="16"/>
  <c r="W12" i="16"/>
  <c r="T10" i="21"/>
  <c r="Y10" i="21"/>
  <c r="Z10" i="21" s="1"/>
  <c r="AA10" i="21" s="1"/>
  <c r="V10" i="21"/>
  <c r="U10" i="21"/>
  <c r="X10" i="21"/>
  <c r="W10" i="21"/>
  <c r="AF10" i="21"/>
  <c r="AH10" i="21" s="1"/>
  <c r="AI10" i="21" s="1"/>
  <c r="AJ10" i="21" s="1"/>
  <c r="AA20" i="16"/>
  <c r="V20" i="16"/>
  <c r="AD20" i="16"/>
  <c r="Y20" i="16"/>
  <c r="Z20" i="16"/>
  <c r="X20" i="16"/>
  <c r="W20" i="16"/>
  <c r="BZ34" i="16"/>
  <c r="CS34" i="16"/>
  <c r="CU34" i="16" s="1"/>
  <c r="CV34" i="16" s="1"/>
  <c r="BW34" i="16"/>
  <c r="BV34" i="16"/>
  <c r="CT34" i="16"/>
  <c r="CS35" i="16"/>
  <c r="CU35" i="16" s="1"/>
  <c r="CV35" i="16" s="1"/>
  <c r="AA6" i="16"/>
  <c r="V6" i="16"/>
  <c r="Z6" i="16"/>
  <c r="X6" i="16"/>
  <c r="W6" i="16"/>
  <c r="Y6" i="16"/>
  <c r="AD6" i="16"/>
  <c r="AN57" i="21"/>
  <c r="AL57" i="21"/>
  <c r="AQ57" i="21"/>
  <c r="D50" i="16"/>
  <c r="D51" i="16" s="1"/>
  <c r="D60" i="16"/>
  <c r="BH25" i="16"/>
  <c r="L27" i="15"/>
  <c r="P5" i="14" s="1"/>
  <c r="AF78" i="21"/>
  <c r="AF76" i="21"/>
  <c r="AM58" i="21"/>
  <c r="AK58" i="21"/>
  <c r="S50" i="16"/>
  <c r="S51" i="16" s="1"/>
  <c r="S60" i="16"/>
  <c r="BH30" i="16"/>
  <c r="Q27" i="15"/>
  <c r="U5" i="14" s="1"/>
  <c r="U24" i="21"/>
  <c r="T24" i="21"/>
  <c r="Y24" i="21"/>
  <c r="Z24" i="21" s="1"/>
  <c r="AA24" i="21" s="1"/>
  <c r="W24" i="21"/>
  <c r="V24" i="21"/>
  <c r="AF24" i="21"/>
  <c r="AH24" i="21" s="1"/>
  <c r="AI24" i="21" s="1"/>
  <c r="AJ24" i="21" s="1"/>
  <c r="X24" i="21"/>
  <c r="AN58" i="21"/>
  <c r="AL58" i="21"/>
  <c r="BY31" i="16"/>
  <c r="CT31" i="16"/>
  <c r="BW31" i="16"/>
  <c r="BV31" i="16"/>
  <c r="BZ31" i="16"/>
  <c r="AA14" i="16"/>
  <c r="AD14" i="16"/>
  <c r="Z14" i="16"/>
  <c r="Y14" i="16"/>
  <c r="X14" i="16"/>
  <c r="V14" i="16"/>
  <c r="W14" i="16"/>
  <c r="AM65" i="21"/>
  <c r="AK65" i="21"/>
  <c r="W4" i="21"/>
  <c r="Y4" i="21"/>
  <c r="Z4" i="21" s="1"/>
  <c r="AA4" i="21" s="1"/>
  <c r="V4" i="21"/>
  <c r="U4" i="21"/>
  <c r="AF4" i="21"/>
  <c r="AH4" i="21" s="1"/>
  <c r="AI4" i="21" s="1"/>
  <c r="AJ4" i="21" s="1"/>
  <c r="T4" i="21"/>
  <c r="X4" i="21"/>
  <c r="Z37" i="21"/>
  <c r="AA36" i="21"/>
  <c r="CS33" i="16"/>
  <c r="CU33" i="16" s="1"/>
  <c r="CV33" i="16" s="1"/>
  <c r="BV33" i="16"/>
  <c r="BW33" i="16"/>
  <c r="CT33" i="16"/>
  <c r="BZ33" i="16"/>
  <c r="AN79" i="21"/>
  <c r="AL79" i="21"/>
  <c r="AN65" i="21"/>
  <c r="AL65" i="21"/>
  <c r="AA16" i="16"/>
  <c r="W16" i="16"/>
  <c r="AD16" i="16"/>
  <c r="X16" i="16"/>
  <c r="Z16" i="16"/>
  <c r="V16" i="16"/>
  <c r="Y16" i="16"/>
  <c r="AF57" i="21"/>
  <c r="AN71" i="21"/>
  <c r="AL71" i="21"/>
  <c r="CG39" i="16"/>
  <c r="CE39" i="16"/>
  <c r="CN39" i="16" s="1"/>
  <c r="BW40" i="16"/>
  <c r="BZ40" i="16"/>
  <c r="BV40" i="16"/>
  <c r="CT40" i="16"/>
  <c r="CS40" i="16"/>
  <c r="CU40" i="16" s="1"/>
  <c r="CV40" i="16" s="1"/>
  <c r="AA4" i="16"/>
  <c r="W4" i="16"/>
  <c r="V4" i="16"/>
  <c r="Y4" i="16"/>
  <c r="AD4" i="16"/>
  <c r="X4" i="16"/>
  <c r="Z4" i="16"/>
  <c r="AN77" i="21"/>
  <c r="AL77" i="21"/>
  <c r="AL61" i="21"/>
  <c r="AN61" i="21"/>
  <c r="M36" i="21"/>
  <c r="M37" i="21" s="1"/>
  <c r="CA7" i="21"/>
  <c r="U4" i="20"/>
  <c r="G50" i="16"/>
  <c r="G51" i="16" s="1"/>
  <c r="G60" i="16"/>
  <c r="BH26" i="16"/>
  <c r="M27" i="15"/>
  <c r="Q5" i="14" s="1"/>
  <c r="BW41" i="16"/>
  <c r="BV41" i="16"/>
  <c r="CT41" i="16"/>
  <c r="CS41" i="16"/>
  <c r="CU41" i="16" s="1"/>
  <c r="CV41" i="16" s="1"/>
  <c r="BZ41" i="16"/>
  <c r="AL59" i="21"/>
  <c r="AN59" i="21"/>
  <c r="T17" i="21"/>
  <c r="Y17" i="21"/>
  <c r="Z17" i="21" s="1"/>
  <c r="AA17" i="21" s="1"/>
  <c r="V17" i="21"/>
  <c r="U17" i="21"/>
  <c r="AF17" i="21"/>
  <c r="AH17" i="21" s="1"/>
  <c r="AI17" i="21" s="1"/>
  <c r="AJ17" i="21" s="1"/>
  <c r="W17" i="21"/>
  <c r="X17" i="21"/>
  <c r="AL60" i="21"/>
  <c r="AN60" i="21"/>
  <c r="BT38" i="16"/>
  <c r="BY38" i="16" s="1"/>
  <c r="T6" i="21"/>
  <c r="Y6" i="21"/>
  <c r="Z6" i="21" s="1"/>
  <c r="AA6" i="21" s="1"/>
  <c r="V6" i="21"/>
  <c r="U6" i="21"/>
  <c r="X6" i="21"/>
  <c r="W6" i="21"/>
  <c r="AF6" i="21"/>
  <c r="AH6" i="21" s="1"/>
  <c r="AI6" i="21" s="1"/>
  <c r="AJ6" i="21" s="1"/>
  <c r="AF23" i="21"/>
  <c r="AH23" i="21" s="1"/>
  <c r="AI23" i="21" s="1"/>
  <c r="AJ23" i="21" s="1"/>
  <c r="X23" i="21"/>
  <c r="W23" i="21"/>
  <c r="V23" i="21"/>
  <c r="U23" i="21"/>
  <c r="T23" i="21"/>
  <c r="Y23" i="21"/>
  <c r="Z23" i="21" s="1"/>
  <c r="AA23" i="21" s="1"/>
  <c r="Y20" i="21"/>
  <c r="Z20" i="21" s="1"/>
  <c r="AA20" i="21" s="1"/>
  <c r="AF20" i="21"/>
  <c r="AH20" i="21" s="1"/>
  <c r="AI20" i="21" s="1"/>
  <c r="AJ20" i="21" s="1"/>
  <c r="X20" i="21"/>
  <c r="W20" i="21"/>
  <c r="T20" i="21"/>
  <c r="U20" i="21"/>
  <c r="V20" i="21"/>
  <c r="V44" i="16"/>
  <c r="V46" i="16" s="1"/>
  <c r="V47" i="16" s="1"/>
  <c r="V49" i="16" s="1"/>
  <c r="V45" i="16"/>
  <c r="AL66" i="21"/>
  <c r="AN66" i="21"/>
  <c r="BZ42" i="16"/>
  <c r="CS42" i="16"/>
  <c r="CU42" i="16" s="1"/>
  <c r="CV42" i="16" s="1"/>
  <c r="BV42" i="16"/>
  <c r="BW42" i="16"/>
  <c r="CT42" i="16"/>
  <c r="U14" i="21"/>
  <c r="T14" i="21"/>
  <c r="W14" i="21"/>
  <c r="V14" i="21"/>
  <c r="Y14" i="21"/>
  <c r="Z14" i="21" s="1"/>
  <c r="AA14" i="21" s="1"/>
  <c r="X14" i="21"/>
  <c r="AF14" i="21"/>
  <c r="AH14" i="21" s="1"/>
  <c r="AI14" i="21" s="1"/>
  <c r="AJ14" i="21" s="1"/>
  <c r="G10" i="18"/>
  <c r="F10" i="18"/>
  <c r="AN70" i="21"/>
  <c r="AL70" i="21"/>
  <c r="BV39" i="16"/>
  <c r="BW39" i="16"/>
  <c r="BZ39" i="16"/>
  <c r="CT39" i="16"/>
  <c r="AA5" i="16"/>
  <c r="Z5" i="16"/>
  <c r="W5" i="16"/>
  <c r="V5" i="16"/>
  <c r="X5" i="16"/>
  <c r="AD5" i="16"/>
  <c r="Y5" i="16"/>
  <c r="D9" i="23"/>
  <c r="E9" i="23"/>
  <c r="U19" i="21"/>
  <c r="T19" i="21"/>
  <c r="W19" i="21"/>
  <c r="V19" i="21"/>
  <c r="X19" i="21"/>
  <c r="Y19" i="21"/>
  <c r="Z19" i="21" s="1"/>
  <c r="AA19" i="21" s="1"/>
  <c r="AF19" i="21"/>
  <c r="AH19" i="21" s="1"/>
  <c r="AI19" i="21" s="1"/>
  <c r="AJ19" i="21" s="1"/>
  <c r="J60" i="16"/>
  <c r="BH27" i="16"/>
  <c r="N27" i="15"/>
  <c r="R5" i="14" s="1"/>
  <c r="J50" i="16"/>
  <c r="J51" i="16" s="1"/>
  <c r="G11" i="13"/>
  <c r="F11" i="13"/>
  <c r="Y25" i="21"/>
  <c r="Z25" i="21" s="1"/>
  <c r="AA25" i="21" s="1"/>
  <c r="AF25" i="21"/>
  <c r="AH25" i="21" s="1"/>
  <c r="AI25" i="21" s="1"/>
  <c r="AJ25" i="21" s="1"/>
  <c r="X25" i="21"/>
  <c r="W25" i="21"/>
  <c r="V25" i="21"/>
  <c r="T25" i="21"/>
  <c r="U25" i="21"/>
  <c r="AB7" i="11"/>
  <c r="AC7" i="11" s="1"/>
  <c r="C28" i="3"/>
  <c r="C29" i="3" s="1"/>
  <c r="C32" i="3" s="1"/>
  <c r="AK60" i="21"/>
  <c r="AM60" i="21"/>
  <c r="AK68" i="21"/>
  <c r="AM68" i="21"/>
  <c r="AF68" i="21"/>
  <c r="AA17" i="16"/>
  <c r="X17" i="16"/>
  <c r="V17" i="16"/>
  <c r="Y17" i="16"/>
  <c r="W17" i="16"/>
  <c r="Z17" i="16"/>
  <c r="AD17" i="16"/>
  <c r="AF8" i="21"/>
  <c r="AH8" i="21" s="1"/>
  <c r="AI8" i="21" s="1"/>
  <c r="AJ8" i="21" s="1"/>
  <c r="X8" i="21"/>
  <c r="W8" i="21"/>
  <c r="V8" i="21"/>
  <c r="U8" i="21"/>
  <c r="Y8" i="21"/>
  <c r="Z8" i="21" s="1"/>
  <c r="AA8" i="21" s="1"/>
  <c r="T8" i="21"/>
  <c r="G36" i="21"/>
  <c r="G37" i="21" s="1"/>
  <c r="CA5" i="21"/>
  <c r="S4" i="20"/>
  <c r="AA7" i="16"/>
  <c r="Y7" i="16"/>
  <c r="Z7" i="16"/>
  <c r="V7" i="16"/>
  <c r="AD7" i="16"/>
  <c r="X7" i="16"/>
  <c r="W7" i="16"/>
  <c r="AA18" i="16"/>
  <c r="W18" i="16"/>
  <c r="Z18" i="16"/>
  <c r="Y18" i="16"/>
  <c r="X18" i="16"/>
  <c r="AD18" i="16"/>
  <c r="V18" i="16"/>
  <c r="V11" i="21"/>
  <c r="U11" i="21"/>
  <c r="T11" i="21"/>
  <c r="AF11" i="21"/>
  <c r="AH11" i="21" s="1"/>
  <c r="AI11" i="21" s="1"/>
  <c r="AJ11" i="21" s="1"/>
  <c r="X11" i="21"/>
  <c r="W11" i="21"/>
  <c r="Y11" i="21"/>
  <c r="Z11" i="21" s="1"/>
  <c r="AA11" i="21" s="1"/>
  <c r="AA19" i="16"/>
  <c r="Y19" i="16"/>
  <c r="V19" i="16"/>
  <c r="AD19" i="16"/>
  <c r="W19" i="16"/>
  <c r="Z19" i="16"/>
  <c r="X19" i="16"/>
  <c r="Y13" i="21"/>
  <c r="Z13" i="21" s="1"/>
  <c r="AA13" i="21" s="1"/>
  <c r="AF13" i="21"/>
  <c r="AH13" i="21" s="1"/>
  <c r="AI13" i="21" s="1"/>
  <c r="AJ13" i="21" s="1"/>
  <c r="X13" i="21"/>
  <c r="T13" i="21"/>
  <c r="W13" i="21"/>
  <c r="V13" i="21"/>
  <c r="U13" i="21"/>
  <c r="BW36" i="16"/>
  <c r="BV36" i="16"/>
  <c r="CT36" i="16"/>
  <c r="BZ36" i="16"/>
  <c r="CS36" i="16"/>
  <c r="CU36" i="16" s="1"/>
  <c r="CV36" i="16" s="1"/>
  <c r="S36" i="21"/>
  <c r="S37" i="21" s="1"/>
  <c r="CA9" i="21"/>
  <c r="W4" i="20"/>
  <c r="Y16" i="21"/>
  <c r="Z16" i="21" s="1"/>
  <c r="AA16" i="21" s="1"/>
  <c r="AF16" i="21"/>
  <c r="AH16" i="21" s="1"/>
  <c r="AI16" i="21" s="1"/>
  <c r="AJ16" i="21" s="1"/>
  <c r="X16" i="21"/>
  <c r="W16" i="21"/>
  <c r="V16" i="21"/>
  <c r="T16" i="21"/>
  <c r="U16" i="21"/>
  <c r="AK71" i="21"/>
  <c r="AM71" i="21"/>
  <c r="AM72" i="21"/>
  <c r="AK72" i="21"/>
  <c r="AL67" i="21"/>
  <c r="AN67" i="21"/>
  <c r="AN69" i="21"/>
  <c r="AL69" i="21"/>
  <c r="Y5" i="21"/>
  <c r="Z5" i="21" s="1"/>
  <c r="AA5" i="21" s="1"/>
  <c r="W5" i="21"/>
  <c r="T5" i="21"/>
  <c r="AF5" i="21"/>
  <c r="AH5" i="21" s="1"/>
  <c r="AI5" i="21" s="1"/>
  <c r="AJ5" i="21" s="1"/>
  <c r="V5" i="21"/>
  <c r="U5" i="21"/>
  <c r="X5" i="21"/>
  <c r="AA11" i="16"/>
  <c r="W11" i="16"/>
  <c r="V11" i="16"/>
  <c r="Y11" i="16"/>
  <c r="AD11" i="16"/>
  <c r="Z11" i="16"/>
  <c r="X11" i="16"/>
  <c r="BY40" i="16"/>
  <c r="V26" i="21"/>
  <c r="U26" i="21"/>
  <c r="T26" i="21"/>
  <c r="AF26" i="21"/>
  <c r="AH26" i="21" s="1"/>
  <c r="AI26" i="21" s="1"/>
  <c r="AJ26" i="21" s="1"/>
  <c r="X26" i="21"/>
  <c r="W26" i="21"/>
  <c r="Y26" i="21"/>
  <c r="Z26" i="21" s="1"/>
  <c r="AA26" i="21" s="1"/>
  <c r="CT29" i="16"/>
  <c r="BV29" i="16"/>
  <c r="BZ29" i="16"/>
  <c r="BW29" i="16"/>
  <c r="AF58" i="21"/>
  <c r="AF66" i="21"/>
  <c r="AN74" i="21"/>
  <c r="AL74" i="21"/>
  <c r="AN73" i="21"/>
  <c r="AL73" i="21"/>
  <c r="BY34" i="16"/>
  <c r="W18" i="21"/>
  <c r="V18" i="21"/>
  <c r="U18" i="21"/>
  <c r="T18" i="21"/>
  <c r="Y18" i="21"/>
  <c r="Z18" i="21" s="1"/>
  <c r="AA18" i="21" s="1"/>
  <c r="AF18" i="21"/>
  <c r="AH18" i="21" s="1"/>
  <c r="AI18" i="21" s="1"/>
  <c r="AJ18" i="21" s="1"/>
  <c r="X18" i="21"/>
  <c r="AF70" i="21"/>
  <c r="AF71" i="21"/>
  <c r="U19" i="11"/>
  <c r="AD19" i="11" s="1"/>
  <c r="AB10" i="11"/>
  <c r="AC10" i="11" s="1"/>
  <c r="AA10" i="11"/>
  <c r="AD10" i="11"/>
  <c r="X10" i="11"/>
  <c r="Y10" i="11"/>
  <c r="W10" i="11"/>
  <c r="V10" i="11"/>
  <c r="Z10" i="11"/>
  <c r="U16" i="11"/>
  <c r="AC16" i="11" s="1"/>
  <c r="U5" i="11"/>
  <c r="AC5" i="11" s="1"/>
  <c r="AA14" i="11"/>
  <c r="AD14" i="11"/>
  <c r="W14" i="11"/>
  <c r="V14" i="11"/>
  <c r="Z14" i="11"/>
  <c r="Y14" i="11"/>
  <c r="X14" i="11"/>
  <c r="Y8" i="11"/>
  <c r="W8" i="11"/>
  <c r="V8" i="11"/>
  <c r="X8" i="11"/>
  <c r="AA8" i="11"/>
  <c r="AD8" i="11"/>
  <c r="Z8" i="11"/>
  <c r="AB8" i="11"/>
  <c r="AC8" i="11" s="1"/>
  <c r="AC13" i="11"/>
  <c r="X4" i="11"/>
  <c r="AA4" i="11"/>
  <c r="AD4" i="11"/>
  <c r="W4" i="11"/>
  <c r="Y4" i="11"/>
  <c r="Z4" i="11"/>
  <c r="V4" i="11"/>
  <c r="V7" i="11"/>
  <c r="Z7" i="11"/>
  <c r="X7" i="11"/>
  <c r="Y7" i="11"/>
  <c r="AD7" i="11"/>
  <c r="AA7" i="11"/>
  <c r="W7" i="11"/>
  <c r="AA13" i="11"/>
  <c r="X13" i="11"/>
  <c r="W13" i="11"/>
  <c r="Y13" i="11"/>
  <c r="V13" i="11"/>
  <c r="AD13" i="11"/>
  <c r="Z13" i="11"/>
  <c r="AB18" i="11"/>
  <c r="C67" i="11"/>
  <c r="U18" i="11"/>
  <c r="C80" i="11"/>
  <c r="C71" i="11"/>
  <c r="C74" i="11"/>
  <c r="C82" i="11"/>
  <c r="C73" i="11"/>
  <c r="C69" i="11"/>
  <c r="C76" i="11"/>
  <c r="C79" i="11"/>
  <c r="C78" i="11"/>
  <c r="C72" i="11"/>
  <c r="C83" i="11"/>
  <c r="C75" i="11"/>
  <c r="C81" i="11"/>
  <c r="C68" i="11"/>
  <c r="C70" i="11"/>
  <c r="O24" i="3"/>
  <c r="O29" i="3"/>
  <c r="K14" i="2" s="1"/>
  <c r="O22" i="3"/>
  <c r="O21" i="3"/>
  <c r="O30" i="3"/>
  <c r="O28" i="3"/>
  <c r="K12" i="2" s="1"/>
  <c r="O27" i="3"/>
  <c r="O23" i="3"/>
  <c r="BT40" i="11"/>
  <c r="BY40" i="11" s="1"/>
  <c r="J60" i="11"/>
  <c r="BH27" i="11"/>
  <c r="J50" i="11"/>
  <c r="J51" i="11" s="1"/>
  <c r="N27" i="10"/>
  <c r="BT35" i="11"/>
  <c r="BY35" i="11" s="1"/>
  <c r="BT42" i="11"/>
  <c r="BY42" i="11" s="1"/>
  <c r="M50" i="11"/>
  <c r="M51" i="11" s="1"/>
  <c r="BH28" i="11"/>
  <c r="M60" i="11"/>
  <c r="O27" i="10"/>
  <c r="BT36" i="11"/>
  <c r="U20" i="11"/>
  <c r="AB20" i="11"/>
  <c r="AB9" i="11"/>
  <c r="U9" i="11"/>
  <c r="BT38" i="11"/>
  <c r="BY38" i="11" s="1"/>
  <c r="BT37" i="11"/>
  <c r="BY37" i="11" s="1"/>
  <c r="BT41" i="11"/>
  <c r="BY41" i="11" s="1"/>
  <c r="D60" i="11"/>
  <c r="D50" i="11"/>
  <c r="D51" i="11" s="1"/>
  <c r="BH25" i="11"/>
  <c r="L27" i="10"/>
  <c r="U17" i="11"/>
  <c r="AB17" i="11"/>
  <c r="AB6" i="11"/>
  <c r="U6" i="11"/>
  <c r="BT26" i="11"/>
  <c r="BY26" i="11" s="1"/>
  <c r="AB12" i="11"/>
  <c r="U12" i="11"/>
  <c r="BT28" i="11"/>
  <c r="BY28" i="11" s="1"/>
  <c r="BT39" i="11"/>
  <c r="BY39" i="11" s="1"/>
  <c r="P60" i="11"/>
  <c r="P50" i="11"/>
  <c r="P51" i="11" s="1"/>
  <c r="BH29" i="11"/>
  <c r="P27" i="10"/>
  <c r="BT32" i="11"/>
  <c r="BY32" i="11" s="1"/>
  <c r="BT29" i="11"/>
  <c r="BY29" i="11" s="1"/>
  <c r="BT30" i="11"/>
  <c r="BY30" i="11" s="1"/>
  <c r="BT33" i="11"/>
  <c r="BY33" i="11" s="1"/>
  <c r="V60" i="11"/>
  <c r="V50" i="11"/>
  <c r="V51" i="11" s="1"/>
  <c r="BH31" i="11"/>
  <c r="R27" i="10"/>
  <c r="N22" i="11"/>
  <c r="N2" i="11"/>
  <c r="P35" i="11" s="1"/>
  <c r="AN2" i="11"/>
  <c r="G60" i="11"/>
  <c r="G50" i="11"/>
  <c r="G51" i="11" s="1"/>
  <c r="BH26" i="11"/>
  <c r="M27" i="10"/>
  <c r="AB15" i="11"/>
  <c r="U15" i="11"/>
  <c r="BT27" i="11"/>
  <c r="BY27" i="11" s="1"/>
  <c r="BT31" i="11"/>
  <c r="BY31" i="11" s="1"/>
  <c r="BT34" i="11"/>
  <c r="S60" i="11"/>
  <c r="S50" i="11"/>
  <c r="S51" i="11" s="1"/>
  <c r="Q27" i="10"/>
  <c r="BH30" i="11"/>
  <c r="AA11" i="11" l="1"/>
  <c r="Y11" i="11"/>
  <c r="Z11" i="11"/>
  <c r="W11" i="11"/>
  <c r="V11" i="11"/>
  <c r="X11" i="11"/>
  <c r="AC11" i="11"/>
  <c r="X4" i="20"/>
  <c r="CA10" i="21"/>
  <c r="P59" i="16"/>
  <c r="P58" i="16"/>
  <c r="X15" i="16"/>
  <c r="AA15" i="16"/>
  <c r="AA8" i="16"/>
  <c r="P53" i="16"/>
  <c r="Y15" i="16"/>
  <c r="Z15" i="16"/>
  <c r="AD8" i="16"/>
  <c r="AD15" i="16"/>
  <c r="V15" i="16"/>
  <c r="V8" i="16"/>
  <c r="Y8" i="16"/>
  <c r="W8" i="16"/>
  <c r="X8" i="16"/>
  <c r="Z8" i="16"/>
  <c r="AP17" i="16"/>
  <c r="R4" i="20"/>
  <c r="CA4" i="21"/>
  <c r="P4" i="16"/>
  <c r="P57" i="16"/>
  <c r="P27" i="16"/>
  <c r="P36" i="16"/>
  <c r="P39" i="16"/>
  <c r="AP8" i="16"/>
  <c r="P38" i="16"/>
  <c r="P40" i="16"/>
  <c r="AP4" i="16"/>
  <c r="P18" i="16"/>
  <c r="P12" i="16"/>
  <c r="P37" i="16"/>
  <c r="P14" i="16"/>
  <c r="P5" i="16"/>
  <c r="AP10" i="16"/>
  <c r="AP11" i="16"/>
  <c r="P54" i="16"/>
  <c r="P61" i="16"/>
  <c r="P55" i="16"/>
  <c r="P62" i="16"/>
  <c r="AP9" i="16"/>
  <c r="P35" i="16"/>
  <c r="P20" i="16"/>
  <c r="AP14" i="16"/>
  <c r="P24" i="16"/>
  <c r="P26" i="16"/>
  <c r="AP13" i="16"/>
  <c r="CG29" i="16"/>
  <c r="P16" i="16"/>
  <c r="P9" i="16"/>
  <c r="AP18" i="16"/>
  <c r="P13" i="16"/>
  <c r="P28" i="16"/>
  <c r="P6" i="16"/>
  <c r="AP6" i="16"/>
  <c r="AP16" i="16"/>
  <c r="P11" i="16"/>
  <c r="AP19" i="16"/>
  <c r="P33" i="16"/>
  <c r="P32" i="16"/>
  <c r="P8" i="16"/>
  <c r="P30" i="16"/>
  <c r="P15" i="16"/>
  <c r="AP7" i="16"/>
  <c r="P10" i="16"/>
  <c r="AP20" i="16"/>
  <c r="AP5" i="16"/>
  <c r="P19" i="16"/>
  <c r="P29" i="16"/>
  <c r="AP12" i="16"/>
  <c r="P25" i="16"/>
  <c r="P7" i="16"/>
  <c r="AP15" i="16"/>
  <c r="P34" i="16"/>
  <c r="P31" i="16"/>
  <c r="CE28" i="16"/>
  <c r="CN28" i="16" s="1"/>
  <c r="CF28" i="16"/>
  <c r="CM28" i="16" s="1"/>
  <c r="CH28" i="16"/>
  <c r="CI28" i="16"/>
  <c r="CK28" i="16" s="1"/>
  <c r="CO28" i="16" s="1"/>
  <c r="CG35" i="16"/>
  <c r="N47" i="6"/>
  <c r="CJ35" i="16"/>
  <c r="CL35" i="16" s="1"/>
  <c r="CI35" i="16"/>
  <c r="CK35" i="16" s="1"/>
  <c r="CO35" i="16" s="1"/>
  <c r="CH35" i="16"/>
  <c r="CF35" i="16"/>
  <c r="CM35" i="16" s="1"/>
  <c r="CI26" i="16"/>
  <c r="CK26" i="16" s="1"/>
  <c r="CO26" i="16" s="1"/>
  <c r="CF26" i="16"/>
  <c r="CM26" i="16" s="1"/>
  <c r="CH26" i="16"/>
  <c r="CJ26" i="16"/>
  <c r="CL26" i="16" s="1"/>
  <c r="BX26" i="16"/>
  <c r="CG26" i="16"/>
  <c r="CE26" i="16"/>
  <c r="CN26" i="16" s="1"/>
  <c r="U20" i="7"/>
  <c r="N37" i="6" s="1"/>
  <c r="N36" i="6"/>
  <c r="M35" i="6"/>
  <c r="N35" i="6"/>
  <c r="S9" i="6"/>
  <c r="W17" i="7"/>
  <c r="O34" i="6" s="1"/>
  <c r="M34" i="6"/>
  <c r="M15" i="7"/>
  <c r="W39" i="7"/>
  <c r="K100" i="7" s="1"/>
  <c r="AG15" i="7"/>
  <c r="I36" i="6" s="1"/>
  <c r="P15" i="7"/>
  <c r="AF15" i="7"/>
  <c r="I35" i="6" s="1"/>
  <c r="AI15" i="7"/>
  <c r="Z19" i="11"/>
  <c r="X19" i="11"/>
  <c r="CS39" i="16"/>
  <c r="CU39" i="16" s="1"/>
  <c r="CV39" i="16" s="1"/>
  <c r="BX40" i="16"/>
  <c r="J61" i="16"/>
  <c r="BX31" i="16"/>
  <c r="CS31" i="16"/>
  <c r="CU31" i="16" s="1"/>
  <c r="CV31" i="16" s="1"/>
  <c r="BX39" i="16"/>
  <c r="G61" i="16"/>
  <c r="CE30" i="16"/>
  <c r="CN30" i="16" s="1"/>
  <c r="CG30" i="16"/>
  <c r="CG38" i="16"/>
  <c r="CE38" i="16"/>
  <c r="CN38" i="16" s="1"/>
  <c r="D58" i="16"/>
  <c r="D57" i="16"/>
  <c r="D56" i="16"/>
  <c r="D55" i="16"/>
  <c r="D54" i="16"/>
  <c r="D59" i="16"/>
  <c r="D53" i="16"/>
  <c r="D62" i="16"/>
  <c r="BX33" i="16"/>
  <c r="CE27" i="16"/>
  <c r="CN27" i="16" s="1"/>
  <c r="CG27" i="16"/>
  <c r="AE10" i="16"/>
  <c r="AF10" i="16" s="1"/>
  <c r="AG10" i="16" s="1"/>
  <c r="AL10" i="16" s="1"/>
  <c r="Q30" i="16" s="1"/>
  <c r="J42" i="21"/>
  <c r="J43" i="21"/>
  <c r="J41" i="21"/>
  <c r="J39" i="21"/>
  <c r="J40" i="21"/>
  <c r="CH29" i="16"/>
  <c r="CF29" i="16"/>
  <c r="CM29" i="16" s="1"/>
  <c r="CJ29" i="16"/>
  <c r="CL29" i="16" s="1"/>
  <c r="CI29" i="16"/>
  <c r="CK29" i="16" s="1"/>
  <c r="CO29" i="16" s="1"/>
  <c r="AE7" i="16"/>
  <c r="AF7" i="16" s="1"/>
  <c r="AG7" i="16" s="1"/>
  <c r="AL7" i="16" s="1"/>
  <c r="Q27" i="16" s="1"/>
  <c r="E10" i="23"/>
  <c r="D10" i="23"/>
  <c r="AE5" i="16"/>
  <c r="AF5" i="16" s="1"/>
  <c r="AG5" i="16" s="1"/>
  <c r="AL5" i="16" s="1"/>
  <c r="Q25" i="16" s="1"/>
  <c r="CH41" i="16"/>
  <c r="CF41" i="16"/>
  <c r="CM41" i="16" s="1"/>
  <c r="CJ41" i="16"/>
  <c r="CL41" i="16" s="1"/>
  <c r="CI41" i="16"/>
  <c r="CK41" i="16" s="1"/>
  <c r="CO41" i="16" s="1"/>
  <c r="G53" i="16"/>
  <c r="G58" i="16"/>
  <c r="G57" i="16"/>
  <c r="G56" i="16"/>
  <c r="G55" i="16"/>
  <c r="G62" i="16"/>
  <c r="G54" i="16"/>
  <c r="G59" i="16"/>
  <c r="CH34" i="16"/>
  <c r="CI34" i="16"/>
  <c r="CK34" i="16" s="1"/>
  <c r="CO34" i="16" s="1"/>
  <c r="CJ34" i="16"/>
  <c r="CL34" i="16" s="1"/>
  <c r="CF34" i="16"/>
  <c r="CM34" i="16" s="1"/>
  <c r="BB10" i="21"/>
  <c r="AK10" i="21"/>
  <c r="AP10" i="21"/>
  <c r="AQ10" i="21" s="1"/>
  <c r="AR10" i="21" s="1"/>
  <c r="BD10" i="21"/>
  <c r="AM10" i="21"/>
  <c r="BC10" i="21"/>
  <c r="AL10" i="21"/>
  <c r="AW10" i="21"/>
  <c r="AY10" i="21" s="1"/>
  <c r="AZ10" i="21" s="1"/>
  <c r="BA10" i="21" s="1"/>
  <c r="AO10" i="21"/>
  <c r="BF10" i="21"/>
  <c r="BE10" i="21"/>
  <c r="AN10" i="21"/>
  <c r="AP22" i="21"/>
  <c r="AQ22" i="21" s="1"/>
  <c r="AR22" i="21" s="1"/>
  <c r="BF22" i="21"/>
  <c r="AW22" i="21"/>
  <c r="AY22" i="21" s="1"/>
  <c r="AZ22" i="21" s="1"/>
  <c r="BA22" i="21" s="1"/>
  <c r="AO22" i="21"/>
  <c r="BE22" i="21"/>
  <c r="AN22" i="21"/>
  <c r="BB22" i="21"/>
  <c r="AK22" i="21"/>
  <c r="AM22" i="21"/>
  <c r="AL22" i="21"/>
  <c r="BD22" i="21"/>
  <c r="BC22" i="21"/>
  <c r="BV27" i="16"/>
  <c r="BW27" i="16"/>
  <c r="CT27" i="16"/>
  <c r="BZ27" i="16"/>
  <c r="CS27" i="16"/>
  <c r="CU27" i="16" s="1"/>
  <c r="CV27" i="16" s="1"/>
  <c r="CS28" i="16"/>
  <c r="CU28" i="16" s="1"/>
  <c r="CV28" i="16" s="1"/>
  <c r="C27" i="21"/>
  <c r="AO77" i="21"/>
  <c r="AO79" i="21"/>
  <c r="AO70" i="21"/>
  <c r="AO64" i="21"/>
  <c r="AO59" i="21"/>
  <c r="AO75" i="21"/>
  <c r="AO69" i="21"/>
  <c r="AO71" i="21"/>
  <c r="AO62" i="21"/>
  <c r="AO78" i="21"/>
  <c r="AO65" i="21"/>
  <c r="AO76" i="21"/>
  <c r="AO66" i="21"/>
  <c r="AO73" i="21"/>
  <c r="AO60" i="21"/>
  <c r="AO74" i="21"/>
  <c r="AO61" i="21"/>
  <c r="AO68" i="21"/>
  <c r="AO57" i="21"/>
  <c r="AO63" i="21"/>
  <c r="AO72" i="21"/>
  <c r="AO58" i="21"/>
  <c r="AO67" i="21"/>
  <c r="BE21" i="21"/>
  <c r="AN21" i="21"/>
  <c r="BD21" i="21"/>
  <c r="AM21" i="21"/>
  <c r="BC21" i="21"/>
  <c r="AL21" i="21"/>
  <c r="BB21" i="21"/>
  <c r="AK21" i="21"/>
  <c r="AP21" i="21"/>
  <c r="AQ21" i="21" s="1"/>
  <c r="AR21" i="21" s="1"/>
  <c r="BF21" i="21"/>
  <c r="AW21" i="21"/>
  <c r="AY21" i="21" s="1"/>
  <c r="AZ21" i="21" s="1"/>
  <c r="BA21" i="21" s="1"/>
  <c r="AO21" i="21"/>
  <c r="BD26" i="21"/>
  <c r="AM26" i="21"/>
  <c r="BC26" i="21"/>
  <c r="AL26" i="21"/>
  <c r="BB26" i="21"/>
  <c r="AK26" i="21"/>
  <c r="BF26" i="21"/>
  <c r="AW26" i="21"/>
  <c r="AY26" i="21" s="1"/>
  <c r="AZ26" i="21" s="1"/>
  <c r="BA26" i="21" s="1"/>
  <c r="AO26" i="21"/>
  <c r="BE26" i="21"/>
  <c r="AN26" i="21"/>
  <c r="AP26" i="21"/>
  <c r="AQ26" i="21" s="1"/>
  <c r="AR26" i="21" s="1"/>
  <c r="S59" i="16"/>
  <c r="S53" i="16"/>
  <c r="S58" i="16"/>
  <c r="S62" i="16"/>
  <c r="S56" i="16"/>
  <c r="S55" i="16"/>
  <c r="S57" i="16"/>
  <c r="S54" i="16"/>
  <c r="BX42" i="16"/>
  <c r="AE16" i="16"/>
  <c r="AF16" i="16" s="1"/>
  <c r="AG16" i="16" s="1"/>
  <c r="AL16" i="16" s="1"/>
  <c r="Q36" i="16" s="1"/>
  <c r="BE12" i="21"/>
  <c r="BD12" i="21"/>
  <c r="BC12" i="21"/>
  <c r="AP12" i="21"/>
  <c r="AQ12" i="21" s="1"/>
  <c r="AR12" i="21" s="1"/>
  <c r="AO12" i="21"/>
  <c r="AW12" i="21"/>
  <c r="AY12" i="21" s="1"/>
  <c r="AZ12" i="21" s="1"/>
  <c r="BA12" i="21" s="1"/>
  <c r="AN12" i="21"/>
  <c r="AM12" i="21"/>
  <c r="BB12" i="21"/>
  <c r="AL12" i="21"/>
  <c r="AK12" i="21"/>
  <c r="BF12" i="21"/>
  <c r="BX29" i="16"/>
  <c r="AE11" i="16"/>
  <c r="AF11" i="16" s="1"/>
  <c r="AG11" i="16" s="1"/>
  <c r="AL11" i="16" s="1"/>
  <c r="Q31" i="16" s="1"/>
  <c r="S43" i="21"/>
  <c r="S41" i="21"/>
  <c r="S42" i="21"/>
  <c r="S40" i="21"/>
  <c r="S39" i="21"/>
  <c r="AE17" i="16"/>
  <c r="AF17" i="16" s="1"/>
  <c r="AG17" i="16" s="1"/>
  <c r="AL17" i="16" s="1"/>
  <c r="Q37" i="16" s="1"/>
  <c r="AP25" i="21"/>
  <c r="AQ25" i="21" s="1"/>
  <c r="AR25" i="21" s="1"/>
  <c r="BF25" i="21"/>
  <c r="AW25" i="21"/>
  <c r="AY25" i="21" s="1"/>
  <c r="AZ25" i="21" s="1"/>
  <c r="BA25" i="21" s="1"/>
  <c r="AO25" i="21"/>
  <c r="BE25" i="21"/>
  <c r="AN25" i="21"/>
  <c r="BD25" i="21"/>
  <c r="AM25" i="21"/>
  <c r="BB25" i="21"/>
  <c r="AK25" i="21"/>
  <c r="BC25" i="21"/>
  <c r="AL25" i="21"/>
  <c r="BC19" i="21"/>
  <c r="AL19" i="21"/>
  <c r="BB19" i="21"/>
  <c r="AK19" i="21"/>
  <c r="BE19" i="21"/>
  <c r="AN19" i="21"/>
  <c r="BD19" i="21"/>
  <c r="AM19" i="21"/>
  <c r="AW19" i="21"/>
  <c r="AY19" i="21" s="1"/>
  <c r="AZ19" i="21" s="1"/>
  <c r="BA19" i="21" s="1"/>
  <c r="AP19" i="21"/>
  <c r="AQ19" i="21" s="1"/>
  <c r="AR19" i="21" s="1"/>
  <c r="AO19" i="21"/>
  <c r="BF19" i="21"/>
  <c r="CH42" i="16"/>
  <c r="CI42" i="16"/>
  <c r="CK42" i="16" s="1"/>
  <c r="CO42" i="16" s="1"/>
  <c r="CF42" i="16"/>
  <c r="CM42" i="16" s="1"/>
  <c r="CJ42" i="16"/>
  <c r="CL42" i="16" s="1"/>
  <c r="BB17" i="21"/>
  <c r="AK17" i="21"/>
  <c r="AP17" i="21"/>
  <c r="AQ17" i="21" s="1"/>
  <c r="AR17" i="21" s="1"/>
  <c r="BD17" i="21"/>
  <c r="AM17" i="21"/>
  <c r="BC17" i="21"/>
  <c r="AL17" i="21"/>
  <c r="AO17" i="21"/>
  <c r="AN17" i="21"/>
  <c r="BF17" i="21"/>
  <c r="AW17" i="21"/>
  <c r="AY17" i="21" s="1"/>
  <c r="AZ17" i="21" s="1"/>
  <c r="BA17" i="21" s="1"/>
  <c r="BE17" i="21"/>
  <c r="M62" i="16"/>
  <c r="M56" i="16"/>
  <c r="M58" i="16"/>
  <c r="M54" i="16"/>
  <c r="M59" i="16"/>
  <c r="M57" i="16"/>
  <c r="M53" i="16"/>
  <c r="M55" i="16"/>
  <c r="BE18" i="21"/>
  <c r="AN18" i="21"/>
  <c r="BD18" i="21"/>
  <c r="AM18" i="21"/>
  <c r="BC18" i="21"/>
  <c r="AL18" i="21"/>
  <c r="BB18" i="21"/>
  <c r="AK18" i="21"/>
  <c r="AP18" i="21"/>
  <c r="AQ18" i="21" s="1"/>
  <c r="AR18" i="21" s="1"/>
  <c r="BF18" i="21"/>
  <c r="AW18" i="21"/>
  <c r="AY18" i="21" s="1"/>
  <c r="AZ18" i="21" s="1"/>
  <c r="BA18" i="21" s="1"/>
  <c r="AO18" i="21"/>
  <c r="AE18" i="16"/>
  <c r="AF18" i="16" s="1"/>
  <c r="AG18" i="16" s="1"/>
  <c r="AL18" i="16" s="1"/>
  <c r="Q38" i="16" s="1"/>
  <c r="CG40" i="16"/>
  <c r="CE40" i="16"/>
  <c r="CN40" i="16" s="1"/>
  <c r="V42" i="21"/>
  <c r="V41" i="21"/>
  <c r="V43" i="21"/>
  <c r="V39" i="21"/>
  <c r="V40" i="21"/>
  <c r="BF8" i="21"/>
  <c r="AW8" i="21"/>
  <c r="AY8" i="21" s="1"/>
  <c r="AZ8" i="21" s="1"/>
  <c r="BA8" i="21" s="1"/>
  <c r="AO8" i="21"/>
  <c r="BE8" i="21"/>
  <c r="AN8" i="21"/>
  <c r="BD8" i="21"/>
  <c r="AM8" i="21"/>
  <c r="BC8" i="21"/>
  <c r="AL8" i="21"/>
  <c r="AP8" i="21"/>
  <c r="AQ8" i="21" s="1"/>
  <c r="AR8" i="21" s="1"/>
  <c r="BB8" i="21"/>
  <c r="AK8" i="21"/>
  <c r="CJ39" i="16"/>
  <c r="CL39" i="16" s="1"/>
  <c r="CI39" i="16"/>
  <c r="CK39" i="16" s="1"/>
  <c r="CO39" i="16" s="1"/>
  <c r="CH39" i="16"/>
  <c r="CF39" i="16"/>
  <c r="CM39" i="16" s="1"/>
  <c r="F11" i="18"/>
  <c r="G11" i="18"/>
  <c r="CH40" i="16"/>
  <c r="CF40" i="16"/>
  <c r="CM40" i="16" s="1"/>
  <c r="CJ40" i="16"/>
  <c r="CL40" i="16" s="1"/>
  <c r="CI40" i="16"/>
  <c r="CK40" i="16" s="1"/>
  <c r="CO40" i="16" s="1"/>
  <c r="CG31" i="16"/>
  <c r="CE31" i="16"/>
  <c r="CN31" i="16" s="1"/>
  <c r="AE6" i="16"/>
  <c r="AF6" i="16" s="1"/>
  <c r="AG6" i="16" s="1"/>
  <c r="AL6" i="16" s="1"/>
  <c r="Q26" i="16" s="1"/>
  <c r="BD7" i="21"/>
  <c r="AM7" i="21"/>
  <c r="BC7" i="21"/>
  <c r="AL7" i="21"/>
  <c r="BB7" i="21"/>
  <c r="AK7" i="21"/>
  <c r="BF7" i="21"/>
  <c r="AW7" i="21"/>
  <c r="AY7" i="21" s="1"/>
  <c r="AZ7" i="21" s="1"/>
  <c r="BA7" i="21" s="1"/>
  <c r="AO7" i="21"/>
  <c r="BE7" i="21"/>
  <c r="AN7" i="21"/>
  <c r="AP7" i="21"/>
  <c r="AQ7" i="21" s="1"/>
  <c r="AR7" i="21" s="1"/>
  <c r="M61" i="16"/>
  <c r="AE20" i="16"/>
  <c r="AF20" i="16" s="1"/>
  <c r="AG20" i="16" s="1"/>
  <c r="AL20" i="16" s="1"/>
  <c r="Q40" i="16" s="1"/>
  <c r="CF36" i="16"/>
  <c r="CM36" i="16" s="1"/>
  <c r="CH36" i="16"/>
  <c r="CJ36" i="16"/>
  <c r="CL36" i="16" s="1"/>
  <c r="CI36" i="16"/>
  <c r="CK36" i="16" s="1"/>
  <c r="CO36" i="16" s="1"/>
  <c r="BD11" i="21"/>
  <c r="AM11" i="21"/>
  <c r="BC11" i="21"/>
  <c r="AL11" i="21"/>
  <c r="BB11" i="21"/>
  <c r="AK11" i="21"/>
  <c r="BF11" i="21"/>
  <c r="AW11" i="21"/>
  <c r="AY11" i="21" s="1"/>
  <c r="AZ11" i="21" s="1"/>
  <c r="BA11" i="21" s="1"/>
  <c r="AO11" i="21"/>
  <c r="BE11" i="21"/>
  <c r="AN11" i="21"/>
  <c r="AP11" i="21"/>
  <c r="AQ11" i="21" s="1"/>
  <c r="AR11" i="21" s="1"/>
  <c r="G41" i="21"/>
  <c r="G42" i="21"/>
  <c r="G43" i="21"/>
  <c r="G39" i="21"/>
  <c r="G40" i="21"/>
  <c r="AP20" i="21"/>
  <c r="AQ20" i="21" s="1"/>
  <c r="AR20" i="21" s="1"/>
  <c r="BF20" i="21"/>
  <c r="AW20" i="21"/>
  <c r="AY20" i="21" s="1"/>
  <c r="AZ20" i="21" s="1"/>
  <c r="BA20" i="21" s="1"/>
  <c r="AO20" i="21"/>
  <c r="BE20" i="21"/>
  <c r="AN20" i="21"/>
  <c r="BB20" i="21"/>
  <c r="AK20" i="21"/>
  <c r="AM20" i="21"/>
  <c r="AL20" i="21"/>
  <c r="BD20" i="21"/>
  <c r="BC20" i="21"/>
  <c r="BF23" i="21"/>
  <c r="AW23" i="21"/>
  <c r="AY23" i="21" s="1"/>
  <c r="AZ23" i="21" s="1"/>
  <c r="BA23" i="21" s="1"/>
  <c r="AO23" i="21"/>
  <c r="BE23" i="21"/>
  <c r="AN23" i="21"/>
  <c r="BD23" i="21"/>
  <c r="AM23" i="21"/>
  <c r="BC23" i="21"/>
  <c r="AL23" i="21"/>
  <c r="BB23" i="21"/>
  <c r="AK23" i="21"/>
  <c r="AP23" i="21"/>
  <c r="AQ23" i="21" s="1"/>
  <c r="AR23" i="21" s="1"/>
  <c r="BX41" i="16"/>
  <c r="M42" i="21"/>
  <c r="M43" i="21"/>
  <c r="M41" i="21"/>
  <c r="M40" i="21"/>
  <c r="M39" i="21"/>
  <c r="Z38" i="21"/>
  <c r="AA37" i="21"/>
  <c r="CI37" i="16"/>
  <c r="CK37" i="16" s="1"/>
  <c r="CO37" i="16" s="1"/>
  <c r="CJ37" i="16"/>
  <c r="CL37" i="16" s="1"/>
  <c r="CF37" i="16"/>
  <c r="CM37" i="16" s="1"/>
  <c r="CH37" i="16"/>
  <c r="Z63" i="21"/>
  <c r="AS62" i="21"/>
  <c r="AP9" i="21"/>
  <c r="AQ9" i="21" s="1"/>
  <c r="AR9" i="21" s="1"/>
  <c r="BF9" i="21"/>
  <c r="AW9" i="21"/>
  <c r="AY9" i="21" s="1"/>
  <c r="AZ9" i="21" s="1"/>
  <c r="BA9" i="21" s="1"/>
  <c r="AO9" i="21"/>
  <c r="BE9" i="21"/>
  <c r="AN9" i="21"/>
  <c r="BB9" i="21"/>
  <c r="AK9" i="21"/>
  <c r="BD9" i="21"/>
  <c r="BC9" i="21"/>
  <c r="AM9" i="21"/>
  <c r="AL9" i="21"/>
  <c r="BX32" i="16"/>
  <c r="AP5" i="21"/>
  <c r="AQ5" i="21" s="1"/>
  <c r="AR5" i="21" s="1"/>
  <c r="BE5" i="21"/>
  <c r="AN5" i="21"/>
  <c r="BB5" i="21"/>
  <c r="AK5" i="21"/>
  <c r="AM5" i="21"/>
  <c r="BF5" i="21"/>
  <c r="AL5" i="21"/>
  <c r="BD5" i="21"/>
  <c r="BC5" i="21"/>
  <c r="AO5" i="21"/>
  <c r="AW5" i="21"/>
  <c r="AY5" i="21" s="1"/>
  <c r="AZ5" i="21" s="1"/>
  <c r="BA5" i="21" s="1"/>
  <c r="BC14" i="21"/>
  <c r="AL14" i="21"/>
  <c r="BB14" i="21"/>
  <c r="AK14" i="21"/>
  <c r="BE14" i="21"/>
  <c r="AN14" i="21"/>
  <c r="BD14" i="21"/>
  <c r="AM14" i="21"/>
  <c r="BF14" i="21"/>
  <c r="AW14" i="21"/>
  <c r="AY14" i="21" s="1"/>
  <c r="AZ14" i="21" s="1"/>
  <c r="BA14" i="21" s="1"/>
  <c r="AO14" i="21"/>
  <c r="AP14" i="21"/>
  <c r="AQ14" i="21" s="1"/>
  <c r="AR14" i="21" s="1"/>
  <c r="BE4" i="21"/>
  <c r="AN4" i="21"/>
  <c r="BC4" i="21"/>
  <c r="AL4" i="21"/>
  <c r="AP4" i="21"/>
  <c r="AQ4" i="21" s="1"/>
  <c r="AR4" i="21" s="1"/>
  <c r="AK4" i="21"/>
  <c r="AW4" i="21"/>
  <c r="AY4" i="21" s="1"/>
  <c r="AZ4" i="21" s="1"/>
  <c r="BA4" i="21" s="1"/>
  <c r="BD4" i="21"/>
  <c r="AO4" i="21"/>
  <c r="BB4" i="21"/>
  <c r="AM4" i="21"/>
  <c r="BF4" i="21"/>
  <c r="AE19" i="16"/>
  <c r="AF19" i="16" s="1"/>
  <c r="AG19" i="16" s="1"/>
  <c r="AL19" i="16" s="1"/>
  <c r="Q39" i="16" s="1"/>
  <c r="AP16" i="21"/>
  <c r="AQ16" i="21" s="1"/>
  <c r="AR16" i="21" s="1"/>
  <c r="BF16" i="21"/>
  <c r="AW16" i="21"/>
  <c r="AY16" i="21" s="1"/>
  <c r="AZ16" i="21" s="1"/>
  <c r="BA16" i="21" s="1"/>
  <c r="AO16" i="21"/>
  <c r="BE16" i="21"/>
  <c r="AN16" i="21"/>
  <c r="BD16" i="21"/>
  <c r="AM16" i="21"/>
  <c r="AL16" i="21"/>
  <c r="AK16" i="21"/>
  <c r="BB16" i="21"/>
  <c r="BC16" i="21"/>
  <c r="AP13" i="21"/>
  <c r="AQ13" i="21" s="1"/>
  <c r="AR13" i="21" s="1"/>
  <c r="BF13" i="21"/>
  <c r="AW13" i="21"/>
  <c r="AY13" i="21" s="1"/>
  <c r="AZ13" i="21" s="1"/>
  <c r="BA13" i="21" s="1"/>
  <c r="AO13" i="21"/>
  <c r="BB13" i="21"/>
  <c r="AK13" i="21"/>
  <c r="AN13" i="21"/>
  <c r="AM13" i="21"/>
  <c r="BC13" i="21"/>
  <c r="BE13" i="21"/>
  <c r="AL13" i="21"/>
  <c r="BD13" i="21"/>
  <c r="F12" i="13"/>
  <c r="G12" i="13"/>
  <c r="BB6" i="21"/>
  <c r="AK6" i="21"/>
  <c r="AP6" i="21"/>
  <c r="AQ6" i="21" s="1"/>
  <c r="AR6" i="21" s="1"/>
  <c r="BD6" i="21"/>
  <c r="AM6" i="21"/>
  <c r="BC6" i="21"/>
  <c r="AL6" i="21"/>
  <c r="AW6" i="21"/>
  <c r="AY6" i="21" s="1"/>
  <c r="AZ6" i="21" s="1"/>
  <c r="BA6" i="21" s="1"/>
  <c r="AO6" i="21"/>
  <c r="BF6" i="21"/>
  <c r="BE6" i="21"/>
  <c r="AN6" i="21"/>
  <c r="BV38" i="16"/>
  <c r="CS38" i="16"/>
  <c r="CU38" i="16" s="1"/>
  <c r="CV38" i="16" s="1"/>
  <c r="BW38" i="16"/>
  <c r="CT38" i="16"/>
  <c r="BZ38" i="16"/>
  <c r="CF33" i="16"/>
  <c r="CM33" i="16" s="1"/>
  <c r="CJ33" i="16"/>
  <c r="CL33" i="16" s="1"/>
  <c r="CI33" i="16"/>
  <c r="CK33" i="16" s="1"/>
  <c r="CO33" i="16" s="1"/>
  <c r="CH33" i="16"/>
  <c r="AE14" i="16"/>
  <c r="AF14" i="16" s="1"/>
  <c r="AG14" i="16" s="1"/>
  <c r="AL14" i="16" s="1"/>
  <c r="Q34" i="16" s="1"/>
  <c r="BZ30" i="16"/>
  <c r="BW30" i="16"/>
  <c r="CT30" i="16"/>
  <c r="CS30" i="16"/>
  <c r="CU30" i="16" s="1"/>
  <c r="CV30" i="16" s="1"/>
  <c r="BV30" i="16"/>
  <c r="CI32" i="16"/>
  <c r="CK32" i="16" s="1"/>
  <c r="CO32" i="16" s="1"/>
  <c r="CH32" i="16"/>
  <c r="CF32" i="16"/>
  <c r="CM32" i="16" s="1"/>
  <c r="CJ32" i="16"/>
  <c r="CL32" i="16" s="1"/>
  <c r="AE9" i="16"/>
  <c r="BE15" i="21"/>
  <c r="AN15" i="21"/>
  <c r="BD15" i="21"/>
  <c r="AM15" i="21"/>
  <c r="BC15" i="21"/>
  <c r="AL15" i="21"/>
  <c r="BB15" i="21"/>
  <c r="AK15" i="21"/>
  <c r="AP15" i="21"/>
  <c r="AQ15" i="21" s="1"/>
  <c r="AR15" i="21" s="1"/>
  <c r="BF15" i="21"/>
  <c r="AW15" i="21"/>
  <c r="AY15" i="21" s="1"/>
  <c r="AZ15" i="21" s="1"/>
  <c r="BA15" i="21" s="1"/>
  <c r="AO15" i="21"/>
  <c r="AE4" i="16"/>
  <c r="AF4" i="16" s="1"/>
  <c r="AG4" i="16" s="1"/>
  <c r="AL4" i="16" s="1"/>
  <c r="Q24" i="16" s="1"/>
  <c r="CE34" i="16"/>
  <c r="CN34" i="16" s="1"/>
  <c r="CG34" i="16"/>
  <c r="BX36" i="16"/>
  <c r="J56" i="16"/>
  <c r="J55" i="16"/>
  <c r="J54" i="16"/>
  <c r="J57" i="16"/>
  <c r="J53" i="16"/>
  <c r="J59" i="16"/>
  <c r="J58" i="16"/>
  <c r="J62" i="16"/>
  <c r="D41" i="21"/>
  <c r="D43" i="21"/>
  <c r="D42" i="21"/>
  <c r="D39" i="21"/>
  <c r="D40" i="21"/>
  <c r="V50" i="16"/>
  <c r="V51" i="16" s="1"/>
  <c r="BH31" i="16"/>
  <c r="V60" i="16"/>
  <c r="R27" i="15"/>
  <c r="V5" i="14" s="1"/>
  <c r="CJ31" i="16"/>
  <c r="CL31" i="16" s="1"/>
  <c r="CI31" i="16"/>
  <c r="CK31" i="16" s="1"/>
  <c r="CO31" i="16" s="1"/>
  <c r="CF31" i="16"/>
  <c r="CM31" i="16" s="1"/>
  <c r="CH31" i="16"/>
  <c r="BC24" i="21"/>
  <c r="AL24" i="21"/>
  <c r="BB24" i="21"/>
  <c r="AK24" i="21"/>
  <c r="AP24" i="21"/>
  <c r="AQ24" i="21" s="1"/>
  <c r="AR24" i="21" s="1"/>
  <c r="BE24" i="21"/>
  <c r="AN24" i="21"/>
  <c r="BD24" i="21"/>
  <c r="AM24" i="21"/>
  <c r="AO24" i="21"/>
  <c r="BF24" i="21"/>
  <c r="AW24" i="21"/>
  <c r="AY24" i="21" s="1"/>
  <c r="AZ24" i="21" s="1"/>
  <c r="BA24" i="21" s="1"/>
  <c r="S61" i="16"/>
  <c r="D61" i="16"/>
  <c r="BX34" i="16"/>
  <c r="AE12" i="16"/>
  <c r="AF12" i="16" s="1"/>
  <c r="AG12" i="16" s="1"/>
  <c r="AL12" i="16" s="1"/>
  <c r="Q32" i="16" s="1"/>
  <c r="AE13" i="16"/>
  <c r="AF13" i="16" s="1"/>
  <c r="AG13" i="16" s="1"/>
  <c r="AL13" i="16" s="1"/>
  <c r="Q33" i="16" s="1"/>
  <c r="BX37" i="16"/>
  <c r="P41" i="21"/>
  <c r="P42" i="21"/>
  <c r="P43" i="21"/>
  <c r="P40" i="21"/>
  <c r="P39" i="21"/>
  <c r="W19" i="11"/>
  <c r="D61" i="11"/>
  <c r="V19" i="11"/>
  <c r="Y19" i="11"/>
  <c r="AA19" i="11"/>
  <c r="AC19" i="11"/>
  <c r="G61" i="11"/>
  <c r="AC12" i="11"/>
  <c r="AE10" i="11"/>
  <c r="AF10" i="11" s="1"/>
  <c r="P14" i="11"/>
  <c r="AE7" i="11"/>
  <c r="AF7" i="11" s="1"/>
  <c r="AE4" i="11"/>
  <c r="AF4" i="11" s="1"/>
  <c r="AC15" i="11"/>
  <c r="V57" i="11"/>
  <c r="V59" i="11"/>
  <c r="V58" i="11"/>
  <c r="V62" i="11"/>
  <c r="V53" i="11"/>
  <c r="V56" i="11"/>
  <c r="V54" i="11"/>
  <c r="V55" i="11"/>
  <c r="P53" i="11"/>
  <c r="P56" i="11"/>
  <c r="P54" i="11"/>
  <c r="P55" i="11"/>
  <c r="P57" i="11"/>
  <c r="P59" i="11"/>
  <c r="P58" i="11"/>
  <c r="P62" i="11"/>
  <c r="M59" i="11"/>
  <c r="M62" i="11"/>
  <c r="M56" i="11"/>
  <c r="M55" i="11"/>
  <c r="M53" i="11"/>
  <c r="M54" i="11"/>
  <c r="M57" i="11"/>
  <c r="M58" i="11"/>
  <c r="J58" i="11"/>
  <c r="J56" i="11"/>
  <c r="J54" i="11"/>
  <c r="J55" i="11"/>
  <c r="J53" i="11"/>
  <c r="J62" i="11"/>
  <c r="J57" i="11"/>
  <c r="J59" i="11"/>
  <c r="AD5" i="11"/>
  <c r="Y5" i="11"/>
  <c r="AA5" i="11"/>
  <c r="W5" i="11"/>
  <c r="V5" i="11"/>
  <c r="Z5" i="11"/>
  <c r="X5" i="11"/>
  <c r="V61" i="11"/>
  <c r="P61" i="11"/>
  <c r="J61" i="11"/>
  <c r="AA6" i="11"/>
  <c r="AD6" i="11"/>
  <c r="Z6" i="11"/>
  <c r="V6" i="11"/>
  <c r="Y6" i="11"/>
  <c r="X6" i="11"/>
  <c r="W6" i="11"/>
  <c r="AE13" i="11"/>
  <c r="AF13" i="11" s="1"/>
  <c r="G53" i="11"/>
  <c r="G58" i="11"/>
  <c r="G62" i="11"/>
  <c r="G57" i="11"/>
  <c r="G55" i="11"/>
  <c r="G54" i="11"/>
  <c r="G59" i="11"/>
  <c r="G56" i="11"/>
  <c r="AC6" i="11"/>
  <c r="AC9" i="11"/>
  <c r="AP18" i="11"/>
  <c r="AE14" i="11"/>
  <c r="AF14" i="11" s="1"/>
  <c r="Y16" i="11"/>
  <c r="Z16" i="11"/>
  <c r="V16" i="11"/>
  <c r="AA16" i="11"/>
  <c r="AD16" i="11"/>
  <c r="X16" i="11"/>
  <c r="W16" i="11"/>
  <c r="S59" i="11"/>
  <c r="S54" i="11"/>
  <c r="S58" i="11"/>
  <c r="S57" i="11"/>
  <c r="S62" i="11"/>
  <c r="S53" i="11"/>
  <c r="S56" i="11"/>
  <c r="S55" i="11"/>
  <c r="W15" i="11"/>
  <c r="AA15" i="11"/>
  <c r="X15" i="11"/>
  <c r="AD15" i="11"/>
  <c r="Z15" i="11"/>
  <c r="Y15" i="11"/>
  <c r="V15" i="11"/>
  <c r="Z9" i="11"/>
  <c r="AA9" i="11"/>
  <c r="W9" i="11"/>
  <c r="X9" i="11"/>
  <c r="V9" i="11"/>
  <c r="Y9" i="11"/>
  <c r="AD9" i="11"/>
  <c r="AD18" i="11"/>
  <c r="Y18" i="11"/>
  <c r="Z18" i="11"/>
  <c r="V18" i="11"/>
  <c r="AA18" i="11"/>
  <c r="X18" i="11"/>
  <c r="W18" i="11"/>
  <c r="AC17" i="11"/>
  <c r="AC20" i="11"/>
  <c r="M61" i="11"/>
  <c r="P38" i="11"/>
  <c r="AC18" i="11"/>
  <c r="S61" i="11"/>
  <c r="AA12" i="11"/>
  <c r="W12" i="11"/>
  <c r="Y12" i="11"/>
  <c r="AD12" i="11"/>
  <c r="X12" i="11"/>
  <c r="V12" i="11"/>
  <c r="Z12" i="11"/>
  <c r="V17" i="11"/>
  <c r="Y17" i="11"/>
  <c r="AD17" i="11"/>
  <c r="X17" i="11"/>
  <c r="W17" i="11"/>
  <c r="AA17" i="11"/>
  <c r="Z17" i="11"/>
  <c r="D54" i="11"/>
  <c r="D53" i="11"/>
  <c r="D55" i="11"/>
  <c r="D62" i="11"/>
  <c r="D58" i="11"/>
  <c r="D59" i="11"/>
  <c r="D57" i="11"/>
  <c r="D56" i="11"/>
  <c r="W20" i="11"/>
  <c r="V20" i="11"/>
  <c r="Y20" i="11"/>
  <c r="X20" i="11"/>
  <c r="AD20" i="11"/>
  <c r="Z20" i="11"/>
  <c r="AA20" i="11"/>
  <c r="AE8" i="11"/>
  <c r="AF8" i="11" s="1"/>
  <c r="P26" i="11"/>
  <c r="AP5" i="11"/>
  <c r="P18" i="11"/>
  <c r="AP19" i="11"/>
  <c r="P17" i="11"/>
  <c r="P40" i="11"/>
  <c r="P25" i="11"/>
  <c r="P4" i="11"/>
  <c r="AP13" i="11"/>
  <c r="P32" i="11"/>
  <c r="AP9" i="11"/>
  <c r="P5" i="11"/>
  <c r="AP14" i="11"/>
  <c r="AP8" i="11"/>
  <c r="P6" i="11"/>
  <c r="P27" i="11"/>
  <c r="P12" i="11"/>
  <c r="AP12" i="11"/>
  <c r="P20" i="11"/>
  <c r="P7" i="11"/>
  <c r="AP15" i="11"/>
  <c r="P24" i="11"/>
  <c r="N45" i="6"/>
  <c r="N46" i="6" s="1"/>
  <c r="J33" i="3"/>
  <c r="K15" i="2"/>
  <c r="J34" i="3"/>
  <c r="J30" i="3"/>
  <c r="K11" i="2"/>
  <c r="K13" i="2" s="1"/>
  <c r="J31" i="3"/>
  <c r="G32" i="3"/>
  <c r="F19" i="3"/>
  <c r="C8" i="2"/>
  <c r="CE26" i="11"/>
  <c r="CG26" i="11"/>
  <c r="CE39" i="11"/>
  <c r="CN39" i="11" s="1"/>
  <c r="CG39" i="11"/>
  <c r="CE42" i="11"/>
  <c r="CG42" i="11"/>
  <c r="CG31" i="11"/>
  <c r="CE31" i="11"/>
  <c r="CE38" i="11"/>
  <c r="CG38" i="11"/>
  <c r="CG30" i="11"/>
  <c r="CE30" i="11"/>
  <c r="CT34" i="11"/>
  <c r="CS34" i="11"/>
  <c r="CU34" i="11" s="1"/>
  <c r="CV34" i="11" s="1"/>
  <c r="BW34" i="11"/>
  <c r="BV34" i="11"/>
  <c r="BZ34" i="11"/>
  <c r="CE29" i="11"/>
  <c r="CN29" i="11" s="1"/>
  <c r="CG29" i="11"/>
  <c r="BW36" i="11"/>
  <c r="BZ36" i="11"/>
  <c r="CT36" i="11"/>
  <c r="BV36" i="11"/>
  <c r="CS36" i="11"/>
  <c r="CU36" i="11" s="1"/>
  <c r="CV36" i="11" s="1"/>
  <c r="BV29" i="11"/>
  <c r="CT29" i="11"/>
  <c r="CS29" i="11"/>
  <c r="CU29" i="11" s="1"/>
  <c r="CV29" i="11" s="1"/>
  <c r="BZ29" i="11"/>
  <c r="BW29" i="11"/>
  <c r="P10" i="11"/>
  <c r="P9" i="11"/>
  <c r="P13" i="11"/>
  <c r="AP11" i="11"/>
  <c r="AP20" i="11"/>
  <c r="P19" i="11"/>
  <c r="BZ31" i="11"/>
  <c r="BV31" i="11"/>
  <c r="BW31" i="11"/>
  <c r="CT31" i="11"/>
  <c r="CE28" i="11"/>
  <c r="CN28" i="11" s="1"/>
  <c r="CG28" i="11"/>
  <c r="BV27" i="11"/>
  <c r="CT27" i="11"/>
  <c r="CS27" i="11"/>
  <c r="CU27" i="11" s="1"/>
  <c r="CV27" i="11" s="1"/>
  <c r="BZ27" i="11"/>
  <c r="BW27" i="11"/>
  <c r="CG33" i="11"/>
  <c r="CE33" i="11"/>
  <c r="CN33" i="11" s="1"/>
  <c r="CS28" i="11"/>
  <c r="CU28" i="11" s="1"/>
  <c r="CV28" i="11" s="1"/>
  <c r="BV28" i="11"/>
  <c r="CT28" i="11"/>
  <c r="BW28" i="11"/>
  <c r="BZ28" i="11"/>
  <c r="CG37" i="11"/>
  <c r="CE37" i="11"/>
  <c r="AP17" i="11"/>
  <c r="P11" i="11"/>
  <c r="AP16" i="11"/>
  <c r="P16" i="11"/>
  <c r="P37" i="11"/>
  <c r="P33" i="11"/>
  <c r="BW39" i="11"/>
  <c r="BZ39" i="11"/>
  <c r="CT39" i="11"/>
  <c r="BV39" i="11"/>
  <c r="CS39" i="11"/>
  <c r="CU39" i="11" s="1"/>
  <c r="CV39" i="11" s="1"/>
  <c r="BZ26" i="11"/>
  <c r="BV26" i="11"/>
  <c r="CT26" i="11"/>
  <c r="BW26" i="11"/>
  <c r="CG35" i="11"/>
  <c r="CE35" i="11"/>
  <c r="CN35" i="11" s="1"/>
  <c r="CE40" i="11"/>
  <c r="CG40" i="11"/>
  <c r="CG27" i="11"/>
  <c r="CE27" i="11"/>
  <c r="CT41" i="11"/>
  <c r="CS41" i="11"/>
  <c r="CU41" i="11" s="1"/>
  <c r="CV41" i="11" s="1"/>
  <c r="BV41" i="11"/>
  <c r="BZ41" i="11"/>
  <c r="BW41" i="11"/>
  <c r="CS35" i="11"/>
  <c r="CU35" i="11" s="1"/>
  <c r="CV35" i="11" s="1"/>
  <c r="CT35" i="11"/>
  <c r="BW35" i="11"/>
  <c r="BV35" i="11"/>
  <c r="BZ35" i="11"/>
  <c r="BV33" i="11"/>
  <c r="BW33" i="11"/>
  <c r="CT33" i="11"/>
  <c r="BZ33" i="11"/>
  <c r="CE32" i="11"/>
  <c r="CN32" i="11" s="1"/>
  <c r="CG32" i="11"/>
  <c r="BV37" i="11"/>
  <c r="CT37" i="11"/>
  <c r="BZ37" i="11"/>
  <c r="BW37" i="11"/>
  <c r="CS37" i="11"/>
  <c r="CU37" i="11" s="1"/>
  <c r="CV37" i="11" s="1"/>
  <c r="AP4" i="11"/>
  <c r="AP6" i="11"/>
  <c r="P8" i="11"/>
  <c r="P36" i="11"/>
  <c r="P30" i="11"/>
  <c r="P28" i="11"/>
  <c r="P34" i="11"/>
  <c r="CE41" i="11"/>
  <c r="CG41" i="11"/>
  <c r="CS40" i="11"/>
  <c r="CU40" i="11" s="1"/>
  <c r="CV40" i="11" s="1"/>
  <c r="BZ40" i="11"/>
  <c r="BV40" i="11"/>
  <c r="CT40" i="11"/>
  <c r="BW40" i="11"/>
  <c r="CS33" i="11"/>
  <c r="CU33" i="11" s="1"/>
  <c r="CV33" i="11" s="1"/>
  <c r="CS32" i="11"/>
  <c r="CU32" i="11" s="1"/>
  <c r="CV32" i="11" s="1"/>
  <c r="BZ32" i="11"/>
  <c r="BV32" i="11"/>
  <c r="BW32" i="11"/>
  <c r="CT32" i="11"/>
  <c r="P31" i="11"/>
  <c r="AP7" i="11"/>
  <c r="AP10" i="11"/>
  <c r="P39" i="11"/>
  <c r="P15" i="11"/>
  <c r="P29" i="11"/>
  <c r="BY34" i="11"/>
  <c r="CS31" i="11"/>
  <c r="CU31" i="11" s="1"/>
  <c r="CV31" i="11" s="1"/>
  <c r="BW30" i="11"/>
  <c r="BZ30" i="11"/>
  <c r="BV30" i="11"/>
  <c r="CT30" i="11"/>
  <c r="CS30" i="11"/>
  <c r="CU30" i="11" s="1"/>
  <c r="CV30" i="11" s="1"/>
  <c r="BW38" i="11"/>
  <c r="CT38" i="11"/>
  <c r="BZ38" i="11"/>
  <c r="CS38" i="11"/>
  <c r="CU38" i="11" s="1"/>
  <c r="CV38" i="11" s="1"/>
  <c r="BV38" i="11"/>
  <c r="BY36" i="11"/>
  <c r="BZ42" i="11"/>
  <c r="CT42" i="11"/>
  <c r="CS42" i="11"/>
  <c r="CU42" i="11" s="1"/>
  <c r="CV42" i="11" s="1"/>
  <c r="BW42" i="11"/>
  <c r="BV42" i="11"/>
  <c r="AE11" i="11" l="1"/>
  <c r="AF11" i="11" s="1"/>
  <c r="AG11" i="11" s="1"/>
  <c r="AL11" i="11" s="1"/>
  <c r="Q31" i="11" s="1"/>
  <c r="Y31" i="11" s="1"/>
  <c r="AG14" i="11"/>
  <c r="AL14" i="11" s="1"/>
  <c r="Q34" i="11" s="1"/>
  <c r="R34" i="11" s="1"/>
  <c r="AG10" i="11"/>
  <c r="AL10" i="11" s="1"/>
  <c r="Q30" i="11" s="1"/>
  <c r="R30" i="11" s="1"/>
  <c r="X30" i="11" s="1"/>
  <c r="AG13" i="11"/>
  <c r="AL13" i="11" s="1"/>
  <c r="Q33" i="11" s="1"/>
  <c r="R33" i="11" s="1"/>
  <c r="CR26" i="11"/>
  <c r="AG8" i="11"/>
  <c r="AL8" i="11" s="1"/>
  <c r="Q28" i="11" s="1"/>
  <c r="Y28" i="11" s="1"/>
  <c r="AG4" i="11"/>
  <c r="AL4" i="11" s="1"/>
  <c r="Q24" i="11" s="1"/>
  <c r="Y24" i="11" s="1"/>
  <c r="AG7" i="11"/>
  <c r="AL7" i="11" s="1"/>
  <c r="Q27" i="11" s="1"/>
  <c r="R27" i="11" s="1"/>
  <c r="U27" i="11" s="1"/>
  <c r="AE15" i="16"/>
  <c r="AF15" i="16" s="1"/>
  <c r="AG15" i="16" s="1"/>
  <c r="AL15" i="16" s="1"/>
  <c r="Q35" i="16" s="1"/>
  <c r="R35" i="16" s="1"/>
  <c r="AE8" i="16"/>
  <c r="AF8" i="16" s="1"/>
  <c r="AG8" i="16" s="1"/>
  <c r="AL8" i="16" s="1"/>
  <c r="Q28" i="16" s="1"/>
  <c r="R28" i="16" s="1"/>
  <c r="P63" i="16"/>
  <c r="P64" i="16" s="1"/>
  <c r="P69" i="16" s="1"/>
  <c r="Q69" i="16" s="1"/>
  <c r="R69" i="16" s="1"/>
  <c r="P30" i="15" s="1"/>
  <c r="T8" i="14" s="1"/>
  <c r="BX27" i="16"/>
  <c r="W20" i="7"/>
  <c r="O37" i="6" s="1"/>
  <c r="K149" i="7"/>
  <c r="K225" i="7"/>
  <c r="K36" i="7"/>
  <c r="K194" i="7"/>
  <c r="K111" i="7"/>
  <c r="K251" i="7"/>
  <c r="K103" i="7"/>
  <c r="K165" i="7"/>
  <c r="K50" i="7"/>
  <c r="K4" i="7"/>
  <c r="K15" i="7"/>
  <c r="K110" i="7"/>
  <c r="K12" i="7"/>
  <c r="K253" i="7"/>
  <c r="K83" i="7"/>
  <c r="K232" i="7"/>
  <c r="K10" i="7"/>
  <c r="K105" i="7"/>
  <c r="K171" i="7"/>
  <c r="K114" i="7"/>
  <c r="K185" i="7"/>
  <c r="K236" i="7"/>
  <c r="K176" i="7"/>
  <c r="K244" i="7"/>
  <c r="K56" i="7"/>
  <c r="K47" i="7"/>
  <c r="K127" i="7"/>
  <c r="K30" i="7"/>
  <c r="K144" i="7"/>
  <c r="K41" i="7"/>
  <c r="K115" i="7"/>
  <c r="K247" i="7"/>
  <c r="K217" i="7"/>
  <c r="K93" i="7"/>
  <c r="K227" i="7"/>
  <c r="K85" i="7"/>
  <c r="K216" i="7"/>
  <c r="K252" i="7"/>
  <c r="K159" i="7"/>
  <c r="K76" i="7"/>
  <c r="K113" i="7"/>
  <c r="K98" i="7"/>
  <c r="K125" i="7"/>
  <c r="K129" i="7"/>
  <c r="K13" i="7"/>
  <c r="K131" i="7"/>
  <c r="K14" i="7"/>
  <c r="K71" i="7"/>
  <c r="K230" i="7"/>
  <c r="K106" i="7"/>
  <c r="K197" i="7"/>
  <c r="K58" i="7"/>
  <c r="K22" i="7"/>
  <c r="K48" i="7"/>
  <c r="K226" i="7"/>
  <c r="K108" i="7"/>
  <c r="K157" i="7"/>
  <c r="K107" i="7"/>
  <c r="K240" i="7"/>
  <c r="K257" i="7"/>
  <c r="K143" i="7"/>
  <c r="K32" i="7"/>
  <c r="K52" i="7"/>
  <c r="K179" i="7"/>
  <c r="K37" i="7"/>
  <c r="K146" i="7"/>
  <c r="K124" i="7"/>
  <c r="K141" i="7"/>
  <c r="K256" i="7"/>
  <c r="K132" i="7"/>
  <c r="K89" i="7"/>
  <c r="K258" i="7"/>
  <c r="K204" i="7"/>
  <c r="K221" i="7"/>
  <c r="K139" i="7"/>
  <c r="K117" i="7"/>
  <c r="K49" i="7"/>
  <c r="K239" i="7"/>
  <c r="K99" i="7"/>
  <c r="K78" i="7"/>
  <c r="K211" i="7"/>
  <c r="K28" i="7"/>
  <c r="K242" i="7"/>
  <c r="K156" i="7"/>
  <c r="K237" i="7"/>
  <c r="K213" i="7"/>
  <c r="K164" i="7"/>
  <c r="K45" i="7"/>
  <c r="K102" i="7"/>
  <c r="K235" i="7"/>
  <c r="K24" i="7"/>
  <c r="K138" i="7"/>
  <c r="K31" i="7"/>
  <c r="K19" i="7"/>
  <c r="K174" i="7"/>
  <c r="K88" i="7"/>
  <c r="K137" i="7"/>
  <c r="K23" i="7"/>
  <c r="K6" i="7"/>
  <c r="K150" i="7"/>
  <c r="K145" i="7"/>
  <c r="K94" i="7"/>
  <c r="K249" i="7"/>
  <c r="K199" i="7"/>
  <c r="K7" i="7"/>
  <c r="K134" i="7"/>
  <c r="K29" i="7"/>
  <c r="K11" i="7"/>
  <c r="K234" i="7"/>
  <c r="K116" i="7"/>
  <c r="K69" i="7"/>
  <c r="K206" i="7"/>
  <c r="K120" i="7"/>
  <c r="K233" i="7"/>
  <c r="K119" i="7"/>
  <c r="K67" i="7"/>
  <c r="K246" i="7"/>
  <c r="K122" i="7"/>
  <c r="K104" i="7"/>
  <c r="K66" i="7"/>
  <c r="K231" i="7"/>
  <c r="K39" i="7"/>
  <c r="K166" i="7"/>
  <c r="K112" i="7"/>
  <c r="K97" i="7"/>
  <c r="K18" i="7"/>
  <c r="K148" i="7"/>
  <c r="K101" i="7"/>
  <c r="K21" i="7"/>
  <c r="K184" i="7"/>
  <c r="K8" i="7"/>
  <c r="K151" i="7"/>
  <c r="K195" i="7"/>
  <c r="K38" i="7"/>
  <c r="K154" i="7"/>
  <c r="K61" i="7"/>
  <c r="K245" i="7"/>
  <c r="K35" i="7"/>
  <c r="K60" i="7"/>
  <c r="K59" i="7"/>
  <c r="K65" i="7"/>
  <c r="K46" i="7"/>
  <c r="K177" i="7"/>
  <c r="K186" i="7"/>
  <c r="K191" i="7"/>
  <c r="K196" i="7"/>
  <c r="K51" i="7"/>
  <c r="K16" i="7"/>
  <c r="K34" i="7"/>
  <c r="K55" i="7"/>
  <c r="K9" i="7"/>
  <c r="K190" i="7"/>
  <c r="K189" i="7"/>
  <c r="K198" i="7"/>
  <c r="K203" i="7"/>
  <c r="K208" i="7"/>
  <c r="K57" i="7"/>
  <c r="K74" i="7"/>
  <c r="K79" i="7"/>
  <c r="K84" i="7"/>
  <c r="K158" i="7"/>
  <c r="K133" i="7"/>
  <c r="K142" i="7"/>
  <c r="K147" i="7"/>
  <c r="K152" i="7"/>
  <c r="K73" i="7"/>
  <c r="K82" i="7"/>
  <c r="K87" i="7"/>
  <c r="K92" i="7"/>
  <c r="K126" i="7"/>
  <c r="K77" i="7"/>
  <c r="K86" i="7"/>
  <c r="K91" i="7"/>
  <c r="K96" i="7"/>
  <c r="K136" i="7"/>
  <c r="K209" i="7"/>
  <c r="K218" i="7"/>
  <c r="K223" i="7"/>
  <c r="K228" i="7"/>
  <c r="K109" i="7"/>
  <c r="K118" i="7"/>
  <c r="K123" i="7"/>
  <c r="K128" i="7"/>
  <c r="K17" i="7"/>
  <c r="K241" i="7"/>
  <c r="K250" i="7"/>
  <c r="K255" i="7"/>
  <c r="K160" i="7"/>
  <c r="Q1" i="6"/>
  <c r="K25" i="7"/>
  <c r="K43" i="7"/>
  <c r="K53" i="7"/>
  <c r="K254" i="7"/>
  <c r="K121" i="7"/>
  <c r="K130" i="7"/>
  <c r="K135" i="7"/>
  <c r="K140" i="7"/>
  <c r="K33" i="7"/>
  <c r="K40" i="7"/>
  <c r="K5" i="7"/>
  <c r="K20" i="7"/>
  <c r="K64" i="7"/>
  <c r="K161" i="7"/>
  <c r="K170" i="7"/>
  <c r="K175" i="7"/>
  <c r="K180" i="7"/>
  <c r="K200" i="7"/>
  <c r="K229" i="7"/>
  <c r="K238" i="7"/>
  <c r="K243" i="7"/>
  <c r="K248" i="7"/>
  <c r="K169" i="7"/>
  <c r="K178" i="7"/>
  <c r="K183" i="7"/>
  <c r="K188" i="7"/>
  <c r="K72" i="7"/>
  <c r="K173" i="7"/>
  <c r="K182" i="7"/>
  <c r="K187" i="7"/>
  <c r="K192" i="7"/>
  <c r="K42" i="7"/>
  <c r="K62" i="7"/>
  <c r="K63" i="7"/>
  <c r="K68" i="7"/>
  <c r="K155" i="7"/>
  <c r="K163" i="7"/>
  <c r="K153" i="7"/>
  <c r="K162" i="7"/>
  <c r="K167" i="7"/>
  <c r="K172" i="7"/>
  <c r="K54" i="7"/>
  <c r="K70" i="7"/>
  <c r="K75" i="7"/>
  <c r="K80" i="7"/>
  <c r="K222" i="7"/>
  <c r="K193" i="7"/>
  <c r="K202" i="7"/>
  <c r="K207" i="7"/>
  <c r="K212" i="7"/>
  <c r="K26" i="7"/>
  <c r="K3" i="7"/>
  <c r="K27" i="7"/>
  <c r="K44" i="7"/>
  <c r="K181" i="7"/>
  <c r="K201" i="7"/>
  <c r="K210" i="7"/>
  <c r="K215" i="7"/>
  <c r="K220" i="7"/>
  <c r="K168" i="7"/>
  <c r="K205" i="7"/>
  <c r="K214" i="7"/>
  <c r="K219" i="7"/>
  <c r="K224" i="7"/>
  <c r="K81" i="7"/>
  <c r="K90" i="7"/>
  <c r="K95" i="7"/>
  <c r="CN42" i="11"/>
  <c r="CN27" i="11"/>
  <c r="CN30" i="11"/>
  <c r="CN41" i="11"/>
  <c r="CN40" i="11"/>
  <c r="CN38" i="11"/>
  <c r="CN26" i="11"/>
  <c r="CN31" i="11"/>
  <c r="CN37" i="11"/>
  <c r="BX38" i="16"/>
  <c r="G44" i="21"/>
  <c r="G45" i="21" s="1"/>
  <c r="G63" i="21" s="1"/>
  <c r="H63" i="21" s="1"/>
  <c r="I63" i="21" s="1"/>
  <c r="S19" i="20" s="1"/>
  <c r="S44" i="21"/>
  <c r="S45" i="21" s="1"/>
  <c r="S58" i="21" s="1"/>
  <c r="T58" i="21" s="1"/>
  <c r="U58" i="21" s="1"/>
  <c r="W14" i="20" s="1"/>
  <c r="AE19" i="11"/>
  <c r="AF19" i="11" s="1"/>
  <c r="AG19" i="11" s="1"/>
  <c r="AL19" i="11" s="1"/>
  <c r="Q39" i="11" s="1"/>
  <c r="R39" i="11" s="1"/>
  <c r="X39" i="11" s="1"/>
  <c r="V61" i="16"/>
  <c r="BN11" i="21"/>
  <c r="BP11" i="21" s="1"/>
  <c r="BR11" i="21" s="1"/>
  <c r="BS11" i="21" s="1"/>
  <c r="BG11" i="21"/>
  <c r="BH11" i="21" s="1"/>
  <c r="BI11" i="21" s="1"/>
  <c r="BG24" i="21"/>
  <c r="BH24" i="21" s="1"/>
  <c r="BI24" i="21" s="1"/>
  <c r="BN24" i="21"/>
  <c r="BP24" i="21" s="1"/>
  <c r="BR24" i="21" s="1"/>
  <c r="BS24" i="21" s="1"/>
  <c r="CF38" i="16"/>
  <c r="CM38" i="16" s="1"/>
  <c r="CI38" i="16"/>
  <c r="CK38" i="16" s="1"/>
  <c r="CO38" i="16" s="1"/>
  <c r="CH38" i="16"/>
  <c r="CJ38" i="16"/>
  <c r="CL38" i="16" s="1"/>
  <c r="BG16" i="21"/>
  <c r="BH16" i="21" s="1"/>
  <c r="BI16" i="21" s="1"/>
  <c r="BN16" i="21"/>
  <c r="BP16" i="21" s="1"/>
  <c r="BR16" i="21" s="1"/>
  <c r="BS16" i="21" s="1"/>
  <c r="M44" i="21"/>
  <c r="M45" i="21" s="1"/>
  <c r="BN23" i="21"/>
  <c r="BP23" i="21" s="1"/>
  <c r="BR23" i="21" s="1"/>
  <c r="BS23" i="21" s="1"/>
  <c r="BG23" i="21"/>
  <c r="BH23" i="21" s="1"/>
  <c r="BI23" i="21" s="1"/>
  <c r="G12" i="18"/>
  <c r="F12" i="18"/>
  <c r="BN8" i="21"/>
  <c r="BP8" i="21" s="1"/>
  <c r="BR8" i="21" s="1"/>
  <c r="BS8" i="21" s="1"/>
  <c r="BG8" i="21"/>
  <c r="BH8" i="21" s="1"/>
  <c r="BI8" i="21" s="1"/>
  <c r="BN26" i="21"/>
  <c r="BP26" i="21" s="1"/>
  <c r="BR26" i="21" s="1"/>
  <c r="BS26" i="21" s="1"/>
  <c r="BG26" i="21"/>
  <c r="BH26" i="21" s="1"/>
  <c r="BI26" i="21" s="1"/>
  <c r="AF9" i="16"/>
  <c r="AG9" i="16" s="1"/>
  <c r="AL9" i="16" s="1"/>
  <c r="Q29" i="16" s="1"/>
  <c r="BG6" i="21"/>
  <c r="BH6" i="21" s="1"/>
  <c r="BI6" i="21" s="1"/>
  <c r="BN6" i="21"/>
  <c r="BP6" i="21" s="1"/>
  <c r="BR6" i="21" s="1"/>
  <c r="BS6" i="21" s="1"/>
  <c r="G13" i="13"/>
  <c r="F13" i="13"/>
  <c r="BG4" i="21"/>
  <c r="BH4" i="21" s="1"/>
  <c r="BI4" i="21" s="1"/>
  <c r="BN4" i="21"/>
  <c r="BP4" i="21" s="1"/>
  <c r="BR4" i="21" s="1"/>
  <c r="BS4" i="21" s="1"/>
  <c r="BN7" i="21"/>
  <c r="BP7" i="21" s="1"/>
  <c r="BR7" i="21" s="1"/>
  <c r="BS7" i="21" s="1"/>
  <c r="BG7" i="21"/>
  <c r="BH7" i="21" s="1"/>
  <c r="BI7" i="21" s="1"/>
  <c r="Y26" i="16"/>
  <c r="R26" i="16"/>
  <c r="Y38" i="16"/>
  <c r="R38" i="16"/>
  <c r="M63" i="16"/>
  <c r="BN19" i="21"/>
  <c r="BP19" i="21" s="1"/>
  <c r="BR19" i="21" s="1"/>
  <c r="BS19" i="21" s="1"/>
  <c r="BG19" i="21"/>
  <c r="BH19" i="21" s="1"/>
  <c r="BI19" i="21" s="1"/>
  <c r="BG21" i="21"/>
  <c r="BH21" i="21" s="1"/>
  <c r="BI21" i="21" s="1"/>
  <c r="BN21" i="21"/>
  <c r="BP21" i="21" s="1"/>
  <c r="BR21" i="21" s="1"/>
  <c r="BS21" i="21" s="1"/>
  <c r="BG10" i="21"/>
  <c r="BH10" i="21" s="1"/>
  <c r="BI10" i="21" s="1"/>
  <c r="BN10" i="21"/>
  <c r="BP10" i="21" s="1"/>
  <c r="BR10" i="21" s="1"/>
  <c r="BS10" i="21" s="1"/>
  <c r="Z39" i="21"/>
  <c r="AA38" i="21"/>
  <c r="CJ30" i="16"/>
  <c r="CL30" i="16" s="1"/>
  <c r="CI30" i="16"/>
  <c r="CK30" i="16" s="1"/>
  <c r="CO30" i="16" s="1"/>
  <c r="CF30" i="16"/>
  <c r="CM30" i="16" s="1"/>
  <c r="CH30" i="16"/>
  <c r="BG14" i="21"/>
  <c r="BH14" i="21" s="1"/>
  <c r="BI14" i="21" s="1"/>
  <c r="BN14" i="21"/>
  <c r="BP14" i="21" s="1"/>
  <c r="BR14" i="21" s="1"/>
  <c r="BS14" i="21" s="1"/>
  <c r="BG9" i="21"/>
  <c r="BH9" i="21" s="1"/>
  <c r="BI9" i="21" s="1"/>
  <c r="BN9" i="21"/>
  <c r="BP9" i="21" s="1"/>
  <c r="BR9" i="21" s="1"/>
  <c r="BS9" i="21" s="1"/>
  <c r="Y36" i="16"/>
  <c r="R36" i="16"/>
  <c r="BJ24" i="21"/>
  <c r="AS24" i="21"/>
  <c r="AB24" i="21"/>
  <c r="BJ26" i="21"/>
  <c r="AS26" i="21"/>
  <c r="AB26" i="21"/>
  <c r="BJ23" i="21"/>
  <c r="AS23" i="21"/>
  <c r="AB23" i="21"/>
  <c r="BJ25" i="21"/>
  <c r="AS25" i="21"/>
  <c r="AB25" i="21"/>
  <c r="BJ22" i="21"/>
  <c r="AS22" i="21"/>
  <c r="AB22" i="21"/>
  <c r="BJ17" i="21"/>
  <c r="AS17" i="21"/>
  <c r="AB17" i="21"/>
  <c r="BJ19" i="21"/>
  <c r="AS19" i="21"/>
  <c r="AB19" i="21"/>
  <c r="BJ14" i="21"/>
  <c r="AS14" i="21"/>
  <c r="AB14" i="21"/>
  <c r="BJ21" i="21"/>
  <c r="AS21" i="21"/>
  <c r="AB21" i="21"/>
  <c r="BJ18" i="21"/>
  <c r="AS18" i="21"/>
  <c r="AB18" i="21"/>
  <c r="BJ15" i="21"/>
  <c r="AS15" i="21"/>
  <c r="AB15" i="21"/>
  <c r="BJ20" i="21"/>
  <c r="AS20" i="21"/>
  <c r="AB20" i="21"/>
  <c r="BJ13" i="21"/>
  <c r="AS13" i="21"/>
  <c r="AB13" i="21"/>
  <c r="AS16" i="21"/>
  <c r="BJ10" i="21"/>
  <c r="AS10" i="21"/>
  <c r="AB10" i="21"/>
  <c r="BJ6" i="21"/>
  <c r="AS6" i="21"/>
  <c r="AB6" i="21"/>
  <c r="BJ12" i="21"/>
  <c r="BJ11" i="21"/>
  <c r="AS11" i="21"/>
  <c r="AB11" i="21"/>
  <c r="BJ7" i="21"/>
  <c r="AS7" i="21"/>
  <c r="AB7" i="21"/>
  <c r="BJ9" i="21"/>
  <c r="AS9" i="21"/>
  <c r="AB9" i="21"/>
  <c r="BJ5" i="21"/>
  <c r="AS5" i="21"/>
  <c r="AB5" i="21"/>
  <c r="AB16" i="21"/>
  <c r="AB8" i="21"/>
  <c r="AB12" i="21"/>
  <c r="BJ4" i="21"/>
  <c r="AS12" i="21"/>
  <c r="BJ8" i="21"/>
  <c r="AS4" i="21"/>
  <c r="AB4" i="21"/>
  <c r="BJ16" i="21"/>
  <c r="AS8" i="21"/>
  <c r="BG22" i="21"/>
  <c r="BH22" i="21" s="1"/>
  <c r="BI22" i="21" s="1"/>
  <c r="BN22" i="21"/>
  <c r="BP22" i="21" s="1"/>
  <c r="BR22" i="21" s="1"/>
  <c r="BS22" i="21" s="1"/>
  <c r="Y25" i="16"/>
  <c r="R25" i="16"/>
  <c r="BG17" i="21"/>
  <c r="BH17" i="21" s="1"/>
  <c r="BI17" i="21" s="1"/>
  <c r="BN17" i="21"/>
  <c r="BP17" i="21" s="1"/>
  <c r="BR17" i="21" s="1"/>
  <c r="BS17" i="21" s="1"/>
  <c r="Y33" i="16"/>
  <c r="R33" i="16"/>
  <c r="V58" i="16"/>
  <c r="V57" i="16"/>
  <c r="V62" i="16"/>
  <c r="V56" i="16"/>
  <c r="V55" i="16"/>
  <c r="V54" i="16"/>
  <c r="V53" i="16"/>
  <c r="V59" i="16"/>
  <c r="J63" i="16"/>
  <c r="R34" i="16"/>
  <c r="Y34" i="16"/>
  <c r="Y39" i="16"/>
  <c r="R39" i="16"/>
  <c r="BG20" i="21"/>
  <c r="BH20" i="21" s="1"/>
  <c r="BI20" i="21" s="1"/>
  <c r="BN20" i="21"/>
  <c r="BP20" i="21" s="1"/>
  <c r="BR20" i="21" s="1"/>
  <c r="BS20" i="21" s="1"/>
  <c r="Y40" i="16"/>
  <c r="R40" i="16"/>
  <c r="V44" i="21"/>
  <c r="V45" i="21" s="1"/>
  <c r="BG18" i="21"/>
  <c r="BH18" i="21" s="1"/>
  <c r="BI18" i="21" s="1"/>
  <c r="BN18" i="21"/>
  <c r="BP18" i="21" s="1"/>
  <c r="BR18" i="21" s="1"/>
  <c r="BS18" i="21" s="1"/>
  <c r="BG25" i="21"/>
  <c r="BH25" i="21" s="1"/>
  <c r="BI25" i="21" s="1"/>
  <c r="BN25" i="21"/>
  <c r="BP25" i="21" s="1"/>
  <c r="BR25" i="21" s="1"/>
  <c r="BS25" i="21" s="1"/>
  <c r="S63" i="16"/>
  <c r="J44" i="21"/>
  <c r="J45" i="21" s="1"/>
  <c r="R30" i="16"/>
  <c r="Y30" i="16"/>
  <c r="R32" i="16"/>
  <c r="Y32" i="16"/>
  <c r="R24" i="16"/>
  <c r="Y24" i="16"/>
  <c r="BG13" i="21"/>
  <c r="BH13" i="21" s="1"/>
  <c r="BI13" i="21" s="1"/>
  <c r="BN13" i="21"/>
  <c r="BP13" i="21" s="1"/>
  <c r="BR13" i="21" s="1"/>
  <c r="BS13" i="21" s="1"/>
  <c r="BG5" i="21"/>
  <c r="BH5" i="21" s="1"/>
  <c r="BI5" i="21" s="1"/>
  <c r="BN5" i="21"/>
  <c r="BP5" i="21" s="1"/>
  <c r="BR5" i="21" s="1"/>
  <c r="BS5" i="21" s="1"/>
  <c r="Y31" i="16"/>
  <c r="R31" i="16"/>
  <c r="BG12" i="21"/>
  <c r="BH12" i="21" s="1"/>
  <c r="BI12" i="21" s="1"/>
  <c r="BN12" i="21"/>
  <c r="BP12" i="21" s="1"/>
  <c r="BR12" i="21" s="1"/>
  <c r="BS12" i="21" s="1"/>
  <c r="E11" i="23"/>
  <c r="D11" i="23"/>
  <c r="J32" i="3"/>
  <c r="L11" i="2" s="1"/>
  <c r="P44" i="21"/>
  <c r="P45" i="21" s="1"/>
  <c r="D44" i="21"/>
  <c r="D45" i="21" s="1"/>
  <c r="CH27" i="16"/>
  <c r="CI27" i="16"/>
  <c r="CK27" i="16" s="1"/>
  <c r="CO27" i="16" s="1"/>
  <c r="CJ27" i="16"/>
  <c r="CL27" i="16" s="1"/>
  <c r="CF27" i="16"/>
  <c r="CM27" i="16" s="1"/>
  <c r="Y27" i="16"/>
  <c r="R27" i="16"/>
  <c r="D63" i="16"/>
  <c r="BG15" i="21"/>
  <c r="BH15" i="21" s="1"/>
  <c r="BI15" i="21" s="1"/>
  <c r="BN15" i="21"/>
  <c r="BP15" i="21" s="1"/>
  <c r="BR15" i="21" s="1"/>
  <c r="BS15" i="21" s="1"/>
  <c r="BX30" i="16"/>
  <c r="AS63" i="21"/>
  <c r="Z64" i="21"/>
  <c r="Y37" i="16"/>
  <c r="R37" i="16"/>
  <c r="G63" i="16"/>
  <c r="D63" i="11"/>
  <c r="AE18" i="11"/>
  <c r="AF18" i="11" s="1"/>
  <c r="AG18" i="11" s="1"/>
  <c r="AL18" i="11" s="1"/>
  <c r="Q38" i="11" s="1"/>
  <c r="P63" i="11"/>
  <c r="AE6" i="11"/>
  <c r="AF6" i="11" s="1"/>
  <c r="AG6" i="11" s="1"/>
  <c r="AL6" i="11" s="1"/>
  <c r="Q26" i="11" s="1"/>
  <c r="AE20" i="11"/>
  <c r="AF20" i="11" s="1"/>
  <c r="AG20" i="11" s="1"/>
  <c r="AL20" i="11" s="1"/>
  <c r="Q40" i="11" s="1"/>
  <c r="AE12" i="11"/>
  <c r="AF12" i="11" s="1"/>
  <c r="AG12" i="11" s="1"/>
  <c r="AL12" i="11" s="1"/>
  <c r="Q32" i="11" s="1"/>
  <c r="J63" i="11"/>
  <c r="M63" i="11"/>
  <c r="S63" i="11"/>
  <c r="G63" i="11"/>
  <c r="V63" i="11"/>
  <c r="AE17" i="11"/>
  <c r="AF17" i="11" s="1"/>
  <c r="AG17" i="11" s="1"/>
  <c r="AL17" i="11" s="1"/>
  <c r="Q37" i="11" s="1"/>
  <c r="AE5" i="11"/>
  <c r="AF5" i="11" s="1"/>
  <c r="AG5" i="11" s="1"/>
  <c r="AL5" i="11" s="1"/>
  <c r="Q25" i="11" s="1"/>
  <c r="AE15" i="11"/>
  <c r="AF15" i="11" s="1"/>
  <c r="AG15" i="11" s="1"/>
  <c r="AL15" i="11" s="1"/>
  <c r="Q35" i="11" s="1"/>
  <c r="AE9" i="11"/>
  <c r="AF9" i="11" s="1"/>
  <c r="AG9" i="11" s="1"/>
  <c r="AL9" i="11" s="1"/>
  <c r="Q29" i="11" s="1"/>
  <c r="AE16" i="11"/>
  <c r="AF16" i="11" s="1"/>
  <c r="AG16" i="11" s="1"/>
  <c r="AL16" i="11" s="1"/>
  <c r="Q36" i="11" s="1"/>
  <c r="BX42" i="11"/>
  <c r="BX27" i="11"/>
  <c r="BX31" i="11"/>
  <c r="BX34" i="11"/>
  <c r="BX36" i="11"/>
  <c r="BX35" i="11"/>
  <c r="BX29" i="11"/>
  <c r="BX30" i="11"/>
  <c r="BX28" i="11"/>
  <c r="O7" i="2"/>
  <c r="G33" i="3"/>
  <c r="G31" i="3"/>
  <c r="G22" i="3"/>
  <c r="I22" i="3" s="1"/>
  <c r="J22" i="3" s="1"/>
  <c r="G25" i="3"/>
  <c r="I25" i="3" s="1"/>
  <c r="J25" i="3" s="1"/>
  <c r="G24" i="3"/>
  <c r="I24" i="3" s="1"/>
  <c r="J24" i="3" s="1"/>
  <c r="G23" i="3"/>
  <c r="I23" i="3" s="1"/>
  <c r="J23" i="3" s="1"/>
  <c r="G21" i="3"/>
  <c r="I21" i="3" s="1"/>
  <c r="J21" i="3" s="1"/>
  <c r="J35" i="3"/>
  <c r="L15" i="2" s="1"/>
  <c r="CH42" i="11"/>
  <c r="CF42" i="11"/>
  <c r="CM42" i="11" s="1"/>
  <c r="CJ42" i="11"/>
  <c r="CL42" i="11" s="1"/>
  <c r="CI42" i="11"/>
  <c r="CK42" i="11" s="1"/>
  <c r="CO42" i="11" s="1"/>
  <c r="BX32" i="11"/>
  <c r="CI27" i="11"/>
  <c r="CK27" i="11" s="1"/>
  <c r="CO27" i="11" s="1"/>
  <c r="CH27" i="11"/>
  <c r="CJ27" i="11"/>
  <c r="CL27" i="11" s="1"/>
  <c r="CF27" i="11"/>
  <c r="BX26" i="11"/>
  <c r="CF31" i="11"/>
  <c r="CI31" i="11"/>
  <c r="CK31" i="11" s="1"/>
  <c r="CH31" i="11"/>
  <c r="CJ31" i="11"/>
  <c r="CL31" i="11" s="1"/>
  <c r="CI33" i="11"/>
  <c r="CK33" i="11" s="1"/>
  <c r="CO33" i="11" s="1"/>
  <c r="CH33" i="11"/>
  <c r="CF33" i="11"/>
  <c r="CM33" i="11" s="1"/>
  <c r="CJ33" i="11"/>
  <c r="CL33" i="11" s="1"/>
  <c r="BX38" i="11"/>
  <c r="CI26" i="11"/>
  <c r="CK26" i="11" s="1"/>
  <c r="CH26" i="11"/>
  <c r="CF26" i="11"/>
  <c r="CJ26" i="11"/>
  <c r="CL26" i="11" s="1"/>
  <c r="CJ36" i="11"/>
  <c r="CL36" i="11" s="1"/>
  <c r="CI36" i="11"/>
  <c r="CK36" i="11" s="1"/>
  <c r="CO36" i="11" s="1"/>
  <c r="CH36" i="11"/>
  <c r="CF36" i="11"/>
  <c r="CE36" i="11"/>
  <c r="CG36" i="11"/>
  <c r="CI40" i="11"/>
  <c r="CK40" i="11" s="1"/>
  <c r="CO40" i="11" s="1"/>
  <c r="CH40" i="11"/>
  <c r="CJ40" i="11"/>
  <c r="CL40" i="11" s="1"/>
  <c r="CF40" i="11"/>
  <c r="CF29" i="11"/>
  <c r="CJ29" i="11"/>
  <c r="CL29" i="11" s="1"/>
  <c r="CI29" i="11"/>
  <c r="CK29" i="11" s="1"/>
  <c r="CO29" i="11" s="1"/>
  <c r="CH29" i="11"/>
  <c r="CI38" i="11"/>
  <c r="CK38" i="11" s="1"/>
  <c r="CO38" i="11" s="1"/>
  <c r="CF38" i="11"/>
  <c r="CM38" i="11" s="1"/>
  <c r="CH38" i="11"/>
  <c r="CJ38" i="11"/>
  <c r="CL38" i="11" s="1"/>
  <c r="CH30" i="11"/>
  <c r="CI30" i="11"/>
  <c r="CK30" i="11" s="1"/>
  <c r="CF30" i="11"/>
  <c r="CJ30" i="11"/>
  <c r="CL30" i="11" s="1"/>
  <c r="CJ37" i="11"/>
  <c r="CL37" i="11" s="1"/>
  <c r="CF37" i="11"/>
  <c r="CM37" i="11" s="1"/>
  <c r="CH37" i="11"/>
  <c r="CI37" i="11"/>
  <c r="CK37" i="11" s="1"/>
  <c r="BX33" i="11"/>
  <c r="BX39" i="11"/>
  <c r="CF32" i="11"/>
  <c r="CJ32" i="11"/>
  <c r="CL32" i="11" s="1"/>
  <c r="CI32" i="11"/>
  <c r="CK32" i="11" s="1"/>
  <c r="CH32" i="11"/>
  <c r="CF41" i="11"/>
  <c r="CM41" i="11" s="1"/>
  <c r="CI41" i="11"/>
  <c r="CK41" i="11" s="1"/>
  <c r="CO41" i="11" s="1"/>
  <c r="CJ41" i="11"/>
  <c r="CL41" i="11" s="1"/>
  <c r="CH41" i="11"/>
  <c r="CE34" i="11"/>
  <c r="CG34" i="11"/>
  <c r="CJ35" i="11"/>
  <c r="CL35" i="11" s="1"/>
  <c r="CI35" i="11"/>
  <c r="CK35" i="11" s="1"/>
  <c r="CH35" i="11"/>
  <c r="CF35" i="11"/>
  <c r="CM35" i="11" s="1"/>
  <c r="CI28" i="11"/>
  <c r="CK28" i="11" s="1"/>
  <c r="CO28" i="11" s="1"/>
  <c r="CH28" i="11"/>
  <c r="CJ28" i="11"/>
  <c r="CL28" i="11" s="1"/>
  <c r="CF28" i="11"/>
  <c r="CM28" i="11" s="1"/>
  <c r="BX40" i="11"/>
  <c r="BX37" i="11"/>
  <c r="BX41" i="11"/>
  <c r="CI39" i="11"/>
  <c r="CK39" i="11" s="1"/>
  <c r="CO39" i="11" s="1"/>
  <c r="CJ39" i="11"/>
  <c r="CL39" i="11" s="1"/>
  <c r="CH39" i="11"/>
  <c r="CF39" i="11"/>
  <c r="CM39" i="11" s="1"/>
  <c r="CJ34" i="11"/>
  <c r="CL34" i="11" s="1"/>
  <c r="CI34" i="11"/>
  <c r="CK34" i="11" s="1"/>
  <c r="CO34" i="11" s="1"/>
  <c r="CH34" i="11"/>
  <c r="CF34" i="11"/>
  <c r="Y34" i="11" l="1"/>
  <c r="V30" i="11"/>
  <c r="V27" i="11"/>
  <c r="U30" i="11"/>
  <c r="T30" i="11"/>
  <c r="T27" i="11"/>
  <c r="R31" i="11"/>
  <c r="V31" i="11" s="1"/>
  <c r="Y30" i="11"/>
  <c r="Z30" i="11" s="1"/>
  <c r="W30" i="11"/>
  <c r="S30" i="11"/>
  <c r="R24" i="11"/>
  <c r="V24" i="11" s="1"/>
  <c r="AA27" i="11"/>
  <c r="AA30" i="11"/>
  <c r="W27" i="11"/>
  <c r="S27" i="11"/>
  <c r="Y27" i="11"/>
  <c r="Z27" i="11" s="1"/>
  <c r="X27" i="11"/>
  <c r="Y33" i="11"/>
  <c r="Z33" i="11" s="1"/>
  <c r="R28" i="11"/>
  <c r="W28" i="11" s="1"/>
  <c r="Y35" i="16"/>
  <c r="Z35" i="16" s="1"/>
  <c r="Y28" i="16"/>
  <c r="Z28" i="16" s="1"/>
  <c r="G56" i="21"/>
  <c r="H56" i="21" s="1"/>
  <c r="I56" i="21" s="1"/>
  <c r="S12" i="20" s="1"/>
  <c r="S56" i="21"/>
  <c r="T56" i="21" s="1"/>
  <c r="U56" i="21" s="1"/>
  <c r="W12" i="20" s="1"/>
  <c r="G54" i="21"/>
  <c r="H54" i="21" s="1"/>
  <c r="I54" i="21" s="1"/>
  <c r="S10" i="20" s="1"/>
  <c r="G62" i="21"/>
  <c r="H62" i="21" s="1"/>
  <c r="I62" i="21" s="1"/>
  <c r="S18" i="20" s="1"/>
  <c r="G55" i="21"/>
  <c r="H55" i="21" s="1"/>
  <c r="I55" i="21" s="1"/>
  <c r="S11" i="20" s="1"/>
  <c r="G67" i="21"/>
  <c r="H67" i="21" s="1"/>
  <c r="I67" i="21" s="1"/>
  <c r="G70" i="21"/>
  <c r="H70" i="21" s="1"/>
  <c r="I70" i="21" s="1"/>
  <c r="G52" i="21"/>
  <c r="H52" i="21" s="1"/>
  <c r="I52" i="21" s="1"/>
  <c r="S8" i="20" s="1"/>
  <c r="G49" i="21"/>
  <c r="H49" i="21" s="1"/>
  <c r="I49" i="21" s="1"/>
  <c r="S5" i="20" s="1"/>
  <c r="S53" i="21"/>
  <c r="T53" i="21" s="1"/>
  <c r="U53" i="21" s="1"/>
  <c r="W9" i="20" s="1"/>
  <c r="S62" i="21"/>
  <c r="T62" i="21" s="1"/>
  <c r="U62" i="21" s="1"/>
  <c r="W18" i="20" s="1"/>
  <c r="S65" i="21"/>
  <c r="T65" i="21" s="1"/>
  <c r="U65" i="21" s="1"/>
  <c r="W21" i="20" s="1"/>
  <c r="S57" i="21"/>
  <c r="T57" i="21" s="1"/>
  <c r="U57" i="21" s="1"/>
  <c r="W13" i="20" s="1"/>
  <c r="S61" i="21"/>
  <c r="T61" i="21" s="1"/>
  <c r="U61" i="21" s="1"/>
  <c r="W17" i="20" s="1"/>
  <c r="S49" i="21"/>
  <c r="T49" i="21" s="1"/>
  <c r="U49" i="21" s="1"/>
  <c r="W5" i="20" s="1"/>
  <c r="S68" i="21"/>
  <c r="T68" i="21" s="1"/>
  <c r="U68" i="21" s="1"/>
  <c r="S70" i="21"/>
  <c r="T70" i="21" s="1"/>
  <c r="U70" i="21" s="1"/>
  <c r="S69" i="21"/>
  <c r="T69" i="21" s="1"/>
  <c r="U69" i="21" s="1"/>
  <c r="O3" i="3"/>
  <c r="O6" i="3" s="1"/>
  <c r="CM32" i="11"/>
  <c r="CM30" i="11"/>
  <c r="CN36" i="11"/>
  <c r="CO26" i="11"/>
  <c r="CO31" i="11"/>
  <c r="CN34" i="11"/>
  <c r="CO30" i="11"/>
  <c r="CM36" i="11"/>
  <c r="CM31" i="11"/>
  <c r="CM29" i="11"/>
  <c r="CO37" i="11"/>
  <c r="CM40" i="11"/>
  <c r="CM27" i="11"/>
  <c r="CM34" i="11"/>
  <c r="CO35" i="11"/>
  <c r="CO32" i="11"/>
  <c r="CM26" i="11"/>
  <c r="V39" i="11"/>
  <c r="T39" i="11"/>
  <c r="W39" i="11"/>
  <c r="U39" i="11"/>
  <c r="S39" i="11"/>
  <c r="AA39" i="11"/>
  <c r="Y39" i="11"/>
  <c r="Z39" i="11" s="1"/>
  <c r="S51" i="21"/>
  <c r="T51" i="21" s="1"/>
  <c r="U51" i="21" s="1"/>
  <c r="W7" i="20" s="1"/>
  <c r="S66" i="21"/>
  <c r="T66" i="21" s="1"/>
  <c r="U66" i="21" s="1"/>
  <c r="G50" i="21"/>
  <c r="H50" i="21" s="1"/>
  <c r="I50" i="21" s="1"/>
  <c r="S6" i="20" s="1"/>
  <c r="G58" i="21"/>
  <c r="H58" i="21" s="1"/>
  <c r="I58" i="21" s="1"/>
  <c r="S14" i="20" s="1"/>
  <c r="G64" i="21"/>
  <c r="H64" i="21" s="1"/>
  <c r="I64" i="21" s="1"/>
  <c r="S20" i="20" s="1"/>
  <c r="Z37" i="16"/>
  <c r="P77" i="16"/>
  <c r="Q77" i="16" s="1"/>
  <c r="R77" i="16" s="1"/>
  <c r="P38" i="15" s="1"/>
  <c r="T16" i="14" s="1"/>
  <c r="S64" i="21"/>
  <c r="T64" i="21" s="1"/>
  <c r="U64" i="21" s="1"/>
  <c r="W20" i="20" s="1"/>
  <c r="S55" i="21"/>
  <c r="T55" i="21" s="1"/>
  <c r="U55" i="21" s="1"/>
  <c r="W11" i="20" s="1"/>
  <c r="S60" i="21"/>
  <c r="T60" i="21" s="1"/>
  <c r="U60" i="21" s="1"/>
  <c r="W16" i="20" s="1"/>
  <c r="Z38" i="16"/>
  <c r="G60" i="21"/>
  <c r="H60" i="21" s="1"/>
  <c r="I60" i="21" s="1"/>
  <c r="S16" i="20" s="1"/>
  <c r="G66" i="21"/>
  <c r="H66" i="21" s="1"/>
  <c r="I66" i="21" s="1"/>
  <c r="G65" i="21"/>
  <c r="H65" i="21" s="1"/>
  <c r="I65" i="21" s="1"/>
  <c r="S21" i="20" s="1"/>
  <c r="Z32" i="16"/>
  <c r="S52" i="21"/>
  <c r="T52" i="21" s="1"/>
  <c r="U52" i="21" s="1"/>
  <c r="W8" i="20" s="1"/>
  <c r="S59" i="21"/>
  <c r="T59" i="21" s="1"/>
  <c r="U59" i="21" s="1"/>
  <c r="W15" i="20" s="1"/>
  <c r="S54" i="21"/>
  <c r="T54" i="21" s="1"/>
  <c r="U54" i="21" s="1"/>
  <c r="W10" i="20" s="1"/>
  <c r="G61" i="21"/>
  <c r="H61" i="21" s="1"/>
  <c r="I61" i="21" s="1"/>
  <c r="S17" i="20" s="1"/>
  <c r="G69" i="21"/>
  <c r="H69" i="21" s="1"/>
  <c r="I69" i="21" s="1"/>
  <c r="G68" i="21"/>
  <c r="H68" i="21" s="1"/>
  <c r="I68" i="21" s="1"/>
  <c r="O12" i="3"/>
  <c r="O9" i="3" s="1"/>
  <c r="S50" i="21"/>
  <c r="T50" i="21" s="1"/>
  <c r="U50" i="21" s="1"/>
  <c r="W6" i="20" s="1"/>
  <c r="S63" i="21"/>
  <c r="T63" i="21" s="1"/>
  <c r="U63" i="21" s="1"/>
  <c r="W19" i="20" s="1"/>
  <c r="S67" i="21"/>
  <c r="T67" i="21" s="1"/>
  <c r="U67" i="21" s="1"/>
  <c r="G53" i="21"/>
  <c r="H53" i="21" s="1"/>
  <c r="I53" i="21" s="1"/>
  <c r="S9" i="20" s="1"/>
  <c r="G59" i="21"/>
  <c r="H59" i="21" s="1"/>
  <c r="I59" i="21" s="1"/>
  <c r="S15" i="20" s="1"/>
  <c r="G71" i="21"/>
  <c r="H71" i="21" s="1"/>
  <c r="I71" i="21" s="1"/>
  <c r="Z25" i="16"/>
  <c r="S71" i="21"/>
  <c r="T71" i="21" s="1"/>
  <c r="U71" i="21" s="1"/>
  <c r="G51" i="21"/>
  <c r="H51" i="21" s="1"/>
  <c r="I51" i="21" s="1"/>
  <c r="S7" i="20" s="1"/>
  <c r="G57" i="21"/>
  <c r="H57" i="21" s="1"/>
  <c r="I57" i="21" s="1"/>
  <c r="S13" i="20" s="1"/>
  <c r="Z40" i="16"/>
  <c r="Z36" i="16"/>
  <c r="Z27" i="16"/>
  <c r="Z31" i="16"/>
  <c r="P79" i="16"/>
  <c r="Q79" i="16" s="1"/>
  <c r="R79" i="16" s="1"/>
  <c r="P40" i="15" s="1"/>
  <c r="T18" i="14" s="1"/>
  <c r="R29" i="16"/>
  <c r="Y29" i="16"/>
  <c r="P71" i="21"/>
  <c r="Q71" i="21" s="1"/>
  <c r="R71" i="21" s="1"/>
  <c r="P70" i="21"/>
  <c r="Q70" i="21" s="1"/>
  <c r="R70" i="21" s="1"/>
  <c r="P69" i="21"/>
  <c r="Q69" i="21" s="1"/>
  <c r="R69" i="21" s="1"/>
  <c r="P67" i="21"/>
  <c r="Q67" i="21" s="1"/>
  <c r="R67" i="21" s="1"/>
  <c r="P64" i="21"/>
  <c r="Q64" i="21" s="1"/>
  <c r="R64" i="21" s="1"/>
  <c r="V20" i="20" s="1"/>
  <c r="P63" i="21"/>
  <c r="Q63" i="21" s="1"/>
  <c r="R63" i="21" s="1"/>
  <c r="V19" i="20" s="1"/>
  <c r="P68" i="21"/>
  <c r="Q68" i="21" s="1"/>
  <c r="R68" i="21" s="1"/>
  <c r="P61" i="21"/>
  <c r="Q61" i="21" s="1"/>
  <c r="R61" i="21" s="1"/>
  <c r="V17" i="20" s="1"/>
  <c r="P54" i="21"/>
  <c r="Q54" i="21" s="1"/>
  <c r="R54" i="21" s="1"/>
  <c r="V10" i="20" s="1"/>
  <c r="P66" i="21"/>
  <c r="Q66" i="21" s="1"/>
  <c r="R66" i="21" s="1"/>
  <c r="P58" i="21"/>
  <c r="Q58" i="21" s="1"/>
  <c r="R58" i="21" s="1"/>
  <c r="V14" i="20" s="1"/>
  <c r="P57" i="21"/>
  <c r="Q57" i="21" s="1"/>
  <c r="R57" i="21" s="1"/>
  <c r="V13" i="20" s="1"/>
  <c r="P56" i="21"/>
  <c r="Q56" i="21" s="1"/>
  <c r="R56" i="21" s="1"/>
  <c r="V12" i="20" s="1"/>
  <c r="P65" i="21"/>
  <c r="Q65" i="21" s="1"/>
  <c r="R65" i="21" s="1"/>
  <c r="V21" i="20" s="1"/>
  <c r="P49" i="21"/>
  <c r="Q49" i="21" s="1"/>
  <c r="R49" i="21" s="1"/>
  <c r="V5" i="20" s="1"/>
  <c r="P60" i="21"/>
  <c r="Q60" i="21" s="1"/>
  <c r="R60" i="21" s="1"/>
  <c r="V16" i="20" s="1"/>
  <c r="P59" i="21"/>
  <c r="Q59" i="21" s="1"/>
  <c r="R59" i="21" s="1"/>
  <c r="V15" i="20" s="1"/>
  <c r="P55" i="21"/>
  <c r="Q55" i="21" s="1"/>
  <c r="R55" i="21" s="1"/>
  <c r="V11" i="20" s="1"/>
  <c r="P52" i="21"/>
  <c r="Q52" i="21" s="1"/>
  <c r="R52" i="21" s="1"/>
  <c r="V8" i="20" s="1"/>
  <c r="P62" i="21"/>
  <c r="Q62" i="21" s="1"/>
  <c r="R62" i="21" s="1"/>
  <c r="V18" i="20" s="1"/>
  <c r="P50" i="21"/>
  <c r="Q50" i="21" s="1"/>
  <c r="R50" i="21" s="1"/>
  <c r="V6" i="20" s="1"/>
  <c r="P53" i="21"/>
  <c r="Q53" i="21" s="1"/>
  <c r="R53" i="21" s="1"/>
  <c r="V9" i="20" s="1"/>
  <c r="P51" i="21"/>
  <c r="Q51" i="21" s="1"/>
  <c r="R51" i="21" s="1"/>
  <c r="V7" i="20" s="1"/>
  <c r="X24" i="16"/>
  <c r="S24" i="16"/>
  <c r="U24" i="16"/>
  <c r="AA24" i="16"/>
  <c r="W24" i="16"/>
  <c r="T24" i="16"/>
  <c r="V24" i="16"/>
  <c r="BU14" i="21"/>
  <c r="BT14" i="21"/>
  <c r="BT10" i="21"/>
  <c r="BU10" i="21"/>
  <c r="G14" i="13"/>
  <c r="F14" i="13"/>
  <c r="BU8" i="21"/>
  <c r="BT8" i="21"/>
  <c r="Z65" i="21"/>
  <c r="AS64" i="21"/>
  <c r="X28" i="16"/>
  <c r="S28" i="16"/>
  <c r="V28" i="16"/>
  <c r="U28" i="16"/>
  <c r="T28" i="16"/>
  <c r="W28" i="16"/>
  <c r="AA28" i="16"/>
  <c r="AA35" i="16"/>
  <c r="T35" i="16"/>
  <c r="S35" i="16"/>
  <c r="X35" i="16"/>
  <c r="W35" i="16"/>
  <c r="V35" i="16"/>
  <c r="U35" i="16"/>
  <c r="BU18" i="21"/>
  <c r="BT18" i="21"/>
  <c r="P70" i="16"/>
  <c r="Q70" i="16" s="1"/>
  <c r="R70" i="16" s="1"/>
  <c r="P31" i="15" s="1"/>
  <c r="T9" i="14" s="1"/>
  <c r="P74" i="16"/>
  <c r="Q74" i="16" s="1"/>
  <c r="R74" i="16" s="1"/>
  <c r="P35" i="15" s="1"/>
  <c r="T13" i="14" s="1"/>
  <c r="W39" i="16"/>
  <c r="V39" i="16"/>
  <c r="U39" i="16"/>
  <c r="T39" i="16"/>
  <c r="X39" i="16"/>
  <c r="AA39" i="16"/>
  <c r="S39" i="16"/>
  <c r="BT17" i="21"/>
  <c r="BU17" i="21"/>
  <c r="U26" i="16"/>
  <c r="T26" i="16"/>
  <c r="AA26" i="16"/>
  <c r="S26" i="16"/>
  <c r="W26" i="16"/>
  <c r="X26" i="16"/>
  <c r="V26" i="16"/>
  <c r="BT6" i="21"/>
  <c r="BU6" i="21"/>
  <c r="U32" i="16"/>
  <c r="T32" i="16"/>
  <c r="S32" i="16"/>
  <c r="X32" i="16"/>
  <c r="AA32" i="16"/>
  <c r="V32" i="16"/>
  <c r="W32" i="16"/>
  <c r="P67" i="16"/>
  <c r="Q67" i="16" s="1"/>
  <c r="R67" i="16" s="1"/>
  <c r="P28" i="15" s="1"/>
  <c r="T6" i="14" s="1"/>
  <c r="P82" i="16"/>
  <c r="Q82" i="16" s="1"/>
  <c r="R82" i="16" s="1"/>
  <c r="P43" i="15" s="1"/>
  <c r="T21" i="14" s="1"/>
  <c r="Z39" i="16"/>
  <c r="BU21" i="21"/>
  <c r="BT21" i="21"/>
  <c r="Z26" i="16"/>
  <c r="G13" i="18"/>
  <c r="F13" i="18"/>
  <c r="BT5" i="21"/>
  <c r="BU5" i="21"/>
  <c r="Z30" i="16"/>
  <c r="V71" i="21"/>
  <c r="W71" i="21" s="1"/>
  <c r="X71" i="21" s="1"/>
  <c r="V69" i="21"/>
  <c r="W69" i="21" s="1"/>
  <c r="X69" i="21" s="1"/>
  <c r="V66" i="21"/>
  <c r="W66" i="21" s="1"/>
  <c r="X66" i="21" s="1"/>
  <c r="V58" i="21"/>
  <c r="W58" i="21" s="1"/>
  <c r="X58" i="21" s="1"/>
  <c r="X14" i="20" s="1"/>
  <c r="V57" i="21"/>
  <c r="W57" i="21" s="1"/>
  <c r="X57" i="21" s="1"/>
  <c r="X13" i="20" s="1"/>
  <c r="V56" i="21"/>
  <c r="W56" i="21" s="1"/>
  <c r="X56" i="21" s="1"/>
  <c r="X12" i="20" s="1"/>
  <c r="V68" i="21"/>
  <c r="W68" i="21" s="1"/>
  <c r="X68" i="21" s="1"/>
  <c r="V67" i="21"/>
  <c r="W67" i="21" s="1"/>
  <c r="X67" i="21" s="1"/>
  <c r="V65" i="21"/>
  <c r="W65" i="21" s="1"/>
  <c r="X65" i="21" s="1"/>
  <c r="X21" i="20" s="1"/>
  <c r="V70" i="21"/>
  <c r="W70" i="21" s="1"/>
  <c r="X70" i="21" s="1"/>
  <c r="V64" i="21"/>
  <c r="W64" i="21" s="1"/>
  <c r="X64" i="21" s="1"/>
  <c r="X20" i="20" s="1"/>
  <c r="V63" i="21"/>
  <c r="W63" i="21" s="1"/>
  <c r="X63" i="21" s="1"/>
  <c r="X19" i="20" s="1"/>
  <c r="V60" i="21"/>
  <c r="W60" i="21" s="1"/>
  <c r="X60" i="21" s="1"/>
  <c r="X16" i="20" s="1"/>
  <c r="V59" i="21"/>
  <c r="W59" i="21" s="1"/>
  <c r="X59" i="21" s="1"/>
  <c r="X15" i="20" s="1"/>
  <c r="V55" i="21"/>
  <c r="W55" i="21" s="1"/>
  <c r="X55" i="21" s="1"/>
  <c r="X11" i="20" s="1"/>
  <c r="V54" i="21"/>
  <c r="W54" i="21" s="1"/>
  <c r="X54" i="21" s="1"/>
  <c r="X10" i="20" s="1"/>
  <c r="V53" i="21"/>
  <c r="W53" i="21" s="1"/>
  <c r="X53" i="21" s="1"/>
  <c r="X9" i="20" s="1"/>
  <c r="V50" i="21"/>
  <c r="W50" i="21" s="1"/>
  <c r="X50" i="21" s="1"/>
  <c r="X6" i="20" s="1"/>
  <c r="V62" i="21"/>
  <c r="W62" i="21" s="1"/>
  <c r="X62" i="21" s="1"/>
  <c r="X18" i="20" s="1"/>
  <c r="V61" i="21"/>
  <c r="W61" i="21" s="1"/>
  <c r="X61" i="21" s="1"/>
  <c r="X17" i="20" s="1"/>
  <c r="V49" i="21"/>
  <c r="W49" i="21" s="1"/>
  <c r="X49" i="21" s="1"/>
  <c r="X5" i="20" s="1"/>
  <c r="V51" i="21"/>
  <c r="W51" i="21" s="1"/>
  <c r="X51" i="21" s="1"/>
  <c r="X7" i="20" s="1"/>
  <c r="V52" i="21"/>
  <c r="W52" i="21" s="1"/>
  <c r="X52" i="21" s="1"/>
  <c r="X8" i="20" s="1"/>
  <c r="P80" i="16"/>
  <c r="Q80" i="16" s="1"/>
  <c r="R80" i="16" s="1"/>
  <c r="P41" i="15" s="1"/>
  <c r="T19" i="14" s="1"/>
  <c r="P71" i="16"/>
  <c r="Q71" i="16" s="1"/>
  <c r="R71" i="16" s="1"/>
  <c r="P32" i="15" s="1"/>
  <c r="T10" i="14" s="1"/>
  <c r="Z34" i="16"/>
  <c r="W25" i="16"/>
  <c r="AA25" i="16"/>
  <c r="S25" i="16"/>
  <c r="X25" i="16"/>
  <c r="T25" i="16"/>
  <c r="V25" i="16"/>
  <c r="U25" i="16"/>
  <c r="BU15" i="21"/>
  <c r="BT15" i="21"/>
  <c r="E12" i="23"/>
  <c r="D12" i="23"/>
  <c r="T30" i="16"/>
  <c r="X30" i="16"/>
  <c r="S30" i="16"/>
  <c r="W30" i="16"/>
  <c r="V30" i="16"/>
  <c r="U30" i="16"/>
  <c r="AA30" i="16"/>
  <c r="X40" i="16"/>
  <c r="V40" i="16"/>
  <c r="U40" i="16"/>
  <c r="W40" i="16"/>
  <c r="T40" i="16"/>
  <c r="AA40" i="16"/>
  <c r="S40" i="16"/>
  <c r="P83" i="16"/>
  <c r="Q83" i="16" s="1"/>
  <c r="R83" i="16" s="1"/>
  <c r="P44" i="15" s="1"/>
  <c r="T22" i="14" s="1"/>
  <c r="P76" i="16"/>
  <c r="Q76" i="16" s="1"/>
  <c r="R76" i="16" s="1"/>
  <c r="P37" i="15" s="1"/>
  <c r="T15" i="14" s="1"/>
  <c r="V34" i="16"/>
  <c r="AA34" i="16"/>
  <c r="S34" i="16"/>
  <c r="X34" i="16"/>
  <c r="W34" i="16"/>
  <c r="U34" i="16"/>
  <c r="T34" i="16"/>
  <c r="W36" i="16"/>
  <c r="X36" i="16"/>
  <c r="U36" i="16"/>
  <c r="S36" i="16"/>
  <c r="V36" i="16"/>
  <c r="AA36" i="16"/>
  <c r="T36" i="16"/>
  <c r="BU7" i="21"/>
  <c r="BT7" i="21"/>
  <c r="BU23" i="21"/>
  <c r="BT23" i="21"/>
  <c r="BU24" i="21"/>
  <c r="BT24" i="21"/>
  <c r="BU12" i="21"/>
  <c r="BT12" i="21"/>
  <c r="BT13" i="21"/>
  <c r="BU13" i="21"/>
  <c r="J70" i="21"/>
  <c r="K70" i="21" s="1"/>
  <c r="L70" i="21" s="1"/>
  <c r="J69" i="21"/>
  <c r="K69" i="21" s="1"/>
  <c r="L69" i="21" s="1"/>
  <c r="J68" i="21"/>
  <c r="K68" i="21" s="1"/>
  <c r="L68" i="21" s="1"/>
  <c r="J67" i="21"/>
  <c r="K67" i="21" s="1"/>
  <c r="L67" i="21" s="1"/>
  <c r="J71" i="21"/>
  <c r="K71" i="21" s="1"/>
  <c r="L71" i="21" s="1"/>
  <c r="J62" i="21"/>
  <c r="K62" i="21" s="1"/>
  <c r="L62" i="21" s="1"/>
  <c r="T18" i="20" s="1"/>
  <c r="J61" i="21"/>
  <c r="K61" i="21" s="1"/>
  <c r="L61" i="21" s="1"/>
  <c r="T17" i="20" s="1"/>
  <c r="J54" i="21"/>
  <c r="K54" i="21" s="1"/>
  <c r="L54" i="21" s="1"/>
  <c r="T10" i="20" s="1"/>
  <c r="J59" i="21"/>
  <c r="K59" i="21" s="1"/>
  <c r="L59" i="21" s="1"/>
  <c r="T15" i="20" s="1"/>
  <c r="J55" i="21"/>
  <c r="K55" i="21" s="1"/>
  <c r="L55" i="21" s="1"/>
  <c r="T11" i="20" s="1"/>
  <c r="J53" i="21"/>
  <c r="K53" i="21" s="1"/>
  <c r="L53" i="21" s="1"/>
  <c r="T9" i="20" s="1"/>
  <c r="J64" i="21"/>
  <c r="K64" i="21" s="1"/>
  <c r="L64" i="21" s="1"/>
  <c r="T20" i="20" s="1"/>
  <c r="J63" i="21"/>
  <c r="K63" i="21" s="1"/>
  <c r="L63" i="21" s="1"/>
  <c r="T19" i="20" s="1"/>
  <c r="J52" i="21"/>
  <c r="K52" i="21" s="1"/>
  <c r="L52" i="21" s="1"/>
  <c r="T8" i="20" s="1"/>
  <c r="J66" i="21"/>
  <c r="K66" i="21" s="1"/>
  <c r="L66" i="21" s="1"/>
  <c r="J57" i="21"/>
  <c r="K57" i="21" s="1"/>
  <c r="L57" i="21" s="1"/>
  <c r="T13" i="20" s="1"/>
  <c r="J51" i="21"/>
  <c r="K51" i="21" s="1"/>
  <c r="L51" i="21" s="1"/>
  <c r="T7" i="20" s="1"/>
  <c r="J58" i="21"/>
  <c r="K58" i="21" s="1"/>
  <c r="L58" i="21" s="1"/>
  <c r="T14" i="20" s="1"/>
  <c r="J56" i="21"/>
  <c r="K56" i="21" s="1"/>
  <c r="L56" i="21" s="1"/>
  <c r="T12" i="20" s="1"/>
  <c r="J49" i="21"/>
  <c r="K49" i="21" s="1"/>
  <c r="L49" i="21" s="1"/>
  <c r="T5" i="20" s="1"/>
  <c r="J50" i="21"/>
  <c r="K50" i="21" s="1"/>
  <c r="L50" i="21" s="1"/>
  <c r="T6" i="20" s="1"/>
  <c r="J60" i="21"/>
  <c r="K60" i="21" s="1"/>
  <c r="L60" i="21" s="1"/>
  <c r="T16" i="20" s="1"/>
  <c r="J65" i="21"/>
  <c r="K65" i="21" s="1"/>
  <c r="L65" i="21" s="1"/>
  <c r="T21" i="20" s="1"/>
  <c r="P81" i="16"/>
  <c r="Q81" i="16" s="1"/>
  <c r="R81" i="16" s="1"/>
  <c r="P42" i="15" s="1"/>
  <c r="T20" i="14" s="1"/>
  <c r="P78" i="16"/>
  <c r="Q78" i="16" s="1"/>
  <c r="R78" i="16" s="1"/>
  <c r="P39" i="15" s="1"/>
  <c r="T17" i="14" s="1"/>
  <c r="J64" i="16"/>
  <c r="J78" i="16" s="1"/>
  <c r="K78" i="16" s="1"/>
  <c r="L78" i="16" s="1"/>
  <c r="N39" i="15" s="1"/>
  <c r="R17" i="14" s="1"/>
  <c r="BT22" i="21"/>
  <c r="BU22" i="21"/>
  <c r="BU19" i="21"/>
  <c r="BT19" i="21"/>
  <c r="BU4" i="21"/>
  <c r="BT4" i="21"/>
  <c r="M67" i="21"/>
  <c r="N67" i="21" s="1"/>
  <c r="O67" i="21" s="1"/>
  <c r="M70" i="21"/>
  <c r="N70" i="21" s="1"/>
  <c r="O70" i="21" s="1"/>
  <c r="M59" i="21"/>
  <c r="N59" i="21" s="1"/>
  <c r="O59" i="21" s="1"/>
  <c r="U15" i="20" s="1"/>
  <c r="M55" i="21"/>
  <c r="N55" i="21" s="1"/>
  <c r="O55" i="21" s="1"/>
  <c r="U11" i="20" s="1"/>
  <c r="M53" i="21"/>
  <c r="N53" i="21" s="1"/>
  <c r="O53" i="21" s="1"/>
  <c r="U9" i="20" s="1"/>
  <c r="M66" i="21"/>
  <c r="N66" i="21" s="1"/>
  <c r="O66" i="21" s="1"/>
  <c r="M58" i="21"/>
  <c r="N58" i="21" s="1"/>
  <c r="O58" i="21" s="1"/>
  <c r="U14" i="20" s="1"/>
  <c r="M57" i="21"/>
  <c r="N57" i="21" s="1"/>
  <c r="O57" i="21" s="1"/>
  <c r="U13" i="20" s="1"/>
  <c r="M56" i="21"/>
  <c r="N56" i="21" s="1"/>
  <c r="O56" i="21" s="1"/>
  <c r="U12" i="20" s="1"/>
  <c r="M65" i="21"/>
  <c r="N65" i="21" s="1"/>
  <c r="O65" i="21" s="1"/>
  <c r="U21" i="20" s="1"/>
  <c r="M64" i="21"/>
  <c r="N64" i="21" s="1"/>
  <c r="O64" i="21" s="1"/>
  <c r="U20" i="20" s="1"/>
  <c r="M71" i="21"/>
  <c r="N71" i="21" s="1"/>
  <c r="O71" i="21" s="1"/>
  <c r="M61" i="21"/>
  <c r="N61" i="21" s="1"/>
  <c r="O61" i="21" s="1"/>
  <c r="U17" i="20" s="1"/>
  <c r="M54" i="21"/>
  <c r="N54" i="21" s="1"/>
  <c r="O54" i="21" s="1"/>
  <c r="U10" i="20" s="1"/>
  <c r="M60" i="21"/>
  <c r="N60" i="21" s="1"/>
  <c r="O60" i="21" s="1"/>
  <c r="U16" i="20" s="1"/>
  <c r="M63" i="21"/>
  <c r="N63" i="21" s="1"/>
  <c r="O63" i="21" s="1"/>
  <c r="U19" i="20" s="1"/>
  <c r="M50" i="21"/>
  <c r="N50" i="21" s="1"/>
  <c r="O50" i="21" s="1"/>
  <c r="U6" i="20" s="1"/>
  <c r="M69" i="21"/>
  <c r="N69" i="21" s="1"/>
  <c r="O69" i="21" s="1"/>
  <c r="M49" i="21"/>
  <c r="N49" i="21" s="1"/>
  <c r="O49" i="21" s="1"/>
  <c r="U5" i="20" s="1"/>
  <c r="M68" i="21"/>
  <c r="N68" i="21" s="1"/>
  <c r="O68" i="21" s="1"/>
  <c r="M51" i="21"/>
  <c r="N51" i="21" s="1"/>
  <c r="O51" i="21" s="1"/>
  <c r="U7" i="20" s="1"/>
  <c r="M62" i="21"/>
  <c r="N62" i="21" s="1"/>
  <c r="O62" i="21" s="1"/>
  <c r="U18" i="20" s="1"/>
  <c r="M52" i="21"/>
  <c r="N52" i="21" s="1"/>
  <c r="O52" i="21" s="1"/>
  <c r="U8" i="20" s="1"/>
  <c r="G64" i="16"/>
  <c r="G77" i="16" s="1"/>
  <c r="H77" i="16" s="1"/>
  <c r="I77" i="16" s="1"/>
  <c r="M38" i="15" s="1"/>
  <c r="Q16" i="14" s="1"/>
  <c r="D64" i="16"/>
  <c r="D83" i="16" s="1"/>
  <c r="E83" i="16" s="1"/>
  <c r="F83" i="16" s="1"/>
  <c r="L44" i="15" s="1"/>
  <c r="P22" i="14" s="1"/>
  <c r="S64" i="16"/>
  <c r="S72" i="16" s="1"/>
  <c r="T72" i="16" s="1"/>
  <c r="U72" i="16" s="1"/>
  <c r="Q33" i="15" s="1"/>
  <c r="U11" i="14" s="1"/>
  <c r="BT20" i="21"/>
  <c r="BU20" i="21"/>
  <c r="P73" i="16"/>
  <c r="Q73" i="16" s="1"/>
  <c r="R73" i="16" s="1"/>
  <c r="P34" i="15" s="1"/>
  <c r="T12" i="14" s="1"/>
  <c r="P75" i="16"/>
  <c r="Q75" i="16" s="1"/>
  <c r="R75" i="16" s="1"/>
  <c r="P36" i="15" s="1"/>
  <c r="T14" i="14" s="1"/>
  <c r="V63" i="16"/>
  <c r="AA33" i="16"/>
  <c r="X33" i="16"/>
  <c r="S33" i="16"/>
  <c r="T33" i="16"/>
  <c r="W33" i="16"/>
  <c r="V33" i="16"/>
  <c r="U33" i="16"/>
  <c r="BT9" i="21"/>
  <c r="BU9" i="21"/>
  <c r="Z40" i="21"/>
  <c r="AA39" i="21"/>
  <c r="M64" i="16"/>
  <c r="M75" i="16" s="1"/>
  <c r="N75" i="16" s="1"/>
  <c r="O75" i="16" s="1"/>
  <c r="O36" i="15" s="1"/>
  <c r="S14" i="14" s="1"/>
  <c r="BU26" i="21"/>
  <c r="BT26" i="21"/>
  <c r="BU16" i="21"/>
  <c r="BT16" i="21"/>
  <c r="W37" i="16"/>
  <c r="U37" i="16"/>
  <c r="T37" i="16"/>
  <c r="S37" i="16"/>
  <c r="V37" i="16"/>
  <c r="AA37" i="16"/>
  <c r="X37" i="16"/>
  <c r="X27" i="16"/>
  <c r="W27" i="16"/>
  <c r="T27" i="16"/>
  <c r="V27" i="16"/>
  <c r="AA27" i="16"/>
  <c r="U27" i="16"/>
  <c r="S27" i="16"/>
  <c r="D68" i="21"/>
  <c r="E68" i="21" s="1"/>
  <c r="F68" i="21" s="1"/>
  <c r="D67" i="21"/>
  <c r="E67" i="21" s="1"/>
  <c r="F67" i="21" s="1"/>
  <c r="D71" i="21"/>
  <c r="E71" i="21" s="1"/>
  <c r="F71" i="21" s="1"/>
  <c r="D60" i="21"/>
  <c r="E60" i="21" s="1"/>
  <c r="F60" i="21" s="1"/>
  <c r="R16" i="20" s="1"/>
  <c r="D70" i="21"/>
  <c r="E70" i="21" s="1"/>
  <c r="F70" i="21" s="1"/>
  <c r="D69" i="21"/>
  <c r="E69" i="21" s="1"/>
  <c r="F69" i="21" s="1"/>
  <c r="D59" i="21"/>
  <c r="E59" i="21" s="1"/>
  <c r="F59" i="21" s="1"/>
  <c r="R15" i="20" s="1"/>
  <c r="D55" i="21"/>
  <c r="E55" i="21" s="1"/>
  <c r="F55" i="21" s="1"/>
  <c r="R11" i="20" s="1"/>
  <c r="D66" i="21"/>
  <c r="E66" i="21" s="1"/>
  <c r="F66" i="21" s="1"/>
  <c r="D65" i="21"/>
  <c r="E65" i="21" s="1"/>
  <c r="F65" i="21" s="1"/>
  <c r="R21" i="20" s="1"/>
  <c r="D62" i="21"/>
  <c r="E62" i="21" s="1"/>
  <c r="F62" i="21" s="1"/>
  <c r="R18" i="20" s="1"/>
  <c r="D61" i="21"/>
  <c r="E61" i="21" s="1"/>
  <c r="F61" i="21" s="1"/>
  <c r="R17" i="20" s="1"/>
  <c r="D54" i="21"/>
  <c r="E54" i="21" s="1"/>
  <c r="F54" i="21" s="1"/>
  <c r="R10" i="20" s="1"/>
  <c r="D64" i="21"/>
  <c r="E64" i="21" s="1"/>
  <c r="F64" i="21" s="1"/>
  <c r="R20" i="20" s="1"/>
  <c r="D51" i="21"/>
  <c r="E51" i="21" s="1"/>
  <c r="F51" i="21" s="1"/>
  <c r="R7" i="20" s="1"/>
  <c r="D50" i="21"/>
  <c r="E50" i="21" s="1"/>
  <c r="F50" i="21" s="1"/>
  <c r="R6" i="20" s="1"/>
  <c r="D63" i="21"/>
  <c r="E63" i="21" s="1"/>
  <c r="F63" i="21" s="1"/>
  <c r="R19" i="20" s="1"/>
  <c r="D52" i="21"/>
  <c r="E52" i="21" s="1"/>
  <c r="F52" i="21" s="1"/>
  <c r="R8" i="20" s="1"/>
  <c r="D58" i="21"/>
  <c r="E58" i="21" s="1"/>
  <c r="F58" i="21" s="1"/>
  <c r="R14" i="20" s="1"/>
  <c r="D56" i="21"/>
  <c r="E56" i="21" s="1"/>
  <c r="F56" i="21" s="1"/>
  <c r="R12" i="20" s="1"/>
  <c r="D49" i="21"/>
  <c r="E49" i="21" s="1"/>
  <c r="F49" i="21" s="1"/>
  <c r="R5" i="20" s="1"/>
  <c r="D57" i="21"/>
  <c r="E57" i="21" s="1"/>
  <c r="F57" i="21" s="1"/>
  <c r="R13" i="20" s="1"/>
  <c r="D53" i="21"/>
  <c r="E53" i="21" s="1"/>
  <c r="F53" i="21" s="1"/>
  <c r="R9" i="20" s="1"/>
  <c r="U31" i="16"/>
  <c r="AA31" i="16"/>
  <c r="X31" i="16"/>
  <c r="S31" i="16"/>
  <c r="W31" i="16"/>
  <c r="T31" i="16"/>
  <c r="V31" i="16"/>
  <c r="Z24" i="16"/>
  <c r="BT25" i="21"/>
  <c r="BU25" i="21"/>
  <c r="P68" i="16"/>
  <c r="Q68" i="16" s="1"/>
  <c r="R68" i="16" s="1"/>
  <c r="P29" i="15" s="1"/>
  <c r="T7" i="14" s="1"/>
  <c r="P72" i="16"/>
  <c r="Q72" i="16" s="1"/>
  <c r="R72" i="16" s="1"/>
  <c r="P33" i="15" s="1"/>
  <c r="T11" i="14" s="1"/>
  <c r="Z33" i="16"/>
  <c r="S38" i="16"/>
  <c r="X38" i="16"/>
  <c r="W38" i="16"/>
  <c r="V38" i="16"/>
  <c r="AA38" i="16"/>
  <c r="U38" i="16"/>
  <c r="T38" i="16"/>
  <c r="BU11" i="21"/>
  <c r="BT11" i="21"/>
  <c r="U24" i="11"/>
  <c r="Z34" i="11"/>
  <c r="Y40" i="11"/>
  <c r="R40" i="11"/>
  <c r="Y25" i="11"/>
  <c r="R25" i="11"/>
  <c r="S64" i="11"/>
  <c r="S72" i="11" s="1"/>
  <c r="T72" i="11" s="1"/>
  <c r="U72" i="11" s="1"/>
  <c r="Q33" i="10" s="1"/>
  <c r="R26" i="11"/>
  <c r="Y26" i="11"/>
  <c r="Y29" i="11"/>
  <c r="R29" i="11"/>
  <c r="R35" i="11"/>
  <c r="Y35" i="11"/>
  <c r="G64" i="11"/>
  <c r="G76" i="11" s="1"/>
  <c r="H76" i="11" s="1"/>
  <c r="I76" i="11" s="1"/>
  <c r="M37" i="10" s="1"/>
  <c r="M64" i="11"/>
  <c r="M68" i="11" s="1"/>
  <c r="N68" i="11" s="1"/>
  <c r="O68" i="11" s="1"/>
  <c r="O29" i="10" s="1"/>
  <c r="T34" i="11"/>
  <c r="S34" i="11"/>
  <c r="X34" i="11"/>
  <c r="W34" i="11"/>
  <c r="AA34" i="11"/>
  <c r="V34" i="11"/>
  <c r="U34" i="11"/>
  <c r="Y37" i="11"/>
  <c r="R37" i="11"/>
  <c r="X31" i="11"/>
  <c r="S31" i="11"/>
  <c r="P64" i="11"/>
  <c r="P67" i="11" s="1"/>
  <c r="Q67" i="11" s="1"/>
  <c r="R67" i="11" s="1"/>
  <c r="P28" i="10" s="1"/>
  <c r="R32" i="11"/>
  <c r="Y32" i="11"/>
  <c r="J64" i="11"/>
  <c r="J77" i="11" s="1"/>
  <c r="K77" i="11" s="1"/>
  <c r="L77" i="11" s="1"/>
  <c r="N38" i="10" s="1"/>
  <c r="Y38" i="11"/>
  <c r="R38" i="11"/>
  <c r="V64" i="11"/>
  <c r="V71" i="11" s="1"/>
  <c r="W71" i="11" s="1"/>
  <c r="X71" i="11" s="1"/>
  <c r="R32" i="10" s="1"/>
  <c r="V33" i="11"/>
  <c r="X33" i="11"/>
  <c r="W33" i="11"/>
  <c r="AA33" i="11"/>
  <c r="U33" i="11"/>
  <c r="S33" i="11"/>
  <c r="T33" i="11"/>
  <c r="Y36" i="11"/>
  <c r="R36" i="11"/>
  <c r="D64" i="11"/>
  <c r="D72" i="11" s="1"/>
  <c r="E72" i="11" s="1"/>
  <c r="F72" i="11" s="1"/>
  <c r="L33" i="10" s="1"/>
  <c r="O6" i="2"/>
  <c r="G30" i="3"/>
  <c r="O5" i="2" s="1"/>
  <c r="G34" i="3"/>
  <c r="O8" i="2"/>
  <c r="W31" i="11" l="1"/>
  <c r="Z31" i="11"/>
  <c r="U31" i="11"/>
  <c r="T31" i="11"/>
  <c r="AA31" i="11"/>
  <c r="X24" i="11"/>
  <c r="AA24" i="11"/>
  <c r="Z24" i="11"/>
  <c r="S24" i="11"/>
  <c r="T24" i="11"/>
  <c r="AB30" i="11"/>
  <c r="AC30" i="11" s="1"/>
  <c r="AD30" i="11" s="1"/>
  <c r="AI30" i="11" s="1"/>
  <c r="AQ10" i="11" s="1"/>
  <c r="AR10" i="11" s="1"/>
  <c r="AW10" i="11" s="1"/>
  <c r="AB27" i="11"/>
  <c r="AC27" i="11" s="1"/>
  <c r="AD27" i="11" s="1"/>
  <c r="AI27" i="11" s="1"/>
  <c r="AQ7" i="11" s="1"/>
  <c r="AR7" i="11" s="1"/>
  <c r="AX7" i="11" s="1"/>
  <c r="W24" i="11"/>
  <c r="X28" i="11"/>
  <c r="T28" i="11"/>
  <c r="S28" i="11"/>
  <c r="Z28" i="11"/>
  <c r="U28" i="11"/>
  <c r="V28" i="11"/>
  <c r="AA28" i="11"/>
  <c r="O18" i="3"/>
  <c r="O15" i="3" s="1"/>
  <c r="S78" i="16"/>
  <c r="T78" i="16" s="1"/>
  <c r="U78" i="16" s="1"/>
  <c r="Q39" i="15" s="1"/>
  <c r="U17" i="14" s="1"/>
  <c r="G78" i="16"/>
  <c r="H78" i="16" s="1"/>
  <c r="I78" i="16" s="1"/>
  <c r="M39" i="15" s="1"/>
  <c r="Q17" i="14" s="1"/>
  <c r="G70" i="16"/>
  <c r="H70" i="16" s="1"/>
  <c r="I70" i="16" s="1"/>
  <c r="M31" i="15" s="1"/>
  <c r="Q9" i="14" s="1"/>
  <c r="S82" i="16"/>
  <c r="T82" i="16" s="1"/>
  <c r="U82" i="16" s="1"/>
  <c r="Q43" i="15" s="1"/>
  <c r="U21" i="14" s="1"/>
  <c r="S69" i="16"/>
  <c r="T69" i="16" s="1"/>
  <c r="U69" i="16" s="1"/>
  <c r="Q30" i="15" s="1"/>
  <c r="U8" i="14" s="1"/>
  <c r="S77" i="16"/>
  <c r="T77" i="16" s="1"/>
  <c r="U77" i="16" s="1"/>
  <c r="Q38" i="15" s="1"/>
  <c r="U16" i="14" s="1"/>
  <c r="M68" i="16"/>
  <c r="N68" i="16" s="1"/>
  <c r="O68" i="16" s="1"/>
  <c r="O29" i="15" s="1"/>
  <c r="S7" i="14" s="1"/>
  <c r="G73" i="16"/>
  <c r="H73" i="16" s="1"/>
  <c r="I73" i="16" s="1"/>
  <c r="M34" i="15" s="1"/>
  <c r="Q12" i="14" s="1"/>
  <c r="G76" i="16"/>
  <c r="H76" i="16" s="1"/>
  <c r="I76" i="16" s="1"/>
  <c r="M37" i="15" s="1"/>
  <c r="Q15" i="14" s="1"/>
  <c r="G74" i="16"/>
  <c r="H74" i="16" s="1"/>
  <c r="I74" i="16" s="1"/>
  <c r="M35" i="15" s="1"/>
  <c r="Q13" i="14" s="1"/>
  <c r="S76" i="16"/>
  <c r="T76" i="16" s="1"/>
  <c r="U76" i="16" s="1"/>
  <c r="Q37" i="15" s="1"/>
  <c r="U15" i="14" s="1"/>
  <c r="G71" i="16"/>
  <c r="H71" i="16" s="1"/>
  <c r="I71" i="16" s="1"/>
  <c r="M32" i="15" s="1"/>
  <c r="Q10" i="14" s="1"/>
  <c r="M79" i="16"/>
  <c r="N79" i="16" s="1"/>
  <c r="O79" i="16" s="1"/>
  <c r="O40" i="15" s="1"/>
  <c r="S18" i="14" s="1"/>
  <c r="S73" i="16"/>
  <c r="T73" i="16" s="1"/>
  <c r="U73" i="16" s="1"/>
  <c r="Q34" i="15" s="1"/>
  <c r="U12" i="14" s="1"/>
  <c r="G79" i="16"/>
  <c r="H79" i="16" s="1"/>
  <c r="I79" i="16" s="1"/>
  <c r="M40" i="15" s="1"/>
  <c r="Q18" i="14" s="1"/>
  <c r="M72" i="16"/>
  <c r="N72" i="16" s="1"/>
  <c r="O72" i="16" s="1"/>
  <c r="O33" i="15" s="1"/>
  <c r="S11" i="14" s="1"/>
  <c r="S67" i="16"/>
  <c r="T67" i="16" s="1"/>
  <c r="U67" i="16" s="1"/>
  <c r="Q28" i="15" s="1"/>
  <c r="U6" i="14" s="1"/>
  <c r="G67" i="16"/>
  <c r="H67" i="16" s="1"/>
  <c r="I67" i="16" s="1"/>
  <c r="M28" i="15" s="1"/>
  <c r="Q6" i="14" s="1"/>
  <c r="G68" i="16"/>
  <c r="H68" i="16" s="1"/>
  <c r="I68" i="16" s="1"/>
  <c r="M29" i="15" s="1"/>
  <c r="Q7" i="14" s="1"/>
  <c r="AB39" i="11"/>
  <c r="AC39" i="11" s="1"/>
  <c r="AD39" i="11" s="1"/>
  <c r="AI39" i="11" s="1"/>
  <c r="AQ19" i="11" s="1"/>
  <c r="AY19" i="11" s="1"/>
  <c r="O16" i="7"/>
  <c r="O17" i="7" s="1"/>
  <c r="N16" i="7"/>
  <c r="N17" i="7" s="1"/>
  <c r="M16" i="7"/>
  <c r="M17" i="7" s="1"/>
  <c r="P16" i="7"/>
  <c r="P17" i="7" s="1"/>
  <c r="G75" i="16"/>
  <c r="H75" i="16" s="1"/>
  <c r="I75" i="16" s="1"/>
  <c r="M36" i="15" s="1"/>
  <c r="Q14" i="14" s="1"/>
  <c r="G69" i="16"/>
  <c r="H69" i="16" s="1"/>
  <c r="I69" i="16" s="1"/>
  <c r="M30" i="15" s="1"/>
  <c r="Q8" i="14" s="1"/>
  <c r="Z29" i="16"/>
  <c r="G82" i="16"/>
  <c r="H82" i="16" s="1"/>
  <c r="I82" i="16" s="1"/>
  <c r="M43" i="15" s="1"/>
  <c r="Q21" i="14" s="1"/>
  <c r="M73" i="16"/>
  <c r="N73" i="16" s="1"/>
  <c r="O73" i="16" s="1"/>
  <c r="O34" i="15" s="1"/>
  <c r="S12" i="14" s="1"/>
  <c r="J80" i="16"/>
  <c r="K80" i="16" s="1"/>
  <c r="L80" i="16" s="1"/>
  <c r="N41" i="15" s="1"/>
  <c r="R19" i="14" s="1"/>
  <c r="J67" i="16"/>
  <c r="K67" i="16" s="1"/>
  <c r="L67" i="16" s="1"/>
  <c r="N28" i="15" s="1"/>
  <c r="R6" i="14" s="1"/>
  <c r="J68" i="16"/>
  <c r="K68" i="16" s="1"/>
  <c r="L68" i="16" s="1"/>
  <c r="N29" i="15" s="1"/>
  <c r="R7" i="14" s="1"/>
  <c r="J72" i="16"/>
  <c r="K72" i="16" s="1"/>
  <c r="L72" i="16" s="1"/>
  <c r="N33" i="15" s="1"/>
  <c r="R11" i="14" s="1"/>
  <c r="J73" i="16"/>
  <c r="K73" i="16" s="1"/>
  <c r="L73" i="16" s="1"/>
  <c r="N34" i="15" s="1"/>
  <c r="R12" i="14" s="1"/>
  <c r="M80" i="16"/>
  <c r="N80" i="16" s="1"/>
  <c r="O80" i="16" s="1"/>
  <c r="O41" i="15" s="1"/>
  <c r="S19" i="14" s="1"/>
  <c r="S79" i="16"/>
  <c r="T79" i="16" s="1"/>
  <c r="U79" i="16" s="1"/>
  <c r="Q40" i="15" s="1"/>
  <c r="U18" i="14" s="1"/>
  <c r="S75" i="16"/>
  <c r="T75" i="16" s="1"/>
  <c r="U75" i="16" s="1"/>
  <c r="Q36" i="15" s="1"/>
  <c r="U14" i="14" s="1"/>
  <c r="J77" i="16"/>
  <c r="K77" i="16" s="1"/>
  <c r="L77" i="16" s="1"/>
  <c r="N38" i="15" s="1"/>
  <c r="R16" i="14" s="1"/>
  <c r="J74" i="16"/>
  <c r="K74" i="16" s="1"/>
  <c r="L74" i="16" s="1"/>
  <c r="N35" i="15" s="1"/>
  <c r="R13" i="14" s="1"/>
  <c r="AB31" i="16"/>
  <c r="AC31" i="16" s="1"/>
  <c r="AD31" i="16" s="1"/>
  <c r="AI31" i="16" s="1"/>
  <c r="AQ11" i="16" s="1"/>
  <c r="AR11" i="16" s="1"/>
  <c r="AU11" i="16" s="1"/>
  <c r="M77" i="16"/>
  <c r="N77" i="16" s="1"/>
  <c r="O77" i="16" s="1"/>
  <c r="O38" i="15" s="1"/>
  <c r="S16" i="14" s="1"/>
  <c r="J82" i="16"/>
  <c r="K82" i="16" s="1"/>
  <c r="L82" i="16" s="1"/>
  <c r="N43" i="15" s="1"/>
  <c r="R21" i="14" s="1"/>
  <c r="J83" i="16"/>
  <c r="K83" i="16" s="1"/>
  <c r="L83" i="16" s="1"/>
  <c r="N44" i="15" s="1"/>
  <c r="R22" i="14" s="1"/>
  <c r="M71" i="16"/>
  <c r="N71" i="16" s="1"/>
  <c r="O71" i="16" s="1"/>
  <c r="O32" i="15" s="1"/>
  <c r="S10" i="14" s="1"/>
  <c r="S81" i="16"/>
  <c r="T81" i="16" s="1"/>
  <c r="U81" i="16" s="1"/>
  <c r="Q42" i="15" s="1"/>
  <c r="U20" i="14" s="1"/>
  <c r="S71" i="16"/>
  <c r="T71" i="16" s="1"/>
  <c r="U71" i="16" s="1"/>
  <c r="Q32" i="15" s="1"/>
  <c r="U10" i="14" s="1"/>
  <c r="J75" i="16"/>
  <c r="K75" i="16" s="1"/>
  <c r="L75" i="16" s="1"/>
  <c r="N36" i="15" s="1"/>
  <c r="R14" i="14" s="1"/>
  <c r="J69" i="16"/>
  <c r="K69" i="16" s="1"/>
  <c r="L69" i="16" s="1"/>
  <c r="N30" i="15" s="1"/>
  <c r="R8" i="14" s="1"/>
  <c r="M74" i="16"/>
  <c r="N74" i="16" s="1"/>
  <c r="O74" i="16" s="1"/>
  <c r="O35" i="15" s="1"/>
  <c r="S13" i="14" s="1"/>
  <c r="D72" i="16"/>
  <c r="E72" i="16" s="1"/>
  <c r="F72" i="16" s="1"/>
  <c r="L33" i="15" s="1"/>
  <c r="P11" i="14" s="1"/>
  <c r="J81" i="16"/>
  <c r="K81" i="16" s="1"/>
  <c r="L81" i="16" s="1"/>
  <c r="N42" i="15" s="1"/>
  <c r="R20" i="14" s="1"/>
  <c r="J71" i="16"/>
  <c r="K71" i="16" s="1"/>
  <c r="L71" i="16" s="1"/>
  <c r="N32" i="15" s="1"/>
  <c r="R10" i="14" s="1"/>
  <c r="V64" i="16"/>
  <c r="V83" i="16" s="1"/>
  <c r="W83" i="16" s="1"/>
  <c r="X83" i="16" s="1"/>
  <c r="R44" i="15" s="1"/>
  <c r="V22" i="14" s="1"/>
  <c r="E13" i="23"/>
  <c r="D13" i="23"/>
  <c r="G14" i="18"/>
  <c r="F14" i="18"/>
  <c r="BW25" i="21"/>
  <c r="AC52" i="21" s="1"/>
  <c r="BV25" i="21"/>
  <c r="AB52" i="21" s="1"/>
  <c r="AB27" i="16"/>
  <c r="AC27" i="16" s="1"/>
  <c r="AD27" i="16" s="1"/>
  <c r="AI27" i="16" s="1"/>
  <c r="AQ7" i="16" s="1"/>
  <c r="BV26" i="21"/>
  <c r="AB53" i="21" s="1"/>
  <c r="BW26" i="21"/>
  <c r="AC53" i="21" s="1"/>
  <c r="M83" i="16"/>
  <c r="N83" i="16" s="1"/>
  <c r="O83" i="16" s="1"/>
  <c r="O44" i="15" s="1"/>
  <c r="S22" i="14" s="1"/>
  <c r="M69" i="16"/>
  <c r="N69" i="16" s="1"/>
  <c r="O69" i="16" s="1"/>
  <c r="O30" i="15" s="1"/>
  <c r="S8" i="14" s="1"/>
  <c r="S70" i="16"/>
  <c r="T70" i="16" s="1"/>
  <c r="U70" i="16" s="1"/>
  <c r="Q31" i="15" s="1"/>
  <c r="U9" i="14" s="1"/>
  <c r="S74" i="16"/>
  <c r="T74" i="16" s="1"/>
  <c r="U74" i="16" s="1"/>
  <c r="Q35" i="15" s="1"/>
  <c r="U13" i="14" s="1"/>
  <c r="D70" i="16"/>
  <c r="E70" i="16" s="1"/>
  <c r="F70" i="16" s="1"/>
  <c r="L31" i="15" s="1"/>
  <c r="P9" i="14" s="1"/>
  <c r="D80" i="16"/>
  <c r="E80" i="16" s="1"/>
  <c r="F80" i="16" s="1"/>
  <c r="L41" i="15" s="1"/>
  <c r="P19" i="14" s="1"/>
  <c r="G81" i="16"/>
  <c r="H81" i="16" s="1"/>
  <c r="I81" i="16" s="1"/>
  <c r="M42" i="15" s="1"/>
  <c r="Q20" i="14" s="1"/>
  <c r="G83" i="16"/>
  <c r="H83" i="16" s="1"/>
  <c r="I83" i="16" s="1"/>
  <c r="M44" i="15" s="1"/>
  <c r="Q22" i="14" s="1"/>
  <c r="BW19" i="21"/>
  <c r="AC46" i="21" s="1"/>
  <c r="BV19" i="21"/>
  <c r="AB46" i="21" s="1"/>
  <c r="J79" i="16"/>
  <c r="K79" i="16" s="1"/>
  <c r="L79" i="16" s="1"/>
  <c r="N40" i="15" s="1"/>
  <c r="R18" i="14" s="1"/>
  <c r="BW12" i="21"/>
  <c r="AC39" i="21" s="1"/>
  <c r="BV12" i="21"/>
  <c r="AB39" i="21" s="1"/>
  <c r="AB40" i="16"/>
  <c r="AC40" i="16" s="1"/>
  <c r="AD40" i="16" s="1"/>
  <c r="AI40" i="16" s="1"/>
  <c r="AQ20" i="16" s="1"/>
  <c r="BW15" i="21"/>
  <c r="AC42" i="21" s="1"/>
  <c r="BV15" i="21"/>
  <c r="AB42" i="21" s="1"/>
  <c r="BW9" i="21"/>
  <c r="AC36" i="21" s="1"/>
  <c r="BV9" i="21"/>
  <c r="AB36" i="21" s="1"/>
  <c r="BW8" i="21"/>
  <c r="AC35" i="21" s="1"/>
  <c r="BV8" i="21"/>
  <c r="AB35" i="21" s="1"/>
  <c r="M70" i="16"/>
  <c r="N70" i="16" s="1"/>
  <c r="O70" i="16" s="1"/>
  <c r="O31" i="15" s="1"/>
  <c r="S9" i="14" s="1"/>
  <c r="M78" i="16"/>
  <c r="N78" i="16" s="1"/>
  <c r="O78" i="16" s="1"/>
  <c r="O39" i="15" s="1"/>
  <c r="S17" i="14" s="1"/>
  <c r="S83" i="16"/>
  <c r="T83" i="16" s="1"/>
  <c r="U83" i="16" s="1"/>
  <c r="Q44" i="15" s="1"/>
  <c r="U22" i="14" s="1"/>
  <c r="S68" i="16"/>
  <c r="T68" i="16" s="1"/>
  <c r="U68" i="16" s="1"/>
  <c r="Q29" i="15" s="1"/>
  <c r="U7" i="14" s="1"/>
  <c r="D68" i="16"/>
  <c r="E68" i="16" s="1"/>
  <c r="F68" i="16" s="1"/>
  <c r="L29" i="15" s="1"/>
  <c r="P7" i="14" s="1"/>
  <c r="D76" i="16"/>
  <c r="E76" i="16" s="1"/>
  <c r="F76" i="16" s="1"/>
  <c r="L37" i="15" s="1"/>
  <c r="P15" i="14" s="1"/>
  <c r="G80" i="16"/>
  <c r="H80" i="16" s="1"/>
  <c r="I80" i="16" s="1"/>
  <c r="M41" i="15" s="1"/>
  <c r="Q19" i="14" s="1"/>
  <c r="G72" i="16"/>
  <c r="H72" i="16" s="1"/>
  <c r="I72" i="16" s="1"/>
  <c r="M33" i="15" s="1"/>
  <c r="Q11" i="14" s="1"/>
  <c r="J76" i="16"/>
  <c r="K76" i="16" s="1"/>
  <c r="L76" i="16" s="1"/>
  <c r="N37" i="15" s="1"/>
  <c r="R15" i="14" s="1"/>
  <c r="J70" i="16"/>
  <c r="K70" i="16" s="1"/>
  <c r="L70" i="16" s="1"/>
  <c r="N31" i="15" s="1"/>
  <c r="R9" i="14" s="1"/>
  <c r="BW21" i="21"/>
  <c r="AC48" i="21" s="1"/>
  <c r="BV21" i="21"/>
  <c r="AB48" i="21" s="1"/>
  <c r="BV6" i="21"/>
  <c r="AB33" i="21" s="1"/>
  <c r="BW6" i="21"/>
  <c r="AC33" i="21" s="1"/>
  <c r="BW13" i="21"/>
  <c r="AC40" i="21" s="1"/>
  <c r="BV13" i="21"/>
  <c r="AB40" i="21" s="1"/>
  <c r="AS40" i="21" s="1"/>
  <c r="AB37" i="16"/>
  <c r="AC37" i="16" s="1"/>
  <c r="AD37" i="16" s="1"/>
  <c r="AI37" i="16" s="1"/>
  <c r="AQ17" i="16" s="1"/>
  <c r="D82" i="16"/>
  <c r="E82" i="16" s="1"/>
  <c r="F82" i="16" s="1"/>
  <c r="L43" i="15" s="1"/>
  <c r="P21" i="14" s="1"/>
  <c r="D67" i="16"/>
  <c r="E67" i="16" s="1"/>
  <c r="F67" i="16" s="1"/>
  <c r="L28" i="15" s="1"/>
  <c r="P6" i="14" s="1"/>
  <c r="BW24" i="21"/>
  <c r="AC51" i="21" s="1"/>
  <c r="BV24" i="21"/>
  <c r="AB51" i="21" s="1"/>
  <c r="AB32" i="16"/>
  <c r="AC32" i="16" s="1"/>
  <c r="AD32" i="16" s="1"/>
  <c r="AI32" i="16" s="1"/>
  <c r="AQ12" i="16" s="1"/>
  <c r="BV17" i="21"/>
  <c r="AB44" i="21" s="1"/>
  <c r="BW17" i="21"/>
  <c r="AC44" i="21" s="1"/>
  <c r="AB35" i="16"/>
  <c r="AC35" i="16" s="1"/>
  <c r="AD35" i="16" s="1"/>
  <c r="AI35" i="16" s="1"/>
  <c r="AQ15" i="16" s="1"/>
  <c r="AB28" i="16"/>
  <c r="AC28" i="16" s="1"/>
  <c r="AD28" i="16" s="1"/>
  <c r="AI28" i="16" s="1"/>
  <c r="AQ8" i="16" s="1"/>
  <c r="D77" i="16"/>
  <c r="E77" i="16" s="1"/>
  <c r="F77" i="16" s="1"/>
  <c r="L38" i="15" s="1"/>
  <c r="P16" i="14" s="1"/>
  <c r="D69" i="16"/>
  <c r="E69" i="16" s="1"/>
  <c r="F69" i="16" s="1"/>
  <c r="L30" i="15" s="1"/>
  <c r="P8" i="14" s="1"/>
  <c r="D79" i="16"/>
  <c r="E79" i="16" s="1"/>
  <c r="F79" i="16" s="1"/>
  <c r="L40" i="15" s="1"/>
  <c r="P18" i="14" s="1"/>
  <c r="BV11" i="21"/>
  <c r="AB38" i="21" s="1"/>
  <c r="BW11" i="21"/>
  <c r="AC38" i="21" s="1"/>
  <c r="AB38" i="16"/>
  <c r="AC38" i="16" s="1"/>
  <c r="AD38" i="16" s="1"/>
  <c r="AI38" i="16" s="1"/>
  <c r="AQ18" i="16" s="1"/>
  <c r="M76" i="16"/>
  <c r="N76" i="16" s="1"/>
  <c r="O76" i="16" s="1"/>
  <c r="O37" i="15" s="1"/>
  <c r="S15" i="14" s="1"/>
  <c r="M67" i="16"/>
  <c r="N67" i="16" s="1"/>
  <c r="O67" i="16" s="1"/>
  <c r="O28" i="15" s="1"/>
  <c r="S6" i="14" s="1"/>
  <c r="BW20" i="21"/>
  <c r="AC47" i="21" s="1"/>
  <c r="BV20" i="21"/>
  <c r="AB47" i="21" s="1"/>
  <c r="S80" i="16"/>
  <c r="T80" i="16" s="1"/>
  <c r="U80" i="16" s="1"/>
  <c r="Q41" i="15" s="1"/>
  <c r="U19" i="14" s="1"/>
  <c r="D71" i="16"/>
  <c r="E71" i="16" s="1"/>
  <c r="F71" i="16" s="1"/>
  <c r="L32" i="15" s="1"/>
  <c r="P10" i="14" s="1"/>
  <c r="D78" i="16"/>
  <c r="E78" i="16" s="1"/>
  <c r="F78" i="16" s="1"/>
  <c r="L39" i="15" s="1"/>
  <c r="P17" i="14" s="1"/>
  <c r="BW22" i="21"/>
  <c r="AC49" i="21" s="1"/>
  <c r="BV22" i="21"/>
  <c r="AB49" i="21" s="1"/>
  <c r="AB36" i="16"/>
  <c r="AC36" i="16" s="1"/>
  <c r="AD36" i="16" s="1"/>
  <c r="AI36" i="16" s="1"/>
  <c r="AQ16" i="16" s="1"/>
  <c r="AB34" i="16"/>
  <c r="AC34" i="16" s="1"/>
  <c r="AD34" i="16" s="1"/>
  <c r="AI34" i="16" s="1"/>
  <c r="AQ14" i="16" s="1"/>
  <c r="AB30" i="16"/>
  <c r="AC30" i="16" s="1"/>
  <c r="AD30" i="16" s="1"/>
  <c r="AI30" i="16" s="1"/>
  <c r="AQ10" i="16" s="1"/>
  <c r="AB39" i="16"/>
  <c r="AC39" i="16" s="1"/>
  <c r="AD39" i="16" s="1"/>
  <c r="AI39" i="16" s="1"/>
  <c r="AQ19" i="16" s="1"/>
  <c r="AB33" i="16"/>
  <c r="AC33" i="16" s="1"/>
  <c r="AD33" i="16" s="1"/>
  <c r="AI33" i="16" s="1"/>
  <c r="AQ13" i="16" s="1"/>
  <c r="D73" i="16"/>
  <c r="E73" i="16" s="1"/>
  <c r="F73" i="16" s="1"/>
  <c r="L34" i="15" s="1"/>
  <c r="P12" i="14" s="1"/>
  <c r="D81" i="16"/>
  <c r="E81" i="16" s="1"/>
  <c r="F81" i="16" s="1"/>
  <c r="L42" i="15" s="1"/>
  <c r="P20" i="14" s="1"/>
  <c r="BW23" i="21"/>
  <c r="AC50" i="21" s="1"/>
  <c r="BV23" i="21"/>
  <c r="AB50" i="21" s="1"/>
  <c r="BW18" i="21"/>
  <c r="AC45" i="21" s="1"/>
  <c r="BV18" i="21"/>
  <c r="AB45" i="21" s="1"/>
  <c r="BV10" i="21"/>
  <c r="AB37" i="21" s="1"/>
  <c r="BW10" i="21"/>
  <c r="AC37" i="21" s="1"/>
  <c r="AB24" i="16"/>
  <c r="AC24" i="16" s="1"/>
  <c r="AD24" i="16" s="1"/>
  <c r="AI24" i="16" s="1"/>
  <c r="AQ4" i="16" s="1"/>
  <c r="BW5" i="21"/>
  <c r="AC32" i="21" s="1"/>
  <c r="BV5" i="21"/>
  <c r="AB32" i="21" s="1"/>
  <c r="AB26" i="16"/>
  <c r="AC26" i="16" s="1"/>
  <c r="AD26" i="16" s="1"/>
  <c r="AI26" i="16" s="1"/>
  <c r="AQ6" i="16" s="1"/>
  <c r="AS65" i="21"/>
  <c r="Z66" i="21"/>
  <c r="BW14" i="21"/>
  <c r="AC41" i="21" s="1"/>
  <c r="BV14" i="21"/>
  <c r="AB41" i="21" s="1"/>
  <c r="Z41" i="21"/>
  <c r="AA40" i="21"/>
  <c r="BW16" i="21"/>
  <c r="AC43" i="21" s="1"/>
  <c r="BV16" i="21"/>
  <c r="AB43" i="21" s="1"/>
  <c r="M81" i="16"/>
  <c r="N81" i="16" s="1"/>
  <c r="O81" i="16" s="1"/>
  <c r="O42" i="15" s="1"/>
  <c r="S20" i="14" s="1"/>
  <c r="M82" i="16"/>
  <c r="N82" i="16" s="1"/>
  <c r="O82" i="16" s="1"/>
  <c r="O43" i="15" s="1"/>
  <c r="S21" i="14" s="1"/>
  <c r="D74" i="16"/>
  <c r="E74" i="16" s="1"/>
  <c r="F74" i="16" s="1"/>
  <c r="L35" i="15" s="1"/>
  <c r="P13" i="14" s="1"/>
  <c r="D75" i="16"/>
  <c r="E75" i="16" s="1"/>
  <c r="F75" i="16" s="1"/>
  <c r="L36" i="15" s="1"/>
  <c r="P14" i="14" s="1"/>
  <c r="BW4" i="21"/>
  <c r="AC31" i="21" s="1"/>
  <c r="BV4" i="21"/>
  <c r="AB31" i="21" s="1"/>
  <c r="BV7" i="21"/>
  <c r="AB34" i="21" s="1"/>
  <c r="BW7" i="21"/>
  <c r="AC34" i="21" s="1"/>
  <c r="AB25" i="16"/>
  <c r="AC25" i="16" s="1"/>
  <c r="AD25" i="16" s="1"/>
  <c r="AI25" i="16" s="1"/>
  <c r="AQ5" i="16" s="1"/>
  <c r="X29" i="16"/>
  <c r="U29" i="16"/>
  <c r="W29" i="16"/>
  <c r="T29" i="16"/>
  <c r="AA29" i="16"/>
  <c r="S29" i="16"/>
  <c r="V29" i="16"/>
  <c r="Z29" i="11"/>
  <c r="P71" i="11"/>
  <c r="Q71" i="11" s="1"/>
  <c r="R71" i="11" s="1"/>
  <c r="P32" i="10" s="1"/>
  <c r="G82" i="11"/>
  <c r="H82" i="11" s="1"/>
  <c r="I82" i="11" s="1"/>
  <c r="M43" i="10" s="1"/>
  <c r="M75" i="11"/>
  <c r="N75" i="11" s="1"/>
  <c r="O75" i="11" s="1"/>
  <c r="O36" i="10" s="1"/>
  <c r="M70" i="11"/>
  <c r="N70" i="11" s="1"/>
  <c r="O70" i="11" s="1"/>
  <c r="O31" i="10" s="1"/>
  <c r="M79" i="11"/>
  <c r="N79" i="11" s="1"/>
  <c r="O79" i="11" s="1"/>
  <c r="O40" i="10" s="1"/>
  <c r="G74" i="11"/>
  <c r="H74" i="11" s="1"/>
  <c r="I74" i="11" s="1"/>
  <c r="M35" i="10" s="1"/>
  <c r="Z37" i="11"/>
  <c r="Z35" i="11"/>
  <c r="Z32" i="11"/>
  <c r="Z40" i="11"/>
  <c r="Z36" i="11"/>
  <c r="V82" i="11"/>
  <c r="W82" i="11" s="1"/>
  <c r="X82" i="11" s="1"/>
  <c r="R43" i="10" s="1"/>
  <c r="P76" i="11"/>
  <c r="Q76" i="11" s="1"/>
  <c r="R76" i="11" s="1"/>
  <c r="P37" i="10" s="1"/>
  <c r="G81" i="11"/>
  <c r="H81" i="11" s="1"/>
  <c r="I81" i="11" s="1"/>
  <c r="M42" i="10" s="1"/>
  <c r="Z26" i="11"/>
  <c r="D83" i="11"/>
  <c r="E83" i="11" s="1"/>
  <c r="F83" i="11" s="1"/>
  <c r="L44" i="10" s="1"/>
  <c r="D81" i="11"/>
  <c r="E81" i="11" s="1"/>
  <c r="F81" i="11" s="1"/>
  <c r="L42" i="10" s="1"/>
  <c r="D68" i="11"/>
  <c r="E68" i="11" s="1"/>
  <c r="F68" i="11" s="1"/>
  <c r="L29" i="10" s="1"/>
  <c r="D67" i="11"/>
  <c r="E67" i="11" s="1"/>
  <c r="F67" i="11" s="1"/>
  <c r="L28" i="10" s="1"/>
  <c r="M77" i="11"/>
  <c r="N77" i="11" s="1"/>
  <c r="O77" i="11" s="1"/>
  <c r="O38" i="10" s="1"/>
  <c r="D73" i="11"/>
  <c r="E73" i="11" s="1"/>
  <c r="F73" i="11" s="1"/>
  <c r="L34" i="10" s="1"/>
  <c r="D71" i="11"/>
  <c r="E71" i="11" s="1"/>
  <c r="F71" i="11" s="1"/>
  <c r="L32" i="10" s="1"/>
  <c r="M83" i="11"/>
  <c r="N83" i="11" s="1"/>
  <c r="O83" i="11" s="1"/>
  <c r="O44" i="10" s="1"/>
  <c r="D74" i="11"/>
  <c r="E74" i="11" s="1"/>
  <c r="F74" i="11" s="1"/>
  <c r="L35" i="10" s="1"/>
  <c r="D77" i="11"/>
  <c r="E77" i="11" s="1"/>
  <c r="F77" i="11" s="1"/>
  <c r="L38" i="10" s="1"/>
  <c r="D69" i="11"/>
  <c r="E69" i="11" s="1"/>
  <c r="F69" i="11" s="1"/>
  <c r="L30" i="10" s="1"/>
  <c r="D80" i="11"/>
  <c r="E80" i="11" s="1"/>
  <c r="F80" i="11" s="1"/>
  <c r="L41" i="10" s="1"/>
  <c r="J75" i="11"/>
  <c r="K75" i="11" s="1"/>
  <c r="L75" i="11" s="1"/>
  <c r="N36" i="10" s="1"/>
  <c r="G77" i="11"/>
  <c r="H77" i="11" s="1"/>
  <c r="I77" i="11" s="1"/>
  <c r="M38" i="10" s="1"/>
  <c r="D78" i="11"/>
  <c r="E78" i="11" s="1"/>
  <c r="F78" i="11" s="1"/>
  <c r="L39" i="10" s="1"/>
  <c r="D70" i="11"/>
  <c r="E70" i="11" s="1"/>
  <c r="F70" i="11" s="1"/>
  <c r="L31" i="10" s="1"/>
  <c r="D75" i="11"/>
  <c r="E75" i="11" s="1"/>
  <c r="F75" i="11" s="1"/>
  <c r="L36" i="10" s="1"/>
  <c r="D82" i="11"/>
  <c r="E82" i="11" s="1"/>
  <c r="F82" i="11" s="1"/>
  <c r="L43" i="10" s="1"/>
  <c r="J76" i="11"/>
  <c r="K76" i="11" s="1"/>
  <c r="L76" i="11" s="1"/>
  <c r="N37" i="10" s="1"/>
  <c r="G70" i="11"/>
  <c r="H70" i="11" s="1"/>
  <c r="I70" i="11" s="1"/>
  <c r="M31" i="10" s="1"/>
  <c r="V78" i="11"/>
  <c r="W78" i="11" s="1"/>
  <c r="X78" i="11" s="1"/>
  <c r="R39" i="10" s="1"/>
  <c r="J78" i="11"/>
  <c r="K78" i="11" s="1"/>
  <c r="L78" i="11" s="1"/>
  <c r="N39" i="10" s="1"/>
  <c r="P77" i="11"/>
  <c r="Q77" i="11" s="1"/>
  <c r="R77" i="11" s="1"/>
  <c r="P38" i="10" s="1"/>
  <c r="M73" i="11"/>
  <c r="N73" i="11" s="1"/>
  <c r="O73" i="11" s="1"/>
  <c r="O34" i="10" s="1"/>
  <c r="G80" i="11"/>
  <c r="H80" i="11" s="1"/>
  <c r="I80" i="11" s="1"/>
  <c r="M41" i="10" s="1"/>
  <c r="G68" i="11"/>
  <c r="H68" i="11" s="1"/>
  <c r="I68" i="11" s="1"/>
  <c r="M29" i="10" s="1"/>
  <c r="P82" i="11"/>
  <c r="Q82" i="11" s="1"/>
  <c r="R82" i="11" s="1"/>
  <c r="P43" i="10" s="1"/>
  <c r="J70" i="11"/>
  <c r="K70" i="11" s="1"/>
  <c r="L70" i="11" s="1"/>
  <c r="N31" i="10" s="1"/>
  <c r="P78" i="11"/>
  <c r="Q78" i="11" s="1"/>
  <c r="R78" i="11" s="1"/>
  <c r="P39" i="10" s="1"/>
  <c r="P79" i="11"/>
  <c r="Q79" i="11" s="1"/>
  <c r="R79" i="11" s="1"/>
  <c r="P40" i="10" s="1"/>
  <c r="M71" i="11"/>
  <c r="N71" i="11" s="1"/>
  <c r="O71" i="11" s="1"/>
  <c r="O32" i="10" s="1"/>
  <c r="M72" i="11"/>
  <c r="N72" i="11" s="1"/>
  <c r="O72" i="11" s="1"/>
  <c r="O33" i="10" s="1"/>
  <c r="G78" i="11"/>
  <c r="H78" i="11" s="1"/>
  <c r="I78" i="11" s="1"/>
  <c r="M39" i="10" s="1"/>
  <c r="J80" i="11"/>
  <c r="K80" i="11" s="1"/>
  <c r="L80" i="11" s="1"/>
  <c r="N41" i="10" s="1"/>
  <c r="D79" i="11"/>
  <c r="E79" i="11" s="1"/>
  <c r="F79" i="11" s="1"/>
  <c r="L40" i="10" s="1"/>
  <c r="D76" i="11"/>
  <c r="E76" i="11" s="1"/>
  <c r="F76" i="11" s="1"/>
  <c r="L37" i="10" s="1"/>
  <c r="J72" i="11"/>
  <c r="K72" i="11" s="1"/>
  <c r="L72" i="11" s="1"/>
  <c r="N33" i="10" s="1"/>
  <c r="P74" i="11"/>
  <c r="Q74" i="11" s="1"/>
  <c r="R74" i="11" s="1"/>
  <c r="P35" i="10" s="1"/>
  <c r="P68" i="11"/>
  <c r="Q68" i="11" s="1"/>
  <c r="R68" i="11" s="1"/>
  <c r="P29" i="10" s="1"/>
  <c r="M80" i="11"/>
  <c r="N80" i="11" s="1"/>
  <c r="O80" i="11" s="1"/>
  <c r="O41" i="10" s="1"/>
  <c r="M67" i="11"/>
  <c r="N67" i="11" s="1"/>
  <c r="O67" i="11" s="1"/>
  <c r="O28" i="10" s="1"/>
  <c r="G83" i="11"/>
  <c r="H83" i="11" s="1"/>
  <c r="I83" i="11" s="1"/>
  <c r="M44" i="10" s="1"/>
  <c r="J79" i="11"/>
  <c r="K79" i="11" s="1"/>
  <c r="L79" i="11" s="1"/>
  <c r="N40" i="10" s="1"/>
  <c r="G67" i="11"/>
  <c r="H67" i="11" s="1"/>
  <c r="I67" i="11" s="1"/>
  <c r="M28" i="10" s="1"/>
  <c r="J74" i="11"/>
  <c r="K74" i="11" s="1"/>
  <c r="L74" i="11" s="1"/>
  <c r="N35" i="10" s="1"/>
  <c r="P73" i="11"/>
  <c r="Q73" i="11" s="1"/>
  <c r="R73" i="11" s="1"/>
  <c r="P34" i="10" s="1"/>
  <c r="P70" i="11"/>
  <c r="Q70" i="11" s="1"/>
  <c r="R70" i="11" s="1"/>
  <c r="P31" i="10" s="1"/>
  <c r="M82" i="11"/>
  <c r="N82" i="11" s="1"/>
  <c r="O82" i="11" s="1"/>
  <c r="O43" i="10" s="1"/>
  <c r="J71" i="11"/>
  <c r="K71" i="11" s="1"/>
  <c r="L71" i="11" s="1"/>
  <c r="N32" i="10" s="1"/>
  <c r="J69" i="11"/>
  <c r="K69" i="11" s="1"/>
  <c r="L69" i="11" s="1"/>
  <c r="N30" i="10" s="1"/>
  <c r="P75" i="11"/>
  <c r="Q75" i="11" s="1"/>
  <c r="R75" i="11" s="1"/>
  <c r="P36" i="10" s="1"/>
  <c r="P72" i="11"/>
  <c r="Q72" i="11" s="1"/>
  <c r="R72" i="11" s="1"/>
  <c r="P33" i="10" s="1"/>
  <c r="M81" i="11"/>
  <c r="N81" i="11" s="1"/>
  <c r="O81" i="11" s="1"/>
  <c r="O42" i="10" s="1"/>
  <c r="G72" i="11"/>
  <c r="H72" i="11" s="1"/>
  <c r="I72" i="11" s="1"/>
  <c r="M33" i="10" s="1"/>
  <c r="G75" i="11"/>
  <c r="H75" i="11" s="1"/>
  <c r="I75" i="11" s="1"/>
  <c r="M36" i="10" s="1"/>
  <c r="S68" i="11"/>
  <c r="T68" i="11" s="1"/>
  <c r="U68" i="11" s="1"/>
  <c r="Q29" i="10" s="1"/>
  <c r="S80" i="11"/>
  <c r="T80" i="11" s="1"/>
  <c r="U80" i="11" s="1"/>
  <c r="Q41" i="10" s="1"/>
  <c r="V70" i="11"/>
  <c r="W70" i="11" s="1"/>
  <c r="X70" i="11" s="1"/>
  <c r="R31" i="10" s="1"/>
  <c r="V80" i="11"/>
  <c r="W80" i="11" s="1"/>
  <c r="X80" i="11" s="1"/>
  <c r="R41" i="10" s="1"/>
  <c r="Z38" i="11"/>
  <c r="S69" i="11"/>
  <c r="T69" i="11" s="1"/>
  <c r="U69" i="11" s="1"/>
  <c r="Q30" i="10" s="1"/>
  <c r="S67" i="11"/>
  <c r="T67" i="11" s="1"/>
  <c r="U67" i="11" s="1"/>
  <c r="Q28" i="10" s="1"/>
  <c r="V75" i="11"/>
  <c r="W75" i="11" s="1"/>
  <c r="X75" i="11" s="1"/>
  <c r="R36" i="10" s="1"/>
  <c r="S74" i="11"/>
  <c r="T74" i="11" s="1"/>
  <c r="U74" i="11" s="1"/>
  <c r="Q35" i="10" s="1"/>
  <c r="V69" i="11"/>
  <c r="W69" i="11" s="1"/>
  <c r="X69" i="11" s="1"/>
  <c r="R30" i="10" s="1"/>
  <c r="V79" i="11"/>
  <c r="W79" i="11" s="1"/>
  <c r="X79" i="11" s="1"/>
  <c r="R40" i="10" s="1"/>
  <c r="S70" i="11"/>
  <c r="T70" i="11" s="1"/>
  <c r="U70" i="11" s="1"/>
  <c r="Q31" i="10" s="1"/>
  <c r="S83" i="11"/>
  <c r="T83" i="11" s="1"/>
  <c r="U83" i="11" s="1"/>
  <c r="Q44" i="10" s="1"/>
  <c r="S75" i="11"/>
  <c r="T75" i="11" s="1"/>
  <c r="U75" i="11" s="1"/>
  <c r="Q36" i="10" s="1"/>
  <c r="X38" i="11"/>
  <c r="AA38" i="11"/>
  <c r="W38" i="11"/>
  <c r="V38" i="11"/>
  <c r="U38" i="11"/>
  <c r="S38" i="11"/>
  <c r="T38" i="11"/>
  <c r="S26" i="11"/>
  <c r="X26" i="11"/>
  <c r="W26" i="11"/>
  <c r="T26" i="11"/>
  <c r="AA26" i="11"/>
  <c r="V26" i="11"/>
  <c r="U26" i="11"/>
  <c r="V67" i="11"/>
  <c r="W67" i="11" s="1"/>
  <c r="X67" i="11" s="1"/>
  <c r="R28" i="10" s="1"/>
  <c r="AA25" i="11"/>
  <c r="W25" i="11"/>
  <c r="T25" i="11"/>
  <c r="X25" i="11"/>
  <c r="V25" i="11"/>
  <c r="S25" i="11"/>
  <c r="U25" i="11"/>
  <c r="V77" i="11"/>
  <c r="W77" i="11" s="1"/>
  <c r="X77" i="11" s="1"/>
  <c r="R38" i="10" s="1"/>
  <c r="V68" i="11"/>
  <c r="W68" i="11" s="1"/>
  <c r="X68" i="11" s="1"/>
  <c r="R29" i="10" s="1"/>
  <c r="J81" i="11"/>
  <c r="K81" i="11" s="1"/>
  <c r="L81" i="11" s="1"/>
  <c r="N42" i="10" s="1"/>
  <c r="J83" i="11"/>
  <c r="K83" i="11" s="1"/>
  <c r="L83" i="11" s="1"/>
  <c r="N44" i="10" s="1"/>
  <c r="P69" i="11"/>
  <c r="Q69" i="11" s="1"/>
  <c r="R69" i="11" s="1"/>
  <c r="P30" i="10" s="1"/>
  <c r="P83" i="11"/>
  <c r="Q83" i="11" s="1"/>
  <c r="R83" i="11" s="1"/>
  <c r="P44" i="10" s="1"/>
  <c r="M76" i="11"/>
  <c r="N76" i="11" s="1"/>
  <c r="O76" i="11" s="1"/>
  <c r="O37" i="10" s="1"/>
  <c r="M74" i="11"/>
  <c r="N74" i="11" s="1"/>
  <c r="O74" i="11" s="1"/>
  <c r="O35" i="10" s="1"/>
  <c r="G79" i="11"/>
  <c r="H79" i="11" s="1"/>
  <c r="I79" i="11" s="1"/>
  <c r="M40" i="10" s="1"/>
  <c r="G69" i="11"/>
  <c r="H69" i="11" s="1"/>
  <c r="I69" i="11" s="1"/>
  <c r="M30" i="10" s="1"/>
  <c r="W35" i="11"/>
  <c r="AA35" i="11"/>
  <c r="X35" i="11"/>
  <c r="V35" i="11"/>
  <c r="T35" i="11"/>
  <c r="U35" i="11"/>
  <c r="S35" i="11"/>
  <c r="S79" i="11"/>
  <c r="T79" i="11" s="1"/>
  <c r="U79" i="11" s="1"/>
  <c r="Q40" i="10" s="1"/>
  <c r="S73" i="11"/>
  <c r="T73" i="11" s="1"/>
  <c r="U73" i="11" s="1"/>
  <c r="Q34" i="10" s="1"/>
  <c r="Z25" i="11"/>
  <c r="V73" i="11"/>
  <c r="W73" i="11" s="1"/>
  <c r="X73" i="11" s="1"/>
  <c r="R34" i="10" s="1"/>
  <c r="V76" i="11"/>
  <c r="W76" i="11" s="1"/>
  <c r="X76" i="11" s="1"/>
  <c r="R37" i="10" s="1"/>
  <c r="S82" i="11"/>
  <c r="T82" i="11" s="1"/>
  <c r="U82" i="11" s="1"/>
  <c r="Q43" i="10" s="1"/>
  <c r="S81" i="11"/>
  <c r="T81" i="11" s="1"/>
  <c r="U81" i="11" s="1"/>
  <c r="Q42" i="10" s="1"/>
  <c r="X36" i="11"/>
  <c r="W36" i="11"/>
  <c r="T36" i="11"/>
  <c r="U36" i="11"/>
  <c r="V36" i="11"/>
  <c r="S36" i="11"/>
  <c r="AA36" i="11"/>
  <c r="V81" i="11"/>
  <c r="W81" i="11" s="1"/>
  <c r="X81" i="11" s="1"/>
  <c r="R42" i="10" s="1"/>
  <c r="V74" i="11"/>
  <c r="W74" i="11" s="1"/>
  <c r="X74" i="11" s="1"/>
  <c r="R35" i="10" s="1"/>
  <c r="J67" i="11"/>
  <c r="K67" i="11" s="1"/>
  <c r="L67" i="11" s="1"/>
  <c r="N28" i="10" s="1"/>
  <c r="J73" i="11"/>
  <c r="K73" i="11" s="1"/>
  <c r="L73" i="11" s="1"/>
  <c r="N34" i="10" s="1"/>
  <c r="W32" i="11"/>
  <c r="V32" i="11"/>
  <c r="AA32" i="11"/>
  <c r="X32" i="11"/>
  <c r="U32" i="11"/>
  <c r="S32" i="11"/>
  <c r="T32" i="11"/>
  <c r="P80" i="11"/>
  <c r="Q80" i="11" s="1"/>
  <c r="R80" i="11" s="1"/>
  <c r="P41" i="10" s="1"/>
  <c r="P81" i="11"/>
  <c r="Q81" i="11" s="1"/>
  <c r="R81" i="11" s="1"/>
  <c r="P42" i="10" s="1"/>
  <c r="M69" i="11"/>
  <c r="N69" i="11" s="1"/>
  <c r="O69" i="11" s="1"/>
  <c r="O30" i="10" s="1"/>
  <c r="M78" i="11"/>
  <c r="N78" i="11" s="1"/>
  <c r="O78" i="11" s="1"/>
  <c r="O39" i="10" s="1"/>
  <c r="G71" i="11"/>
  <c r="H71" i="11" s="1"/>
  <c r="I71" i="11" s="1"/>
  <c r="M32" i="10" s="1"/>
  <c r="G73" i="11"/>
  <c r="H73" i="11" s="1"/>
  <c r="I73" i="11" s="1"/>
  <c r="M34" i="10" s="1"/>
  <c r="W29" i="11"/>
  <c r="S29" i="11"/>
  <c r="V29" i="11"/>
  <c r="U29" i="11"/>
  <c r="T29" i="11"/>
  <c r="X29" i="11"/>
  <c r="AA29" i="11"/>
  <c r="S71" i="11"/>
  <c r="T71" i="11" s="1"/>
  <c r="U71" i="11" s="1"/>
  <c r="Q32" i="10" s="1"/>
  <c r="S76" i="11"/>
  <c r="T76" i="11" s="1"/>
  <c r="U76" i="11" s="1"/>
  <c r="Q37" i="10" s="1"/>
  <c r="V40" i="11"/>
  <c r="AA40" i="11"/>
  <c r="U40" i="11"/>
  <c r="T40" i="11"/>
  <c r="S40" i="11"/>
  <c r="W40" i="11"/>
  <c r="X40" i="11"/>
  <c r="AB33" i="11"/>
  <c r="AC33" i="11" s="1"/>
  <c r="AD33" i="11" s="1"/>
  <c r="AI33" i="11" s="1"/>
  <c r="AQ13" i="11" s="1"/>
  <c r="V83" i="11"/>
  <c r="W83" i="11" s="1"/>
  <c r="X83" i="11" s="1"/>
  <c r="R44" i="10" s="1"/>
  <c r="V72" i="11"/>
  <c r="W72" i="11" s="1"/>
  <c r="X72" i="11" s="1"/>
  <c r="R33" i="10" s="1"/>
  <c r="J82" i="11"/>
  <c r="K82" i="11" s="1"/>
  <c r="L82" i="11" s="1"/>
  <c r="N43" i="10" s="1"/>
  <c r="J68" i="11"/>
  <c r="K68" i="11" s="1"/>
  <c r="L68" i="11" s="1"/>
  <c r="N29" i="10" s="1"/>
  <c r="V37" i="11"/>
  <c r="W37" i="11"/>
  <c r="T37" i="11"/>
  <c r="U37" i="11"/>
  <c r="X37" i="11"/>
  <c r="AA37" i="11"/>
  <c r="S37" i="11"/>
  <c r="AB34" i="11"/>
  <c r="AC34" i="11" s="1"/>
  <c r="AD34" i="11" s="1"/>
  <c r="AI34" i="11" s="1"/>
  <c r="AQ14" i="11" s="1"/>
  <c r="S78" i="11"/>
  <c r="T78" i="11" s="1"/>
  <c r="U78" i="11" s="1"/>
  <c r="Q39" i="10" s="1"/>
  <c r="S77" i="11"/>
  <c r="T77" i="11" s="1"/>
  <c r="U77" i="11" s="1"/>
  <c r="Q38" i="10" s="1"/>
  <c r="G35" i="3"/>
  <c r="O9" i="2"/>
  <c r="AX10" i="11" l="1"/>
  <c r="AS10" i="11"/>
  <c r="AT10" i="11"/>
  <c r="AB31" i="11"/>
  <c r="AC31" i="11" s="1"/>
  <c r="AD31" i="11" s="1"/>
  <c r="AI31" i="11" s="1"/>
  <c r="AQ11" i="11" s="1"/>
  <c r="AR11" i="11" s="1"/>
  <c r="AV10" i="11"/>
  <c r="AU10" i="11"/>
  <c r="BA10" i="11"/>
  <c r="BA7" i="11"/>
  <c r="AY7" i="11"/>
  <c r="AZ7" i="11" s="1"/>
  <c r="AB24" i="11"/>
  <c r="AC24" i="11" s="1"/>
  <c r="AD24" i="11" s="1"/>
  <c r="AI24" i="11" s="1"/>
  <c r="AQ4" i="11" s="1"/>
  <c r="AY4" i="11" s="1"/>
  <c r="AT7" i="11"/>
  <c r="AB28" i="11"/>
  <c r="AC28" i="11" s="1"/>
  <c r="AD28" i="11" s="1"/>
  <c r="AI28" i="11" s="1"/>
  <c r="AQ8" i="11" s="1"/>
  <c r="AR8" i="11" s="1"/>
  <c r="AW7" i="11"/>
  <c r="AY10" i="11"/>
  <c r="AZ10" i="11" s="1"/>
  <c r="AU7" i="11"/>
  <c r="AS7" i="11"/>
  <c r="AV7" i="11"/>
  <c r="V75" i="16"/>
  <c r="W75" i="16" s="1"/>
  <c r="X75" i="16" s="1"/>
  <c r="R36" i="15" s="1"/>
  <c r="V14" i="14" s="1"/>
  <c r="AW11" i="16"/>
  <c r="BA11" i="16"/>
  <c r="AR19" i="11"/>
  <c r="AV19" i="11" s="1"/>
  <c r="AS11" i="16"/>
  <c r="AT11" i="16"/>
  <c r="AV11" i="16"/>
  <c r="AX11" i="16"/>
  <c r="V69" i="16"/>
  <c r="W69" i="16" s="1"/>
  <c r="X69" i="16" s="1"/>
  <c r="R30" i="15" s="1"/>
  <c r="V8" i="14" s="1"/>
  <c r="V71" i="16"/>
  <c r="W71" i="16" s="1"/>
  <c r="X71" i="16" s="1"/>
  <c r="R32" i="15" s="1"/>
  <c r="V10" i="14" s="1"/>
  <c r="AY11" i="16"/>
  <c r="AZ11" i="16" s="1"/>
  <c r="M19" i="7"/>
  <c r="M20" i="7"/>
  <c r="M23" i="7"/>
  <c r="P34" i="7"/>
  <c r="M41" i="7" s="1"/>
  <c r="M24" i="7"/>
  <c r="V72" i="16"/>
  <c r="W72" i="16" s="1"/>
  <c r="X72" i="16" s="1"/>
  <c r="R33" i="15" s="1"/>
  <c r="V11" i="14" s="1"/>
  <c r="V80" i="16"/>
  <c r="W80" i="16" s="1"/>
  <c r="X80" i="16" s="1"/>
  <c r="R41" i="15" s="1"/>
  <c r="V19" i="14" s="1"/>
  <c r="V73" i="16"/>
  <c r="W73" i="16" s="1"/>
  <c r="X73" i="16" s="1"/>
  <c r="R34" i="15" s="1"/>
  <c r="V12" i="14" s="1"/>
  <c r="V70" i="16"/>
  <c r="W70" i="16" s="1"/>
  <c r="X70" i="16" s="1"/>
  <c r="R31" i="15" s="1"/>
  <c r="V9" i="14" s="1"/>
  <c r="V78" i="16"/>
  <c r="W78" i="16" s="1"/>
  <c r="X78" i="16" s="1"/>
  <c r="R39" i="15" s="1"/>
  <c r="V17" i="14" s="1"/>
  <c r="V76" i="16"/>
  <c r="W76" i="16" s="1"/>
  <c r="X76" i="16" s="1"/>
  <c r="R37" i="15" s="1"/>
  <c r="V15" i="14" s="1"/>
  <c r="V79" i="16"/>
  <c r="W79" i="16" s="1"/>
  <c r="X79" i="16" s="1"/>
  <c r="R40" i="15" s="1"/>
  <c r="V18" i="14" s="1"/>
  <c r="V81" i="16"/>
  <c r="W81" i="16" s="1"/>
  <c r="X81" i="16" s="1"/>
  <c r="R42" i="15" s="1"/>
  <c r="V20" i="14" s="1"/>
  <c r="AG48" i="21"/>
  <c r="AK48" i="21" s="1"/>
  <c r="AG50" i="21"/>
  <c r="AM50" i="21" s="1"/>
  <c r="AG31" i="21"/>
  <c r="J5" i="20"/>
  <c r="AD32" i="21"/>
  <c r="I6" i="20"/>
  <c r="AE32" i="21"/>
  <c r="AH32" i="21"/>
  <c r="AS32" i="21"/>
  <c r="AD49" i="21"/>
  <c r="AE49" i="21"/>
  <c r="AH49" i="21"/>
  <c r="AR15" i="16"/>
  <c r="AY15" i="16"/>
  <c r="AY17" i="16"/>
  <c r="AR17" i="16"/>
  <c r="AD39" i="21"/>
  <c r="I13" i="20"/>
  <c r="AE39" i="21"/>
  <c r="AH39" i="21"/>
  <c r="AS39" i="21"/>
  <c r="AD52" i="21"/>
  <c r="AE52" i="21"/>
  <c r="AH52" i="21"/>
  <c r="Z42" i="21"/>
  <c r="AS41" i="21"/>
  <c r="AA41" i="21"/>
  <c r="AG32" i="21"/>
  <c r="J6" i="20"/>
  <c r="AG49" i="21"/>
  <c r="AR18" i="16"/>
  <c r="AY18" i="16"/>
  <c r="AG44" i="21"/>
  <c r="J18" i="20"/>
  <c r="AD40" i="21"/>
  <c r="I14" i="20"/>
  <c r="AE40" i="21"/>
  <c r="AH40" i="21"/>
  <c r="AD35" i="21"/>
  <c r="I9" i="20"/>
  <c r="AH35" i="21"/>
  <c r="AE35" i="21"/>
  <c r="AS35" i="21"/>
  <c r="AG39" i="21"/>
  <c r="J13" i="20"/>
  <c r="AG52" i="21"/>
  <c r="AR4" i="16"/>
  <c r="AY4" i="16"/>
  <c r="AG38" i="21"/>
  <c r="J12" i="20"/>
  <c r="AD44" i="21"/>
  <c r="I18" i="20"/>
  <c r="AH44" i="21"/>
  <c r="AE44" i="21"/>
  <c r="AG40" i="21"/>
  <c r="J14" i="20"/>
  <c r="AG35" i="21"/>
  <c r="J9" i="20"/>
  <c r="AD41" i="21"/>
  <c r="I15" i="20"/>
  <c r="AE41" i="21"/>
  <c r="AH41" i="21"/>
  <c r="AG37" i="21"/>
  <c r="J11" i="20"/>
  <c r="AR13" i="16"/>
  <c r="AY13" i="16"/>
  <c r="AD38" i="21"/>
  <c r="I12" i="20"/>
  <c r="AH38" i="21"/>
  <c r="AE38" i="21"/>
  <c r="AS38" i="21"/>
  <c r="AR12" i="16"/>
  <c r="AY12" i="16"/>
  <c r="AG33" i="21"/>
  <c r="J7" i="20"/>
  <c r="AD36" i="21"/>
  <c r="I10" i="20"/>
  <c r="AH36" i="21"/>
  <c r="AE36" i="21"/>
  <c r="AS36" i="21"/>
  <c r="AD46" i="21"/>
  <c r="I20" i="20"/>
  <c r="AH46" i="21"/>
  <c r="AE46" i="21"/>
  <c r="AR5" i="16"/>
  <c r="AY5" i="16"/>
  <c r="AG41" i="21"/>
  <c r="J15" i="20"/>
  <c r="AD37" i="21"/>
  <c r="I11" i="20"/>
  <c r="AE37" i="21"/>
  <c r="AH37" i="21"/>
  <c r="AS37" i="21"/>
  <c r="AY19" i="16"/>
  <c r="AR19" i="16"/>
  <c r="AD51" i="21"/>
  <c r="AE51" i="21"/>
  <c r="AH51" i="21"/>
  <c r="AD33" i="21"/>
  <c r="I7" i="20"/>
  <c r="AS33" i="21"/>
  <c r="AH33" i="21"/>
  <c r="AE33" i="21"/>
  <c r="AG36" i="21"/>
  <c r="J10" i="20"/>
  <c r="AG46" i="21"/>
  <c r="J20" i="20"/>
  <c r="AG34" i="21"/>
  <c r="J8" i="20"/>
  <c r="AD43" i="21"/>
  <c r="I17" i="20"/>
  <c r="AH43" i="21"/>
  <c r="AE43" i="21"/>
  <c r="AS66" i="21"/>
  <c r="Z67" i="21"/>
  <c r="AD45" i="21"/>
  <c r="I19" i="20"/>
  <c r="AH45" i="21"/>
  <c r="AE45" i="21"/>
  <c r="AR10" i="16"/>
  <c r="AY10" i="16"/>
  <c r="AD47" i="21"/>
  <c r="I21" i="20"/>
  <c r="AH47" i="21"/>
  <c r="AE47" i="21"/>
  <c r="AG51" i="21"/>
  <c r="AD48" i="21"/>
  <c r="AE48" i="21"/>
  <c r="AH48" i="21"/>
  <c r="AD42" i="21"/>
  <c r="I16" i="20"/>
  <c r="AE42" i="21"/>
  <c r="AH42" i="21"/>
  <c r="AG53" i="21"/>
  <c r="V82" i="16"/>
  <c r="W82" i="16" s="1"/>
  <c r="X82" i="16" s="1"/>
  <c r="R43" i="15" s="1"/>
  <c r="V21" i="14" s="1"/>
  <c r="V74" i="16"/>
  <c r="W74" i="16" s="1"/>
  <c r="X74" i="16" s="1"/>
  <c r="R35" i="15" s="1"/>
  <c r="V13" i="14" s="1"/>
  <c r="AB29" i="16"/>
  <c r="AD34" i="21"/>
  <c r="I8" i="20"/>
  <c r="AE34" i="21"/>
  <c r="AH34" i="21"/>
  <c r="AS34" i="21"/>
  <c r="AG43" i="21"/>
  <c r="J17" i="20"/>
  <c r="AG45" i="21"/>
  <c r="J19" i="20"/>
  <c r="AY14" i="16"/>
  <c r="AR14" i="16"/>
  <c r="AG47" i="21"/>
  <c r="J21" i="20"/>
  <c r="AG42" i="21"/>
  <c r="J16" i="20"/>
  <c r="AD53" i="21"/>
  <c r="AH53" i="21"/>
  <c r="AE53" i="21"/>
  <c r="AD31" i="21"/>
  <c r="AS31" i="21"/>
  <c r="I5" i="20"/>
  <c r="AH31" i="21"/>
  <c r="AE31" i="21"/>
  <c r="AR6" i="16"/>
  <c r="AY6" i="16"/>
  <c r="AD50" i="21"/>
  <c r="AH50" i="21"/>
  <c r="AE50" i="21"/>
  <c r="AY16" i="16"/>
  <c r="AR16" i="16"/>
  <c r="AR8" i="16"/>
  <c r="AY8" i="16"/>
  <c r="AY20" i="16"/>
  <c r="AR20" i="16"/>
  <c r="AR7" i="16"/>
  <c r="AY7" i="16"/>
  <c r="V67" i="16"/>
  <c r="W67" i="16" s="1"/>
  <c r="X67" i="16" s="1"/>
  <c r="R28" i="15" s="1"/>
  <c r="V6" i="14" s="1"/>
  <c r="V68" i="16"/>
  <c r="W68" i="16" s="1"/>
  <c r="X68" i="16" s="1"/>
  <c r="R29" i="15" s="1"/>
  <c r="V7" i="14" s="1"/>
  <c r="V77" i="16"/>
  <c r="W77" i="16" s="1"/>
  <c r="X77" i="16" s="1"/>
  <c r="R38" i="15" s="1"/>
  <c r="V16" i="14" s="1"/>
  <c r="AB40" i="11"/>
  <c r="AC40" i="11" s="1"/>
  <c r="AD40" i="11" s="1"/>
  <c r="AI40" i="11" s="1"/>
  <c r="AQ20" i="11" s="1"/>
  <c r="AR14" i="11"/>
  <c r="AY14" i="11"/>
  <c r="AB36" i="11"/>
  <c r="AC36" i="11" s="1"/>
  <c r="AD36" i="11" s="1"/>
  <c r="AI36" i="11" s="1"/>
  <c r="AQ16" i="11" s="1"/>
  <c r="AB25" i="11"/>
  <c r="AC25" i="11" s="1"/>
  <c r="AD25" i="11" s="1"/>
  <c r="AI25" i="11" s="1"/>
  <c r="AQ5" i="11" s="1"/>
  <c r="AB38" i="11"/>
  <c r="AC38" i="11" s="1"/>
  <c r="AD38" i="11" s="1"/>
  <c r="AI38" i="11" s="1"/>
  <c r="AQ18" i="11" s="1"/>
  <c r="AB37" i="11"/>
  <c r="AC37" i="11" s="1"/>
  <c r="AD37" i="11" s="1"/>
  <c r="AI37" i="11" s="1"/>
  <c r="AQ17" i="11" s="1"/>
  <c r="AB29" i="11"/>
  <c r="AC29" i="11" s="1"/>
  <c r="AD29" i="11" s="1"/>
  <c r="AI29" i="11" s="1"/>
  <c r="AQ9" i="11" s="1"/>
  <c r="AY13" i="11"/>
  <c r="AR13" i="11"/>
  <c r="AB32" i="11"/>
  <c r="AC32" i="11" s="1"/>
  <c r="AD32" i="11" s="1"/>
  <c r="AI32" i="11" s="1"/>
  <c r="AQ12" i="11" s="1"/>
  <c r="AB35" i="11"/>
  <c r="AC35" i="11" s="1"/>
  <c r="AD35" i="11" s="1"/>
  <c r="AI35" i="11" s="1"/>
  <c r="AQ15" i="11" s="1"/>
  <c r="AB26" i="11"/>
  <c r="AC26" i="11" s="1"/>
  <c r="AD26" i="11" s="1"/>
  <c r="AI26" i="11" s="1"/>
  <c r="AQ6" i="11" s="1"/>
  <c r="G36" i="3"/>
  <c r="O10" i="2"/>
  <c r="AY11" i="11" l="1"/>
  <c r="AZ11" i="11" s="1"/>
  <c r="BB10" i="11"/>
  <c r="BC10" i="11" s="1"/>
  <c r="BD10" i="11" s="1"/>
  <c r="BI10" i="11" s="1"/>
  <c r="BJ10" i="11" s="1"/>
  <c r="BL10" i="11" s="1"/>
  <c r="AY8" i="11"/>
  <c r="AZ8" i="11" s="1"/>
  <c r="AR4" i="11"/>
  <c r="AT4" i="11" s="1"/>
  <c r="AW19" i="11"/>
  <c r="BB7" i="11"/>
  <c r="BC7" i="11" s="1"/>
  <c r="BD7" i="11" s="1"/>
  <c r="BI7" i="11" s="1"/>
  <c r="BJ7" i="11" s="1"/>
  <c r="BL7" i="11" s="1"/>
  <c r="BN7" i="11" s="1"/>
  <c r="AS19" i="11"/>
  <c r="AX19" i="11"/>
  <c r="AM48" i="21"/>
  <c r="AK50" i="21"/>
  <c r="AF34" i="21"/>
  <c r="K8" i="20" s="1"/>
  <c r="AF40" i="21"/>
  <c r="K14" i="20" s="1"/>
  <c r="AF50" i="21"/>
  <c r="M21" i="7"/>
  <c r="BB11" i="16"/>
  <c r="BC11" i="16" s="1"/>
  <c r="BD11" i="16" s="1"/>
  <c r="BI11" i="16" s="1"/>
  <c r="BJ11" i="16" s="1"/>
  <c r="BL11" i="16" s="1"/>
  <c r="AT19" i="11"/>
  <c r="AZ19" i="11"/>
  <c r="BA19" i="11"/>
  <c r="AU19" i="11"/>
  <c r="AZ17" i="16"/>
  <c r="M25" i="7"/>
  <c r="AF43" i="21"/>
  <c r="K17" i="20" s="1"/>
  <c r="AZ15" i="16"/>
  <c r="AZ6" i="16"/>
  <c r="AZ20" i="16"/>
  <c r="AZ8" i="16"/>
  <c r="AF53" i="21"/>
  <c r="AZ14" i="16"/>
  <c r="AF36" i="21"/>
  <c r="K10" i="20" s="1"/>
  <c r="AF33" i="21"/>
  <c r="K7" i="20" s="1"/>
  <c r="AZ10" i="16"/>
  <c r="AZ7" i="16"/>
  <c r="AK51" i="21"/>
  <c r="AM51" i="21"/>
  <c r="AK46" i="21"/>
  <c r="AM46" i="21"/>
  <c r="AL37" i="21"/>
  <c r="M11" i="20" s="1"/>
  <c r="AN37" i="21"/>
  <c r="AO37" i="21" s="1"/>
  <c r="N11" i="20" s="1"/>
  <c r="L11" i="20"/>
  <c r="AU5" i="16"/>
  <c r="AX5" i="16"/>
  <c r="AS5" i="16"/>
  <c r="BA5" i="16"/>
  <c r="AW5" i="16"/>
  <c r="AT5" i="16"/>
  <c r="AV5" i="16"/>
  <c r="AN36" i="21"/>
  <c r="AO36" i="21" s="1"/>
  <c r="N10" i="20" s="1"/>
  <c r="AL36" i="21"/>
  <c r="M10" i="20" s="1"/>
  <c r="L10" i="20"/>
  <c r="AK35" i="21"/>
  <c r="AM35" i="21"/>
  <c r="AK32" i="21"/>
  <c r="AM32" i="21"/>
  <c r="AN31" i="21"/>
  <c r="AO31" i="21" s="1"/>
  <c r="N5" i="20" s="1"/>
  <c r="AL31" i="21"/>
  <c r="M5" i="20" s="1"/>
  <c r="L5" i="20"/>
  <c r="AQ31" i="21"/>
  <c r="AR36" i="21" s="1"/>
  <c r="AT36" i="21" s="1"/>
  <c r="AU36" i="21" s="1"/>
  <c r="O10" i="20" s="1"/>
  <c r="AL51" i="21"/>
  <c r="AN51" i="21"/>
  <c r="AO51" i="21" s="1"/>
  <c r="AK37" i="21"/>
  <c r="AM37" i="21"/>
  <c r="AM38" i="21"/>
  <c r="AK38" i="21"/>
  <c r="AL39" i="21"/>
  <c r="M13" i="20" s="1"/>
  <c r="AN39" i="21"/>
  <c r="AO39" i="21" s="1"/>
  <c r="N13" i="20" s="1"/>
  <c r="L13" i="20"/>
  <c r="AW15" i="16"/>
  <c r="AV15" i="16"/>
  <c r="AT15" i="16"/>
  <c r="AU15" i="16"/>
  <c r="AS15" i="16"/>
  <c r="BA15" i="16"/>
  <c r="AX15" i="16"/>
  <c r="AL32" i="21"/>
  <c r="M6" i="20" s="1"/>
  <c r="AN32" i="21"/>
  <c r="AO32" i="21" s="1"/>
  <c r="N6" i="20" s="1"/>
  <c r="L6" i="20"/>
  <c r="AZ16" i="16"/>
  <c r="AM42" i="21"/>
  <c r="AK42" i="21"/>
  <c r="AM45" i="21"/>
  <c r="AK45" i="21"/>
  <c r="AN47" i="21"/>
  <c r="AO47" i="21" s="1"/>
  <c r="N21" i="20" s="1"/>
  <c r="AL47" i="21"/>
  <c r="M21" i="20" s="1"/>
  <c r="L21" i="20"/>
  <c r="AN45" i="21"/>
  <c r="AO45" i="21" s="1"/>
  <c r="N19" i="20" s="1"/>
  <c r="AL45" i="21"/>
  <c r="M19" i="20" s="1"/>
  <c r="L19" i="20"/>
  <c r="AM36" i="21"/>
  <c r="AK36" i="21"/>
  <c r="AL46" i="21"/>
  <c r="M20" i="20" s="1"/>
  <c r="AN46" i="21"/>
  <c r="AO46" i="21" s="1"/>
  <c r="N20" i="20" s="1"/>
  <c r="L20" i="20"/>
  <c r="AN38" i="21"/>
  <c r="AO38" i="21" s="1"/>
  <c r="N12" i="20" s="1"/>
  <c r="AL38" i="21"/>
  <c r="M12" i="20" s="1"/>
  <c r="L12" i="20"/>
  <c r="AL41" i="21"/>
  <c r="M15" i="20" s="1"/>
  <c r="AN41" i="21"/>
  <c r="AO41" i="21" s="1"/>
  <c r="N15" i="20" s="1"/>
  <c r="L15" i="20"/>
  <c r="AM40" i="21"/>
  <c r="AK40" i="21"/>
  <c r="AZ4" i="16"/>
  <c r="AL35" i="21"/>
  <c r="M9" i="20" s="1"/>
  <c r="AN35" i="21"/>
  <c r="AO35" i="21" s="1"/>
  <c r="N9" i="20" s="1"/>
  <c r="L9" i="20"/>
  <c r="AR32" i="21"/>
  <c r="AT32" i="21" s="1"/>
  <c r="AU32" i="21" s="1"/>
  <c r="O6" i="20" s="1"/>
  <c r="AL43" i="21"/>
  <c r="M17" i="20" s="1"/>
  <c r="AN43" i="21"/>
  <c r="AO43" i="21" s="1"/>
  <c r="N17" i="20" s="1"/>
  <c r="L17" i="20"/>
  <c r="AT7" i="16"/>
  <c r="AV7" i="16"/>
  <c r="AU7" i="16"/>
  <c r="AW7" i="16"/>
  <c r="AX7" i="16"/>
  <c r="BA7" i="16"/>
  <c r="AS7" i="16"/>
  <c r="AC29" i="16"/>
  <c r="AD29" i="16" s="1"/>
  <c r="AI29" i="16" s="1"/>
  <c r="AQ9" i="16" s="1"/>
  <c r="AF42" i="21"/>
  <c r="K16" i="20" s="1"/>
  <c r="AW4" i="16"/>
  <c r="AT4" i="16"/>
  <c r="AV4" i="16"/>
  <c r="AS4" i="16"/>
  <c r="BA4" i="16"/>
  <c r="AX4" i="16"/>
  <c r="AU4" i="16"/>
  <c r="AM44" i="21"/>
  <c r="AK44" i="21"/>
  <c r="AS42" i="21"/>
  <c r="Z43" i="21"/>
  <c r="AA42" i="21"/>
  <c r="AN49" i="21"/>
  <c r="AO49" i="21" s="1"/>
  <c r="AL49" i="21"/>
  <c r="AX16" i="16"/>
  <c r="AT16" i="16"/>
  <c r="AV16" i="16"/>
  <c r="AW16" i="16"/>
  <c r="AU16" i="16"/>
  <c r="AS16" i="16"/>
  <c r="BA16" i="16"/>
  <c r="AT20" i="16"/>
  <c r="AX20" i="16"/>
  <c r="AW20" i="16"/>
  <c r="AV20" i="16"/>
  <c r="AS20" i="16"/>
  <c r="BA20" i="16"/>
  <c r="AU20" i="16"/>
  <c r="AL50" i="21"/>
  <c r="AN50" i="21"/>
  <c r="AO50" i="21" s="1"/>
  <c r="AF31" i="21"/>
  <c r="K5" i="20" s="1"/>
  <c r="AK43" i="21"/>
  <c r="AM43" i="21"/>
  <c r="AN48" i="21"/>
  <c r="AO48" i="21" s="1"/>
  <c r="AL48" i="21"/>
  <c r="AF45" i="21"/>
  <c r="K19" i="20" s="1"/>
  <c r="AN33" i="21"/>
  <c r="AO33" i="21" s="1"/>
  <c r="N7" i="20" s="1"/>
  <c r="AL33" i="21"/>
  <c r="M7" i="20" s="1"/>
  <c r="L7" i="20"/>
  <c r="AF51" i="21"/>
  <c r="AF37" i="21"/>
  <c r="K11" i="20" s="1"/>
  <c r="AN44" i="21"/>
  <c r="AO44" i="21" s="1"/>
  <c r="N18" i="20" s="1"/>
  <c r="AL44" i="21"/>
  <c r="M18" i="20" s="1"/>
  <c r="L18" i="20"/>
  <c r="AK52" i="21"/>
  <c r="AM52" i="21"/>
  <c r="AF35" i="21"/>
  <c r="K9" i="20" s="1"/>
  <c r="AZ18" i="16"/>
  <c r="AN52" i="21"/>
  <c r="AO52" i="21" s="1"/>
  <c r="AL52" i="21"/>
  <c r="AF47" i="21"/>
  <c r="K21" i="20" s="1"/>
  <c r="Z68" i="21"/>
  <c r="AS67" i="21"/>
  <c r="AM34" i="21"/>
  <c r="AK34" i="21"/>
  <c r="AX19" i="16"/>
  <c r="AU19" i="16"/>
  <c r="AS19" i="16"/>
  <c r="BA19" i="16"/>
  <c r="AV19" i="16"/>
  <c r="AT19" i="16"/>
  <c r="AW19" i="16"/>
  <c r="AF46" i="21"/>
  <c r="K20" i="20" s="1"/>
  <c r="AM33" i="21"/>
  <c r="AK33" i="21"/>
  <c r="AF38" i="21"/>
  <c r="K12" i="20" s="1"/>
  <c r="AN40" i="21"/>
  <c r="AO40" i="21" s="1"/>
  <c r="N14" i="20" s="1"/>
  <c r="AL40" i="21"/>
  <c r="M14" i="20" s="1"/>
  <c r="L14" i="20"/>
  <c r="AW18" i="16"/>
  <c r="AU18" i="16"/>
  <c r="AV18" i="16"/>
  <c r="AT18" i="16"/>
  <c r="AS18" i="16"/>
  <c r="BA18" i="16"/>
  <c r="AX18" i="16"/>
  <c r="AF39" i="21"/>
  <c r="K13" i="20" s="1"/>
  <c r="AF49" i="21"/>
  <c r="AF32" i="21"/>
  <c r="K6" i="20" s="1"/>
  <c r="AL53" i="21"/>
  <c r="AN53" i="21"/>
  <c r="AO53" i="21" s="1"/>
  <c r="AM47" i="21"/>
  <c r="AK47" i="21"/>
  <c r="AN34" i="21"/>
  <c r="AO34" i="21" s="1"/>
  <c r="N8" i="20" s="1"/>
  <c r="AL34" i="21"/>
  <c r="M8" i="20" s="1"/>
  <c r="L8" i="20"/>
  <c r="AM53" i="21"/>
  <c r="AK53" i="21"/>
  <c r="AZ19" i="16"/>
  <c r="AK41" i="21"/>
  <c r="AM41" i="21"/>
  <c r="AZ12" i="16"/>
  <c r="AZ13" i="16"/>
  <c r="AF41" i="21"/>
  <c r="K15" i="20" s="1"/>
  <c r="AK39" i="21"/>
  <c r="AM39" i="21"/>
  <c r="AM49" i="21"/>
  <c r="AK49" i="21"/>
  <c r="AS17" i="16"/>
  <c r="AW17" i="16"/>
  <c r="AV17" i="16"/>
  <c r="AX17" i="16"/>
  <c r="BA17" i="16"/>
  <c r="AT17" i="16"/>
  <c r="AU17" i="16"/>
  <c r="AT8" i="16"/>
  <c r="AV8" i="16"/>
  <c r="AX8" i="16"/>
  <c r="AU8" i="16"/>
  <c r="AW8" i="16"/>
  <c r="BA8" i="16"/>
  <c r="AS8" i="16"/>
  <c r="AT6" i="16"/>
  <c r="AV6" i="16"/>
  <c r="AW6" i="16"/>
  <c r="AU6" i="16"/>
  <c r="AS6" i="16"/>
  <c r="BA6" i="16"/>
  <c r="AX6" i="16"/>
  <c r="AS14" i="16"/>
  <c r="AX14" i="16"/>
  <c r="AT14" i="16"/>
  <c r="BA14" i="16"/>
  <c r="AU14" i="16"/>
  <c r="AW14" i="16"/>
  <c r="AV14" i="16"/>
  <c r="AN42" i="21"/>
  <c r="AO42" i="21" s="1"/>
  <c r="N16" i="20" s="1"/>
  <c r="AL42" i="21"/>
  <c r="M16" i="20" s="1"/>
  <c r="L16" i="20"/>
  <c r="AF48" i="21"/>
  <c r="BA10" i="16"/>
  <c r="AV10" i="16"/>
  <c r="AS10" i="16"/>
  <c r="AX10" i="16"/>
  <c r="AW10" i="16"/>
  <c r="AU10" i="16"/>
  <c r="AT10" i="16"/>
  <c r="AZ5" i="16"/>
  <c r="AX12" i="16"/>
  <c r="BA12" i="16"/>
  <c r="AU12" i="16"/>
  <c r="AT12" i="16"/>
  <c r="AW12" i="16"/>
  <c r="AS12" i="16"/>
  <c r="AV12" i="16"/>
  <c r="AU13" i="16"/>
  <c r="AT13" i="16"/>
  <c r="AV13" i="16"/>
  <c r="AW13" i="16"/>
  <c r="AS13" i="16"/>
  <c r="BA13" i="16"/>
  <c r="AX13" i="16"/>
  <c r="AF44" i="21"/>
  <c r="K18" i="20" s="1"/>
  <c r="AF52" i="21"/>
  <c r="AM31" i="21"/>
  <c r="AK31" i="21"/>
  <c r="AZ14" i="11"/>
  <c r="AZ13" i="11"/>
  <c r="AR5" i="11"/>
  <c r="AY5" i="11"/>
  <c r="AR12" i="11"/>
  <c r="AY12" i="11"/>
  <c r="AY15" i="11"/>
  <c r="AR15" i="11"/>
  <c r="AX13" i="11"/>
  <c r="BA13" i="11"/>
  <c r="AV13" i="11"/>
  <c r="AT13" i="11"/>
  <c r="AU13" i="11"/>
  <c r="AS13" i="11"/>
  <c r="AW13" i="11"/>
  <c r="AW11" i="11"/>
  <c r="AU11" i="11"/>
  <c r="AX11" i="11"/>
  <c r="AT11" i="11"/>
  <c r="AV11" i="11"/>
  <c r="BA11" i="11"/>
  <c r="AS11" i="11"/>
  <c r="AW8" i="11"/>
  <c r="AT8" i="11"/>
  <c r="AS8" i="11"/>
  <c r="BA8" i="11"/>
  <c r="AX8" i="11"/>
  <c r="AV8" i="11"/>
  <c r="AU8" i="11"/>
  <c r="AY16" i="11"/>
  <c r="AR16" i="11"/>
  <c r="AY9" i="11"/>
  <c r="AR9" i="11"/>
  <c r="AR6" i="11"/>
  <c r="AY6" i="11"/>
  <c r="AY17" i="11"/>
  <c r="AR17" i="11"/>
  <c r="AS14" i="11"/>
  <c r="AW14" i="11"/>
  <c r="AT14" i="11"/>
  <c r="BA14" i="11"/>
  <c r="AV14" i="11"/>
  <c r="AX14" i="11"/>
  <c r="AU14" i="11"/>
  <c r="AY18" i="11"/>
  <c r="AR18" i="11"/>
  <c r="AR20" i="11"/>
  <c r="AY20" i="11"/>
  <c r="G37" i="3"/>
  <c r="O11" i="2"/>
  <c r="AV4" i="11" l="1"/>
  <c r="AW4" i="11"/>
  <c r="BA4" i="11"/>
  <c r="AX4" i="11"/>
  <c r="AS4" i="11"/>
  <c r="AU4" i="11"/>
  <c r="AZ4" i="11"/>
  <c r="BM7" i="11"/>
  <c r="BP7" i="11" s="1"/>
  <c r="BU7" i="11" s="1"/>
  <c r="AR41" i="21"/>
  <c r="AT41" i="21" s="1"/>
  <c r="AU41" i="21" s="1"/>
  <c r="O15" i="20" s="1"/>
  <c r="AR38" i="21"/>
  <c r="AT38" i="21" s="1"/>
  <c r="AU38" i="21" s="1"/>
  <c r="O12" i="20" s="1"/>
  <c r="AR39" i="21"/>
  <c r="AT39" i="21" s="1"/>
  <c r="AU39" i="21" s="1"/>
  <c r="O13" i="20" s="1"/>
  <c r="AR37" i="21"/>
  <c r="AT37" i="21" s="1"/>
  <c r="AU37" i="21" s="1"/>
  <c r="O11" i="20" s="1"/>
  <c r="AR51" i="21"/>
  <c r="AT51" i="21" s="1"/>
  <c r="AU51" i="21" s="1"/>
  <c r="AR47" i="21"/>
  <c r="AT47" i="21" s="1"/>
  <c r="AU47" i="21" s="1"/>
  <c r="O21" i="20" s="1"/>
  <c r="AR52" i="21"/>
  <c r="AT52" i="21" s="1"/>
  <c r="AU52" i="21" s="1"/>
  <c r="AR53" i="21"/>
  <c r="AT53" i="21" s="1"/>
  <c r="AU53" i="21" s="1"/>
  <c r="AR40" i="21"/>
  <c r="AT40" i="21" s="1"/>
  <c r="AU40" i="21" s="1"/>
  <c r="O14" i="20" s="1"/>
  <c r="BB19" i="11"/>
  <c r="BC19" i="11" s="1"/>
  <c r="BD19" i="11" s="1"/>
  <c r="BI19" i="11" s="1"/>
  <c r="BJ19" i="11" s="1"/>
  <c r="BL19" i="11" s="1"/>
  <c r="BM19" i="11" s="1"/>
  <c r="M27" i="7"/>
  <c r="M28" i="7" s="1"/>
  <c r="BB7" i="16"/>
  <c r="BC7" i="16" s="1"/>
  <c r="BD7" i="16" s="1"/>
  <c r="BI7" i="16" s="1"/>
  <c r="BJ7" i="16" s="1"/>
  <c r="BL7" i="16" s="1"/>
  <c r="BM7" i="16" s="1"/>
  <c r="BB13" i="16"/>
  <c r="BC13" i="16" s="1"/>
  <c r="BD13" i="16" s="1"/>
  <c r="BI13" i="16" s="1"/>
  <c r="BJ13" i="16" s="1"/>
  <c r="BL13" i="16" s="1"/>
  <c r="BN13" i="16" s="1"/>
  <c r="AR9" i="16"/>
  <c r="AY9" i="16"/>
  <c r="BB10" i="16"/>
  <c r="BC10" i="16" s="1"/>
  <c r="BD10" i="16" s="1"/>
  <c r="BI10" i="16" s="1"/>
  <c r="BJ10" i="16" s="1"/>
  <c r="BL10" i="16" s="1"/>
  <c r="BM10" i="16" s="1"/>
  <c r="BB6" i="16"/>
  <c r="BC6" i="16" s="1"/>
  <c r="BD6" i="16" s="1"/>
  <c r="BI6" i="16" s="1"/>
  <c r="BJ6" i="16" s="1"/>
  <c r="BL6" i="16" s="1"/>
  <c r="BN6" i="16" s="1"/>
  <c r="BB17" i="16"/>
  <c r="BC17" i="16" s="1"/>
  <c r="BD17" i="16" s="1"/>
  <c r="BI17" i="16" s="1"/>
  <c r="BJ17" i="16" s="1"/>
  <c r="BL17" i="16" s="1"/>
  <c r="BM17" i="16" s="1"/>
  <c r="BB5" i="16"/>
  <c r="BC5" i="16" s="1"/>
  <c r="BD5" i="16" s="1"/>
  <c r="BI5" i="16" s="1"/>
  <c r="BJ5" i="16" s="1"/>
  <c r="BL5" i="16" s="1"/>
  <c r="BN5" i="16" s="1"/>
  <c r="Z69" i="21"/>
  <c r="AS68" i="21"/>
  <c r="BB16" i="16"/>
  <c r="BC16" i="16" s="1"/>
  <c r="BD16" i="16" s="1"/>
  <c r="BI16" i="16" s="1"/>
  <c r="BJ16" i="16" s="1"/>
  <c r="BL16" i="16" s="1"/>
  <c r="BB4" i="16"/>
  <c r="BC4" i="16" s="1"/>
  <c r="BD4" i="16" s="1"/>
  <c r="BI4" i="16" s="1"/>
  <c r="BJ4" i="16" s="1"/>
  <c r="BL4" i="16" s="1"/>
  <c r="AR64" i="21"/>
  <c r="AT64" i="21" s="1"/>
  <c r="AU64" i="21" s="1"/>
  <c r="AR79" i="21"/>
  <c r="AT79" i="21" s="1"/>
  <c r="AU79" i="21" s="1"/>
  <c r="AR73" i="21"/>
  <c r="AT73" i="21" s="1"/>
  <c r="AU73" i="21" s="1"/>
  <c r="AR61" i="21"/>
  <c r="AT61" i="21" s="1"/>
  <c r="AU61" i="21" s="1"/>
  <c r="AR76" i="21"/>
  <c r="AT76" i="21" s="1"/>
  <c r="AU76" i="21" s="1"/>
  <c r="AR72" i="21"/>
  <c r="AT72" i="21" s="1"/>
  <c r="AU72" i="21" s="1"/>
  <c r="AR74" i="21"/>
  <c r="AT74" i="21" s="1"/>
  <c r="AU74" i="21" s="1"/>
  <c r="AR77" i="21"/>
  <c r="AT77" i="21" s="1"/>
  <c r="AU77" i="21" s="1"/>
  <c r="AR69" i="21"/>
  <c r="AT69" i="21" s="1"/>
  <c r="AU69" i="21" s="1"/>
  <c r="AR67" i="21"/>
  <c r="AT67" i="21" s="1"/>
  <c r="AU67" i="21" s="1"/>
  <c r="AR75" i="21"/>
  <c r="AT75" i="21" s="1"/>
  <c r="AU75" i="21" s="1"/>
  <c r="AR62" i="21"/>
  <c r="AT62" i="21" s="1"/>
  <c r="AU62" i="21" s="1"/>
  <c r="AR59" i="21"/>
  <c r="AT59" i="21" s="1"/>
  <c r="AU59" i="21" s="1"/>
  <c r="AR66" i="21"/>
  <c r="AT66" i="21" s="1"/>
  <c r="AU66" i="21" s="1"/>
  <c r="AR78" i="21"/>
  <c r="AT78" i="21" s="1"/>
  <c r="AU78" i="21" s="1"/>
  <c r="AR65" i="21"/>
  <c r="AT65" i="21" s="1"/>
  <c r="AU65" i="21" s="1"/>
  <c r="AR60" i="21"/>
  <c r="AT60" i="21" s="1"/>
  <c r="AU60" i="21" s="1"/>
  <c r="AR63" i="21"/>
  <c r="AT63" i="21" s="1"/>
  <c r="AU63" i="21" s="1"/>
  <c r="AR68" i="21"/>
  <c r="AT68" i="21" s="1"/>
  <c r="AU68" i="21" s="1"/>
  <c r="AR71" i="21"/>
  <c r="AT71" i="21" s="1"/>
  <c r="AU71" i="21" s="1"/>
  <c r="AR70" i="21"/>
  <c r="AT70" i="21" s="1"/>
  <c r="AU70" i="21" s="1"/>
  <c r="AR58" i="21"/>
  <c r="AT58" i="21" s="1"/>
  <c r="AU58" i="21" s="1"/>
  <c r="AR34" i="21"/>
  <c r="AT34" i="21" s="1"/>
  <c r="AU34" i="21" s="1"/>
  <c r="O8" i="20" s="1"/>
  <c r="AR44" i="21"/>
  <c r="AT44" i="21" s="1"/>
  <c r="AU44" i="21" s="1"/>
  <c r="O18" i="20" s="1"/>
  <c r="AR33" i="21"/>
  <c r="AT33" i="21" s="1"/>
  <c r="AU33" i="21" s="1"/>
  <c r="O7" i="20" s="1"/>
  <c r="AR48" i="21"/>
  <c r="AT48" i="21" s="1"/>
  <c r="AU48" i="21" s="1"/>
  <c r="AR46" i="21"/>
  <c r="AT46" i="21" s="1"/>
  <c r="AU46" i="21" s="1"/>
  <c r="O20" i="20" s="1"/>
  <c r="AR42" i="21"/>
  <c r="AT42" i="21" s="1"/>
  <c r="AU42" i="21" s="1"/>
  <c r="O16" i="20" s="1"/>
  <c r="AR35" i="21"/>
  <c r="AT35" i="21" s="1"/>
  <c r="AU35" i="21" s="1"/>
  <c r="O9" i="20" s="1"/>
  <c r="AR43" i="21"/>
  <c r="AT43" i="21" s="1"/>
  <c r="AU43" i="21" s="1"/>
  <c r="O17" i="20" s="1"/>
  <c r="AR45" i="21"/>
  <c r="AT45" i="21" s="1"/>
  <c r="AU45" i="21" s="1"/>
  <c r="O19" i="20" s="1"/>
  <c r="BB12" i="16"/>
  <c r="BC12" i="16" s="1"/>
  <c r="BD12" i="16" s="1"/>
  <c r="BI12" i="16" s="1"/>
  <c r="BJ12" i="16" s="1"/>
  <c r="BL12" i="16" s="1"/>
  <c r="BM12" i="16" s="1"/>
  <c r="BB14" i="16"/>
  <c r="BC14" i="16" s="1"/>
  <c r="BD14" i="16" s="1"/>
  <c r="BI14" i="16" s="1"/>
  <c r="BJ14" i="16" s="1"/>
  <c r="BL14" i="16" s="1"/>
  <c r="BN14" i="16" s="1"/>
  <c r="Z44" i="21"/>
  <c r="AS43" i="21"/>
  <c r="AA43" i="21"/>
  <c r="BB15" i="16"/>
  <c r="BC15" i="16" s="1"/>
  <c r="BD15" i="16" s="1"/>
  <c r="BI15" i="16" s="1"/>
  <c r="BJ15" i="16" s="1"/>
  <c r="BL15" i="16" s="1"/>
  <c r="AR49" i="21"/>
  <c r="AT49" i="21" s="1"/>
  <c r="AU49" i="21" s="1"/>
  <c r="BB8" i="16"/>
  <c r="BC8" i="16" s="1"/>
  <c r="BD8" i="16" s="1"/>
  <c r="BI8" i="16" s="1"/>
  <c r="BJ8" i="16" s="1"/>
  <c r="BL8" i="16" s="1"/>
  <c r="BM8" i="16" s="1"/>
  <c r="BB18" i="16"/>
  <c r="BC18" i="16" s="1"/>
  <c r="BD18" i="16" s="1"/>
  <c r="BI18" i="16" s="1"/>
  <c r="BJ18" i="16" s="1"/>
  <c r="BL18" i="16" s="1"/>
  <c r="BM18" i="16" s="1"/>
  <c r="BB19" i="16"/>
  <c r="BC19" i="16" s="1"/>
  <c r="BD19" i="16" s="1"/>
  <c r="BI19" i="16" s="1"/>
  <c r="BJ19" i="16" s="1"/>
  <c r="BL19" i="16" s="1"/>
  <c r="BB20" i="16"/>
  <c r="BC20" i="16" s="1"/>
  <c r="BD20" i="16" s="1"/>
  <c r="BI20" i="16" s="1"/>
  <c r="BJ20" i="16" s="1"/>
  <c r="BL20" i="16" s="1"/>
  <c r="BN20" i="16" s="1"/>
  <c r="AR50" i="21"/>
  <c r="AT50" i="21" s="1"/>
  <c r="AU50" i="21" s="1"/>
  <c r="AZ5" i="11"/>
  <c r="AZ12" i="11"/>
  <c r="AZ15" i="11"/>
  <c r="AZ9" i="11"/>
  <c r="AZ17" i="11"/>
  <c r="AZ20" i="11"/>
  <c r="BA20" i="11"/>
  <c r="AS20" i="11"/>
  <c r="AT20" i="11"/>
  <c r="AV20" i="11"/>
  <c r="AW20" i="11"/>
  <c r="AU20" i="11"/>
  <c r="AX20" i="11"/>
  <c r="BA18" i="11"/>
  <c r="AX18" i="11"/>
  <c r="AW18" i="11"/>
  <c r="AV18" i="11"/>
  <c r="AU18" i="11"/>
  <c r="AT18" i="11"/>
  <c r="AS18" i="11"/>
  <c r="BB14" i="11"/>
  <c r="AZ16" i="11"/>
  <c r="BB11" i="11"/>
  <c r="BC11" i="11" s="1"/>
  <c r="BD11" i="11" s="1"/>
  <c r="BI11" i="11" s="1"/>
  <c r="BJ11" i="11" s="1"/>
  <c r="BL11" i="11" s="1"/>
  <c r="BN11" i="11" s="1"/>
  <c r="BA15" i="11"/>
  <c r="AU15" i="11"/>
  <c r="AS15" i="11"/>
  <c r="AX15" i="11"/>
  <c r="AW15" i="11"/>
  <c r="AV15" i="11"/>
  <c r="AT15" i="11"/>
  <c r="AZ18" i="11"/>
  <c r="AS17" i="11"/>
  <c r="BA17" i="11"/>
  <c r="AX17" i="11"/>
  <c r="AW17" i="11"/>
  <c r="AV17" i="11"/>
  <c r="AU17" i="11"/>
  <c r="AT17" i="11"/>
  <c r="BB13" i="11"/>
  <c r="BC13" i="11" s="1"/>
  <c r="BD13" i="11" s="1"/>
  <c r="BI13" i="11" s="1"/>
  <c r="BJ13" i="11" s="1"/>
  <c r="BL13" i="11" s="1"/>
  <c r="BM13" i="11" s="1"/>
  <c r="AZ6" i="11"/>
  <c r="AV12" i="11"/>
  <c r="AU12" i="11"/>
  <c r="AW12" i="11"/>
  <c r="BA12" i="11"/>
  <c r="AS12" i="11"/>
  <c r="AT12" i="11"/>
  <c r="AX12" i="11"/>
  <c r="BA16" i="11"/>
  <c r="AS16" i="11"/>
  <c r="AX16" i="11"/>
  <c r="AW16" i="11"/>
  <c r="AV16" i="11"/>
  <c r="AT16" i="11"/>
  <c r="AU16" i="11"/>
  <c r="AW6" i="11"/>
  <c r="AU6" i="11"/>
  <c r="AV6" i="11"/>
  <c r="AS6" i="11"/>
  <c r="AX6" i="11"/>
  <c r="AT6" i="11"/>
  <c r="BA6" i="11"/>
  <c r="AV9" i="11"/>
  <c r="AX9" i="11"/>
  <c r="BA9" i="11"/>
  <c r="AW9" i="11"/>
  <c r="AU9" i="11"/>
  <c r="AT9" i="11"/>
  <c r="AS9" i="11"/>
  <c r="BB8" i="11"/>
  <c r="BC8" i="11" s="1"/>
  <c r="BD8" i="11" s="1"/>
  <c r="BI8" i="11" s="1"/>
  <c r="BJ8" i="11" s="1"/>
  <c r="BL8" i="11" s="1"/>
  <c r="BM8" i="11" s="1"/>
  <c r="AV5" i="11"/>
  <c r="AX5" i="11"/>
  <c r="AW5" i="11"/>
  <c r="AU5" i="11"/>
  <c r="BA5" i="11"/>
  <c r="AS5" i="11"/>
  <c r="AT5" i="11"/>
  <c r="G38" i="3"/>
  <c r="O12" i="2"/>
  <c r="BM11" i="16"/>
  <c r="BN11" i="16"/>
  <c r="BM10" i="11"/>
  <c r="BN10" i="11"/>
  <c r="M30" i="7" l="1"/>
  <c r="BO7" i="11"/>
  <c r="BT7" i="11" s="1"/>
  <c r="L10" i="10" s="1"/>
  <c r="BB4" i="11"/>
  <c r="BC4" i="11" s="1"/>
  <c r="BD4" i="11" s="1"/>
  <c r="BI4" i="11" s="1"/>
  <c r="BJ4" i="11" s="1"/>
  <c r="BL4" i="11" s="1"/>
  <c r="BM4" i="11" s="1"/>
  <c r="BP4" i="11" s="1"/>
  <c r="BU4" i="11" s="1"/>
  <c r="M7" i="10" s="1"/>
  <c r="BN17" i="16"/>
  <c r="BN19" i="11"/>
  <c r="BN7" i="16"/>
  <c r="BM6" i="16"/>
  <c r="BO6" i="16" s="1"/>
  <c r="BT6" i="16" s="1"/>
  <c r="BM14" i="16"/>
  <c r="BP14" i="16" s="1"/>
  <c r="BU14" i="16" s="1"/>
  <c r="BN10" i="16"/>
  <c r="BN8" i="16"/>
  <c r="AZ9" i="16"/>
  <c r="BN12" i="16"/>
  <c r="BM13" i="16"/>
  <c r="BO13" i="16" s="1"/>
  <c r="BT13" i="16" s="1"/>
  <c r="BN18" i="16"/>
  <c r="BM20" i="16"/>
  <c r="BO20" i="16" s="1"/>
  <c r="BT20" i="16" s="1"/>
  <c r="BM5" i="16"/>
  <c r="BP5" i="16" s="1"/>
  <c r="BU5" i="16" s="1"/>
  <c r="Z70" i="21"/>
  <c r="AS69" i="21"/>
  <c r="BN15" i="16"/>
  <c r="BM15" i="16"/>
  <c r="AS44" i="21"/>
  <c r="Z45" i="21"/>
  <c r="AA44" i="21"/>
  <c r="BM19" i="16"/>
  <c r="BN19" i="16"/>
  <c r="BM4" i="16"/>
  <c r="BN4" i="16"/>
  <c r="BN16" i="16"/>
  <c r="BM16" i="16"/>
  <c r="AT9" i="16"/>
  <c r="AW9" i="16"/>
  <c r="AV9" i="16"/>
  <c r="AX9" i="16"/>
  <c r="AU9" i="16"/>
  <c r="AS9" i="16"/>
  <c r="BA9" i="16"/>
  <c r="BM11" i="11"/>
  <c r="BO11" i="11" s="1"/>
  <c r="BT11" i="11" s="1"/>
  <c r="BN13" i="11"/>
  <c r="BB9" i="11"/>
  <c r="BC9" i="11" s="1"/>
  <c r="BD9" i="11" s="1"/>
  <c r="BI9" i="11" s="1"/>
  <c r="BJ9" i="11" s="1"/>
  <c r="BL9" i="11" s="1"/>
  <c r="BM9" i="11" s="1"/>
  <c r="BP9" i="11" s="1"/>
  <c r="BU9" i="11" s="1"/>
  <c r="BC14" i="11"/>
  <c r="BD14" i="11" s="1"/>
  <c r="BI14" i="11" s="1"/>
  <c r="BJ14" i="11" s="1"/>
  <c r="BL14" i="11" s="1"/>
  <c r="BN8" i="11"/>
  <c r="BB5" i="11"/>
  <c r="BC5" i="11" s="1"/>
  <c r="BD5" i="11" s="1"/>
  <c r="BI5" i="11" s="1"/>
  <c r="BJ5" i="11" s="1"/>
  <c r="BL5" i="11" s="1"/>
  <c r="BB18" i="11"/>
  <c r="BC18" i="11" s="1"/>
  <c r="BD18" i="11" s="1"/>
  <c r="BI18" i="11" s="1"/>
  <c r="BJ18" i="11" s="1"/>
  <c r="BL18" i="11" s="1"/>
  <c r="BB12" i="11"/>
  <c r="BC12" i="11" s="1"/>
  <c r="BD12" i="11" s="1"/>
  <c r="BI12" i="11" s="1"/>
  <c r="BJ12" i="11" s="1"/>
  <c r="BL12" i="11" s="1"/>
  <c r="BB6" i="11"/>
  <c r="BC6" i="11" s="1"/>
  <c r="BD6" i="11" s="1"/>
  <c r="BI6" i="11" s="1"/>
  <c r="BJ6" i="11" s="1"/>
  <c r="BL6" i="11" s="1"/>
  <c r="BB15" i="11"/>
  <c r="BC15" i="11" s="1"/>
  <c r="BD15" i="11" s="1"/>
  <c r="BI15" i="11" s="1"/>
  <c r="BJ15" i="11" s="1"/>
  <c r="BL15" i="11" s="1"/>
  <c r="BB16" i="11"/>
  <c r="BC16" i="11" s="1"/>
  <c r="BD16" i="11" s="1"/>
  <c r="BI16" i="11" s="1"/>
  <c r="BJ16" i="11" s="1"/>
  <c r="BL16" i="11" s="1"/>
  <c r="BB17" i="11"/>
  <c r="BC17" i="11" s="1"/>
  <c r="BD17" i="11" s="1"/>
  <c r="BI17" i="11" s="1"/>
  <c r="BJ17" i="11" s="1"/>
  <c r="BL17" i="11" s="1"/>
  <c r="BB20" i="11"/>
  <c r="BC20" i="11" s="1"/>
  <c r="BD20" i="11" s="1"/>
  <c r="BI20" i="11" s="1"/>
  <c r="BJ20" i="11" s="1"/>
  <c r="BL20" i="11" s="1"/>
  <c r="G39" i="3"/>
  <c r="O13" i="2"/>
  <c r="BO11" i="16"/>
  <c r="BT11" i="16" s="1"/>
  <c r="BP11" i="16"/>
  <c r="BU11" i="16" s="1"/>
  <c r="BO7" i="16"/>
  <c r="BT7" i="16" s="1"/>
  <c r="BP7" i="16"/>
  <c r="BU7" i="16" s="1"/>
  <c r="BO8" i="16"/>
  <c r="BT8" i="16" s="1"/>
  <c r="BP8" i="16"/>
  <c r="BU8" i="16" s="1"/>
  <c r="BP12" i="16"/>
  <c r="BU12" i="16" s="1"/>
  <c r="BO12" i="16"/>
  <c r="BT12" i="16" s="1"/>
  <c r="BP17" i="16"/>
  <c r="BU17" i="16" s="1"/>
  <c r="BO17" i="16"/>
  <c r="BT17" i="16" s="1"/>
  <c r="BP10" i="16"/>
  <c r="BU10" i="16" s="1"/>
  <c r="BO10" i="16"/>
  <c r="BT10" i="16" s="1"/>
  <c r="BP18" i="16"/>
  <c r="BU18" i="16" s="1"/>
  <c r="BO18" i="16"/>
  <c r="BT18" i="16" s="1"/>
  <c r="BP13" i="11"/>
  <c r="BU13" i="11" s="1"/>
  <c r="BO13" i="11"/>
  <c r="BT13" i="11" s="1"/>
  <c r="BO19" i="11"/>
  <c r="BT19" i="11" s="1"/>
  <c r="BP19" i="11"/>
  <c r="BU19" i="11" s="1"/>
  <c r="M10" i="10"/>
  <c r="BP8" i="11"/>
  <c r="BU8" i="11" s="1"/>
  <c r="BO8" i="11"/>
  <c r="BT8" i="11" s="1"/>
  <c r="BP10" i="11"/>
  <c r="BU10" i="11" s="1"/>
  <c r="BO10" i="11"/>
  <c r="BT10" i="11" s="1"/>
  <c r="O34" i="7" l="1"/>
  <c r="M40" i="7" s="1"/>
  <c r="M42" i="7" s="1"/>
  <c r="M32" i="7"/>
  <c r="N34" i="7"/>
  <c r="M37" i="7" s="1"/>
  <c r="M34" i="7"/>
  <c r="M36" i="7" s="1"/>
  <c r="BW7" i="11"/>
  <c r="BZ7" i="11"/>
  <c r="CF7" i="11" s="1"/>
  <c r="BV7" i="11"/>
  <c r="BY7" i="11"/>
  <c r="CE7" i="11" s="1"/>
  <c r="CT7" i="11"/>
  <c r="BO4" i="11"/>
  <c r="BT4" i="11" s="1"/>
  <c r="L7" i="10" s="1"/>
  <c r="BN4" i="11"/>
  <c r="BP6" i="16"/>
  <c r="BU6" i="16" s="1"/>
  <c r="BY6" i="16" s="1"/>
  <c r="BP20" i="16"/>
  <c r="BU20" i="16" s="1"/>
  <c r="BY20" i="16" s="1"/>
  <c r="M17" i="15"/>
  <c r="H16" i="14" s="1"/>
  <c r="BO14" i="16"/>
  <c r="BT14" i="16" s="1"/>
  <c r="BP13" i="16"/>
  <c r="BU13" i="16" s="1"/>
  <c r="M16" i="15" s="1"/>
  <c r="H15" i="14" s="1"/>
  <c r="BO5" i="16"/>
  <c r="BT5" i="16" s="1"/>
  <c r="BZ5" i="16" s="1"/>
  <c r="BP11" i="11"/>
  <c r="BU11" i="11" s="1"/>
  <c r="BY11" i="11" s="1"/>
  <c r="BO9" i="11"/>
  <c r="BT9" i="11" s="1"/>
  <c r="BW9" i="11" s="1"/>
  <c r="Z46" i="21"/>
  <c r="AS45" i="21"/>
  <c r="AA45" i="21"/>
  <c r="BP16" i="16"/>
  <c r="BU16" i="16" s="1"/>
  <c r="BO16" i="16"/>
  <c r="BT16" i="16" s="1"/>
  <c r="BO15" i="16"/>
  <c r="BT15" i="16" s="1"/>
  <c r="BP15" i="16"/>
  <c r="BU15" i="16" s="1"/>
  <c r="BO19" i="16"/>
  <c r="BT19" i="16" s="1"/>
  <c r="BP19" i="16"/>
  <c r="BU19" i="16" s="1"/>
  <c r="BB9" i="16"/>
  <c r="BC9" i="16" s="1"/>
  <c r="BD9" i="16" s="1"/>
  <c r="BI9" i="16" s="1"/>
  <c r="BJ9" i="16" s="1"/>
  <c r="BL9" i="16" s="1"/>
  <c r="BO4" i="16"/>
  <c r="BT4" i="16" s="1"/>
  <c r="BP4" i="16"/>
  <c r="BU4" i="16" s="1"/>
  <c r="Z71" i="21"/>
  <c r="AS70" i="21"/>
  <c r="BN9" i="11"/>
  <c r="BM14" i="11"/>
  <c r="BN14" i="11"/>
  <c r="BM12" i="11"/>
  <c r="BN12" i="11"/>
  <c r="BN6" i="11"/>
  <c r="BM6" i="11"/>
  <c r="BM18" i="11"/>
  <c r="BN18" i="11"/>
  <c r="BN5" i="11"/>
  <c r="BM5" i="11"/>
  <c r="BN17" i="11"/>
  <c r="BM17" i="11"/>
  <c r="BN20" i="11"/>
  <c r="BM20" i="11"/>
  <c r="BN16" i="11"/>
  <c r="BM16" i="11"/>
  <c r="BN15" i="11"/>
  <c r="BM15" i="11"/>
  <c r="G40" i="3"/>
  <c r="O15" i="2" s="1"/>
  <c r="O14" i="2"/>
  <c r="BY18" i="16"/>
  <c r="M21" i="15"/>
  <c r="H20" i="14" s="1"/>
  <c r="M13" i="15"/>
  <c r="H12" i="14" s="1"/>
  <c r="BY10" i="16"/>
  <c r="M10" i="15"/>
  <c r="H9" i="14" s="1"/>
  <c r="BY7" i="16"/>
  <c r="BZ17" i="16"/>
  <c r="BW17" i="16"/>
  <c r="BV17" i="16"/>
  <c r="CT17" i="16"/>
  <c r="L20" i="15"/>
  <c r="G19" i="14" s="1"/>
  <c r="CT7" i="16"/>
  <c r="BW7" i="16"/>
  <c r="L10" i="15"/>
  <c r="G9" i="14" s="1"/>
  <c r="BZ7" i="16"/>
  <c r="BV7" i="16"/>
  <c r="M8" i="15"/>
  <c r="H7" i="14" s="1"/>
  <c r="BY11" i="16"/>
  <c r="M14" i="15"/>
  <c r="H13" i="14" s="1"/>
  <c r="BZ10" i="16"/>
  <c r="L13" i="15"/>
  <c r="G12" i="14" s="1"/>
  <c r="CT10" i="16"/>
  <c r="BW10" i="16"/>
  <c r="BV10" i="16"/>
  <c r="BV20" i="16"/>
  <c r="BW20" i="16"/>
  <c r="L23" i="15"/>
  <c r="G22" i="14" s="1"/>
  <c r="CT20" i="16"/>
  <c r="BV12" i="16"/>
  <c r="BZ12" i="16"/>
  <c r="BW12" i="16"/>
  <c r="L15" i="15"/>
  <c r="G14" i="14" s="1"/>
  <c r="CT12" i="16"/>
  <c r="CT11" i="16"/>
  <c r="BW11" i="16"/>
  <c r="BV11" i="16"/>
  <c r="L14" i="15"/>
  <c r="G13" i="14" s="1"/>
  <c r="BZ11" i="16"/>
  <c r="CT8" i="16"/>
  <c r="BW8" i="16"/>
  <c r="BZ8" i="16"/>
  <c r="CS8" i="16" s="1"/>
  <c r="CU8" i="16" s="1"/>
  <c r="CV8" i="16" s="1"/>
  <c r="R11" i="15" s="1"/>
  <c r="M10" i="14" s="1"/>
  <c r="BV8" i="16"/>
  <c r="L11" i="15"/>
  <c r="G10" i="14" s="1"/>
  <c r="BV6" i="16"/>
  <c r="CT6" i="16"/>
  <c r="BW6" i="16"/>
  <c r="L9" i="15"/>
  <c r="G8" i="14" s="1"/>
  <c r="BV13" i="16"/>
  <c r="CT13" i="16"/>
  <c r="BW13" i="16"/>
  <c r="L16" i="15"/>
  <c r="G15" i="14" s="1"/>
  <c r="BY12" i="16"/>
  <c r="M15" i="15"/>
  <c r="H14" i="14" s="1"/>
  <c r="M11" i="15"/>
  <c r="H10" i="14" s="1"/>
  <c r="BY8" i="16"/>
  <c r="BY17" i="16"/>
  <c r="M20" i="15"/>
  <c r="H19" i="14" s="1"/>
  <c r="CT18" i="16"/>
  <c r="BZ18" i="16"/>
  <c r="BW18" i="16"/>
  <c r="BV18" i="16"/>
  <c r="L21" i="15"/>
  <c r="G20" i="14" s="1"/>
  <c r="BZ10" i="11"/>
  <c r="BW10" i="11"/>
  <c r="CT10" i="11"/>
  <c r="BV10" i="11"/>
  <c r="L13" i="10"/>
  <c r="BY8" i="11"/>
  <c r="M11" i="10"/>
  <c r="BY19" i="11"/>
  <c r="M22" i="10"/>
  <c r="CH7" i="11"/>
  <c r="BY10" i="11"/>
  <c r="M13" i="10"/>
  <c r="CT19" i="11"/>
  <c r="BZ19" i="11"/>
  <c r="BV19" i="11"/>
  <c r="BW19" i="11"/>
  <c r="L22" i="10"/>
  <c r="M12" i="10"/>
  <c r="CT13" i="11"/>
  <c r="BZ13" i="11"/>
  <c r="BW13" i="11"/>
  <c r="L16" i="10"/>
  <c r="BV13" i="11"/>
  <c r="CT11" i="11"/>
  <c r="BV11" i="11"/>
  <c r="BW11" i="11"/>
  <c r="L14" i="10"/>
  <c r="BW8" i="11"/>
  <c r="BV8" i="11"/>
  <c r="L11" i="10"/>
  <c r="BZ8" i="11"/>
  <c r="CT8" i="11"/>
  <c r="BY13" i="11"/>
  <c r="M16" i="10"/>
  <c r="BX7" i="11" l="1"/>
  <c r="N10" i="10" s="1"/>
  <c r="M38" i="7"/>
  <c r="M44" i="7" s="1"/>
  <c r="M45" i="7" s="1"/>
  <c r="BW4" i="11"/>
  <c r="BZ4" i="11"/>
  <c r="CF4" i="11" s="1"/>
  <c r="CM4" i="11" s="1"/>
  <c r="O7" i="10" s="1"/>
  <c r="BY4" i="11"/>
  <c r="CE4" i="11" s="1"/>
  <c r="CT4" i="11"/>
  <c r="CG7" i="11"/>
  <c r="BV4" i="11"/>
  <c r="CI7" i="11"/>
  <c r="CK7" i="11" s="1"/>
  <c r="CO7" i="11" s="1"/>
  <c r="Q10" i="10" s="1"/>
  <c r="CJ7" i="11"/>
  <c r="CL7" i="11" s="1"/>
  <c r="BZ11" i="11"/>
  <c r="CJ11" i="11" s="1"/>
  <c r="CL11" i="11" s="1"/>
  <c r="BZ6" i="16"/>
  <c r="CF6" i="16" s="1"/>
  <c r="CM6" i="16" s="1"/>
  <c r="O9" i="15" s="1"/>
  <c r="J8" i="14" s="1"/>
  <c r="M9" i="15"/>
  <c r="H8" i="14" s="1"/>
  <c r="BZ20" i="16"/>
  <c r="CJ20" i="16" s="1"/>
  <c r="CL20" i="16" s="1"/>
  <c r="M23" i="15"/>
  <c r="H22" i="14" s="1"/>
  <c r="BW5" i="16"/>
  <c r="BY5" i="16"/>
  <c r="CE5" i="16" s="1"/>
  <c r="CN5" i="16" s="1"/>
  <c r="P8" i="15" s="1"/>
  <c r="K7" i="14" s="1"/>
  <c r="CT5" i="16"/>
  <c r="BV5" i="16"/>
  <c r="L8" i="15"/>
  <c r="G7" i="14" s="1"/>
  <c r="BY13" i="16"/>
  <c r="CG13" i="16" s="1"/>
  <c r="BZ13" i="16"/>
  <c r="CI13" i="16" s="1"/>
  <c r="CK13" i="16" s="1"/>
  <c r="CO13" i="16" s="1"/>
  <c r="Q16" i="15" s="1"/>
  <c r="L15" i="14" s="1"/>
  <c r="CM7" i="11"/>
  <c r="O10" i="10" s="1"/>
  <c r="CN7" i="11"/>
  <c r="P10" i="10" s="1"/>
  <c r="BW14" i="16"/>
  <c r="L17" i="15"/>
  <c r="G16" i="14" s="1"/>
  <c r="BZ14" i="16"/>
  <c r="CT14" i="16"/>
  <c r="BV14" i="16"/>
  <c r="BY14" i="16"/>
  <c r="M14" i="10"/>
  <c r="BY9" i="11"/>
  <c r="CG9" i="11" s="1"/>
  <c r="L12" i="10"/>
  <c r="BV9" i="11"/>
  <c r="BX9" i="11" s="1"/>
  <c r="N12" i="10" s="1"/>
  <c r="CT9" i="11"/>
  <c r="BZ9" i="11"/>
  <c r="CT19" i="16"/>
  <c r="BW19" i="16"/>
  <c r="BZ19" i="16"/>
  <c r="BV19" i="16"/>
  <c r="L22" i="15"/>
  <c r="G21" i="14" s="1"/>
  <c r="BY15" i="16"/>
  <c r="M18" i="15"/>
  <c r="H17" i="14" s="1"/>
  <c r="CT15" i="16"/>
  <c r="L18" i="15"/>
  <c r="G17" i="14" s="1"/>
  <c r="BW15" i="16"/>
  <c r="BZ15" i="16"/>
  <c r="BV15" i="16"/>
  <c r="AS71" i="21"/>
  <c r="Z72" i="21"/>
  <c r="CT16" i="16"/>
  <c r="BZ16" i="16"/>
  <c r="BV16" i="16"/>
  <c r="L19" i="15"/>
  <c r="G18" i="14" s="1"/>
  <c r="BW16" i="16"/>
  <c r="M7" i="15"/>
  <c r="H6" i="14" s="1"/>
  <c r="BY4" i="16"/>
  <c r="M19" i="15"/>
  <c r="H18" i="14" s="1"/>
  <c r="BY16" i="16"/>
  <c r="BZ4" i="16"/>
  <c r="BV4" i="16"/>
  <c r="CT4" i="16"/>
  <c r="BW4" i="16"/>
  <c r="L7" i="15"/>
  <c r="G6" i="14" s="1"/>
  <c r="BN9" i="16"/>
  <c r="BM9" i="16"/>
  <c r="M22" i="15"/>
  <c r="H21" i="14" s="1"/>
  <c r="BY19" i="16"/>
  <c r="AS46" i="21"/>
  <c r="Z47" i="21"/>
  <c r="AA46" i="21"/>
  <c r="BO16" i="11"/>
  <c r="BT16" i="11" s="1"/>
  <c r="BP16" i="11"/>
  <c r="BU16" i="11" s="1"/>
  <c r="BO18" i="11"/>
  <c r="BT18" i="11" s="1"/>
  <c r="BP18" i="11"/>
  <c r="BU18" i="11" s="1"/>
  <c r="BO20" i="11"/>
  <c r="BT20" i="11" s="1"/>
  <c r="BP20" i="11"/>
  <c r="BU20" i="11" s="1"/>
  <c r="BP6" i="11"/>
  <c r="BU6" i="11" s="1"/>
  <c r="BO6" i="11"/>
  <c r="BT6" i="11" s="1"/>
  <c r="BP12" i="11"/>
  <c r="BU12" i="11" s="1"/>
  <c r="BO12" i="11"/>
  <c r="BT12" i="11" s="1"/>
  <c r="BP17" i="11"/>
  <c r="BU17" i="11" s="1"/>
  <c r="BO17" i="11"/>
  <c r="BT17" i="11" s="1"/>
  <c r="BP15" i="11"/>
  <c r="BU15" i="11" s="1"/>
  <c r="BO15" i="11"/>
  <c r="BT15" i="11" s="1"/>
  <c r="BP5" i="11"/>
  <c r="BU5" i="11" s="1"/>
  <c r="BO5" i="11"/>
  <c r="BT5" i="11" s="1"/>
  <c r="BP14" i="11"/>
  <c r="BU14" i="11" s="1"/>
  <c r="BO14" i="11"/>
  <c r="BT14" i="11" s="1"/>
  <c r="BX7" i="16"/>
  <c r="N10" i="15" s="1"/>
  <c r="I9" i="14" s="1"/>
  <c r="BX11" i="16"/>
  <c r="N14" i="15" s="1"/>
  <c r="I13" i="14" s="1"/>
  <c r="BX8" i="11"/>
  <c r="N11" i="10" s="1"/>
  <c r="BX10" i="16"/>
  <c r="N13" i="15" s="1"/>
  <c r="I12" i="14" s="1"/>
  <c r="BX12" i="16"/>
  <c r="N15" i="15" s="1"/>
  <c r="I14" i="14" s="1"/>
  <c r="BX18" i="16"/>
  <c r="N21" i="15" s="1"/>
  <c r="I20" i="14" s="1"/>
  <c r="BX6" i="16"/>
  <c r="N9" i="15" s="1"/>
  <c r="I8" i="14" s="1"/>
  <c r="BX13" i="16"/>
  <c r="N16" i="15" s="1"/>
  <c r="I15" i="14" s="1"/>
  <c r="CJ11" i="16"/>
  <c r="CL11" i="16" s="1"/>
  <c r="CI11" i="16"/>
  <c r="CK11" i="16" s="1"/>
  <c r="CO11" i="16" s="1"/>
  <c r="Q14" i="15" s="1"/>
  <c r="L13" i="14" s="1"/>
  <c r="CF11" i="16"/>
  <c r="CM11" i="16" s="1"/>
  <c r="O14" i="15" s="1"/>
  <c r="J13" i="14" s="1"/>
  <c r="CH11" i="16"/>
  <c r="CJ10" i="16"/>
  <c r="CL10" i="16" s="1"/>
  <c r="CH10" i="16"/>
  <c r="CF10" i="16"/>
  <c r="CM10" i="16" s="1"/>
  <c r="O13" i="15" s="1"/>
  <c r="J12" i="14" s="1"/>
  <c r="CI10" i="16"/>
  <c r="CK10" i="16" s="1"/>
  <c r="CO10" i="16" s="1"/>
  <c r="Q13" i="15" s="1"/>
  <c r="L12" i="14" s="1"/>
  <c r="CE10" i="16"/>
  <c r="CN10" i="16" s="1"/>
  <c r="P13" i="15" s="1"/>
  <c r="K12" i="14" s="1"/>
  <c r="CG10" i="16"/>
  <c r="CI18" i="16"/>
  <c r="CK18" i="16" s="1"/>
  <c r="CO18" i="16" s="1"/>
  <c r="Q21" i="15" s="1"/>
  <c r="L20" i="14" s="1"/>
  <c r="CH18" i="16"/>
  <c r="CF18" i="16"/>
  <c r="CM18" i="16" s="1"/>
  <c r="O21" i="15" s="1"/>
  <c r="J20" i="14" s="1"/>
  <c r="CJ18" i="16"/>
  <c r="CL18" i="16" s="1"/>
  <c r="CJ12" i="16"/>
  <c r="CL12" i="16" s="1"/>
  <c r="CH12" i="16"/>
  <c r="CF12" i="16"/>
  <c r="CM12" i="16" s="1"/>
  <c r="O15" i="15" s="1"/>
  <c r="J14" i="14" s="1"/>
  <c r="CI12" i="16"/>
  <c r="CK12" i="16" s="1"/>
  <c r="CO12" i="16" s="1"/>
  <c r="Q15" i="15" s="1"/>
  <c r="L14" i="14" s="1"/>
  <c r="CS18" i="16"/>
  <c r="CU18" i="16" s="1"/>
  <c r="CV18" i="16" s="1"/>
  <c r="R21" i="15" s="1"/>
  <c r="M20" i="14" s="1"/>
  <c r="CS11" i="16"/>
  <c r="CU11" i="16" s="1"/>
  <c r="CV11" i="16" s="1"/>
  <c r="R14" i="15" s="1"/>
  <c r="M13" i="14" s="1"/>
  <c r="BX20" i="16"/>
  <c r="N23" i="15" s="1"/>
  <c r="I22" i="14" s="1"/>
  <c r="CI7" i="16"/>
  <c r="CK7" i="16" s="1"/>
  <c r="CO7" i="16" s="1"/>
  <c r="Q10" i="15" s="1"/>
  <c r="L9" i="14" s="1"/>
  <c r="CF7" i="16"/>
  <c r="CM7" i="16" s="1"/>
  <c r="O10" i="15" s="1"/>
  <c r="J9" i="14" s="1"/>
  <c r="CJ7" i="16"/>
  <c r="CL7" i="16" s="1"/>
  <c r="CH7" i="16"/>
  <c r="CG17" i="16"/>
  <c r="CE17" i="16"/>
  <c r="CN17" i="16" s="1"/>
  <c r="P20" i="15" s="1"/>
  <c r="K19" i="14" s="1"/>
  <c r="CG12" i="16"/>
  <c r="CE12" i="16"/>
  <c r="CN12" i="16" s="1"/>
  <c r="P15" i="15" s="1"/>
  <c r="K14" i="14" s="1"/>
  <c r="CG6" i="16"/>
  <c r="CE6" i="16"/>
  <c r="CN6" i="16" s="1"/>
  <c r="P9" i="15" s="1"/>
  <c r="K8" i="14" s="1"/>
  <c r="BX17" i="16"/>
  <c r="N20" i="15" s="1"/>
  <c r="I19" i="14" s="1"/>
  <c r="CG11" i="16"/>
  <c r="CE11" i="16"/>
  <c r="CN11" i="16" s="1"/>
  <c r="P14" i="15" s="1"/>
  <c r="K13" i="14" s="1"/>
  <c r="CS7" i="16"/>
  <c r="CU7" i="16" s="1"/>
  <c r="CV7" i="16" s="1"/>
  <c r="R10" i="15" s="1"/>
  <c r="M9" i="14" s="1"/>
  <c r="CE7" i="16"/>
  <c r="CN7" i="16" s="1"/>
  <c r="P10" i="15" s="1"/>
  <c r="K9" i="14" s="1"/>
  <c r="CG7" i="16"/>
  <c r="CG20" i="16"/>
  <c r="CE20" i="16"/>
  <c r="CN20" i="16" s="1"/>
  <c r="P23" i="15" s="1"/>
  <c r="K22" i="14" s="1"/>
  <c r="BX8" i="16"/>
  <c r="N11" i="15" s="1"/>
  <c r="I10" i="14" s="1"/>
  <c r="CS12" i="16"/>
  <c r="CU12" i="16" s="1"/>
  <c r="CV12" i="16" s="1"/>
  <c r="R15" i="15" s="1"/>
  <c r="M14" i="14" s="1"/>
  <c r="CH17" i="16"/>
  <c r="CJ17" i="16"/>
  <c r="CL17" i="16" s="1"/>
  <c r="CF17" i="16"/>
  <c r="CM17" i="16" s="1"/>
  <c r="O20" i="15" s="1"/>
  <c r="J19" i="14" s="1"/>
  <c r="CI17" i="16"/>
  <c r="CK17" i="16" s="1"/>
  <c r="CO17" i="16" s="1"/>
  <c r="Q20" i="15" s="1"/>
  <c r="L19" i="14" s="1"/>
  <c r="CH5" i="16"/>
  <c r="CF5" i="16"/>
  <c r="CM5" i="16" s="1"/>
  <c r="O8" i="15" s="1"/>
  <c r="J7" i="14" s="1"/>
  <c r="CJ5" i="16"/>
  <c r="CL5" i="16" s="1"/>
  <c r="CI5" i="16"/>
  <c r="CK5" i="16" s="1"/>
  <c r="CO5" i="16" s="1"/>
  <c r="Q8" i="15" s="1"/>
  <c r="L7" i="14" s="1"/>
  <c r="CE8" i="16"/>
  <c r="CN8" i="16" s="1"/>
  <c r="P11" i="15" s="1"/>
  <c r="K10" i="14" s="1"/>
  <c r="CG8" i="16"/>
  <c r="CI8" i="16"/>
  <c r="CK8" i="16" s="1"/>
  <c r="CO8" i="16" s="1"/>
  <c r="Q11" i="15" s="1"/>
  <c r="L10" i="14" s="1"/>
  <c r="CJ8" i="16"/>
  <c r="CL8" i="16" s="1"/>
  <c r="CH8" i="16"/>
  <c r="CF8" i="16"/>
  <c r="CM8" i="16" s="1"/>
  <c r="O11" i="15" s="1"/>
  <c r="J10" i="14" s="1"/>
  <c r="CS17" i="16"/>
  <c r="CU17" i="16" s="1"/>
  <c r="CV17" i="16" s="1"/>
  <c r="R20" i="15" s="1"/>
  <c r="M19" i="14" s="1"/>
  <c r="CS5" i="16"/>
  <c r="CU5" i="16" s="1"/>
  <c r="CV5" i="16" s="1"/>
  <c r="R8" i="15" s="1"/>
  <c r="M7" i="14" s="1"/>
  <c r="CG18" i="16"/>
  <c r="CE18" i="16"/>
  <c r="CN18" i="16" s="1"/>
  <c r="P21" i="15" s="1"/>
  <c r="K20" i="14" s="1"/>
  <c r="BX13" i="11"/>
  <c r="N16" i="10" s="1"/>
  <c r="BX11" i="11"/>
  <c r="N14" i="10" s="1"/>
  <c r="BX10" i="11"/>
  <c r="N13" i="10" s="1"/>
  <c r="CG10" i="11"/>
  <c r="CE10" i="11"/>
  <c r="CN10" i="11" s="1"/>
  <c r="P13" i="10" s="1"/>
  <c r="CJ8" i="11"/>
  <c r="CL8" i="11" s="1"/>
  <c r="CF8" i="11"/>
  <c r="CI8" i="11"/>
  <c r="CK8" i="11" s="1"/>
  <c r="CH8" i="11"/>
  <c r="CJ13" i="11"/>
  <c r="CL13" i="11" s="1"/>
  <c r="CI13" i="11"/>
  <c r="CK13" i="11" s="1"/>
  <c r="CH13" i="11"/>
  <c r="CF13" i="11"/>
  <c r="CM13" i="11" s="1"/>
  <c r="O16" i="10" s="1"/>
  <c r="CG19" i="11"/>
  <c r="CE19" i="11"/>
  <c r="CN19" i="11" s="1"/>
  <c r="P22" i="10" s="1"/>
  <c r="CG8" i="11"/>
  <c r="CE8" i="11"/>
  <c r="CH10" i="11"/>
  <c r="CF10" i="11"/>
  <c r="CM10" i="11" s="1"/>
  <c r="O13" i="10" s="1"/>
  <c r="CJ10" i="11"/>
  <c r="CL10" i="11" s="1"/>
  <c r="CI10" i="11"/>
  <c r="CK10" i="11" s="1"/>
  <c r="BX19" i="11"/>
  <c r="N22" i="10" s="1"/>
  <c r="CG13" i="11"/>
  <c r="CE13" i="11"/>
  <c r="CN13" i="11" s="1"/>
  <c r="P16" i="10" s="1"/>
  <c r="CG11" i="11"/>
  <c r="CE11" i="11"/>
  <c r="CJ19" i="11"/>
  <c r="CL19" i="11" s="1"/>
  <c r="CI19" i="11"/>
  <c r="CK19" i="11" s="1"/>
  <c r="CH19" i="11"/>
  <c r="CF19" i="11"/>
  <c r="M51" i="7" l="1"/>
  <c r="M52" i="7" s="1"/>
  <c r="M59" i="7" s="1"/>
  <c r="M47" i="7"/>
  <c r="CG4" i="11"/>
  <c r="CN4" i="11" s="1"/>
  <c r="P7" i="10" s="1"/>
  <c r="CH11" i="11"/>
  <c r="CH4" i="11"/>
  <c r="CJ4" i="11"/>
  <c r="CL4" i="11" s="1"/>
  <c r="BX4" i="11"/>
  <c r="N7" i="10" s="1"/>
  <c r="CI4" i="11"/>
  <c r="CK4" i="11" s="1"/>
  <c r="CO4" i="11" s="1"/>
  <c r="Q7" i="10" s="1"/>
  <c r="CI11" i="11"/>
  <c r="CK11" i="11" s="1"/>
  <c r="CO11" i="11" s="1"/>
  <c r="Q14" i="10" s="1"/>
  <c r="CF11" i="11"/>
  <c r="CM11" i="11" s="1"/>
  <c r="O14" i="10" s="1"/>
  <c r="CH20" i="16"/>
  <c r="CI6" i="16"/>
  <c r="CK6" i="16" s="1"/>
  <c r="CO6" i="16" s="1"/>
  <c r="Q9" i="15" s="1"/>
  <c r="L8" i="14" s="1"/>
  <c r="CJ6" i="16"/>
  <c r="CL6" i="16" s="1"/>
  <c r="BX5" i="16"/>
  <c r="N8" i="15" s="1"/>
  <c r="I7" i="14" s="1"/>
  <c r="CG5" i="16"/>
  <c r="CH6" i="16"/>
  <c r="CF20" i="16"/>
  <c r="CM20" i="16" s="1"/>
  <c r="O23" i="15" s="1"/>
  <c r="J22" i="14" s="1"/>
  <c r="CS20" i="16"/>
  <c r="CU20" i="16" s="1"/>
  <c r="CV20" i="16" s="1"/>
  <c r="R23" i="15" s="1"/>
  <c r="M22" i="14" s="1"/>
  <c r="CI20" i="16"/>
  <c r="CK20" i="16" s="1"/>
  <c r="CO20" i="16" s="1"/>
  <c r="Q23" i="15" s="1"/>
  <c r="L22" i="14" s="1"/>
  <c r="CS6" i="16"/>
  <c r="CU6" i="16" s="1"/>
  <c r="CV6" i="16" s="1"/>
  <c r="R9" i="15" s="1"/>
  <c r="M8" i="14" s="1"/>
  <c r="CE13" i="16"/>
  <c r="CN13" i="16" s="1"/>
  <c r="P16" i="15" s="1"/>
  <c r="K15" i="14" s="1"/>
  <c r="CF13" i="16"/>
  <c r="CM13" i="16" s="1"/>
  <c r="O16" i="15" s="1"/>
  <c r="J15" i="14" s="1"/>
  <c r="CH13" i="16"/>
  <c r="CJ13" i="16"/>
  <c r="CL13" i="16" s="1"/>
  <c r="CS13" i="16"/>
  <c r="CU13" i="16" s="1"/>
  <c r="CV13" i="16" s="1"/>
  <c r="R16" i="15" s="1"/>
  <c r="M15" i="14" s="1"/>
  <c r="BX15" i="16"/>
  <c r="N18" i="15" s="1"/>
  <c r="I17" i="14" s="1"/>
  <c r="CE9" i="11"/>
  <c r="CN9" i="11" s="1"/>
  <c r="P12" i="10" s="1"/>
  <c r="CM19" i="11"/>
  <c r="O22" i="10" s="1"/>
  <c r="CO8" i="11"/>
  <c r="Q11" i="10" s="1"/>
  <c r="CN8" i="11"/>
  <c r="P11" i="10" s="1"/>
  <c r="CM8" i="11"/>
  <c r="O11" i="10" s="1"/>
  <c r="CO19" i="11"/>
  <c r="Q22" i="10" s="1"/>
  <c r="CN11" i="11"/>
  <c r="P14" i="10" s="1"/>
  <c r="CO10" i="11"/>
  <c r="Q13" i="10" s="1"/>
  <c r="CO13" i="11"/>
  <c r="Q16" i="10" s="1"/>
  <c r="CE14" i="16"/>
  <c r="CN14" i="16" s="1"/>
  <c r="P17" i="15" s="1"/>
  <c r="K16" i="14" s="1"/>
  <c r="CG14" i="16"/>
  <c r="BX14" i="16"/>
  <c r="N17" i="15" s="1"/>
  <c r="I16" i="14" s="1"/>
  <c r="CI14" i="16"/>
  <c r="CK14" i="16" s="1"/>
  <c r="CO14" i="16" s="1"/>
  <c r="Q17" i="15" s="1"/>
  <c r="L16" i="14" s="1"/>
  <c r="CJ14" i="16"/>
  <c r="CL14" i="16" s="1"/>
  <c r="CF14" i="16"/>
  <c r="CM14" i="16" s="1"/>
  <c r="O17" i="15" s="1"/>
  <c r="J16" i="14" s="1"/>
  <c r="CH14" i="16"/>
  <c r="CS14" i="16"/>
  <c r="CU14" i="16" s="1"/>
  <c r="CV14" i="16" s="1"/>
  <c r="R17" i="15" s="1"/>
  <c r="M16" i="14" s="1"/>
  <c r="CF9" i="11"/>
  <c r="CM9" i="11" s="1"/>
  <c r="O12" i="10" s="1"/>
  <c r="CI9" i="11"/>
  <c r="CK9" i="11" s="1"/>
  <c r="CH9" i="11"/>
  <c r="CJ9" i="11"/>
  <c r="CL9" i="11" s="1"/>
  <c r="BX19" i="16"/>
  <c r="N22" i="15" s="1"/>
  <c r="I21" i="14" s="1"/>
  <c r="BX4" i="16"/>
  <c r="N7" i="15" s="1"/>
  <c r="I6" i="14" s="1"/>
  <c r="BO9" i="16"/>
  <c r="BT9" i="16" s="1"/>
  <c r="BP9" i="16"/>
  <c r="BU9" i="16" s="1"/>
  <c r="Z73" i="21"/>
  <c r="AS72" i="21"/>
  <c r="CG4" i="16"/>
  <c r="CE4" i="16"/>
  <c r="CN4" i="16" s="1"/>
  <c r="P7" i="15" s="1"/>
  <c r="K6" i="14" s="1"/>
  <c r="CE15" i="16"/>
  <c r="CN15" i="16" s="1"/>
  <c r="P18" i="15" s="1"/>
  <c r="K17" i="14" s="1"/>
  <c r="CG15" i="16"/>
  <c r="CG16" i="16"/>
  <c r="CE16" i="16"/>
  <c r="CN16" i="16" s="1"/>
  <c r="P19" i="15" s="1"/>
  <c r="K18" i="14" s="1"/>
  <c r="CS15" i="16"/>
  <c r="CU15" i="16" s="1"/>
  <c r="CV15" i="16" s="1"/>
  <c r="R18" i="15" s="1"/>
  <c r="M17" i="14" s="1"/>
  <c r="CF15" i="16"/>
  <c r="CM15" i="16" s="1"/>
  <c r="O18" i="15" s="1"/>
  <c r="J17" i="14" s="1"/>
  <c r="CJ15" i="16"/>
  <c r="CL15" i="16" s="1"/>
  <c r="CH15" i="16"/>
  <c r="CI15" i="16"/>
  <c r="CK15" i="16" s="1"/>
  <c r="CO15" i="16" s="1"/>
  <c r="Q18" i="15" s="1"/>
  <c r="L17" i="14" s="1"/>
  <c r="Z48" i="21"/>
  <c r="AS47" i="21"/>
  <c r="AA47" i="21"/>
  <c r="CI19" i="16"/>
  <c r="CK19" i="16" s="1"/>
  <c r="CO19" i="16" s="1"/>
  <c r="Q22" i="15" s="1"/>
  <c r="L21" i="14" s="1"/>
  <c r="CH19" i="16"/>
  <c r="CF19" i="16"/>
  <c r="CM19" i="16" s="1"/>
  <c r="O22" i="15" s="1"/>
  <c r="J21" i="14" s="1"/>
  <c r="CJ19" i="16"/>
  <c r="CL19" i="16" s="1"/>
  <c r="CS19" i="16"/>
  <c r="CU19" i="16" s="1"/>
  <c r="CV19" i="16" s="1"/>
  <c r="R22" i="15" s="1"/>
  <c r="M21" i="14" s="1"/>
  <c r="BX16" i="16"/>
  <c r="N19" i="15" s="1"/>
  <c r="I18" i="14" s="1"/>
  <c r="CG19" i="16"/>
  <c r="CE19" i="16"/>
  <c r="CN19" i="16" s="1"/>
  <c r="P22" i="15" s="1"/>
  <c r="K21" i="14" s="1"/>
  <c r="CH4" i="16"/>
  <c r="CJ4" i="16"/>
  <c r="CL4" i="16" s="1"/>
  <c r="CI4" i="16"/>
  <c r="CK4" i="16" s="1"/>
  <c r="CO4" i="16" s="1"/>
  <c r="Q7" i="15" s="1"/>
  <c r="L6" i="14" s="1"/>
  <c r="CF4" i="16"/>
  <c r="CM4" i="16" s="1"/>
  <c r="O7" i="15" s="1"/>
  <c r="J6" i="14" s="1"/>
  <c r="CS16" i="16"/>
  <c r="CU16" i="16" s="1"/>
  <c r="CV16" i="16" s="1"/>
  <c r="R19" i="15" s="1"/>
  <c r="M18" i="14" s="1"/>
  <c r="CF16" i="16"/>
  <c r="CM16" i="16" s="1"/>
  <c r="O19" i="15" s="1"/>
  <c r="J18" i="14" s="1"/>
  <c r="CI16" i="16"/>
  <c r="CK16" i="16" s="1"/>
  <c r="CO16" i="16" s="1"/>
  <c r="Q19" i="15" s="1"/>
  <c r="L18" i="14" s="1"/>
  <c r="CJ16" i="16"/>
  <c r="CL16" i="16" s="1"/>
  <c r="CH16" i="16"/>
  <c r="BY15" i="11"/>
  <c r="M18" i="10"/>
  <c r="BV20" i="11"/>
  <c r="L23" i="10"/>
  <c r="CT20" i="11"/>
  <c r="BZ20" i="11"/>
  <c r="BW20" i="11"/>
  <c r="BY20" i="11"/>
  <c r="M23" i="10"/>
  <c r="BV17" i="11"/>
  <c r="CT17" i="11"/>
  <c r="L20" i="10"/>
  <c r="BZ17" i="11"/>
  <c r="BW17" i="11"/>
  <c r="BY18" i="11"/>
  <c r="M21" i="10"/>
  <c r="BZ15" i="11"/>
  <c r="BV15" i="11"/>
  <c r="CT15" i="11"/>
  <c r="BW15" i="11"/>
  <c r="L18" i="10"/>
  <c r="BW18" i="11"/>
  <c r="BV18" i="11"/>
  <c r="BZ18" i="11"/>
  <c r="L21" i="10"/>
  <c r="CT18" i="11"/>
  <c r="M17" i="10"/>
  <c r="BY14" i="11"/>
  <c r="BW12" i="11"/>
  <c r="L15" i="10"/>
  <c r="BV12" i="11"/>
  <c r="CT12" i="11"/>
  <c r="BZ12" i="11"/>
  <c r="CT14" i="11"/>
  <c r="L17" i="10"/>
  <c r="BZ14" i="11"/>
  <c r="BW14" i="11"/>
  <c r="BV14" i="11"/>
  <c r="CT5" i="11"/>
  <c r="BZ5" i="11"/>
  <c r="L8" i="10"/>
  <c r="BW5" i="11"/>
  <c r="BV5" i="11"/>
  <c r="M15" i="10"/>
  <c r="BY12" i="11"/>
  <c r="M19" i="10"/>
  <c r="BY16" i="11"/>
  <c r="BY6" i="11"/>
  <c r="M9" i="10"/>
  <c r="M20" i="10"/>
  <c r="BY17" i="11"/>
  <c r="BY5" i="11"/>
  <c r="M8" i="10"/>
  <c r="BV6" i="11"/>
  <c r="BW6" i="11"/>
  <c r="BZ6" i="11"/>
  <c r="L9" i="10"/>
  <c r="CT6" i="11"/>
  <c r="CT16" i="11"/>
  <c r="BV16" i="11"/>
  <c r="BZ16" i="11"/>
  <c r="L19" i="10"/>
  <c r="BW16" i="11"/>
  <c r="N26" i="6" l="1"/>
  <c r="N59" i="7"/>
  <c r="M60" i="7" s="1"/>
  <c r="O26" i="6" s="1"/>
  <c r="M49" i="7"/>
  <c r="M53" i="7"/>
  <c r="CR4" i="11"/>
  <c r="CS17" i="11" s="1"/>
  <c r="CU17" i="11" s="1"/>
  <c r="CV17" i="11" s="1"/>
  <c r="R20" i="10" s="1"/>
  <c r="CO9" i="11"/>
  <c r="Q12" i="10" s="1"/>
  <c r="AS48" i="21"/>
  <c r="Z49" i="21"/>
  <c r="AA48" i="21"/>
  <c r="BX5" i="11"/>
  <c r="N8" i="10" s="1"/>
  <c r="AS73" i="21"/>
  <c r="Z74" i="21"/>
  <c r="BY9" i="16"/>
  <c r="M12" i="15"/>
  <c r="H11" i="14" s="1"/>
  <c r="L12" i="15"/>
  <c r="G11" i="14" s="1"/>
  <c r="BW9" i="16"/>
  <c r="BZ9" i="16"/>
  <c r="CS9" i="16" s="1"/>
  <c r="CU9" i="16" s="1"/>
  <c r="CV9" i="16" s="1"/>
  <c r="R12" i="15" s="1"/>
  <c r="M11" i="14" s="1"/>
  <c r="BV9" i="16"/>
  <c r="CT9" i="16"/>
  <c r="CS10" i="16"/>
  <c r="CU10" i="16" s="1"/>
  <c r="CV10" i="16" s="1"/>
  <c r="R13" i="15" s="1"/>
  <c r="M12" i="14" s="1"/>
  <c r="BX15" i="11"/>
  <c r="N18" i="10" s="1"/>
  <c r="CG14" i="11"/>
  <c r="CE14" i="11"/>
  <c r="CN14" i="11" s="1"/>
  <c r="P17" i="10" s="1"/>
  <c r="CH17" i="11"/>
  <c r="CI17" i="11"/>
  <c r="CK17" i="11" s="1"/>
  <c r="CF17" i="11"/>
  <c r="CM17" i="11" s="1"/>
  <c r="O20" i="10" s="1"/>
  <c r="CJ17" i="11"/>
  <c r="CL17" i="11" s="1"/>
  <c r="CJ20" i="11"/>
  <c r="CL20" i="11" s="1"/>
  <c r="CI20" i="11"/>
  <c r="CK20" i="11" s="1"/>
  <c r="CO20" i="11" s="1"/>
  <c r="Q23" i="10" s="1"/>
  <c r="CF20" i="11"/>
  <c r="CH20" i="11"/>
  <c r="CE17" i="11"/>
  <c r="CG17" i="11"/>
  <c r="CH6" i="11"/>
  <c r="CF6" i="11"/>
  <c r="CI6" i="11"/>
  <c r="CK6" i="11" s="1"/>
  <c r="CO6" i="11" s="1"/>
  <c r="Q9" i="10" s="1"/>
  <c r="CJ6" i="11"/>
  <c r="CL6" i="11" s="1"/>
  <c r="CJ14" i="11"/>
  <c r="CL14" i="11" s="1"/>
  <c r="CI14" i="11"/>
  <c r="CK14" i="11" s="1"/>
  <c r="CH14" i="11"/>
  <c r="CF14" i="11"/>
  <c r="CM14" i="11" s="1"/>
  <c r="O17" i="10" s="1"/>
  <c r="CE6" i="11"/>
  <c r="CN6" i="11" s="1"/>
  <c r="P9" i="10" s="1"/>
  <c r="CG6" i="11"/>
  <c r="BX6" i="11"/>
  <c r="N9" i="10" s="1"/>
  <c r="CE16" i="11"/>
  <c r="CN16" i="11" s="1"/>
  <c r="P19" i="10" s="1"/>
  <c r="CG16" i="11"/>
  <c r="CI12" i="11"/>
  <c r="CK12" i="11" s="1"/>
  <c r="CJ12" i="11"/>
  <c r="CL12" i="11" s="1"/>
  <c r="CH12" i="11"/>
  <c r="CF12" i="11"/>
  <c r="CI15" i="11"/>
  <c r="CK15" i="11" s="1"/>
  <c r="CO15" i="11" s="1"/>
  <c r="Q18" i="10" s="1"/>
  <c r="CH15" i="11"/>
  <c r="CF15" i="11"/>
  <c r="CM15" i="11" s="1"/>
  <c r="O18" i="10" s="1"/>
  <c r="CJ15" i="11"/>
  <c r="CL15" i="11" s="1"/>
  <c r="BX17" i="11"/>
  <c r="N20" i="10" s="1"/>
  <c r="BX20" i="11"/>
  <c r="N23" i="10" s="1"/>
  <c r="CE5" i="11"/>
  <c r="CG5" i="11"/>
  <c r="CF16" i="11"/>
  <c r="CM16" i="11" s="1"/>
  <c r="O19" i="10" s="1"/>
  <c r="CJ16" i="11"/>
  <c r="CL16" i="11" s="1"/>
  <c r="CI16" i="11"/>
  <c r="CK16" i="11" s="1"/>
  <c r="CO16" i="11" s="1"/>
  <c r="Q19" i="10" s="1"/>
  <c r="CH16" i="11"/>
  <c r="CF18" i="11"/>
  <c r="CM18" i="11" s="1"/>
  <c r="O21" i="10" s="1"/>
  <c r="CH18" i="11"/>
  <c r="CJ18" i="11"/>
  <c r="CL18" i="11" s="1"/>
  <c r="CI18" i="11"/>
  <c r="CK18" i="11" s="1"/>
  <c r="CJ5" i="11"/>
  <c r="CL5" i="11" s="1"/>
  <c r="CF5" i="11"/>
  <c r="CM5" i="11" s="1"/>
  <c r="O8" i="10" s="1"/>
  <c r="CI5" i="11"/>
  <c r="CK5" i="11" s="1"/>
  <c r="CO5" i="11" s="1"/>
  <c r="Q8" i="10" s="1"/>
  <c r="CH5" i="11"/>
  <c r="BX16" i="11"/>
  <c r="N19" i="10" s="1"/>
  <c r="CE12" i="11"/>
  <c r="CN12" i="11" s="1"/>
  <c r="P15" i="10" s="1"/>
  <c r="CG12" i="11"/>
  <c r="BX14" i="11"/>
  <c r="N17" i="10" s="1"/>
  <c r="BX12" i="11"/>
  <c r="N15" i="10" s="1"/>
  <c r="BX18" i="11"/>
  <c r="N21" i="10" s="1"/>
  <c r="CG18" i="11"/>
  <c r="CE18" i="11"/>
  <c r="CG20" i="11"/>
  <c r="CE20" i="11"/>
  <c r="CN20" i="11" s="1"/>
  <c r="P23" i="10" s="1"/>
  <c r="CG15" i="11"/>
  <c r="CE15" i="11"/>
  <c r="CN15" i="11" s="1"/>
  <c r="P18" i="10" s="1"/>
  <c r="N27" i="6" l="1"/>
  <c r="M54" i="7"/>
  <c r="M61" i="7"/>
  <c r="O27" i="6" s="1"/>
  <c r="M55" i="7"/>
  <c r="CS15" i="11"/>
  <c r="CU15" i="11" s="1"/>
  <c r="CV15" i="11" s="1"/>
  <c r="R18" i="10" s="1"/>
  <c r="CS20" i="11"/>
  <c r="CU20" i="11" s="1"/>
  <c r="CV20" i="11" s="1"/>
  <c r="R23" i="10" s="1"/>
  <c r="CS16" i="11"/>
  <c r="CU16" i="11" s="1"/>
  <c r="CV16" i="11" s="1"/>
  <c r="R19" i="10" s="1"/>
  <c r="CS5" i="11"/>
  <c r="CU5" i="11" s="1"/>
  <c r="CV5" i="11" s="1"/>
  <c r="R8" i="10" s="1"/>
  <c r="CS6" i="11"/>
  <c r="CU6" i="11" s="1"/>
  <c r="CV6" i="11" s="1"/>
  <c r="R9" i="10" s="1"/>
  <c r="CS12" i="11"/>
  <c r="CU12" i="11" s="1"/>
  <c r="CV12" i="11" s="1"/>
  <c r="R15" i="10" s="1"/>
  <c r="CS14" i="11"/>
  <c r="CU14" i="11" s="1"/>
  <c r="CV14" i="11" s="1"/>
  <c r="R17" i="10" s="1"/>
  <c r="CS18" i="11"/>
  <c r="CU18" i="11" s="1"/>
  <c r="CV18" i="11" s="1"/>
  <c r="R21" i="10" s="1"/>
  <c r="CS10" i="11"/>
  <c r="CU10" i="11" s="1"/>
  <c r="CV10" i="11" s="1"/>
  <c r="R13" i="10" s="1"/>
  <c r="CS8" i="11"/>
  <c r="CU8" i="11" s="1"/>
  <c r="CV8" i="11" s="1"/>
  <c r="R11" i="10" s="1"/>
  <c r="CS7" i="11"/>
  <c r="CU7" i="11" s="1"/>
  <c r="CV7" i="11" s="1"/>
  <c r="R10" i="10" s="1"/>
  <c r="CS13" i="11"/>
  <c r="CU13" i="11" s="1"/>
  <c r="CV13" i="11" s="1"/>
  <c r="R16" i="10" s="1"/>
  <c r="CS19" i="11"/>
  <c r="CU19" i="11" s="1"/>
  <c r="CV19" i="11" s="1"/>
  <c r="R22" i="10" s="1"/>
  <c r="CS9" i="11"/>
  <c r="CU9" i="11" s="1"/>
  <c r="CV9" i="11" s="1"/>
  <c r="R12" i="10" s="1"/>
  <c r="CS11" i="11"/>
  <c r="CU11" i="11" s="1"/>
  <c r="CV11" i="11" s="1"/>
  <c r="R14" i="10" s="1"/>
  <c r="CN18" i="11"/>
  <c r="P21" i="10" s="1"/>
  <c r="CN5" i="11"/>
  <c r="P8" i="10" s="1"/>
  <c r="CM12" i="11"/>
  <c r="O15" i="10" s="1"/>
  <c r="CM6" i="11"/>
  <c r="O9" i="10" s="1"/>
  <c r="CO12" i="11"/>
  <c r="Q15" i="10" s="1"/>
  <c r="CO17" i="11"/>
  <c r="Q20" i="10" s="1"/>
  <c r="CO14" i="11"/>
  <c r="Q17" i="10" s="1"/>
  <c r="CN17" i="11"/>
  <c r="P20" i="10" s="1"/>
  <c r="CO18" i="11"/>
  <c r="Q21" i="10" s="1"/>
  <c r="CM20" i="11"/>
  <c r="O23" i="10" s="1"/>
  <c r="BX9" i="16"/>
  <c r="N12" i="15" s="1"/>
  <c r="I11" i="14" s="1"/>
  <c r="CG9" i="16"/>
  <c r="CE9" i="16"/>
  <c r="CN9" i="16" s="1"/>
  <c r="P12" i="15" s="1"/>
  <c r="K11" i="14" s="1"/>
  <c r="AS74" i="21"/>
  <c r="Z75" i="21"/>
  <c r="CJ9" i="16"/>
  <c r="CL9" i="16" s="1"/>
  <c r="CF9" i="16"/>
  <c r="CM9" i="16" s="1"/>
  <c r="O12" i="15" s="1"/>
  <c r="J11" i="14" s="1"/>
  <c r="CH9" i="16"/>
  <c r="CI9" i="16"/>
  <c r="CK9" i="16" s="1"/>
  <c r="CO9" i="16" s="1"/>
  <c r="Q12" i="15" s="1"/>
  <c r="L11" i="14" s="1"/>
  <c r="AS49" i="21"/>
  <c r="Z50" i="21"/>
  <c r="AA49" i="21"/>
  <c r="O59" i="7" l="1"/>
  <c r="P59" i="7"/>
  <c r="N29" i="6"/>
  <c r="N28" i="6"/>
  <c r="O61" i="7"/>
  <c r="O28" i="6" s="1"/>
  <c r="Z76" i="21"/>
  <c r="AS75" i="21"/>
  <c r="Z51" i="21"/>
  <c r="AS50" i="21"/>
  <c r="AA50" i="21"/>
  <c r="O60" i="7" l="1"/>
  <c r="O29" i="6" s="1"/>
  <c r="Z52" i="21"/>
  <c r="AS51" i="21"/>
  <c r="AA51" i="21"/>
  <c r="AS76" i="21"/>
  <c r="Z77" i="21"/>
  <c r="AS52" i="21" l="1"/>
  <c r="Z53" i="21"/>
  <c r="AA52" i="21"/>
  <c r="Z78" i="21"/>
  <c r="AS77" i="21"/>
  <c r="AS53" i="21" l="1"/>
  <c r="AA53" i="21"/>
  <c r="Z79" i="21"/>
  <c r="AS79" i="21" s="1"/>
  <c r="AS7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Justin Parker</author>
  </authors>
  <commentList>
    <comment ref="L7" authorId="0" shapeId="0" xr:uid="{B42D3929-0A06-4831-991B-4387DC792202}">
      <text>
        <r>
          <rPr>
            <b/>
            <sz val="14"/>
            <color indexed="81"/>
            <rFont val="Calibri"/>
            <family val="2"/>
            <scheme val="minor"/>
          </rPr>
          <t xml:space="preserve">CFO Notes:
Recommended to utilize the greater of the following for cleaner UW feedback: (a) Appraised Expenses, (b)  Actual Expenses, or (c) Estimated Expenses </t>
        </r>
      </text>
    </comment>
    <comment ref="B11" authorId="0" shapeId="0" xr:uid="{871FD0C6-F12E-462B-A022-8053FCCEB972}">
      <text>
        <r>
          <rPr>
            <b/>
            <sz val="12"/>
            <color indexed="81"/>
            <rFont val="Calibri"/>
            <family val="2"/>
            <scheme val="minor"/>
          </rPr>
          <t>CFO Notes:</t>
        </r>
        <r>
          <rPr>
            <sz val="12"/>
            <color indexed="81"/>
            <rFont val="Calibri"/>
            <family val="2"/>
            <scheme val="minor"/>
          </rPr>
          <t xml:space="preserve">
Experience should be the summation of all verifiable investment properties tied to the Qualified Guarantor(s) in the last 3 years
Completed Flips: (Subset of Experience) The number of renovation projects the customer has successfully completed (either via long-term refinancing or sale of renovated property). Please note this drives max LTV / PX qualifications </t>
        </r>
      </text>
    </comment>
    <comment ref="Q12" authorId="0" shapeId="0" xr:uid="{EBF86867-B461-4D01-8F69-2D57344B5A3B}">
      <text>
        <r>
          <rPr>
            <b/>
            <sz val="14"/>
            <color indexed="81"/>
            <rFont val="Calibri"/>
            <family val="2"/>
            <scheme val="minor"/>
          </rPr>
          <t>CFO Notes:
All LTV adjustments are meant as a guide, and subject to waiver assuming loan file includes strong credit mitigates to support waiver. All adjustments are subject to final approval from RCN's PX Desk</t>
        </r>
        <r>
          <rPr>
            <sz val="14"/>
            <color indexed="81"/>
            <rFont val="Calibri"/>
            <family val="2"/>
            <scheme val="minor"/>
          </rPr>
          <t xml:space="preserve">
</t>
        </r>
      </text>
    </comment>
    <comment ref="Q22" authorId="0" shapeId="0" xr:uid="{D53360F4-8C11-4568-B1F6-ECB580D1575D}">
      <text>
        <r>
          <rPr>
            <b/>
            <sz val="12"/>
            <color indexed="81"/>
            <rFont val="Calibri"/>
            <family val="2"/>
            <scheme val="minor"/>
          </rPr>
          <t>CFO Notes:</t>
        </r>
        <r>
          <rPr>
            <sz val="12"/>
            <color indexed="81"/>
            <rFont val="Calibri"/>
            <family val="2"/>
            <scheme val="minor"/>
          </rPr>
          <t xml:space="preserve">
For deals where subject property is located in the notated cities, RCN looks to see that the Borrower  has completed at least 1 renovation project within the respective city, otherwise subject to further requirements</t>
        </r>
      </text>
    </comment>
    <comment ref="Q25" authorId="0" shapeId="0" xr:uid="{A84924D5-6FC9-4BE8-80E3-2A3A9CECC595}">
      <text>
        <r>
          <rPr>
            <b/>
            <sz val="12"/>
            <color indexed="81"/>
            <rFont val="Calibri"/>
            <family val="2"/>
            <scheme val="minor"/>
          </rPr>
          <t>CFO Notes:</t>
        </r>
        <r>
          <rPr>
            <sz val="12"/>
            <color indexed="81"/>
            <rFont val="Calibri"/>
            <family val="2"/>
            <scheme val="minor"/>
          </rPr>
          <t xml:space="preserve">
If subject property's Final Value is conforming to recent sale values within it's respective neighborhood/market, please submit loan to Loan Officer to obtain approval to proceed</t>
        </r>
      </text>
    </comment>
    <comment ref="G33" authorId="0" shapeId="0" xr:uid="{C4A46BC4-A6F5-4FCE-80CF-C0B2FB850226}">
      <text>
        <r>
          <rPr>
            <b/>
            <sz val="14"/>
            <color indexed="81"/>
            <rFont val="Calibri"/>
            <family val="2"/>
            <scheme val="minor"/>
          </rPr>
          <t>CFO Notes:
Value checks are meant to serve as a guide, and are subject to waiver assuming properties conforms to it's surrounding neighborhood/market</t>
        </r>
      </text>
    </comment>
    <comment ref="Q34" authorId="0" shapeId="0" xr:uid="{FD1BEAFF-FB6A-4604-9ECF-773333658D9A}">
      <text>
        <r>
          <rPr>
            <b/>
            <sz val="12"/>
            <color indexed="81"/>
            <rFont val="Calibri"/>
            <family val="2"/>
            <scheme val="minor"/>
          </rPr>
          <t>CFO Notes:</t>
        </r>
        <r>
          <rPr>
            <sz val="12"/>
            <color indexed="81"/>
            <rFont val="Calibri"/>
            <family val="2"/>
            <scheme val="minor"/>
          </rPr>
          <t xml:space="preserve">
If property is actively listed for sale on MLS, this adjustment may be subject to waiver assuming sale of property is not stalled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Justin Parker</author>
  </authors>
  <commentList>
    <comment ref="H39" authorId="0" shapeId="0" xr:uid="{5B0820CE-9B30-4E69-895D-0C6840AAE47D}">
      <text>
        <r>
          <rPr>
            <b/>
            <sz val="11"/>
            <color indexed="81"/>
            <rFont val="Tahoma"/>
            <family val="2"/>
          </rPr>
          <t>Justin Parker:</t>
        </r>
        <r>
          <rPr>
            <sz val="11"/>
            <color indexed="81"/>
            <rFont val="Tahoma"/>
            <family val="2"/>
          </rPr>
          <t xml:space="preserve">
This figure reflects monthly PMT inclusive of HOA dues, which are not included in ACTUAL monthly PMTs to RCN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Justin Parker</author>
  </authors>
  <commentList>
    <comment ref="A66" authorId="0" shapeId="0" xr:uid="{7D097880-1E75-48A6-B4A0-68CABB101E15}">
      <text>
        <r>
          <rPr>
            <b/>
            <sz val="9"/>
            <color indexed="81"/>
            <rFont val="Tahoma"/>
            <family val="2"/>
          </rPr>
          <t>Justin Parker:</t>
        </r>
        <r>
          <rPr>
            <sz val="9"/>
            <color indexed="81"/>
            <rFont val="Tahoma"/>
            <family val="2"/>
          </rPr>
          <t xml:space="preserve">
Duration</t>
        </r>
      </text>
    </comment>
    <comment ref="B66" authorId="0" shapeId="0" xr:uid="{ABB74E65-DF36-47C5-AC77-E790F3B566BA}">
      <text>
        <r>
          <rPr>
            <b/>
            <sz val="9"/>
            <color indexed="81"/>
            <rFont val="Tahoma"/>
            <family val="2"/>
          </rPr>
          <t>Justin Parker:</t>
        </r>
        <r>
          <rPr>
            <sz val="9"/>
            <color indexed="81"/>
            <rFont val="Tahoma"/>
            <family val="2"/>
          </rPr>
          <t xml:space="preserve">
P&amp;L Mark</t>
        </r>
      </text>
    </comment>
    <comment ref="C66" authorId="0" shapeId="0" xr:uid="{0B44C4CA-AA51-48EC-A27D-931AEDD7967B}">
      <text>
        <r>
          <rPr>
            <b/>
            <sz val="9"/>
            <color indexed="81"/>
            <rFont val="Tahoma"/>
            <family val="2"/>
          </rPr>
          <t>Justin Parker:</t>
        </r>
        <r>
          <rPr>
            <sz val="9"/>
            <color indexed="81"/>
            <rFont val="Tahoma"/>
            <family val="2"/>
          </rPr>
          <t xml:space="preserve">
Base PX on Base Rates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Justin Parker</author>
  </authors>
  <commentList>
    <comment ref="K4" authorId="0" shapeId="0" xr:uid="{AD5DA4D7-4243-4505-8032-1EB0208BEDDA}">
      <text>
        <r>
          <rPr>
            <b/>
            <sz val="12"/>
            <color indexed="81"/>
            <rFont val="Tahoma"/>
            <family val="2"/>
          </rPr>
          <t>Justin Parker:</t>
        </r>
        <r>
          <rPr>
            <sz val="12"/>
            <color indexed="81"/>
            <rFont val="Tahoma"/>
            <family val="2"/>
          </rPr>
          <t xml:space="preserve">
These figures do not include monthly HOA dues, rather reflects ACTUAL monthly PMT for each proposed scenario</t>
        </r>
      </text>
    </comment>
    <comment ref="B21" authorId="0" shapeId="0" xr:uid="{1AF9A157-EBC7-44DD-B350-09407B397467}">
      <text>
        <r>
          <rPr>
            <b/>
            <sz val="12"/>
            <color indexed="81"/>
            <rFont val="Tahoma"/>
            <family val="2"/>
          </rPr>
          <t>Justin Parker:</t>
        </r>
        <r>
          <rPr>
            <sz val="12"/>
            <color indexed="81"/>
            <rFont val="Tahoma"/>
            <family val="2"/>
          </rPr>
          <t xml:space="preserve">
This figure includes monthly HOA dues, which are NOT required for ACTUAL monthly PMTs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Justin Parker</author>
  </authors>
  <commentList>
    <comment ref="H39" authorId="0" shapeId="0" xr:uid="{45AD68AF-A5BD-488E-A4D7-CDFF91E86390}">
      <text>
        <r>
          <rPr>
            <b/>
            <sz val="11"/>
            <color indexed="81"/>
            <rFont val="Tahoma"/>
            <family val="2"/>
          </rPr>
          <t>Justin Parker:</t>
        </r>
        <r>
          <rPr>
            <sz val="11"/>
            <color indexed="81"/>
            <rFont val="Tahoma"/>
            <family val="2"/>
          </rPr>
          <t xml:space="preserve">
This figure reflects monthly PMT inclusive of HOA dues, which are not included in ACTUAL monthly PMTs to RCN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Justin Parker</author>
  </authors>
  <commentList>
    <comment ref="A66" authorId="0" shapeId="0" xr:uid="{704746D6-1312-4629-B58A-B242B729EA08}">
      <text>
        <r>
          <rPr>
            <b/>
            <sz val="9"/>
            <color indexed="81"/>
            <rFont val="Tahoma"/>
            <family val="2"/>
          </rPr>
          <t>Justin Parker:</t>
        </r>
        <r>
          <rPr>
            <sz val="9"/>
            <color indexed="81"/>
            <rFont val="Tahoma"/>
            <family val="2"/>
          </rPr>
          <t xml:space="preserve">
Duration</t>
        </r>
      </text>
    </comment>
    <comment ref="B66" authorId="0" shapeId="0" xr:uid="{C7C5B34A-3E36-453D-9497-8DE4FC711288}">
      <text>
        <r>
          <rPr>
            <b/>
            <sz val="9"/>
            <color indexed="81"/>
            <rFont val="Tahoma"/>
            <family val="2"/>
          </rPr>
          <t>Justin Parker:</t>
        </r>
        <r>
          <rPr>
            <sz val="9"/>
            <color indexed="81"/>
            <rFont val="Tahoma"/>
            <family val="2"/>
          </rPr>
          <t xml:space="preserve">
P&amp;L Mark</t>
        </r>
      </text>
    </comment>
    <comment ref="C66" authorId="0" shapeId="0" xr:uid="{729578E2-D8E0-4CF1-9682-1E3BE6B16FE2}">
      <text>
        <r>
          <rPr>
            <b/>
            <sz val="9"/>
            <color indexed="81"/>
            <rFont val="Tahoma"/>
            <family val="2"/>
          </rPr>
          <t>Justin Parker:</t>
        </r>
        <r>
          <rPr>
            <sz val="9"/>
            <color indexed="81"/>
            <rFont val="Tahoma"/>
            <family val="2"/>
          </rPr>
          <t xml:space="preserve">
Base PX on Base Rates
</t>
        </r>
      </text>
    </comment>
  </commentList>
</comments>
</file>

<file path=xl/sharedStrings.xml><?xml version="1.0" encoding="utf-8"?>
<sst xmlns="http://schemas.openxmlformats.org/spreadsheetml/2006/main" count="91148" uniqueCount="23615">
  <si>
    <t>Total Adjustments (5+)</t>
  </si>
  <si>
    <t>Debt Yield (Final Loan)</t>
  </si>
  <si>
    <t>-</t>
  </si>
  <si>
    <t>Refinance (Rate/Term)</t>
  </si>
  <si>
    <t>Total Adjustments (1-4)</t>
  </si>
  <si>
    <t>Purchase / Delayed Purchase</t>
  </si>
  <si>
    <t>Commercial / 5+ Unit</t>
  </si>
  <si>
    <t>&gt; 140% of Market Rent</t>
  </si>
  <si>
    <t>UW Net Cash Flow</t>
  </si>
  <si>
    <t>&gt; 120% of Market Rent</t>
  </si>
  <si>
    <t>Replacement Reserves</t>
  </si>
  <si>
    <t>Tier 4 (Tiers 1-3 not met)</t>
  </si>
  <si>
    <t>Property Rent to Market:</t>
  </si>
  <si>
    <t>Est. Expenses</t>
  </si>
  <si>
    <t>Insurance</t>
  </si>
  <si>
    <t>Tier 3 (3+ Exp, 1+ Heavy)</t>
  </si>
  <si>
    <t>&gt;= 10.0%</t>
  </si>
  <si>
    <t>Taxes</t>
  </si>
  <si>
    <t>Between 5.0% and 10.0%</t>
  </si>
  <si>
    <t>Expenses*</t>
  </si>
  <si>
    <t>Tier 2 (10+ Experience)</t>
  </si>
  <si>
    <t>Market Vacancy Rate:</t>
  </si>
  <si>
    <t>Gross Potential Rent</t>
  </si>
  <si>
    <t>Tier 1 (10+ GUC)</t>
  </si>
  <si>
    <t>500% +</t>
  </si>
  <si>
    <t>Mutlifamily / Mixed-Use / 5+ (If Applicable)</t>
  </si>
  <si>
    <t>Max LTC (w. IR)</t>
  </si>
  <si>
    <t>Max ARLTV</t>
  </si>
  <si>
    <t>Max LTC</t>
  </si>
  <si>
    <t>Max LTV</t>
  </si>
  <si>
    <t>Loan Type</t>
  </si>
  <si>
    <t>Experience</t>
  </si>
  <si>
    <t>300% to 500%</t>
  </si>
  <si>
    <t>Max Loan Amount (After-Construction)</t>
  </si>
  <si>
    <t>Initial Loan (As-Is)</t>
  </si>
  <si>
    <t>GUC Leverage Matrix</t>
  </si>
  <si>
    <t>200% to 300%</t>
  </si>
  <si>
    <t>Total</t>
  </si>
  <si>
    <t>Property Value to MHV:</t>
  </si>
  <si>
    <t>10% Liquidity Check</t>
  </si>
  <si>
    <t>2-4 Unit / Multifamily (5+)</t>
  </si>
  <si>
    <t>Out of Pocket Reserves</t>
  </si>
  <si>
    <t>SFR / Townhome / Condo (1-4)</t>
  </si>
  <si>
    <t>Less than -5.0%</t>
  </si>
  <si>
    <t>Est. Closing Costs (1%)</t>
  </si>
  <si>
    <t>Minimum After-Construction Value</t>
  </si>
  <si>
    <t>Between -2.0% and -5.0%</t>
  </si>
  <si>
    <t>Origination Points</t>
  </si>
  <si>
    <t>Market HPA</t>
  </si>
  <si>
    <t>Down Payment / Refi Payment</t>
  </si>
  <si>
    <t>After-Construction Value</t>
  </si>
  <si>
    <t>Feasibility Study</t>
  </si>
  <si>
    <t>FN / No US FICO</t>
  </si>
  <si>
    <t>Liquidity/Reserve</t>
  </si>
  <si>
    <t>Total Rehab</t>
  </si>
  <si>
    <t>FICO 650 - 679</t>
  </si>
  <si>
    <t>Proposed Rehab (Soft Costs)</t>
  </si>
  <si>
    <t>FICO &lt;650</t>
  </si>
  <si>
    <t>Monthly PMT (Day One)</t>
  </si>
  <si>
    <t>Median Home Value</t>
  </si>
  <si>
    <t>Proposed Rehab (Hard Costs)</t>
  </si>
  <si>
    <t>Highest Qualifying FICO:</t>
  </si>
  <si>
    <t>Max Loan Amount</t>
  </si>
  <si>
    <t>Purchase Price / Cost Basis</t>
  </si>
  <si>
    <t>Funded IR</t>
  </si>
  <si>
    <t>Home Price Appreciation</t>
  </si>
  <si>
    <t>As-Is Value</t>
  </si>
  <si>
    <t>No Plans/Permits</t>
  </si>
  <si>
    <t>Rehab</t>
  </si>
  <si>
    <t>Property Market Data / Info</t>
  </si>
  <si>
    <t>No Entitlements</t>
  </si>
  <si>
    <t>Initial Advance</t>
  </si>
  <si>
    <t>Payoff Estimate</t>
  </si>
  <si>
    <t>Municipality Approvals:</t>
  </si>
  <si>
    <t>Project Pass/Fail</t>
  </si>
  <si>
    <t>LTV Adjustments</t>
  </si>
  <si>
    <t>Final Loan Terms</t>
  </si>
  <si>
    <t>Debt Yield ("Final" Loan Amount)</t>
  </si>
  <si>
    <t>CBSA</t>
  </si>
  <si>
    <t>Projected Market Rent (Monthly)</t>
  </si>
  <si>
    <t>Zip Code</t>
  </si>
  <si>
    <t>Projected ROI</t>
  </si>
  <si>
    <t>State</t>
  </si>
  <si>
    <t>Funded "IR"</t>
  </si>
  <si>
    <t>Exit Strategy</t>
  </si>
  <si>
    <t>City</t>
  </si>
  <si>
    <t>Loan Amount (IA + Rehab)</t>
  </si>
  <si>
    <t>Deal Financials</t>
  </si>
  <si>
    <t>Address</t>
  </si>
  <si>
    <t>Rehab Amount</t>
  </si>
  <si>
    <t>Property Type</t>
  </si>
  <si>
    <t>Interest Rate</t>
  </si>
  <si>
    <t>Unit Count</t>
  </si>
  <si>
    <t>Total Points (%)</t>
  </si>
  <si>
    <t>Property Information</t>
  </si>
  <si>
    <t>Suggested Loan Terms</t>
  </si>
  <si>
    <t>RCN Points (%)</t>
  </si>
  <si>
    <t xml:space="preserve">Full Plans in Place? </t>
  </si>
  <si>
    <t>Tier</t>
  </si>
  <si>
    <t>Calculated IR</t>
  </si>
  <si>
    <t>Permit Approval(s)?</t>
  </si>
  <si>
    <t>Rehab Experience</t>
  </si>
  <si>
    <t>Interest Reserve Selection</t>
  </si>
  <si>
    <t xml:space="preserve">Entitlements in Place? </t>
  </si>
  <si>
    <t>GUC Experience</t>
  </si>
  <si>
    <t>Interest Type</t>
  </si>
  <si>
    <t>Loan Term</t>
  </si>
  <si>
    <t>Citizenship</t>
  </si>
  <si>
    <t>Suggested Rate</t>
  </si>
  <si>
    <t>RCN Points</t>
  </si>
  <si>
    <t>Loan Purpose</t>
  </si>
  <si>
    <t>Qualifying FICO Score</t>
  </si>
  <si>
    <t>GUC Pricing Options</t>
  </si>
  <si>
    <t>Interest Reserve / Payment Selection</t>
  </si>
  <si>
    <t>Loan Details</t>
  </si>
  <si>
    <t>Borrower Information</t>
  </si>
  <si>
    <t>RCN "GUC" Loan Sizer</t>
  </si>
  <si>
    <t>Full Term (Funded)</t>
  </si>
  <si>
    <t>Expenses</t>
  </si>
  <si>
    <t>Term</t>
  </si>
  <si>
    <t>Tier 4</t>
  </si>
  <si>
    <t>Exp. %</t>
  </si>
  <si>
    <t>9M (Funded)</t>
  </si>
  <si>
    <t>Tier 3</t>
  </si>
  <si>
    <t>VPU Bucket</t>
  </si>
  <si>
    <t>6M (Funded)</t>
  </si>
  <si>
    <t>Tier 2</t>
  </si>
  <si>
    <t>VPU</t>
  </si>
  <si>
    <t>3M (Funded)</t>
  </si>
  <si>
    <t>Tier 1</t>
  </si>
  <si>
    <t>6M (Out of Pocket)</t>
  </si>
  <si>
    <t>GUC</t>
  </si>
  <si>
    <t>$250k+</t>
  </si>
  <si>
    <t>3M (Out of Pocket)</t>
  </si>
  <si>
    <t>$150k to &lt; $250k</t>
  </si>
  <si>
    <t>Total Proceeds</t>
  </si>
  <si>
    <t>No IR</t>
  </si>
  <si>
    <t>$100k to &lt; $150k</t>
  </si>
  <si>
    <t>Full Note Interest</t>
  </si>
  <si>
    <t>UPB Interest</t>
  </si>
  <si>
    <t>Months</t>
  </si>
  <si>
    <t>IR Field</t>
  </si>
  <si>
    <t>$75k to &lt; $100k</t>
  </si>
  <si>
    <t>IRFields</t>
  </si>
  <si>
    <t>$50k to &lt; $75k</t>
  </si>
  <si>
    <t>IA</t>
  </si>
  <si>
    <t>$35k to &lt; $50k</t>
  </si>
  <si>
    <t>Final (Req.)</t>
  </si>
  <si>
    <t>NA</t>
  </si>
  <si>
    <t>Indicator</t>
  </si>
  <si>
    <t>Exp./Vacancy %</t>
  </si>
  <si>
    <t>VPU Chart</t>
  </si>
  <si>
    <t>Total LTC</t>
  </si>
  <si>
    <t>LTV ARV</t>
  </si>
  <si>
    <t>Experience Identifier</t>
  </si>
  <si>
    <t>LTC</t>
  </si>
  <si>
    <t>LTV</t>
  </si>
  <si>
    <t>5+ Experience</t>
  </si>
  <si>
    <t>(Final)</t>
  </si>
  <si>
    <t>(Suggested)</t>
  </si>
  <si>
    <t>Rate</t>
  </si>
  <si>
    <t>Points</t>
  </si>
  <si>
    <t>Tier 4 Check</t>
  </si>
  <si>
    <t>Feas Type</t>
  </si>
  <si>
    <t>LTV Indicator (Appearance Only)</t>
  </si>
  <si>
    <t>RTL PX</t>
  </si>
  <si>
    <t>Tier 3 Check</t>
  </si>
  <si>
    <t>Tier 2 Check</t>
  </si>
  <si>
    <t>RT</t>
  </si>
  <si>
    <t>Tier 1 Check</t>
  </si>
  <si>
    <t>Multifamily (5+ Unit)</t>
  </si>
  <si>
    <t>LTC (IO)</t>
  </si>
  <si>
    <t>5+ Townhomes</t>
  </si>
  <si>
    <t>LTC (No IO)</t>
  </si>
  <si>
    <t>5+ Condominiums</t>
  </si>
  <si>
    <t>ARV</t>
  </si>
  <si>
    <t>Plans</t>
  </si>
  <si>
    <t>5+ Detached SFRs</t>
  </si>
  <si>
    <t>Permits</t>
  </si>
  <si>
    <t>Townhome(s)</t>
  </si>
  <si>
    <t>As-Is</t>
  </si>
  <si>
    <t>Entitlements</t>
  </si>
  <si>
    <t>Condominium(s)</t>
  </si>
  <si>
    <t>Step 4</t>
  </si>
  <si>
    <t xml:space="preserve">$ Proceeds </t>
  </si>
  <si>
    <t>New LTV</t>
  </si>
  <si>
    <t>Adj.</t>
  </si>
  <si>
    <t>%</t>
  </si>
  <si>
    <t>LTV Buckets</t>
  </si>
  <si>
    <t>2-4 Unit Residential</t>
  </si>
  <si>
    <t>Identifier</t>
  </si>
  <si>
    <t>Detached SFR(s)</t>
  </si>
  <si>
    <t>P/F</t>
  </si>
  <si>
    <t>Level 1</t>
  </si>
  <si>
    <t>B/U</t>
  </si>
  <si>
    <t>Budget</t>
  </si>
  <si>
    <t>Units</t>
  </si>
  <si>
    <t>Feas Check</t>
  </si>
  <si>
    <t>Commercial / 5+ Unit | Refinance (Rate/Term)</t>
  </si>
  <si>
    <t>Commercial / 5+ Unit | Delayed Purchase</t>
  </si>
  <si>
    <t>Delayed Purchase</t>
  </si>
  <si>
    <t>Commercial / 5+ Unit | Purchase</t>
  </si>
  <si>
    <t>Purchase</t>
  </si>
  <si>
    <t>&gt; 140%</t>
  </si>
  <si>
    <t>Step 3</t>
  </si>
  <si>
    <t>Tier 4 | Refinance (Rate/Term)</t>
  </si>
  <si>
    <t>&gt; 120%</t>
  </si>
  <si>
    <t>Tier 4 | Delayed Purchase</t>
  </si>
  <si>
    <t>Tier 4 | Purchase</t>
  </si>
  <si>
    <t>Property RPU</t>
  </si>
  <si>
    <t>Tier 3 | Refinance (Rate/Term)</t>
  </si>
  <si>
    <t>Program Indicator</t>
  </si>
  <si>
    <t>RPU</t>
  </si>
  <si>
    <t>Tier 3 | Delayed Purchase</t>
  </si>
  <si>
    <t>Tier 3 | Purchase</t>
  </si>
  <si>
    <t>Step 2</t>
  </si>
  <si>
    <t>Tier 2 | Refinance (Rate/Term)</t>
  </si>
  <si>
    <t>Tier 2 | Delayed Purchase</t>
  </si>
  <si>
    <t>GUC?</t>
  </si>
  <si>
    <t>Tier 2 | Purchase</t>
  </si>
  <si>
    <t>Heavy Rehab Experience</t>
  </si>
  <si>
    <t>Tier 1 | Refinance (Rate/Term)</t>
  </si>
  <si>
    <t>Tier 1 | Delayed Purchase</t>
  </si>
  <si>
    <t>Tier 1 | Purchase</t>
  </si>
  <si>
    <t>5+ Data</t>
  </si>
  <si>
    <t>Step 1</t>
  </si>
  <si>
    <t>Leverage Grid</t>
  </si>
  <si>
    <t>WY</t>
  </si>
  <si>
    <t>WV</t>
  </si>
  <si>
    <t>WI</t>
  </si>
  <si>
    <t>WA</t>
  </si>
  <si>
    <t>VT</t>
  </si>
  <si>
    <t>VA</t>
  </si>
  <si>
    <t>UT</t>
  </si>
  <si>
    <t>TX</t>
  </si>
  <si>
    <t>TN</t>
  </si>
  <si>
    <t>SD</t>
  </si>
  <si>
    <t>SC</t>
  </si>
  <si>
    <t>RI</t>
  </si>
  <si>
    <t>PA</t>
  </si>
  <si>
    <t>OR</t>
  </si>
  <si>
    <t>OK</t>
  </si>
  <si>
    <t>OH</t>
  </si>
  <si>
    <t>NY</t>
  </si>
  <si>
    <t>NV</t>
  </si>
  <si>
    <t>NM</t>
  </si>
  <si>
    <t>NJ</t>
  </si>
  <si>
    <t>NH</t>
  </si>
  <si>
    <t>NE</t>
  </si>
  <si>
    <t>ND</t>
  </si>
  <si>
    <t>NC</t>
  </si>
  <si>
    <t>MT</t>
  </si>
  <si>
    <t>MS</t>
  </si>
  <si>
    <t>MO</t>
  </si>
  <si>
    <t>MN</t>
  </si>
  <si>
    <t>MI</t>
  </si>
  <si>
    <t>ME</t>
  </si>
  <si>
    <t>MD</t>
  </si>
  <si>
    <t>MA</t>
  </si>
  <si>
    <t>LA</t>
  </si>
  <si>
    <t>KY</t>
  </si>
  <si>
    <t>KS</t>
  </si>
  <si>
    <t>IN</t>
  </si>
  <si>
    <t>IL</t>
  </si>
  <si>
    <t>ID</t>
  </si>
  <si>
    <t>HI</t>
  </si>
  <si>
    <t>GA</t>
  </si>
  <si>
    <t>FL</t>
  </si>
  <si>
    <t>DE</t>
  </si>
  <si>
    <t>DC</t>
  </si>
  <si>
    <t>CT</t>
  </si>
  <si>
    <t>CO</t>
  </si>
  <si>
    <t>CA</t>
  </si>
  <si>
    <t>AZ</t>
  </si>
  <si>
    <t>Refinance (Cash Out)</t>
  </si>
  <si>
    <t>24 Months</t>
  </si>
  <si>
    <t>AR</t>
  </si>
  <si>
    <t>Foreign National</t>
  </si>
  <si>
    <t>Build to Sell</t>
  </si>
  <si>
    <t>No</t>
  </si>
  <si>
    <t>18 Months</t>
  </si>
  <si>
    <t>AL</t>
  </si>
  <si>
    <t>Permanent Resident</t>
  </si>
  <si>
    <t>Build to Rent</t>
  </si>
  <si>
    <t>Yes</t>
  </si>
  <si>
    <t>12 Months</t>
  </si>
  <si>
    <t>AK</t>
  </si>
  <si>
    <t>U.S. Citizen</t>
  </si>
  <si>
    <t>ExitStrat</t>
  </si>
  <si>
    <t>IntType</t>
  </si>
  <si>
    <t>Y/N Fields</t>
  </si>
  <si>
    <t>GUCProp5</t>
  </si>
  <si>
    <t>GUCProp1to4</t>
  </si>
  <si>
    <t>Greenwood, MS</t>
  </si>
  <si>
    <t>Philadelphia-Camden-Wilmington, PA-NJ-DE-MD</t>
  </si>
  <si>
    <t>Des Moines-West Des Moines, IA</t>
  </si>
  <si>
    <t>Williamsport, PA</t>
  </si>
  <si>
    <t>Pittsburgh, PA</t>
  </si>
  <si>
    <t>Bonham, TX</t>
  </si>
  <si>
    <t>Lima, OH</t>
  </si>
  <si>
    <t>Toledo, OH</t>
  </si>
  <si>
    <t>Virginia Beach-Norfolk-Newport News, VA-NC</t>
  </si>
  <si>
    <t>Fairmont, WV</t>
  </si>
  <si>
    <t>Peoria, IL</t>
  </si>
  <si>
    <t>Union, SC</t>
  </si>
  <si>
    <t>Ashland, OH</t>
  </si>
  <si>
    <t>Bluefield, WV-VA</t>
  </si>
  <si>
    <t>Kingston, NY</t>
  </si>
  <si>
    <t>Riverton, WY</t>
  </si>
  <si>
    <t>New Philadelphia-Dover, OH</t>
  </si>
  <si>
    <t>Shelby, NC</t>
  </si>
  <si>
    <t>Pahrump, NV</t>
  </si>
  <si>
    <t>Vernal, UT</t>
  </si>
  <si>
    <t>Espa-Â¦ola, NM</t>
  </si>
  <si>
    <t>Houston-The Woodlands-Sugar Land, TX</t>
  </si>
  <si>
    <t>Waterloo-Cedar Falls, IA</t>
  </si>
  <si>
    <t>Greenville, OH</t>
  </si>
  <si>
    <t>Las Cruces, NM</t>
  </si>
  <si>
    <t>Terre Haute, IN</t>
  </si>
  <si>
    <t>Longview, TX</t>
  </si>
  <si>
    <t>El Campo, TX</t>
  </si>
  <si>
    <t>Washington-Arlington-Alexandria, DC-VA-MD-WV</t>
  </si>
  <si>
    <t>Charleston, WV</t>
  </si>
  <si>
    <t>Las Vegas-Henderson-Paradise, NV</t>
  </si>
  <si>
    <t>New York-Newark-Jersey City, NY-NJ-PA</t>
  </si>
  <si>
    <t>Vineyard Haven, MA</t>
  </si>
  <si>
    <t>Fort Smith, AR-OK</t>
  </si>
  <si>
    <t>Allentown-Bethlehem-Easton, PA-NJ</t>
  </si>
  <si>
    <t>Wichita Falls, TX</t>
  </si>
  <si>
    <t>Sidney, OH</t>
  </si>
  <si>
    <t>Clinton, IA</t>
  </si>
  <si>
    <t>Santa Rosa-Petaluma, CA</t>
  </si>
  <si>
    <t>Prescott Valley-Prescott, AZ</t>
  </si>
  <si>
    <t>Bay City, TX</t>
  </si>
  <si>
    <t>Fremont, NE</t>
  </si>
  <si>
    <t>Tallahassee, FL</t>
  </si>
  <si>
    <t>Buffalo-Cheektowaga, NY</t>
  </si>
  <si>
    <t>Rochester, NY</t>
  </si>
  <si>
    <t>East Stroudsburg, PA</t>
  </si>
  <si>
    <t>Galesburg, IL</t>
  </si>
  <si>
    <t>Dayton-Kettering, OH</t>
  </si>
  <si>
    <t>Mount Vernon, OH</t>
  </si>
  <si>
    <t>Plymouth, IN</t>
  </si>
  <si>
    <t>Indiana, PA</t>
  </si>
  <si>
    <t>Cincinnati, OH-KY-IN</t>
  </si>
  <si>
    <t>Columbus, OH</t>
  </si>
  <si>
    <t>College Station-Bryan, TX</t>
  </si>
  <si>
    <t>Clarksburg, WV</t>
  </si>
  <si>
    <t>Tulsa, OK</t>
  </si>
  <si>
    <t>Oil City, PA</t>
  </si>
  <si>
    <t>Duluth, MN-WI</t>
  </si>
  <si>
    <t>Savannah, GA</t>
  </si>
  <si>
    <t>Eureka-Arcata, CA</t>
  </si>
  <si>
    <t>Laramie, WY</t>
  </si>
  <si>
    <t>Lubbock, TX</t>
  </si>
  <si>
    <t>Sacramento-Roseville-Folsom, CA</t>
  </si>
  <si>
    <t>Sikeston, MO</t>
  </si>
  <si>
    <t>Rolla, MO</t>
  </si>
  <si>
    <t>Visalia, CA</t>
  </si>
  <si>
    <t>Lakeland-Winter Haven, FL</t>
  </si>
  <si>
    <t>Charlotte-Concord-Gastonia, NC-SC</t>
  </si>
  <si>
    <t>Syracuse, NY</t>
  </si>
  <si>
    <t>Cumberland, MD-WV</t>
  </si>
  <si>
    <t>Clearlake, CA</t>
  </si>
  <si>
    <t>Lawton, OK</t>
  </si>
  <si>
    <t>Naples-Marco Island, FL</t>
  </si>
  <si>
    <t>Traverse City, MI</t>
  </si>
  <si>
    <t>Omaha-Council Bluffs, NE-IA</t>
  </si>
  <si>
    <t>Tucson, AZ</t>
  </si>
  <si>
    <t>Ozark, AL</t>
  </si>
  <si>
    <t>Somerset, PA</t>
  </si>
  <si>
    <t>St. Joseph, MO-KS</t>
  </si>
  <si>
    <t>Chambersburg-Waynesboro, PA</t>
  </si>
  <si>
    <t>Great Falls, MT</t>
  </si>
  <si>
    <t>Sierra Vista-Douglas, AZ</t>
  </si>
  <si>
    <t>Los Angeles-Long Beach-Anaheim, CA</t>
  </si>
  <si>
    <t>Walla Walla, WA</t>
  </si>
  <si>
    <t>Coffeyville, KS</t>
  </si>
  <si>
    <t>Amsterdam, NY</t>
  </si>
  <si>
    <t>Janesville-Beloit, WI</t>
  </si>
  <si>
    <t>Austin-Round Rock-Georgetown, TX</t>
  </si>
  <si>
    <t>Jackson, OH</t>
  </si>
  <si>
    <t>Greeley, CO</t>
  </si>
  <si>
    <t>Oshkosh-Neenah, WI</t>
  </si>
  <si>
    <t>Seattle-Tacoma-Bellevue, WA</t>
  </si>
  <si>
    <t>Oklahoma City, OK</t>
  </si>
  <si>
    <t>Taylorville, IL</t>
  </si>
  <si>
    <t>Truckee-Grass Valley, CA</t>
  </si>
  <si>
    <t>Cambridge, MD</t>
  </si>
  <si>
    <t>Weirton-Steubenville, WV-OH</t>
  </si>
  <si>
    <t>Texarkana, TX-AR</t>
  </si>
  <si>
    <t>Logansport, IN</t>
  </si>
  <si>
    <t>Moultrie, GA</t>
  </si>
  <si>
    <t>Little Rock-North Little Rock-Conway, AR</t>
  </si>
  <si>
    <t>Chicago-Naperville-Elgin, IL-IN-WI</t>
  </si>
  <si>
    <t>Plattsburgh, NY</t>
  </si>
  <si>
    <t>San Diego-Chula Vista-Carlsbad, CA</t>
  </si>
  <si>
    <t>Youngstown-Warren-Boardman, OH-PA</t>
  </si>
  <si>
    <t>Springfield, OH</t>
  </si>
  <si>
    <t>Hilo, HI</t>
  </si>
  <si>
    <t>Kahului-Wailuku-Lahaina, HI</t>
  </si>
  <si>
    <t>Denver-Aurora-Lakewood, CO</t>
  </si>
  <si>
    <t>Thomasville, GA</t>
  </si>
  <si>
    <t>Indianapolis-Carmel-Anderson, IN</t>
  </si>
  <si>
    <t>Cedar Rapids, IA</t>
  </si>
  <si>
    <t>Anchorage, AK</t>
  </si>
  <si>
    <t>Albuquerque, NM</t>
  </si>
  <si>
    <t>Kill Devil Hills, NC</t>
  </si>
  <si>
    <t>Crawfordsville, IN</t>
  </si>
  <si>
    <t>Idaho Falls, ID</t>
  </si>
  <si>
    <t>Dover, DE</t>
  </si>
  <si>
    <t>Freeport, IL</t>
  </si>
  <si>
    <t>Bellingham, WA</t>
  </si>
  <si>
    <t>Austin, MN</t>
  </si>
  <si>
    <t>Searcy, AR</t>
  </si>
  <si>
    <t>Corpus Christi, TX</t>
  </si>
  <si>
    <t>Salem, OR</t>
  </si>
  <si>
    <t>Champaign-Urbana, IL</t>
  </si>
  <si>
    <t>St. Cloud, MN</t>
  </si>
  <si>
    <t>Bakersfield, CA</t>
  </si>
  <si>
    <t>Lebanon, NH-VT</t>
  </si>
  <si>
    <t>New Castle, IN</t>
  </si>
  <si>
    <t>Glens Falls, NY</t>
  </si>
  <si>
    <t>Silver City, NM</t>
  </si>
  <si>
    <t>Cape Girardeau, MO-IL</t>
  </si>
  <si>
    <t>Borger, TX</t>
  </si>
  <si>
    <t>Spencer, IA</t>
  </si>
  <si>
    <t>Barnstable Town, MA</t>
  </si>
  <si>
    <t>Harrisburg-Carlisle, PA</t>
  </si>
  <si>
    <t>Rochelle, IL</t>
  </si>
  <si>
    <t>Urbana, OH</t>
  </si>
  <si>
    <t>Watertown-Fort Drum, NY</t>
  </si>
  <si>
    <t>Celina, OH</t>
  </si>
  <si>
    <t>Lafayette-West Lafayette, IN</t>
  </si>
  <si>
    <t>Levelland, TX</t>
  </si>
  <si>
    <t>Wabash, IN</t>
  </si>
  <si>
    <t>Carroll, IA</t>
  </si>
  <si>
    <t>Chillicothe, OH</t>
  </si>
  <si>
    <t>Mount Pleasant, TX</t>
  </si>
  <si>
    <t>Davenport-Moline-Rock Island, IA-IL</t>
  </si>
  <si>
    <t>Marquette, MI</t>
  </si>
  <si>
    <t>Burlington-South Burlington, VT</t>
  </si>
  <si>
    <t>Wheeling, WV-OH</t>
  </si>
  <si>
    <t>Salinas, CA</t>
  </si>
  <si>
    <t>Brownsville-Harlingen, TX</t>
  </si>
  <si>
    <t>Point Pleasant, WV-OH</t>
  </si>
  <si>
    <t>Manitowoc, WI</t>
  </si>
  <si>
    <t>Spartanburg, SC</t>
  </si>
  <si>
    <t>Findlay, OH</t>
  </si>
  <si>
    <t>Roseburg, OR</t>
  </si>
  <si>
    <t>Pullman, WA</t>
  </si>
  <si>
    <t>McAlester, OK</t>
  </si>
  <si>
    <t>Kapaa, HI</t>
  </si>
  <si>
    <t>Lake Havasu City-Kingman, AZ</t>
  </si>
  <si>
    <t>Mount Vernon-Anacortes, WA</t>
  </si>
  <si>
    <t>Kansas City, MO-KS</t>
  </si>
  <si>
    <t>Rockport, TX</t>
  </si>
  <si>
    <t>Gettysburg, PA</t>
  </si>
  <si>
    <t>Dallas-Fort Worth-Arlington, TX</t>
  </si>
  <si>
    <t>Kalispell, MT</t>
  </si>
  <si>
    <t>Oneonta, NY</t>
  </si>
  <si>
    <t>Tampa-St. Petersburg-Clearwater, FL</t>
  </si>
  <si>
    <t>Houghton, MI</t>
  </si>
  <si>
    <t>Tiffin, OH</t>
  </si>
  <si>
    <t>Mount Gay-Shamrock, WV</t>
  </si>
  <si>
    <t>Bluffton, IN</t>
  </si>
  <si>
    <t>North Port-Sarasota-Bradenton, FL</t>
  </si>
  <si>
    <t>Durham-Chapel Hill, NC</t>
  </si>
  <si>
    <t>Centralia, WA</t>
  </si>
  <si>
    <t>Miami, OK</t>
  </si>
  <si>
    <t>Rochester, MN</t>
  </si>
  <si>
    <t>Carbondale-Marion, IL</t>
  </si>
  <si>
    <t>Marion, IN</t>
  </si>
  <si>
    <t>Ellensburg, WA</t>
  </si>
  <si>
    <t>Duncan, OK</t>
  </si>
  <si>
    <t>Ocala, FL</t>
  </si>
  <si>
    <t>Alamogordo, NM</t>
  </si>
  <si>
    <t>Oskaloosa, IA</t>
  </si>
  <si>
    <t>Dubuque, IA</t>
  </si>
  <si>
    <t>Louisville/Jefferson County, KY-IN</t>
  </si>
  <si>
    <t>Wapakoneta, OH</t>
  </si>
  <si>
    <t>Taos, NM</t>
  </si>
  <si>
    <t>Raymondville, TX</t>
  </si>
  <si>
    <t>Selma, AL</t>
  </si>
  <si>
    <t>Raleigh-Cary, NC</t>
  </si>
  <si>
    <t>Wichita, KS</t>
  </si>
  <si>
    <t>Lincoln, NE</t>
  </si>
  <si>
    <t>Cullowhee, NC</t>
  </si>
  <si>
    <t>Daphne-Fairhope-Foley, AL</t>
  </si>
  <si>
    <t>Wilmington, OH</t>
  </si>
  <si>
    <t>Jackson, WY-ID</t>
  </si>
  <si>
    <t>State College, PA</t>
  </si>
  <si>
    <t>Beaumont-Port Arthur, TX</t>
  </si>
  <si>
    <t>Macomb, IL</t>
  </si>
  <si>
    <t>Big Rapids, MI</t>
  </si>
  <si>
    <t>Port Lavaca, TX</t>
  </si>
  <si>
    <t>Fort Madison-Keokuk, IA-IL-MO</t>
  </si>
  <si>
    <t>Pittsfield, MA</t>
  </si>
  <si>
    <t>St. Louis, MO-IL</t>
  </si>
  <si>
    <t>Cambridge, OH</t>
  </si>
  <si>
    <t>Boise City, ID</t>
  </si>
  <si>
    <t>Clewiston, FL</t>
  </si>
  <si>
    <t>Heber, UT</t>
  </si>
  <si>
    <t>Huntsville, TX</t>
  </si>
  <si>
    <t>Faribault-Northfield, MN</t>
  </si>
  <si>
    <t>Valdosta, GA</t>
  </si>
  <si>
    <t>Blackfoot, ID</t>
  </si>
  <si>
    <t>Cortland, NY</t>
  </si>
  <si>
    <t>Rio Grande City-Roma, TX</t>
  </si>
  <si>
    <t>York-Hanover, PA</t>
  </si>
  <si>
    <t>Fort Morgan, CO</t>
  </si>
  <si>
    <t>Ogdensburg-Massena, NY</t>
  </si>
  <si>
    <t>Scranton--Wilkes-Barre, PA</t>
  </si>
  <si>
    <t>Providence-Warwick, RI-MA</t>
  </si>
  <si>
    <t>Redding, CA</t>
  </si>
  <si>
    <t>Lexington-Fayette, KY</t>
  </si>
  <si>
    <t>Bucyrus-Galion, OH</t>
  </si>
  <si>
    <t>Orlando-Kissimmee-Sanford, FL</t>
  </si>
  <si>
    <t>Zanesville, OH</t>
  </si>
  <si>
    <t>Easton, MD</t>
  </si>
  <si>
    <t>Cleveland-Elyria, OH</t>
  </si>
  <si>
    <t>Wenatchee, WA</t>
  </si>
  <si>
    <t>St. George, UT</t>
  </si>
  <si>
    <t>Talladega-Sylacauga, AL</t>
  </si>
  <si>
    <t>Yuma, AZ</t>
  </si>
  <si>
    <t>Red Bluff, CA</t>
  </si>
  <si>
    <t>North Vernon, IN</t>
  </si>
  <si>
    <t>Olympia-Lacey-Tumwater, WA</t>
  </si>
  <si>
    <t>Lansing-East Lansing, MI</t>
  </si>
  <si>
    <t>Poughkeepsie-Newburgh-Middletown, NY</t>
  </si>
  <si>
    <t>Marion, OH</t>
  </si>
  <si>
    <t>Jacksonville, IL</t>
  </si>
  <si>
    <t>Minneapolis-St. Paul-Bloomington, MN-WI</t>
  </si>
  <si>
    <t>Show Low, AZ</t>
  </si>
  <si>
    <t>Boston-Cambridge-Newton, MA-NH</t>
  </si>
  <si>
    <t>Rockingham, NC</t>
  </si>
  <si>
    <t>Steamboat Springs, CO</t>
  </si>
  <si>
    <t>Lancaster, PA</t>
  </si>
  <si>
    <t>Muskogee, OK</t>
  </si>
  <si>
    <t>Huntingdon, PA</t>
  </si>
  <si>
    <t>Decatur, IL</t>
  </si>
  <si>
    <t>Fresno, CA</t>
  </si>
  <si>
    <t>Mankato, MN</t>
  </si>
  <si>
    <t>Utica-Rome, NY</t>
  </si>
  <si>
    <t>Jasper, IN</t>
  </si>
  <si>
    <t>Klamath Falls, OR</t>
  </si>
  <si>
    <t>Forrest City, AR</t>
  </si>
  <si>
    <t>Peru, IN</t>
  </si>
  <si>
    <t>Wahpeton, ND-MN</t>
  </si>
  <si>
    <t>Topeka, KS</t>
  </si>
  <si>
    <t>McAllen-Edinburg-Mission, TX</t>
  </si>
  <si>
    <t>San Angelo, TX</t>
  </si>
  <si>
    <t>Salisbury, MD-DE</t>
  </si>
  <si>
    <t>Sherman-Denison, TX</t>
  </si>
  <si>
    <t>Bloomington, IN</t>
  </si>
  <si>
    <t>Sonora, CA</t>
  </si>
  <si>
    <t>Ottawa, IL</t>
  </si>
  <si>
    <t>Vineland-Bridgeton, NJ</t>
  </si>
  <si>
    <t>The Villages, FL</t>
  </si>
  <si>
    <t>Torrington, CT</t>
  </si>
  <si>
    <t>Jamestown-Dunkirk-Fredonia, NY</t>
  </si>
  <si>
    <t>Bozeman, MT</t>
  </si>
  <si>
    <t>Lebanon, PA</t>
  </si>
  <si>
    <t>Phoenix-Mesa-Chandler, AZ</t>
  </si>
  <si>
    <t>Hudson, NY</t>
  </si>
  <si>
    <t>Albert Lea, MN</t>
  </si>
  <si>
    <t>Beckley, WV</t>
  </si>
  <si>
    <t>Columbus, NE</t>
  </si>
  <si>
    <t>Ames, IA</t>
  </si>
  <si>
    <t>Reading, PA</t>
  </si>
  <si>
    <t>Portland-South Portland, ME</t>
  </si>
  <si>
    <t>Cedar City, UT</t>
  </si>
  <si>
    <t>Key West, FL</t>
  </si>
  <si>
    <t>Vincennes, IN</t>
  </si>
  <si>
    <t>New Bern, NC</t>
  </si>
  <si>
    <t>Springfield, MA</t>
  </si>
  <si>
    <t>Craig, CO</t>
  </si>
  <si>
    <t>Gainesville, FL</t>
  </si>
  <si>
    <t>Athens, OH</t>
  </si>
  <si>
    <t>Sioux Falls, SD</t>
  </si>
  <si>
    <t>Chico, CA</t>
  </si>
  <si>
    <t>Reno, NV</t>
  </si>
  <si>
    <t>Baltimore-Columbia-Towson, MD</t>
  </si>
  <si>
    <t>Defiance, OH</t>
  </si>
  <si>
    <t>Warren, PA</t>
  </si>
  <si>
    <t>Corning, NY</t>
  </si>
  <si>
    <t>Elkins, WV</t>
  </si>
  <si>
    <t>Iowa City, IA</t>
  </si>
  <si>
    <t>Laredo, TX</t>
  </si>
  <si>
    <t>Gillette, WY</t>
  </si>
  <si>
    <t>Grand Rapids, MN</t>
  </si>
  <si>
    <t>Albany-Lebanon, OR</t>
  </si>
  <si>
    <t>Ashtabula, OH</t>
  </si>
  <si>
    <t>San Francisco-Oakland-Berkeley, CA</t>
  </si>
  <si>
    <t>Merced, CA</t>
  </si>
  <si>
    <t>Hailey, ID</t>
  </si>
  <si>
    <t>Santa Cruz-Watsonville, CA</t>
  </si>
  <si>
    <t>Blacksburg-Christiansburg, VA</t>
  </si>
  <si>
    <t>Madisonville, KY</t>
  </si>
  <si>
    <t>Riverside-San Bernardino-Ontario, CA</t>
  </si>
  <si>
    <t>Flagstaff, AZ</t>
  </si>
  <si>
    <t>Fergus Falls, MN</t>
  </si>
  <si>
    <t>Huntington-Ashland, WV-KY-OH</t>
  </si>
  <si>
    <t>Springfield, MO</t>
  </si>
  <si>
    <t>Bradford, PA</t>
  </si>
  <si>
    <t>Jacksonville, TX</t>
  </si>
  <si>
    <t>La Grande, OR</t>
  </si>
  <si>
    <t>Wisconsin Rapids-Marshfield, WI</t>
  </si>
  <si>
    <t>Fairmont, MN</t>
  </si>
  <si>
    <t>Albany-Schenectady-Troy, NY</t>
  </si>
  <si>
    <t>Baton Rouge, LA</t>
  </si>
  <si>
    <t>Butte-Silver Bow, MT</t>
  </si>
  <si>
    <t>Del Rio, TX</t>
  </si>
  <si>
    <t>Greenville-Anderson, SC</t>
  </si>
  <si>
    <t>Brookings, OR</t>
  </si>
  <si>
    <t>Norfolk, NE</t>
  </si>
  <si>
    <t>Ruidoso, NM</t>
  </si>
  <si>
    <t>Salt Lake City, UT</t>
  </si>
  <si>
    <t>Newport, OR</t>
  </si>
  <si>
    <t>Grand Junction, CO</t>
  </si>
  <si>
    <t>Bremerton-Silverdale-Port Orchard, WA</t>
  </si>
  <si>
    <t>El Centro, CA</t>
  </si>
  <si>
    <t>Chattanooga, TN-GA</t>
  </si>
  <si>
    <t>Sandpoint, ID</t>
  </si>
  <si>
    <t>Grand Forks, ND-MN</t>
  </si>
  <si>
    <t>Pella, IA</t>
  </si>
  <si>
    <t>Grants Pass, OR</t>
  </si>
  <si>
    <t>Salem, OH</t>
  </si>
  <si>
    <t>Ogden-Clearfield, UT</t>
  </si>
  <si>
    <t>Winchester, VA-WV</t>
  </si>
  <si>
    <t>Charlottesville, VA</t>
  </si>
  <si>
    <t>Grand Rapids-Kentwood, MI</t>
  </si>
  <si>
    <t>Logan, UT-ID</t>
  </si>
  <si>
    <t>London, KY</t>
  </si>
  <si>
    <t>Mason City, IA</t>
  </si>
  <si>
    <t>La Crosse-Onalaska, WI-MN</t>
  </si>
  <si>
    <t>Russellville, AR</t>
  </si>
  <si>
    <t>Billings, MT</t>
  </si>
  <si>
    <t>Hickory-Lenoir-Morganton, NC</t>
  </si>
  <si>
    <t>Cheyenne, WY</t>
  </si>
  <si>
    <t>Birmingham-Hoover, AL</t>
  </si>
  <si>
    <t>Morehead City, NC</t>
  </si>
  <si>
    <t>Marshalltown, IA</t>
  </si>
  <si>
    <t>Morgantown, WV</t>
  </si>
  <si>
    <t>Ukiah, CA</t>
  </si>
  <si>
    <t>Bloomington, IL</t>
  </si>
  <si>
    <t>Rock Springs, WY</t>
  </si>
  <si>
    <t>Harrison, AR</t>
  </si>
  <si>
    <t>Sheridan, WY</t>
  </si>
  <si>
    <t>Sioux City, IA-NE-SD</t>
  </si>
  <si>
    <t>Grand Island, NE</t>
  </si>
  <si>
    <t>Clarksville, TN-KY</t>
  </si>
  <si>
    <t>New Castle, PA</t>
  </si>
  <si>
    <t>Ocean City, NJ</t>
  </si>
  <si>
    <t>Hagerstown-Martinsburg, MD-WV</t>
  </si>
  <si>
    <t>Corsicana, TX</t>
  </si>
  <si>
    <t>Parsons, KS</t>
  </si>
  <si>
    <t>Bennington, VT</t>
  </si>
  <si>
    <t>Susanville, CA</t>
  </si>
  <si>
    <t>Portland-Vancouver-Hillsboro, OR-WA</t>
  </si>
  <si>
    <t>Kearney, NE</t>
  </si>
  <si>
    <t>Cape Coral-Fort Myers, FL</t>
  </si>
  <si>
    <t>Aberdeen, SD</t>
  </si>
  <si>
    <t>Red Wing, MN</t>
  </si>
  <si>
    <t>Platteville, WI</t>
  </si>
  <si>
    <t>Marietta, OH</t>
  </si>
  <si>
    <t>Moses Lake, WA</t>
  </si>
  <si>
    <t>Richmond, VA</t>
  </si>
  <si>
    <t>Asheville, NC</t>
  </si>
  <si>
    <t>Pittsburg, KS</t>
  </si>
  <si>
    <t>Fort Dodge, IA</t>
  </si>
  <si>
    <t>Elizabethtown-Fort Knox, KY</t>
  </si>
  <si>
    <t>Burlington, IA-IL</t>
  </si>
  <si>
    <t>Jonesboro, AR</t>
  </si>
  <si>
    <t>Brainerd, MN</t>
  </si>
  <si>
    <t>Fayetteville-Springdale-Rogers, AR</t>
  </si>
  <si>
    <t>Bloomsburg-Berwick, PA</t>
  </si>
  <si>
    <t>Montrose, CO</t>
  </si>
  <si>
    <t>Pontiac, IL</t>
  </si>
  <si>
    <t>Mountain Home, AR</t>
  </si>
  <si>
    <t>Lexington, NE</t>
  </si>
  <si>
    <t>Madera, CA</t>
  </si>
  <si>
    <t>Atchison, KS</t>
  </si>
  <si>
    <t>Aberdeen, WA</t>
  </si>
  <si>
    <t>Nashville-Davidson--Murfreesboro--Franklin, TN</t>
  </si>
  <si>
    <t>Detroit-Warren-Dearborn, MI</t>
  </si>
  <si>
    <t>Central City, KY</t>
  </si>
  <si>
    <t>Middlesborough, KY</t>
  </si>
  <si>
    <t>Uvalde, TX</t>
  </si>
  <si>
    <t>Oxford, MS</t>
  </si>
  <si>
    <t>Bemidji, MN</t>
  </si>
  <si>
    <t>Jackson, TN</t>
  </si>
  <si>
    <t>Payson, AZ</t>
  </si>
  <si>
    <t>Batesville, AR</t>
  </si>
  <si>
    <t>Ada, OK</t>
  </si>
  <si>
    <t>Monroe, LA</t>
  </si>
  <si>
    <t>Lake Charles, LA</t>
  </si>
  <si>
    <t>Quincy, IL-MO</t>
  </si>
  <si>
    <t>Niles, MI</t>
  </si>
  <si>
    <t>Sayre, PA</t>
  </si>
  <si>
    <t>Hutchinson, KS</t>
  </si>
  <si>
    <t>Colorado Springs, CO</t>
  </si>
  <si>
    <t>Boulder, CO</t>
  </si>
  <si>
    <t>Myrtle Beach-Conway-North Myrtle Beach, SC-NC</t>
  </si>
  <si>
    <t>Abilene, TX</t>
  </si>
  <si>
    <t>Lynchburg, VA</t>
  </si>
  <si>
    <t>Malone, NY</t>
  </si>
  <si>
    <t>Emporia, KS</t>
  </si>
  <si>
    <t>Marshall, MN</t>
  </si>
  <si>
    <t>Alice, TX</t>
  </si>
  <si>
    <t>Ardmore, OK</t>
  </si>
  <si>
    <t>Jefferson City, MO</t>
  </si>
  <si>
    <t>Sandusky, OH</t>
  </si>
  <si>
    <t>Escanaba, MI</t>
  </si>
  <si>
    <t>Lewistown, PA</t>
  </si>
  <si>
    <t>Salina, KS</t>
  </si>
  <si>
    <t>Othello, WA</t>
  </si>
  <si>
    <t>San Antonio-New Braunfels, TX</t>
  </si>
  <si>
    <t>Fernley, NV</t>
  </si>
  <si>
    <t>Burley, ID</t>
  </si>
  <si>
    <t>Nogales, AZ</t>
  </si>
  <si>
    <t>Sterling, CO</t>
  </si>
  <si>
    <t>Starkville, MS</t>
  </si>
  <si>
    <t>Storm Lake, IA</t>
  </si>
  <si>
    <t>Elmira, NY</t>
  </si>
  <si>
    <t>Glenwood Springs, CO</t>
  </si>
  <si>
    <t>Provo-Orem, UT</t>
  </si>
  <si>
    <t>Madison, WI</t>
  </si>
  <si>
    <t>Staunton, VA</t>
  </si>
  <si>
    <t>Columbus, IN</t>
  </si>
  <si>
    <t>Enid, OK</t>
  </si>
  <si>
    <t>Menomonie, WI</t>
  </si>
  <si>
    <t>Jamestown, ND</t>
  </si>
  <si>
    <t>Hermiston-Pendleton, OR</t>
  </si>
  <si>
    <t>Hilton Head Island-Bluffton, SC</t>
  </si>
  <si>
    <t>Winston-Salem, NC</t>
  </si>
  <si>
    <t>Lewiston, ID-WA</t>
  </si>
  <si>
    <t>Elko, NV</t>
  </si>
  <si>
    <t>Fort Collins, CO</t>
  </si>
  <si>
    <t>Shreveport-Bossier City, LA</t>
  </si>
  <si>
    <t>Sault Ste. Marie, MI</t>
  </si>
  <si>
    <t>Great Bend, KS</t>
  </si>
  <si>
    <t>Astoria, OR</t>
  </si>
  <si>
    <t>Snyder, TX</t>
  </si>
  <si>
    <t>Gloversville, NY</t>
  </si>
  <si>
    <t>Beatrice, NE</t>
  </si>
  <si>
    <t>Albany, GA</t>
  </si>
  <si>
    <t>Keene, NH</t>
  </si>
  <si>
    <t>Scottsboro, AL</t>
  </si>
  <si>
    <t>Maryville, MO</t>
  </si>
  <si>
    <t>Helena, MT</t>
  </si>
  <si>
    <t>Worcester, MA-CT</t>
  </si>
  <si>
    <t>Berlin, NH</t>
  </si>
  <si>
    <t>Erie, PA</t>
  </si>
  <si>
    <t>Hastings, NE</t>
  </si>
  <si>
    <t>Muscatine, IA</t>
  </si>
  <si>
    <t>Sterling, IL</t>
  </si>
  <si>
    <t>Branson, MO</t>
  </si>
  <si>
    <t>Ponca City, OK</t>
  </si>
  <si>
    <t>Flint, MI</t>
  </si>
  <si>
    <t>North Platte, NE</t>
  </si>
  <si>
    <t>Campbellsville, KY</t>
  </si>
  <si>
    <t>Columbia, SC</t>
  </si>
  <si>
    <t>Americus, GA</t>
  </si>
  <si>
    <t>Hope, AR</t>
  </si>
  <si>
    <t>Sweetwater, TX</t>
  </si>
  <si>
    <t>Casper, WY</t>
  </si>
  <si>
    <t>Las Vegas, NM</t>
  </si>
  <si>
    <t>Washington, NC</t>
  </si>
  <si>
    <t>Dalton, GA</t>
  </si>
  <si>
    <t>Gainesville, TX</t>
  </si>
  <si>
    <t>Dickinson, ND</t>
  </si>
  <si>
    <t>Portsmouth, OH</t>
  </si>
  <si>
    <t>Camden, AR</t>
  </si>
  <si>
    <t>Kankakee, IL</t>
  </si>
  <si>
    <t>Medford, OR</t>
  </si>
  <si>
    <t>Lock Haven, PA</t>
  </si>
  <si>
    <t>New Orleans-Metairie, LA</t>
  </si>
  <si>
    <t>Columbus, GA-AL</t>
  </si>
  <si>
    <t>California-Lexington Park, MD</t>
  </si>
  <si>
    <t>Wilson, NC</t>
  </si>
  <si>
    <t>Port Angeles, WA</t>
  </si>
  <si>
    <t>Worthington, MN</t>
  </si>
  <si>
    <t>Ann Arbor, MI</t>
  </si>
  <si>
    <t>Joplin, MO</t>
  </si>
  <si>
    <t>Columbia, MO</t>
  </si>
  <si>
    <t>Morristown, TN</t>
  </si>
  <si>
    <t>Mexico, MO</t>
  </si>
  <si>
    <t>Martin, TN</t>
  </si>
  <si>
    <t>Winfield, KS</t>
  </si>
  <si>
    <t>Moberly, MO</t>
  </si>
  <si>
    <t>Rutland, VT</t>
  </si>
  <si>
    <t>Bangor, ME</t>
  </si>
  <si>
    <t>Laurel, MS</t>
  </si>
  <si>
    <t>Lewisburg, PA</t>
  </si>
  <si>
    <t>Manhattan, KS</t>
  </si>
  <si>
    <t>Yuba City, CA</t>
  </si>
  <si>
    <t>Modesto, CA</t>
  </si>
  <si>
    <t>Sedalia, MO</t>
  </si>
  <si>
    <t>Bowling Green, KY</t>
  </si>
  <si>
    <t>Atlantic City-Hammonton, NJ</t>
  </si>
  <si>
    <t>Eugene-Springfield, OR</t>
  </si>
  <si>
    <t>Midland, TX</t>
  </si>
  <si>
    <t>Willmar, MN</t>
  </si>
  <si>
    <t>Seneca, SC</t>
  </si>
  <si>
    <t>Altus, OK</t>
  </si>
  <si>
    <t>Montgomery, AL</t>
  </si>
  <si>
    <t>Longview, WA</t>
  </si>
  <si>
    <t>Frankfort, IN</t>
  </si>
  <si>
    <t>Dodge City, KS</t>
  </si>
  <si>
    <t>Fairfield, IA</t>
  </si>
  <si>
    <t>Hays, KS</t>
  </si>
  <si>
    <t>McPherson, KS</t>
  </si>
  <si>
    <t>Lebanon, MO</t>
  </si>
  <si>
    <t>Hammond, LA</t>
  </si>
  <si>
    <t>Mobile, AL</t>
  </si>
  <si>
    <t>Dothan, AL</t>
  </si>
  <si>
    <t>Farmington, MO</t>
  </si>
  <si>
    <t>Van Wert, OH</t>
  </si>
  <si>
    <t>Springfield, IL</t>
  </si>
  <si>
    <t>Spokane-Spokane Valley, WA</t>
  </si>
  <si>
    <t>Appleton, WI</t>
  </si>
  <si>
    <t>Clarksdale, MS</t>
  </si>
  <si>
    <t>Gardnerville Ranchos, NV</t>
  </si>
  <si>
    <t>Waycross, GA</t>
  </si>
  <si>
    <t>Ontario, OR-ID</t>
  </si>
  <si>
    <t>Fredericksburg, TX</t>
  </si>
  <si>
    <t>Eagle Pass, TX</t>
  </si>
  <si>
    <t>Johnstown, PA</t>
  </si>
  <si>
    <t>Glasgow, KY</t>
  </si>
  <si>
    <t>Woodward, OK</t>
  </si>
  <si>
    <t>Miami-Fort Lauderdale-Pompano Beach, FL</t>
  </si>
  <si>
    <t>Twin Falls, ID</t>
  </si>
  <si>
    <t>Cookeville, TN</t>
  </si>
  <si>
    <t>Pierre, SD</t>
  </si>
  <si>
    <t>Vallejo, CA</t>
  </si>
  <si>
    <t>Dixon, IL</t>
  </si>
  <si>
    <t>Lincoln, IL</t>
  </si>
  <si>
    <t>El Dorado, AR</t>
  </si>
  <si>
    <t>Shelton, WA</t>
  </si>
  <si>
    <t>Binghamton, NY</t>
  </si>
  <si>
    <t>Tuscaloosa, AL</t>
  </si>
  <si>
    <t>Vicksburg, MS</t>
  </si>
  <si>
    <t>Rexburg, ID</t>
  </si>
  <si>
    <t>Crescent City, CA</t>
  </si>
  <si>
    <t>Ottumwa, IA</t>
  </si>
  <si>
    <t>Paducah, KY-IL</t>
  </si>
  <si>
    <t>Santa Maria-Santa Barbara, CA</t>
  </si>
  <si>
    <t>Augusta-Waterville, ME</t>
  </si>
  <si>
    <t>Minot, ND</t>
  </si>
  <si>
    <t>San Jose-Sunnyvale-Santa Clara, CA</t>
  </si>
  <si>
    <t>Jackson, MS</t>
  </si>
  <si>
    <t>Stockton, CA</t>
  </si>
  <si>
    <t>Charleston-Mattoon, IL</t>
  </si>
  <si>
    <t>Rapid City, SD</t>
  </si>
  <si>
    <t>Garden City, KS</t>
  </si>
  <si>
    <t>Holland, MI</t>
  </si>
  <si>
    <t>Moscow, ID</t>
  </si>
  <si>
    <t>Roswell, NM</t>
  </si>
  <si>
    <t>Killeen-Temple, TX</t>
  </si>
  <si>
    <t>Weatherford, OK</t>
  </si>
  <si>
    <t>Roanoke, VA</t>
  </si>
  <si>
    <t>Alexander City, AL</t>
  </si>
  <si>
    <t>Canton-Massillon, OH</t>
  </si>
  <si>
    <t>The Dalles, OR</t>
  </si>
  <si>
    <t>Madison, IN</t>
  </si>
  <si>
    <t>Bardstown, KY</t>
  </si>
  <si>
    <t>Hannibal, MO</t>
  </si>
  <si>
    <t>Coos Bay, OR</t>
  </si>
  <si>
    <t>Amarillo, TX</t>
  </si>
  <si>
    <t>Olean, NY</t>
  </si>
  <si>
    <t>Brunswick, GA</t>
  </si>
  <si>
    <t>Pine Bluff, AR</t>
  </si>
  <si>
    <t>Lawrenceburg, TN</t>
  </si>
  <si>
    <t>Yankton, SD</t>
  </si>
  <si>
    <t>Winona, MN</t>
  </si>
  <si>
    <t>DuBois, PA</t>
  </si>
  <si>
    <t>Lewisburg, TN</t>
  </si>
  <si>
    <t>Fremont, OH</t>
  </si>
  <si>
    <t>DeRidder, LA</t>
  </si>
  <si>
    <t>Ottawa, KS</t>
  </si>
  <si>
    <t>Bedford, IN</t>
  </si>
  <si>
    <t>Hutchinson, MN</t>
  </si>
  <si>
    <t>Richmond, IN</t>
  </si>
  <si>
    <t>Pocatello, ID</t>
  </si>
  <si>
    <t>Mountain Home, ID</t>
  </si>
  <si>
    <t>Kingsville, TX</t>
  </si>
  <si>
    <t>Evanston, WY</t>
  </si>
  <si>
    <t>Augusta-Richmond County, GA-SC</t>
  </si>
  <si>
    <t>Fort Polk South, LA</t>
  </si>
  <si>
    <t>Mitchell, SD</t>
  </si>
  <si>
    <t>Helena-West Helena, AR</t>
  </si>
  <si>
    <t>Sturgis, MI</t>
  </si>
  <si>
    <t>Farmington, NM</t>
  </si>
  <si>
    <t>Hartford-East Hartford-Middletown, CT</t>
  </si>
  <si>
    <t>Brookings, SD</t>
  </si>
  <si>
    <t>New Ulm, MN</t>
  </si>
  <si>
    <t>Green Bay, WI</t>
  </si>
  <si>
    <t>Houma-Thibodaux, LA</t>
  </si>
  <si>
    <t>Tahlequah, OK</t>
  </si>
  <si>
    <t>Mount Sterling, KY</t>
  </si>
  <si>
    <t>Danville, VA</t>
  </si>
  <si>
    <t>Kingsport-Bristol, TN-VA</t>
  </si>
  <si>
    <t>Edwards, CO</t>
  </si>
  <si>
    <t>Saginaw, MI</t>
  </si>
  <si>
    <t>Coshocton, OH</t>
  </si>
  <si>
    <t>Dyersburg, TN</t>
  </si>
  <si>
    <t>Knoxville, TN</t>
  </si>
  <si>
    <t>Brevard, NC</t>
  </si>
  <si>
    <t>Roanoke Rapids, NC</t>
  </si>
  <si>
    <t>Kennett, MO</t>
  </si>
  <si>
    <t>Evansville, IN-KY</t>
  </si>
  <si>
    <t>Alpena, MI</t>
  </si>
  <si>
    <t>Vermillion, SD</t>
  </si>
  <si>
    <t>Napa, CA</t>
  </si>
  <si>
    <t>Max</t>
  </si>
  <si>
    <t>Baraboo, WI</t>
  </si>
  <si>
    <t>Douglas, GA</t>
  </si>
  <si>
    <t>Cleveland, TN</t>
  </si>
  <si>
    <t>Atmore, AL</t>
  </si>
  <si>
    <t>Palatka, FL</t>
  </si>
  <si>
    <t>Paris, TX</t>
  </si>
  <si>
    <t>Washington, IN</t>
  </si>
  <si>
    <t>Marinette, WI-MI</t>
  </si>
  <si>
    <t>Elk City, OK</t>
  </si>
  <si>
    <t>Ca-Â¦on City, CO</t>
  </si>
  <si>
    <t>Santa Fe, NM</t>
  </si>
  <si>
    <t>Anniston-Oxford, AL</t>
  </si>
  <si>
    <t>Fargo, ND-MN</t>
  </si>
  <si>
    <t>Dublin, GA</t>
  </si>
  <si>
    <t>Bismarck, ND</t>
  </si>
  <si>
    <t>Stephenville, TX</t>
  </si>
  <si>
    <t>Spirit Lake, IA</t>
  </si>
  <si>
    <t>Mayfield, KY</t>
  </si>
  <si>
    <t>Spearfish, SD</t>
  </si>
  <si>
    <t>Mineral Wells, TX</t>
  </si>
  <si>
    <t>Liberal, KS</t>
  </si>
  <si>
    <t>Cadillac, MI</t>
  </si>
  <si>
    <t>Trenton-Princeton, NJ</t>
  </si>
  <si>
    <t>Sunbury, PA</t>
  </si>
  <si>
    <t>Wausau-Weston, WI</t>
  </si>
  <si>
    <t>Watertown, SD</t>
  </si>
  <si>
    <t>Hanford-Corcoran, CA</t>
  </si>
  <si>
    <t>Muskegon, MI</t>
  </si>
  <si>
    <t>Michigan City-La Porte, IN</t>
  </si>
  <si>
    <t>Barre, VT</t>
  </si>
  <si>
    <t>St. Marys, GA</t>
  </si>
  <si>
    <t>Brownwood, TX</t>
  </si>
  <si>
    <t>Yakima, WA</t>
  </si>
  <si>
    <t>Kirksville, MO</t>
  </si>
  <si>
    <t>Milwaukee-Waukesha, WI</t>
  </si>
  <si>
    <t>Memphis, TN-MS-AR</t>
  </si>
  <si>
    <t>Effingham, IL</t>
  </si>
  <si>
    <t>Zapata, TX</t>
  </si>
  <si>
    <t>St. Marys, PA</t>
  </si>
  <si>
    <t>Beaver Dam, WI</t>
  </si>
  <si>
    <t>Parkersburg-Vienna, WV</t>
  </si>
  <si>
    <t>Atlanta-Sandy Springs-Alpharetta, GA</t>
  </si>
  <si>
    <t>Adrian, MI</t>
  </si>
  <si>
    <t>San Luis Obispo-Paso Robles, CA</t>
  </si>
  <si>
    <t>Williston, ND</t>
  </si>
  <si>
    <t>Natchitoches, LA</t>
  </si>
  <si>
    <t>Brenham, TX</t>
  </si>
  <si>
    <t>Gulfport-Biloxi, MS</t>
  </si>
  <si>
    <t>Thomaston, GA</t>
  </si>
  <si>
    <t>Alexandria, MN</t>
  </si>
  <si>
    <t>Scottsbluff, NE</t>
  </si>
  <si>
    <t>Maysville, KY</t>
  </si>
  <si>
    <t>Alexandria, LA</t>
  </si>
  <si>
    <t>Stillwater, OK</t>
  </si>
  <si>
    <t>Meridian, MS</t>
  </si>
  <si>
    <t>Hillsdale, MI</t>
  </si>
  <si>
    <t>Poplar Bluff, MO</t>
  </si>
  <si>
    <t>Bellefontaine, OH</t>
  </si>
  <si>
    <t>Deltona-Daytona Beach-Ormond Beach, FL</t>
  </si>
  <si>
    <t>Paris, TN</t>
  </si>
  <si>
    <t>Indianola, MS</t>
  </si>
  <si>
    <t>Tullahoma-Manchester, TN</t>
  </si>
  <si>
    <t>Gadsden, AL</t>
  </si>
  <si>
    <t>Fort Payne, AL</t>
  </si>
  <si>
    <t>Sulphur Springs, TX</t>
  </si>
  <si>
    <t>Concord, NH</t>
  </si>
  <si>
    <t>Cleveland, MS</t>
  </si>
  <si>
    <t>Grenada, MS</t>
  </si>
  <si>
    <t>West Plains, MO</t>
  </si>
  <si>
    <t>Shawano, WI</t>
  </si>
  <si>
    <t>Auburn, NY</t>
  </si>
  <si>
    <t>Fond du Lac, WI</t>
  </si>
  <si>
    <t>Johnson City, TN</t>
  </si>
  <si>
    <t>Shawnee, OK</t>
  </si>
  <si>
    <t>Iron Mountain, MI-WI</t>
  </si>
  <si>
    <t>Athens-Clarke County, GA</t>
  </si>
  <si>
    <t>Coeur d'Alene, ID</t>
  </si>
  <si>
    <t>Ludington, MI</t>
  </si>
  <si>
    <t>Pottsville, PA</t>
  </si>
  <si>
    <t>Macon-Bibb County, GA</t>
  </si>
  <si>
    <t>Manchester-Nashua, NH</t>
  </si>
  <si>
    <t>Huntsville, AL</t>
  </si>
  <si>
    <t>Mount Vernon, IL</t>
  </si>
  <si>
    <t>Danville, IL</t>
  </si>
  <si>
    <t>Akron, OH</t>
  </si>
  <si>
    <t>Odessa, TX</t>
  </si>
  <si>
    <t>South Bend-Mishawaka, IN-MI</t>
  </si>
  <si>
    <t>Pueblo, CO</t>
  </si>
  <si>
    <t>Lafayette, LA</t>
  </si>
  <si>
    <t>Guymon, OK</t>
  </si>
  <si>
    <t>Laconia, NH</t>
  </si>
  <si>
    <t>Decatur, AL</t>
  </si>
  <si>
    <t>Auburn, IN</t>
  </si>
  <si>
    <t>Charleston-North Charleston, SC</t>
  </si>
  <si>
    <t>Tupelo, MS</t>
  </si>
  <si>
    <t>Newberry, SC</t>
  </si>
  <si>
    <t>Magnolia, AR</t>
  </si>
  <si>
    <t>Enterprise, AL</t>
  </si>
  <si>
    <t>Batavia, NY</t>
  </si>
  <si>
    <t>Danville, KY</t>
  </si>
  <si>
    <t>Seymour, IN</t>
  </si>
  <si>
    <t>Elizabeth City, NC</t>
  </si>
  <si>
    <t>North Wilkesboro, NC</t>
  </si>
  <si>
    <t>Alma, MI</t>
  </si>
  <si>
    <t>Palestine, TX</t>
  </si>
  <si>
    <t>Oxnard-Thousand Oaks-Ventura, CA</t>
  </si>
  <si>
    <t>Bay City, MI</t>
  </si>
  <si>
    <t>Paragould, AR</t>
  </si>
  <si>
    <t>Owensboro, KY</t>
  </si>
  <si>
    <t>Crossville, TN</t>
  </si>
  <si>
    <t>Harrisonburg, VA</t>
  </si>
  <si>
    <t>Troy, AL</t>
  </si>
  <si>
    <t>Eau Claire, WI</t>
  </si>
  <si>
    <t>Urban Honolulu, HI</t>
  </si>
  <si>
    <t>Punta Gorda, FL</t>
  </si>
  <si>
    <t>Fort Wayne, IN</t>
  </si>
  <si>
    <t>Seneca Falls, NY</t>
  </si>
  <si>
    <t>Monroe, MI</t>
  </si>
  <si>
    <t>Murray, KY</t>
  </si>
  <si>
    <t>Nacogdoches, TX</t>
  </si>
  <si>
    <t>Orangeburg, SC</t>
  </si>
  <si>
    <t>Kalamazoo-Portage, MI</t>
  </si>
  <si>
    <t>Wilmington, NC</t>
  </si>
  <si>
    <t>Florence, SC</t>
  </si>
  <si>
    <t>Columbus, MS</t>
  </si>
  <si>
    <t>Cordele, GA</t>
  </si>
  <si>
    <t>Meadville, PA</t>
  </si>
  <si>
    <t>Pearsall, TX</t>
  </si>
  <si>
    <t>Union City, TN</t>
  </si>
  <si>
    <t>Lake City, FL</t>
  </si>
  <si>
    <t>Mount Airy, NC</t>
  </si>
  <si>
    <t>Warrensburg, MO</t>
  </si>
  <si>
    <t>Laurinburg, NC</t>
  </si>
  <si>
    <t>Bainbridge, GA</t>
  </si>
  <si>
    <t>Norwalk, OH</t>
  </si>
  <si>
    <t>West Point, MS</t>
  </si>
  <si>
    <t>Durant, OK</t>
  </si>
  <si>
    <t>Tifton, GA</t>
  </si>
  <si>
    <t>Washington Court House, OH</t>
  </si>
  <si>
    <t>Fort Leonard Wood, MO</t>
  </si>
  <si>
    <t>Calhoun, GA</t>
  </si>
  <si>
    <t>Waco, TX</t>
  </si>
  <si>
    <t>Kendallville, IN</t>
  </si>
  <si>
    <t>Eufaula, AL-GA</t>
  </si>
  <si>
    <t>Missoula, MT</t>
  </si>
  <si>
    <t>Big Spring, TX</t>
  </si>
  <si>
    <t>Battle Creek, MI</t>
  </si>
  <si>
    <t>Sheboygan, WI</t>
  </si>
  <si>
    <t>Malvern, AR</t>
  </si>
  <si>
    <t>Sumter, SC</t>
  </si>
  <si>
    <t>LaGrange, GA-AL</t>
  </si>
  <si>
    <t>Warner Robins, GA</t>
  </si>
  <si>
    <t>Kennewick-Richland, WA</t>
  </si>
  <si>
    <t>Plainview, TX</t>
  </si>
  <si>
    <t>Brownsville, TN</t>
  </si>
  <si>
    <t>Scottsburg, IN</t>
  </si>
  <si>
    <t>Angola, IN</t>
  </si>
  <si>
    <t>Arkadelphia, AR</t>
  </si>
  <si>
    <t>Hattiesburg, MS</t>
  </si>
  <si>
    <t>Greenwood, SC</t>
  </si>
  <si>
    <t>Mount Pleasant, MI</t>
  </si>
  <si>
    <t>Owatonna, MN</t>
  </si>
  <si>
    <t>Crestview-Fort Walton Beach-Destin, FL</t>
  </si>
  <si>
    <t>Dayton, TN</t>
  </si>
  <si>
    <t>Fairbanks, AK</t>
  </si>
  <si>
    <t>Natchez, MS-LA</t>
  </si>
  <si>
    <t>Hot Springs, AR</t>
  </si>
  <si>
    <t>Newport, TN</t>
  </si>
  <si>
    <t>Selinsgrove, PA</t>
  </si>
  <si>
    <t>Watertown-Fort Atkinson, WI</t>
  </si>
  <si>
    <t>Altoona, PA</t>
  </si>
  <si>
    <t>Jasper, AL</t>
  </si>
  <si>
    <t>Athens, TX</t>
  </si>
  <si>
    <t>Whitewater, WI</t>
  </si>
  <si>
    <t>Pinehurst-Southern Pines, NC</t>
  </si>
  <si>
    <t>Norwich-New London, CT</t>
  </si>
  <si>
    <t>Hinesville, GA</t>
  </si>
  <si>
    <t>Minden, LA</t>
  </si>
  <si>
    <t>Corvallis, OR</t>
  </si>
  <si>
    <t>Stevens Point, WI</t>
  </si>
  <si>
    <t>Beeville, TX</t>
  </si>
  <si>
    <t>Hobbs, NM</t>
  </si>
  <si>
    <t>Shelbyville, TN</t>
  </si>
  <si>
    <t>Sebring-Avon Park, FL</t>
  </si>
  <si>
    <t>Florence-Muscle Shoals, AL</t>
  </si>
  <si>
    <t>Greenville, NC</t>
  </si>
  <si>
    <t>Gainesville, GA</t>
  </si>
  <si>
    <t>Boone, NC</t>
  </si>
  <si>
    <t>Rockford, IL</t>
  </si>
  <si>
    <t>Kerrville, TX</t>
  </si>
  <si>
    <t>Bartlesville, OK</t>
  </si>
  <si>
    <t>Coldwater, MI</t>
  </si>
  <si>
    <t>Statesboro, GA</t>
  </si>
  <si>
    <t>Hood River, OR</t>
  </si>
  <si>
    <t>Cullman, AL</t>
  </si>
  <si>
    <t>Pampa, TX</t>
  </si>
  <si>
    <t>Henderson, NC</t>
  </si>
  <si>
    <t>Dumas, TX</t>
  </si>
  <si>
    <t>Martinsville, VA</t>
  </si>
  <si>
    <t>Ithaca, NY</t>
  </si>
  <si>
    <t>Lawrence, KS</t>
  </si>
  <si>
    <t>Greeneville, TN</t>
  </si>
  <si>
    <t>Brookhaven, MS</t>
  </si>
  <si>
    <t>El Paso, TX</t>
  </si>
  <si>
    <t>Lewiston-Auburn, ME</t>
  </si>
  <si>
    <t>Midland, MI</t>
  </si>
  <si>
    <t>Blytheville, AR</t>
  </si>
  <si>
    <t>Corinth, MS</t>
  </si>
  <si>
    <t>Summerville, GA</t>
  </si>
  <si>
    <t>Jackson, MI</t>
  </si>
  <si>
    <t>Hereford, TX</t>
  </si>
  <si>
    <t>Warsaw, IN</t>
  </si>
  <si>
    <t>Forest City, NC</t>
  </si>
  <si>
    <t>Richmond-Berea, KY</t>
  </si>
  <si>
    <t>Bennettsville, SC</t>
  </si>
  <si>
    <t>Pensacola-Ferry Pass-Brent, FL</t>
  </si>
  <si>
    <t>Bogalusa, LA</t>
  </si>
  <si>
    <t>Palm Bay-Melbourne-Titusville, FL</t>
  </si>
  <si>
    <t>Vidalia, GA</t>
  </si>
  <si>
    <t>Athens, TN</t>
  </si>
  <si>
    <t>Wooster, OH</t>
  </si>
  <si>
    <t>Jesup, GA</t>
  </si>
  <si>
    <t>Rome, GA</t>
  </si>
  <si>
    <t>Wauchula, FL</t>
  </si>
  <si>
    <t>Mansfield, OH</t>
  </si>
  <si>
    <t>Lufkin, TX</t>
  </si>
  <si>
    <t>Marshall, MO</t>
  </si>
  <si>
    <t>Juneau, AK</t>
  </si>
  <si>
    <t>Huntington, IN</t>
  </si>
  <si>
    <t>Somerset, KY</t>
  </si>
  <si>
    <t>Oak Harbor, WA</t>
  </si>
  <si>
    <t>Prineville, OR</t>
  </si>
  <si>
    <t>Greensboro-High Point, NC</t>
  </si>
  <si>
    <t>Fayetteville, NC</t>
  </si>
  <si>
    <t>Big Stone Gap, VA</t>
  </si>
  <si>
    <t>Racine, WI</t>
  </si>
  <si>
    <t>Rocky Mount, NC</t>
  </si>
  <si>
    <t>Jacksonville, NC</t>
  </si>
  <si>
    <t>Muncie, IN</t>
  </si>
  <si>
    <t>Ruston, LA</t>
  </si>
  <si>
    <t>Jennings, LA</t>
  </si>
  <si>
    <t>Tyler, TX</t>
  </si>
  <si>
    <t>Jacksonville, FL</t>
  </si>
  <si>
    <t>Auburn-Opelika, AL</t>
  </si>
  <si>
    <t>Panama City, FL</t>
  </si>
  <si>
    <t>Lumberton, NC</t>
  </si>
  <si>
    <t>Opelousas, LA</t>
  </si>
  <si>
    <t>Kinston, NC</t>
  </si>
  <si>
    <t>Granbury, TX</t>
  </si>
  <si>
    <t>Toccoa, GA</t>
  </si>
  <si>
    <t>Decatur, IN</t>
  </si>
  <si>
    <t>Safford, AZ</t>
  </si>
  <si>
    <t>Albemarle, NC</t>
  </si>
  <si>
    <t>Breckenridge, CO</t>
  </si>
  <si>
    <t>Elkhart-Goshen, IN</t>
  </si>
  <si>
    <t>Greensburg, IN</t>
  </si>
  <si>
    <t>New Haven-Milford, CT</t>
  </si>
  <si>
    <t>Bridgeport-Stamford-Norwalk, CT</t>
  </si>
  <si>
    <t>Victoria, TX</t>
  </si>
  <si>
    <t>Jefferson, GA</t>
  </si>
  <si>
    <t>Sebastian-Vero Beach, FL</t>
  </si>
  <si>
    <t>McMinnville, TN</t>
  </si>
  <si>
    <t>Goldsboro, NC</t>
  </si>
  <si>
    <t>Cedartown, GA</t>
  </si>
  <si>
    <t>Port St. Lucie, FL</t>
  </si>
  <si>
    <t>Durango, CO</t>
  </si>
  <si>
    <t>Albertville, AL</t>
  </si>
  <si>
    <t>Sevierville, TN</t>
  </si>
  <si>
    <t>Morgan City, LA</t>
  </si>
  <si>
    <t>Kokomo, IN</t>
  </si>
  <si>
    <t>Burlington, NC</t>
  </si>
  <si>
    <t>Los Alamos, NM</t>
  </si>
  <si>
    <t>Cornelia, GA</t>
  </si>
  <si>
    <t>Marion, NC</t>
  </si>
  <si>
    <t>Bend, OR</t>
  </si>
  <si>
    <t>Gaffney, SC</t>
  </si>
  <si>
    <t>Arcadia, FL</t>
  </si>
  <si>
    <t>Homosassa Springs, FL</t>
  </si>
  <si>
    <t>McComb, MS</t>
  </si>
  <si>
    <t>Milledgeville, GA</t>
  </si>
  <si>
    <t>Carson City, NV</t>
  </si>
  <si>
    <t>Georgetown, SC</t>
  </si>
  <si>
    <t>Vernon, TX</t>
  </si>
  <si>
    <t>Pecos, TX</t>
  </si>
  <si>
    <t>Picayune, MS</t>
  </si>
  <si>
    <t>Lamesa, TX</t>
  </si>
  <si>
    <t>Price, UT</t>
  </si>
  <si>
    <t>Ketchikan, AK</t>
  </si>
  <si>
    <t>Greenville, MS</t>
  </si>
  <si>
    <t>Winnemucca, NV</t>
  </si>
  <si>
    <t>Portales, NM</t>
  </si>
  <si>
    <t>Fitzgerald, GA</t>
  </si>
  <si>
    <t>Andrews, TX</t>
  </si>
  <si>
    <t>Okeechobee, FL</t>
  </si>
  <si>
    <t>Frankfort, KY</t>
  </si>
  <si>
    <t>Centralia, IL</t>
  </si>
  <si>
    <t>Connersville, IN</t>
  </si>
  <si>
    <t>Fallon, NV</t>
  </si>
  <si>
    <t>Deming, NM</t>
  </si>
  <si>
    <t>Gallup, NM</t>
  </si>
  <si>
    <t>Sanford, NC</t>
  </si>
  <si>
    <t>Clovis, NM</t>
  </si>
  <si>
    <t>Wahpeton, ND</t>
  </si>
  <si>
    <t>Iron Mountain, MI</t>
  </si>
  <si>
    <t>Butte, MT</t>
  </si>
  <si>
    <t>Jackson, WY</t>
  </si>
  <si>
    <t>Bucyrus, OH</t>
  </si>
  <si>
    <t>Burlington, IA</t>
  </si>
  <si>
    <t>Natchez, MS</t>
  </si>
  <si>
    <t>Ontario, OR</t>
  </si>
  <si>
    <t>Point Pleasant, WV</t>
  </si>
  <si>
    <t>Fort Madison, IA</t>
  </si>
  <si>
    <t>Charleston, IL</t>
  </si>
  <si>
    <t>Marinette, WI</t>
  </si>
  <si>
    <t>Lewiston, ID</t>
  </si>
  <si>
    <t>Rio Grande City, TX</t>
  </si>
  <si>
    <t>Faribault, MN</t>
  </si>
  <si>
    <t>Wisconsin Rapids, WI</t>
  </si>
  <si>
    <t>Quincy, IL</t>
  </si>
  <si>
    <t>Talladega, AL</t>
  </si>
  <si>
    <t>Bloomsburg, PA</t>
  </si>
  <si>
    <t>Watertown, WI</t>
  </si>
  <si>
    <t>Parkersburg, WV</t>
  </si>
  <si>
    <t>Hermiston, OR</t>
  </si>
  <si>
    <t>New Philadelphia, OH</t>
  </si>
  <si>
    <t>Paducah, KY</t>
  </si>
  <si>
    <t>Cumberland, MD</t>
  </si>
  <si>
    <t>Cape Girardeau, MO</t>
  </si>
  <si>
    <t>Truckee, CA</t>
  </si>
  <si>
    <t>Grand Forks, ND</t>
  </si>
  <si>
    <t>Pinehurst, NC</t>
  </si>
  <si>
    <t>Bluefield, WV</t>
  </si>
  <si>
    <t>Tullahoma, TN</t>
  </si>
  <si>
    <t>Sebring, FL</t>
  </si>
  <si>
    <t>Ogdensburg, NY</t>
  </si>
  <si>
    <t>Watertown, NY</t>
  </si>
  <si>
    <t>Richmond, KY</t>
  </si>
  <si>
    <t>Lewiston, ME</t>
  </si>
  <si>
    <t>Michigan City, IN</t>
  </si>
  <si>
    <t>Anniston, AL</t>
  </si>
  <si>
    <t>California, MD</t>
  </si>
  <si>
    <t>Weirton, WV</t>
  </si>
  <si>
    <t>Augusta, ME</t>
  </si>
  <si>
    <t>Jamestown, NY</t>
  </si>
  <si>
    <t>Sierra Vista, AZ</t>
  </si>
  <si>
    <t>Mount Vernon, WA</t>
  </si>
  <si>
    <t>Albany, OR</t>
  </si>
  <si>
    <t>Eureka, CA</t>
  </si>
  <si>
    <t>Carbondale, IL</t>
  </si>
  <si>
    <t>La Crosse, WI</t>
  </si>
  <si>
    <t>Wheeling, WV</t>
  </si>
  <si>
    <t>Sherman, TX</t>
  </si>
  <si>
    <t>Winchester, VA</t>
  </si>
  <si>
    <t>Logan, UT</t>
  </si>
  <si>
    <t>Sioux City, IA</t>
  </si>
  <si>
    <t>Vineland, NJ</t>
  </si>
  <si>
    <t>Florence, AL</t>
  </si>
  <si>
    <t>Texarkana, TX</t>
  </si>
  <si>
    <t>Hanford, CA</t>
  </si>
  <si>
    <t>Elizabethtown, KY</t>
  </si>
  <si>
    <t>Chambersburg, PA</t>
  </si>
  <si>
    <t>Sebastian, FL</t>
  </si>
  <si>
    <t>Janesville, WI</t>
  </si>
  <si>
    <t>Wausau, WI</t>
  </si>
  <si>
    <t>Auburn, AL</t>
  </si>
  <si>
    <t>Blacksburg, VA</t>
  </si>
  <si>
    <t>Kahului, HI</t>
  </si>
  <si>
    <t>Waterloo, IA</t>
  </si>
  <si>
    <t>Oshkosh, WI</t>
  </si>
  <si>
    <t>Elkhart, IN</t>
  </si>
  <si>
    <t>Houma, LA</t>
  </si>
  <si>
    <t>Athens, GA</t>
  </si>
  <si>
    <t>Lake Havasu City, AZ</t>
  </si>
  <si>
    <t>Lebanon, NH</t>
  </si>
  <si>
    <t>Burlington, VT</t>
  </si>
  <si>
    <t>Champaign, IL</t>
  </si>
  <si>
    <t>Hilton Head Island, SC</t>
  </si>
  <si>
    <t>Daphne, AL</t>
  </si>
  <si>
    <t>Macon, GA</t>
  </si>
  <si>
    <t>Lafayette, IN</t>
  </si>
  <si>
    <t>Prescott Valley, AZ</t>
  </si>
  <si>
    <t>Fargo, ND</t>
  </si>
  <si>
    <t>Fort Smith, AR</t>
  </si>
  <si>
    <t>Atlantic City, NJ</t>
  </si>
  <si>
    <t>Norwich, CT</t>
  </si>
  <si>
    <t>Kalamazoo, MI</t>
  </si>
  <si>
    <t>College Station, TX</t>
  </si>
  <si>
    <t>Santa Cruz, CA</t>
  </si>
  <si>
    <t>Bremerton, WA</t>
  </si>
  <si>
    <t>San Luis Obispo, CA</t>
  </si>
  <si>
    <t>Utica, NY</t>
  </si>
  <si>
    <t>Duluth, MN</t>
  </si>
  <si>
    <t>Crestview, FL</t>
  </si>
  <si>
    <t>Hagerstown, MD</t>
  </si>
  <si>
    <t>Olympia, WA</t>
  </si>
  <si>
    <t>Kennewick, WA</t>
  </si>
  <si>
    <t>Kingsport, TN</t>
  </si>
  <si>
    <t>Clarksville, TN</t>
  </si>
  <si>
    <t>Evansville, IN</t>
  </si>
  <si>
    <t>Columbus, GA</t>
  </si>
  <si>
    <t>South Bend, IN</t>
  </si>
  <si>
    <t>Huntington, WV</t>
  </si>
  <si>
    <t>Trenton, NJ</t>
  </si>
  <si>
    <t>Hickory, NC</t>
  </si>
  <si>
    <t>Davenport, IA</t>
  </si>
  <si>
    <t>Eugene, OR</t>
  </si>
  <si>
    <t>Beaumont, TX</t>
  </si>
  <si>
    <t>Shreveport, LA</t>
  </si>
  <si>
    <t>Naples, FL</t>
  </si>
  <si>
    <t>Canton, OH</t>
  </si>
  <si>
    <t>Manchester, NH</t>
  </si>
  <si>
    <t>Gulfport, MS</t>
  </si>
  <si>
    <t>Salisbury, MD</t>
  </si>
  <si>
    <t>Brownsville, TX</t>
  </si>
  <si>
    <t>Santa Maria, CA</t>
  </si>
  <si>
    <t>York, PA</t>
  </si>
  <si>
    <t>Killeen, TX</t>
  </si>
  <si>
    <t>Santa Rosa, CA</t>
  </si>
  <si>
    <t>Pensacola, FL</t>
  </si>
  <si>
    <t>Myrtle Beach, SC</t>
  </si>
  <si>
    <t>Lexington, KY</t>
  </si>
  <si>
    <t>Youngstown, OH</t>
  </si>
  <si>
    <t>Portland, ME</t>
  </si>
  <si>
    <t>Lansing, MI</t>
  </si>
  <si>
    <t>Fayetteville, AR</t>
  </si>
  <si>
    <t>Scranton, PA</t>
  </si>
  <si>
    <t>Chattanooga, TN</t>
  </si>
  <si>
    <t>Spokane, WA</t>
  </si>
  <si>
    <t>Harrisburg, PA</t>
  </si>
  <si>
    <t>Palm Bay, FL</t>
  </si>
  <si>
    <t>Augusta, GA</t>
  </si>
  <si>
    <t>Durham, NC</t>
  </si>
  <si>
    <t>Provo, UT</t>
  </si>
  <si>
    <t>Deltona, FL</t>
  </si>
  <si>
    <t>Ogden, UT</t>
  </si>
  <si>
    <t>Des Moines, IA</t>
  </si>
  <si>
    <t>Lakeland, FL</t>
  </si>
  <si>
    <t>Little Rock, AR</t>
  </si>
  <si>
    <t>Greensboro, NC</t>
  </si>
  <si>
    <t>Cape Coral, FL</t>
  </si>
  <si>
    <t>Dayton, OH</t>
  </si>
  <si>
    <t>Charleston, SC</t>
  </si>
  <si>
    <t>Oxnard, CA</t>
  </si>
  <si>
    <t>Allentown, PA</t>
  </si>
  <si>
    <t>New Haven, CT</t>
  </si>
  <si>
    <t>North Port, FL</t>
  </si>
  <si>
    <t>McAllen, TX</t>
  </si>
  <si>
    <t>Albany, NY</t>
  </si>
  <si>
    <t>Greenville, SC</t>
  </si>
  <si>
    <t>Bridgeport, CT</t>
  </si>
  <si>
    <t>Worcester, MA</t>
  </si>
  <si>
    <t>Omaha, NE</t>
  </si>
  <si>
    <t>Grand Rapids, MI</t>
  </si>
  <si>
    <t>Birmingham, AL</t>
  </si>
  <si>
    <t>Buffalo, NY</t>
  </si>
  <si>
    <t>Hartford, CT</t>
  </si>
  <si>
    <t>Louisville, KY</t>
  </si>
  <si>
    <t>New Orleans, LA</t>
  </si>
  <si>
    <t>Memphis, TN</t>
  </si>
  <si>
    <t>Raleigh, NC</t>
  </si>
  <si>
    <t>Milwaukee, WI</t>
  </si>
  <si>
    <t>Providence, RI</t>
  </si>
  <si>
    <t>Virginia Beach, VA</t>
  </si>
  <si>
    <t>Nashville, TN</t>
  </si>
  <si>
    <t>San Jose, CA</t>
  </si>
  <si>
    <t>Cleveland, OH</t>
  </si>
  <si>
    <t>Indianapolis, IN</t>
  </si>
  <si>
    <t>Kansas City, MO</t>
  </si>
  <si>
    <t>Cincinnati, OH</t>
  </si>
  <si>
    <t>Austin, TX</t>
  </si>
  <si>
    <t>Las Vegas, NV</t>
  </si>
  <si>
    <t>Sacramento, CA</t>
  </si>
  <si>
    <t>Portland, OR</t>
  </si>
  <si>
    <t>San Antonio, TX</t>
  </si>
  <si>
    <t>Orlando, FL</t>
  </si>
  <si>
    <t>Charlotte, NC</t>
  </si>
  <si>
    <t>Baltimore, MD</t>
  </si>
  <si>
    <t>St. Louis, MO</t>
  </si>
  <si>
    <t>Denver, CO</t>
  </si>
  <si>
    <t>Tampa, FL</t>
  </si>
  <si>
    <t>San Diego, CA</t>
  </si>
  <si>
    <t>Minneapolis, MN</t>
  </si>
  <si>
    <t>Seattle, WA</t>
  </si>
  <si>
    <t>Detroit, MI</t>
  </si>
  <si>
    <t>Riverside, CA</t>
  </si>
  <si>
    <t>San Francisco, CA</t>
  </si>
  <si>
    <t>Boston, MA</t>
  </si>
  <si>
    <t>Phoenix, AZ</t>
  </si>
  <si>
    <t>Atlanta, GA</t>
  </si>
  <si>
    <t>Philadelphia, PA</t>
  </si>
  <si>
    <t>Miami, FL</t>
  </si>
  <si>
    <t>Washington, DC</t>
  </si>
  <si>
    <t>Houston, TX</t>
  </si>
  <si>
    <t>Dallas, TX</t>
  </si>
  <si>
    <t>Chicago, IL</t>
  </si>
  <si>
    <t>Los Angeles, CA</t>
  </si>
  <si>
    <t>New York, NY</t>
  </si>
  <si>
    <t>RegionName</t>
  </si>
  <si>
    <t>Metro</t>
  </si>
  <si>
    <t>Total Orig Points</t>
  </si>
  <si>
    <t>Total Adjustments</t>
  </si>
  <si>
    <t>Debt Service Check</t>
  </si>
  <si>
    <t>RCN Orig Points</t>
  </si>
  <si>
    <t>Total Monthly IO PMT</t>
  </si>
  <si>
    <t>Value per Unit &lt; $50k</t>
  </si>
  <si>
    <t>Out of Pocket Rehab</t>
  </si>
  <si>
    <t>Interest Rate (Total)</t>
  </si>
  <si>
    <t>Rehab Amount (Out of Pocket)</t>
  </si>
  <si>
    <t>MultiFamily VPU</t>
  </si>
  <si>
    <t>Orig / Closing Costs</t>
  </si>
  <si>
    <t>Interest Rate (RCN)</t>
  </si>
  <si>
    <t>Rehab Amount (Funded)</t>
  </si>
  <si>
    <t>Down PMT / Refi PMT</t>
  </si>
  <si>
    <t>Vacant, Stabilized Refinance</t>
  </si>
  <si>
    <t>Occupancy Requirements:</t>
  </si>
  <si>
    <t>Liquidity / Reserve Breakdown (Final Pricing)</t>
  </si>
  <si>
    <t>Final Pricing / Loan Term Selection</t>
  </si>
  <si>
    <t>PX Desk</t>
  </si>
  <si>
    <t>ARV (Multifamily VPU)</t>
  </si>
  <si>
    <t>Final SQFT (#)</t>
  </si>
  <si>
    <t>As-Is (Multifamily VPU)</t>
  </si>
  <si>
    <t>After-Repaired Value</t>
  </si>
  <si>
    <t>Req. Rehab Amount</t>
  </si>
  <si>
    <t xml:space="preserve">Rehab Needed? </t>
  </si>
  <si>
    <t>Not Permitted</t>
  </si>
  <si>
    <t>&lt; $50,000</t>
  </si>
  <si>
    <t>Completed Rehab (Since Acquisition)</t>
  </si>
  <si>
    <r>
      <t>Loan Amount (</t>
    </r>
    <r>
      <rPr>
        <b/>
        <u/>
        <sz val="13"/>
        <color theme="1"/>
        <rFont val="Calibri"/>
        <family val="2"/>
        <scheme val="minor"/>
      </rPr>
      <t>Illustrative Only</t>
    </r>
    <r>
      <rPr>
        <b/>
        <sz val="13"/>
        <color theme="1"/>
        <rFont val="Calibri"/>
        <family val="2"/>
        <scheme val="minor"/>
      </rPr>
      <t>)</t>
    </r>
  </si>
  <si>
    <t>18M</t>
  </si>
  <si>
    <t>15M</t>
  </si>
  <si>
    <t>12M</t>
  </si>
  <si>
    <t>RCN Points:</t>
  </si>
  <si>
    <t>Market / Property Value Checks</t>
  </si>
  <si>
    <t>Assignment/Wholesale Fee &gt; 5%?</t>
  </si>
  <si>
    <t>Acquisition Price</t>
  </si>
  <si>
    <t>Value to MHV 300% +</t>
  </si>
  <si>
    <t>Pricing Options</t>
  </si>
  <si>
    <t>Market Analytics:</t>
  </si>
  <si>
    <t>ROI Threshold</t>
  </si>
  <si>
    <t>Projected Project ROI</t>
  </si>
  <si>
    <t>Property / Project Figures</t>
  </si>
  <si>
    <t>Rehab Budget (Out of Pocket)</t>
  </si>
  <si>
    <t>Purchase Premium/Discount</t>
  </si>
  <si>
    <t>Rehab Budget (Funded)</t>
  </si>
  <si>
    <t>Deal Figures / Financials</t>
  </si>
  <si>
    <t>Suggested Max RTL Terms (LTV | LTC)</t>
  </si>
  <si>
    <t>Feasibility Study Req.</t>
  </si>
  <si>
    <t>Property CBSA / MSA</t>
  </si>
  <si>
    <t>Rehab Type</t>
  </si>
  <si>
    <t>Property Condition Assessment?</t>
  </si>
  <si>
    <t>Rehab % (PP / As-Is)</t>
  </si>
  <si>
    <t>Market Data / Info</t>
  </si>
  <si>
    <t>Required</t>
  </si>
  <si>
    <t>Situs/BPO?</t>
  </si>
  <si>
    <t>Property SQFT Addition (#)</t>
  </si>
  <si>
    <t># Stories/Floors</t>
  </si>
  <si>
    <t xml:space="preserve">Property Expansion (20%+ SQFT)? </t>
  </si>
  <si>
    <t>No FICO (Foreign National)</t>
  </si>
  <si>
    <t>Environmental?</t>
  </si>
  <si>
    <t xml:space="preserve">Change in Property Type / Units? </t>
  </si>
  <si>
    <t>680+</t>
  </si>
  <si>
    <t>650 - 679</t>
  </si>
  <si>
    <t>Rehab Analysis (RTL Loans w. Rehab Budget)</t>
  </si>
  <si>
    <t>Street Address</t>
  </si>
  <si>
    <t>620 - 649</t>
  </si>
  <si>
    <t>Min Debt Yield</t>
  </si>
  <si>
    <t>Exp. / Vacancy %</t>
  </si>
  <si>
    <t>Value per Unit (ARV/As-Is)</t>
  </si>
  <si>
    <t>&lt; 620</t>
  </si>
  <si>
    <t>5+</t>
  </si>
  <si>
    <t>1-4; 8+</t>
  </si>
  <si>
    <t>Qualifying FICO Score:</t>
  </si>
  <si>
    <t>Debt Yield (Final Terms)</t>
  </si>
  <si>
    <t>Annual HOA</t>
  </si>
  <si>
    <t>Annual Flood</t>
  </si>
  <si>
    <t>Annual HOI</t>
  </si>
  <si>
    <t>Annual Taxes</t>
  </si>
  <si>
    <t>Property Details</t>
  </si>
  <si>
    <t>Occupancy Check</t>
  </si>
  <si>
    <t>Est. Replacement Reserves</t>
  </si>
  <si>
    <t>Total Income (Calculated)</t>
  </si>
  <si>
    <t>Est. Annual Expenses</t>
  </si>
  <si>
    <t>Annual Insurance</t>
  </si>
  <si>
    <t>Primary Guarantor Citizenship</t>
  </si>
  <si>
    <t>ARV LTV</t>
  </si>
  <si>
    <t>Initial LTC</t>
  </si>
  <si>
    <t>As-Is LTV</t>
  </si>
  <si>
    <t>Payoff Amount (if applicable)</t>
  </si>
  <si>
    <t>Annual Expenses *</t>
  </si>
  <si>
    <t>Market Rent</t>
  </si>
  <si>
    <t>Actual Rent</t>
  </si>
  <si>
    <t xml:space="preserve">Leased? </t>
  </si>
  <si>
    <t>Unit</t>
  </si>
  <si>
    <t>Today's Date</t>
  </si>
  <si>
    <t>Identifer / Max Leverage (before adj.)</t>
  </si>
  <si>
    <t>Multifamily / Mixed Use (if Applicable)</t>
  </si>
  <si>
    <t>Property Income Summary (1-4 Family; Monthly)</t>
  </si>
  <si>
    <t>RCN "RTL" Loan Sizer</t>
  </si>
  <si>
    <t>Mixed-Use</t>
  </si>
  <si>
    <t>Heavy</t>
  </si>
  <si>
    <t>30+</t>
  </si>
  <si>
    <t>10+</t>
  </si>
  <si>
    <t>3+</t>
  </si>
  <si>
    <t>1+</t>
  </si>
  <si>
    <t>0+</t>
  </si>
  <si>
    <t>Moderate</t>
  </si>
  <si>
    <t>Light</t>
  </si>
  <si>
    <t>Stabilized</t>
  </si>
  <si>
    <t>8+ Unit</t>
  </si>
  <si>
    <t>5-8 Unit</t>
  </si>
  <si>
    <t>1-4 Unit</t>
  </si>
  <si>
    <t>Rehab (Fund / OOP)</t>
  </si>
  <si>
    <t>Final Terms</t>
  </si>
  <si>
    <t>Suggested (Max)</t>
  </si>
  <si>
    <t>Final Note Amount</t>
  </si>
  <si>
    <t>Final Out of Pocket</t>
  </si>
  <si>
    <t>Final Funded Rehab</t>
  </si>
  <si>
    <t>Rate/Term Check</t>
  </si>
  <si>
    <t>Final Initial Advance</t>
  </si>
  <si>
    <t>Note Amount</t>
  </si>
  <si>
    <t>Max Check Optimizer</t>
  </si>
  <si>
    <t>Funded Rehab</t>
  </si>
  <si>
    <t>Y</t>
  </si>
  <si>
    <t>Max Loan</t>
  </si>
  <si>
    <t>Max ARV</t>
  </si>
  <si>
    <t>Max IA</t>
  </si>
  <si>
    <t>Max AI</t>
  </si>
  <si>
    <t>LTV (Post Ad.)</t>
  </si>
  <si>
    <t>Loan Amount Adjustment</t>
  </si>
  <si>
    <t>Market Tier</t>
  </si>
  <si>
    <t xml:space="preserve">Minimum Debt Yield </t>
  </si>
  <si>
    <t>Net LTV</t>
  </si>
  <si>
    <t xml:space="preserve">Exp./Vacancy Assumption </t>
  </si>
  <si>
    <t>Balitmore, MD</t>
  </si>
  <si>
    <t>Oakland, CA</t>
  </si>
  <si>
    <t>Initial</t>
  </si>
  <si>
    <t>ARV PU</t>
  </si>
  <si>
    <t>AI PU</t>
  </si>
  <si>
    <t>Minimum Values</t>
  </si>
  <si>
    <t>Max per Unit</t>
  </si>
  <si>
    <t>LTV Calcs</t>
  </si>
  <si>
    <t>ARV per Unit</t>
  </si>
  <si>
    <t>Heavy Rehab</t>
  </si>
  <si>
    <t>Paterson, NJ</t>
  </si>
  <si>
    <t>No CBSA</t>
  </si>
  <si>
    <t>As-Is per Unit</t>
  </si>
  <si>
    <t>Multi/Mixed</t>
  </si>
  <si>
    <t>Newark, NJ</t>
  </si>
  <si>
    <t>CBSA 3</t>
  </si>
  <si>
    <t>CBSA 2</t>
  </si>
  <si>
    <t>Refinance</t>
  </si>
  <si>
    <t>Product Identifier</t>
  </si>
  <si>
    <t>CBSA 1</t>
  </si>
  <si>
    <t>Adjustments</t>
  </si>
  <si>
    <t>Product Type</t>
  </si>
  <si>
    <t>Test</t>
  </si>
  <si>
    <t>Final Rehab (check for heavy)</t>
  </si>
  <si>
    <t>Cost Basis</t>
  </si>
  <si>
    <t>Rehab Identifier (% Only)</t>
  </si>
  <si>
    <t>AR Value</t>
  </si>
  <si>
    <t>Rehab %</t>
  </si>
  <si>
    <t>Zip</t>
  </si>
  <si>
    <t>Completed Rehab</t>
  </si>
  <si>
    <t>Exp. Bucket</t>
  </si>
  <si>
    <t>Min. Debt Yld</t>
  </si>
  <si>
    <t>MSA Property Location - High Value ($175,000)</t>
  </si>
  <si>
    <t>MSA Property Location - High Value ($150,000)</t>
  </si>
  <si>
    <t>MSA Property Location - High Value ($100,000)</t>
  </si>
  <si>
    <t>Property Value Requirements / Restrictions</t>
  </si>
  <si>
    <t>Multi / Mixed Detail</t>
  </si>
  <si>
    <t>Pts/Exp</t>
  </si>
  <si>
    <t>Loan Qualifiers / Overview</t>
  </si>
  <si>
    <t>PUD</t>
  </si>
  <si>
    <t>Multi (8+ Unit)</t>
  </si>
  <si>
    <t>Multi (5-8 Unit)</t>
  </si>
  <si>
    <t>Townhome</t>
  </si>
  <si>
    <t>Condominium</t>
  </si>
  <si>
    <t>15 Months</t>
  </si>
  <si>
    <t>N</t>
  </si>
  <si>
    <t>2-4 Unit</t>
  </si>
  <si>
    <t>Perm Resident</t>
  </si>
  <si>
    <t>Detached SFR</t>
  </si>
  <si>
    <t>US Citizen</t>
  </si>
  <si>
    <t>(7) This field represents the total assets RCN's UW team will look to verify, which is a summation of items 4 thought 6</t>
  </si>
  <si>
    <t>(6) RCN mortgages requier the despoit of escrow funds to pay any and all property taxes and insurance due to ensure that when payments come due, enough funds are escrowed to cover bill + 2 months cushion. This field is a conservative estimate of those funds, assuming 85% of taxes and insurance will be required at close</t>
  </si>
  <si>
    <t>(5) As part of RCN's UW guidelines, an additional debt service liquidity verifcation is required as part of UW package. These are not funds required to be put down at closing, rather solely for verification purposes</t>
  </si>
  <si>
    <t>(4) Down PMT represents either (a) the difference between loan amount and purchase price for "Purchase" transactions, or (b) the shortfall in proceeds to pay off existing lien if Refi (Rate/Term). Closing Costs are calculated as the Total Origination Points + a 1% buffer</t>
  </si>
  <si>
    <t>(3) The Debt Service Coverage Ratio ("DSCR") calculation reflects the cash flow of the proposed loan, which is calculated as the property's monthly income divided by the loan's Qualifying Monthly Payment. The qualifying payment is based upon the initial payment associated with the loan file, regardless of amortization and interest-only options. For example, if the loan features an Interest-Only period, the DSCR would be based upon the Interest-Only period</t>
  </si>
  <si>
    <t>(2) This field reflects the full payment, post Interest-Only period (if applicable), inclusive of the required monthly escrows (Taxes and Insurance)</t>
  </si>
  <si>
    <t>(1) If the proposed loan features an Interest-Only period as selected within cell C34, this field reflects the Interest-Only payment plus the required monthly escrows (Taxes and Insurance)</t>
  </si>
  <si>
    <t>Notes and Disclaimers</t>
  </si>
  <si>
    <t>Pricing Desk Comments / Rate Lock</t>
  </si>
  <si>
    <t>LTV/LTC | DSCR</t>
  </si>
  <si>
    <t>PPP String</t>
  </si>
  <si>
    <r>
      <t xml:space="preserve">Total Assets to Verify </t>
    </r>
    <r>
      <rPr>
        <b/>
        <vertAlign val="superscript"/>
        <sz val="13"/>
        <color theme="1"/>
        <rFont val="Calibri"/>
        <family val="2"/>
        <scheme val="minor"/>
      </rPr>
      <t>(7)</t>
    </r>
  </si>
  <si>
    <t>Total Orig. Points</t>
  </si>
  <si>
    <r>
      <t xml:space="preserve">Est. T&amp;I Escrow </t>
    </r>
    <r>
      <rPr>
        <b/>
        <vertAlign val="superscript"/>
        <sz val="13"/>
        <color theme="1"/>
        <rFont val="Calibri"/>
        <family val="2"/>
        <scheme val="minor"/>
      </rPr>
      <t>(6)</t>
    </r>
  </si>
  <si>
    <t>Loan Coupon</t>
  </si>
  <si>
    <r>
      <t xml:space="preserve">Verified Debt Service </t>
    </r>
    <r>
      <rPr>
        <b/>
        <vertAlign val="superscript"/>
        <sz val="13"/>
        <color theme="1"/>
        <rFont val="Calibri"/>
        <family val="2"/>
        <scheme val="minor"/>
      </rPr>
      <t>(5)</t>
    </r>
  </si>
  <si>
    <r>
      <t xml:space="preserve">Down PMT I Closing Costs </t>
    </r>
    <r>
      <rPr>
        <b/>
        <vertAlign val="superscript"/>
        <sz val="13"/>
        <color theme="1"/>
        <rFont val="Calibri"/>
        <family val="2"/>
        <scheme val="minor"/>
      </rPr>
      <t>(4)</t>
    </r>
  </si>
  <si>
    <t>Broker/CL Rebate</t>
  </si>
  <si>
    <t>PI PMT | PITIA (post IO)</t>
  </si>
  <si>
    <t>LTV / LTC</t>
  </si>
  <si>
    <t>IO PMT | ITIA (if applicable)</t>
  </si>
  <si>
    <t>Loan Amount</t>
  </si>
  <si>
    <t>Final Pricing / Rate Lock</t>
  </si>
  <si>
    <t>Vacant Units / Occupancy</t>
  </si>
  <si>
    <t>Interest-Only</t>
  </si>
  <si>
    <t>Amortization</t>
  </si>
  <si>
    <t>Minimum DSCR</t>
  </si>
  <si>
    <t>Prepayment String</t>
  </si>
  <si>
    <t>Net Cash Flow</t>
  </si>
  <si>
    <t>Prepayment Penalty</t>
  </si>
  <si>
    <t xml:space="preserve">Capital Exp. </t>
  </si>
  <si>
    <t>Property Insurance</t>
  </si>
  <si>
    <t>Value Per Unit</t>
  </si>
  <si>
    <t>Lender Points</t>
  </si>
  <si>
    <t>Property Taxes</t>
  </si>
  <si>
    <t>&lt;= 80</t>
  </si>
  <si>
    <t>&lt;= 75</t>
  </si>
  <si>
    <t>&lt;= 70</t>
  </si>
  <si>
    <t>&lt;= 65</t>
  </si>
  <si>
    <t>&lt;= 60</t>
  </si>
  <si>
    <t>&lt;= 55</t>
  </si>
  <si>
    <t>&lt;= 50</t>
  </si>
  <si>
    <t>Loan Size</t>
  </si>
  <si>
    <t>Property Expenses</t>
  </si>
  <si>
    <t>Verified Rehab</t>
  </si>
  <si>
    <t>Pricing Options (Alternate Leverage)</t>
  </si>
  <si>
    <t>Gross Rental Income</t>
  </si>
  <si>
    <t>Purchase Price</t>
  </si>
  <si>
    <t>NCF (Actual/Apprisal)</t>
  </si>
  <si>
    <t>Quote (Quick Calc)</t>
  </si>
  <si>
    <t>Acquisition Date</t>
  </si>
  <si>
    <t>Multifamily (5+)</t>
  </si>
  <si>
    <t>Estimated Payoff</t>
  </si>
  <si>
    <t>Property CBSA</t>
  </si>
  <si>
    <t>Occupancy Summary</t>
  </si>
  <si>
    <t>Property Zip</t>
  </si>
  <si>
    <t>Property State</t>
  </si>
  <si>
    <t>Property City</t>
  </si>
  <si>
    <t>Property Address</t>
  </si>
  <si>
    <t>Property Total</t>
  </si>
  <si>
    <t>Qualifying FICO</t>
  </si>
  <si>
    <t>DSCR UW Rent</t>
  </si>
  <si>
    <t>Market Rent(s)</t>
  </si>
  <si>
    <t>Actual Rent(s)</t>
  </si>
  <si>
    <t>Leasing Status</t>
  </si>
  <si>
    <t>CL/Broker Rebate</t>
  </si>
  <si>
    <t>1-4 Family Properties</t>
  </si>
  <si>
    <t>Lock Date</t>
  </si>
  <si>
    <t>Income Summary</t>
  </si>
  <si>
    <t>Loan ID</t>
  </si>
  <si>
    <t>Yrs. to Repay Buydown</t>
  </si>
  <si>
    <r>
      <t xml:space="preserve">DSCR </t>
    </r>
    <r>
      <rPr>
        <b/>
        <vertAlign val="superscript"/>
        <sz val="13"/>
        <color theme="0"/>
        <rFont val="Calibri"/>
        <family val="2"/>
        <scheme val="minor"/>
      </rPr>
      <t>(3)</t>
    </r>
  </si>
  <si>
    <r>
      <t xml:space="preserve">PITIA </t>
    </r>
    <r>
      <rPr>
        <b/>
        <vertAlign val="superscript"/>
        <sz val="13"/>
        <color theme="0"/>
        <rFont val="Calibri"/>
        <family val="2"/>
        <scheme val="minor"/>
      </rPr>
      <t>(2)</t>
    </r>
  </si>
  <si>
    <r>
      <t xml:space="preserve">IO Term PMT </t>
    </r>
    <r>
      <rPr>
        <b/>
        <vertAlign val="superscript"/>
        <sz val="13"/>
        <color theme="0"/>
        <rFont val="Calibri"/>
        <family val="2"/>
        <scheme val="minor"/>
      </rPr>
      <t>(1)</t>
    </r>
  </si>
  <si>
    <t>LTV/LTC</t>
  </si>
  <si>
    <t>Coupon</t>
  </si>
  <si>
    <t>Max Proceeds</t>
  </si>
  <si>
    <t>Loan / Property Data Entry</t>
  </si>
  <si>
    <t>Check with MGT</t>
  </si>
  <si>
    <t>RCN "LTR" Loan Sizer
Single-Asset</t>
  </si>
  <si>
    <t>FN</t>
  </si>
  <si>
    <t>800+</t>
  </si>
  <si>
    <t>780+</t>
  </si>
  <si>
    <t>760+</t>
  </si>
  <si>
    <t>740+</t>
  </si>
  <si>
    <t>720+</t>
  </si>
  <si>
    <t>700+</t>
  </si>
  <si>
    <t>660+</t>
  </si>
  <si>
    <t>640+</t>
  </si>
  <si>
    <t>620+</t>
  </si>
  <si>
    <t>600+</t>
  </si>
  <si>
    <t>575+</t>
  </si>
  <si>
    <t>&lt; 575</t>
  </si>
  <si>
    <t>Refinance (Cash Out) LTV</t>
  </si>
  <si>
    <t>Refinance (Rate/Term) LTV</t>
  </si>
  <si>
    <t>Delayed Purchase LTC</t>
  </si>
  <si>
    <t>Delayed Purchase LTV</t>
  </si>
  <si>
    <t>Purchase LTC</t>
  </si>
  <si>
    <t>Purchase LTV</t>
  </si>
  <si>
    <t>FICO Bucket</t>
  </si>
  <si>
    <t>STR</t>
  </si>
  <si>
    <t>DSCR</t>
  </si>
  <si>
    <t>Multi DSCR</t>
  </si>
  <si>
    <t>SFR DSCR</t>
  </si>
  <si>
    <t xml:space="preserve">Rental Income </t>
  </si>
  <si>
    <t>PITIA</t>
  </si>
  <si>
    <t>ITIA</t>
  </si>
  <si>
    <t>Minimum Rate</t>
  </si>
  <si>
    <t>PPP</t>
  </si>
  <si>
    <t>FRM/IO</t>
  </si>
  <si>
    <t>SFR/Multi</t>
  </si>
  <si>
    <t>Final PX Summary</t>
  </si>
  <si>
    <t>Category</t>
  </si>
  <si>
    <t>80% LTV Rate</t>
  </si>
  <si>
    <t>80% LTV Loan</t>
  </si>
  <si>
    <t>Initial Coupon</t>
  </si>
  <si>
    <t>75% LTV Rate</t>
  </si>
  <si>
    <t>75% LTV Loan</t>
  </si>
  <si>
    <t>70% LTV Rate</t>
  </si>
  <si>
    <t>70% LTV Loan</t>
  </si>
  <si>
    <t>65% LTV Rate</t>
  </si>
  <si>
    <t>65% LTV Loan</t>
  </si>
  <si>
    <t>60% LTV Rate</t>
  </si>
  <si>
    <t>60% LTV Loan</t>
  </si>
  <si>
    <t>55% LTV Rate</t>
  </si>
  <si>
    <t>55% LTV Loan</t>
  </si>
  <si>
    <t>50% LTV Rate</t>
  </si>
  <si>
    <t>50% LTV Loan</t>
  </si>
  <si>
    <t>Max DSCR</t>
  </si>
  <si>
    <t>Adj. to Base</t>
  </si>
  <si>
    <t>PX</t>
  </si>
  <si>
    <t>PTS</t>
  </si>
  <si>
    <t>Base Rate</t>
  </si>
  <si>
    <t>Total Adjustments:</t>
  </si>
  <si>
    <t xml:space="preserve">Loan Size Adj. </t>
  </si>
  <si>
    <t>Size</t>
  </si>
  <si>
    <t>Loan Size Bucket</t>
  </si>
  <si>
    <t>IO</t>
  </si>
  <si>
    <t>Amort</t>
  </si>
  <si>
    <t>Market</t>
  </si>
  <si>
    <t>Loan</t>
  </si>
  <si>
    <t>Prop.</t>
  </si>
  <si>
    <t>Adjustments:</t>
  </si>
  <si>
    <t>LTV Bucket</t>
  </si>
  <si>
    <t>Initial PX LTV</t>
  </si>
  <si>
    <t>Loan Amount (RT Adj.) (Step 3)</t>
  </si>
  <si>
    <t>Rate/Term</t>
  </si>
  <si>
    <t>Loan Amount (Step 2)</t>
  </si>
  <si>
    <t>Loan Amount (Step 1)</t>
  </si>
  <si>
    <t>LTC Overlay</t>
  </si>
  <si>
    <t>Constrained LTV</t>
  </si>
  <si>
    <t>80% LTV</t>
  </si>
  <si>
    <t>75% LTV</t>
  </si>
  <si>
    <t>70% LTV</t>
  </si>
  <si>
    <t>65% LTV</t>
  </si>
  <si>
    <t>60% LTV</t>
  </si>
  <si>
    <t>55% LTV</t>
  </si>
  <si>
    <t>50% LTV</t>
  </si>
  <si>
    <t>Alternate LTV Options</t>
  </si>
  <si>
    <t>Min Loan Amount</t>
  </si>
  <si>
    <t>Proj. Expenses/Vacancy</t>
  </si>
  <si>
    <t>Max Debt Service</t>
  </si>
  <si>
    <t>DSCR Minimum</t>
  </si>
  <si>
    <t>NCF/NOI</t>
  </si>
  <si>
    <t>CapEx</t>
  </si>
  <si>
    <t>HPA</t>
  </si>
  <si>
    <t>Monthly Expenses</t>
  </si>
  <si>
    <t>Population Density</t>
  </si>
  <si>
    <t>Years</t>
  </si>
  <si>
    <t>Monthly Savings</t>
  </si>
  <si>
    <t>Start Identifier</t>
  </si>
  <si>
    <t>Multi</t>
  </si>
  <si>
    <t>SFR</t>
  </si>
  <si>
    <t>Multi (IO)</t>
  </si>
  <si>
    <t>Multi (PI)</t>
  </si>
  <si>
    <t>SFR (IO)</t>
  </si>
  <si>
    <t>SFR (PI)</t>
  </si>
  <si>
    <t>P&amp;I</t>
  </si>
  <si>
    <t>Optics</t>
  </si>
  <si>
    <t>Buy PX</t>
  </si>
  <si>
    <t>Monthly Insurance</t>
  </si>
  <si>
    <t>PITIA (Actual)</t>
  </si>
  <si>
    <t>IO Term Payment</t>
  </si>
  <si>
    <t>DSCR PMT</t>
  </si>
  <si>
    <t>Actual PMT</t>
  </si>
  <si>
    <t>DSCR Escrows</t>
  </si>
  <si>
    <t>Actual Escrows</t>
  </si>
  <si>
    <t>No Escrow</t>
  </si>
  <si>
    <t>Monthly Taxes</t>
  </si>
  <si>
    <t>Max DSCR Loan</t>
  </si>
  <si>
    <t>EXP</t>
  </si>
  <si>
    <t>GPR</t>
  </si>
  <si>
    <t>Adj. Rate</t>
  </si>
  <si>
    <t xml:space="preserve">Total Adj. </t>
  </si>
  <si>
    <t>New LTV Bucket</t>
  </si>
  <si>
    <t>(4) Max DSCR/LTV Loan</t>
  </si>
  <si>
    <t xml:space="preserve">Rate. Adj. </t>
  </si>
  <si>
    <t>Gross Monthly Income</t>
  </si>
  <si>
    <t>Income Analysis (5+ / Mixed)</t>
  </si>
  <si>
    <t>5+ Unit / Mixed</t>
  </si>
  <si>
    <t>Property Value</t>
  </si>
  <si>
    <t>Amort Period (Months)</t>
  </si>
  <si>
    <t>Amort Period (Years)</t>
  </si>
  <si>
    <t>IO Period</t>
  </si>
  <si>
    <t>Loan IO Period</t>
  </si>
  <si>
    <t>Loan Amort</t>
  </si>
  <si>
    <t>FICO Score</t>
  </si>
  <si>
    <t>Monthly HOA</t>
  </si>
  <si>
    <t>Monthly Flood</t>
  </si>
  <si>
    <t>Monthly HOI</t>
  </si>
  <si>
    <t>SFR / Multi</t>
  </si>
  <si>
    <t>Leasing Type (LTR/STR)</t>
  </si>
  <si>
    <t>Final Adj. Rate</t>
  </si>
  <si>
    <t>Rate Key</t>
  </si>
  <si>
    <t>Alt LTV Adj.</t>
  </si>
  <si>
    <t>Alt. Loan Amount</t>
  </si>
  <si>
    <t>(5) Max DSCR/LTV Loan</t>
  </si>
  <si>
    <t>(3) R/T Loan Size Adj.</t>
  </si>
  <si>
    <t>R/T Adj.</t>
  </si>
  <si>
    <t xml:space="preserve">(2) Loan Size Adj. </t>
  </si>
  <si>
    <t>Max LTV Loan</t>
  </si>
  <si>
    <t>Income Analysis (1-4)</t>
  </si>
  <si>
    <t>Loan Detail</t>
  </si>
  <si>
    <t>Max Loan Assessment</t>
  </si>
  <si>
    <t>Very Small</t>
  </si>
  <si>
    <t>Small</t>
  </si>
  <si>
    <t>Standard</t>
  </si>
  <si>
    <t>Top</t>
  </si>
  <si>
    <t>Market Size</t>
  </si>
  <si>
    <t>&lt;= $100,000,000</t>
  </si>
  <si>
    <t>&lt;= $2,000,000</t>
  </si>
  <si>
    <t>&lt;= $1,750,000</t>
  </si>
  <si>
    <t>&lt;= $1,500,000</t>
  </si>
  <si>
    <t>&lt;= $1,250,000</t>
  </si>
  <si>
    <t>&lt;= $1,000,000</t>
  </si>
  <si>
    <t>&lt;= $750,000</t>
  </si>
  <si>
    <t>&lt;= $500,000</t>
  </si>
  <si>
    <t>&lt;= $250,000</t>
  </si>
  <si>
    <t>&lt;= $150,000</t>
  </si>
  <si>
    <t>&lt;= $125,000</t>
  </si>
  <si>
    <t>&lt;= $100,000</t>
  </si>
  <si>
    <t>&lt;= 90</t>
  </si>
  <si>
    <t>&lt;= 85</t>
  </si>
  <si>
    <t>&lt;= $75,000</t>
  </si>
  <si>
    <t>Multifamily (5+) / Mixed-Use (Broker Adj.)</t>
  </si>
  <si>
    <t>&lt;= $50,000</t>
  </si>
  <si>
    <t>No PPP</t>
  </si>
  <si>
    <t>36 Months</t>
  </si>
  <si>
    <t>48 Months</t>
  </si>
  <si>
    <t>60 Months</t>
  </si>
  <si>
    <t>PPP Adjustments</t>
  </si>
  <si>
    <t>10Y IO</t>
  </si>
  <si>
    <t>7Y IO</t>
  </si>
  <si>
    <t>5Y IO</t>
  </si>
  <si>
    <t>No IO</t>
  </si>
  <si>
    <t>1-4 Family (w. Rebate)</t>
  </si>
  <si>
    <t>Interest-Only Period</t>
  </si>
  <si>
    <t>10/1 ARM</t>
  </si>
  <si>
    <t>7/1 ARM</t>
  </si>
  <si>
    <t>5/1 ARM</t>
  </si>
  <si>
    <t>3/1 ARM</t>
  </si>
  <si>
    <t>FRM</t>
  </si>
  <si>
    <t>Amortization Type</t>
  </si>
  <si>
    <t>40Y</t>
  </si>
  <si>
    <t>30Y (360 Months)</t>
  </si>
  <si>
    <t>15Y (180 Months)</t>
  </si>
  <si>
    <t>10Y</t>
  </si>
  <si>
    <t>LTR / STR Base Matrix</t>
  </si>
  <si>
    <t>5Y</t>
  </si>
  <si>
    <t>Multifamily (5+) / Mixed-Use</t>
  </si>
  <si>
    <t>Non-Warrantable Condo</t>
  </si>
  <si>
    <t>Multifamily (10+ Unit)</t>
  </si>
  <si>
    <t>Multifamily (5-9 Unit)</t>
  </si>
  <si>
    <t xml:space="preserve">1-4 Family </t>
  </si>
  <si>
    <t>5+ / Mixed Use LLPA</t>
  </si>
  <si>
    <t>1-4 Family LLPA</t>
  </si>
  <si>
    <t>5% | 4% | 3% | 2% | 1%</t>
  </si>
  <si>
    <t>5y (Dec.Pts)</t>
  </si>
  <si>
    <t>&lt;= 100</t>
  </si>
  <si>
    <t>5%|5%|5%...5%</t>
  </si>
  <si>
    <t>10y (5%)</t>
  </si>
  <si>
    <t>&lt;= $35,000</t>
  </si>
  <si>
    <t>&lt;= 95</t>
  </si>
  <si>
    <t>5% | 5% | 5% | 5% | 5% | 5% | 5%</t>
  </si>
  <si>
    <t>7y (5%)</t>
  </si>
  <si>
    <t>Exp/Vacancy %</t>
  </si>
  <si>
    <t>VPU Identifier</t>
  </si>
  <si>
    <t>5% | 5% | 5% | 5% | 5%</t>
  </si>
  <si>
    <t>5y (5%)</t>
  </si>
  <si>
    <t>5% | 5% | 5%</t>
  </si>
  <si>
    <t>3y (5%)</t>
  </si>
  <si>
    <t>Other</t>
  </si>
  <si>
    <t>2% | 1%</t>
  </si>
  <si>
    <t>Mixed-use</t>
  </si>
  <si>
    <t>3% | 2% | 1%</t>
  </si>
  <si>
    <t>4% | 3% | 2% | 1%</t>
  </si>
  <si>
    <t>Vacant (STR)</t>
  </si>
  <si>
    <t>Vacant (LTR)</t>
  </si>
  <si>
    <t>3Y IO</t>
  </si>
  <si>
    <t>5% | 5% | 4% | 3% | 2% | 1%</t>
  </si>
  <si>
    <t>72 Months</t>
  </si>
  <si>
    <t>Leased (STR)</t>
  </si>
  <si>
    <t>Bucket</t>
  </si>
  <si>
    <t>Min</t>
  </si>
  <si>
    <t>Sell Property</t>
  </si>
  <si>
    <t>Appraisal/Lock</t>
  </si>
  <si>
    <t>5% | 5% | 4% | 4% | 3% | 2% | 1%</t>
  </si>
  <si>
    <t>84 Months</t>
  </si>
  <si>
    <t>Leased (LTR)</t>
  </si>
  <si>
    <t>5+ / Mixed VPU</t>
  </si>
  <si>
    <t>Loan Balance Buckets</t>
  </si>
  <si>
    <t>FICO Buckets</t>
  </si>
  <si>
    <t>Refinance/Hold</t>
  </si>
  <si>
    <t>MultiRebate</t>
  </si>
  <si>
    <t>SFRRebate</t>
  </si>
  <si>
    <t>Quote</t>
  </si>
  <si>
    <t>PPP Definition</t>
  </si>
  <si>
    <t>MultiIO</t>
  </si>
  <si>
    <t>SFRIO</t>
  </si>
  <si>
    <t>MultiAmort</t>
  </si>
  <si>
    <t>SFRAmort</t>
  </si>
  <si>
    <t>MultiTerm</t>
  </si>
  <si>
    <t>SFRTerm</t>
  </si>
  <si>
    <t>Multi PPP</t>
  </si>
  <si>
    <t>SFR PPP</t>
  </si>
  <si>
    <t>X</t>
  </si>
  <si>
    <t>RT?</t>
  </si>
  <si>
    <t>IO PMT</t>
  </si>
  <si>
    <t>P&amp;I PMT</t>
  </si>
  <si>
    <t>Max Debt Serv</t>
  </si>
  <si>
    <t>Verified Rehab?</t>
  </si>
  <si>
    <t>Payoff Amount</t>
  </si>
  <si>
    <t>HOA</t>
  </si>
  <si>
    <t>Flood</t>
  </si>
  <si>
    <t>HOI</t>
  </si>
  <si>
    <t>Release Price</t>
  </si>
  <si>
    <t>DSCR Qual</t>
  </si>
  <si>
    <t>IO PITIA</t>
  </si>
  <si>
    <t>Escrows</t>
  </si>
  <si>
    <t>Final Allocated Loan Amount</t>
  </si>
  <si>
    <t>Max DSCR Loan (if constrained)</t>
  </si>
  <si>
    <t>Max Loan (LTV/RT)</t>
  </si>
  <si>
    <t>Req. Loan Amount</t>
  </si>
  <si>
    <t>Min DSCR</t>
  </si>
  <si>
    <t>Unit 4</t>
  </si>
  <si>
    <t>Unit 3</t>
  </si>
  <si>
    <t>Unit 2</t>
  </si>
  <si>
    <t>Unit 1</t>
  </si>
  <si>
    <t>Property Acquisition/Value Details</t>
  </si>
  <si>
    <t>Property Info</t>
  </si>
  <si>
    <t>Total Assets to Verify</t>
  </si>
  <si>
    <t>Est. T&amp;I Escrow</t>
  </si>
  <si>
    <t>Verified Debt Service</t>
  </si>
  <si>
    <t>Down PMT I Closing Costs</t>
  </si>
  <si>
    <t>PITIA (Post IO)</t>
  </si>
  <si>
    <t>ITIA PMT</t>
  </si>
  <si>
    <t>Total Points</t>
  </si>
  <si>
    <t>Final Pricing</t>
  </si>
  <si>
    <t>Yrs. To Repay Buydown</t>
  </si>
  <si>
    <t>IO Term PMT</t>
  </si>
  <si>
    <t>RCN Portfolio DSCR Sizer</t>
  </si>
  <si>
    <t>LTR</t>
  </si>
  <si>
    <t>Port Adj.</t>
  </si>
  <si>
    <t>Single Asset</t>
  </si>
  <si>
    <t>Pricing Options (Max Proceeds)</t>
  </si>
  <si>
    <t>x</t>
  </si>
  <si>
    <t>Operating Expenses</t>
  </si>
  <si>
    <t>Gross Potential Rent(s)</t>
  </si>
  <si>
    <t>Actual</t>
  </si>
  <si>
    <t>Purchase Date</t>
  </si>
  <si>
    <t>PITIA / ITIA</t>
  </si>
  <si>
    <t>Max Loan (DSCR)</t>
  </si>
  <si>
    <t>Max Loan (RT Adj.)</t>
  </si>
  <si>
    <t>5+ Unit (Annual)</t>
  </si>
  <si>
    <t>Unit 4 (Monthly)</t>
  </si>
  <si>
    <t>Unit 3 (Monthly)</t>
  </si>
  <si>
    <t>Unit 2 (Monthly)</t>
  </si>
  <si>
    <t>Unit 1 (Monthly)</t>
  </si>
  <si>
    <t>Final Allocated Loan Calcs</t>
  </si>
  <si>
    <t>Req. Loan Calcs</t>
  </si>
  <si>
    <t>Annual Expenses</t>
  </si>
  <si>
    <t>Property Income Summary</t>
  </si>
  <si>
    <t>Annual Property Expenses</t>
  </si>
  <si>
    <t>Property Acquisition / Value Details</t>
  </si>
  <si>
    <t>Total Assets</t>
  </si>
  <si>
    <t>DSCR PMT Calc</t>
  </si>
  <si>
    <t>Debt Service</t>
  </si>
  <si>
    <t>Closing Costs</t>
  </si>
  <si>
    <t>T&amp;I PMT</t>
  </si>
  <si>
    <t>Down PMT</t>
  </si>
  <si>
    <t>P&amp;I / IO</t>
  </si>
  <si>
    <t>Final Pricing Details</t>
  </si>
  <si>
    <t>Rebate</t>
  </si>
  <si>
    <t>10y Swap</t>
  </si>
  <si>
    <t>Prepay Penalty</t>
  </si>
  <si>
    <t>7Y Swap</t>
  </si>
  <si>
    <t>Interest-Only?</t>
  </si>
  <si>
    <t>5Y Swap</t>
  </si>
  <si>
    <t>Yrs to Repay</t>
  </si>
  <si>
    <t>Balloon Term</t>
  </si>
  <si>
    <t>3y Swap</t>
  </si>
  <si>
    <t>Alt. LTVs</t>
  </si>
  <si>
    <t>Loan Term Options</t>
  </si>
  <si>
    <t>Swap Data</t>
  </si>
  <si>
    <t>RCN Investor Rental Portfolio ("IRP") Sizer</t>
  </si>
  <si>
    <t>RCN Pts</t>
  </si>
  <si>
    <t>Buydown Calculator</t>
  </si>
  <si>
    <t>--&gt; 1</t>
  </si>
  <si>
    <t>DSCR Escrow</t>
  </si>
  <si>
    <t>PMT Escrow</t>
  </si>
  <si>
    <t>Proceeds Calc</t>
  </si>
  <si>
    <t xml:space="preserve">PX. Adj. </t>
  </si>
  <si>
    <t>Pts</t>
  </si>
  <si>
    <t>Avg. Property Value</t>
  </si>
  <si>
    <t>Interest Only</t>
  </si>
  <si>
    <t>Loan Amount (2; RT Adj.)</t>
  </si>
  <si>
    <t>Loan Amount (1)</t>
  </si>
  <si>
    <t>Monthly CapEx</t>
  </si>
  <si>
    <t>Income/DSCR Analysis</t>
  </si>
  <si>
    <t>PPP Selection</t>
  </si>
  <si>
    <t>Adj. Portfolio LTVs</t>
  </si>
  <si>
    <t>Cost Basis (Total)</t>
  </si>
  <si>
    <t>Completed Rehab (Total)</t>
  </si>
  <si>
    <t>Purchase Price (Total)</t>
  </si>
  <si>
    <t>VPP Bucket</t>
  </si>
  <si>
    <t>Value (Average)</t>
  </si>
  <si>
    <t>Value (Total)</t>
  </si>
  <si>
    <t xml:space="preserve">Rate Adj. </t>
  </si>
  <si>
    <t>Key</t>
  </si>
  <si>
    <t>--&gt; 5</t>
  </si>
  <si>
    <t>--&gt; 4</t>
  </si>
  <si>
    <t>DSCR Min</t>
  </si>
  <si>
    <t>Adjusted Rate</t>
  </si>
  <si>
    <t>Max DSCR/LTR Loan</t>
  </si>
  <si>
    <t>--&gt; 3</t>
  </si>
  <si>
    <t>--&gt; 2</t>
  </si>
  <si>
    <t>Max Loan (2; RT)</t>
  </si>
  <si>
    <t>Max Loan (1)</t>
  </si>
  <si>
    <t>Base Portfolio LTVs</t>
  </si>
  <si>
    <t>(PLACEHOLDER)</t>
  </si>
  <si>
    <t>10Y (120M)</t>
  </si>
  <si>
    <t>MULTI</t>
  </si>
  <si>
    <t>Flat PPP (5%)</t>
  </si>
  <si>
    <t>Reduced YM (8Y)</t>
  </si>
  <si>
    <t>YM (10Y)</t>
  </si>
  <si>
    <t>Reduced DP (7Y)</t>
  </si>
  <si>
    <t>DP (10Y)</t>
  </si>
  <si>
    <t>Reduced YM (5Y)</t>
  </si>
  <si>
    <t>7Y (84M)</t>
  </si>
  <si>
    <t>YM (7Y)</t>
  </si>
  <si>
    <t>Reduced DP (5Y)</t>
  </si>
  <si>
    <t>DP (7Y)</t>
  </si>
  <si>
    <t>Reduced YM (3Y)</t>
  </si>
  <si>
    <t>30Y (360M)</t>
  </si>
  <si>
    <t>YM (5Y)</t>
  </si>
  <si>
    <t>Reduced DP (3Y)</t>
  </si>
  <si>
    <t>DP (5Y)</t>
  </si>
  <si>
    <t>5Y (60M)</t>
  </si>
  <si>
    <t>YM (3Y)</t>
  </si>
  <si>
    <t>3Y (36M)</t>
  </si>
  <si>
    <t>DP (3Y)</t>
  </si>
  <si>
    <t>BuyDown</t>
  </si>
  <si>
    <t>Term IO</t>
  </si>
  <si>
    <t>Rebate (BuyUp)</t>
  </si>
  <si>
    <t>&lt; $250k</t>
  </si>
  <si>
    <t>&lt; $150k</t>
  </si>
  <si>
    <t>&lt; $100k</t>
  </si>
  <si>
    <t>LLPA</t>
  </si>
  <si>
    <t>LLPAs</t>
  </si>
  <si>
    <t>Base Rates</t>
  </si>
  <si>
    <t>Portfolio</t>
  </si>
  <si>
    <t>Swap Rates</t>
  </si>
  <si>
    <t xml:space="preserve">5% | 5% | 5% | 5% | 5% | 5% | 5% | 5% | 5% | 5% </t>
  </si>
  <si>
    <t>8Y Yield Maintenance</t>
  </si>
  <si>
    <t>10Y Yield Maintenance</t>
  </si>
  <si>
    <t>5% | 4% | 3% | 2% | 1% | 1% | 1%</t>
  </si>
  <si>
    <t>5% | 4% | 3% | 2% | 1% | 1% … | 1%</t>
  </si>
  <si>
    <t>5Y Yield Maintenance</t>
  </si>
  <si>
    <t>7Y Yield Maintenance</t>
  </si>
  <si>
    <t>3Y Yield Maintenance</t>
  </si>
  <si>
    <t>Rebate10Y</t>
  </si>
  <si>
    <t>Rebate7Y</t>
  </si>
  <si>
    <t>Rebate5Y</t>
  </si>
  <si>
    <t>Rebate3Y</t>
  </si>
  <si>
    <t>PPP Definitions</t>
  </si>
  <si>
    <t>PPP10Y</t>
  </si>
  <si>
    <t>PPP7Y</t>
  </si>
  <si>
    <t>PPP5Y</t>
  </si>
  <si>
    <t>PPP3Y</t>
  </si>
  <si>
    <t>IRPTerm</t>
  </si>
  <si>
    <t>LoanType</t>
  </si>
  <si>
    <t>PropType</t>
  </si>
  <si>
    <t>LTVBucket</t>
  </si>
  <si>
    <t>Pricing Options (Alt LTVs)</t>
  </si>
  <si>
    <r>
      <t xml:space="preserve">IO Term PMT </t>
    </r>
    <r>
      <rPr>
        <b/>
        <vertAlign val="superscript"/>
        <sz val="10"/>
        <color theme="0"/>
        <rFont val="Calibri"/>
        <family val="2"/>
        <scheme val="minor"/>
      </rPr>
      <t>(1)</t>
    </r>
  </si>
  <si>
    <r>
      <t xml:space="preserve">PITIA </t>
    </r>
    <r>
      <rPr>
        <b/>
        <vertAlign val="superscript"/>
        <sz val="10"/>
        <color theme="0"/>
        <rFont val="Calibri"/>
        <family val="2"/>
        <scheme val="minor"/>
      </rPr>
      <t>(2)</t>
    </r>
  </si>
  <si>
    <r>
      <t xml:space="preserve">DSCR </t>
    </r>
    <r>
      <rPr>
        <b/>
        <vertAlign val="superscript"/>
        <sz val="10"/>
        <color theme="0"/>
        <rFont val="Calibri"/>
        <family val="2"/>
        <scheme val="minor"/>
      </rPr>
      <t>(3)</t>
    </r>
  </si>
  <si>
    <t>ZORI</t>
  </si>
  <si>
    <t>Concat</t>
  </si>
  <si>
    <t>Fort Worth, TX</t>
  </si>
  <si>
    <t>Mesa, AZ</t>
  </si>
  <si>
    <t>Long Beach, CA</t>
  </si>
  <si>
    <t>Aurora, CO</t>
  </si>
  <si>
    <t>Honolulu, HI</t>
  </si>
  <si>
    <t>Arlington, TX</t>
  </si>
  <si>
    <t>Anaheim, CA</t>
  </si>
  <si>
    <t>Santa Ana, CA</t>
  </si>
  <si>
    <t>Vancouver, WA</t>
  </si>
  <si>
    <t>Marietta, GA</t>
  </si>
  <si>
    <t>Silver Spring, MD</t>
  </si>
  <si>
    <t>Saint Louis, MO</t>
  </si>
  <si>
    <t>Saint Paul, MN</t>
  </si>
  <si>
    <t>Henderson, NV</t>
  </si>
  <si>
    <t>Saint Petersburg, FL</t>
  </si>
  <si>
    <t>Plano, TX</t>
  </si>
  <si>
    <t>Chandler, AZ</t>
  </si>
  <si>
    <t>Jersey City, NJ</t>
  </si>
  <si>
    <t>Lawrenceville, GA</t>
  </si>
  <si>
    <t>Chula Vista, CA</t>
  </si>
  <si>
    <t>San Bernardino, CA</t>
  </si>
  <si>
    <t>Glendale, AZ</t>
  </si>
  <si>
    <t>Irvine, CA</t>
  </si>
  <si>
    <t>Boise, ID</t>
  </si>
  <si>
    <t>Fort Myers, FL</t>
  </si>
  <si>
    <t>Hialeah, FL</t>
  </si>
  <si>
    <t>Spring, TX</t>
  </si>
  <si>
    <t>Scottsdale, AZ</t>
  </si>
  <si>
    <t>Gilbert, AZ</t>
  </si>
  <si>
    <t>Sarasota, FL</t>
  </si>
  <si>
    <t>Norfolk, VA</t>
  </si>
  <si>
    <t>North Las Vegas, NV</t>
  </si>
  <si>
    <t>Chesapeake, VA</t>
  </si>
  <si>
    <t>Fremont, CA</t>
  </si>
  <si>
    <t>Irving, TX</t>
  </si>
  <si>
    <t>Garland, TX</t>
  </si>
  <si>
    <t>Arlington, VA</t>
  </si>
  <si>
    <t>Fontana, CA</t>
  </si>
  <si>
    <t>Bradenton, FL</t>
  </si>
  <si>
    <t>Santa Clarita, CA</t>
  </si>
  <si>
    <t>Boca Raton, FL</t>
  </si>
  <si>
    <t>Corona, CA</t>
  </si>
  <si>
    <t>Woodbridge, VA</t>
  </si>
  <si>
    <t>Tacoma, WA</t>
  </si>
  <si>
    <t>Oceanside, CA</t>
  </si>
  <si>
    <t>Port Saint Lucie, FL</t>
  </si>
  <si>
    <t>Alexandria, VA</t>
  </si>
  <si>
    <t>Aurora, IL</t>
  </si>
  <si>
    <t>Moreno Valley, CA</t>
  </si>
  <si>
    <t>Glendale, CA</t>
  </si>
  <si>
    <t>Yonkers, NY</t>
  </si>
  <si>
    <t>Huntington Beach, CA</t>
  </si>
  <si>
    <t>Kissimmee, FL</t>
  </si>
  <si>
    <t>Murfreesboro, TN</t>
  </si>
  <si>
    <t>Hayward, CA</t>
  </si>
  <si>
    <t>Beaverton, OR</t>
  </si>
  <si>
    <t>Overland Park, KS</t>
  </si>
  <si>
    <t>McKinney, TX</t>
  </si>
  <si>
    <t>Whittier, CA</t>
  </si>
  <si>
    <t>Grand Prairie, TX</t>
  </si>
  <si>
    <t>Tempe, AZ</t>
  </si>
  <si>
    <t>Ontario, CA</t>
  </si>
  <si>
    <t>Lancaster, CA</t>
  </si>
  <si>
    <t>Fort Lauderdale, FL</t>
  </si>
  <si>
    <t>Fredericksburg, VA</t>
  </si>
  <si>
    <t>Frisco, TX</t>
  </si>
  <si>
    <t>Escondido, CA</t>
  </si>
  <si>
    <t>Garden Grove, CA</t>
  </si>
  <si>
    <t>Cypress, TX</t>
  </si>
  <si>
    <t>Rancho Cucamonga, CA</t>
  </si>
  <si>
    <t>Peoria, AZ</t>
  </si>
  <si>
    <t>Sugar Land, TX</t>
  </si>
  <si>
    <t>Palmdale, CA</t>
  </si>
  <si>
    <t>Cumming, GA</t>
  </si>
  <si>
    <t>Elk Grove, CA</t>
  </si>
  <si>
    <t>Edmond, OK</t>
  </si>
  <si>
    <t>El Cajon, CA</t>
  </si>
  <si>
    <t>Boynton Beach, FL</t>
  </si>
  <si>
    <t>Henrico, VA</t>
  </si>
  <si>
    <t>Newport News, VA</t>
  </si>
  <si>
    <t>Naperville, IL</t>
  </si>
  <si>
    <t>Conroe, TX</t>
  </si>
  <si>
    <t>Fairfax, VA</t>
  </si>
  <si>
    <t>Pembroke Pines, FL</t>
  </si>
  <si>
    <t>Round Rock, TX</t>
  </si>
  <si>
    <t>Lakewood, CO</t>
  </si>
  <si>
    <t>Edinburg, TX</t>
  </si>
  <si>
    <t>Cary, NC</t>
  </si>
  <si>
    <t>Schenectady, NY</t>
  </si>
  <si>
    <t>Hollywood, FL</t>
  </si>
  <si>
    <t>Sunnyvale, CA</t>
  </si>
  <si>
    <t>Kansas City, KS</t>
  </si>
  <si>
    <t>Clearwater, FL</t>
  </si>
  <si>
    <t>Pomona, CA</t>
  </si>
  <si>
    <t>Pasadena, TX</t>
  </si>
  <si>
    <t>Homestead, FL</t>
  </si>
  <si>
    <t>Renton, WA</t>
  </si>
  <si>
    <t>Newark, DE</t>
  </si>
  <si>
    <t>Pasadena, CA</t>
  </si>
  <si>
    <t>Torrance, CA</t>
  </si>
  <si>
    <t>Kent, WA</t>
  </si>
  <si>
    <t>Bellevue, WA</t>
  </si>
  <si>
    <t>Mesquite, TX</t>
  </si>
  <si>
    <t>Decatur, GA</t>
  </si>
  <si>
    <t>Thornton, CO</t>
  </si>
  <si>
    <t>Everett, WA</t>
  </si>
  <si>
    <t>Miramar, FL</t>
  </si>
  <si>
    <t>Olathe, KS</t>
  </si>
  <si>
    <t>Fullerton, CA</t>
  </si>
  <si>
    <t>Metairie, LA</t>
  </si>
  <si>
    <t>Pearland, TX</t>
  </si>
  <si>
    <t>Orange, CA</t>
  </si>
  <si>
    <t>Concord, CA</t>
  </si>
  <si>
    <t>Compton, CA</t>
  </si>
  <si>
    <t>Carrollton, TX</t>
  </si>
  <si>
    <t>Surprise, AZ</t>
  </si>
  <si>
    <t>West Valley City, UT</t>
  </si>
  <si>
    <t>Hampton, VA</t>
  </si>
  <si>
    <t>Warren, MI</t>
  </si>
  <si>
    <t>Inglewood, CA</t>
  </si>
  <si>
    <t>West Palm Beach, FL</t>
  </si>
  <si>
    <t>Denton, TX</t>
  </si>
  <si>
    <t>Coral Springs, FL</t>
  </si>
  <si>
    <t>Sterling Heights, MI</t>
  </si>
  <si>
    <t>Roseville, CA</t>
  </si>
  <si>
    <t>Murrieta, CA</t>
  </si>
  <si>
    <t>Frederick, MD</t>
  </si>
  <si>
    <t>Summerville, SC</t>
  </si>
  <si>
    <t>Victorville, CA</t>
  </si>
  <si>
    <t>Hamilton, OH</t>
  </si>
  <si>
    <t>Temecula, CA</t>
  </si>
  <si>
    <t>Stamford, CT</t>
  </si>
  <si>
    <t>Melbourne, FL</t>
  </si>
  <si>
    <t>Concord, NC</t>
  </si>
  <si>
    <t>Saint Augustine, FL</t>
  </si>
  <si>
    <t>Simi Valley, CA</t>
  </si>
  <si>
    <t>Hemet, CA</t>
  </si>
  <si>
    <t>Thousand Oaks, CA</t>
  </si>
  <si>
    <t>Santa Clara, CA</t>
  </si>
  <si>
    <t>Elizabeth, NJ</t>
  </si>
  <si>
    <t>Nampa, ID</t>
  </si>
  <si>
    <t>Clovis, CA</t>
  </si>
  <si>
    <t>Wilmington, DE</t>
  </si>
  <si>
    <t>Joliet, IL</t>
  </si>
  <si>
    <t>Norman, OK</t>
  </si>
  <si>
    <t>Elgin, IL</t>
  </si>
  <si>
    <t>Vista, CA</t>
  </si>
  <si>
    <t>Stone Mountain, GA</t>
  </si>
  <si>
    <t>Tracy, CA</t>
  </si>
  <si>
    <t>Broken Arrow, OK</t>
  </si>
  <si>
    <t>Largo, FL</t>
  </si>
  <si>
    <t>Berkeley, CA</t>
  </si>
  <si>
    <t>Sparks, NV</t>
  </si>
  <si>
    <t>Arvada, CO</t>
  </si>
  <si>
    <t>Riverview, FL</t>
  </si>
  <si>
    <t>East Los Angeles, CA</t>
  </si>
  <si>
    <t>Manassas, VA</t>
  </si>
  <si>
    <t>Falls Church, VA</t>
  </si>
  <si>
    <t>Richmond, CA</t>
  </si>
  <si>
    <t>Westminster, CO</t>
  </si>
  <si>
    <t>Richmond, TX</t>
  </si>
  <si>
    <t>New Port Richey, FL</t>
  </si>
  <si>
    <t>Delray Beach, FL</t>
  </si>
  <si>
    <t>Bethlehem, PA</t>
  </si>
  <si>
    <t>Independence, MO</t>
  </si>
  <si>
    <t>Toms River, NJ</t>
  </si>
  <si>
    <t>Costa Mesa, CA</t>
  </si>
  <si>
    <t>Lewisville, TX</t>
  </si>
  <si>
    <t>Cambridge, MA</t>
  </si>
  <si>
    <t>Lehigh Acres, FL</t>
  </si>
  <si>
    <t>Gresham, OR</t>
  </si>
  <si>
    <t>El Monte, CA</t>
  </si>
  <si>
    <t>Rock Hill, SC</t>
  </si>
  <si>
    <t>Hillsboro, OR</t>
  </si>
  <si>
    <t>Santa Barbara, CA</t>
  </si>
  <si>
    <t>Richardson, TX</t>
  </si>
  <si>
    <t>Vero Beach, FL</t>
  </si>
  <si>
    <t>Miami Gardens, FL</t>
  </si>
  <si>
    <t>Laurel, MD</t>
  </si>
  <si>
    <t>Ventura, CA</t>
  </si>
  <si>
    <t>Douglasville, GA</t>
  </si>
  <si>
    <t>West Jordan, UT</t>
  </si>
  <si>
    <t>Downey, CA</t>
  </si>
  <si>
    <t>North Charleston, SC</t>
  </si>
  <si>
    <t>Franklin, TN</t>
  </si>
  <si>
    <t>Lowell, MA</t>
  </si>
  <si>
    <t>Carlsbad, CA</t>
  </si>
  <si>
    <t>Centennial, CO</t>
  </si>
  <si>
    <t>Meridian, ID</t>
  </si>
  <si>
    <t>High Point, NC</t>
  </si>
  <si>
    <t>New Braunfels, TX</t>
  </si>
  <si>
    <t>Perris, CA</t>
  </si>
  <si>
    <t>Fairfield, CA</t>
  </si>
  <si>
    <t>San Leandro, CA</t>
  </si>
  <si>
    <t>West Covina, CA</t>
  </si>
  <si>
    <t>Pompano Beach, FL</t>
  </si>
  <si>
    <t>Antioch, CA</t>
  </si>
  <si>
    <t>Springfield, VA</t>
  </si>
  <si>
    <t>Jurupa Valley, CA</t>
  </si>
  <si>
    <t>Waterbury, CT</t>
  </si>
  <si>
    <t>Lexington, SC</t>
  </si>
  <si>
    <t>The Woodlands, TX</t>
  </si>
  <si>
    <t>Daly City, CA</t>
  </si>
  <si>
    <t>Vacaville, CA</t>
  </si>
  <si>
    <t>Sandy Springs, GA</t>
  </si>
  <si>
    <t>League City, TX</t>
  </si>
  <si>
    <t>West Chester, PA</t>
  </si>
  <si>
    <t>Norwalk, CA</t>
  </si>
  <si>
    <t>Davie, FL</t>
  </si>
  <si>
    <t>Gaithersburg, MD</t>
  </si>
  <si>
    <t>Hesperia, CA</t>
  </si>
  <si>
    <t>Bothell, WA</t>
  </si>
  <si>
    <t>Chapel Hill, NC</t>
  </si>
  <si>
    <t>San Mateo, CA</t>
  </si>
  <si>
    <t>Spring Hill, FL</t>
  </si>
  <si>
    <t>Georgetown, TX</t>
  </si>
  <si>
    <t>Lynnwood, WA</t>
  </si>
  <si>
    <t>Burbank, CA</t>
  </si>
  <si>
    <t>Roswell, GA</t>
  </si>
  <si>
    <t>Rialto, CA</t>
  </si>
  <si>
    <t>Lakewood, NJ</t>
  </si>
  <si>
    <t>Woodstock, GA</t>
  </si>
  <si>
    <t>Livermore, CA</t>
  </si>
  <si>
    <t>Kennesaw, GA</t>
  </si>
  <si>
    <t>McDonough, GA</t>
  </si>
  <si>
    <t>Apopka, FL</t>
  </si>
  <si>
    <t>Edison, NJ</t>
  </si>
  <si>
    <t>Clinton, MI</t>
  </si>
  <si>
    <t>Redwood City, CA</t>
  </si>
  <si>
    <t>Winter Haven, FL</t>
  </si>
  <si>
    <t>Columbia, MD</t>
  </si>
  <si>
    <t>Rio Rancho, NM</t>
  </si>
  <si>
    <t>Bryan, TX</t>
  </si>
  <si>
    <t>Auburn, WA</t>
  </si>
  <si>
    <t>Ashburn, VA</t>
  </si>
  <si>
    <t>Allen, TX</t>
  </si>
  <si>
    <t>Lithonia, GA</t>
  </si>
  <si>
    <t>Sandy, UT</t>
  </si>
  <si>
    <t>Carmel, IN</t>
  </si>
  <si>
    <t>Sterling, VA</t>
  </si>
  <si>
    <t>Federal Way, WA</t>
  </si>
  <si>
    <t>Menifee, CA</t>
  </si>
  <si>
    <t>Anderson, SC</t>
  </si>
  <si>
    <t>Highlands Ranch, CO</t>
  </si>
  <si>
    <t>Indio, CA</t>
  </si>
  <si>
    <t>Midlothian, VA</t>
  </si>
  <si>
    <t>Kenosha, WI</t>
  </si>
  <si>
    <t>Hawthorne, CA</t>
  </si>
  <si>
    <t>South Gate, CA</t>
  </si>
  <si>
    <t>Newnan, GA</t>
  </si>
  <si>
    <t>Loveland, CO</t>
  </si>
  <si>
    <t>Brockton, MA</t>
  </si>
  <si>
    <t>Missouri City, TX</t>
  </si>
  <si>
    <t>Annapolis, MD</t>
  </si>
  <si>
    <t>Plantation, FL</t>
  </si>
  <si>
    <t>San Marcos, CA</t>
  </si>
  <si>
    <t>Plainfield, IL</t>
  </si>
  <si>
    <t>Acworth, GA</t>
  </si>
  <si>
    <t>Mission Viejo, CA</t>
  </si>
  <si>
    <t>Parker, CO</t>
  </si>
  <si>
    <t>Orem, UT</t>
  </si>
  <si>
    <t>Dearborn, MI</t>
  </si>
  <si>
    <t>Portsmouth, VA</t>
  </si>
  <si>
    <t>Pflugerville, TX</t>
  </si>
  <si>
    <t>Leesburg, VA</t>
  </si>
  <si>
    <t>Livonia, MI</t>
  </si>
  <si>
    <t>Lees Summit, MO</t>
  </si>
  <si>
    <t>Redmond, WA</t>
  </si>
  <si>
    <t>Sunrise, FL</t>
  </si>
  <si>
    <t>Chino, CA</t>
  </si>
  <si>
    <t>Covington, GA</t>
  </si>
  <si>
    <t>New Bedford, MA</t>
  </si>
  <si>
    <t>Pittsburg, CA</t>
  </si>
  <si>
    <t>Williamsburg, VA</t>
  </si>
  <si>
    <t>Arden-Arcade, CA</t>
  </si>
  <si>
    <t>San Tan Valley, AZ</t>
  </si>
  <si>
    <t>Fort Pierce, FL</t>
  </si>
  <si>
    <t>Canton, MI</t>
  </si>
  <si>
    <t>Lynn, MA</t>
  </si>
  <si>
    <t>Santa Monica, CA</t>
  </si>
  <si>
    <t>Dallas, GA</t>
  </si>
  <si>
    <t>Westminster, CA</t>
  </si>
  <si>
    <t>Herndon, VA</t>
  </si>
  <si>
    <t>Simpsonville, SC</t>
  </si>
  <si>
    <t>Suffolk, VA</t>
  </si>
  <si>
    <t>Port Charlotte, FL</t>
  </si>
  <si>
    <t>Macomb, MI</t>
  </si>
  <si>
    <t>Canton, GA</t>
  </si>
  <si>
    <t>Miami Beach, FL</t>
  </si>
  <si>
    <t>Spokane Valley, WA</t>
  </si>
  <si>
    <t>Bowie, MD</t>
  </si>
  <si>
    <t>Germantown, MD</t>
  </si>
  <si>
    <t>Newton, MA</t>
  </si>
  <si>
    <t>Brandon, FL</t>
  </si>
  <si>
    <t>Walnut Creek, CA</t>
  </si>
  <si>
    <t>Waukegan, IL</t>
  </si>
  <si>
    <t>Nashua, NH</t>
  </si>
  <si>
    <t>Sanford, FL</t>
  </si>
  <si>
    <t>Tomball, TX</t>
  </si>
  <si>
    <t>Fall River, MA</t>
  </si>
  <si>
    <t>Mount Pleasant, SC</t>
  </si>
  <si>
    <t>Palm Coast, FL</t>
  </si>
  <si>
    <t>Apex, NC</t>
  </si>
  <si>
    <t>Longmont, CO</t>
  </si>
  <si>
    <t>Conyers, GA</t>
  </si>
  <si>
    <t>Saint George, UT</t>
  </si>
  <si>
    <t>Manteca, CA</t>
  </si>
  <si>
    <t>Fort Mill, SC</t>
  </si>
  <si>
    <t>Glen Burnie, MD</t>
  </si>
  <si>
    <t>Citrus Heights, CA</t>
  </si>
  <si>
    <t>Duluth, GA</t>
  </si>
  <si>
    <t>Ellicott City, MD</t>
  </si>
  <si>
    <t>Newport Beach, CA</t>
  </si>
  <si>
    <t>Conway, AR</t>
  </si>
  <si>
    <t>Easton, PA</t>
  </si>
  <si>
    <t>Bloomington, MN</t>
  </si>
  <si>
    <t>Fishers, IN</t>
  </si>
  <si>
    <t>Town 'n' Country, FL</t>
  </si>
  <si>
    <t>Stafford, VA</t>
  </si>
  <si>
    <t>Clifton, NJ</t>
  </si>
  <si>
    <t>Gastonia, NC</t>
  </si>
  <si>
    <t>Kirkland, WA</t>
  </si>
  <si>
    <t>Alhambra, CA</t>
  </si>
  <si>
    <t>Danbury, CT</t>
  </si>
  <si>
    <t>Troy, MI</t>
  </si>
  <si>
    <t>Greer, SC</t>
  </si>
  <si>
    <t>Norwalk, CT</t>
  </si>
  <si>
    <t>Buena Park, CA</t>
  </si>
  <si>
    <t>Johns Creek, GA</t>
  </si>
  <si>
    <t>Smyrna, GA</t>
  </si>
  <si>
    <t>Watsonville, CA</t>
  </si>
  <si>
    <t>Oviedo, FL</t>
  </si>
  <si>
    <t>Waldorf, MD</t>
  </si>
  <si>
    <t>Atascocita, TX</t>
  </si>
  <si>
    <t>Apple Valley, CA</t>
  </si>
  <si>
    <t>Quincy, MA</t>
  </si>
  <si>
    <t>Camarillo, CA</t>
  </si>
  <si>
    <t>Cicero, IL</t>
  </si>
  <si>
    <t>Mountain View, CA</t>
  </si>
  <si>
    <t>Westland, MI</t>
  </si>
  <si>
    <t>Greenwood, IN</t>
  </si>
  <si>
    <t>Des Plaines, IL</t>
  </si>
  <si>
    <t>Slidell, LA</t>
  </si>
  <si>
    <t>Cranston, RI</t>
  </si>
  <si>
    <t>Turlock, CA</t>
  </si>
  <si>
    <t>Arlington Heights, IL</t>
  </si>
  <si>
    <t>Tustin, CA</t>
  </si>
  <si>
    <t>Farmington Hills, MI</t>
  </si>
  <si>
    <t>Valparaiso, IN</t>
  </si>
  <si>
    <t>Plant City, FL</t>
  </si>
  <si>
    <t>Denham Springs, LA</t>
  </si>
  <si>
    <t>Saint Cloud, FL</t>
  </si>
  <si>
    <t>Milpitas, CA</t>
  </si>
  <si>
    <t>Maryville, TN</t>
  </si>
  <si>
    <t>Noblesville, IN</t>
  </si>
  <si>
    <t>Upland, CA</t>
  </si>
  <si>
    <t>Avondale, AZ</t>
  </si>
  <si>
    <t>Pasco, WA</t>
  </si>
  <si>
    <t>Springdale, AR</t>
  </si>
  <si>
    <t>Brooklyn Park, MN</t>
  </si>
  <si>
    <t>Rancho Cordova, CA</t>
  </si>
  <si>
    <t>Lexington, NC</t>
  </si>
  <si>
    <t>Somerville, MA</t>
  </si>
  <si>
    <t>Jupiter, FL</t>
  </si>
  <si>
    <t>Lodi, CA</t>
  </si>
  <si>
    <t>Schaumburg, IL</t>
  </si>
  <si>
    <t>Snellville, GA</t>
  </si>
  <si>
    <t>Covina, CA</t>
  </si>
  <si>
    <t>Mission, TX</t>
  </si>
  <si>
    <t>Goodyear, AZ</t>
  </si>
  <si>
    <t>Temple, TX</t>
  </si>
  <si>
    <t>Lakewood, CA</t>
  </si>
  <si>
    <t>Shelby, MI</t>
  </si>
  <si>
    <t>Parma, OH</t>
  </si>
  <si>
    <t>Lawrence, MA</t>
  </si>
  <si>
    <t>Hoover, AL</t>
  </si>
  <si>
    <t>Spring Valley, CA</t>
  </si>
  <si>
    <t>Gary, IN</t>
  </si>
  <si>
    <t>Carson, CA</t>
  </si>
  <si>
    <t>Folsom, CA</t>
  </si>
  <si>
    <t>Saint Charles, MO</t>
  </si>
  <si>
    <t>Porterville, CA</t>
  </si>
  <si>
    <t>Saint Joseph, MO</t>
  </si>
  <si>
    <t>Evanston, IL</t>
  </si>
  <si>
    <t>Marysville, WA</t>
  </si>
  <si>
    <t>Brandon, MS</t>
  </si>
  <si>
    <t>Deerfield Beach, FL</t>
  </si>
  <si>
    <t>Mooresville, NC</t>
  </si>
  <si>
    <t>Plymouth, MN</t>
  </si>
  <si>
    <t>Norcross, GA</t>
  </si>
  <si>
    <t>San Ramon, CA</t>
  </si>
  <si>
    <t>Suwanee, GA</t>
  </si>
  <si>
    <t>Pharr, TX</t>
  </si>
  <si>
    <t>San Marcos, TX</t>
  </si>
  <si>
    <t>Pleasanton, CA</t>
  </si>
  <si>
    <t>Winter Park, FL</t>
  </si>
  <si>
    <t>Redlands, CA</t>
  </si>
  <si>
    <t>Bellflower, CA</t>
  </si>
  <si>
    <t>Lake Forest, CA</t>
  </si>
  <si>
    <t>Lake Elsinore, CA</t>
  </si>
  <si>
    <t>O Fallon, MO</t>
  </si>
  <si>
    <t>Springfield, OR</t>
  </si>
  <si>
    <t>Rogers, AR</t>
  </si>
  <si>
    <t>Wake Forest, NC</t>
  </si>
  <si>
    <t>West Lafayette, IN</t>
  </si>
  <si>
    <t>Alpharetta, GA</t>
  </si>
  <si>
    <t>Salisbury, NC</t>
  </si>
  <si>
    <t>Flower Mound, TX</t>
  </si>
  <si>
    <t>Baldwin Park, CA</t>
  </si>
  <si>
    <t>Chino Hills, CA</t>
  </si>
  <si>
    <t>Petaluma, CA</t>
  </si>
  <si>
    <t>Conway, SC</t>
  </si>
  <si>
    <t>Winter Garden, FL</t>
  </si>
  <si>
    <t>Bethesda, MD</t>
  </si>
  <si>
    <t>Mechanicsburg, PA</t>
  </si>
  <si>
    <t>Palm Harbor, FL</t>
  </si>
  <si>
    <t>Rochester Hills, MI</t>
  </si>
  <si>
    <t>Harlingen, TX</t>
  </si>
  <si>
    <t>White Plains, NY</t>
  </si>
  <si>
    <t>Tulare, CA</t>
  </si>
  <si>
    <t>Brentwood, CA</t>
  </si>
  <si>
    <t>Baytown, TX</t>
  </si>
  <si>
    <t>Layton, UT</t>
  </si>
  <si>
    <t>Wesley Chapel, FL</t>
  </si>
  <si>
    <t>Glen Allen, VA</t>
  </si>
  <si>
    <t>Bossier City, LA</t>
  </si>
  <si>
    <t>New Rochelle, NY</t>
  </si>
  <si>
    <t>La Mesa, CA</t>
  </si>
  <si>
    <t>Huntington Park, CA</t>
  </si>
  <si>
    <t>Cedar Park, TX</t>
  </si>
  <si>
    <t>Brick, NJ</t>
  </si>
  <si>
    <t>Camden, NJ</t>
  </si>
  <si>
    <t>New Britain, CT</t>
  </si>
  <si>
    <t>Warwick, RI</t>
  </si>
  <si>
    <t>North Little Rock, AR</t>
  </si>
  <si>
    <t>Southfield, MI</t>
  </si>
  <si>
    <t>Orange Park, FL</t>
  </si>
  <si>
    <t>Aiken, SC</t>
  </si>
  <si>
    <t>Venice, FL</t>
  </si>
  <si>
    <t>Framingham, MA</t>
  </si>
  <si>
    <t>Davis, CA</t>
  </si>
  <si>
    <t>Lauderhill, FL</t>
  </si>
  <si>
    <t>Palm Beach Gardens, FL</t>
  </si>
  <si>
    <t>Cocoa, FL</t>
  </si>
  <si>
    <t>Statesville, NC</t>
  </si>
  <si>
    <t>Union City, CA</t>
  </si>
  <si>
    <t>Casa Grande, AZ</t>
  </si>
  <si>
    <t>Pawtucket, RI</t>
  </si>
  <si>
    <t>Council Bluffs, IA</t>
  </si>
  <si>
    <t>Waterford, MI</t>
  </si>
  <si>
    <t>Waipahu, HI</t>
  </si>
  <si>
    <t>Bolingbrook, IL</t>
  </si>
  <si>
    <t>Yorba Linda, CA</t>
  </si>
  <si>
    <t>Palatine, IL</t>
  </si>
  <si>
    <t>North Richland Hills, TX</t>
  </si>
  <si>
    <t>Rockville, MD</t>
  </si>
  <si>
    <t>Troy, NY</t>
  </si>
  <si>
    <t>Cherry Hill Township, NJ</t>
  </si>
  <si>
    <t>Ypsilanti, MI</t>
  </si>
  <si>
    <t>Castle Rock, CO</t>
  </si>
  <si>
    <t>Milton, FL</t>
  </si>
  <si>
    <t>Maple Grove, MN</t>
  </si>
  <si>
    <t>Caldwell, ID</t>
  </si>
  <si>
    <t>Passaic, NJ</t>
  </si>
  <si>
    <t>San Rafael, CA</t>
  </si>
  <si>
    <t>Madison, AL</t>
  </si>
  <si>
    <t>Lynwood, CA</t>
  </si>
  <si>
    <t>Woodbury, MN</t>
  </si>
  <si>
    <t>Alameda, CA</t>
  </si>
  <si>
    <t>Centreville, VA</t>
  </si>
  <si>
    <t>Hammond, IN</t>
  </si>
  <si>
    <t>Saint Cloud, MN</t>
  </si>
  <si>
    <t>Daytona Beach, FL</t>
  </si>
  <si>
    <t>Westerville, OH</t>
  </si>
  <si>
    <t>Deland, FL</t>
  </si>
  <si>
    <t>Ewa Beach, HI</t>
  </si>
  <si>
    <t>Weston, FL</t>
  </si>
  <si>
    <t>South Jordan, UT</t>
  </si>
  <si>
    <t>Yukon, OK</t>
  </si>
  <si>
    <t>Powder Springs, GA</t>
  </si>
  <si>
    <t>Lakeville, MN</t>
  </si>
  <si>
    <t>Broomfield, CO</t>
  </si>
  <si>
    <t>Mansfield, TX</t>
  </si>
  <si>
    <t>Mount Vernon, NY</t>
  </si>
  <si>
    <t>Wilkes-Barre, PA</t>
  </si>
  <si>
    <t>Land O Lakes, FL</t>
  </si>
  <si>
    <t>Lakewood, WA</t>
  </si>
  <si>
    <t>Palo Alto, CA</t>
  </si>
  <si>
    <t>Union City, NJ</t>
  </si>
  <si>
    <t>Norristown, PA</t>
  </si>
  <si>
    <t>Bellevue, NE</t>
  </si>
  <si>
    <t>Hendersonville, TN</t>
  </si>
  <si>
    <t>Lutz, FL</t>
  </si>
  <si>
    <t>Arcadia, CA</t>
  </si>
  <si>
    <t>Fayetteville, GA</t>
  </si>
  <si>
    <t>Fountainbleau, FL</t>
  </si>
  <si>
    <t>Bel Air, MD</t>
  </si>
  <si>
    <t>Lilburn, GA</t>
  </si>
  <si>
    <t>Kenner, LA</t>
  </si>
  <si>
    <t>Waukesha, WI</t>
  </si>
  <si>
    <t>Snohomish, WA</t>
  </si>
  <si>
    <t>Lebanon, TN</t>
  </si>
  <si>
    <t>Eagan, MN</t>
  </si>
  <si>
    <t>Vienna, VA</t>
  </si>
  <si>
    <t>West Bloomfield, MI</t>
  </si>
  <si>
    <t>Little Elm, TX</t>
  </si>
  <si>
    <t>Stockbridge, GA</t>
  </si>
  <si>
    <t>Orland Park, IL</t>
  </si>
  <si>
    <t>Grove City, OH</t>
  </si>
  <si>
    <t>Florissant, MO</t>
  </si>
  <si>
    <t>Port Orange, FL</t>
  </si>
  <si>
    <t>Woodland, CA</t>
  </si>
  <si>
    <t>Valrico, FL</t>
  </si>
  <si>
    <t>Pottstown, PA</t>
  </si>
  <si>
    <t>Wellington, FL</t>
  </si>
  <si>
    <t>Easley, SC</t>
  </si>
  <si>
    <t>Laguna Niguel, CA</t>
  </si>
  <si>
    <t>West Des Moines, IA</t>
  </si>
  <si>
    <t>Brentwood, NY</t>
  </si>
  <si>
    <t>South San Francisco, CA</t>
  </si>
  <si>
    <t>Massillon, OH</t>
  </si>
  <si>
    <t>Blaine, MN</t>
  </si>
  <si>
    <t>Tamarac, FL</t>
  </si>
  <si>
    <t>East Orange, NJ</t>
  </si>
  <si>
    <t>Lorain, OH</t>
  </si>
  <si>
    <t>Florence-Graham, CA</t>
  </si>
  <si>
    <t>Huntersville, NC</t>
  </si>
  <si>
    <t>Redondo Beach, CA</t>
  </si>
  <si>
    <t>Shawnee, KS</t>
  </si>
  <si>
    <t>Clayton, NC</t>
  </si>
  <si>
    <t>Medina, OH</t>
  </si>
  <si>
    <t>Pico Rivera, CA</t>
  </si>
  <si>
    <t>Prescott, AZ</t>
  </si>
  <si>
    <t>San Gabriel, CA</t>
  </si>
  <si>
    <t>Novato, CA</t>
  </si>
  <si>
    <t>West Hartford, CT</t>
  </si>
  <si>
    <t>Gilroy, CA</t>
  </si>
  <si>
    <t>Eden Prairie, MN</t>
  </si>
  <si>
    <t>Niagara Falls, NY</t>
  </si>
  <si>
    <t>Haverhill, MA</t>
  </si>
  <si>
    <t>Mechanicsville, VA</t>
  </si>
  <si>
    <t>Reston, VA</t>
  </si>
  <si>
    <t>Towson, MD</t>
  </si>
  <si>
    <t>Rosemead, CA</t>
  </si>
  <si>
    <t>Buckeye, AZ</t>
  </si>
  <si>
    <t>Hilliard, OH</t>
  </si>
  <si>
    <t>Spring Valley, NY</t>
  </si>
  <si>
    <t>Encinitas, CA</t>
  </si>
  <si>
    <t>Katy, TX</t>
  </si>
  <si>
    <t>Coon Rapids, MN</t>
  </si>
  <si>
    <t>Queen Creek, AZ</t>
  </si>
  <si>
    <t>Elyria, OH</t>
  </si>
  <si>
    <t>San Clemente, CA</t>
  </si>
  <si>
    <t>Pasadena, MD</t>
  </si>
  <si>
    <t>Waltham, MA</t>
  </si>
  <si>
    <t>Middletown, NY</t>
  </si>
  <si>
    <t>Dundalk, MD</t>
  </si>
  <si>
    <t>Montebello, CA</t>
  </si>
  <si>
    <t>Hendersonville, NC</t>
  </si>
  <si>
    <t>Lehi, UT</t>
  </si>
  <si>
    <t>Sammamish, WA</t>
  </si>
  <si>
    <t>West Chester, OH</t>
  </si>
  <si>
    <t>Valley Stream, NY</t>
  </si>
  <si>
    <t>Stuart, FL</t>
  </si>
  <si>
    <t>Columbia, TN</t>
  </si>
  <si>
    <t>Lancaster, OH</t>
  </si>
  <si>
    <t>North Bergen Township, NJ</t>
  </si>
  <si>
    <t>Burnsville, MN</t>
  </si>
  <si>
    <t>Taylor, MI</t>
  </si>
  <si>
    <t>Buford, GA</t>
  </si>
  <si>
    <t>Littleton, CO</t>
  </si>
  <si>
    <t>North Miami, FL</t>
  </si>
  <si>
    <t>Martinsburg, WV</t>
  </si>
  <si>
    <t>Saint Peters, MO</t>
  </si>
  <si>
    <t>Phenix City, AL</t>
  </si>
  <si>
    <t>Hamden, CT</t>
  </si>
  <si>
    <t>Biloxi, MS</t>
  </si>
  <si>
    <t>Altamonte Springs, FL</t>
  </si>
  <si>
    <t>Levittown, PA</t>
  </si>
  <si>
    <t>Carmichael, CA</t>
  </si>
  <si>
    <t>Malden, MA</t>
  </si>
  <si>
    <t>Tigard, OR</t>
  </si>
  <si>
    <t>National City, CA</t>
  </si>
  <si>
    <t>Greenwich, CT</t>
  </si>
  <si>
    <t>Taylorsville, UT</t>
  </si>
  <si>
    <t>Carrollton, GA</t>
  </si>
  <si>
    <t>Loganville, GA</t>
  </si>
  <si>
    <t>Bristol, CT</t>
  </si>
  <si>
    <t>Fairfield, CT</t>
  </si>
  <si>
    <t>La Habra, CA</t>
  </si>
  <si>
    <t>Riverdale, GA</t>
  </si>
  <si>
    <t>Howell, MI</t>
  </si>
  <si>
    <t>Monterey Park, CA</t>
  </si>
  <si>
    <t>West Allis, WI</t>
  </si>
  <si>
    <t>Pontiac, MI</t>
  </si>
  <si>
    <t>Clermont, FL</t>
  </si>
  <si>
    <t>Rocklin, CA</t>
  </si>
  <si>
    <t>Chantilly, VA</t>
  </si>
  <si>
    <t>Gardena, CA</t>
  </si>
  <si>
    <t>Azusa, CA</t>
  </si>
  <si>
    <t>Downers Grove, IL</t>
  </si>
  <si>
    <t>Loveland, OH</t>
  </si>
  <si>
    <t>Brookline, MA</t>
  </si>
  <si>
    <t>Royal Oak, MI</t>
  </si>
  <si>
    <t>Coconut Creek, FL</t>
  </si>
  <si>
    <t>Mishawaka, IN</t>
  </si>
  <si>
    <t>Annandale, VA</t>
  </si>
  <si>
    <t>Middleburg, FL</t>
  </si>
  <si>
    <t>Bonita Springs, FL</t>
  </si>
  <si>
    <t>Skokie, IL</t>
  </si>
  <si>
    <t>Bartlett, TN</t>
  </si>
  <si>
    <t>Lompoc, CA</t>
  </si>
  <si>
    <t>Carlisle, PA</t>
  </si>
  <si>
    <t>Maricopa, AZ</t>
  </si>
  <si>
    <t>Meriden, CT</t>
  </si>
  <si>
    <t>Port Orchard, WA</t>
  </si>
  <si>
    <t>Crown Point, IN</t>
  </si>
  <si>
    <t>New Castle, DE</t>
  </si>
  <si>
    <t>Westminster, MD</t>
  </si>
  <si>
    <t>Medford, MA</t>
  </si>
  <si>
    <t>Greensburg, PA</t>
  </si>
  <si>
    <t>Lacey, WA</t>
  </si>
  <si>
    <t>Union, NJ</t>
  </si>
  <si>
    <t>Cupertino, CA</t>
  </si>
  <si>
    <t>Tinley Park, IL</t>
  </si>
  <si>
    <t>The Hammocks, FL</t>
  </si>
  <si>
    <t>Wheaton, IL</t>
  </si>
  <si>
    <t>Edmonds, WA</t>
  </si>
  <si>
    <t>Goshen, IN</t>
  </si>
  <si>
    <t>Bentonville, AR</t>
  </si>
  <si>
    <t>Newark, OH</t>
  </si>
  <si>
    <t>Petersburg, VA</t>
  </si>
  <si>
    <t>Manchester, CT</t>
  </si>
  <si>
    <t>Gretna, LA</t>
  </si>
  <si>
    <t>Goose Creek, SC</t>
  </si>
  <si>
    <t>Middletown, OH</t>
  </si>
  <si>
    <t>Moore, OK</t>
  </si>
  <si>
    <t>Ankeny, IA</t>
  </si>
  <si>
    <t>Piscataway, NJ</t>
  </si>
  <si>
    <t>Margate, FL</t>
  </si>
  <si>
    <t>Lincoln, CA</t>
  </si>
  <si>
    <t>Richland, WA</t>
  </si>
  <si>
    <t>Covington, LA</t>
  </si>
  <si>
    <t>Oak Lawn, IL</t>
  </si>
  <si>
    <t>Colton, CA</t>
  </si>
  <si>
    <t>Delaware, OH</t>
  </si>
  <si>
    <t>New Iberia, LA</t>
  </si>
  <si>
    <t>Apache Junction, AZ</t>
  </si>
  <si>
    <t>Oregon City, OR</t>
  </si>
  <si>
    <t>Taunton, MA</t>
  </si>
  <si>
    <t>Midwest City, OK</t>
  </si>
  <si>
    <t>Kendale Lakes, FL</t>
  </si>
  <si>
    <t>Kernersville, NC</t>
  </si>
  <si>
    <t>Dublin, OH</t>
  </si>
  <si>
    <t>Tamiami, FL</t>
  </si>
  <si>
    <t>Euless, TX</t>
  </si>
  <si>
    <t>Santee, CA</t>
  </si>
  <si>
    <t>Garner, NC</t>
  </si>
  <si>
    <t>Smyrna, TN</t>
  </si>
  <si>
    <t>Bluffton, SC</t>
  </si>
  <si>
    <t>Fountain Valley, CA</t>
  </si>
  <si>
    <t>Bayonne, NJ</t>
  </si>
  <si>
    <t>Wyoming, MI</t>
  </si>
  <si>
    <t>Danville, CA</t>
  </si>
  <si>
    <t>Griffin, GA</t>
  </si>
  <si>
    <t>Donna, TX</t>
  </si>
  <si>
    <t>Titusville, FL</t>
  </si>
  <si>
    <t>Weymouth, MA</t>
  </si>
  <si>
    <t>Mount Prospect, IL</t>
  </si>
  <si>
    <t>Lenexa, KS</t>
  </si>
  <si>
    <t>Fort Walton Beach, FL</t>
  </si>
  <si>
    <t>Jackson, NJ</t>
  </si>
  <si>
    <t>Chesterfield, VA</t>
  </si>
  <si>
    <t>Dearborn Heights, MI</t>
  </si>
  <si>
    <t>New Brunswick, NJ</t>
  </si>
  <si>
    <t>Glenview, IL</t>
  </si>
  <si>
    <t>Freehold, NJ</t>
  </si>
  <si>
    <t>Novi, MI</t>
  </si>
  <si>
    <t>Hempstead, NY</t>
  </si>
  <si>
    <t>Collierville, TN</t>
  </si>
  <si>
    <t>Commerce City, CO</t>
  </si>
  <si>
    <t>West Sacramento, CA</t>
  </si>
  <si>
    <t>Puyallup, WA</t>
  </si>
  <si>
    <t>Ormond Beach, FL</t>
  </si>
  <si>
    <t>Berwyn, IL</t>
  </si>
  <si>
    <t>Lagrange, GA</t>
  </si>
  <si>
    <t>Chicopee, MA</t>
  </si>
  <si>
    <t>Anderson, IN</t>
  </si>
  <si>
    <t>South Hill, WA</t>
  </si>
  <si>
    <t>Glendora, CA</t>
  </si>
  <si>
    <t>Athens, AL</t>
  </si>
  <si>
    <t>Longwood, FL</t>
  </si>
  <si>
    <t>Princeton, NJ</t>
  </si>
  <si>
    <t>Asheboro, NC</t>
  </si>
  <si>
    <t>Palm Desert, CA</t>
  </si>
  <si>
    <t>Butler, PA</t>
  </si>
  <si>
    <t>Coatesville, PA</t>
  </si>
  <si>
    <t>Port Arthur, TX</t>
  </si>
  <si>
    <t>Waxahachie, TX</t>
  </si>
  <si>
    <t>McLean, VA</t>
  </si>
  <si>
    <t>Doral, FL</t>
  </si>
  <si>
    <t>Owings Mills, MD</t>
  </si>
  <si>
    <t>Lansdale, PA</t>
  </si>
  <si>
    <t>Somerset, NJ</t>
  </si>
  <si>
    <t>Mount Juliet, TN</t>
  </si>
  <si>
    <t>Morganton, NC</t>
  </si>
  <si>
    <t>North Fort Myers, FL</t>
  </si>
  <si>
    <t>Desoto, TX</t>
  </si>
  <si>
    <t>Lancaster, SC</t>
  </si>
  <si>
    <t>Shoreline, WA</t>
  </si>
  <si>
    <t>Grapevine, TX</t>
  </si>
  <si>
    <t>Paramount, CA</t>
  </si>
  <si>
    <t>Hacienda Heights, CA</t>
  </si>
  <si>
    <t>Castro Valley, CA</t>
  </si>
  <si>
    <t>Mason, OH</t>
  </si>
  <si>
    <t>Kingman, AZ</t>
  </si>
  <si>
    <t>Wayne, NJ</t>
  </si>
  <si>
    <t>Irvington, NJ</t>
  </si>
  <si>
    <t>Williamsville, NY</t>
  </si>
  <si>
    <t>Seminole, FL</t>
  </si>
  <si>
    <t>Hollister, CA</t>
  </si>
  <si>
    <t>Hanover, PA</t>
  </si>
  <si>
    <t>Saint Clair Shores, MI</t>
  </si>
  <si>
    <t>Dublin, CA</t>
  </si>
  <si>
    <t>Olive Branch, MS</t>
  </si>
  <si>
    <t>Dacula, GA</t>
  </si>
  <si>
    <t>Hoboken, NJ</t>
  </si>
  <si>
    <t>Newburgh, NY</t>
  </si>
  <si>
    <t>Brookhaven, GA</t>
  </si>
  <si>
    <t>Kettering, OH</t>
  </si>
  <si>
    <t>Eastvale, CA</t>
  </si>
  <si>
    <t>Evans, GA</t>
  </si>
  <si>
    <t>Millcreek, UT</t>
  </si>
  <si>
    <t>Delano, CA</t>
  </si>
  <si>
    <t>Apple Valley, MN</t>
  </si>
  <si>
    <t>West New York, NJ</t>
  </si>
  <si>
    <t>East Lansing, MI</t>
  </si>
  <si>
    <t>West Haven, CT</t>
  </si>
  <si>
    <t>Spanaway, WA</t>
  </si>
  <si>
    <t>Yucaipa, CA</t>
  </si>
  <si>
    <t>Kentwood, MI</t>
  </si>
  <si>
    <t>Oroville, CA</t>
  </si>
  <si>
    <t>Normal, IL</t>
  </si>
  <si>
    <t>Peabody, MA</t>
  </si>
  <si>
    <t>Oak Park, IL</t>
  </si>
  <si>
    <t>Leesburg, FL</t>
  </si>
  <si>
    <t>Lombard, IL</t>
  </si>
  <si>
    <t>Zephyrhills, FL</t>
  </si>
  <si>
    <t>Marrero, LA</t>
  </si>
  <si>
    <t>West Monroe, LA</t>
  </si>
  <si>
    <t>Plymouth, MA</t>
  </si>
  <si>
    <t>Edina, MN</t>
  </si>
  <si>
    <t>Gallatin, TN</t>
  </si>
  <si>
    <t>Mentor, OH</t>
  </si>
  <si>
    <t>Monroe, NY</t>
  </si>
  <si>
    <t>Mililani, HI</t>
  </si>
  <si>
    <t>Catonsville, MD</t>
  </si>
  <si>
    <t>Webster, NY</t>
  </si>
  <si>
    <t>San Jacinto, CA</t>
  </si>
  <si>
    <t>Palm Springs, CA</t>
  </si>
  <si>
    <t>Stratford, CT</t>
  </si>
  <si>
    <t>Cuyahoga Falls, OH</t>
  </si>
  <si>
    <t>Poway, CA</t>
  </si>
  <si>
    <t>Rowlett, TX</t>
  </si>
  <si>
    <t>Morgan Hill, CA</t>
  </si>
  <si>
    <t>Placentia, CA</t>
  </si>
  <si>
    <t>Milwaukie, OR</t>
  </si>
  <si>
    <t>Lawrence, IN</t>
  </si>
  <si>
    <t>Urbana, IL</t>
  </si>
  <si>
    <t>Perth Amboy, NJ</t>
  </si>
  <si>
    <t>Cathedral City, CA</t>
  </si>
  <si>
    <t>Cedar Hill, TX</t>
  </si>
  <si>
    <t>Grand Blanc, MI</t>
  </si>
  <si>
    <t>Liverpool, NY</t>
  </si>
  <si>
    <t>Milford, CT</t>
  </si>
  <si>
    <t>Fallbrook, CA</t>
  </si>
  <si>
    <t>Plainfield, NJ</t>
  </si>
  <si>
    <t>Methuen, MA</t>
  </si>
  <si>
    <t>Benton, AR</t>
  </si>
  <si>
    <t>Draper, UT</t>
  </si>
  <si>
    <t>Bonney Lake, WA</t>
  </si>
  <si>
    <t>Lockport, NY</t>
  </si>
  <si>
    <t>Crystal Lake, IL</t>
  </si>
  <si>
    <t>Massapequa, NY</t>
  </si>
  <si>
    <t>Blue Springs, MO</t>
  </si>
  <si>
    <t>Sicklerville, NJ</t>
  </si>
  <si>
    <t>East Hartford, CT</t>
  </si>
  <si>
    <t>Cerritos, CA</t>
  </si>
  <si>
    <t>Issaquah, WA</t>
  </si>
  <si>
    <t>Cypress, CA</t>
  </si>
  <si>
    <t>Pinellas Park, FL</t>
  </si>
  <si>
    <t>Kannapolis, NC</t>
  </si>
  <si>
    <t>Fuquay Varina, NC</t>
  </si>
  <si>
    <t>Highland, CA</t>
  </si>
  <si>
    <t>North Bethesda, MD</t>
  </si>
  <si>
    <t>Pine Hills, FL</t>
  </si>
  <si>
    <t>Kailua, HI</t>
  </si>
  <si>
    <t>Galveston, TX</t>
  </si>
  <si>
    <t>Aliso Viejo, CA</t>
  </si>
  <si>
    <t>La Mirada, CA</t>
  </si>
  <si>
    <t>Cartersville, GA</t>
  </si>
  <si>
    <t>Port Richey, FL</t>
  </si>
  <si>
    <t>Florence, KY</t>
  </si>
  <si>
    <t>Beaumont, CA</t>
  </si>
  <si>
    <t>Bloomfield, NJ</t>
  </si>
  <si>
    <t>Coral Gables, FL</t>
  </si>
  <si>
    <t>Bedford, TX</t>
  </si>
  <si>
    <t>Revere, MA</t>
  </si>
  <si>
    <t>Fort Washington, MD</t>
  </si>
  <si>
    <t>Portage, MI</t>
  </si>
  <si>
    <t>Claremore, OK</t>
  </si>
  <si>
    <t>Belleville, IL</t>
  </si>
  <si>
    <t>Burien, WA</t>
  </si>
  <si>
    <t>Brighton, MI</t>
  </si>
  <si>
    <t>Elmhurst, IL</t>
  </si>
  <si>
    <t>Post Falls, ID</t>
  </si>
  <si>
    <t>Saint Louis Park, MN</t>
  </si>
  <si>
    <t>Minnetonka, MN</t>
  </si>
  <si>
    <t>Martinez, CA</t>
  </si>
  <si>
    <t>New Albany, IN</t>
  </si>
  <si>
    <t>Wahiawa, HI</t>
  </si>
  <si>
    <t>Chester, VA</t>
  </si>
  <si>
    <t>Dunwoody, GA</t>
  </si>
  <si>
    <t>Diamond Bar, CA</t>
  </si>
  <si>
    <t>Wylie, TX</t>
  </si>
  <si>
    <t>Beavercreek, OH</t>
  </si>
  <si>
    <t>Kapolei, HI</t>
  </si>
  <si>
    <t>Washington, PA</t>
  </si>
  <si>
    <t>Wauwatosa, WI</t>
  </si>
  <si>
    <t>Southaven, MS</t>
  </si>
  <si>
    <t>Murray, UT</t>
  </si>
  <si>
    <t>Hoffman Estates, IL</t>
  </si>
  <si>
    <t>Clarkston, MI</t>
  </si>
  <si>
    <t>Lake Stevens, WA</t>
  </si>
  <si>
    <t>Brea, CA</t>
  </si>
  <si>
    <t>Lakeside, CA</t>
  </si>
  <si>
    <t>West Orange, NJ</t>
  </si>
  <si>
    <t>East Providence, RI</t>
  </si>
  <si>
    <t>Roseville, MI</t>
  </si>
  <si>
    <t>Potomac, MD</t>
  </si>
  <si>
    <t>Georgetown, KY</t>
  </si>
  <si>
    <t>Austell, GA</t>
  </si>
  <si>
    <t>Redford, MI</t>
  </si>
  <si>
    <t>Seguin, TX</t>
  </si>
  <si>
    <t>Middletown, CT</t>
  </si>
  <si>
    <t>Jonesboro, GA</t>
  </si>
  <si>
    <t>Downingtown, PA</t>
  </si>
  <si>
    <t>Haines City, FL</t>
  </si>
  <si>
    <t>Prattville, AL</t>
  </si>
  <si>
    <t>Bridgeton, NJ</t>
  </si>
  <si>
    <t>Newark, CA</t>
  </si>
  <si>
    <t>Kaneohe, HI</t>
  </si>
  <si>
    <t>Grass Valley, CA</t>
  </si>
  <si>
    <t>Shakopee, MN</t>
  </si>
  <si>
    <t>Elkton, MD</t>
  </si>
  <si>
    <t>East Brunswick, NJ</t>
  </si>
  <si>
    <t>Thibodaux, LA</t>
  </si>
  <si>
    <t>Lakewood, OH</t>
  </si>
  <si>
    <t>Lititz, PA</t>
  </si>
  <si>
    <t>Everett, MA</t>
  </si>
  <si>
    <t>Bloomfield Hills, MI</t>
  </si>
  <si>
    <t>Dekalb, IL</t>
  </si>
  <si>
    <t>Gig Harbor, WA</t>
  </si>
  <si>
    <t>Leander, TX</t>
  </si>
  <si>
    <t>Country Club, FL</t>
  </si>
  <si>
    <t>Texas City, TX</t>
  </si>
  <si>
    <t>Prairieville, LA</t>
  </si>
  <si>
    <t>Nicholasville, KY</t>
  </si>
  <si>
    <t>Chesterfield, MI</t>
  </si>
  <si>
    <t>Auburn, CA</t>
  </si>
  <si>
    <t>Coachella, CA</t>
  </si>
  <si>
    <t>Wasilla, AK</t>
  </si>
  <si>
    <t>Arlington, MA</t>
  </si>
  <si>
    <t>Lake Mary, FL</t>
  </si>
  <si>
    <t>Phoenixville, PA</t>
  </si>
  <si>
    <t>Monroe Township, NJ</t>
  </si>
  <si>
    <t>Yorktown, VA</t>
  </si>
  <si>
    <t>Jeffersonville, IN</t>
  </si>
  <si>
    <t>Evesham Township, NJ</t>
  </si>
  <si>
    <t>La Porte, IN</t>
  </si>
  <si>
    <t>North Augusta, SC</t>
  </si>
  <si>
    <t>Montgomery, TX</t>
  </si>
  <si>
    <t>Saint Charles, IL</t>
  </si>
  <si>
    <t>Winder, GA</t>
  </si>
  <si>
    <t>Mandeville, LA</t>
  </si>
  <si>
    <t>Arlington, WA</t>
  </si>
  <si>
    <t>Lake Oswego, OR</t>
  </si>
  <si>
    <t>Bountiful, UT</t>
  </si>
  <si>
    <t>Rancho Santa Margarita, CA</t>
  </si>
  <si>
    <t>Oakland Park, FL</t>
  </si>
  <si>
    <t>Patchogue, NY</t>
  </si>
  <si>
    <t>Rowland Heights, CA</t>
  </si>
  <si>
    <t>Attleboro, MA</t>
  </si>
  <si>
    <t>Peachtree Corners, GA</t>
  </si>
  <si>
    <t>Desert Hot Springs, CA</t>
  </si>
  <si>
    <t>Brentwood, TN</t>
  </si>
  <si>
    <t>Hackensack, NJ</t>
  </si>
  <si>
    <t>Winter Springs, FL</t>
  </si>
  <si>
    <t>Cleveland Heights, OH</t>
  </si>
  <si>
    <t>Boerne, TX</t>
  </si>
  <si>
    <t>Strongsville, OH</t>
  </si>
  <si>
    <t>Wallingford, CT</t>
  </si>
  <si>
    <t>Raeford, NC</t>
  </si>
  <si>
    <t>Barnstable, MA</t>
  </si>
  <si>
    <t>Morristown, NJ</t>
  </si>
  <si>
    <t>Thomasville, NC</t>
  </si>
  <si>
    <t>Keller, TX</t>
  </si>
  <si>
    <t>Oswego, IL</t>
  </si>
  <si>
    <t>Coppell, TX</t>
  </si>
  <si>
    <t>Wentzville, MO</t>
  </si>
  <si>
    <t>Enfield, CT</t>
  </si>
  <si>
    <t>Haltom City, TX</t>
  </si>
  <si>
    <t>Menlo Park, CA</t>
  </si>
  <si>
    <t>Fairfield, OH</t>
  </si>
  <si>
    <t>Burke, VA</t>
  </si>
  <si>
    <t>Rockledge, FL</t>
  </si>
  <si>
    <t>Weslaco, TX</t>
  </si>
  <si>
    <t>Freeport, NY</t>
  </si>
  <si>
    <t>Southington, CT</t>
  </si>
  <si>
    <t>Beaufort, SC</t>
  </si>
  <si>
    <t>Los Lunas, NM</t>
  </si>
  <si>
    <t>Opelika, AL</t>
  </si>
  <si>
    <t>Kent, OH</t>
  </si>
  <si>
    <t>Moline, IL</t>
  </si>
  <si>
    <t>Xenia, OH</t>
  </si>
  <si>
    <t>Lindenhurst, NY</t>
  </si>
  <si>
    <t>Brunswick, OH</t>
  </si>
  <si>
    <t>Poinciana, FL</t>
  </si>
  <si>
    <t>Ceres, CA</t>
  </si>
  <si>
    <t>The Colony, TX</t>
  </si>
  <si>
    <t>Euclid, OH</t>
  </si>
  <si>
    <t>Hudson, FL</t>
  </si>
  <si>
    <t>Alamo, TX</t>
  </si>
  <si>
    <t>North Tonawanda, NY</t>
  </si>
  <si>
    <t>Northville, MI</t>
  </si>
  <si>
    <t>Gonzales, LA</t>
  </si>
  <si>
    <t>Billerica, MA</t>
  </si>
  <si>
    <t>Owasso, OK</t>
  </si>
  <si>
    <t>Fair Oaks, CA</t>
  </si>
  <si>
    <t>Windsor Mill, MD</t>
  </si>
  <si>
    <t>Irwin, PA</t>
  </si>
  <si>
    <t>Beloit, WI</t>
  </si>
  <si>
    <t>Ringgold, GA</t>
  </si>
  <si>
    <t>Westbury, NY</t>
  </si>
  <si>
    <t>Covington, KY</t>
  </si>
  <si>
    <t>Palmetto, FL</t>
  </si>
  <si>
    <t>Bridgewater Township, NJ</t>
  </si>
  <si>
    <t>Belton, TX</t>
  </si>
  <si>
    <t>Kyle, TX</t>
  </si>
  <si>
    <t>Urbandale, IA</t>
  </si>
  <si>
    <t>Brighton, CO</t>
  </si>
  <si>
    <t>Bell Gardens, CA</t>
  </si>
  <si>
    <t>Merritt Island, FL</t>
  </si>
  <si>
    <t>Papillion, NE</t>
  </si>
  <si>
    <t>Levittown, NY</t>
  </si>
  <si>
    <t>Monrovia, CA</t>
  </si>
  <si>
    <t>Linden, NJ</t>
  </si>
  <si>
    <t>Campbell, CA</t>
  </si>
  <si>
    <t>San Bruno, CA</t>
  </si>
  <si>
    <t>San Pablo, CA</t>
  </si>
  <si>
    <t>Collegeville, PA</t>
  </si>
  <si>
    <t>Cutler Bay, FL</t>
  </si>
  <si>
    <t>North Lauderdale, FL</t>
  </si>
  <si>
    <t>Chesterfield, MO</t>
  </si>
  <si>
    <t>Carol Stream, IL</t>
  </si>
  <si>
    <t>Coraopolis, PA</t>
  </si>
  <si>
    <t>Milton, GA</t>
  </si>
  <si>
    <t>Fairport, NY</t>
  </si>
  <si>
    <t>Sewell, NJ</t>
  </si>
  <si>
    <t>Weatherford, TX</t>
  </si>
  <si>
    <t>Egg Harbor Township, NJ</t>
  </si>
  <si>
    <t>Fenton, MO</t>
  </si>
  <si>
    <t>Los Banos, CA</t>
  </si>
  <si>
    <t>Woonsocket, RI</t>
  </si>
  <si>
    <t>Lancaster, TX</t>
  </si>
  <si>
    <t>Paso Robles, CA</t>
  </si>
  <si>
    <t>Ballwin, MO</t>
  </si>
  <si>
    <t>Middletown, DE</t>
  </si>
  <si>
    <t>Westfield, MA</t>
  </si>
  <si>
    <t>Mt Laurel Township, NJ</t>
  </si>
  <si>
    <t>Fitchburg, MA</t>
  </si>
  <si>
    <t>Shelton, CT</t>
  </si>
  <si>
    <t>Bear, DE</t>
  </si>
  <si>
    <t>Leominster, MA</t>
  </si>
  <si>
    <t>Spanish Fork, UT</t>
  </si>
  <si>
    <t>North Brunswick Township, NJ</t>
  </si>
  <si>
    <t>Ocoee, FL</t>
  </si>
  <si>
    <t>Grovetown, GA</t>
  </si>
  <si>
    <t>Burleson, TX</t>
  </si>
  <si>
    <t>Fairburn, GA</t>
  </si>
  <si>
    <t>Hicksville, NY</t>
  </si>
  <si>
    <t>Moorhead, MN</t>
  </si>
  <si>
    <t>Bullhead City, AZ</t>
  </si>
  <si>
    <t>Marion, IA</t>
  </si>
  <si>
    <t>Kearny, NJ</t>
  </si>
  <si>
    <t>Moncks Corner, SC</t>
  </si>
  <si>
    <t>Ellenwood, GA</t>
  </si>
  <si>
    <t>Aiea, HI</t>
  </si>
  <si>
    <t>Waianae, HI</t>
  </si>
  <si>
    <t>Lenoir, NC</t>
  </si>
  <si>
    <t>El Dorado Hills, CA</t>
  </si>
  <si>
    <t>Casselberry, FL</t>
  </si>
  <si>
    <t>Middle River, MD</t>
  </si>
  <si>
    <t>Davenport, FL</t>
  </si>
  <si>
    <t>Salem, MA</t>
  </si>
  <si>
    <t>Greenacres, FL</t>
  </si>
  <si>
    <t>Cleburne, TX</t>
  </si>
  <si>
    <t>Brookfield, WI</t>
  </si>
  <si>
    <t>Taylors, SC</t>
  </si>
  <si>
    <t>Essex, MD</t>
  </si>
  <si>
    <t>Streamwood, IL</t>
  </si>
  <si>
    <t>Kailua Kona, HI</t>
  </si>
  <si>
    <t>Hopkinsville, KY</t>
  </si>
  <si>
    <t>Bessemer, AL</t>
  </si>
  <si>
    <t>Panama City Beach, FL</t>
  </si>
  <si>
    <t>Maplewood, MN</t>
  </si>
  <si>
    <t>Williamstown, NJ</t>
  </si>
  <si>
    <t>Painesville, OH</t>
  </si>
  <si>
    <t>Riverton, UT</t>
  </si>
  <si>
    <t>Oakley, CA</t>
  </si>
  <si>
    <t>Martinez, GA</t>
  </si>
  <si>
    <t>Pekin, IL</t>
  </si>
  <si>
    <t>Wheeling, IL</t>
  </si>
  <si>
    <t>North Miami Beach, FL</t>
  </si>
  <si>
    <t>Teaneck, NJ</t>
  </si>
  <si>
    <t>Holyoke, MA</t>
  </si>
  <si>
    <t>Germantown, TN</t>
  </si>
  <si>
    <t>La Puente, CA</t>
  </si>
  <si>
    <t>Rome, NY</t>
  </si>
  <si>
    <t>Woburn, MA</t>
  </si>
  <si>
    <t>Jacksonville, AR</t>
  </si>
  <si>
    <t>Nottingham, MD</t>
  </si>
  <si>
    <t>Golden, CO</t>
  </si>
  <si>
    <t>Mundelein, IL</t>
  </si>
  <si>
    <t>Addison, IL</t>
  </si>
  <si>
    <t>Sun City, AZ</t>
  </si>
  <si>
    <t>Amherst, MA</t>
  </si>
  <si>
    <t>Chelsea, MA</t>
  </si>
  <si>
    <t>Woodinville, WA</t>
  </si>
  <si>
    <t>Marlborough, MA</t>
  </si>
  <si>
    <t>Lincolnton, NC</t>
  </si>
  <si>
    <t>New Hyde Park, NY</t>
  </si>
  <si>
    <t>Manalapan Township, NJ</t>
  </si>
  <si>
    <t>New Berlin, WI</t>
  </si>
  <si>
    <t>Great Neck, NY</t>
  </si>
  <si>
    <t>Lake Wales, FL</t>
  </si>
  <si>
    <t>Hallandale, FL</t>
  </si>
  <si>
    <t>Hillsborough Township, NJ</t>
  </si>
  <si>
    <t>District Heights, MD</t>
  </si>
  <si>
    <t>Clinton, MD</t>
  </si>
  <si>
    <t>Rancho Palos Verdes, CA</t>
  </si>
  <si>
    <t>Lake Worth, FL</t>
  </si>
  <si>
    <t>Elmont, NY</t>
  </si>
  <si>
    <t>Brownsburg, IN</t>
  </si>
  <si>
    <t>Englewood, CO</t>
  </si>
  <si>
    <t>Lutherville Timonium, MD</t>
  </si>
  <si>
    <t>Bowling Green, OH</t>
  </si>
  <si>
    <t>La Quinta, CA</t>
  </si>
  <si>
    <t>Bartlett, IL</t>
  </si>
  <si>
    <t>Fenton, MI</t>
  </si>
  <si>
    <t>Northbrook, IL</t>
  </si>
  <si>
    <t>Lebanon, OH</t>
  </si>
  <si>
    <t>Saratoga Springs, NY</t>
  </si>
  <si>
    <t>Montclair, CA</t>
  </si>
  <si>
    <t>Eagle, ID</t>
  </si>
  <si>
    <t>Old Bridge Township, NJ</t>
  </si>
  <si>
    <t>Rohnert Park, CA</t>
  </si>
  <si>
    <t>Montclair, NJ</t>
  </si>
  <si>
    <t>Harvey, LA</t>
  </si>
  <si>
    <t>Bristol, TN</t>
  </si>
  <si>
    <t>Miamisburg, OH</t>
  </si>
  <si>
    <t>Winchester, CA</t>
  </si>
  <si>
    <t>Farmers Branch, TX</t>
  </si>
  <si>
    <t>Dunnellon, FL</t>
  </si>
  <si>
    <t>West Babylon, NY</t>
  </si>
  <si>
    <t>Fairborn, OH</t>
  </si>
  <si>
    <t>Wildomar, CA</t>
  </si>
  <si>
    <t>Tucker, GA</t>
  </si>
  <si>
    <t>Kendall West, FL</t>
  </si>
  <si>
    <t>Romeoville, IL</t>
  </si>
  <si>
    <t>Hampton, GA</t>
  </si>
  <si>
    <t>Port Huron, MI</t>
  </si>
  <si>
    <t>Marana, AZ</t>
  </si>
  <si>
    <t>Clover, SC</t>
  </si>
  <si>
    <t>Rock Island, IL</t>
  </si>
  <si>
    <t>East Meadow, NY</t>
  </si>
  <si>
    <t>Converse, TX</t>
  </si>
  <si>
    <t>Moorpark, CA</t>
  </si>
  <si>
    <t>Merrillville, IN</t>
  </si>
  <si>
    <t>Glen Ellyn, IL</t>
  </si>
  <si>
    <t>Spring Hill, TN</t>
  </si>
  <si>
    <t>Friendswood, TX</t>
  </si>
  <si>
    <t>Arnold, MO</t>
  </si>
  <si>
    <t>Northglenn, CO</t>
  </si>
  <si>
    <t>Atwater, CA</t>
  </si>
  <si>
    <t>Park Ridge, IL</t>
  </si>
  <si>
    <t>Culver City, CA</t>
  </si>
  <si>
    <t>Salem, VA</t>
  </si>
  <si>
    <t>Ramona, CA</t>
  </si>
  <si>
    <t>Pacifica, CA</t>
  </si>
  <si>
    <t>Perrysburg, OH</t>
  </si>
  <si>
    <t>Reynoldsburg, OH</t>
  </si>
  <si>
    <t>Avon, IN</t>
  </si>
  <si>
    <t>Duncanville, TX</t>
  </si>
  <si>
    <t>Leavenworth, KS</t>
  </si>
  <si>
    <t>Oro Valley, AZ</t>
  </si>
  <si>
    <t>Lemoore, CA</t>
  </si>
  <si>
    <t>Groton, CT</t>
  </si>
  <si>
    <t>Buffalo Grove, IL</t>
  </si>
  <si>
    <t>Beverly, MA</t>
  </si>
  <si>
    <t>Roy, UT</t>
  </si>
  <si>
    <t>West Fargo, ND</t>
  </si>
  <si>
    <t>Mableton, GA</t>
  </si>
  <si>
    <t>Shrewsbury, MA</t>
  </si>
  <si>
    <t>Fort Lee, NJ</t>
  </si>
  <si>
    <t>Ronkonkoma, NY</t>
  </si>
  <si>
    <t>Plymouth, MI</t>
  </si>
  <si>
    <t>Carlsbad, NM</t>
  </si>
  <si>
    <t>Hurst, TX</t>
  </si>
  <si>
    <t>McMinnville, OR</t>
  </si>
  <si>
    <t>Sulphur, LA</t>
  </si>
  <si>
    <t>Claremont, CA</t>
  </si>
  <si>
    <t>Warren, OH</t>
  </si>
  <si>
    <t>Redmond, OR</t>
  </si>
  <si>
    <t>Huber Heights, OH</t>
  </si>
  <si>
    <t>Aventura, FL</t>
  </si>
  <si>
    <t>Texarkana, AR</t>
  </si>
  <si>
    <t>Rockwall, TX</t>
  </si>
  <si>
    <t>Egypt Lake-Leto, FL</t>
  </si>
  <si>
    <t>Northport, AL</t>
  </si>
  <si>
    <t>Greenfield, WI</t>
  </si>
  <si>
    <t>Hudsonville, MI</t>
  </si>
  <si>
    <t>Menomonee Falls, WI</t>
  </si>
  <si>
    <t>Media, PA</t>
  </si>
  <si>
    <t>Braintree, MA</t>
  </si>
  <si>
    <t>Pineville, LA</t>
  </si>
  <si>
    <t>Wildwood, MO</t>
  </si>
  <si>
    <t>Placerville, CA</t>
  </si>
  <si>
    <t>Mount Vernon, VA</t>
  </si>
  <si>
    <t>Copperas Cove, TX</t>
  </si>
  <si>
    <t>Battle Ground, WA</t>
  </si>
  <si>
    <t>Altadena, CA</t>
  </si>
  <si>
    <t>Henderson, KY</t>
  </si>
  <si>
    <t>Lincoln Park, MI</t>
  </si>
  <si>
    <t>Greenville, TX</t>
  </si>
  <si>
    <t>Havertown, PA</t>
  </si>
  <si>
    <t>Hanover Park, IL</t>
  </si>
  <si>
    <t>San Juan Capistrano, CA</t>
  </si>
  <si>
    <t>Pickerington, OH</t>
  </si>
  <si>
    <t>Lorton, VA</t>
  </si>
  <si>
    <t>Trumbull, CT</t>
  </si>
  <si>
    <t>West Hollywood, CA</t>
  </si>
  <si>
    <t>Commerce, MI</t>
  </si>
  <si>
    <t>Cedar Falls, IA</t>
  </si>
  <si>
    <t>San Juan, TX</t>
  </si>
  <si>
    <t>Ladson, SC</t>
  </si>
  <si>
    <t>Sanger, CA</t>
  </si>
  <si>
    <t>Richfield, MN</t>
  </si>
  <si>
    <t>Royal Palm Beach, FL</t>
  </si>
  <si>
    <t>New Lenox, IL</t>
  </si>
  <si>
    <t>Galt, CA</t>
  </si>
  <si>
    <t>Bettendorf, IA</t>
  </si>
  <si>
    <t>Belleville, NJ</t>
  </si>
  <si>
    <t>Roseville, MN</t>
  </si>
  <si>
    <t>Cottage Grove, MN</t>
  </si>
  <si>
    <t>Natick, MA</t>
  </si>
  <si>
    <t>Andover, MA</t>
  </si>
  <si>
    <t>La Vergne, TN</t>
  </si>
  <si>
    <t>Camp Hill, PA</t>
  </si>
  <si>
    <t>Plainfield, IN</t>
  </si>
  <si>
    <t>West Chicago, IL</t>
  </si>
  <si>
    <t>Powell, OH</t>
  </si>
  <si>
    <t>Sonoma, CA</t>
  </si>
  <si>
    <t>North Canton, OH</t>
  </si>
  <si>
    <t>Florence, AZ</t>
  </si>
  <si>
    <t>Reisterstown, MD</t>
  </si>
  <si>
    <t>Reidsville, NC</t>
  </si>
  <si>
    <t>East Point, GA</t>
  </si>
  <si>
    <t>Watertown, MA</t>
  </si>
  <si>
    <t>Pleasant Grove, UT</t>
  </si>
  <si>
    <t>Marysville, CA</t>
  </si>
  <si>
    <t>Troy, OH</t>
  </si>
  <si>
    <t>Marysville, OH</t>
  </si>
  <si>
    <t>Ambler, PA</t>
  </si>
  <si>
    <t>Madison, MS</t>
  </si>
  <si>
    <t>Flowery Branch, GA</t>
  </si>
  <si>
    <t>Rockford, MI</t>
  </si>
  <si>
    <t>Bell, CA</t>
  </si>
  <si>
    <t>Irmo, SC</t>
  </si>
  <si>
    <t>Villa Rica, GA</t>
  </si>
  <si>
    <t>Winchester, KY</t>
  </si>
  <si>
    <t>Oak Creek, WI</t>
  </si>
  <si>
    <t>Oakville, MO</t>
  </si>
  <si>
    <t>Boardman, OH</t>
  </si>
  <si>
    <t>Portage, IN</t>
  </si>
  <si>
    <t>Alliance, OH</t>
  </si>
  <si>
    <t>Porter, TX</t>
  </si>
  <si>
    <t>Quakertown, PA</t>
  </si>
  <si>
    <t>Santa Paula, CA</t>
  </si>
  <si>
    <t>Gainesville, VA</t>
  </si>
  <si>
    <t>Cabot, AR</t>
  </si>
  <si>
    <t>Sykesville, MD</t>
  </si>
  <si>
    <t>Greater Carrollwood, FL</t>
  </si>
  <si>
    <t>Chelmsford, MA</t>
  </si>
  <si>
    <t>Fairhope, AL</t>
  </si>
  <si>
    <t>Upper Arlington, OH</t>
  </si>
  <si>
    <t>Odenton, MD</t>
  </si>
  <si>
    <t>Westmont, CA</t>
  </si>
  <si>
    <t>Batavia, OH</t>
  </si>
  <si>
    <t>South Lyon, MI</t>
  </si>
  <si>
    <t>Franklin, WI</t>
  </si>
  <si>
    <t>Midlothian, TX</t>
  </si>
  <si>
    <t>Pleasant Hill, CA</t>
  </si>
  <si>
    <t>Monsey, NY</t>
  </si>
  <si>
    <t>Calumet City, IL</t>
  </si>
  <si>
    <t>Leawood, KS</t>
  </si>
  <si>
    <t>Los Gatos, CA</t>
  </si>
  <si>
    <t>Blackwood, NJ</t>
  </si>
  <si>
    <t>Sahuarita, AZ</t>
  </si>
  <si>
    <t>Canonsburg, PA</t>
  </si>
  <si>
    <t>Kearns, UT</t>
  </si>
  <si>
    <t>Camas, WA</t>
  </si>
  <si>
    <t>Carpentersville, IL</t>
  </si>
  <si>
    <t>Oakdale, CA</t>
  </si>
  <si>
    <t>Inver Grove Heights, MN</t>
  </si>
  <si>
    <t>Randolph, MA</t>
  </si>
  <si>
    <t>Wappingers Falls, NY</t>
  </si>
  <si>
    <t>Adelanto, CA</t>
  </si>
  <si>
    <t>Sand Springs, OK</t>
  </si>
  <si>
    <t>Temple City, CA</t>
  </si>
  <si>
    <t>Stow, OH</t>
  </si>
  <si>
    <t>Cumberland, RI</t>
  </si>
  <si>
    <t>Elkridge, MD</t>
  </si>
  <si>
    <t>Cooper City, FL</t>
  </si>
  <si>
    <t>Coventry, RI</t>
  </si>
  <si>
    <t>Dayton, TX</t>
  </si>
  <si>
    <t>Halethorpe, MD</t>
  </si>
  <si>
    <t>Glastonbury, CT</t>
  </si>
  <si>
    <t>El Mirage, AZ</t>
  </si>
  <si>
    <t>Bay Shore, NY</t>
  </si>
  <si>
    <t>Barstow, CA</t>
  </si>
  <si>
    <t>Smithtown, NY</t>
  </si>
  <si>
    <t>Orion, MI</t>
  </si>
  <si>
    <t>Gurnee, IL</t>
  </si>
  <si>
    <t>Security-Widefield, CO</t>
  </si>
  <si>
    <t>University City, MO</t>
  </si>
  <si>
    <t>Golden Glades, FL</t>
  </si>
  <si>
    <t>Calexico, CA</t>
  </si>
  <si>
    <t>Chatsworth, GA</t>
  </si>
  <si>
    <t>Hutto, TX</t>
  </si>
  <si>
    <t>Franklin, IN</t>
  </si>
  <si>
    <t>Severn, MD</t>
  </si>
  <si>
    <t>Eustis, FL</t>
  </si>
  <si>
    <t>Baldwinsville, NY</t>
  </si>
  <si>
    <t>Riviera Beach, FL</t>
  </si>
  <si>
    <t>Chaska, MN</t>
  </si>
  <si>
    <t>Hazleton, PA</t>
  </si>
  <si>
    <t>Dartmouth, MA</t>
  </si>
  <si>
    <t>Beverly Hills, CA</t>
  </si>
  <si>
    <t>Cibolo, TX</t>
  </si>
  <si>
    <t>Dunedin, FL</t>
  </si>
  <si>
    <t>Immokalee, FL</t>
  </si>
  <si>
    <t>North Ridgeville, OH</t>
  </si>
  <si>
    <t>Millville, NJ</t>
  </si>
  <si>
    <t>Manhattan Beach, CA</t>
  </si>
  <si>
    <t>Spotsylvania, VA</t>
  </si>
  <si>
    <t>Pearl City, HI</t>
  </si>
  <si>
    <t>Foster City, CA</t>
  </si>
  <si>
    <t>Prior Lake, MN</t>
  </si>
  <si>
    <t>Newburgh, IN</t>
  </si>
  <si>
    <t>Tehachapi, CA</t>
  </si>
  <si>
    <t>South Miami Heights, FL</t>
  </si>
  <si>
    <t>Ravenna, OH</t>
  </si>
  <si>
    <t>Farmingdale, NY</t>
  </si>
  <si>
    <t>Ken Caryl, CO</t>
  </si>
  <si>
    <t>Richmond West, FL</t>
  </si>
  <si>
    <t>Somerton, AZ</t>
  </si>
  <si>
    <t>Denison, TX</t>
  </si>
  <si>
    <t>Channelview, TX</t>
  </si>
  <si>
    <t>Matthews, NC</t>
  </si>
  <si>
    <t>La Verne, CA</t>
  </si>
  <si>
    <t>Elizabethton, TN</t>
  </si>
  <si>
    <t>Banning, CA</t>
  </si>
  <si>
    <t>Tarpon Springs, FL</t>
  </si>
  <si>
    <t>Lauderdale Lakes, FL</t>
  </si>
  <si>
    <t>Ridgecrest, CA</t>
  </si>
  <si>
    <t>Derry, NH</t>
  </si>
  <si>
    <t>Neptune Township, NJ</t>
  </si>
  <si>
    <t>Van Buren, AR</t>
  </si>
  <si>
    <t>Midvale, UT</t>
  </si>
  <si>
    <t>Dana Point, CA</t>
  </si>
  <si>
    <t>New City, NY</t>
  </si>
  <si>
    <t>Lexington, MA</t>
  </si>
  <si>
    <t>Milford, OH</t>
  </si>
  <si>
    <t>Keizer, OR</t>
  </si>
  <si>
    <t>Morrisville, PA</t>
  </si>
  <si>
    <t>Huntington, NY</t>
  </si>
  <si>
    <t>Mc Minnville, TN</t>
  </si>
  <si>
    <t>University Place, WA</t>
  </si>
  <si>
    <t>Franklin, MA</t>
  </si>
  <si>
    <t>Los Altos, CA</t>
  </si>
  <si>
    <t>Shingle Springs, CA</t>
  </si>
  <si>
    <t>Woodstock, IL</t>
  </si>
  <si>
    <t>San Dimas, CA</t>
  </si>
  <si>
    <t>Cottonwood Heights, UT</t>
  </si>
  <si>
    <t>Canton, MS</t>
  </si>
  <si>
    <t>Gahanna, OH</t>
  </si>
  <si>
    <t>Fair Lawn, NJ</t>
  </si>
  <si>
    <t>Orange, TX</t>
  </si>
  <si>
    <t>Sherwood, AR</t>
  </si>
  <si>
    <t>Dinuba, CA</t>
  </si>
  <si>
    <t>Culpeper, VA</t>
  </si>
  <si>
    <t>Palmer, AK</t>
  </si>
  <si>
    <t>Westwego, LA</t>
  </si>
  <si>
    <t>Mebane, NC</t>
  </si>
  <si>
    <t>Alabaster, AL</t>
  </si>
  <si>
    <t>Collinsville, IL</t>
  </si>
  <si>
    <t>Ballston Spa, NY</t>
  </si>
  <si>
    <t>Lawndale, CA</t>
  </si>
  <si>
    <t>Fernandina Beach, FL</t>
  </si>
  <si>
    <t>Reedley, CA</t>
  </si>
  <si>
    <t>Elk Grove Village, IL</t>
  </si>
  <si>
    <t>Warrenton, VA</t>
  </si>
  <si>
    <t>Andover, MN</t>
  </si>
  <si>
    <t>Wailuku, HI</t>
  </si>
  <si>
    <t>Litchfield Park, AZ</t>
  </si>
  <si>
    <t>Melrose Park, IL</t>
  </si>
  <si>
    <t>Willis, TX</t>
  </si>
  <si>
    <t>Mercedes, TX</t>
  </si>
  <si>
    <t>West Little River, FL</t>
  </si>
  <si>
    <t>American Fork, UT</t>
  </si>
  <si>
    <t>North Providence, RI</t>
  </si>
  <si>
    <t>Schertz, TX</t>
  </si>
  <si>
    <t>Lafayette, CO</t>
  </si>
  <si>
    <t>Waynesboro, VA</t>
  </si>
  <si>
    <t>Belvidere, IL</t>
  </si>
  <si>
    <t>Burlington Township, NJ</t>
  </si>
  <si>
    <t>Atascadero, CA</t>
  </si>
  <si>
    <t>West Bend, WI</t>
  </si>
  <si>
    <t>Randallstown, MD</t>
  </si>
  <si>
    <t>Peachtree City, GA</t>
  </si>
  <si>
    <t>Hope Mills, NC</t>
  </si>
  <si>
    <t>Windermere, FL</t>
  </si>
  <si>
    <t>Eastpointe, MI</t>
  </si>
  <si>
    <t>Westlake, OH</t>
  </si>
  <si>
    <t>Huntington Station, NY</t>
  </si>
  <si>
    <t>Davison, MI</t>
  </si>
  <si>
    <t>Sylvania, OH</t>
  </si>
  <si>
    <t>Frankfort, IL</t>
  </si>
  <si>
    <t>Merrick, NY</t>
  </si>
  <si>
    <t>Baldwin, NY</t>
  </si>
  <si>
    <t>Parkland, FL</t>
  </si>
  <si>
    <t>Franklin Square, NY</t>
  </si>
  <si>
    <t>Granite City, IL</t>
  </si>
  <si>
    <t>Deer Park, TX</t>
  </si>
  <si>
    <t>Maple Valley, WA</t>
  </si>
  <si>
    <t>La Porte, TX</t>
  </si>
  <si>
    <t>Morrisville, NC</t>
  </si>
  <si>
    <t>Waynesboro, PA</t>
  </si>
  <si>
    <t>Ocean Springs, MS</t>
  </si>
  <si>
    <t>Fountain, CO</t>
  </si>
  <si>
    <t>Pearl, MS</t>
  </si>
  <si>
    <t>Saratoga, CA</t>
  </si>
  <si>
    <t>Indian Trail, NC</t>
  </si>
  <si>
    <t>Terrell, TX</t>
  </si>
  <si>
    <t>Clemmons, NC</t>
  </si>
  <si>
    <t>Woodridge, IL</t>
  </si>
  <si>
    <t>Pittsford, NY</t>
  </si>
  <si>
    <t>Matawan, NJ</t>
  </si>
  <si>
    <t>Princeton, WV</t>
  </si>
  <si>
    <t>Willingboro Township, NJ</t>
  </si>
  <si>
    <t>Dover, NH</t>
  </si>
  <si>
    <t>Niles, IL</t>
  </si>
  <si>
    <t>Orangevale, CA</t>
  </si>
  <si>
    <t>Happy Valley, OR</t>
  </si>
  <si>
    <t>Glenside, PA</t>
  </si>
  <si>
    <t>Elizabethtown, PA</t>
  </si>
  <si>
    <t>Cleveland, TX</t>
  </si>
  <si>
    <t>North Andover, MA</t>
  </si>
  <si>
    <t>Langhorne, PA</t>
  </si>
  <si>
    <t>McKeesport, PA</t>
  </si>
  <si>
    <t>Cordova, TN</t>
  </si>
  <si>
    <t>New Smyrna Beach, FL</t>
  </si>
  <si>
    <t>Southlake, TX</t>
  </si>
  <si>
    <t>Garfield, NJ</t>
  </si>
  <si>
    <t>Inman, SC</t>
  </si>
  <si>
    <t>Ozark, MO</t>
  </si>
  <si>
    <t>Piedmont, SC</t>
  </si>
  <si>
    <t>North Olmsted, OH</t>
  </si>
  <si>
    <t>Montgomery Village, MD</t>
  </si>
  <si>
    <t>Dracut, MA</t>
  </si>
  <si>
    <t>Wadsworth, OH</t>
  </si>
  <si>
    <t>Naugatuck, CT</t>
  </si>
  <si>
    <t>Rosenberg, TX</t>
  </si>
  <si>
    <t>White Lake, MI</t>
  </si>
  <si>
    <t>Holly Springs, NC</t>
  </si>
  <si>
    <t>Burlingame, CA</t>
  </si>
  <si>
    <t>Drexel Hill, PA</t>
  </si>
  <si>
    <t>Westfield, IN</t>
  </si>
  <si>
    <t>Abingdon, MD</t>
  </si>
  <si>
    <t>Murrells Inlet, SC</t>
  </si>
  <si>
    <t>Seaside, CA</t>
  </si>
  <si>
    <t>Chillum, MD</t>
  </si>
  <si>
    <t>Sapulpa, OK</t>
  </si>
  <si>
    <t>Edwardsville, IL</t>
  </si>
  <si>
    <t>Laguna Hills, CA</t>
  </si>
  <si>
    <t>Parkville, MD</t>
  </si>
  <si>
    <t>Auburndale, FL</t>
  </si>
  <si>
    <t>Needham, MA</t>
  </si>
  <si>
    <t>Socorro, TX</t>
  </si>
  <si>
    <t>Rochester, NH</t>
  </si>
  <si>
    <t>Tewksbury, MA</t>
  </si>
  <si>
    <t>Ruskin, FL</t>
  </si>
  <si>
    <t>Inverness, FL</t>
  </si>
  <si>
    <t>Grand Haven, MI</t>
  </si>
  <si>
    <t>Des Moines, WA</t>
  </si>
  <si>
    <t>Vestavia Hills, AL</t>
  </si>
  <si>
    <t>Central Islip, NY</t>
  </si>
  <si>
    <t>Liberty, MO</t>
  </si>
  <si>
    <t>Wheat Ridge, CO</t>
  </si>
  <si>
    <t>Brooklyn Center, MN</t>
  </si>
  <si>
    <t>Zeeland, MI</t>
  </si>
  <si>
    <t>Woodburn, OR</t>
  </si>
  <si>
    <t>Live Oak, FL</t>
  </si>
  <si>
    <t>Hartsville, SC</t>
  </si>
  <si>
    <t>Holladay, UT</t>
  </si>
  <si>
    <t>Hobart, IN</t>
  </si>
  <si>
    <t>East Northport, NY</t>
  </si>
  <si>
    <t>Lapeer, MI</t>
  </si>
  <si>
    <t>San Lorenzo, CA</t>
  </si>
  <si>
    <t>Glendale Heights, IL</t>
  </si>
  <si>
    <t>Shelbyville, KY</t>
  </si>
  <si>
    <t>Cantonment, FL</t>
  </si>
  <si>
    <t>Lawrence Township, NJ</t>
  </si>
  <si>
    <t>Monterey, CA</t>
  </si>
  <si>
    <t>Palm City, FL</t>
  </si>
  <si>
    <t>Dania Beach, FL</t>
  </si>
  <si>
    <t>San Carlos, CA</t>
  </si>
  <si>
    <t>Uniontown, PA</t>
  </si>
  <si>
    <t>Cranberry Township, PA</t>
  </si>
  <si>
    <t>Tooele, UT</t>
  </si>
  <si>
    <t>Selma, CA</t>
  </si>
  <si>
    <t>Nixa, MO</t>
  </si>
  <si>
    <t>Aliquippa, PA</t>
  </si>
  <si>
    <t>Wantagh, NY</t>
  </si>
  <si>
    <t>Newington, CT</t>
  </si>
  <si>
    <t>Brownstown, MI</t>
  </si>
  <si>
    <t>Brooksville, FL</t>
  </si>
  <si>
    <t>Batavia, IL</t>
  </si>
  <si>
    <t>Herriman, UT</t>
  </si>
  <si>
    <t>Sherwood, OR</t>
  </si>
  <si>
    <t>North Royalton, OH</t>
  </si>
  <si>
    <t>Foley, AL</t>
  </si>
  <si>
    <t>Graham, WA</t>
  </si>
  <si>
    <t>La Place, LA</t>
  </si>
  <si>
    <t>Martinsville, IN</t>
  </si>
  <si>
    <t>Coram, NY</t>
  </si>
  <si>
    <t>Sebastopol, CA</t>
  </si>
  <si>
    <t>Front Royal, VA</t>
  </si>
  <si>
    <t>York, SC</t>
  </si>
  <si>
    <t>Livingston, NJ</t>
  </si>
  <si>
    <t>Knightdale, NC</t>
  </si>
  <si>
    <t>Madison Heights, MI</t>
  </si>
  <si>
    <t>West Linn, OR</t>
  </si>
  <si>
    <t>Orange, NJ</t>
  </si>
  <si>
    <t>Walnut, CA</t>
  </si>
  <si>
    <t>Englewood, FL</t>
  </si>
  <si>
    <t>Endicott, NY</t>
  </si>
  <si>
    <t>Jonesborough, TN</t>
  </si>
  <si>
    <t>Bartow, FL</t>
  </si>
  <si>
    <t>Oak Park, MI</t>
  </si>
  <si>
    <t>Wetumpka, AL</t>
  </si>
  <si>
    <t>Lafayette, CA</t>
  </si>
  <si>
    <t>Chicago Heights, IL</t>
  </si>
  <si>
    <t>College Park, MD</t>
  </si>
  <si>
    <t>Westfield, NJ</t>
  </si>
  <si>
    <t>Lansing, IL</t>
  </si>
  <si>
    <t>Corbin, KY</t>
  </si>
  <si>
    <t>Harker Heights, TX</t>
  </si>
  <si>
    <t>Granger, IN</t>
  </si>
  <si>
    <t>Arroyo Grande, CA</t>
  </si>
  <si>
    <t>Stroudsburg, PA</t>
  </si>
  <si>
    <t>Bourbonnais, IL</t>
  </si>
  <si>
    <t>Mount Pleasant, WI</t>
  </si>
  <si>
    <t>Springville, UT</t>
  </si>
  <si>
    <t>Bethel Park, PA</t>
  </si>
  <si>
    <t>Newberg, OR</t>
  </si>
  <si>
    <t>Ooltewah, TN</t>
  </si>
  <si>
    <t>Olivehurst, CA</t>
  </si>
  <si>
    <t>Seatac, WA</t>
  </si>
  <si>
    <t>Norwood, MA</t>
  </si>
  <si>
    <t>Commack, NY</t>
  </si>
  <si>
    <t>Geneva, IL</t>
  </si>
  <si>
    <t>Johnston, RI</t>
  </si>
  <si>
    <t>Lebanon, OR</t>
  </si>
  <si>
    <t>South Lake Tahoe, CA</t>
  </si>
  <si>
    <t>Hopewell, VA</t>
  </si>
  <si>
    <t>Rahway, NJ</t>
  </si>
  <si>
    <t>Port Chester, NY</t>
  </si>
  <si>
    <t>Dumfries, VA</t>
  </si>
  <si>
    <t>Ponchatoula, LA</t>
  </si>
  <si>
    <t>Menasha, WI</t>
  </si>
  <si>
    <t>Plainview, NY</t>
  </si>
  <si>
    <t>Salem, NH</t>
  </si>
  <si>
    <t>Vernon Rockville, CT</t>
  </si>
  <si>
    <t>Voorhees Township, NJ</t>
  </si>
  <si>
    <t>North Attleboro, MA</t>
  </si>
  <si>
    <t>Moss Point, MS</t>
  </si>
  <si>
    <t>Derby, KS</t>
  </si>
  <si>
    <t>Flemington, NJ</t>
  </si>
  <si>
    <t>Clinton, TN</t>
  </si>
  <si>
    <t>Cheshire, CT</t>
  </si>
  <si>
    <t>Southgate, MI</t>
  </si>
  <si>
    <t>Garden City, NY</t>
  </si>
  <si>
    <t>Sugar Hill, GA</t>
  </si>
  <si>
    <t>Green Cove Springs, FL</t>
  </si>
  <si>
    <t>Navarre, FL</t>
  </si>
  <si>
    <t>Mount Dora, FL</t>
  </si>
  <si>
    <t>Latrobe, PA</t>
  </si>
  <si>
    <t>Libertyville, IL</t>
  </si>
  <si>
    <t>Holiday, FL</t>
  </si>
  <si>
    <t>Poulsbo, WA</t>
  </si>
  <si>
    <t>Hackettstown, NJ</t>
  </si>
  <si>
    <t>Chamblee, GA</t>
  </si>
  <si>
    <t>De Pere, WI</t>
  </si>
  <si>
    <t>Savage, MN</t>
  </si>
  <si>
    <t>Yorktown Heights, NY</t>
  </si>
  <si>
    <t>West Springfield, MA</t>
  </si>
  <si>
    <t>Mill Valley, CA</t>
  </si>
  <si>
    <t>Malvern, PA</t>
  </si>
  <si>
    <t>Mount Airy, MD</t>
  </si>
  <si>
    <t>Saugus, MA</t>
  </si>
  <si>
    <t>Waxhaw, NC</t>
  </si>
  <si>
    <t>Long Branch, NJ</t>
  </si>
  <si>
    <t>Central Point, OR</t>
  </si>
  <si>
    <t>Milford, MA</t>
  </si>
  <si>
    <t>Agawam, MA</t>
  </si>
  <si>
    <t>Raytown, MO</t>
  </si>
  <si>
    <t>East Haven, CT</t>
  </si>
  <si>
    <t>Windsor, CT</t>
  </si>
  <si>
    <t>Taylorsville, NC</t>
  </si>
  <si>
    <t>Van Buren, MI</t>
  </si>
  <si>
    <t>Wellesley, MA</t>
  </si>
  <si>
    <t>West Warwick, RI</t>
  </si>
  <si>
    <t>Ponte Vedra Beach, FL</t>
  </si>
  <si>
    <t>Florin, CA</t>
  </si>
  <si>
    <t>Bellefonte, PA</t>
  </si>
  <si>
    <t>Sequim, WA</t>
  </si>
  <si>
    <t>Lake in the Hills, IL</t>
  </si>
  <si>
    <t>Festus, MO</t>
  </si>
  <si>
    <t>Oak Ridge, TN</t>
  </si>
  <si>
    <t>Wasco, CA</t>
  </si>
  <si>
    <t>Algonquin, IL</t>
  </si>
  <si>
    <t>Christiansburg, VA</t>
  </si>
  <si>
    <t>Fleming Island, FL</t>
  </si>
  <si>
    <t>Miami Lakes, FL</t>
  </si>
  <si>
    <t>Stoughton, MA</t>
  </si>
  <si>
    <t>Colonial Heights, VA</t>
  </si>
  <si>
    <t>Grandville, MI</t>
  </si>
  <si>
    <t>Wayne, PA</t>
  </si>
  <si>
    <t>Eagle Mountain, UT</t>
  </si>
  <si>
    <t>Huntley, IL</t>
  </si>
  <si>
    <t>Dawsonville, GA</t>
  </si>
  <si>
    <t>Amityville, NY</t>
  </si>
  <si>
    <t>Oakdale, MN</t>
  </si>
  <si>
    <t>Springfield, TN</t>
  </si>
  <si>
    <t>Goleta, CA</t>
  </si>
  <si>
    <t>Fitchburg, WI</t>
  </si>
  <si>
    <t>Centereach, NY</t>
  </si>
  <si>
    <t>Shelbyville, IN</t>
  </si>
  <si>
    <t>Port Washington, NY</t>
  </si>
  <si>
    <t>South Kingstown, RI</t>
  </si>
  <si>
    <t>Zionsville, IN</t>
  </si>
  <si>
    <t>Estero, FL</t>
  </si>
  <si>
    <t>Nutley, NJ</t>
  </si>
  <si>
    <t>Englewood, NJ</t>
  </si>
  <si>
    <t>Northampton, MA</t>
  </si>
  <si>
    <t>Norco, CA</t>
  </si>
  <si>
    <t>Abingdon, VA</t>
  </si>
  <si>
    <t>Lisle, IL</t>
  </si>
  <si>
    <t>Carlsbad-Artesia, NM</t>
  </si>
  <si>
    <t>Marion, IL</t>
  </si>
  <si>
    <t>Winterville, NC</t>
  </si>
  <si>
    <t>Schererville, IN</t>
  </si>
  <si>
    <t>Lake Jackson, TX</t>
  </si>
  <si>
    <t>Branford, CT</t>
  </si>
  <si>
    <t>Clearfield, UT</t>
  </si>
  <si>
    <t>Bristol, VA</t>
  </si>
  <si>
    <t>Oceanside, NY</t>
  </si>
  <si>
    <t>North Tustin, CA</t>
  </si>
  <si>
    <t>Beltsville, MD</t>
  </si>
  <si>
    <t>Trussville, AL</t>
  </si>
  <si>
    <t>Forest Grove, OR</t>
  </si>
  <si>
    <t>Fruit Cove, FL</t>
  </si>
  <si>
    <t>Suisun City, CA</t>
  </si>
  <si>
    <t>Monroeville, PA</t>
  </si>
  <si>
    <t>Highland Park, IL</t>
  </si>
  <si>
    <t>Newtown, CT</t>
  </si>
  <si>
    <t>Garfield Heights, OH</t>
  </si>
  <si>
    <t>Stanton, CA</t>
  </si>
  <si>
    <t>Owosso, MI</t>
  </si>
  <si>
    <t>Vestal, NY</t>
  </si>
  <si>
    <t>Bastrop, TX</t>
  </si>
  <si>
    <t>Oxford, OH</t>
  </si>
  <si>
    <t>Milton, MA</t>
  </si>
  <si>
    <t>Gloucester, MA</t>
  </si>
  <si>
    <t>Waynesville, NC</t>
  </si>
  <si>
    <t>Fridley, MN</t>
  </si>
  <si>
    <t>Paine Field-Lake Stickney, WA</t>
  </si>
  <si>
    <t>Melrose, MA</t>
  </si>
  <si>
    <t>Medford, NY</t>
  </si>
  <si>
    <t>Yorkville, IL</t>
  </si>
  <si>
    <t>Park City, UT</t>
  </si>
  <si>
    <t>Wildwood, FL</t>
  </si>
  <si>
    <t>Lithia Springs, GA</t>
  </si>
  <si>
    <t>Citrus Ridge, FL</t>
  </si>
  <si>
    <t>Niceville, FL</t>
  </si>
  <si>
    <t>Monroe, NC</t>
  </si>
  <si>
    <t>Hernando, MS</t>
  </si>
  <si>
    <t>Sun Prairie, WI</t>
  </si>
  <si>
    <t>Quincy, FL</t>
  </si>
  <si>
    <t>Edgewater, FL</t>
  </si>
  <si>
    <t>Sun City West, AZ</t>
  </si>
  <si>
    <t>Dahlonega, GA</t>
  </si>
  <si>
    <t>Bridgewater, MA</t>
  </si>
  <si>
    <t>Danvers, MA</t>
  </si>
  <si>
    <t>Lenoir City, TN</t>
  </si>
  <si>
    <t>Farmington, MN</t>
  </si>
  <si>
    <t>Colleyville, TX</t>
  </si>
  <si>
    <t>Bella Vista, AR</t>
  </si>
  <si>
    <t>Dickson, TN</t>
  </si>
  <si>
    <t>Ladera Ranch, CA</t>
  </si>
  <si>
    <t>Shaker Heights, OH</t>
  </si>
  <si>
    <t>Burlington, MA</t>
  </si>
  <si>
    <t>East Windsor Township, NJ</t>
  </si>
  <si>
    <t>New Milford, CT</t>
  </si>
  <si>
    <t>Hudson, WI</t>
  </si>
  <si>
    <t>Lockport, IL</t>
  </si>
  <si>
    <t>East Chicago, IN</t>
  </si>
  <si>
    <t>Mehlville, MO</t>
  </si>
  <si>
    <t>Tualatin, OR</t>
  </si>
  <si>
    <t>Beaver Falls, PA</t>
  </si>
  <si>
    <t>Deer Park, NY</t>
  </si>
  <si>
    <t>Allendale, MI</t>
  </si>
  <si>
    <t>Richmond Hill, GA</t>
  </si>
  <si>
    <t>Windsor, CA</t>
  </si>
  <si>
    <t>Bergenfield, NJ</t>
  </si>
  <si>
    <t>Manor, TX</t>
  </si>
  <si>
    <t>Okemos, MI</t>
  </si>
  <si>
    <t>Woodbury, NJ</t>
  </si>
  <si>
    <t>Lucedale, MS</t>
  </si>
  <si>
    <t>West Milford, NJ</t>
  </si>
  <si>
    <t>O Fallon, IL</t>
  </si>
  <si>
    <t>Cornelius, NC</t>
  </si>
  <si>
    <t>Franklin, NC</t>
  </si>
  <si>
    <t>Allen Park, MI</t>
  </si>
  <si>
    <t>Gladstone, MO</t>
  </si>
  <si>
    <t>Blacklick, OH</t>
  </si>
  <si>
    <t>Crosby, TX</t>
  </si>
  <si>
    <t>East Palo Alto, CA</t>
  </si>
  <si>
    <t>Hopewell Junction, NY</t>
  </si>
  <si>
    <t>Pell City, AL</t>
  </si>
  <si>
    <t>Forest, VA</t>
  </si>
  <si>
    <t>Wakefield, MA</t>
  </si>
  <si>
    <t>Citrus Park, FL</t>
  </si>
  <si>
    <t>Basking Ridge, NJ</t>
  </si>
  <si>
    <t>Neenah, WI</t>
  </si>
  <si>
    <t>Gibsonia, PA</t>
  </si>
  <si>
    <t>Severna Park, MD</t>
  </si>
  <si>
    <t>Berlin, MD</t>
  </si>
  <si>
    <t>Monroe, WA</t>
  </si>
  <si>
    <t>University Park, FL</t>
  </si>
  <si>
    <t>Smyrna, DE</t>
  </si>
  <si>
    <t>Belmont, CA</t>
  </si>
  <si>
    <t>Balch Springs, TX</t>
  </si>
  <si>
    <t>North Wales, PA</t>
  </si>
  <si>
    <t>Forest Park, GA</t>
  </si>
  <si>
    <t>Phillipsburg, NJ</t>
  </si>
  <si>
    <t>Junction City, KS</t>
  </si>
  <si>
    <t>Parkland, WA</t>
  </si>
  <si>
    <t>Kaysville, UT</t>
  </si>
  <si>
    <t>Patterson, CA</t>
  </si>
  <si>
    <t>Isla Vista, CA</t>
  </si>
  <si>
    <t>Shoreview, MN</t>
  </si>
  <si>
    <t>Mays Landing, NJ</t>
  </si>
  <si>
    <t>Bristow, VA</t>
  </si>
  <si>
    <t>Zebulon, NC</t>
  </si>
  <si>
    <t>Paramus, NJ</t>
  </si>
  <si>
    <t>Wilmette, IL</t>
  </si>
  <si>
    <t>Uniondale, NY</t>
  </si>
  <si>
    <t>Ramsey, MN</t>
  </si>
  <si>
    <t>Leesburg, GA</t>
  </si>
  <si>
    <t>Temple Terrace, FL</t>
  </si>
  <si>
    <t>Jenison, MI</t>
  </si>
  <si>
    <t>Mahwah Township, NJ</t>
  </si>
  <si>
    <t>Avon Park, FL</t>
  </si>
  <si>
    <t>Lemon Grove, CA</t>
  </si>
  <si>
    <t>Garden City, MI</t>
  </si>
  <si>
    <t>Burbank, IL</t>
  </si>
  <si>
    <t>Oxford, NC</t>
  </si>
  <si>
    <t>Powhatan, VA</t>
  </si>
  <si>
    <t>Vidor, TX</t>
  </si>
  <si>
    <t>Youngsville, LA</t>
  </si>
  <si>
    <t>Morehead, KY</t>
  </si>
  <si>
    <t>Elgin, SC</t>
  </si>
  <si>
    <t>Temple Hills, MD</t>
  </si>
  <si>
    <t>Benicia, CA</t>
  </si>
  <si>
    <t>New Windsor, NY</t>
  </si>
  <si>
    <t>Oildale, CA</t>
  </si>
  <si>
    <t>Long Beach, NY</t>
  </si>
  <si>
    <t>Sparta, TN</t>
  </si>
  <si>
    <t>Locust Grove, GA</t>
  </si>
  <si>
    <t>Ellijay, GA</t>
  </si>
  <si>
    <t>Guthrie, OK</t>
  </si>
  <si>
    <t>Westport, CT</t>
  </si>
  <si>
    <t>Manchester, TN</t>
  </si>
  <si>
    <t>Odessa, FL</t>
  </si>
  <si>
    <t>Superior, WI</t>
  </si>
  <si>
    <t>McHenry, IL</t>
  </si>
  <si>
    <t>Canon City, CO</t>
  </si>
  <si>
    <t>Dover, PA</t>
  </si>
  <si>
    <t>Wethersfield, CT</t>
  </si>
  <si>
    <t>Rockville Centre, NY</t>
  </si>
  <si>
    <t>Jackson, MO</t>
  </si>
  <si>
    <t>Dix Hills, NY</t>
  </si>
  <si>
    <t>Radford, VA</t>
  </si>
  <si>
    <t>Washington, MI</t>
  </si>
  <si>
    <t>Kirkwood, MO</t>
  </si>
  <si>
    <t>Burton, MI</t>
  </si>
  <si>
    <t>Azle, TX</t>
  </si>
  <si>
    <t>Greenbelt, MD</t>
  </si>
  <si>
    <t>Holbrook, NY</t>
  </si>
  <si>
    <t>Newton, NC</t>
  </si>
  <si>
    <t>Feasterville Trevose, PA</t>
  </si>
  <si>
    <t>Mercer Island, WA</t>
  </si>
  <si>
    <t>Smithfield, NC</t>
  </si>
  <si>
    <t>Evergreen, CO</t>
  </si>
  <si>
    <t>Merrimack, NH</t>
  </si>
  <si>
    <t>Silverdale, WA</t>
  </si>
  <si>
    <t>Newton, NJ</t>
  </si>
  <si>
    <t>Abbeville, LA</t>
  </si>
  <si>
    <t>South Windsor, CT</t>
  </si>
  <si>
    <t>Takoma Park, MD</t>
  </si>
  <si>
    <t>Marshfield, WI</t>
  </si>
  <si>
    <t>Londonderry, NH</t>
  </si>
  <si>
    <t>Clinton, NC</t>
  </si>
  <si>
    <t>Barberton, OH</t>
  </si>
  <si>
    <t>Nazareth, PA</t>
  </si>
  <si>
    <t>Haymarket, VA</t>
  </si>
  <si>
    <t>Macungie, PA</t>
  </si>
  <si>
    <t>New London, CT</t>
  </si>
  <si>
    <t>Maywood, CA</t>
  </si>
  <si>
    <t>Queensbury, NY</t>
  </si>
  <si>
    <t>Hummelstown, PA</t>
  </si>
  <si>
    <t>Green Valley, AZ</t>
  </si>
  <si>
    <t>Mansfield, CT</t>
  </si>
  <si>
    <t>Imperial Beach, CA</t>
  </si>
  <si>
    <t>Green, OH</t>
  </si>
  <si>
    <t>Magna, UT</t>
  </si>
  <si>
    <t>Belmont, MA</t>
  </si>
  <si>
    <t>Marshall, TX</t>
  </si>
  <si>
    <t>King of Prussia, PA</t>
  </si>
  <si>
    <t>Lochearn, MD</t>
  </si>
  <si>
    <t>Darlington, SC</t>
  </si>
  <si>
    <t>Summerfield, FL</t>
  </si>
  <si>
    <t>Neosho, MO</t>
  </si>
  <si>
    <t>Mandan, ND</t>
  </si>
  <si>
    <t>Barnegat, NJ</t>
  </si>
  <si>
    <t>Maumee, OH</t>
  </si>
  <si>
    <t>Hudson, NH</t>
  </si>
  <si>
    <t>King George, VA</t>
  </si>
  <si>
    <t>Seffner, FL</t>
  </si>
  <si>
    <t>Candler, NC</t>
  </si>
  <si>
    <t>South Salt Lake, UT</t>
  </si>
  <si>
    <t>Jackson, GA</t>
  </si>
  <si>
    <t>East Saint Louis, IL</t>
  </si>
  <si>
    <t>Yucca Valley, CA</t>
  </si>
  <si>
    <t>South Pasadena, CA</t>
  </si>
  <si>
    <t>Syracuse, UT</t>
  </si>
  <si>
    <t>Soledad, CA</t>
  </si>
  <si>
    <t>Monroe, GA</t>
  </si>
  <si>
    <t>Villa Park, IL</t>
  </si>
  <si>
    <t>Alton, IL</t>
  </si>
  <si>
    <t>Glen Cove, NY</t>
  </si>
  <si>
    <t>Cleveland, GA</t>
  </si>
  <si>
    <t>Mahopac, NY</t>
  </si>
  <si>
    <t>River Falls, WI</t>
  </si>
  <si>
    <t>Onalaska, WI</t>
  </si>
  <si>
    <t>Oak Forest, IL</t>
  </si>
  <si>
    <t>Northfield, MN</t>
  </si>
  <si>
    <t>Spring Lake, NC</t>
  </si>
  <si>
    <t>Roxboro, NC</t>
  </si>
  <si>
    <t>Crawfordville, FL</t>
  </si>
  <si>
    <t>Deridder, LA</t>
  </si>
  <si>
    <t>Dunn, NC</t>
  </si>
  <si>
    <t>Harvest, AL</t>
  </si>
  <si>
    <t>Shirley, NY</t>
  </si>
  <si>
    <t>Round Lake Beach, IL</t>
  </si>
  <si>
    <t>Homewood, AL</t>
  </si>
  <si>
    <t>Hartselle, AL</t>
  </si>
  <si>
    <t>Mustang, OK</t>
  </si>
  <si>
    <t>El Cerrito, CA</t>
  </si>
  <si>
    <t>Walpole, MA</t>
  </si>
  <si>
    <t>Caledonia, WI</t>
  </si>
  <si>
    <t>Philadelphia, MS</t>
  </si>
  <si>
    <t>Farmington, CT</t>
  </si>
  <si>
    <t>Groveton, VA</t>
  </si>
  <si>
    <t>Ashland, OR</t>
  </si>
  <si>
    <t>Roselle, IL</t>
  </si>
  <si>
    <t>Ridgewood, NJ</t>
  </si>
  <si>
    <t>Muskego, WI</t>
  </si>
  <si>
    <t>Royersford, PA</t>
  </si>
  <si>
    <t>Flushing, MI</t>
  </si>
  <si>
    <t>Reading, MA</t>
  </si>
  <si>
    <t>Dakota Ridge, CO</t>
  </si>
  <si>
    <t>Antioch, IL</t>
  </si>
  <si>
    <t>Royse City, TX</t>
  </si>
  <si>
    <t>Ridgefield, CT</t>
  </si>
  <si>
    <t>Clinton, MS</t>
  </si>
  <si>
    <t>Ridgeland, MS</t>
  </si>
  <si>
    <t>Agoura Hills, CA</t>
  </si>
  <si>
    <t>Kihei, HI</t>
  </si>
  <si>
    <t>Horn Lake, MS</t>
  </si>
  <si>
    <t>Cliffside Park, NJ</t>
  </si>
  <si>
    <t>University Park, TX</t>
  </si>
  <si>
    <t>Lake Hart, FL</t>
  </si>
  <si>
    <t>Austintown, OH</t>
  </si>
  <si>
    <t>North Potomac, MD</t>
  </si>
  <si>
    <t>Wyandotte, MI</t>
  </si>
  <si>
    <t>Millsboro, DE</t>
  </si>
  <si>
    <t>Scotch Plains, NJ</t>
  </si>
  <si>
    <t>Saginaw, TX</t>
  </si>
  <si>
    <t>Dedham, MA</t>
  </si>
  <si>
    <t>Berea, KY</t>
  </si>
  <si>
    <t>Middleborough, MA</t>
  </si>
  <si>
    <t>Mint Hill, NC</t>
  </si>
  <si>
    <t>Elk River, MN</t>
  </si>
  <si>
    <t>Selden, NY</t>
  </si>
  <si>
    <t>Grandview, MO</t>
  </si>
  <si>
    <t>Walker, MI</t>
  </si>
  <si>
    <t>Imperial, MO</t>
  </si>
  <si>
    <t>Simsbury, CT</t>
  </si>
  <si>
    <t>North Kingstown, RI</t>
  </si>
  <si>
    <t>Dover, NJ</t>
  </si>
  <si>
    <t>Kelso, WA</t>
  </si>
  <si>
    <t>Cottonwood, AZ</t>
  </si>
  <si>
    <t>Mulberry, FL</t>
  </si>
  <si>
    <t>Zachary, LA</t>
  </si>
  <si>
    <t>Blythewood, SC</t>
  </si>
  <si>
    <t>Sylacauga, AL</t>
  </si>
  <si>
    <t>Hiram, GA</t>
  </si>
  <si>
    <t>Aptos, CA</t>
  </si>
  <si>
    <t>Boiling Springs, SC</t>
  </si>
  <si>
    <t>Burlington, KY</t>
  </si>
  <si>
    <t>Crofton, MD</t>
  </si>
  <si>
    <t>Depew, NY</t>
  </si>
  <si>
    <t>Easton, MA</t>
  </si>
  <si>
    <t>Cudahy, CA</t>
  </si>
  <si>
    <t>Perkasie, PA</t>
  </si>
  <si>
    <t>Anderson, CA</t>
  </si>
  <si>
    <t>Buffalo, MN</t>
  </si>
  <si>
    <t>Lynn Haven, FL</t>
  </si>
  <si>
    <t>San Fernando, CA</t>
  </si>
  <si>
    <t>Inkster, MI</t>
  </si>
  <si>
    <t>Grayson, GA</t>
  </si>
  <si>
    <t>Mokena, IL</t>
  </si>
  <si>
    <t>Homosassa, FL</t>
  </si>
  <si>
    <t>Portland, TN</t>
  </si>
  <si>
    <t>Forney, TX</t>
  </si>
  <si>
    <t>Elmwood Park, IL</t>
  </si>
  <si>
    <t>Clarkston, GA</t>
  </si>
  <si>
    <t>West Hempstead, NY</t>
  </si>
  <si>
    <t>Aberdeen, MD</t>
  </si>
  <si>
    <t>Independence, KY</t>
  </si>
  <si>
    <t>Chapin, SC</t>
  </si>
  <si>
    <t>Lemont, IL</t>
  </si>
  <si>
    <t>Fountain Hills, AZ</t>
  </si>
  <si>
    <t>Cockeysville, MD</t>
  </si>
  <si>
    <t>Village of Palmetto Bay, FL</t>
  </si>
  <si>
    <t>Gardnerville, NV</t>
  </si>
  <si>
    <t>Bixby, OK</t>
  </si>
  <si>
    <t>East Wenatchee, WA</t>
  </si>
  <si>
    <t>Calabasas, CA</t>
  </si>
  <si>
    <t>Rosemount, MN</t>
  </si>
  <si>
    <t>Leesville, LA</t>
  </si>
  <si>
    <t>Washington, UT</t>
  </si>
  <si>
    <t>Cranford, NJ</t>
  </si>
  <si>
    <t>Rosemont, CA</t>
  </si>
  <si>
    <t>Mequon, WI</t>
  </si>
  <si>
    <t>Washington, IL</t>
  </si>
  <si>
    <t>Corcoran, CA</t>
  </si>
  <si>
    <t>Bloomingdale, IL</t>
  </si>
  <si>
    <t>Jenks, OK</t>
  </si>
  <si>
    <t>Westford, MA</t>
  </si>
  <si>
    <t>Kilgore, TX</t>
  </si>
  <si>
    <t>Prosper, TX</t>
  </si>
  <si>
    <t>Fulton, NY</t>
  </si>
  <si>
    <t>Monument, CO</t>
  </si>
  <si>
    <t>Granite Bay, CA</t>
  </si>
  <si>
    <t>Lodi, NJ</t>
  </si>
  <si>
    <t>Chalmette, LA</t>
  </si>
  <si>
    <t>Port Jefferson Station, NY</t>
  </si>
  <si>
    <t>Champlin, MN</t>
  </si>
  <si>
    <t>Maplewood, NJ</t>
  </si>
  <si>
    <t>Seal Beach, CA</t>
  </si>
  <si>
    <t>Riverside, OH</t>
  </si>
  <si>
    <t>Byron Center, MI</t>
  </si>
  <si>
    <t>Kings Mountain, NC</t>
  </si>
  <si>
    <t>Seymour, TN</t>
  </si>
  <si>
    <t>Yelm, WA</t>
  </si>
  <si>
    <t>South Plainfield, NJ</t>
  </si>
  <si>
    <t>Mansfield, MA</t>
  </si>
  <si>
    <t>South Holland, IL</t>
  </si>
  <si>
    <t>Carney, MD</t>
  </si>
  <si>
    <t>Westchase, FL</t>
  </si>
  <si>
    <t>Westmont, IL</t>
  </si>
  <si>
    <t>Newton, KS</t>
  </si>
  <si>
    <t>Carteret, NJ</t>
  </si>
  <si>
    <t>Wilsonville, OR</t>
  </si>
  <si>
    <t>North Haven, CT</t>
  </si>
  <si>
    <t>North Pole, AK</t>
  </si>
  <si>
    <t>Groveland, FL</t>
  </si>
  <si>
    <t>Manahawkin, NJ</t>
  </si>
  <si>
    <t>Trotwood, OH</t>
  </si>
  <si>
    <t>Williamsburg, KY</t>
  </si>
  <si>
    <t>White Bear Lake, MN</t>
  </si>
  <si>
    <t>Maywood, IL</t>
  </si>
  <si>
    <t>Milford, MI</t>
  </si>
  <si>
    <t>Sycamore, IL</t>
  </si>
  <si>
    <t>West Memphis, AR</t>
  </si>
  <si>
    <t>West Islip, NY</t>
  </si>
  <si>
    <t>Versailles, KY</t>
  </si>
  <si>
    <t>Alvin, TX</t>
  </si>
  <si>
    <t>Dixon, CA</t>
  </si>
  <si>
    <t>Gardner, KS</t>
  </si>
  <si>
    <t>Mechanicsville, MD</t>
  </si>
  <si>
    <t>Columbia City, IN</t>
  </si>
  <si>
    <t>Acton, MA</t>
  </si>
  <si>
    <t>Morton Grove, IL</t>
  </si>
  <si>
    <t>Sun City Center, FL</t>
  </si>
  <si>
    <t>Fresno, TX</t>
  </si>
  <si>
    <t>Mill Creek, WA</t>
  </si>
  <si>
    <t>Dewitt, MI</t>
  </si>
  <si>
    <t>Sunnyside, WA</t>
  </si>
  <si>
    <t>Romulus, MI</t>
  </si>
  <si>
    <t>Phelan, CA</t>
  </si>
  <si>
    <t>Derwood, MD</t>
  </si>
  <si>
    <t>Gatesville, TX</t>
  </si>
  <si>
    <t>Canton, MA</t>
  </si>
  <si>
    <t>Marshfield, MA</t>
  </si>
  <si>
    <t>Peekskill, NY</t>
  </si>
  <si>
    <t>Red Bank, NJ</t>
  </si>
  <si>
    <t>Hillsboro, OH</t>
  </si>
  <si>
    <t>Eden, NC</t>
  </si>
  <si>
    <t>Floresville, TX</t>
  </si>
  <si>
    <t>Buda, TX</t>
  </si>
  <si>
    <t>Hillsborough, NC</t>
  </si>
  <si>
    <t>Middletown, PA</t>
  </si>
  <si>
    <t>Yarmouth, MA</t>
  </si>
  <si>
    <t>Defuniak Springs, FL</t>
  </si>
  <si>
    <t>Saline, MI</t>
  </si>
  <si>
    <t>Medford Township, NJ</t>
  </si>
  <si>
    <t>Chanhassen, MN</t>
  </si>
  <si>
    <t>Stoneham, MA</t>
  </si>
  <si>
    <t>Auburn, ME</t>
  </si>
  <si>
    <t>Ives Estates, FL</t>
  </si>
  <si>
    <t>Lewes, DE</t>
  </si>
  <si>
    <t>Hammonton, NJ</t>
  </si>
  <si>
    <t>Canby, OR</t>
  </si>
  <si>
    <t>Ferndale, WA</t>
  </si>
  <si>
    <t>Vernon Hills, IL</t>
  </si>
  <si>
    <t>Chagrin Falls, OH</t>
  </si>
  <si>
    <t>Darien, IL</t>
  </si>
  <si>
    <t>Homer Glen, IL</t>
  </si>
  <si>
    <t>Manvel, TX</t>
  </si>
  <si>
    <t>Troy, MO</t>
  </si>
  <si>
    <t>Winchester, MA</t>
  </si>
  <si>
    <t>Lillington, NC</t>
  </si>
  <si>
    <t>Hanahan, SC</t>
  </si>
  <si>
    <t>Seaford, DE</t>
  </si>
  <si>
    <t>Wilmington, MA</t>
  </si>
  <si>
    <t>Port Hueneme, CA</t>
  </si>
  <si>
    <t>Parrish, FL</t>
  </si>
  <si>
    <t>Millbrae, CA</t>
  </si>
  <si>
    <t>Mooresville, IN</t>
  </si>
  <si>
    <t>Coronado, CA</t>
  </si>
  <si>
    <t>Hialeah Gardens, FL</t>
  </si>
  <si>
    <t>Avon, OH</t>
  </si>
  <si>
    <t>Crystal, MN</t>
  </si>
  <si>
    <t>Zion, IL</t>
  </si>
  <si>
    <t>Bethpage, NY</t>
  </si>
  <si>
    <t>Millington, TN</t>
  </si>
  <si>
    <t>Solon, OH</t>
  </si>
  <si>
    <t>Olney, MD</t>
  </si>
  <si>
    <t>Watauga, TX</t>
  </si>
  <si>
    <t>Rolling Meadows, IL</t>
  </si>
  <si>
    <t>Hayesville, OR</t>
  </si>
  <si>
    <t>Orange City, FL</t>
  </si>
  <si>
    <t>Marina, CA</t>
  </si>
  <si>
    <t>San Benito, TX</t>
  </si>
  <si>
    <t>Hingham, MA</t>
  </si>
  <si>
    <t>South Portland, ME</t>
  </si>
  <si>
    <t>Willoughby, OH</t>
  </si>
  <si>
    <t>Anthem, AZ</t>
  </si>
  <si>
    <t>Kennett Square, PA</t>
  </si>
  <si>
    <t>Kenmore, WA</t>
  </si>
  <si>
    <t>Georgetown, DE</t>
  </si>
  <si>
    <t>Lyndhurst, NJ</t>
  </si>
  <si>
    <t>Auburn Hills, MI</t>
  </si>
  <si>
    <t>Cheney, WA</t>
  </si>
  <si>
    <t>Webster Groves, MO</t>
  </si>
  <si>
    <t>Dallas, OR</t>
  </si>
  <si>
    <t>Riverhead, NY</t>
  </si>
  <si>
    <t>Massapequa Park, NY</t>
  </si>
  <si>
    <t>Belmont, NC</t>
  </si>
  <si>
    <t>Valley Center, CA</t>
  </si>
  <si>
    <t>Castaic, CA</t>
  </si>
  <si>
    <t>Munster, IN</t>
  </si>
  <si>
    <t>Farragut, TN</t>
  </si>
  <si>
    <t>Belton, MO</t>
  </si>
  <si>
    <t>Highland, IN</t>
  </si>
  <si>
    <t>Murrysville, PA</t>
  </si>
  <si>
    <t>American Canyon, CA</t>
  </si>
  <si>
    <t>New Brighton, MN</t>
  </si>
  <si>
    <t>La Grange, KY</t>
  </si>
  <si>
    <t>Olmsted Falls, OH</t>
  </si>
  <si>
    <t>Erie, CO</t>
  </si>
  <si>
    <t>Canfield, OH</t>
  </si>
  <si>
    <t>The Crossings, FL</t>
  </si>
  <si>
    <t>Kuna, ID</t>
  </si>
  <si>
    <t>McKees Rocks, PA</t>
  </si>
  <si>
    <t>Loma Linda, CA</t>
  </si>
  <si>
    <t>Saint Marys, GA</t>
  </si>
  <si>
    <t>Temperance, MI</t>
  </si>
  <si>
    <t>Boaz, AL</t>
  </si>
  <si>
    <t>Clifton Heights, PA</t>
  </si>
  <si>
    <t>Oak Ridge, FL</t>
  </si>
  <si>
    <t>Lexington Park, MD</t>
  </si>
  <si>
    <t>Mason, MI</t>
  </si>
  <si>
    <t>Washington, MO</t>
  </si>
  <si>
    <t>Springboro, OH</t>
  </si>
  <si>
    <t>Maple Heights, OH</t>
  </si>
  <si>
    <t>Oxford, MI</t>
  </si>
  <si>
    <t>Edgewood, MD</t>
  </si>
  <si>
    <t>Hudson, OH</t>
  </si>
  <si>
    <t>Parlin, NJ</t>
  </si>
  <si>
    <t>Union, KY</t>
  </si>
  <si>
    <t>Bedford, NH</t>
  </si>
  <si>
    <t>Theodore, AL</t>
  </si>
  <si>
    <t>Gloucester, VA</t>
  </si>
  <si>
    <t>Montgomery, IL</t>
  </si>
  <si>
    <t>Greater Landover, MD</t>
  </si>
  <si>
    <t>Prairie Village, KS</t>
  </si>
  <si>
    <t>Guilford, CT</t>
  </si>
  <si>
    <t>Fountain Inn, SC</t>
  </si>
  <si>
    <t>Bourne, MA</t>
  </si>
  <si>
    <t>Prichard, AL</t>
  </si>
  <si>
    <t>Kerman, CA</t>
  </si>
  <si>
    <t>Chevy Chase, MD</t>
  </si>
  <si>
    <t>Norton Shores, MI</t>
  </si>
  <si>
    <t>Fayetteville, TN</t>
  </si>
  <si>
    <t>Chardon, OH</t>
  </si>
  <si>
    <t>Maryland Heights, MO</t>
  </si>
  <si>
    <t>Machesney Park, IL</t>
  </si>
  <si>
    <t>Wexford, PA</t>
  </si>
  <si>
    <t>Morris, IL</t>
  </si>
  <si>
    <t>Huntingdon Valley, PA</t>
  </si>
  <si>
    <t>West Carson, CA</t>
  </si>
  <si>
    <t>Mattoon, IL</t>
  </si>
  <si>
    <t>Mount Holly, NC</t>
  </si>
  <si>
    <t>Rigby, ID</t>
  </si>
  <si>
    <t>Centerville, OH</t>
  </si>
  <si>
    <t>Powell, TN</t>
  </si>
  <si>
    <t>Charles Town, WV</t>
  </si>
  <si>
    <t>Morrison, CO</t>
  </si>
  <si>
    <t>Matteson, IL</t>
  </si>
  <si>
    <t>Paradise, CA</t>
  </si>
  <si>
    <t>Eloy, AZ</t>
  </si>
  <si>
    <t>Benbrook, TX</t>
  </si>
  <si>
    <t>Hercules, CA</t>
  </si>
  <si>
    <t>Bastrop, LA</t>
  </si>
  <si>
    <t>Arnold, MD</t>
  </si>
  <si>
    <t>Chowchilla, CA</t>
  </si>
  <si>
    <t>Camden, SC</t>
  </si>
  <si>
    <t>Harvey, IL</t>
  </si>
  <si>
    <t>Rosamond, CA</t>
  </si>
  <si>
    <t>Summit, NJ</t>
  </si>
  <si>
    <t>Cameron, NC</t>
  </si>
  <si>
    <t>Siloam Springs, AR</t>
  </si>
  <si>
    <t>Harleysville, PA</t>
  </si>
  <si>
    <t>Shafter, CA</t>
  </si>
  <si>
    <t>Lake Placid, FL</t>
  </si>
  <si>
    <t>Newport, NC</t>
  </si>
  <si>
    <t>Guyton, GA</t>
  </si>
  <si>
    <t>Hamtramck, MI</t>
  </si>
  <si>
    <t>Shorewood, IL</t>
  </si>
  <si>
    <t>Los Alamitos, CA</t>
  </si>
  <si>
    <t>Bristol, PA</t>
  </si>
  <si>
    <t>Vinings, GA</t>
  </si>
  <si>
    <t>Greater Northdale, FL</t>
  </si>
  <si>
    <t>Stephens City, VA</t>
  </si>
  <si>
    <t>Portsmouth, NH</t>
  </si>
  <si>
    <t>Charlotte, MI</t>
  </si>
  <si>
    <t>Hilton, NY</t>
  </si>
  <si>
    <t>La Plata, MD</t>
  </si>
  <si>
    <t>Darien, CT</t>
  </si>
  <si>
    <t>Jerome, ID</t>
  </si>
  <si>
    <t>Aldie, VA</t>
  </si>
  <si>
    <t>Wendell, NC</t>
  </si>
  <si>
    <t>Washougal, WA</t>
  </si>
  <si>
    <t>Roselle, NJ</t>
  </si>
  <si>
    <t>Blairsville, GA</t>
  </si>
  <si>
    <t>Blue Island, IL</t>
  </si>
  <si>
    <t>Havelock, NC</t>
  </si>
  <si>
    <t>Buckhannon, WV</t>
  </si>
  <si>
    <t>Labelle, FL</t>
  </si>
  <si>
    <t>Merchantville, NJ</t>
  </si>
  <si>
    <t>Sachse, TX</t>
  </si>
  <si>
    <t>Camp Springs, MD</t>
  </si>
  <si>
    <t>Hillside, NJ</t>
  </si>
  <si>
    <t>Helena, AL</t>
  </si>
  <si>
    <t>East Liverpool, OH</t>
  </si>
  <si>
    <t>Hampstead, NC</t>
  </si>
  <si>
    <t>Swedesboro, NJ</t>
  </si>
  <si>
    <t>South Euclid, OH</t>
  </si>
  <si>
    <t>Golden Valley, MN</t>
  </si>
  <si>
    <t>Duarte, CA</t>
  </si>
  <si>
    <t>Nanuet, NY</t>
  </si>
  <si>
    <t>Waukee, IA</t>
  </si>
  <si>
    <t>Lawrenceburg, KY</t>
  </si>
  <si>
    <t>Louisburg, NC</t>
  </si>
  <si>
    <t>Mountain Brook, AL</t>
  </si>
  <si>
    <t>Stanwood, WA</t>
  </si>
  <si>
    <t>Willowbrook, CA</t>
  </si>
  <si>
    <t>Universal City, TX</t>
  </si>
  <si>
    <t>West Columbia, SC</t>
  </si>
  <si>
    <t>Syosset, NY</t>
  </si>
  <si>
    <t>South Amboy, NJ</t>
  </si>
  <si>
    <t>Saratoga Springs, UT</t>
  </si>
  <si>
    <t>Clinton, UT</t>
  </si>
  <si>
    <t>Corinth, TX</t>
  </si>
  <si>
    <t>Cary, IL</t>
  </si>
  <si>
    <t>Canal Winchester, OH</t>
  </si>
  <si>
    <t>Blythe, CA</t>
  </si>
  <si>
    <t>North Plainfield, NJ</t>
  </si>
  <si>
    <t>Conover, NC</t>
  </si>
  <si>
    <t>Biddeford, ME</t>
  </si>
  <si>
    <t>Lino Lakes, MN</t>
  </si>
  <si>
    <t>Bryn Mawr, PA</t>
  </si>
  <si>
    <t>Minooka, IL</t>
  </si>
  <si>
    <t>Lynden, WA</t>
  </si>
  <si>
    <t>Chehalis, WA</t>
  </si>
  <si>
    <t>Essex, VT</t>
  </si>
  <si>
    <t>Dyer, IN</t>
  </si>
  <si>
    <t>Jacksonville, AL</t>
  </si>
  <si>
    <t>Watertown, CT</t>
  </si>
  <si>
    <t>Ludlow, MA</t>
  </si>
  <si>
    <t>Seaford, NY</t>
  </si>
  <si>
    <t>New Kensington, PA</t>
  </si>
  <si>
    <t>Avon Lake, OH</t>
  </si>
  <si>
    <t>Tavares, FL</t>
  </si>
  <si>
    <t>Baker, LA</t>
  </si>
  <si>
    <t>Fulton, MO</t>
  </si>
  <si>
    <t>Crestwood, KY</t>
  </si>
  <si>
    <t>West Deptford Township, NJ</t>
  </si>
  <si>
    <t>Lanham Seabrook, MD</t>
  </si>
  <si>
    <t>Ville Platte, LA</t>
  </si>
  <si>
    <t>Del City, OK</t>
  </si>
  <si>
    <t>Rincon, GA</t>
  </si>
  <si>
    <t>Mount Washington, KY</t>
  </si>
  <si>
    <t>Florence, MS</t>
  </si>
  <si>
    <t>Palm Springs, FL</t>
  </si>
  <si>
    <t>South El Monte, CA</t>
  </si>
  <si>
    <t>Maumelle, AR</t>
  </si>
  <si>
    <t>Tukwila, WA</t>
  </si>
  <si>
    <t>Pleasantville, NJ</t>
  </si>
  <si>
    <t>Belle Glade, FL</t>
  </si>
  <si>
    <t>Berlin, CT</t>
  </si>
  <si>
    <t>Twentynine Palms, CA</t>
  </si>
  <si>
    <t>Choctaw, OK</t>
  </si>
  <si>
    <t>Haughton, LA</t>
  </si>
  <si>
    <t>Stony Brook, NY</t>
  </si>
  <si>
    <t>Lake Worth Corridor, FL</t>
  </si>
  <si>
    <t>Debary, FL</t>
  </si>
  <si>
    <t>Denver, NC</t>
  </si>
  <si>
    <t>Dolton, IL</t>
  </si>
  <si>
    <t>Glassboro, NJ</t>
  </si>
  <si>
    <t>Little River, SC</t>
  </si>
  <si>
    <t>Columbine, CO</t>
  </si>
  <si>
    <t>Red Lion, PA</t>
  </si>
  <si>
    <t>New Haven, IN</t>
  </si>
  <si>
    <t>Perry, GA</t>
  </si>
  <si>
    <t>New Hope, MN</t>
  </si>
  <si>
    <t>Brawley, CA</t>
  </si>
  <si>
    <t>Lathrop, CA</t>
  </si>
  <si>
    <t>Lakewood Ranch, FL</t>
  </si>
  <si>
    <t>Travelers Rest, SC</t>
  </si>
  <si>
    <t>Petal, MS</t>
  </si>
  <si>
    <t>Birmingham, MI</t>
  </si>
  <si>
    <t>Franklin Park, IL</t>
  </si>
  <si>
    <t>Pinckney, MI</t>
  </si>
  <si>
    <t>Coralville, IA</t>
  </si>
  <si>
    <t>Palisades Park, NJ</t>
  </si>
  <si>
    <t>De Soto, MO</t>
  </si>
  <si>
    <t>Hobe Sound, FL</t>
  </si>
  <si>
    <t>Horseheads, NY</t>
  </si>
  <si>
    <t>Valinda, CA</t>
  </si>
  <si>
    <t>La Canada Flintridge, CA</t>
  </si>
  <si>
    <t>Bayville, NJ</t>
  </si>
  <si>
    <t>Deerfield, IL</t>
  </si>
  <si>
    <t>Belgrade, MT</t>
  </si>
  <si>
    <t>Nipomo, CA</t>
  </si>
  <si>
    <t>Floral Park, NY</t>
  </si>
  <si>
    <t>Pahoa, HI</t>
  </si>
  <si>
    <t>East Ridge, TN</t>
  </si>
  <si>
    <t>Eatonton, GA</t>
  </si>
  <si>
    <t>Browns Mills, NJ</t>
  </si>
  <si>
    <t>Peyton, CO</t>
  </si>
  <si>
    <t>Edgewater, MD</t>
  </si>
  <si>
    <t>Westerly, RI</t>
  </si>
  <si>
    <t>Evans, CO</t>
  </si>
  <si>
    <t>Twinsburg, OH</t>
  </si>
  <si>
    <t>Glen Mills, PA</t>
  </si>
  <si>
    <t>Loves Park, IL</t>
  </si>
  <si>
    <t>Raymore, MO</t>
  </si>
  <si>
    <t>Pascagoula, MS</t>
  </si>
  <si>
    <t>Millersburg, OH</t>
  </si>
  <si>
    <t>Laurens, SC</t>
  </si>
  <si>
    <t>Heber City, UT</t>
  </si>
  <si>
    <t>Pace, FL</t>
  </si>
  <si>
    <t>Oconomowoc, WI</t>
  </si>
  <si>
    <t>South Saint Paul, MN</t>
  </si>
  <si>
    <t>Moorestown Township, NJ</t>
  </si>
  <si>
    <t>Little Egg Harbor, NJ</t>
  </si>
  <si>
    <t>Hurricane, WV</t>
  </si>
  <si>
    <t>Covington, WA</t>
  </si>
  <si>
    <t>Sewickley, PA</t>
  </si>
  <si>
    <t>Rosedale, MD</t>
  </si>
  <si>
    <t>Greenfield, CA</t>
  </si>
  <si>
    <t>Clackamas, OR</t>
  </si>
  <si>
    <t>Cohoes, NY</t>
  </si>
  <si>
    <t>Erlanger, KY</t>
  </si>
  <si>
    <t>Bloomfield, CT</t>
  </si>
  <si>
    <t>Marianna, FL</t>
  </si>
  <si>
    <t>Palmyra, PA</t>
  </si>
  <si>
    <t>Newport, RI</t>
  </si>
  <si>
    <t>Sayreville, NJ</t>
  </si>
  <si>
    <t>Brunswick, ME</t>
  </si>
  <si>
    <t>Madison, OH</t>
  </si>
  <si>
    <t>West Melbourne, FL</t>
  </si>
  <si>
    <t>Bay Minette, AL</t>
  </si>
  <si>
    <t>Enumclaw, WA</t>
  </si>
  <si>
    <t>New Canaan, CT</t>
  </si>
  <si>
    <t>Louisville, OH</t>
  </si>
  <si>
    <t>Walker, LA</t>
  </si>
  <si>
    <t>Brockport, NY</t>
  </si>
  <si>
    <t>Indianola, IA</t>
  </si>
  <si>
    <t>Arvin, CA</t>
  </si>
  <si>
    <t>Purcellville, VA</t>
  </si>
  <si>
    <t>Rogersville, TN</t>
  </si>
  <si>
    <t>Mountlake Terrace, WA</t>
  </si>
  <si>
    <t>Clarks Summit, PA</t>
  </si>
  <si>
    <t>Chickasha, OK</t>
  </si>
  <si>
    <t>Gardner, MA</t>
  </si>
  <si>
    <t>Republic, MO</t>
  </si>
  <si>
    <t>Oldsmar, FL</t>
  </si>
  <si>
    <t>Douglas, AZ</t>
  </si>
  <si>
    <t>Clarkston, WA</t>
  </si>
  <si>
    <t>Sun Valley, NV</t>
  </si>
  <si>
    <t>Ashland, VA</t>
  </si>
  <si>
    <t>Harrodsburg, KY</t>
  </si>
  <si>
    <t>Jacksonville Beach, FL</t>
  </si>
  <si>
    <t>Belton, SC</t>
  </si>
  <si>
    <t>South Elgin, IL</t>
  </si>
  <si>
    <t>Columbia, PA</t>
  </si>
  <si>
    <t>Ferndale, MI</t>
  </si>
  <si>
    <t>Jasper, GA</t>
  </si>
  <si>
    <t>Secaucus, NJ</t>
  </si>
  <si>
    <t>Ferguson, MO</t>
  </si>
  <si>
    <t>Weaverville, NC</t>
  </si>
  <si>
    <t>Columbia Heights, MN</t>
  </si>
  <si>
    <t>Radcliff, KY</t>
  </si>
  <si>
    <t>Sparta Township, NJ</t>
  </si>
  <si>
    <t>Rocky Mount, VA</t>
  </si>
  <si>
    <t>Affton, MO</t>
  </si>
  <si>
    <t>Harrison Township, MI</t>
  </si>
  <si>
    <t>Verona, WI</t>
  </si>
  <si>
    <t>Arcata, CA</t>
  </si>
  <si>
    <t>North Syracuse, NY</t>
  </si>
  <si>
    <t>Murphy, NC</t>
  </si>
  <si>
    <t>Elmwood Park, NJ</t>
  </si>
  <si>
    <t>Louisville, CO</t>
  </si>
  <si>
    <t>Princeton Junction, NJ</t>
  </si>
  <si>
    <t>Alsip, IL</t>
  </si>
  <si>
    <t>Holt, MI</t>
  </si>
  <si>
    <t>Parma Heights, OH</t>
  </si>
  <si>
    <t>Lomita, CA</t>
  </si>
  <si>
    <t>Clarksville, IN</t>
  </si>
  <si>
    <t>Forest Lake, MN</t>
  </si>
  <si>
    <t>Loudon, TN</t>
  </si>
  <si>
    <t>Islip, NY</t>
  </si>
  <si>
    <t>Lockhart, TX</t>
  </si>
  <si>
    <t>Greencastle, PA</t>
  </si>
  <si>
    <t>Rutherfordton, NC</t>
  </si>
  <si>
    <t>Norton, MA</t>
  </si>
  <si>
    <t>Lynbrook, NY</t>
  </si>
  <si>
    <t>Rensselaer, NY</t>
  </si>
  <si>
    <t>West Puente Valley, CA</t>
  </si>
  <si>
    <t>Rhinelander, WI</t>
  </si>
  <si>
    <t>Vancleave, MS</t>
  </si>
  <si>
    <t>Morris Plains, NJ</t>
  </si>
  <si>
    <t>Amelia, OH</t>
  </si>
  <si>
    <t>Hudson, MA</t>
  </si>
  <si>
    <t>Pikeville, KY</t>
  </si>
  <si>
    <t>Hybla Valley, VA</t>
  </si>
  <si>
    <t>Lafayette, GA</t>
  </si>
  <si>
    <t>Albany, CA</t>
  </si>
  <si>
    <t>Hazlet Township, NJ</t>
  </si>
  <si>
    <t>Ojai, CA</t>
  </si>
  <si>
    <t>Northfield, OH</t>
  </si>
  <si>
    <t>Harrison, OH</t>
  </si>
  <si>
    <t>Griffith, IN</t>
  </si>
  <si>
    <t>Troutdale, OR</t>
  </si>
  <si>
    <t>Danville, PA</t>
  </si>
  <si>
    <t>South Milwaukee, WI</t>
  </si>
  <si>
    <t>Chippewa Falls, WI</t>
  </si>
  <si>
    <t>West Saint Paul, MN</t>
  </si>
  <si>
    <t>Jeannette, PA</t>
  </si>
  <si>
    <t>Heath, OH</t>
  </si>
  <si>
    <t>Perry, FL</t>
  </si>
  <si>
    <t>Bainbridge Island, WA</t>
  </si>
  <si>
    <t>Nederland, TX</t>
  </si>
  <si>
    <t>Grain Valley, MO</t>
  </si>
  <si>
    <t>Pendleton, OR</t>
  </si>
  <si>
    <t>Palmyra, VA</t>
  </si>
  <si>
    <t>Park Forest, IL</t>
  </si>
  <si>
    <t>Kingsland, GA</t>
  </si>
  <si>
    <t>Norwood, OH</t>
  </si>
  <si>
    <t>Walterboro, SC</t>
  </si>
  <si>
    <t>Wimauma, FL</t>
  </si>
  <si>
    <t>Carol City, FL</t>
  </si>
  <si>
    <t>Semmes, AL</t>
  </si>
  <si>
    <t>Belen, NM</t>
  </si>
  <si>
    <t>Bethel, CT</t>
  </si>
  <si>
    <t>Mineola, NY</t>
  </si>
  <si>
    <t>Grayslake, IL</t>
  </si>
  <si>
    <t>Tuscumbia, AL</t>
  </si>
  <si>
    <t>Niles, OH</t>
  </si>
  <si>
    <t>Hatboro, PA</t>
  </si>
  <si>
    <t>Altoona, IA</t>
  </si>
  <si>
    <t>Ionia, MI</t>
  </si>
  <si>
    <t>Paris, KY</t>
  </si>
  <si>
    <t>Yulee, FL</t>
  </si>
  <si>
    <t>Canyon, TX</t>
  </si>
  <si>
    <t>Sedona, AZ</t>
  </si>
  <si>
    <t>Geneva, NY</t>
  </si>
  <si>
    <t>Murphy, TX</t>
  </si>
  <si>
    <t>Healdsburg, CA</t>
  </si>
  <si>
    <t>Carencro, LA</t>
  </si>
  <si>
    <t>Southbury, CT</t>
  </si>
  <si>
    <t>Howard, WI</t>
  </si>
  <si>
    <t>Central Falls, RI</t>
  </si>
  <si>
    <t>Pittsboro, NC</t>
  </si>
  <si>
    <t>Arden, NC</t>
  </si>
  <si>
    <t>Morganville, NJ</t>
  </si>
  <si>
    <t>Monroe, CT</t>
  </si>
  <si>
    <t>Whiting, NJ</t>
  </si>
  <si>
    <t>Middleton, WI</t>
  </si>
  <si>
    <t>Rocky Hill, CT</t>
  </si>
  <si>
    <t>Laguna Beach, CA</t>
  </si>
  <si>
    <t>Allegan, MI</t>
  </si>
  <si>
    <t>Nevada City, CA</t>
  </si>
  <si>
    <t>Oakton, VA</t>
  </si>
  <si>
    <t>Hyattsville, MD</t>
  </si>
  <si>
    <t>Yardley, PA</t>
  </si>
  <si>
    <t>Schwenksville, PA</t>
  </si>
  <si>
    <t>Monmouth Junction, NJ</t>
  </si>
  <si>
    <t>Jenkintown, PA</t>
  </si>
  <si>
    <t>North Bay Shore, NY</t>
  </si>
  <si>
    <t>Clanton, AL</t>
  </si>
  <si>
    <t>Taylor, TX</t>
  </si>
  <si>
    <t>Pikesville, MD</t>
  </si>
  <si>
    <t>Evergreen Park, IL</t>
  </si>
  <si>
    <t>East Falmouth, MA</t>
  </si>
  <si>
    <t>Scarborough, ME</t>
  </si>
  <si>
    <t>Prospect, KY</t>
  </si>
  <si>
    <t>Coalinga, CA</t>
  </si>
  <si>
    <t>Sharpsburg, GA</t>
  </si>
  <si>
    <t>Ashland, KY</t>
  </si>
  <si>
    <t>Crowley, LA</t>
  </si>
  <si>
    <t>Broomall, PA</t>
  </si>
  <si>
    <t>Warwick, NY</t>
  </si>
  <si>
    <t>Harriman, TN</t>
  </si>
  <si>
    <t>Angier, NC</t>
  </si>
  <si>
    <t>Lehighton, PA</t>
  </si>
  <si>
    <t>Taft, CA</t>
  </si>
  <si>
    <t>West Mifflin, PA</t>
  </si>
  <si>
    <t>Pinole, CA</t>
  </si>
  <si>
    <t>Joshua, TX</t>
  </si>
  <si>
    <t>Holly, MI</t>
  </si>
  <si>
    <t>Farmville, VA</t>
  </si>
  <si>
    <t>Pewaukee, WI</t>
  </si>
  <si>
    <t>Orinda, CA</t>
  </si>
  <si>
    <t>Brewster, NY</t>
  </si>
  <si>
    <t>Broadview Heights, OH</t>
  </si>
  <si>
    <t>Homewood, IL</t>
  </si>
  <si>
    <t>Newtown Square, PA</t>
  </si>
  <si>
    <t>Sunny Isles Beach, FL</t>
  </si>
  <si>
    <t>Saco, ME</t>
  </si>
  <si>
    <t>Brazil, IN</t>
  </si>
  <si>
    <t>Anthony, NM</t>
  </si>
  <si>
    <t>Big Lake, MN</t>
  </si>
  <si>
    <t>Gaylord, MI</t>
  </si>
  <si>
    <t>Blue Bell, PA</t>
  </si>
  <si>
    <t>La Crescenta-Montrose, CA</t>
  </si>
  <si>
    <t>Cedar Springs, MI</t>
  </si>
  <si>
    <t>Concord, MA</t>
  </si>
  <si>
    <t>Oakland, MI</t>
  </si>
  <si>
    <t>Collinsville, OK</t>
  </si>
  <si>
    <t>Oregon, OH</t>
  </si>
  <si>
    <t>New Cumberland, PA</t>
  </si>
  <si>
    <t>Decatur, TX</t>
  </si>
  <si>
    <t>Brookfield, IL</t>
  </si>
  <si>
    <t>Hayden, ID</t>
  </si>
  <si>
    <t>Penfield, NY</t>
  </si>
  <si>
    <t>Sudbury, MA</t>
  </si>
  <si>
    <t>Forked River, NJ</t>
  </si>
  <si>
    <t>Johnston, IA</t>
  </si>
  <si>
    <t>Cascade, MI</t>
  </si>
  <si>
    <t>Ansonia, CT</t>
  </si>
  <si>
    <t>Chalfont, PA</t>
  </si>
  <si>
    <t>Harrisburg, NC</t>
  </si>
  <si>
    <t>Chickamauga, GA</t>
  </si>
  <si>
    <t>Rocky River, OH</t>
  </si>
  <si>
    <t>Santa Fe Springs, CA</t>
  </si>
  <si>
    <t>Lahaina, HI</t>
  </si>
  <si>
    <t>North Bellmore, NY</t>
  </si>
  <si>
    <t>Farmingville, NY</t>
  </si>
  <si>
    <t>Whitehall, OH</t>
  </si>
  <si>
    <t>McKinleyville, CA</t>
  </si>
  <si>
    <t>Westborough, MA</t>
  </si>
  <si>
    <t>Streator, IL</t>
  </si>
  <si>
    <t>Exton, PA</t>
  </si>
  <si>
    <t>Gaston, SC</t>
  </si>
  <si>
    <t>Hawthorne, NJ</t>
  </si>
  <si>
    <t>Germantown, WI</t>
  </si>
  <si>
    <t>Holden, MA</t>
  </si>
  <si>
    <t>Willow Grove, PA</t>
  </si>
  <si>
    <t>Bedford, VA</t>
  </si>
  <si>
    <t>Montville, CT</t>
  </si>
  <si>
    <t>Lindsay, CA</t>
  </si>
  <si>
    <t>Fort Valley, GA</t>
  </si>
  <si>
    <t>Bellaire, TX</t>
  </si>
  <si>
    <t>South Burlington, VT</t>
  </si>
  <si>
    <t>Point Pleasant, NJ</t>
  </si>
  <si>
    <t>Enola, PA</t>
  </si>
  <si>
    <t>Fillmore, CA</t>
  </si>
  <si>
    <t>Ripon, CA</t>
  </si>
  <si>
    <t>Bolivar, MO</t>
  </si>
  <si>
    <t>Cairo, GA</t>
  </si>
  <si>
    <t>Apollo Beach, FL</t>
  </si>
  <si>
    <t>East Moline, IL</t>
  </si>
  <si>
    <t>Somerset, MA</t>
  </si>
  <si>
    <t>Saint Johns, MI</t>
  </si>
  <si>
    <t>Greencastle, IN</t>
  </si>
  <si>
    <t>Fletcher, NC</t>
  </si>
  <si>
    <t>Sherrelwood, CO</t>
  </si>
  <si>
    <t>Temple, GA</t>
  </si>
  <si>
    <t>Lusby, MD</t>
  </si>
  <si>
    <t>Mayfield Heights, OH</t>
  </si>
  <si>
    <t>Manhasset, NY</t>
  </si>
  <si>
    <t>Tinton Falls, NJ</t>
  </si>
  <si>
    <t>Berwick, PA</t>
  </si>
  <si>
    <t>Westbrook, ME</t>
  </si>
  <si>
    <t>Berea, OH</t>
  </si>
  <si>
    <t>Bensenville, IL</t>
  </si>
  <si>
    <t>Mount Olive, NC</t>
  </si>
  <si>
    <t>Brook Park, OH</t>
  </si>
  <si>
    <t>Sandy, OR</t>
  </si>
  <si>
    <t>Bellwood, IL</t>
  </si>
  <si>
    <t>Richlands, NC</t>
  </si>
  <si>
    <t>Bon Air, VA</t>
  </si>
  <si>
    <t>Pinecrest, FL</t>
  </si>
  <si>
    <t>Rose Hill, VA</t>
  </si>
  <si>
    <t>Maple Shade Township, NJ</t>
  </si>
  <si>
    <t>Kaufman, TX</t>
  </si>
  <si>
    <t>Silsbee, TX</t>
  </si>
  <si>
    <t>Grafton, MA</t>
  </si>
  <si>
    <t>Woodbridge, NJ</t>
  </si>
  <si>
    <t>Franklinton, LA</t>
  </si>
  <si>
    <t>Winthrop, MA</t>
  </si>
  <si>
    <t>Hermosa Beach, CA</t>
  </si>
  <si>
    <t>Johnson City, NY</t>
  </si>
  <si>
    <t>Avenel, NJ</t>
  </si>
  <si>
    <t>Melville, NY</t>
  </si>
  <si>
    <t>Ridgefield, WA</t>
  </si>
  <si>
    <t>Elkins Park, PA</t>
  </si>
  <si>
    <t>Pelham, AL</t>
  </si>
  <si>
    <t>Windsor, CO</t>
  </si>
  <si>
    <t>Malibu, CA</t>
  </si>
  <si>
    <t>Byron, GA</t>
  </si>
  <si>
    <t>Wilton, CT</t>
  </si>
  <si>
    <t>Trenton, MI</t>
  </si>
  <si>
    <t>Sauk Rapids, MN</t>
  </si>
  <si>
    <t>Mesquite, NV</t>
  </si>
  <si>
    <t>El Reno, OK</t>
  </si>
  <si>
    <t>Northampton, PA</t>
  </si>
  <si>
    <t>Hazelwood, MO</t>
  </si>
  <si>
    <t>Logan, OH</t>
  </si>
  <si>
    <t>Merrill, WI</t>
  </si>
  <si>
    <t>Watkinsville, GA</t>
  </si>
  <si>
    <t>Rutherford, NJ</t>
  </si>
  <si>
    <t>Ada, MI</t>
  </si>
  <si>
    <t>Iselin, NJ</t>
  </si>
  <si>
    <t>Hoschton, GA</t>
  </si>
  <si>
    <t>Bethany, OK</t>
  </si>
  <si>
    <t>Tipp City, OH</t>
  </si>
  <si>
    <t>Bloomington, CA</t>
  </si>
  <si>
    <t>Sharon, MA</t>
  </si>
  <si>
    <t>Hanover, MD</t>
  </si>
  <si>
    <t>Dillsburg, PA</t>
  </si>
  <si>
    <t>Spencerport, NY</t>
  </si>
  <si>
    <t>Watervliet, NY</t>
  </si>
  <si>
    <t>Colchester, VT</t>
  </si>
  <si>
    <t>Union, MO</t>
  </si>
  <si>
    <t>Wareham, MA</t>
  </si>
  <si>
    <t>Hopkins, MN</t>
  </si>
  <si>
    <t>Anacortes, WA</t>
  </si>
  <si>
    <t>Maitland, FL</t>
  </si>
  <si>
    <t>Alpine, CA</t>
  </si>
  <si>
    <t>Madisonville, TN</t>
  </si>
  <si>
    <t>Clive, IA</t>
  </si>
  <si>
    <t>Pembroke, MA</t>
  </si>
  <si>
    <t>Rayne, LA</t>
  </si>
  <si>
    <t>Copiague, NY</t>
  </si>
  <si>
    <t>Saint Michael, MN</t>
  </si>
  <si>
    <t>Windham, ME</t>
  </si>
  <si>
    <t>Hockley, TX</t>
  </si>
  <si>
    <t>Avon, CT</t>
  </si>
  <si>
    <t>Greenville, MI</t>
  </si>
  <si>
    <t>Jessup, MD</t>
  </si>
  <si>
    <t>Milford, DE</t>
  </si>
  <si>
    <t>Princeton, MN</t>
  </si>
  <si>
    <t>Creve Coeur, MO</t>
  </si>
  <si>
    <t>La Vista, NE</t>
  </si>
  <si>
    <t>Chatham, NJ</t>
  </si>
  <si>
    <t>Colonia, NJ</t>
  </si>
  <si>
    <t>Makawao, HI</t>
  </si>
  <si>
    <t>Dover, OH</t>
  </si>
  <si>
    <t>Central, SC</t>
  </si>
  <si>
    <t>Danville, IN</t>
  </si>
  <si>
    <t>Lexington, TN</t>
  </si>
  <si>
    <t>Eastlake, OH</t>
  </si>
  <si>
    <t>El Dorado, KS</t>
  </si>
  <si>
    <t>Hartford, WI</t>
  </si>
  <si>
    <t>Aztec, NM</t>
  </si>
  <si>
    <t>Gulf Breeze, FL</t>
  </si>
  <si>
    <t>Dripping Springs, TX</t>
  </si>
  <si>
    <t>Emmaus, PA</t>
  </si>
  <si>
    <t>Pennsauken, NJ</t>
  </si>
  <si>
    <t>Tumwater, WA</t>
  </si>
  <si>
    <t>Newburyport, MA</t>
  </si>
  <si>
    <t>Forest Hill, MD</t>
  </si>
  <si>
    <t>Coolidge, AZ</t>
  </si>
  <si>
    <t>Lugoff, SC</t>
  </si>
  <si>
    <t>New Richmond, WI</t>
  </si>
  <si>
    <t>Sussex, NJ</t>
  </si>
  <si>
    <t>Goffstown, NH</t>
  </si>
  <si>
    <t>Copley, OH</t>
  </si>
  <si>
    <t>New Albany, OH</t>
  </si>
  <si>
    <t>Riverbank, CA</t>
  </si>
  <si>
    <t>Carthage, MS</t>
  </si>
  <si>
    <t>Saint Joseph, MI</t>
  </si>
  <si>
    <t>Selah, WA</t>
  </si>
  <si>
    <t>Saint Helens, OR</t>
  </si>
  <si>
    <t>South Hadley, MA</t>
  </si>
  <si>
    <t>South San Jose Hills, CA</t>
  </si>
  <si>
    <t>Rancho Mirage, CA</t>
  </si>
  <si>
    <t>Madison Heights, VA</t>
  </si>
  <si>
    <t>Cudahy, WI</t>
  </si>
  <si>
    <t>Mukilteo, WA</t>
  </si>
  <si>
    <t>Lake Forest, IL</t>
  </si>
  <si>
    <t>Port Allen, LA</t>
  </si>
  <si>
    <t>Dumont, NJ</t>
  </si>
  <si>
    <t>Rockland, MA</t>
  </si>
  <si>
    <t>Canton, NC</t>
  </si>
  <si>
    <t>Burtonsville, MD</t>
  </si>
  <si>
    <t>Carriere, MS</t>
  </si>
  <si>
    <t>Beacon, NY</t>
  </si>
  <si>
    <t>Three Rivers, MI</t>
  </si>
  <si>
    <t>Mc Farland, CA</t>
  </si>
  <si>
    <t>South Houston, TX</t>
  </si>
  <si>
    <t>Buckley, WA</t>
  </si>
  <si>
    <t>Grand Ledge, MI</t>
  </si>
  <si>
    <t>Hopkinton, MA</t>
  </si>
  <si>
    <t>Foxborough, MA</t>
  </si>
  <si>
    <t>Sartell, MN</t>
  </si>
  <si>
    <t>Forest Park, OH</t>
  </si>
  <si>
    <t>Ashland, MA</t>
  </si>
  <si>
    <t>East Aurora, NY</t>
  </si>
  <si>
    <t>Vinton, VA</t>
  </si>
  <si>
    <t>Wixom, MI</t>
  </si>
  <si>
    <t>Siler City, NC</t>
  </si>
  <si>
    <t>Cottage Grove, OR</t>
  </si>
  <si>
    <t>Madison, CT</t>
  </si>
  <si>
    <t>Eastman, GA</t>
  </si>
  <si>
    <t>Roscoe, IL</t>
  </si>
  <si>
    <t>Callahan, FL</t>
  </si>
  <si>
    <t>Bridgeport, WV</t>
  </si>
  <si>
    <t>Verona, PA</t>
  </si>
  <si>
    <t>Dayton, NV</t>
  </si>
  <si>
    <t>Sparta, WI</t>
  </si>
  <si>
    <t>Tallmadge, OH</t>
  </si>
  <si>
    <t>Commerce, GA</t>
  </si>
  <si>
    <t>Pleasanton, TX</t>
  </si>
  <si>
    <t>Franklin, KY</t>
  </si>
  <si>
    <t>Gorham, ME</t>
  </si>
  <si>
    <t>Burlington, WI</t>
  </si>
  <si>
    <t>Plainville, CT</t>
  </si>
  <si>
    <t>Lumberton, TX</t>
  </si>
  <si>
    <t>Pulaski, TN</t>
  </si>
  <si>
    <t>Highland, UT</t>
  </si>
  <si>
    <t>Angleton, TX</t>
  </si>
  <si>
    <t>Monticello, KY</t>
  </si>
  <si>
    <t>Lowell, MI</t>
  </si>
  <si>
    <t>Moraga, CA</t>
  </si>
  <si>
    <t>Lincoln, RI</t>
  </si>
  <si>
    <t>Gibsonton, FL</t>
  </si>
  <si>
    <t>Lafollette, TN</t>
  </si>
  <si>
    <t>Nuevo, CA</t>
  </si>
  <si>
    <t>Anoka, MN</t>
  </si>
  <si>
    <t>South Orange, NJ</t>
  </si>
  <si>
    <t>Okmulgee, OK</t>
  </si>
  <si>
    <t>Oxford, PA</t>
  </si>
  <si>
    <t>North Babylon, NY</t>
  </si>
  <si>
    <t>Carnegie, PA</t>
  </si>
  <si>
    <t>Columbia, MS</t>
  </si>
  <si>
    <t>Marble Falls, TX</t>
  </si>
  <si>
    <t>Rockmart, GA</t>
  </si>
  <si>
    <t>Guntersville, AL</t>
  </si>
  <si>
    <t>Kings Park, NY</t>
  </si>
  <si>
    <t>North Druid Hills, GA</t>
  </si>
  <si>
    <t>Hinsdale, IL</t>
  </si>
  <si>
    <t>Manchester, MO</t>
  </si>
  <si>
    <t>Greenfield, MA</t>
  </si>
  <si>
    <t>Sault Sainte Marie, MI</t>
  </si>
  <si>
    <t>Pickens, SC</t>
  </si>
  <si>
    <t>Celina, TX</t>
  </si>
  <si>
    <t>Cape May, NJ</t>
  </si>
  <si>
    <t>Whiteville, NC</t>
  </si>
  <si>
    <t>Dandridge, TN</t>
  </si>
  <si>
    <t>Harrison, NJ</t>
  </si>
  <si>
    <t>East Peoria, IL</t>
  </si>
  <si>
    <t>Birdsboro, PA</t>
  </si>
  <si>
    <t>Saucier, MS</t>
  </si>
  <si>
    <t>Corydon, IN</t>
  </si>
  <si>
    <t>Amesbury, MA</t>
  </si>
  <si>
    <t>Concord, MO</t>
  </si>
  <si>
    <t>Belle Chasse, LA</t>
  </si>
  <si>
    <t>Cedarburg, WI</t>
  </si>
  <si>
    <t>Lowell, IN</t>
  </si>
  <si>
    <t>Bryant, AR</t>
  </si>
  <si>
    <t>Cinco Ranch, TX</t>
  </si>
  <si>
    <t>Chipley, FL</t>
  </si>
  <si>
    <t>Morton, IL</t>
  </si>
  <si>
    <t>Artesia, NM</t>
  </si>
  <si>
    <t>East Cleveland, OH</t>
  </si>
  <si>
    <t>North Ogden, UT</t>
  </si>
  <si>
    <t>Pleasant Prairie, WI</t>
  </si>
  <si>
    <t>Lindenwold, NJ</t>
  </si>
  <si>
    <t>Bridgeview, IL</t>
  </si>
  <si>
    <t>Piqua, OH</t>
  </si>
  <si>
    <t>Perryville, MO</t>
  </si>
  <si>
    <t>Clarksburg, MD</t>
  </si>
  <si>
    <t>Stafford, TX</t>
  </si>
  <si>
    <t>Columbia, KY</t>
  </si>
  <si>
    <t>Gilbertsville, PA</t>
  </si>
  <si>
    <t>Springfield, NJ</t>
  </si>
  <si>
    <t>Bellingham, MA</t>
  </si>
  <si>
    <t>Great Falls, VA</t>
  </si>
  <si>
    <t>Glenvar Heights, FL</t>
  </si>
  <si>
    <t>Ennis, TX</t>
  </si>
  <si>
    <t>White Hall, AR</t>
  </si>
  <si>
    <t>Starke, FL</t>
  </si>
  <si>
    <t>Hibbing, MN</t>
  </si>
  <si>
    <t>Wyckoff, NJ</t>
  </si>
  <si>
    <t>Brookfield, CT</t>
  </si>
  <si>
    <t>Leonardtown, MD</t>
  </si>
  <si>
    <t>Ripley, TN</t>
  </si>
  <si>
    <t>Sanford, ME</t>
  </si>
  <si>
    <t>Sylva, NC</t>
  </si>
  <si>
    <t>Fort Lupton, CO</t>
  </si>
  <si>
    <t>Anna, TX</t>
  </si>
  <si>
    <t>Wayne, MI</t>
  </si>
  <si>
    <t>Webster, MA</t>
  </si>
  <si>
    <t>Nokomis, FL</t>
  </si>
  <si>
    <t>Abington, PA</t>
  </si>
  <si>
    <t>White Settlement, TX</t>
  </si>
  <si>
    <t>Hebron, KY</t>
  </si>
  <si>
    <t>Stillwater, MN</t>
  </si>
  <si>
    <t>Purvis, MS</t>
  </si>
  <si>
    <t>Long Beach, MS</t>
  </si>
  <si>
    <t>Livingston, CA</t>
  </si>
  <si>
    <t>Centerville, UT</t>
  </si>
  <si>
    <t>Lake Zurich, IL</t>
  </si>
  <si>
    <t>Boyertown, PA</t>
  </si>
  <si>
    <t>Roosevelt, NY</t>
  </si>
  <si>
    <t>North Liberty, IA</t>
  </si>
  <si>
    <t>Steubenville, OH</t>
  </si>
  <si>
    <t>Conshohocken, PA</t>
  </si>
  <si>
    <t>Brookhaven, PA</t>
  </si>
  <si>
    <t>Manassas Park, VA</t>
  </si>
  <si>
    <t>Alexandria, KY</t>
  </si>
  <si>
    <t>Scottsville, KY</t>
  </si>
  <si>
    <t>Kutztown, PA</t>
  </si>
  <si>
    <t>Artesia, CA</t>
  </si>
  <si>
    <t>Swansea, MA</t>
  </si>
  <si>
    <t>Mount Pleasant, PA</t>
  </si>
  <si>
    <t>Shiloh, IL</t>
  </si>
  <si>
    <t>Delmar, NY</t>
  </si>
  <si>
    <t>Suitland-Silver Hill, MD</t>
  </si>
  <si>
    <t>Lemay, MO</t>
  </si>
  <si>
    <t>Deatsville, AL</t>
  </si>
  <si>
    <t>Wharton, TX</t>
  </si>
  <si>
    <t>Senoia, GA</t>
  </si>
  <si>
    <t>Havre de Grace, MD</t>
  </si>
  <si>
    <t>Hatfield, PA</t>
  </si>
  <si>
    <t>Bonaire, GA</t>
  </si>
  <si>
    <t>Smithfield, VA</t>
  </si>
  <si>
    <t>Hauppauge, NY</t>
  </si>
  <si>
    <t>Nolensville, TN</t>
  </si>
  <si>
    <t>Lexington, VA</t>
  </si>
  <si>
    <t>Taylorsville, KY</t>
  </si>
  <si>
    <t>Spanish Lake, MO</t>
  </si>
  <si>
    <t>Covington, TN</t>
  </si>
  <si>
    <t>Thomson, GA</t>
  </si>
  <si>
    <t>Palm River-Clair Mel, FL</t>
  </si>
  <si>
    <t>Galion, OH</t>
  </si>
  <si>
    <t>El Segundo, CA</t>
  </si>
  <si>
    <t>Brigham City, UT</t>
  </si>
  <si>
    <t>Horsham, PA</t>
  </si>
  <si>
    <t>Rio Rico, AZ</t>
  </si>
  <si>
    <t>Willimantic, CT</t>
  </si>
  <si>
    <t>Dallas, PA</t>
  </si>
  <si>
    <t>Savannah, TN</t>
  </si>
  <si>
    <t>Auburn, MA</t>
  </si>
  <si>
    <t>Alamo, CA</t>
  </si>
  <si>
    <t>Forsyth, GA</t>
  </si>
  <si>
    <t>Ojus, FL</t>
  </si>
  <si>
    <t>Randleman, NC</t>
  </si>
  <si>
    <t>Dover, FL</t>
  </si>
  <si>
    <t>Southbridge, MA</t>
  </si>
  <si>
    <t>High Ridge, MO</t>
  </si>
  <si>
    <t>Otsego, MN</t>
  </si>
  <si>
    <t>Kensington, MD</t>
  </si>
  <si>
    <t>Detroit Lakes, MN</t>
  </si>
  <si>
    <t>San Luis, AZ</t>
  </si>
  <si>
    <t>Wolcott, CT</t>
  </si>
  <si>
    <t>Cortland, OH</t>
  </si>
  <si>
    <t>Bridgeville, PA</t>
  </si>
  <si>
    <t>Burrillville, RI</t>
  </si>
  <si>
    <t>Waterville, ME</t>
  </si>
  <si>
    <t>Pendleton, IN</t>
  </si>
  <si>
    <t>Pittston, PA</t>
  </si>
  <si>
    <t>Highland, MI</t>
  </si>
  <si>
    <t>Carpinteria, CA</t>
  </si>
  <si>
    <t>Humboldt, TN</t>
  </si>
  <si>
    <t>Durham, NH</t>
  </si>
  <si>
    <t>Midlothian, IL</t>
  </si>
  <si>
    <t>Hazel Park, MI</t>
  </si>
  <si>
    <t>Benson, NC</t>
  </si>
  <si>
    <t>Overland, MO</t>
  </si>
  <si>
    <t>Bonita, CA</t>
  </si>
  <si>
    <t>Holmdel Township, NJ</t>
  </si>
  <si>
    <t>Clementon, NJ</t>
  </si>
  <si>
    <t>Bristol, RI</t>
  </si>
  <si>
    <t>Hernando, FL</t>
  </si>
  <si>
    <t>King, NC</t>
  </si>
  <si>
    <t>Arab, AL</t>
  </si>
  <si>
    <t>Montevallo, AL</t>
  </si>
  <si>
    <t>Stonington, CT</t>
  </si>
  <si>
    <t>Delafield, WI</t>
  </si>
  <si>
    <t>Madison, NJ</t>
  </si>
  <si>
    <t>Davidson, NC</t>
  </si>
  <si>
    <t>Delran Township, NJ</t>
  </si>
  <si>
    <t>Hampstead, MD</t>
  </si>
  <si>
    <t>Sanger, TX</t>
  </si>
  <si>
    <t>New Milford, NJ</t>
  </si>
  <si>
    <t>Ashwaubenon, WI</t>
  </si>
  <si>
    <t>Kingsburg, CA</t>
  </si>
  <si>
    <t>Center Point, AL</t>
  </si>
  <si>
    <t>Abington, MA</t>
  </si>
  <si>
    <t>Ham Lake, MN</t>
  </si>
  <si>
    <t>Northbridge, MA</t>
  </si>
  <si>
    <t>Groves, TX</t>
  </si>
  <si>
    <t>Loomis, CA</t>
  </si>
  <si>
    <t>Willow Spring, NC</t>
  </si>
  <si>
    <t>Cinnaminson Township, NJ</t>
  </si>
  <si>
    <t>Brownsville, FL</t>
  </si>
  <si>
    <t>Pinewood, FL</t>
  </si>
  <si>
    <t>Dallas, NC</t>
  </si>
  <si>
    <t>Benton, LA</t>
  </si>
  <si>
    <t>Clayton, OH</t>
  </si>
  <si>
    <t>Clairton, PA</t>
  </si>
  <si>
    <t>Tuttle, OK</t>
  </si>
  <si>
    <t>Blountville, TN</t>
  </si>
  <si>
    <t>Orting, WA</t>
  </si>
  <si>
    <t>Plaquemine, LA</t>
  </si>
  <si>
    <t>Seymour, CT</t>
  </si>
  <si>
    <t>Greenfield, IN</t>
  </si>
  <si>
    <t>Clemson, SC</t>
  </si>
  <si>
    <t>North Salt Lake, UT</t>
  </si>
  <si>
    <t>Greenville, PA</t>
  </si>
  <si>
    <t>Satellite Beach, FL</t>
  </si>
  <si>
    <t>Fairview Park, OH</t>
  </si>
  <si>
    <t>Leitchfield, KY</t>
  </si>
  <si>
    <t>Summerfield, NC</t>
  </si>
  <si>
    <t>Eaton, OH</t>
  </si>
  <si>
    <t>Beverly Hills, FL</t>
  </si>
  <si>
    <t>Swartz Creek, MI</t>
  </si>
  <si>
    <t>Belleview, FL</t>
  </si>
  <si>
    <t>East Longmeadow, MA</t>
  </si>
  <si>
    <t>New Albany, MS</t>
  </si>
  <si>
    <t>Loris, SC</t>
  </si>
  <si>
    <t>La Grange, NC</t>
  </si>
  <si>
    <t>Bryn Mawr-Skyway, WA</t>
  </si>
  <si>
    <t>Portland, TX</t>
  </si>
  <si>
    <t>Mars, PA</t>
  </si>
  <si>
    <t>Springtown, TX</t>
  </si>
  <si>
    <t>Mukwonago, WI</t>
  </si>
  <si>
    <t>Destin, FL</t>
  </si>
  <si>
    <t>Half Moon Bay, CA</t>
  </si>
  <si>
    <t>Crystal River, FL</t>
  </si>
  <si>
    <t>Saint Clairsville, OH</t>
  </si>
  <si>
    <t>College Park, GA</t>
  </si>
  <si>
    <t>China Grove, NC</t>
  </si>
  <si>
    <t>Westwood, MA</t>
  </si>
  <si>
    <t>Jennings, MO</t>
  </si>
  <si>
    <t>Greenbrier, AR</t>
  </si>
  <si>
    <t>Cambridge, MN</t>
  </si>
  <si>
    <t>Pawleys Island, SC</t>
  </si>
  <si>
    <t>Gambrills, MD</t>
  </si>
  <si>
    <t>La Feria, TX</t>
  </si>
  <si>
    <t>Trenton, OH</t>
  </si>
  <si>
    <t>Newport, KY</t>
  </si>
  <si>
    <t>Imperial, CA</t>
  </si>
  <si>
    <t>Galena, OH</t>
  </si>
  <si>
    <t>Stanley, NC</t>
  </si>
  <si>
    <t>Spring Branch, TX</t>
  </si>
  <si>
    <t>Gautier, MS</t>
  </si>
  <si>
    <t>Portsmouth, RI</t>
  </si>
  <si>
    <t>Aurora, OH</t>
  </si>
  <si>
    <t>Murphysboro, IL</t>
  </si>
  <si>
    <t>Gladwin, MI</t>
  </si>
  <si>
    <t>Lihue, HI</t>
  </si>
  <si>
    <t>Orland, CA</t>
  </si>
  <si>
    <t>South River, NJ</t>
  </si>
  <si>
    <t>Potsdam, NY</t>
  </si>
  <si>
    <t>Seagoville, TX</t>
  </si>
  <si>
    <t>Galax, VA</t>
  </si>
  <si>
    <t>Bordentown Township, NJ</t>
  </si>
  <si>
    <t>La Palma, CA</t>
  </si>
  <si>
    <t>Alachua, FL</t>
  </si>
  <si>
    <t>Fleetwood, PA</t>
  </si>
  <si>
    <t>Middletown, RI</t>
  </si>
  <si>
    <t>Waterford, CT</t>
  </si>
  <si>
    <t>Grove City, PA</t>
  </si>
  <si>
    <t>Eaton Rapids, MI</t>
  </si>
  <si>
    <t>Bloomfield, NM</t>
  </si>
  <si>
    <t>Palos Hills, IL</t>
  </si>
  <si>
    <t>Oxford, AL</t>
  </si>
  <si>
    <t>Huron, MI</t>
  </si>
  <si>
    <t>Boulder City, NV</t>
  </si>
  <si>
    <t>Easthampton, MA</t>
  </si>
  <si>
    <t>Lake Saint Louis, MO</t>
  </si>
  <si>
    <t>Adairsville, GA</t>
  </si>
  <si>
    <t>Bangor, PA</t>
  </si>
  <si>
    <t>Highland Village, TX</t>
  </si>
  <si>
    <t>Cortez, CO</t>
  </si>
  <si>
    <t>Ponte Vedra, FL</t>
  </si>
  <si>
    <t>Westport, MA</t>
  </si>
  <si>
    <t>Ledyard, CT</t>
  </si>
  <si>
    <t>Plano, IL</t>
  </si>
  <si>
    <t>Saint Simons Island, GA</t>
  </si>
  <si>
    <t>Dexter, MI</t>
  </si>
  <si>
    <t>McDonald, PA</t>
  </si>
  <si>
    <t>Worthington, OH</t>
  </si>
  <si>
    <t>Lowell, AR</t>
  </si>
  <si>
    <t>Telford, PA</t>
  </si>
  <si>
    <t>North Reading, MA</t>
  </si>
  <si>
    <t>Rio Linda, CA</t>
  </si>
  <si>
    <t>Colchester, CT</t>
  </si>
  <si>
    <t>Ellington, CT</t>
  </si>
  <si>
    <t>Setauket, NY</t>
  </si>
  <si>
    <t>Hermitage, PA</t>
  </si>
  <si>
    <t>Batesville, MS</t>
  </si>
  <si>
    <t>Mullica Hill, NJ</t>
  </si>
  <si>
    <t>Hot Springs Village, AR</t>
  </si>
  <si>
    <t>Mount Clemens, MI</t>
  </si>
  <si>
    <t>Laguna Woods, CA</t>
  </si>
  <si>
    <t>Muscle Shoals, AL</t>
  </si>
  <si>
    <t>Goodlettsville, TN</t>
  </si>
  <si>
    <t>Mechanicville, NY</t>
  </si>
  <si>
    <t>Warren Township, NJ</t>
  </si>
  <si>
    <t>Longmeadow, MA</t>
  </si>
  <si>
    <t>La Marque, TX</t>
  </si>
  <si>
    <t>Williamston, NC</t>
  </si>
  <si>
    <t>Union City, GA</t>
  </si>
  <si>
    <t>Columbia, IL</t>
  </si>
  <si>
    <t>Grayson, KY</t>
  </si>
  <si>
    <t>King City, CA</t>
  </si>
  <si>
    <t>Greenwell Springs, LA</t>
  </si>
  <si>
    <t>Joppa, MD</t>
  </si>
  <si>
    <t>Metuchen, NJ</t>
  </si>
  <si>
    <t>Edcouch, TX</t>
  </si>
  <si>
    <t>Cody, WY</t>
  </si>
  <si>
    <t>Waterloo, IL</t>
  </si>
  <si>
    <t>Dickinson, TX</t>
  </si>
  <si>
    <t>Charlestown, IN</t>
  </si>
  <si>
    <t>Milford, NH</t>
  </si>
  <si>
    <t>Silverton, OR</t>
  </si>
  <si>
    <t>Eagle Point, OR</t>
  </si>
  <si>
    <t>Stanford, CA</t>
  </si>
  <si>
    <t>Jasper, TX</t>
  </si>
  <si>
    <t>Willowbrook, IL</t>
  </si>
  <si>
    <t>Hockessin, DE</t>
  </si>
  <si>
    <t>Suffield, CT</t>
  </si>
  <si>
    <t>Ellwood City, PA</t>
  </si>
  <si>
    <t>Opa-locka, FL</t>
  </si>
  <si>
    <t>North Arlington, NJ</t>
  </si>
  <si>
    <t>Parlier, CA</t>
  </si>
  <si>
    <t>Pecan Grove, TX</t>
  </si>
  <si>
    <t>Amherst, OH</t>
  </si>
  <si>
    <t>Mountain Top, PA</t>
  </si>
  <si>
    <t>Winton, CA</t>
  </si>
  <si>
    <t>Monticello, AR</t>
  </si>
  <si>
    <t>Hillsboro, MO</t>
  </si>
  <si>
    <t>East Syracuse, NY</t>
  </si>
  <si>
    <t>Hollidaysburg, PA</t>
  </si>
  <si>
    <t>Payson, UT</t>
  </si>
  <si>
    <t>Pearl River, NY</t>
  </si>
  <si>
    <t>Chesnee, SC</t>
  </si>
  <si>
    <t>Franklin, PA</t>
  </si>
  <si>
    <t>Holland, OH</t>
  </si>
  <si>
    <t>Souderton, PA</t>
  </si>
  <si>
    <t>Franklinton, NC</t>
  </si>
  <si>
    <t>Asbury Park, NJ</t>
  </si>
  <si>
    <t>Russellville, AL</t>
  </si>
  <si>
    <t>Branchburg Township, NJ</t>
  </si>
  <si>
    <t>Grosse Pointe Woods, MI</t>
  </si>
  <si>
    <t>Middleburg Heights, OH</t>
  </si>
  <si>
    <t>Madisonville, LA</t>
  </si>
  <si>
    <t>Streetsboro, OH</t>
  </si>
  <si>
    <t>Church Hill, TN</t>
  </si>
  <si>
    <t>Fort Thomas, KY</t>
  </si>
  <si>
    <t>Speedway, IN</t>
  </si>
  <si>
    <t>Bellevue, WI</t>
  </si>
  <si>
    <t>Molalla, OR</t>
  </si>
  <si>
    <t>Portage, WI</t>
  </si>
  <si>
    <t>East Highland Park, VA</t>
  </si>
  <si>
    <t>Louisville, MS</t>
  </si>
  <si>
    <t>Clayton, MO</t>
  </si>
  <si>
    <t>Palmetto Estates, FL</t>
  </si>
  <si>
    <t>Los Osos, CA</t>
  </si>
  <si>
    <t>Winchester, TN</t>
  </si>
  <si>
    <t>Raceland, LA</t>
  </si>
  <si>
    <t>Claymont, DE</t>
  </si>
  <si>
    <t>Godfrey, IL</t>
  </si>
  <si>
    <t>Croton-on-Hudson, NY</t>
  </si>
  <si>
    <t>Ruther Glen, VA</t>
  </si>
  <si>
    <t>Westchester, IL</t>
  </si>
  <si>
    <t>Needville, TX</t>
  </si>
  <si>
    <t>Long Valley, NJ</t>
  </si>
  <si>
    <t>Northview, MI</t>
  </si>
  <si>
    <t>Punxsutawney, PA</t>
  </si>
  <si>
    <t>Eunice, LA</t>
  </si>
  <si>
    <t>Seekonk, MA</t>
  </si>
  <si>
    <t>Clinton, SC</t>
  </si>
  <si>
    <t>Seminole, TX</t>
  </si>
  <si>
    <t>Keaau, HI</t>
  </si>
  <si>
    <t>Navasota, TX</t>
  </si>
  <si>
    <t>Myerstown, PA</t>
  </si>
  <si>
    <t>Cape May Court House, NJ</t>
  </si>
  <si>
    <t>Princeton, TX</t>
  </si>
  <si>
    <t>Huntingtown, MD</t>
  </si>
  <si>
    <t>Kearney, MO</t>
  </si>
  <si>
    <t>Fruita, CO</t>
  </si>
  <si>
    <t>Lovington, NM</t>
  </si>
  <si>
    <t>Fowlerville, MI</t>
  </si>
  <si>
    <t>Lincolnia, VA</t>
  </si>
  <si>
    <t>Glen Carbon, IL</t>
  </si>
  <si>
    <t>Hazard, KY</t>
  </si>
  <si>
    <t>Trinity, NC</t>
  </si>
  <si>
    <t>Dillon, SC</t>
  </si>
  <si>
    <t>Scituate, MA</t>
  </si>
  <si>
    <t>White Center, WA</t>
  </si>
  <si>
    <t>Mapleton, ND</t>
  </si>
  <si>
    <t>Sweetwater, TN</t>
  </si>
  <si>
    <t>Exeter, CA</t>
  </si>
  <si>
    <t>Carmel-by-the-Sea, CA</t>
  </si>
  <si>
    <t>Lansdowne, PA</t>
  </si>
  <si>
    <t>Country Club Hills, IL</t>
  </si>
  <si>
    <t>Byhalia, MS</t>
  </si>
  <si>
    <t>West Richland, WA</t>
  </si>
  <si>
    <t>Brazoria, TX</t>
  </si>
  <si>
    <t>Lyons, GA</t>
  </si>
  <si>
    <t>Gretna, NE</t>
  </si>
  <si>
    <t>Blackshear, GA</t>
  </si>
  <si>
    <t>Louisa, VA</t>
  </si>
  <si>
    <t>Emmett, ID</t>
  </si>
  <si>
    <t>Crete, IL</t>
  </si>
  <si>
    <t>Mastic, NY</t>
  </si>
  <si>
    <t>Kaukauna, WI</t>
  </si>
  <si>
    <t>Locust Grove, VA</t>
  </si>
  <si>
    <t>Alamosa, CO</t>
  </si>
  <si>
    <t>Sallisaw, OK</t>
  </si>
  <si>
    <t>Pryor, OK</t>
  </si>
  <si>
    <t>Ashland City, TN</t>
  </si>
  <si>
    <t>San Anselmo, CA</t>
  </si>
  <si>
    <t>Poteet, TX</t>
  </si>
  <si>
    <t>Massena, NY</t>
  </si>
  <si>
    <t>Wallkill, NY</t>
  </si>
  <si>
    <t>Espanola, NM</t>
  </si>
  <si>
    <t>Mena, AR</t>
  </si>
  <si>
    <t>Langley Park, MD</t>
  </si>
  <si>
    <t>Mineola, TX</t>
  </si>
  <si>
    <t>Highland Park, NJ</t>
  </si>
  <si>
    <t>Hubbard, OH</t>
  </si>
  <si>
    <t>Westlake Village, CA</t>
  </si>
  <si>
    <t>Valley, AL</t>
  </si>
  <si>
    <t>Petoskey, MI</t>
  </si>
  <si>
    <t>Rathdrum, ID</t>
  </si>
  <si>
    <t>Moundsville, WV</t>
  </si>
  <si>
    <t>Beech Grove, IN</t>
  </si>
  <si>
    <t>Greenwood Village, CO</t>
  </si>
  <si>
    <t>Exeter, NH</t>
  </si>
  <si>
    <t>Bessemer City, NC</t>
  </si>
  <si>
    <t>Marshfield, MO</t>
  </si>
  <si>
    <t>Denver, PA</t>
  </si>
  <si>
    <t>Whitman, MA</t>
  </si>
  <si>
    <t>Northborough, MA</t>
  </si>
  <si>
    <t>Spanish Fort, AL</t>
  </si>
  <si>
    <t>Grafton, WI</t>
  </si>
  <si>
    <t>Tomah, WI</t>
  </si>
  <si>
    <t>Highland, IL</t>
  </si>
  <si>
    <t>Addison, TX</t>
  </si>
  <si>
    <t>South Sioux City, NE</t>
  </si>
  <si>
    <t>Ramsey, NJ</t>
  </si>
  <si>
    <t>Fairhaven, MA</t>
  </si>
  <si>
    <t>North Bend, WA</t>
  </si>
  <si>
    <t>Clifton, VA</t>
  </si>
  <si>
    <t>Boonville, IN</t>
  </si>
  <si>
    <t>Nesconset, NY</t>
  </si>
  <si>
    <t>Vine Grove, KY</t>
  </si>
  <si>
    <t>Paw Paw, MI</t>
  </si>
  <si>
    <t>Weehawken, NJ</t>
  </si>
  <si>
    <t>Smithfield, RI</t>
  </si>
  <si>
    <t>Rice Lake, WI</t>
  </si>
  <si>
    <t>Marcus Hook, PA</t>
  </si>
  <si>
    <t>Egg Harbor City, NJ</t>
  </si>
  <si>
    <t>Gaines, MI</t>
  </si>
  <si>
    <t>Berkley, MI</t>
  </si>
  <si>
    <t>Moore, SC</t>
  </si>
  <si>
    <t>Youngsville, NC</t>
  </si>
  <si>
    <t>Lone Tree, CO</t>
  </si>
  <si>
    <t>Tiverton, RI</t>
  </si>
  <si>
    <t>Harrisonville, MO</t>
  </si>
  <si>
    <t>Safety Harbor, FL</t>
  </si>
  <si>
    <t>Rex, GA</t>
  </si>
  <si>
    <t>Huron, SD</t>
  </si>
  <si>
    <t>Hershey, PA</t>
  </si>
  <si>
    <t>Corning, CA</t>
  </si>
  <si>
    <t>Owens Cross Roads, AL</t>
  </si>
  <si>
    <t>Bay Saint Louis, MS</t>
  </si>
  <si>
    <t>Prospect Heights, IL</t>
  </si>
  <si>
    <t>Hastings, MN</t>
  </si>
  <si>
    <t>Lafayette, TN</t>
  </si>
  <si>
    <t>Walton, KY</t>
  </si>
  <si>
    <t>Firebaugh, CA</t>
  </si>
  <si>
    <t>Monroe, WI</t>
  </si>
  <si>
    <t>Chester Springs, PA</t>
  </si>
  <si>
    <t>Winslow, AZ</t>
  </si>
  <si>
    <t>Clark, NJ</t>
  </si>
  <si>
    <t>Sayville, NY</t>
  </si>
  <si>
    <t>Belchertown, MA</t>
  </si>
  <si>
    <t>South Ogden, UT</t>
  </si>
  <si>
    <t>Newton, IA</t>
  </si>
  <si>
    <t>Gulf Shores, AL</t>
  </si>
  <si>
    <t>Crest Hill, IL</t>
  </si>
  <si>
    <t>Berthoud, CO</t>
  </si>
  <si>
    <t>Salem, IN</t>
  </si>
  <si>
    <t>Hickory Hills, IL</t>
  </si>
  <si>
    <t>North Chicago, IL</t>
  </si>
  <si>
    <t>Beaver, PA</t>
  </si>
  <si>
    <t>Plymouth Meeting, PA</t>
  </si>
  <si>
    <t>Covington, VA</t>
  </si>
  <si>
    <t>Palos Heights, IL</t>
  </si>
  <si>
    <t>Sellersburg, IN</t>
  </si>
  <si>
    <t>Tolland, CT</t>
  </si>
  <si>
    <t>Advance, NC</t>
  </si>
  <si>
    <t>Littlerock, CA</t>
  </si>
  <si>
    <t>Hubert, NC</t>
  </si>
  <si>
    <t>New Holland, PA</t>
  </si>
  <si>
    <t>Live Oak, TX</t>
  </si>
  <si>
    <t>Hugo, MN</t>
  </si>
  <si>
    <t>Grandview, WA</t>
  </si>
  <si>
    <t>Waupaca, WI</t>
  </si>
  <si>
    <t>Grand Bay, AL</t>
  </si>
  <si>
    <t>Larchmont, NY</t>
  </si>
  <si>
    <t>Pacific Grove, CA</t>
  </si>
  <si>
    <t>Tenafly, NJ</t>
  </si>
  <si>
    <t>Broussard, LA</t>
  </si>
  <si>
    <t>Leland, NC</t>
  </si>
  <si>
    <t>Humble, TX</t>
  </si>
  <si>
    <t>Creedmoor, NC</t>
  </si>
  <si>
    <t>Flanders, NJ</t>
  </si>
  <si>
    <t>Rantoul, IL</t>
  </si>
  <si>
    <t>Prosser, WA</t>
  </si>
  <si>
    <t>Salem, WI</t>
  </si>
  <si>
    <t>Pooler, GA</t>
  </si>
  <si>
    <t>Wilbraham, MA</t>
  </si>
  <si>
    <t>Tolleson, AZ</t>
  </si>
  <si>
    <t>Scotts Valley, CA</t>
  </si>
  <si>
    <t>Fruitland Park, FL</t>
  </si>
  <si>
    <t>Forest, MS</t>
  </si>
  <si>
    <t>Gallipolis, OH</t>
  </si>
  <si>
    <t>Dunkirk, NY</t>
  </si>
  <si>
    <t>Windham, NH</t>
  </si>
  <si>
    <t>Granville, OH</t>
  </si>
  <si>
    <t>East Hampton, NY</t>
  </si>
  <si>
    <t>Bonne Terre, MO</t>
  </si>
  <si>
    <t>Kingston, TN</t>
  </si>
  <si>
    <t>Pembroke, NC</t>
  </si>
  <si>
    <t>Bedford, MA</t>
  </si>
  <si>
    <t>Bellmore, NY</t>
  </si>
  <si>
    <t>Fraser, MI</t>
  </si>
  <si>
    <t>Calera, AL</t>
  </si>
  <si>
    <t>Hooksett, NH</t>
  </si>
  <si>
    <t>Hartwell, GA</t>
  </si>
  <si>
    <t>Tazewell, TN</t>
  </si>
  <si>
    <t>Paradise Valley, AZ</t>
  </si>
  <si>
    <t>Cottonwood, CA</t>
  </si>
  <si>
    <t>Holliston, MA</t>
  </si>
  <si>
    <t>Crowley, TX</t>
  </si>
  <si>
    <t>San Elizario, TX</t>
  </si>
  <si>
    <t>Middlefield, OH</t>
  </si>
  <si>
    <t>Lake Butler, FL</t>
  </si>
  <si>
    <t>Luling, LA</t>
  </si>
  <si>
    <t>Norridge, IL</t>
  </si>
  <si>
    <t>Waynesburg, PA</t>
  </si>
  <si>
    <t>New Carlisle, OH</t>
  </si>
  <si>
    <t>Milford, PA</t>
  </si>
  <si>
    <t>Perkinston, MS</t>
  </si>
  <si>
    <t>Mount Vernon, IN</t>
  </si>
  <si>
    <t>Robbinsdale, MN</t>
  </si>
  <si>
    <t>Amite, LA</t>
  </si>
  <si>
    <t>East Bridgewater, MA</t>
  </si>
  <si>
    <t>Morgan, UT</t>
  </si>
  <si>
    <t>Globe, AZ</t>
  </si>
  <si>
    <t>New River, AZ</t>
  </si>
  <si>
    <t>Hanover, MA</t>
  </si>
  <si>
    <t>Clayton, CA</t>
  </si>
  <si>
    <t>Vandalia, OH</t>
  </si>
  <si>
    <t>Uniontown, OH</t>
  </si>
  <si>
    <t>Wilkinsburg, PA</t>
  </si>
  <si>
    <t>Tuckahoe, VA</t>
  </si>
  <si>
    <t>Nyack, NY</t>
  </si>
  <si>
    <t>Grafton, OH</t>
  </si>
  <si>
    <t>Caledonia, MI</t>
  </si>
  <si>
    <t>Marshall, MI</t>
  </si>
  <si>
    <t>Lancaster, KY</t>
  </si>
  <si>
    <t>Marion, SC</t>
  </si>
  <si>
    <t>Odenville, AL</t>
  </si>
  <si>
    <t>Duxbury, MA</t>
  </si>
  <si>
    <t>Senatobia, MS</t>
  </si>
  <si>
    <t>Lisbon, WI</t>
  </si>
  <si>
    <t>La Grange, IL</t>
  </si>
  <si>
    <t>Coweta, OK</t>
  </si>
  <si>
    <t>Eufaula, AL</t>
  </si>
  <si>
    <t>Raynham, MA</t>
  </si>
  <si>
    <t>Waverly, OH</t>
  </si>
  <si>
    <t>Hughson, CA</t>
  </si>
  <si>
    <t>Piedmont, AL</t>
  </si>
  <si>
    <t>Manchester, NJ</t>
  </si>
  <si>
    <t>Skiatook, OK</t>
  </si>
  <si>
    <t>Grants, NM</t>
  </si>
  <si>
    <t>Hazel Crest, IL</t>
  </si>
  <si>
    <t>Auburn, GA</t>
  </si>
  <si>
    <t>Jensen Beach, FL</t>
  </si>
  <si>
    <t>Thermal, CA</t>
  </si>
  <si>
    <t>Spring Creek, NV</t>
  </si>
  <si>
    <t>Dowagiac, MI</t>
  </si>
  <si>
    <t>Grove, OK</t>
  </si>
  <si>
    <t>Liberty, SC</t>
  </si>
  <si>
    <t>Delta, CO</t>
  </si>
  <si>
    <t>Welby, CO</t>
  </si>
  <si>
    <t>Plainfield, CT</t>
  </si>
  <si>
    <t>Hampton, NH</t>
  </si>
  <si>
    <t>Wynnewood, PA</t>
  </si>
  <si>
    <t>Hedgesville, WV</t>
  </si>
  <si>
    <t>Whitefish, MT</t>
  </si>
  <si>
    <t>Girard, OH</t>
  </si>
  <si>
    <t>Fort Hunt, VA</t>
  </si>
  <si>
    <t>Pataskala, OH</t>
  </si>
  <si>
    <t>Greenwood, AR</t>
  </si>
  <si>
    <t>New Franklin, OH</t>
  </si>
  <si>
    <t>Burnsville, NC</t>
  </si>
  <si>
    <t>Winnsboro, SC</t>
  </si>
  <si>
    <t>Hawaiian Gardens, CA</t>
  </si>
  <si>
    <t>Coto de Caza, CA</t>
  </si>
  <si>
    <t>Forest Park, IL</t>
  </si>
  <si>
    <t>Haddonfield, NJ</t>
  </si>
  <si>
    <t>Milton, DE</t>
  </si>
  <si>
    <t>Warrior, AL</t>
  </si>
  <si>
    <t>Delavan, WI</t>
  </si>
  <si>
    <t>Sweet Home, OR</t>
  </si>
  <si>
    <t>Wood Dale, IL</t>
  </si>
  <si>
    <t>Deer Park, WA</t>
  </si>
  <si>
    <t>North Branford, CT</t>
  </si>
  <si>
    <t>Braselton, GA</t>
  </si>
  <si>
    <t>Oak Hill, WV</t>
  </si>
  <si>
    <t>West Park, FL</t>
  </si>
  <si>
    <t>Fairview, NJ</t>
  </si>
  <si>
    <t>Trenton, FL</t>
  </si>
  <si>
    <t>Bethel, OH</t>
  </si>
  <si>
    <t>Duncan, SC</t>
  </si>
  <si>
    <t>Kountze, TX</t>
  </si>
  <si>
    <t>Brecksville, OH</t>
  </si>
  <si>
    <t>Miami Springs, FL</t>
  </si>
  <si>
    <t>New Hope, PA</t>
  </si>
  <si>
    <t>North East, MD</t>
  </si>
  <si>
    <t>Cheraw, SC</t>
  </si>
  <si>
    <t>Horizon City, TX</t>
  </si>
  <si>
    <t>Glenpool, OK</t>
  </si>
  <si>
    <t>Ball Ground, GA</t>
  </si>
  <si>
    <t>Holtville, CA</t>
  </si>
  <si>
    <t>Waupun, WI</t>
  </si>
  <si>
    <t>Camp Verde, AZ</t>
  </si>
  <si>
    <t>Russellville, KY</t>
  </si>
  <si>
    <t>Cave Creek, AZ</t>
  </si>
  <si>
    <t>Bryan, OH</t>
  </si>
  <si>
    <t>Saint Peter, MN</t>
  </si>
  <si>
    <t>Laurel, DE</t>
  </si>
  <si>
    <t>Narragansett, RI</t>
  </si>
  <si>
    <t>White House, TN</t>
  </si>
  <si>
    <t>Willowick, OH</t>
  </si>
  <si>
    <t>Chino Valley, AZ</t>
  </si>
  <si>
    <t>Dardenne Prairie, MO</t>
  </si>
  <si>
    <t>Harvard, IL</t>
  </si>
  <si>
    <t>Olive Hill, KY</t>
  </si>
  <si>
    <t>Alum Rock, CA</t>
  </si>
  <si>
    <t>Uxbridge, MA</t>
  </si>
  <si>
    <t>Clifton, CO</t>
  </si>
  <si>
    <t>Ridgeland, SC</t>
  </si>
  <si>
    <t>Lake Villa, IL</t>
  </si>
  <si>
    <t>North Aurora, IL</t>
  </si>
  <si>
    <t>Red Oak, TX</t>
  </si>
  <si>
    <t>Rochester, IN</t>
  </si>
  <si>
    <t>Oxford, MA</t>
  </si>
  <si>
    <t>Black Mountain, NC</t>
  </si>
  <si>
    <t>Brandywine, MD</t>
  </si>
  <si>
    <t>Clearfield, PA</t>
  </si>
  <si>
    <t>Columbia Falls, MT</t>
  </si>
  <si>
    <t>Moscow, PA</t>
  </si>
  <si>
    <t>Augusta, KS</t>
  </si>
  <si>
    <t>Orange, CT</t>
  </si>
  <si>
    <t>Bogart, GA</t>
  </si>
  <si>
    <t>Wayland, MA</t>
  </si>
  <si>
    <t>Berlin, NJ</t>
  </si>
  <si>
    <t>Farmington, UT</t>
  </si>
  <si>
    <t>Killen, AL</t>
  </si>
  <si>
    <t>Killingly, CT</t>
  </si>
  <si>
    <t>Cedar Lake, IN</t>
  </si>
  <si>
    <t>Westminster, SC</t>
  </si>
  <si>
    <t>Burlington, WA</t>
  </si>
  <si>
    <t>Pulaski, VA</t>
  </si>
  <si>
    <t>Suffern, NY</t>
  </si>
  <si>
    <t>Leon Valley, TX</t>
  </si>
  <si>
    <t>Toppenish, WA</t>
  </si>
  <si>
    <t>Allouez, WI</t>
  </si>
  <si>
    <t>Saddle Brook, NJ</t>
  </si>
  <si>
    <t>Dennis, MA</t>
  </si>
  <si>
    <t>Manorville, NY</t>
  </si>
  <si>
    <t>Vermilion, OH</t>
  </si>
  <si>
    <t>Clinton, MA</t>
  </si>
  <si>
    <t>Little Falls, MN</t>
  </si>
  <si>
    <t>Marblehead, MA</t>
  </si>
  <si>
    <t>Ellisville, MS</t>
  </si>
  <si>
    <t>Maxton, NC</t>
  </si>
  <si>
    <t>Warrenville, IL</t>
  </si>
  <si>
    <t>Oak Park, CA</t>
  </si>
  <si>
    <t>Robertsdale, AL</t>
  </si>
  <si>
    <t>Coopersburg, PA</t>
  </si>
  <si>
    <t>Hondo, TX</t>
  </si>
  <si>
    <t>Spring Lake, MI</t>
  </si>
  <si>
    <t>Sturgeon Bay, WI</t>
  </si>
  <si>
    <t>Whitehouse, TX</t>
  </si>
  <si>
    <t>Superior, MI</t>
  </si>
  <si>
    <t>Winnsboro, LA</t>
  </si>
  <si>
    <t>Town and Country, MO</t>
  </si>
  <si>
    <t>Canyon Lake, TX</t>
  </si>
  <si>
    <t>Mashpee, MA</t>
  </si>
  <si>
    <t>Pearl River, LA</t>
  </si>
  <si>
    <t>Little Falls, NJ</t>
  </si>
  <si>
    <t>Pelham, NH</t>
  </si>
  <si>
    <t>Charlton, MA</t>
  </si>
  <si>
    <t>Fort Bragg, CA</t>
  </si>
  <si>
    <t>Bexley, OH</t>
  </si>
  <si>
    <t>Collingswood, NJ</t>
  </si>
  <si>
    <t>Wimberley, TX</t>
  </si>
  <si>
    <t>Lampasas, TX</t>
  </si>
  <si>
    <t>Laurel, MT</t>
  </si>
  <si>
    <t>North Palm Beach, FL</t>
  </si>
  <si>
    <t>Platte City, MO</t>
  </si>
  <si>
    <t>Alexander, AR</t>
  </si>
  <si>
    <t>Waynesboro, GA</t>
  </si>
  <si>
    <t>Middle Valley, TN</t>
  </si>
  <si>
    <t>Harper Woods, MI</t>
  </si>
  <si>
    <t>Millbury, MA</t>
  </si>
  <si>
    <t>Andover, KS</t>
  </si>
  <si>
    <t>Weddington, NC</t>
  </si>
  <si>
    <t>Barrington, RI</t>
  </si>
  <si>
    <t>Lady Lake, FL</t>
  </si>
  <si>
    <t>Sharonville, OH</t>
  </si>
  <si>
    <t>Monticello, IN</t>
  </si>
  <si>
    <t>Franklin, LA</t>
  </si>
  <si>
    <t>Aberdeen, NC</t>
  </si>
  <si>
    <t>Valley Springs, CA</t>
  </si>
  <si>
    <t>Colville, WA</t>
  </si>
  <si>
    <t>Saint Francisville, LA</t>
  </si>
  <si>
    <t>Conway, FL</t>
  </si>
  <si>
    <t>Rossville, MD</t>
  </si>
  <si>
    <t>Woodmere, NY</t>
  </si>
  <si>
    <t>Whitmore Lake, MI</t>
  </si>
  <si>
    <t>Fairview Heights, IL</t>
  </si>
  <si>
    <t>Westview, FL</t>
  </si>
  <si>
    <t>Middlesex, NJ</t>
  </si>
  <si>
    <t>South Charleston, WV</t>
  </si>
  <si>
    <t>Stanford, KY</t>
  </si>
  <si>
    <t>Cadiz, KY</t>
  </si>
  <si>
    <t>Fredonia, NY</t>
  </si>
  <si>
    <t>New Fairfield, CT</t>
  </si>
  <si>
    <t>Pittsburg, TX</t>
  </si>
  <si>
    <t>Moulton, AL</t>
  </si>
  <si>
    <t>Hopkins, SC</t>
  </si>
  <si>
    <t>La Homa, TX</t>
  </si>
  <si>
    <t>Waynesboro, MS</t>
  </si>
  <si>
    <t>Sharon, PA</t>
  </si>
  <si>
    <t>Concord, OH</t>
  </si>
  <si>
    <t>Abbeville, SC</t>
  </si>
  <si>
    <t>Short Hills, NJ</t>
  </si>
  <si>
    <t>Greendale, WI</t>
  </si>
  <si>
    <t>North Valley, NM</t>
  </si>
  <si>
    <t>Markham, IL</t>
  </si>
  <si>
    <t>Harrison, MI</t>
  </si>
  <si>
    <t>Middle Island, NY</t>
  </si>
  <si>
    <t>Wapato, WA</t>
  </si>
  <si>
    <t>Rock Falls, IL</t>
  </si>
  <si>
    <t>Lecanto, FL</t>
  </si>
  <si>
    <t>Two Rivers, WI</t>
  </si>
  <si>
    <t>Chelsea, MI</t>
  </si>
  <si>
    <t>New Palestine, IN</t>
  </si>
  <si>
    <t>Grimes, IA</t>
  </si>
  <si>
    <t>Chester, NY</t>
  </si>
  <si>
    <t>Lyndhurst, OH</t>
  </si>
  <si>
    <t>Kenton, OH</t>
  </si>
  <si>
    <t>Four Oaks, NC</t>
  </si>
  <si>
    <t>Sparta, MI</t>
  </si>
  <si>
    <t>Wills Point, TX</t>
  </si>
  <si>
    <t>Livingston, LA</t>
  </si>
  <si>
    <t>Shelby, OH</t>
  </si>
  <si>
    <t>Junction City, OR</t>
  </si>
  <si>
    <t>Wauseon, OH</t>
  </si>
  <si>
    <t>Justice, IL</t>
  </si>
  <si>
    <t>West Haven, UT</t>
  </si>
  <si>
    <t>Pike Road, AL</t>
  </si>
  <si>
    <t>Canastota, NY</t>
  </si>
  <si>
    <t>Apollo, PA</t>
  </si>
  <si>
    <t>Ortonville, MI</t>
  </si>
  <si>
    <t>Vadnais Heights, MN</t>
  </si>
  <si>
    <t>Wagoner, OK</t>
  </si>
  <si>
    <t>Highland, NY</t>
  </si>
  <si>
    <t>Waddell, AZ</t>
  </si>
  <si>
    <t>Elizabeth, CO</t>
  </si>
  <si>
    <t>Willits, CA</t>
  </si>
  <si>
    <t>Orrville, OH</t>
  </si>
  <si>
    <t>Swampscott, MA</t>
  </si>
  <si>
    <t>Cromwell, CT</t>
  </si>
  <si>
    <t>Grover Beach, CA</t>
  </si>
  <si>
    <t>Bishop, CA</t>
  </si>
  <si>
    <t>Holtsville, NY</t>
  </si>
  <si>
    <t>Budd Lake, NJ</t>
  </si>
  <si>
    <t>Hornell, NY</t>
  </si>
  <si>
    <t>Weston, WI</t>
  </si>
  <si>
    <t>Rogers, MN</t>
  </si>
  <si>
    <t>Federal Heights, CO</t>
  </si>
  <si>
    <t>Cherryville, NC</t>
  </si>
  <si>
    <t>Harrison, TN</t>
  </si>
  <si>
    <t>Roselle Park, NJ</t>
  </si>
  <si>
    <t>Pikeville, NC</t>
  </si>
  <si>
    <t>Dade City, FL</t>
  </si>
  <si>
    <t>Morrow, OH</t>
  </si>
  <si>
    <t>White Oak, OH</t>
  </si>
  <si>
    <t>Stony Point, NY</t>
  </si>
  <si>
    <t>Delhi, CA</t>
  </si>
  <si>
    <t>Harrah, OK</t>
  </si>
  <si>
    <t>Gibsonville, NC</t>
  </si>
  <si>
    <t>Carthage, TX</t>
  </si>
  <si>
    <t>Elon, NC</t>
  </si>
  <si>
    <t>Rifle, CO</t>
  </si>
  <si>
    <t>Jericho, NY</t>
  </si>
  <si>
    <t>Medway, MA</t>
  </si>
  <si>
    <t>La Grange Park, IL</t>
  </si>
  <si>
    <t>Carrboro, NC</t>
  </si>
  <si>
    <t>Leicester, NC</t>
  </si>
  <si>
    <t>Berkeley Heights, NJ</t>
  </si>
  <si>
    <t>Liberty Hill, TX</t>
  </si>
  <si>
    <t>Millbrook, AL</t>
  </si>
  <si>
    <t>Rayville, LA</t>
  </si>
  <si>
    <t>Lincoln, MI</t>
  </si>
  <si>
    <t>East Islip, NY</t>
  </si>
  <si>
    <t>Slatington, PA</t>
  </si>
  <si>
    <t>Fortuna, CA</t>
  </si>
  <si>
    <t>Monaca, PA</t>
  </si>
  <si>
    <t>Manistee, MI</t>
  </si>
  <si>
    <t>Canton, TX</t>
  </si>
  <si>
    <t>Soldotna, AK</t>
  </si>
  <si>
    <t>Freeland, MI</t>
  </si>
  <si>
    <t>Chicago Ridge, IL</t>
  </si>
  <si>
    <t>Warrensville Heights, OH</t>
  </si>
  <si>
    <t>Swanton, OH</t>
  </si>
  <si>
    <t>Mims, FL</t>
  </si>
  <si>
    <t>Commerce, CA</t>
  </si>
  <si>
    <t>Winnetka, IL</t>
  </si>
  <si>
    <t>Verona, NJ</t>
  </si>
  <si>
    <t>Marco Island, FL</t>
  </si>
  <si>
    <t>Riverdale, IL</t>
  </si>
  <si>
    <t>Sandston, VA</t>
  </si>
  <si>
    <t>Lucasville, OH</t>
  </si>
  <si>
    <t>Spring Grove, PA</t>
  </si>
  <si>
    <t>Rogersville, MO</t>
  </si>
  <si>
    <t>Port Jervis, NY</t>
  </si>
  <si>
    <t>Damascus, MD</t>
  </si>
  <si>
    <t>Tillamook, OR</t>
  </si>
  <si>
    <t>Cheboygan, MI</t>
  </si>
  <si>
    <t>Glenolden, PA</t>
  </si>
  <si>
    <t>Fort Stockton, TX</t>
  </si>
  <si>
    <t>Newman, CA</t>
  </si>
  <si>
    <t>Paola, KS</t>
  </si>
  <si>
    <t>Mastic Beach, NY</t>
  </si>
  <si>
    <t>Wilkesboro, NC</t>
  </si>
  <si>
    <t>Rendon, TX</t>
  </si>
  <si>
    <t>Clarksville, AR</t>
  </si>
  <si>
    <t>Clarkesville, GA</t>
  </si>
  <si>
    <t>Church Point, LA</t>
  </si>
  <si>
    <t>Bangor Township, MI</t>
  </si>
  <si>
    <t>Monticello, FL</t>
  </si>
  <si>
    <t>Granite Falls, NC</t>
  </si>
  <si>
    <t>Rochester, MI</t>
  </si>
  <si>
    <t>Kathleen, GA</t>
  </si>
  <si>
    <t>Lake Forest Park, WA</t>
  </si>
  <si>
    <t>Woodland Park, CO</t>
  </si>
  <si>
    <t>Townsend, DE</t>
  </si>
  <si>
    <t>Indiantown, FL</t>
  </si>
  <si>
    <t>Reedsburg, WI</t>
  </si>
  <si>
    <t>Waterford, WI</t>
  </si>
  <si>
    <t>Lander, WY</t>
  </si>
  <si>
    <t>Destrehan, LA</t>
  </si>
  <si>
    <t>San Marino, CA</t>
  </si>
  <si>
    <t>Monroe, OH</t>
  </si>
  <si>
    <t>Goshen, NY</t>
  </si>
  <si>
    <t>Whitefish Bay, WI</t>
  </si>
  <si>
    <t>Burnet, TX</t>
  </si>
  <si>
    <t>Cornelius, OR</t>
  </si>
  <si>
    <t>Golden Valley, AZ</t>
  </si>
  <si>
    <t>Timberwood Park, TX</t>
  </si>
  <si>
    <t>East Riverdale, MD</t>
  </si>
  <si>
    <t>Cedar Creek, TX</t>
  </si>
  <si>
    <t>West Grove, PA</t>
  </si>
  <si>
    <t>Woodland, WA</t>
  </si>
  <si>
    <t>Greenville, AL</t>
  </si>
  <si>
    <t>Oxford, CT</t>
  </si>
  <si>
    <t>Waynesville, OH</t>
  </si>
  <si>
    <t>Kewanee, IL</t>
  </si>
  <si>
    <t>Pleasantville, NY</t>
  </si>
  <si>
    <t>Poteau, OK</t>
  </si>
  <si>
    <t>Edgewood, NM</t>
  </si>
  <si>
    <t>South Haven, MI</t>
  </si>
  <si>
    <t>Quincy, WA</t>
  </si>
  <si>
    <t>Waverly, IA</t>
  </si>
  <si>
    <t>Macclenny, FL</t>
  </si>
  <si>
    <t>Montgomery, NY</t>
  </si>
  <si>
    <t>South Daytona, FL</t>
  </si>
  <si>
    <t>Harpers Ferry, WV</t>
  </si>
  <si>
    <t>Southern Pines, NC</t>
  </si>
  <si>
    <t>New Providence, NJ</t>
  </si>
  <si>
    <t>Belle Vernon, PA</t>
  </si>
  <si>
    <t>Oakland, NJ</t>
  </si>
  <si>
    <t>Seabrook, TX</t>
  </si>
  <si>
    <t>University Heights, OH</t>
  </si>
  <si>
    <t>Sweetwater, FL</t>
  </si>
  <si>
    <t>Tallassee, AL</t>
  </si>
  <si>
    <t>Bluff City, TN</t>
  </si>
  <si>
    <t>Sandwich, MA</t>
  </si>
  <si>
    <t>Snow Hill, NC</t>
  </si>
  <si>
    <t>Swansea, IL</t>
  </si>
  <si>
    <t>Fallston, MD</t>
  </si>
  <si>
    <t>Jefferson City, TN</t>
  </si>
  <si>
    <t>Sullivan, MO</t>
  </si>
  <si>
    <t>Jefferson, WI</t>
  </si>
  <si>
    <t>Saint Albans, VT</t>
  </si>
  <si>
    <t>Claremont, NH</t>
  </si>
  <si>
    <t>Avenal, CA</t>
  </si>
  <si>
    <t>Mohnton, PA</t>
  </si>
  <si>
    <t>North Adams, MA</t>
  </si>
  <si>
    <t>Southwest Ranches, FL</t>
  </si>
  <si>
    <t>Arlington, TN</t>
  </si>
  <si>
    <t>Red Springs, NC</t>
  </si>
  <si>
    <t>Berkeley Springs, WV</t>
  </si>
  <si>
    <t>Dunlap, TN</t>
  </si>
  <si>
    <t>Ipswich, MA</t>
  </si>
  <si>
    <t>Ridgefield Park, NJ</t>
  </si>
  <si>
    <t>Western Springs, IL</t>
  </si>
  <si>
    <t>Liberty Lake, WA</t>
  </si>
  <si>
    <t>Smithville, TN</t>
  </si>
  <si>
    <t>Bluffdale, UT</t>
  </si>
  <si>
    <t>Dexter, MO</t>
  </si>
  <si>
    <t>Elkton, VA</t>
  </si>
  <si>
    <t>Dublin, VA</t>
  </si>
  <si>
    <t>Yazoo City, MS</t>
  </si>
  <si>
    <t>Keystone Heights, FL</t>
  </si>
  <si>
    <t>Timmonsville, SC</t>
  </si>
  <si>
    <t>Glendale, WI</t>
  </si>
  <si>
    <t>Newark, NY</t>
  </si>
  <si>
    <t>Blue Ash, OH</t>
  </si>
  <si>
    <t>Saint John, IN</t>
  </si>
  <si>
    <t>Lynnfield, MA</t>
  </si>
  <si>
    <t>Amory, MS</t>
  </si>
  <si>
    <t>Chesterton, IN</t>
  </si>
  <si>
    <t>Medfield, MA</t>
  </si>
  <si>
    <t>Independence, KS</t>
  </si>
  <si>
    <t>Gladeview, FL</t>
  </si>
  <si>
    <t>East Hampton, CT</t>
  </si>
  <si>
    <t>Graham, TX</t>
  </si>
  <si>
    <t>Cleves, OH</t>
  </si>
  <si>
    <t>Geneva, OH</t>
  </si>
  <si>
    <t>Garnet Valley, PA</t>
  </si>
  <si>
    <t>Blue Ridge, GA</t>
  </si>
  <si>
    <t>Holly Hill, FL</t>
  </si>
  <si>
    <t>Gridley, CA</t>
  </si>
  <si>
    <t>Jersey Shore, PA</t>
  </si>
  <si>
    <t>Nesbit, MS</t>
  </si>
  <si>
    <t>Ishpeming, MI</t>
  </si>
  <si>
    <t>Middleville, MI</t>
  </si>
  <si>
    <t>Cahokia, IL</t>
  </si>
  <si>
    <t>Kingston, MA</t>
  </si>
  <si>
    <t>Port Washington, WI</t>
  </si>
  <si>
    <t>Middlebury, IN</t>
  </si>
  <si>
    <t>Bulverde, TX</t>
  </si>
  <si>
    <t>Cutlerville, MI</t>
  </si>
  <si>
    <t>Kendall Park, NJ</t>
  </si>
  <si>
    <t>North Branch, MN</t>
  </si>
  <si>
    <t>Browns Summit, NC</t>
  </si>
  <si>
    <t>Woodville, TX</t>
  </si>
  <si>
    <t>Barboursville, WV</t>
  </si>
  <si>
    <t>Thonotosassa, FL</t>
  </si>
  <si>
    <t>Sheridan, AR</t>
  </si>
  <si>
    <t>East Greenwich, RI</t>
  </si>
  <si>
    <t>Finneytown, OH</t>
  </si>
  <si>
    <t>Shorewood, WI</t>
  </si>
  <si>
    <t>Waconia, MN</t>
  </si>
  <si>
    <t>Wickliffe, OH</t>
  </si>
  <si>
    <t>Elkview, WV</t>
  </si>
  <si>
    <t>Kingston, PA</t>
  </si>
  <si>
    <t>Blairsville, PA</t>
  </si>
  <si>
    <t>Greensboro, GA</t>
  </si>
  <si>
    <t>Bremen, GA</t>
  </si>
  <si>
    <t>Damascus, OR</t>
  </si>
  <si>
    <t>Calimesa, CA</t>
  </si>
  <si>
    <t>Saraland, AL</t>
  </si>
  <si>
    <t>Pocahontas, AR</t>
  </si>
  <si>
    <t>Vienna, MI</t>
  </si>
  <si>
    <t>Mounds View, MN</t>
  </si>
  <si>
    <t>Franklin, VA</t>
  </si>
  <si>
    <t>Burr Ridge, IL</t>
  </si>
  <si>
    <t>Waseca, MN</t>
  </si>
  <si>
    <t>Honey Brook, PA</t>
  </si>
  <si>
    <t>Middletown, MD</t>
  </si>
  <si>
    <t>Rupert, ID</t>
  </si>
  <si>
    <t>Pass Christian, MS</t>
  </si>
  <si>
    <t>Key Biscayne, FL</t>
  </si>
  <si>
    <t>Woodland Park, NJ</t>
  </si>
  <si>
    <t>Saint Joseph, MN</t>
  </si>
  <si>
    <t>Wildwood, NJ</t>
  </si>
  <si>
    <t>Honesdale, PA</t>
  </si>
  <si>
    <t>Sunbury, OH</t>
  </si>
  <si>
    <t>South Point, OH</t>
  </si>
  <si>
    <t>Hudson Falls, NY</t>
  </si>
  <si>
    <t>Keithville, LA</t>
  </si>
  <si>
    <t>Bedford, OH</t>
  </si>
  <si>
    <t>Inwood, WV</t>
  </si>
  <si>
    <t>Bridgetown, OH</t>
  </si>
  <si>
    <t>Johnstown, NY</t>
  </si>
  <si>
    <t>Lake City, SC</t>
  </si>
  <si>
    <t>Gray, GA</t>
  </si>
  <si>
    <t>Poplarville, MS</t>
  </si>
  <si>
    <t>Escalon, CA</t>
  </si>
  <si>
    <t>Haysville, KS</t>
  </si>
  <si>
    <t>Yadkinville, NC</t>
  </si>
  <si>
    <t>Kershaw, SC</t>
  </si>
  <si>
    <t>Thurmont, MD</t>
  </si>
  <si>
    <t>River Ridge, LA</t>
  </si>
  <si>
    <t>Nevada, MO</t>
  </si>
  <si>
    <t>Bellevue, OH</t>
  </si>
  <si>
    <t>Harrisburg, IL</t>
  </si>
  <si>
    <t>Snoqualmie, WA</t>
  </si>
  <si>
    <t>Forest Hill, TX</t>
  </si>
  <si>
    <t>North Bend, OR</t>
  </si>
  <si>
    <t>Perry Hall, MD</t>
  </si>
  <si>
    <t>Luray, VA</t>
  </si>
  <si>
    <t>La Vernia, TX</t>
  </si>
  <si>
    <t>Osceola, IN</t>
  </si>
  <si>
    <t>Franklin, OH</t>
  </si>
  <si>
    <t>Kingstree, SC</t>
  </si>
  <si>
    <t>Beebe, AR</t>
  </si>
  <si>
    <t>Elmer, NJ</t>
  </si>
  <si>
    <t>Havre, MT</t>
  </si>
  <si>
    <t>Camano Island, WA</t>
  </si>
  <si>
    <t>Penn Yan, NY</t>
  </si>
  <si>
    <t>Manchester, KY</t>
  </si>
  <si>
    <t>Hazel Green, AL</t>
  </si>
  <si>
    <t>Isanti, MN</t>
  </si>
  <si>
    <t>Canal Fulton, OH</t>
  </si>
  <si>
    <t>South Boston, VA</t>
  </si>
  <si>
    <t>Woodhaven, MI</t>
  </si>
  <si>
    <t>Nanticoke, PA</t>
  </si>
  <si>
    <t>Paris, IL</t>
  </si>
  <si>
    <t>Williamston, SC</t>
  </si>
  <si>
    <t>Windsor Locks, CT</t>
  </si>
  <si>
    <t>Sausalito, CA</t>
  </si>
  <si>
    <t>Pagosa Springs, CO</t>
  </si>
  <si>
    <t>Sunland Park, NM</t>
  </si>
  <si>
    <t>Bay Village, OH</t>
  </si>
  <si>
    <t>Ardmore, PA</t>
  </si>
  <si>
    <t>Aurora, MO</t>
  </si>
  <si>
    <t>Cameron, MO</t>
  </si>
  <si>
    <t>Oneida, NY</t>
  </si>
  <si>
    <t>Magnolia, DE</t>
  </si>
  <si>
    <t>Derby, CT</t>
  </si>
  <si>
    <t>Coventry, CT</t>
  </si>
  <si>
    <t>Cedar Grove, NJ</t>
  </si>
  <si>
    <t>Pennsville, NJ</t>
  </si>
  <si>
    <t>North Myrtle Beach, SC</t>
  </si>
  <si>
    <t>North Smithfield, RI</t>
  </si>
  <si>
    <t>Antigo, WI</t>
  </si>
  <si>
    <t>Keyport, NJ</t>
  </si>
  <si>
    <t>Center, TX</t>
  </si>
  <si>
    <t>North Saint Paul, MN</t>
  </si>
  <si>
    <t>Hampshire, IL</t>
  </si>
  <si>
    <t>Irvine, KY</t>
  </si>
  <si>
    <t>Lake Grove, NY</t>
  </si>
  <si>
    <t>Manasquan, NJ</t>
  </si>
  <si>
    <t>Cynthiana, KY</t>
  </si>
  <si>
    <t>Sainte Genevieve, MO</t>
  </si>
  <si>
    <t>Columbiana, AL</t>
  </si>
  <si>
    <t>Johnstown, OH</t>
  </si>
  <si>
    <t>Shady Hills, FL</t>
  </si>
  <si>
    <t>Fairview, TN</t>
  </si>
  <si>
    <t>Keokuk, IA</t>
  </si>
  <si>
    <t>Portland, IN</t>
  </si>
  <si>
    <t>New Brighton, PA</t>
  </si>
  <si>
    <t>Emporia, VA</t>
  </si>
  <si>
    <t>Pelham, NY</t>
  </si>
  <si>
    <t>Floyds Knobs, IN</t>
  </si>
  <si>
    <t>New Baltimore, MI</t>
  </si>
  <si>
    <t>Walden, NY</t>
  </si>
  <si>
    <t>Richton Park, IL</t>
  </si>
  <si>
    <t>Hartsdale, NY</t>
  </si>
  <si>
    <t>Lagrange, IN</t>
  </si>
  <si>
    <t>Gold Canyon, AZ</t>
  </si>
  <si>
    <t>Triangle, VA</t>
  </si>
  <si>
    <t>Prince Frederick, MD</t>
  </si>
  <si>
    <t>York, ME</t>
  </si>
  <si>
    <t>Wytheville, VA</t>
  </si>
  <si>
    <t>Lebanon, KY</t>
  </si>
  <si>
    <t>Milton Freewater, OR</t>
  </si>
  <si>
    <t>Lisbon, OH</t>
  </si>
  <si>
    <t>Haslett, MI</t>
  </si>
  <si>
    <t>Polk City, IA</t>
  </si>
  <si>
    <t>Fort Gratiot, MI</t>
  </si>
  <si>
    <t>Avocado Heights, CA</t>
  </si>
  <si>
    <t>Jamestown, TN</t>
  </si>
  <si>
    <t>Pine Bush, NY</t>
  </si>
  <si>
    <t>West Carrollton, OH</t>
  </si>
  <si>
    <t>Montoursville, PA</t>
  </si>
  <si>
    <t>Tyngsboro, MA</t>
  </si>
  <si>
    <t>Chaparral, NM</t>
  </si>
  <si>
    <t>Plain City, OH</t>
  </si>
  <si>
    <t>Carthage, MO</t>
  </si>
  <si>
    <t>Garden City, ID</t>
  </si>
  <si>
    <t>Hampton Bays, NY</t>
  </si>
  <si>
    <t>Red Bank, TN</t>
  </si>
  <si>
    <t>Albion, MI</t>
  </si>
  <si>
    <t>Somerville, NJ</t>
  </si>
  <si>
    <t>Palmer, MA</t>
  </si>
  <si>
    <t>Boyds, MD</t>
  </si>
  <si>
    <t>Mogadore, OH</t>
  </si>
  <si>
    <t>Duson, LA</t>
  </si>
  <si>
    <t>Ridge, NY</t>
  </si>
  <si>
    <t>Wilton Manors, FL</t>
  </si>
  <si>
    <t>Lumberton Township, NJ</t>
  </si>
  <si>
    <t>Wayland, MI</t>
  </si>
  <si>
    <t>Saint Clair, MI</t>
  </si>
  <si>
    <t>Mercer, PA</t>
  </si>
  <si>
    <t>Livingston, MT</t>
  </si>
  <si>
    <t>Bushnell, FL</t>
  </si>
  <si>
    <t>Lincolnwood, IL</t>
  </si>
  <si>
    <t>Madison, GA</t>
  </si>
  <si>
    <t>Maiden, NC</t>
  </si>
  <si>
    <t>Wharton, NJ</t>
  </si>
  <si>
    <t>Campton Hills, IL</t>
  </si>
  <si>
    <t>Santa Rosa Beach, FL</t>
  </si>
  <si>
    <t>Druid Hills, GA</t>
  </si>
  <si>
    <t>Hopatcong, NJ</t>
  </si>
  <si>
    <t>Marion, VA</t>
  </si>
  <si>
    <t>Oak Grove, MO</t>
  </si>
  <si>
    <t>Hasbrouck Heights, NJ</t>
  </si>
  <si>
    <t>Duvall, WA</t>
  </si>
  <si>
    <t>Forest Acres, SC</t>
  </si>
  <si>
    <t>Bridgeton, MO</t>
  </si>
  <si>
    <t>Rehoboth, MA</t>
  </si>
  <si>
    <t>Adelphi, MD</t>
  </si>
  <si>
    <t>Merton, WI</t>
  </si>
  <si>
    <t>Tylertown, MS</t>
  </si>
  <si>
    <t>Sugar Grove, IL</t>
  </si>
  <si>
    <t>Holmen, WI</t>
  </si>
  <si>
    <t>Chappaqua, NY</t>
  </si>
  <si>
    <t>Milton, PA</t>
  </si>
  <si>
    <t>Wanaque, NJ</t>
  </si>
  <si>
    <t>Gypsum, CO</t>
  </si>
  <si>
    <t>Etters, PA</t>
  </si>
  <si>
    <t>Norton, OH</t>
  </si>
  <si>
    <t>Donaldsonville, LA</t>
  </si>
  <si>
    <t>Santa Fe, TX</t>
  </si>
  <si>
    <t>Lewisville, NC</t>
  </si>
  <si>
    <t>Greenbrier, TN</t>
  </si>
  <si>
    <t>Bethlehem, GA</t>
  </si>
  <si>
    <t>Ontario, NY</t>
  </si>
  <si>
    <t>Roy, WA</t>
  </si>
  <si>
    <t>Superior, CO</t>
  </si>
  <si>
    <t>Quarryville, PA</t>
  </si>
  <si>
    <t>Long Grove, IL</t>
  </si>
  <si>
    <t>Salem, MO</t>
  </si>
  <si>
    <t>Graham, NC</t>
  </si>
  <si>
    <t>Chestertown, MD</t>
  </si>
  <si>
    <t>Haverstraw, NY</t>
  </si>
  <si>
    <t>Saint Pauls, NC</t>
  </si>
  <si>
    <t>Alma, AR</t>
  </si>
  <si>
    <t>Elkin, NC</t>
  </si>
  <si>
    <t>Babylon, NY</t>
  </si>
  <si>
    <t>DeMotte, IN</t>
  </si>
  <si>
    <t>Ringwood, NJ</t>
  </si>
  <si>
    <t>Callaway, FL</t>
  </si>
  <si>
    <t>Edgewater, NJ</t>
  </si>
  <si>
    <t>Marshville, NC</t>
  </si>
  <si>
    <t>Sumner, WA</t>
  </si>
  <si>
    <t>New Oxford, PA</t>
  </si>
  <si>
    <t>Highlands, TX</t>
  </si>
  <si>
    <t>Princess Anne, MD</t>
  </si>
  <si>
    <t>Williston, FL</t>
  </si>
  <si>
    <t>Hueytown, AL</t>
  </si>
  <si>
    <t>Weston, MA</t>
  </si>
  <si>
    <t>Haiku, HI</t>
  </si>
  <si>
    <t>Pepperell, MA</t>
  </si>
  <si>
    <t>White City, OR</t>
  </si>
  <si>
    <t>Saint Marys, OH</t>
  </si>
  <si>
    <t>Gladstone, OR</t>
  </si>
  <si>
    <t>Hertford, NC</t>
  </si>
  <si>
    <t>Fords, NJ</t>
  </si>
  <si>
    <t>Olney, IL</t>
  </si>
  <si>
    <t>Graniteville, SC</t>
  </si>
  <si>
    <t>Finksburg, MD</t>
  </si>
  <si>
    <t>Riverview, MI</t>
  </si>
  <si>
    <t>Saltillo, MS</t>
  </si>
  <si>
    <t>Clawson, MI</t>
  </si>
  <si>
    <t>Hawley, PA</t>
  </si>
  <si>
    <t>Vicksburg, MI</t>
  </si>
  <si>
    <t>Wolfforth, TX</t>
  </si>
  <si>
    <t>Moneta, VA</t>
  </si>
  <si>
    <t>Attalla, AL</t>
  </si>
  <si>
    <t>Brown Deer, WI</t>
  </si>
  <si>
    <t>Thief River Falls, MN</t>
  </si>
  <si>
    <t>Boonton, NJ</t>
  </si>
  <si>
    <t>Canyon Lake, CA</t>
  </si>
  <si>
    <t>East Grand Rapids, MI</t>
  </si>
  <si>
    <t>Alcoa, TN</t>
  </si>
  <si>
    <t>Fayetteville, NY</t>
  </si>
  <si>
    <t>Palos Verdes Estates, CA</t>
  </si>
  <si>
    <t>Warrenton, MO</t>
  </si>
  <si>
    <t>Gulfport, FL</t>
  </si>
  <si>
    <t>Erwin, TN</t>
  </si>
  <si>
    <t>Channahon, IL</t>
  </si>
  <si>
    <t>Spencer, MA</t>
  </si>
  <si>
    <t>Somersworth, NH</t>
  </si>
  <si>
    <t>Princeton, IN</t>
  </si>
  <si>
    <t>Bellville, TX</t>
  </si>
  <si>
    <t>Sorrento, FL</t>
  </si>
  <si>
    <t>Mauldin, SC</t>
  </si>
  <si>
    <t>Monongahela, PA</t>
  </si>
  <si>
    <t>Russell Springs, KY</t>
  </si>
  <si>
    <t>Fort Scott, KS</t>
  </si>
  <si>
    <t>Chelsea, AL</t>
  </si>
  <si>
    <t>Bennington, NE</t>
  </si>
  <si>
    <t>Hobart, WI</t>
  </si>
  <si>
    <t>Landenberg, PA</t>
  </si>
  <si>
    <t>Lakeland Highlands, FL</t>
  </si>
  <si>
    <t>New Carrollton, MD</t>
  </si>
  <si>
    <t>Milan, TN</t>
  </si>
  <si>
    <t>Stafford Springs, CT</t>
  </si>
  <si>
    <t>Lonoke, AR</t>
  </si>
  <si>
    <t>Wrentham, MA</t>
  </si>
  <si>
    <t>East Bethel, MN</t>
  </si>
  <si>
    <t>Fredericktown, MO</t>
  </si>
  <si>
    <t>Camdenton, MO</t>
  </si>
  <si>
    <t>Saint James, NY</t>
  </si>
  <si>
    <t>Northlake, IL</t>
  </si>
  <si>
    <t>Monmouth, OR</t>
  </si>
  <si>
    <t>Cuero, TX</t>
  </si>
  <si>
    <t>New Boston, TX</t>
  </si>
  <si>
    <t>Kosciusko, MS</t>
  </si>
  <si>
    <t>Monticello, NY</t>
  </si>
  <si>
    <t>El Sobrante, CA</t>
  </si>
  <si>
    <t>Rocky Point, NC</t>
  </si>
  <si>
    <t>Sellersville, PA</t>
  </si>
  <si>
    <t>Belding, MI</t>
  </si>
  <si>
    <t>Bridgeville, DE</t>
  </si>
  <si>
    <t>Port Neches, TX</t>
  </si>
  <si>
    <t>Felton, DE</t>
  </si>
  <si>
    <t>Archer, FL</t>
  </si>
  <si>
    <t>Lanett, AL</t>
  </si>
  <si>
    <t>Jeanerette, LA</t>
  </si>
  <si>
    <t>Lewiston, NY</t>
  </si>
  <si>
    <t>Blair, NE</t>
  </si>
  <si>
    <t>Glen Head, NY</t>
  </si>
  <si>
    <t>Brownfield, TX</t>
  </si>
  <si>
    <t>Winfield, IL</t>
  </si>
  <si>
    <t>Goulds, FL</t>
  </si>
  <si>
    <t>Hebron, IN</t>
  </si>
  <si>
    <t>Glen Rock, NJ</t>
  </si>
  <si>
    <t>Miami Shores, FL</t>
  </si>
  <si>
    <t>Kingston, WA</t>
  </si>
  <si>
    <t>Ephrata, WA</t>
  </si>
  <si>
    <t>View Park-Windsor Hills, CA</t>
  </si>
  <si>
    <t>Irvington, AL</t>
  </si>
  <si>
    <t>Dry Ridge, KY</t>
  </si>
  <si>
    <t>Christmas, FL</t>
  </si>
  <si>
    <t>Mountain City, TN</t>
  </si>
  <si>
    <t>La Pine, OR</t>
  </si>
  <si>
    <t>New Market, MD</t>
  </si>
  <si>
    <t>Sandwich, IL</t>
  </si>
  <si>
    <t>Volente, TX</t>
  </si>
  <si>
    <t>Norfolk, MA</t>
  </si>
  <si>
    <t>Bellmawr, NJ</t>
  </si>
  <si>
    <t>Dudley, MA</t>
  </si>
  <si>
    <t>Carthage, NY</t>
  </si>
  <si>
    <t>Athol, MA</t>
  </si>
  <si>
    <t>Plymouth, CT</t>
  </si>
  <si>
    <t>Middlesboro, KY</t>
  </si>
  <si>
    <t>Lakeside, VA</t>
  </si>
  <si>
    <t>Ocklawaha, FL</t>
  </si>
  <si>
    <t>Norwalk, IA</t>
  </si>
  <si>
    <t>Fairless Hills, PA</t>
  </si>
  <si>
    <t>Moody, AL</t>
  </si>
  <si>
    <t>Lakeway, TX</t>
  </si>
  <si>
    <t>Richfield, WI</t>
  </si>
  <si>
    <t>Scappoose, OR</t>
  </si>
  <si>
    <t>Montgomery, OH</t>
  </si>
  <si>
    <t>Newport, MI</t>
  </si>
  <si>
    <t>Gonzales, TX</t>
  </si>
  <si>
    <t>Fulton, MS</t>
  </si>
  <si>
    <t>Oregon, WI</t>
  </si>
  <si>
    <t>Beachwood, OH</t>
  </si>
  <si>
    <t>Bellefontaine Neighbors, MO</t>
  </si>
  <si>
    <t>Geneseo, IL</t>
  </si>
  <si>
    <t>Littlestown, PA</t>
  </si>
  <si>
    <t>Edinboro, PA</t>
  </si>
  <si>
    <t>Plymouth, WI</t>
  </si>
  <si>
    <t>Webster, TX</t>
  </si>
  <si>
    <t>Heber Springs, AR</t>
  </si>
  <si>
    <t>Chesterland, OH</t>
  </si>
  <si>
    <t>Aspen, CO</t>
  </si>
  <si>
    <t>Ahoskie, NC</t>
  </si>
  <si>
    <t>Sylvester, GA</t>
  </si>
  <si>
    <t>Pineville, KY</t>
  </si>
  <si>
    <t>Seven Hills, OH</t>
  </si>
  <si>
    <t>Lakeport, CA</t>
  </si>
  <si>
    <t>Hamburg, PA</t>
  </si>
  <si>
    <t>Tarrytown, NY</t>
  </si>
  <si>
    <t>Burkburnett, TX</t>
  </si>
  <si>
    <t>Clinton, CT</t>
  </si>
  <si>
    <t>Piedmont, CA</t>
  </si>
  <si>
    <t>Catlettsburg, KY</t>
  </si>
  <si>
    <t>Plattsmouth, NE</t>
  </si>
  <si>
    <t>Conneaut, OH</t>
  </si>
  <si>
    <t>Ellenton, FL</t>
  </si>
  <si>
    <t>Thompsons Station, TN</t>
  </si>
  <si>
    <t>Florham Park, NJ</t>
  </si>
  <si>
    <t>Grand Terrace, CA</t>
  </si>
  <si>
    <t>Atco, NJ</t>
  </si>
  <si>
    <t>Live Oak, CA</t>
  </si>
  <si>
    <t>Orosi, CA</t>
  </si>
  <si>
    <t>Haddon Township, NJ</t>
  </si>
  <si>
    <t>Devine, TX</t>
  </si>
  <si>
    <t>Pennington, NJ</t>
  </si>
  <si>
    <t>Tecumseh, MI</t>
  </si>
  <si>
    <t>Florida City, FL</t>
  </si>
  <si>
    <t>Independence, OR</t>
  </si>
  <si>
    <t>Rustburg, VA</t>
  </si>
  <si>
    <t>Newaygo, MI</t>
  </si>
  <si>
    <t>Hayward, WI</t>
  </si>
  <si>
    <t>Brattleboro, VT</t>
  </si>
  <si>
    <t>South Miami, FL</t>
  </si>
  <si>
    <t>Longs, SC</t>
  </si>
  <si>
    <t>West Henrietta, NY</t>
  </si>
  <si>
    <t>River Edge, NJ</t>
  </si>
  <si>
    <t>Hewitt, TX</t>
  </si>
  <si>
    <t>West Frankfort, IL</t>
  </si>
  <si>
    <t>Corryton, TN</t>
  </si>
  <si>
    <t>Commerce, TX</t>
  </si>
  <si>
    <t>Solana Beach, CA</t>
  </si>
  <si>
    <t>Robinson, TX</t>
  </si>
  <si>
    <t>Alexandria, IN</t>
  </si>
  <si>
    <t>Saint Ann, MO</t>
  </si>
  <si>
    <t>Summit, IL</t>
  </si>
  <si>
    <t>Hanover, NH</t>
  </si>
  <si>
    <t>Cushing, OK</t>
  </si>
  <si>
    <t>Knoxville, IA</t>
  </si>
  <si>
    <t>Rushville, IN</t>
  </si>
  <si>
    <t>Crestwood, MO</t>
  </si>
  <si>
    <t>Chillicothe, IL</t>
  </si>
  <si>
    <t>Westwood Lake, FL</t>
  </si>
  <si>
    <t>East Rockaway, NY</t>
  </si>
  <si>
    <t>Smithville, MO</t>
  </si>
  <si>
    <t>Marshall, NC</t>
  </si>
  <si>
    <t>Eatontown, NJ</t>
  </si>
  <si>
    <t>Troy, IL</t>
  </si>
  <si>
    <t>Waterloo, NY</t>
  </si>
  <si>
    <t>Weston, WV</t>
  </si>
  <si>
    <t>Powell, WY</t>
  </si>
  <si>
    <t>Williamston, MI</t>
  </si>
  <si>
    <t>Georgetown, IN</t>
  </si>
  <si>
    <t>Cottondale, AL</t>
  </si>
  <si>
    <t>Coarsegold, CA</t>
  </si>
  <si>
    <t>Princeton, KY</t>
  </si>
  <si>
    <t>Englewood, OH</t>
  </si>
  <si>
    <t>Collins, MS</t>
  </si>
  <si>
    <t>Pendleton, SC</t>
  </si>
  <si>
    <t>Somers, WI</t>
  </si>
  <si>
    <t>Henryetta, OK</t>
  </si>
  <si>
    <t>Westgate-Belvedere Homes, FL</t>
  </si>
  <si>
    <t>Lebanon, IN</t>
  </si>
  <si>
    <t>Lunenburg, MA</t>
  </si>
  <si>
    <t>Smiths Station, AL</t>
  </si>
  <si>
    <t>Robstown, TX</t>
  </si>
  <si>
    <t>Fife, WA</t>
  </si>
  <si>
    <t>Monmouth, IL</t>
  </si>
  <si>
    <t>Seminole, OK</t>
  </si>
  <si>
    <t>Freeport, TX</t>
  </si>
  <si>
    <t>Edenton, NC</t>
  </si>
  <si>
    <t>Franklinville, NJ</t>
  </si>
  <si>
    <t>Lakeville, MA</t>
  </si>
  <si>
    <t>Katonah, NY</t>
  </si>
  <si>
    <t>Woodside, CA</t>
  </si>
  <si>
    <t>Hallsville, TX</t>
  </si>
  <si>
    <t>Windber, PA</t>
  </si>
  <si>
    <t>Tell City, IN</t>
  </si>
  <si>
    <t>Hayes, VA</t>
  </si>
  <si>
    <t>Sumrall, MS</t>
  </si>
  <si>
    <t>Gloucester City, NJ</t>
  </si>
  <si>
    <t>Guttenberg, NJ</t>
  </si>
  <si>
    <t>Waynesville, MO</t>
  </si>
  <si>
    <t>Amherst, NH</t>
  </si>
  <si>
    <t>Whiting, IN</t>
  </si>
  <si>
    <t>Wilmington, IL</t>
  </si>
  <si>
    <t>Barnhart, MO</t>
  </si>
  <si>
    <t>Frederick, CO</t>
  </si>
  <si>
    <t>Ruckersville, VA</t>
  </si>
  <si>
    <t>Walnut Cove, NC</t>
  </si>
  <si>
    <t>Signal Hill, CA</t>
  </si>
  <si>
    <t>Caro, MI</t>
  </si>
  <si>
    <t>Poquoson, VA</t>
  </si>
  <si>
    <t>Prince George, VA</t>
  </si>
  <si>
    <t>Leicester, MA</t>
  </si>
  <si>
    <t>Green River, WY</t>
  </si>
  <si>
    <t>Bishopville, SC</t>
  </si>
  <si>
    <t>Atoka, TN</t>
  </si>
  <si>
    <t>Spencer, IN</t>
  </si>
  <si>
    <t>Springville, AL</t>
  </si>
  <si>
    <t>New Richmond, OH</t>
  </si>
  <si>
    <t>Hillsborough, CA</t>
  </si>
  <si>
    <t>Newville, PA</t>
  </si>
  <si>
    <t>Kennebunk, ME</t>
  </si>
  <si>
    <t>Carver, MA</t>
  </si>
  <si>
    <t>Swarthmore, PA</t>
  </si>
  <si>
    <t>Somerville, TN</t>
  </si>
  <si>
    <t>Metropolis, IL</t>
  </si>
  <si>
    <t>Emeryville, CA</t>
  </si>
  <si>
    <t>Munhall, PA</t>
  </si>
  <si>
    <t>Gardendale, AL</t>
  </si>
  <si>
    <t>Bath, PA</t>
  </si>
  <si>
    <t>Wyandanch, NY</t>
  </si>
  <si>
    <t>Harrison, WI</t>
  </si>
  <si>
    <t>Nappanee, IN</t>
  </si>
  <si>
    <t>Wheelersburg, OH</t>
  </si>
  <si>
    <t>Bernalillo, NM</t>
  </si>
  <si>
    <t>Haleyville, AL</t>
  </si>
  <si>
    <t>Mullins, SC</t>
  </si>
  <si>
    <t>Lantana, FL</t>
  </si>
  <si>
    <t>Walhalla, SC</t>
  </si>
  <si>
    <t>Crystal Springs, MS</t>
  </si>
  <si>
    <t>Falling Waters, WV</t>
  </si>
  <si>
    <t>Manhattan, IL</t>
  </si>
  <si>
    <t>Lighthouse Point, FL</t>
  </si>
  <si>
    <t>Blanchester, OH</t>
  </si>
  <si>
    <t>Tickfaw, LA</t>
  </si>
  <si>
    <t>Lamont, CA</t>
  </si>
  <si>
    <t>Groton, MA</t>
  </si>
  <si>
    <t>Hollywood, MD</t>
  </si>
  <si>
    <t>Magalia, CA</t>
  </si>
  <si>
    <t>Pompton Lakes, NJ</t>
  </si>
  <si>
    <t>Liberty, NC</t>
  </si>
  <si>
    <t>Springdale, OH</t>
  </si>
  <si>
    <t>Mendota Heights, MN</t>
  </si>
  <si>
    <t>Crossett, AR</t>
  </si>
  <si>
    <t>Lower Burrell, PA</t>
  </si>
  <si>
    <t>Strasburg, VA</t>
  </si>
  <si>
    <t>Miles City, MT</t>
  </si>
  <si>
    <t>Tyrone, GA</t>
  </si>
  <si>
    <t>Silverado, CA</t>
  </si>
  <si>
    <t>Grosse Pointe Park, MI</t>
  </si>
  <si>
    <t>Lake Station, IN</t>
  </si>
  <si>
    <t>New Market, AL</t>
  </si>
  <si>
    <t>Scott, LA</t>
  </si>
  <si>
    <t>Dalhart, TX</t>
  </si>
  <si>
    <t>Centerton, AR</t>
  </si>
  <si>
    <t>Cloquet, MN</t>
  </si>
  <si>
    <t>Ridgefield, NJ</t>
  </si>
  <si>
    <t>Wallington, NJ</t>
  </si>
  <si>
    <t>Shepherdsville, KY</t>
  </si>
  <si>
    <t>Havana, FL</t>
  </si>
  <si>
    <t>Lindon, UT</t>
  </si>
  <si>
    <t>Marengo, IL</t>
  </si>
  <si>
    <t>Canton, NY</t>
  </si>
  <si>
    <t>Delphos, OH</t>
  </si>
  <si>
    <t>Cocoa Beach, FL</t>
  </si>
  <si>
    <t>Westwood, NJ</t>
  </si>
  <si>
    <t>Frostproof, FL</t>
  </si>
  <si>
    <t>Greenlawn, NY</t>
  </si>
  <si>
    <t>Bassett, VA</t>
  </si>
  <si>
    <t>Indian Head, MD</t>
  </si>
  <si>
    <t>Soddy-Daisy, TN</t>
  </si>
  <si>
    <t>Lacombe, LA</t>
  </si>
  <si>
    <t>Clyde, NC</t>
  </si>
  <si>
    <t>Beachwood, NJ</t>
  </si>
  <si>
    <t>Ammon, ID</t>
  </si>
  <si>
    <t>Hitchcock, TX</t>
  </si>
  <si>
    <t>Yeadon, PA</t>
  </si>
  <si>
    <t>Breinigsville, PA</t>
  </si>
  <si>
    <t>Oakdale, LA</t>
  </si>
  <si>
    <t>Elwood, IN</t>
  </si>
  <si>
    <t>Schuylkill Haven, PA</t>
  </si>
  <si>
    <t>Clute, TX</t>
  </si>
  <si>
    <t>River Forest, IL</t>
  </si>
  <si>
    <t>Caldwell, TX</t>
  </si>
  <si>
    <t>Creswell, OR</t>
  </si>
  <si>
    <t>Athol, ID</t>
  </si>
  <si>
    <t>Aberdeen, MS</t>
  </si>
  <si>
    <t>Terry, MS</t>
  </si>
  <si>
    <t>Millersville, PA</t>
  </si>
  <si>
    <t>Chillicothe, MO</t>
  </si>
  <si>
    <t>Brandenburg, KY</t>
  </si>
  <si>
    <t>Big Bear City, CA</t>
  </si>
  <si>
    <t>Schiller Park, IL</t>
  </si>
  <si>
    <t>Macedonia, OH</t>
  </si>
  <si>
    <t>Knox, IN</t>
  </si>
  <si>
    <t>Salem, NJ</t>
  </si>
  <si>
    <t>Nantucket, MA</t>
  </si>
  <si>
    <t>Rehoboth Beach, DE</t>
  </si>
  <si>
    <t>Summit, MS</t>
  </si>
  <si>
    <t>Shorewood, MN</t>
  </si>
  <si>
    <t>Interlachen, FL</t>
  </si>
  <si>
    <t>Keyser, WV</t>
  </si>
  <si>
    <t>Roanoke, AL</t>
  </si>
  <si>
    <t>Falmouth, ME</t>
  </si>
  <si>
    <t>Mahomet, IL</t>
  </si>
  <si>
    <t>Summersville, WV</t>
  </si>
  <si>
    <t>Rockwood, TN</t>
  </si>
  <si>
    <t>Somers, CT</t>
  </si>
  <si>
    <t>Palmerton, PA</t>
  </si>
  <si>
    <t>Troutman, NC</t>
  </si>
  <si>
    <t>Tonganoxie, KS</t>
  </si>
  <si>
    <t>Ottawa, OH</t>
  </si>
  <si>
    <t>Firestone, CO</t>
  </si>
  <si>
    <t>Vienna, WV</t>
  </si>
  <si>
    <t>Duncansville, PA</t>
  </si>
  <si>
    <t>Merriam, KS</t>
  </si>
  <si>
    <t>Hamlet, NC</t>
  </si>
  <si>
    <t>Jordan, MN</t>
  </si>
  <si>
    <t>Statham, GA</t>
  </si>
  <si>
    <t>Norwell, MA</t>
  </si>
  <si>
    <t>Cottage Grove, WI</t>
  </si>
  <si>
    <t>Barrington Hills, IL</t>
  </si>
  <si>
    <t>Leola, PA</t>
  </si>
  <si>
    <t>Corry, PA</t>
  </si>
  <si>
    <t>Mc Leansville, NC</t>
  </si>
  <si>
    <t>Hellertown, PA</t>
  </si>
  <si>
    <t>Franklin Lakes, NJ</t>
  </si>
  <si>
    <t>Endwell, NY</t>
  </si>
  <si>
    <t>Greenville, WI</t>
  </si>
  <si>
    <t>Batesville, IN</t>
  </si>
  <si>
    <t>Oxford, GA</t>
  </si>
  <si>
    <t>Sierra Madre, CA</t>
  </si>
  <si>
    <t>Little Ferry, NJ</t>
  </si>
  <si>
    <t>Goshen, OH</t>
  </si>
  <si>
    <t>Rising Sun, MD</t>
  </si>
  <si>
    <t>Ridgeville, SC</t>
  </si>
  <si>
    <t>Blacksburg, SC</t>
  </si>
  <si>
    <t>Brooklyn Park, MD</t>
  </si>
  <si>
    <t>Rockton, IL</t>
  </si>
  <si>
    <t>Dobbs Ferry, NY</t>
  </si>
  <si>
    <t>Stilwell, OK</t>
  </si>
  <si>
    <t>Rensselaer, IN</t>
  </si>
  <si>
    <t>Stevensville, MT</t>
  </si>
  <si>
    <t>Monroeville, AL</t>
  </si>
  <si>
    <t>Milton, VT</t>
  </si>
  <si>
    <t>Umatilla, FL</t>
  </si>
  <si>
    <t>Lakeland, TN</t>
  </si>
  <si>
    <t>Middleton, ID</t>
  </si>
  <si>
    <t>Highland Park, MI</t>
  </si>
  <si>
    <t>Mount Kisco, NY</t>
  </si>
  <si>
    <t>Beaufort, NC</t>
  </si>
  <si>
    <t>Romeo, MI</t>
  </si>
  <si>
    <t>Troutville, VA</t>
  </si>
  <si>
    <t>Wallace, NC</t>
  </si>
  <si>
    <t>Salem, AL</t>
  </si>
  <si>
    <t>Crockett, TX</t>
  </si>
  <si>
    <t>Ripley, MS</t>
  </si>
  <si>
    <t>Spring City, PA</t>
  </si>
  <si>
    <t>Sinton, TX</t>
  </si>
  <si>
    <t>Winchendon, MA</t>
  </si>
  <si>
    <t>Devils Lake, ND</t>
  </si>
  <si>
    <t>Helotes, TX</t>
  </si>
  <si>
    <t>Celebration, FL</t>
  </si>
  <si>
    <t>Orono, ME</t>
  </si>
  <si>
    <t>Farmville, NC</t>
  </si>
  <si>
    <t>High Springs, FL</t>
  </si>
  <si>
    <t>Hazlehurst, MS</t>
  </si>
  <si>
    <t>Rochester, WA</t>
  </si>
  <si>
    <t>La Grange, TX</t>
  </si>
  <si>
    <t>Bound Brook, NJ</t>
  </si>
  <si>
    <t>Chapmanville, WV</t>
  </si>
  <si>
    <t>Highland Mills, NY</t>
  </si>
  <si>
    <t>Highland Springs, VA</t>
  </si>
  <si>
    <t>West Caldwell, NJ</t>
  </si>
  <si>
    <t>Minden, NV</t>
  </si>
  <si>
    <t>Benson, AZ</t>
  </si>
  <si>
    <t>Tiburon, CA</t>
  </si>
  <si>
    <t>Sturgis, SD</t>
  </si>
  <si>
    <t>New Haven, MI</t>
  </si>
  <si>
    <t>Taneytown, MD</t>
  </si>
  <si>
    <t>Mount Sinai, NY</t>
  </si>
  <si>
    <t>Lincoln Park, NJ</t>
  </si>
  <si>
    <t>Glenn Heights, TX</t>
  </si>
  <si>
    <t>Hohenwald, TN</t>
  </si>
  <si>
    <t>Hanceville, AL</t>
  </si>
  <si>
    <t>Brooklyn, OH</t>
  </si>
  <si>
    <t>Edgewood, WA</t>
  </si>
  <si>
    <t>Jasper, FL</t>
  </si>
  <si>
    <t>Millstone Township, NJ</t>
  </si>
  <si>
    <t>Prestonsburg, KY</t>
  </si>
  <si>
    <t>Salyersville, KY</t>
  </si>
  <si>
    <t>House Springs, MO</t>
  </si>
  <si>
    <t>Linthicum Heights, MD</t>
  </si>
  <si>
    <t>Maynard, MA</t>
  </si>
  <si>
    <t>Bath, MI</t>
  </si>
  <si>
    <t>Mc Kenzie, TN</t>
  </si>
  <si>
    <t>California City, CA</t>
  </si>
  <si>
    <t>Muskegon Heights, MI</t>
  </si>
  <si>
    <t>Tunkhannock, PA</t>
  </si>
  <si>
    <t>Gunnison, CO</t>
  </si>
  <si>
    <t>Trinity, TX</t>
  </si>
  <si>
    <t>Newberry, FL</t>
  </si>
  <si>
    <t>Frankford, DE</t>
  </si>
  <si>
    <t>Navarre, OH</t>
  </si>
  <si>
    <t>Pennsburg, PA</t>
  </si>
  <si>
    <t>Kelseyville, CA</t>
  </si>
  <si>
    <t>Clarksville, MD</t>
  </si>
  <si>
    <t>Benton City, WA</t>
  </si>
  <si>
    <t>Baden, PA</t>
  </si>
  <si>
    <t>Bremen, IN</t>
  </si>
  <si>
    <t>Bandera, TX</t>
  </si>
  <si>
    <t>Kaplan, LA</t>
  </si>
  <si>
    <t>Payette, ID</t>
  </si>
  <si>
    <t>Tamaqua, PA</t>
  </si>
  <si>
    <t>Stallings, NC</t>
  </si>
  <si>
    <t>Greenville, KY</t>
  </si>
  <si>
    <t>Coeburn, VA</t>
  </si>
  <si>
    <t>Vail, CO</t>
  </si>
  <si>
    <t>Kentwood, LA</t>
  </si>
  <si>
    <t>Totowa, NJ</t>
  </si>
  <si>
    <t>Fairfield, AL</t>
  </si>
  <si>
    <t>Walkersville, MD</t>
  </si>
  <si>
    <t>Oakdale, PA</t>
  </si>
  <si>
    <t>Pebble Creek, FL</t>
  </si>
  <si>
    <t>Lindenhurst, IL</t>
  </si>
  <si>
    <t>Itasca, IL</t>
  </si>
  <si>
    <t>Hanson, MA</t>
  </si>
  <si>
    <t>Manteno, IL</t>
  </si>
  <si>
    <t>Parker, AZ</t>
  </si>
  <si>
    <t>Ridley Park, PA</t>
  </si>
  <si>
    <t>Stevensville, MD</t>
  </si>
  <si>
    <t>Jamul, CA</t>
  </si>
  <si>
    <t>Olyphant, PA</t>
  </si>
  <si>
    <t>Mifflinburg, PA</t>
  </si>
  <si>
    <t>Cayce, SC</t>
  </si>
  <si>
    <t>Medford, WI</t>
  </si>
  <si>
    <t>Scituate, RI</t>
  </si>
  <si>
    <t>Ashland, WI</t>
  </si>
  <si>
    <t>Peru, IL</t>
  </si>
  <si>
    <t>Dudley, NC</t>
  </si>
  <si>
    <t>Little Canada, MN</t>
  </si>
  <si>
    <t>Syracuse, IN</t>
  </si>
  <si>
    <t>Islip Terrace, NY</t>
  </si>
  <si>
    <t>Dallastown, PA</t>
  </si>
  <si>
    <t>Jackson, WI</t>
  </si>
  <si>
    <t>Berkley, CO</t>
  </si>
  <si>
    <t>Crestwood, IL</t>
  </si>
  <si>
    <t>Madison, FL</t>
  </si>
  <si>
    <t>South Beloit, IL</t>
  </si>
  <si>
    <t>Miller Place, NY</t>
  </si>
  <si>
    <t>Woodbine, MD</t>
  </si>
  <si>
    <t>Holbrook, MA</t>
  </si>
  <si>
    <t>Flossmoor, IL</t>
  </si>
  <si>
    <t>Medina, NY</t>
  </si>
  <si>
    <t>Kenai, AK</t>
  </si>
  <si>
    <t>Bedford Heights, OH</t>
  </si>
  <si>
    <t>Farmington, MI</t>
  </si>
  <si>
    <t>Flat Rock, NC</t>
  </si>
  <si>
    <t>Centreville, MD</t>
  </si>
  <si>
    <t>Rodeo, CA</t>
  </si>
  <si>
    <t>Circleville, OH</t>
  </si>
  <si>
    <t>Raymond, NH</t>
  </si>
  <si>
    <t>Marina del Rey, CA</t>
  </si>
  <si>
    <t>Leeds, AL</t>
  </si>
  <si>
    <t>Hawkinsville, GA</t>
  </si>
  <si>
    <t>Wellsboro, PA</t>
  </si>
  <si>
    <t>Colts Neck Township, NJ</t>
  </si>
  <si>
    <t>Fort Meade, FL</t>
  </si>
  <si>
    <t>Acushnet, MA</t>
  </si>
  <si>
    <t>Belfair, WA</t>
  </si>
  <si>
    <t>Hulbert, OK</t>
  </si>
  <si>
    <t>North Mankato, MN</t>
  </si>
  <si>
    <t>Granite Falls, WA</t>
  </si>
  <si>
    <t>Park Rapids, MN</t>
  </si>
  <si>
    <t>Belpre, OH</t>
  </si>
  <si>
    <t>Alton, TX</t>
  </si>
  <si>
    <t>Monitor, MI</t>
  </si>
  <si>
    <t>Benton, IL</t>
  </si>
  <si>
    <t>Galena Park, TX</t>
  </si>
  <si>
    <t>Coldwater, MS</t>
  </si>
  <si>
    <t>Nashville, GA</t>
  </si>
  <si>
    <t>Vale, NC</t>
  </si>
  <si>
    <t>Somers Point, NJ</t>
  </si>
  <si>
    <t>La Junta, CO</t>
  </si>
  <si>
    <t>Hull, MA</t>
  </si>
  <si>
    <t>Glennville, GA</t>
  </si>
  <si>
    <t>Rocky Point, NY</t>
  </si>
  <si>
    <t>Columbiana, OH</t>
  </si>
  <si>
    <t>Warren, RI</t>
  </si>
  <si>
    <t>Macedon, NY</t>
  </si>
  <si>
    <t>Lyman, SC</t>
  </si>
  <si>
    <t>Bunnell, FL</t>
  </si>
  <si>
    <t>Atlanta, TX</t>
  </si>
  <si>
    <t>Grinnell, IA</t>
  </si>
  <si>
    <t>Grundy, VA</t>
  </si>
  <si>
    <t>Bluefield, VA</t>
  </si>
  <si>
    <t>Jackson, AL</t>
  </si>
  <si>
    <t>Elm City, NC</t>
  </si>
  <si>
    <t>Richmond Heights, OH</t>
  </si>
  <si>
    <t>Cooper, MI</t>
  </si>
  <si>
    <t>Torrington, WY</t>
  </si>
  <si>
    <t>Morro Bay, CA</t>
  </si>
  <si>
    <t>Newcastle, WA</t>
  </si>
  <si>
    <t>Castle Pines, CO</t>
  </si>
  <si>
    <t>Saint Robert, MO</t>
  </si>
  <si>
    <t>Shallotte, NC</t>
  </si>
  <si>
    <t>Nicholls, GA</t>
  </si>
  <si>
    <t>Alpine, UT</t>
  </si>
  <si>
    <t>Saint Clair, MO</t>
  </si>
  <si>
    <t>East Hanover Township, NJ</t>
  </si>
  <si>
    <t>Andrews, SC</t>
  </si>
  <si>
    <t>Fayetteville, PA</t>
  </si>
  <si>
    <t>Eufaula, OK</t>
  </si>
  <si>
    <t>Galloway, OH</t>
  </si>
  <si>
    <t>Lincoln City, OR</t>
  </si>
  <si>
    <t>Atlantic Beach, FL</t>
  </si>
  <si>
    <t>Carleton, MI</t>
  </si>
  <si>
    <t>Spicewood, TX</t>
  </si>
  <si>
    <t>Roanoke, TX</t>
  </si>
  <si>
    <t>Dansville, NY</t>
  </si>
  <si>
    <t>Belmont, MI</t>
  </si>
  <si>
    <t>Salado, TX</t>
  </si>
  <si>
    <t>Cochran, GA</t>
  </si>
  <si>
    <t>South Huntington, NY</t>
  </si>
  <si>
    <t>Silverthorne, CO</t>
  </si>
  <si>
    <t>Bethalto, IL</t>
  </si>
  <si>
    <t>La Riviera, CA</t>
  </si>
  <si>
    <t>Hillsdale, NJ</t>
  </si>
  <si>
    <t>Loxley, AL</t>
  </si>
  <si>
    <t>Ravenswood, WV</t>
  </si>
  <si>
    <t>Preston, ID</t>
  </si>
  <si>
    <t>Estacada, OR</t>
  </si>
  <si>
    <t>Arden Hills, MN</t>
  </si>
  <si>
    <t>Clinton, OK</t>
  </si>
  <si>
    <t>Canton, CT</t>
  </si>
  <si>
    <t>Weston, CT</t>
  </si>
  <si>
    <t>Soquel, CA</t>
  </si>
  <si>
    <t>Struthers, OH</t>
  </si>
  <si>
    <t>Reading, OH</t>
  </si>
  <si>
    <t>Spring Hill, KS</t>
  </si>
  <si>
    <t>Myrtle Creek, OR</t>
  </si>
  <si>
    <t>Stuttgart, AR</t>
  </si>
  <si>
    <t>Tarentum, PA</t>
  </si>
  <si>
    <t>Lake Arbor, MD</t>
  </si>
  <si>
    <t>Camilla, GA</t>
  </si>
  <si>
    <t>Grantsville, UT</t>
  </si>
  <si>
    <t>Elkmont, AL</t>
  </si>
  <si>
    <t>Corte Madera, CA</t>
  </si>
  <si>
    <t>Muscoy, CA</t>
  </si>
  <si>
    <t>Chubbuck, ID</t>
  </si>
  <si>
    <t>Dobson, NC</t>
  </si>
  <si>
    <t>Campobello, SC</t>
  </si>
  <si>
    <t>Richmond, MI</t>
  </si>
  <si>
    <t>Manville, NJ</t>
  </si>
  <si>
    <t>Shepherd, TX</t>
  </si>
  <si>
    <t>Boulder Creek, CA</t>
  </si>
  <si>
    <t>Port Clinton, OH</t>
  </si>
  <si>
    <t>Oakland, TN</t>
  </si>
  <si>
    <t>Kinnelon, NJ</t>
  </si>
  <si>
    <t>Stayton, OR</t>
  </si>
  <si>
    <t>Fayette, AL</t>
  </si>
  <si>
    <t>Cameron, TX</t>
  </si>
  <si>
    <t>Ambridge, PA</t>
  </si>
  <si>
    <t>Salem, IL</t>
  </si>
  <si>
    <t>Bristol, IN</t>
  </si>
  <si>
    <t>Melvindale, MI</t>
  </si>
  <si>
    <t>Waterford, CA</t>
  </si>
  <si>
    <t>Amherst, VA</t>
  </si>
  <si>
    <t>Shasta Lake, CA</t>
  </si>
  <si>
    <t>Eatonville, WA</t>
  </si>
  <si>
    <t>Hooper, UT</t>
  </si>
  <si>
    <t>Lyons, IL</t>
  </si>
  <si>
    <t>Ione, CA</t>
  </si>
  <si>
    <t>Brandon, SD</t>
  </si>
  <si>
    <t>Coal Township, PA</t>
  </si>
  <si>
    <t>Wells, ME</t>
  </si>
  <si>
    <t>Bayfield, CO</t>
  </si>
  <si>
    <t>De Queen, AR</t>
  </si>
  <si>
    <t>New Market, TN</t>
  </si>
  <si>
    <t>Oxford, FL</t>
  </si>
  <si>
    <t>Titusville, PA</t>
  </si>
  <si>
    <t>West Branch, MI</t>
  </si>
  <si>
    <t>Cloverdale, CA</t>
  </si>
  <si>
    <t>Pine Grove, PA</t>
  </si>
  <si>
    <t>Hamilton, AL</t>
  </si>
  <si>
    <t>Lincoln Village, OH</t>
  </si>
  <si>
    <t>Glocester, RI</t>
  </si>
  <si>
    <t>Magee, MS</t>
  </si>
  <si>
    <t>Jackson, KY</t>
  </si>
  <si>
    <t>Hurricane, UT</t>
  </si>
  <si>
    <t>Clyde, OH</t>
  </si>
  <si>
    <t>Berryville, AR</t>
  </si>
  <si>
    <t>Whitesboro, NY</t>
  </si>
  <si>
    <t>Polson, MT</t>
  </si>
  <si>
    <t>Elma, WA</t>
  </si>
  <si>
    <t>Barnwell, SC</t>
  </si>
  <si>
    <t>Standish, ME</t>
  </si>
  <si>
    <t>Shiloh, OH</t>
  </si>
  <si>
    <t>Ellisville, MO</t>
  </si>
  <si>
    <t>Ironton, OH</t>
  </si>
  <si>
    <t>Wiggins, MS</t>
  </si>
  <si>
    <t>Stansbury Park, UT</t>
  </si>
  <si>
    <t>Gilbert, SC</t>
  </si>
  <si>
    <t>Kodiak, AK</t>
  </si>
  <si>
    <t>Sleepy Hollow, NY</t>
  </si>
  <si>
    <t>Littleton, MA</t>
  </si>
  <si>
    <t>Buhl, ID</t>
  </si>
  <si>
    <t>Genesee, WI</t>
  </si>
  <si>
    <t>Independence, IA</t>
  </si>
  <si>
    <t>Blacklick Estates, OH</t>
  </si>
  <si>
    <t>Duncannon, PA</t>
  </si>
  <si>
    <t>Berwyn, PA</t>
  </si>
  <si>
    <t>Huntington, VA</t>
  </si>
  <si>
    <t>Old Saybrook, CT</t>
  </si>
  <si>
    <t>Northbrook, OH</t>
  </si>
  <si>
    <t>Alliance, NE</t>
  </si>
  <si>
    <t>Willcox, AZ</t>
  </si>
  <si>
    <t>Rolling Hills Estates, CA</t>
  </si>
  <si>
    <t>Narberth, PA</t>
  </si>
  <si>
    <t>Mariposa, CA</t>
  </si>
  <si>
    <t>Stuarts Draft, VA</t>
  </si>
  <si>
    <t>Colfax, CA</t>
  </si>
  <si>
    <t>Beverly Hills, MI</t>
  </si>
  <si>
    <t>Piedmont, OK</t>
  </si>
  <si>
    <t>Claremont, NC</t>
  </si>
  <si>
    <t>Wernersville, PA</t>
  </si>
  <si>
    <t>Flat Rock, MI</t>
  </si>
  <si>
    <t>Louisville, TN</t>
  </si>
  <si>
    <t>Succasunna, NJ</t>
  </si>
  <si>
    <t>Poplar Grove, IL</t>
  </si>
  <si>
    <t>Pomona, NY</t>
  </si>
  <si>
    <t>Henrietta, NY</t>
  </si>
  <si>
    <t>Boonsboro, MD</t>
  </si>
  <si>
    <t>Discovery Bay, CA</t>
  </si>
  <si>
    <t>Marksville, LA</t>
  </si>
  <si>
    <t>Cotati, CA</t>
  </si>
  <si>
    <t>River Vale, NJ</t>
  </si>
  <si>
    <t>Nashville, AR</t>
  </si>
  <si>
    <t>Wood River, IL</t>
  </si>
  <si>
    <t>Rockwell, NC</t>
  </si>
  <si>
    <t>Waldwick, NJ</t>
  </si>
  <si>
    <t>Linden, MI</t>
  </si>
  <si>
    <t>Warr Acres, OK</t>
  </si>
  <si>
    <t>Garden Acres, CA</t>
  </si>
  <si>
    <t>Midland, GA</t>
  </si>
  <si>
    <t>Southborough, MA</t>
  </si>
  <si>
    <t>Denison, IA</t>
  </si>
  <si>
    <t>Inverness, IL</t>
  </si>
  <si>
    <t>Lake Elmo, MN</t>
  </si>
  <si>
    <t>Bohemia, NY</t>
  </si>
  <si>
    <t>Basalt, CO</t>
  </si>
  <si>
    <t>Muldrow, OK</t>
  </si>
  <si>
    <t>Camden, TN</t>
  </si>
  <si>
    <t>Carbondale, CO</t>
  </si>
  <si>
    <t>Newcastle, OK</t>
  </si>
  <si>
    <t>Leechburg, PA</t>
  </si>
  <si>
    <t>Saint Louis, MI</t>
  </si>
  <si>
    <t>Owings, MD</t>
  </si>
  <si>
    <t>Hardeeville, SC</t>
  </si>
  <si>
    <t>Wilmer, AL</t>
  </si>
  <si>
    <t>Litchfield, MN</t>
  </si>
  <si>
    <t>Rancho Santa Fe, CA</t>
  </si>
  <si>
    <t>Mt Morris, MI</t>
  </si>
  <si>
    <t>Greenfield, OH</t>
  </si>
  <si>
    <t>Whitesboro, TX</t>
  </si>
  <si>
    <t>Charles City, IA</t>
  </si>
  <si>
    <t>Jacinto City, TX</t>
  </si>
  <si>
    <t>Beach Park, IL</t>
  </si>
  <si>
    <t>Estes Park, CO</t>
  </si>
  <si>
    <t>Salida, CO</t>
  </si>
  <si>
    <t>Williamsport, MD</t>
  </si>
  <si>
    <t>Boone, IA</t>
  </si>
  <si>
    <t>Bowie, TX</t>
  </si>
  <si>
    <t>Vassar, MI</t>
  </si>
  <si>
    <t>Douglas, WY</t>
  </si>
  <si>
    <t>Yoakum, TX</t>
  </si>
  <si>
    <t>Palos Park, IL</t>
  </si>
  <si>
    <t>Dos Palos, CA</t>
  </si>
  <si>
    <t>Comstock Park, MI</t>
  </si>
  <si>
    <t>Fort Edward, NY</t>
  </si>
  <si>
    <t>Hastings, MI</t>
  </si>
  <si>
    <t>Hayden, AL</t>
  </si>
  <si>
    <t>Ventnor City, NJ</t>
  </si>
  <si>
    <t>Granby, CT</t>
  </si>
  <si>
    <t>Bellport, NY</t>
  </si>
  <si>
    <t>Pineville, NC</t>
  </si>
  <si>
    <t>Madison, NC</t>
  </si>
  <si>
    <t>Middleton, MA</t>
  </si>
  <si>
    <t>Algonac, MI</t>
  </si>
  <si>
    <t>Mount Gilead, OH</t>
  </si>
  <si>
    <t>Clarendon Hills, IL</t>
  </si>
  <si>
    <t>Nelsonville, OH</t>
  </si>
  <si>
    <t>Nokesville, VA</t>
  </si>
  <si>
    <t>Brush Prairie, WA</t>
  </si>
  <si>
    <t>Otsego, MI</t>
  </si>
  <si>
    <t>West Athens, CA</t>
  </si>
  <si>
    <t>Floral City, FL</t>
  </si>
  <si>
    <t>Jefferson, LA</t>
  </si>
  <si>
    <t>Meadow Lakes, AK</t>
  </si>
  <si>
    <t>Canton, IL</t>
  </si>
  <si>
    <t>Perryton, TX</t>
  </si>
  <si>
    <t>West Perrine, FL</t>
  </si>
  <si>
    <t>Grayling, MI</t>
  </si>
  <si>
    <t>Sunset Hills, MO</t>
  </si>
  <si>
    <t>Sandersville, GA</t>
  </si>
  <si>
    <t>Hawthorne, FL</t>
  </si>
  <si>
    <t>Saint Helena Island, SC</t>
  </si>
  <si>
    <t>Croydon, PA</t>
  </si>
  <si>
    <t>Brewster, MA</t>
  </si>
  <si>
    <t>Suamico, WI</t>
  </si>
  <si>
    <t>Diberville, MS</t>
  </si>
  <si>
    <t>Yorkshire, VA</t>
  </si>
  <si>
    <t>Menominee, MI</t>
  </si>
  <si>
    <t>Orange, VA</t>
  </si>
  <si>
    <t>Ware, MA</t>
  </si>
  <si>
    <t>Tunnel Hill, GA</t>
  </si>
  <si>
    <t>Tijeras, NM</t>
  </si>
  <si>
    <t>Clinton, NY</t>
  </si>
  <si>
    <t>Liberty, KY</t>
  </si>
  <si>
    <t>Cherry Creek, CO</t>
  </si>
  <si>
    <t>Villas, NJ</t>
  </si>
  <si>
    <t>Cape Canaveral, FL</t>
  </si>
  <si>
    <t>Earlimart, CA</t>
  </si>
  <si>
    <t>Medulla, FL</t>
  </si>
  <si>
    <t>Joshua Tree, CA</t>
  </si>
  <si>
    <t>Gray Court, SC</t>
  </si>
  <si>
    <t>Woodlake, CA</t>
  </si>
  <si>
    <t>Maywood, NJ</t>
  </si>
  <si>
    <t>Moseley, VA</t>
  </si>
  <si>
    <t>Philipsburg, PA</t>
  </si>
  <si>
    <t>Ebensburg, PA</t>
  </si>
  <si>
    <t>Crookston, MN</t>
  </si>
  <si>
    <t>Signal Mountain, TN</t>
  </si>
  <si>
    <t>Bonners Ferry, ID</t>
  </si>
  <si>
    <t>Angola, NY</t>
  </si>
  <si>
    <t>Walkerton, IN</t>
  </si>
  <si>
    <t>Kittery, ME</t>
  </si>
  <si>
    <t>River Grove, IL</t>
  </si>
  <si>
    <t>Winters, CA</t>
  </si>
  <si>
    <t>Valley Cottage, NY</t>
  </si>
  <si>
    <t>Southwick, MA</t>
  </si>
  <si>
    <t>Freetown, MA</t>
  </si>
  <si>
    <t>Bloomingdale, GA</t>
  </si>
  <si>
    <t>Chatham, VA</t>
  </si>
  <si>
    <t>Portland, MI</t>
  </si>
  <si>
    <t>Drums, PA</t>
  </si>
  <si>
    <t>Eldridge, IA</t>
  </si>
  <si>
    <t>Gustine, CA</t>
  </si>
  <si>
    <t>Henderson, TX</t>
  </si>
  <si>
    <t>Prospect, CT</t>
  </si>
  <si>
    <t>Huntsville, AR</t>
  </si>
  <si>
    <t>Fennville, MI</t>
  </si>
  <si>
    <t>Stoughton, WI</t>
  </si>
  <si>
    <t>Lowville, NY</t>
  </si>
  <si>
    <t>Williston, VT</t>
  </si>
  <si>
    <t>Coral Hills, MD</t>
  </si>
  <si>
    <t>Denton, MD</t>
  </si>
  <si>
    <t>Castle Rock, WA</t>
  </si>
  <si>
    <t>Fulshear, TX</t>
  </si>
  <si>
    <t>Citronelle, AL</t>
  </si>
  <si>
    <t>Worth, IL</t>
  </si>
  <si>
    <t>Thornville, OH</t>
  </si>
  <si>
    <t>Monticello, GA</t>
  </si>
  <si>
    <t>Saint Pete Beach, FL</t>
  </si>
  <si>
    <t>Chatham, IL</t>
  </si>
  <si>
    <t>Lumberton, MS</t>
  </si>
  <si>
    <t>Summit, WA</t>
  </si>
  <si>
    <t>Churchville, NY</t>
  </si>
  <si>
    <t>West Terre Haute, IN</t>
  </si>
  <si>
    <t>Princeton, NC</t>
  </si>
  <si>
    <t>Buchanan, WI</t>
  </si>
  <si>
    <t>Marysville, MI</t>
  </si>
  <si>
    <t>Chesapeake Beach, MD</t>
  </si>
  <si>
    <t>Centre, AL</t>
  </si>
  <si>
    <t>Hartford, VT</t>
  </si>
  <si>
    <t>Burgaw, NC</t>
  </si>
  <si>
    <t>Peculiar, MO</t>
  </si>
  <si>
    <t>Webster, FL</t>
  </si>
  <si>
    <t>Willard, OH</t>
  </si>
  <si>
    <t>White Plains, MD</t>
  </si>
  <si>
    <t>Wyomissing, PA</t>
  </si>
  <si>
    <t>Greenville, IL</t>
  </si>
  <si>
    <t>Roslyn, NY</t>
  </si>
  <si>
    <t>Jacksboro, TN</t>
  </si>
  <si>
    <t>McCordsville, IN</t>
  </si>
  <si>
    <t>Tequesta, FL</t>
  </si>
  <si>
    <t>Wingate, NC</t>
  </si>
  <si>
    <t>Grafton, WV</t>
  </si>
  <si>
    <t>North Manchester, IN</t>
  </si>
  <si>
    <t>Byram, MS</t>
  </si>
  <si>
    <t>Gurley, AL</t>
  </si>
  <si>
    <t>Denton, NC</t>
  </si>
  <si>
    <t>East Grand Forks, MN</t>
  </si>
  <si>
    <t>Conway, NH</t>
  </si>
  <si>
    <t>Chadds Ford, PA</t>
  </si>
  <si>
    <t>Somerdale, NJ</t>
  </si>
  <si>
    <t>Hollister, MO</t>
  </si>
  <si>
    <t>Fort White, FL</t>
  </si>
  <si>
    <t>Windsor, WI</t>
  </si>
  <si>
    <t>Lewisburg, WV</t>
  </si>
  <si>
    <t>Mt Holly Township, NJ</t>
  </si>
  <si>
    <t>Woodbury, CT</t>
  </si>
  <si>
    <t>Mohave Valley, AZ</t>
  </si>
  <si>
    <t>Warsaw, MO</t>
  </si>
  <si>
    <t>Ilion, NY</t>
  </si>
  <si>
    <t>Wewahitchka, FL</t>
  </si>
  <si>
    <t>Marion, AR</t>
  </si>
  <si>
    <t>Delbarton, WV</t>
  </si>
  <si>
    <t>Mission, KS</t>
  </si>
  <si>
    <t>Sturbridge, MA</t>
  </si>
  <si>
    <t>York, NE</t>
  </si>
  <si>
    <t>Maynardville, TN</t>
  </si>
  <si>
    <t>Blaine, WA</t>
  </si>
  <si>
    <t>Wadesboro, NC</t>
  </si>
  <si>
    <t>Catasauqua, PA</t>
  </si>
  <si>
    <t>Brookville, PA</t>
  </si>
  <si>
    <t>Willoughby Hills, OH</t>
  </si>
  <si>
    <t>Sedalia, CO</t>
  </si>
  <si>
    <t>Westlake, LA</t>
  </si>
  <si>
    <t>Benton Harbor, MI</t>
  </si>
  <si>
    <t>Hebron, CT</t>
  </si>
  <si>
    <t>Winnfield, LA</t>
  </si>
  <si>
    <t>Salida, CA</t>
  </si>
  <si>
    <t>Edwardsburg, MI</t>
  </si>
  <si>
    <t>La Salle, IL</t>
  </si>
  <si>
    <t>Lamar, CO</t>
  </si>
  <si>
    <t>Fostoria, OH</t>
  </si>
  <si>
    <t>Melbourne Beach, FL</t>
  </si>
  <si>
    <t>Ashville, OH</t>
  </si>
  <si>
    <t>Selma, TX</t>
  </si>
  <si>
    <t>Winnsboro, TX</t>
  </si>
  <si>
    <t>Iron Station, NC</t>
  </si>
  <si>
    <t>Midland, WA</t>
  </si>
  <si>
    <t>Rye Brook, NY</t>
  </si>
  <si>
    <t>Hillside, IL</t>
  </si>
  <si>
    <t>Fredericktown, OH</t>
  </si>
  <si>
    <t>Washington, IA</t>
  </si>
  <si>
    <t>East Rutherford, NJ</t>
  </si>
  <si>
    <t>Charleroi, PA</t>
  </si>
  <si>
    <t>Uhrichsville, OH</t>
  </si>
  <si>
    <t>Farmerville, LA</t>
  </si>
  <si>
    <t>Buna, TX</t>
  </si>
  <si>
    <t>Mapleton, UT</t>
  </si>
  <si>
    <t>Townsend, MA</t>
  </si>
  <si>
    <t>Ripley, WV</t>
  </si>
  <si>
    <t>Milton, WV</t>
  </si>
  <si>
    <t>Newton Falls, OH</t>
  </si>
  <si>
    <t>Lafayette Hill, PA</t>
  </si>
  <si>
    <t>Doctor Phillips, FL</t>
  </si>
  <si>
    <t>Audubon, NJ</t>
  </si>
  <si>
    <t>Burlington, CT</t>
  </si>
  <si>
    <t>Sutton, MA</t>
  </si>
  <si>
    <t>Brentwood, PA</t>
  </si>
  <si>
    <t>Pitman, NJ</t>
  </si>
  <si>
    <t>Page, AZ</t>
  </si>
  <si>
    <t>Elbert, CO</t>
  </si>
  <si>
    <t>Carl Junction, MO</t>
  </si>
  <si>
    <t>Madeira, OH</t>
  </si>
  <si>
    <t>Spencer, WV</t>
  </si>
  <si>
    <t>Mexia, TX</t>
  </si>
  <si>
    <t>Smithville, TX</t>
  </si>
  <si>
    <t>Akron, NY</t>
  </si>
  <si>
    <t>Gonzales, CA</t>
  </si>
  <si>
    <t>Rural Hall, NC</t>
  </si>
  <si>
    <t>Doniphan, MO</t>
  </si>
  <si>
    <t>Stokesdale, NC</t>
  </si>
  <si>
    <t>Hillview, KY</t>
  </si>
  <si>
    <t>Eads, TN</t>
  </si>
  <si>
    <t>De Forest, WI</t>
  </si>
  <si>
    <t>Altamont, NY</t>
  </si>
  <si>
    <t>Goddard, KS</t>
  </si>
  <si>
    <t>Sheboygan Falls, WI</t>
  </si>
  <si>
    <t>Morganfield, KY</t>
  </si>
  <si>
    <t>Springfield, GA</t>
  </si>
  <si>
    <t>West Nyack, NY</t>
  </si>
  <si>
    <t>Bala-Cynwyd, PA</t>
  </si>
  <si>
    <t>Vandalia, IL</t>
  </si>
  <si>
    <t>Mc Gregor, TX</t>
  </si>
  <si>
    <t>Honea Path, SC</t>
  </si>
  <si>
    <t>Buffalo, MO</t>
  </si>
  <si>
    <t>Bladensburg, MD</t>
  </si>
  <si>
    <t>Carrollton, OH</t>
  </si>
  <si>
    <t>Hidalgo, TX</t>
  </si>
  <si>
    <t>Lebanon Borough, NJ</t>
  </si>
  <si>
    <t>Putnam, CT</t>
  </si>
  <si>
    <t>Monee, IL</t>
  </si>
  <si>
    <t>Mascoutah, IL</t>
  </si>
  <si>
    <t>Imlay City, MI</t>
  </si>
  <si>
    <t>Avondale, PA</t>
  </si>
  <si>
    <t>Crandall, TX</t>
  </si>
  <si>
    <t>Thompson, CT</t>
  </si>
  <si>
    <t>Wesley Chapel, NC</t>
  </si>
  <si>
    <t>Creston, IA</t>
  </si>
  <si>
    <t>Morrilton, AR</t>
  </si>
  <si>
    <t>Delano, MN</t>
  </si>
  <si>
    <t>Ecorse, MI</t>
  </si>
  <si>
    <t>Wellington, CO</t>
  </si>
  <si>
    <t>Dequincy, LA</t>
  </si>
  <si>
    <t>Bunker Hill, WV</t>
  </si>
  <si>
    <t>Gate City, VA</t>
  </si>
  <si>
    <t>Blackstone, MA</t>
  </si>
  <si>
    <t>Fort Atkinson, WI</t>
  </si>
  <si>
    <t>Portland, CT</t>
  </si>
  <si>
    <t>Port Wentworth, GA</t>
  </si>
  <si>
    <t>North College Hill, OH</t>
  </si>
  <si>
    <t>Gouverneur, NY</t>
  </si>
  <si>
    <t>Iowa, LA</t>
  </si>
  <si>
    <t>Port Townsend, WA</t>
  </si>
  <si>
    <t>Minerva, OH</t>
  </si>
  <si>
    <t>Orange Cove, CA</t>
  </si>
  <si>
    <t>Kula, HI</t>
  </si>
  <si>
    <t>Harahan, LA</t>
  </si>
  <si>
    <t>Fairview, NC</t>
  </si>
  <si>
    <t>Wrightsville, PA</t>
  </si>
  <si>
    <t>Troy, NC</t>
  </si>
  <si>
    <t>Mountain Grove, MO</t>
  </si>
  <si>
    <t>Alto, GA</t>
  </si>
  <si>
    <t>Napoleonville, LA</t>
  </si>
  <si>
    <t>Sheridan, OR</t>
  </si>
  <si>
    <t>Oak Brook, IL</t>
  </si>
  <si>
    <t>Woods Cross, UT</t>
  </si>
  <si>
    <t>Wisconsin Dells, WI</t>
  </si>
  <si>
    <t>Mead, WA</t>
  </si>
  <si>
    <t>Springfield, KY</t>
  </si>
  <si>
    <t>Saint James, MO</t>
  </si>
  <si>
    <t>Accokeek, MD</t>
  </si>
  <si>
    <t>Comstock, MI</t>
  </si>
  <si>
    <t>Webster City, IA</t>
  </si>
  <si>
    <t>Doraville, GA</t>
  </si>
  <si>
    <t>Livingston, TN</t>
  </si>
  <si>
    <t>Rockdale, TX</t>
  </si>
  <si>
    <t>Carrollton, VA</t>
  </si>
  <si>
    <t>Riverdale, MD</t>
  </si>
  <si>
    <t>Lake Alfred, FL</t>
  </si>
  <si>
    <t>Clinton, IL</t>
  </si>
  <si>
    <t>Mound, MN</t>
  </si>
  <si>
    <t>Sharon Hill, PA</t>
  </si>
  <si>
    <t>Maquoketa, IA</t>
  </si>
  <si>
    <t>Ladue, MO</t>
  </si>
  <si>
    <t>Harwich, MA</t>
  </si>
  <si>
    <t>Black River Falls, WI</t>
  </si>
  <si>
    <t>North Logan, UT</t>
  </si>
  <si>
    <t>Anadarko, OK</t>
  </si>
  <si>
    <t>Plymouth, PA</t>
  </si>
  <si>
    <t>Brighton, TN</t>
  </si>
  <si>
    <t>West Gate, VA</t>
  </si>
  <si>
    <t>Martins Ferry, OH</t>
  </si>
  <si>
    <t>Garden City, GA</t>
  </si>
  <si>
    <t>Mitchell, IN</t>
  </si>
  <si>
    <t>Middleburg, PA</t>
  </si>
  <si>
    <t>Belle Plaine, MN</t>
  </si>
  <si>
    <t>Fort Salonga, NY</t>
  </si>
  <si>
    <t>Plover, WI</t>
  </si>
  <si>
    <t>Veneta, OR</t>
  </si>
  <si>
    <t>Township of Washington, NJ</t>
  </si>
  <si>
    <t>Plainville, MA</t>
  </si>
  <si>
    <t>Leonia, NJ</t>
  </si>
  <si>
    <t>Webb City, MO</t>
  </si>
  <si>
    <t>Redding, CT</t>
  </si>
  <si>
    <t>Seward, NE</t>
  </si>
  <si>
    <t>Chittenango, NY</t>
  </si>
  <si>
    <t>Smiths Creek, MI</t>
  </si>
  <si>
    <t>Rancho Mission Viejo, CA</t>
  </si>
  <si>
    <t>Highland Park, TX</t>
  </si>
  <si>
    <t>Airmont, NY</t>
  </si>
  <si>
    <t>Grosse Pointe Farms, MI</t>
  </si>
  <si>
    <t>Eudora, KS</t>
  </si>
  <si>
    <t>Christiana, TN</t>
  </si>
  <si>
    <t>Moyock, NC</t>
  </si>
  <si>
    <t>Toronto, OH</t>
  </si>
  <si>
    <t>Indian Wells, CA</t>
  </si>
  <si>
    <t>Amelia Court House, VA</t>
  </si>
  <si>
    <t>Mecca, CA</t>
  </si>
  <si>
    <t>Nebo, NC</t>
  </si>
  <si>
    <t>Fremont, MI</t>
  </si>
  <si>
    <t>Briarcliff Manor, NY</t>
  </si>
  <si>
    <t>New Freedom, PA</t>
  </si>
  <si>
    <t>Whitwell, TN</t>
  </si>
  <si>
    <t>Bellville, OH</t>
  </si>
  <si>
    <t>Trumann, AR</t>
  </si>
  <si>
    <t>Greensburg, KY</t>
  </si>
  <si>
    <t>Dent, OH</t>
  </si>
  <si>
    <t>Waller, WA</t>
  </si>
  <si>
    <t>La Center, WA</t>
  </si>
  <si>
    <t>Salisbury, MA</t>
  </si>
  <si>
    <t>McKee, KY</t>
  </si>
  <si>
    <t>Georgetown, OH</t>
  </si>
  <si>
    <t>Presque Isle, ME</t>
  </si>
  <si>
    <t>Honeoye Falls, NY</t>
  </si>
  <si>
    <t>Huntington, TX</t>
  </si>
  <si>
    <t>Woodstock, VA</t>
  </si>
  <si>
    <t>Gering, NE</t>
  </si>
  <si>
    <t>Fairview, TX</t>
  </si>
  <si>
    <t>Crete, NE</t>
  </si>
  <si>
    <t>Venetia, PA</t>
  </si>
  <si>
    <t>Norwood, NC</t>
  </si>
  <si>
    <t>Newmarket, NH</t>
  </si>
  <si>
    <t>Lanoka Harbor, NJ</t>
  </si>
  <si>
    <t>Clarence Center, NY</t>
  </si>
  <si>
    <t>Grass Lake, MI</t>
  </si>
  <si>
    <t>Whitney, TX</t>
  </si>
  <si>
    <t>Elmsford, NY</t>
  </si>
  <si>
    <t>Germantown, OH</t>
  </si>
  <si>
    <t>Madison, MI</t>
  </si>
  <si>
    <t>Mount Rainier, MD</t>
  </si>
  <si>
    <t>Dupont, WA</t>
  </si>
  <si>
    <t>Wellington, KS</t>
  </si>
  <si>
    <t>Bumpass, VA</t>
  </si>
  <si>
    <t>Barrington, NH</t>
  </si>
  <si>
    <t>Richland Hills, TX</t>
  </si>
  <si>
    <t>Huron, OH</t>
  </si>
  <si>
    <t>Walnutport, PA</t>
  </si>
  <si>
    <t>Purcell, OK</t>
  </si>
  <si>
    <t>Pleasant Grove, AL</t>
  </si>
  <si>
    <t>East Bend, NC</t>
  </si>
  <si>
    <t>Wellsville, NY</t>
  </si>
  <si>
    <t>Hermantown, MN</t>
  </si>
  <si>
    <t>Kennedale, TX</t>
  </si>
  <si>
    <t>Saint Anthony, MN</t>
  </si>
  <si>
    <t>West Liberty, KY</t>
  </si>
  <si>
    <t>Mary Esther, FL</t>
  </si>
  <si>
    <t>Beecher, MI</t>
  </si>
  <si>
    <t>Weare, NH</t>
  </si>
  <si>
    <t>Crozet, VA</t>
  </si>
  <si>
    <t>Lynwood, IL</t>
  </si>
  <si>
    <t>Woodbury, NY</t>
  </si>
  <si>
    <t>Waterville, OH</t>
  </si>
  <si>
    <t>Smithsburg, MD</t>
  </si>
  <si>
    <t>Broadway, VA</t>
  </si>
  <si>
    <t>Munford, TN</t>
  </si>
  <si>
    <t>Tabor City, NC</t>
  </si>
  <si>
    <t>Brewer, ME</t>
  </si>
  <si>
    <t>Hillsville, VA</t>
  </si>
  <si>
    <t>Arkansas City, KS</t>
  </si>
  <si>
    <t>Painted Post, NY</t>
  </si>
  <si>
    <t>Rougemont, NC</t>
  </si>
  <si>
    <t>East Haddam, CT</t>
  </si>
  <si>
    <t>Independence, LA</t>
  </si>
  <si>
    <t>Brigantine, NJ</t>
  </si>
  <si>
    <t>Douglas, MA</t>
  </si>
  <si>
    <t>Elburn, IL</t>
  </si>
  <si>
    <t>Springfield, VT</t>
  </si>
  <si>
    <t>Brookeville, MD</t>
  </si>
  <si>
    <t>Pine Castle, FL</t>
  </si>
  <si>
    <t>Atkins, AR</t>
  </si>
  <si>
    <t>Oakwood, OH</t>
  </si>
  <si>
    <t>Bladenboro, NC</t>
  </si>
  <si>
    <t>McCook, NE</t>
  </si>
  <si>
    <t>Southampton, NY</t>
  </si>
  <si>
    <t>Rainbow City, AL</t>
  </si>
  <si>
    <t>Prairie Grove, AR</t>
  </si>
  <si>
    <t>Rio Hondo, TX</t>
  </si>
  <si>
    <t>Lincoln University, PA</t>
  </si>
  <si>
    <t>Irvington, NY</t>
  </si>
  <si>
    <t>Brookville, IN</t>
  </si>
  <si>
    <t>West Olive, MI</t>
  </si>
  <si>
    <t>Vandergrift, PA</t>
  </si>
  <si>
    <t>Jefferson, TX</t>
  </si>
  <si>
    <t>Northport, NY</t>
  </si>
  <si>
    <t>Yreka, CA</t>
  </si>
  <si>
    <t>East Dublin, GA</t>
  </si>
  <si>
    <t>Iuka, MS</t>
  </si>
  <si>
    <t>Crystal City, TX</t>
  </si>
  <si>
    <t>Valhalla, NY</t>
  </si>
  <si>
    <t>Tonopah, AZ</t>
  </si>
  <si>
    <t>Archdale, NC</t>
  </si>
  <si>
    <t>Giddings, TX</t>
  </si>
  <si>
    <t>Riverside, IL</t>
  </si>
  <si>
    <t>Hayesville, NC</t>
  </si>
  <si>
    <t>Orono, MN</t>
  </si>
  <si>
    <t>Topsham, ME</t>
  </si>
  <si>
    <t>Grosse Ile, MI</t>
  </si>
  <si>
    <t>Rockcreek, OR</t>
  </si>
  <si>
    <t>Mulvane, KS</t>
  </si>
  <si>
    <t>Ijamsville, MD</t>
  </si>
  <si>
    <t>Comfort, TX</t>
  </si>
  <si>
    <t>Pipe Creek, TX</t>
  </si>
  <si>
    <t>Saint Helena, CA</t>
  </si>
  <si>
    <t>Tega Cay, SC</t>
  </si>
  <si>
    <t>Capitola, CA</t>
  </si>
  <si>
    <t>Bryson City, NC</t>
  </si>
  <si>
    <t>East Berlin, PA</t>
  </si>
  <si>
    <t>Hastings on Hudson, NY</t>
  </si>
  <si>
    <t>Westmoreland, TN</t>
  </si>
  <si>
    <t>Negaunee, MI</t>
  </si>
  <si>
    <t>Milton, WI</t>
  </si>
  <si>
    <t>Braddock, PA</t>
  </si>
  <si>
    <t>Apple Creek, OH</t>
  </si>
  <si>
    <t>Manchester, MD</t>
  </si>
  <si>
    <t>New Tazewell, TN</t>
  </si>
  <si>
    <t>Litchfield, IL</t>
  </si>
  <si>
    <t>Herrin, IL</t>
  </si>
  <si>
    <t>Penn Valley, CA</t>
  </si>
  <si>
    <t>Glenwood, IA</t>
  </si>
  <si>
    <t>Beaver Dam, KY</t>
  </si>
  <si>
    <t>Bridgewater, VA</t>
  </si>
  <si>
    <t>Rutland, MA</t>
  </si>
  <si>
    <t>Rawlins, WY</t>
  </si>
  <si>
    <t>Bakersville, NC</t>
  </si>
  <si>
    <t>Templeton, CA</t>
  </si>
  <si>
    <t>Huntingburg, IN</t>
  </si>
  <si>
    <t>Jim Thorpe, PA</t>
  </si>
  <si>
    <t>Bernville, PA</t>
  </si>
  <si>
    <t>Madison, SD</t>
  </si>
  <si>
    <t>Elba, AL</t>
  </si>
  <si>
    <t>Woodbridge, CT</t>
  </si>
  <si>
    <t>Berryville, VA</t>
  </si>
  <si>
    <t>Hackberry, TX</t>
  </si>
  <si>
    <t>Madill, OK</t>
  </si>
  <si>
    <t>Morrow, GA</t>
  </si>
  <si>
    <t>Tipton, IN</t>
  </si>
  <si>
    <t>Monona, WI</t>
  </si>
  <si>
    <t>Lake Mohegan, NY</t>
  </si>
  <si>
    <t>Fairfax, CA</t>
  </si>
  <si>
    <t>Adel, GA</t>
  </si>
  <si>
    <t>New Lexington, OH</t>
  </si>
  <si>
    <t>Colonial Beach, VA</t>
  </si>
  <si>
    <t>Lambertville, MI</t>
  </si>
  <si>
    <t>Monterey, TN</t>
  </si>
  <si>
    <t>Montrose, PA</t>
  </si>
  <si>
    <t>Landrum, SC</t>
  </si>
  <si>
    <t>Sugarcreek, OH</t>
  </si>
  <si>
    <t>Mountain View, AR</t>
  </si>
  <si>
    <t>Sutherlin, OR</t>
  </si>
  <si>
    <t>Kenly, NC</t>
  </si>
  <si>
    <t>Coloma, MI</t>
  </si>
  <si>
    <t>Harwood Heights, IL</t>
  </si>
  <si>
    <t>Sullivan, IN</t>
  </si>
  <si>
    <t>Kingsland, TX</t>
  </si>
  <si>
    <t>Freedom, CA</t>
  </si>
  <si>
    <t>Deville, LA</t>
  </si>
  <si>
    <t>Monson, MA</t>
  </si>
  <si>
    <t>Nebraska City, NE</t>
  </si>
  <si>
    <t>Trafford, PA</t>
  </si>
  <si>
    <t>Brooklyn, MI</t>
  </si>
  <si>
    <t>Potosi, MO</t>
  </si>
  <si>
    <t>Saint Francis, WI</t>
  </si>
  <si>
    <t>Hereford, AZ</t>
  </si>
  <si>
    <t>Saluda, SC</t>
  </si>
  <si>
    <t>Bellaire, OH</t>
  </si>
  <si>
    <t>Social Circle, GA</t>
  </si>
  <si>
    <t>Newport, WA</t>
  </si>
  <si>
    <t>Clear Lake, IA</t>
  </si>
  <si>
    <t>Mentone, CA</t>
  </si>
  <si>
    <t>Jersey Village, TX</t>
  </si>
  <si>
    <t>Oliver Springs, TN</t>
  </si>
  <si>
    <t>Cut Off, LA</t>
  </si>
  <si>
    <t>Ligonier, IN</t>
  </si>
  <si>
    <t>Oneida, TN</t>
  </si>
  <si>
    <t>Talbott, TN</t>
  </si>
  <si>
    <t>Park Ridge, NJ</t>
  </si>
  <si>
    <t>Mineral, VA</t>
  </si>
  <si>
    <t>Pleasant Hill, IA</t>
  </si>
  <si>
    <t>Davidsonville, MD</t>
  </si>
  <si>
    <t>Clare, MI</t>
  </si>
  <si>
    <t>Jamestown, CA</t>
  </si>
  <si>
    <t>Mc Ewen, TN</t>
  </si>
  <si>
    <t>Inola, OK</t>
  </si>
  <si>
    <t>Pollock Pines, CA</t>
  </si>
  <si>
    <t>Hallettsville, TX</t>
  </si>
  <si>
    <t>Cresskill, NJ</t>
  </si>
  <si>
    <t>Saks, AL</t>
  </si>
  <si>
    <t>Vilonia, AR</t>
  </si>
  <si>
    <t>Georgetown, MA</t>
  </si>
  <si>
    <t>Castroville, CA</t>
  </si>
  <si>
    <t>East Foothills, CA</t>
  </si>
  <si>
    <t>Jemison, AL</t>
  </si>
  <si>
    <t>Newbern, TN</t>
  </si>
  <si>
    <t>Hartsville, TN</t>
  </si>
  <si>
    <t>Stuart, VA</t>
  </si>
  <si>
    <t>Oak Grove, MN</t>
  </si>
  <si>
    <t>Palm Beach, FL</t>
  </si>
  <si>
    <t>Hodgenville, KY</t>
  </si>
  <si>
    <t>Whitesburg, KY</t>
  </si>
  <si>
    <t>Westampton Township, NJ</t>
  </si>
  <si>
    <t>Shavertown, PA</t>
  </si>
  <si>
    <t>Middlebury, VT</t>
  </si>
  <si>
    <t>Owingsville, KY</t>
  </si>
  <si>
    <t>Dover, AR</t>
  </si>
  <si>
    <t>Garrettsville, OH</t>
  </si>
  <si>
    <t>Homer, LA</t>
  </si>
  <si>
    <t>Pleasant View, UT</t>
  </si>
  <si>
    <t>Nevada, IA</t>
  </si>
  <si>
    <t>Bellmead, TX</t>
  </si>
  <si>
    <t>Rotonda West, FL</t>
  </si>
  <si>
    <t>Collingdale, PA</t>
  </si>
  <si>
    <t>Northfield, NJ</t>
  </si>
  <si>
    <t>Blakely, GA</t>
  </si>
  <si>
    <t>Richland, MI</t>
  </si>
  <si>
    <t>Centralia, MO</t>
  </si>
  <si>
    <t>Mars Hill, NC</t>
  </si>
  <si>
    <t>Liberty, TX</t>
  </si>
  <si>
    <t>Alma, GA</t>
  </si>
  <si>
    <t>Franklin, NH</t>
  </si>
  <si>
    <t>Beaverton, MI</t>
  </si>
  <si>
    <t>Bolivar, TN</t>
  </si>
  <si>
    <t>Westville, IN</t>
  </si>
  <si>
    <t>Scott Depot, WV</t>
  </si>
  <si>
    <t>Spring Hope, NC</t>
  </si>
  <si>
    <t>Carlisle, KY</t>
  </si>
  <si>
    <t>Lucas, TX</t>
  </si>
  <si>
    <t>Middlesex, NC</t>
  </si>
  <si>
    <t>Mendota, CA</t>
  </si>
  <si>
    <t>Edgewater Park Township, NJ</t>
  </si>
  <si>
    <t>Seabrook, NH</t>
  </si>
  <si>
    <t>Cuba, MO</t>
  </si>
  <si>
    <t>Mammoth Lakes, CA</t>
  </si>
  <si>
    <t>Becker, MN</t>
  </si>
  <si>
    <t>McLoud, OK</t>
  </si>
  <si>
    <t>Jefferson, OH</t>
  </si>
  <si>
    <t>Dalzell, SC</t>
  </si>
  <si>
    <t>Trenton, GA</t>
  </si>
  <si>
    <t>Litchfield, NH</t>
  </si>
  <si>
    <t>Closter, NJ</t>
  </si>
  <si>
    <t>Milltown, NJ</t>
  </si>
  <si>
    <t>Socorro, NM</t>
  </si>
  <si>
    <t>Barbourville, KY</t>
  </si>
  <si>
    <t>Kearneysville, WV</t>
  </si>
  <si>
    <t>Wellston, OH</t>
  </si>
  <si>
    <t>Belle Isle, FL</t>
  </si>
  <si>
    <t>Little Falls, NY</t>
  </si>
  <si>
    <t>Anderson Mill, TX</t>
  </si>
  <si>
    <t>Salem, UT</t>
  </si>
  <si>
    <t>Viroqua, WI</t>
  </si>
  <si>
    <t>Oakdale, NY</t>
  </si>
  <si>
    <t>Parkville, MO</t>
  </si>
  <si>
    <t>Water Valley, MS</t>
  </si>
  <si>
    <t>Mansfield Township, NJ</t>
  </si>
  <si>
    <t>Breckenridge, TX</t>
  </si>
  <si>
    <t>Virginia, MN</t>
  </si>
  <si>
    <t>Enfield, NC</t>
  </si>
  <si>
    <t>Clayton, DE</t>
  </si>
  <si>
    <t>Captain Cook, HI</t>
  </si>
  <si>
    <t>Pisgah Forest, NC</t>
  </si>
  <si>
    <t>Pauls Valley, OK</t>
  </si>
  <si>
    <t>Parker, TX</t>
  </si>
  <si>
    <t>West Point, UT</t>
  </si>
  <si>
    <t>Frederickson, WA</t>
  </si>
  <si>
    <t>Absecon, NJ</t>
  </si>
  <si>
    <t>Jay, OK</t>
  </si>
  <si>
    <t>Gordonsville, VA</t>
  </si>
  <si>
    <t>Ada, OH</t>
  </si>
  <si>
    <t>Swannanoa, NC</t>
  </si>
  <si>
    <t>Corrales, NM</t>
  </si>
  <si>
    <t>Furlong, PA</t>
  </si>
  <si>
    <t>Gray, LA</t>
  </si>
  <si>
    <t>Palmyra, NY</t>
  </si>
  <si>
    <t>Basehor, KS</t>
  </si>
  <si>
    <t>Kiln, MS</t>
  </si>
  <si>
    <t>Broken Bow, OK</t>
  </si>
  <si>
    <t>Malverne, NY</t>
  </si>
  <si>
    <t>Bronxville, NY</t>
  </si>
  <si>
    <t>Parkton, NC</t>
  </si>
  <si>
    <t>Le Roy, NY</t>
  </si>
  <si>
    <t>Montvale, NJ</t>
  </si>
  <si>
    <t>Selmer, TN</t>
  </si>
  <si>
    <t>Prosperity, SC</t>
  </si>
  <si>
    <t>Adel, IA</t>
  </si>
  <si>
    <t>Hugo, OK</t>
  </si>
  <si>
    <t>Glendive, MT</t>
  </si>
  <si>
    <t>Richmond Heights, MO</t>
  </si>
  <si>
    <t>Saint Amant, LA</t>
  </si>
  <si>
    <t>Evington, VA</t>
  </si>
  <si>
    <t>Austin, AR</t>
  </si>
  <si>
    <t>Eureka, MO</t>
  </si>
  <si>
    <t>Weldon Spring, MO</t>
  </si>
  <si>
    <t>Libby, MT</t>
  </si>
  <si>
    <t>Villa Hills, KY</t>
  </si>
  <si>
    <t>Leavenworth, WA</t>
  </si>
  <si>
    <t>Little Chute, WI</t>
  </si>
  <si>
    <t>Lake Park, FL</t>
  </si>
  <si>
    <t>Highland Falls, NY</t>
  </si>
  <si>
    <t>Sidney, MT</t>
  </si>
  <si>
    <t>Abita Springs, LA</t>
  </si>
  <si>
    <t>Flowood, MS</t>
  </si>
  <si>
    <t>Dublin, TX</t>
  </si>
  <si>
    <t>Cashmere, WA</t>
  </si>
  <si>
    <t>Grant, MI</t>
  </si>
  <si>
    <t>Steger, IL</t>
  </si>
  <si>
    <t>Medical Lake, WA</t>
  </si>
  <si>
    <t>Louisa, KY</t>
  </si>
  <si>
    <t>Aurora, IN</t>
  </si>
  <si>
    <t>Spotswood, NJ</t>
  </si>
  <si>
    <t>Spring City, TN</t>
  </si>
  <si>
    <t>Hilmar, CA</t>
  </si>
  <si>
    <t>Delphi, IN</t>
  </si>
  <si>
    <t>Seven Valleys, PA</t>
  </si>
  <si>
    <t>Spruce Pine, NC</t>
  </si>
  <si>
    <t>Richmond, MO</t>
  </si>
  <si>
    <t>Mill Hall, PA</t>
  </si>
  <si>
    <t>Park Hills, MO</t>
  </si>
  <si>
    <t>Mercersburg, PA</t>
  </si>
  <si>
    <t>Sheffield, AL</t>
  </si>
  <si>
    <t>Los Altos Hills, CA</t>
  </si>
  <si>
    <t>Highland Heights, OH</t>
  </si>
  <si>
    <t>McCall, ID</t>
  </si>
  <si>
    <t>Midway, TX</t>
  </si>
  <si>
    <t>Washingtonville, NY</t>
  </si>
  <si>
    <t>Appomattox, VA</t>
  </si>
  <si>
    <t>Edgewood, KY</t>
  </si>
  <si>
    <t>Central Square, NY</t>
  </si>
  <si>
    <t>Lincoln, AL</t>
  </si>
  <si>
    <t>Alamo Heights, TX</t>
  </si>
  <si>
    <t>Stanton, KY</t>
  </si>
  <si>
    <t>Stewartstown, PA</t>
  </si>
  <si>
    <t>Roscommon, MI</t>
  </si>
  <si>
    <t>Wood Ridge, NJ</t>
  </si>
  <si>
    <t>Doylestown, OH</t>
  </si>
  <si>
    <t>Diamondhead, MS</t>
  </si>
  <si>
    <t>Saint Albans, WV</t>
  </si>
  <si>
    <t>Philippi, WV</t>
  </si>
  <si>
    <t>Congers, NY</t>
  </si>
  <si>
    <t>Hopkinton, RI</t>
  </si>
  <si>
    <t>Lake Arrowhead, CA</t>
  </si>
  <si>
    <t>Round Lake, IL</t>
  </si>
  <si>
    <t>Houston, MS</t>
  </si>
  <si>
    <t>Whitehall, MI</t>
  </si>
  <si>
    <t>Dunbar, WV</t>
  </si>
  <si>
    <t>Buena Vista, VA</t>
  </si>
  <si>
    <t>Parkesburg, PA</t>
  </si>
  <si>
    <t>La Habra Heights, CA</t>
  </si>
  <si>
    <t>Aransas Pass, TX</t>
  </si>
  <si>
    <t>Johnstown, CO</t>
  </si>
  <si>
    <t>Kenilworth, NJ</t>
  </si>
  <si>
    <t>Woodbury, TN</t>
  </si>
  <si>
    <t>Des Peres, MO</t>
  </si>
  <si>
    <t>Wilburton, OK</t>
  </si>
  <si>
    <t>Lincoln, DE</t>
  </si>
  <si>
    <t>Bondurant, IA</t>
  </si>
  <si>
    <t>North Haledon, NJ</t>
  </si>
  <si>
    <t>Ninety Six, SC</t>
  </si>
  <si>
    <t>Vernon, WI</t>
  </si>
  <si>
    <t>Ladera Heights, CA</t>
  </si>
  <si>
    <t>Albany, KY</t>
  </si>
  <si>
    <t>Bath, ME</t>
  </si>
  <si>
    <t>Morrison, TN</t>
  </si>
  <si>
    <t>Ridgeway, VA</t>
  </si>
  <si>
    <t>Elsa, TX</t>
  </si>
  <si>
    <t>Dorr, MI</t>
  </si>
  <si>
    <t>Rittman, OH</t>
  </si>
  <si>
    <t>Warsaw, NC</t>
  </si>
  <si>
    <t>Willows, CA</t>
  </si>
  <si>
    <t>Coldspring, TX</t>
  </si>
  <si>
    <t>Sioux Center, IA</t>
  </si>
  <si>
    <t>Stewartville, MN</t>
  </si>
  <si>
    <t>Pevely, MO</t>
  </si>
  <si>
    <t>Hewlett, NY</t>
  </si>
  <si>
    <t>Bradley, IL</t>
  </si>
  <si>
    <t>Lincolnshire, IL</t>
  </si>
  <si>
    <t>Westminster, MA</t>
  </si>
  <si>
    <t>Rogersville, AL</t>
  </si>
  <si>
    <t>Grand Chute, WI</t>
  </si>
  <si>
    <t>Incline Village, NV</t>
  </si>
  <si>
    <t>Lavonia, GA</t>
  </si>
  <si>
    <t>Delton, MI</t>
  </si>
  <si>
    <t>Troup, TX</t>
  </si>
  <si>
    <t>Headland, AL</t>
  </si>
  <si>
    <t>Woodbine, NJ</t>
  </si>
  <si>
    <t>Weiser, ID</t>
  </si>
  <si>
    <t>Campton, KY</t>
  </si>
  <si>
    <t>Floyd, VA</t>
  </si>
  <si>
    <t>Melrose, FL</t>
  </si>
  <si>
    <t>Villanova, PA</t>
  </si>
  <si>
    <t>Center Line, MI</t>
  </si>
  <si>
    <t>Pollock, LA</t>
  </si>
  <si>
    <t>Trenton, MO</t>
  </si>
  <si>
    <t>Quitman, GA</t>
  </si>
  <si>
    <t>Pilot Mountain, NC</t>
  </si>
  <si>
    <t>Franktown, CO</t>
  </si>
  <si>
    <t>North Tazewell, VA</t>
  </si>
  <si>
    <t>Brooklet, GA</t>
  </si>
  <si>
    <t>Seymour, MO</t>
  </si>
  <si>
    <t>Brooklyn, CT</t>
  </si>
  <si>
    <t>Mooresboro, NC</t>
  </si>
  <si>
    <t>Griswold, CT</t>
  </si>
  <si>
    <t>Ash, NC</t>
  </si>
  <si>
    <t>Moorefield, WV</t>
  </si>
  <si>
    <t>Millis, MA</t>
  </si>
  <si>
    <t>Glencoe, IL</t>
  </si>
  <si>
    <t>Wyoming, PA</t>
  </si>
  <si>
    <t>Upper Saddle River, NJ</t>
  </si>
  <si>
    <t>Luling, TX</t>
  </si>
  <si>
    <t>August, CA</t>
  </si>
  <si>
    <t>Hartville, OH</t>
  </si>
  <si>
    <t>Minnetrista, MN</t>
  </si>
  <si>
    <t>Jonesville, LA</t>
  </si>
  <si>
    <t>College Place, WA</t>
  </si>
  <si>
    <t>West Union, OH</t>
  </si>
  <si>
    <t>Sweeny, TX</t>
  </si>
  <si>
    <t>Howard City, MI</t>
  </si>
  <si>
    <t>Barrington, IL</t>
  </si>
  <si>
    <t>Hoquiam, WA</t>
  </si>
  <si>
    <t>Cheswick, PA</t>
  </si>
  <si>
    <t>Spring Grove, IL</t>
  </si>
  <si>
    <t>Burgettstown, PA</t>
  </si>
  <si>
    <t>Saltville, VA</t>
  </si>
  <si>
    <t>Waretown, NJ</t>
  </si>
  <si>
    <t>Jena, LA</t>
  </si>
  <si>
    <t>Beecher, IL</t>
  </si>
  <si>
    <t>Boxford, MA</t>
  </si>
  <si>
    <t>Wellsburg, WV</t>
  </si>
  <si>
    <t>Hampton, MI</t>
  </si>
  <si>
    <t>Broadview, IL</t>
  </si>
  <si>
    <t>Atlantic, IA</t>
  </si>
  <si>
    <t>Winchester, IN</t>
  </si>
  <si>
    <t>Harlem, GA</t>
  </si>
  <si>
    <t>Wauconda, IL</t>
  </si>
  <si>
    <t>Niantic, CT</t>
  </si>
  <si>
    <t>Laughlin, NV</t>
  </si>
  <si>
    <t>Baltimore, OH</t>
  </si>
  <si>
    <t>Wheatland, WY</t>
  </si>
  <si>
    <t>Inwood, NY</t>
  </si>
  <si>
    <t>North Bay Village, FL</t>
  </si>
  <si>
    <t>Jonestown, PA</t>
  </si>
  <si>
    <t>Washington Terrace, UT</t>
  </si>
  <si>
    <t>Drummonds, TN</t>
  </si>
  <si>
    <t>Willow Street, PA</t>
  </si>
  <si>
    <t>Valatie, NY</t>
  </si>
  <si>
    <t>Cumberland, ME</t>
  </si>
  <si>
    <t>Edgemere, MD</t>
  </si>
  <si>
    <t>Fairfield, TX</t>
  </si>
  <si>
    <t>Moscow Mills, MO</t>
  </si>
  <si>
    <t>Finleyville, PA</t>
  </si>
  <si>
    <t>Indian Harbour Beach, FL</t>
  </si>
  <si>
    <t>Kalaheo, HI</t>
  </si>
  <si>
    <t>Fultondale, AL</t>
  </si>
  <si>
    <t>Buxton, ME</t>
  </si>
  <si>
    <t>Solvang, CA</t>
  </si>
  <si>
    <t>West Boylston, MA</t>
  </si>
  <si>
    <t>Decorah, IA</t>
  </si>
  <si>
    <t>Chesapeake, OH</t>
  </si>
  <si>
    <t>Santa Rosa, TX</t>
  </si>
  <si>
    <t>Sanford, MI</t>
  </si>
  <si>
    <t>Adams, MA</t>
  </si>
  <si>
    <t>Snowflake, AZ</t>
  </si>
  <si>
    <t>Rocky Face, GA</t>
  </si>
  <si>
    <t>Delta, OH</t>
  </si>
  <si>
    <t>Montrose, MI</t>
  </si>
  <si>
    <t>Albion, IN</t>
  </si>
  <si>
    <t>Bel Aire, KS</t>
  </si>
  <si>
    <t>Lawrence, NY</t>
  </si>
  <si>
    <t>Garnerville, NY</t>
  </si>
  <si>
    <t>Anamosa, IA</t>
  </si>
  <si>
    <t>Erath, LA</t>
  </si>
  <si>
    <t>Berkeley, MO</t>
  </si>
  <si>
    <t>Hamburg, NJ</t>
  </si>
  <si>
    <t>Colusa, CA</t>
  </si>
  <si>
    <t>Sauk Centre, MN</t>
  </si>
  <si>
    <t>Keansburg, NJ</t>
  </si>
  <si>
    <t>Mattawan, MI</t>
  </si>
  <si>
    <t>Ava, MO</t>
  </si>
  <si>
    <t>Bacliff, TX</t>
  </si>
  <si>
    <t>Winnabow, NC</t>
  </si>
  <si>
    <t>Prairie du Chien, WI</t>
  </si>
  <si>
    <t>White Cloud, MI</t>
  </si>
  <si>
    <t>Crestline, CA</t>
  </si>
  <si>
    <t>Cazenovia, NY</t>
  </si>
  <si>
    <t>Sterling, MA</t>
  </si>
  <si>
    <t>Ulysses, KS</t>
  </si>
  <si>
    <t>Nephi, UT</t>
  </si>
  <si>
    <t>Hilliard, FL</t>
  </si>
  <si>
    <t>Grand Saline, TX</t>
  </si>
  <si>
    <t>Old Orchard Beach, ME</t>
  </si>
  <si>
    <t>Rumson, NJ</t>
  </si>
  <si>
    <t>Hartland, WI</t>
  </si>
  <si>
    <t>Crossville, AL</t>
  </si>
  <si>
    <t>Westville, NJ</t>
  </si>
  <si>
    <t>Haledon, NJ</t>
  </si>
  <si>
    <t>Everett, PA</t>
  </si>
  <si>
    <t>Sussex, WI</t>
  </si>
  <si>
    <t>Maplewood, MO</t>
  </si>
  <si>
    <t>Falmouth, MA</t>
  </si>
  <si>
    <t>Grimesland, NC</t>
  </si>
  <si>
    <t>Schoolcraft, MI</t>
  </si>
  <si>
    <t>La Crescent, MN</t>
  </si>
  <si>
    <t>Carnation, WA</t>
  </si>
  <si>
    <t>Disputanta, VA</t>
  </si>
  <si>
    <t>Woodway, TX</t>
  </si>
  <si>
    <t>Chandler, TX</t>
  </si>
  <si>
    <t>Holley, NY</t>
  </si>
  <si>
    <t>Wheatfield, IN</t>
  </si>
  <si>
    <t>Bogota, NJ</t>
  </si>
  <si>
    <t>California, MO</t>
  </si>
  <si>
    <t>Winterset, IA</t>
  </si>
  <si>
    <t>Alondra Park, CA</t>
  </si>
  <si>
    <t>Lakeside, AZ</t>
  </si>
  <si>
    <t>Williamsburg, MI</t>
  </si>
  <si>
    <t>Kingfisher, OK</t>
  </si>
  <si>
    <t>Mauston, WI</t>
  </si>
  <si>
    <t>Omak, WA</t>
  </si>
  <si>
    <t>Erwin, NC</t>
  </si>
  <si>
    <t>New Martinsville, WV</t>
  </si>
  <si>
    <t>Vinton, IA</t>
  </si>
  <si>
    <t>Fairfield, PA</t>
  </si>
  <si>
    <t>Leadville, CO</t>
  </si>
  <si>
    <t>Richboro, PA</t>
  </si>
  <si>
    <t>Oakwood, GA</t>
  </si>
  <si>
    <t>Glenmoore, PA</t>
  </si>
  <si>
    <t>Decatur, TN</t>
  </si>
  <si>
    <t>Brentwood, MO</t>
  </si>
  <si>
    <t>Bowling Green, FL</t>
  </si>
  <si>
    <t>Springville, NY</t>
  </si>
  <si>
    <t>Anaconda, MT</t>
  </si>
  <si>
    <t>Armonk, NY</t>
  </si>
  <si>
    <t>Skowhegan, ME</t>
  </si>
  <si>
    <t>Hamilton, MA</t>
  </si>
  <si>
    <t>Judsonia, AR</t>
  </si>
  <si>
    <t>Fairfield, IL</t>
  </si>
  <si>
    <t>Pelham, GA</t>
  </si>
  <si>
    <t>Glen Rock, PA</t>
  </si>
  <si>
    <t>Atwater, OH</t>
  </si>
  <si>
    <t>Clover Creek, WA</t>
  </si>
  <si>
    <t>Wartburg, TN</t>
  </si>
  <si>
    <t>Toano, VA</t>
  </si>
  <si>
    <t>River Oaks, TX</t>
  </si>
  <si>
    <t>Kinder, LA</t>
  </si>
  <si>
    <t>Stoneville, NC</t>
  </si>
  <si>
    <t>Kempner, TX</t>
  </si>
  <si>
    <t>Watford City, ND</t>
  </si>
  <si>
    <t>Milliken, CO</t>
  </si>
  <si>
    <t>Charlevoix, MI</t>
  </si>
  <si>
    <t>Lyons, NY</t>
  </si>
  <si>
    <t>Dunn, WI</t>
  </si>
  <si>
    <t>Palmhurst, TX</t>
  </si>
  <si>
    <t>New Egypt, NJ</t>
  </si>
  <si>
    <t>Lake Mills, WI</t>
  </si>
  <si>
    <t>Ellsworth, ME</t>
  </si>
  <si>
    <t>Lewistown, MT</t>
  </si>
  <si>
    <t>Vashon, WA</t>
  </si>
  <si>
    <t>Kingston, GA</t>
  </si>
  <si>
    <t>Wyoming, OH</t>
  </si>
  <si>
    <t>Litchfield, CT</t>
  </si>
  <si>
    <t>Romney, WV</t>
  </si>
  <si>
    <t>Baldwyn, MS</t>
  </si>
  <si>
    <t>Crownsville, MD</t>
  </si>
  <si>
    <t>Spring Lake, NJ</t>
  </si>
  <si>
    <t>Waimanalo, HI</t>
  </si>
  <si>
    <t>Center Moriches, NY</t>
  </si>
  <si>
    <t>Dadeville, AL</t>
  </si>
  <si>
    <t>Carlinville, IL</t>
  </si>
  <si>
    <t>Conifer, CO</t>
  </si>
  <si>
    <t>Edna, TX</t>
  </si>
  <si>
    <t>Reserve, LA</t>
  </si>
  <si>
    <t>Caldwell, NJ</t>
  </si>
  <si>
    <t>Lucerne Valley, CA</t>
  </si>
  <si>
    <t>Hinckley, OH</t>
  </si>
  <si>
    <t>Old Forge, PA</t>
  </si>
  <si>
    <t>Cleveland, NC</t>
  </si>
  <si>
    <t>Ward, AR</t>
  </si>
  <si>
    <t>Ashville, AL</t>
  </si>
  <si>
    <t>Ashdown, AR</t>
  </si>
  <si>
    <t>Bayport, NY</t>
  </si>
  <si>
    <t>Eureka Springs, AR</t>
  </si>
  <si>
    <t>Stanhope, NJ</t>
  </si>
  <si>
    <t>Madisonville, TX</t>
  </si>
  <si>
    <t>Taft, TX</t>
  </si>
  <si>
    <t>Emerson, NJ</t>
  </si>
  <si>
    <t>Angels Camp, CA</t>
  </si>
  <si>
    <t>Montesano, WA</t>
  </si>
  <si>
    <t>Baxter, MN</t>
  </si>
  <si>
    <t>Linton, IN</t>
  </si>
  <si>
    <t>Hamilton, MI</t>
  </si>
  <si>
    <t>Demopolis, AL</t>
  </si>
  <si>
    <t>Marlin, TX</t>
  </si>
  <si>
    <t>Box Elder, SD</t>
  </si>
  <si>
    <t>Mahtomedi, MN</t>
  </si>
  <si>
    <t>Ramseur, NC</t>
  </si>
  <si>
    <t>Clifton, TX</t>
  </si>
  <si>
    <t>Centerburg, OH</t>
  </si>
  <si>
    <t>Gresham Park, GA</t>
  </si>
  <si>
    <t>Hollis, NH</t>
  </si>
  <si>
    <t>Pinnacle, NC</t>
  </si>
  <si>
    <t>Nettleton, MS</t>
  </si>
  <si>
    <t>Fort Belvoir, VA</t>
  </si>
  <si>
    <t>Bell, FL</t>
  </si>
  <si>
    <t>West Long Branch, NJ</t>
  </si>
  <si>
    <t>Cedarhurst, NY</t>
  </si>
  <si>
    <t>Shepherdstown, WV</t>
  </si>
  <si>
    <t>Cassopolis, MI</t>
  </si>
  <si>
    <t>Monticello, MN</t>
  </si>
  <si>
    <t>Amery, WI</t>
  </si>
  <si>
    <t>Pelion, SC</t>
  </si>
  <si>
    <t>Upton, MA</t>
  </si>
  <si>
    <t>Bloomer, WI</t>
  </si>
  <si>
    <t>Fort Mitchell, KY</t>
  </si>
  <si>
    <t>Washington, WV</t>
  </si>
  <si>
    <t>Sulphur, OK</t>
  </si>
  <si>
    <t>Marvin, NC</t>
  </si>
  <si>
    <t>West Miami, FL</t>
  </si>
  <si>
    <t>Paoli, IN</t>
  </si>
  <si>
    <t>Millington, MI</t>
  </si>
  <si>
    <t>Richton, MS</t>
  </si>
  <si>
    <t>Mantua, OH</t>
  </si>
  <si>
    <t>Temple, PA</t>
  </si>
  <si>
    <t>Elsmere, KY</t>
  </si>
  <si>
    <t>Alpine, TX</t>
  </si>
  <si>
    <t>Raritan, NJ</t>
  </si>
  <si>
    <t>Bow, NH</t>
  </si>
  <si>
    <t>Valencia, PA</t>
  </si>
  <si>
    <t>Maurice, LA</t>
  </si>
  <si>
    <t>Oak Grove, KY</t>
  </si>
  <si>
    <t>Oceano, CA</t>
  </si>
  <si>
    <t>Riverside Township, NJ</t>
  </si>
  <si>
    <t>Dingmans Ferry, PA</t>
  </si>
  <si>
    <t>Bigfork, MT</t>
  </si>
  <si>
    <t>South Hill, VA</t>
  </si>
  <si>
    <t>Beulaville, NC</t>
  </si>
  <si>
    <t>Middlebury, CT</t>
  </si>
  <si>
    <t>Fort Mc Coy, FL</t>
  </si>
  <si>
    <t>North Branch, MI</t>
  </si>
  <si>
    <t>Buena Vista, CO</t>
  </si>
  <si>
    <t>Freeport, ME</t>
  </si>
  <si>
    <t>Richlands, VA</t>
  </si>
  <si>
    <t>Gray, ME</t>
  </si>
  <si>
    <t>Monticello, IL</t>
  </si>
  <si>
    <t>Halifax, MA</t>
  </si>
  <si>
    <t>Yerington, NV</t>
  </si>
  <si>
    <t>Marion, KY</t>
  </si>
  <si>
    <t>Williamsburg, OH</t>
  </si>
  <si>
    <t>Woodstock, CT</t>
  </si>
  <si>
    <t>Booneville, MS</t>
  </si>
  <si>
    <t>Elberta, AL</t>
  </si>
  <si>
    <t>Bloomfield, IN</t>
  </si>
  <si>
    <t>Falkville, AL</t>
  </si>
  <si>
    <t>Tomahawk, WI</t>
  </si>
  <si>
    <t>Lizella, GA</t>
  </si>
  <si>
    <t>Winston, GA</t>
  </si>
  <si>
    <t>Tenino, WA</t>
  </si>
  <si>
    <t>Colorado City, TX</t>
  </si>
  <si>
    <t>Goldendale, WA</t>
  </si>
  <si>
    <t>Selbyville, DE</t>
  </si>
  <si>
    <t>Pemberton Township, NJ</t>
  </si>
  <si>
    <t>Skillman, NJ</t>
  </si>
  <si>
    <t>Warrenton, NC</t>
  </si>
  <si>
    <t>Roslyn Heights, NY</t>
  </si>
  <si>
    <t>Beattyville, KY</t>
  </si>
  <si>
    <t>Jennings Lodge, OR</t>
  </si>
  <si>
    <t>Bailey, CO</t>
  </si>
  <si>
    <t>Saint Stephen, SC</t>
  </si>
  <si>
    <t>Nashville, IN</t>
  </si>
  <si>
    <t>Bushkill, PA</t>
  </si>
  <si>
    <t>Milford, NJ</t>
  </si>
  <si>
    <t>Freedom, PA</t>
  </si>
  <si>
    <t>Elverta, CA</t>
  </si>
  <si>
    <t>Colbert, WA</t>
  </si>
  <si>
    <t>Wayzata, MN</t>
  </si>
  <si>
    <t>Walkertown, NC</t>
  </si>
  <si>
    <t>Warren, AR</t>
  </si>
  <si>
    <t>Oradell, NJ</t>
  </si>
  <si>
    <t>Van Alstyne, TX</t>
  </si>
  <si>
    <t>Union City, PA</t>
  </si>
  <si>
    <t>White Oak, PA</t>
  </si>
  <si>
    <t>Calistoga, CA</t>
  </si>
  <si>
    <t>Bowdon, GA</t>
  </si>
  <si>
    <t>Centerville, TN</t>
  </si>
  <si>
    <t>West Salem, WI</t>
  </si>
  <si>
    <t>Bonner Springs, KS</t>
  </si>
  <si>
    <t>Chuckey, TN</t>
  </si>
  <si>
    <t>Springfield, FL</t>
  </si>
  <si>
    <t>Runnemede, NJ</t>
  </si>
  <si>
    <t>Holts Summit, MO</t>
  </si>
  <si>
    <t>Pembroke, GA</t>
  </si>
  <si>
    <t>Pana, IL</t>
  </si>
  <si>
    <t>Schnecksville, PA</t>
  </si>
  <si>
    <t>Glen Ridge, NJ</t>
  </si>
  <si>
    <t>Howard, OH</t>
  </si>
  <si>
    <t>Wise, VA</t>
  </si>
  <si>
    <t>Waymart, PA</t>
  </si>
  <si>
    <t>Swansea, SC</t>
  </si>
  <si>
    <t>Byron, MN</t>
  </si>
  <si>
    <t>Strawberry Plains, TN</t>
  </si>
  <si>
    <t>Denair, CA</t>
  </si>
  <si>
    <t>Riverdale, UT</t>
  </si>
  <si>
    <t>Carneys Point, NJ</t>
  </si>
  <si>
    <t>Williston Park, NY</t>
  </si>
  <si>
    <t>Dighton, MA</t>
  </si>
  <si>
    <t>Lodi, WI</t>
  </si>
  <si>
    <t>Caddo Mills, TX</t>
  </si>
  <si>
    <t>Whitehouse Station, NJ</t>
  </si>
  <si>
    <t>Sisters, OR</t>
  </si>
  <si>
    <t>Butler, NJ</t>
  </si>
  <si>
    <t>Shelburne, VT</t>
  </si>
  <si>
    <t>Vinton, LA</t>
  </si>
  <si>
    <t>Mattawa, WA</t>
  </si>
  <si>
    <t>San Diego, TX</t>
  </si>
  <si>
    <t>Caribou, ME</t>
  </si>
  <si>
    <t>Lindstrom, MN</t>
  </si>
  <si>
    <t>Wyoming, MN</t>
  </si>
  <si>
    <t>Southampton Township, NJ</t>
  </si>
  <si>
    <t>Ridgeway, SC</t>
  </si>
  <si>
    <t>Exeter, PA</t>
  </si>
  <si>
    <t>Acton, CA</t>
  </si>
  <si>
    <t>Lake Bluff, IL</t>
  </si>
  <si>
    <t>Sneads Ferry, NC</t>
  </si>
  <si>
    <t>Saint Francis, MN</t>
  </si>
  <si>
    <t>Sparta, GA</t>
  </si>
  <si>
    <t>Plaistow, NH</t>
  </si>
  <si>
    <t>Oronoko, MI</t>
  </si>
  <si>
    <t>Harrisburg, SD</t>
  </si>
  <si>
    <t>Berwick, ME</t>
  </si>
  <si>
    <t>Mc Rae, GA</t>
  </si>
  <si>
    <t>Bernardsville, NJ</t>
  </si>
  <si>
    <t>Versailles, MO</t>
  </si>
  <si>
    <t>Byron, IL</t>
  </si>
  <si>
    <t>Reynoldsville, PA</t>
  </si>
  <si>
    <t>Fox Lake, IL</t>
  </si>
  <si>
    <t>Glenn Dale, MD</t>
  </si>
  <si>
    <t>Newcastle, CA</t>
  </si>
  <si>
    <t>Ashland, PA</t>
  </si>
  <si>
    <t>Lake City, MI</t>
  </si>
  <si>
    <t>Folsom, PA</t>
  </si>
  <si>
    <t>Winterville, GA</t>
  </si>
  <si>
    <t>Quitman, TX</t>
  </si>
  <si>
    <t>Smithfield, PA</t>
  </si>
  <si>
    <t>Kalkaska, MI</t>
  </si>
  <si>
    <t>Fanwood, NJ</t>
  </si>
  <si>
    <t>Nekoosa, WI</t>
  </si>
  <si>
    <t>New London, NC</t>
  </si>
  <si>
    <t>Richmond, RI</t>
  </si>
  <si>
    <t>Charlestown, RI</t>
  </si>
  <si>
    <t>Waverly, NY</t>
  </si>
  <si>
    <t>Hales Corners, WI</t>
  </si>
  <si>
    <t>Orange, MA</t>
  </si>
  <si>
    <t>Ingleside, TX</t>
  </si>
  <si>
    <t>Millstadt, IL</t>
  </si>
  <si>
    <t>Ellabell, GA</t>
  </si>
  <si>
    <t>Millersburg, PA</t>
  </si>
  <si>
    <t>Whittier, NC</t>
  </si>
  <si>
    <t>Stearns, KY</t>
  </si>
  <si>
    <t>Beaver, WV</t>
  </si>
  <si>
    <t>Goshen, KY</t>
  </si>
  <si>
    <t>Lantana, TX</t>
  </si>
  <si>
    <t>Shirley, MA</t>
  </si>
  <si>
    <t>Groesbeck, OH</t>
  </si>
  <si>
    <t>Kilauea, HI</t>
  </si>
  <si>
    <t>Ford City, PA</t>
  </si>
  <si>
    <t>Cheviot, OH</t>
  </si>
  <si>
    <t>Mount Orab, OH</t>
  </si>
  <si>
    <t>Sullivan, IL</t>
  </si>
  <si>
    <t>Scotia, NY</t>
  </si>
  <si>
    <t>Broadview Park, FL</t>
  </si>
  <si>
    <t>Comanche, TX</t>
  </si>
  <si>
    <t>Ayer, MA</t>
  </si>
  <si>
    <t>East Lyme, CT</t>
  </si>
  <si>
    <t>Kirbyville, TX</t>
  </si>
  <si>
    <t>Apalachin, NY</t>
  </si>
  <si>
    <t>Springfield, MI</t>
  </si>
  <si>
    <t>Manchester, MI</t>
  </si>
  <si>
    <t>Newcomerstown, OH</t>
  </si>
  <si>
    <t>Winslow, ME</t>
  </si>
  <si>
    <t>Lothian, MD</t>
  </si>
  <si>
    <t>Winston, OR</t>
  </si>
  <si>
    <t>Sharpsville, PA</t>
  </si>
  <si>
    <t>Farmington, ME</t>
  </si>
  <si>
    <t>Oakhurst, CA</t>
  </si>
  <si>
    <t>Sheridan, IN</t>
  </si>
  <si>
    <t>Rainier, OR</t>
  </si>
  <si>
    <t>Williamsburg, FL</t>
  </si>
  <si>
    <t>West Columbia, TX</t>
  </si>
  <si>
    <t>Dundee, MI</t>
  </si>
  <si>
    <t>Port Jefferson, NY</t>
  </si>
  <si>
    <t>Pahokee, FL</t>
  </si>
  <si>
    <t>Woodstock, MD</t>
  </si>
  <si>
    <t>Shipshewana, IN</t>
  </si>
  <si>
    <t>Scottdale, PA</t>
  </si>
  <si>
    <t>Island Park, NY</t>
  </si>
  <si>
    <t>Marine City, MI</t>
  </si>
  <si>
    <t>Louisburg, KS</t>
  </si>
  <si>
    <t>Excelsior Springs, MO</t>
  </si>
  <si>
    <t>Vidalia, LA</t>
  </si>
  <si>
    <t>Wellford, SC</t>
  </si>
  <si>
    <t>Tellico Plains, TN</t>
  </si>
  <si>
    <t>Forestdale, AL</t>
  </si>
  <si>
    <t>Tompkinsville, KY</t>
  </si>
  <si>
    <t>Mount Pleasant, TN</t>
  </si>
  <si>
    <t>Edinburgh, IN</t>
  </si>
  <si>
    <t>Dayton, OR</t>
  </si>
  <si>
    <t>Easton, CT</t>
  </si>
  <si>
    <t>Berne, IN</t>
  </si>
  <si>
    <t>Metamora, MI</t>
  </si>
  <si>
    <t>Cold Spring, MN</t>
  </si>
  <si>
    <t>Valley Park, MO</t>
  </si>
  <si>
    <t>Montevideo, MN</t>
  </si>
  <si>
    <t>Boring, OR</t>
  </si>
  <si>
    <t>Calumet Park, IL</t>
  </si>
  <si>
    <t>Atherton, CA</t>
  </si>
  <si>
    <t>Trenton, SC</t>
  </si>
  <si>
    <t>Irondale, AL</t>
  </si>
  <si>
    <t>Oak Island, NC</t>
  </si>
  <si>
    <t>Providence, UT</t>
  </si>
  <si>
    <t>Falmouth, KY</t>
  </si>
  <si>
    <t>Morrison, IL</t>
  </si>
  <si>
    <t>Williamstown, MA</t>
  </si>
  <si>
    <t>Mifflintown, PA</t>
  </si>
  <si>
    <t>Pembroke Park, FL</t>
  </si>
  <si>
    <t>Lincolnton, GA</t>
  </si>
  <si>
    <t>River Rouge, MI</t>
  </si>
  <si>
    <t>Heflin, AL</t>
  </si>
  <si>
    <t>Moore Haven, FL</t>
  </si>
  <si>
    <t>Jamestown, OH</t>
  </si>
  <si>
    <t>Lambertville, NJ</t>
  </si>
  <si>
    <t>Camden, OH</t>
  </si>
  <si>
    <t>Flatwoods, KY</t>
  </si>
  <si>
    <t>Collinsville, AL</t>
  </si>
  <si>
    <t>Boyne City, MI</t>
  </si>
  <si>
    <t>Fairlawn, OH</t>
  </si>
  <si>
    <t>Thomaston, CT</t>
  </si>
  <si>
    <t>Montpelier, VT</t>
  </si>
  <si>
    <t>Kronenwetter, WI</t>
  </si>
  <si>
    <t>Sunman, IN</t>
  </si>
  <si>
    <t>Fall Creek, WI</t>
  </si>
  <si>
    <t>Appling, GA</t>
  </si>
  <si>
    <t>Kasson, MN</t>
  </si>
  <si>
    <t>Felton, CA</t>
  </si>
  <si>
    <t>Shalimar, FL</t>
  </si>
  <si>
    <t>Dillwyn, VA</t>
  </si>
  <si>
    <t>South Berwick, ME</t>
  </si>
  <si>
    <t>Fort Gibson, OK</t>
  </si>
  <si>
    <t>Solon, IA</t>
  </si>
  <si>
    <t>Sitka, AK</t>
  </si>
  <si>
    <t>Sunnyvale, TX</t>
  </si>
  <si>
    <t>Waterboro, ME</t>
  </si>
  <si>
    <t>Saint Matthews, SC</t>
  </si>
  <si>
    <t>Marseilles, IL</t>
  </si>
  <si>
    <t>Truth or Consequences, NM</t>
  </si>
  <si>
    <t>Milton, WA</t>
  </si>
  <si>
    <t>Holly Springs, GA</t>
  </si>
  <si>
    <t>Wonder Lake, IL</t>
  </si>
  <si>
    <t>East Canton, OH</t>
  </si>
  <si>
    <t>Bauxite, AR</t>
  </si>
  <si>
    <t>Trinity, AL</t>
  </si>
  <si>
    <t>Trenton, WI</t>
  </si>
  <si>
    <t>Dry Run, OH</t>
  </si>
  <si>
    <t>Grandview Heights, OH</t>
  </si>
  <si>
    <t>Cardington, OH</t>
  </si>
  <si>
    <t>Old Lyme, CT</t>
  </si>
  <si>
    <t>Fort Myers Beach, FL</t>
  </si>
  <si>
    <t>Burns, TN</t>
  </si>
  <si>
    <t>Sedro-Woolley, WA</t>
  </si>
  <si>
    <t>Yarmouth, ME</t>
  </si>
  <si>
    <t>Helena - West Helena, AR</t>
  </si>
  <si>
    <t>Penrose, CO</t>
  </si>
  <si>
    <t>Groesbeck, TX</t>
  </si>
  <si>
    <t>Sultan, WA</t>
  </si>
  <si>
    <t>Cape Elizabeth, ME</t>
  </si>
  <si>
    <t>Coplay, PA</t>
  </si>
  <si>
    <t>Stratham, NH</t>
  </si>
  <si>
    <t>Columbus, TX</t>
  </si>
  <si>
    <t>Edgefield, SC</t>
  </si>
  <si>
    <t>Fall City, WA</t>
  </si>
  <si>
    <t>Coquille, OR</t>
  </si>
  <si>
    <t>Muleshoe, TX</t>
  </si>
  <si>
    <t>Pine Hill, NJ</t>
  </si>
  <si>
    <t>Frankenmuth, MI</t>
  </si>
  <si>
    <t>Washington, GA</t>
  </si>
  <si>
    <t>Phoenix, MD</t>
  </si>
  <si>
    <t>Old Town, ME</t>
  </si>
  <si>
    <t>Northwood, OH</t>
  </si>
  <si>
    <t>Campbell, OH</t>
  </si>
  <si>
    <t>Chapel Hill, TN</t>
  </si>
  <si>
    <t>Dillon, MT</t>
  </si>
  <si>
    <t>Bunkie, LA</t>
  </si>
  <si>
    <t>Roseboro, NC</t>
  </si>
  <si>
    <t>Farmersville, CA</t>
  </si>
  <si>
    <t>Castroville, TX</t>
  </si>
  <si>
    <t>Schuyler, NE</t>
  </si>
  <si>
    <t>Mentor-on-the-Lake, OH</t>
  </si>
  <si>
    <t>Chesterfield Township, NJ</t>
  </si>
  <si>
    <t>Graceville, FL</t>
  </si>
  <si>
    <t>East Troy, WI</t>
  </si>
  <si>
    <t>Monessen, PA</t>
  </si>
  <si>
    <t>Audubon, PA</t>
  </si>
  <si>
    <t>Beardstown, IL</t>
  </si>
  <si>
    <t>Flora, MS</t>
  </si>
  <si>
    <t>Golden Lakes, FL</t>
  </si>
  <si>
    <t>De Leon Springs, FL</t>
  </si>
  <si>
    <t>Talking Rock, GA</t>
  </si>
  <si>
    <t>Trophy Club, TX</t>
  </si>
  <si>
    <t>Waynesboro, TN</t>
  </si>
  <si>
    <t>West Livingston, TX</t>
  </si>
  <si>
    <t>Dodgeville, WI</t>
  </si>
  <si>
    <t>Hillsboro, IL</t>
  </si>
  <si>
    <t>Fort Washington, PA</t>
  </si>
  <si>
    <t>Jackson, CA</t>
  </si>
  <si>
    <t>Oak Ridge, NC</t>
  </si>
  <si>
    <t>Holden, LA</t>
  </si>
  <si>
    <t>Watsontown, PA</t>
  </si>
  <si>
    <t>Sidney, NE</t>
  </si>
  <si>
    <t>Greensboro, AL</t>
  </si>
  <si>
    <t>Folsom, LA</t>
  </si>
  <si>
    <t>Hampden, ME</t>
  </si>
  <si>
    <t>Parkton, MD</t>
  </si>
  <si>
    <t>Rio Vista, CA</t>
  </si>
  <si>
    <t>West Jefferson, NC</t>
  </si>
  <si>
    <t>Savannah, MO</t>
  </si>
  <si>
    <t>Pleasant Hills, PA</t>
  </si>
  <si>
    <t>Orange City, IA</t>
  </si>
  <si>
    <t>Friendsville, TN</t>
  </si>
  <si>
    <t>Long Prairie, MN</t>
  </si>
  <si>
    <t>Littleton, NC</t>
  </si>
  <si>
    <t>Chilhowie, VA</t>
  </si>
  <si>
    <t>Lake City, MN</t>
  </si>
  <si>
    <t>Groveport, OH</t>
  </si>
  <si>
    <t>Wickenburg, AZ</t>
  </si>
  <si>
    <t>Burkesville, KY</t>
  </si>
  <si>
    <t>Oregon, IL</t>
  </si>
  <si>
    <t>Millen, GA</t>
  </si>
  <si>
    <t>Belmont, NH</t>
  </si>
  <si>
    <t>Cottleville, MO</t>
  </si>
  <si>
    <t>Guadalupe, CA</t>
  </si>
  <si>
    <t>Flemingsburg, KY</t>
  </si>
  <si>
    <t>Mount Carmel, PA</t>
  </si>
  <si>
    <t>Churubusco, IN</t>
  </si>
  <si>
    <t>Valley City, ND</t>
  </si>
  <si>
    <t>Barrington, NJ</t>
  </si>
  <si>
    <t>Philomath, OR</t>
  </si>
  <si>
    <t>East Lake-Orient Park, FL</t>
  </si>
  <si>
    <t>Eagle River, WI</t>
  </si>
  <si>
    <t>Tennessee Colony, TX</t>
  </si>
  <si>
    <t>Childress, TX</t>
  </si>
  <si>
    <t>Slinger, WI</t>
  </si>
  <si>
    <t>Ellettsville, IN</t>
  </si>
  <si>
    <t>Wenonah, NJ</t>
  </si>
  <si>
    <t>Zillah, WA</t>
  </si>
  <si>
    <t>Mancelona, MI</t>
  </si>
  <si>
    <t>Bisbee, AZ</t>
  </si>
  <si>
    <t>Franklin Park, NJ</t>
  </si>
  <si>
    <t>Goodrich, MI</t>
  </si>
  <si>
    <t>Northumberland, PA</t>
  </si>
  <si>
    <t>Island Lake, IL</t>
  </si>
  <si>
    <t>Brush, CO</t>
  </si>
  <si>
    <t>Kingsley, MI</t>
  </si>
  <si>
    <t>Bay Wood, NY</t>
  </si>
  <si>
    <t>Bealeton, VA</t>
  </si>
  <si>
    <t>Fairfield, NJ</t>
  </si>
  <si>
    <t>Sardis, MS</t>
  </si>
  <si>
    <t>Williamson, NY</t>
  </si>
  <si>
    <t>Ellenboro, NC</t>
  </si>
  <si>
    <t>French Camp, CA</t>
  </si>
  <si>
    <t>Pageland, SC</t>
  </si>
  <si>
    <t>Montrose, VA</t>
  </si>
  <si>
    <t>Dunellen, NJ</t>
  </si>
  <si>
    <t>Vacherie, LA</t>
  </si>
  <si>
    <t>Kimberly, ID</t>
  </si>
  <si>
    <t>East Jordan, MI</t>
  </si>
  <si>
    <t>Mount Pleasant, NC</t>
  </si>
  <si>
    <t>Gilford, NH</t>
  </si>
  <si>
    <t>Chandler, OK</t>
  </si>
  <si>
    <t>Midland Park, NJ</t>
  </si>
  <si>
    <t>Haddon Heights, NJ</t>
  </si>
  <si>
    <t>Albertville, MN</t>
  </si>
  <si>
    <t>Belle Fourche, SD</t>
  </si>
  <si>
    <t>Dover, TN</t>
  </si>
  <si>
    <t>Fort Mitchell, AL</t>
  </si>
  <si>
    <t>Lancaster, MA</t>
  </si>
  <si>
    <t>St Johnsbury, VT</t>
  </si>
  <si>
    <t>Lake Geneva, WI</t>
  </si>
  <si>
    <t>Bethpage, TN</t>
  </si>
  <si>
    <t>Rembert, SC</t>
  </si>
  <si>
    <t>Durham, CT</t>
  </si>
  <si>
    <t>Homer City, PA</t>
  </si>
  <si>
    <t>Mount Wolf, PA</t>
  </si>
  <si>
    <t>Waverly, TN</t>
  </si>
  <si>
    <t>Lebanon, CT</t>
  </si>
  <si>
    <t>Old Fort, NC</t>
  </si>
  <si>
    <t>Cave City, KY</t>
  </si>
  <si>
    <t>Ravensdale, WA</t>
  </si>
  <si>
    <t>Wakeman, OH</t>
  </si>
  <si>
    <t>Gwinn, MI</t>
  </si>
  <si>
    <t>Trumansburg, NY</t>
  </si>
  <si>
    <t>East Rochester, NY</t>
  </si>
  <si>
    <t>Averill Park, NY</t>
  </si>
  <si>
    <t>Swanzey, NH</t>
  </si>
  <si>
    <t>Gages Lake, IL</t>
  </si>
  <si>
    <t>West Bridgewater, MA</t>
  </si>
  <si>
    <t>Florence, OR</t>
  </si>
  <si>
    <t>Greenback, TN</t>
  </si>
  <si>
    <t>Reed City, MI</t>
  </si>
  <si>
    <t>Clyde, TX</t>
  </si>
  <si>
    <t>Brewerton, NY</t>
  </si>
  <si>
    <t>Palmyra, NJ</t>
  </si>
  <si>
    <t>Great Mills, MD</t>
  </si>
  <si>
    <t>Talent, OR</t>
  </si>
  <si>
    <t>Clayton, NJ</t>
  </si>
  <si>
    <t>Kenwood, OH</t>
  </si>
  <si>
    <t>Rock, WI</t>
  </si>
  <si>
    <t>Bloomingdale, NJ</t>
  </si>
  <si>
    <t>Belvidere, NJ</t>
  </si>
  <si>
    <t>Grandview, TX</t>
  </si>
  <si>
    <t>Baxter, TN</t>
  </si>
  <si>
    <t>Annandale, MN</t>
  </si>
  <si>
    <t>Gilberts, IL</t>
  </si>
  <si>
    <t>Walled Lake, MI</t>
  </si>
  <si>
    <t>Strafford, MO</t>
  </si>
  <si>
    <t>Independence, OH</t>
  </si>
  <si>
    <t>Hancock, MI</t>
  </si>
  <si>
    <t>Greenwood, MO</t>
  </si>
  <si>
    <t>Southside, AL</t>
  </si>
  <si>
    <t>Stony Point, NC</t>
  </si>
  <si>
    <t>Ellenville, NY</t>
  </si>
  <si>
    <t>Shepherd, MI</t>
  </si>
  <si>
    <t>Oelwein, IA</t>
  </si>
  <si>
    <t>West Newton, PA</t>
  </si>
  <si>
    <t>Lovettsville, VA</t>
  </si>
  <si>
    <t>White Bluff, TN</t>
  </si>
  <si>
    <t>Devon, PA</t>
  </si>
  <si>
    <t>Kalama, WA</t>
  </si>
  <si>
    <t>Mount Vernon, KY</t>
  </si>
  <si>
    <t>Metter, GA</t>
  </si>
  <si>
    <t>East Hills, NY</t>
  </si>
  <si>
    <t>Reidsville, GA</t>
  </si>
  <si>
    <t>Dilley, TX</t>
  </si>
  <si>
    <t>Medina, MN</t>
  </si>
  <si>
    <t>Pottsboro, TX</t>
  </si>
  <si>
    <t>Stow, MA</t>
  </si>
  <si>
    <t>Vanceboro, NC</t>
  </si>
  <si>
    <t>Brodhead, WI</t>
  </si>
  <si>
    <t>Blanchard, OK</t>
  </si>
  <si>
    <t>Chilton, WI</t>
  </si>
  <si>
    <t>Demorest, GA</t>
  </si>
  <si>
    <t>Morton, PA</t>
  </si>
  <si>
    <t>Oreland, PA</t>
  </si>
  <si>
    <t>Wyncote, PA</t>
  </si>
  <si>
    <t>Cle Elum, WA</t>
  </si>
  <si>
    <t>Filer, ID</t>
  </si>
  <si>
    <t>Whiteville, TN</t>
  </si>
  <si>
    <t>Green Brook Township, NJ</t>
  </si>
  <si>
    <t>Mantua, NJ</t>
  </si>
  <si>
    <t>Kingston Springs, TN</t>
  </si>
  <si>
    <t>Port Saint Joe, FL</t>
  </si>
  <si>
    <t>Ocean View, DE</t>
  </si>
  <si>
    <t>Ronan, MT</t>
  </si>
  <si>
    <t>East Palestine, OH</t>
  </si>
  <si>
    <t>Magnolia, MS</t>
  </si>
  <si>
    <t>Teague, TX</t>
  </si>
  <si>
    <t>Fort Plain, NY</t>
  </si>
  <si>
    <t>West Jefferson, OH</t>
  </si>
  <si>
    <t>Newbury, MA</t>
  </si>
  <si>
    <t>Buffalo, WY</t>
  </si>
  <si>
    <t>Pleasant Hill, MO</t>
  </si>
  <si>
    <t>Wellsville, UT</t>
  </si>
  <si>
    <t>Slingerlands, NY</t>
  </si>
  <si>
    <t>Hardinsburg, KY</t>
  </si>
  <si>
    <t>Robbins, NC</t>
  </si>
  <si>
    <t>Leesport, PA</t>
  </si>
  <si>
    <t>Elkhorn, WI</t>
  </si>
  <si>
    <t>Richland, MO</t>
  </si>
  <si>
    <t>Malden, MO</t>
  </si>
  <si>
    <t>Hughesville, MD</t>
  </si>
  <si>
    <t>Mahanoy City, PA</t>
  </si>
  <si>
    <t>Roanoke, IN</t>
  </si>
  <si>
    <t>Raton, NM</t>
  </si>
  <si>
    <t>Hiawassee, GA</t>
  </si>
  <si>
    <t>Wynantskill, NY</t>
  </si>
  <si>
    <t>Woodford, VA</t>
  </si>
  <si>
    <t>Citra, FL</t>
  </si>
  <si>
    <t>East Alton, IL</t>
  </si>
  <si>
    <t>Springfield, WI</t>
  </si>
  <si>
    <t>Pinson, AL</t>
  </si>
  <si>
    <t>Clayton, GA</t>
  </si>
  <si>
    <t>Kenedy, TX</t>
  </si>
  <si>
    <t>Tucumcari, NM</t>
  </si>
  <si>
    <t>The Village of Indian Hill, OH</t>
  </si>
  <si>
    <t>Algona, IA</t>
  </si>
  <si>
    <t>Scott City, MO</t>
  </si>
  <si>
    <t>Sauk Village, IL</t>
  </si>
  <si>
    <t>Riverdale, CA</t>
  </si>
  <si>
    <t>Saint Leonard, MD</t>
  </si>
  <si>
    <t>Marriottsville, MD</t>
  </si>
  <si>
    <t>Paintsville, KY</t>
  </si>
  <si>
    <t>Bluffton, OH</t>
  </si>
  <si>
    <t>Simpsonville, KY</t>
  </si>
  <si>
    <t>Eureka, IL</t>
  </si>
  <si>
    <t>Osceola, IA</t>
  </si>
  <si>
    <t>Conley, GA</t>
  </si>
  <si>
    <t>Ralston, NE</t>
  </si>
  <si>
    <t>Orangeburg, NY</t>
  </si>
  <si>
    <t>Rice, MN</t>
  </si>
  <si>
    <t>Worland, WY</t>
  </si>
  <si>
    <t>Gladstone, MI</t>
  </si>
  <si>
    <t>Bee Cave, TX</t>
  </si>
  <si>
    <t>Alva, FL</t>
  </si>
  <si>
    <t>Lorena, TX</t>
  </si>
  <si>
    <t>Fowler, CA</t>
  </si>
  <si>
    <t>Woodlawn, MD</t>
  </si>
  <si>
    <t>Bad Axe, MI</t>
  </si>
  <si>
    <t>Glenwood, IL</t>
  </si>
  <si>
    <t>Carroll, OH</t>
  </si>
  <si>
    <t>Granville, NY</t>
  </si>
  <si>
    <t>Lexington, MS</t>
  </si>
  <si>
    <t>Sophia, NC</t>
  </si>
  <si>
    <t>Saint Paul, VA</t>
  </si>
  <si>
    <t>Acampo, CA</t>
  </si>
  <si>
    <t>Phil Campbell, AL</t>
  </si>
  <si>
    <t>Effort, PA</t>
  </si>
  <si>
    <t>Aylett, VA</t>
  </si>
  <si>
    <t>Loogootee, IN</t>
  </si>
  <si>
    <t>Krum, TX</t>
  </si>
  <si>
    <t>Collegedale, TN</t>
  </si>
  <si>
    <t>Halfway, MD</t>
  </si>
  <si>
    <t>Altoona, AL</t>
  </si>
  <si>
    <t>Stratford, NJ</t>
  </si>
  <si>
    <t>Macon, MO</t>
  </si>
  <si>
    <t>Ignacio, CO</t>
  </si>
  <si>
    <t>Parma, ID</t>
  </si>
  <si>
    <t>Lago Vista, TX</t>
  </si>
  <si>
    <t>Altoona, WI</t>
  </si>
  <si>
    <t>Winona, MS</t>
  </si>
  <si>
    <t>Carrizo Springs, TX</t>
  </si>
  <si>
    <t>Edmonton, KY</t>
  </si>
  <si>
    <t>Hyde Park, UT</t>
  </si>
  <si>
    <t>Millburn, NJ</t>
  </si>
  <si>
    <t>Sound Beach, NY</t>
  </si>
  <si>
    <t>Winooski, VT</t>
  </si>
  <si>
    <t>Turtle Creek, PA</t>
  </si>
  <si>
    <t>Sheffield Lake, OH</t>
  </si>
  <si>
    <t>Silver Springs, FL</t>
  </si>
  <si>
    <t>Farmington, NH</t>
  </si>
  <si>
    <t>Mayo, FL</t>
  </si>
  <si>
    <t>Chadbourn, NC</t>
  </si>
  <si>
    <t>Kirby, TX</t>
  </si>
  <si>
    <t>Newport, VT</t>
  </si>
  <si>
    <t>Cambridge Springs, PA</t>
  </si>
  <si>
    <t>Chadron, NE</t>
  </si>
  <si>
    <t>Maryville, IL</t>
  </si>
  <si>
    <t>South Glens Falls, NY</t>
  </si>
  <si>
    <t>Covington, OH</t>
  </si>
  <si>
    <t>Amherstdale, WV</t>
  </si>
  <si>
    <t>Rockville, IN</t>
  </si>
  <si>
    <t>Barnesville, OH</t>
  </si>
  <si>
    <t>Mountainside, NJ</t>
  </si>
  <si>
    <t>Monte Vista, CO</t>
  </si>
  <si>
    <t>Hiawatha, IA</t>
  </si>
  <si>
    <t>Florence, MT</t>
  </si>
  <si>
    <t>Great Barrington, MA</t>
  </si>
  <si>
    <t>Ironwood, MI</t>
  </si>
  <si>
    <t>Colbert, GA</t>
  </si>
  <si>
    <t>Baldwin City, KS</t>
  </si>
  <si>
    <t>Kentfield, CA</t>
  </si>
  <si>
    <t>Paoli, PA</t>
  </si>
  <si>
    <t>Pinckneyville, IL</t>
  </si>
  <si>
    <t>Archbold, OH</t>
  </si>
  <si>
    <t>Gretna, VA</t>
  </si>
  <si>
    <t>Blanco, TX</t>
  </si>
  <si>
    <t>New Carlisle, IN</t>
  </si>
  <si>
    <t>Raymond, WA</t>
  </si>
  <si>
    <t>Whitsett, NC</t>
  </si>
  <si>
    <t>Rineyville, KY</t>
  </si>
  <si>
    <t>Piney Flats, TN</t>
  </si>
  <si>
    <t>Laingsburg, MI</t>
  </si>
  <si>
    <t>Marshall, IL</t>
  </si>
  <si>
    <t>Eden Isle, LA</t>
  </si>
  <si>
    <t>Two Harbors, MN</t>
  </si>
  <si>
    <t>Crescent City, FL</t>
  </si>
  <si>
    <t>Port Deposit, MD</t>
  </si>
  <si>
    <t>Oconto, WI</t>
  </si>
  <si>
    <t>White Salmon, WA</t>
  </si>
  <si>
    <t>Oceanport, NJ</t>
  </si>
  <si>
    <t>Gap, PA</t>
  </si>
  <si>
    <t>Danville, WV</t>
  </si>
  <si>
    <t>McFarland, WI</t>
  </si>
  <si>
    <t>Gooding, ID</t>
  </si>
  <si>
    <t>Waite Park, MN</t>
  </si>
  <si>
    <t>Bristol, WI</t>
  </si>
  <si>
    <t>Lagrange, OH</t>
  </si>
  <si>
    <t>Priest River, ID</t>
  </si>
  <si>
    <t>Ellsworth, WI</t>
  </si>
  <si>
    <t>Chesaning, MI</t>
  </si>
  <si>
    <t>New Waverly, TX</t>
  </si>
  <si>
    <t>Aumsville, OR</t>
  </si>
  <si>
    <t>Jefferson, OR</t>
  </si>
  <si>
    <t>Somerset, WI</t>
  </si>
  <si>
    <t>New Hartford, CT</t>
  </si>
  <si>
    <t>Peru, NY</t>
  </si>
  <si>
    <t>Centreville, AL</t>
  </si>
  <si>
    <t>Youngstown, FL</t>
  </si>
  <si>
    <t>Treasure Island, FL</t>
  </si>
  <si>
    <t>Larose, LA</t>
  </si>
  <si>
    <t>Eight Mile, AL</t>
  </si>
  <si>
    <t>Kirtland, OH</t>
  </si>
  <si>
    <t>Broad Brook, CT</t>
  </si>
  <si>
    <t>Atkinson, NH</t>
  </si>
  <si>
    <t>Pound, VA</t>
  </si>
  <si>
    <t>Villa Ridge, MO</t>
  </si>
  <si>
    <t>Newmanstown, PA</t>
  </si>
  <si>
    <t>Farr West, UT</t>
  </si>
  <si>
    <t>Greenville, RI</t>
  </si>
  <si>
    <t>Hillsboro, TX</t>
  </si>
  <si>
    <t>Delhi, LA</t>
  </si>
  <si>
    <t>Wellsville, OH</t>
  </si>
  <si>
    <t>Walnut Ridge, AR</t>
  </si>
  <si>
    <t>Stickney, IL</t>
  </si>
  <si>
    <t>Newport, PA</t>
  </si>
  <si>
    <t>Ivins, UT</t>
  </si>
  <si>
    <t>Freeland, PA</t>
  </si>
  <si>
    <t>Fate, TX</t>
  </si>
  <si>
    <t>Croswell, MI</t>
  </si>
  <si>
    <t>Garrison, MD</t>
  </si>
  <si>
    <t>Perry, MI</t>
  </si>
  <si>
    <t>Groveland, MA</t>
  </si>
  <si>
    <t>Baldwin, WI</t>
  </si>
  <si>
    <t>Pinehurst, TX</t>
  </si>
  <si>
    <t>Pikeville, TN</t>
  </si>
  <si>
    <t>Seven Springs, NC</t>
  </si>
  <si>
    <t>Montecito, CA</t>
  </si>
  <si>
    <t>Vernon, NJ</t>
  </si>
  <si>
    <t>Savoy, IL</t>
  </si>
  <si>
    <t>Cheltenham, PA</t>
  </si>
  <si>
    <t>Afton, OK</t>
  </si>
  <si>
    <t>Quinton, VA</t>
  </si>
  <si>
    <t>Bloomfield, IA</t>
  </si>
  <si>
    <t>Moundville, AL</t>
  </si>
  <si>
    <t>Roxborough Park, CO</t>
  </si>
  <si>
    <t>Dixon, MO</t>
  </si>
  <si>
    <t>Wautoma, WI</t>
  </si>
  <si>
    <t>Everman, TX</t>
  </si>
  <si>
    <t>Paradise, TX</t>
  </si>
  <si>
    <t>Calhoun, LA</t>
  </si>
  <si>
    <t>Hawthorn Woods, IL</t>
  </si>
  <si>
    <t>Palmyra, MO</t>
  </si>
  <si>
    <t>Terrebonne, OR</t>
  </si>
  <si>
    <t>Plymouth, NH</t>
  </si>
  <si>
    <t>Flagler Beach, FL</t>
  </si>
  <si>
    <t>Tremonton, UT</t>
  </si>
  <si>
    <t>Tabernacle Township, NJ</t>
  </si>
  <si>
    <t>Normandy Park, WA</t>
  </si>
  <si>
    <t>Topanga, CA</t>
  </si>
  <si>
    <t>Delmar, MD</t>
  </si>
  <si>
    <t>Pinconning, MI</t>
  </si>
  <si>
    <t>Albertson, NY</t>
  </si>
  <si>
    <t>Lauderdale-by-the-Sea, FL</t>
  </si>
  <si>
    <t>East Helena, MT</t>
  </si>
  <si>
    <t>Dayton, NJ</t>
  </si>
  <si>
    <t>Darien, GA</t>
  </si>
  <si>
    <t>Blackwell, OK</t>
  </si>
  <si>
    <t>Shelbyville, IL</t>
  </si>
  <si>
    <t>Flora, IL</t>
  </si>
  <si>
    <t>Wedgefield, FL</t>
  </si>
  <si>
    <t>Berkley, MA</t>
  </si>
  <si>
    <t>New Castle, CO</t>
  </si>
  <si>
    <t>Kermit, TX</t>
  </si>
  <si>
    <t>Burton, OH</t>
  </si>
  <si>
    <t>Marthasville, MO</t>
  </si>
  <si>
    <t>Cedar Hills, UT</t>
  </si>
  <si>
    <t>Brier, WA</t>
  </si>
  <si>
    <t>Peotone, IL</t>
  </si>
  <si>
    <t>Dalton, OH</t>
  </si>
  <si>
    <t>West Fork, AR</t>
  </si>
  <si>
    <t>Dunlap, IL</t>
  </si>
  <si>
    <t>Moriarty, NM</t>
  </si>
  <si>
    <t>Epping, NH</t>
  </si>
  <si>
    <t>Interlochen, MI</t>
  </si>
  <si>
    <t>Okanogan, WA</t>
  </si>
  <si>
    <t>Hull, GA</t>
  </si>
  <si>
    <t>Aurora, OR</t>
  </si>
  <si>
    <t>Twin Lakes, CO</t>
  </si>
  <si>
    <t>Gowanda, NY</t>
  </si>
  <si>
    <t>Rockland, ME</t>
  </si>
  <si>
    <t>Hartford, KY</t>
  </si>
  <si>
    <t>Emmitsburg, MD</t>
  </si>
  <si>
    <t>Meraux, LA</t>
  </si>
  <si>
    <t>Belfast, ME</t>
  </si>
  <si>
    <t>Mingo Junction, OH</t>
  </si>
  <si>
    <t>Allendale, NJ</t>
  </si>
  <si>
    <t>Springhill, LA</t>
  </si>
  <si>
    <t>New Roads, LA</t>
  </si>
  <si>
    <t>Geismar, LA</t>
  </si>
  <si>
    <t>Voorheesville, NY</t>
  </si>
  <si>
    <t>San Miguel, CA</t>
  </si>
  <si>
    <t>Pigeon Forge, TN</t>
  </si>
  <si>
    <t>Tarboro, NC</t>
  </si>
  <si>
    <t>Fort Wright, KY</t>
  </si>
  <si>
    <t>Mayer, AZ</t>
  </si>
  <si>
    <t>Vail, AZ</t>
  </si>
  <si>
    <t>Thousand Palms, CA</t>
  </si>
  <si>
    <t>Ely, NV</t>
  </si>
  <si>
    <t>Clearwater, KS</t>
  </si>
  <si>
    <t>Coxs Creek, KY</t>
  </si>
  <si>
    <t>Manchester, PA</t>
  </si>
  <si>
    <t>Clifton Forge, VA</t>
  </si>
  <si>
    <t>Mondovi, WI</t>
  </si>
  <si>
    <t>Jackson, LA</t>
  </si>
  <si>
    <t>Ashburn, GA</t>
  </si>
  <si>
    <t>Exeter, RI</t>
  </si>
  <si>
    <t>Cedar Hill, MO</t>
  </si>
  <si>
    <t>Pocomoke City, MD</t>
  </si>
  <si>
    <t>Mount Gilead, NC</t>
  </si>
  <si>
    <t>Cicero, IN</t>
  </si>
  <si>
    <t>Spring Lake Park, MN</t>
  </si>
  <si>
    <t>Yellville, AR</t>
  </si>
  <si>
    <t>Lineville, AL</t>
  </si>
  <si>
    <t>Topsfield, MA</t>
  </si>
  <si>
    <t>Hartford, MI</t>
  </si>
  <si>
    <t>Browning, MT</t>
  </si>
  <si>
    <t>Blairstown Township, NJ</t>
  </si>
  <si>
    <t>Waialua, HI</t>
  </si>
  <si>
    <t>Clinton, MO</t>
  </si>
  <si>
    <t>Moraine, OH</t>
  </si>
  <si>
    <t>Dunkirk, MD</t>
  </si>
  <si>
    <t>Clinton, AR</t>
  </si>
  <si>
    <t>Elverson, PA</t>
  </si>
  <si>
    <t>Cherry Hills Village, CO</t>
  </si>
  <si>
    <t>Rock Spring, GA</t>
  </si>
  <si>
    <t>Monett, MO</t>
  </si>
  <si>
    <t>New Hudson, MI</t>
  </si>
  <si>
    <t>Garden Home-Whitford, OR</t>
  </si>
  <si>
    <t>Carlisle, IA</t>
  </si>
  <si>
    <t>Kane, PA</t>
  </si>
  <si>
    <t>Cowpens, SC</t>
  </si>
  <si>
    <t>Sparta, NC</t>
  </si>
  <si>
    <t>Collinsville, VA</t>
  </si>
  <si>
    <t>Purchase, NY</t>
  </si>
  <si>
    <t>Leonard, MI</t>
  </si>
  <si>
    <t>Merrimac, MA</t>
  </si>
  <si>
    <t>Woodfin, NC</t>
  </si>
  <si>
    <t>Albion, PA</t>
  </si>
  <si>
    <t>Covedale, OH</t>
  </si>
  <si>
    <t>Lemoyne, PA</t>
  </si>
  <si>
    <t>Wayne, WV</t>
  </si>
  <si>
    <t>Kirtland, NM</t>
  </si>
  <si>
    <t>Smiths Grove, KY</t>
  </si>
  <si>
    <t>Yacolt, WA</t>
  </si>
  <si>
    <t>Colby, KS</t>
  </si>
  <si>
    <t>Ludowici, GA</t>
  </si>
  <si>
    <t>Licking, MO</t>
  </si>
  <si>
    <t>Hoosick Falls, NY</t>
  </si>
  <si>
    <t>Piedmont, MO</t>
  </si>
  <si>
    <t>Brookland, AR</t>
  </si>
  <si>
    <t>Jarrettsville, MD</t>
  </si>
  <si>
    <t>Lansing, KS</t>
  </si>
  <si>
    <t>Dalton, MA</t>
  </si>
  <si>
    <t>Saint Maries, ID</t>
  </si>
  <si>
    <t>Lebanon, VA</t>
  </si>
  <si>
    <t>Castleton-on-Hudson, NY</t>
  </si>
  <si>
    <t>Calipatria, CA</t>
  </si>
  <si>
    <t>Essex, CT</t>
  </si>
  <si>
    <t>Peterborough, NH</t>
  </si>
  <si>
    <t>Goliad, TX</t>
  </si>
  <si>
    <t>Camden, NY</t>
  </si>
  <si>
    <t>Shickshinny, PA</t>
  </si>
  <si>
    <t>Caruthersville, MO</t>
  </si>
  <si>
    <t>Saint Rose, LA</t>
  </si>
  <si>
    <t>Galena, IL</t>
  </si>
  <si>
    <t>Littlefield, TX</t>
  </si>
  <si>
    <t>Ben Lomond, CA</t>
  </si>
  <si>
    <t>Columbiaville, MI</t>
  </si>
  <si>
    <t>Science Hill, KY</t>
  </si>
  <si>
    <t>Eliot, ME</t>
  </si>
  <si>
    <t>Macon, MS</t>
  </si>
  <si>
    <t>Bimble, KY</t>
  </si>
  <si>
    <t>Willard, MO</t>
  </si>
  <si>
    <t>Wadena, MN</t>
  </si>
  <si>
    <t>Northgate, OH</t>
  </si>
  <si>
    <t>Belle Haven, VA</t>
  </si>
  <si>
    <t>Carlstadt, NJ</t>
  </si>
  <si>
    <t>Hinton, WV</t>
  </si>
  <si>
    <t>Zelienople, PA</t>
  </si>
  <si>
    <t>Donalsonville, GA</t>
  </si>
  <si>
    <t>Prairie du Sac, WI</t>
  </si>
  <si>
    <t>Wading River, NY</t>
  </si>
  <si>
    <t>Hamptonville, NC</t>
  </si>
  <si>
    <t>Crewe, VA</t>
  </si>
  <si>
    <t>Humboldt, IA</t>
  </si>
  <si>
    <t>Evans City, PA</t>
  </si>
  <si>
    <t>Eagle Mountain, TX</t>
  </si>
  <si>
    <t>Prospect Park, PA</t>
  </si>
  <si>
    <t>Spring Valley, IL</t>
  </si>
  <si>
    <t>Columbus, NC</t>
  </si>
  <si>
    <t>Fairfield, ME</t>
  </si>
  <si>
    <t>Hughesville, PA</t>
  </si>
  <si>
    <t>Calverton, NY</t>
  </si>
  <si>
    <t>Stockton, MO</t>
  </si>
  <si>
    <t>South Highpoint, FL</t>
  </si>
  <si>
    <t>Galivants Ferry, SC</t>
  </si>
  <si>
    <t>Evergreen, AL</t>
  </si>
  <si>
    <t>Port Matilda, PA</t>
  </si>
  <si>
    <t>Morgantown, IN</t>
  </si>
  <si>
    <t>Orland Hills, IL</t>
  </si>
  <si>
    <t>Foresthill, CA</t>
  </si>
  <si>
    <t>Bellwood, VA</t>
  </si>
  <si>
    <t>Lake, MI</t>
  </si>
  <si>
    <t>Ossian, IN</t>
  </si>
  <si>
    <t>Fruitport, MI</t>
  </si>
  <si>
    <t>Freeville, NY</t>
  </si>
  <si>
    <t>Winfield, WV</t>
  </si>
  <si>
    <t>Jamestown, KY</t>
  </si>
  <si>
    <t>Dardanelle, AR</t>
  </si>
  <si>
    <t>Cove, TX</t>
  </si>
  <si>
    <t>Woodbine, GA</t>
  </si>
  <si>
    <t>Johnsburg, IL</t>
  </si>
  <si>
    <t>Swanton, VT</t>
  </si>
  <si>
    <t>Salem, WV</t>
  </si>
  <si>
    <t>Latta, SC</t>
  </si>
  <si>
    <t>Glade Spring, VA</t>
  </si>
  <si>
    <t>Nottingham, PA</t>
  </si>
  <si>
    <t>Gunplain, MI</t>
  </si>
  <si>
    <t>Lockport, LA</t>
  </si>
  <si>
    <t>Wolcottville, IN</t>
  </si>
  <si>
    <t>North Caldwell, NJ</t>
  </si>
  <si>
    <t>Roeland Park, KS</t>
  </si>
  <si>
    <t>Heber, CA</t>
  </si>
  <si>
    <t>Cloverdale, IN</t>
  </si>
  <si>
    <t>Franklin, NJ</t>
  </si>
  <si>
    <t>Black Jack, MO</t>
  </si>
  <si>
    <t>Williamstown, KY</t>
  </si>
  <si>
    <t>Crestline, OH</t>
  </si>
  <si>
    <t>Park City, KS</t>
  </si>
  <si>
    <t>Tunica, MS</t>
  </si>
  <si>
    <t>Blackstone, VA</t>
  </si>
  <si>
    <t>Cutler, CA</t>
  </si>
  <si>
    <t>Freeburg, IL</t>
  </si>
  <si>
    <t>Hyrum, UT</t>
  </si>
  <si>
    <t>Patterson, LA</t>
  </si>
  <si>
    <t>Adamsville, TN</t>
  </si>
  <si>
    <t>Hartford, AL</t>
  </si>
  <si>
    <t>Lewisberry, PA</t>
  </si>
  <si>
    <t>Unionville, NC</t>
  </si>
  <si>
    <t>Charlotte, TN</t>
  </si>
  <si>
    <t>Lula, GA</t>
  </si>
  <si>
    <t>Atascosa, TX</t>
  </si>
  <si>
    <t>Spooner, WI</t>
  </si>
  <si>
    <t>Guadalupe, AZ</t>
  </si>
  <si>
    <t>Oakmont, PA</t>
  </si>
  <si>
    <t>Perham, MN</t>
  </si>
  <si>
    <t>Winamac, IN</t>
  </si>
  <si>
    <t>Pink Hill, NC</t>
  </si>
  <si>
    <t>Robinwood, MD</t>
  </si>
  <si>
    <t>Attica, IN</t>
  </si>
  <si>
    <t>Mansfield, PA</t>
  </si>
  <si>
    <t>Ocilla, GA</t>
  </si>
  <si>
    <t>Windsor, VA</t>
  </si>
  <si>
    <t>Red Bud, IL</t>
  </si>
  <si>
    <t>Palmview, TX</t>
  </si>
  <si>
    <t>West Point, GA</t>
  </si>
  <si>
    <t>Darnestown, MD</t>
  </si>
  <si>
    <t>Myakka City, FL</t>
  </si>
  <si>
    <t>Silvis, IL</t>
  </si>
  <si>
    <t>Peshtigo, WI</t>
  </si>
  <si>
    <t>Fruitland, ID</t>
  </si>
  <si>
    <t>Austin, IN</t>
  </si>
  <si>
    <t>Saranac Lake, NY</t>
  </si>
  <si>
    <t>Blountstown, FL</t>
  </si>
  <si>
    <t>Hapeville, GA</t>
  </si>
  <si>
    <t>Norwood Young America, MN</t>
  </si>
  <si>
    <t>Greenwich, NY</t>
  </si>
  <si>
    <t>Welsh, LA</t>
  </si>
  <si>
    <t>Warsaw, VA</t>
  </si>
  <si>
    <t>Limestone, TN</t>
  </si>
  <si>
    <t>Ferris, TX</t>
  </si>
  <si>
    <t>Carolina Beach, NC</t>
  </si>
  <si>
    <t>Leakesville, MS</t>
  </si>
  <si>
    <t>Jacksboro, TX</t>
  </si>
  <si>
    <t>Post, TX</t>
  </si>
  <si>
    <t>Bridge City, TX</t>
  </si>
  <si>
    <t>Sheridan, CO</t>
  </si>
  <si>
    <t>Monahans, TX</t>
  </si>
  <si>
    <t>Genoa, IL</t>
  </si>
  <si>
    <t>Tortolita, AZ</t>
  </si>
  <si>
    <t>Oak Grove, SC</t>
  </si>
  <si>
    <t>Pittsboro, IN</t>
  </si>
  <si>
    <t>Midway Park, NC</t>
  </si>
  <si>
    <t>Gainesboro, TN</t>
  </si>
  <si>
    <t>Denver City, TX</t>
  </si>
  <si>
    <t>Etowah, TN</t>
  </si>
  <si>
    <t>Pulaski, NY</t>
  </si>
  <si>
    <t>Cut Bank, MT</t>
  </si>
  <si>
    <t>Tuckahoe, NY</t>
  </si>
  <si>
    <t>Houghton Lake, MI</t>
  </si>
  <si>
    <t>Clatskanie, OR</t>
  </si>
  <si>
    <t>Jefferson, MD</t>
  </si>
  <si>
    <t>Calvert City, KY</t>
  </si>
  <si>
    <t>Windsor, NY</t>
  </si>
  <si>
    <t>Bogue Chitto, MS</t>
  </si>
  <si>
    <t>Lanexa, VA</t>
  </si>
  <si>
    <t>Belcamp, MD</t>
  </si>
  <si>
    <t>Carthage, TN</t>
  </si>
  <si>
    <t>Abbeville, AL</t>
  </si>
  <si>
    <t>El Dorado Springs, MO</t>
  </si>
  <si>
    <t>Raisin, MI</t>
  </si>
  <si>
    <t>Monticello, IA</t>
  </si>
  <si>
    <t>Willow Springs, IL</t>
  </si>
  <si>
    <t>Strathmore, CA</t>
  </si>
  <si>
    <t>Lake Isabella, CA</t>
  </si>
  <si>
    <t>College Grove, TN</t>
  </si>
  <si>
    <t>Lakeland, GA</t>
  </si>
  <si>
    <t>Wayne, NE</t>
  </si>
  <si>
    <t>Jacksonville, OR</t>
  </si>
  <si>
    <t>Shamong Township, NJ</t>
  </si>
  <si>
    <t>Cochranville, PA</t>
  </si>
  <si>
    <t>Killingworth, CT</t>
  </si>
  <si>
    <t>Meredith, NH</t>
  </si>
  <si>
    <t>Pleasant Garden, NC</t>
  </si>
  <si>
    <t>Sandown, NH</t>
  </si>
  <si>
    <t>Harrisville, UT</t>
  </si>
  <si>
    <t>Roebuck, SC</t>
  </si>
  <si>
    <t>South Salem, NY</t>
  </si>
  <si>
    <t>Sayre, OK</t>
  </si>
  <si>
    <t>Breese, IL</t>
  </si>
  <si>
    <t>Pennington Gap, VA</t>
  </si>
  <si>
    <t>Newport, NH</t>
  </si>
  <si>
    <t>Colfax, WI</t>
  </si>
  <si>
    <t>Nine Mile Falls, WA</t>
  </si>
  <si>
    <t>Marlborough, CT</t>
  </si>
  <si>
    <t>Boyd, TX</t>
  </si>
  <si>
    <t>Star, ID</t>
  </si>
  <si>
    <t>Hampstead, NH</t>
  </si>
  <si>
    <t>Grifton, NC</t>
  </si>
  <si>
    <t>Marietta, PA</t>
  </si>
  <si>
    <t>Gold Hill, OR</t>
  </si>
  <si>
    <t>Lawtey, FL</t>
  </si>
  <si>
    <t>Cohasset, MA</t>
  </si>
  <si>
    <t>Wilmore, KY</t>
  </si>
  <si>
    <t>Farmingdale, NJ</t>
  </si>
  <si>
    <t>Pen Argyl, PA</t>
  </si>
  <si>
    <t>Rockport, IN</t>
  </si>
  <si>
    <t>Haleiwa, HI</t>
  </si>
  <si>
    <t>Montague, MI</t>
  </si>
  <si>
    <t>Sappington, MO</t>
  </si>
  <si>
    <t>Moores Mill, AL</t>
  </si>
  <si>
    <t>Wind Gap, PA</t>
  </si>
  <si>
    <t>Shenandoah, PA</t>
  </si>
  <si>
    <t>Johnsonville, SC</t>
  </si>
  <si>
    <t>Seneca, MO</t>
  </si>
  <si>
    <t>Mattapoisett, MA</t>
  </si>
  <si>
    <t>Moody, TX</t>
  </si>
  <si>
    <t>Saint Joseph, IL</t>
  </si>
  <si>
    <t>Winsted, CT</t>
  </si>
  <si>
    <t>Federalsburg, MD</t>
  </si>
  <si>
    <t>Hodges, SC</t>
  </si>
  <si>
    <t>Sardinia, OH</t>
  </si>
  <si>
    <t>Wolfeboro, NH</t>
  </si>
  <si>
    <t>White Sulphur Springs, WV</t>
  </si>
  <si>
    <t>Natalia, TX</t>
  </si>
  <si>
    <t>Richwood, OH</t>
  </si>
  <si>
    <t>Waverly, VA</t>
  </si>
  <si>
    <t>Lake Placid, NY</t>
  </si>
  <si>
    <t>Avon, CO</t>
  </si>
  <si>
    <t>Huron, CA</t>
  </si>
  <si>
    <t>Gravette, AR</t>
  </si>
  <si>
    <t>Pollok, TX</t>
  </si>
  <si>
    <t>Saint Charles, MI</t>
  </si>
  <si>
    <t>San Augustine, TX</t>
  </si>
  <si>
    <t>Sherrills Ford, NC</t>
  </si>
  <si>
    <t>Kewaunee, WI</t>
  </si>
  <si>
    <t>West Harrison, IN</t>
  </si>
  <si>
    <t>Vonore, TN</t>
  </si>
  <si>
    <t>Fircrest, WA</t>
  </si>
  <si>
    <t>Big Sandy, TX</t>
  </si>
  <si>
    <t>Round Hill, VA</t>
  </si>
  <si>
    <t>Munford, AL</t>
  </si>
  <si>
    <t>Concordia, KS</t>
  </si>
  <si>
    <t>Fishersville, VA</t>
  </si>
  <si>
    <t>Oak View, CA</t>
  </si>
  <si>
    <t>Schriever, LA</t>
  </si>
  <si>
    <t>Mc Donald, TN</t>
  </si>
  <si>
    <t>Almont, MI</t>
  </si>
  <si>
    <t>Bloomfield, NY</t>
  </si>
  <si>
    <t>Calumet, MI</t>
  </si>
  <si>
    <t>Chisago City, MN</t>
  </si>
  <si>
    <t>Osprey, FL</t>
  </si>
  <si>
    <t>Martinsburg, PA</t>
  </si>
  <si>
    <t>Breaux Bridge, LA</t>
  </si>
  <si>
    <t>Ashburnham, MA</t>
  </si>
  <si>
    <t>Shrewsbury, MO</t>
  </si>
  <si>
    <t>Collinsville, MS</t>
  </si>
  <si>
    <t>Bald Knob, AR</t>
  </si>
  <si>
    <t>Osage Beach, MO</t>
  </si>
  <si>
    <t>Williamson, GA</t>
  </si>
  <si>
    <t>Bargersville, IN</t>
  </si>
  <si>
    <t>Oakland, ME</t>
  </si>
  <si>
    <t>Huachuca City, AZ</t>
  </si>
  <si>
    <t>Brooksville, KY</t>
  </si>
  <si>
    <t>Pepper Pike, OH</t>
  </si>
  <si>
    <t>Tea, SD</t>
  </si>
  <si>
    <t>Avon, MN</t>
  </si>
  <si>
    <t>Sloughhouse, CA</t>
  </si>
  <si>
    <t>South Weber, UT</t>
  </si>
  <si>
    <t>Mount Airy, GA</t>
  </si>
  <si>
    <t>Neillsville, WI</t>
  </si>
  <si>
    <t>North Bend, OH</t>
  </si>
  <si>
    <t>Kingston, NH</t>
  </si>
  <si>
    <t>Williamstown, WV</t>
  </si>
  <si>
    <t>Lincroft, NJ</t>
  </si>
  <si>
    <t>North Chili, NY</t>
  </si>
  <si>
    <t>Clayton, IN</t>
  </si>
  <si>
    <t>Milan, IL</t>
  </si>
  <si>
    <t>Ithaca, MI</t>
  </si>
  <si>
    <t>Stockport, OH</t>
  </si>
  <si>
    <t>Coal Valley, IL</t>
  </si>
  <si>
    <t>Fulton, MD</t>
  </si>
  <si>
    <t>Heath, TX</t>
  </si>
  <si>
    <t>Le Sueur, MN</t>
  </si>
  <si>
    <t>Archbald, PA</t>
  </si>
  <si>
    <t>University Park, IL</t>
  </si>
  <si>
    <t>Osceola, WI</t>
  </si>
  <si>
    <t>Pleasant Grove, CA</t>
  </si>
  <si>
    <t>Dell Rapids, SD</t>
  </si>
  <si>
    <t>Bryans Road, MD</t>
  </si>
  <si>
    <t>Butner, NC</t>
  </si>
  <si>
    <t>Trooper, PA</t>
  </si>
  <si>
    <t>Stockbridge, MI</t>
  </si>
  <si>
    <t>Bell Buckle, TN</t>
  </si>
  <si>
    <t>Hicksville, OH</t>
  </si>
  <si>
    <t>West Greenwich, RI</t>
  </si>
  <si>
    <t>Gillsville, GA</t>
  </si>
  <si>
    <t>Comstock Northwest, MI</t>
  </si>
  <si>
    <t>Mojave, CA</t>
  </si>
  <si>
    <t>Dawson Springs, KY</t>
  </si>
  <si>
    <t>Orwigsburg, PA</t>
  </si>
  <si>
    <t>Whitewright, TX</t>
  </si>
  <si>
    <t>Corrigan, TX</t>
  </si>
  <si>
    <t>Tappahannock, VA</t>
  </si>
  <si>
    <t>Buchanan, GA</t>
  </si>
  <si>
    <t>Kimberly, WI</t>
  </si>
  <si>
    <t>White Pigeon, MI</t>
  </si>
  <si>
    <t>Saint George, SC</t>
  </si>
  <si>
    <t>Clear Lake, MN</t>
  </si>
  <si>
    <t>Ohatchee, AL</t>
  </si>
  <si>
    <t>Barboursville, VA</t>
  </si>
  <si>
    <t>Sparta, IL</t>
  </si>
  <si>
    <t>Weirsdale, FL</t>
  </si>
  <si>
    <t>New Wilmington, PA</t>
  </si>
  <si>
    <t>Trion, GA</t>
  </si>
  <si>
    <t>Cedaredge, CO</t>
  </si>
  <si>
    <t>Countryside, IL</t>
  </si>
  <si>
    <t>Frankfort, OH</t>
  </si>
  <si>
    <t>Halifax, VA</t>
  </si>
  <si>
    <t>Windham, CT</t>
  </si>
  <si>
    <t>Pawhuska, OK</t>
  </si>
  <si>
    <t>Stewartsville, NJ</t>
  </si>
  <si>
    <t>Carmichaels, PA</t>
  </si>
  <si>
    <t>Meyersdale, PA</t>
  </si>
  <si>
    <t>Thatcher, AZ</t>
  </si>
  <si>
    <t>Leslie, MI</t>
  </si>
  <si>
    <t>Fox Point, WI</t>
  </si>
  <si>
    <t>Hamilton, NY</t>
  </si>
  <si>
    <t>Satsuma, AL</t>
  </si>
  <si>
    <t>Violet, LA</t>
  </si>
  <si>
    <t>Scottsville, NY</t>
  </si>
  <si>
    <t>Houtzdale, PA</t>
  </si>
  <si>
    <t>Pacific, WA</t>
  </si>
  <si>
    <t>Tappan, NY</t>
  </si>
  <si>
    <t>Felton, PA</t>
  </si>
  <si>
    <t>Beacon Falls, CT</t>
  </si>
  <si>
    <t>Aurora, NE</t>
  </si>
  <si>
    <t>Fair Oaks Ranch, TX</t>
  </si>
  <si>
    <t>Granby, MA</t>
  </si>
  <si>
    <t>Marysville, PA</t>
  </si>
  <si>
    <t>Locust Valley, NY</t>
  </si>
  <si>
    <t>Saint Paris, OH</t>
  </si>
  <si>
    <t>Coldwater, OH</t>
  </si>
  <si>
    <t>Medina, TN</t>
  </si>
  <si>
    <t>Ely, MN</t>
  </si>
  <si>
    <t>East Bernstadt, KY</t>
  </si>
  <si>
    <t>Bloomingburg, NY</t>
  </si>
  <si>
    <t>Plymouth, NC</t>
  </si>
  <si>
    <t>Califon, NJ</t>
  </si>
  <si>
    <t>Jonesville, MI</t>
  </si>
  <si>
    <t>Northfield, VT</t>
  </si>
  <si>
    <t>Mount Vernon, IA</t>
  </si>
  <si>
    <t>Forks, WA</t>
  </si>
  <si>
    <t>Orofino, ID</t>
  </si>
  <si>
    <t>Knob Noster, MO</t>
  </si>
  <si>
    <t>Farmington, AR</t>
  </si>
  <si>
    <t>Summerton, SC</t>
  </si>
  <si>
    <t>Tryon, NC</t>
  </si>
  <si>
    <t>Oyster Bay, NY</t>
  </si>
  <si>
    <t>Max Meadows, VA</t>
  </si>
  <si>
    <t>Rochester, IL</t>
  </si>
  <si>
    <t>Huntington Woods, MI</t>
  </si>
  <si>
    <t>Sagle, ID</t>
  </si>
  <si>
    <t>Owensville, MO</t>
  </si>
  <si>
    <t>Watchung, NJ</t>
  </si>
  <si>
    <t>Okolona, MS</t>
  </si>
  <si>
    <t>Boyce, LA</t>
  </si>
  <si>
    <t>Mendon, MA</t>
  </si>
  <si>
    <t>Hainesville, IL</t>
  </si>
  <si>
    <t>Shallowater, TX</t>
  </si>
  <si>
    <t>Centre Hall, PA</t>
  </si>
  <si>
    <t>Liberty, IN</t>
  </si>
  <si>
    <t>Englewood, TN</t>
  </si>
  <si>
    <t>Portage Lakes, OH</t>
  </si>
  <si>
    <t>Williams, AZ</t>
  </si>
  <si>
    <t>Elm Grove, WI</t>
  </si>
  <si>
    <t>Deer Lodge, MT</t>
  </si>
  <si>
    <t>Clay, AL</t>
  </si>
  <si>
    <t>Platteville, CO</t>
  </si>
  <si>
    <t>Lake Odessa, MI</t>
  </si>
  <si>
    <t>South Williamsport, PA</t>
  </si>
  <si>
    <t>Eubank, KY</t>
  </si>
  <si>
    <t>Cresco, IA</t>
  </si>
  <si>
    <t>Atlantic Highlands, NJ</t>
  </si>
  <si>
    <t>Cisco, TX</t>
  </si>
  <si>
    <t>Mamou, LA</t>
  </si>
  <si>
    <t>Baker, FL</t>
  </si>
  <si>
    <t>Southampton, MA</t>
  </si>
  <si>
    <t>Rutledge, TN</t>
  </si>
  <si>
    <t>Dundee, OH</t>
  </si>
  <si>
    <t>Mount Healthy, OH</t>
  </si>
  <si>
    <t>Cheverly, MD</t>
  </si>
  <si>
    <t>West Slope, OR</t>
  </si>
  <si>
    <t>Sergeant Bluff, IA</t>
  </si>
  <si>
    <t>Holly Hill, SC</t>
  </si>
  <si>
    <t>Fabens, TX</t>
  </si>
  <si>
    <t>Saint John, MO</t>
  </si>
  <si>
    <t>West Portsmouth, OH</t>
  </si>
  <si>
    <t>East Greenville, PA</t>
  </si>
  <si>
    <t>Munfordville, KY</t>
  </si>
  <si>
    <t>Lebanon, ME</t>
  </si>
  <si>
    <t>Kincheloe, MI</t>
  </si>
  <si>
    <t>Montello, WI</t>
  </si>
  <si>
    <t>Harrisburg, AR</t>
  </si>
  <si>
    <t>West Milton, OH</t>
  </si>
  <si>
    <t>Pardeeville, WI</t>
  </si>
  <si>
    <t>Larkspur, CA</t>
  </si>
  <si>
    <t>Northlake, TX</t>
  </si>
  <si>
    <t>Waunakee, WI</t>
  </si>
  <si>
    <t>Lolo, MT</t>
  </si>
  <si>
    <t>Colfax, LA</t>
  </si>
  <si>
    <t>North Riverside, IL</t>
  </si>
  <si>
    <t>Ravenna, MI</t>
  </si>
  <si>
    <t>Buellton, CA</t>
  </si>
  <si>
    <t>Clinton, NJ</t>
  </si>
  <si>
    <t>Rindge, NH</t>
  </si>
  <si>
    <t>Petersburg, IN</t>
  </si>
  <si>
    <t>Toledo, OR</t>
  </si>
  <si>
    <t>Quincy, CA</t>
  </si>
  <si>
    <t>Quitman, MS</t>
  </si>
  <si>
    <t>Manteo, NC</t>
  </si>
  <si>
    <t>Maple Lake, MN</t>
  </si>
  <si>
    <t>Cave Junction, OR</t>
  </si>
  <si>
    <t>Dover, MA</t>
  </si>
  <si>
    <t>Mount Vernon, TX</t>
  </si>
  <si>
    <t>Banner Elk, NC</t>
  </si>
  <si>
    <t>Allentown, NJ</t>
  </si>
  <si>
    <t>London, OH</t>
  </si>
  <si>
    <t>Montpelier, VA</t>
  </si>
  <si>
    <t>Okemah, OK</t>
  </si>
  <si>
    <t>Columbus, KS</t>
  </si>
  <si>
    <t>Cuba City, WI</t>
  </si>
  <si>
    <t>Tuscola, IL</t>
  </si>
  <si>
    <t>Brighton, IL</t>
  </si>
  <si>
    <t>Bronson, MI</t>
  </si>
  <si>
    <t>Mineral Wells, WV</t>
  </si>
  <si>
    <t>Harbor Springs, MI</t>
  </si>
  <si>
    <t>Freedom, WI</t>
  </si>
  <si>
    <t>Hart, MI</t>
  </si>
  <si>
    <t>Mount Morris, NY</t>
  </si>
  <si>
    <t>Sunset, LA</t>
  </si>
  <si>
    <t>Silver Creek, GA</t>
  </si>
  <si>
    <t>Port Gibson, MS</t>
  </si>
  <si>
    <t>Sheldon, IA</t>
  </si>
  <si>
    <t>Olivette, MO</t>
  </si>
  <si>
    <t>Castle Hayne, NC</t>
  </si>
  <si>
    <t>Corunna, MI</t>
  </si>
  <si>
    <t>Daingerfield, TX</t>
  </si>
  <si>
    <t>Paulsboro, NJ</t>
  </si>
  <si>
    <t>Axton, VA</t>
  </si>
  <si>
    <t>Eldorado, IL</t>
  </si>
  <si>
    <t>Hainesport Township, NJ</t>
  </si>
  <si>
    <t>Edinburg, VA</t>
  </si>
  <si>
    <t>Jay, FL</t>
  </si>
  <si>
    <t>Green Hill, TN</t>
  </si>
  <si>
    <t>Coudersport, PA</t>
  </si>
  <si>
    <t>Saint Gabriel, LA</t>
  </si>
  <si>
    <t>Linwood, NJ</t>
  </si>
  <si>
    <t>Mancos, CO</t>
  </si>
  <si>
    <t>Cherokee, IA</t>
  </si>
  <si>
    <t>Waukon, IA</t>
  </si>
  <si>
    <t>Raleigh Hills, OR</t>
  </si>
  <si>
    <t>Palacios, TX</t>
  </si>
  <si>
    <t>Dimondale, MI</t>
  </si>
  <si>
    <t>West Dundee, IL</t>
  </si>
  <si>
    <t>Eastampton Township, NJ</t>
  </si>
  <si>
    <t>Dayton, VA</t>
  </si>
  <si>
    <t>Pontoon Beach, IL</t>
  </si>
  <si>
    <t>Orange Grove, TX</t>
  </si>
  <si>
    <t>Winthrop, ME</t>
  </si>
  <si>
    <t>Olympia Fields, IL</t>
  </si>
  <si>
    <t>Mount Olive, MS</t>
  </si>
  <si>
    <t>Whitestown, IN</t>
  </si>
  <si>
    <t>Neptune Beach, FL</t>
  </si>
  <si>
    <t>York Haven, PA</t>
  </si>
  <si>
    <t>Bandon, OR</t>
  </si>
  <si>
    <t>Madrid, IA</t>
  </si>
  <si>
    <t>Orwell, OH</t>
  </si>
  <si>
    <t>Delmar, DE</t>
  </si>
  <si>
    <t>Evans Mills, NY</t>
  </si>
  <si>
    <t>Montague, CA</t>
  </si>
  <si>
    <t>Hastings, FL</t>
  </si>
  <si>
    <t>Weaver, AL</t>
  </si>
  <si>
    <t>Hartford, SD</t>
  </si>
  <si>
    <t>Carver, MN</t>
  </si>
  <si>
    <t>Yorktown, IN</t>
  </si>
  <si>
    <t>Gas City, IN</t>
  </si>
  <si>
    <t>Branchland, WV</t>
  </si>
  <si>
    <t>Susquehanna, PA</t>
  </si>
  <si>
    <t>Lancaster, WI</t>
  </si>
  <si>
    <t>Troy, VA</t>
  </si>
  <si>
    <t>Clear Spring, MD</t>
  </si>
  <si>
    <t>Madras, OR</t>
  </si>
  <si>
    <t>Schulenburg, TX</t>
  </si>
  <si>
    <t>Micco, FL</t>
  </si>
  <si>
    <t>Granby, CO</t>
  </si>
  <si>
    <t>Newton, MS</t>
  </si>
  <si>
    <t>New Cumberland, WV</t>
  </si>
  <si>
    <t>Woodcliff Lake, NJ</t>
  </si>
  <si>
    <t>Rockport, MA</t>
  </si>
  <si>
    <t>Hawthorne, NY</t>
  </si>
  <si>
    <t>Hopedale, MA</t>
  </si>
  <si>
    <t>Kerhonkson, NY</t>
  </si>
  <si>
    <t>Saint Johns, AZ</t>
  </si>
  <si>
    <t>Decherd, TN</t>
  </si>
  <si>
    <t>Norwood, PA</t>
  </si>
  <si>
    <t>Alburtis, PA</t>
  </si>
  <si>
    <t>Elsmere, DE</t>
  </si>
  <si>
    <t>Vance, AL</t>
  </si>
  <si>
    <t>Oscoda, MI</t>
  </si>
  <si>
    <t>Clifton Springs, NY</t>
  </si>
  <si>
    <t>Hurlock, MD</t>
  </si>
  <si>
    <t>Harrisburg, OR</t>
  </si>
  <si>
    <t>Blue Mounds, WI</t>
  </si>
  <si>
    <t>Wewoka, OK</t>
  </si>
  <si>
    <t>Providence Forge, VA</t>
  </si>
  <si>
    <t>Pea Ridge, AR</t>
  </si>
  <si>
    <t>Gulf Hills, MS</t>
  </si>
  <si>
    <t>Lafayette, AL</t>
  </si>
  <si>
    <t>San Martin, CA</t>
  </si>
  <si>
    <t>Millers Creek, NC</t>
  </si>
  <si>
    <t>Old Town, FL</t>
  </si>
  <si>
    <t>Waleska, GA</t>
  </si>
  <si>
    <t>Bush, LA</t>
  </si>
  <si>
    <t>Mills River, NC</t>
  </si>
  <si>
    <t>Poynette, WI</t>
  </si>
  <si>
    <t>Glenarden, MD</t>
  </si>
  <si>
    <t>Hoopeston, IL</t>
  </si>
  <si>
    <t>Watervliet, MI</t>
  </si>
  <si>
    <t>Cabool, MO</t>
  </si>
  <si>
    <t>Folcroft, PA</t>
  </si>
  <si>
    <t>Littleton, NH</t>
  </si>
  <si>
    <t>Old Tappan, NJ</t>
  </si>
  <si>
    <t>Waldron, AR</t>
  </si>
  <si>
    <t>Brookfield, MO</t>
  </si>
  <si>
    <t>Wahoo, NE</t>
  </si>
  <si>
    <t>Corcoran, MN</t>
  </si>
  <si>
    <t>Tarrant, AL</t>
  </si>
  <si>
    <t>Cass City, MI</t>
  </si>
  <si>
    <t>Century, FL</t>
  </si>
  <si>
    <t>Boiling Springs, PA</t>
  </si>
  <si>
    <t>Chetek, WI</t>
  </si>
  <si>
    <t>Grover, NC</t>
  </si>
  <si>
    <t>Bellevue, MI</t>
  </si>
  <si>
    <t>Eighty Four, PA</t>
  </si>
  <si>
    <t>Whitehall, MD</t>
  </si>
  <si>
    <t>Morriston, FL</t>
  </si>
  <si>
    <t>Slaton, TX</t>
  </si>
  <si>
    <t>Colona, IL</t>
  </si>
  <si>
    <t>Hermon, ME</t>
  </si>
  <si>
    <t>Vineyard, UT</t>
  </si>
  <si>
    <t>Willington, CT</t>
  </si>
  <si>
    <t>Winthrop Harbor, IL</t>
  </si>
  <si>
    <t>Glendale, MO</t>
  </si>
  <si>
    <t>Newton Grove, NC</t>
  </si>
  <si>
    <t>Carmel Valley, CA</t>
  </si>
  <si>
    <t>Williston, SC</t>
  </si>
  <si>
    <t>Greentown, IN</t>
  </si>
  <si>
    <t>Phoenix, NY</t>
  </si>
  <si>
    <t>Elkhart, TX</t>
  </si>
  <si>
    <t>Biglerville, PA</t>
  </si>
  <si>
    <t>Taylor Mill, KY</t>
  </si>
  <si>
    <t>Deer Park, IL</t>
  </si>
  <si>
    <t>Jermyn, PA</t>
  </si>
  <si>
    <t>Oakhurst, NJ</t>
  </si>
  <si>
    <t>Fair Haven, NJ</t>
  </si>
  <si>
    <t>Melissa, TX</t>
  </si>
  <si>
    <t>Hemlock, MI</t>
  </si>
  <si>
    <t>New Concord, OH</t>
  </si>
  <si>
    <t>Norton, VA</t>
  </si>
  <si>
    <t>Roseau, MN</t>
  </si>
  <si>
    <t>Bartonville, IL</t>
  </si>
  <si>
    <t>Prospect Park, NJ</t>
  </si>
  <si>
    <t>Century Village, FL</t>
  </si>
  <si>
    <t>Pomeroy, OH</t>
  </si>
  <si>
    <t>Tulia, TX</t>
  </si>
  <si>
    <t>Union Springs, AL</t>
  </si>
  <si>
    <t>Quincy, MI</t>
  </si>
  <si>
    <t>Guntown, MS</t>
  </si>
  <si>
    <t>Cordova, AL</t>
  </si>
  <si>
    <t>Falfurrias, TX</t>
  </si>
  <si>
    <t>Bamberg, SC</t>
  </si>
  <si>
    <t>Eagle, WI</t>
  </si>
  <si>
    <t>Laceys Spring, AL</t>
  </si>
  <si>
    <t>Cataula, GA</t>
  </si>
  <si>
    <t>O Brien, FL</t>
  </si>
  <si>
    <t>American Falls, ID</t>
  </si>
  <si>
    <t>Oronoco, MN</t>
  </si>
  <si>
    <t>Opp, AL</t>
  </si>
  <si>
    <t>Salem, SC</t>
  </si>
  <si>
    <t>Ladysmith, WI</t>
  </si>
  <si>
    <t>Murfreesboro, NC</t>
  </si>
  <si>
    <t>Adkins, TX</t>
  </si>
  <si>
    <t>Roseland, NJ</t>
  </si>
  <si>
    <t>Scottsville, VA</t>
  </si>
  <si>
    <t>Lascassas, TN</t>
  </si>
  <si>
    <t>Boscobel, WI</t>
  </si>
  <si>
    <t>Baxter Springs, KS</t>
  </si>
  <si>
    <t>Crafton, PA</t>
  </si>
  <si>
    <t>Canton, SD</t>
  </si>
  <si>
    <t>Roosevelt, UT</t>
  </si>
  <si>
    <t>Meridianville, AL</t>
  </si>
  <si>
    <t>Santaquin, UT</t>
  </si>
  <si>
    <t>Dyersville, IA</t>
  </si>
  <si>
    <t>Fairview, OR</t>
  </si>
  <si>
    <t>Houlton, ME</t>
  </si>
  <si>
    <t>Fort Ann, NY</t>
  </si>
  <si>
    <t>Adams, TN</t>
  </si>
  <si>
    <t>Cadott, WI</t>
  </si>
  <si>
    <t>Elk Mound, WI</t>
  </si>
  <si>
    <t>Omro, WI</t>
  </si>
  <si>
    <t>Hutchinson Island South, FL</t>
  </si>
  <si>
    <t>Windcrest, TX</t>
  </si>
  <si>
    <t>South Bay, FL</t>
  </si>
  <si>
    <t>Millersville, TN</t>
  </si>
  <si>
    <t>Center Point, IA</t>
  </si>
  <si>
    <t>Forestville, CA</t>
  </si>
  <si>
    <t>Hamburg, AR</t>
  </si>
  <si>
    <t>Eveleth, MN</t>
  </si>
  <si>
    <t>Afton, WY</t>
  </si>
  <si>
    <t>Norwood, NJ</t>
  </si>
  <si>
    <t>Milan, MI</t>
  </si>
  <si>
    <t>Mount Sterling, OH</t>
  </si>
  <si>
    <t>Minster, OH</t>
  </si>
  <si>
    <t>Clendenin, WV</t>
  </si>
  <si>
    <t>Gobles, MI</t>
  </si>
  <si>
    <t>Hudson, MI</t>
  </si>
  <si>
    <t>Albia, IA</t>
  </si>
  <si>
    <t>Sanderson, FL</t>
  </si>
  <si>
    <t>Higginsville, MO</t>
  </si>
  <si>
    <t>Caledonia, MS</t>
  </si>
  <si>
    <t>Dagsboro, DE</t>
  </si>
  <si>
    <t>Sandusky South, OH</t>
  </si>
  <si>
    <t>Delta, PA</t>
  </si>
  <si>
    <t>Norland, FL</t>
  </si>
  <si>
    <t>Miami, AZ</t>
  </si>
  <si>
    <t>Idabel, OK</t>
  </si>
  <si>
    <t>Rison, AR</t>
  </si>
  <si>
    <t>Turner, ME</t>
  </si>
  <si>
    <t>Williams, CA</t>
  </si>
  <si>
    <t>Frazeysburg, OH</t>
  </si>
  <si>
    <t>Ardsley, NY</t>
  </si>
  <si>
    <t>Broadway, NC</t>
  </si>
  <si>
    <t>Rochelle Park, NJ</t>
  </si>
  <si>
    <t>Pine Island, MN</t>
  </si>
  <si>
    <t>Hebron, MD</t>
  </si>
  <si>
    <t>Jamesburg, NJ</t>
  </si>
  <si>
    <t>Loranger, LA</t>
  </si>
  <si>
    <t>Marengo, OH</t>
  </si>
  <si>
    <t>Petersburg, MI</t>
  </si>
  <si>
    <t>Holton, KS</t>
  </si>
  <si>
    <t>Chattaroy, WA</t>
  </si>
  <si>
    <t>Arcadia, WI</t>
  </si>
  <si>
    <t>Chanute, KS</t>
  </si>
  <si>
    <t>Bahama, NC</t>
  </si>
  <si>
    <t>Holly Springs, MS</t>
  </si>
  <si>
    <t>Hamilton, GA</t>
  </si>
  <si>
    <t>Villa Park, CA</t>
  </si>
  <si>
    <t>Monclova, OH</t>
  </si>
  <si>
    <t>Morris, MN</t>
  </si>
  <si>
    <t>Brown City, MI</t>
  </si>
  <si>
    <t>Stedman, NC</t>
  </si>
  <si>
    <t>Rockvale, TN</t>
  </si>
  <si>
    <t>Bon Aqua, TN</t>
  </si>
  <si>
    <t>Watertown, TN</t>
  </si>
  <si>
    <t>Leonard, TX</t>
  </si>
  <si>
    <t>Lee, MA</t>
  </si>
  <si>
    <t>Walker Mill, MD</t>
  </si>
  <si>
    <t>Northridge, OH</t>
  </si>
  <si>
    <t>Chickasaw, AL</t>
  </si>
  <si>
    <t>Arbuckle, CA</t>
  </si>
  <si>
    <t>Stockdale, TX</t>
  </si>
  <si>
    <t>New Gloucester, ME</t>
  </si>
  <si>
    <t>Altha, FL</t>
  </si>
  <si>
    <t>Bells, TN</t>
  </si>
  <si>
    <t>Follansbee, WV</t>
  </si>
  <si>
    <t>Richland, MS</t>
  </si>
  <si>
    <t>Black Diamond, WA</t>
  </si>
  <si>
    <t>Pinon Hills, CA</t>
  </si>
  <si>
    <t>Rose Hill, KS</t>
  </si>
  <si>
    <t>Rowley, MA</t>
  </si>
  <si>
    <t>Oconto Falls, WI</t>
  </si>
  <si>
    <t>Gotha, FL</t>
  </si>
  <si>
    <t>Westbrook, CT</t>
  </si>
  <si>
    <t>Fredericksburg, OH</t>
  </si>
  <si>
    <t>Onsted, MI</t>
  </si>
  <si>
    <t>Clever, MO</t>
  </si>
  <si>
    <t>Stockton, NJ</t>
  </si>
  <si>
    <t>Ponce Inlet, FL</t>
  </si>
  <si>
    <t>Montross, VA</t>
  </si>
  <si>
    <t>Yaphank, NY</t>
  </si>
  <si>
    <t>Silverhill, AL</t>
  </si>
  <si>
    <t>Arcola, IL</t>
  </si>
  <si>
    <t>New Boston, NH</t>
  </si>
  <si>
    <t>Lake Purdy, AL</t>
  </si>
  <si>
    <t>Luverne, MN</t>
  </si>
  <si>
    <t>Kent City, MI</t>
  </si>
  <si>
    <t>Utica, KY</t>
  </si>
  <si>
    <t>Prescott, WI</t>
  </si>
  <si>
    <t>Jarrell, TX</t>
  </si>
  <si>
    <t>Marshall, VA</t>
  </si>
  <si>
    <t>Clarkton, NC</t>
  </si>
  <si>
    <t>Lake Dallas, TX</t>
  </si>
  <si>
    <t>Highlands, NJ</t>
  </si>
  <si>
    <t>Shenandoah, IA</t>
  </si>
  <si>
    <t>Mountain View, MO</t>
  </si>
  <si>
    <t>Key Largo, FL</t>
  </si>
  <si>
    <t>Morrisonville, NY</t>
  </si>
  <si>
    <t>Mickleton, NJ</t>
  </si>
  <si>
    <t>Elmwood, LA</t>
  </si>
  <si>
    <t>Howland Center, OH</t>
  </si>
  <si>
    <t>Pismo Beach, CA</t>
  </si>
  <si>
    <t>Hopkinton, NH</t>
  </si>
  <si>
    <t>Paulden, AZ</t>
  </si>
  <si>
    <t>Bridgeport, OH</t>
  </si>
  <si>
    <t>Pacolet, SC</t>
  </si>
  <si>
    <t>Crittenden, KY</t>
  </si>
  <si>
    <t>Far Hills, NJ</t>
  </si>
  <si>
    <t>South Shore, KY</t>
  </si>
  <si>
    <t>Linwood, NC</t>
  </si>
  <si>
    <t>Northern Cambria, PA</t>
  </si>
  <si>
    <t>Saltsburg, PA</t>
  </si>
  <si>
    <t>Onalaska, TX</t>
  </si>
  <si>
    <t>Hartly, DE</t>
  </si>
  <si>
    <t>Whitehouse, OH</t>
  </si>
  <si>
    <t>Caledonia, MN</t>
  </si>
  <si>
    <t>Youngstown, NY</t>
  </si>
  <si>
    <t>Kouts, IN</t>
  </si>
  <si>
    <t>Los Ranchos de Albuquerque, NM</t>
  </si>
  <si>
    <t>Catawba, NC</t>
  </si>
  <si>
    <t>Lewisburg, OH</t>
  </si>
  <si>
    <t>Heathsville, VA</t>
  </si>
  <si>
    <t>Attica, MI</t>
  </si>
  <si>
    <t>Glen Saint Mary, FL</t>
  </si>
  <si>
    <t>Stanfield, NC</t>
  </si>
  <si>
    <t>Stanton, MI</t>
  </si>
  <si>
    <t>Gardiner, ME</t>
  </si>
  <si>
    <t>Reedsport, OR</t>
  </si>
  <si>
    <t>Santa Clara, UT</t>
  </si>
  <si>
    <t>Marlboro, NY</t>
  </si>
  <si>
    <t>Friday Harbor, WA</t>
  </si>
  <si>
    <t>Anna, IL</t>
  </si>
  <si>
    <t>Cottonport, LA</t>
  </si>
  <si>
    <t>Cuba, NY</t>
  </si>
  <si>
    <t>Grottoes, VA</t>
  </si>
  <si>
    <t>Estill Springs, TN</t>
  </si>
  <si>
    <t>Manitou Springs, CO</t>
  </si>
  <si>
    <t>Charleston, AR</t>
  </si>
  <si>
    <t>Surfside, FL</t>
  </si>
  <si>
    <t>Gosport, IN</t>
  </si>
  <si>
    <t>Sutton, WV</t>
  </si>
  <si>
    <t>Sand Lake, MI</t>
  </si>
  <si>
    <t>Decatur, MI</t>
  </si>
  <si>
    <t>Winnie, TX</t>
  </si>
  <si>
    <t>Bangor, MI</t>
  </si>
  <si>
    <t>Yellow Springs, OH</t>
  </si>
  <si>
    <t>Woodville, MS</t>
  </si>
  <si>
    <t>Coats, NC</t>
  </si>
  <si>
    <t>Larkspur, CO</t>
  </si>
  <si>
    <t>McArthur, OH</t>
  </si>
  <si>
    <t>Bonneau, SC</t>
  </si>
  <si>
    <t>Rossford, OH</t>
  </si>
  <si>
    <t>Coupeville, WA</t>
  </si>
  <si>
    <t>Ocean Isle Beach, NC</t>
  </si>
  <si>
    <t>Prudenville, MI</t>
  </si>
  <si>
    <t>Boonville, MO</t>
  </si>
  <si>
    <t>Le Mars, IA</t>
  </si>
  <si>
    <t>Willow Springs, MO</t>
  </si>
  <si>
    <t>Wilder, ID</t>
  </si>
  <si>
    <t>Belmar, NJ</t>
  </si>
  <si>
    <t>Cedarville, OH</t>
  </si>
  <si>
    <t>Charlotte Hall, MD</t>
  </si>
  <si>
    <t>Newton, IL</t>
  </si>
  <si>
    <t>West Berlin, NJ</t>
  </si>
  <si>
    <t>Augusta, WV</t>
  </si>
  <si>
    <t>New London, OH</t>
  </si>
  <si>
    <t>Crivitz, WI</t>
  </si>
  <si>
    <t>Somerset, TX</t>
  </si>
  <si>
    <t>Hillsborough, NH</t>
  </si>
  <si>
    <t>Bridgton, ME</t>
  </si>
  <si>
    <t>De Soto, KS</t>
  </si>
  <si>
    <t>Mooresburg, TN</t>
  </si>
  <si>
    <t>Homeland, CA</t>
  </si>
  <si>
    <t>Sistersville, WV</t>
  </si>
  <si>
    <t>Gordo, AL</t>
  </si>
  <si>
    <t>Cranbury Township, NJ</t>
  </si>
  <si>
    <t>Auburn, MI</t>
  </si>
  <si>
    <t>Eupora, MS</t>
  </si>
  <si>
    <t>Hadley, MA</t>
  </si>
  <si>
    <t>Obetz, OH</t>
  </si>
  <si>
    <t>Osawatomie, KS</t>
  </si>
  <si>
    <t>Hebbronville, TX</t>
  </si>
  <si>
    <t>Poland, ME</t>
  </si>
  <si>
    <t>Caruthers, CA</t>
  </si>
  <si>
    <t>Marietta, SC</t>
  </si>
  <si>
    <t>Newcastle, WY</t>
  </si>
  <si>
    <t>Weyauwega, WI</t>
  </si>
  <si>
    <t>Dayton, KY</t>
  </si>
  <si>
    <t>Soap Lake, WA</t>
  </si>
  <si>
    <t>Jonesville, VA</t>
  </si>
  <si>
    <t>Rochester, MA</t>
  </si>
  <si>
    <t>Vass, NC</t>
  </si>
  <si>
    <t>Shady Spring, WV</t>
  </si>
  <si>
    <t>Naches, WA</t>
  </si>
  <si>
    <t>Friona, TX</t>
  </si>
  <si>
    <t>Sheridan, IL</t>
  </si>
  <si>
    <t>Coleman, TX</t>
  </si>
  <si>
    <t>Alvaton, KY</t>
  </si>
  <si>
    <t>Falcon Heights, MN</t>
  </si>
  <si>
    <t>Union Bridge, MD</t>
  </si>
  <si>
    <t>Goochland, VA</t>
  </si>
  <si>
    <t>Pelican Rapids, MN</t>
  </si>
  <si>
    <t>Linden, NC</t>
  </si>
  <si>
    <t>Rumford, ME</t>
  </si>
  <si>
    <t>Versailles, OH</t>
  </si>
  <si>
    <t>Bolton, MA</t>
  </si>
  <si>
    <t>Homer, AK</t>
  </si>
  <si>
    <t>Linden, TN</t>
  </si>
  <si>
    <t>Montgomery, PA</t>
  </si>
  <si>
    <t>Nashport, OH</t>
  </si>
  <si>
    <t>Boxboro, MA</t>
  </si>
  <si>
    <t>Efland, NC</t>
  </si>
  <si>
    <t>Blowing Rock, NC</t>
  </si>
  <si>
    <t>Saukville, WI</t>
  </si>
  <si>
    <t>Derby, CO</t>
  </si>
  <si>
    <t>Athens, WI</t>
  </si>
  <si>
    <t>South Gastonia, NC</t>
  </si>
  <si>
    <t>Narrows, VA</t>
  </si>
  <si>
    <t>Cornwall, NY</t>
  </si>
  <si>
    <t>La Salle, CO</t>
  </si>
  <si>
    <t>Broken Bow, NE</t>
  </si>
  <si>
    <t>Cold Spring, NY</t>
  </si>
  <si>
    <t>Bostic, NC</t>
  </si>
  <si>
    <t>Dalton, PA</t>
  </si>
  <si>
    <t>Manton, MI</t>
  </si>
  <si>
    <t>Wirtz, VA</t>
  </si>
  <si>
    <t>Walworth, NY</t>
  </si>
  <si>
    <t>South Tucson, AZ</t>
  </si>
  <si>
    <t>Cache, OK</t>
  </si>
  <si>
    <t>Perkins, OK</t>
  </si>
  <si>
    <t>Lyndon, VT</t>
  </si>
  <si>
    <t>Shoreham, NY</t>
  </si>
  <si>
    <t>Barron, WI</t>
  </si>
  <si>
    <t>Wayne, IL</t>
  </si>
  <si>
    <t>Ganado, TX</t>
  </si>
  <si>
    <t>Pixley, CA</t>
  </si>
  <si>
    <t>Redwood Valley, CA</t>
  </si>
  <si>
    <t>Goodland, KS</t>
  </si>
  <si>
    <t>Loudon, NH</t>
  </si>
  <si>
    <t>Wrightsville, GA</t>
  </si>
  <si>
    <t>Liberty, MS</t>
  </si>
  <si>
    <t>Georgiana, AL</t>
  </si>
  <si>
    <t>New Windsor, MD</t>
  </si>
  <si>
    <t>Independence, MN</t>
  </si>
  <si>
    <t>Larned, KS</t>
  </si>
  <si>
    <t>Cold Spring, KY</t>
  </si>
  <si>
    <t>Palm Springs North, FL</t>
  </si>
  <si>
    <t>Lyles, TN</t>
  </si>
  <si>
    <t>Johnston City, IL</t>
  </si>
  <si>
    <t>Nauvoo, AL</t>
  </si>
  <si>
    <t>Little Silver, NJ</t>
  </si>
  <si>
    <t>Santa Ynez, CA</t>
  </si>
  <si>
    <t>Centerville, GA</t>
  </si>
  <si>
    <t>Philpot, KY</t>
  </si>
  <si>
    <t>Harrogate, TN</t>
  </si>
  <si>
    <t>Monrovia, MD</t>
  </si>
  <si>
    <t>Russiaville, IN</t>
  </si>
  <si>
    <t>Franklinville, NC</t>
  </si>
  <si>
    <t>Bethany, CT</t>
  </si>
  <si>
    <t>Bradford, OH</t>
  </si>
  <si>
    <t>Forsyth, MO</t>
  </si>
  <si>
    <t>Peoria Heights, IL</t>
  </si>
  <si>
    <t>Galena, KS</t>
  </si>
  <si>
    <t>Buena Vista, GA</t>
  </si>
  <si>
    <t>Wurtsboro, NY</t>
  </si>
  <si>
    <t>Timberlake, NC</t>
  </si>
  <si>
    <t>Armada, MI</t>
  </si>
  <si>
    <t>Russell, KS</t>
  </si>
  <si>
    <t>Pilesgrove, NJ</t>
  </si>
  <si>
    <t>Roaring Spring, PA</t>
  </si>
  <si>
    <t>Kanab, UT</t>
  </si>
  <si>
    <t>Creve Coeur, IL</t>
  </si>
  <si>
    <t>Duquesne, PA</t>
  </si>
  <si>
    <t>Brownstown, IN</t>
  </si>
  <si>
    <t>Richfield, UT</t>
  </si>
  <si>
    <t>Lake City, TN</t>
  </si>
  <si>
    <t>Chelan, WA</t>
  </si>
  <si>
    <t>Centreville, IL</t>
  </si>
  <si>
    <t>Mohawk, NY</t>
  </si>
  <si>
    <t>Lake Helen, FL</t>
  </si>
  <si>
    <t>Moss Landing, CA</t>
  </si>
  <si>
    <t>Hunlock Creek, PA</t>
  </si>
  <si>
    <t>Moosic, PA</t>
  </si>
  <si>
    <t>Heyburn, ID</t>
  </si>
  <si>
    <t>New Lebanon, OH</t>
  </si>
  <si>
    <t>Willard, NC</t>
  </si>
  <si>
    <t>Topeka, IN</t>
  </si>
  <si>
    <t>Lowellville, OH</t>
  </si>
  <si>
    <t>West Point, VA</t>
  </si>
  <si>
    <t>Roland, OK</t>
  </si>
  <si>
    <t>Ferrum, VA</t>
  </si>
  <si>
    <t>Ravenel, SC</t>
  </si>
  <si>
    <t>Waynesville, GA</t>
  </si>
  <si>
    <t>Ringgold, VA</t>
  </si>
  <si>
    <t>Frostburg, MD</t>
  </si>
  <si>
    <t>Adamsville, AL</t>
  </si>
  <si>
    <t>Braidwood, IL</t>
  </si>
  <si>
    <t>Glen Gardner, NJ</t>
  </si>
  <si>
    <t>Carey, OH</t>
  </si>
  <si>
    <t>Victor, ID</t>
  </si>
  <si>
    <t>Yorkville, WI</t>
  </si>
  <si>
    <t>Coolville, OH</t>
  </si>
  <si>
    <t>Highwood, IL</t>
  </si>
  <si>
    <t>Nancy, KY</t>
  </si>
  <si>
    <t>Evart, MI</t>
  </si>
  <si>
    <t>Rocky Ford, CO</t>
  </si>
  <si>
    <t>Kevil, KY</t>
  </si>
  <si>
    <t>Cosby, TN</t>
  </si>
  <si>
    <t>Kensington, CA</t>
  </si>
  <si>
    <t>Hanover, IN</t>
  </si>
  <si>
    <t>Harwinton, CT</t>
  </si>
  <si>
    <t>Manchester, MA</t>
  </si>
  <si>
    <t>Heiskell, TN</t>
  </si>
  <si>
    <t>Newberry, MI</t>
  </si>
  <si>
    <t>Kenova, WV</t>
  </si>
  <si>
    <t>Andersonville, TN</t>
  </si>
  <si>
    <t>North Street, MI</t>
  </si>
  <si>
    <t>Carnesville, GA</t>
  </si>
  <si>
    <t>Chewelah, WA</t>
  </si>
  <si>
    <t>Ferdinand, IN</t>
  </si>
  <si>
    <t>Steelville, MO</t>
  </si>
  <si>
    <t>Coleman, MI</t>
  </si>
  <si>
    <t>Auburn, NH</t>
  </si>
  <si>
    <t>Harvard, MA</t>
  </si>
  <si>
    <t>Clancy, MT</t>
  </si>
  <si>
    <t>Glen Rose, TX</t>
  </si>
  <si>
    <t>Lakeview, GA</t>
  </si>
  <si>
    <t>Maple Park, IL</t>
  </si>
  <si>
    <t>Fort Gay, WV</t>
  </si>
  <si>
    <t>Saint Paul Park, MN</t>
  </si>
  <si>
    <t>Oglesby, IL</t>
  </si>
  <si>
    <t>Dundee, NY</t>
  </si>
  <si>
    <t>Leetonia, OH</t>
  </si>
  <si>
    <t>Village of Pewaukee, WI</t>
  </si>
  <si>
    <t>Milan, IN</t>
  </si>
  <si>
    <t>Niota, TN</t>
  </si>
  <si>
    <t>Piketon, OH</t>
  </si>
  <si>
    <t>Lake Worth, TX</t>
  </si>
  <si>
    <t>Hamlin, NY</t>
  </si>
  <si>
    <t>Blissfield, MI</t>
  </si>
  <si>
    <t>Old Westbury, NY</t>
  </si>
  <si>
    <t>Ranchos de Taos, NM</t>
  </si>
  <si>
    <t>Columbia, CT</t>
  </si>
  <si>
    <t>De Kalb, TX</t>
  </si>
  <si>
    <t>Holbrook, AZ</t>
  </si>
  <si>
    <t>Bay Springs, MS</t>
  </si>
  <si>
    <t>Stanardsville, VA</t>
  </si>
  <si>
    <t>Honaker, VA</t>
  </si>
  <si>
    <t>Sansom Park, TX</t>
  </si>
  <si>
    <t>Columbus Grove, OH</t>
  </si>
  <si>
    <t>Deer Park, OH</t>
  </si>
  <si>
    <t>Bensley, VA</t>
  </si>
  <si>
    <t>Belford, NJ</t>
  </si>
  <si>
    <t>Weedsport, NY</t>
  </si>
  <si>
    <t>Shadyside, OH</t>
  </si>
  <si>
    <t>Newman Lake, WA</t>
  </si>
  <si>
    <t>East Bernard, TX</t>
  </si>
  <si>
    <t>Park City, IL</t>
  </si>
  <si>
    <t>Manila, AR</t>
  </si>
  <si>
    <t>Meadowbrook, AL</t>
  </si>
  <si>
    <t>Chunchula, AL</t>
  </si>
  <si>
    <t>Catalina, AZ</t>
  </si>
  <si>
    <t>Union Beach, NJ</t>
  </si>
  <si>
    <t>Bishop, TX</t>
  </si>
  <si>
    <t>Tuskegee, AL</t>
  </si>
  <si>
    <t>Mineral Point, WI</t>
  </si>
  <si>
    <t>Turpin Hills, OH</t>
  </si>
  <si>
    <t>Lake Providence, LA</t>
  </si>
  <si>
    <t>Marion, NY</t>
  </si>
  <si>
    <t>Hartsburg, MO</t>
  </si>
  <si>
    <t>La Porte City, IA</t>
  </si>
  <si>
    <t>Cedar Crest, NM</t>
  </si>
  <si>
    <t>Noble, OK</t>
  </si>
  <si>
    <t>Lytle, TX</t>
  </si>
  <si>
    <t>Belleville, PA</t>
  </si>
  <si>
    <t>Schuylerville, NY</t>
  </si>
  <si>
    <t>Terrell Hills, TX</t>
  </si>
  <si>
    <t>Isle of Palms, SC</t>
  </si>
  <si>
    <t>Fairmount, GA</t>
  </si>
  <si>
    <t>Mansura, LA</t>
  </si>
  <si>
    <t>Speedwell, TN</t>
  </si>
  <si>
    <t>Cokato, MN</t>
  </si>
  <si>
    <t>Orleans, IN</t>
  </si>
  <si>
    <t>Poland, OH</t>
  </si>
  <si>
    <t>Auburn, KY</t>
  </si>
  <si>
    <t>Cotulla, TX</t>
  </si>
  <si>
    <t>North Oaks, MN</t>
  </si>
  <si>
    <t>Street, MD</t>
  </si>
  <si>
    <t>Winfield, AL</t>
  </si>
  <si>
    <t>Rising Sun, IN</t>
  </si>
  <si>
    <t>Town Creek, AL</t>
  </si>
  <si>
    <t>Grantville, GA</t>
  </si>
  <si>
    <t>Brookline, NH</t>
  </si>
  <si>
    <t>Windom, MN</t>
  </si>
  <si>
    <t>Meadows Place, TX</t>
  </si>
  <si>
    <t>Emory, TX</t>
  </si>
  <si>
    <t>Lonsdale, MN</t>
  </si>
  <si>
    <t>Surgoinsville, TN</t>
  </si>
  <si>
    <t>Eastland, TX</t>
  </si>
  <si>
    <t>Ragley, LA</t>
  </si>
  <si>
    <t>Elkton, KY</t>
  </si>
  <si>
    <t>Springville, IN</t>
  </si>
  <si>
    <t>Windsor, PA</t>
  </si>
  <si>
    <t>Oracle, AZ</t>
  </si>
  <si>
    <t>Eclectic, AL</t>
  </si>
  <si>
    <t>Nitro, WV</t>
  </si>
  <si>
    <t>Perkiomenville, PA</t>
  </si>
  <si>
    <t>Hensley, AR</t>
  </si>
  <si>
    <t>Daniels, WV</t>
  </si>
  <si>
    <t>Horse Shoe, NC</t>
  </si>
  <si>
    <t>North Judson, IN</t>
  </si>
  <si>
    <t>Pelahatchie, MS</t>
  </si>
  <si>
    <t>Stratmoor, CO</t>
  </si>
  <si>
    <t>Custer, SD</t>
  </si>
  <si>
    <t>Richfield, OH</t>
  </si>
  <si>
    <t>Paxton, IL</t>
  </si>
  <si>
    <t>New Ipswich, NH</t>
  </si>
  <si>
    <t>Petersburg, WV</t>
  </si>
  <si>
    <t>Merion Station, PA</t>
  </si>
  <si>
    <t>Morgantown, PA</t>
  </si>
  <si>
    <t>Hurt, VA</t>
  </si>
  <si>
    <t>Hot Springs, SD</t>
  </si>
  <si>
    <t>Kewaskum, WI</t>
  </si>
  <si>
    <t>Lathrop, MO</t>
  </si>
  <si>
    <t>Heath Springs, SC</t>
  </si>
  <si>
    <t>Forest City, IA</t>
  </si>
  <si>
    <t>Newton, AL</t>
  </si>
  <si>
    <t>Faison, NC</t>
  </si>
  <si>
    <t>Basile, LA</t>
  </si>
  <si>
    <t>Hurdle Mills, NC</t>
  </si>
  <si>
    <t>Englewood Cliffs, NJ</t>
  </si>
  <si>
    <t>Grawn, MI</t>
  </si>
  <si>
    <t>Weed, CA</t>
  </si>
  <si>
    <t>Seagrove, NC</t>
  </si>
  <si>
    <t>McVeytown, PA</t>
  </si>
  <si>
    <t>Lake George, NY</t>
  </si>
  <si>
    <t>Lakeview, MI</t>
  </si>
  <si>
    <t>Malakoff, TX</t>
  </si>
  <si>
    <t>Snow Camp, NC</t>
  </si>
  <si>
    <t>Parachute, CO</t>
  </si>
  <si>
    <t>Shreve, OH</t>
  </si>
  <si>
    <t>Jeffersonville, KY</t>
  </si>
  <si>
    <t>Jourdanton, TX</t>
  </si>
  <si>
    <t>East Granby, CT</t>
  </si>
  <si>
    <t>Westville, OK</t>
  </si>
  <si>
    <t>Ransomville, NY</t>
  </si>
  <si>
    <t>Round Lake Park, IL</t>
  </si>
  <si>
    <t>Pine City, NY</t>
  </si>
  <si>
    <t>Canon, GA</t>
  </si>
  <si>
    <t>Lawton, MI</t>
  </si>
  <si>
    <t>South Yuba City, CA</t>
  </si>
  <si>
    <t>Dittmer, MO</t>
  </si>
  <si>
    <t>Lodi, OH</t>
  </si>
  <si>
    <t>Womelsdorf, PA</t>
  </si>
  <si>
    <t>Yemassee, SC</t>
  </si>
  <si>
    <t>Louisville, GA</t>
  </si>
  <si>
    <t>Summerdale, AL</t>
  </si>
  <si>
    <t>Parma, MI</t>
  </si>
  <si>
    <t>Olalla, WA</t>
  </si>
  <si>
    <t>Keystone, CO</t>
  </si>
  <si>
    <t>Mack South, OH</t>
  </si>
  <si>
    <t>Victoria, VA</t>
  </si>
  <si>
    <t>Wilton, CA</t>
  </si>
  <si>
    <t>Sandusky, MI</t>
  </si>
  <si>
    <t>Wolf Point, MT</t>
  </si>
  <si>
    <t>Linn, MO</t>
  </si>
  <si>
    <t>Yale, MI</t>
  </si>
  <si>
    <t>Leland, MS</t>
  </si>
  <si>
    <t>Lexington, MO</t>
  </si>
  <si>
    <t>Hightstown, NJ</t>
  </si>
  <si>
    <t>Lincoln, AR</t>
  </si>
  <si>
    <t>Stanley, WI</t>
  </si>
  <si>
    <t>Cave Springs, AR</t>
  </si>
  <si>
    <t>Sparks Glencoe, MD</t>
  </si>
  <si>
    <t>Youngtown, AZ</t>
  </si>
  <si>
    <t>Sunset, UT</t>
  </si>
  <si>
    <t>Yantis, TX</t>
  </si>
  <si>
    <t>Hawesville, KY</t>
  </si>
  <si>
    <t>Kingsville, MD</t>
  </si>
  <si>
    <t>Aynor, SC</t>
  </si>
  <si>
    <t>Waskom, TX</t>
  </si>
  <si>
    <t>Hearne, TX</t>
  </si>
  <si>
    <t>Koloa, HI</t>
  </si>
  <si>
    <t>Danville, AL</t>
  </si>
  <si>
    <t>Fort Oglethorpe, GA</t>
  </si>
  <si>
    <t>Andalusia, AL</t>
  </si>
  <si>
    <t>Geneva, AL</t>
  </si>
  <si>
    <t>Stanley, VA</t>
  </si>
  <si>
    <t>Diana, TX</t>
  </si>
  <si>
    <t>Clint, TX</t>
  </si>
  <si>
    <t>Electra, TX</t>
  </si>
  <si>
    <t>Cochranton, PA</t>
  </si>
  <si>
    <t>Corvallis, MT</t>
  </si>
  <si>
    <t>North Plains, OR</t>
  </si>
  <si>
    <t>Glendale, CO</t>
  </si>
  <si>
    <t>Pioneer, CA</t>
  </si>
  <si>
    <t>Johnston, SC</t>
  </si>
  <si>
    <t>Lisbon, ME</t>
  </si>
  <si>
    <t>Justin, TX</t>
  </si>
  <si>
    <t>Winnebago, IL</t>
  </si>
  <si>
    <t>Warsaw, KY</t>
  </si>
  <si>
    <t>Union, OH</t>
  </si>
  <si>
    <t>Belzoni, MS</t>
  </si>
  <si>
    <t>Grant, AL</t>
  </si>
  <si>
    <t>Plain City, UT</t>
  </si>
  <si>
    <t>Merkel, TX</t>
  </si>
  <si>
    <t>Rockholds, KY</t>
  </si>
  <si>
    <t>Alton, NH</t>
  </si>
  <si>
    <t>Pearisburg, VA</t>
  </si>
  <si>
    <t>Livingston, AL</t>
  </si>
  <si>
    <t>Carlisle, MA</t>
  </si>
  <si>
    <t>North Stonington, CT</t>
  </si>
  <si>
    <t>Glyndon, MN</t>
  </si>
  <si>
    <t>Jaffrey, NH</t>
  </si>
  <si>
    <t>Walbridge, OH</t>
  </si>
  <si>
    <t>Royal City, WA</t>
  </si>
  <si>
    <t>Grafton, ND</t>
  </si>
  <si>
    <t>Pineville, MO</t>
  </si>
  <si>
    <t>Windsor, MO</t>
  </si>
  <si>
    <t>Barre, MA</t>
  </si>
  <si>
    <t>Warren, MA</t>
  </si>
  <si>
    <t>Surfside Beach, SC</t>
  </si>
  <si>
    <t>Varnville, SC</t>
  </si>
  <si>
    <t>Chandler, IN</t>
  </si>
  <si>
    <t>Princeton, IL</t>
  </si>
  <si>
    <t>Kingwood, WV</t>
  </si>
  <si>
    <t>Gambier, OH</t>
  </si>
  <si>
    <t>Ogallala, NE</t>
  </si>
  <si>
    <t>Leesburg, OH</t>
  </si>
  <si>
    <t>West Alexandria, OH</t>
  </si>
  <si>
    <t>Rogue River, OR</t>
  </si>
  <si>
    <t>Grosse Pointe, MI</t>
  </si>
  <si>
    <t>Fairbury, NE</t>
  </si>
  <si>
    <t>Sunset Beach, NC</t>
  </si>
  <si>
    <t>McConnelsville, OH</t>
  </si>
  <si>
    <t>Fort Ashby, WV</t>
  </si>
  <si>
    <t>Wynne, AR</t>
  </si>
  <si>
    <t>Taylorsville, MS</t>
  </si>
  <si>
    <t>Saint James, NC</t>
  </si>
  <si>
    <t>Hardin, MT</t>
  </si>
  <si>
    <t>Swoyersville, PA</t>
  </si>
  <si>
    <t>Winneconne, WI</t>
  </si>
  <si>
    <t>Pontotoc, MS</t>
  </si>
  <si>
    <t>Comer, GA</t>
  </si>
  <si>
    <t>Coker, AL</t>
  </si>
  <si>
    <t>Crab Orchard, KY</t>
  </si>
  <si>
    <t>Union City, IN</t>
  </si>
  <si>
    <t>Las Animas, CO</t>
  </si>
  <si>
    <t>Whitesburg, GA</t>
  </si>
  <si>
    <t>Saint James, MN</t>
  </si>
  <si>
    <t>China Spring, TX</t>
  </si>
  <si>
    <t>Mansfield, GA</t>
  </si>
  <si>
    <t>Sparta, MO</t>
  </si>
  <si>
    <t>Milford, IN</t>
  </si>
  <si>
    <t>Clayton, NY</t>
  </si>
  <si>
    <t>Poolesville, MD</t>
  </si>
  <si>
    <t>Valley Center, KS</t>
  </si>
  <si>
    <t>Bono, AR</t>
  </si>
  <si>
    <t>Newfield, NJ</t>
  </si>
  <si>
    <t>Midfield, AL</t>
  </si>
  <si>
    <t>Wenham, MA</t>
  </si>
  <si>
    <t>Monroeville, NJ</t>
  </si>
  <si>
    <t>Perry, IA</t>
  </si>
  <si>
    <t>Juneau, WI</t>
  </si>
  <si>
    <t>Stanwood, MI</t>
  </si>
  <si>
    <t>Melbourne, KY</t>
  </si>
  <si>
    <t>Hampden, MA</t>
  </si>
  <si>
    <t>Shrewsbury, PA</t>
  </si>
  <si>
    <t>Staples, MN</t>
  </si>
  <si>
    <t>Ardmore, AL</t>
  </si>
  <si>
    <t>Shortsville, NY</t>
  </si>
  <si>
    <t>Lexington, TX</t>
  </si>
  <si>
    <t>Stratford, WI</t>
  </si>
  <si>
    <t>Dundee, FL</t>
  </si>
  <si>
    <t>Green Lane, PA</t>
  </si>
  <si>
    <t>Townsend, GA</t>
  </si>
  <si>
    <t>Evansdale, IA</t>
  </si>
  <si>
    <t>Nichols, SC</t>
  </si>
  <si>
    <t>Nescopeck, PA</t>
  </si>
  <si>
    <t>Sanborn, NY</t>
  </si>
  <si>
    <t>Montegut, LA</t>
  </si>
  <si>
    <t>New Market, VA</t>
  </si>
  <si>
    <t>Grantsburg, WI</t>
  </si>
  <si>
    <t>Turner, OR</t>
  </si>
  <si>
    <t>Argyle, TX</t>
  </si>
  <si>
    <t>Charles City, VA</t>
  </si>
  <si>
    <t>Bloomfield, KY</t>
  </si>
  <si>
    <t>Perryville, MD</t>
  </si>
  <si>
    <t>Blauvelt, NY</t>
  </si>
  <si>
    <t>Evensville, TN</t>
  </si>
  <si>
    <t>Moxee, WA</t>
  </si>
  <si>
    <t>Amissville, VA</t>
  </si>
  <si>
    <t>Troy, TX</t>
  </si>
  <si>
    <t>Allenhurst, GA</t>
  </si>
  <si>
    <t>Nowata, OK</t>
  </si>
  <si>
    <t>Rainier, WA</t>
  </si>
  <si>
    <t>Gasport, NY</t>
  </si>
  <si>
    <t>Elsberry, MO</t>
  </si>
  <si>
    <t>Fairview, WV</t>
  </si>
  <si>
    <t>Wilsonville, AL</t>
  </si>
  <si>
    <t>Summit, WI</t>
  </si>
  <si>
    <t>Terra Bella, CA</t>
  </si>
  <si>
    <t>Skidaway Island, GA</t>
  </si>
  <si>
    <t>Lawrence, WI</t>
  </si>
  <si>
    <t>Boones Mill, VA</t>
  </si>
  <si>
    <t>West Liberty, OH</t>
  </si>
  <si>
    <t>Marlette, MI</t>
  </si>
  <si>
    <t>Breckenridge Hills, MO</t>
  </si>
  <si>
    <t>Shannon, MS</t>
  </si>
  <si>
    <t>Summertown, TN</t>
  </si>
  <si>
    <t>Clarksville, TX</t>
  </si>
  <si>
    <t>Robesonia, PA</t>
  </si>
  <si>
    <t>Sanibel, FL</t>
  </si>
  <si>
    <t>Monfort Heights South, OH</t>
  </si>
  <si>
    <t>Marion, MA</t>
  </si>
  <si>
    <t>Pierre Part, LA</t>
  </si>
  <si>
    <t>Chicora, PA</t>
  </si>
  <si>
    <t>Hubbard, OR</t>
  </si>
  <si>
    <t>Carle Place, NY</t>
  </si>
  <si>
    <t>Chester, NH</t>
  </si>
  <si>
    <t>Scio, OR</t>
  </si>
  <si>
    <t>Okatie, SC</t>
  </si>
  <si>
    <t>Minot AFB, ND</t>
  </si>
  <si>
    <t>Early, TX</t>
  </si>
  <si>
    <t>Odon, IN</t>
  </si>
  <si>
    <t>Palo, IA</t>
  </si>
  <si>
    <t>Siesta Key, FL</t>
  </si>
  <si>
    <t>Idaho Springs, CO</t>
  </si>
  <si>
    <t>Fairmount, IN</t>
  </si>
  <si>
    <t>Vevay, IN</t>
  </si>
  <si>
    <t>Monkton, MD</t>
  </si>
  <si>
    <t>Clinton, LA</t>
  </si>
  <si>
    <t>Todd Creek, CO</t>
  </si>
  <si>
    <t>Standish, MI</t>
  </si>
  <si>
    <t>Miramar Beach, FL</t>
  </si>
  <si>
    <t>Fincastle, VA</t>
  </si>
  <si>
    <t>Carlisle, OH</t>
  </si>
  <si>
    <t>Horse Cave, KY</t>
  </si>
  <si>
    <t>Loganton, PA</t>
  </si>
  <si>
    <t>Winfield, MO</t>
  </si>
  <si>
    <t>Union Gap, WA</t>
  </si>
  <si>
    <t>Chesterfield, SC</t>
  </si>
  <si>
    <t>Dresden, OH</t>
  </si>
  <si>
    <t>Oberlin, OH</t>
  </si>
  <si>
    <t>Seth, WV</t>
  </si>
  <si>
    <t>Bellevue, KY</t>
  </si>
  <si>
    <t>Shillington, PA</t>
  </si>
  <si>
    <t>Albany, OH</t>
  </si>
  <si>
    <t>Somerville, TX</t>
  </si>
  <si>
    <t>Ironton, MO</t>
  </si>
  <si>
    <t>Blanding, UT</t>
  </si>
  <si>
    <t>Butler, IN</t>
  </si>
  <si>
    <t>Maggie Valley, NC</t>
  </si>
  <si>
    <t>Roseville, OH</t>
  </si>
  <si>
    <t>Timber Pines, FL</t>
  </si>
  <si>
    <t>Glencoe, AL</t>
  </si>
  <si>
    <t>Magnolia, NJ</t>
  </si>
  <si>
    <t>West Haverstraw, NY</t>
  </si>
  <si>
    <t>Glasgow, MT</t>
  </si>
  <si>
    <t>Chatham, MA</t>
  </si>
  <si>
    <t>Greensboro, MD</t>
  </si>
  <si>
    <t>Flippin, AR</t>
  </si>
  <si>
    <t>Missouri Valley, IA</t>
  </si>
  <si>
    <t>Pinewood, SC</t>
  </si>
  <si>
    <t>Henrietta, TX</t>
  </si>
  <si>
    <t>Paxton, MA</t>
  </si>
  <si>
    <t>Maize, KS</t>
  </si>
  <si>
    <t>Bridgeport, PA</t>
  </si>
  <si>
    <t>Bristol, FL</t>
  </si>
  <si>
    <t>Woodruff, WI</t>
  </si>
  <si>
    <t>Oakland, OR</t>
  </si>
  <si>
    <t>Sandia Park, NM</t>
  </si>
  <si>
    <t>Remington, VA</t>
  </si>
  <si>
    <t>Millbury, OH</t>
  </si>
  <si>
    <t>Le Claire, IA</t>
  </si>
  <si>
    <t>Canterbury, CT</t>
  </si>
  <si>
    <t>Alexander, NC</t>
  </si>
  <si>
    <t>Colonial Pine Hills, SD</t>
  </si>
  <si>
    <t>Placitas, NM</t>
  </si>
  <si>
    <t>Westlake, TX</t>
  </si>
  <si>
    <t>Chase City, VA</t>
  </si>
  <si>
    <t>Eyota, MN</t>
  </si>
  <si>
    <t>Foxworth, MS</t>
  </si>
  <si>
    <t>Nottingham, NH</t>
  </si>
  <si>
    <t>King William, VA</t>
  </si>
  <si>
    <t>Lucama, NC</t>
  </si>
  <si>
    <t>Munroe Falls, OH</t>
  </si>
  <si>
    <t>Frazier Park, CA</t>
  </si>
  <si>
    <t>McLeansboro, IL</t>
  </si>
  <si>
    <t>Tobaccoville, NC</t>
  </si>
  <si>
    <t>Hiddenite, NC</t>
  </si>
  <si>
    <t>Pinetops, NC</t>
  </si>
  <si>
    <t>Morristown, VT</t>
  </si>
  <si>
    <t>Norlina, NC</t>
  </si>
  <si>
    <t>Sandstone, MN</t>
  </si>
  <si>
    <t>Carlisle, AR</t>
  </si>
  <si>
    <t>Tecumseh, OK</t>
  </si>
  <si>
    <t>Amanda, OH</t>
  </si>
  <si>
    <t>Waterbury, VT</t>
  </si>
  <si>
    <t>Leoma, TN</t>
  </si>
  <si>
    <t>Boiling Spring Lakes, NC</t>
  </si>
  <si>
    <t>Ontario, OH</t>
  </si>
  <si>
    <t>Cooperstown, NY</t>
  </si>
  <si>
    <t>Sugar Creek, WI</t>
  </si>
  <si>
    <t>Hugoton, KS</t>
  </si>
  <si>
    <t>Lyford, TX</t>
  </si>
  <si>
    <t>Margate City, NJ</t>
  </si>
  <si>
    <t>Fall Branch, TN</t>
  </si>
  <si>
    <t>Camanche, IA</t>
  </si>
  <si>
    <t>Sky Lake, FL</t>
  </si>
  <si>
    <t>Summerside, OH</t>
  </si>
  <si>
    <t>Jericho, VT</t>
  </si>
  <si>
    <t>Wolcott, NY</t>
  </si>
  <si>
    <t>Lamar, AR</t>
  </si>
  <si>
    <t>White Oak, TX</t>
  </si>
  <si>
    <t>Alpine, MI</t>
  </si>
  <si>
    <t>Oldfort, TN</t>
  </si>
  <si>
    <t>Columbia, NJ</t>
  </si>
  <si>
    <t>Nyssa, OR</t>
  </si>
  <si>
    <t>Dresden, TN</t>
  </si>
  <si>
    <t>Tyner, KY</t>
  </si>
  <si>
    <t>Bainbridge, OH</t>
  </si>
  <si>
    <t>Charlestown, NH</t>
  </si>
  <si>
    <t>Brodnax, VA</t>
  </si>
  <si>
    <t>Tonasket, WA</t>
  </si>
  <si>
    <t>Diamond Springs, CA</t>
  </si>
  <si>
    <t>Berwick, LA</t>
  </si>
  <si>
    <t>Blackville, SC</t>
  </si>
  <si>
    <t>Riverwoods, IL</t>
  </si>
  <si>
    <t>Normandy, MO</t>
  </si>
  <si>
    <t>Sneads, FL</t>
  </si>
  <si>
    <t>Taylor, PA</t>
  </si>
  <si>
    <t>Pecatonica, IL</t>
  </si>
  <si>
    <t>New Bethlehem, PA</t>
  </si>
  <si>
    <t>Gleneagle, CO</t>
  </si>
  <si>
    <t>Barto, PA</t>
  </si>
  <si>
    <t>Little Flock, AR</t>
  </si>
  <si>
    <t>Charleston, TN</t>
  </si>
  <si>
    <t>Philadelphia, TN</t>
  </si>
  <si>
    <t>Lawrenceville, VA</t>
  </si>
  <si>
    <t>Yuma, CO</t>
  </si>
  <si>
    <t>Lake Crystal, MN</t>
  </si>
  <si>
    <t>Guerneville, CA</t>
  </si>
  <si>
    <t>Cave City, AR</t>
  </si>
  <si>
    <t>Unicoi, TN</t>
  </si>
  <si>
    <t>Waverly, NE</t>
  </si>
  <si>
    <t>Vandalia, MO</t>
  </si>
  <si>
    <t>Mayflower, AR</t>
  </si>
  <si>
    <t>Geneva, FL</t>
  </si>
  <si>
    <t>Saint Augustine Beach, FL</t>
  </si>
  <si>
    <t>Berry, AL</t>
  </si>
  <si>
    <t>Pinetop, AZ</t>
  </si>
  <si>
    <t>Pearson, GA</t>
  </si>
  <si>
    <t>Dimmitt, TX</t>
  </si>
  <si>
    <t>Pauline, SC</t>
  </si>
  <si>
    <t>Airway Heights, WA</t>
  </si>
  <si>
    <t>Stevenson, AL</t>
  </si>
  <si>
    <t>Boswell, PA</t>
  </si>
  <si>
    <t>Wellton, AZ</t>
  </si>
  <si>
    <t>Lincoln, ME</t>
  </si>
  <si>
    <t>Cambria, CA</t>
  </si>
  <si>
    <t>Clayton, MI</t>
  </si>
  <si>
    <t>Sour Lake, TX</t>
  </si>
  <si>
    <t>Halifax, NC</t>
  </si>
  <si>
    <t>Palisade, CO</t>
  </si>
  <si>
    <t>Hudson, CO</t>
  </si>
  <si>
    <t>New Hope, AL</t>
  </si>
  <si>
    <t>Mount Jackson, VA</t>
  </si>
  <si>
    <t>Dacono, CO</t>
  </si>
  <si>
    <t>Gold Beach, OR</t>
  </si>
  <si>
    <t>Big Bear Lake, CA</t>
  </si>
  <si>
    <t>Dryden, MI</t>
  </si>
  <si>
    <t>Montgomery, MN</t>
  </si>
  <si>
    <t>Sag Harbor, NY</t>
  </si>
  <si>
    <t>Greenwich, OH</t>
  </si>
  <si>
    <t>Pamplico, SC</t>
  </si>
  <si>
    <t>Sturtevant, WI</t>
  </si>
  <si>
    <t>West Union, SC</t>
  </si>
  <si>
    <t>Snow Hill, MD</t>
  </si>
  <si>
    <t>Grapeland, TX</t>
  </si>
  <si>
    <t>Baxter, KY</t>
  </si>
  <si>
    <t>Phoenix, OR</t>
  </si>
  <si>
    <t>Scott City, KS</t>
  </si>
  <si>
    <t>Constantine, MI</t>
  </si>
  <si>
    <t>Lenox, MA</t>
  </si>
  <si>
    <t>Sherman, IL</t>
  </si>
  <si>
    <t>Henniker, NH</t>
  </si>
  <si>
    <t>Ore City, TX</t>
  </si>
  <si>
    <t>East Windsor, CT</t>
  </si>
  <si>
    <t>Newfane, NY</t>
  </si>
  <si>
    <t>Grabill, IN</t>
  </si>
  <si>
    <t>Conneaut Lake, PA</t>
  </si>
  <si>
    <t>Norway, ME</t>
  </si>
  <si>
    <t>Mount Shasta, CA</t>
  </si>
  <si>
    <t>West Newbury, MA</t>
  </si>
  <si>
    <t>Mulberry, AR</t>
  </si>
  <si>
    <t>Park Falls, WI</t>
  </si>
  <si>
    <t>San Leon, TX</t>
  </si>
  <si>
    <t>Stanton, TX</t>
  </si>
  <si>
    <t>Tallmadge, MI</t>
  </si>
  <si>
    <t>Circle Pines, MN</t>
  </si>
  <si>
    <t>Willacoochee, GA</t>
  </si>
  <si>
    <t>Maurepas, LA</t>
  </si>
  <si>
    <t>San Andreas, CA</t>
  </si>
  <si>
    <t>Auburn, PA</t>
  </si>
  <si>
    <t>Elkton, FL</t>
  </si>
  <si>
    <t>Buffalo, TX</t>
  </si>
  <si>
    <t>Leesburg, IN</t>
  </si>
  <si>
    <t>Demarest, NJ</t>
  </si>
  <si>
    <t>Hartland, MI</t>
  </si>
  <si>
    <t>Tolono, IL</t>
  </si>
  <si>
    <t>Huntertown, IN</t>
  </si>
  <si>
    <t>Mount Carmel, TN</t>
  </si>
  <si>
    <t>Freeport, FL</t>
  </si>
  <si>
    <t>Leighton, AL</t>
  </si>
  <si>
    <t>Granjeno, TX</t>
  </si>
  <si>
    <t>Santa Cruz, NM</t>
  </si>
  <si>
    <t>Fresno, OH</t>
  </si>
  <si>
    <t>Petersburg, IL</t>
  </si>
  <si>
    <t>Mineral Bluff, GA</t>
  </si>
  <si>
    <t>Jessup, PA</t>
  </si>
  <si>
    <t>Cumberland, WI</t>
  </si>
  <si>
    <t>Newton, NH</t>
  </si>
  <si>
    <t>Caledonia, IL</t>
  </si>
  <si>
    <t>Alum Creek, WV</t>
  </si>
  <si>
    <t>Silt, CO</t>
  </si>
  <si>
    <t>Bucksport, ME</t>
  </si>
  <si>
    <t>Umatilla, OR</t>
  </si>
  <si>
    <t>Dunkirk, WI</t>
  </si>
  <si>
    <t>Frackville, PA</t>
  </si>
  <si>
    <t>Genoa, OH</t>
  </si>
  <si>
    <t>Chisholm, MN</t>
  </si>
  <si>
    <t>Columbus, MT</t>
  </si>
  <si>
    <t>Tiptonville, TN</t>
  </si>
  <si>
    <t>Walnut, MS</t>
  </si>
  <si>
    <t>Cozad, NE</t>
  </si>
  <si>
    <t>Dwight, IL</t>
  </si>
  <si>
    <t>Prairie View, TX</t>
  </si>
  <si>
    <t>Gaston, OR</t>
  </si>
  <si>
    <t>Bolton, CT</t>
  </si>
  <si>
    <t>Edwardsville, PA</t>
  </si>
  <si>
    <t>Windsor Heights, IA</t>
  </si>
  <si>
    <t>Lake Barrington, IL</t>
  </si>
  <si>
    <t>McClure, PA</t>
  </si>
  <si>
    <t>Nashville, MI</t>
  </si>
  <si>
    <t>Woodlawn, VA</t>
  </si>
  <si>
    <t>Harmony, PA</t>
  </si>
  <si>
    <t>Watertown, MI</t>
  </si>
  <si>
    <t>Garfield, AR</t>
  </si>
  <si>
    <t>Kingston, OH</t>
  </si>
  <si>
    <t>Rienzi, MS</t>
  </si>
  <si>
    <t>Helendale, CA</t>
  </si>
  <si>
    <t>Arnold, PA</t>
  </si>
  <si>
    <t>Lindsborg, KS</t>
  </si>
  <si>
    <t>Silverton, OH</t>
  </si>
  <si>
    <t>Altamont, IL</t>
  </si>
  <si>
    <t>Brockway, PA</t>
  </si>
  <si>
    <t>Oakland City, IN</t>
  </si>
  <si>
    <t>Harpswell, ME</t>
  </si>
  <si>
    <t>Hillsboro, TN</t>
  </si>
  <si>
    <t>Leesburg, NJ</t>
  </si>
  <si>
    <t>Franklin, TX</t>
  </si>
  <si>
    <t>Millbrook, NY</t>
  </si>
  <si>
    <t>Evarts, KY</t>
  </si>
  <si>
    <t>Camden, NC</t>
  </si>
  <si>
    <t>Utica, MI</t>
  </si>
  <si>
    <t>Algoma, WI</t>
  </si>
  <si>
    <t>Orange Beach, AL</t>
  </si>
  <si>
    <t>Courtland, VA</t>
  </si>
  <si>
    <t>Wakefield, NH</t>
  </si>
  <si>
    <t>Fulton, IL</t>
  </si>
  <si>
    <t>Millerstown, PA</t>
  </si>
  <si>
    <t>Winona, TX</t>
  </si>
  <si>
    <t>Knightstown, IN</t>
  </si>
  <si>
    <t>Dry Fork, VA</t>
  </si>
  <si>
    <t>Menands, NY</t>
  </si>
  <si>
    <t>Calhan, CO</t>
  </si>
  <si>
    <t>Madison, IL</t>
  </si>
  <si>
    <t>Seward, AK</t>
  </si>
  <si>
    <t>East Garden City, NY</t>
  </si>
  <si>
    <t>Avilla, IN</t>
  </si>
  <si>
    <t>Westover, MD</t>
  </si>
  <si>
    <t>Tenaha, TX</t>
  </si>
  <si>
    <t>Berkeley, IL</t>
  </si>
  <si>
    <t>Verona, VA</t>
  </si>
  <si>
    <t>Durant, MS</t>
  </si>
  <si>
    <t>Elko New Market, MN</t>
  </si>
  <si>
    <t>Gladewater, TX</t>
  </si>
  <si>
    <t>Sabattus, ME</t>
  </si>
  <si>
    <t>Chariton, IA</t>
  </si>
  <si>
    <t>Enoree, SC</t>
  </si>
  <si>
    <t>Westby, WI</t>
  </si>
  <si>
    <t>Edgewater, CO</t>
  </si>
  <si>
    <t>Gatlinburg, TN</t>
  </si>
  <si>
    <t>Higganum, CT</t>
  </si>
  <si>
    <t>Carlton, OR</t>
  </si>
  <si>
    <t>Livingston Manor, NY</t>
  </si>
  <si>
    <t>Andrews, NC</t>
  </si>
  <si>
    <t>Nocona, TX</t>
  </si>
  <si>
    <t>Saint Johnsville, NY</t>
  </si>
  <si>
    <t>Port Barre, LA</t>
  </si>
  <si>
    <t>Factoryville, PA</t>
  </si>
  <si>
    <t>Tipton, IA</t>
  </si>
  <si>
    <t>Karnes City, TX</t>
  </si>
  <si>
    <t>Rescue, CA</t>
  </si>
  <si>
    <t>Saegertown, PA</t>
  </si>
  <si>
    <t>Clyde, NY</t>
  </si>
  <si>
    <t>West Blocton, AL</t>
  </si>
  <si>
    <t>Bourg, LA</t>
  </si>
  <si>
    <t>Cuba, NM</t>
  </si>
  <si>
    <t>Covington, IN</t>
  </si>
  <si>
    <t>Ona, WV</t>
  </si>
  <si>
    <t>Arcadia, LA</t>
  </si>
  <si>
    <t>Montezuma, GA</t>
  </si>
  <si>
    <t>Clarkson, KY</t>
  </si>
  <si>
    <t>Avondale Estates, GA</t>
  </si>
  <si>
    <t>Linden, CA</t>
  </si>
  <si>
    <t>Sodus, NY</t>
  </si>
  <si>
    <t>Wendell, ID</t>
  </si>
  <si>
    <t>Mount Vernon, GA</t>
  </si>
  <si>
    <t>Pleasant Run, OH</t>
  </si>
  <si>
    <t>Anacoco, LA</t>
  </si>
  <si>
    <t>Duryea, PA</t>
  </si>
  <si>
    <t>Davis, OK</t>
  </si>
  <si>
    <t>Camden, AL</t>
  </si>
  <si>
    <t>Bellevue, IA</t>
  </si>
  <si>
    <t>West Chazy, NY</t>
  </si>
  <si>
    <t>Penns Grove, NJ</t>
  </si>
  <si>
    <t>Boonville, NC</t>
  </si>
  <si>
    <t>West Bountiful, UT</t>
  </si>
  <si>
    <t>Bow, WA</t>
  </si>
  <si>
    <t>Gun Barrel City, TX</t>
  </si>
  <si>
    <t>Como, MS</t>
  </si>
  <si>
    <t>Upland, IN</t>
  </si>
  <si>
    <t>Seminary, MS</t>
  </si>
  <si>
    <t>Piggott, AR</t>
  </si>
  <si>
    <t>New Athens, IL</t>
  </si>
  <si>
    <t>Hollandale, MS</t>
  </si>
  <si>
    <t>Heyworth, IL</t>
  </si>
  <si>
    <t>Geneva, WI</t>
  </si>
  <si>
    <t>Leesville, SC</t>
  </si>
  <si>
    <t>Waldport, OR</t>
  </si>
  <si>
    <t>Mountville, PA</t>
  </si>
  <si>
    <t>Marietta, OK</t>
  </si>
  <si>
    <t>Chesterbrook, PA</t>
  </si>
  <si>
    <t>Monfort Heights East, OH</t>
  </si>
  <si>
    <t>Madison, VA</t>
  </si>
  <si>
    <t>Chatfield, MN</t>
  </si>
  <si>
    <t>Baker City, OR</t>
  </si>
  <si>
    <t>Young Harris, GA</t>
  </si>
  <si>
    <t>Riverton, IL</t>
  </si>
  <si>
    <t>Northfield, IL</t>
  </si>
  <si>
    <t>Ethridge, TN</t>
  </si>
  <si>
    <t>Lincoln, MA</t>
  </si>
  <si>
    <t>International Falls, MN</t>
  </si>
  <si>
    <t>Craigsville, WV</t>
  </si>
  <si>
    <t>Chaffee, MO</t>
  </si>
  <si>
    <t>West Liberty, IA</t>
  </si>
  <si>
    <t>Rising Fawn, GA</t>
  </si>
  <si>
    <t>Hamilton, TX</t>
  </si>
  <si>
    <t>East Tawas, MI</t>
  </si>
  <si>
    <t>Jefferson, IA</t>
  </si>
  <si>
    <t>Hawkins, TX</t>
  </si>
  <si>
    <t>Utica, MS</t>
  </si>
  <si>
    <t>Otisville, NY</t>
  </si>
  <si>
    <t>Barton, WI</t>
  </si>
  <si>
    <t>Broadalbin, NY</t>
  </si>
  <si>
    <t>Fayette, MO</t>
  </si>
  <si>
    <t>Trafalgar, IN</t>
  </si>
  <si>
    <t>Casey, IL</t>
  </si>
  <si>
    <t>Hemphill, TX</t>
  </si>
  <si>
    <t>Quantico, VA</t>
  </si>
  <si>
    <t>Ballinger, TX</t>
  </si>
  <si>
    <t>Middletown, IN</t>
  </si>
  <si>
    <t>Winner, SD</t>
  </si>
  <si>
    <t>Battle Mountain, NV</t>
  </si>
  <si>
    <t>East Moriches, NY</t>
  </si>
  <si>
    <t>Montrose-Ghent, OH</t>
  </si>
  <si>
    <t>Creston, OH</t>
  </si>
  <si>
    <t>North Brookfield, MA</t>
  </si>
  <si>
    <t>Zumbrota, MN</t>
  </si>
  <si>
    <t>Camino, CA</t>
  </si>
  <si>
    <t>Union Grove, AL</t>
  </si>
  <si>
    <t>Village of Lakewood, IL</t>
  </si>
  <si>
    <t>Riner, VA</t>
  </si>
  <si>
    <t>Weatherly, PA</t>
  </si>
  <si>
    <t>Plymouth, CA</t>
  </si>
  <si>
    <t>Mount Carmel, IL</t>
  </si>
  <si>
    <t>Fordyce, AR</t>
  </si>
  <si>
    <t>Geneva, IN</t>
  </si>
  <si>
    <t>Saint Croix Falls, WI</t>
  </si>
  <si>
    <t>Bailey, NC</t>
  </si>
  <si>
    <t>Mosheim, TN</t>
  </si>
  <si>
    <t>Ronceverte, WV</t>
  </si>
  <si>
    <t>Seat Pleasant, MD</t>
  </si>
  <si>
    <t>Newton, TX</t>
  </si>
  <si>
    <t>Blue Springs, MS</t>
  </si>
  <si>
    <t>Marion, AL</t>
  </si>
  <si>
    <t>Saint Marys, WV</t>
  </si>
  <si>
    <t>Juno Beach, FL</t>
  </si>
  <si>
    <t>Port Royal, SC</t>
  </si>
  <si>
    <t>Waimea, HI</t>
  </si>
  <si>
    <t>Milbank, SD</t>
  </si>
  <si>
    <t>Lewisburg, KY</t>
  </si>
  <si>
    <t>Dundee, OR</t>
  </si>
  <si>
    <t>Orleans, MA</t>
  </si>
  <si>
    <t>Laporte, MN</t>
  </si>
  <si>
    <t>Cameron, WI</t>
  </si>
  <si>
    <t>Warren, ME</t>
  </si>
  <si>
    <t>Clayton, AL</t>
  </si>
  <si>
    <t>Eutawville, SC</t>
  </si>
  <si>
    <t>Yanceyville, NC</t>
  </si>
  <si>
    <t>Cherry Grove, OH</t>
  </si>
  <si>
    <t>Templeton, MA</t>
  </si>
  <si>
    <t>Glendora, NJ</t>
  </si>
  <si>
    <t>Mc Cormick, SC</t>
  </si>
  <si>
    <t>O'' Neill, NE</t>
  </si>
  <si>
    <t>Rothschild, WI</t>
  </si>
  <si>
    <t>Weimar, TX</t>
  </si>
  <si>
    <t>West Middlesex, PA</t>
  </si>
  <si>
    <t>Riceville, TN</t>
  </si>
  <si>
    <t>Frenchtown, NJ</t>
  </si>
  <si>
    <t>Middleport, NY</t>
  </si>
  <si>
    <t>Georgia, VT</t>
  </si>
  <si>
    <t>Rock Valley, IA</t>
  </si>
  <si>
    <t>Meadow Vista, CA</t>
  </si>
  <si>
    <t>Dover Plains, NY</t>
  </si>
  <si>
    <t>Ashland, MO</t>
  </si>
  <si>
    <t>Hubbardston, MA</t>
  </si>
  <si>
    <t>West Union, WV</t>
  </si>
  <si>
    <t>Vale, OR</t>
  </si>
  <si>
    <t>McConnellsburg, PA</t>
  </si>
  <si>
    <t>Cedar Bluff, VA</t>
  </si>
  <si>
    <t>White Haven, PA</t>
  </si>
  <si>
    <t>Cumberland, IN</t>
  </si>
  <si>
    <t>Beloit, KS</t>
  </si>
  <si>
    <t>Oneida, WI</t>
  </si>
  <si>
    <t>Carrollton, MO</t>
  </si>
  <si>
    <t>Davenport, WA</t>
  </si>
  <si>
    <t>Anthony, FL</t>
  </si>
  <si>
    <t>Mount Zion, IL</t>
  </si>
  <si>
    <t>Farwell, MI</t>
  </si>
  <si>
    <t>Tennille, GA</t>
  </si>
  <si>
    <t>Lexington, IN</t>
  </si>
  <si>
    <t>Campo, CA</t>
  </si>
  <si>
    <t>Santa Teresa, NM</t>
  </si>
  <si>
    <t>West Pittston, PA</t>
  </si>
  <si>
    <t>Watertown, MN</t>
  </si>
  <si>
    <t>Cool, CA</t>
  </si>
  <si>
    <t>Ridgeley, WV</t>
  </si>
  <si>
    <t>Crooksville, OH</t>
  </si>
  <si>
    <t>Pine Mountain, GA</t>
  </si>
  <si>
    <t>Chester, SC</t>
  </si>
  <si>
    <t>Burke, NY</t>
  </si>
  <si>
    <t>Hinckley, MN</t>
  </si>
  <si>
    <t>Foster, RI</t>
  </si>
  <si>
    <t>Murrayville, GA</t>
  </si>
  <si>
    <t>Hortense, GA</t>
  </si>
  <si>
    <t>Lead, SD</t>
  </si>
  <si>
    <t>Scranton, SC</t>
  </si>
  <si>
    <t>Godley, TX</t>
  </si>
  <si>
    <t>Donora, PA</t>
  </si>
  <si>
    <t>Charleston, MS</t>
  </si>
  <si>
    <t>Dayton, MN</t>
  </si>
  <si>
    <t>Jayess, MS</t>
  </si>
  <si>
    <t>Vilas, NC</t>
  </si>
  <si>
    <t>Somerset, OH</t>
  </si>
  <si>
    <t>Donalds, SC</t>
  </si>
  <si>
    <t>Cross Roads, TX</t>
  </si>
  <si>
    <t>Elkins, AR</t>
  </si>
  <si>
    <t>Highland Lake, NJ</t>
  </si>
  <si>
    <t>Chamberlayne, VA</t>
  </si>
  <si>
    <t>New London, MN</t>
  </si>
  <si>
    <t>Frederick, OK</t>
  </si>
  <si>
    <t>Brielle, NJ</t>
  </si>
  <si>
    <t>Harlan, KY</t>
  </si>
  <si>
    <t>North Berwick, ME</t>
  </si>
  <si>
    <t>Southport, NC</t>
  </si>
  <si>
    <t>Haynesville, LA</t>
  </si>
  <si>
    <t>Bay Harbor Islands, FL</t>
  </si>
  <si>
    <t>Robbins, IL</t>
  </si>
  <si>
    <t>Elmore, AL</t>
  </si>
  <si>
    <t>Fairfax, VT</t>
  </si>
  <si>
    <t>Sadieville, KY</t>
  </si>
  <si>
    <t>Greenfield Center, NY</t>
  </si>
  <si>
    <t>Morris, AL</t>
  </si>
  <si>
    <t>Pitkin, LA</t>
  </si>
  <si>
    <t>Iowa Park, TX</t>
  </si>
  <si>
    <t>Raven, VA</t>
  </si>
  <si>
    <t>Southold, NY</t>
  </si>
  <si>
    <t>North Kansas City, MO</t>
  </si>
  <si>
    <t>Lake Hallie, WI</t>
  </si>
  <si>
    <t>Manchester, GA</t>
  </si>
  <si>
    <t>Fountain Hill, PA</t>
  </si>
  <si>
    <t>Veedersburg, IN</t>
  </si>
  <si>
    <t>White Marsh, MD</t>
  </si>
  <si>
    <t>Barnstead, NH</t>
  </si>
  <si>
    <t>Unadilla, GA</t>
  </si>
  <si>
    <t>Augusta, MI</t>
  </si>
  <si>
    <t>Fremont, NH</t>
  </si>
  <si>
    <t>Laurel Hill, NC</t>
  </si>
  <si>
    <t>San Joaquin, CA</t>
  </si>
  <si>
    <t>Antlers, OK</t>
  </si>
  <si>
    <t>Dewey, OK</t>
  </si>
  <si>
    <t>Richmond, MN</t>
  </si>
  <si>
    <t>Berlin, PA</t>
  </si>
  <si>
    <t>Bulls Gap, TN</t>
  </si>
  <si>
    <t>Sawmills, NC</t>
  </si>
  <si>
    <t>Upper Sandusky, OH</t>
  </si>
  <si>
    <t>Dexter, NY</t>
  </si>
  <si>
    <t>Murphys, CA</t>
  </si>
  <si>
    <t>Randolph, VT</t>
  </si>
  <si>
    <t>Garden Valley, CA</t>
  </si>
  <si>
    <t>Oglethorpe, GA</t>
  </si>
  <si>
    <t>South Charleston, OH</t>
  </si>
  <si>
    <t>Hampton, NJ</t>
  </si>
  <si>
    <t>Novelty, OH</t>
  </si>
  <si>
    <t>Bronson, FL</t>
  </si>
  <si>
    <t>Ovid, MI</t>
  </si>
  <si>
    <t>White Castle, LA</t>
  </si>
  <si>
    <t>Plainfield, MI</t>
  </si>
  <si>
    <t>Zebulon, GA</t>
  </si>
  <si>
    <t>South Pasadena, FL</t>
  </si>
  <si>
    <t>Preston, CT</t>
  </si>
  <si>
    <t>Dellwood, MO</t>
  </si>
  <si>
    <t>Alanson, MI</t>
  </si>
  <si>
    <t>White City, UT</t>
  </si>
  <si>
    <t>Madison, ME</t>
  </si>
  <si>
    <t>North Baltimore, OH</t>
  </si>
  <si>
    <t>Gibsonia, FL</t>
  </si>
  <si>
    <t>Pine Grove, CA</t>
  </si>
  <si>
    <t>Buchanan, VA</t>
  </si>
  <si>
    <t>Napoleon, OH</t>
  </si>
  <si>
    <t>Juliette, GA</t>
  </si>
  <si>
    <t>Louisiana, MO</t>
  </si>
  <si>
    <t>Blue Grass, IA</t>
  </si>
  <si>
    <t>Darlington, WI</t>
  </si>
  <si>
    <t>North Liberty, IN</t>
  </si>
  <si>
    <t>Jay, ME</t>
  </si>
  <si>
    <t>Chattahoochee, FL</t>
  </si>
  <si>
    <t>Daleville, AL</t>
  </si>
  <si>
    <t>Gibsonburg, OH</t>
  </si>
  <si>
    <t>Malvern, OH</t>
  </si>
  <si>
    <t>Corfu, NY</t>
  </si>
  <si>
    <t>Wheatland, CA</t>
  </si>
  <si>
    <t>Cherry Valley, IL</t>
  </si>
  <si>
    <t>Bagley, MN</t>
  </si>
  <si>
    <t>Dearing, GA</t>
  </si>
  <si>
    <t>Herman, WI</t>
  </si>
  <si>
    <t>Coalville, UT</t>
  </si>
  <si>
    <t>Burlington, CO</t>
  </si>
  <si>
    <t>Colfax, WA</t>
  </si>
  <si>
    <t>Red Boiling Springs, TN</t>
  </si>
  <si>
    <t>Gibbstown, NJ</t>
  </si>
  <si>
    <t>Waldoboro, ME</t>
  </si>
  <si>
    <t>Homer, MI</t>
  </si>
  <si>
    <t>Minonk, IL</t>
  </si>
  <si>
    <t>Parsons, TN</t>
  </si>
  <si>
    <t>Satsuma, FL</t>
  </si>
  <si>
    <t>Blountsville, AL</t>
  </si>
  <si>
    <t>Milton, NH</t>
  </si>
  <si>
    <t>Bonsall, CA</t>
  </si>
  <si>
    <t>Connell, WA</t>
  </si>
  <si>
    <t>Hartford City, IN</t>
  </si>
  <si>
    <t>Ranson, WV</t>
  </si>
  <si>
    <t>Washington, TX</t>
  </si>
  <si>
    <t>Pembroke, NH</t>
  </si>
  <si>
    <t>Laie, HI</t>
  </si>
  <si>
    <t>Brentwood, NH</t>
  </si>
  <si>
    <t>Hidden Valley, IN</t>
  </si>
  <si>
    <t>Prescott, MI</t>
  </si>
  <si>
    <t>Eagar, AZ</t>
  </si>
  <si>
    <t>Sulligent, AL</t>
  </si>
  <si>
    <t>Tahoka, TX</t>
  </si>
  <si>
    <t>Westville, IL</t>
  </si>
  <si>
    <t>Hollis, ME</t>
  </si>
  <si>
    <t>Divide, CO</t>
  </si>
  <si>
    <t>Pine Brook, NJ</t>
  </si>
  <si>
    <t>West Point, NE</t>
  </si>
  <si>
    <t>State Line, MS</t>
  </si>
  <si>
    <t>Raymond, ME</t>
  </si>
  <si>
    <t>Loudonville, OH</t>
  </si>
  <si>
    <t>Manhattan, MT</t>
  </si>
  <si>
    <t>Haverhill, NH</t>
  </si>
  <si>
    <t>Montgomery, WV</t>
  </si>
  <si>
    <t>Kennedy, CA</t>
  </si>
  <si>
    <t>Horicon, WI</t>
  </si>
  <si>
    <t>Grayson Valley, AL</t>
  </si>
  <si>
    <t>Lindale, GA</t>
  </si>
  <si>
    <t>Lauderdale, MS</t>
  </si>
  <si>
    <t>Manistique, MI</t>
  </si>
  <si>
    <t>Claysville, PA</t>
  </si>
  <si>
    <t>Paulina, LA</t>
  </si>
  <si>
    <t>Vivian, LA</t>
  </si>
  <si>
    <t>Bellbrook, OH</t>
  </si>
  <si>
    <t>Epsom, NH</t>
  </si>
  <si>
    <t>Eagleville, PA</t>
  </si>
  <si>
    <t>Posen, IL</t>
  </si>
  <si>
    <t>Nesquehoning, PA</t>
  </si>
  <si>
    <t>Stone Park, IL</t>
  </si>
  <si>
    <t>Midland, PA</t>
  </si>
  <si>
    <t>Turtle, WI</t>
  </si>
  <si>
    <t>Carmody Hills-Pepper Mill Village, MD</t>
  </si>
  <si>
    <t>Hope, IN</t>
  </si>
  <si>
    <t>Delanson, NY</t>
  </si>
  <si>
    <t>Penngrove, CA</t>
  </si>
  <si>
    <t>Garrison, TX</t>
  </si>
  <si>
    <t>Dyer, TN</t>
  </si>
  <si>
    <t>Whitehall, NY</t>
  </si>
  <si>
    <t>Hawley, MN</t>
  </si>
  <si>
    <t>Glenburn, ME</t>
  </si>
  <si>
    <t>Anahuac, TX</t>
  </si>
  <si>
    <t>Shenandoah, VA</t>
  </si>
  <si>
    <t>Rushville, IL</t>
  </si>
  <si>
    <t>Saranac, MI</t>
  </si>
  <si>
    <t>Kirkville, NY</t>
  </si>
  <si>
    <t>New Haven, KY</t>
  </si>
  <si>
    <t>Roan Mountain, TN</t>
  </si>
  <si>
    <t>Freeport, PA</t>
  </si>
  <si>
    <t>Concord, VA</t>
  </si>
  <si>
    <t>Tazewell, VA</t>
  </si>
  <si>
    <t>Saint Helen, MI</t>
  </si>
  <si>
    <t>New Haven, MO</t>
  </si>
  <si>
    <t>Castleton, VT</t>
  </si>
  <si>
    <t>Altavista, VA</t>
  </si>
  <si>
    <t>East Quogue, NY</t>
  </si>
  <si>
    <t>Emporium, PA</t>
  </si>
  <si>
    <t>Ovilla, TX</t>
  </si>
  <si>
    <t>Waterloo, IN</t>
  </si>
  <si>
    <t>Carson City, MI</t>
  </si>
  <si>
    <t>Olathe, CO</t>
  </si>
  <si>
    <t>Enfield, NH</t>
  </si>
  <si>
    <t>Dauphin, PA</t>
  </si>
  <si>
    <t>Girard, KS</t>
  </si>
  <si>
    <t>Dresher, PA</t>
  </si>
  <si>
    <t>Hinesburg, VT</t>
  </si>
  <si>
    <t>Florissant, CO</t>
  </si>
  <si>
    <t>Gerrardstown, WV</t>
  </si>
  <si>
    <t>Augusta, WI</t>
  </si>
  <si>
    <t>Kalona, IA</t>
  </si>
  <si>
    <t>Reddick, FL</t>
  </si>
  <si>
    <t>Brent, AL</t>
  </si>
  <si>
    <t>Perry, UT</t>
  </si>
  <si>
    <t>Lena, MS</t>
  </si>
  <si>
    <t>Henderson, TN</t>
  </si>
  <si>
    <t>Gibraltar, MI</t>
  </si>
  <si>
    <t>Harrington Park, NJ</t>
  </si>
  <si>
    <t>South Bound Brook, NJ</t>
  </si>
  <si>
    <t>Valley City, OH</t>
  </si>
  <si>
    <t>Wynnewood, OK</t>
  </si>
  <si>
    <t>Port Byron, NY</t>
  </si>
  <si>
    <t>Wheatly Heights, NY</t>
  </si>
  <si>
    <t>Ottawa, WI</t>
  </si>
  <si>
    <t>Myrtle Point, OR</t>
  </si>
  <si>
    <t>Dexter, NM</t>
  </si>
  <si>
    <t>Phillips, WI</t>
  </si>
  <si>
    <t>Friendship, WI</t>
  </si>
  <si>
    <t>Morongo Valley, CA</t>
  </si>
  <si>
    <t>Highlands-Baywood Park, CA</t>
  </si>
  <si>
    <t>Bedford, KY</t>
  </si>
  <si>
    <t>Centerport, NY</t>
  </si>
  <si>
    <t>Bunker Hill, IN</t>
  </si>
  <si>
    <t>Coal City, IL</t>
  </si>
  <si>
    <t>Medway, OH</t>
  </si>
  <si>
    <t>Elizabeth, IN</t>
  </si>
  <si>
    <t>Curwensville, PA</t>
  </si>
  <si>
    <t>Townville, SC</t>
  </si>
  <si>
    <t>Spencerville, OH</t>
  </si>
  <si>
    <t>Ravena, NY</t>
  </si>
  <si>
    <t>Rock Hill, MO</t>
  </si>
  <si>
    <t>Lochbuie, CO</t>
  </si>
  <si>
    <t>Gassaway, WV</t>
  </si>
  <si>
    <t>Howe, IN</t>
  </si>
  <si>
    <t>Winona Lake, IN</t>
  </si>
  <si>
    <t>Northvale, NJ</t>
  </si>
  <si>
    <t>Harmony, NC</t>
  </si>
  <si>
    <t>Tremont, IL</t>
  </si>
  <si>
    <t>Montgomery City, MO</t>
  </si>
  <si>
    <t>Williamsburg, IA</t>
  </si>
  <si>
    <t>Homedale, ID</t>
  </si>
  <si>
    <t>Lebanon Junction, KY</t>
  </si>
  <si>
    <t>Emmetsburg, IA</t>
  </si>
  <si>
    <t>Noel, MO</t>
  </si>
  <si>
    <t>Culloden, WV</t>
  </si>
  <si>
    <t>Mount Pleasant, IA</t>
  </si>
  <si>
    <t>Palmyra, IN</t>
  </si>
  <si>
    <t>Glen Raven, NC</t>
  </si>
  <si>
    <t>Double Springs, AL</t>
  </si>
  <si>
    <t>Granby, MO</t>
  </si>
  <si>
    <t>Avon, MA</t>
  </si>
  <si>
    <t>Mesa, WA</t>
  </si>
  <si>
    <t>Lost Creek, TX</t>
  </si>
  <si>
    <t>Santee, SC</t>
  </si>
  <si>
    <t>Mission Hills, KS</t>
  </si>
  <si>
    <t>Royal, AR</t>
  </si>
  <si>
    <t>Saint Bernard, LA</t>
  </si>
  <si>
    <t>Gothenburg, NE</t>
  </si>
  <si>
    <t>Hutchins, TX</t>
  </si>
  <si>
    <t>Ellerbe, NC</t>
  </si>
  <si>
    <t>Morganton, GA</t>
  </si>
  <si>
    <t>Mount Ephraim, NJ</t>
  </si>
  <si>
    <t>Edwardsville, KS</t>
  </si>
  <si>
    <t>Havana, IL</t>
  </si>
  <si>
    <t>Eureka, MT</t>
  </si>
  <si>
    <t>Spring Green, WI</t>
  </si>
  <si>
    <t>Ball, LA</t>
  </si>
  <si>
    <t>Nathalie, VA</t>
  </si>
  <si>
    <t>Indian River Shores, FL</t>
  </si>
  <si>
    <t>North Hampton, NH</t>
  </si>
  <si>
    <t>Necedah, WI</t>
  </si>
  <si>
    <t>Blue Ridge, VA</t>
  </si>
  <si>
    <t>Deep River, CT</t>
  </si>
  <si>
    <t>Pleasant View, TN</t>
  </si>
  <si>
    <t>Lyons, KS</t>
  </si>
  <si>
    <t>Westville, FL</t>
  </si>
  <si>
    <t>Spencer, WI</t>
  </si>
  <si>
    <t>Farrell, PA</t>
  </si>
  <si>
    <t>Stamping Ground, KY</t>
  </si>
  <si>
    <t>Deerfield, NH</t>
  </si>
  <si>
    <t>Valley Mills, TX</t>
  </si>
  <si>
    <t>Pierson, FL</t>
  </si>
  <si>
    <t>Jackson, SC</t>
  </si>
  <si>
    <t>Anna, OH</t>
  </si>
  <si>
    <t>Adamstown, MD</t>
  </si>
  <si>
    <t>Sea Cliff, NY</t>
  </si>
  <si>
    <t>Townsend, MT</t>
  </si>
  <si>
    <t>Kittrell, NC</t>
  </si>
  <si>
    <t>Downsville, LA</t>
  </si>
  <si>
    <t>Fulton, WI</t>
  </si>
  <si>
    <t>Cassatt, SC</t>
  </si>
  <si>
    <t>Delanco Township, NJ</t>
  </si>
  <si>
    <t>Masontown, PA</t>
  </si>
  <si>
    <t>Rutland, MI</t>
  </si>
  <si>
    <t>Elberfeld, IN</t>
  </si>
  <si>
    <t>Campbell Hall, NY</t>
  </si>
  <si>
    <t>Steilacoom, WA</t>
  </si>
  <si>
    <t>Earlysville, VA</t>
  </si>
  <si>
    <t>Port Reading, NJ</t>
  </si>
  <si>
    <t>West Reading, PA</t>
  </si>
  <si>
    <t>Moro, IL</t>
  </si>
  <si>
    <t>Blue Point, NY</t>
  </si>
  <si>
    <t>Ocean View, NJ</t>
  </si>
  <si>
    <t>Rimrock, AZ</t>
  </si>
  <si>
    <t>Edgewood, TX</t>
  </si>
  <si>
    <t>Lee, NH</t>
  </si>
  <si>
    <t>Abram-Perezville, TX</t>
  </si>
  <si>
    <t>Story City, IA</t>
  </si>
  <si>
    <t>Florence, NJ</t>
  </si>
  <si>
    <t>Pollocksville, NC</t>
  </si>
  <si>
    <t>Rolesville, NC</t>
  </si>
  <si>
    <t>Montgomery, GA</t>
  </si>
  <si>
    <t>Oakboro, NC</t>
  </si>
  <si>
    <t>Mount Olympus, UT</t>
  </si>
  <si>
    <t>Fredonia, WI</t>
  </si>
  <si>
    <t>Teutopolis, IL</t>
  </si>
  <si>
    <t>Eddyville, KY</t>
  </si>
  <si>
    <t>Kingman, KS</t>
  </si>
  <si>
    <t>Suncook, NH</t>
  </si>
  <si>
    <t>Sherborn, MA</t>
  </si>
  <si>
    <t>Racine, OH</t>
  </si>
  <si>
    <t>Salem, AR</t>
  </si>
  <si>
    <t>Progreso, TX</t>
  </si>
  <si>
    <t>Webberville, MI</t>
  </si>
  <si>
    <t>Riverside, MO</t>
  </si>
  <si>
    <t>Fort Branch, IN</t>
  </si>
  <si>
    <t>Blue Earth, MN</t>
  </si>
  <si>
    <t>Castle Hills, TX</t>
  </si>
  <si>
    <t>Hidden Valley Lake, CA</t>
  </si>
  <si>
    <t>Newburg, PA</t>
  </si>
  <si>
    <t>Tipton, CA</t>
  </si>
  <si>
    <t>Lyman, ME</t>
  </si>
  <si>
    <t>Staunton, IL</t>
  </si>
  <si>
    <t>Algona, WA</t>
  </si>
  <si>
    <t>Harwood, MD</t>
  </si>
  <si>
    <t>Halls, TN</t>
  </si>
  <si>
    <t>Pacific, MO</t>
  </si>
  <si>
    <t>Camden, ME</t>
  </si>
  <si>
    <t>Marcellus, MI</t>
  </si>
  <si>
    <t>Enterprise, FL</t>
  </si>
  <si>
    <t>Henning, TN</t>
  </si>
  <si>
    <t>Independence, VA</t>
  </si>
  <si>
    <t>Waveland, MS</t>
  </si>
  <si>
    <t>Hinton, OK</t>
  </si>
  <si>
    <t>Caseyville, IL</t>
  </si>
  <si>
    <t>Fox River Grove, IL</t>
  </si>
  <si>
    <t>Thornwood, NY</t>
  </si>
  <si>
    <t>Starr, SC</t>
  </si>
  <si>
    <t>Panama, NE</t>
  </si>
  <si>
    <t>Stowe, VT</t>
  </si>
  <si>
    <t>Westwood, KY</t>
  </si>
  <si>
    <t>Ottawa Hills, OH</t>
  </si>
  <si>
    <t>Canaan, CT</t>
  </si>
  <si>
    <t>Boylston, MA</t>
  </si>
  <si>
    <t>Garner, IA</t>
  </si>
  <si>
    <t>Johnson City, TX</t>
  </si>
  <si>
    <t>Whiteland, IN</t>
  </si>
  <si>
    <t>Walland, TN</t>
  </si>
  <si>
    <t>Smethport, PA</t>
  </si>
  <si>
    <t>Montebello, NY</t>
  </si>
  <si>
    <t>Fordland, MO</t>
  </si>
  <si>
    <t>Paden, OK</t>
  </si>
  <si>
    <t>Churchville, PA</t>
  </si>
  <si>
    <t>Fort Jennings, OH</t>
  </si>
  <si>
    <t>Loretto, TN</t>
  </si>
  <si>
    <t>Lacy-Lakeview, TX</t>
  </si>
  <si>
    <t>New Baden, IL</t>
  </si>
  <si>
    <t>Morley, MI</t>
  </si>
  <si>
    <t>Waverly Hall, GA</t>
  </si>
  <si>
    <t>Benson, MN</t>
  </si>
  <si>
    <t>Mantachie, MS</t>
  </si>
  <si>
    <t>Jackson, MN</t>
  </si>
  <si>
    <t>Salmon, ID</t>
  </si>
  <si>
    <t>Eminence, KY</t>
  </si>
  <si>
    <t>Hennessey, OK</t>
  </si>
  <si>
    <t>Windham, OH</t>
  </si>
  <si>
    <t>Alamo, GA</t>
  </si>
  <si>
    <t>Nicholson, GA</t>
  </si>
  <si>
    <t>East Dundee, IL</t>
  </si>
  <si>
    <t>Mackinaw, IL</t>
  </si>
  <si>
    <t>Holland Patent, NY</t>
  </si>
  <si>
    <t>Winchester, CT</t>
  </si>
  <si>
    <t>Crane, TX</t>
  </si>
  <si>
    <t>Green Park, MO</t>
  </si>
  <si>
    <t>Randolph, WI</t>
  </si>
  <si>
    <t>Byesville, OH</t>
  </si>
  <si>
    <t>Coopersville, MI</t>
  </si>
  <si>
    <t>Culleoka, TN</t>
  </si>
  <si>
    <t>Olivet, MI</t>
  </si>
  <si>
    <t>Cream Ridge, NJ</t>
  </si>
  <si>
    <t>Shiner, TX</t>
  </si>
  <si>
    <t>West Lafayette, OH</t>
  </si>
  <si>
    <t>Walsenburg, CO</t>
  </si>
  <si>
    <t>Eastham, MA</t>
  </si>
  <si>
    <t>Timberville, VA</t>
  </si>
  <si>
    <t>Portola Valley, CA</t>
  </si>
  <si>
    <t>Beaverdam, VA</t>
  </si>
  <si>
    <t>New London, NH</t>
  </si>
  <si>
    <t>Paint Lick, KY</t>
  </si>
  <si>
    <t>Madeira Beach, FL</t>
  </si>
  <si>
    <t>Robinson, IL</t>
  </si>
  <si>
    <t>Newbury, OH</t>
  </si>
  <si>
    <t>Quitman, AR</t>
  </si>
  <si>
    <t>Flourtown, PA</t>
  </si>
  <si>
    <t>Brunswick, MD</t>
  </si>
  <si>
    <t>Sarcoxie, MO</t>
  </si>
  <si>
    <t>New Prague, MN</t>
  </si>
  <si>
    <t>Waikoloa, HI</t>
  </si>
  <si>
    <t>Canadian, TX</t>
  </si>
  <si>
    <t>Deerfield, WI</t>
  </si>
  <si>
    <t>Needles, CA</t>
  </si>
  <si>
    <t>Middlefield, CT</t>
  </si>
  <si>
    <t>Nashville, NC</t>
  </si>
  <si>
    <t>Janesville, MN</t>
  </si>
  <si>
    <t>Harris, MN</t>
  </si>
  <si>
    <t>Clinton, WA</t>
  </si>
  <si>
    <t>Lake Panasoffkee, FL</t>
  </si>
  <si>
    <t>Du Quoin, IL</t>
  </si>
  <si>
    <t>Catlett, VA</t>
  </si>
  <si>
    <t>Ashland, NE</t>
  </si>
  <si>
    <t>Edwards, MS</t>
  </si>
  <si>
    <t>Holton, MI</t>
  </si>
  <si>
    <t>Glassport, PA</t>
  </si>
  <si>
    <t>Telford, TN</t>
  </si>
  <si>
    <t>Decaturville, TN</t>
  </si>
  <si>
    <t>Hughes Springs, TX</t>
  </si>
  <si>
    <t>Gladys, VA</t>
  </si>
  <si>
    <t>Crawley, WV</t>
  </si>
  <si>
    <t>Gravois Mills, MO</t>
  </si>
  <si>
    <t>Mullens, WV</t>
  </si>
  <si>
    <t>Clearlake Oaks, CA</t>
  </si>
  <si>
    <t>Cedar Hill, TN</t>
  </si>
  <si>
    <t>Aromas, CA</t>
  </si>
  <si>
    <t>Cecilia, KY</t>
  </si>
  <si>
    <t>Greeleyville, SC</t>
  </si>
  <si>
    <t>Bicknell, IN</t>
  </si>
  <si>
    <t>Byram Township, NJ</t>
  </si>
  <si>
    <t>Whitesburg, TN</t>
  </si>
  <si>
    <t>Lake City, PA</t>
  </si>
  <si>
    <t>Saint Bernard, OH</t>
  </si>
  <si>
    <t>Sidney, ME</t>
  </si>
  <si>
    <t>Fredonia, AZ</t>
  </si>
  <si>
    <t>Woodburn, IN</t>
  </si>
  <si>
    <t>Lake Village, AR</t>
  </si>
  <si>
    <t>Clay City, KY</t>
  </si>
  <si>
    <t>Fulton, KY</t>
  </si>
  <si>
    <t>Mount Carmel, OH</t>
  </si>
  <si>
    <t>Rainsville, AL</t>
  </si>
  <si>
    <t>Perrysville, OH</t>
  </si>
  <si>
    <t>Henagar, AL</t>
  </si>
  <si>
    <t>Ely, IA</t>
  </si>
  <si>
    <t>Steele, MO</t>
  </si>
  <si>
    <t>Mc Donald, OH</t>
  </si>
  <si>
    <t>Ragland, AL</t>
  </si>
  <si>
    <t>New Bloomfield, PA</t>
  </si>
  <si>
    <t>Woodlyn, PA</t>
  </si>
  <si>
    <t>Glen Dale, WV</t>
  </si>
  <si>
    <t>Benton, TN</t>
  </si>
  <si>
    <t>Esko, MN</t>
  </si>
  <si>
    <t>East Palatka, FL</t>
  </si>
  <si>
    <t>Amberley, OH</t>
  </si>
  <si>
    <t>Belington, WV</t>
  </si>
  <si>
    <t>Woodlawn, TN</t>
  </si>
  <si>
    <t>Rosedale, IN</t>
  </si>
  <si>
    <t>Vassalboro, ME</t>
  </si>
  <si>
    <t>San Juan Bautista, CA</t>
  </si>
  <si>
    <t>Wolverine Lake, MI</t>
  </si>
  <si>
    <t>East Dubuque, IL</t>
  </si>
  <si>
    <t>Baldwin, MD</t>
  </si>
  <si>
    <t>Garwood, NJ</t>
  </si>
  <si>
    <t>Grand Island, FL</t>
  </si>
  <si>
    <t>Brewton, AL</t>
  </si>
  <si>
    <t>Ossipee, NH</t>
  </si>
  <si>
    <t>Cornville, AZ</t>
  </si>
  <si>
    <t>Harold, KY</t>
  </si>
  <si>
    <t>Clarksville, OH</t>
  </si>
  <si>
    <t>Mayodan, NC</t>
  </si>
  <si>
    <t>Cumberland, KY</t>
  </si>
  <si>
    <t>Woodsfield, OH</t>
  </si>
  <si>
    <t>South Barrington, IL</t>
  </si>
  <si>
    <t>Garland, NC</t>
  </si>
  <si>
    <t>Seaside, OR</t>
  </si>
  <si>
    <t>Silver Creek, MS</t>
  </si>
  <si>
    <t>Mayville, MI</t>
  </si>
  <si>
    <t>Hudson, IL</t>
  </si>
  <si>
    <t>North Sioux City, SD</t>
  </si>
  <si>
    <t>Marmora, NJ</t>
  </si>
  <si>
    <t>Fowler, IN</t>
  </si>
  <si>
    <t>Mount Angel, OR</t>
  </si>
  <si>
    <t>Marengo, IA</t>
  </si>
  <si>
    <t>Ash Grove, MO</t>
  </si>
  <si>
    <t>Bloomfield, MO</t>
  </si>
  <si>
    <t>Perryopolis, PA</t>
  </si>
  <si>
    <t>Vienna, IL</t>
  </si>
  <si>
    <t>Clymer, PA</t>
  </si>
  <si>
    <t>Lyons, CO</t>
  </si>
  <si>
    <t>Houston, MO</t>
  </si>
  <si>
    <t>Maysville, NC</t>
  </si>
  <si>
    <t>Bolton, MS</t>
  </si>
  <si>
    <t>Banks, OR</t>
  </si>
  <si>
    <t>Lake Arthur, LA</t>
  </si>
  <si>
    <t>Mountain View, HI</t>
  </si>
  <si>
    <t>Byron, MI</t>
  </si>
  <si>
    <t>Ellsworth, KS</t>
  </si>
  <si>
    <t>Lincoln Village, CA</t>
  </si>
  <si>
    <t>Anthony, TX</t>
  </si>
  <si>
    <t>Hominy, OK</t>
  </si>
  <si>
    <t>Luverne, AL</t>
  </si>
  <si>
    <t>Andover, NJ</t>
  </si>
  <si>
    <t>Glenville, WV</t>
  </si>
  <si>
    <t>Slaughterville, OK</t>
  </si>
  <si>
    <t>Northwood, NH</t>
  </si>
  <si>
    <t>Wake Village, TX</t>
  </si>
  <si>
    <t>Kellyton, AL</t>
  </si>
  <si>
    <t>Mendota, IL</t>
  </si>
  <si>
    <t>Turners Falls, MA</t>
  </si>
  <si>
    <t>Iota, LA</t>
  </si>
  <si>
    <t>Boonton Township, NJ</t>
  </si>
  <si>
    <t>Doffing, TX</t>
  </si>
  <si>
    <t>Calhoun, KY</t>
  </si>
  <si>
    <t>Seaside Heights, NJ</t>
  </si>
  <si>
    <t>Cambridge, NY</t>
  </si>
  <si>
    <t>Marathon, WI</t>
  </si>
  <si>
    <t>East Petersburg, PA</t>
  </si>
  <si>
    <t>Hanover, VA</t>
  </si>
  <si>
    <t>Jarratt, VA</t>
  </si>
  <si>
    <t>Millinocket, ME</t>
  </si>
  <si>
    <t>Versailles, IN</t>
  </si>
  <si>
    <t>Malone, WI</t>
  </si>
  <si>
    <t>Gregory, MI</t>
  </si>
  <si>
    <t>Livingston, TX</t>
  </si>
  <si>
    <t>Rutland, WI</t>
  </si>
  <si>
    <t>Arundel, ME</t>
  </si>
  <si>
    <t>Thorp, WI</t>
  </si>
  <si>
    <t>New Paris, OH</t>
  </si>
  <si>
    <t>Glen Arm, MD</t>
  </si>
  <si>
    <t>Meadowview, VA</t>
  </si>
  <si>
    <t>Zwolle, LA</t>
  </si>
  <si>
    <t>Granger, WA</t>
  </si>
  <si>
    <t>Tipton, MO</t>
  </si>
  <si>
    <t>Hometown, IL</t>
  </si>
  <si>
    <t>Mountain Lakes, NJ</t>
  </si>
  <si>
    <t>Gates, NC</t>
  </si>
  <si>
    <t>Edgar, WI</t>
  </si>
  <si>
    <t>Manchester, OH</t>
  </si>
  <si>
    <t>Minocqua, WI</t>
  </si>
  <si>
    <t>Westtown, NY</t>
  </si>
  <si>
    <t>Beloit, OH</t>
  </si>
  <si>
    <t>China Village, ME</t>
  </si>
  <si>
    <t>Georgetown, IL</t>
  </si>
  <si>
    <t>Brisbane, CA</t>
  </si>
  <si>
    <t>Brookwood, AL</t>
  </si>
  <si>
    <t>Barling, AR</t>
  </si>
  <si>
    <t>Fayette, MS</t>
  </si>
  <si>
    <t>Clinchco, VA</t>
  </si>
  <si>
    <t>Silver Springs, NV</t>
  </si>
  <si>
    <t>Manchester, VT</t>
  </si>
  <si>
    <t>Riverdale, NJ</t>
  </si>
  <si>
    <t>Lower Lake, CA</t>
  </si>
  <si>
    <t>Mabton, WA</t>
  </si>
  <si>
    <t>Seymour, WI</t>
  </si>
  <si>
    <t>New Bloomfield, MO</t>
  </si>
  <si>
    <t>Moose Lake, MN</t>
  </si>
  <si>
    <t>West Hazleton, PA</t>
  </si>
  <si>
    <t>Lisbon, CT</t>
  </si>
  <si>
    <t>Westcliffe, CO</t>
  </si>
  <si>
    <t>Spring Mills, PA</t>
  </si>
  <si>
    <t>Mount Crawford, VA</t>
  </si>
  <si>
    <t>Holt, FL</t>
  </si>
  <si>
    <t>Scotland Neck, NC</t>
  </si>
  <si>
    <t>Akron, PA</t>
  </si>
  <si>
    <t>Branchville, NJ</t>
  </si>
  <si>
    <t>Grant, MN</t>
  </si>
  <si>
    <t>Winchester, NH</t>
  </si>
  <si>
    <t>Three Oaks, MI</t>
  </si>
  <si>
    <t>Cockrell Hill, TX</t>
  </si>
  <si>
    <t>Kenna, WV</t>
  </si>
  <si>
    <t>Ashford, CT</t>
  </si>
  <si>
    <t>Hanna City, IL</t>
  </si>
  <si>
    <t>Harmony, WI</t>
  </si>
  <si>
    <t>Mobridge, SD</t>
  </si>
  <si>
    <t>Chester, CT</t>
  </si>
  <si>
    <t>Stonewall, LA</t>
  </si>
  <si>
    <t>Grangeville, ID</t>
  </si>
  <si>
    <t>Stover, MO</t>
  </si>
  <si>
    <t>Barnesville, MN</t>
  </si>
  <si>
    <t>Danville, NH</t>
  </si>
  <si>
    <t>Meadow Bridge, WV</t>
  </si>
  <si>
    <t>Twin Lakes, WI</t>
  </si>
  <si>
    <t>Eagle Lake, TX</t>
  </si>
  <si>
    <t>Ashland, AL</t>
  </si>
  <si>
    <t>Hesperia, MI</t>
  </si>
  <si>
    <t>Grapeview, WA</t>
  </si>
  <si>
    <t>Wilson, WI</t>
  </si>
  <si>
    <t>Avella, PA</t>
  </si>
  <si>
    <t>Chester, WV</t>
  </si>
  <si>
    <t>Martin, GA</t>
  </si>
  <si>
    <t>Warroad, MN</t>
  </si>
  <si>
    <t>Abbeville, GA</t>
  </si>
  <si>
    <t>Warrenton, OR</t>
  </si>
  <si>
    <t>Trenton, NC</t>
  </si>
  <si>
    <t>Aragon, GA</t>
  </si>
  <si>
    <t>Beavercreek, OR</t>
  </si>
  <si>
    <t>Centerville, IN</t>
  </si>
  <si>
    <t>Ridge Spring, SC</t>
  </si>
  <si>
    <t>Flat Rock, AL</t>
  </si>
  <si>
    <t>Otisville, MI</t>
  </si>
  <si>
    <t>Fairland, IN</t>
  </si>
  <si>
    <t>Grasonville, MD</t>
  </si>
  <si>
    <t>Winchester, OH</t>
  </si>
  <si>
    <t>Cohasset, MN</t>
  </si>
  <si>
    <t>Royal Palm Estates, FL</t>
  </si>
  <si>
    <t>Brownsville, KY</t>
  </si>
  <si>
    <t>Greenfield, TN</t>
  </si>
  <si>
    <t>Old Bethpage, NY</t>
  </si>
  <si>
    <t>Elwood, IL</t>
  </si>
  <si>
    <t>Delmont, PA</t>
  </si>
  <si>
    <t>Bethany, MO</t>
  </si>
  <si>
    <t>Montpelier, ID</t>
  </si>
  <si>
    <t>Henryville, IN</t>
  </si>
  <si>
    <t>Bismarck, AR</t>
  </si>
  <si>
    <t>Pisgah, AL</t>
  </si>
  <si>
    <t>Richmond, IL</t>
  </si>
  <si>
    <t>Minersville, PA</t>
  </si>
  <si>
    <t>Port Isabel, TX</t>
  </si>
  <si>
    <t>Gibson City, IL</t>
  </si>
  <si>
    <t>Saint Jacob, IL</t>
  </si>
  <si>
    <t>Cumberland, VA</t>
  </si>
  <si>
    <t>Eagle Grove, IA</t>
  </si>
  <si>
    <t>Kingsford, MI</t>
  </si>
  <si>
    <t>Heidelberg, MS</t>
  </si>
  <si>
    <t>Saint Paul, MO</t>
  </si>
  <si>
    <t>Bradley Beach, NJ</t>
  </si>
  <si>
    <t>Lakeview, OR</t>
  </si>
  <si>
    <t>Osceola Mills, PA</t>
  </si>
  <si>
    <t>Ringtown, PA</t>
  </si>
  <si>
    <t>Spicer, MN</t>
  </si>
  <si>
    <t>Sheffield, OH</t>
  </si>
  <si>
    <t>Florence Township, NJ</t>
  </si>
  <si>
    <t>Le Center, MN</t>
  </si>
  <si>
    <t>Pomfret Center, CT</t>
  </si>
  <si>
    <t>Pingree Grove, IL</t>
  </si>
  <si>
    <t>Duncanville, AL</t>
  </si>
  <si>
    <t>Capac, MI</t>
  </si>
  <si>
    <t>Wellborn, FL</t>
  </si>
  <si>
    <t>Jonesville, SC</t>
  </si>
  <si>
    <t>Pamplin, VA</t>
  </si>
  <si>
    <t>Milan, MO</t>
  </si>
  <si>
    <t>Christiana, PA</t>
  </si>
  <si>
    <t>Jamestown, PA</t>
  </si>
  <si>
    <t>Nortonville, KY</t>
  </si>
  <si>
    <t>Puxico, MO</t>
  </si>
  <si>
    <t>Forest City, PA</t>
  </si>
  <si>
    <t>Walworth, WI</t>
  </si>
  <si>
    <t>York Springs, PA</t>
  </si>
  <si>
    <t>Mansfield, MO</t>
  </si>
  <si>
    <t>Vincent, AL</t>
  </si>
  <si>
    <t>Culver, OR</t>
  </si>
  <si>
    <t>Longview, NC</t>
  </si>
  <si>
    <t>West Peoria, IL</t>
  </si>
  <si>
    <t>Plattsburg, MO</t>
  </si>
  <si>
    <t>Glasgow Village, MO</t>
  </si>
  <si>
    <t>Grand Junction, MI</t>
  </si>
  <si>
    <t>Fairbury, IL</t>
  </si>
  <si>
    <t>Wilton, IA</t>
  </si>
  <si>
    <t>Greene, ME</t>
  </si>
  <si>
    <t>Choudrant, LA</t>
  </si>
  <si>
    <t>Nichols Hills, OK</t>
  </si>
  <si>
    <t>Gassville, AR</t>
  </si>
  <si>
    <t>Marne, MI</t>
  </si>
  <si>
    <t>Ellaville, GA</t>
  </si>
  <si>
    <t>Seagraves, TX</t>
  </si>
  <si>
    <t>Sturgis, KY</t>
  </si>
  <si>
    <t>Fort Recovery, OH</t>
  </si>
  <si>
    <t>Spencer, OK</t>
  </si>
  <si>
    <t>Gallatin Gateway, MT</t>
  </si>
  <si>
    <t>Drumright, OK</t>
  </si>
  <si>
    <t>Sorrento, LA</t>
  </si>
  <si>
    <t>Belleair, FL</t>
  </si>
  <si>
    <t>Micanopy, FL</t>
  </si>
  <si>
    <t>Moselle, MS</t>
  </si>
  <si>
    <t>Parsonsburg, MD</t>
  </si>
  <si>
    <t>Tama, IA</t>
  </si>
  <si>
    <t>Burnham, IL</t>
  </si>
  <si>
    <t>Marion, MI</t>
  </si>
  <si>
    <t>Rixeyville, VA</t>
  </si>
  <si>
    <t>Mart, TX</t>
  </si>
  <si>
    <t>Fair Haven, MI</t>
  </si>
  <si>
    <t>West Milwaukee, WI</t>
  </si>
  <si>
    <t>Rayland, OH</t>
  </si>
  <si>
    <t>Richmond, VT</t>
  </si>
  <si>
    <t>Huber Ridge, OH</t>
  </si>
  <si>
    <t>Allendale, SC</t>
  </si>
  <si>
    <t>Strafford, NH</t>
  </si>
  <si>
    <t>Virden, IL</t>
  </si>
  <si>
    <t>Fairview, GA</t>
  </si>
  <si>
    <t>Houston, PA</t>
  </si>
  <si>
    <t>Fayetteville, WV</t>
  </si>
  <si>
    <t>Ridgely, MD</t>
  </si>
  <si>
    <t>Wilder, KY</t>
  </si>
  <si>
    <t>Hallsville, MO</t>
  </si>
  <si>
    <t>Bonanza, GA</t>
  </si>
  <si>
    <t>Middletown, VA</t>
  </si>
  <si>
    <t>Three Forks, MT</t>
  </si>
  <si>
    <t>Randall, WI</t>
  </si>
  <si>
    <t>Cass Lake, MN</t>
  </si>
  <si>
    <t>Runnells, IA</t>
  </si>
  <si>
    <t>George West, TX</t>
  </si>
  <si>
    <t>Wolfe City, TX</t>
  </si>
  <si>
    <t>Saxonburg, PA</t>
  </si>
  <si>
    <t>Springport, MI</t>
  </si>
  <si>
    <t>Lathrup Village, MI</t>
  </si>
  <si>
    <t>Rural Retreat, VA</t>
  </si>
  <si>
    <t>Mather, CA</t>
  </si>
  <si>
    <t>Eustace, TX</t>
  </si>
  <si>
    <t>Canutillo, TX</t>
  </si>
  <si>
    <t>Moreland, GA</t>
  </si>
  <si>
    <t>Thayer, MO</t>
  </si>
  <si>
    <t>Grand Rapids, OH</t>
  </si>
  <si>
    <t>Wind Lake, WI</t>
  </si>
  <si>
    <t>Pittsfield, NH</t>
  </si>
  <si>
    <t>Olney, TX</t>
  </si>
  <si>
    <t>Dilworth, MN</t>
  </si>
  <si>
    <t>Grand Marais, MN</t>
  </si>
  <si>
    <t>Cusseta, GA</t>
  </si>
  <si>
    <t>Fruitland, MD</t>
  </si>
  <si>
    <t>Hamer, SC</t>
  </si>
  <si>
    <t>Millersburg, IN</t>
  </si>
  <si>
    <t>Panhandle, TX</t>
  </si>
  <si>
    <t>Salem, CT</t>
  </si>
  <si>
    <t>Descanso, CA</t>
  </si>
  <si>
    <t>Roseland, LA</t>
  </si>
  <si>
    <t>Zolfo Springs, FL</t>
  </si>
  <si>
    <t>Lewisport, KY</t>
  </si>
  <si>
    <t>Culver, IN</t>
  </si>
  <si>
    <t>Otis Orchards-East Farms, WA</t>
  </si>
  <si>
    <t>Kemmerer, WY</t>
  </si>
  <si>
    <t>McColl, SC</t>
  </si>
  <si>
    <t>Greentown, PA</t>
  </si>
  <si>
    <t>Waterloo, SC</t>
  </si>
  <si>
    <t>Wellsville, KS</t>
  </si>
  <si>
    <t>Chico, TX</t>
  </si>
  <si>
    <t>Grantsville, MD</t>
  </si>
  <si>
    <t>Alexandria, AL</t>
  </si>
  <si>
    <t>Sheridan, MI</t>
  </si>
  <si>
    <t>Watonga, OK</t>
  </si>
  <si>
    <t>Monmouth, ME</t>
  </si>
  <si>
    <t>Sedgwick, KS</t>
  </si>
  <si>
    <t>De Witt, AR</t>
  </si>
  <si>
    <t>Alturas, CA</t>
  </si>
  <si>
    <t>Moultonborough, NH</t>
  </si>
  <si>
    <t>Liberty Center, OH</t>
  </si>
  <si>
    <t>Bayside, WI</t>
  </si>
  <si>
    <t>Spring Arbor, MI</t>
  </si>
  <si>
    <t>Linden, TX</t>
  </si>
  <si>
    <t>Pittsfield, WI</t>
  </si>
  <si>
    <t>Ho Ho Kus, NJ</t>
  </si>
  <si>
    <t>Brownsboro, TX</t>
  </si>
  <si>
    <t>Preston, MD</t>
  </si>
  <si>
    <t>Prairie Grove, IL</t>
  </si>
  <si>
    <t>Cutler Ridge, FL</t>
  </si>
  <si>
    <t>Meridian, CO</t>
  </si>
  <si>
    <t>Paris, ME</t>
  </si>
  <si>
    <t>Ashville, NY</t>
  </si>
  <si>
    <t>Grand Ridge, FL</t>
  </si>
  <si>
    <t>Shrewsbury, NJ</t>
  </si>
  <si>
    <t>Middleton, TN</t>
  </si>
  <si>
    <t>West Sayville, NY</t>
  </si>
  <si>
    <t>Peosta, IA</t>
  </si>
  <si>
    <t>Woodson Terrace, MO</t>
  </si>
  <si>
    <t>Manville, RI</t>
  </si>
  <si>
    <t>Terra Alta, WV</t>
  </si>
  <si>
    <t>Dennison, OH</t>
  </si>
  <si>
    <t>Sterlington, LA</t>
  </si>
  <si>
    <t>Ray City, GA</t>
  </si>
  <si>
    <t>Myersville, MD</t>
  </si>
  <si>
    <t>Taylorsville, GA</t>
  </si>
  <si>
    <t>Dolgeville, NY</t>
  </si>
  <si>
    <t>Tower City, PA</t>
  </si>
  <si>
    <t>Sparks, GA</t>
  </si>
  <si>
    <t>Thompson Falls, MT</t>
  </si>
  <si>
    <t>Molino, FL</t>
  </si>
  <si>
    <t>Vienna, WI</t>
  </si>
  <si>
    <t>South Deerfield, MA</t>
  </si>
  <si>
    <t>Mount Vernon, AL</t>
  </si>
  <si>
    <t>Middletown, CA</t>
  </si>
  <si>
    <t>Hamilton, VA</t>
  </si>
  <si>
    <t>Lakeview, OH</t>
  </si>
  <si>
    <t>Newkirk, OK</t>
  </si>
  <si>
    <t>Caneyville, KY</t>
  </si>
  <si>
    <t>Edmore, MI</t>
  </si>
  <si>
    <t>Hickory Withe, TN</t>
  </si>
  <si>
    <t>North Weeki Wachee, FL</t>
  </si>
  <si>
    <t>Greenville, GA</t>
  </si>
  <si>
    <t>Hampton, TN</t>
  </si>
  <si>
    <t>Derby, VT</t>
  </si>
  <si>
    <t>Wamego, KS</t>
  </si>
  <si>
    <t>Meeker, CO</t>
  </si>
  <si>
    <t>Elmwood, IL</t>
  </si>
  <si>
    <t>Avoca, MI</t>
  </si>
  <si>
    <t>Corona de Tucson, AZ</t>
  </si>
  <si>
    <t>South Fulton, TN</t>
  </si>
  <si>
    <t>Columbus, MN</t>
  </si>
  <si>
    <t>Marysville, KS</t>
  </si>
  <si>
    <t>Lipan, TX</t>
  </si>
  <si>
    <t>Jesup, IA</t>
  </si>
  <si>
    <t>Ostrander, OH</t>
  </si>
  <si>
    <t>Durand, WI</t>
  </si>
  <si>
    <t>Dodge Center, MN</t>
  </si>
  <si>
    <t>Climax, NC</t>
  </si>
  <si>
    <t>Kildeer, IL</t>
  </si>
  <si>
    <t>Masury, OH</t>
  </si>
  <si>
    <t>Thomasville, PA</t>
  </si>
  <si>
    <t>Lone Grove, OK</t>
  </si>
  <si>
    <t>Duchesne, UT</t>
  </si>
  <si>
    <t>Alton North, TX</t>
  </si>
  <si>
    <t>Riverside, IA</t>
  </si>
  <si>
    <t>Helenwood, TN</t>
  </si>
  <si>
    <t>Pell Lake, WI</t>
  </si>
  <si>
    <t>Mount Union, PA</t>
  </si>
  <si>
    <t>Blaine, TN</t>
  </si>
  <si>
    <t>Belmont, NY</t>
  </si>
  <si>
    <t>Hopwood, PA</t>
  </si>
  <si>
    <t>Andover, OH</t>
  </si>
  <si>
    <t>Apache, OK</t>
  </si>
  <si>
    <t>Canton, MO</t>
  </si>
  <si>
    <t>Casco, MI</t>
  </si>
  <si>
    <t>Henryville, PA</t>
  </si>
  <si>
    <t>Rice Lake, MN</t>
  </si>
  <si>
    <t>Burnside, KY</t>
  </si>
  <si>
    <t>Valdese, NC</t>
  </si>
  <si>
    <t>Castalian Springs, TN</t>
  </si>
  <si>
    <t>Vernon, FL</t>
  </si>
  <si>
    <t>Oaklyn, NJ</t>
  </si>
  <si>
    <t>Galesville, WI</t>
  </si>
  <si>
    <t>Lake City, AR</t>
  </si>
  <si>
    <t>Tuolumne, CA</t>
  </si>
  <si>
    <t>Monroe City, MO</t>
  </si>
  <si>
    <t>Northwoods, MO</t>
  </si>
  <si>
    <t>Florida, NY</t>
  </si>
  <si>
    <t>New Ringgold, PA</t>
  </si>
  <si>
    <t>Bosque Farms, NM</t>
  </si>
  <si>
    <t>Hawarden, IA</t>
  </si>
  <si>
    <t>Forestdale, MA</t>
  </si>
  <si>
    <t>Decatur, MS</t>
  </si>
  <si>
    <t>Rock Rapids, IA</t>
  </si>
  <si>
    <t>Presidio, TX</t>
  </si>
  <si>
    <t>Odem, TX</t>
  </si>
  <si>
    <t>Vernon, AL</t>
  </si>
  <si>
    <t>Coopertown, TN</t>
  </si>
  <si>
    <t>Bells, TX</t>
  </si>
  <si>
    <t>Columbus, MI</t>
  </si>
  <si>
    <t>Roberts, WI</t>
  </si>
  <si>
    <t>Langley, WA</t>
  </si>
  <si>
    <t>Lamar, SC</t>
  </si>
  <si>
    <t>Ray, MI</t>
  </si>
  <si>
    <t>Cottonwood, AL</t>
  </si>
  <si>
    <t>Greenland, NH</t>
  </si>
  <si>
    <t>New Alexandria, PA</t>
  </si>
  <si>
    <t>Elizabeth, WV</t>
  </si>
  <si>
    <t>Halstead, KS</t>
  </si>
  <si>
    <t>Reno, TX</t>
  </si>
  <si>
    <t>Roundup, MT</t>
  </si>
  <si>
    <t>Grove Hill, AL</t>
  </si>
  <si>
    <t>Northville, NY</t>
  </si>
  <si>
    <t>Saint Charles, MN</t>
  </si>
  <si>
    <t>Pawnee, IL</t>
  </si>
  <si>
    <t>Boscawen, NH</t>
  </si>
  <si>
    <t>Twain Harte, CA</t>
  </si>
  <si>
    <t>Refugio, TX</t>
  </si>
  <si>
    <t>Montreal, MO</t>
  </si>
  <si>
    <t>Merrill, MI</t>
  </si>
  <si>
    <t>Lovell, WY</t>
  </si>
  <si>
    <t>Kenneth City, FL</t>
  </si>
  <si>
    <t>Linesville, PA</t>
  </si>
  <si>
    <t>Brewster, WA</t>
  </si>
  <si>
    <t>Mount Clare, WV</t>
  </si>
  <si>
    <t>New London, WI</t>
  </si>
  <si>
    <t>Darien, WI</t>
  </si>
  <si>
    <t>Oran, MO</t>
  </si>
  <si>
    <t>Westfield, NY</t>
  </si>
  <si>
    <t>Sumner, IL</t>
  </si>
  <si>
    <t>Sugarloaf, PA</t>
  </si>
  <si>
    <t>Ochlocknee, GA</t>
  </si>
  <si>
    <t>San Saba, TX</t>
  </si>
  <si>
    <t>Strasburg, OH</t>
  </si>
  <si>
    <t>Wyandotte, OK</t>
  </si>
  <si>
    <t>Fort McKinley, OH</t>
  </si>
  <si>
    <t>Powderly, TX</t>
  </si>
  <si>
    <t>Staatsburg, NY</t>
  </si>
  <si>
    <t>Coatesville, IN</t>
  </si>
  <si>
    <t>Centerville, MN</t>
  </si>
  <si>
    <t>Medford Lakes, NJ</t>
  </si>
  <si>
    <t>Highland Heights, KY</t>
  </si>
  <si>
    <t>Florala, AL</t>
  </si>
  <si>
    <t>Hillsboro, KS</t>
  </si>
  <si>
    <t>Caryville, TN</t>
  </si>
  <si>
    <t>Ludlow, KY</t>
  </si>
  <si>
    <t>Los Fresnos, TX</t>
  </si>
  <si>
    <t>Midway, UT</t>
  </si>
  <si>
    <t>Myrtle, MS</t>
  </si>
  <si>
    <t>Bayport, MN</t>
  </si>
  <si>
    <t>Stantonsburg, NC</t>
  </si>
  <si>
    <t>Chattahoochee Hills, GA</t>
  </si>
  <si>
    <t>McBain, MI</t>
  </si>
  <si>
    <t>Roland, AR</t>
  </si>
  <si>
    <t>Cross, SC</t>
  </si>
  <si>
    <t>Poseyville, IN</t>
  </si>
  <si>
    <t>Verbena, AL</t>
  </si>
  <si>
    <t>Martindale, TX</t>
  </si>
  <si>
    <t>Trempealeau, WI</t>
  </si>
  <si>
    <t>Port Monmouth, NJ</t>
  </si>
  <si>
    <t>Lake Village, IN</t>
  </si>
  <si>
    <t>Tawas City, MI</t>
  </si>
  <si>
    <t>Sebring, OH</t>
  </si>
  <si>
    <t>Edgewood, OH</t>
  </si>
  <si>
    <t>Ellerslie, GA</t>
  </si>
  <si>
    <t>Wakarusa, IN</t>
  </si>
  <si>
    <t>Kenansville, NC</t>
  </si>
  <si>
    <t>Saint Henry, OH</t>
  </si>
  <si>
    <t>Hooks, TX</t>
  </si>
  <si>
    <t>Millry, AL</t>
  </si>
  <si>
    <t>Wilton, ME</t>
  </si>
  <si>
    <t>Norfolk, NY</t>
  </si>
  <si>
    <t>Naples, ME</t>
  </si>
  <si>
    <t>Salina, OK</t>
  </si>
  <si>
    <t>Edgerton, WI</t>
  </si>
  <si>
    <t>Adams Center, NY</t>
  </si>
  <si>
    <t>Rock Island, TN</t>
  </si>
  <si>
    <t>Alamo, TN</t>
  </si>
  <si>
    <t>Belmont, OH</t>
  </si>
  <si>
    <t>Murchison, TX</t>
  </si>
  <si>
    <t>Argos, IN</t>
  </si>
  <si>
    <t>Carbon Hill, AL</t>
  </si>
  <si>
    <t>Germantown, NY</t>
  </si>
  <si>
    <t>Hustonville, KY</t>
  </si>
  <si>
    <t>Jerome, MI</t>
  </si>
  <si>
    <t>San Manuel, AZ</t>
  </si>
  <si>
    <t>Crystal Falls, MI</t>
  </si>
  <si>
    <t>Trent Woods, NC</t>
  </si>
  <si>
    <t>Durham, ME</t>
  </si>
  <si>
    <t>Olla, LA</t>
  </si>
  <si>
    <t>Red Bay, AL</t>
  </si>
  <si>
    <t>Belgium, WI</t>
  </si>
  <si>
    <t>Rootstown, OH</t>
  </si>
  <si>
    <t>Onaway, MI</t>
  </si>
  <si>
    <t>Volo, IL</t>
  </si>
  <si>
    <t>Union, WI</t>
  </si>
  <si>
    <t>Scottville, MI</t>
  </si>
  <si>
    <t>Whitney Point, NY</t>
  </si>
  <si>
    <t>Candia, NH</t>
  </si>
  <si>
    <t>Walpole, NH</t>
  </si>
  <si>
    <t>Bar Nunn, WY</t>
  </si>
  <si>
    <t>Polo, IL</t>
  </si>
  <si>
    <t>Sunrise Beach, MO</t>
  </si>
  <si>
    <t>Bedford Park, IL</t>
  </si>
  <si>
    <t>Bourbon, IN</t>
  </si>
  <si>
    <t>Highlands, NC</t>
  </si>
  <si>
    <t>Burney, CA</t>
  </si>
  <si>
    <t>Riverton-Boulevard Park, WA</t>
  </si>
  <si>
    <t>Port Aransas, TX</t>
  </si>
  <si>
    <t>La Conner, WA</t>
  </si>
  <si>
    <t>Bell City, LA</t>
  </si>
  <si>
    <t>Gilbert, WV</t>
  </si>
  <si>
    <t>Lennox, SD</t>
  </si>
  <si>
    <t>Frederic, WI</t>
  </si>
  <si>
    <t>Crofton, KY</t>
  </si>
  <si>
    <t>Ariton, AL</t>
  </si>
  <si>
    <t>Canaan, NH</t>
  </si>
  <si>
    <t>Pemberville, OH</t>
  </si>
  <si>
    <t>Concord, GA</t>
  </si>
  <si>
    <t>Esparto, CA</t>
  </si>
  <si>
    <t>Erda, UT</t>
  </si>
  <si>
    <t>Raymond, WI</t>
  </si>
  <si>
    <t>New Kent, VA</t>
  </si>
  <si>
    <t>Seale, AL</t>
  </si>
  <si>
    <t>Braham, MN</t>
  </si>
  <si>
    <t>Waterloo, NE</t>
  </si>
  <si>
    <t>Lavallette, NJ</t>
  </si>
  <si>
    <t>Pittsfield, ME</t>
  </si>
  <si>
    <t>Oakbrook Terrace, IL</t>
  </si>
  <si>
    <t>Hinsdale, NH</t>
  </si>
  <si>
    <t>Patton, PA</t>
  </si>
  <si>
    <t>Rudy, AR</t>
  </si>
  <si>
    <t>Biscoe, NC</t>
  </si>
  <si>
    <t>Roebling, NJ</t>
  </si>
  <si>
    <t>Bedias, TX</t>
  </si>
  <si>
    <t>Russellville, TN</t>
  </si>
  <si>
    <t>Granger, IA</t>
  </si>
  <si>
    <t>Inglis, FL</t>
  </si>
  <si>
    <t>Healdton, OK</t>
  </si>
  <si>
    <t>Round O, SC</t>
  </si>
  <si>
    <t>Marlinton, WV</t>
  </si>
  <si>
    <t>Fife Lake, MI</t>
  </si>
  <si>
    <t>Harveys Lake, PA</t>
  </si>
  <si>
    <t>Memphis, MI</t>
  </si>
  <si>
    <t>Norton, KS</t>
  </si>
  <si>
    <t>Del Norte, CO</t>
  </si>
  <si>
    <t>Frontenac, MO</t>
  </si>
  <si>
    <t>Sandia, TX</t>
  </si>
  <si>
    <t>Le Grand, CA</t>
  </si>
  <si>
    <t>Emlenton, PA</t>
  </si>
  <si>
    <t>Conowingo, MD</t>
  </si>
  <si>
    <t>Bristol, VT</t>
  </si>
  <si>
    <t>South Haven, MN</t>
  </si>
  <si>
    <t>Fort Kent, ME</t>
  </si>
  <si>
    <t>Greendale, IN</t>
  </si>
  <si>
    <t>Honey Grove, TX</t>
  </si>
  <si>
    <t>Harpursville, NY</t>
  </si>
  <si>
    <t>Grambling, LA</t>
  </si>
  <si>
    <t>Forty Fort, PA</t>
  </si>
  <si>
    <t>La Crosse, VA</t>
  </si>
  <si>
    <t>Elgin, TX</t>
  </si>
  <si>
    <t>Kimberling City, MO</t>
  </si>
  <si>
    <t>Onamia, MN</t>
  </si>
  <si>
    <t>Brusly, LA</t>
  </si>
  <si>
    <t>Spring Valley, MN</t>
  </si>
  <si>
    <t>Montrose, MN</t>
  </si>
  <si>
    <t>Indian River, MI</t>
  </si>
  <si>
    <t>Queen City, TX</t>
  </si>
  <si>
    <t>Woodland, AL</t>
  </si>
  <si>
    <t>Airville, PA</t>
  </si>
  <si>
    <t>Byers, CO</t>
  </si>
  <si>
    <t>Macks Creek, MO</t>
  </si>
  <si>
    <t>Bethel Springs, TN</t>
  </si>
  <si>
    <t>Bunker Hill, IL</t>
  </si>
  <si>
    <t>New Paris, IN</t>
  </si>
  <si>
    <t>Westfield, WI</t>
  </si>
  <si>
    <t>Dover-Foxcroft, ME</t>
  </si>
  <si>
    <t>Belle Center, OH</t>
  </si>
  <si>
    <t>Washington Park, IL</t>
  </si>
  <si>
    <t>Rio Grande, NJ</t>
  </si>
  <si>
    <t>Billings, MO</t>
  </si>
  <si>
    <t>Bithlo, FL</t>
  </si>
  <si>
    <t>Long Lake, IL</t>
  </si>
  <si>
    <t>Sonora, TX</t>
  </si>
  <si>
    <t>Durham, CA</t>
  </si>
  <si>
    <t>Hamersville, OH</t>
  </si>
  <si>
    <t>Williamsburg, PA</t>
  </si>
  <si>
    <t>Port Crane, NY</t>
  </si>
  <si>
    <t>Ranger, WV</t>
  </si>
  <si>
    <t>Itta Bena, MS</t>
  </si>
  <si>
    <t>Ponce de Leon, FL</t>
  </si>
  <si>
    <t>Laureldale, PA</t>
  </si>
  <si>
    <t>Stratford, OK</t>
  </si>
  <si>
    <t>South Whitley, IN</t>
  </si>
  <si>
    <t>Central City, NE</t>
  </si>
  <si>
    <t>Fruit Heights, UT</t>
  </si>
  <si>
    <t>Del Mar, CA</t>
  </si>
  <si>
    <t>Kingston, IL</t>
  </si>
  <si>
    <t>Bland, VA</t>
  </si>
  <si>
    <t>Chouteau, OK</t>
  </si>
  <si>
    <t>Great Meadows, NJ</t>
  </si>
  <si>
    <t>Jordan, NY</t>
  </si>
  <si>
    <t>Linden, VA</t>
  </si>
  <si>
    <t>Clinton, ME</t>
  </si>
  <si>
    <t>Guston, KY</t>
  </si>
  <si>
    <t>Arley, AL</t>
  </si>
  <si>
    <t>Crystal City, MO</t>
  </si>
  <si>
    <t>Shoemakersville, PA</t>
  </si>
  <si>
    <t>Mitchellville, IA</t>
  </si>
  <si>
    <t>Colby, WI</t>
  </si>
  <si>
    <t>Delevan, NY</t>
  </si>
  <si>
    <t>New Florence, PA</t>
  </si>
  <si>
    <t>Asbury, NJ</t>
  </si>
  <si>
    <t>Midland, VA</t>
  </si>
  <si>
    <t>Wood Village, OR</t>
  </si>
  <si>
    <t>Carterville, IL</t>
  </si>
  <si>
    <t>Argenta, IL</t>
  </si>
  <si>
    <t>Lansing, NC</t>
  </si>
  <si>
    <t>Bellevue, ID</t>
  </si>
  <si>
    <t>Auburn, NE</t>
  </si>
  <si>
    <t>Dolores, CO</t>
  </si>
  <si>
    <t>Jefferson, NC</t>
  </si>
  <si>
    <t>Rogers City, MI</t>
  </si>
  <si>
    <t>Lomira, WI</t>
  </si>
  <si>
    <t>Wesley Hills, NY</t>
  </si>
  <si>
    <t>Cannelton, IN</t>
  </si>
  <si>
    <t>Berryton, KS</t>
  </si>
  <si>
    <t>Lutcher, LA</t>
  </si>
  <si>
    <t>Abingdon, IL</t>
  </si>
  <si>
    <t>Cambridge, VT</t>
  </si>
  <si>
    <t>Yorktown, TX</t>
  </si>
  <si>
    <t>Winterport, ME</t>
  </si>
  <si>
    <t>Beaver, OH</t>
  </si>
  <si>
    <t>Ware Shoals, SC</t>
  </si>
  <si>
    <t>Newark, IL</t>
  </si>
  <si>
    <t>Lumberport, WV</t>
  </si>
  <si>
    <t>Olivarez, TX</t>
  </si>
  <si>
    <t>Lewistown, IL</t>
  </si>
  <si>
    <t>West Branch, IA</t>
  </si>
  <si>
    <t>Seabeck, WA</t>
  </si>
  <si>
    <t>Jamestown, RI</t>
  </si>
  <si>
    <t>Trinidad, CO</t>
  </si>
  <si>
    <t>Star City, AR</t>
  </si>
  <si>
    <t>Stockholm, NJ</t>
  </si>
  <si>
    <t>McDermott, OH</t>
  </si>
  <si>
    <t>Baldwin, GA</t>
  </si>
  <si>
    <t>Charlotte, VT</t>
  </si>
  <si>
    <t>Sturgeon, MO</t>
  </si>
  <si>
    <t>Newport, AR</t>
  </si>
  <si>
    <t>Earlville, IL</t>
  </si>
  <si>
    <t>South Mills, NC</t>
  </si>
  <si>
    <t>Butler, TN</t>
  </si>
  <si>
    <t>Chester, MD</t>
  </si>
  <si>
    <t>Limington, ME</t>
  </si>
  <si>
    <t>Nederland, CO</t>
  </si>
  <si>
    <t>Burbank, WA</t>
  </si>
  <si>
    <t>Falconer, NY</t>
  </si>
  <si>
    <t>Lansford, PA</t>
  </si>
  <si>
    <t>Del Monte Forest, CA</t>
  </si>
  <si>
    <t>New Buffalo, MI</t>
  </si>
  <si>
    <t>Pottsville, AR</t>
  </si>
  <si>
    <t>Roper, NC</t>
  </si>
  <si>
    <t>Burkeville, VA</t>
  </si>
  <si>
    <t>Erin, WI</t>
  </si>
  <si>
    <t>Haskell, OK</t>
  </si>
  <si>
    <t>Watkins Glen, NY</t>
  </si>
  <si>
    <t>Abernathy, TX</t>
  </si>
  <si>
    <t>Lake Orion, MI</t>
  </si>
  <si>
    <t>Diboll, TX</t>
  </si>
  <si>
    <t>Albany, LA</t>
  </si>
  <si>
    <t>Fountainhead-Orchard Hills, MD</t>
  </si>
  <si>
    <t>Lawrence, MI</t>
  </si>
  <si>
    <t>Milford, IA</t>
  </si>
  <si>
    <t>Monroe, VA</t>
  </si>
  <si>
    <t>Bark River, MI</t>
  </si>
  <si>
    <t>Tularosa, NM</t>
  </si>
  <si>
    <t>Bellaire, MI</t>
  </si>
  <si>
    <t>Providence, KY</t>
  </si>
  <si>
    <t>Warren, OR</t>
  </si>
  <si>
    <t>Chauvin, LA</t>
  </si>
  <si>
    <t>Milroy, PA</t>
  </si>
  <si>
    <t>Onawa, IA</t>
  </si>
  <si>
    <t>Carter Lake, IA</t>
  </si>
  <si>
    <t>Oxford, ME</t>
  </si>
  <si>
    <t>Casco, ME</t>
  </si>
  <si>
    <t>Maple Hill, NC</t>
  </si>
  <si>
    <t>Desloge, MO</t>
  </si>
  <si>
    <t>Milner, GA</t>
  </si>
  <si>
    <t>Swainsboro, GA</t>
  </si>
  <si>
    <t>Gowen, MI</t>
  </si>
  <si>
    <t>De Leon, TX</t>
  </si>
  <si>
    <t>Grosse Pointe Shores, MI</t>
  </si>
  <si>
    <t>Point Pleasant Beach, NJ</t>
  </si>
  <si>
    <t>Roosevelt Park, MI</t>
  </si>
  <si>
    <t>Hauula, HI</t>
  </si>
  <si>
    <t>Cordova, SC</t>
  </si>
  <si>
    <t>Memphis, IN</t>
  </si>
  <si>
    <t>New Plymouth, ID</t>
  </si>
  <si>
    <t>Champlain, NY</t>
  </si>
  <si>
    <t>Somonauk, IL</t>
  </si>
  <si>
    <t>Georgetown, TN</t>
  </si>
  <si>
    <t>Van, TX</t>
  </si>
  <si>
    <t>Cherokee, AL</t>
  </si>
  <si>
    <t>Calico Rock, AR</t>
  </si>
  <si>
    <t>Highland Beach, FL</t>
  </si>
  <si>
    <t>Port Byron, IL</t>
  </si>
  <si>
    <t>Crab Orchard, TN</t>
  </si>
  <si>
    <t>Beulah, ND</t>
  </si>
  <si>
    <t>Grundy Center, IA</t>
  </si>
  <si>
    <t>Pylesville, MD</t>
  </si>
  <si>
    <t>North Yarmouth, ME</t>
  </si>
  <si>
    <t>Pleasant Run Farm, OH</t>
  </si>
  <si>
    <t>Bergen, NY</t>
  </si>
  <si>
    <t>McGehee, AR</t>
  </si>
  <si>
    <t>Port Royal, PA</t>
  </si>
  <si>
    <t>Richfield Springs, NY</t>
  </si>
  <si>
    <t>Brandon, VT</t>
  </si>
  <si>
    <t>Lafayette Township, NJ</t>
  </si>
  <si>
    <t>Blades, DE</t>
  </si>
  <si>
    <t>Hackett, AR</t>
  </si>
  <si>
    <t>Savanna, IL</t>
  </si>
  <si>
    <t>Madawaska, ME</t>
  </si>
  <si>
    <t>Sneedville, TN</t>
  </si>
  <si>
    <t>Fredericksburg, PA</t>
  </si>
  <si>
    <t>Albany, IN</t>
  </si>
  <si>
    <t>Shavano Park, TX</t>
  </si>
  <si>
    <t>Saginaw, MN</t>
  </si>
  <si>
    <t>Cheney, KS</t>
  </si>
  <si>
    <t>Elysburg, PA</t>
  </si>
  <si>
    <t>Afton, VA</t>
  </si>
  <si>
    <t>Rio Communities, NM</t>
  </si>
  <si>
    <t>Darlington, MD</t>
  </si>
  <si>
    <t>Ambrose, GA</t>
  </si>
  <si>
    <t>Hobart, OK</t>
  </si>
  <si>
    <t>Pleasant Springs, WI</t>
  </si>
  <si>
    <t>Waterflow, NM</t>
  </si>
  <si>
    <t>Ashley, OH</t>
  </si>
  <si>
    <t>Port Allegany, PA</t>
  </si>
  <si>
    <t>Hale, MI</t>
  </si>
  <si>
    <t>Newburg, MD</t>
  </si>
  <si>
    <t>Baldwin, MI</t>
  </si>
  <si>
    <t>Sterling, CT</t>
  </si>
  <si>
    <t>Ottawa Lake, MI</t>
  </si>
  <si>
    <t>Parrish, AL</t>
  </si>
  <si>
    <t>Crisfield, MD</t>
  </si>
  <si>
    <t>Farmington, WI</t>
  </si>
  <si>
    <t>Oxford, WI</t>
  </si>
  <si>
    <t>Broxton, GA</t>
  </si>
  <si>
    <t>Galva, IL</t>
  </si>
  <si>
    <t>New Middletown, OH</t>
  </si>
  <si>
    <t>Wilton, NH</t>
  </si>
  <si>
    <t>Maysville, WV</t>
  </si>
  <si>
    <t>Cana, VA</t>
  </si>
  <si>
    <t>Howey in the Hills, FL</t>
  </si>
  <si>
    <t>Battlefield, MO</t>
  </si>
  <si>
    <t>Keysville, VA</t>
  </si>
  <si>
    <t>Essex, MA</t>
  </si>
  <si>
    <t>Shaw, MS</t>
  </si>
  <si>
    <t>Vian, OK</t>
  </si>
  <si>
    <t>Saint Marys, KS</t>
  </si>
  <si>
    <t>Monroeville, IN</t>
  </si>
  <si>
    <t>Garrett, IN</t>
  </si>
  <si>
    <t>Gilmanton, NH</t>
  </si>
  <si>
    <t>Wabasha, MN</t>
  </si>
  <si>
    <t>McAlisterville, PA</t>
  </si>
  <si>
    <t>Roxie, MS</t>
  </si>
  <si>
    <t>Monroeville, OH</t>
  </si>
  <si>
    <t>Lillian, AL</t>
  </si>
  <si>
    <t>North Muskegon, MI</t>
  </si>
  <si>
    <t>West Creek, NJ</t>
  </si>
  <si>
    <t>West Brookfield, MA</t>
  </si>
  <si>
    <t>Northfield, NH</t>
  </si>
  <si>
    <t>Lewiston, MI</t>
  </si>
  <si>
    <t>Muttontown, NY</t>
  </si>
  <si>
    <t>Boardman, OR</t>
  </si>
  <si>
    <t>Norway, WI</t>
  </si>
  <si>
    <t>Dexter, ME</t>
  </si>
  <si>
    <t>Bright, IN</t>
  </si>
  <si>
    <t>High Bridge, NJ</t>
  </si>
  <si>
    <t>West Baden Springs, IN</t>
  </si>
  <si>
    <t>New Bremen, OH</t>
  </si>
  <si>
    <t>Clinton, IN</t>
  </si>
  <si>
    <t>Strasburg, CO</t>
  </si>
  <si>
    <t>Seymour, TX</t>
  </si>
  <si>
    <t>Bayville, NY</t>
  </si>
  <si>
    <t>Wray, CO</t>
  </si>
  <si>
    <t>Odum, GA</t>
  </si>
  <si>
    <t>Keedysville, MD</t>
  </si>
  <si>
    <t>Shelby, MT</t>
  </si>
  <si>
    <t>Walters, OK</t>
  </si>
  <si>
    <t>Holden Heights, FL</t>
  </si>
  <si>
    <t>Mason City, IL</t>
  </si>
  <si>
    <t>Carrollton, IL</t>
  </si>
  <si>
    <t>Brooks, GA</t>
  </si>
  <si>
    <t>Richwood, WV</t>
  </si>
  <si>
    <t>West Lake Hills, TX</t>
  </si>
  <si>
    <t>Okeana, OH</t>
  </si>
  <si>
    <t>Edgartown, MA</t>
  </si>
  <si>
    <t>Curtice, OH</t>
  </si>
  <si>
    <t>Baconton, GA</t>
  </si>
  <si>
    <t>Lake Hughes, CA</t>
  </si>
  <si>
    <t>Cherryvale, KS</t>
  </si>
  <si>
    <t>Ecru, MS</t>
  </si>
  <si>
    <t>Albion, IL</t>
  </si>
  <si>
    <t>Palo Cedro, CA</t>
  </si>
  <si>
    <t>California, PA</t>
  </si>
  <si>
    <t>Irrigon, OR</t>
  </si>
  <si>
    <t>Bottineau, ND</t>
  </si>
  <si>
    <t>Fennimore, WI</t>
  </si>
  <si>
    <t>Butler, GA</t>
  </si>
  <si>
    <t>New Brockton, AL</t>
  </si>
  <si>
    <t>Boston, GA</t>
  </si>
  <si>
    <t>Cliffwood, NJ</t>
  </si>
  <si>
    <t>Autryville, NC</t>
  </si>
  <si>
    <t>Linwood, MI</t>
  </si>
  <si>
    <t>Harrod, OH</t>
  </si>
  <si>
    <t>Wiscasset, ME</t>
  </si>
  <si>
    <t>Lindale, TX</t>
  </si>
  <si>
    <t>Hammond, WI</t>
  </si>
  <si>
    <t>West Burlington, IA</t>
  </si>
  <si>
    <t>Erin, TN</t>
  </si>
  <si>
    <t>Jerseyville, IL</t>
  </si>
  <si>
    <t>Mason, TX</t>
  </si>
  <si>
    <t>Enterprise, MS</t>
  </si>
  <si>
    <t>Sherwood, OH</t>
  </si>
  <si>
    <t>Bar Harbor, ME</t>
  </si>
  <si>
    <t>Brookridge, FL</t>
  </si>
  <si>
    <t>Coffeeville, MS</t>
  </si>
  <si>
    <t>Elsie, MI</t>
  </si>
  <si>
    <t>Maxwell, TX</t>
  </si>
  <si>
    <t>Elizabethville, PA</t>
  </si>
  <si>
    <t>Blooming Prairie, MN</t>
  </si>
  <si>
    <t>Edwards, IL</t>
  </si>
  <si>
    <t>Minford, OH</t>
  </si>
  <si>
    <t>Plainview, MN</t>
  </si>
  <si>
    <t>Republic, WA</t>
  </si>
  <si>
    <t>Moores Hill, IN</t>
  </si>
  <si>
    <t>North Barrington, IL</t>
  </si>
  <si>
    <t>Hotchkiss, CO</t>
  </si>
  <si>
    <t>Walnut Grove, MO</t>
  </si>
  <si>
    <t>Sugar Creek, MO</t>
  </si>
  <si>
    <t>Bethune, SC</t>
  </si>
  <si>
    <t>Shingletown, CA</t>
  </si>
  <si>
    <t>Lake Clarke Shores, FL</t>
  </si>
  <si>
    <t>Saint Ignatius, MT</t>
  </si>
  <si>
    <t>Otis, OR</t>
  </si>
  <si>
    <t>Nahunta, GA</t>
  </si>
  <si>
    <t>Brookville, OH</t>
  </si>
  <si>
    <t>Montague Township, NJ</t>
  </si>
  <si>
    <t>Eau Claire, MI</t>
  </si>
  <si>
    <t>Enon, OH</t>
  </si>
  <si>
    <t>Union City, MI</t>
  </si>
  <si>
    <t>Boligee, AL</t>
  </si>
  <si>
    <t>Pennsboro, WV</t>
  </si>
  <si>
    <t>East Sparta, OH</t>
  </si>
  <si>
    <t>Belhaven, NC</t>
  </si>
  <si>
    <t>Seminole Manor, FL</t>
  </si>
  <si>
    <t>Diamond, MO</t>
  </si>
  <si>
    <t>Oakwood, TX</t>
  </si>
  <si>
    <t>Hancock, MD</t>
  </si>
  <si>
    <t>Loxahatchee Groves, FL</t>
  </si>
  <si>
    <t>Robertsville, MO</t>
  </si>
  <si>
    <t>Dupo, IL</t>
  </si>
  <si>
    <t>North Fond du Lac, WI</t>
  </si>
  <si>
    <t>Waynesburg, KY</t>
  </si>
  <si>
    <t>Eagle Lake, FL</t>
  </si>
  <si>
    <t>Orrington, ME</t>
  </si>
  <si>
    <t>Howard Lake, MN</t>
  </si>
  <si>
    <t>Cold Spring Harbor, NY</t>
  </si>
  <si>
    <t>Gueydan, LA</t>
  </si>
  <si>
    <t>Elberton, GA</t>
  </si>
  <si>
    <t>Lisbon Falls, ME</t>
  </si>
  <si>
    <t>Reedsville, PA</t>
  </si>
  <si>
    <t>Battle Ground, IN</t>
  </si>
  <si>
    <t>Celina, TN</t>
  </si>
  <si>
    <t>Oakfield, NY</t>
  </si>
  <si>
    <t>Peachland, NC</t>
  </si>
  <si>
    <t>Sutherland, VA</t>
  </si>
  <si>
    <t>Ackerman, MS</t>
  </si>
  <si>
    <t>Aberdeen, ID</t>
  </si>
  <si>
    <t>Bryant, AL</t>
  </si>
  <si>
    <t>Tisbury, MA</t>
  </si>
  <si>
    <t>Remus, MI</t>
  </si>
  <si>
    <t>Brimfield, MA</t>
  </si>
  <si>
    <t>Lakebay, WA</t>
  </si>
  <si>
    <t>Lawrenceburg, IN</t>
  </si>
  <si>
    <t>Englishtown, NJ</t>
  </si>
  <si>
    <t>Arabi, LA</t>
  </si>
  <si>
    <t>Lexington, AL</t>
  </si>
  <si>
    <t>New Whiteland, IN</t>
  </si>
  <si>
    <t>Highgate, VT</t>
  </si>
  <si>
    <t>Samson, AL</t>
  </si>
  <si>
    <t>Heber, AZ</t>
  </si>
  <si>
    <t>Cedar, MI</t>
  </si>
  <si>
    <t>Mansfield, AR</t>
  </si>
  <si>
    <t>Morenci, MI</t>
  </si>
  <si>
    <t>Kinston, AL</t>
  </si>
  <si>
    <t>Alvord, TX</t>
  </si>
  <si>
    <t>Barkhamsted, CT</t>
  </si>
  <si>
    <t>Maeser, UT</t>
  </si>
  <si>
    <t>Sherman, CT</t>
  </si>
  <si>
    <t>Brookston, IN</t>
  </si>
  <si>
    <t>South Toms River, NJ</t>
  </si>
  <si>
    <t>Sunderland, MA</t>
  </si>
  <si>
    <t>Center, WI</t>
  </si>
  <si>
    <t>Elliston, VA</t>
  </si>
  <si>
    <t>Del Rey, CA</t>
  </si>
  <si>
    <t>Shepherd, MT</t>
  </si>
  <si>
    <t>Camden, DE</t>
  </si>
  <si>
    <t>Denmark, SC</t>
  </si>
  <si>
    <t>Reading, MI</t>
  </si>
  <si>
    <t>New Vienna, OH</t>
  </si>
  <si>
    <t>Milton, KY</t>
  </si>
  <si>
    <t>Capitol Heights, MD</t>
  </si>
  <si>
    <t>Fouke, AR</t>
  </si>
  <si>
    <t>Luther, OK</t>
  </si>
  <si>
    <t>Bremen, AL</t>
  </si>
  <si>
    <t>Kenyon, MN</t>
  </si>
  <si>
    <t>Junction, TX</t>
  </si>
  <si>
    <t>Cobden, IL</t>
  </si>
  <si>
    <t>Port Ludlow, WA</t>
  </si>
  <si>
    <t>Matamoras, PA</t>
  </si>
  <si>
    <t>East China, MI</t>
  </si>
  <si>
    <t>Chapmansboro, TN</t>
  </si>
  <si>
    <t>Ethel, LA</t>
  </si>
  <si>
    <t>Winslow, AR</t>
  </si>
  <si>
    <t>Bentleyville, PA</t>
  </si>
  <si>
    <t>Vandenbroek, WI</t>
  </si>
  <si>
    <t>Merryville, LA</t>
  </si>
  <si>
    <t>Litchfield, ME</t>
  </si>
  <si>
    <t>Doyline, LA</t>
  </si>
  <si>
    <t>Eunice, NM</t>
  </si>
  <si>
    <t>Grant Park, IL</t>
  </si>
  <si>
    <t>Salisbury, CT</t>
  </si>
  <si>
    <t>Sharpsburg, MD</t>
  </si>
  <si>
    <t>Johnson Creek, WI</t>
  </si>
  <si>
    <t>Millvale, PA</t>
  </si>
  <si>
    <t>Oakland, FL</t>
  </si>
  <si>
    <t>Friendship, TN</t>
  </si>
  <si>
    <t>Adams, NY</t>
  </si>
  <si>
    <t>Birnamwood, WI</t>
  </si>
  <si>
    <t>Cactus, TX</t>
  </si>
  <si>
    <t>Clarion, IA</t>
  </si>
  <si>
    <t>Grant-Valkaria, FL</t>
  </si>
  <si>
    <t>Osage City, KS</t>
  </si>
  <si>
    <t>Lohman, MO</t>
  </si>
  <si>
    <t>Angwin, CA</t>
  </si>
  <si>
    <t>Milford, NE</t>
  </si>
  <si>
    <t>Ault, CO</t>
  </si>
  <si>
    <t>Magnolia, NC</t>
  </si>
  <si>
    <t>Seneca, KS</t>
  </si>
  <si>
    <t>Moreauville, LA</t>
  </si>
  <si>
    <t>Preston, MS</t>
  </si>
  <si>
    <t>Louin, MS</t>
  </si>
  <si>
    <t>Camp Hill, AL</t>
  </si>
  <si>
    <t>Nixon, TX</t>
  </si>
  <si>
    <t>Hopkins, MI</t>
  </si>
  <si>
    <t>Saluda, NC</t>
  </si>
  <si>
    <t>Seaman, OH</t>
  </si>
  <si>
    <t>Johnson, VT</t>
  </si>
  <si>
    <t>Cherokee Village, AR</t>
  </si>
  <si>
    <t>Rockford, TN</t>
  </si>
  <si>
    <t>Groveland, CA</t>
  </si>
  <si>
    <t>El Dorado, CA</t>
  </si>
  <si>
    <t>Bloomingdale, OH</t>
  </si>
  <si>
    <t>Pine Lawn, MO</t>
  </si>
  <si>
    <t>Crown City, OH</t>
  </si>
  <si>
    <t>Aulander, NC</t>
  </si>
  <si>
    <t>Cadet, MO</t>
  </si>
  <si>
    <t>Mack North, OH</t>
  </si>
  <si>
    <t>Lone Oak, TX</t>
  </si>
  <si>
    <t>Mounds, OK</t>
  </si>
  <si>
    <t>Smithville, OH</t>
  </si>
  <si>
    <t>Pocola, OK</t>
  </si>
  <si>
    <t>Cookson, OK</t>
  </si>
  <si>
    <t>Baltic, OH</t>
  </si>
  <si>
    <t>Danbury, WI</t>
  </si>
  <si>
    <t>Frankfort, MI</t>
  </si>
  <si>
    <t>Iola, WI</t>
  </si>
  <si>
    <t>Ripley, OH</t>
  </si>
  <si>
    <t>Dozier, AL</t>
  </si>
  <si>
    <t>Reese, MI</t>
  </si>
  <si>
    <t>Gloster, MS</t>
  </si>
  <si>
    <t>Porter, IN</t>
  </si>
  <si>
    <t>Carefree, AZ</t>
  </si>
  <si>
    <t>Astatula, FL</t>
  </si>
  <si>
    <t>Horton, MI</t>
  </si>
  <si>
    <t>Malad City, ID</t>
  </si>
  <si>
    <t>Old Monroe, MO</t>
  </si>
  <si>
    <t>Wadsworth, IL</t>
  </si>
  <si>
    <t>Rugby, ND</t>
  </si>
  <si>
    <t>Eatonville, FL</t>
  </si>
  <si>
    <t>Abbottstown, PA</t>
  </si>
  <si>
    <t>Lakewood, NY</t>
  </si>
  <si>
    <t>Freeland, MD</t>
  </si>
  <si>
    <t>Concord, MI</t>
  </si>
  <si>
    <t>Loch Lomond, VA</t>
  </si>
  <si>
    <t>Parkers-Iron Springs, AR</t>
  </si>
  <si>
    <t>Pine Beach, NJ</t>
  </si>
  <si>
    <t>Salters, SC</t>
  </si>
  <si>
    <t>Germanton, NC</t>
  </si>
  <si>
    <t>Custer, WA</t>
  </si>
  <si>
    <t>New Milford, PA</t>
  </si>
  <si>
    <t>Mont Belvieu, TX</t>
  </si>
  <si>
    <t>Backus, MN</t>
  </si>
  <si>
    <t>Ketchum, ID</t>
  </si>
  <si>
    <t>Marriott-Slaterville City, UT</t>
  </si>
  <si>
    <t>Pine River, MN</t>
  </si>
  <si>
    <t>Flintstone, GA</t>
  </si>
  <si>
    <t>Crothersville, IN</t>
  </si>
  <si>
    <t>Crandon, WI</t>
  </si>
  <si>
    <t>La Verkin, UT</t>
  </si>
  <si>
    <t>Clermont, GA</t>
  </si>
  <si>
    <t>Onalaska, WA</t>
  </si>
  <si>
    <t>Bloomfield, WI</t>
  </si>
  <si>
    <t>Stanley, ND</t>
  </si>
  <si>
    <t>Helena, GA</t>
  </si>
  <si>
    <t>Marathon, FL</t>
  </si>
  <si>
    <t>Pomona Park, FL</t>
  </si>
  <si>
    <t>Shandon, CA</t>
  </si>
  <si>
    <t>Volcano, HI</t>
  </si>
  <si>
    <t>Damascus, VA</t>
  </si>
  <si>
    <t>Hagerstown, IN</t>
  </si>
  <si>
    <t>Spearman, TX</t>
  </si>
  <si>
    <t>West Winfield, NY</t>
  </si>
  <si>
    <t>Parker, PA</t>
  </si>
  <si>
    <t>Traskwood, AR</t>
  </si>
  <si>
    <t>Brantley, AL</t>
  </si>
  <si>
    <t>Gila Bend, AZ</t>
  </si>
  <si>
    <t>Vermontville, MI</t>
  </si>
  <si>
    <t>Chappell Hill, TX</t>
  </si>
  <si>
    <t>Seneca, IL</t>
  </si>
  <si>
    <t>Rock, WV</t>
  </si>
  <si>
    <t>Campti, LA</t>
  </si>
  <si>
    <t>Stoutsville, OH</t>
  </si>
  <si>
    <t>Pierce, NE</t>
  </si>
  <si>
    <t>Heavener, OK</t>
  </si>
  <si>
    <t>English, IN</t>
  </si>
  <si>
    <t>Blue Mountain, MS</t>
  </si>
  <si>
    <t>Valentine, NE</t>
  </si>
  <si>
    <t>Ruffin, NC</t>
  </si>
  <si>
    <t>Hortonia, WI</t>
  </si>
  <si>
    <t>Gerber, CA</t>
  </si>
  <si>
    <t>Pittsville, WI</t>
  </si>
  <si>
    <t>Montverde, FL</t>
  </si>
  <si>
    <t>Motley, MN</t>
  </si>
  <si>
    <t>China, MI</t>
  </si>
  <si>
    <t>Fletcher, OK</t>
  </si>
  <si>
    <t>Crested Butte, CO</t>
  </si>
  <si>
    <t>Springdale, WI</t>
  </si>
  <si>
    <t>Dayton, MD</t>
  </si>
  <si>
    <t>Mooreville, MS</t>
  </si>
  <si>
    <t>Boutte, LA</t>
  </si>
  <si>
    <t>Amboy, IL</t>
  </si>
  <si>
    <t>Tuxedo Park, NY</t>
  </si>
  <si>
    <t>Ronda, NC</t>
  </si>
  <si>
    <t>Mine Hill Township, NJ</t>
  </si>
  <si>
    <t>Pine, CO</t>
  </si>
  <si>
    <t>New London, MO</t>
  </si>
  <si>
    <t>Dinwiddie, VA</t>
  </si>
  <si>
    <t>Cattaraugus, NY</t>
  </si>
  <si>
    <t>Sublimity, OR</t>
  </si>
  <si>
    <t>Atlanta, MI</t>
  </si>
  <si>
    <t>Great Falls, SC</t>
  </si>
  <si>
    <t>Agua Dulce, CA</t>
  </si>
  <si>
    <t>Glen Ellen, CA</t>
  </si>
  <si>
    <t>Belleville, MI</t>
  </si>
  <si>
    <t>Arlington, MN</t>
  </si>
  <si>
    <t>Aurora, NC</t>
  </si>
  <si>
    <t>Cross Plains, WI</t>
  </si>
  <si>
    <t>Peralta, NM</t>
  </si>
  <si>
    <t>Butler, AL</t>
  </si>
  <si>
    <t>Wartrace, TN</t>
  </si>
  <si>
    <t>Greenwood Lake, NY</t>
  </si>
  <si>
    <t>Laurel, IN</t>
  </si>
  <si>
    <t>Barnum, MN</t>
  </si>
  <si>
    <t>Bloomsbury, NJ</t>
  </si>
  <si>
    <t>Council Grove, KS</t>
  </si>
  <si>
    <t>Gervais, OR</t>
  </si>
  <si>
    <t>Pelham, NC</t>
  </si>
  <si>
    <t>Galveston, IN</t>
  </si>
  <si>
    <t>Osakis, MN</t>
  </si>
  <si>
    <t>Portersville, PA</t>
  </si>
  <si>
    <t>Athens, IL</t>
  </si>
  <si>
    <t>Forestville, NY</t>
  </si>
  <si>
    <t>Westover, WV</t>
  </si>
  <si>
    <t>Catawba, SC</t>
  </si>
  <si>
    <t>Honokaa, HI</t>
  </si>
  <si>
    <t>Gladwyne, PA</t>
  </si>
  <si>
    <t>Greenfield, MN</t>
  </si>
  <si>
    <t>Eagle Creek, OR</t>
  </si>
  <si>
    <t>Mayfield, NY</t>
  </si>
  <si>
    <t>McSherrystown, PA</t>
  </si>
  <si>
    <t>Gore, VA</t>
  </si>
  <si>
    <t>Brodhead, KY</t>
  </si>
  <si>
    <t>Haskell, TX</t>
  </si>
  <si>
    <t>Whigham, GA</t>
  </si>
  <si>
    <t>Castalia, OH</t>
  </si>
  <si>
    <t>Bangor, WI</t>
  </si>
  <si>
    <t>Roaring River, NC</t>
  </si>
  <si>
    <t>Cimarron, KS</t>
  </si>
  <si>
    <t>Neoga, IL</t>
  </si>
  <si>
    <t>French Lick, IN</t>
  </si>
  <si>
    <t>Morrice, MI</t>
  </si>
  <si>
    <t>Conklin, NY</t>
  </si>
  <si>
    <t>Chester, GA</t>
  </si>
  <si>
    <t>Tracy City, TN</t>
  </si>
  <si>
    <t>Oologah, OK</t>
  </si>
  <si>
    <t>Carlisle, IN</t>
  </si>
  <si>
    <t>Islandia, NY</t>
  </si>
  <si>
    <t>Cambrian Park, CA</t>
  </si>
  <si>
    <t>South Rockwood, MI</t>
  </si>
  <si>
    <t>Churchville, VA</t>
  </si>
  <si>
    <t>L'' Anse, MI</t>
  </si>
  <si>
    <t>Tecumseh, KS</t>
  </si>
  <si>
    <t>Jamesville, NC</t>
  </si>
  <si>
    <t>Winters, TX</t>
  </si>
  <si>
    <t>Mio, MI</t>
  </si>
  <si>
    <t>West Sand Lake, NY</t>
  </si>
  <si>
    <t>Salineville, OH</t>
  </si>
  <si>
    <t>Plymouth, OH</t>
  </si>
  <si>
    <t>Franklin Furnace, OH</t>
  </si>
  <si>
    <t>Newport, MN</t>
  </si>
  <si>
    <t>Thorntown, IN</t>
  </si>
  <si>
    <t>Conrad, MT</t>
  </si>
  <si>
    <t>Emerald Lake Hills, CA</t>
  </si>
  <si>
    <t>Arthur, IL</t>
  </si>
  <si>
    <t>West Sharyland, TX</t>
  </si>
  <si>
    <t>Avalon, CA</t>
  </si>
  <si>
    <t>Combined Locks, WI</t>
  </si>
  <si>
    <t>Mitchell, NE</t>
  </si>
  <si>
    <t>Dunn Loring, VA</t>
  </si>
  <si>
    <t>Ontonagon, MI</t>
  </si>
  <si>
    <t>Union City, OH</t>
  </si>
  <si>
    <t>Blanchard, MI</t>
  </si>
  <si>
    <t>Southington, OH</t>
  </si>
  <si>
    <t>Section, AL</t>
  </si>
  <si>
    <t>Lake Ann, MI</t>
  </si>
  <si>
    <t>Six Mile, SC</t>
  </si>
  <si>
    <t>Dixmoor, IL</t>
  </si>
  <si>
    <t>Mooringsport, LA</t>
  </si>
  <si>
    <t>Claypool, IN</t>
  </si>
  <si>
    <t>Hartland, VT</t>
  </si>
  <si>
    <t>Salem, NY</t>
  </si>
  <si>
    <t>La Fargeville, NY</t>
  </si>
  <si>
    <t>Webster, WI</t>
  </si>
  <si>
    <t>Wedgefield, SC</t>
  </si>
  <si>
    <t>Rush, NY</t>
  </si>
  <si>
    <t>Warden, WA</t>
  </si>
  <si>
    <t>Bowman, GA</t>
  </si>
  <si>
    <t>Colorado City, AZ</t>
  </si>
  <si>
    <t>Goodview, VA</t>
  </si>
  <si>
    <t>Hansen, ID</t>
  </si>
  <si>
    <t>Wapwallopen, PA</t>
  </si>
  <si>
    <t>Three Rivers, TX</t>
  </si>
  <si>
    <t>Shippenville, PA</t>
  </si>
  <si>
    <t>Waterville, NY</t>
  </si>
  <si>
    <t>Holland, WI</t>
  </si>
  <si>
    <t>Watkins, CO</t>
  </si>
  <si>
    <t>Bangs, TX</t>
  </si>
  <si>
    <t>Gold Bar, WA</t>
  </si>
  <si>
    <t>Wathena, KS</t>
  </si>
  <si>
    <t>Deephaven, MN</t>
  </si>
  <si>
    <t>Woodstown, NJ</t>
  </si>
  <si>
    <t>Breckenridge, MN</t>
  </si>
  <si>
    <t>Bushnell, IL</t>
  </si>
  <si>
    <t>Bechtelsville, PA</t>
  </si>
  <si>
    <t>Cottageville, SC</t>
  </si>
  <si>
    <t>Pleasant Valley, MO</t>
  </si>
  <si>
    <t>Conway, MO</t>
  </si>
  <si>
    <t>Princeton, MA</t>
  </si>
  <si>
    <t>Shirley, AR</t>
  </si>
  <si>
    <t>Belfry, KY</t>
  </si>
  <si>
    <t>Clarksboro, NJ</t>
  </si>
  <si>
    <t>Barnardsville, NC</t>
  </si>
  <si>
    <t>Eden, WI</t>
  </si>
  <si>
    <t>Lockland, OH</t>
  </si>
  <si>
    <t>Wedowee, AL</t>
  </si>
  <si>
    <t>Driftwood, TX</t>
  </si>
  <si>
    <t>Hollsopple, PA</t>
  </si>
  <si>
    <t>Landisville, PA</t>
  </si>
  <si>
    <t>Sunapee, NH</t>
  </si>
  <si>
    <t>Saint Augusta, MN</t>
  </si>
  <si>
    <t>Bowling Green, VA</t>
  </si>
  <si>
    <t>Mount Pocono, PA</t>
  </si>
  <si>
    <t>Marion Junction, AL</t>
  </si>
  <si>
    <t>Akron, IN</t>
  </si>
  <si>
    <t>Park Layne, OH</t>
  </si>
  <si>
    <t>Hull, IA</t>
  </si>
  <si>
    <t>Olivia, MN</t>
  </si>
  <si>
    <t>Beaver Dam, AZ</t>
  </si>
  <si>
    <t>Anderson, TX</t>
  </si>
  <si>
    <t>Dermott, AR</t>
  </si>
  <si>
    <t>Paige, TX</t>
  </si>
  <si>
    <t>Brookfield, MA</t>
  </si>
  <si>
    <t>Millport, AL</t>
  </si>
  <si>
    <t>Elgin, OK</t>
  </si>
  <si>
    <t>Bear Creek, NC</t>
  </si>
  <si>
    <t>Pima, AZ</t>
  </si>
  <si>
    <t>New Auburn, WI</t>
  </si>
  <si>
    <t>Gaston, NC</t>
  </si>
  <si>
    <t>Meeker, OK</t>
  </si>
  <si>
    <t>Nanty Glo, PA</t>
  </si>
  <si>
    <t>Coal Center, PA</t>
  </si>
  <si>
    <t>York, AL</t>
  </si>
  <si>
    <t>Kingsbury, TX</t>
  </si>
  <si>
    <t>Bethlehem, CT</t>
  </si>
  <si>
    <t>Addison, WI</t>
  </si>
  <si>
    <t>Scotts, MI</t>
  </si>
  <si>
    <t>Thornton, IL</t>
  </si>
  <si>
    <t>Fosters, AL</t>
  </si>
  <si>
    <t>South Chicago Heights, IL</t>
  </si>
  <si>
    <t>Laton, CA</t>
  </si>
  <si>
    <t>Bristolville, OH</t>
  </si>
  <si>
    <t>Cope, SC</t>
  </si>
  <si>
    <t>Frankton, IN</t>
  </si>
  <si>
    <t>Sandy Spring, MD</t>
  </si>
  <si>
    <t>Pownal, VT</t>
  </si>
  <si>
    <t>Glenmora, LA</t>
  </si>
  <si>
    <t>Bay Hill, FL</t>
  </si>
  <si>
    <t>Litchfield, OH</t>
  </si>
  <si>
    <t>Troy, MT</t>
  </si>
  <si>
    <t>Fryeburg, ME</t>
  </si>
  <si>
    <t>Postville, IA</t>
  </si>
  <si>
    <t>Highland, MD</t>
  </si>
  <si>
    <t>Ovett, MS</t>
  </si>
  <si>
    <t>Woolsey, GA</t>
  </si>
  <si>
    <t>Bradford, AR</t>
  </si>
  <si>
    <t>Haworth, NJ</t>
  </si>
  <si>
    <t>Champion Heights, OH</t>
  </si>
  <si>
    <t>Stanfield, OR</t>
  </si>
  <si>
    <t>Estherville, IA</t>
  </si>
  <si>
    <t>Mineral City, OH</t>
  </si>
  <si>
    <t>Centerville, PA</t>
  </si>
  <si>
    <t>South Russell, OH</t>
  </si>
  <si>
    <t>Dunkirk, IN</t>
  </si>
  <si>
    <t>Landers, CA</t>
  </si>
  <si>
    <t>Lloyd Harbor, NY</t>
  </si>
  <si>
    <t>Linn, WI</t>
  </si>
  <si>
    <t>Ocean City, MD</t>
  </si>
  <si>
    <t>Big Lake, TX</t>
  </si>
  <si>
    <t>Garden Prairie, IL</t>
  </si>
  <si>
    <t>Wadesville, IN</t>
  </si>
  <si>
    <t>Marine on Saint Croix, MN</t>
  </si>
  <si>
    <t>Rockville, VA</t>
  </si>
  <si>
    <t>Eutaw, AL</t>
  </si>
  <si>
    <t>Damon, TX</t>
  </si>
  <si>
    <t>Bernice, LA</t>
  </si>
  <si>
    <t>Shubuta, MS</t>
  </si>
  <si>
    <t>Floydada, TX</t>
  </si>
  <si>
    <t>Hope Hull, AL</t>
  </si>
  <si>
    <t>Meriden, KS</t>
  </si>
  <si>
    <t>Valley Grande, AL</t>
  </si>
  <si>
    <t>Westport, IN</t>
  </si>
  <si>
    <t>Colwich, KS</t>
  </si>
  <si>
    <t>Greenville, IN</t>
  </si>
  <si>
    <t>Pleasant Plains, IL</t>
  </si>
  <si>
    <t>Huddleston, VA</t>
  </si>
  <si>
    <t>Jean, NV</t>
  </si>
  <si>
    <t>Pagedale, MO</t>
  </si>
  <si>
    <t>Branson West, MO</t>
  </si>
  <si>
    <t>Silver Creek, NY</t>
  </si>
  <si>
    <t>Rock Tavern, NY</t>
  </si>
  <si>
    <t>Berlin Center, OH</t>
  </si>
  <si>
    <t>Soda Springs, ID</t>
  </si>
  <si>
    <t>Moab, UT</t>
  </si>
  <si>
    <t>Alto, TX</t>
  </si>
  <si>
    <t>Three Points, AZ</t>
  </si>
  <si>
    <t>Beaver, UT</t>
  </si>
  <si>
    <t>Hillman, MI</t>
  </si>
  <si>
    <t>Little Mountain, SC</t>
  </si>
  <si>
    <t>Mount Ulla, NC</t>
  </si>
  <si>
    <t>Clinton, KY</t>
  </si>
  <si>
    <t>Lakemoor, IL</t>
  </si>
  <si>
    <t>Appalachia, VA</t>
  </si>
  <si>
    <t>Windsor, VT</t>
  </si>
  <si>
    <t>Monrovia, IN</t>
  </si>
  <si>
    <t>Eagleville, TN</t>
  </si>
  <si>
    <t>Beverly, WV</t>
  </si>
  <si>
    <t>Belle Plaine, KS</t>
  </si>
  <si>
    <t>Deming, WA</t>
  </si>
  <si>
    <t>Eleva, WI</t>
  </si>
  <si>
    <t>Chenoa, IL</t>
  </si>
  <si>
    <t>Muscoda, WI</t>
  </si>
  <si>
    <t>Lyons, MI</t>
  </si>
  <si>
    <t>Parker, FL</t>
  </si>
  <si>
    <t>Maurertown, VA</t>
  </si>
  <si>
    <t>Jewett City, CT</t>
  </si>
  <si>
    <t>Harbor Beach, MI</t>
  </si>
  <si>
    <t>Mount Lookout, WV</t>
  </si>
  <si>
    <t>Richmond, ME</t>
  </si>
  <si>
    <t>De Graff, OH</t>
  </si>
  <si>
    <t>Jefferson, SD</t>
  </si>
  <si>
    <t>Manawa, WI</t>
  </si>
  <si>
    <t>Niagara, WI</t>
  </si>
  <si>
    <t>West Gardiner, ME</t>
  </si>
  <si>
    <t>Woodville, OH</t>
  </si>
  <si>
    <t>Mount Ida, AR</t>
  </si>
  <si>
    <t>Goshen, VA</t>
  </si>
  <si>
    <t>Kenbridge, VA</t>
  </si>
  <si>
    <t>Warrensburg, NY</t>
  </si>
  <si>
    <t>Gilbertsville, KY</t>
  </si>
  <si>
    <t>Hiram, OH</t>
  </si>
  <si>
    <t>Boulder, WY</t>
  </si>
  <si>
    <t>Madison, NE</t>
  </si>
  <si>
    <t>Garberville, CA</t>
  </si>
  <si>
    <t>Polk, WI</t>
  </si>
  <si>
    <t>Redfield, SD</t>
  </si>
  <si>
    <t>Lena, WI</t>
  </si>
  <si>
    <t>Muenster, TX</t>
  </si>
  <si>
    <t>Mayfield, OH</t>
  </si>
  <si>
    <t>Haddam, CT</t>
  </si>
  <si>
    <t>Atglen, PA</t>
  </si>
  <si>
    <t>Gillett, WI</t>
  </si>
  <si>
    <t>Theresa, NY</t>
  </si>
  <si>
    <t>Staley, NC</t>
  </si>
  <si>
    <t>Wade, NC</t>
  </si>
  <si>
    <t>Lake Buena Vista, FL</t>
  </si>
  <si>
    <t>Belvidere, TN</t>
  </si>
  <si>
    <t>Niangua, MO</t>
  </si>
  <si>
    <t>Tuckerton, NJ</t>
  </si>
  <si>
    <t>Dunstable, MA</t>
  </si>
  <si>
    <t>Fischer, TX</t>
  </si>
  <si>
    <t>Whitakers, NC</t>
  </si>
  <si>
    <t>Iberia, MO</t>
  </si>
  <si>
    <t>Montrose, WV</t>
  </si>
  <si>
    <t>Goldthwaite, TX</t>
  </si>
  <si>
    <t>Britton, MI</t>
  </si>
  <si>
    <t>Kennebunkport, ME</t>
  </si>
  <si>
    <t>Adair, OK</t>
  </si>
  <si>
    <t>Golden Meadow, LA</t>
  </si>
  <si>
    <t>Wheatland, WI</t>
  </si>
  <si>
    <t>Godwin, NC</t>
  </si>
  <si>
    <t>Oakridge, OR</t>
  </si>
  <si>
    <t>East Sandwich, MA</t>
  </si>
  <si>
    <t>Wrightwood, CA</t>
  </si>
  <si>
    <t>Harrisville, PA</t>
  </si>
  <si>
    <t>Lincoln Heights, OH</t>
  </si>
  <si>
    <t>Ivanhoe, CA</t>
  </si>
  <si>
    <t>New Denmark, WI</t>
  </si>
  <si>
    <t>Williamstown, VT</t>
  </si>
  <si>
    <t>Naylor, GA</t>
  </si>
  <si>
    <t>Readyville, TN</t>
  </si>
  <si>
    <t>Argyle, NY</t>
  </si>
  <si>
    <t>Little Compton, RI</t>
  </si>
  <si>
    <t>Etna, PA</t>
  </si>
  <si>
    <t>Huntsville, UT</t>
  </si>
  <si>
    <t>Golden, MS</t>
  </si>
  <si>
    <t>Holyoke, CO</t>
  </si>
  <si>
    <t>Fairview, OK</t>
  </si>
  <si>
    <t>Roca, NE</t>
  </si>
  <si>
    <t>Pantego, TX</t>
  </si>
  <si>
    <t>Todd, NC</t>
  </si>
  <si>
    <t>Palestine, IL</t>
  </si>
  <si>
    <t>Concrete, WA</t>
  </si>
  <si>
    <t>Stockton, IL</t>
  </si>
  <si>
    <t>Stella, NC</t>
  </si>
  <si>
    <t>Manchester, IA</t>
  </si>
  <si>
    <t>Stamford, TX</t>
  </si>
  <si>
    <t>Sterling, KS</t>
  </si>
  <si>
    <t>Norwich, VT</t>
  </si>
  <si>
    <t>Limerick, ME</t>
  </si>
  <si>
    <t>Weems, VA</t>
  </si>
  <si>
    <t>Hephzibah, GA</t>
  </si>
  <si>
    <t>Fonda, NY</t>
  </si>
  <si>
    <t>Shawsville, VA</t>
  </si>
  <si>
    <t>Lone Jack, MO</t>
  </si>
  <si>
    <t>Dillonvale, OH</t>
  </si>
  <si>
    <t>Clear Lake, WI</t>
  </si>
  <si>
    <t>McAdoo, PA</t>
  </si>
  <si>
    <t>Berwyn Heights, MD</t>
  </si>
  <si>
    <t>Gamewell, NC</t>
  </si>
  <si>
    <t>New York Mills, MN</t>
  </si>
  <si>
    <t>Fredonia, KS</t>
  </si>
  <si>
    <t>Saint Michaels, MD</t>
  </si>
  <si>
    <t>Camden, MI</t>
  </si>
  <si>
    <t>Glenwood City, WI</t>
  </si>
  <si>
    <t>Elloree, SC</t>
  </si>
  <si>
    <t>Cross Plains, TN</t>
  </si>
  <si>
    <t>Sanford, CO</t>
  </si>
  <si>
    <t>Petersburg, TN</t>
  </si>
  <si>
    <t>Normangee, TX</t>
  </si>
  <si>
    <t>Smithton, IL</t>
  </si>
  <si>
    <t>Richwood, TX</t>
  </si>
  <si>
    <t>Jacksons Gap, AL</t>
  </si>
  <si>
    <t>Essexville, MI</t>
  </si>
  <si>
    <t>Jonesboro, IL</t>
  </si>
  <si>
    <t>Mount Oliver, PA</t>
  </si>
  <si>
    <t>Bemus Point, NY</t>
  </si>
  <si>
    <t>Danielson, CT</t>
  </si>
  <si>
    <t>Nibley, UT</t>
  </si>
  <si>
    <t>Golf Manor, OH</t>
  </si>
  <si>
    <t>Fort Fairfield, ME</t>
  </si>
  <si>
    <t>Elk, WA</t>
  </si>
  <si>
    <t>Woodstock, AL</t>
  </si>
  <si>
    <t>Lisbon, IA</t>
  </si>
  <si>
    <t>Seaford, VA</t>
  </si>
  <si>
    <t>South Lebanon, OH</t>
  </si>
  <si>
    <t>Tonkawa, OK</t>
  </si>
  <si>
    <t>Dickerson, MD</t>
  </si>
  <si>
    <t>Metzger, OR</t>
  </si>
  <si>
    <t>Westernport, MD</t>
  </si>
  <si>
    <t>Rye, NH</t>
  </si>
  <si>
    <t>Jetersville, VA</t>
  </si>
  <si>
    <t>Haring, MI</t>
  </si>
  <si>
    <t>Poultney, VT</t>
  </si>
  <si>
    <t>De Witt, IA</t>
  </si>
  <si>
    <t>Rivesville, WV</t>
  </si>
  <si>
    <t>Fosston, MN</t>
  </si>
  <si>
    <t>Hesperus, CO</t>
  </si>
  <si>
    <t>Franklin, MI</t>
  </si>
  <si>
    <t>Lexington, MI</t>
  </si>
  <si>
    <t>New Salisbury, IN</t>
  </si>
  <si>
    <t>Haubstadt, IN</t>
  </si>
  <si>
    <t>Forest Hill, LA</t>
  </si>
  <si>
    <t>Moravian Falls, NC</t>
  </si>
  <si>
    <t>Norco, LA</t>
  </si>
  <si>
    <t>Wallisville, TX</t>
  </si>
  <si>
    <t>Fairway, KS</t>
  </si>
  <si>
    <t>Moreland Hills, OH</t>
  </si>
  <si>
    <t>Idalou, TX</t>
  </si>
  <si>
    <t>Yamhill, OR</t>
  </si>
  <si>
    <t>Glen Lyon, PA</t>
  </si>
  <si>
    <t>Rapid City, MI</t>
  </si>
  <si>
    <t>Naoma, WV</t>
  </si>
  <si>
    <t>Horace, ND</t>
  </si>
  <si>
    <t>Mendon, MI</t>
  </si>
  <si>
    <t>Lyons, WI</t>
  </si>
  <si>
    <t>Guthrie Center, IA</t>
  </si>
  <si>
    <t>Dallas Center, IA</t>
  </si>
  <si>
    <t>Willow Park, TX</t>
  </si>
  <si>
    <t>Indian Springs Village, AL</t>
  </si>
  <si>
    <t>Lyburn, WV</t>
  </si>
  <si>
    <t>Boyceville, WI</t>
  </si>
  <si>
    <t>McMurray, PA</t>
  </si>
  <si>
    <t>Taos, MO</t>
  </si>
  <si>
    <t>Wampum, PA</t>
  </si>
  <si>
    <t>Mulino, OR</t>
  </si>
  <si>
    <t>Saluda, VA</t>
  </si>
  <si>
    <t>Silex, MO</t>
  </si>
  <si>
    <t>Long Beach Township, NJ</t>
  </si>
  <si>
    <t>Mc Kean, PA</t>
  </si>
  <si>
    <t>Tybee Island, GA</t>
  </si>
  <si>
    <t>Grubbs, AR</t>
  </si>
  <si>
    <t>Bunnlevel, NC</t>
  </si>
  <si>
    <t>Sale Creek, TN</t>
  </si>
  <si>
    <t>Courtland, MS</t>
  </si>
  <si>
    <t>West Paducah, KY</t>
  </si>
  <si>
    <t>Lordstown, OH</t>
  </si>
  <si>
    <t>Experiment, GA</t>
  </si>
  <si>
    <t>Campton, NH</t>
  </si>
  <si>
    <t>Centerville, TX</t>
  </si>
  <si>
    <t>Toledo, IA</t>
  </si>
  <si>
    <t>McCleary, WA</t>
  </si>
  <si>
    <t>Kiowa, CO</t>
  </si>
  <si>
    <t>Kansas, OK</t>
  </si>
  <si>
    <t>Marmaduke, AR</t>
  </si>
  <si>
    <t>New Hill, NC</t>
  </si>
  <si>
    <t>Mount Morris, IL</t>
  </si>
  <si>
    <t>Frewsburg, NY</t>
  </si>
  <si>
    <t>Amherst, WI</t>
  </si>
  <si>
    <t>Hindsville, AR</t>
  </si>
  <si>
    <t>Whitmire, SC</t>
  </si>
  <si>
    <t>Letohatchee, AL</t>
  </si>
  <si>
    <t>Indian Rocks Beach, FL</t>
  </si>
  <si>
    <t>Elmira, MI</t>
  </si>
  <si>
    <t>Abilene, KS</t>
  </si>
  <si>
    <t>Booneville, KY</t>
  </si>
  <si>
    <t>Plympton, MA</t>
  </si>
  <si>
    <t>Feather Sound, FL</t>
  </si>
  <si>
    <t>Jamestown, IN</t>
  </si>
  <si>
    <t>Stanton, NE</t>
  </si>
  <si>
    <t>Lanesville, IN</t>
  </si>
  <si>
    <t>Rush, KY</t>
  </si>
  <si>
    <t>Eureka, KS</t>
  </si>
  <si>
    <t>New Salem, PA</t>
  </si>
  <si>
    <t>Sibley, IA</t>
  </si>
  <si>
    <t>Glencoe, OK</t>
  </si>
  <si>
    <t>Janesville, CA</t>
  </si>
  <si>
    <t>Orange, OH</t>
  </si>
  <si>
    <t>Holt, MO</t>
  </si>
  <si>
    <t>Ajo, AZ</t>
  </si>
  <si>
    <t>Springfield Township, NJ</t>
  </si>
  <si>
    <t>Tolar, TX</t>
  </si>
  <si>
    <t>Hatfield, MA</t>
  </si>
  <si>
    <t>Louisville, NE</t>
  </si>
  <si>
    <t>Brandon, MI</t>
  </si>
  <si>
    <t>Hamilton, MO</t>
  </si>
  <si>
    <t>Riddle, OR</t>
  </si>
  <si>
    <t>Brookhaven, NY</t>
  </si>
  <si>
    <t>Lovelock, NV</t>
  </si>
  <si>
    <t>West Unity, OH</t>
  </si>
  <si>
    <t>Center Hill, FL</t>
  </si>
  <si>
    <t>Washington, LA</t>
  </si>
  <si>
    <t>Canby, MN</t>
  </si>
  <si>
    <t>Crandall, GA</t>
  </si>
  <si>
    <t>Mc David, FL</t>
  </si>
  <si>
    <t>Hazel Green, WI</t>
  </si>
  <si>
    <t>Warner, OK</t>
  </si>
  <si>
    <t>Portsmouth, MI</t>
  </si>
  <si>
    <t>Worthington, PA</t>
  </si>
  <si>
    <t>Friedens, PA</t>
  </si>
  <si>
    <t>Tiffin, IA</t>
  </si>
  <si>
    <t>Princeton, LA</t>
  </si>
  <si>
    <t>Kirbyville, MO</t>
  </si>
  <si>
    <t>Farmington, IL</t>
  </si>
  <si>
    <t>Potterville, MI</t>
  </si>
  <si>
    <t>Overton, NV</t>
  </si>
  <si>
    <t>Summit, SC</t>
  </si>
  <si>
    <t>Oak Bluffs, MA</t>
  </si>
  <si>
    <t>Leland, IL</t>
  </si>
  <si>
    <t>Wilmar, AR</t>
  </si>
  <si>
    <t>Earle, AR</t>
  </si>
  <si>
    <t>New London, IA</t>
  </si>
  <si>
    <t>Lake Luzerne, NY</t>
  </si>
  <si>
    <t>Brimley, MI</t>
  </si>
  <si>
    <t>Newport, ME</t>
  </si>
  <si>
    <t>Millville, MA</t>
  </si>
  <si>
    <t>Sabetha, KS</t>
  </si>
  <si>
    <t>Green, MI</t>
  </si>
  <si>
    <t>New Hampton, NY</t>
  </si>
  <si>
    <t>Colmesneil, TX</t>
  </si>
  <si>
    <t>Bronston, KY</t>
  </si>
  <si>
    <t>Quaker City, OH</t>
  </si>
  <si>
    <t>Llano, CA</t>
  </si>
  <si>
    <t>Wilson, NY</t>
  </si>
  <si>
    <t>La Salle, MI</t>
  </si>
  <si>
    <t>Scottsburg, VA</t>
  </si>
  <si>
    <t>Inez, TX</t>
  </si>
  <si>
    <t>Malta, OH</t>
  </si>
  <si>
    <t>Tracy, MN</t>
  </si>
  <si>
    <t>Elk Point, SD</t>
  </si>
  <si>
    <t>Freeland, WA</t>
  </si>
  <si>
    <t>Union, IL</t>
  </si>
  <si>
    <t>Perryville, AR</t>
  </si>
  <si>
    <t>Rusk, TX</t>
  </si>
  <si>
    <t>Goodman, MO</t>
  </si>
  <si>
    <t>Hokes Bluff, AL</t>
  </si>
  <si>
    <t>Locust Grove, OK</t>
  </si>
  <si>
    <t>Steens, MS</t>
  </si>
  <si>
    <t>Mecosta, MI</t>
  </si>
  <si>
    <t>Norridgewock, ME</t>
  </si>
  <si>
    <t>Stephenson, VA</t>
  </si>
  <si>
    <t>Drew, MS</t>
  </si>
  <si>
    <t>Amity, OR</t>
  </si>
  <si>
    <t>Folkston, GA</t>
  </si>
  <si>
    <t>Callaway, VA</t>
  </si>
  <si>
    <t>Big Sandy, TN</t>
  </si>
  <si>
    <t>Ord, NE</t>
  </si>
  <si>
    <t>Spirit Lake, ID</t>
  </si>
  <si>
    <t>Poolville, TX</t>
  </si>
  <si>
    <t>Douglass, KS</t>
  </si>
  <si>
    <t>Lima, WI</t>
  </si>
  <si>
    <t>Ingram, PA</t>
  </si>
  <si>
    <t>Farmington, CA</t>
  </si>
  <si>
    <t>Sloatsburg, NY</t>
  </si>
  <si>
    <t>Mangum, OK</t>
  </si>
  <si>
    <t>Leon, WV</t>
  </si>
  <si>
    <t>Redfield, AR</t>
  </si>
  <si>
    <t>Guilford, IN</t>
  </si>
  <si>
    <t>Rapid River, MI</t>
  </si>
  <si>
    <t>Lookout Mountain, GA</t>
  </si>
  <si>
    <t>Spindale, NC</t>
  </si>
  <si>
    <t>Aurora, MN</t>
  </si>
  <si>
    <t>Dresser, WI</t>
  </si>
  <si>
    <t>Boron, CA</t>
  </si>
  <si>
    <t>Logandale, NV</t>
  </si>
  <si>
    <t>Eva, AL</t>
  </si>
  <si>
    <t>Mountain Iron, MN</t>
  </si>
  <si>
    <t>Fairfax, SC</t>
  </si>
  <si>
    <t>Trappe, MD</t>
  </si>
  <si>
    <t>Lilly, PA</t>
  </si>
  <si>
    <t>Mount Pleasant Mills, PA</t>
  </si>
  <si>
    <t>Oak Hill, FL</t>
  </si>
  <si>
    <t>Collinsville, TX</t>
  </si>
  <si>
    <t>Allenton, MI</t>
  </si>
  <si>
    <t>Convoy, OH</t>
  </si>
  <si>
    <t>Thorndale, PA</t>
  </si>
  <si>
    <t>Lake Park, NC</t>
  </si>
  <si>
    <t>Ashby, MA</t>
  </si>
  <si>
    <t>Carmi, IL</t>
  </si>
  <si>
    <t>Talihina, OK</t>
  </si>
  <si>
    <t>Mendon, UT</t>
  </si>
  <si>
    <t>Solsberry, IN</t>
  </si>
  <si>
    <t>Verona, KY</t>
  </si>
  <si>
    <t>Conneautville, PA</t>
  </si>
  <si>
    <t>Westhampton Beach, NY</t>
  </si>
  <si>
    <t>Hypoluxo, FL</t>
  </si>
  <si>
    <t>Gold Hill, NC</t>
  </si>
  <si>
    <t>Calhoun, TN</t>
  </si>
  <si>
    <t>Monmouth Beach, NJ</t>
  </si>
  <si>
    <t>Huger, SC</t>
  </si>
  <si>
    <t>Ghent, NY</t>
  </si>
  <si>
    <t>Benwood, WV</t>
  </si>
  <si>
    <t>Monticello, UT</t>
  </si>
  <si>
    <t>Warren, IN</t>
  </si>
  <si>
    <t>Italy, TX</t>
  </si>
  <si>
    <t>Dillsboro, IN</t>
  </si>
  <si>
    <t>Prague, OK</t>
  </si>
  <si>
    <t>Monroe, IN</t>
  </si>
  <si>
    <t>Kinsman, OH</t>
  </si>
  <si>
    <t>Holly Pond, AL</t>
  </si>
  <si>
    <t>Keeseville, NY</t>
  </si>
  <si>
    <t>Chamberlain, SD</t>
  </si>
  <si>
    <t>Andover, CT</t>
  </si>
  <si>
    <t>Antwerp, OH</t>
  </si>
  <si>
    <t>Salemburg, NC</t>
  </si>
  <si>
    <t>Romulus, NY</t>
  </si>
  <si>
    <t>Oblong, IL</t>
  </si>
  <si>
    <t>Eldon, MO</t>
  </si>
  <si>
    <t>Springfield, MN</t>
  </si>
  <si>
    <t>Agua Dulce, TX</t>
  </si>
  <si>
    <t>Richland, PA</t>
  </si>
  <si>
    <t>Rush Springs, OK</t>
  </si>
  <si>
    <t>Florence, TX</t>
  </si>
  <si>
    <t>Winslow, IN</t>
  </si>
  <si>
    <t>Lecompte, LA</t>
  </si>
  <si>
    <t>Rockvale, CO</t>
  </si>
  <si>
    <t>Pleasantville, IA</t>
  </si>
  <si>
    <t>Woodbury Heights, NJ</t>
  </si>
  <si>
    <t>Goodells, MI</t>
  </si>
  <si>
    <t>Butler, KY</t>
  </si>
  <si>
    <t>Haverhill, FL</t>
  </si>
  <si>
    <t>Perry, OK</t>
  </si>
  <si>
    <t>Saddle River, NJ</t>
  </si>
  <si>
    <t>Hartshorne, OK</t>
  </si>
  <si>
    <t>Carsonville, MI</t>
  </si>
  <si>
    <t>Miromar Lakes, FL</t>
  </si>
  <si>
    <t>Woodbury, GA</t>
  </si>
  <si>
    <t>Parksley, VA</t>
  </si>
  <si>
    <t>Cushing, TX</t>
  </si>
  <si>
    <t>Pedro, OH</t>
  </si>
  <si>
    <t>Mountain Lake, MN</t>
  </si>
  <si>
    <t>Toledo, WA</t>
  </si>
  <si>
    <t>Rockwood, MI</t>
  </si>
  <si>
    <t>Lake Belvedere Estates, FL</t>
  </si>
  <si>
    <t>Shelbyville, MI</t>
  </si>
  <si>
    <t>Powell Butte, OR</t>
  </si>
  <si>
    <t>Wolf Lake, MI</t>
  </si>
  <si>
    <t>Elmore, OH</t>
  </si>
  <si>
    <t>Berlin, MA</t>
  </si>
  <si>
    <t>Whitesville, KY</t>
  </si>
  <si>
    <t>Edgewood, FL</t>
  </si>
  <si>
    <t>Fort Loramie, OH</t>
  </si>
  <si>
    <t>Hamilton, IL</t>
  </si>
  <si>
    <t>Lancing, TN</t>
  </si>
  <si>
    <t>Hico, TX</t>
  </si>
  <si>
    <t>Elizabethtown, IN</t>
  </si>
  <si>
    <t>Central City, IA</t>
  </si>
  <si>
    <t>Whitehall, MT</t>
  </si>
  <si>
    <t>Northwood, IA</t>
  </si>
  <si>
    <t>Hallstead, PA</t>
  </si>
  <si>
    <t>Afton, MN</t>
  </si>
  <si>
    <t>Willard, UT</t>
  </si>
  <si>
    <t>Greenwood, FL</t>
  </si>
  <si>
    <t>Lancaster, VA</t>
  </si>
  <si>
    <t>Valley Falls, KS</t>
  </si>
  <si>
    <t>Hollywood, SC</t>
  </si>
  <si>
    <t>Blue Ridge, TX</t>
  </si>
  <si>
    <t>Waverly, MN</t>
  </si>
  <si>
    <t>Ida, MI</t>
  </si>
  <si>
    <t>Ridgway, CO</t>
  </si>
  <si>
    <t>Schofield, WI</t>
  </si>
  <si>
    <t>Luck, WI</t>
  </si>
  <si>
    <t>Schaghticoke, NY</t>
  </si>
  <si>
    <t>Rimersburg, PA</t>
  </si>
  <si>
    <t>Kulpmont, PA</t>
  </si>
  <si>
    <t>Harbeson, DE</t>
  </si>
  <si>
    <t>Byrdstown, TN</t>
  </si>
  <si>
    <t>Willamina, OR</t>
  </si>
  <si>
    <t>Volant, PA</t>
  </si>
  <si>
    <t>Dover, WI</t>
  </si>
  <si>
    <t>Centreville, MS</t>
  </si>
  <si>
    <t>Flora, IN</t>
  </si>
  <si>
    <t>Broomes Island, MD</t>
  </si>
  <si>
    <t>Carson, WA</t>
  </si>
  <si>
    <t>Seabrook, SC</t>
  </si>
  <si>
    <t>Sheffield, MA</t>
  </si>
  <si>
    <t>Wallace, ID</t>
  </si>
  <si>
    <t>Wellington, NV</t>
  </si>
  <si>
    <t>Cheshire, MA</t>
  </si>
  <si>
    <t>Lamoni, IA</t>
  </si>
  <si>
    <t>Alderson, WV</t>
  </si>
  <si>
    <t>Netcong, NJ</t>
  </si>
  <si>
    <t>Bowdoin, ME</t>
  </si>
  <si>
    <t>Maple Falls, WA</t>
  </si>
  <si>
    <t>Thiensville, WI</t>
  </si>
  <si>
    <t>Big Sandy, MT</t>
  </si>
  <si>
    <t>Livermore Falls, ME</t>
  </si>
  <si>
    <t>Gadsden, AZ</t>
  </si>
  <si>
    <t>Midway, AL</t>
  </si>
  <si>
    <t>Burnettown, SC</t>
  </si>
  <si>
    <t>Indian Mound, TN</t>
  </si>
  <si>
    <t>Roxana, IL</t>
  </si>
  <si>
    <t>Marion, LA</t>
  </si>
  <si>
    <t>Troy, TN</t>
  </si>
  <si>
    <t>Lester, WV</t>
  </si>
  <si>
    <t>Belgrade, ME</t>
  </si>
  <si>
    <t>Mosinee, WI</t>
  </si>
  <si>
    <t>Williamson, WV</t>
  </si>
  <si>
    <t>Greentown, OH</t>
  </si>
  <si>
    <t>Jennings, FL</t>
  </si>
  <si>
    <t>Nolanville, TX</t>
  </si>
  <si>
    <t>Worden, IL</t>
  </si>
  <si>
    <t>Sebree, KY</t>
  </si>
  <si>
    <t>Felicity, OH</t>
  </si>
  <si>
    <t>Gilmer, TX</t>
  </si>
  <si>
    <t>Medinah, IL</t>
  </si>
  <si>
    <t>Bruce, MS</t>
  </si>
  <si>
    <t>Eudora, AR</t>
  </si>
  <si>
    <t>Bessemer, MI</t>
  </si>
  <si>
    <t>Robins, IA</t>
  </si>
  <si>
    <t>Clyde Hill, WA</t>
  </si>
  <si>
    <t>Sea Girt, NJ</t>
  </si>
  <si>
    <t>Boalsburg, PA</t>
  </si>
  <si>
    <t>Malaga, WA</t>
  </si>
  <si>
    <t>Turtle Lake, WI</t>
  </si>
  <si>
    <t>Lyndonville, NY</t>
  </si>
  <si>
    <t>Merlin, OR</t>
  </si>
  <si>
    <t>Watseka, IL</t>
  </si>
  <si>
    <t>Cathlamet, WA</t>
  </si>
  <si>
    <t>Kahoka, MO</t>
  </si>
  <si>
    <t>Gallatin, MO</t>
  </si>
  <si>
    <t>Buchanan, MI</t>
  </si>
  <si>
    <t>Gleason, WI</t>
  </si>
  <si>
    <t>Timpson, TX</t>
  </si>
  <si>
    <t>Charlotte Court House, VA</t>
  </si>
  <si>
    <t>Hale Center, TX</t>
  </si>
  <si>
    <t>Brackenridge, PA</t>
  </si>
  <si>
    <t>Currituck, NC</t>
  </si>
  <si>
    <t>McComb, OH</t>
  </si>
  <si>
    <t>Flatwoods, WV</t>
  </si>
  <si>
    <t>East New Market, MD</t>
  </si>
  <si>
    <t>Shaftsbury, VT</t>
  </si>
  <si>
    <t>Victoria, MN</t>
  </si>
  <si>
    <t>Woodward, IA</t>
  </si>
  <si>
    <t>Magnolia, OH</t>
  </si>
  <si>
    <t>Bear Lake, MI</t>
  </si>
  <si>
    <t>Bernie, MO</t>
  </si>
  <si>
    <t>Keego Harbor, MI</t>
  </si>
  <si>
    <t>McDade, TX</t>
  </si>
  <si>
    <t>Gresham, SC</t>
  </si>
  <si>
    <t>Eucha, OK</t>
  </si>
  <si>
    <t>Keyes, CA</t>
  </si>
  <si>
    <t>Titus, AL</t>
  </si>
  <si>
    <t>Dayton, PA</t>
  </si>
  <si>
    <t>Soperton, GA</t>
  </si>
  <si>
    <t>Youngsville, PA</t>
  </si>
  <si>
    <t>Whitewater, CO</t>
  </si>
  <si>
    <t>Cross City, FL</t>
  </si>
  <si>
    <t>Mettawa, IL</t>
  </si>
  <si>
    <t>Clarkdale, AZ</t>
  </si>
  <si>
    <t>Alfred, ME</t>
  </si>
  <si>
    <t>Zirconia, NC</t>
  </si>
  <si>
    <t>Maybee, MI</t>
  </si>
  <si>
    <t>Manson, WA</t>
  </si>
  <si>
    <t>Manito, IL</t>
  </si>
  <si>
    <t>Blounts Creek, NC</t>
  </si>
  <si>
    <t>Lakeville, IN</t>
  </si>
  <si>
    <t>Valparaiso, FL</t>
  </si>
  <si>
    <t>Chiloquin, OR</t>
  </si>
  <si>
    <t>Knoxville, IL</t>
  </si>
  <si>
    <t>Poland, IN</t>
  </si>
  <si>
    <t>Monticello, MS</t>
  </si>
  <si>
    <t>Madelia, MN</t>
  </si>
  <si>
    <t>Alton, MO</t>
  </si>
  <si>
    <t>Pocono Lake, PA</t>
  </si>
  <si>
    <t>Portola, CA</t>
  </si>
  <si>
    <t>Nedrow, NY</t>
  </si>
  <si>
    <t>Depauw, IN</t>
  </si>
  <si>
    <t>Belle Plaine, IA</t>
  </si>
  <si>
    <t>Beverly, OH</t>
  </si>
  <si>
    <t>Rhine, WI</t>
  </si>
  <si>
    <t>Percy, IL</t>
  </si>
  <si>
    <t>Clintwood, VA</t>
  </si>
  <si>
    <t>Holland, TX</t>
  </si>
  <si>
    <t>Woolwich, ME</t>
  </si>
  <si>
    <t>Labadieville, LA</t>
  </si>
  <si>
    <t>Aspers, PA</t>
  </si>
  <si>
    <t>Johnsonburg, PA</t>
  </si>
  <si>
    <t>Hartville, MO</t>
  </si>
  <si>
    <t>Hanapepe, HI</t>
  </si>
  <si>
    <t>Bridgeport, IL</t>
  </si>
  <si>
    <t>Star, NC</t>
  </si>
  <si>
    <t>Pitcairn, PA</t>
  </si>
  <si>
    <t>Mannington, WV</t>
  </si>
  <si>
    <t>Mount Pulaski, IL</t>
  </si>
  <si>
    <t>Pioneer, TN</t>
  </si>
  <si>
    <t>Paw Paw, WV</t>
  </si>
  <si>
    <t>Lockeford, CA</t>
  </si>
  <si>
    <t>Tustin, MI</t>
  </si>
  <si>
    <t>Fountain, FL</t>
  </si>
  <si>
    <t>Glenwood, AR</t>
  </si>
  <si>
    <t>Sims, NC</t>
  </si>
  <si>
    <t>Baird, TX</t>
  </si>
  <si>
    <t>Homestead, PA</t>
  </si>
  <si>
    <t>Swanton, MD</t>
  </si>
  <si>
    <t>Spring Grove, VA</t>
  </si>
  <si>
    <t>Farley, IA</t>
  </si>
  <si>
    <t>Moscow, TN</t>
  </si>
  <si>
    <t>McLouth, KS</t>
  </si>
  <si>
    <t>Melbourne, AR</t>
  </si>
  <si>
    <t>Pullman, MI</t>
  </si>
  <si>
    <t>Parker City, IN</t>
  </si>
  <si>
    <t>State Road, NC</t>
  </si>
  <si>
    <t>Rives Junction, MI</t>
  </si>
  <si>
    <t>Holden, ME</t>
  </si>
  <si>
    <t>Ingram, TX</t>
  </si>
  <si>
    <t>Stateline, NV</t>
  </si>
  <si>
    <t>Rolling Prairie, IN</t>
  </si>
  <si>
    <t>Simsboro, LA</t>
  </si>
  <si>
    <t>Underhill, VT</t>
  </si>
  <si>
    <t>Ferndale, CA</t>
  </si>
  <si>
    <t>Auxvasse, MO</t>
  </si>
  <si>
    <t>Houston, MN</t>
  </si>
  <si>
    <t>Lynchburg, SC</t>
  </si>
  <si>
    <t>Jenkins, KY</t>
  </si>
  <si>
    <t>Richfield, NC</t>
  </si>
  <si>
    <t>Fairport Harbor, OH</t>
  </si>
  <si>
    <t>Osseo, MI</t>
  </si>
  <si>
    <t>Atlanta, IL</t>
  </si>
  <si>
    <t>Fairmont City, IL</t>
  </si>
  <si>
    <t>Clarksville, VA</t>
  </si>
  <si>
    <t>Catoosa, OK</t>
  </si>
  <si>
    <t>North Fork, CA</t>
  </si>
  <si>
    <t>Hegins, PA</t>
  </si>
  <si>
    <t>Georgetown, CA</t>
  </si>
  <si>
    <t>Hamlin, WV</t>
  </si>
  <si>
    <t>Center, CO</t>
  </si>
  <si>
    <t>Volga, SD</t>
  </si>
  <si>
    <t>Fort Pierre, SD</t>
  </si>
  <si>
    <t>Memphis, MO</t>
  </si>
  <si>
    <t>Russellville, MO</t>
  </si>
  <si>
    <t>Hubbard, TX</t>
  </si>
  <si>
    <t>Rossville, GA</t>
  </si>
  <si>
    <t>Suring, WI</t>
  </si>
  <si>
    <t>Mineral Point, MO</t>
  </si>
  <si>
    <t>Akron, CO</t>
  </si>
  <si>
    <t>Rossville, IN</t>
  </si>
  <si>
    <t>Norman, IN</t>
  </si>
  <si>
    <t>Claysburg, PA</t>
  </si>
  <si>
    <t>Black Creek, WI</t>
  </si>
  <si>
    <t>Raleigh, MS</t>
  </si>
  <si>
    <t>Gramercy, LA</t>
  </si>
  <si>
    <t>Kaunakakai, HI</t>
  </si>
  <si>
    <t>Valley, NE</t>
  </si>
  <si>
    <t>Vardaman, MS</t>
  </si>
  <si>
    <t>Running Springs, CA</t>
  </si>
  <si>
    <t>Ten Mile, TN</t>
  </si>
  <si>
    <t>Spencer, OH</t>
  </si>
  <si>
    <t>Monroe, IA</t>
  </si>
  <si>
    <t>Lake Mills, IA</t>
  </si>
  <si>
    <t>Fairland, OK</t>
  </si>
  <si>
    <t>Gibbon, NE</t>
  </si>
  <si>
    <t>Anza, CA</t>
  </si>
  <si>
    <t>Farmland, IN</t>
  </si>
  <si>
    <t>Henry, IL</t>
  </si>
  <si>
    <t>Oaklawn-Sunview, KS</t>
  </si>
  <si>
    <t>Chatham, NY</t>
  </si>
  <si>
    <t>Red Oak, IA</t>
  </si>
  <si>
    <t>Long Beach, WA</t>
  </si>
  <si>
    <t>Edinburg, PA</t>
  </si>
  <si>
    <t>Aledo, TX</t>
  </si>
  <si>
    <t>Castalia, NC</t>
  </si>
  <si>
    <t>Fayette, OH</t>
  </si>
  <si>
    <t>Smithfield, UT</t>
  </si>
  <si>
    <t>El Lago, TX</t>
  </si>
  <si>
    <t>Flatonia, TX</t>
  </si>
  <si>
    <t>Hayden, CO</t>
  </si>
  <si>
    <t>Killbuck, OH</t>
  </si>
  <si>
    <t>Dushore, PA</t>
  </si>
  <si>
    <t>Stoddard, WI</t>
  </si>
  <si>
    <t>Fowler, MI</t>
  </si>
  <si>
    <t>Cumberland Gap, TN</t>
  </si>
  <si>
    <t>Cheltenham, MD</t>
  </si>
  <si>
    <t>Mc Clellanville, SC</t>
  </si>
  <si>
    <t>Morning View, KY</t>
  </si>
  <si>
    <t>Ranger, GA</t>
  </si>
  <si>
    <t>Le Roy, MI</t>
  </si>
  <si>
    <t>Chester, VT</t>
  </si>
  <si>
    <t>Palmetto, GA</t>
  </si>
  <si>
    <t>Luzerne, PA</t>
  </si>
  <si>
    <t>Elkland, MO</t>
  </si>
  <si>
    <t>Crescent Springs, KY</t>
  </si>
  <si>
    <t>Somis, CA</t>
  </si>
  <si>
    <t>Pleasureville, KY</t>
  </si>
  <si>
    <t>Milan, OH</t>
  </si>
  <si>
    <t>Hartington, NE</t>
  </si>
  <si>
    <t>Jeffersonville, GA</t>
  </si>
  <si>
    <t>Midway, KY</t>
  </si>
  <si>
    <t>Fort Lawn, SC</t>
  </si>
  <si>
    <t>Greenwood, WI</t>
  </si>
  <si>
    <t>Rogers, TX</t>
  </si>
  <si>
    <t>Cambridge, IA</t>
  </si>
  <si>
    <t>Walcott, IA</t>
  </si>
  <si>
    <t>Cowiche, WA</t>
  </si>
  <si>
    <t>Branford, FL</t>
  </si>
  <si>
    <t>Platte, SD</t>
  </si>
  <si>
    <t>Amity, AR</t>
  </si>
  <si>
    <t>Accord, NY</t>
  </si>
  <si>
    <t>Ritzville, WA</t>
  </si>
  <si>
    <t>Holdrege, NE</t>
  </si>
  <si>
    <t>Malta, MT</t>
  </si>
  <si>
    <t>Redgranite, WI</t>
  </si>
  <si>
    <t>Waterville, MN</t>
  </si>
  <si>
    <t>Bluemont, VA</t>
  </si>
  <si>
    <t>Ruffin, SC</t>
  </si>
  <si>
    <t>Rockwood, PA</t>
  </si>
  <si>
    <t>Boling, TX</t>
  </si>
  <si>
    <t>Alger, MI</t>
  </si>
  <si>
    <t>Mahnomen, MN</t>
  </si>
  <si>
    <t>Sharpsburg, PA</t>
  </si>
  <si>
    <t>Centreville, MI</t>
  </si>
  <si>
    <t>Huntsville, MO</t>
  </si>
  <si>
    <t>Arlee, MT</t>
  </si>
  <si>
    <t>Meigs, GA</t>
  </si>
  <si>
    <t>Scipio, IN</t>
  </si>
  <si>
    <t>Rosebud, TX</t>
  </si>
  <si>
    <t>Konawa, OK</t>
  </si>
  <si>
    <t>Benson, UT</t>
  </si>
  <si>
    <t>Sebeka, MN</t>
  </si>
  <si>
    <t>Lawrenceville, IL</t>
  </si>
  <si>
    <t>Whitehall, WI</t>
  </si>
  <si>
    <t>Spring Valley, WI</t>
  </si>
  <si>
    <t>Princeville, IL</t>
  </si>
  <si>
    <t>Markle, IN</t>
  </si>
  <si>
    <t>Clear Brook, VA</t>
  </si>
  <si>
    <t>El Prado, NM</t>
  </si>
  <si>
    <t>Hauser, ID</t>
  </si>
  <si>
    <t>Oakville, WA</t>
  </si>
  <si>
    <t>Jessieville, AR</t>
  </si>
  <si>
    <t>Baxley, GA</t>
  </si>
  <si>
    <t>Crandall, IN</t>
  </si>
  <si>
    <t>Bridgeport, AL</t>
  </si>
  <si>
    <t>Westminster, VT</t>
  </si>
  <si>
    <t>Hagerhill, KY</t>
  </si>
  <si>
    <t>Arcadia, IN</t>
  </si>
  <si>
    <t>Level Park-Oak Park, MI</t>
  </si>
  <si>
    <t>Brentwood, MD</t>
  </si>
  <si>
    <t>Wilson, OK</t>
  </si>
  <si>
    <t>Mayville, NY</t>
  </si>
  <si>
    <t>Wakefield, VA</t>
  </si>
  <si>
    <t>Summit Hill, PA</t>
  </si>
  <si>
    <t>Nunnelly, TN</t>
  </si>
  <si>
    <t>Bridgeport, WA</t>
  </si>
  <si>
    <t>Parrottsville, TN</t>
  </si>
  <si>
    <t>Stryker, OH</t>
  </si>
  <si>
    <t>Ordway, CO</t>
  </si>
  <si>
    <t>Belmont, MS</t>
  </si>
  <si>
    <t>Superior, AZ</t>
  </si>
  <si>
    <t>Mount Holly Springs, PA</t>
  </si>
  <si>
    <t>Weaverville, CA</t>
  </si>
  <si>
    <t>Wilson, WY</t>
  </si>
  <si>
    <t>Oroville, WA</t>
  </si>
  <si>
    <t>Clayton, WI</t>
  </si>
  <si>
    <t>Stem, NC</t>
  </si>
  <si>
    <t>Hyde Park, VT</t>
  </si>
  <si>
    <t>Union Mills, NC</t>
  </si>
  <si>
    <t>Ozona, TX</t>
  </si>
  <si>
    <t>Waynesburg, OH</t>
  </si>
  <si>
    <t>Petersburg, KY</t>
  </si>
  <si>
    <t>Murfreesboro, AR</t>
  </si>
  <si>
    <t>Milford, ME</t>
  </si>
  <si>
    <t>Somerset, CA</t>
  </si>
  <si>
    <t>Drasco, AR</t>
  </si>
  <si>
    <t>Lake Darby, OH</t>
  </si>
  <si>
    <t>Arrington, TN</t>
  </si>
  <si>
    <t>Marissa, IL</t>
  </si>
  <si>
    <t>Rich Hill, MO</t>
  </si>
  <si>
    <t>Worthington, IN</t>
  </si>
  <si>
    <t>Eastport, NY</t>
  </si>
  <si>
    <t>Pistakee Highlands, IL</t>
  </si>
  <si>
    <t>Clarkson Valley, MO</t>
  </si>
  <si>
    <t>Wadley, GA</t>
  </si>
  <si>
    <t>Mammoth Spring, AR</t>
  </si>
  <si>
    <t>Sanbornton, NH</t>
  </si>
  <si>
    <t>Sissonville, WV</t>
  </si>
  <si>
    <t>Norwood, NY</t>
  </si>
  <si>
    <t>Southgate, KY</t>
  </si>
  <si>
    <t>Wild Rose, WI</t>
  </si>
  <si>
    <t>Corinne, UT</t>
  </si>
  <si>
    <t>Northfield, MA</t>
  </si>
  <si>
    <t>Salt Lick, KY</t>
  </si>
  <si>
    <t>South Vienna, OH</t>
  </si>
  <si>
    <t>Beaver Dams, NY</t>
  </si>
  <si>
    <t>Buttonwillow, CA</t>
  </si>
  <si>
    <t>Rockport, ME</t>
  </si>
  <si>
    <t>Mechanic Falls, ME</t>
  </si>
  <si>
    <t>Elroy, WI</t>
  </si>
  <si>
    <t>Middleport, OH</t>
  </si>
  <si>
    <t>Bowdoinham, ME</t>
  </si>
  <si>
    <t>Fayetteville, OH</t>
  </si>
  <si>
    <t>Millerton, NY</t>
  </si>
  <si>
    <t>Gladehill, VA</t>
  </si>
  <si>
    <t>Barnesville, PA</t>
  </si>
  <si>
    <t>Altoona, FL</t>
  </si>
  <si>
    <t>Caledonia, OH</t>
  </si>
  <si>
    <t>Sweet Valley, PA</t>
  </si>
  <si>
    <t>Colton, OR</t>
  </si>
  <si>
    <t>Glorieta, NM</t>
  </si>
  <si>
    <t>Levant, ME</t>
  </si>
  <si>
    <t>Steele, AL</t>
  </si>
  <si>
    <t>Algodones, NM</t>
  </si>
  <si>
    <t>Lanesboro, MA</t>
  </si>
  <si>
    <t>Pangburn, AR</t>
  </si>
  <si>
    <t>Laura, OH</t>
  </si>
  <si>
    <t>Puryear, TN</t>
  </si>
  <si>
    <t>Owen, WI</t>
  </si>
  <si>
    <t>Huntsville, TN</t>
  </si>
  <si>
    <t>Biscayne Park, FL</t>
  </si>
  <si>
    <t>Prairie City, IA</t>
  </si>
  <si>
    <t>Lakefield, MN</t>
  </si>
  <si>
    <t>New Johnsonville, TN</t>
  </si>
  <si>
    <t>Wayne, OK</t>
  </si>
  <si>
    <t>Sherman, NY</t>
  </si>
  <si>
    <t>Westway, TX</t>
  </si>
  <si>
    <t>Meansville, GA</t>
  </si>
  <si>
    <t>Longboat Key, FL</t>
  </si>
  <si>
    <t>Ovid, NY</t>
  </si>
  <si>
    <t>Berlin Heights, OH</t>
  </si>
  <si>
    <t>Orion, IL</t>
  </si>
  <si>
    <t>Aguanga, CA</t>
  </si>
  <si>
    <t>Maidens, VA</t>
  </si>
  <si>
    <t>Brightwaters, NY</t>
  </si>
  <si>
    <t>Adrian, MO</t>
  </si>
  <si>
    <t>Malabar, FL</t>
  </si>
  <si>
    <t>Farmingdale, ME</t>
  </si>
  <si>
    <t>Crocker, MO</t>
  </si>
  <si>
    <t>Spartansburg, PA</t>
  </si>
  <si>
    <t>Clayton, NM</t>
  </si>
  <si>
    <t>National Park, NJ</t>
  </si>
  <si>
    <t>East Norwich, NY</t>
  </si>
  <si>
    <t>West Orange, TX</t>
  </si>
  <si>
    <t>Welling, OK</t>
  </si>
  <si>
    <t>Springdale, SC</t>
  </si>
  <si>
    <t>Lakin, KS</t>
  </si>
  <si>
    <t>High Point, FL</t>
  </si>
  <si>
    <t>Pulaski, PA</t>
  </si>
  <si>
    <t>Branchville, SC</t>
  </si>
  <si>
    <t>Pomfret, MD</t>
  </si>
  <si>
    <t>Ruleville, MS</t>
  </si>
  <si>
    <t>Hahnville, LA</t>
  </si>
  <si>
    <t>Shiloh, GA</t>
  </si>
  <si>
    <t>Edgerton, KS</t>
  </si>
  <si>
    <t>Thompsonville, IL</t>
  </si>
  <si>
    <t>Herald, CA</t>
  </si>
  <si>
    <t>Roosevelt Gardens, FL</t>
  </si>
  <si>
    <t>Bates City, MO</t>
  </si>
  <si>
    <t>Neshkoro, WI</t>
  </si>
  <si>
    <t>Davis Junction, IL</t>
  </si>
  <si>
    <t>Goodwater, AL</t>
  </si>
  <si>
    <t>Belmond, IA</t>
  </si>
  <si>
    <t>Verona, MO</t>
  </si>
  <si>
    <t>Kemah, TX</t>
  </si>
  <si>
    <t>Wattsburg, PA</t>
  </si>
  <si>
    <t>Raphine, VA</t>
  </si>
  <si>
    <t>Onancock, VA</t>
  </si>
  <si>
    <t>North Hanover Township, NJ</t>
  </si>
  <si>
    <t>Cross Hill, SC</t>
  </si>
  <si>
    <t>Indian Head Park, IL</t>
  </si>
  <si>
    <t>Omaha, AR</t>
  </si>
  <si>
    <t>La Coste, TX</t>
  </si>
  <si>
    <t>Lanark, IL</t>
  </si>
  <si>
    <t>Mount Olive, AL</t>
  </si>
  <si>
    <t>Boydton, VA</t>
  </si>
  <si>
    <t>Fraziers Bottom, WV</t>
  </si>
  <si>
    <t>Byrnes Mill, MO</t>
  </si>
  <si>
    <t>Choteau, MT</t>
  </si>
  <si>
    <t>Forsyth, MT</t>
  </si>
  <si>
    <t>Brownsville, OR</t>
  </si>
  <si>
    <t>Maplesville, AL</t>
  </si>
  <si>
    <t>Coulterville, IL</t>
  </si>
  <si>
    <t>Ramer, AL</t>
  </si>
  <si>
    <t>Rockingham, VT</t>
  </si>
  <si>
    <t>Woodstock, VT</t>
  </si>
  <si>
    <t>Fort Shawnee, OH</t>
  </si>
  <si>
    <t>Windsor, SC</t>
  </si>
  <si>
    <t>Saranac, NY</t>
  </si>
  <si>
    <t>Jeromesville, OH</t>
  </si>
  <si>
    <t>Zellwood, FL</t>
  </si>
  <si>
    <t>McKenney, VA</t>
  </si>
  <si>
    <t>Benton, MO</t>
  </si>
  <si>
    <t>Hickory, KY</t>
  </si>
  <si>
    <t>Lake City, GA</t>
  </si>
  <si>
    <t>Rio Dell, CA</t>
  </si>
  <si>
    <t>East Pittsburgh, PA</t>
  </si>
  <si>
    <t>Le Roy, IL</t>
  </si>
  <si>
    <t>Partlow, VA</t>
  </si>
  <si>
    <t>Carolina Shores, NC</t>
  </si>
  <si>
    <t>Dale, WI</t>
  </si>
  <si>
    <t>Greenhills, OH</t>
  </si>
  <si>
    <t>Lacon, IL</t>
  </si>
  <si>
    <t>Menlo, GA</t>
  </si>
  <si>
    <t>Deshler, OH</t>
  </si>
  <si>
    <t>Keswick, VA</t>
  </si>
  <si>
    <t>Bentonville, VA</t>
  </si>
  <si>
    <t>Holdenville, OK</t>
  </si>
  <si>
    <t>Britt, IA</t>
  </si>
  <si>
    <t>Medina, WA</t>
  </si>
  <si>
    <t>Carlton, MN</t>
  </si>
  <si>
    <t>Lake, MS</t>
  </si>
  <si>
    <t>Woodlynne, NJ</t>
  </si>
  <si>
    <t>Rock Cave, WV</t>
  </si>
  <si>
    <t>Bridgeport, MI</t>
  </si>
  <si>
    <t>Wausaukee, WI</t>
  </si>
  <si>
    <t>Lake Katrine, NY</t>
  </si>
  <si>
    <t>Viper, KY</t>
  </si>
  <si>
    <t>Stoystown, PA</t>
  </si>
  <si>
    <t>Goode, VA</t>
  </si>
  <si>
    <t>Blair, WI</t>
  </si>
  <si>
    <t>Prospect, OH</t>
  </si>
  <si>
    <t>Goodman, MS</t>
  </si>
  <si>
    <t>Lexington, IL</t>
  </si>
  <si>
    <t>Lakehurst, NJ</t>
  </si>
  <si>
    <t>Friendship, NY</t>
  </si>
  <si>
    <t>Rice, TX</t>
  </si>
  <si>
    <t>Dunbarton, NH</t>
  </si>
  <si>
    <t>Obion, TN</t>
  </si>
  <si>
    <t>Warner, NH</t>
  </si>
  <si>
    <t>Kirkwood, NY</t>
  </si>
  <si>
    <t>Notasulga, AL</t>
  </si>
  <si>
    <t>Brogue, PA</t>
  </si>
  <si>
    <t>Colliers, WV</t>
  </si>
  <si>
    <t>Kilmichael, MS</t>
  </si>
  <si>
    <t>Sprague, CT</t>
  </si>
  <si>
    <t>Horseshoe Bend, AR</t>
  </si>
  <si>
    <t>Bremen, OH</t>
  </si>
  <si>
    <t>Glenwood, GA</t>
  </si>
  <si>
    <t>Crestview Hills, KY</t>
  </si>
  <si>
    <t>Oak Park Heights, MN</t>
  </si>
  <si>
    <t>Outlook, WA</t>
  </si>
  <si>
    <t>Lexington, GA</t>
  </si>
  <si>
    <t>Bal Harbour, FL</t>
  </si>
  <si>
    <t>McCullom Lake, IL</t>
  </si>
  <si>
    <t>Wittenberg, WI</t>
  </si>
  <si>
    <t>Morada, CA</t>
  </si>
  <si>
    <t>Coward, SC</t>
  </si>
  <si>
    <t>Minneapolis, KS</t>
  </si>
  <si>
    <t>Hyndman, PA</t>
  </si>
  <si>
    <t>Pearcy, AR</t>
  </si>
  <si>
    <t>Beach City, OH</t>
  </si>
  <si>
    <t>Grape Creek, TX</t>
  </si>
  <si>
    <t>Labadie, MO</t>
  </si>
  <si>
    <t>Del Rio, TN</t>
  </si>
  <si>
    <t>Montpelier, IN</t>
  </si>
  <si>
    <t>Vanderbilt, PA</t>
  </si>
  <si>
    <t>Ellington, WI</t>
  </si>
  <si>
    <t>Warrenton, GA</t>
  </si>
  <si>
    <t>Hawthorne, NV</t>
  </si>
  <si>
    <t>Kimball, NE</t>
  </si>
  <si>
    <t>Hudson, NC</t>
  </si>
  <si>
    <t>Wrens, GA</t>
  </si>
  <si>
    <t>Ada, MN</t>
  </si>
  <si>
    <t>Hardwick, VT</t>
  </si>
  <si>
    <t>Prospect, TN</t>
  </si>
  <si>
    <t>Dryden, VA</t>
  </si>
  <si>
    <t>Marion, KS</t>
  </si>
  <si>
    <t>Deckerville, MI</t>
  </si>
  <si>
    <t>Deep Run, NC</t>
  </si>
  <si>
    <t>Ogilvie, MN</t>
  </si>
  <si>
    <t>Ida Grove, IA</t>
  </si>
  <si>
    <t>Yates Center, KS</t>
  </si>
  <si>
    <t>Penndel, PA</t>
  </si>
  <si>
    <t>Ackley, IA</t>
  </si>
  <si>
    <t>Redwood Falls, MN</t>
  </si>
  <si>
    <t>Highlandville, MO</t>
  </si>
  <si>
    <t>Stephens, AR</t>
  </si>
  <si>
    <t>Goshen, CT</t>
  </si>
  <si>
    <t>Marceline, MO</t>
  </si>
  <si>
    <t>Colon, MI</t>
  </si>
  <si>
    <t>Thiells, NY</t>
  </si>
  <si>
    <t>Wintersville, OH</t>
  </si>
  <si>
    <t>Mount Morris, MI</t>
  </si>
  <si>
    <t>Hanson, KY</t>
  </si>
  <si>
    <t>Hayfield, MN</t>
  </si>
  <si>
    <t>Molena, GA</t>
  </si>
  <si>
    <t>Wanatah, IN</t>
  </si>
  <si>
    <t>Oberlin, LA</t>
  </si>
  <si>
    <t>Moss Beach, CA</t>
  </si>
  <si>
    <t>Hyden, KY</t>
  </si>
  <si>
    <t>Dorchester, SC</t>
  </si>
  <si>
    <t>Plantersville, MS</t>
  </si>
  <si>
    <t>Plainwell, MI</t>
  </si>
  <si>
    <t>Bloomville, OH</t>
  </si>
  <si>
    <t>Atlantic Mine, MI</t>
  </si>
  <si>
    <t>Magnolia, KY</t>
  </si>
  <si>
    <t>Addison, MI</t>
  </si>
  <si>
    <t>Lordsburg, NM</t>
  </si>
  <si>
    <t>Pineville, SC</t>
  </si>
  <si>
    <t>Planada, CA</t>
  </si>
  <si>
    <t>Hardwick, MA</t>
  </si>
  <si>
    <t>Neodesha, KS</t>
  </si>
  <si>
    <t>Girard, IL</t>
  </si>
  <si>
    <t>Hammondsport, NY</t>
  </si>
  <si>
    <t>Guttenberg, IA</t>
  </si>
  <si>
    <t>Brady, TX</t>
  </si>
  <si>
    <t>Lowell, NC</t>
  </si>
  <si>
    <t>White Water, CA</t>
  </si>
  <si>
    <t>Squaw Valley, CA</t>
  </si>
  <si>
    <t>Bayard, NM</t>
  </si>
  <si>
    <t>Scandia, MN</t>
  </si>
  <si>
    <t>Unionville, VA</t>
  </si>
  <si>
    <t>Greenville, FL</t>
  </si>
  <si>
    <t>Chincoteague, VA</t>
  </si>
  <si>
    <t>Melba, ID</t>
  </si>
  <si>
    <t>Hancock, WI</t>
  </si>
  <si>
    <t>Mascot, TN</t>
  </si>
  <si>
    <t>Bristol, NH</t>
  </si>
  <si>
    <t>Corinth, KY</t>
  </si>
  <si>
    <t>Lexington, OH</t>
  </si>
  <si>
    <t>Glenrock, WY</t>
  </si>
  <si>
    <t>Frisco, CO</t>
  </si>
  <si>
    <t>Pembroke, KY</t>
  </si>
  <si>
    <t>Dansville, MI</t>
  </si>
  <si>
    <t>Lyons, OR</t>
  </si>
  <si>
    <t>Holualoa, HI</t>
  </si>
  <si>
    <t>Exmore, VA</t>
  </si>
  <si>
    <t>Alexandria, OH</t>
  </si>
  <si>
    <t>Lawnside, NJ</t>
  </si>
  <si>
    <t>Elton, LA</t>
  </si>
  <si>
    <t>Warren, TX</t>
  </si>
  <si>
    <t>Rosewood Heights, IL</t>
  </si>
  <si>
    <t>South Congaree, SC</t>
  </si>
  <si>
    <t>Louisville, IL</t>
  </si>
  <si>
    <t>Weyers Cave, VA</t>
  </si>
  <si>
    <t>Catawissa, MO</t>
  </si>
  <si>
    <t>Lavalette, WV</t>
  </si>
  <si>
    <t>Oak Ridge North, TX</t>
  </si>
  <si>
    <t>Kings Beach, CA</t>
  </si>
  <si>
    <t>Middleburg, VA</t>
  </si>
  <si>
    <t>Fredericktown-Millsboro, PA</t>
  </si>
  <si>
    <t>Bay, AR</t>
  </si>
  <si>
    <t>Martin, SD</t>
  </si>
  <si>
    <t>Campbellsburg, KY</t>
  </si>
  <si>
    <t>Battle Lake, MN</t>
  </si>
  <si>
    <t>Prophetstown, IL</t>
  </si>
  <si>
    <t>Macon, IL</t>
  </si>
  <si>
    <t>Maypearl, TX</t>
  </si>
  <si>
    <t>Georgetown, PA</t>
  </si>
  <si>
    <t>Richmond, UT</t>
  </si>
  <si>
    <t>White Oak East, OH</t>
  </si>
  <si>
    <t>Kapaau, HI</t>
  </si>
  <si>
    <t>Rapidan, VA</t>
  </si>
  <si>
    <t>Papaikou, HI</t>
  </si>
  <si>
    <t>Oakman, AL</t>
  </si>
  <si>
    <t>Reform, AL</t>
  </si>
  <si>
    <t>Enigma, GA</t>
  </si>
  <si>
    <t>Yountville, CA</t>
  </si>
  <si>
    <t>Industry, PA</t>
  </si>
  <si>
    <t>Staffordsville, KY</t>
  </si>
  <si>
    <t>Calais, ME</t>
  </si>
  <si>
    <t>Royalton, VT</t>
  </si>
  <si>
    <t>Crouse, NC</t>
  </si>
  <si>
    <t>Cottageville, WV</t>
  </si>
  <si>
    <t>Stanchfield, MN</t>
  </si>
  <si>
    <t>Tetonia, ID</t>
  </si>
  <si>
    <t>Poth, TX</t>
  </si>
  <si>
    <t>Saint James, MD</t>
  </si>
  <si>
    <t>Lapel, IN</t>
  </si>
  <si>
    <t>Eden, UT</t>
  </si>
  <si>
    <t>Lynnville, TN</t>
  </si>
  <si>
    <t>Sobieski, WI</t>
  </si>
  <si>
    <t>Queenstown, MD</t>
  </si>
  <si>
    <t>Astor, FL</t>
  </si>
  <si>
    <t>Waterford Works, NJ</t>
  </si>
  <si>
    <t>Cornwall on Hudson, NY</t>
  </si>
  <si>
    <t>Quanah, TX</t>
  </si>
  <si>
    <t>Ila, GA</t>
  </si>
  <si>
    <t>Albertson, NC</t>
  </si>
  <si>
    <t>Loyal, WI</t>
  </si>
  <si>
    <t>The Plains, OH</t>
  </si>
  <si>
    <t>Rock Creek, OH</t>
  </si>
  <si>
    <t>Martinsville, IL</t>
  </si>
  <si>
    <t>Medon, TN</t>
  </si>
  <si>
    <t>Oakwood, IL</t>
  </si>
  <si>
    <t>Anson, TX</t>
  </si>
  <si>
    <t>Perry, KS</t>
  </si>
  <si>
    <t>Blanch, NC</t>
  </si>
  <si>
    <t>Comanche, OK</t>
  </si>
  <si>
    <t>Sullivan, OH</t>
  </si>
  <si>
    <t>Bradley, SC</t>
  </si>
  <si>
    <t>Patterson, GA</t>
  </si>
  <si>
    <t>Hampton, MN</t>
  </si>
  <si>
    <t>West Farmington, OH</t>
  </si>
  <si>
    <t>West Friendship, MD</t>
  </si>
  <si>
    <t>Paonia, CO</t>
  </si>
  <si>
    <t>Ekron, KY</t>
  </si>
  <si>
    <t>Bridgeport, NY</t>
  </si>
  <si>
    <t>Hollywood, AL</t>
  </si>
  <si>
    <t>Ellsinore, MO</t>
  </si>
  <si>
    <t>Salisbury Mills, NY</t>
  </si>
  <si>
    <t>Edgecliff Village, TX</t>
  </si>
  <si>
    <t>Tchula, MS</t>
  </si>
  <si>
    <t>Chaumont, NY</t>
  </si>
  <si>
    <t>Sullivan, WI</t>
  </si>
  <si>
    <t>Riverview, MO</t>
  </si>
  <si>
    <t>Kersey, CO</t>
  </si>
  <si>
    <t>Boyce, VA</t>
  </si>
  <si>
    <t>Ellendale, MN</t>
  </si>
  <si>
    <t>Red Rock, TX</t>
  </si>
  <si>
    <t>Michigan Center, MI</t>
  </si>
  <si>
    <t>Powhatan Point, OH</t>
  </si>
  <si>
    <t>Groveton, TX</t>
  </si>
  <si>
    <t>Stephenson, MI</t>
  </si>
  <si>
    <t>Palmyra, WI</t>
  </si>
  <si>
    <t>Brighton, AL</t>
  </si>
  <si>
    <t>Pittsford, VT</t>
  </si>
  <si>
    <t>Wadmalaw Island, SC</t>
  </si>
  <si>
    <t>Shinglehouse, PA</t>
  </si>
  <si>
    <t>Greenfield, IA</t>
  </si>
  <si>
    <t>Atlanta, IN</t>
  </si>
  <si>
    <t>Prentiss, MS</t>
  </si>
  <si>
    <t>Vermillion, MN</t>
  </si>
  <si>
    <t>Alexandria, TN</t>
  </si>
  <si>
    <t>Fort Calhoun, NE</t>
  </si>
  <si>
    <t>Chrisney, IN</t>
  </si>
  <si>
    <t>Adams, WI</t>
  </si>
  <si>
    <t>Farnham, VA</t>
  </si>
  <si>
    <t>Hoxie, AR</t>
  </si>
  <si>
    <t>Summer Shade, KY</t>
  </si>
  <si>
    <t>Cold Brook, NY</t>
  </si>
  <si>
    <t>Franklin, WV</t>
  </si>
  <si>
    <t>Downs, IL</t>
  </si>
  <si>
    <t>Johnson, AR</t>
  </si>
  <si>
    <t>Fox Lake, WI</t>
  </si>
  <si>
    <t>Waddy, KY</t>
  </si>
  <si>
    <t>Monte Sereno, CA</t>
  </si>
  <si>
    <t>Vulcan, MI</t>
  </si>
  <si>
    <t>Fountain City, WI</t>
  </si>
  <si>
    <t>Centerview, MO</t>
  </si>
  <si>
    <t>Unionville, MO</t>
  </si>
  <si>
    <t>Corinth, ME</t>
  </si>
  <si>
    <t>Mabank, TX</t>
  </si>
  <si>
    <t>Greenwood, LA</t>
  </si>
  <si>
    <t>Gaston, IN</t>
  </si>
  <si>
    <t>Jonesboro, IN</t>
  </si>
  <si>
    <t>Streetman, TX</t>
  </si>
  <si>
    <t>Waterville, WA</t>
  </si>
  <si>
    <t>Huntington, UT</t>
  </si>
  <si>
    <t>Wellington, OH</t>
  </si>
  <si>
    <t>Kent, CT</t>
  </si>
  <si>
    <t>Carmel, ME</t>
  </si>
  <si>
    <t>Taft, TN</t>
  </si>
  <si>
    <t>Mentone, IN</t>
  </si>
  <si>
    <t>Conklin, MI</t>
  </si>
  <si>
    <t>Montour Falls, NY</t>
  </si>
  <si>
    <t>Gainesville, MO</t>
  </si>
  <si>
    <t>Big Timber, MT</t>
  </si>
  <si>
    <t>Smithfield, KY</t>
  </si>
  <si>
    <t>Rocheport, MO</t>
  </si>
  <si>
    <t>Berlin, VT</t>
  </si>
  <si>
    <t>Durand, IL</t>
  </si>
  <si>
    <t>Morrisville, NY</t>
  </si>
  <si>
    <t>Montrose, WI</t>
  </si>
  <si>
    <t>Mountain Center, CA</t>
  </si>
  <si>
    <t>Keymar, MD</t>
  </si>
  <si>
    <t>Kaycee, WY</t>
  </si>
  <si>
    <t>Kirkland, IL</t>
  </si>
  <si>
    <t>Herculaneum, MO</t>
  </si>
  <si>
    <t>King City, OR</t>
  </si>
  <si>
    <t>Hamilton, IN</t>
  </si>
  <si>
    <t>Ardmore, TN</t>
  </si>
  <si>
    <t>Berlin, WI</t>
  </si>
  <si>
    <t>Makanda, IL</t>
  </si>
  <si>
    <t>Salina, UT</t>
  </si>
  <si>
    <t>Moriches, NY</t>
  </si>
  <si>
    <t>West End-Cobb Town, AL</t>
  </si>
  <si>
    <t>Selma, NC</t>
  </si>
  <si>
    <t>Burr Oak, MI</t>
  </si>
  <si>
    <t>Union, OR</t>
  </si>
  <si>
    <t>Maroa, IL</t>
  </si>
  <si>
    <t>Melfa, VA</t>
  </si>
  <si>
    <t>Shell Lake, WI</t>
  </si>
  <si>
    <t>Andover, NH</t>
  </si>
  <si>
    <t>Greenport, NY</t>
  </si>
  <si>
    <t>Kremmling, CO</t>
  </si>
  <si>
    <t>Holcombe, WI</t>
  </si>
  <si>
    <t>Rio Bravo, TX</t>
  </si>
  <si>
    <t>Mountainburg, AR</t>
  </si>
  <si>
    <t>Lac du Flambeau, WI</t>
  </si>
  <si>
    <t>Corydon, IA</t>
  </si>
  <si>
    <t>Ashville, PA</t>
  </si>
  <si>
    <t>Twisp, WA</t>
  </si>
  <si>
    <t>Double Oak, TX</t>
  </si>
  <si>
    <t>Hamilton, MT</t>
  </si>
  <si>
    <t>Kitty Hawk, NC</t>
  </si>
  <si>
    <t>Herington, KS</t>
  </si>
  <si>
    <t>Jamestown, NC</t>
  </si>
  <si>
    <t>Port Republic, MD</t>
  </si>
  <si>
    <t>Orrtanna, PA</t>
  </si>
  <si>
    <t>Doswell, VA</t>
  </si>
  <si>
    <t>New Durham, NH</t>
  </si>
  <si>
    <t>Flatgap, KY</t>
  </si>
  <si>
    <t>Pierpont, OH</t>
  </si>
  <si>
    <t>Alta, IA</t>
  </si>
  <si>
    <t>Ellis, KS</t>
  </si>
  <si>
    <t>Browerville, MN</t>
  </si>
  <si>
    <t>Park Hill, OK</t>
  </si>
  <si>
    <t>Overbrook, KS</t>
  </si>
  <si>
    <t>Lily, KY</t>
  </si>
  <si>
    <t>Laredo Ranchettes, TX</t>
  </si>
  <si>
    <t>Lester Prairie, MN</t>
  </si>
  <si>
    <t>Laceyville, PA</t>
  </si>
  <si>
    <t>Bradford, TN</t>
  </si>
  <si>
    <t>Fenwick, MI</t>
  </si>
  <si>
    <t>Lowgap, NC</t>
  </si>
  <si>
    <t>Savage, MD</t>
  </si>
  <si>
    <t>Brookneal, VA</t>
  </si>
  <si>
    <t>Gerald, MO</t>
  </si>
  <si>
    <t>Edon, OH</t>
  </si>
  <si>
    <t>Naples, TX</t>
  </si>
  <si>
    <t>Weston, MO</t>
  </si>
  <si>
    <t>Red Oak, NC</t>
  </si>
  <si>
    <t>Landisburg, PA</t>
  </si>
  <si>
    <t>Clarksville, MI</t>
  </si>
  <si>
    <t>Woodlawn, OH</t>
  </si>
  <si>
    <t>Weston, OH</t>
  </si>
  <si>
    <t>Tivoli, NY</t>
  </si>
  <si>
    <t>Inkom, ID</t>
  </si>
  <si>
    <t>Solon Springs, WI</t>
  </si>
  <si>
    <t>Hampton, SC</t>
  </si>
  <si>
    <t>Ridge Manor, FL</t>
  </si>
  <si>
    <t>Osseo, MN</t>
  </si>
  <si>
    <t>Shady Cove, OR</t>
  </si>
  <si>
    <t>Tennessee Ridge, TN</t>
  </si>
  <si>
    <t>Eagle Rock, VA</t>
  </si>
  <si>
    <t>Tomkins Cove, NY</t>
  </si>
  <si>
    <t>Pine, AZ</t>
  </si>
  <si>
    <t>Weathersfield, VT</t>
  </si>
  <si>
    <t>Britton, SD</t>
  </si>
  <si>
    <t>Lyndon, WI</t>
  </si>
  <si>
    <t>Polk, PA</t>
  </si>
  <si>
    <t>Pinebluff, NC</t>
  </si>
  <si>
    <t>Naalehu, HI</t>
  </si>
  <si>
    <t>Crimora, VA</t>
  </si>
  <si>
    <t>Kamiah, ID</t>
  </si>
  <si>
    <t>Albany, WI</t>
  </si>
  <si>
    <t>Rolling Fork, MS</t>
  </si>
  <si>
    <t>Lisbon, NY</t>
  </si>
  <si>
    <t>Warren, MN</t>
  </si>
  <si>
    <t>Winsted, MN</t>
  </si>
  <si>
    <t>Saint Ignace, MI</t>
  </si>
  <si>
    <t>Scio, NY</t>
  </si>
  <si>
    <t>Mattituck, NY</t>
  </si>
  <si>
    <t>Balcones Heights, TX</t>
  </si>
  <si>
    <t>Bethel Acres, OK</t>
  </si>
  <si>
    <t>Ahwahnee, CA</t>
  </si>
  <si>
    <t>Porum, OK</t>
  </si>
  <si>
    <t>Sac City, IA</t>
  </si>
  <si>
    <t>East Flat Rock, NC</t>
  </si>
  <si>
    <t>Burnsville, MS</t>
  </si>
  <si>
    <t>Marble, NC</t>
  </si>
  <si>
    <t>Union, ME</t>
  </si>
  <si>
    <t>Wellfleet, MA</t>
  </si>
  <si>
    <t>Mayville, WI</t>
  </si>
  <si>
    <t>Saint George, KS</t>
  </si>
  <si>
    <t>Marfa, TX</t>
  </si>
  <si>
    <t>Glenwood, MD</t>
  </si>
  <si>
    <t>Canaan, ME</t>
  </si>
  <si>
    <t>Dry Branch, GA</t>
  </si>
  <si>
    <t>Stillman Valley, IL</t>
  </si>
  <si>
    <t>Purlear, NC</t>
  </si>
  <si>
    <t>Hinckley, IL</t>
  </si>
  <si>
    <t>Wellsville, PA</t>
  </si>
  <si>
    <t>Questa, NM</t>
  </si>
  <si>
    <t>Clay, KY</t>
  </si>
  <si>
    <t>Denver, IA</t>
  </si>
  <si>
    <t>Pickens, MS</t>
  </si>
  <si>
    <t>Buras, LA</t>
  </si>
  <si>
    <t>Red Hill, PA</t>
  </si>
  <si>
    <t>Shirley, IN</t>
  </si>
  <si>
    <t>Ashley, PA</t>
  </si>
  <si>
    <t>Julian, CA</t>
  </si>
  <si>
    <t>Bridgeton, NC</t>
  </si>
  <si>
    <t>Evendale, OH</t>
  </si>
  <si>
    <t>Creston, IL</t>
  </si>
  <si>
    <t>White Hall, IL</t>
  </si>
  <si>
    <t>Watkins, MN</t>
  </si>
  <si>
    <t>Chelsea, ME</t>
  </si>
  <si>
    <t>Keysville, GA</t>
  </si>
  <si>
    <t>Shapleigh, ME</t>
  </si>
  <si>
    <t>La Villa, TX</t>
  </si>
  <si>
    <t>Robbins, TN</t>
  </si>
  <si>
    <t>Carbondale, KS</t>
  </si>
  <si>
    <t>Carrington, ND</t>
  </si>
  <si>
    <t>Ferrisburgh, VT</t>
  </si>
  <si>
    <t>Aspinwall, PA</t>
  </si>
  <si>
    <t>Richford, VT</t>
  </si>
  <si>
    <t>Saint Louisville, OH</t>
  </si>
  <si>
    <t>Arlington, OH</t>
  </si>
  <si>
    <t>Berkeley Lake, GA</t>
  </si>
  <si>
    <t>Greenup, IL</t>
  </si>
  <si>
    <t>Fortville, IN</t>
  </si>
  <si>
    <t>Iola, KS</t>
  </si>
  <si>
    <t>Gaylesville, AL</t>
  </si>
  <si>
    <t>Gnadenhutten, OH</t>
  </si>
  <si>
    <t>Lumber Bridge, NC</t>
  </si>
  <si>
    <t>Harbor Bluffs, FL</t>
  </si>
  <si>
    <t>Bowman, SC</t>
  </si>
  <si>
    <t>Cutchogue, NY</t>
  </si>
  <si>
    <t>Tebbetts, MO</t>
  </si>
  <si>
    <t>Springville, CA</t>
  </si>
  <si>
    <t>Clyo, GA</t>
  </si>
  <si>
    <t>Shullsburg, WI</t>
  </si>
  <si>
    <t>Centerville, IA</t>
  </si>
  <si>
    <t>State Center, IA</t>
  </si>
  <si>
    <t>Bradford, VT</t>
  </si>
  <si>
    <t>Buena, NJ</t>
  </si>
  <si>
    <t>Pingree, ID</t>
  </si>
  <si>
    <t>Ranger, TX</t>
  </si>
  <si>
    <t>Debord, KY</t>
  </si>
  <si>
    <t>Smithton, PA</t>
  </si>
  <si>
    <t>Benton, ME</t>
  </si>
  <si>
    <t>Lucerne, CA</t>
  </si>
  <si>
    <t>Rutledge, GA</t>
  </si>
  <si>
    <t>Russell, KY</t>
  </si>
  <si>
    <t>North Lima, OH</t>
  </si>
  <si>
    <t>Pequot Lakes, MN</t>
  </si>
  <si>
    <t>Pavilion, NY</t>
  </si>
  <si>
    <t>Campbell, TX</t>
  </si>
  <si>
    <t>Hartley, IA</t>
  </si>
  <si>
    <t>Catawba, VA</t>
  </si>
  <si>
    <t>Mazomanie, WI</t>
  </si>
  <si>
    <t>Mediapolis, IA</t>
  </si>
  <si>
    <t>Riverton, NJ</t>
  </si>
  <si>
    <t>Sumas, WA</t>
  </si>
  <si>
    <t>Mineral Springs, NC</t>
  </si>
  <si>
    <t>Julian, NC</t>
  </si>
  <si>
    <t>Red Creek, NY</t>
  </si>
  <si>
    <t>Hickory Creek, TX</t>
  </si>
  <si>
    <t>Genesee, ID</t>
  </si>
  <si>
    <t>Decatur, AR</t>
  </si>
  <si>
    <t>Shohola, PA</t>
  </si>
  <si>
    <t>Sharon, CT</t>
  </si>
  <si>
    <t>North Jackson, OH</t>
  </si>
  <si>
    <t>Proctor, MN</t>
  </si>
  <si>
    <t>Kenilworth, IL</t>
  </si>
  <si>
    <t>Putney, VT</t>
  </si>
  <si>
    <t>Yorkville, NY</t>
  </si>
  <si>
    <t>Apalachicola, FL</t>
  </si>
  <si>
    <t>Baker, MT</t>
  </si>
  <si>
    <t>Thomaston, ME</t>
  </si>
  <si>
    <t>Lakeside Park, KY</t>
  </si>
  <si>
    <t>Guys Mills, PA</t>
  </si>
  <si>
    <t>Homer, GA</t>
  </si>
  <si>
    <t>Castleberry, AL</t>
  </si>
  <si>
    <t>Wickliffe, KY</t>
  </si>
  <si>
    <t>Penhook, VA</t>
  </si>
  <si>
    <t>Pilgrim, KY</t>
  </si>
  <si>
    <t>Sycamore, OH</t>
  </si>
  <si>
    <t>Auburn, KS</t>
  </si>
  <si>
    <t>Diamond, OH</t>
  </si>
  <si>
    <t>Marston, NC</t>
  </si>
  <si>
    <t>Vernonia, OR</t>
  </si>
  <si>
    <t>Elmira Heights, NY</t>
  </si>
  <si>
    <t>Robards, KY</t>
  </si>
  <si>
    <t>Pleasant Hill, OR</t>
  </si>
  <si>
    <t>Pomona, KS</t>
  </si>
  <si>
    <t>Bokeelia, FL</t>
  </si>
  <si>
    <t>Columbia, NC</t>
  </si>
  <si>
    <t>Hickman, KY</t>
  </si>
  <si>
    <t>La Mesa, NM</t>
  </si>
  <si>
    <t>Newell, WV</t>
  </si>
  <si>
    <t>Rockland, WI</t>
  </si>
  <si>
    <t>Benton, KS</t>
  </si>
  <si>
    <t>Adolphus, KY</t>
  </si>
  <si>
    <t>Juniata, NE</t>
  </si>
  <si>
    <t>La Grange, WI</t>
  </si>
  <si>
    <t>Swiss, WV</t>
  </si>
  <si>
    <t>Syracuse, NE</t>
  </si>
  <si>
    <t>Genesee, CO</t>
  </si>
  <si>
    <t>Tamaroa, IL</t>
  </si>
  <si>
    <t>Antrim, NH</t>
  </si>
  <si>
    <t>Oronogo, MO</t>
  </si>
  <si>
    <t>Larsen, WI</t>
  </si>
  <si>
    <t>Copenhagen, NY</t>
  </si>
  <si>
    <t>Albion, NE</t>
  </si>
  <si>
    <t>Riva, MD</t>
  </si>
  <si>
    <t>Ruidoso Downs, NM</t>
  </si>
  <si>
    <t>Patriot, OH</t>
  </si>
  <si>
    <t>New Eagle, PA</t>
  </si>
  <si>
    <t>Springerville, AZ</t>
  </si>
  <si>
    <t>Lynn, IN</t>
  </si>
  <si>
    <t>Dewy Rose, GA</t>
  </si>
  <si>
    <t>East Lansdowne, PA</t>
  </si>
  <si>
    <t>Monon, IN</t>
  </si>
  <si>
    <t>Henderson, MN</t>
  </si>
  <si>
    <t>Knotts Island, NC</t>
  </si>
  <si>
    <t>Duanesburg, NY</t>
  </si>
  <si>
    <t>Swoope, VA</t>
  </si>
  <si>
    <t>Birchwood, TN</t>
  </si>
  <si>
    <t>Gladstone, VA</t>
  </si>
  <si>
    <t>Plainview, AR</t>
  </si>
  <si>
    <t>Macclesfield, NC</t>
  </si>
  <si>
    <t>Pittston, ME</t>
  </si>
  <si>
    <t>Townsend, TN</t>
  </si>
  <si>
    <t>Taylor, MS</t>
  </si>
  <si>
    <t>Royalton, IL</t>
  </si>
  <si>
    <t>Flandreau, SD</t>
  </si>
  <si>
    <t>Rockford, MN</t>
  </si>
  <si>
    <t>Hickman, NE</t>
  </si>
  <si>
    <t>Cramerton, NC</t>
  </si>
  <si>
    <t>Warm Springs, GA</t>
  </si>
  <si>
    <t>Glasford, IL</t>
  </si>
  <si>
    <t>Tonopah, NV</t>
  </si>
  <si>
    <t>Mesick, MI</t>
  </si>
  <si>
    <t>Ramsey, IL</t>
  </si>
  <si>
    <t>Saint Clair, PA</t>
  </si>
  <si>
    <t>Rockwell City, IA</t>
  </si>
  <si>
    <t>Climax, GA</t>
  </si>
  <si>
    <t>Elmira, OR</t>
  </si>
  <si>
    <t>Arlington, VT</t>
  </si>
  <si>
    <t>Beech Bluff, TN</t>
  </si>
  <si>
    <t>Grindstone, PA</t>
  </si>
  <si>
    <t>Chichester, NH</t>
  </si>
  <si>
    <t>Bolivar, NY</t>
  </si>
  <si>
    <t>Deep Gap, NC</t>
  </si>
  <si>
    <t>Oneonta, AL</t>
  </si>
  <si>
    <t>Blue Hill, ME</t>
  </si>
  <si>
    <t>Fillmore, NY</t>
  </si>
  <si>
    <t>Montezuma, IA</t>
  </si>
  <si>
    <t>Pittsfield, IL</t>
  </si>
  <si>
    <t>Logan, IA</t>
  </si>
  <si>
    <t>Huntsville, OH</t>
  </si>
  <si>
    <t>Pembroke, VA</t>
  </si>
  <si>
    <t>Ellington, MO</t>
  </si>
  <si>
    <t>Castor, LA</t>
  </si>
  <si>
    <t>Ortonville, MN</t>
  </si>
  <si>
    <t>Pratt, KS</t>
  </si>
  <si>
    <t>Newton, WV</t>
  </si>
  <si>
    <t>Huntland, TN</t>
  </si>
  <si>
    <t>Sea Isle City, NJ</t>
  </si>
  <si>
    <t>Patagonia, AZ</t>
  </si>
  <si>
    <t>Casselton, ND</t>
  </si>
  <si>
    <t>Sparta, KY</t>
  </si>
  <si>
    <t>Harlem, MT</t>
  </si>
  <si>
    <t>Cambria, WI</t>
  </si>
  <si>
    <t>Shenandoah, TX</t>
  </si>
  <si>
    <t>Baneberry, TN</t>
  </si>
  <si>
    <t>Rochester, WI</t>
  </si>
  <si>
    <t>Shoals, IN</t>
  </si>
  <si>
    <t>Plain Dealing, LA</t>
  </si>
  <si>
    <t>Congress, AZ</t>
  </si>
  <si>
    <t>Rangely, CO</t>
  </si>
  <si>
    <t>Bristol, ME</t>
  </si>
  <si>
    <t>Mountain Home, TX</t>
  </si>
  <si>
    <t>North Hudson, WI</t>
  </si>
  <si>
    <t>Mount Vernon, MO</t>
  </si>
  <si>
    <t>Moville, IA</t>
  </si>
  <si>
    <t>Oxford, IA</t>
  </si>
  <si>
    <t>La Farge, WI</t>
  </si>
  <si>
    <t>Marked Tree, AR</t>
  </si>
  <si>
    <t>Huxley, IA</t>
  </si>
  <si>
    <t>Millington, MD</t>
  </si>
  <si>
    <t>McRae, AR</t>
  </si>
  <si>
    <t>Munnsville, NY</t>
  </si>
  <si>
    <t>Park Hills, KY</t>
  </si>
  <si>
    <t>Slater, MO</t>
  </si>
  <si>
    <t>Antonito, CO</t>
  </si>
  <si>
    <t>Taylor, AL</t>
  </si>
  <si>
    <t>Rosemount, OH</t>
  </si>
  <si>
    <t>Morristown, IN</t>
  </si>
  <si>
    <t>Cloverdale, OR</t>
  </si>
  <si>
    <t>Madison Lake, MN</t>
  </si>
  <si>
    <t>South Hempstead, NY</t>
  </si>
  <si>
    <t>Boyd, WI</t>
  </si>
  <si>
    <t>Argentine, MI</t>
  </si>
  <si>
    <t>Fox Lake Hills, IL</t>
  </si>
  <si>
    <t>Marengo, IN</t>
  </si>
  <si>
    <t>Peterstown, WV</t>
  </si>
  <si>
    <t>Thompsonville, PA</t>
  </si>
  <si>
    <t>Earlham, IA</t>
  </si>
  <si>
    <t>Dixon, KY</t>
  </si>
  <si>
    <t>Winona, MO</t>
  </si>
  <si>
    <t>Greybull, WY</t>
  </si>
  <si>
    <t>Anson, ME</t>
  </si>
  <si>
    <t>Slayton, MN</t>
  </si>
  <si>
    <t>White Post, VA</t>
  </si>
  <si>
    <t>Lost Creek, WV</t>
  </si>
  <si>
    <t>Saint Martinville, LA</t>
  </si>
  <si>
    <t>New Stanton, PA</t>
  </si>
  <si>
    <t>La Fontaine, IN</t>
  </si>
  <si>
    <t>Holland, MA</t>
  </si>
  <si>
    <t>Monona, IA</t>
  </si>
  <si>
    <t>Rockford, OH</t>
  </si>
  <si>
    <t>Cleveland, NY</t>
  </si>
  <si>
    <t>Fountain City, IN</t>
  </si>
  <si>
    <t>Sturgeon Lake, MN</t>
  </si>
  <si>
    <t>Boyne Falls, MI</t>
  </si>
  <si>
    <t>Nanjemoy, MD</t>
  </si>
  <si>
    <t>Hines, OR</t>
  </si>
  <si>
    <t>Sebewaing, MI</t>
  </si>
  <si>
    <t>Westworth Village, TX</t>
  </si>
  <si>
    <t>Jefferson, ME</t>
  </si>
  <si>
    <t>Tekonsha, MI</t>
  </si>
  <si>
    <t>Pleasantville, OH</t>
  </si>
  <si>
    <t>Marbury, AL</t>
  </si>
  <si>
    <t>Humboldt, KS</t>
  </si>
  <si>
    <t>Center City, MN</t>
  </si>
  <si>
    <t>Central Lake, MI</t>
  </si>
  <si>
    <t>Teachey, NC</t>
  </si>
  <si>
    <t>Maxwell, IA</t>
  </si>
  <si>
    <t>Timnath, CO</t>
  </si>
  <si>
    <t>Freemansburg, PA</t>
  </si>
  <si>
    <t>Haworth, OK</t>
  </si>
  <si>
    <t>Salisbury, MO</t>
  </si>
  <si>
    <t>White Plains, KY</t>
  </si>
  <si>
    <t>Imperial, NE</t>
  </si>
  <si>
    <t>White Oak West, OH</t>
  </si>
  <si>
    <t>Huntingdon, TN</t>
  </si>
  <si>
    <t>Lancaster, NH</t>
  </si>
  <si>
    <t>Garrison, ND</t>
  </si>
  <si>
    <t>Shamrock, TX</t>
  </si>
  <si>
    <t>Cornell, WI</t>
  </si>
  <si>
    <t>Renovo, PA</t>
  </si>
  <si>
    <t>Marion Center, PA</t>
  </si>
  <si>
    <t>Rural Valley, PA</t>
  </si>
  <si>
    <t>Atwater, MN</t>
  </si>
  <si>
    <t>Inman, KS</t>
  </si>
  <si>
    <t>Sterling, MI</t>
  </si>
  <si>
    <t>Columbia, VA</t>
  </si>
  <si>
    <t>Waco, KY</t>
  </si>
  <si>
    <t>Vado, NM</t>
  </si>
  <si>
    <t>Leon, IA</t>
  </si>
  <si>
    <t>Iuka, IL</t>
  </si>
  <si>
    <t>Eagle Lake, MN</t>
  </si>
  <si>
    <t>Bucyrus, KS</t>
  </si>
  <si>
    <t>Winthrop, WA</t>
  </si>
  <si>
    <t>Eros, LA</t>
  </si>
  <si>
    <t>Norwood, MO</t>
  </si>
  <si>
    <t>Hodgen, OK</t>
  </si>
  <si>
    <t>Ferrysburg, MI</t>
  </si>
  <si>
    <t>Bogata, TX</t>
  </si>
  <si>
    <t>Thorsby, AL</t>
  </si>
  <si>
    <t>Bearden, AR</t>
  </si>
  <si>
    <t>Sherman, WI</t>
  </si>
  <si>
    <t>Capron, VA</t>
  </si>
  <si>
    <t>Highspire, PA</t>
  </si>
  <si>
    <t>Emmett, MI</t>
  </si>
  <si>
    <t>Richburg, SC</t>
  </si>
  <si>
    <t>Dubois, IN</t>
  </si>
  <si>
    <t>Wingo, KY</t>
  </si>
  <si>
    <t>Tunnelton, WV</t>
  </si>
  <si>
    <t>Grantsville, WV</t>
  </si>
  <si>
    <t>Ripley, NY</t>
  </si>
  <si>
    <t>Tecumseh, NE</t>
  </si>
  <si>
    <t>Southport, IN</t>
  </si>
  <si>
    <t>Oriskany, NY</t>
  </si>
  <si>
    <t>Seligman, AZ</t>
  </si>
  <si>
    <t>Clarinda, IA</t>
  </si>
  <si>
    <t>Kuttawa, KY</t>
  </si>
  <si>
    <t>Gower, MO</t>
  </si>
  <si>
    <t>Tremont, PA</t>
  </si>
  <si>
    <t>Milford, VA</t>
  </si>
  <si>
    <t>Fultonville, NY</t>
  </si>
  <si>
    <t>East Leroy, MI</t>
  </si>
  <si>
    <t>Lovington, IL</t>
  </si>
  <si>
    <t>Otto, NC</t>
  </si>
  <si>
    <t>Alva, OK</t>
  </si>
  <si>
    <t>Union Grove, WI</t>
  </si>
  <si>
    <t>Walker, MN</t>
  </si>
  <si>
    <t>Welch, OK</t>
  </si>
  <si>
    <t>Mesquite, NM</t>
  </si>
  <si>
    <t>McGregor, MN</t>
  </si>
  <si>
    <t>Acton, ME</t>
  </si>
  <si>
    <t>Monticello, WI</t>
  </si>
  <si>
    <t>Windsor, ME</t>
  </si>
  <si>
    <t>Grantham, NH</t>
  </si>
  <si>
    <t>Cottonwood Shores, TX</t>
  </si>
  <si>
    <t>Withee, WI</t>
  </si>
  <si>
    <t>Converse, IN</t>
  </si>
  <si>
    <t>Macon, NC</t>
  </si>
  <si>
    <t>Wellman, IA</t>
  </si>
  <si>
    <t>Sunderland, MD</t>
  </si>
  <si>
    <t>Minot, ME</t>
  </si>
  <si>
    <t>Siletz, OR</t>
  </si>
  <si>
    <t>Bethel, NC</t>
  </si>
  <si>
    <t>Boothbay, ME</t>
  </si>
  <si>
    <t>Fair Haven, VT</t>
  </si>
  <si>
    <t>Hagerman, ID</t>
  </si>
  <si>
    <t>Pine Valley, UT</t>
  </si>
  <si>
    <t>Bokchito, OK</t>
  </si>
  <si>
    <t>Towanda, KS</t>
  </si>
  <si>
    <t>Saxton, PA</t>
  </si>
  <si>
    <t>Odessa, MO</t>
  </si>
  <si>
    <t>Vinita, OK</t>
  </si>
  <si>
    <t>Ararat, VA</t>
  </si>
  <si>
    <t>Sewanee, TN</t>
  </si>
  <si>
    <t>Avoca, PA</t>
  </si>
  <si>
    <t>Union, WV</t>
  </si>
  <si>
    <t>Freeport, MN</t>
  </si>
  <si>
    <t>Oskaloosa, KS</t>
  </si>
  <si>
    <t>Garretson, SD</t>
  </si>
  <si>
    <t>Paisley, FL</t>
  </si>
  <si>
    <t>Green Valley, IL</t>
  </si>
  <si>
    <t>East Montpelier, VT</t>
  </si>
  <si>
    <t>Cunningham, TN</t>
  </si>
  <si>
    <t>Wofford Heights, CA</t>
  </si>
  <si>
    <t>Hillsdale, NY</t>
  </si>
  <si>
    <t>Graysville, AL</t>
  </si>
  <si>
    <t>Williamsburg, MA</t>
  </si>
  <si>
    <t>West Mansfield, OH</t>
  </si>
  <si>
    <t>Mont Vernon, NH</t>
  </si>
  <si>
    <t>Corning, IA</t>
  </si>
  <si>
    <t>Dolan Springs, AZ</t>
  </si>
  <si>
    <t>Eaton, IN</t>
  </si>
  <si>
    <t>Fort Jones, CA</t>
  </si>
  <si>
    <t>Coyle, OK</t>
  </si>
  <si>
    <t>Harrison, ME</t>
  </si>
  <si>
    <t>Biggs, CA</t>
  </si>
  <si>
    <t>Pillager, MN</t>
  </si>
  <si>
    <t>Bridger, MT</t>
  </si>
  <si>
    <t>Cable, OH</t>
  </si>
  <si>
    <t>Churchton, MD</t>
  </si>
  <si>
    <t>Woodville, WI</t>
  </si>
  <si>
    <t>Maricopa, CA</t>
  </si>
  <si>
    <t>Fayette City, PA</t>
  </si>
  <si>
    <t>East Williston, NY</t>
  </si>
  <si>
    <t>Ledbetter, KY</t>
  </si>
  <si>
    <t>Ubly, MI</t>
  </si>
  <si>
    <t>Gray, KY</t>
  </si>
  <si>
    <t>Joaquin, TX</t>
  </si>
  <si>
    <t>Mount Ayr, IA</t>
  </si>
  <si>
    <t>Harleyville, SC</t>
  </si>
  <si>
    <t>Barnesville, GA</t>
  </si>
  <si>
    <t>Hays, NC</t>
  </si>
  <si>
    <t>Brasher Falls, NY</t>
  </si>
  <si>
    <t>Bryant, IN</t>
  </si>
  <si>
    <t>Bethlehem, NH</t>
  </si>
  <si>
    <t>Shelby, AL</t>
  </si>
  <si>
    <t>Mason, WI</t>
  </si>
  <si>
    <t>Beulah, MI</t>
  </si>
  <si>
    <t>Sherrill, NY</t>
  </si>
  <si>
    <t>Rollinsford, NH</t>
  </si>
  <si>
    <t>Morton, TX</t>
  </si>
  <si>
    <t>Newfoundland, PA</t>
  </si>
  <si>
    <t>Maysville, MO</t>
  </si>
  <si>
    <t>Sparks, TX</t>
  </si>
  <si>
    <t>Youngwood, PA</t>
  </si>
  <si>
    <t>Allen, OK</t>
  </si>
  <si>
    <t>Aviston, IL</t>
  </si>
  <si>
    <t>Webster, SD</t>
  </si>
  <si>
    <t>Jellico, TN</t>
  </si>
  <si>
    <t>Bonnerdale, AR</t>
  </si>
  <si>
    <t>Sundance, WY</t>
  </si>
  <si>
    <t>Tiger, GA</t>
  </si>
  <si>
    <t>La Joya, TX</t>
  </si>
  <si>
    <t>Lyman, WY</t>
  </si>
  <si>
    <t>Lyle, WA</t>
  </si>
  <si>
    <t>Graford, TX</t>
  </si>
  <si>
    <t>Turbeville, SC</t>
  </si>
  <si>
    <t>Florence, WI</t>
  </si>
  <si>
    <t>Martin, KY</t>
  </si>
  <si>
    <t>Quartzsite, AZ</t>
  </si>
  <si>
    <t>Teton Village, WY</t>
  </si>
  <si>
    <t>Bloxom, VA</t>
  </si>
  <si>
    <t>Readfield, ME</t>
  </si>
  <si>
    <t>Plainfield, NH</t>
  </si>
  <si>
    <t>Stringer, MS</t>
  </si>
  <si>
    <t>Dover, NC</t>
  </si>
  <si>
    <t>Earleville, MD</t>
  </si>
  <si>
    <t>Cave Spring, GA</t>
  </si>
  <si>
    <t>Silver Lake, IN</t>
  </si>
  <si>
    <t>Iron City, TN</t>
  </si>
  <si>
    <t>Upperco, MD</t>
  </si>
  <si>
    <t>Baraga, MI</t>
  </si>
  <si>
    <t>Barton, VT</t>
  </si>
  <si>
    <t>Thetford, VT</t>
  </si>
  <si>
    <t>Belle, MO</t>
  </si>
  <si>
    <t>Saint Charles, IA</t>
  </si>
  <si>
    <t>Anthony, KS</t>
  </si>
  <si>
    <t>Pleasant Valley, WV</t>
  </si>
  <si>
    <t>Starbuck, MN</t>
  </si>
  <si>
    <t>Otisfield, ME</t>
  </si>
  <si>
    <t>Whiteford, MD</t>
  </si>
  <si>
    <t>Bennet, NE</t>
  </si>
  <si>
    <t>Davisboro, GA</t>
  </si>
  <si>
    <t>Albany, MO</t>
  </si>
  <si>
    <t>Mc Bee, SC</t>
  </si>
  <si>
    <t>Bancroft, MI</t>
  </si>
  <si>
    <t>Unionville, TN</t>
  </si>
  <si>
    <t>Parkston, SD</t>
  </si>
  <si>
    <t>Coolidge, GA</t>
  </si>
  <si>
    <t>Tilton-Northfield, NH</t>
  </si>
  <si>
    <t>Parowan, UT</t>
  </si>
  <si>
    <t>Hanover, MN</t>
  </si>
  <si>
    <t>Manchester, ME</t>
  </si>
  <si>
    <t>Junction City, WI</t>
  </si>
  <si>
    <t>Ewing, VA</t>
  </si>
  <si>
    <t>Robinsonville, MS</t>
  </si>
  <si>
    <t>Chazy, NY</t>
  </si>
  <si>
    <t>North Lawrence, OH</t>
  </si>
  <si>
    <t>Potts Camp, MS</t>
  </si>
  <si>
    <t>Hebron Estates, KY</t>
  </si>
  <si>
    <t>Bee Branch, AR</t>
  </si>
  <si>
    <t>New Salem, ND</t>
  </si>
  <si>
    <t>Celeste, TX</t>
  </si>
  <si>
    <t>Montauk, NY</t>
  </si>
  <si>
    <t>Auberry, CA</t>
  </si>
  <si>
    <t>Meridian, TX</t>
  </si>
  <si>
    <t>Savannah, NY</t>
  </si>
  <si>
    <t>Waterloo, WI</t>
  </si>
  <si>
    <t>Bath, NC</t>
  </si>
  <si>
    <t>Wagram, NC</t>
  </si>
  <si>
    <t>Arpin, WI</t>
  </si>
  <si>
    <t>Arkport, NY</t>
  </si>
  <si>
    <t>Voluntown, CT</t>
  </si>
  <si>
    <t>Drexel, MO</t>
  </si>
  <si>
    <t>Hamilton, MS</t>
  </si>
  <si>
    <t>Bridgeport, TX</t>
  </si>
  <si>
    <t>Princeton, WI</t>
  </si>
  <si>
    <t>Blairs, VA</t>
  </si>
  <si>
    <t>Raccoon, KY</t>
  </si>
  <si>
    <t>Silver Lake, OH</t>
  </si>
  <si>
    <t>Eskdale, WV</t>
  </si>
  <si>
    <t>Estell Manor, NJ</t>
  </si>
  <si>
    <t>Eastanollee, GA</t>
  </si>
  <si>
    <t>Nekimi, WI</t>
  </si>
  <si>
    <t>La Luz, NM</t>
  </si>
  <si>
    <t>Glenville, PA</t>
  </si>
  <si>
    <t>Walnut Grove, CA</t>
  </si>
  <si>
    <t>Danielsville, GA</t>
  </si>
  <si>
    <t>Ansonia, OH</t>
  </si>
  <si>
    <t>Annville, KY</t>
  </si>
  <si>
    <t>Rose Bud, AR</t>
  </si>
  <si>
    <t>Ellinwood, KS</t>
  </si>
  <si>
    <t>Sonora, KY</t>
  </si>
  <si>
    <t>Villa Grove, IL</t>
  </si>
  <si>
    <t>Fieldale, VA</t>
  </si>
  <si>
    <t>Wisner, LA</t>
  </si>
  <si>
    <t>Bradner, OH</t>
  </si>
  <si>
    <t>Marion, WI</t>
  </si>
  <si>
    <t>Sterling, OH</t>
  </si>
  <si>
    <t>Pecan Acres, TX</t>
  </si>
  <si>
    <t>Augusta, KY</t>
  </si>
  <si>
    <t>Stanton, TN</t>
  </si>
  <si>
    <t>Dalworthington Gardens, TX</t>
  </si>
  <si>
    <t>Republic, OH</t>
  </si>
  <si>
    <t>Spring Valley, OH</t>
  </si>
  <si>
    <t>Boston, KY</t>
  </si>
  <si>
    <t>Redwood, NY</t>
  </si>
  <si>
    <t>Waverly, IL</t>
  </si>
  <si>
    <t>Plainfield, WI</t>
  </si>
  <si>
    <t>Soso, MS</t>
  </si>
  <si>
    <t>Pioneer Village, KY</t>
  </si>
  <si>
    <t>Geyserville, CA</t>
  </si>
  <si>
    <t>Lauderdale, MN</t>
  </si>
  <si>
    <t>Brodheadsville, PA</t>
  </si>
  <si>
    <t>Newtown, OH</t>
  </si>
  <si>
    <t>Gleason, TN</t>
  </si>
  <si>
    <t>Fillmore, IN</t>
  </si>
  <si>
    <t>Mantorville, MN</t>
  </si>
  <si>
    <t>Paramount-Long Meadow, MD</t>
  </si>
  <si>
    <t>Nevis, MN</t>
  </si>
  <si>
    <t>Brundidge, AL</t>
  </si>
  <si>
    <t>Driggs, ID</t>
  </si>
  <si>
    <t>Shelbina, MO</t>
  </si>
  <si>
    <t>Allenstown, NH</t>
  </si>
  <si>
    <t>Lake Park, MN</t>
  </si>
  <si>
    <t>Spencer, NC</t>
  </si>
  <si>
    <t>Jones, OK</t>
  </si>
  <si>
    <t>University Park, MD</t>
  </si>
  <si>
    <t>Paddock Lake, WI</t>
  </si>
  <si>
    <t>Holcomb, MS</t>
  </si>
  <si>
    <t>Highland City, FL</t>
  </si>
  <si>
    <t>Orchard Lake, MI</t>
  </si>
  <si>
    <t>Thornton, NH</t>
  </si>
  <si>
    <t>Arlington, NE</t>
  </si>
  <si>
    <t>Colstrip, MT</t>
  </si>
  <si>
    <t>Springville, TN</t>
  </si>
  <si>
    <t>Conway, NC</t>
  </si>
  <si>
    <t>Keshena, WI</t>
  </si>
  <si>
    <t>Hatley, WI</t>
  </si>
  <si>
    <t>Mount Carroll, IL</t>
  </si>
  <si>
    <t>Climax, MI</t>
  </si>
  <si>
    <t>Bozrah, CT</t>
  </si>
  <si>
    <t>Gaylord, MN</t>
  </si>
  <si>
    <t>Lyme, CT</t>
  </si>
  <si>
    <t>Catlin, IL</t>
  </si>
  <si>
    <t>Clay City, IN</t>
  </si>
  <si>
    <t>Frederic, MI</t>
  </si>
  <si>
    <t>Oregonia, OH</t>
  </si>
  <si>
    <t>New Madison, OH</t>
  </si>
  <si>
    <t>Milton, NY</t>
  </si>
  <si>
    <t>Brumley, MO</t>
  </si>
  <si>
    <t>Ranburne, AL</t>
  </si>
  <si>
    <t>Church Road, VA</t>
  </si>
  <si>
    <t>Batesburg-Leesville, SC</t>
  </si>
  <si>
    <t>Morton, WA</t>
  </si>
  <si>
    <t>Quilcene, WA</t>
  </si>
  <si>
    <t>Sleepy Hollow, IL</t>
  </si>
  <si>
    <t>Remington, IN</t>
  </si>
  <si>
    <t>Port Republic, VA</t>
  </si>
  <si>
    <t>Hersey, MI</t>
  </si>
  <si>
    <t>Phelps, KY</t>
  </si>
  <si>
    <t>Linwood, PA</t>
  </si>
  <si>
    <t>Gridley, IL</t>
  </si>
  <si>
    <t>Kingsville, MO</t>
  </si>
  <si>
    <t>WaKeeney, KS</t>
  </si>
  <si>
    <t>Lone Rock, WI</t>
  </si>
  <si>
    <t>Plains, GA</t>
  </si>
  <si>
    <t>Marsing, ID</t>
  </si>
  <si>
    <t>Chaplin, CT</t>
  </si>
  <si>
    <t>Thompsonville, MI</t>
  </si>
  <si>
    <t>Patrick Springs, VA</t>
  </si>
  <si>
    <t>Evansville, WY</t>
  </si>
  <si>
    <t>Miller, MO</t>
  </si>
  <si>
    <t>Colchester, IL</t>
  </si>
  <si>
    <t>Hurley, VA</t>
  </si>
  <si>
    <t>Heuvelton, NY</t>
  </si>
  <si>
    <t>Eaton, NY</t>
  </si>
  <si>
    <t>Ladoga, IN</t>
  </si>
  <si>
    <t>Toledo, IL</t>
  </si>
  <si>
    <t>Kingsley, IA</t>
  </si>
  <si>
    <t>New Waterford, OH</t>
  </si>
  <si>
    <t>Hudson, IN</t>
  </si>
  <si>
    <t>Spencer, TN</t>
  </si>
  <si>
    <t>Stokes, NC</t>
  </si>
  <si>
    <t>Walstonburg, NC</t>
  </si>
  <si>
    <t>Omega, GA</t>
  </si>
  <si>
    <t>Flintville, TN</t>
  </si>
  <si>
    <t>Monroe, OR</t>
  </si>
  <si>
    <t>Blossom, TX</t>
  </si>
  <si>
    <t>Barnett, MO</t>
  </si>
  <si>
    <t>Moweaqua, IL</t>
  </si>
  <si>
    <t>Omaha, TX</t>
  </si>
  <si>
    <t>Moundridge, KS</t>
  </si>
  <si>
    <t>Haddock, GA</t>
  </si>
  <si>
    <t>Sabinal, TX</t>
  </si>
  <si>
    <t>Colora, MD</t>
  </si>
  <si>
    <t>Marshallville, OH</t>
  </si>
  <si>
    <t>Bethlehem, WV</t>
  </si>
  <si>
    <t>Norris City, IL</t>
  </si>
  <si>
    <t>Greene, IA</t>
  </si>
  <si>
    <t>Sharon, SC</t>
  </si>
  <si>
    <t>Belleville, KS</t>
  </si>
  <si>
    <t>Vergennes, VT</t>
  </si>
  <si>
    <t>Helmetta, NJ</t>
  </si>
  <si>
    <t>Reliance, TN</t>
  </si>
  <si>
    <t>Pleasanton, KS</t>
  </si>
  <si>
    <t>Hickory Flat, MS</t>
  </si>
  <si>
    <t>Burbank, OH</t>
  </si>
  <si>
    <t>South Webster, OH</t>
  </si>
  <si>
    <t>Rossville, IL</t>
  </si>
  <si>
    <t>Calhoun Falls, SC</t>
  </si>
  <si>
    <t>Webster, MN</t>
  </si>
  <si>
    <t>Kingsville, OH</t>
  </si>
  <si>
    <t>Willis, VA</t>
  </si>
  <si>
    <t>Atwood, TN</t>
  </si>
  <si>
    <t>Climax Springs, MO</t>
  </si>
  <si>
    <t>Ozark, AR</t>
  </si>
  <si>
    <t>Linn Creek, MO</t>
  </si>
  <si>
    <t>Bonner, MT</t>
  </si>
  <si>
    <t>West Columbia, WV</t>
  </si>
  <si>
    <t>Normandy, TN</t>
  </si>
  <si>
    <t>Utica, MN</t>
  </si>
  <si>
    <t>Elgin, OR</t>
  </si>
  <si>
    <t>Smackover, AR</t>
  </si>
  <si>
    <t>Mount Perry, OH</t>
  </si>
  <si>
    <t>Scottdale, GA</t>
  </si>
  <si>
    <t>Duck Hill, MS</t>
  </si>
  <si>
    <t>Birchwood, WI</t>
  </si>
  <si>
    <t>Davis, IL</t>
  </si>
  <si>
    <t>Screven, GA</t>
  </si>
  <si>
    <t>Springdale, MD</t>
  </si>
  <si>
    <t>Greenbush, WI</t>
  </si>
  <si>
    <t>Warthen, GA</t>
  </si>
  <si>
    <t>Lincolnville, SC</t>
  </si>
  <si>
    <t>Pleasant Lake, IN</t>
  </si>
  <si>
    <t>Daniel, UT</t>
  </si>
  <si>
    <t>Groton, SD</t>
  </si>
  <si>
    <t>Brooks, KY</t>
  </si>
  <si>
    <t>Chesapeake City, MD</t>
  </si>
  <si>
    <t>Dunnsville, VA</t>
  </si>
  <si>
    <t>Valleyford, WA</t>
  </si>
  <si>
    <t>Suttons Bay, MI</t>
  </si>
  <si>
    <t>Richfield, PA</t>
  </si>
  <si>
    <t>Enterprise, OR</t>
  </si>
  <si>
    <t>Beaver, OK</t>
  </si>
  <si>
    <t>Cascade, IA</t>
  </si>
  <si>
    <t>Sharon Springs, NY</t>
  </si>
  <si>
    <t>Lawrenceville, PA</t>
  </si>
  <si>
    <t>Pewee Valley, KY</t>
  </si>
  <si>
    <t>Burns Harbor, IN</t>
  </si>
  <si>
    <t>Leslie, MO</t>
  </si>
  <si>
    <t>Copake, NY</t>
  </si>
  <si>
    <t>Sewaren, NJ</t>
  </si>
  <si>
    <t>Laurel Springs, NC</t>
  </si>
  <si>
    <t>Farmersville, OH</t>
  </si>
  <si>
    <t>Converse, LA</t>
  </si>
  <si>
    <t>Scenery Hill, PA</t>
  </si>
  <si>
    <t>Medicine Lodge, KS</t>
  </si>
  <si>
    <t>Midway, FL</t>
  </si>
  <si>
    <t>Butler, OH</t>
  </si>
  <si>
    <t>Ford Heights, IL</t>
  </si>
  <si>
    <t>Leisuretowne, NJ</t>
  </si>
  <si>
    <t>Hunker, PA</t>
  </si>
  <si>
    <t>Michie, TN</t>
  </si>
  <si>
    <t>Pilot Point, TX</t>
  </si>
  <si>
    <t>Lovelady, TX</t>
  </si>
  <si>
    <t>Lakeside, MT</t>
  </si>
  <si>
    <t>Fair Play, SC</t>
  </si>
  <si>
    <t>Taylor Lake Village, TX</t>
  </si>
  <si>
    <t>Oak Grove Heights, AR</t>
  </si>
  <si>
    <t>Mount Hood Parkdale, OR</t>
  </si>
  <si>
    <t>Folly Beach, SC</t>
  </si>
  <si>
    <t>Winthrop, NY</t>
  </si>
  <si>
    <t>Smithdale, MS</t>
  </si>
  <si>
    <t>Sudlersville, MD</t>
  </si>
  <si>
    <t>East Kingston, NH</t>
  </si>
  <si>
    <t>Van Meter, IA</t>
  </si>
  <si>
    <t>Hollis, OK</t>
  </si>
  <si>
    <t>Carlton, GA</t>
  </si>
  <si>
    <t>Musella, GA</t>
  </si>
  <si>
    <t>Leonardo, NJ</t>
  </si>
  <si>
    <t>Harriman, NY</t>
  </si>
  <si>
    <t>Wilmerding, PA</t>
  </si>
  <si>
    <t>Creal Springs, IL</t>
  </si>
  <si>
    <t>Hurley, WI</t>
  </si>
  <si>
    <t>Dierks, AR</t>
  </si>
  <si>
    <t>Roscoe, NY</t>
  </si>
  <si>
    <t>Thompson, OH</t>
  </si>
  <si>
    <t>Enon Valley, PA</t>
  </si>
  <si>
    <t>Markleville, IN</t>
  </si>
  <si>
    <t>Port Trevorton, PA</t>
  </si>
  <si>
    <t>Grady, AL</t>
  </si>
  <si>
    <t>Conehatta, MS</t>
  </si>
  <si>
    <t>Dulzura, CA</t>
  </si>
  <si>
    <t>Clinton, WI</t>
  </si>
  <si>
    <t>Beechwood Trails, OH</t>
  </si>
  <si>
    <t>Wellington, TX</t>
  </si>
  <si>
    <t>Quinton, OK</t>
  </si>
  <si>
    <t>Brookport, IL</t>
  </si>
  <si>
    <t>Buhl, AL</t>
  </si>
  <si>
    <t>Rosemont, IL</t>
  </si>
  <si>
    <t>Thompsontown, PA</t>
  </si>
  <si>
    <t>Blodgett, MO</t>
  </si>
  <si>
    <t>Delta Junction, AK</t>
  </si>
  <si>
    <t>Cedarville, NJ</t>
  </si>
  <si>
    <t>Centuria, WI</t>
  </si>
  <si>
    <t>Remsen, IA</t>
  </si>
  <si>
    <t>New Creek, WV</t>
  </si>
  <si>
    <t>Hope, MI</t>
  </si>
  <si>
    <t>Llano Grande, TX</t>
  </si>
  <si>
    <t>Lynchburg, TN</t>
  </si>
  <si>
    <t>Molt, MT</t>
  </si>
  <si>
    <t>Darrow, LA</t>
  </si>
  <si>
    <t>Hamlet, IN</t>
  </si>
  <si>
    <t>Limon, CO</t>
  </si>
  <si>
    <t>Gable, SC</t>
  </si>
  <si>
    <t>Moncure, NC</t>
  </si>
  <si>
    <t>North Bloomfield, OH</t>
  </si>
  <si>
    <t>Covelo, CA</t>
  </si>
  <si>
    <t>Wallins Creek, KY</t>
  </si>
  <si>
    <t>North Falmouth, MA</t>
  </si>
  <si>
    <t>Waynetown, IN</t>
  </si>
  <si>
    <t>Ridgely, TN</t>
  </si>
  <si>
    <t>Union Dale, PA</t>
  </si>
  <si>
    <t>Clio, MI</t>
  </si>
  <si>
    <t>Overgaard, AZ</t>
  </si>
  <si>
    <t>Manitou Beach, MI</t>
  </si>
  <si>
    <t>Rockfield, KY</t>
  </si>
  <si>
    <t>Vienna, MO</t>
  </si>
  <si>
    <t>Clarkrange, TN</t>
  </si>
  <si>
    <t>Rossville, KS</t>
  </si>
  <si>
    <t>Medina, WI</t>
  </si>
  <si>
    <t>Lamar, MS</t>
  </si>
  <si>
    <t>Tuscola, TX</t>
  </si>
  <si>
    <t>Independence, WI</t>
  </si>
  <si>
    <t>Pigeon, MI</t>
  </si>
  <si>
    <t>Pierson, MI</t>
  </si>
  <si>
    <t>Shorewood Hills, WI</t>
  </si>
  <si>
    <t>Eastsound, WA</t>
  </si>
  <si>
    <t>Black Earth, WI</t>
  </si>
  <si>
    <t>Attica, OH</t>
  </si>
  <si>
    <t>Dieterich, IL</t>
  </si>
  <si>
    <t>Willards, MD</t>
  </si>
  <si>
    <t>Kealakekua, HI</t>
  </si>
  <si>
    <t>Granger, TX</t>
  </si>
  <si>
    <t>Royal Oak Township, MI</t>
  </si>
  <si>
    <t>Andrews, IN</t>
  </si>
  <si>
    <t>Dawson, PA</t>
  </si>
  <si>
    <t>Burt, NY</t>
  </si>
  <si>
    <t>Milford, IL</t>
  </si>
  <si>
    <t>Como, TX</t>
  </si>
  <si>
    <t>Rentz, GA</t>
  </si>
  <si>
    <t>Stratford, TX</t>
  </si>
  <si>
    <t>Dakota City, NE</t>
  </si>
  <si>
    <t>Dexter, GA</t>
  </si>
  <si>
    <t>Evansville, WI</t>
  </si>
  <si>
    <t>Cumby, TX</t>
  </si>
  <si>
    <t>Clintonville, WI</t>
  </si>
  <si>
    <t>Doerun, GA</t>
  </si>
  <si>
    <t>Paden City, WV</t>
  </si>
  <si>
    <t>Blum, TX</t>
  </si>
  <si>
    <t>Marlow, OK</t>
  </si>
  <si>
    <t>Manson, NC</t>
  </si>
  <si>
    <t>West Hamlin, WV</t>
  </si>
  <si>
    <t>Erie, IL</t>
  </si>
  <si>
    <t>Cerro Gordo, NC</t>
  </si>
  <si>
    <t>Durand, MI</t>
  </si>
  <si>
    <t>Sharon, TN</t>
  </si>
  <si>
    <t>Christiana, WI</t>
  </si>
  <si>
    <t>Huntsburg, OH</t>
  </si>
  <si>
    <t>Keenesburg, CO</t>
  </si>
  <si>
    <t>Pleasant Shade, TN</t>
  </si>
  <si>
    <t>Superior, MT</t>
  </si>
  <si>
    <t>Brimfield, IL</t>
  </si>
  <si>
    <t>Buckatunna, MS</t>
  </si>
  <si>
    <t>Hallowell, ME</t>
  </si>
  <si>
    <t>Darby, MT</t>
  </si>
  <si>
    <t>Black River, NY</t>
  </si>
  <si>
    <t>Maben, MS</t>
  </si>
  <si>
    <t>Traer, IA</t>
  </si>
  <si>
    <t>Pleasant Ridge, MI</t>
  </si>
  <si>
    <t>Litchfield, MI</t>
  </si>
  <si>
    <t>Black Canyon City, AZ</t>
  </si>
  <si>
    <t>Thompson, ND</t>
  </si>
  <si>
    <t>Dalton Gardens, ID</t>
  </si>
  <si>
    <t>Marlborough, NH</t>
  </si>
  <si>
    <t>Grand Canyon, AZ</t>
  </si>
  <si>
    <t>Mora, MN</t>
  </si>
  <si>
    <t>Conway Springs, KS</t>
  </si>
  <si>
    <t>West Wendover, NV</t>
  </si>
  <si>
    <t>Alcester, SD</t>
  </si>
  <si>
    <t>Trenton, TN</t>
  </si>
  <si>
    <t>Senecaville, OH</t>
  </si>
  <si>
    <t>Saint Ansgar, IA</t>
  </si>
  <si>
    <t>Athens, MI</t>
  </si>
  <si>
    <t>Ravenna, NE</t>
  </si>
  <si>
    <t>Lewisville, AR</t>
  </si>
  <si>
    <t>Morton, MS</t>
  </si>
  <si>
    <t>Farmer City, IL</t>
  </si>
  <si>
    <t>Alexandria, PA</t>
  </si>
  <si>
    <t>Farmersburg, IN</t>
  </si>
  <si>
    <t>Antelope Valley-Crestview, WY</t>
  </si>
  <si>
    <t>Benton, MS</t>
  </si>
  <si>
    <t>New Albany, PA</t>
  </si>
  <si>
    <t>Whitefield, ME</t>
  </si>
  <si>
    <t>Upper Lake, CA</t>
  </si>
  <si>
    <t>Plains, MT</t>
  </si>
  <si>
    <t>Adams, NE</t>
  </si>
  <si>
    <t>Stoneboro, PA</t>
  </si>
  <si>
    <t>Itasca, TX</t>
  </si>
  <si>
    <t>Onondaga, MI</t>
  </si>
  <si>
    <t>Bethel, ME</t>
  </si>
  <si>
    <t>Oquirrh, UT</t>
  </si>
  <si>
    <t>Grace, ID</t>
  </si>
  <si>
    <t>Langdon, ND</t>
  </si>
  <si>
    <t>Sheldon, VT</t>
  </si>
  <si>
    <t>Hampton Falls, NH</t>
  </si>
  <si>
    <t>Chandlersville, OH</t>
  </si>
  <si>
    <t>Chalkville, AL</t>
  </si>
  <si>
    <t>Granite Shoals, TX</t>
  </si>
  <si>
    <t>Sharpsville, IN</t>
  </si>
  <si>
    <t>Provincetown, MA</t>
  </si>
  <si>
    <t>Carnegie, OK</t>
  </si>
  <si>
    <t>Hazlehurst, GA</t>
  </si>
  <si>
    <t>Sunset, SC</t>
  </si>
  <si>
    <t>Rome City, IN</t>
  </si>
  <si>
    <t>Reva, VA</t>
  </si>
  <si>
    <t>Cottonwood, ID</t>
  </si>
  <si>
    <t>New York Mills, NY</t>
  </si>
  <si>
    <t>Howe, OK</t>
  </si>
  <si>
    <t>Stamps, AR</t>
  </si>
  <si>
    <t>Milford Center, OH</t>
  </si>
  <si>
    <t>Philadelphia, NY</t>
  </si>
  <si>
    <t>Rushford Village, MN</t>
  </si>
  <si>
    <t>Webb, AL</t>
  </si>
  <si>
    <t>Mount Hermon, LA</t>
  </si>
  <si>
    <t>Hanover, NM</t>
  </si>
  <si>
    <t>Clymer, NY</t>
  </si>
  <si>
    <t>Solomon, KS</t>
  </si>
  <si>
    <t>Sharon, WI</t>
  </si>
  <si>
    <t>Summitville, IN</t>
  </si>
  <si>
    <t>Panguitch, UT</t>
  </si>
  <si>
    <t>Auburndale, WI</t>
  </si>
  <si>
    <t>Bassfield, MS</t>
  </si>
  <si>
    <t>Interlaken, NY</t>
  </si>
  <si>
    <t>Lakemont, GA</t>
  </si>
  <si>
    <t>Munith, MI</t>
  </si>
  <si>
    <t>Buckfield, ME</t>
  </si>
  <si>
    <t>Ocean View, HI</t>
  </si>
  <si>
    <t>Breckenridge, MI</t>
  </si>
  <si>
    <t>Cole Camp, MO</t>
  </si>
  <si>
    <t>Old Mill Creek, IL</t>
  </si>
  <si>
    <t>Selma, IN</t>
  </si>
  <si>
    <t>Lynch Station, VA</t>
  </si>
  <si>
    <t>Port Washington, OH</t>
  </si>
  <si>
    <t>Madison, WV</t>
  </si>
  <si>
    <t>Pinehurst, ID</t>
  </si>
  <si>
    <t>Pearblossom, CA</t>
  </si>
  <si>
    <t>Dongola, IL</t>
  </si>
  <si>
    <t>Bullock, NC</t>
  </si>
  <si>
    <t>Three Lakes, WI</t>
  </si>
  <si>
    <t>Vestaburg, MI</t>
  </si>
  <si>
    <t>Deerwood, MN</t>
  </si>
  <si>
    <t>Kingston, RI</t>
  </si>
  <si>
    <t>Olton, TX</t>
  </si>
  <si>
    <t>Holmesville, OH</t>
  </si>
  <si>
    <t>Sealy, TX</t>
  </si>
  <si>
    <t>Mountain View, WY</t>
  </si>
  <si>
    <t>Kohler, WI</t>
  </si>
  <si>
    <t>Kenton, TN</t>
  </si>
  <si>
    <t>Buffalo Junction, VA</t>
  </si>
  <si>
    <t>Hudson Bend, TX</t>
  </si>
  <si>
    <t>West Rutland, VT</t>
  </si>
  <si>
    <t>Clarendon, VT</t>
  </si>
  <si>
    <t>Deer Lodge, TN</t>
  </si>
  <si>
    <t>Canterbury, NH</t>
  </si>
  <si>
    <t>Campbell, MO</t>
  </si>
  <si>
    <t>Atkinson, NE</t>
  </si>
  <si>
    <t>Napanoch, NY</t>
  </si>
  <si>
    <t>Geneva, NE</t>
  </si>
  <si>
    <t>Richland Center, WI</t>
  </si>
  <si>
    <t>Rhododendron, OR</t>
  </si>
  <si>
    <t>Petersburg, AK</t>
  </si>
  <si>
    <t>Laurel Park, NC</t>
  </si>
  <si>
    <t>Wakefield, MI</t>
  </si>
  <si>
    <t>Sopchoppy, FL</t>
  </si>
  <si>
    <t>Washburn, WI</t>
  </si>
  <si>
    <t>Fostoria, MI</t>
  </si>
  <si>
    <t>Adrian, MN</t>
  </si>
  <si>
    <t>Churchville, MD</t>
  </si>
  <si>
    <t>Homerville, OH</t>
  </si>
  <si>
    <t>Stonewall, OK</t>
  </si>
  <si>
    <t>Rockbridge, OH</t>
  </si>
  <si>
    <t>London, AR</t>
  </si>
  <si>
    <t>Clinton, MT</t>
  </si>
  <si>
    <t>Vance, SC</t>
  </si>
  <si>
    <t>Covert, MI</t>
  </si>
  <si>
    <t>Maidsville, WV</t>
  </si>
  <si>
    <t>Bolton, NC</t>
  </si>
  <si>
    <t>Cherry Tree, PA</t>
  </si>
  <si>
    <t>Fountaintown, IN</t>
  </si>
  <si>
    <t>Vernon, VT</t>
  </si>
  <si>
    <t>Mishicot, WI</t>
  </si>
  <si>
    <t>West Paris, ME</t>
  </si>
  <si>
    <t>McLendon-Chisholm, TX</t>
  </si>
  <si>
    <t>Mocksville, NC</t>
  </si>
  <si>
    <t>Sherrard, IL</t>
  </si>
  <si>
    <t>Valders, WI</t>
  </si>
  <si>
    <t>White Springs, FL</t>
  </si>
  <si>
    <t>Cumings, TX</t>
  </si>
  <si>
    <t>Ararat, NC</t>
  </si>
  <si>
    <t>Hot Springs, MT</t>
  </si>
  <si>
    <t>Evans, WV</t>
  </si>
  <si>
    <t>Bland, MO</t>
  </si>
  <si>
    <t>Counce, TN</t>
  </si>
  <si>
    <t>Campbell, FL</t>
  </si>
  <si>
    <t>Reminderville, OH</t>
  </si>
  <si>
    <t>Waubun, MN</t>
  </si>
  <si>
    <t>Lepanto, AR</t>
  </si>
  <si>
    <t>Owensville, IN</t>
  </si>
  <si>
    <t>Roberta, GA</t>
  </si>
  <si>
    <t>Nakina, NC</t>
  </si>
  <si>
    <t>Elmwood, WI</t>
  </si>
  <si>
    <t>Hollywood Park, TX</t>
  </si>
  <si>
    <t>Johnsonville, NY</t>
  </si>
  <si>
    <t>Cross Junction, VA</t>
  </si>
  <si>
    <t>Lake Lure, NC</t>
  </si>
  <si>
    <t>Florahome, FL</t>
  </si>
  <si>
    <t>Copperhill, TN</t>
  </si>
  <si>
    <t>Sugar City, ID</t>
  </si>
  <si>
    <t>Mineral Ridge, OH</t>
  </si>
  <si>
    <t>Bartlett, NH</t>
  </si>
  <si>
    <t>Bainbridge, IN</t>
  </si>
  <si>
    <t>Unity, ME</t>
  </si>
  <si>
    <t>Waverly, GA</t>
  </si>
  <si>
    <t>Rosholt, WI</t>
  </si>
  <si>
    <t>Marvell, AR</t>
  </si>
  <si>
    <t>New Straitsville, OH</t>
  </si>
  <si>
    <t>Dawson, MN</t>
  </si>
  <si>
    <t>Tuckerman, AR</t>
  </si>
  <si>
    <t>Collinwood, TN</t>
  </si>
  <si>
    <t>Barryton, MI</t>
  </si>
  <si>
    <t>Nash, TX</t>
  </si>
  <si>
    <t>Abbotsford, WI</t>
  </si>
  <si>
    <t>Coon Valley, WI</t>
  </si>
  <si>
    <t>Oakley, KS</t>
  </si>
  <si>
    <t>Big Clifty, KY</t>
  </si>
  <si>
    <t>Kewanna, IN</t>
  </si>
  <si>
    <t>Horton, KS</t>
  </si>
  <si>
    <t>Mill City, OR</t>
  </si>
  <si>
    <t>Crystal, MI</t>
  </si>
  <si>
    <t>Three Springs, PA</t>
  </si>
  <si>
    <t>Rose City, MI</t>
  </si>
  <si>
    <t>Munising, MI</t>
  </si>
  <si>
    <t>Esmont, VA</t>
  </si>
  <si>
    <t>Holladay, TN</t>
  </si>
  <si>
    <t>Ogdensburg, NJ</t>
  </si>
  <si>
    <t>Nickelsville, VA</t>
  </si>
  <si>
    <t>Marquand, MO</t>
  </si>
  <si>
    <t>Panora, IA</t>
  </si>
  <si>
    <t>Mokelumne Hill, CA</t>
  </si>
  <si>
    <t>Nashua, IA</t>
  </si>
  <si>
    <t>Altona, NY</t>
  </si>
  <si>
    <t>Pride, LA</t>
  </si>
  <si>
    <t>Sugar Grove, OH</t>
  </si>
  <si>
    <t>Linville, VA</t>
  </si>
  <si>
    <t>Melville, LA</t>
  </si>
  <si>
    <t>Fitzwilliam, NH</t>
  </si>
  <si>
    <t>Byron, NY</t>
  </si>
  <si>
    <t>Newberry Springs, CA</t>
  </si>
  <si>
    <t>Liberty, TN</t>
  </si>
  <si>
    <t>Virginia Gardens, FL</t>
  </si>
  <si>
    <t>Atkins, IA</t>
  </si>
  <si>
    <t>Williams, OR</t>
  </si>
  <si>
    <t>Holgate, OH</t>
  </si>
  <si>
    <t>Lucas, OH</t>
  </si>
  <si>
    <t>Wakarusa, KS</t>
  </si>
  <si>
    <t>Meade, KS</t>
  </si>
  <si>
    <t>Sparrow Bush, NY</t>
  </si>
  <si>
    <t>Bracey, VA</t>
  </si>
  <si>
    <t>Eddington, ME</t>
  </si>
  <si>
    <t>Raceland, KY</t>
  </si>
  <si>
    <t>Saint George, GA</t>
  </si>
  <si>
    <t>Auburn, IL</t>
  </si>
  <si>
    <t>Birch Tree, MO</t>
  </si>
  <si>
    <t>Scott, WI</t>
  </si>
  <si>
    <t>New Knoxville, OH</t>
  </si>
  <si>
    <t>Mazon, IL</t>
  </si>
  <si>
    <t>Haven, KS</t>
  </si>
  <si>
    <t>Thaxton, VA</t>
  </si>
  <si>
    <t>Millfield, OH</t>
  </si>
  <si>
    <t>Saint Paul, TX</t>
  </si>
  <si>
    <t>Chenango Forks, NY</t>
  </si>
  <si>
    <t>Deerfield, OH</t>
  </si>
  <si>
    <t>Isle, MN</t>
  </si>
  <si>
    <t>Bowman, ND</t>
  </si>
  <si>
    <t>Junction City, OH</t>
  </si>
  <si>
    <t>Hide A Way, TX</t>
  </si>
  <si>
    <t>Fairfield Harbour, NC</t>
  </si>
  <si>
    <t>Worley, ID</t>
  </si>
  <si>
    <t>Germantown, IL</t>
  </si>
  <si>
    <t>Terrace Park, OH</t>
  </si>
  <si>
    <t>Superior, NE</t>
  </si>
  <si>
    <t>Castorland, NY</t>
  </si>
  <si>
    <t>Memphis, TX</t>
  </si>
  <si>
    <t>Sarah, MS</t>
  </si>
  <si>
    <t>Hilham, TN</t>
  </si>
  <si>
    <t>Ghent, KY</t>
  </si>
  <si>
    <t>Goreville, IL</t>
  </si>
  <si>
    <t>Granville, IL</t>
  </si>
  <si>
    <t>Wardensville, WV</t>
  </si>
  <si>
    <t>Kensington, NH</t>
  </si>
  <si>
    <t>Scribner, NE</t>
  </si>
  <si>
    <t>Livermore, CO</t>
  </si>
  <si>
    <t>Ross, CA</t>
  </si>
  <si>
    <t>Dayton, IN</t>
  </si>
  <si>
    <t>Montvale, VA</t>
  </si>
  <si>
    <t>Pleasant Lake, MI</t>
  </si>
  <si>
    <t>Greenfield, IL</t>
  </si>
  <si>
    <t>Morris, OK</t>
  </si>
  <si>
    <t>Junction City, KY</t>
  </si>
  <si>
    <t>Boaz, KY</t>
  </si>
  <si>
    <t>Dale, IN</t>
  </si>
  <si>
    <t>Nehalem, OR</t>
  </si>
  <si>
    <t>Okawville, IL</t>
  </si>
  <si>
    <t>Argyle, WI</t>
  </si>
  <si>
    <t>Danbury, TX</t>
  </si>
  <si>
    <t>Mechanicsville, IA</t>
  </si>
  <si>
    <t>Trinidad, TX</t>
  </si>
  <si>
    <t>Wortham, TX</t>
  </si>
  <si>
    <t>Elm Creek, NE</t>
  </si>
  <si>
    <t>Bel-Ridge, MO</t>
  </si>
  <si>
    <t>Scio, OH</t>
  </si>
  <si>
    <t>Holcomb, KS</t>
  </si>
  <si>
    <t>Falkner, MS</t>
  </si>
  <si>
    <t>Oakland, NE</t>
  </si>
  <si>
    <t>Hookerton, NC</t>
  </si>
  <si>
    <t>Jasper, AR</t>
  </si>
  <si>
    <t>Lincoln, MO</t>
  </si>
  <si>
    <t>Shelton, NE</t>
  </si>
  <si>
    <t>Verndale, MN</t>
  </si>
  <si>
    <t>West Tisbury, MA</t>
  </si>
  <si>
    <t>Pioneer, OH</t>
  </si>
  <si>
    <t>Albany, MN</t>
  </si>
  <si>
    <t>Somerville, OH</t>
  </si>
  <si>
    <t>Buchanan, TN</t>
  </si>
  <si>
    <t>Strawn, TX</t>
  </si>
  <si>
    <t>Skandia, MI</t>
  </si>
  <si>
    <t>Onarga, IL</t>
  </si>
  <si>
    <t>Lanai City, HI</t>
  </si>
  <si>
    <t>Ralls, TX</t>
  </si>
  <si>
    <t>McGaheysville, VA</t>
  </si>
  <si>
    <t>New Miami, OH</t>
  </si>
  <si>
    <t>Fowler, CO</t>
  </si>
  <si>
    <t>Mohawk, TN</t>
  </si>
  <si>
    <t>Wiggins, CO</t>
  </si>
  <si>
    <t>Lyndon Station, WI</t>
  </si>
  <si>
    <t>Casa, AR</t>
  </si>
  <si>
    <t>Bruce, WI</t>
  </si>
  <si>
    <t>Elk Park, NC</t>
  </si>
  <si>
    <t>Hill City, SD</t>
  </si>
  <si>
    <t>Gentry, AR</t>
  </si>
  <si>
    <t>Liberty, IL</t>
  </si>
  <si>
    <t>Pipestone, MN</t>
  </si>
  <si>
    <t>Ivanhoe, NC</t>
  </si>
  <si>
    <t>Means, KY</t>
  </si>
  <si>
    <t>New Richland, MN</t>
  </si>
  <si>
    <t>Renville, MN</t>
  </si>
  <si>
    <t>Nevada, OH</t>
  </si>
  <si>
    <t>Dutton, AL</t>
  </si>
  <si>
    <t>Red Lake Falls, MN</t>
  </si>
  <si>
    <t>Walton, IN</t>
  </si>
  <si>
    <t>Mead, OK</t>
  </si>
  <si>
    <t>Fruitland, NM</t>
  </si>
  <si>
    <t>Armuchee, GA</t>
  </si>
  <si>
    <t>Axis, AL</t>
  </si>
  <si>
    <t>Bethany, WV</t>
  </si>
  <si>
    <t>Falls City, TX</t>
  </si>
  <si>
    <t>Saugatuck, MI</t>
  </si>
  <si>
    <t>Beverly, NJ</t>
  </si>
  <si>
    <t>Lewiston, MN</t>
  </si>
  <si>
    <t>Free Soil, MI</t>
  </si>
  <si>
    <t>Noble, IL</t>
  </si>
  <si>
    <t>Garden Ridge, TX</t>
  </si>
  <si>
    <t>Cayucos, CA</t>
  </si>
  <si>
    <t>Hartman, AR</t>
  </si>
  <si>
    <t>Edisto Beach, SC</t>
  </si>
  <si>
    <t>Cromwell, IN</t>
  </si>
  <si>
    <t>Shinnston, WV</t>
  </si>
  <si>
    <t>Maud, OK</t>
  </si>
  <si>
    <t>Clarklake, MI</t>
  </si>
  <si>
    <t>Bradyville, TN</t>
  </si>
  <si>
    <t>Jones, MI</t>
  </si>
  <si>
    <t>Slater, IA</t>
  </si>
  <si>
    <t>Edgemoor, SC</t>
  </si>
  <si>
    <t>Shoshone, ID</t>
  </si>
  <si>
    <t>Whitefield, NH</t>
  </si>
  <si>
    <t>Leesburg, TX</t>
  </si>
  <si>
    <t>Berrien Center, MI</t>
  </si>
  <si>
    <t>Laporte, CO</t>
  </si>
  <si>
    <t>Thorndale, TX</t>
  </si>
  <si>
    <t>Paul, ID</t>
  </si>
  <si>
    <t>Westphalia, MI</t>
  </si>
  <si>
    <t>Shrub Oak, NY</t>
  </si>
  <si>
    <t>Stony Creek, VA</t>
  </si>
  <si>
    <t>Elgin, MN</t>
  </si>
  <si>
    <t>Bryceville, FL</t>
  </si>
  <si>
    <t>Kathleen, FL</t>
  </si>
  <si>
    <t>Crane Hill, AL</t>
  </si>
  <si>
    <t>Newport, VA</t>
  </si>
  <si>
    <t>Toughkenamon, PA</t>
  </si>
  <si>
    <t>Ochelata, OK</t>
  </si>
  <si>
    <t>Lake Waccamaw, NC</t>
  </si>
  <si>
    <t>Red Banks, MS</t>
  </si>
  <si>
    <t>Linwood, KS</t>
  </si>
  <si>
    <t>Des Allemands, LA</t>
  </si>
  <si>
    <t>Hector, AR</t>
  </si>
  <si>
    <t>Locust, NC</t>
  </si>
  <si>
    <t>Bagdad, KY</t>
  </si>
  <si>
    <t>Noxapater, MS</t>
  </si>
  <si>
    <t>Boulder, MT</t>
  </si>
  <si>
    <t>Bear Branch, KY</t>
  </si>
  <si>
    <t>Elm Springs, AR</t>
  </si>
  <si>
    <t>Bishop, GA</t>
  </si>
  <si>
    <t>Bethany Beach, DE</t>
  </si>
  <si>
    <t>Clara City, MN</t>
  </si>
  <si>
    <t>Bloomsdale, MO</t>
  </si>
  <si>
    <t>Martin, MI</t>
  </si>
  <si>
    <t>Garfield, NM</t>
  </si>
  <si>
    <t>Mount Calvary, WI</t>
  </si>
  <si>
    <t>Hesston, KS</t>
  </si>
  <si>
    <t>Rudyard, MI</t>
  </si>
  <si>
    <t>Southside, WV</t>
  </si>
  <si>
    <t>Chrisman, IL</t>
  </si>
  <si>
    <t>Walton Hills, OH</t>
  </si>
  <si>
    <t>Reelsville, IN</t>
  </si>
  <si>
    <t>Buchanan, NY</t>
  </si>
  <si>
    <t>New Hampton, NH</t>
  </si>
  <si>
    <t>Childersburg, AL</t>
  </si>
  <si>
    <t>Augusta, AR</t>
  </si>
  <si>
    <t>Coleman, WI</t>
  </si>
  <si>
    <t>Virginia, IL</t>
  </si>
  <si>
    <t>Glasgow, MO</t>
  </si>
  <si>
    <t>Three Way, TN</t>
  </si>
  <si>
    <t>Belews Creek, NC</t>
  </si>
  <si>
    <t>Mayer, MN</t>
  </si>
  <si>
    <t>Mc Neal, AZ</t>
  </si>
  <si>
    <t>Fawn Grove, PA</t>
  </si>
  <si>
    <t>Thackerville, OK</t>
  </si>
  <si>
    <t>The Hills, TX</t>
  </si>
  <si>
    <t>Oakland, IA</t>
  </si>
  <si>
    <t>Akeley, MN</t>
  </si>
  <si>
    <t>Commiskey, IN</t>
  </si>
  <si>
    <t>Culloden, GA</t>
  </si>
  <si>
    <t>Jefferson, SC</t>
  </si>
  <si>
    <t>Coon Rapids, IA</t>
  </si>
  <si>
    <t>Woodbine, IA</t>
  </si>
  <si>
    <t>Loretto, KY</t>
  </si>
  <si>
    <t>Stanley, NM</t>
  </si>
  <si>
    <t>Nicollet, MN</t>
  </si>
  <si>
    <t>Conway, PA</t>
  </si>
  <si>
    <t>Clarendon, NC</t>
  </si>
  <si>
    <t>Ridgetop, TN</t>
  </si>
  <si>
    <t>Allyn, WA</t>
  </si>
  <si>
    <t>Landover Hills, MD</t>
  </si>
  <si>
    <t>Burton, TX</t>
  </si>
  <si>
    <t>Plato, MO</t>
  </si>
  <si>
    <t>Eastview, KY</t>
  </si>
  <si>
    <t>Arapahoe, NE</t>
  </si>
  <si>
    <t>Hanover, MI</t>
  </si>
  <si>
    <t>Mize, MS</t>
  </si>
  <si>
    <t>Akron, IA</t>
  </si>
  <si>
    <t>Elba, NY</t>
  </si>
  <si>
    <t>Stockton, AL</t>
  </si>
  <si>
    <t>Hamden, OH</t>
  </si>
  <si>
    <t>Lyndhurst, VA</t>
  </si>
  <si>
    <t>Bridgehampton, NY</t>
  </si>
  <si>
    <t>Bloomingdale, MI</t>
  </si>
  <si>
    <t>Dupont, PA</t>
  </si>
  <si>
    <t>North Webster, IN</t>
  </si>
  <si>
    <t>Mapleton, MN</t>
  </si>
  <si>
    <t>Accident, MD</t>
  </si>
  <si>
    <t>Mason, IL</t>
  </si>
  <si>
    <t>Payson, IL</t>
  </si>
  <si>
    <t>Prospect, PA</t>
  </si>
  <si>
    <t>North Freedom, WI</t>
  </si>
  <si>
    <t>Port Hadlock, WA</t>
  </si>
  <si>
    <t>Carrier Mills, IL</t>
  </si>
  <si>
    <t>Welch, MN</t>
  </si>
  <si>
    <t>Stilesville, IN</t>
  </si>
  <si>
    <t>Colton, NY</t>
  </si>
  <si>
    <t>Big Pine Key, FL</t>
  </si>
  <si>
    <t>Mapleton, IL</t>
  </si>
  <si>
    <t>Borrego Springs, CA</t>
  </si>
  <si>
    <t>Botkins, OH</t>
  </si>
  <si>
    <t>Hawk Point, MO</t>
  </si>
  <si>
    <t>Bowersville, GA</t>
  </si>
  <si>
    <t>Delco, NC</t>
  </si>
  <si>
    <t>Beaufort, MO</t>
  </si>
  <si>
    <t>Payne, OH</t>
  </si>
  <si>
    <t>River Heights, UT</t>
  </si>
  <si>
    <t>Elizabeth, IL</t>
  </si>
  <si>
    <t>Goodhue, MN</t>
  </si>
  <si>
    <t>Thunderbolt, GA</t>
  </si>
  <si>
    <t>Pentwater, MI</t>
  </si>
  <si>
    <t>Mendocino, CA</t>
  </si>
  <si>
    <t>West Bath, ME</t>
  </si>
  <si>
    <t>Gordonsville, TN</t>
  </si>
  <si>
    <t>Sublette, KS</t>
  </si>
  <si>
    <t>Leeds, ME</t>
  </si>
  <si>
    <t>Beaumont, MS</t>
  </si>
  <si>
    <t>Kitts Hill, OH</t>
  </si>
  <si>
    <t>Freeman, SD</t>
  </si>
  <si>
    <t>Harlan, IA</t>
  </si>
  <si>
    <t>Tuftonboro, NH</t>
  </si>
  <si>
    <t>Colbert, OK</t>
  </si>
  <si>
    <t>Tornillo, TX</t>
  </si>
  <si>
    <t>Grand Coulee, WA</t>
  </si>
  <si>
    <t>Oberlin, KS</t>
  </si>
  <si>
    <t>Menard, TX</t>
  </si>
  <si>
    <t>Columbia, AL</t>
  </si>
  <si>
    <t>Fairchance, PA</t>
  </si>
  <si>
    <t>Mooreland, OK</t>
  </si>
  <si>
    <t>Mc Graw, NY</t>
  </si>
  <si>
    <t>Pound, WI</t>
  </si>
  <si>
    <t>Albright, WV</t>
  </si>
  <si>
    <t>Frontenac, KS</t>
  </si>
  <si>
    <t>New Ulm, TX</t>
  </si>
  <si>
    <t>Holderness, NH</t>
  </si>
  <si>
    <t>Winnebago, MN</t>
  </si>
  <si>
    <t>Morris, CT</t>
  </si>
  <si>
    <t>Yoncalla, OR</t>
  </si>
  <si>
    <t>Appleton, NY</t>
  </si>
  <si>
    <t>Burt, MI</t>
  </si>
  <si>
    <t>Hudson, IA</t>
  </si>
  <si>
    <t>De Soto, IL</t>
  </si>
  <si>
    <t>Fayetteville, TX</t>
  </si>
  <si>
    <t>Vandalia, MI</t>
  </si>
  <si>
    <t>Colorado City, CO</t>
  </si>
  <si>
    <t>Drakesboro, KY</t>
  </si>
  <si>
    <t>Chapman, KS</t>
  </si>
  <si>
    <t>Keene, TX</t>
  </si>
  <si>
    <t>Wolverine, MI</t>
  </si>
  <si>
    <t>Toomsuba, MS</t>
  </si>
  <si>
    <t>La Monte, MO</t>
  </si>
  <si>
    <t>The Plains, VA</t>
  </si>
  <si>
    <t>Stock Island, FL</t>
  </si>
  <si>
    <t>Riverside, WA</t>
  </si>
  <si>
    <t>Pleasantville, PA</t>
  </si>
  <si>
    <t>Abbeville, MS</t>
  </si>
  <si>
    <t>Springdale, WA</t>
  </si>
  <si>
    <t>Rotan, TX</t>
  </si>
  <si>
    <t>Booneville, AR</t>
  </si>
  <si>
    <t>Steeleville, IL</t>
  </si>
  <si>
    <t>Mount Solon, VA</t>
  </si>
  <si>
    <t>Ventress, LA</t>
  </si>
  <si>
    <t>Montrose, IA</t>
  </si>
  <si>
    <t>Cajahs Mountain, NC</t>
  </si>
  <si>
    <t>Westford, VT</t>
  </si>
  <si>
    <t>New Sharon, IA</t>
  </si>
  <si>
    <t>Kinderhook, NY</t>
  </si>
  <si>
    <t>Washington Park, FL</t>
  </si>
  <si>
    <t>Green Lake, WI</t>
  </si>
  <si>
    <t>Ballard, WV</t>
  </si>
  <si>
    <t>Hessmer, LA</t>
  </si>
  <si>
    <t>Springville, IA</t>
  </si>
  <si>
    <t>Hammond, NY</t>
  </si>
  <si>
    <t>Negley, OH</t>
  </si>
  <si>
    <t>Blue Eye, MO</t>
  </si>
  <si>
    <t>Masontown, WV</t>
  </si>
  <si>
    <t>Girardville, PA</t>
  </si>
  <si>
    <t>Ohio City, OH</t>
  </si>
  <si>
    <t>Wentworth, NC</t>
  </si>
  <si>
    <t>Gates Mills, OH</t>
  </si>
  <si>
    <t>Kimbolton, OH</t>
  </si>
  <si>
    <t>Currie, NC</t>
  </si>
  <si>
    <t>Bingham Canyon, UT</t>
  </si>
  <si>
    <t>Francesville, IN</t>
  </si>
  <si>
    <t>Riverside, AL</t>
  </si>
  <si>
    <t>Dayton, ME</t>
  </si>
  <si>
    <t>Alger, OH</t>
  </si>
  <si>
    <t>Polo, MO</t>
  </si>
  <si>
    <t>Marblemount, WA</t>
  </si>
  <si>
    <t>Stroud, OK</t>
  </si>
  <si>
    <t>Hebron, IL</t>
  </si>
  <si>
    <t>Archie, MO</t>
  </si>
  <si>
    <t>Crawford, TX</t>
  </si>
  <si>
    <t>Mount Healthy Heights, OH</t>
  </si>
  <si>
    <t>Pearce, AZ</t>
  </si>
  <si>
    <t>Shafer, MN</t>
  </si>
  <si>
    <t>Butler, MO</t>
  </si>
  <si>
    <t>Fertile, MN</t>
  </si>
  <si>
    <t>Winthrop, MN</t>
  </si>
  <si>
    <t>Glenwillow, OH</t>
  </si>
  <si>
    <t>Barker, NY</t>
  </si>
  <si>
    <t>Carpenter, WY</t>
  </si>
  <si>
    <t>Colma, CA</t>
  </si>
  <si>
    <t>Glenford, OH</t>
  </si>
  <si>
    <t>Dublin, PA</t>
  </si>
  <si>
    <t>Blossburg, PA</t>
  </si>
  <si>
    <t>Confluence, PA</t>
  </si>
  <si>
    <t>Holden, WV</t>
  </si>
  <si>
    <t>Grand Isle, VT</t>
  </si>
  <si>
    <t>Waelder, TX</t>
  </si>
  <si>
    <t>Cecil, WI</t>
  </si>
  <si>
    <t>Wayne, WI</t>
  </si>
  <si>
    <t>Lakeside, IA</t>
  </si>
  <si>
    <t>Hinton, IA</t>
  </si>
  <si>
    <t>Clifton, IL</t>
  </si>
  <si>
    <t>Burnsville, WV</t>
  </si>
  <si>
    <t>Tioga, TX</t>
  </si>
  <si>
    <t>Naples, UT</t>
  </si>
  <si>
    <t>Buhler, KS</t>
  </si>
  <si>
    <t>Redington Shores, FL</t>
  </si>
  <si>
    <t>Lott, TX</t>
  </si>
  <si>
    <t>Goshen, AR</t>
  </si>
  <si>
    <t>Buckner, MO</t>
  </si>
  <si>
    <t>Arlington, GA</t>
  </si>
  <si>
    <t>Etna Green, IN</t>
  </si>
  <si>
    <t>New Galilee, PA</t>
  </si>
  <si>
    <t>Davy, WV</t>
  </si>
  <si>
    <t>Chestertown, NY</t>
  </si>
  <si>
    <t>Adair Village, OR</t>
  </si>
  <si>
    <t>Gualala, CA</t>
  </si>
  <si>
    <t>Little Suamico, WI</t>
  </si>
  <si>
    <t>East Chatham, NY</t>
  </si>
  <si>
    <t>Gibbsboro, NJ</t>
  </si>
  <si>
    <t>Krebs, OK</t>
  </si>
  <si>
    <t>Stone Ridge, NY</t>
  </si>
  <si>
    <t>Olin, NC</t>
  </si>
  <si>
    <t>Penasco, NM</t>
  </si>
  <si>
    <t>Vinland, WI</t>
  </si>
  <si>
    <t>Lenox, GA</t>
  </si>
  <si>
    <t>Oaktown, IN</t>
  </si>
  <si>
    <t>Hempstead, TX</t>
  </si>
  <si>
    <t>Burwell, NE</t>
  </si>
  <si>
    <t>New Underwood, SD</t>
  </si>
  <si>
    <t>Dudley, GA</t>
  </si>
  <si>
    <t>Pine Haven, WY</t>
  </si>
  <si>
    <t>Henning, MN</t>
  </si>
  <si>
    <t>Eure, NC</t>
  </si>
  <si>
    <t>Willisburg, KY</t>
  </si>
  <si>
    <t>Aberdeen, OH</t>
  </si>
  <si>
    <t>Alton, IA</t>
  </si>
  <si>
    <t>Pavo, GA</t>
  </si>
  <si>
    <t>Bennington, OK</t>
  </si>
  <si>
    <t>Bethel Island, CA</t>
  </si>
  <si>
    <t>Lockney, TX</t>
  </si>
  <si>
    <t>Erie, KS</t>
  </si>
  <si>
    <t>Ringwood, IL</t>
  </si>
  <si>
    <t>Royal Center, IN</t>
  </si>
  <si>
    <t>De Beque, CO</t>
  </si>
  <si>
    <t>Roopville, GA</t>
  </si>
  <si>
    <t>Castle Point, MO</t>
  </si>
  <si>
    <t>Cora, WY</t>
  </si>
  <si>
    <t>Minco, OK</t>
  </si>
  <si>
    <t>Sutter, CA</t>
  </si>
  <si>
    <t>Penryn, CA</t>
  </si>
  <si>
    <t>Edwards, CA</t>
  </si>
  <si>
    <t>Garnett, KS</t>
  </si>
  <si>
    <t>Hogansville, GA</t>
  </si>
  <si>
    <t>Park City, KY</t>
  </si>
  <si>
    <t>Colmar, PA</t>
  </si>
  <si>
    <t>Trail, OR</t>
  </si>
  <si>
    <t>Coffee Springs, AL</t>
  </si>
  <si>
    <t>Wallace, SC</t>
  </si>
  <si>
    <t>Long Grove, IA</t>
  </si>
  <si>
    <t>Minoa, NY</t>
  </si>
  <si>
    <t>Galesburg, MI</t>
  </si>
  <si>
    <t>Maharishi Vedic City, IA</t>
  </si>
  <si>
    <t>Ellendale, DE</t>
  </si>
  <si>
    <t>Danville, VT</t>
  </si>
  <si>
    <t>Creswell, NC</t>
  </si>
  <si>
    <t>Irvington, KY</t>
  </si>
  <si>
    <t>Woodland, MI</t>
  </si>
  <si>
    <t>Richmond, OH</t>
  </si>
  <si>
    <t>Bradley, WV</t>
  </si>
  <si>
    <t>Peshastin, WA</t>
  </si>
  <si>
    <t>Wakefield, NE</t>
  </si>
  <si>
    <t>Heflin, LA</t>
  </si>
  <si>
    <t>Detroit, TX</t>
  </si>
  <si>
    <t>Albany, TX</t>
  </si>
  <si>
    <t>Lahoma, OK</t>
  </si>
  <si>
    <t>Sequatchie, TN</t>
  </si>
  <si>
    <t>Oriental, NC</t>
  </si>
  <si>
    <t>Weldon, NC</t>
  </si>
  <si>
    <t>Balsam Lake, WI</t>
  </si>
  <si>
    <t>Paris, MO</t>
  </si>
  <si>
    <t>Sunset Valley, TX</t>
  </si>
  <si>
    <t>Glendale, OH</t>
  </si>
  <si>
    <t>Brocton, NY</t>
  </si>
  <si>
    <t>Senath, MO</t>
  </si>
  <si>
    <t>Roachdale, IN</t>
  </si>
  <si>
    <t>Piermont, NY</t>
  </si>
  <si>
    <t>Mount Enterprise, TX</t>
  </si>
  <si>
    <t>Fellsmere, FL</t>
  </si>
  <si>
    <t>Sunol, CA</t>
  </si>
  <si>
    <t>Albion, WI</t>
  </si>
  <si>
    <t>Wheeler, TX</t>
  </si>
  <si>
    <t>Lakeland, MN</t>
  </si>
  <si>
    <t>Tarkio, MO</t>
  </si>
  <si>
    <t>Newbury, VT</t>
  </si>
  <si>
    <t>Clay, WV</t>
  </si>
  <si>
    <t>Longville, LA</t>
  </si>
  <si>
    <t>Pomaria, SC</t>
  </si>
  <si>
    <t>Lake City, IA</t>
  </si>
  <si>
    <t>Landis, NC</t>
  </si>
  <si>
    <t>Tekamah, NE</t>
  </si>
  <si>
    <t>Monroe, TN</t>
  </si>
  <si>
    <t>Karns City, PA</t>
  </si>
  <si>
    <t>Almond, NY</t>
  </si>
  <si>
    <t>Chesterfield, NH</t>
  </si>
  <si>
    <t>Halsey, OR</t>
  </si>
  <si>
    <t>Smithville, MS</t>
  </si>
  <si>
    <t>Kellogg, MN</t>
  </si>
  <si>
    <t>Lowell, OH</t>
  </si>
  <si>
    <t>Green Ridge, MO</t>
  </si>
  <si>
    <t>Little Rock, MS</t>
  </si>
  <si>
    <t>Simms, TX</t>
  </si>
  <si>
    <t>Magazine, AR</t>
  </si>
  <si>
    <t>Verona, MS</t>
  </si>
  <si>
    <t>Hardyville, KY</t>
  </si>
  <si>
    <t>Minatare, NE</t>
  </si>
  <si>
    <t>Westwood, CA</t>
  </si>
  <si>
    <t>Orondo, WA</t>
  </si>
  <si>
    <t>Hoboken, GA</t>
  </si>
  <si>
    <t>Glen Park, NY</t>
  </si>
  <si>
    <t>Gorham, NH</t>
  </si>
  <si>
    <t>East Nassau, NY</t>
  </si>
  <si>
    <t>Bridgeport, NE</t>
  </si>
  <si>
    <t>Venice, IL</t>
  </si>
  <si>
    <t>Cowen, WV</t>
  </si>
  <si>
    <t>Arcola, TX</t>
  </si>
  <si>
    <t>Neola, IA</t>
  </si>
  <si>
    <t>Elroy, NC</t>
  </si>
  <si>
    <t>Ellerslie, MD</t>
  </si>
  <si>
    <t>Mayville, ND</t>
  </si>
  <si>
    <t>Good Thunder, MN</t>
  </si>
  <si>
    <t>Belvedere, CA</t>
  </si>
  <si>
    <t>Nice, CA</t>
  </si>
  <si>
    <t>Moscow, OH</t>
  </si>
  <si>
    <t>Edison, OH</t>
  </si>
  <si>
    <t>Lost Hills, CA</t>
  </si>
  <si>
    <t>Mentone, AL</t>
  </si>
  <si>
    <t>Cascade, MT</t>
  </si>
  <si>
    <t>Niwot, CO</t>
  </si>
  <si>
    <t>Garrison, KY</t>
  </si>
  <si>
    <t>Norway, MI</t>
  </si>
  <si>
    <t>Sands Point, NY</t>
  </si>
  <si>
    <t>Dawson, GA</t>
  </si>
  <si>
    <t>Tilton, NH</t>
  </si>
  <si>
    <t>Hancock, ME</t>
  </si>
  <si>
    <t>Wallingford, VT</t>
  </si>
  <si>
    <t>Mexico, ME</t>
  </si>
  <si>
    <t>Riegelsville, PA</t>
  </si>
  <si>
    <t>Callicoon, NY</t>
  </si>
  <si>
    <t>Ider, AL</t>
  </si>
  <si>
    <t>Crenshaw, MS</t>
  </si>
  <si>
    <t>Beresford, SD</t>
  </si>
  <si>
    <t>Friendsville, MD</t>
  </si>
  <si>
    <t>Vienna, LA</t>
  </si>
  <si>
    <t>Rosedale, MS</t>
  </si>
  <si>
    <t>Dorchester, WI</t>
  </si>
  <si>
    <t>Cedar Grove, NC</t>
  </si>
  <si>
    <t>Hamilton City, CA</t>
  </si>
  <si>
    <t>Johannesburg, MI</t>
  </si>
  <si>
    <t>Sugar Grove, VA</t>
  </si>
  <si>
    <t>Thermopolis, WY</t>
  </si>
  <si>
    <t>Woodsboro, TX</t>
  </si>
  <si>
    <t>Ninnekah, OK</t>
  </si>
  <si>
    <t>Wallburg, NC</t>
  </si>
  <si>
    <t>Pomeroy, WA</t>
  </si>
  <si>
    <t>Sontag, MS</t>
  </si>
  <si>
    <t>Saint Elmo, IL</t>
  </si>
  <si>
    <t>Fairfax, MN</t>
  </si>
  <si>
    <t>Morgans Point Resort, TX</t>
  </si>
  <si>
    <t>West, TX</t>
  </si>
  <si>
    <t>Mesilla Park, NM</t>
  </si>
  <si>
    <t>Waynesfield, OH</t>
  </si>
  <si>
    <t>Plainview, NE</t>
  </si>
  <si>
    <t>Awendaw, SC</t>
  </si>
  <si>
    <t>Roxbury, CT</t>
  </si>
  <si>
    <t>White Lake, WI</t>
  </si>
  <si>
    <t>Bremo Bluff, VA</t>
  </si>
  <si>
    <t>Wright City, MO</t>
  </si>
  <si>
    <t>Salvisa, KY</t>
  </si>
  <si>
    <t>Flomaton, AL</t>
  </si>
  <si>
    <t>Montgomery, LA</t>
  </si>
  <si>
    <t>Skidmore, TX</t>
  </si>
  <si>
    <t>Canton, KS</t>
  </si>
  <si>
    <t>Homeworth, OH</t>
  </si>
  <si>
    <t>Cresson, TX</t>
  </si>
  <si>
    <t>Yatesville, GA</t>
  </si>
  <si>
    <t>Iola, TX</t>
  </si>
  <si>
    <t>Midway, TN</t>
  </si>
  <si>
    <t>Warwick, MD</t>
  </si>
  <si>
    <t>Madison, MO</t>
  </si>
  <si>
    <t>Eaton, CO</t>
  </si>
  <si>
    <t>Creola, AL</t>
  </si>
  <si>
    <t>Madison, MN</t>
  </si>
  <si>
    <t>Bailey Lakes, OH</t>
  </si>
  <si>
    <t>Louisville, AL</t>
  </si>
  <si>
    <t>Danville, IA</t>
  </si>
  <si>
    <t>Menan, ID</t>
  </si>
  <si>
    <t>Central City, PA</t>
  </si>
  <si>
    <t>Sandy Hook, MS</t>
  </si>
  <si>
    <t>Oldtown, MD</t>
  </si>
  <si>
    <t>Lachine, MI</t>
  </si>
  <si>
    <t>Hastings, PA</t>
  </si>
  <si>
    <t>Green Springs, OH</t>
  </si>
  <si>
    <t>Edgemont, SD</t>
  </si>
  <si>
    <t>Tamworth, NH</t>
  </si>
  <si>
    <t>Pomona, MO</t>
  </si>
  <si>
    <t>Bellows Falls, VT</t>
  </si>
  <si>
    <t>Hunt, TX</t>
  </si>
  <si>
    <t>Morristown, MN</t>
  </si>
  <si>
    <t>Seneca, PA</t>
  </si>
  <si>
    <t>Chinook, MT</t>
  </si>
  <si>
    <t>Yalaha, FL</t>
  </si>
  <si>
    <t>South Jacksonville, IL</t>
  </si>
  <si>
    <t>Soldiers Grove, WI</t>
  </si>
  <si>
    <t>Plainfield, VT</t>
  </si>
  <si>
    <t>Saint James City, FL</t>
  </si>
  <si>
    <t>Taylor, AZ</t>
  </si>
  <si>
    <t>Creston, NC</t>
  </si>
  <si>
    <t>Wales, MA</t>
  </si>
  <si>
    <t>Overton, TX</t>
  </si>
  <si>
    <t>Cement City, MI</t>
  </si>
  <si>
    <t>Bartonville, TX</t>
  </si>
  <si>
    <t>Medina, TX</t>
  </si>
  <si>
    <t>Sandy Ridge, NC</t>
  </si>
  <si>
    <t>Riverdale, MI</t>
  </si>
  <si>
    <t>Plum Springs, KY</t>
  </si>
  <si>
    <t>Placida, FL</t>
  </si>
  <si>
    <t>Cankton, LA</t>
  </si>
  <si>
    <t>Chester, IL</t>
  </si>
  <si>
    <t>Custer, WI</t>
  </si>
  <si>
    <t>Freer, TX</t>
  </si>
  <si>
    <t>North Washington, CO</t>
  </si>
  <si>
    <t>Van Horn, TX</t>
  </si>
  <si>
    <t>Londonderry, VT</t>
  </si>
  <si>
    <t>Earlville, NY</t>
  </si>
  <si>
    <t>Cameron, WV</t>
  </si>
  <si>
    <t>Ona, FL</t>
  </si>
  <si>
    <t>Harmony, MN</t>
  </si>
  <si>
    <t>Siren, WI</t>
  </si>
  <si>
    <t>Lamont, FL</t>
  </si>
  <si>
    <t>Maynard, AR</t>
  </si>
  <si>
    <t>Volcano, CA</t>
  </si>
  <si>
    <t>Nectar, AL</t>
  </si>
  <si>
    <t>Cassadaga, NY</t>
  </si>
  <si>
    <t>Gunter, TX</t>
  </si>
  <si>
    <t>Frenchburg, KY</t>
  </si>
  <si>
    <t>Randle, WA</t>
  </si>
  <si>
    <t>Fairfield, VT</t>
  </si>
  <si>
    <t>Lakeside Green, FL</t>
  </si>
  <si>
    <t>Sinclairville, NY</t>
  </si>
  <si>
    <t>Lyerly, GA</t>
  </si>
  <si>
    <t>Genoa, NE</t>
  </si>
  <si>
    <t>Polk, OH</t>
  </si>
  <si>
    <t>Liberal, MO</t>
  </si>
  <si>
    <t>Macy, IN</t>
  </si>
  <si>
    <t>Blue Mound, IL</t>
  </si>
  <si>
    <t>Conyngham, PA</t>
  </si>
  <si>
    <t>Carlock, IL</t>
  </si>
  <si>
    <t>Van Buren, MO</t>
  </si>
  <si>
    <t>Palmyra, ME</t>
  </si>
  <si>
    <t>Shell Rock, IA</t>
  </si>
  <si>
    <t>Troy, WI</t>
  </si>
  <si>
    <t>Union Grove, NC</t>
  </si>
  <si>
    <t>Neligh, NE</t>
  </si>
  <si>
    <t>Mooers, NY</t>
  </si>
  <si>
    <t>Pope, MS</t>
  </si>
  <si>
    <t>Cloudcroft, NM</t>
  </si>
  <si>
    <t>Fort Ripley, MN</t>
  </si>
  <si>
    <t>Joliet, MT</t>
  </si>
  <si>
    <t>Newark, TX</t>
  </si>
  <si>
    <t>Pleasant City, OH</t>
  </si>
  <si>
    <t>Crawford, GA</t>
  </si>
  <si>
    <t>South Hackensack, NJ</t>
  </si>
  <si>
    <t>Flemington, MO</t>
  </si>
  <si>
    <t>Baileyton, AL</t>
  </si>
  <si>
    <t>Fleetwood, NC</t>
  </si>
  <si>
    <t>Kilmarnock, VA</t>
  </si>
  <si>
    <t>Holstein, IA</t>
  </si>
  <si>
    <t>Livermore, ME</t>
  </si>
  <si>
    <t>South Boardman, MI</t>
  </si>
  <si>
    <t>New Harmony, IN</t>
  </si>
  <si>
    <t>Wright, KS</t>
  </si>
  <si>
    <t>Sherwood, MI</t>
  </si>
  <si>
    <t>Pittsville, MD</t>
  </si>
  <si>
    <t>Laotto, IN</t>
  </si>
  <si>
    <t>Hampton, IL</t>
  </si>
  <si>
    <t>Brooklyn, IA</t>
  </si>
  <si>
    <t>Coden, AL</t>
  </si>
  <si>
    <t>Glenville, MN</t>
  </si>
  <si>
    <t>Genoa City, WI</t>
  </si>
  <si>
    <t>Haslet, TX</t>
  </si>
  <si>
    <t>Amherst Junction, WI</t>
  </si>
  <si>
    <t>Greenville, NH</t>
  </si>
  <si>
    <t>Alhambra, IL</t>
  </si>
  <si>
    <t>Occidental, CA</t>
  </si>
  <si>
    <t>Fries, VA</t>
  </si>
  <si>
    <t>Beavertown, PA</t>
  </si>
  <si>
    <t>Orland, ME</t>
  </si>
  <si>
    <t>Annapolis, MO</t>
  </si>
  <si>
    <t>Crockett, CA</t>
  </si>
  <si>
    <t>Huntington, MA</t>
  </si>
  <si>
    <t>Bellvue, CO</t>
  </si>
  <si>
    <t>Walnut, IL</t>
  </si>
  <si>
    <t>Pauma Valley, CA</t>
  </si>
  <si>
    <t>Etowah, NC</t>
  </si>
  <si>
    <t>Underwood, MN</t>
  </si>
  <si>
    <t>Merrifield, MN</t>
  </si>
  <si>
    <t>Springboro, PA</t>
  </si>
  <si>
    <t>Bartlett, TX</t>
  </si>
  <si>
    <t>Alexander, NY</t>
  </si>
  <si>
    <t>Poland, NY</t>
  </si>
  <si>
    <t>Waverly, WV</t>
  </si>
  <si>
    <t>Newark, AR</t>
  </si>
  <si>
    <t>Brooklyn, MS</t>
  </si>
  <si>
    <t>Truman, MN</t>
  </si>
  <si>
    <t>Smith Center, KS</t>
  </si>
  <si>
    <t>Painter, VA</t>
  </si>
  <si>
    <t>Northumberland, NH</t>
  </si>
  <si>
    <t>Westpoint, IN</t>
  </si>
  <si>
    <t>Glendale, KY</t>
  </si>
  <si>
    <t>Abrams, WI</t>
  </si>
  <si>
    <t>Alvarado, TX</t>
  </si>
  <si>
    <t>Engelhard, NC</t>
  </si>
  <si>
    <t>Big Flats, NY</t>
  </si>
  <si>
    <t>Vesper, WI</t>
  </si>
  <si>
    <t>East Hampstead, NH</t>
  </si>
  <si>
    <t>Grafton, IL</t>
  </si>
  <si>
    <t>Corinna, ME</t>
  </si>
  <si>
    <t>Eden, MD</t>
  </si>
  <si>
    <t>Ellenton, GA</t>
  </si>
  <si>
    <t>Kiefer, OK</t>
  </si>
  <si>
    <t>Delta, AL</t>
  </si>
  <si>
    <t>Oakfield, WI</t>
  </si>
  <si>
    <t>Pulaski, WI</t>
  </si>
  <si>
    <t>Severance, CO</t>
  </si>
  <si>
    <t>Kingston, MI</t>
  </si>
  <si>
    <t>Harlan, IN</t>
  </si>
  <si>
    <t>Kewadin, MI</t>
  </si>
  <si>
    <t>Navassa, NC</t>
  </si>
  <si>
    <t>Lower Salem, OH</t>
  </si>
  <si>
    <t>Waterford, VA</t>
  </si>
  <si>
    <t>South Dayton, NY</t>
  </si>
  <si>
    <t>Bybee, TN</t>
  </si>
  <si>
    <t>Cairo, IL</t>
  </si>
  <si>
    <t>Olanta, SC</t>
  </si>
  <si>
    <t>Harrisville, MI</t>
  </si>
  <si>
    <t>Edison, GA</t>
  </si>
  <si>
    <t>Burrton, KS</t>
  </si>
  <si>
    <t>Avonmore, PA</t>
  </si>
  <si>
    <t>North Rose, NY</t>
  </si>
  <si>
    <t>Philipsburg, MT</t>
  </si>
  <si>
    <t>Sutton, NH</t>
  </si>
  <si>
    <t>Buffalo, KS</t>
  </si>
  <si>
    <t>Janesville, IA</t>
  </si>
  <si>
    <t>Lonedell, MO</t>
  </si>
  <si>
    <t>Schenevus, NY</t>
  </si>
  <si>
    <t>Ridgeville, IN</t>
  </si>
  <si>
    <t>Mansfield, LA</t>
  </si>
  <si>
    <t>Coggon, IA</t>
  </si>
  <si>
    <t>East Brookfield, MA</t>
  </si>
  <si>
    <t>Odin, IL</t>
  </si>
  <si>
    <t>Broad Run, VA</t>
  </si>
  <si>
    <t>Coalport, PA</t>
  </si>
  <si>
    <t>Kennedy, NY</t>
  </si>
  <si>
    <t>Damariscotta, ME</t>
  </si>
  <si>
    <t>Port Austin, MI</t>
  </si>
  <si>
    <t>Doniphan, NE</t>
  </si>
  <si>
    <t>Suquamish, WA</t>
  </si>
  <si>
    <t>Bastian, VA</t>
  </si>
  <si>
    <t>Atlantis, FL</t>
  </si>
  <si>
    <t>Ashland, IL</t>
  </si>
  <si>
    <t>Holton, IN</t>
  </si>
  <si>
    <t>Woodruff, SC</t>
  </si>
  <si>
    <t>Panama, NY</t>
  </si>
  <si>
    <t>Machias, ME</t>
  </si>
  <si>
    <t>Lizton, IN</t>
  </si>
  <si>
    <t>Holdingford, MN</t>
  </si>
  <si>
    <t>Margaretville, NY</t>
  </si>
  <si>
    <t>Waveland, IN</t>
  </si>
  <si>
    <t>Port Ewen, NY</t>
  </si>
  <si>
    <t>Elbow Lake, MN</t>
  </si>
  <si>
    <t>Kentland, IN</t>
  </si>
  <si>
    <t>Hillman, MN</t>
  </si>
  <si>
    <t>Moline Acres, MO</t>
  </si>
  <si>
    <t>Hillsboro, ND</t>
  </si>
  <si>
    <t>Valley Hill, NC</t>
  </si>
  <si>
    <t>Elko, GA</t>
  </si>
  <si>
    <t>Purdon, TX</t>
  </si>
  <si>
    <t>Williamstown, PA</t>
  </si>
  <si>
    <t>Gillespie, IL</t>
  </si>
  <si>
    <t>Huron, TN</t>
  </si>
  <si>
    <t>Searsport, ME</t>
  </si>
  <si>
    <t>Roseland, VA</t>
  </si>
  <si>
    <t>Mossyrock, WA</t>
  </si>
  <si>
    <t>Clifton, TN</t>
  </si>
  <si>
    <t>Hager City, WI</t>
  </si>
  <si>
    <t>Bull Valley, IL</t>
  </si>
  <si>
    <t>Browns Valley, CA</t>
  </si>
  <si>
    <t>Silver Point, TN</t>
  </si>
  <si>
    <t>Pittsford, MI</t>
  </si>
  <si>
    <t>Coulterville, CA</t>
  </si>
  <si>
    <t>Avoca, IA</t>
  </si>
  <si>
    <t>North Garden, VA</t>
  </si>
  <si>
    <t>Valley View, OH</t>
  </si>
  <si>
    <t>Mount Eden, KY</t>
  </si>
  <si>
    <t>Vina, AL</t>
  </si>
  <si>
    <t>Logan, AL</t>
  </si>
  <si>
    <t>Pineville, WV</t>
  </si>
  <si>
    <t>Corbett, OR</t>
  </si>
  <si>
    <t>Alford, FL</t>
  </si>
  <si>
    <t>Mac Arthur, WV</t>
  </si>
  <si>
    <t>Fredonia, KY</t>
  </si>
  <si>
    <t>Kasota, MN</t>
  </si>
  <si>
    <t>Cuba, IL</t>
  </si>
  <si>
    <t>Copper Canyon, TX</t>
  </si>
  <si>
    <t>Freeport, MI</t>
  </si>
  <si>
    <t>Darien Center, NY</t>
  </si>
  <si>
    <t>Ashland, NH</t>
  </si>
  <si>
    <t>Salem, SD</t>
  </si>
  <si>
    <t>Corydon, KY</t>
  </si>
  <si>
    <t>Clayton, WA</t>
  </si>
  <si>
    <t>Lonaconing, MD</t>
  </si>
  <si>
    <t>Bronson, TX</t>
  </si>
  <si>
    <t>Oriskany Falls, NY</t>
  </si>
  <si>
    <t>Tangent, OR</t>
  </si>
  <si>
    <t>Forreston, IL</t>
  </si>
  <si>
    <t>Demossville, KY</t>
  </si>
  <si>
    <t>Silver Lake, MN</t>
  </si>
  <si>
    <t>Oakland, MS</t>
  </si>
  <si>
    <t>Trinidad, CA</t>
  </si>
  <si>
    <t>Buckley, MI</t>
  </si>
  <si>
    <t>Stapleton, AL</t>
  </si>
  <si>
    <t>Rio Vista, TX</t>
  </si>
  <si>
    <t>Stinnett, TX</t>
  </si>
  <si>
    <t>Stuart, IA</t>
  </si>
  <si>
    <t>Hartford, AR</t>
  </si>
  <si>
    <t>Elmwood Place, OH</t>
  </si>
  <si>
    <t>Monkton, VT</t>
  </si>
  <si>
    <t>Colt, AR</t>
  </si>
  <si>
    <t>Hermitage, MO</t>
  </si>
  <si>
    <t>Garden Plain, KS</t>
  </si>
  <si>
    <t>Olmstead, KY</t>
  </si>
  <si>
    <t>Cottonwood, MN</t>
  </si>
  <si>
    <t>Capitan, NM</t>
  </si>
  <si>
    <t>Crosbyton, TX</t>
  </si>
  <si>
    <t>Sabin, MN</t>
  </si>
  <si>
    <t>Fredonia, PA</t>
  </si>
  <si>
    <t>Valley Falls, NY</t>
  </si>
  <si>
    <t>New Lothrop, MI</t>
  </si>
  <si>
    <t>Essex Fells, NJ</t>
  </si>
  <si>
    <t>Burlingame, KS</t>
  </si>
  <si>
    <t>Alexandria, NH</t>
  </si>
  <si>
    <t>Belmont, WV</t>
  </si>
  <si>
    <t>Huson, MT</t>
  </si>
  <si>
    <t>Porter Heights, TX</t>
  </si>
  <si>
    <t>Danbury, NC</t>
  </si>
  <si>
    <t>New Fairview, TX</t>
  </si>
  <si>
    <t>Fordsville, KY</t>
  </si>
  <si>
    <t>Allensville, KY</t>
  </si>
  <si>
    <t>Anderson, AL</t>
  </si>
  <si>
    <t>Dane, WI</t>
  </si>
  <si>
    <t>Lisle, NY</t>
  </si>
  <si>
    <t>Shamokin Dam, PA</t>
  </si>
  <si>
    <t>Oakland, IL</t>
  </si>
  <si>
    <t>Troy, NH</t>
  </si>
  <si>
    <t>Arnold, CA</t>
  </si>
  <si>
    <t>Jewell, IA</t>
  </si>
  <si>
    <t>Leoti, KS</t>
  </si>
  <si>
    <t>Bishopville, MD</t>
  </si>
  <si>
    <t>Henderson, MD</t>
  </si>
  <si>
    <t>Leverett, MA</t>
  </si>
  <si>
    <t>High Falls, NY</t>
  </si>
  <si>
    <t>Shady Side, MD</t>
  </si>
  <si>
    <t>Silver Lake, KS</t>
  </si>
  <si>
    <t>Larchwood, IA</t>
  </si>
  <si>
    <t>South Floral Park, NY</t>
  </si>
  <si>
    <t>Nahant, MA</t>
  </si>
  <si>
    <t>Fort Bridger, WY</t>
  </si>
  <si>
    <t>Acres Green, CO</t>
  </si>
  <si>
    <t>Birdseye, IN</t>
  </si>
  <si>
    <t>Elkland, PA</t>
  </si>
  <si>
    <t>Lacona, NY</t>
  </si>
  <si>
    <t>Talty, TX</t>
  </si>
  <si>
    <t>Kermit, WV</t>
  </si>
  <si>
    <t>Buffalo, WV</t>
  </si>
  <si>
    <t>Bannockburn, IL</t>
  </si>
  <si>
    <t>Joppa, AL</t>
  </si>
  <si>
    <t>Centertown, MO</t>
  </si>
  <si>
    <t>Larksville, PA</t>
  </si>
  <si>
    <t>Saint Francis, KS</t>
  </si>
  <si>
    <t>Grantsburg, IL</t>
  </si>
  <si>
    <t>Millersville, MO</t>
  </si>
  <si>
    <t>Slaughter Beach, DE</t>
  </si>
  <si>
    <t>Laurel Hill, FL</t>
  </si>
  <si>
    <t>James Creek, PA</t>
  </si>
  <si>
    <t>New Church, VA</t>
  </si>
  <si>
    <t>Mapleview, MN</t>
  </si>
  <si>
    <t>New Point, IN</t>
  </si>
  <si>
    <t>Andover, NY</t>
  </si>
  <si>
    <t>Spiceland, IN</t>
  </si>
  <si>
    <t>Valley Grove, WV</t>
  </si>
  <si>
    <t>Jeddo, MI</t>
  </si>
  <si>
    <t>Dixfield, ME</t>
  </si>
  <si>
    <t>Potter Valley, CA</t>
  </si>
  <si>
    <t>Portal, GA</t>
  </si>
  <si>
    <t>Elizabethtown, NC</t>
  </si>
  <si>
    <t>Hickory, MS</t>
  </si>
  <si>
    <t>Lafayette, WI</t>
  </si>
  <si>
    <t>Round Lake, NY</t>
  </si>
  <si>
    <t>Park River, ND</t>
  </si>
  <si>
    <t>Huguenot, NY</t>
  </si>
  <si>
    <t>Mauk, GA</t>
  </si>
  <si>
    <t>Almond, WI</t>
  </si>
  <si>
    <t>Valparaiso, NE</t>
  </si>
  <si>
    <t>Rib Lake, WI</t>
  </si>
  <si>
    <t>Milford, KS</t>
  </si>
  <si>
    <t>Robson, WV</t>
  </si>
  <si>
    <t>Newton, WI</t>
  </si>
  <si>
    <t>Almo, KY</t>
  </si>
  <si>
    <t>Callao, VA</t>
  </si>
  <si>
    <t>Yutan, NE</t>
  </si>
  <si>
    <t>Mayetta, KS</t>
  </si>
  <si>
    <t>Lake Ozark, MO</t>
  </si>
  <si>
    <t>Turkey, NC</t>
  </si>
  <si>
    <t>Upton, KY</t>
  </si>
  <si>
    <t>Hartland, CT</t>
  </si>
  <si>
    <t>Hamlin, TX</t>
  </si>
  <si>
    <t>Hebron, NE</t>
  </si>
  <si>
    <t>Edinburg, IL</t>
  </si>
  <si>
    <t>Mulberry, IN</t>
  </si>
  <si>
    <t>Elkville, IL</t>
  </si>
  <si>
    <t>Divernon, IL</t>
  </si>
  <si>
    <t>New Era, MI</t>
  </si>
  <si>
    <t>Galatia, IL</t>
  </si>
  <si>
    <t>Lyndon, KS</t>
  </si>
  <si>
    <t>Buckhead, GA</t>
  </si>
  <si>
    <t>Tannersville, PA</t>
  </si>
  <si>
    <t>Laquey, MO</t>
  </si>
  <si>
    <t>Moro, AR</t>
  </si>
  <si>
    <t>Trail Creek, IN</t>
  </si>
  <si>
    <t>Mendon, IL</t>
  </si>
  <si>
    <t>Crystal Lake Park, MO</t>
  </si>
  <si>
    <t>Vincent, OH</t>
  </si>
  <si>
    <t>Harrisville, NY</t>
  </si>
  <si>
    <t>Friend, NE</t>
  </si>
  <si>
    <t>Moorhead, MS</t>
  </si>
  <si>
    <t>Washburn, MO</t>
  </si>
  <si>
    <t>Lewiston, UT</t>
  </si>
  <si>
    <t>Lecompton, KS</t>
  </si>
  <si>
    <t>Coaldale, PA</t>
  </si>
  <si>
    <t>Rock Hall, MD</t>
  </si>
  <si>
    <t>Slate Hill, NY</t>
  </si>
  <si>
    <t>La Veta, CO</t>
  </si>
  <si>
    <t>Hooversville, PA</t>
  </si>
  <si>
    <t>Whitewood, SD</t>
  </si>
  <si>
    <t>Quinton, NJ</t>
  </si>
  <si>
    <t>Clio, SC</t>
  </si>
  <si>
    <t>Gruver, TX</t>
  </si>
  <si>
    <t>Smyer, TX</t>
  </si>
  <si>
    <t>Conway, MA</t>
  </si>
  <si>
    <t>Carrollton, KY</t>
  </si>
  <si>
    <t>Burns, OR</t>
  </si>
  <si>
    <t>Rio Verde, AZ</t>
  </si>
  <si>
    <t>Belleair Bluffs, FL</t>
  </si>
  <si>
    <t>Cabin John, MD</t>
  </si>
  <si>
    <t>Norwood, GA</t>
  </si>
  <si>
    <t>Epworth, GA</t>
  </si>
  <si>
    <t>Capron, IL</t>
  </si>
  <si>
    <t>Kinsley, KS</t>
  </si>
  <si>
    <t>East Rochester, OH</t>
  </si>
  <si>
    <t>Irondale, MO</t>
  </si>
  <si>
    <t>Ettrick, WI</t>
  </si>
  <si>
    <t>Smithton, MO</t>
  </si>
  <si>
    <t>Lookout Mountain, TN</t>
  </si>
  <si>
    <t>Grandview, TN</t>
  </si>
  <si>
    <t>Cascade, ID</t>
  </si>
  <si>
    <t>Fort Johnson, NY</t>
  </si>
  <si>
    <t>Bunch, OK</t>
  </si>
  <si>
    <t>Seligman, MO</t>
  </si>
  <si>
    <t>Peggs, OK</t>
  </si>
  <si>
    <t>Sanborn, IA</t>
  </si>
  <si>
    <t>Pineland, TX</t>
  </si>
  <si>
    <t>Bristow, OK</t>
  </si>
  <si>
    <t>Pilot Hill, CA</t>
  </si>
  <si>
    <t>Lowman, NY</t>
  </si>
  <si>
    <t>Free Union, VA</t>
  </si>
  <si>
    <t>Amsterdam, OH</t>
  </si>
  <si>
    <t>Lockwood, MO</t>
  </si>
  <si>
    <t>River Bend, NC</t>
  </si>
  <si>
    <t>Brooklawn, NJ</t>
  </si>
  <si>
    <t>Stewartsville, MO</t>
  </si>
  <si>
    <t>Brushton, NY</t>
  </si>
  <si>
    <t>Eagle Springs, NC</t>
  </si>
  <si>
    <t>Westboro, WI</t>
  </si>
  <si>
    <t>Champion, MI</t>
  </si>
  <si>
    <t>Laurel Springs, NJ</t>
  </si>
  <si>
    <t>Foley, MO</t>
  </si>
  <si>
    <t>Wrangell, AK</t>
  </si>
  <si>
    <t>Milltown, IN</t>
  </si>
  <si>
    <t>Reardan, WA</t>
  </si>
  <si>
    <t>Madison, NH</t>
  </si>
  <si>
    <t>Society Hill, SC</t>
  </si>
  <si>
    <t>East Mc Keesport, PA</t>
  </si>
  <si>
    <t>Harwich Port, MA</t>
  </si>
  <si>
    <t>Glasgow, VA</t>
  </si>
  <si>
    <t>Colton, SD</t>
  </si>
  <si>
    <t>Eminence, MO</t>
  </si>
  <si>
    <t>Audubon, MN</t>
  </si>
  <si>
    <t>Eagle, MI</t>
  </si>
  <si>
    <t>Mindoro, WI</t>
  </si>
  <si>
    <t>Gilman, IL</t>
  </si>
  <si>
    <t>Parchment, MI</t>
  </si>
  <si>
    <t>Nicoma Park, OK</t>
  </si>
  <si>
    <t>Cayuga, IN</t>
  </si>
  <si>
    <t>Ashley, MI</t>
  </si>
  <si>
    <t>Pender, NE</t>
  </si>
  <si>
    <t>Moran, WY</t>
  </si>
  <si>
    <t>Cassville, WV</t>
  </si>
  <si>
    <t>White Swan, WA</t>
  </si>
  <si>
    <t>Buckland, MA</t>
  </si>
  <si>
    <t>Kirklin, IN</t>
  </si>
  <si>
    <t>Frenchtown, MT</t>
  </si>
  <si>
    <t>Hartfield, VA</t>
  </si>
  <si>
    <t>Newbury, NH</t>
  </si>
  <si>
    <t>Cove City, NC</t>
  </si>
  <si>
    <t>Pounding Mill, VA</t>
  </si>
  <si>
    <t>Granton, WI</t>
  </si>
  <si>
    <t>Clarksburg, CA</t>
  </si>
  <si>
    <t>Fancy Gap, VA</t>
  </si>
  <si>
    <t>Kinsey, AL</t>
  </si>
  <si>
    <t>Embarrass, MN</t>
  </si>
  <si>
    <t>Wheaton, MN</t>
  </si>
  <si>
    <t>North Kingsville, OH</t>
  </si>
  <si>
    <t>Unionville, MI</t>
  </si>
  <si>
    <t>Commerce, OK</t>
  </si>
  <si>
    <t>Hayfork, CA</t>
  </si>
  <si>
    <t>Jewett, OH</t>
  </si>
  <si>
    <t>Petersburg, PA</t>
  </si>
  <si>
    <t>Waldron, IN</t>
  </si>
  <si>
    <t>West Point, KY</t>
  </si>
  <si>
    <t>Aroda, VA</t>
  </si>
  <si>
    <t>Porter, WI</t>
  </si>
  <si>
    <t>East Point, KY</t>
  </si>
  <si>
    <t>Galena, MD</t>
  </si>
  <si>
    <t>Morocco, IN</t>
  </si>
  <si>
    <t>Sheffield, IA</t>
  </si>
  <si>
    <t>Ocean Ridge, FL</t>
  </si>
  <si>
    <t>Veazie, ME</t>
  </si>
  <si>
    <t>Oostburg, WI</t>
  </si>
  <si>
    <t>Port Murray, NJ</t>
  </si>
  <si>
    <t>Tierra Verde, FL</t>
  </si>
  <si>
    <t>Becket, MA</t>
  </si>
  <si>
    <t>Fort Towson, OK</t>
  </si>
  <si>
    <t>Ray, OH</t>
  </si>
  <si>
    <t>Appleton City, MO</t>
  </si>
  <si>
    <t>Gettysburg, SD</t>
  </si>
  <si>
    <t>Amesville, OH</t>
  </si>
  <si>
    <t>Roscoe, TX</t>
  </si>
  <si>
    <t>White Stone, VA</t>
  </si>
  <si>
    <t>Clio, AL</t>
  </si>
  <si>
    <t>Galien, MI</t>
  </si>
  <si>
    <t>Champion, PA</t>
  </si>
  <si>
    <t>La Jara, CO</t>
  </si>
  <si>
    <t>Rudolph, WI</t>
  </si>
  <si>
    <t>Brownstown, IL</t>
  </si>
  <si>
    <t>Turbotville, PA</t>
  </si>
  <si>
    <t>Turley, OK</t>
  </si>
  <si>
    <t>Freeport, OH</t>
  </si>
  <si>
    <t>Vinton, OH</t>
  </si>
  <si>
    <t>Ashton, MD</t>
  </si>
  <si>
    <t>Carthage, IN</t>
  </si>
  <si>
    <t>St Albans, ME</t>
  </si>
  <si>
    <t>Addison, AL</t>
  </si>
  <si>
    <t>Alfred Station, NY</t>
  </si>
  <si>
    <t>Shady Shores, TX</t>
  </si>
  <si>
    <t>Rebersburg, PA</t>
  </si>
  <si>
    <t>Central, IN</t>
  </si>
  <si>
    <t>Homer, IL</t>
  </si>
  <si>
    <t>Peck, KS</t>
  </si>
  <si>
    <t>Mathis, TX</t>
  </si>
  <si>
    <t>Elm Grove, LA</t>
  </si>
  <si>
    <t>Hamshire, TX</t>
  </si>
  <si>
    <t>Ravenna, KY</t>
  </si>
  <si>
    <t>Blue Creek, OH</t>
  </si>
  <si>
    <t>Millersburg, MI</t>
  </si>
  <si>
    <t>Rowlesburg, WV</t>
  </si>
  <si>
    <t>Draper, VA</t>
  </si>
  <si>
    <t>Cedar Grove, TN</t>
  </si>
  <si>
    <t>Hueysville, KY</t>
  </si>
  <si>
    <t>Fort McDowell, AZ</t>
  </si>
  <si>
    <t>Rosanky, TX</t>
  </si>
  <si>
    <t>Dedham, ME</t>
  </si>
  <si>
    <t>Neosho, WI</t>
  </si>
  <si>
    <t>Van Buren, ME</t>
  </si>
  <si>
    <t>Parsonsfield, ME</t>
  </si>
  <si>
    <t>Washburn, ND</t>
  </si>
  <si>
    <t>Lakeview, AR</t>
  </si>
  <si>
    <t>Mendon, OH</t>
  </si>
  <si>
    <t>Grand Rivers, KY</t>
  </si>
  <si>
    <t>Richmond, WI</t>
  </si>
  <si>
    <t>Bement, IL</t>
  </si>
  <si>
    <t>Saint Jo, TX</t>
  </si>
  <si>
    <t>Scarbro, WV</t>
  </si>
  <si>
    <t>Peoa, UT</t>
  </si>
  <si>
    <t>Bayside, CA</t>
  </si>
  <si>
    <t>Riceboro, GA</t>
  </si>
  <si>
    <t>Randolph, ME</t>
  </si>
  <si>
    <t>Malvern, IA</t>
  </si>
  <si>
    <t>Rushville, NY</t>
  </si>
  <si>
    <t>Grand Ronde, OR</t>
  </si>
  <si>
    <t>Lansing, IA</t>
  </si>
  <si>
    <t>Kennard, TX</t>
  </si>
  <si>
    <t>Pelham, TN</t>
  </si>
  <si>
    <t>Deering, NH</t>
  </si>
  <si>
    <t>Evansville, MN</t>
  </si>
  <si>
    <t>Taylors Falls, MN</t>
  </si>
  <si>
    <t>Sweet Springs, MO</t>
  </si>
  <si>
    <t>Blackstock, SC</t>
  </si>
  <si>
    <t>Farwell, TX</t>
  </si>
  <si>
    <t>Florence, IN</t>
  </si>
  <si>
    <t>Fredericksburg, IA</t>
  </si>
  <si>
    <t>San Mateo, FL</t>
  </si>
  <si>
    <t>Guilford, VT</t>
  </si>
  <si>
    <t>Orr, MN</t>
  </si>
  <si>
    <t>Cazadero, CA</t>
  </si>
  <si>
    <t>Bulger, PA</t>
  </si>
  <si>
    <t>Vaiden, MS</t>
  </si>
  <si>
    <t>Harrisburg, MO</t>
  </si>
  <si>
    <t>Tollhouse, CA</t>
  </si>
  <si>
    <t>Wisner, NE</t>
  </si>
  <si>
    <t>Sumner, GA</t>
  </si>
  <si>
    <t>Dysart, IA</t>
  </si>
  <si>
    <t>Ripon, WI</t>
  </si>
  <si>
    <t>South Cle Elum, WA</t>
  </si>
  <si>
    <t>Otter Lake, MI</t>
  </si>
  <si>
    <t>Stockton, KS</t>
  </si>
  <si>
    <t>Jumpertown, MS</t>
  </si>
  <si>
    <t>Dow, IL</t>
  </si>
  <si>
    <t>Trainer, PA</t>
  </si>
  <si>
    <t>Wayne City, IL</t>
  </si>
  <si>
    <t>Osyka, MS</t>
  </si>
  <si>
    <t>Apple Grove, WV</t>
  </si>
  <si>
    <t>Hemby Bridge, NC</t>
  </si>
  <si>
    <t>North Lewisburg, OH</t>
  </si>
  <si>
    <t>Bonnyman, KY</t>
  </si>
  <si>
    <t>Delaware City, DE</t>
  </si>
  <si>
    <t>Summersville, MO</t>
  </si>
  <si>
    <t>Colebrook, NH</t>
  </si>
  <si>
    <t>Hanoverton, OH</t>
  </si>
  <si>
    <t>Gray, TN</t>
  </si>
  <si>
    <t>Cape Fair, MO</t>
  </si>
  <si>
    <t>Big Rock, IL</t>
  </si>
  <si>
    <t>Greenfield, NH</t>
  </si>
  <si>
    <t>Ocean Shores, WA</t>
  </si>
  <si>
    <t>Eagletown, OK</t>
  </si>
  <si>
    <t>Boston, VA</t>
  </si>
  <si>
    <t>Lexington, MN</t>
  </si>
  <si>
    <t>Bradley, AR</t>
  </si>
  <si>
    <t>Repton, AL</t>
  </si>
  <si>
    <t>Reynolds, GA</t>
  </si>
  <si>
    <t>Cornersville, TN</t>
  </si>
  <si>
    <t>Hot Springs, VA</t>
  </si>
  <si>
    <t>Zavalla, TX</t>
  </si>
  <si>
    <t>Henderson, NY</t>
  </si>
  <si>
    <t>Lakeside, OR</t>
  </si>
  <si>
    <t>Troy, ID</t>
  </si>
  <si>
    <t>Madbury, NH</t>
  </si>
  <si>
    <t>Waller, TX</t>
  </si>
  <si>
    <t>Rock City, IL</t>
  </si>
  <si>
    <t>Reedville, VA</t>
  </si>
  <si>
    <t>New Springfield, OH</t>
  </si>
  <si>
    <t>Stevinson, CA</t>
  </si>
  <si>
    <t>Turtletown, TN</t>
  </si>
  <si>
    <t>Red Level, AL</t>
  </si>
  <si>
    <t>Rodney, MI</t>
  </si>
  <si>
    <t>Fort Benton, MT</t>
  </si>
  <si>
    <t>Enoch, UT</t>
  </si>
  <si>
    <t>Sidney, IA</t>
  </si>
  <si>
    <t>Port Norris, NJ</t>
  </si>
  <si>
    <t>Montague, MA</t>
  </si>
  <si>
    <t>Orrstown, PA</t>
  </si>
  <si>
    <t>Baudette, MN</t>
  </si>
  <si>
    <t>Seven Trees, CA</t>
  </si>
  <si>
    <t>Mendenhall, MS</t>
  </si>
  <si>
    <t>Chauncey, GA</t>
  </si>
  <si>
    <t>Eddyville, IA</t>
  </si>
  <si>
    <t>Gresham, WI</t>
  </si>
  <si>
    <t>Finger, TN</t>
  </si>
  <si>
    <t>Mineral Springs, AR</t>
  </si>
  <si>
    <t>Oak Creek, CO</t>
  </si>
  <si>
    <t>Fall River, WI</t>
  </si>
  <si>
    <t>McCammon, ID</t>
  </si>
  <si>
    <t>Edina, MO</t>
  </si>
  <si>
    <t>La Grange, CA</t>
  </si>
  <si>
    <t>Shoreacres, TX</t>
  </si>
  <si>
    <t>Moonachie, NJ</t>
  </si>
  <si>
    <t>Ayden, NC</t>
  </si>
  <si>
    <t>Dummerston, VT</t>
  </si>
  <si>
    <t>Irons, MI</t>
  </si>
  <si>
    <t>Ness City, KS</t>
  </si>
  <si>
    <t>Clarendon, PA</t>
  </si>
  <si>
    <t>Wanchese, NC</t>
  </si>
  <si>
    <t>Cameron, SC</t>
  </si>
  <si>
    <t>Cerro Gordo, IL</t>
  </si>
  <si>
    <t>Leon, KS</t>
  </si>
  <si>
    <t>Port Sulphur, LA</t>
  </si>
  <si>
    <t>Johnson, KS</t>
  </si>
  <si>
    <t>Geary, OK</t>
  </si>
  <si>
    <t>Lamar, MO</t>
  </si>
  <si>
    <t>Garfield, MN</t>
  </si>
  <si>
    <t>Mount Victory, OH</t>
  </si>
  <si>
    <t>Church Hill, MD</t>
  </si>
  <si>
    <t>Cordova, MD</t>
  </si>
  <si>
    <t>De Smet, SD</t>
  </si>
  <si>
    <t>Austinville, VA</t>
  </si>
  <si>
    <t>Clark, SD</t>
  </si>
  <si>
    <t>Dowling, MI</t>
  </si>
  <si>
    <t>Canyonville, OR</t>
  </si>
  <si>
    <t>Golconda, IL</t>
  </si>
  <si>
    <t>Como, WI</t>
  </si>
  <si>
    <t>Ansonville, NC</t>
  </si>
  <si>
    <t>Cushing, MN</t>
  </si>
  <si>
    <t>Guthrie, KY</t>
  </si>
  <si>
    <t>Silas, AL</t>
  </si>
  <si>
    <t>Bolindale, OH</t>
  </si>
  <si>
    <t>Waldo, FL</t>
  </si>
  <si>
    <t>Cayuga, NY</t>
  </si>
  <si>
    <t>Georgetown, GA</t>
  </si>
  <si>
    <t>Alsea, OR</t>
  </si>
  <si>
    <t>Fox Island, WA</t>
  </si>
  <si>
    <t>La Center, KY</t>
  </si>
  <si>
    <t>Patriot, IN</t>
  </si>
  <si>
    <t>Mazeppa, MN</t>
  </si>
  <si>
    <t>Tripoli, IA</t>
  </si>
  <si>
    <t>Mayesville, SC</t>
  </si>
  <si>
    <t>Brierfield, AL</t>
  </si>
  <si>
    <t>Fairplay, CO</t>
  </si>
  <si>
    <t>Roseville, IL</t>
  </si>
  <si>
    <t>Fairfield, MT</t>
  </si>
  <si>
    <t>Herndon, PA</t>
  </si>
  <si>
    <t>Spring Prairie, WI</t>
  </si>
  <si>
    <t>Walthill, NE</t>
  </si>
  <si>
    <t>Marcus, IA</t>
  </si>
  <si>
    <t>Hill City, KS</t>
  </si>
  <si>
    <t>Haines, AK</t>
  </si>
  <si>
    <t>Center Point, IN</t>
  </si>
  <si>
    <t>Earlville, IA</t>
  </si>
  <si>
    <t>Chesterhill, OH</t>
  </si>
  <si>
    <t>Sackets Harbor, NY</t>
  </si>
  <si>
    <t>Keosauqua, IA</t>
  </si>
  <si>
    <t>New Castle, KY</t>
  </si>
  <si>
    <t>Hackleburg, AL</t>
  </si>
  <si>
    <t>Union Springs, NY</t>
  </si>
  <si>
    <t>Humphrey, NE</t>
  </si>
  <si>
    <t>Rough and Ready, CA</t>
  </si>
  <si>
    <t>Gilbert, LA</t>
  </si>
  <si>
    <t>Starksboro, VT</t>
  </si>
  <si>
    <t>Roseto, PA</t>
  </si>
  <si>
    <t>Plymouth, UT</t>
  </si>
  <si>
    <t>West Conshohocken, PA</t>
  </si>
  <si>
    <t>Traphill, NC</t>
  </si>
  <si>
    <t>Luthersville, GA</t>
  </si>
  <si>
    <t>Mound City, KS</t>
  </si>
  <si>
    <t>Caney, KS</t>
  </si>
  <si>
    <t>Naco, AZ</t>
  </si>
  <si>
    <t>Dewitt, VA</t>
  </si>
  <si>
    <t>Wessington Springs, SD</t>
  </si>
  <si>
    <t>Shawboro, NC</t>
  </si>
  <si>
    <t>Freeman, VA</t>
  </si>
  <si>
    <t>Moretown, VT</t>
  </si>
  <si>
    <t>Saratoga, WY</t>
  </si>
  <si>
    <t>Pearl City, IL</t>
  </si>
  <si>
    <t>Merrill, IA</t>
  </si>
  <si>
    <t>Van Buren, IN</t>
  </si>
  <si>
    <t>Trenton, ME</t>
  </si>
  <si>
    <t>West Compton, CA</t>
  </si>
  <si>
    <t>Crystal Lakes, MO</t>
  </si>
  <si>
    <t>Crawford, CO</t>
  </si>
  <si>
    <t>Lake Linden, MI</t>
  </si>
  <si>
    <t>Hazleton, IA</t>
  </si>
  <si>
    <t>Iron River, WI</t>
  </si>
  <si>
    <t>Point Marion, PA</t>
  </si>
  <si>
    <t>Windfall, IN</t>
  </si>
  <si>
    <t>Kennedy, AL</t>
  </si>
  <si>
    <t>Garysburg, NC</t>
  </si>
  <si>
    <t>Bois D Arc, MO</t>
  </si>
  <si>
    <t>Roanoke, IL</t>
  </si>
  <si>
    <t>Minneota, MN</t>
  </si>
  <si>
    <t>Westhampton, MA</t>
  </si>
  <si>
    <t>Ruth, MS</t>
  </si>
  <si>
    <t>Eden, TX</t>
  </si>
  <si>
    <t>Dunkerton, IA</t>
  </si>
  <si>
    <t>Bunn, NC</t>
  </si>
  <si>
    <t>North Bend, NE</t>
  </si>
  <si>
    <t>Glenwood, NJ</t>
  </si>
  <si>
    <t>Fall River Mills, CA</t>
  </si>
  <si>
    <t>Copperopolis, CA</t>
  </si>
  <si>
    <t>Ribera, NM</t>
  </si>
  <si>
    <t>Arena, WI</t>
  </si>
  <si>
    <t>Oyster Bay Cove, NY</t>
  </si>
  <si>
    <t>Hydro, OK</t>
  </si>
  <si>
    <t>Mack, CO</t>
  </si>
  <si>
    <t>Iron City, GA</t>
  </si>
  <si>
    <t>Lyme, NH</t>
  </si>
  <si>
    <t>Selma, OR</t>
  </si>
  <si>
    <t>Caddo, OK</t>
  </si>
  <si>
    <t>Cook, MN</t>
  </si>
  <si>
    <t>Sardis, GA</t>
  </si>
  <si>
    <t>Alma, WI</t>
  </si>
  <si>
    <t>Altmar, NY</t>
  </si>
  <si>
    <t>Lincolnville, ME</t>
  </si>
  <si>
    <t>Worden, MT</t>
  </si>
  <si>
    <t>Whitewater, KS</t>
  </si>
  <si>
    <t>Boiling Springs, NC</t>
  </si>
  <si>
    <t>Gilbert, MN</t>
  </si>
  <si>
    <t>Mount Sidney, VA</t>
  </si>
  <si>
    <t>Riverdale, IA</t>
  </si>
  <si>
    <t>Pinson, TN</t>
  </si>
  <si>
    <t>Icard, NC</t>
  </si>
  <si>
    <t>Crumpler, NC</t>
  </si>
  <si>
    <t>Marysville, IN</t>
  </si>
  <si>
    <t>Saint Hedwig, TX</t>
  </si>
  <si>
    <t>Sawyer, MI</t>
  </si>
  <si>
    <t>Russia, OH</t>
  </si>
  <si>
    <t>Mc Connells, SC</t>
  </si>
  <si>
    <t>Hopland, CA</t>
  </si>
  <si>
    <t>Grantwood Village, MO</t>
  </si>
  <si>
    <t>Glenmore, WI</t>
  </si>
  <si>
    <t>Toulon, IL</t>
  </si>
  <si>
    <t>Rothbury, MI</t>
  </si>
  <si>
    <t>Maceo, KY</t>
  </si>
  <si>
    <t>Wales, ME</t>
  </si>
  <si>
    <t>Holden, MO</t>
  </si>
  <si>
    <t>Lakesite, TN</t>
  </si>
  <si>
    <t>Hague, VA</t>
  </si>
  <si>
    <t>Jane Lew, WV</t>
  </si>
  <si>
    <t>Slaughter, LA</t>
  </si>
  <si>
    <t>Francisco, IN</t>
  </si>
  <si>
    <t>Preston, MN</t>
  </si>
  <si>
    <t>Plantation Mobile Home Park, FL</t>
  </si>
  <si>
    <t>Huntley, MT</t>
  </si>
  <si>
    <t>Eden Valley, MN</t>
  </si>
  <si>
    <t>Dunlap, IA</t>
  </si>
  <si>
    <t>Woodland Township, NJ</t>
  </si>
  <si>
    <t>New Ross, IN</t>
  </si>
  <si>
    <t>Belfield, ND</t>
  </si>
  <si>
    <t>Priceville, AL</t>
  </si>
  <si>
    <t>Woodland, MS</t>
  </si>
  <si>
    <t>Hinsdale, MA</t>
  </si>
  <si>
    <t>Lincoln, KS</t>
  </si>
  <si>
    <t>Plainville, GA</t>
  </si>
  <si>
    <t>Waterloo, AL</t>
  </si>
  <si>
    <t>Upper Brookville, NY</t>
  </si>
  <si>
    <t>Pittsview, AL</t>
  </si>
  <si>
    <t>Adams Run, SC</t>
  </si>
  <si>
    <t>Kindred, ND</t>
  </si>
  <si>
    <t>Oakham, MA</t>
  </si>
  <si>
    <t>Welches, OR</t>
  </si>
  <si>
    <t>Clay Center, KS</t>
  </si>
  <si>
    <t>Van Lear, KY</t>
  </si>
  <si>
    <t>Lorman, MS</t>
  </si>
  <si>
    <t>Olmos Park, TX</t>
  </si>
  <si>
    <t>Lore City, OH</t>
  </si>
  <si>
    <t>Philo, OH</t>
  </si>
  <si>
    <t>Seaside Park, NJ</t>
  </si>
  <si>
    <t>Hoagland, IN</t>
  </si>
  <si>
    <t>Elizabethtown, IL</t>
  </si>
  <si>
    <t>Paragon, IN</t>
  </si>
  <si>
    <t>Hagarville, AR</t>
  </si>
  <si>
    <t>Hampton, CT</t>
  </si>
  <si>
    <t>Yoder, CO</t>
  </si>
  <si>
    <t>Sutherland, NE</t>
  </si>
  <si>
    <t>Savona, NY</t>
  </si>
  <si>
    <t>Iowa Falls, IA</t>
  </si>
  <si>
    <t>Uriah, AL</t>
  </si>
  <si>
    <t>Ludlow, VT</t>
  </si>
  <si>
    <t>Shorter, AL</t>
  </si>
  <si>
    <t>Arp, TX</t>
  </si>
  <si>
    <t>Parkerfield, KS</t>
  </si>
  <si>
    <t>Nora Springs, IA</t>
  </si>
  <si>
    <t>Savoy, TX</t>
  </si>
  <si>
    <t>West Concord, MN</t>
  </si>
  <si>
    <t>Grant, CO</t>
  </si>
  <si>
    <t>Au Sable Forks, NY</t>
  </si>
  <si>
    <t>Rock Hill, NY</t>
  </si>
  <si>
    <t>Casar, NC</t>
  </si>
  <si>
    <t>Montgomery, MI</t>
  </si>
  <si>
    <t>Mount Savage, MD</t>
  </si>
  <si>
    <t>Hudson Oaks, TX</t>
  </si>
  <si>
    <t>Daggett, MI</t>
  </si>
  <si>
    <t>Grandview, IN</t>
  </si>
  <si>
    <t>Shevlin, MN</t>
  </si>
  <si>
    <t>Cumberland, OH</t>
  </si>
  <si>
    <t>Inwood, IA</t>
  </si>
  <si>
    <t>Butler, WI</t>
  </si>
  <si>
    <t>Big Island, VA</t>
  </si>
  <si>
    <t>Posen, MI</t>
  </si>
  <si>
    <t>Morristown, OH</t>
  </si>
  <si>
    <t>Rockford, IA</t>
  </si>
  <si>
    <t>Eureka, NC</t>
  </si>
  <si>
    <t>Custer, MI</t>
  </si>
  <si>
    <t>Hoyt Lakes, MN</t>
  </si>
  <si>
    <t>Springfield, SD</t>
  </si>
  <si>
    <t>Hector, MN</t>
  </si>
  <si>
    <t>Maysville, OK</t>
  </si>
  <si>
    <t>Wilmington, VT</t>
  </si>
  <si>
    <t>Pocahontas, IA</t>
  </si>
  <si>
    <t>Ava, IL</t>
  </si>
  <si>
    <t>Horseshoe Bay, TX</t>
  </si>
  <si>
    <t>Melrose, WI</t>
  </si>
  <si>
    <t>Dorsey, IL</t>
  </si>
  <si>
    <t>Berkey, OH</t>
  </si>
  <si>
    <t>Highland, WI</t>
  </si>
  <si>
    <t>Tioga, ND</t>
  </si>
  <si>
    <t>Tignall, GA</t>
  </si>
  <si>
    <t>Mooreland, IN</t>
  </si>
  <si>
    <t>Shadeland, IN</t>
  </si>
  <si>
    <t>Lexington Hills, CA</t>
  </si>
  <si>
    <t>Tahoe City, CA</t>
  </si>
  <si>
    <t>Chancellor, AL</t>
  </si>
  <si>
    <t>Bakerstown, PA</t>
  </si>
  <si>
    <t>Stuyvesant, NY</t>
  </si>
  <si>
    <t>Muir, MI</t>
  </si>
  <si>
    <t>Kechi, KS</t>
  </si>
  <si>
    <t>Dexter, IA</t>
  </si>
  <si>
    <t>Darlington, IN</t>
  </si>
  <si>
    <t>St George, ME</t>
  </si>
  <si>
    <t>Hawley, TX</t>
  </si>
  <si>
    <t>Milan, GA</t>
  </si>
  <si>
    <t>Bradford, WI</t>
  </si>
  <si>
    <t>Silver Springs, NY</t>
  </si>
  <si>
    <t>Williamsville, IL</t>
  </si>
  <si>
    <t>Clarington, OH</t>
  </si>
  <si>
    <t>Spearsville, LA</t>
  </si>
  <si>
    <t>Carlyle, IL</t>
  </si>
  <si>
    <t>Norwalk, WI</t>
  </si>
  <si>
    <t>Palenville, NY</t>
  </si>
  <si>
    <t>Woodridge, NY</t>
  </si>
  <si>
    <t>Humansville, MO</t>
  </si>
  <si>
    <t>Keeling, VA</t>
  </si>
  <si>
    <t>Citrus City, TX</t>
  </si>
  <si>
    <t>Verdunville, WV</t>
  </si>
  <si>
    <t>Troutdale, VA</t>
  </si>
  <si>
    <t>Redway, CA</t>
  </si>
  <si>
    <t>Oak Ridge, MO</t>
  </si>
  <si>
    <t>Ewing, KY</t>
  </si>
  <si>
    <t>El Portal, FL</t>
  </si>
  <si>
    <t>Udall, KS</t>
  </si>
  <si>
    <t>Richvale, CA</t>
  </si>
  <si>
    <t>Arroyo Seco, NM</t>
  </si>
  <si>
    <t>Manly, IA</t>
  </si>
  <si>
    <t>Aquebogue, NY</t>
  </si>
  <si>
    <t>Round Lake Heights, IL</t>
  </si>
  <si>
    <t>Talbotton, GA</t>
  </si>
  <si>
    <t>Goodrich, TX</t>
  </si>
  <si>
    <t>Hollister, NC</t>
  </si>
  <si>
    <t>Sutton, NE</t>
  </si>
  <si>
    <t>Griggsville, IL</t>
  </si>
  <si>
    <t>Minong, WI</t>
  </si>
  <si>
    <t>Guysville, OH</t>
  </si>
  <si>
    <t>Arkoma, OK</t>
  </si>
  <si>
    <t>Hopkinton, IA</t>
  </si>
  <si>
    <t>Marine, IL</t>
  </si>
  <si>
    <t>Farmdale, OH</t>
  </si>
  <si>
    <t>Harwood, ND</t>
  </si>
  <si>
    <t>North Belle Vernon, PA</t>
  </si>
  <si>
    <t>Mathiston, MS</t>
  </si>
  <si>
    <t>Bliss, NY</t>
  </si>
  <si>
    <t>Phillipsburg, MO</t>
  </si>
  <si>
    <t>Stockbridge, MA</t>
  </si>
  <si>
    <t>Deary, ID</t>
  </si>
  <si>
    <t>Roach, MO</t>
  </si>
  <si>
    <t>Little River Academy, TX</t>
  </si>
  <si>
    <t>Moran, KS</t>
  </si>
  <si>
    <t>Franklin Grove, IL</t>
  </si>
  <si>
    <t>Cecilton, MD</t>
  </si>
  <si>
    <t>Grand Lake, CO</t>
  </si>
  <si>
    <t>Crescent, IA</t>
  </si>
  <si>
    <t>Bay City, OR</t>
  </si>
  <si>
    <t>Zionville, NC</t>
  </si>
  <si>
    <t>Bovina, WI</t>
  </si>
  <si>
    <t>Milford, UT</t>
  </si>
  <si>
    <t>Procious, WV</t>
  </si>
  <si>
    <t>Mountain Rest, SC</t>
  </si>
  <si>
    <t>Sunray, TX</t>
  </si>
  <si>
    <t>Cowan, TN</t>
  </si>
  <si>
    <t>Lawton, IA</t>
  </si>
  <si>
    <t>Vanderbilt, MI</t>
  </si>
  <si>
    <t>Clarkson, NE</t>
  </si>
  <si>
    <t>Big Cabin, OK</t>
  </si>
  <si>
    <t>Oldtown, ID</t>
  </si>
  <si>
    <t>Montpelier, OH</t>
  </si>
  <si>
    <t>Redkey, IN</t>
  </si>
  <si>
    <t>Romance, AR</t>
  </si>
  <si>
    <t>South Bend, WA</t>
  </si>
  <si>
    <t>Sarona, WI</t>
  </si>
  <si>
    <t>Swayzee, IN</t>
  </si>
  <si>
    <t>Lone Tree, IA</t>
  </si>
  <si>
    <t>Flat Rock, IN</t>
  </si>
  <si>
    <t>Palestine, AR</t>
  </si>
  <si>
    <t>Phillipston, MA</t>
  </si>
  <si>
    <t>Schellsburg, PA</t>
  </si>
  <si>
    <t>Columbus, WI</t>
  </si>
  <si>
    <t>Leroy, TX</t>
  </si>
  <si>
    <t>Cape Vincent, NY</t>
  </si>
  <si>
    <t>Winfield, TN</t>
  </si>
  <si>
    <t>Cornish, NH</t>
  </si>
  <si>
    <t>Middleton, NH</t>
  </si>
  <si>
    <t>Sulphur Springs, AR</t>
  </si>
  <si>
    <t>Webster, NH</t>
  </si>
  <si>
    <t>Brownton, MN</t>
  </si>
  <si>
    <t>Narrowsburg, NY</t>
  </si>
  <si>
    <t>Lake Delton, WI</t>
  </si>
  <si>
    <t>Spur, TX</t>
  </si>
  <si>
    <t>Valley Springs, SD</t>
  </si>
  <si>
    <t>Talkeetna, AK</t>
  </si>
  <si>
    <t>Woodbranch, TX</t>
  </si>
  <si>
    <t>Fort Cobb, OK</t>
  </si>
  <si>
    <t>Rayville, MO</t>
  </si>
  <si>
    <t>Wrenshall, MN</t>
  </si>
  <si>
    <t>Madrid, NY</t>
  </si>
  <si>
    <t>Creighton, NE</t>
  </si>
  <si>
    <t>New Haven, VT</t>
  </si>
  <si>
    <t>Freeburg, MO</t>
  </si>
  <si>
    <t>Wellsville, MO</t>
  </si>
  <si>
    <t>Mitchell Heights, WV</t>
  </si>
  <si>
    <t>Three Rivers, CA</t>
  </si>
  <si>
    <t>Franklin, CT</t>
  </si>
  <si>
    <t>Lampe, MO</t>
  </si>
  <si>
    <t>Pigeon Falls, WI</t>
  </si>
  <si>
    <t>Clarksburg, MA</t>
  </si>
  <si>
    <t>Nathrop, CO</t>
  </si>
  <si>
    <t>Hurtsboro, AL</t>
  </si>
  <si>
    <t>De Kalb Junction, NY</t>
  </si>
  <si>
    <t>Ossineke, MI</t>
  </si>
  <si>
    <t>Calais, VT</t>
  </si>
  <si>
    <t>Albion, ME</t>
  </si>
  <si>
    <t>Cosmopolis, WA</t>
  </si>
  <si>
    <t>Bitely, MI</t>
  </si>
  <si>
    <t>Springfield, SC</t>
  </si>
  <si>
    <t>Salem, KY</t>
  </si>
  <si>
    <t>Van Buren, OH</t>
  </si>
  <si>
    <t>Groveland, IL</t>
  </si>
  <si>
    <t>McQueeney, TX</t>
  </si>
  <si>
    <t>Shelter Island, NY</t>
  </si>
  <si>
    <t>Mendota, VA</t>
  </si>
  <si>
    <t>Rogers, OH</t>
  </si>
  <si>
    <t>Bivins, TX</t>
  </si>
  <si>
    <t>Keota, IA</t>
  </si>
  <si>
    <t>South Windham, CT</t>
  </si>
  <si>
    <t>Calabash, NC</t>
  </si>
  <si>
    <t>Greenview, IL</t>
  </si>
  <si>
    <t>Dunsmuir, CA</t>
  </si>
  <si>
    <t>Dawson, AL</t>
  </si>
  <si>
    <t>Colony, AL</t>
  </si>
  <si>
    <t>Fort Davis, TX</t>
  </si>
  <si>
    <t>Cannon Falls, MN</t>
  </si>
  <si>
    <t>Benton, KY</t>
  </si>
  <si>
    <t>Luther, MI</t>
  </si>
  <si>
    <t>Alburgh, VT</t>
  </si>
  <si>
    <t>Cavalier, ND</t>
  </si>
  <si>
    <t>Niverville, NY</t>
  </si>
  <si>
    <t>Lake View, SC</t>
  </si>
  <si>
    <t>Springvale, ME</t>
  </si>
  <si>
    <t>Lapine, AL</t>
  </si>
  <si>
    <t>Port Edwards, WI</t>
  </si>
  <si>
    <t>Happy, TX</t>
  </si>
  <si>
    <t>Allenhurst, NJ</t>
  </si>
  <si>
    <t>Arma, KS</t>
  </si>
  <si>
    <t>Sugar Valley, GA</t>
  </si>
  <si>
    <t>Meggett, SC</t>
  </si>
  <si>
    <t>Worton, MD</t>
  </si>
  <si>
    <t>Bailey, MS</t>
  </si>
  <si>
    <t>Cascade Locks, OR</t>
  </si>
  <si>
    <t>Mansfield, IL</t>
  </si>
  <si>
    <t>Loomis, WA</t>
  </si>
  <si>
    <t>Rock Creek, MN</t>
  </si>
  <si>
    <t>Pedricktown, NJ</t>
  </si>
  <si>
    <t>Eldridge, MO</t>
  </si>
  <si>
    <t>Levering, MI</t>
  </si>
  <si>
    <t>Valmeyer, IL</t>
  </si>
  <si>
    <t>Port Carbon, PA</t>
  </si>
  <si>
    <t>Sylvan Lake, MI</t>
  </si>
  <si>
    <t>Cheyenne, OK</t>
  </si>
  <si>
    <t>Saint Paul, IN</t>
  </si>
  <si>
    <t>Waverly, AL</t>
  </si>
  <si>
    <t>Woodworth, LA</t>
  </si>
  <si>
    <t>Harts, WV</t>
  </si>
  <si>
    <t>Runge, TX</t>
  </si>
  <si>
    <t>Iowa Colony, TX</t>
  </si>
  <si>
    <t>Hermon, NY</t>
  </si>
  <si>
    <t>Sumner, TX</t>
  </si>
  <si>
    <t>Hoxie, KS</t>
  </si>
  <si>
    <t>Bethel, VT</t>
  </si>
  <si>
    <t>Shutesbury, MA</t>
  </si>
  <si>
    <t>Mount Desert, ME</t>
  </si>
  <si>
    <t>Greens Fork, IN</t>
  </si>
  <si>
    <t>Sumerduck, VA</t>
  </si>
  <si>
    <t>Richland, IN</t>
  </si>
  <si>
    <t>Sherrodsville, OH</t>
  </si>
  <si>
    <t>Walkerville, MI</t>
  </si>
  <si>
    <t>Colfax, IL</t>
  </si>
  <si>
    <t>Hillsboro Beach, FL</t>
  </si>
  <si>
    <t>Lisbon, NH</t>
  </si>
  <si>
    <t>Hackensack, MN</t>
  </si>
  <si>
    <t>New Hebron, MS</t>
  </si>
  <si>
    <t>Penn Laird, VA</t>
  </si>
  <si>
    <t>Long Lake, MN</t>
  </si>
  <si>
    <t>Newcastle, ME</t>
  </si>
  <si>
    <t>Huntington, AR</t>
  </si>
  <si>
    <t>Vanleer, TN</t>
  </si>
  <si>
    <t>Mapleton, IA</t>
  </si>
  <si>
    <t>Grand Marsh, WI</t>
  </si>
  <si>
    <t>Woodland, NC</t>
  </si>
  <si>
    <t>Shady Dale, GA</t>
  </si>
  <si>
    <t>El Paso, AR</t>
  </si>
  <si>
    <t>Fairfax, OH</t>
  </si>
  <si>
    <t>Rutherford, TN</t>
  </si>
  <si>
    <t>Hancock, NH</t>
  </si>
  <si>
    <t>Princeville, HI</t>
  </si>
  <si>
    <t>Huntington, VT</t>
  </si>
  <si>
    <t>Sudan, TX</t>
  </si>
  <si>
    <t>Berry, KY</t>
  </si>
  <si>
    <t>Hiram, ME</t>
  </si>
  <si>
    <t>Morgan, GA</t>
  </si>
  <si>
    <t>Waitsburg, WA</t>
  </si>
  <si>
    <t>Manns Choice, PA</t>
  </si>
  <si>
    <t>Cambridge, NE</t>
  </si>
  <si>
    <t>Rickman, TN</t>
  </si>
  <si>
    <t>Bethany, LA</t>
  </si>
  <si>
    <t>Craigsville, VA</t>
  </si>
  <si>
    <t>Archer City, TX</t>
  </si>
  <si>
    <t>New Hanover Township, NJ</t>
  </si>
  <si>
    <t>Braymer, MO</t>
  </si>
  <si>
    <t>Kelso, MO</t>
  </si>
  <si>
    <t>Clay City, IL</t>
  </si>
  <si>
    <t>Camden, IN</t>
  </si>
  <si>
    <t>Alstead, NH</t>
  </si>
  <si>
    <t>Mar-Mac, NC</t>
  </si>
  <si>
    <t>Alpena, AR</t>
  </si>
  <si>
    <t>Checotah, OK</t>
  </si>
  <si>
    <t>George, IA</t>
  </si>
  <si>
    <t>Lovingston, VA</t>
  </si>
  <si>
    <t>Council, ID</t>
  </si>
  <si>
    <t>Finlayson, MN</t>
  </si>
  <si>
    <t>Luckey, OH</t>
  </si>
  <si>
    <t>Whiting, WI</t>
  </si>
  <si>
    <t>Colrain, MA</t>
  </si>
  <si>
    <t>South Fallsburg, NY</t>
  </si>
  <si>
    <t>Lake Como, NJ</t>
  </si>
  <si>
    <t>Waitsfield, VT</t>
  </si>
  <si>
    <t>Bernardston, MA</t>
  </si>
  <si>
    <t>Lafayette, OR</t>
  </si>
  <si>
    <t>Madison, NY</t>
  </si>
  <si>
    <t>Forrest, IL</t>
  </si>
  <si>
    <t>Radnor, OH</t>
  </si>
  <si>
    <t>Ludlow Falls, OH</t>
  </si>
  <si>
    <t>Bayard, NE</t>
  </si>
  <si>
    <t>Greenbank, WA</t>
  </si>
  <si>
    <t>New Riegel, OH</t>
  </si>
  <si>
    <t>Copper Hill, VA</t>
  </si>
  <si>
    <t>Westmoreland, KS</t>
  </si>
  <si>
    <t>Paris, WI</t>
  </si>
  <si>
    <t>Duquesne, MO</t>
  </si>
  <si>
    <t>Belle Valley, OH</t>
  </si>
  <si>
    <t>Semora, NC</t>
  </si>
  <si>
    <t>Humeston, IA</t>
  </si>
  <si>
    <t>Maury City, TN</t>
  </si>
  <si>
    <t>Cabazon, CA</t>
  </si>
  <si>
    <t>Mahaffey, PA</t>
  </si>
  <si>
    <t>Hansville, WA</t>
  </si>
  <si>
    <t>Buckingham, VA</t>
  </si>
  <si>
    <t>Grant, NE</t>
  </si>
  <si>
    <t>Moulton, TX</t>
  </si>
  <si>
    <t>West River, MD</t>
  </si>
  <si>
    <t>Wellston, MO</t>
  </si>
  <si>
    <t>Shannon, IL</t>
  </si>
  <si>
    <t>East Prairie, MO</t>
  </si>
  <si>
    <t>Good Hope, AL</t>
  </si>
  <si>
    <t>Hindman, KY</t>
  </si>
  <si>
    <t>Buena Vista, CA</t>
  </si>
  <si>
    <t>Anton, TX</t>
  </si>
  <si>
    <t>Stockton Springs, ME</t>
  </si>
  <si>
    <t>Weldon, CA</t>
  </si>
  <si>
    <t>Dravosburg, PA</t>
  </si>
  <si>
    <t>Primm Springs, TN</t>
  </si>
  <si>
    <t>Helena, OK</t>
  </si>
  <si>
    <t>Cranesville, PA</t>
  </si>
  <si>
    <t>Quincy, OH</t>
  </si>
  <si>
    <t>Raymond, MN</t>
  </si>
  <si>
    <t>Hazelhurst, WI</t>
  </si>
  <si>
    <t>Marietta, MS</t>
  </si>
  <si>
    <t>Sturgis, MS</t>
  </si>
  <si>
    <t>Santa Fe, TN</t>
  </si>
  <si>
    <t>Cub Run, KY</t>
  </si>
  <si>
    <t>Stromsburg, NE</t>
  </si>
  <si>
    <t>Burlington, MI</t>
  </si>
  <si>
    <t>Hubbard, IA</t>
  </si>
  <si>
    <t>Wilton, WI</t>
  </si>
  <si>
    <t>Eagle, NE</t>
  </si>
  <si>
    <t>Harrells, NC</t>
  </si>
  <si>
    <t>Odessa, WA</t>
  </si>
  <si>
    <t>Monette, AR</t>
  </si>
  <si>
    <t>Crows Landing, CA</t>
  </si>
  <si>
    <t>Pandora, OH</t>
  </si>
  <si>
    <t>Crawford, MS</t>
  </si>
  <si>
    <t>Ainsworth, NE</t>
  </si>
  <si>
    <t>Otway, OH</t>
  </si>
  <si>
    <t>Harper, KS</t>
  </si>
  <si>
    <t>Wayne, OH</t>
  </si>
  <si>
    <t>Manning, SC</t>
  </si>
  <si>
    <t>Manilla, IA</t>
  </si>
  <si>
    <t>Medford, MN</t>
  </si>
  <si>
    <t>Cuddebackville, NY</t>
  </si>
  <si>
    <t>Amboy, WA</t>
  </si>
  <si>
    <t>Hubbard Lake, MI</t>
  </si>
  <si>
    <t>Valley, WA</t>
  </si>
  <si>
    <t>Hoyt, KS</t>
  </si>
  <si>
    <t>Mc Clure, OH</t>
  </si>
  <si>
    <t>Palisades, NY</t>
  </si>
  <si>
    <t>Newburgh Heights, OH</t>
  </si>
  <si>
    <t>Wheeler, MI</t>
  </si>
  <si>
    <t>Newville, AL</t>
  </si>
  <si>
    <t>Bloomingdale, IN</t>
  </si>
  <si>
    <t>Bellwood, PA</t>
  </si>
  <si>
    <t>Riley, KS</t>
  </si>
  <si>
    <t>Gay, GA</t>
  </si>
  <si>
    <t>Sunset, TX</t>
  </si>
  <si>
    <t>Bradley, ME</t>
  </si>
  <si>
    <t>Cripple Creek, CO</t>
  </si>
  <si>
    <t>Elkhart, KS</t>
  </si>
  <si>
    <t>Leslie, AR</t>
  </si>
  <si>
    <t>Cashiers, NC</t>
  </si>
  <si>
    <t>Mount Hope, KS</t>
  </si>
  <si>
    <t>Nobleboro, ME</t>
  </si>
  <si>
    <t>Oakland, MO</t>
  </si>
  <si>
    <t>South Hero, VT</t>
  </si>
  <si>
    <t>Surry, ME</t>
  </si>
  <si>
    <t>Austin, PA</t>
  </si>
  <si>
    <t>Pendleton, KY</t>
  </si>
  <si>
    <t>Ford, WA</t>
  </si>
  <si>
    <t>Lodge Grass, MT</t>
  </si>
  <si>
    <t>Malta, IL</t>
  </si>
  <si>
    <t>Plumerville, AR</t>
  </si>
  <si>
    <t>Deadwood, SD</t>
  </si>
  <si>
    <t>Touchet, WA</t>
  </si>
  <si>
    <t>Collinston, LA</t>
  </si>
  <si>
    <t>Gatesville, NC</t>
  </si>
  <si>
    <t>Batavia, IA</t>
  </si>
  <si>
    <t>Hot Springs, NC</t>
  </si>
  <si>
    <t>Morrison, WI</t>
  </si>
  <si>
    <t>Mathias, WV</t>
  </si>
  <si>
    <t>Reeseville, WI</t>
  </si>
  <si>
    <t>Bridgewater, CT</t>
  </si>
  <si>
    <t>Windsor, IL</t>
  </si>
  <si>
    <t>Goodwell, OK</t>
  </si>
  <si>
    <t>Drakes Branch, VA</t>
  </si>
  <si>
    <t>Mount Sterling, IL</t>
  </si>
  <si>
    <t>Foreston, MN</t>
  </si>
  <si>
    <t>Rising Star, TX</t>
  </si>
  <si>
    <t>Amana, IA</t>
  </si>
  <si>
    <t>Beasley, TX</t>
  </si>
  <si>
    <t>Proctor, VT</t>
  </si>
  <si>
    <t>Westhampton, NY</t>
  </si>
  <si>
    <t>Bonanza, OR</t>
  </si>
  <si>
    <t>Port Leyden, NY</t>
  </si>
  <si>
    <t>Deer Isle, ME</t>
  </si>
  <si>
    <t>Big Sur, CA</t>
  </si>
  <si>
    <t>Kennedyville, MD</t>
  </si>
  <si>
    <t>Burdett, NY</t>
  </si>
  <si>
    <t>Lyndeborough, NH</t>
  </si>
  <si>
    <t>Glencoe, MN</t>
  </si>
  <si>
    <t>Bull Shoals, AR</t>
  </si>
  <si>
    <t>Atkinson, NC</t>
  </si>
  <si>
    <t>Oxford, KS</t>
  </si>
  <si>
    <t>Austinburg, OH</t>
  </si>
  <si>
    <t>Grayville, IL</t>
  </si>
  <si>
    <t>Caldwell, KS</t>
  </si>
  <si>
    <t>Linton, ND</t>
  </si>
  <si>
    <t>Jal, NM</t>
  </si>
  <si>
    <t>Seal Rock, OR</t>
  </si>
  <si>
    <t>Carlisle, SC</t>
  </si>
  <si>
    <t>Sperryville, VA</t>
  </si>
  <si>
    <t>Fairgrove, MI</t>
  </si>
  <si>
    <t>Fifth Street, TX</t>
  </si>
  <si>
    <t>Beechgrove, TN</t>
  </si>
  <si>
    <t>Mount Zion, GA</t>
  </si>
  <si>
    <t>Tyler, MN</t>
  </si>
  <si>
    <t>Miller, SD</t>
  </si>
  <si>
    <t>Kimper, KY</t>
  </si>
  <si>
    <t>Rebecca, GA</t>
  </si>
  <si>
    <t>Briceville, TN</t>
  </si>
  <si>
    <t>New Holland, OH</t>
  </si>
  <si>
    <t>Heltonville, IN</t>
  </si>
  <si>
    <t>Tennyson, IN</t>
  </si>
  <si>
    <t>Pine City, MN</t>
  </si>
  <si>
    <t>Atwood, KS</t>
  </si>
  <si>
    <t>Gordon, AL</t>
  </si>
  <si>
    <t>Cassville, WI</t>
  </si>
  <si>
    <t>Houston, AL</t>
  </si>
  <si>
    <t>Courtland, AL</t>
  </si>
  <si>
    <t>Bartelso, IL</t>
  </si>
  <si>
    <t>Haw River, NC</t>
  </si>
  <si>
    <t>Lapwai, ID</t>
  </si>
  <si>
    <t>New Franklin, MO</t>
  </si>
  <si>
    <t>Laurel, NE</t>
  </si>
  <si>
    <t>Garfield, GA</t>
  </si>
  <si>
    <t>Lake Park, IA</t>
  </si>
  <si>
    <t>Henry, TN</t>
  </si>
  <si>
    <t>Watauga, TN</t>
  </si>
  <si>
    <t>West Homestead, PA</t>
  </si>
  <si>
    <t>Penitas, TX</t>
  </si>
  <si>
    <t>Gilman, IA</t>
  </si>
  <si>
    <t>Rollingwood, TX</t>
  </si>
  <si>
    <t>Granville, MA</t>
  </si>
  <si>
    <t>Belville, NC</t>
  </si>
  <si>
    <t>Newfane, VT</t>
  </si>
  <si>
    <t>Gap Mills, WV</t>
  </si>
  <si>
    <t>Lido Beach, NY</t>
  </si>
  <si>
    <t>Leasburg, NC</t>
  </si>
  <si>
    <t>Pine River, WI</t>
  </si>
  <si>
    <t>Lerona, WV</t>
  </si>
  <si>
    <t>Pellston, MI</t>
  </si>
  <si>
    <t>Laytonville, CA</t>
  </si>
  <si>
    <t>Jacobsburg, OH</t>
  </si>
  <si>
    <t>Providence, NC</t>
  </si>
  <si>
    <t>Zuni, VA</t>
  </si>
  <si>
    <t>North Bonneville, WA</t>
  </si>
  <si>
    <t>Monterey, IN</t>
  </si>
  <si>
    <t>Paia, HI</t>
  </si>
  <si>
    <t>Jeffersonville, NY</t>
  </si>
  <si>
    <t>West Hurley, NY</t>
  </si>
  <si>
    <t>Sewalls Point, FL</t>
  </si>
  <si>
    <t>Randolph, AL</t>
  </si>
  <si>
    <t>Correctionville, IA</t>
  </si>
  <si>
    <t>Deale, MD</t>
  </si>
  <si>
    <t>Medaryville, IN</t>
  </si>
  <si>
    <t>Bruceton, TN</t>
  </si>
  <si>
    <t>New Sharon, ME</t>
  </si>
  <si>
    <t>Amboy, IN</t>
  </si>
  <si>
    <t>Spout Spring, VA</t>
  </si>
  <si>
    <t>Raymond, OH</t>
  </si>
  <si>
    <t>Griswold, IA</t>
  </si>
  <si>
    <t>Bremond, TX</t>
  </si>
  <si>
    <t>Salt Rock, WV</t>
  </si>
  <si>
    <t>East Millinocket, ME</t>
  </si>
  <si>
    <t>Roxbury, WI</t>
  </si>
  <si>
    <t>Goldston, NC</t>
  </si>
  <si>
    <t>Danvers, IL</t>
  </si>
  <si>
    <t>Dill City, OK</t>
  </si>
  <si>
    <t>Holmes Beach, FL</t>
  </si>
  <si>
    <t>Spruce Pine, AL</t>
  </si>
  <si>
    <t>Daytona Beach Shores, FL</t>
  </si>
  <si>
    <t>Marion, MT</t>
  </si>
  <si>
    <t>Perry, OH</t>
  </si>
  <si>
    <t>Easton, KS</t>
  </si>
  <si>
    <t>Poulan, GA</t>
  </si>
  <si>
    <t>Casco, WI</t>
  </si>
  <si>
    <t>Wildwood, GA</t>
  </si>
  <si>
    <t>Lovejoy, GA</t>
  </si>
  <si>
    <t>Burns Flat, OK</t>
  </si>
  <si>
    <t>Bertrand, MO</t>
  </si>
  <si>
    <t>Stratford, CA</t>
  </si>
  <si>
    <t>Flovilla, GA</t>
  </si>
  <si>
    <t>Morrison, OK</t>
  </si>
  <si>
    <t>Avinger, TX</t>
  </si>
  <si>
    <t>Kiawah Island, SC</t>
  </si>
  <si>
    <t>Matthews, MO</t>
  </si>
  <si>
    <t>Middlesex, VT</t>
  </si>
  <si>
    <t>Momence, IL</t>
  </si>
  <si>
    <t>Village of Four Seasons, MO</t>
  </si>
  <si>
    <t>Long Beach, IN</t>
  </si>
  <si>
    <t>Attapulgus, GA</t>
  </si>
  <si>
    <t>Ferguson, NC</t>
  </si>
  <si>
    <t>Dorset, VT</t>
  </si>
  <si>
    <t>Bennington, IN</t>
  </si>
  <si>
    <t>Morrisonville, IL</t>
  </si>
  <si>
    <t>Harleton, TX</t>
  </si>
  <si>
    <t>Coal Grove, OH</t>
  </si>
  <si>
    <t>Drexel, OH</t>
  </si>
  <si>
    <t>Dresden, ME</t>
  </si>
  <si>
    <t>Mouth of Wilson, VA</t>
  </si>
  <si>
    <t>Le Roy, MN</t>
  </si>
  <si>
    <t>Berkshire, VT</t>
  </si>
  <si>
    <t>Reedsville, OH</t>
  </si>
  <si>
    <t>Crane, IN</t>
  </si>
  <si>
    <t>Elkton, MI</t>
  </si>
  <si>
    <t>Mount Horeb, WI</t>
  </si>
  <si>
    <t>New Chicago, IN</t>
  </si>
  <si>
    <t>Lake Hamilton, FL</t>
  </si>
  <si>
    <t>Walling, TN</t>
  </si>
  <si>
    <t>Morningside, MD</t>
  </si>
  <si>
    <t>Blair, SC</t>
  </si>
  <si>
    <t>Port Orford, OR</t>
  </si>
  <si>
    <t>Goldsby, OK</t>
  </si>
  <si>
    <t>Fairbank, IA</t>
  </si>
  <si>
    <t>Green River, UT</t>
  </si>
  <si>
    <t>John Day, OR</t>
  </si>
  <si>
    <t>Delano, TN</t>
  </si>
  <si>
    <t>Floodwood, MN</t>
  </si>
  <si>
    <t>Clarksville, PA</t>
  </si>
  <si>
    <t>Puckett, MS</t>
  </si>
  <si>
    <t>Cazenovia, WI</t>
  </si>
  <si>
    <t>Atkins, VA</t>
  </si>
  <si>
    <t>Gibbon, MN</t>
  </si>
  <si>
    <t>Cool Valley, MO</t>
  </si>
  <si>
    <t>Laurel Hollow, NY</t>
  </si>
  <si>
    <t>Ashley, IL</t>
  </si>
  <si>
    <t>Colo, IA</t>
  </si>
  <si>
    <t>Milford, TX</t>
  </si>
  <si>
    <t>Manitou, KY</t>
  </si>
  <si>
    <t>Fullerton, NE</t>
  </si>
  <si>
    <t>Bowler, WI</t>
  </si>
  <si>
    <t>Neelyville, MO</t>
  </si>
  <si>
    <t>Kellogg, IA</t>
  </si>
  <si>
    <t>Basom, NY</t>
  </si>
  <si>
    <t>Queen Anne, MD</t>
  </si>
  <si>
    <t>Spring Grove, MN</t>
  </si>
  <si>
    <t>Adairville, KY</t>
  </si>
  <si>
    <t>Emerald Isle, NC</t>
  </si>
  <si>
    <t>Allendale, IL</t>
  </si>
  <si>
    <t>Castlewood, SD</t>
  </si>
  <si>
    <t>Ashton, IL</t>
  </si>
  <si>
    <t>Spavinaw, OK</t>
  </si>
  <si>
    <t>Strum, WI</t>
  </si>
  <si>
    <t>Yolyn, WV</t>
  </si>
  <si>
    <t>Lipscomb, AL</t>
  </si>
  <si>
    <t>Bear River City, UT</t>
  </si>
  <si>
    <t>Lake Quivira, KS</t>
  </si>
  <si>
    <t>Battle Creek, NE</t>
  </si>
  <si>
    <t>Westwood, KS</t>
  </si>
  <si>
    <t>Orbisonia, PA</t>
  </si>
  <si>
    <t>Qulin, MO</t>
  </si>
  <si>
    <t>Houghton, NY</t>
  </si>
  <si>
    <t>Eaton, WI</t>
  </si>
  <si>
    <t>Eastford, CT</t>
  </si>
  <si>
    <t>Rehobeth, AL</t>
  </si>
  <si>
    <t>Camden, WV</t>
  </si>
  <si>
    <t>Ty Ty, GA</t>
  </si>
  <si>
    <t>Gilman, WI</t>
  </si>
  <si>
    <t>Chualar, CA</t>
  </si>
  <si>
    <t>Wyanet, IL</t>
  </si>
  <si>
    <t>Wyoming, IL</t>
  </si>
  <si>
    <t>Winchester, OR</t>
  </si>
  <si>
    <t>Glenns Ferry, ID</t>
  </si>
  <si>
    <t>Nesmith, SC</t>
  </si>
  <si>
    <t>Murdock, KS</t>
  </si>
  <si>
    <t>Warren, VT</t>
  </si>
  <si>
    <t>Shelburne, MA</t>
  </si>
  <si>
    <t>Mounds, IL</t>
  </si>
  <si>
    <t>Five Points, AL</t>
  </si>
  <si>
    <t>Tampico, IL</t>
  </si>
  <si>
    <t>Cascade, VA</t>
  </si>
  <si>
    <t>Houlton, WI</t>
  </si>
  <si>
    <t>Amity, PA</t>
  </si>
  <si>
    <t>West Alexander, PA</t>
  </si>
  <si>
    <t>Ocean Park, WA</t>
  </si>
  <si>
    <t>Rawlings, MD</t>
  </si>
  <si>
    <t>Lindside, WV</t>
  </si>
  <si>
    <t>Butlerville, IN</t>
  </si>
  <si>
    <t>Etna, CA</t>
  </si>
  <si>
    <t>Grey Eagle, MN</t>
  </si>
  <si>
    <t>Mc Intyre, GA</t>
  </si>
  <si>
    <t>Cumming, IA</t>
  </si>
  <si>
    <t>Glenmont, OH</t>
  </si>
  <si>
    <t>Wilmot, NH</t>
  </si>
  <si>
    <t>Central High, OK</t>
  </si>
  <si>
    <t>Harper, TX</t>
  </si>
  <si>
    <t>Miles, TX</t>
  </si>
  <si>
    <t>Davidsville, PA</t>
  </si>
  <si>
    <t>Palm Valley, TX</t>
  </si>
  <si>
    <t>Marion Station, MD</t>
  </si>
  <si>
    <t>Combes, TX</t>
  </si>
  <si>
    <t>Willow, AK</t>
  </si>
  <si>
    <t>Roann, IN</t>
  </si>
  <si>
    <t>Kensington, OH</t>
  </si>
  <si>
    <t>Hewitt, WI</t>
  </si>
  <si>
    <t>Big Pine, CA</t>
  </si>
  <si>
    <t>Oxford, IN</t>
  </si>
  <si>
    <t>Boise City, OK</t>
  </si>
  <si>
    <t>Ballico, CA</t>
  </si>
  <si>
    <t>Lorida, FL</t>
  </si>
  <si>
    <t>Warwick, GA</t>
  </si>
  <si>
    <t>Lacona, IA</t>
  </si>
  <si>
    <t>Call, TX</t>
  </si>
  <si>
    <t>Dodson, LA</t>
  </si>
  <si>
    <t>Troy, SC</t>
  </si>
  <si>
    <t>Port Henry, NY</t>
  </si>
  <si>
    <t>Harpersville, AL</t>
  </si>
  <si>
    <t>Walden, TN</t>
  </si>
  <si>
    <t>Bascom, FL</t>
  </si>
  <si>
    <t>Big Prairie, OH</t>
  </si>
  <si>
    <t>Pownal, ME</t>
  </si>
  <si>
    <t>Osborn, WI</t>
  </si>
  <si>
    <t>Wyoming, NY</t>
  </si>
  <si>
    <t>Sheffield, IL</t>
  </si>
  <si>
    <t>Vinton, TX</t>
  </si>
  <si>
    <t>Cleveland, SC</t>
  </si>
  <si>
    <t>Brook, IN</t>
  </si>
  <si>
    <t>Pickford, MI</t>
  </si>
  <si>
    <t>Cades, SC</t>
  </si>
  <si>
    <t>Triadelphia, WV</t>
  </si>
  <si>
    <t>Boulevard Gardens, FL</t>
  </si>
  <si>
    <t>Elmwood, NE</t>
  </si>
  <si>
    <t>New Washington, OH</t>
  </si>
  <si>
    <t>Bringhurst, IN</t>
  </si>
  <si>
    <t>Williamsburg, IN</t>
  </si>
  <si>
    <t>Bethany, IL</t>
  </si>
  <si>
    <t>Sunflower, MS</t>
  </si>
  <si>
    <t>Desert Center, CA</t>
  </si>
  <si>
    <t>Mc Henry, MD</t>
  </si>
  <si>
    <t>Effingham, NH</t>
  </si>
  <si>
    <t>Bellevue, IL</t>
  </si>
  <si>
    <t>Lemmon, SD</t>
  </si>
  <si>
    <t>Millwood, WA</t>
  </si>
  <si>
    <t>Amazonia, MO</t>
  </si>
  <si>
    <t>Sharpsburg, KY</t>
  </si>
  <si>
    <t>Milton, TN</t>
  </si>
  <si>
    <t>Lumber City, GA</t>
  </si>
  <si>
    <t>Finley, TN</t>
  </si>
  <si>
    <t>Norfolk, CT</t>
  </si>
  <si>
    <t>Argonne, WI</t>
  </si>
  <si>
    <t>Pond Creek, OK</t>
  </si>
  <si>
    <t>Saint Germain, WI</t>
  </si>
  <si>
    <t>Pinetta, FL</t>
  </si>
  <si>
    <t>Whispering Pines, NC</t>
  </si>
  <si>
    <t>Mount Summit, IN</t>
  </si>
  <si>
    <t>Goshen, AL</t>
  </si>
  <si>
    <t>Vadito, NM</t>
  </si>
  <si>
    <t>Rozet, WY</t>
  </si>
  <si>
    <t>Alexander, ND</t>
  </si>
  <si>
    <t>Helena, OH</t>
  </si>
  <si>
    <t>Portageville, MO</t>
  </si>
  <si>
    <t>Fairfield, VA</t>
  </si>
  <si>
    <t>Argillite, KY</t>
  </si>
  <si>
    <t>Hallsboro, NC</t>
  </si>
  <si>
    <t>Schall Circle, FL</t>
  </si>
  <si>
    <t>Slaughters, KY</t>
  </si>
  <si>
    <t>Henry, VA</t>
  </si>
  <si>
    <t>Newport, OH</t>
  </si>
  <si>
    <t>Osborne, KS</t>
  </si>
  <si>
    <t>Hershey, NE</t>
  </si>
  <si>
    <t>Hope, ME</t>
  </si>
  <si>
    <t>Indiahoma, OK</t>
  </si>
  <si>
    <t>Pilot Grove, MO</t>
  </si>
  <si>
    <t>Cyril, OK</t>
  </si>
  <si>
    <t>Thornton, TX</t>
  </si>
  <si>
    <t>Cumberland City, TN</t>
  </si>
  <si>
    <t>New Marlborough, MA</t>
  </si>
  <si>
    <t>Irwindale, CA</t>
  </si>
  <si>
    <t>Wayland, IA</t>
  </si>
  <si>
    <t>Easton, MO</t>
  </si>
  <si>
    <t>Falls of Rough, KY</t>
  </si>
  <si>
    <t>Toronto, KS</t>
  </si>
  <si>
    <t>West, MS</t>
  </si>
  <si>
    <t>Mikado, MI</t>
  </si>
  <si>
    <t>Brooklyn Heights, OH</t>
  </si>
  <si>
    <t>Gowrie, IA</t>
  </si>
  <si>
    <t>Rutland, OH</t>
  </si>
  <si>
    <t>Albion, ID</t>
  </si>
  <si>
    <t>Newfields, NH</t>
  </si>
  <si>
    <t>Coahoma, TX</t>
  </si>
  <si>
    <t>Princeton, IA</t>
  </si>
  <si>
    <t>Taneyville, MO</t>
  </si>
  <si>
    <t>Unity, NH</t>
  </si>
  <si>
    <t>Sun River, MT</t>
  </si>
  <si>
    <t>Lakehead, CA</t>
  </si>
  <si>
    <t>Reagan, TN</t>
  </si>
  <si>
    <t>Alcolu, SC</t>
  </si>
  <si>
    <t>Westmoreland, NH</t>
  </si>
  <si>
    <t>Bonnieville, KY</t>
  </si>
  <si>
    <t>Limestone, ME</t>
  </si>
  <si>
    <t>Saint Joe, IN</t>
  </si>
  <si>
    <t>Tuscumbia, MO</t>
  </si>
  <si>
    <t>Oakdale, TN</t>
  </si>
  <si>
    <t>Newdale, ID</t>
  </si>
  <si>
    <t>Oakley, MI</t>
  </si>
  <si>
    <t>Baldwin, ND</t>
  </si>
  <si>
    <t>Devers, TX</t>
  </si>
  <si>
    <t>Cooperstown, ND</t>
  </si>
  <si>
    <t>Deer Park, WI</t>
  </si>
  <si>
    <t>Coal Creek, CO</t>
  </si>
  <si>
    <t>Cat Spring, TX</t>
  </si>
  <si>
    <t>Kirkland, AZ</t>
  </si>
  <si>
    <t>Ropesville, TX</t>
  </si>
  <si>
    <t>Woodsboro, MD</t>
  </si>
  <si>
    <t>Fisk, MO</t>
  </si>
  <si>
    <t>Blawnox, PA</t>
  </si>
  <si>
    <t>Kendall, WI</t>
  </si>
  <si>
    <t>Humboldt, NE</t>
  </si>
  <si>
    <t>Victoria, KS</t>
  </si>
  <si>
    <t>Davenport, CA</t>
  </si>
  <si>
    <t>Gadsden, SC</t>
  </si>
  <si>
    <t>Eagle Bend, MN</t>
  </si>
  <si>
    <t>Sumiton, AL</t>
  </si>
  <si>
    <t>Absarokee, MT</t>
  </si>
  <si>
    <t>New Florence, MO</t>
  </si>
  <si>
    <t>North Beach, MD</t>
  </si>
  <si>
    <t>Dexter, OR</t>
  </si>
  <si>
    <t>Appleton, ME</t>
  </si>
  <si>
    <t>Dubois, WY</t>
  </si>
  <si>
    <t>Cordova, AK</t>
  </si>
  <si>
    <t>Avalon, NJ</t>
  </si>
  <si>
    <t>Nebo, KY</t>
  </si>
  <si>
    <t>Cool Ridge, WV</t>
  </si>
  <si>
    <t>Creekside, PA</t>
  </si>
  <si>
    <t>Jackson Center, PA</t>
  </si>
  <si>
    <t>Smoaks, SC</t>
  </si>
  <si>
    <t>Glidden, TX</t>
  </si>
  <si>
    <t>Purdy, MO</t>
  </si>
  <si>
    <t>Heppner, OR</t>
  </si>
  <si>
    <t>Albany, NH</t>
  </si>
  <si>
    <t>Hooper, NE</t>
  </si>
  <si>
    <t>Olivehill, TN</t>
  </si>
  <si>
    <t>East Brady, PA</t>
  </si>
  <si>
    <t>Skipwith, VA</t>
  </si>
  <si>
    <t>Alberton, MT</t>
  </si>
  <si>
    <t>Gill, MA</t>
  </si>
  <si>
    <t>Dousman, WI</t>
  </si>
  <si>
    <t>Mountain Pine, AR</t>
  </si>
  <si>
    <t>Laurens, IA</t>
  </si>
  <si>
    <t>Atoka, OK</t>
  </si>
  <si>
    <t>Middletown, MO</t>
  </si>
  <si>
    <t>Sugar Grove, NC</t>
  </si>
  <si>
    <t>Marble Hill, GA</t>
  </si>
  <si>
    <t>Elwell, MI</t>
  </si>
  <si>
    <t>North Salem, IN</t>
  </si>
  <si>
    <t>Piperton, TN</t>
  </si>
  <si>
    <t>Grampian, PA</t>
  </si>
  <si>
    <t>Hancock, MN</t>
  </si>
  <si>
    <t>Mulliken, MI</t>
  </si>
  <si>
    <t>Montgomery, IN</t>
  </si>
  <si>
    <t>Glennie, MI</t>
  </si>
  <si>
    <t>Roland, IA</t>
  </si>
  <si>
    <t>Lohrville, IA</t>
  </si>
  <si>
    <t>Carolina, WV</t>
  </si>
  <si>
    <t>Pegram, TN</t>
  </si>
  <si>
    <t>Elfrida, AZ</t>
  </si>
  <si>
    <t>Palmyra, IL</t>
  </si>
  <si>
    <t>Blue Lake, CA</t>
  </si>
  <si>
    <t>Gates, TN</t>
  </si>
  <si>
    <t>Midland, NC</t>
  </si>
  <si>
    <t>Fountain Run, KY</t>
  </si>
  <si>
    <t>Earl, NC</t>
  </si>
  <si>
    <t>Swanville, MN</t>
  </si>
  <si>
    <t>Parker, SD</t>
  </si>
  <si>
    <t>Brutus, MI</t>
  </si>
  <si>
    <t>Paxton, NE</t>
  </si>
  <si>
    <t>Bradford, NH</t>
  </si>
  <si>
    <t>Carson, VA</t>
  </si>
  <si>
    <t>Westpoint, TN</t>
  </si>
  <si>
    <t>Fairchild, WI</t>
  </si>
  <si>
    <t>Snover, MI</t>
  </si>
  <si>
    <t>Warner Springs, CA</t>
  </si>
  <si>
    <t>Hudson, TX</t>
  </si>
  <si>
    <t>Urbana, MO</t>
  </si>
  <si>
    <t>Fort Sumner, NM</t>
  </si>
  <si>
    <t>Washburn, ME</t>
  </si>
  <si>
    <t>Evansville, IL</t>
  </si>
  <si>
    <t>Wilbur, WA</t>
  </si>
  <si>
    <t>Newburgh, ME</t>
  </si>
  <si>
    <t>Wolf Creek, OR</t>
  </si>
  <si>
    <t>Chaptico, MD</t>
  </si>
  <si>
    <t>Tamiment, PA</t>
  </si>
  <si>
    <t>Saint Cloud, WI</t>
  </si>
  <si>
    <t>Allison, IA</t>
  </si>
  <si>
    <t>White Plains, GA</t>
  </si>
  <si>
    <t>Green Sea, SC</t>
  </si>
  <si>
    <t>Accomac, VA</t>
  </si>
  <si>
    <t>Monroe City, IN</t>
  </si>
  <si>
    <t>Surf City, NC</t>
  </si>
  <si>
    <t>Cornell, MI</t>
  </si>
  <si>
    <t>Belt, MT</t>
  </si>
  <si>
    <t>Dumas, AR</t>
  </si>
  <si>
    <t>Lowden, IA</t>
  </si>
  <si>
    <t>Dudley, PA</t>
  </si>
  <si>
    <t>New Park, PA</t>
  </si>
  <si>
    <t>Augusta, MO</t>
  </si>
  <si>
    <t>Edelstein, IL</t>
  </si>
  <si>
    <t>Koshkonong, MO</t>
  </si>
  <si>
    <t>Buskirk, NY</t>
  </si>
  <si>
    <t>Shenandoah Junction, WV</t>
  </si>
  <si>
    <t>Smyrna, SC</t>
  </si>
  <si>
    <t>Point Blank, TX</t>
  </si>
  <si>
    <t>Rensselaer Falls, NY</t>
  </si>
  <si>
    <t>Sunfield, MI</t>
  </si>
  <si>
    <t>Meta, MO</t>
  </si>
  <si>
    <t>Centerville, SD</t>
  </si>
  <si>
    <t>Fieldon, IL</t>
  </si>
  <si>
    <t>Jasonville, IN</t>
  </si>
  <si>
    <t>Sekiu, WA</t>
  </si>
  <si>
    <t>Pleasant Hope, MO</t>
  </si>
  <si>
    <t>Belmont, WI</t>
  </si>
  <si>
    <t>Enville, TN</t>
  </si>
  <si>
    <t>Helton, KY</t>
  </si>
  <si>
    <t>East Hazel Crest, IL</t>
  </si>
  <si>
    <t>Whitman, WV</t>
  </si>
  <si>
    <t>Shelbyville, MO</t>
  </si>
  <si>
    <t>Waco, NE</t>
  </si>
  <si>
    <t>Washington, KS</t>
  </si>
  <si>
    <t>Muscadine, AL</t>
  </si>
  <si>
    <t>Munday, TX</t>
  </si>
  <si>
    <t>Fulton, CA</t>
  </si>
  <si>
    <t>Craryville, NY</t>
  </si>
  <si>
    <t>High View, WV</t>
  </si>
  <si>
    <t>Bethel Heights, AR</t>
  </si>
  <si>
    <t>Blue River, OR</t>
  </si>
  <si>
    <t>Mount Vernon, AR</t>
  </si>
  <si>
    <t>Foster, KY</t>
  </si>
  <si>
    <t>Spring Park, MN</t>
  </si>
  <si>
    <t>Metamora, IN</t>
  </si>
  <si>
    <t>Caseville, MI</t>
  </si>
  <si>
    <t>National City, MI</t>
  </si>
  <si>
    <t>Snyder, OK</t>
  </si>
  <si>
    <t>Wolcott, IN</t>
  </si>
  <si>
    <t>Pacific Junction, IA</t>
  </si>
  <si>
    <t>Igo, CA</t>
  </si>
  <si>
    <t>Sylvania, AL</t>
  </si>
  <si>
    <t>Elmo, MT</t>
  </si>
  <si>
    <t>Seymour, IL</t>
  </si>
  <si>
    <t>Scotland, CT</t>
  </si>
  <si>
    <t>Deer Island, OR</t>
  </si>
  <si>
    <t>Brenton, WV</t>
  </si>
  <si>
    <t>Salesville, OH</t>
  </si>
  <si>
    <t>Sidney, IL</t>
  </si>
  <si>
    <t>West Lawn, PA</t>
  </si>
  <si>
    <t>Garwood, TX</t>
  </si>
  <si>
    <t>Paradise, UT</t>
  </si>
  <si>
    <t>Babbitt, MN</t>
  </si>
  <si>
    <t>Thomas, OK</t>
  </si>
  <si>
    <t>Ripley, OK</t>
  </si>
  <si>
    <t>Bow Mar, CO</t>
  </si>
  <si>
    <t>Hardin, KY</t>
  </si>
  <si>
    <t>Raymond, IL</t>
  </si>
  <si>
    <t>Hineston, LA</t>
  </si>
  <si>
    <t>Bloomingburg, OH</t>
  </si>
  <si>
    <t>Clarks Hill, IN</t>
  </si>
  <si>
    <t>Depoe Bay, OR</t>
  </si>
  <si>
    <t>Sunbright, TN</t>
  </si>
  <si>
    <t>Barnet, VT</t>
  </si>
  <si>
    <t>Medora, IN</t>
  </si>
  <si>
    <t>Jerome, IL</t>
  </si>
  <si>
    <t>Bancroft, WI</t>
  </si>
  <si>
    <t>Tusculum, TN</t>
  </si>
  <si>
    <t>Avon by the Sea, NJ</t>
  </si>
  <si>
    <t>Paullina, IA</t>
  </si>
  <si>
    <t>Billingsley, AL</t>
  </si>
  <si>
    <t>Philo, IL</t>
  </si>
  <si>
    <t>Galeton, PA</t>
  </si>
  <si>
    <t>Lone Star, TX</t>
  </si>
  <si>
    <t>Lometa, TX</t>
  </si>
  <si>
    <t>Claude, TX</t>
  </si>
  <si>
    <t>Pine Lake, GA</t>
  </si>
  <si>
    <t>Foristell, MO</t>
  </si>
  <si>
    <t>Leavittsburg, OH</t>
  </si>
  <si>
    <t>Erving, MA</t>
  </si>
  <si>
    <t>Cashion, OK</t>
  </si>
  <si>
    <t>Dugger, IN</t>
  </si>
  <si>
    <t>Ethel, MS</t>
  </si>
  <si>
    <t>Stetson, ME</t>
  </si>
  <si>
    <t>Ledbetter, TX</t>
  </si>
  <si>
    <t>Tower Hill, IL</t>
  </si>
  <si>
    <t>Tahuya, WA</t>
  </si>
  <si>
    <t>Busy, KY</t>
  </si>
  <si>
    <t>Unionville, IN</t>
  </si>
  <si>
    <t>Morrisville, MO</t>
  </si>
  <si>
    <t>Sparkman, AR</t>
  </si>
  <si>
    <t>Omer, MI</t>
  </si>
  <si>
    <t>Atkinson, IL</t>
  </si>
  <si>
    <t>Williamsville, MO</t>
  </si>
  <si>
    <t>Dent, MN</t>
  </si>
  <si>
    <t>Plummer, ID</t>
  </si>
  <si>
    <t>Fort Gaines, GA</t>
  </si>
  <si>
    <t>Castle Dale, UT</t>
  </si>
  <si>
    <t>Alden, MI</t>
  </si>
  <si>
    <t>Rockwell, IA</t>
  </si>
  <si>
    <t>Perry, MO</t>
  </si>
  <si>
    <t>Bunker, MO</t>
  </si>
  <si>
    <t>Erick, OK</t>
  </si>
  <si>
    <t>Ansted, WV</t>
  </si>
  <si>
    <t>Gibson, NC</t>
  </si>
  <si>
    <t>Honor, MI</t>
  </si>
  <si>
    <t>Shingleton, MI</t>
  </si>
  <si>
    <t>Maribel, WI</t>
  </si>
  <si>
    <t>Brownsville, WI</t>
  </si>
  <si>
    <t>Chinquapin, NC</t>
  </si>
  <si>
    <t>Lerna, IL</t>
  </si>
  <si>
    <t>Leland Grove, IL</t>
  </si>
  <si>
    <t>Ellsworth, MI</t>
  </si>
  <si>
    <t>Collins, MO</t>
  </si>
  <si>
    <t>Burneyville, OK</t>
  </si>
  <si>
    <t>Rouseville, PA</t>
  </si>
  <si>
    <t>Peck, MI</t>
  </si>
  <si>
    <t>Little Hocking, OH</t>
  </si>
  <si>
    <t>Kite, GA</t>
  </si>
  <si>
    <t>Herndon, KY</t>
  </si>
  <si>
    <t>Kinney, MN</t>
  </si>
  <si>
    <t>Keavy, KY</t>
  </si>
  <si>
    <t>Loup City, NE</t>
  </si>
  <si>
    <t>Grovertown, IN</t>
  </si>
  <si>
    <t>Sutherlin, VA</t>
  </si>
  <si>
    <t>Francestown, NH</t>
  </si>
  <si>
    <t>Kila, MT</t>
  </si>
  <si>
    <t>Cairo, NE</t>
  </si>
  <si>
    <t>Hartsfield, GA</t>
  </si>
  <si>
    <t>Tiplersville, MS</t>
  </si>
  <si>
    <t>Genoa, WI</t>
  </si>
  <si>
    <t>Eland, WI</t>
  </si>
  <si>
    <t>Ceresco, NE</t>
  </si>
  <si>
    <t>Baxter, IA</t>
  </si>
  <si>
    <t>La Grange, MO</t>
  </si>
  <si>
    <t>Hardwick Township, NJ</t>
  </si>
  <si>
    <t>Sullivans Island, SC</t>
  </si>
  <si>
    <t>Alpine, NJ</t>
  </si>
  <si>
    <t>Crawford, NE</t>
  </si>
  <si>
    <t>Wilkinson, IN</t>
  </si>
  <si>
    <t>Ray, ND</t>
  </si>
  <si>
    <t>Ranlo, NC</t>
  </si>
  <si>
    <t>Garrett, KY</t>
  </si>
  <si>
    <t>Altamont, KS</t>
  </si>
  <si>
    <t>Falls Creek, PA</t>
  </si>
  <si>
    <t>Duff, TN</t>
  </si>
  <si>
    <t>Montville, OH</t>
  </si>
  <si>
    <t>Anita, IA</t>
  </si>
  <si>
    <t>Holland, IN</t>
  </si>
  <si>
    <t>Melbourne, IA</t>
  </si>
  <si>
    <t>Ryan, OK</t>
  </si>
  <si>
    <t>Alberta, VA</t>
  </si>
  <si>
    <t>Sebago, ME</t>
  </si>
  <si>
    <t>Edmonston, MD</t>
  </si>
  <si>
    <t>Ottertail, MN</t>
  </si>
  <si>
    <t>Seward, PA</t>
  </si>
  <si>
    <t>Loyalton, CA</t>
  </si>
  <si>
    <t>Adams, OR</t>
  </si>
  <si>
    <t>Good Hope, GA</t>
  </si>
  <si>
    <t>Zimmerman, MN</t>
  </si>
  <si>
    <t>Hartland, ME</t>
  </si>
  <si>
    <t>Olin, IA</t>
  </si>
  <si>
    <t>Kenmare, ND</t>
  </si>
  <si>
    <t>Sheldon, WI</t>
  </si>
  <si>
    <t>Mapleton Depot, PA</t>
  </si>
  <si>
    <t>Clarks Hill, SC</t>
  </si>
  <si>
    <t>Kingston, WI</t>
  </si>
  <si>
    <t>Deerbrook, WI</t>
  </si>
  <si>
    <t>De Witt, NE</t>
  </si>
  <si>
    <t>Georgetown, FL</t>
  </si>
  <si>
    <t>Toluca, IL</t>
  </si>
  <si>
    <t>Declo, ID</t>
  </si>
  <si>
    <t>Marble, MN</t>
  </si>
  <si>
    <t>Rosebush, MI</t>
  </si>
  <si>
    <t>Tillson, NY</t>
  </si>
  <si>
    <t>Cross Plains, TX</t>
  </si>
  <si>
    <t>Woodleaf, NC</t>
  </si>
  <si>
    <t>Xenia, IL</t>
  </si>
  <si>
    <t>Odell, IL</t>
  </si>
  <si>
    <t>Paris, OH</t>
  </si>
  <si>
    <t>Surry, VA</t>
  </si>
  <si>
    <t>Alpaugh, CA</t>
  </si>
  <si>
    <t>Milroy, IN</t>
  </si>
  <si>
    <t>Exira, IA</t>
  </si>
  <si>
    <t>Hamburg, IA</t>
  </si>
  <si>
    <t>Beecher City, IL</t>
  </si>
  <si>
    <t>Marionville, MO</t>
  </si>
  <si>
    <t>Autaugaville, AL</t>
  </si>
  <si>
    <t>Ellenburg Depot, NY</t>
  </si>
  <si>
    <t>Fort Deposit, AL</t>
  </si>
  <si>
    <t>Montezuma, KS</t>
  </si>
  <si>
    <t>Mason, NH</t>
  </si>
  <si>
    <t>Fairfax, OK</t>
  </si>
  <si>
    <t>Humboldt, WI</t>
  </si>
  <si>
    <t>Lidderdale, IA</t>
  </si>
  <si>
    <t>Bigfork, MN</t>
  </si>
  <si>
    <t>Lilesville, NC</t>
  </si>
  <si>
    <t>Orangeville, IL</t>
  </si>
  <si>
    <t>Imboden, AR</t>
  </si>
  <si>
    <t>Berry Creek, CA</t>
  </si>
  <si>
    <t>Jemez Springs, NM</t>
  </si>
  <si>
    <t>Murray, NE</t>
  </si>
  <si>
    <t>Friant, CA</t>
  </si>
  <si>
    <t>Walhonding, OH</t>
  </si>
  <si>
    <t>Wetmore, MI</t>
  </si>
  <si>
    <t>Hallock, MN</t>
  </si>
  <si>
    <t>Long Bottom, OH</t>
  </si>
  <si>
    <t>Durant, IA</t>
  </si>
  <si>
    <t>Barhamsville, VA</t>
  </si>
  <si>
    <t>Winthrop, IA</t>
  </si>
  <si>
    <t>Charleston, MO</t>
  </si>
  <si>
    <t>Goodland, IN</t>
  </si>
  <si>
    <t>Hartford, IL</t>
  </si>
  <si>
    <t>Del Rey Oaks, CA</t>
  </si>
  <si>
    <t>Wawaka, IN</t>
  </si>
  <si>
    <t>Wellston, MI</t>
  </si>
  <si>
    <t>Palmyra, TN</t>
  </si>
  <si>
    <t>Ivor, VA</t>
  </si>
  <si>
    <t>Alden, IA</t>
  </si>
  <si>
    <t>Davisville, MO</t>
  </si>
  <si>
    <t>Gruetli Laager, TN</t>
  </si>
  <si>
    <t>Harrisville, MS</t>
  </si>
  <si>
    <t>Pippa Passes, KY</t>
  </si>
  <si>
    <t>Marion, SD</t>
  </si>
  <si>
    <t>Bradfordsville, KY</t>
  </si>
  <si>
    <t>South Bloomingville, OH</t>
  </si>
  <si>
    <t>Pocono Pines, PA</t>
  </si>
  <si>
    <t>Helenville, WI</t>
  </si>
  <si>
    <t>La Prairie, WI</t>
  </si>
  <si>
    <t>Santo, TX</t>
  </si>
  <si>
    <t>Chickasaw, OH</t>
  </si>
  <si>
    <t>Vinita Park, MO</t>
  </si>
  <si>
    <t>North Brookfield, NY</t>
  </si>
  <si>
    <t>Fairfax, MO</t>
  </si>
  <si>
    <t>Buffalo Center, IA</t>
  </si>
  <si>
    <t>Grand Junction, TN</t>
  </si>
  <si>
    <t>New Rockford, ND</t>
  </si>
  <si>
    <t>Chama, NM</t>
  </si>
  <si>
    <t>Oquawka, IL</t>
  </si>
  <si>
    <t>Rossiter, PA</t>
  </si>
  <si>
    <t>East Butler, PA</t>
  </si>
  <si>
    <t>Mackay, ID</t>
  </si>
  <si>
    <t>Plains, KS</t>
  </si>
  <si>
    <t>Frohna, MO</t>
  </si>
  <si>
    <t>Hill Country Village, TX</t>
  </si>
  <si>
    <t>Scobey, MT</t>
  </si>
  <si>
    <t>Monroe, NE</t>
  </si>
  <si>
    <t>Houston, DE</t>
  </si>
  <si>
    <t>Redford, NY</t>
  </si>
  <si>
    <t>Ovalo, TX</t>
  </si>
  <si>
    <t>Lake Nebagamon, WI</t>
  </si>
  <si>
    <t>Trenton, KY</t>
  </si>
  <si>
    <t>Charleston, ME</t>
  </si>
  <si>
    <t>May, TX</t>
  </si>
  <si>
    <t>Cressona, PA</t>
  </si>
  <si>
    <t>Dowelltown, TN</t>
  </si>
  <si>
    <t>Rolling Hills, CA</t>
  </si>
  <si>
    <t>Bennington, NH</t>
  </si>
  <si>
    <t>Preston, IA</t>
  </si>
  <si>
    <t>East Bank, WV</t>
  </si>
  <si>
    <t>Waukomis, OK</t>
  </si>
  <si>
    <t>Cushing, ME</t>
  </si>
  <si>
    <t>Ridge Farm, IL</t>
  </si>
  <si>
    <t>Nisswa, MN</t>
  </si>
  <si>
    <t>Phelps, WI</t>
  </si>
  <si>
    <t>Terrell, NC</t>
  </si>
  <si>
    <t>Fairmount Heights, MD</t>
  </si>
  <si>
    <t>Wever, IA</t>
  </si>
  <si>
    <t>Oakwood, VA</t>
  </si>
  <si>
    <t>Erin, NY</t>
  </si>
  <si>
    <t>Upper Falls, WV</t>
  </si>
  <si>
    <t>Wilson-Conococheague, MD</t>
  </si>
  <si>
    <t>West Leechburg, PA</t>
  </si>
  <si>
    <t>Bonifay, FL</t>
  </si>
  <si>
    <t>Ralph, AL</t>
  </si>
  <si>
    <t>Cornville, ME</t>
  </si>
  <si>
    <t>Island, KY</t>
  </si>
  <si>
    <t>South Coffeyville, OK</t>
  </si>
  <si>
    <t>Warrensville, NC</t>
  </si>
  <si>
    <t>Cromwell, KY</t>
  </si>
  <si>
    <t>Corinth, VT</t>
  </si>
  <si>
    <t>Sardis, AL</t>
  </si>
  <si>
    <t>Blanchard, ID</t>
  </si>
  <si>
    <t>Brighton, WI</t>
  </si>
  <si>
    <t>Leeton, MO</t>
  </si>
  <si>
    <t>Mangonia Park, FL</t>
  </si>
  <si>
    <t>Needham, IN</t>
  </si>
  <si>
    <t>Paradis, LA</t>
  </si>
  <si>
    <t>Cascade, WI</t>
  </si>
  <si>
    <t>Cement, OK</t>
  </si>
  <si>
    <t>Charlo, MT</t>
  </si>
  <si>
    <t>Clearfield, KY</t>
  </si>
  <si>
    <t>Eltopia, WA</t>
  </si>
  <si>
    <t>Meadows of Dan, VA</t>
  </si>
  <si>
    <t>Peabody, KS</t>
  </si>
  <si>
    <t>Croghan, NY</t>
  </si>
  <si>
    <t>Hemingford, NE</t>
  </si>
  <si>
    <t>Gans, OK</t>
  </si>
  <si>
    <t>Chester, CA</t>
  </si>
  <si>
    <t>Claremont, IL</t>
  </si>
  <si>
    <t>Krotz Springs, LA</t>
  </si>
  <si>
    <t>Shiremanstown, PA</t>
  </si>
  <si>
    <t>South Pittsburg, TN</t>
  </si>
  <si>
    <t>White Oak, GA</t>
  </si>
  <si>
    <t>Baltic, SD</t>
  </si>
  <si>
    <t>Hillsboro, KY</t>
  </si>
  <si>
    <t>Walnut Grove, MN</t>
  </si>
  <si>
    <t>Panacea, FL</t>
  </si>
  <si>
    <t>Southside, TN</t>
  </si>
  <si>
    <t>Sidney, KY</t>
  </si>
  <si>
    <t>Eastover, SC</t>
  </si>
  <si>
    <t>Ramah, CO</t>
  </si>
  <si>
    <t>Flintstone, MD</t>
  </si>
  <si>
    <t>French Settlement, LA</t>
  </si>
  <si>
    <t>Lockbourne, OH</t>
  </si>
  <si>
    <t>Herlong, CA</t>
  </si>
  <si>
    <t>Blue Rapids, KS</t>
  </si>
  <si>
    <t>Nova, OH</t>
  </si>
  <si>
    <t>Zion Grove, PA</t>
  </si>
  <si>
    <t>Elizaville, NY</t>
  </si>
  <si>
    <t>Sardis City, AL</t>
  </si>
  <si>
    <t>Hermann, MO</t>
  </si>
  <si>
    <t>Whitingham, VT</t>
  </si>
  <si>
    <t>Edgeworth, PA</t>
  </si>
  <si>
    <t>Gravel Switch, KY</t>
  </si>
  <si>
    <t>Arkdale, WI</t>
  </si>
  <si>
    <t>Island Heights, NJ</t>
  </si>
  <si>
    <t>Ashford, WA</t>
  </si>
  <si>
    <t>Rosebud, MO</t>
  </si>
  <si>
    <t>Wanamingo, MN</t>
  </si>
  <si>
    <t>White Island Shores, MA</t>
  </si>
  <si>
    <t>Vermont, WI</t>
  </si>
  <si>
    <t>Tilden, NE</t>
  </si>
  <si>
    <t>Beacon, IA</t>
  </si>
  <si>
    <t>Gulivoire Park, IN</t>
  </si>
  <si>
    <t>New Virginia, IA</t>
  </si>
  <si>
    <t>Maple City, MI</t>
  </si>
  <si>
    <t>Centralhatchee, GA</t>
  </si>
  <si>
    <t>Maplewood, OH</t>
  </si>
  <si>
    <t>Grasston, MN</t>
  </si>
  <si>
    <t>Hornbeck, LA</t>
  </si>
  <si>
    <t>Cassville, MO</t>
  </si>
  <si>
    <t>Prichard, WV</t>
  </si>
  <si>
    <t>Van Etten, NY</t>
  </si>
  <si>
    <t>Marshallville, GA</t>
  </si>
  <si>
    <t>Velpen, IN</t>
  </si>
  <si>
    <t>Hiwassee, VA</t>
  </si>
  <si>
    <t>Syracuse, KS</t>
  </si>
  <si>
    <t>Spencer, VA</t>
  </si>
  <si>
    <t>Nezperce, ID</t>
  </si>
  <si>
    <t>Washington Park, NC</t>
  </si>
  <si>
    <t>Chesilhurst, NJ</t>
  </si>
  <si>
    <t>Lake Toxaway, NC</t>
  </si>
  <si>
    <t>Hobart, NY</t>
  </si>
  <si>
    <t>Richmond, MA</t>
  </si>
  <si>
    <t>Ringle, WI</t>
  </si>
  <si>
    <t>Hillsboro, GA</t>
  </si>
  <si>
    <t>Reevesville, SC</t>
  </si>
  <si>
    <t>Clarksburg, OH</t>
  </si>
  <si>
    <t>New Washington, IN</t>
  </si>
  <si>
    <t>Pink, OK</t>
  </si>
  <si>
    <t>Saint Bonifacius, MN</t>
  </si>
  <si>
    <t>Wrightstown, WI</t>
  </si>
  <si>
    <t>Rochelle, GA</t>
  </si>
  <si>
    <t>Wilber, NE</t>
  </si>
  <si>
    <t>Lamoine, ME</t>
  </si>
  <si>
    <t>Elma, IA</t>
  </si>
  <si>
    <t>North Granby, CT</t>
  </si>
  <si>
    <t>Union Hall, VA</t>
  </si>
  <si>
    <t>Manson, IA</t>
  </si>
  <si>
    <t>Markleysburg, PA</t>
  </si>
  <si>
    <t>Hurley, NM</t>
  </si>
  <si>
    <t>Ozark, IL</t>
  </si>
  <si>
    <t>Cottonwood West, UT</t>
  </si>
  <si>
    <t>Colebrook, CT</t>
  </si>
  <si>
    <t>Mead, CO</t>
  </si>
  <si>
    <t>Bucyrus, MO</t>
  </si>
  <si>
    <t>Bay City, WI</t>
  </si>
  <si>
    <t>Scroggins, TX</t>
  </si>
  <si>
    <t>West Logan, WV</t>
  </si>
  <si>
    <t>Coloma, WI</t>
  </si>
  <si>
    <t>Orland, IN</t>
  </si>
  <si>
    <t>Newborn, GA</t>
  </si>
  <si>
    <t>Harvey, ND</t>
  </si>
  <si>
    <t>Perrinton, MI</t>
  </si>
  <si>
    <t>Enfield, ME</t>
  </si>
  <si>
    <t>Larimore, ND</t>
  </si>
  <si>
    <t>Kooskia, ID</t>
  </si>
  <si>
    <t>Upton, WY</t>
  </si>
  <si>
    <t>Grady, AR</t>
  </si>
  <si>
    <t>Hazel, KY</t>
  </si>
  <si>
    <t>Higbee, MO</t>
  </si>
  <si>
    <t>Endeavor, WI</t>
  </si>
  <si>
    <t>Union, WA</t>
  </si>
  <si>
    <t>Fairmont, IL</t>
  </si>
  <si>
    <t>Rocky Mount, MO</t>
  </si>
  <si>
    <t>Andrew, IA</t>
  </si>
  <si>
    <t>New Augusta, MS</t>
  </si>
  <si>
    <t>Dickeyville, WI</t>
  </si>
  <si>
    <t>Marcola, OR</t>
  </si>
  <si>
    <t>Thomson, IL</t>
  </si>
  <si>
    <t>Thomasville, AL</t>
  </si>
  <si>
    <t>Islandton, SC</t>
  </si>
  <si>
    <t>Saxe, VA</t>
  </si>
  <si>
    <t>Gem Lake, MN</t>
  </si>
  <si>
    <t>Twin Valley, MN</t>
  </si>
  <si>
    <t>Crockett, VA</t>
  </si>
  <si>
    <t>Hugo, CO</t>
  </si>
  <si>
    <t>Plains, TX</t>
  </si>
  <si>
    <t>Montrose, MO</t>
  </si>
  <si>
    <t>Chula, GA</t>
  </si>
  <si>
    <t>Santa Anna, TX</t>
  </si>
  <si>
    <t>Deputy, IN</t>
  </si>
  <si>
    <t>Martin, OH</t>
  </si>
  <si>
    <t>Norborne, MO</t>
  </si>
  <si>
    <t>Enid, MS</t>
  </si>
  <si>
    <t>Newellton, LA</t>
  </si>
  <si>
    <t>Waterford, MS</t>
  </si>
  <si>
    <t>Orleans, MI</t>
  </si>
  <si>
    <t>Williamsport, TN</t>
  </si>
  <si>
    <t>Conover, WI</t>
  </si>
  <si>
    <t>Pennock, MN</t>
  </si>
  <si>
    <t>Bowling Green, MO</t>
  </si>
  <si>
    <t>Salisbury, PA</t>
  </si>
  <si>
    <t>Mertzon, TX</t>
  </si>
  <si>
    <t>Mountain Ranch, CA</t>
  </si>
  <si>
    <t>Wells, NV</t>
  </si>
  <si>
    <t>Perryville, KY</t>
  </si>
  <si>
    <t>Victor, IA</t>
  </si>
  <si>
    <t>Bel-Nor, MO</t>
  </si>
  <si>
    <t>Jonesville, NC</t>
  </si>
  <si>
    <t>McCool, MS</t>
  </si>
  <si>
    <t>Hickory Corners, MI</t>
  </si>
  <si>
    <t>Jarreau, LA</t>
  </si>
  <si>
    <t>Cove, OR</t>
  </si>
  <si>
    <t>Leslie, GA</t>
  </si>
  <si>
    <t>Milano, TX</t>
  </si>
  <si>
    <t>Carrsville, VA</t>
  </si>
  <si>
    <t>Phippsburg, ME</t>
  </si>
  <si>
    <t>Bayfield, WI</t>
  </si>
  <si>
    <t>Chester, MA</t>
  </si>
  <si>
    <t>Saint Joseph, LA</t>
  </si>
  <si>
    <t>Fairplay, MD</t>
  </si>
  <si>
    <t>Lawsonville, NC</t>
  </si>
  <si>
    <t>Russell, MA</t>
  </si>
  <si>
    <t>Blue Hill, NE</t>
  </si>
  <si>
    <t>West Point, CA</t>
  </si>
  <si>
    <t>Moulton, IA</t>
  </si>
  <si>
    <t>Dundee, MS</t>
  </si>
  <si>
    <t>Herminie, PA</t>
  </si>
  <si>
    <t>Medford, OK</t>
  </si>
  <si>
    <t>Raymond, NE</t>
  </si>
  <si>
    <t>Steinhatchee, FL</t>
  </si>
  <si>
    <t>Wallace, MI</t>
  </si>
  <si>
    <t>Dexter, KY</t>
  </si>
  <si>
    <t>Winchester, KS</t>
  </si>
  <si>
    <t>Granite, OK</t>
  </si>
  <si>
    <t>Kingsland, AR</t>
  </si>
  <si>
    <t>Pennville, IN</t>
  </si>
  <si>
    <t>Tower, MN</t>
  </si>
  <si>
    <t>Brinson, GA</t>
  </si>
  <si>
    <t>Clyde, KS</t>
  </si>
  <si>
    <t>Red Cloud, NE</t>
  </si>
  <si>
    <t>Mt Vernon, ME</t>
  </si>
  <si>
    <t>Taylor, AR</t>
  </si>
  <si>
    <t>Whitelaw, WI</t>
  </si>
  <si>
    <t>Rhoadesville, VA</t>
  </si>
  <si>
    <t>Watersmeet, MI</t>
  </si>
  <si>
    <t>Eagle Bridge, NY</t>
  </si>
  <si>
    <t>Barnsdall, OK</t>
  </si>
  <si>
    <t>Bonfield, IL</t>
  </si>
  <si>
    <t>Aurelia, IA</t>
  </si>
  <si>
    <t>Star City, WV</t>
  </si>
  <si>
    <t>Entiat, WA</t>
  </si>
  <si>
    <t>Akron, MI</t>
  </si>
  <si>
    <t>Bristow, IN</t>
  </si>
  <si>
    <t>Downey, ID</t>
  </si>
  <si>
    <t>Grove City, MN</t>
  </si>
  <si>
    <t>Greenbush, MN</t>
  </si>
  <si>
    <t>Saint David, AZ</t>
  </si>
  <si>
    <t>Meadowlakes, TX</t>
  </si>
  <si>
    <t>Jackson Center, OH</t>
  </si>
  <si>
    <t>Bee Spring, KY</t>
  </si>
  <si>
    <t>Okeene, OK</t>
  </si>
  <si>
    <t>Scraper, OK</t>
  </si>
  <si>
    <t>Randolph, MN</t>
  </si>
  <si>
    <t>Dublin, NH</t>
  </si>
  <si>
    <t>Hardin, IL</t>
  </si>
  <si>
    <t>Tavernier, FL</t>
  </si>
  <si>
    <t>Warren, CT</t>
  </si>
  <si>
    <t>Inyokern, CA</t>
  </si>
  <si>
    <t>Athelstane, WI</t>
  </si>
  <si>
    <t>Kaiser, MO</t>
  </si>
  <si>
    <t>Amboy, MN</t>
  </si>
  <si>
    <t>Riceville, IA</t>
  </si>
  <si>
    <t>Eatons Neck, NY</t>
  </si>
  <si>
    <t>Mantoloking, NJ</t>
  </si>
  <si>
    <t>Palermo, ME</t>
  </si>
  <si>
    <t>Oakfield, TN</t>
  </si>
  <si>
    <t>Elgin, NE</t>
  </si>
  <si>
    <t>Ophir, CO</t>
  </si>
  <si>
    <t>Sodus, MI</t>
  </si>
  <si>
    <t>Washington, ME</t>
  </si>
  <si>
    <t>Fairview, MO</t>
  </si>
  <si>
    <t>Franklin, VT</t>
  </si>
  <si>
    <t>Daisytown, PA</t>
  </si>
  <si>
    <t>Allons, TN</t>
  </si>
  <si>
    <t>Smartsville, CA</t>
  </si>
  <si>
    <t>Lyons, OH</t>
  </si>
  <si>
    <t>Sharps Chapel, TN</t>
  </si>
  <si>
    <t>Six Lakes, MI</t>
  </si>
  <si>
    <t>Glide, OR</t>
  </si>
  <si>
    <t>Laketon, IN</t>
  </si>
  <si>
    <t>Palmetto, LA</t>
  </si>
  <si>
    <t>Williford, AR</t>
  </si>
  <si>
    <t>River Hills, WI</t>
  </si>
  <si>
    <t>Assumption, IL</t>
  </si>
  <si>
    <t>Fairmount, IL</t>
  </si>
  <si>
    <t>Ashfield, MA</t>
  </si>
  <si>
    <t>Lowman, ID</t>
  </si>
  <si>
    <t>Ogema, MN</t>
  </si>
  <si>
    <t>Cobbtown, GA</t>
  </si>
  <si>
    <t>Mantua, UT</t>
  </si>
  <si>
    <t>Leakey, TX</t>
  </si>
  <si>
    <t>Scotts Mills, OR</t>
  </si>
  <si>
    <t>Graysville, TN</t>
  </si>
  <si>
    <t>Irma, WI</t>
  </si>
  <si>
    <t>Cheneyville, LA</t>
  </si>
  <si>
    <t>Lebo, KS</t>
  </si>
  <si>
    <t>Larwill, IN</t>
  </si>
  <si>
    <t>Wallsburg, UT</t>
  </si>
  <si>
    <t>Peru, NE</t>
  </si>
  <si>
    <t>Pall Mall, TN</t>
  </si>
  <si>
    <t>Sherburn, MN</t>
  </si>
  <si>
    <t>Waterford, VT</t>
  </si>
  <si>
    <t>Jonesburg, MO</t>
  </si>
  <si>
    <t>Midland, OH</t>
  </si>
  <si>
    <t>Copemish, MI</t>
  </si>
  <si>
    <t>Coupland, TX</t>
  </si>
  <si>
    <t>Benzonia, MI</t>
  </si>
  <si>
    <t>Hilda, SC</t>
  </si>
  <si>
    <t>Bayou Vista, TX</t>
  </si>
  <si>
    <t>Indian Creek, IL</t>
  </si>
  <si>
    <t>Eldon, IA</t>
  </si>
  <si>
    <t>Villisca, IA</t>
  </si>
  <si>
    <t>Saint Mary, MO</t>
  </si>
  <si>
    <t>Woodstock, OH</t>
  </si>
  <si>
    <t>Milledgeville, IL</t>
  </si>
  <si>
    <t>Wauzeka, WI</t>
  </si>
  <si>
    <t>North Creek, NY</t>
  </si>
  <si>
    <t>Fair Oaks, IN</t>
  </si>
  <si>
    <t>West Edmeston, NY</t>
  </si>
  <si>
    <t>Laurel Bloomery, TN</t>
  </si>
  <si>
    <t>Wales, WI</t>
  </si>
  <si>
    <t>Stantonville, TN</t>
  </si>
  <si>
    <t>Lostine, OR</t>
  </si>
  <si>
    <t>Viola, AR</t>
  </si>
  <si>
    <t>Sandwich, NH</t>
  </si>
  <si>
    <t>Northwood, ND</t>
  </si>
  <si>
    <t>Pilot Rock, OR</t>
  </si>
  <si>
    <t>Warrensburg, IL</t>
  </si>
  <si>
    <t>Drake, CO</t>
  </si>
  <si>
    <t>Shellsburg, IA</t>
  </si>
  <si>
    <t>Waterford, ME</t>
  </si>
  <si>
    <t>Scott, AR</t>
  </si>
  <si>
    <t>Buffalo, OK</t>
  </si>
  <si>
    <t>Zephyr Cove, NV</t>
  </si>
  <si>
    <t>Adair, IA</t>
  </si>
  <si>
    <t>Chittenden, VT</t>
  </si>
  <si>
    <t>Bertha, MN</t>
  </si>
  <si>
    <t>Ravia, OK</t>
  </si>
  <si>
    <t>McCord, OK</t>
  </si>
  <si>
    <t>Sharon, VT</t>
  </si>
  <si>
    <t>Meredosia, IL</t>
  </si>
  <si>
    <t>Scales Mound, IL</t>
  </si>
  <si>
    <t>Cotter, AR</t>
  </si>
  <si>
    <t>Kemp, TX</t>
  </si>
  <si>
    <t>Magnolia, WI</t>
  </si>
  <si>
    <t>Fleming, GA</t>
  </si>
  <si>
    <t>Langeloth, PA</t>
  </si>
  <si>
    <t>Stillmore, GA</t>
  </si>
  <si>
    <t>Deerfield, MI</t>
  </si>
  <si>
    <t>Bennett, NC</t>
  </si>
  <si>
    <t>Garland, UT</t>
  </si>
  <si>
    <t>Sasser, GA</t>
  </si>
  <si>
    <t>Clearbrook, MN</t>
  </si>
  <si>
    <t>Mabel, MN</t>
  </si>
  <si>
    <t>Shelbiana, KY</t>
  </si>
  <si>
    <t>Sheyenne, ND</t>
  </si>
  <si>
    <t>Everton, MO</t>
  </si>
  <si>
    <t>Denver, IN</t>
  </si>
  <si>
    <t>Mershon, GA</t>
  </si>
  <si>
    <t>Perrysville, IN</t>
  </si>
  <si>
    <t>Viborg, SD</t>
  </si>
  <si>
    <t>Homer, NE</t>
  </si>
  <si>
    <t>Spickard, MO</t>
  </si>
  <si>
    <t>Palouse, WA</t>
  </si>
  <si>
    <t>Prosperity, PA</t>
  </si>
  <si>
    <t>Ogden, IL</t>
  </si>
  <si>
    <t>Patton, TX</t>
  </si>
  <si>
    <t>Lake Tomahawk, WI</t>
  </si>
  <si>
    <t>Tidioute, PA</t>
  </si>
  <si>
    <t>Elmer City, WA</t>
  </si>
  <si>
    <t>Comstock, WI</t>
  </si>
  <si>
    <t>Waldron, MI</t>
  </si>
  <si>
    <t>Greenville, ME</t>
  </si>
  <si>
    <t>Sabula, IA</t>
  </si>
  <si>
    <t>Chesapeake, WV</t>
  </si>
  <si>
    <t>Dellroy, OH</t>
  </si>
  <si>
    <t>Cuba, AL</t>
  </si>
  <si>
    <t>Cedar Grove, WI</t>
  </si>
  <si>
    <t>Burke, VT</t>
  </si>
  <si>
    <t>East Bethany, NY</t>
  </si>
  <si>
    <t>Fairfield Bay, AR</t>
  </si>
  <si>
    <t>Porter, ME</t>
  </si>
  <si>
    <t>West Chesterfield, NH</t>
  </si>
  <si>
    <t>Sidney, MI</t>
  </si>
  <si>
    <t>Indialantic, FL</t>
  </si>
  <si>
    <t>Dundas, MN</t>
  </si>
  <si>
    <t>Mulberry Grove, IL</t>
  </si>
  <si>
    <t>Victory Gardens, NJ</t>
  </si>
  <si>
    <t>Pleasant Hill, IL</t>
  </si>
  <si>
    <t>Eugene, MO</t>
  </si>
  <si>
    <t>Ashley, IN</t>
  </si>
  <si>
    <t>Martinsville, OH</t>
  </si>
  <si>
    <t>Galva, KS</t>
  </si>
  <si>
    <t>Maiden Rock, WI</t>
  </si>
  <si>
    <t>Sundown, TX</t>
  </si>
  <si>
    <t>Sangerville, ME</t>
  </si>
  <si>
    <t>Satanta, KS</t>
  </si>
  <si>
    <t>Weatherby Lake, MO</t>
  </si>
  <si>
    <t>Kurtistown, HI</t>
  </si>
  <si>
    <t>Battletown, KY</t>
  </si>
  <si>
    <t>Laflin, PA</t>
  </si>
  <si>
    <t>Orrville, AL</t>
  </si>
  <si>
    <t>Wappapello, MO</t>
  </si>
  <si>
    <t>Salisbury, NH</t>
  </si>
  <si>
    <t>Young, AZ</t>
  </si>
  <si>
    <t>Golden City, MO</t>
  </si>
  <si>
    <t>Quantico, MD</t>
  </si>
  <si>
    <t>Pierce, CO</t>
  </si>
  <si>
    <t>Strunk, KY</t>
  </si>
  <si>
    <t>Earth, TX</t>
  </si>
  <si>
    <t>Springfield, AR</t>
  </si>
  <si>
    <t>Glenfield, NY</t>
  </si>
  <si>
    <t>Diablo, CA</t>
  </si>
  <si>
    <t>Quincy, IN</t>
  </si>
  <si>
    <t>Livermore, KY</t>
  </si>
  <si>
    <t>Winter Park, CO</t>
  </si>
  <si>
    <t>Jamestown, SC</t>
  </si>
  <si>
    <t>Cavendish, VT</t>
  </si>
  <si>
    <t>Bertram, IA</t>
  </si>
  <si>
    <t>Woodburn, KY</t>
  </si>
  <si>
    <t>Echo, OR</t>
  </si>
  <si>
    <t>Mico, TX</t>
  </si>
  <si>
    <t>Wymore, NE</t>
  </si>
  <si>
    <t>Garrett, PA</t>
  </si>
  <si>
    <t>Cherry Creek, NY</t>
  </si>
  <si>
    <t>Symsonia, KY</t>
  </si>
  <si>
    <t>Welcome, MN</t>
  </si>
  <si>
    <t>Riomedina, TX</t>
  </si>
  <si>
    <t>Mulberry, KS</t>
  </si>
  <si>
    <t>McCaysville, GA</t>
  </si>
  <si>
    <t>Cloverport, KY</t>
  </si>
  <si>
    <t>Sigel, PA</t>
  </si>
  <si>
    <t>Collins, OH</t>
  </si>
  <si>
    <t>Spiritwood Lake, ND</t>
  </si>
  <si>
    <t>Tiskilwa, IL</t>
  </si>
  <si>
    <t>Starks, LA</t>
  </si>
  <si>
    <t>Armstrong, IA</t>
  </si>
  <si>
    <t>Phoenix, IL</t>
  </si>
  <si>
    <t>Bodfish, CA</t>
  </si>
  <si>
    <t>Shattuck, OK</t>
  </si>
  <si>
    <t>Edgar Springs, MO</t>
  </si>
  <si>
    <t>Shoshoni, WY</t>
  </si>
  <si>
    <t>Angelus Oaks, CA</t>
  </si>
  <si>
    <t>Suches, GA</t>
  </si>
  <si>
    <t>Hi Hat, KY</t>
  </si>
  <si>
    <t>St. John, KS</t>
  </si>
  <si>
    <t>Newell, IA</t>
  </si>
  <si>
    <t>Commodore, PA</t>
  </si>
  <si>
    <t>Hudson, ME</t>
  </si>
  <si>
    <t>Lake Norden, SD</t>
  </si>
  <si>
    <t>Rochester, VT</t>
  </si>
  <si>
    <t>Crowell, TX</t>
  </si>
  <si>
    <t>Lobelville, TN</t>
  </si>
  <si>
    <t>Faucett, MO</t>
  </si>
  <si>
    <t>Stewart, TN</t>
  </si>
  <si>
    <t>Norway, IA</t>
  </si>
  <si>
    <t>Marianna, PA</t>
  </si>
  <si>
    <t>Kent Acres, DE</t>
  </si>
  <si>
    <t>New Boston, IL</t>
  </si>
  <si>
    <t>Brant, MI</t>
  </si>
  <si>
    <t>Hixton, WI</t>
  </si>
  <si>
    <t>Henley, MO</t>
  </si>
  <si>
    <t>Chireno, TX</t>
  </si>
  <si>
    <t>Orchard City, CO</t>
  </si>
  <si>
    <t>Country Club, MO</t>
  </si>
  <si>
    <t>Hartford, TN</t>
  </si>
  <si>
    <t>Cadiz, OH</t>
  </si>
  <si>
    <t>Beckemeyer, IL</t>
  </si>
  <si>
    <t>Deford, MI</t>
  </si>
  <si>
    <t>Grand Meadow, MN</t>
  </si>
  <si>
    <t>White, SD</t>
  </si>
  <si>
    <t>Cross Lake, MN</t>
  </si>
  <si>
    <t>Fontana, WI</t>
  </si>
  <si>
    <t>Milo, ME</t>
  </si>
  <si>
    <t>Raymondville, MO</t>
  </si>
  <si>
    <t>Tippecanoe, OH</t>
  </si>
  <si>
    <t>Pocasset, OK</t>
  </si>
  <si>
    <t>Batson, TX</t>
  </si>
  <si>
    <t>Fancy Farm, KY</t>
  </si>
  <si>
    <t>Blandinsville, IL</t>
  </si>
  <si>
    <t>Lonsdale, AR</t>
  </si>
  <si>
    <t>Clayton, OK</t>
  </si>
  <si>
    <t>Gauley Bridge, WV</t>
  </si>
  <si>
    <t>De Soto, WI</t>
  </si>
  <si>
    <t>Lexington, OK</t>
  </si>
  <si>
    <t>Lowell, OR</t>
  </si>
  <si>
    <t>Greenwood, NE</t>
  </si>
  <si>
    <t>Parkers Prairie, MN</t>
  </si>
  <si>
    <t>Greenbush, ME</t>
  </si>
  <si>
    <t>Lakeside, TX</t>
  </si>
  <si>
    <t>Laurium, MI</t>
  </si>
  <si>
    <t>Glendale, OR</t>
  </si>
  <si>
    <t>Ellison Bay, WI</t>
  </si>
  <si>
    <t>Brownfield, ME</t>
  </si>
  <si>
    <t>Bridgewater, NH</t>
  </si>
  <si>
    <t>Keyport, WA</t>
  </si>
  <si>
    <t>Princeton, MO</t>
  </si>
  <si>
    <t>Lakeville, OH</t>
  </si>
  <si>
    <t>Merrimac, WI</t>
  </si>
  <si>
    <t>Coleville, CA</t>
  </si>
  <si>
    <t>Middlesex, NY</t>
  </si>
  <si>
    <t>Rushville, NE</t>
  </si>
  <si>
    <t>Richlandtown, PA</t>
  </si>
  <si>
    <t>Rudolph, OH</t>
  </si>
  <si>
    <t>Asbury, IA</t>
  </si>
  <si>
    <t>Jenkinsburg, GA</t>
  </si>
  <si>
    <t>De Ruyter, NY</t>
  </si>
  <si>
    <t>Dunnville, KY</t>
  </si>
  <si>
    <t>Cusseta, AL</t>
  </si>
  <si>
    <t>Delcambre, LA</t>
  </si>
  <si>
    <t>Franklin, ME</t>
  </si>
  <si>
    <t>Andersonville, GA</t>
  </si>
  <si>
    <t>Enderlin, ND</t>
  </si>
  <si>
    <t>Hill City, MN</t>
  </si>
  <si>
    <t>Warson Woods, MO</t>
  </si>
  <si>
    <t>Drayden, MD</t>
  </si>
  <si>
    <t>Temperanceville, VA</t>
  </si>
  <si>
    <t>Sabillasville, MD</t>
  </si>
  <si>
    <t>Stillwater, PA</t>
  </si>
  <si>
    <t>Kaleva, MI</t>
  </si>
  <si>
    <t>Clarks, LA</t>
  </si>
  <si>
    <t>Perry, ME</t>
  </si>
  <si>
    <t>Saratoga, TX</t>
  </si>
  <si>
    <t>Au Gres, MI</t>
  </si>
  <si>
    <t>Otis, MA</t>
  </si>
  <si>
    <t>Pawnee City, NE</t>
  </si>
  <si>
    <t>Bremen, KY</t>
  </si>
  <si>
    <t>Chadwick, IL</t>
  </si>
  <si>
    <t>Pine Ridge, SC</t>
  </si>
  <si>
    <t>Hiawatha, KS</t>
  </si>
  <si>
    <t>Annawan, IL</t>
  </si>
  <si>
    <t>Lincoln, VT</t>
  </si>
  <si>
    <t>Washburn, IL</t>
  </si>
  <si>
    <t>Colfax, IN</t>
  </si>
  <si>
    <t>Ivanhoe, VA</t>
  </si>
  <si>
    <t>Newfield, ME</t>
  </si>
  <si>
    <t>Russells Point, OH</t>
  </si>
  <si>
    <t>Wind Point, WI</t>
  </si>
  <si>
    <t>Waverly, KS</t>
  </si>
  <si>
    <t>Franconia, NH</t>
  </si>
  <si>
    <t>Prescott, WA</t>
  </si>
  <si>
    <t>Buckeye Lake, OH</t>
  </si>
  <si>
    <t>Saint Anne, IL</t>
  </si>
  <si>
    <t>Venus, FL</t>
  </si>
  <si>
    <t>Clear Lake Shores, TX</t>
  </si>
  <si>
    <t>Devens, MA</t>
  </si>
  <si>
    <t>Boothbay Harbor, ME</t>
  </si>
  <si>
    <t>Parksville, KY</t>
  </si>
  <si>
    <t>Diamond Ridge, AK</t>
  </si>
  <si>
    <t>Fleet Mills, NY</t>
  </si>
  <si>
    <t>Thompson, PA</t>
  </si>
  <si>
    <t>West Mountain, UT</t>
  </si>
  <si>
    <t>Greenwald, MN</t>
  </si>
  <si>
    <t>Hillsdale, IL</t>
  </si>
  <si>
    <t>Alma Center, WI</t>
  </si>
  <si>
    <t>Rawson, OH</t>
  </si>
  <si>
    <t>Midland, MD</t>
  </si>
  <si>
    <t>Deer Trail, CO</t>
  </si>
  <si>
    <t>Reeds, MO</t>
  </si>
  <si>
    <t>Salcha, AK</t>
  </si>
  <si>
    <t>Kelso, TN</t>
  </si>
  <si>
    <t>Peru, ME</t>
  </si>
  <si>
    <t>Fruitland, UT</t>
  </si>
  <si>
    <t>Lake View, IA</t>
  </si>
  <si>
    <t>Laddonia, MO</t>
  </si>
  <si>
    <t>Osceola, MO</t>
  </si>
  <si>
    <t>Los Molinos, CA</t>
  </si>
  <si>
    <t>Walton, WV</t>
  </si>
  <si>
    <t>Park Hall, MD</t>
  </si>
  <si>
    <t>Artie, WV</t>
  </si>
  <si>
    <t>Stockwell, IN</t>
  </si>
  <si>
    <t>Pantego, NC</t>
  </si>
  <si>
    <t>Boons Camp, KY</t>
  </si>
  <si>
    <t>Dallas, IA</t>
  </si>
  <si>
    <t>Sutton, AK</t>
  </si>
  <si>
    <t>Dixon Springs, TN</t>
  </si>
  <si>
    <t>Christoval, TX</t>
  </si>
  <si>
    <t>Milo, IA</t>
  </si>
  <si>
    <t>Cotopaxi, CO</t>
  </si>
  <si>
    <t>Avis, PA</t>
  </si>
  <si>
    <t>Vergas, MN</t>
  </si>
  <si>
    <t>Hebron, TX</t>
  </si>
  <si>
    <t>Jeffersonton, VA</t>
  </si>
  <si>
    <t>Gore, OK</t>
  </si>
  <si>
    <t>Brewster, MN</t>
  </si>
  <si>
    <t>Fall Creek, OR</t>
  </si>
  <si>
    <t>Astoria, IL</t>
  </si>
  <si>
    <t>Georgetown, CO</t>
  </si>
  <si>
    <t>Saint George, MO</t>
  </si>
  <si>
    <t>Ozone, AR</t>
  </si>
  <si>
    <t>Lebanon, IL</t>
  </si>
  <si>
    <t>Elgin, IA</t>
  </si>
  <si>
    <t>Edwards, MO</t>
  </si>
  <si>
    <t>Knoxville, PA</t>
  </si>
  <si>
    <t>Collbran, CO</t>
  </si>
  <si>
    <t>Bratenahl, OH</t>
  </si>
  <si>
    <t>Enosburg, VT</t>
  </si>
  <si>
    <t>Sunbury, NC</t>
  </si>
  <si>
    <t>Calverton Park, MO</t>
  </si>
  <si>
    <t>Salome, AZ</t>
  </si>
  <si>
    <t>Butterfield, MO</t>
  </si>
  <si>
    <t>Arrington, VA</t>
  </si>
  <si>
    <t>Jack, AL</t>
  </si>
  <si>
    <t>Keuka Park, NY</t>
  </si>
  <si>
    <t>Quinter, KS</t>
  </si>
  <si>
    <t>Bloomington Springs, TN</t>
  </si>
  <si>
    <t>Mapleton, ME</t>
  </si>
  <si>
    <t>East Machias, ME</t>
  </si>
  <si>
    <t>Pateros, WA</t>
  </si>
  <si>
    <t>Mount Pleasant, UT</t>
  </si>
  <si>
    <t>Purgitsville, WV</t>
  </si>
  <si>
    <t>Maybrook, NY</t>
  </si>
  <si>
    <t>Ernul, NC</t>
  </si>
  <si>
    <t>Petrolia, PA</t>
  </si>
  <si>
    <t>Delta, UT</t>
  </si>
  <si>
    <t>Bulan, KY</t>
  </si>
  <si>
    <t>Vaughan, MS</t>
  </si>
  <si>
    <t>Ramsey, IN</t>
  </si>
  <si>
    <t>Vesuvius, VA</t>
  </si>
  <si>
    <t>Caldwell, OH</t>
  </si>
  <si>
    <t>Crestone, CO</t>
  </si>
  <si>
    <t>Fort Defiance, VA</t>
  </si>
  <si>
    <t>Grygla, MN</t>
  </si>
  <si>
    <t>Adamstown, PA</t>
  </si>
  <si>
    <t>Holliday, TX</t>
  </si>
  <si>
    <t>Cisne, IL</t>
  </si>
  <si>
    <t>Howe, TX</t>
  </si>
  <si>
    <t>Burkeville, TX</t>
  </si>
  <si>
    <t>Argyle, MN</t>
  </si>
  <si>
    <t>Bloomington, WI</t>
  </si>
  <si>
    <t>Cornish, ME</t>
  </si>
  <si>
    <t>Pinola, MS</t>
  </si>
  <si>
    <t>Stapleton, GA</t>
  </si>
  <si>
    <t>Tonica, IL</t>
  </si>
  <si>
    <t>Barneveld, NY</t>
  </si>
  <si>
    <t>Vallonia, IN</t>
  </si>
  <si>
    <t>Cedar Point, NC</t>
  </si>
  <si>
    <t>Belfast, NY</t>
  </si>
  <si>
    <t>Blooming Grove, TX</t>
  </si>
  <si>
    <t>Llano, TX</t>
  </si>
  <si>
    <t>Dortches, NC</t>
  </si>
  <si>
    <t>Burlington, WV</t>
  </si>
  <si>
    <t>Christiansburg, OH</t>
  </si>
  <si>
    <t>Mifflin, PA</t>
  </si>
  <si>
    <t>Utica, WI</t>
  </si>
  <si>
    <t>Whitleyville, TN</t>
  </si>
  <si>
    <t>Alma, CO</t>
  </si>
  <si>
    <t>Royalston, MA</t>
  </si>
  <si>
    <t>Elmer, LA</t>
  </si>
  <si>
    <t>Dixie, WV</t>
  </si>
  <si>
    <t>Donald, OR</t>
  </si>
  <si>
    <t>Jemez Pueblo, NM</t>
  </si>
  <si>
    <t>Drakesville, IA</t>
  </si>
  <si>
    <t>Mount Royal, NJ</t>
  </si>
  <si>
    <t>Hankinson, ND</t>
  </si>
  <si>
    <t>Palmer Lake, CO</t>
  </si>
  <si>
    <t>Windsor, OH</t>
  </si>
  <si>
    <t>Toomsboro, GA</t>
  </si>
  <si>
    <t>Decker, IN</t>
  </si>
  <si>
    <t>Worthville, KY</t>
  </si>
  <si>
    <t>Sandyville, WV</t>
  </si>
  <si>
    <t>Flint Hill, MO</t>
  </si>
  <si>
    <t>Grand Ridge, IL</t>
  </si>
  <si>
    <t>Odebolt, IA</t>
  </si>
  <si>
    <t>Elora, TN</t>
  </si>
  <si>
    <t>Malin, OR</t>
  </si>
  <si>
    <t>Baker, WV</t>
  </si>
  <si>
    <t>Elkwood, VA</t>
  </si>
  <si>
    <t>Ravenna, TX</t>
  </si>
  <si>
    <t>Axtell, NE</t>
  </si>
  <si>
    <t>Au Sable, MI</t>
  </si>
  <si>
    <t>Ehrhardt, SC</t>
  </si>
  <si>
    <t>Susan, VA</t>
  </si>
  <si>
    <t>Pecos, NM</t>
  </si>
  <si>
    <t>Crofton, NE</t>
  </si>
  <si>
    <t>Dawson, TX</t>
  </si>
  <si>
    <t>Isle of Hope, GA</t>
  </si>
  <si>
    <t>Genoa, WV</t>
  </si>
  <si>
    <t>Foley, MN</t>
  </si>
  <si>
    <t>French Camp, MS</t>
  </si>
  <si>
    <t>Cartersville, VA</t>
  </si>
  <si>
    <t>Beaver Meadows, PA</t>
  </si>
  <si>
    <t>Minier, IL</t>
  </si>
  <si>
    <t>Lake George, CO</t>
  </si>
  <si>
    <t>Redfield, IA</t>
  </si>
  <si>
    <t>Natural Bridge Station, VA</t>
  </si>
  <si>
    <t>Monterey, VA</t>
  </si>
  <si>
    <t>Dana, IN</t>
  </si>
  <si>
    <t>Buena Vista, TN</t>
  </si>
  <si>
    <t>Bean Station, TN</t>
  </si>
  <si>
    <t>Seven Points, TX</t>
  </si>
  <si>
    <t>Norfork, AR</t>
  </si>
  <si>
    <t>Buxton, NC</t>
  </si>
  <si>
    <t>Arcadia, MO</t>
  </si>
  <si>
    <t>Camp Wood, TX</t>
  </si>
  <si>
    <t>Raymond, CA</t>
  </si>
  <si>
    <t>Addison, VT</t>
  </si>
  <si>
    <t>Verden, OK</t>
  </si>
  <si>
    <t>Willow Wood, OH</t>
  </si>
  <si>
    <t>Kelford, NC</t>
  </si>
  <si>
    <t>Lake Kiowa, TX</t>
  </si>
  <si>
    <t>Frankfort, KS</t>
  </si>
  <si>
    <t>Honoraville, AL</t>
  </si>
  <si>
    <t>Ney, OH</t>
  </si>
  <si>
    <t>Twin Bridges, MT</t>
  </si>
  <si>
    <t>South Salem, OH</t>
  </si>
  <si>
    <t>Forest Heights, MD</t>
  </si>
  <si>
    <t>Grandview, IA</t>
  </si>
  <si>
    <t>Kearny, AZ</t>
  </si>
  <si>
    <t>Freedom, NH</t>
  </si>
  <si>
    <t>Mountain, WI</t>
  </si>
  <si>
    <t>Shipman, VA</t>
  </si>
  <si>
    <t>Pasadena Hills, MO</t>
  </si>
  <si>
    <t>Belgrade, MO</t>
  </si>
  <si>
    <t>Lena, IL</t>
  </si>
  <si>
    <t>Turpin, OK</t>
  </si>
  <si>
    <t>Biron, WI</t>
  </si>
  <si>
    <t>Prairie, MS</t>
  </si>
  <si>
    <t>Strong, ME</t>
  </si>
  <si>
    <t>Maple Bluff, WI</t>
  </si>
  <si>
    <t>Nags Head, NC</t>
  </si>
  <si>
    <t>Delavan, IL</t>
  </si>
  <si>
    <t>Addy, WA</t>
  </si>
  <si>
    <t>Cowarts, AL</t>
  </si>
  <si>
    <t>Hubbardsville, NY</t>
  </si>
  <si>
    <t>Dayton, IA</t>
  </si>
  <si>
    <t>Atlanta, MO</t>
  </si>
  <si>
    <t>Beverly Hills, TX</t>
  </si>
  <si>
    <t>Geraldine, AL</t>
  </si>
  <si>
    <t>Dugspur, VA</t>
  </si>
  <si>
    <t>Gordon, TX</t>
  </si>
  <si>
    <t>Wetmore, CO</t>
  </si>
  <si>
    <t>Georgetown, ME</t>
  </si>
  <si>
    <t>Soulsbyville, CA</t>
  </si>
  <si>
    <t>Deer Creek, IL</t>
  </si>
  <si>
    <t>Bayou La Batre, AL</t>
  </si>
  <si>
    <t>Carrabelle, FL</t>
  </si>
  <si>
    <t>Chauncey, OH</t>
  </si>
  <si>
    <t>Vicco, KY</t>
  </si>
  <si>
    <t>Cobb, CA</t>
  </si>
  <si>
    <t>Calvert, TX</t>
  </si>
  <si>
    <t>Hillsdale, MO</t>
  </si>
  <si>
    <t>Norwood, LA</t>
  </si>
  <si>
    <t>Paulding, OH</t>
  </si>
  <si>
    <t>Brookside Village, TX</t>
  </si>
  <si>
    <t>Hampton, FL</t>
  </si>
  <si>
    <t>Wabeno, WI</t>
  </si>
  <si>
    <t>Princeton, KS</t>
  </si>
  <si>
    <t>Cabin Creek, WV</t>
  </si>
  <si>
    <t>Arcade, GA</t>
  </si>
  <si>
    <t>Redington Beach, FL</t>
  </si>
  <si>
    <t>Milnor, ND</t>
  </si>
  <si>
    <t>Panorama Village, TX</t>
  </si>
  <si>
    <t>Waccabuc, NY</t>
  </si>
  <si>
    <t>La Crosse, IN</t>
  </si>
  <si>
    <t>Murray, IA</t>
  </si>
  <si>
    <t>Orangeville, UT</t>
  </si>
  <si>
    <t>Danby, VT</t>
  </si>
  <si>
    <t>Vansant, VA</t>
  </si>
  <si>
    <t>Reddick, IL</t>
  </si>
  <si>
    <t>Toone, TN</t>
  </si>
  <si>
    <t>Hickman, TN</t>
  </si>
  <si>
    <t>Hermleigh, TX</t>
  </si>
  <si>
    <t>Long Beach, MN</t>
  </si>
  <si>
    <t>Winter, WI</t>
  </si>
  <si>
    <t>Nellysford, VA</t>
  </si>
  <si>
    <t>Seiling, OK</t>
  </si>
  <si>
    <t>Newington, GA</t>
  </si>
  <si>
    <t>Viola, WI</t>
  </si>
  <si>
    <t>Branchport, NY</t>
  </si>
  <si>
    <t>Trimble, MO</t>
  </si>
  <si>
    <t>Pretty Prairie, KS</t>
  </si>
  <si>
    <t>Inverness, MS</t>
  </si>
  <si>
    <t>Aurora, NY</t>
  </si>
  <si>
    <t>Green Camp, OH</t>
  </si>
  <si>
    <t>Bird Island, MN</t>
  </si>
  <si>
    <t>Morning Sun, IA</t>
  </si>
  <si>
    <t>Alpha, MI</t>
  </si>
  <si>
    <t>West Easton, PA</t>
  </si>
  <si>
    <t>Lowry City, MO</t>
  </si>
  <si>
    <t>Centertown, KY</t>
  </si>
  <si>
    <t>Center Point, TX</t>
  </si>
  <si>
    <t>Hortonville, WI</t>
  </si>
  <si>
    <t>Enfield, IL</t>
  </si>
  <si>
    <t>Hinton, VA</t>
  </si>
  <si>
    <t>Barry, TX</t>
  </si>
  <si>
    <t>Kimmell, IN</t>
  </si>
  <si>
    <t>Montrose, SD</t>
  </si>
  <si>
    <t>Millport, NY</t>
  </si>
  <si>
    <t>Sioux Rapids, IA</t>
  </si>
  <si>
    <t>Lexa, AR</t>
  </si>
  <si>
    <t>Benld, IL</t>
  </si>
  <si>
    <t>Eastport, ME</t>
  </si>
  <si>
    <t>Cottage City, MD</t>
  </si>
  <si>
    <t>Lewisville, OH</t>
  </si>
  <si>
    <t>Elizabeth, AR</t>
  </si>
  <si>
    <t>Lewistown, MO</t>
  </si>
  <si>
    <t>Byron, WY</t>
  </si>
  <si>
    <t>Frankford, MO</t>
  </si>
  <si>
    <t>Rockaway Beach, OR</t>
  </si>
  <si>
    <t>Blackduck, MN</t>
  </si>
  <si>
    <t>Robert, LA</t>
  </si>
  <si>
    <t>Searsmont, ME</t>
  </si>
  <si>
    <t>Cicero, WI</t>
  </si>
  <si>
    <t>Nichols, WI</t>
  </si>
  <si>
    <t>Loami, IL</t>
  </si>
  <si>
    <t>Thomasboro, IL</t>
  </si>
  <si>
    <t>Pine Island, NY</t>
  </si>
  <si>
    <t>Gordonville, TX</t>
  </si>
  <si>
    <t>Wingina, VA</t>
  </si>
  <si>
    <t>Saint Edward, NE</t>
  </si>
  <si>
    <t>Stockton, NY</t>
  </si>
  <si>
    <t>Worthing, SD</t>
  </si>
  <si>
    <t>Upsala, MN</t>
  </si>
  <si>
    <t>Dana, KY</t>
  </si>
  <si>
    <t>Lidgerwood, ND</t>
  </si>
  <si>
    <t>Pleasant Hill, OH</t>
  </si>
  <si>
    <t>Pala, CA</t>
  </si>
  <si>
    <t>Dighton, KS</t>
  </si>
  <si>
    <t>Bally, PA</t>
  </si>
  <si>
    <t>Eden, VT</t>
  </si>
  <si>
    <t>Luna Pier, MI</t>
  </si>
  <si>
    <t>Sleepy Eye, MN</t>
  </si>
  <si>
    <t>Raywick, KY</t>
  </si>
  <si>
    <t>Pocahontas, TN</t>
  </si>
  <si>
    <t>Shabbona, IL</t>
  </si>
  <si>
    <t>Mauriceville, TX</t>
  </si>
  <si>
    <t>Erieville, NY</t>
  </si>
  <si>
    <t>Kipton, OH</t>
  </si>
  <si>
    <t>Coffee City, TX</t>
  </si>
  <si>
    <t>Cygnet, OH</t>
  </si>
  <si>
    <t>Vickery, OH</t>
  </si>
  <si>
    <t>Chelsea, VT</t>
  </si>
  <si>
    <t>Malvern, AL</t>
  </si>
  <si>
    <t>Angelica, NY</t>
  </si>
  <si>
    <t>Trezevant, TN</t>
  </si>
  <si>
    <t>Grandfield, OK</t>
  </si>
  <si>
    <t>Sacramento, KY</t>
  </si>
  <si>
    <t>Chase, MI</t>
  </si>
  <si>
    <t>Madison, KS</t>
  </si>
  <si>
    <t>Dalton, MN</t>
  </si>
  <si>
    <t>Prairie du Rocher, IL</t>
  </si>
  <si>
    <t>Hunter, OH</t>
  </si>
  <si>
    <t>Custer, KY</t>
  </si>
  <si>
    <t>Otterbein, IN</t>
  </si>
  <si>
    <t>Enosburg Falls, VT</t>
  </si>
  <si>
    <t>Cambridge City, IN</t>
  </si>
  <si>
    <t>Sears, MI</t>
  </si>
  <si>
    <t>Millwood, GA</t>
  </si>
  <si>
    <t>Corapeake, NC</t>
  </si>
  <si>
    <t>Horse Branch, KY</t>
  </si>
  <si>
    <t>White Sulphur Springs, MT</t>
  </si>
  <si>
    <t>Kinde, MI</t>
  </si>
  <si>
    <t>Culdesac, ID</t>
  </si>
  <si>
    <t>Trego, WI</t>
  </si>
  <si>
    <t>Richgrove, CA</t>
  </si>
  <si>
    <t>Saint Paul, OR</t>
  </si>
  <si>
    <t>Rock Port, MO</t>
  </si>
  <si>
    <t>Asbury Lake, FL</t>
  </si>
  <si>
    <t>Harrison, ID</t>
  </si>
  <si>
    <t>Renner, SD</t>
  </si>
  <si>
    <t>Langsville, OH</t>
  </si>
  <si>
    <t>Fletcher, VT</t>
  </si>
  <si>
    <t>Osage, IA</t>
  </si>
  <si>
    <t>Murtaugh, ID</t>
  </si>
  <si>
    <t>Rhodes, MI</t>
  </si>
  <si>
    <t>Natural Bridge, VA</t>
  </si>
  <si>
    <t>Bergheim, TX</t>
  </si>
  <si>
    <t>Amo, IN</t>
  </si>
  <si>
    <t>French Village, MO</t>
  </si>
  <si>
    <t>Burlington, IL</t>
  </si>
  <si>
    <t>Carney, OK</t>
  </si>
  <si>
    <t>Treynor, IA</t>
  </si>
  <si>
    <t>Snelling, CA</t>
  </si>
  <si>
    <t>Markham, TX</t>
  </si>
  <si>
    <t>Wellington, KY</t>
  </si>
  <si>
    <t>Palisade, MN</t>
  </si>
  <si>
    <t>Sedalia, KY</t>
  </si>
  <si>
    <t>Vernon, MI</t>
  </si>
  <si>
    <t>Wilmer, TX</t>
  </si>
  <si>
    <t>Cowley, WY</t>
  </si>
  <si>
    <t>Elmore, VT</t>
  </si>
  <si>
    <t>Elida, OH</t>
  </si>
  <si>
    <t>Milbridge, ME</t>
  </si>
  <si>
    <t>Groveoak, AL</t>
  </si>
  <si>
    <t>Waverly, MO</t>
  </si>
  <si>
    <t>Mountville, SC</t>
  </si>
  <si>
    <t>Westview, KY</t>
  </si>
  <si>
    <t>Otisco, IN</t>
  </si>
  <si>
    <t>Broaddus, TX</t>
  </si>
  <si>
    <t>Mountain View, OK</t>
  </si>
  <si>
    <t>Chetopa, KS</t>
  </si>
  <si>
    <t>Greater Galesburg, MI</t>
  </si>
  <si>
    <t>Lewiston Woodville, NC</t>
  </si>
  <si>
    <t>Summit Point, WV</t>
  </si>
  <si>
    <t>Farmington, MS</t>
  </si>
  <si>
    <t>Weeping Water, NE</t>
  </si>
  <si>
    <t>Troy, VT</t>
  </si>
  <si>
    <t>Cooperstown, PA</t>
  </si>
  <si>
    <t>Arlington, AZ</t>
  </si>
  <si>
    <t>Viola, IL</t>
  </si>
  <si>
    <t>Mayking, KY</t>
  </si>
  <si>
    <t>Buncombe, IL</t>
  </si>
  <si>
    <t>Trivoli, IL</t>
  </si>
  <si>
    <t>Parks, AZ</t>
  </si>
  <si>
    <t>Golden Eagle, IL</t>
  </si>
  <si>
    <t>Duck River, TN</t>
  </si>
  <si>
    <t>Fayette, IA</t>
  </si>
  <si>
    <t>Sloan, IA</t>
  </si>
  <si>
    <t>Helen, GA</t>
  </si>
  <si>
    <t>Casnovia, MI</t>
  </si>
  <si>
    <t>Hermosa, SD</t>
  </si>
  <si>
    <t>Clarksville, IA</t>
  </si>
  <si>
    <t>Houstonia, MO</t>
  </si>
  <si>
    <t>Chilhowee, MO</t>
  </si>
  <si>
    <t>Hanover, WV</t>
  </si>
  <si>
    <t>Noxon, MT</t>
  </si>
  <si>
    <t>Red Oak, OK</t>
  </si>
  <si>
    <t>Verdigre, NE</t>
  </si>
  <si>
    <t>Lake Benton, MN</t>
  </si>
  <si>
    <t>Sellers, SC</t>
  </si>
  <si>
    <t>Culbertson, NE</t>
  </si>
  <si>
    <t>Sheldon, MO</t>
  </si>
  <si>
    <t>Ghent, WV</t>
  </si>
  <si>
    <t>Central Valley, NY</t>
  </si>
  <si>
    <t>Claremont, MN</t>
  </si>
  <si>
    <t>New Boston, OH</t>
  </si>
  <si>
    <t>Shirleysburg, PA</t>
  </si>
  <si>
    <t>Boone, CO</t>
  </si>
  <si>
    <t>Bernard, IA</t>
  </si>
  <si>
    <t>Gladbrook, IA</t>
  </si>
  <si>
    <t>Stoutland, MO</t>
  </si>
  <si>
    <t>Cecil-Bishop, PA</t>
  </si>
  <si>
    <t>Puposky, MN</t>
  </si>
  <si>
    <t>Oakland, KY</t>
  </si>
  <si>
    <t>Wolcott, VT</t>
  </si>
  <si>
    <t>Ruthven, IA</t>
  </si>
  <si>
    <t>Stonefort, IL</t>
  </si>
  <si>
    <t>La Honda, CA</t>
  </si>
  <si>
    <t>Shannon Hills, AR</t>
  </si>
  <si>
    <t>Valier, MT</t>
  </si>
  <si>
    <t>Cornwall, CT</t>
  </si>
  <si>
    <t>Whittemore, MI</t>
  </si>
  <si>
    <t>Cutler, IN</t>
  </si>
  <si>
    <t>Wall, SD</t>
  </si>
  <si>
    <t>Daleville, VA</t>
  </si>
  <si>
    <t>Tremont, MS</t>
  </si>
  <si>
    <t>Bolinas, CA</t>
  </si>
  <si>
    <t>Annetta North, TX</t>
  </si>
  <si>
    <t>Mascotte, FL</t>
  </si>
  <si>
    <t>Montfort, WI</t>
  </si>
  <si>
    <t>Wildorado, TX</t>
  </si>
  <si>
    <t>Brookfield, VT</t>
  </si>
  <si>
    <t>Joffre, PA</t>
  </si>
  <si>
    <t>Essex, IA</t>
  </si>
  <si>
    <t>Seaboard, NC</t>
  </si>
  <si>
    <t>Williamsfield, OH</t>
  </si>
  <si>
    <t>Dewey-Humboldt, AZ</t>
  </si>
  <si>
    <t>Mannsville, OK</t>
  </si>
  <si>
    <t>Wenona, IL</t>
  </si>
  <si>
    <t>Oceana, WV</t>
  </si>
  <si>
    <t>Swifton, AR</t>
  </si>
  <si>
    <t>Green Pond, SC</t>
  </si>
  <si>
    <t>Walden, CO</t>
  </si>
  <si>
    <t>Curtiss, WI</t>
  </si>
  <si>
    <t>Stewart, OH</t>
  </si>
  <si>
    <t>Register, GA</t>
  </si>
  <si>
    <t>Addis, LA</t>
  </si>
  <si>
    <t>Concord, VT</t>
  </si>
  <si>
    <t>Allerton, IA</t>
  </si>
  <si>
    <t>Northport, ME</t>
  </si>
  <si>
    <t>Lockwood, NY</t>
  </si>
  <si>
    <t>Saint Clair, MN</t>
  </si>
  <si>
    <t>Osceola, NE</t>
  </si>
  <si>
    <t>Pelham, MA</t>
  </si>
  <si>
    <t>Ainsworth, IA</t>
  </si>
  <si>
    <t>Dixmont, ME</t>
  </si>
  <si>
    <t>Kanawha, IA</t>
  </si>
  <si>
    <t>Bessemer, PA</t>
  </si>
  <si>
    <t>Canaedea, NY</t>
  </si>
  <si>
    <t>Red House, VA</t>
  </si>
  <si>
    <t>Cartwright, OK</t>
  </si>
  <si>
    <t>Berrien Springs, MI</t>
  </si>
  <si>
    <t>Thayer, KS</t>
  </si>
  <si>
    <t>Midland City, AL</t>
  </si>
  <si>
    <t>Callao, MO</t>
  </si>
  <si>
    <t>Sulphur Rock, AR</t>
  </si>
  <si>
    <t>Claycomo, MO</t>
  </si>
  <si>
    <t>Rose Creek, MN</t>
  </si>
  <si>
    <t>Emerson, NE</t>
  </si>
  <si>
    <t>Russellville, OH</t>
  </si>
  <si>
    <t>Gage, OK</t>
  </si>
  <si>
    <t>Highfill, AR</t>
  </si>
  <si>
    <t>Chimayo, NM</t>
  </si>
  <si>
    <t>Louviers, CO</t>
  </si>
  <si>
    <t>Irasburg, VT</t>
  </si>
  <si>
    <t>Dorset, OH</t>
  </si>
  <si>
    <t>Soper, OK</t>
  </si>
  <si>
    <t>Le Roy, WV</t>
  </si>
  <si>
    <t>Granville, WV</t>
  </si>
  <si>
    <t>Tate, GA</t>
  </si>
  <si>
    <t>Cairo, MO</t>
  </si>
  <si>
    <t>Milton, IN</t>
  </si>
  <si>
    <t>Bertrand, NE</t>
  </si>
  <si>
    <t>Rayle, GA</t>
  </si>
  <si>
    <t>Faith, SD</t>
  </si>
  <si>
    <t>Porterdale, GA</t>
  </si>
  <si>
    <t>Mont Clare, PA</t>
  </si>
  <si>
    <t>Orrick, MO</t>
  </si>
  <si>
    <t>Shoreham, VT</t>
  </si>
  <si>
    <t>Camden, MO</t>
  </si>
  <si>
    <t>Zanesfield, OH</t>
  </si>
  <si>
    <t>Clayville, NY</t>
  </si>
  <si>
    <t>Mill Creek, PA</t>
  </si>
  <si>
    <t>Quebeck, TN</t>
  </si>
  <si>
    <t>Merrillan, WI</t>
  </si>
  <si>
    <t>Newark, WI</t>
  </si>
  <si>
    <t>Avery, TX</t>
  </si>
  <si>
    <t>Ogema, WI</t>
  </si>
  <si>
    <t>Kiel, WI</t>
  </si>
  <si>
    <t>Bon Wier, TX</t>
  </si>
  <si>
    <t>Cape Carteret, NC</t>
  </si>
  <si>
    <t>Iron River, MI</t>
  </si>
  <si>
    <t>Boyden, IA</t>
  </si>
  <si>
    <t>Friendly, WV</t>
  </si>
  <si>
    <t>Argusville, ND</t>
  </si>
  <si>
    <t>Printer, KY</t>
  </si>
  <si>
    <t>Macomb, OK</t>
  </si>
  <si>
    <t>Eskridge, KS</t>
  </si>
  <si>
    <t>Burlison, TN</t>
  </si>
  <si>
    <t>La Blanca, TX</t>
  </si>
  <si>
    <t>Jonesport, ME</t>
  </si>
  <si>
    <t>Oneida, IL</t>
  </si>
  <si>
    <t>Pendleton, NC</t>
  </si>
  <si>
    <t>Hanley Hills, MO</t>
  </si>
  <si>
    <t>Pachuta, MS</t>
  </si>
  <si>
    <t>Atlanta, LA</t>
  </si>
  <si>
    <t>Frost, TX</t>
  </si>
  <si>
    <t>Swanville, ME</t>
  </si>
  <si>
    <t>Fredericksburg, IN</t>
  </si>
  <si>
    <t>Martell, NE</t>
  </si>
  <si>
    <t>Kure Beach, NC</t>
  </si>
  <si>
    <t>Rushsylvania, OH</t>
  </si>
  <si>
    <t>Bassett, NE</t>
  </si>
  <si>
    <t>Circle, MT</t>
  </si>
  <si>
    <t>Hydes, MD</t>
  </si>
  <si>
    <t>Williams Bay, WI</t>
  </si>
  <si>
    <t>Antwerp, NY</t>
  </si>
  <si>
    <t>Bath Springs, TN</t>
  </si>
  <si>
    <t>Beggs, OK</t>
  </si>
  <si>
    <t>Petersburg, TX</t>
  </si>
  <si>
    <t>Gadsden, TN</t>
  </si>
  <si>
    <t>Weber City, VA</t>
  </si>
  <si>
    <t>Scandinavia, WI</t>
  </si>
  <si>
    <t>Meherrin, VA</t>
  </si>
  <si>
    <t>Elnora, IN</t>
  </si>
  <si>
    <t>Ranchester, WY</t>
  </si>
  <si>
    <t>Rumney, NH</t>
  </si>
  <si>
    <t>Palatine Bridge, NY</t>
  </si>
  <si>
    <t>Cissna Park, IL</t>
  </si>
  <si>
    <t>Vernalis, CA</t>
  </si>
  <si>
    <t>Hardin, MO</t>
  </si>
  <si>
    <t>Rives, TN</t>
  </si>
  <si>
    <t>Pewamo, MI</t>
  </si>
  <si>
    <t>Prairie Farm, WI</t>
  </si>
  <si>
    <t>Taylor, WI</t>
  </si>
  <si>
    <t>Smithville, GA</t>
  </si>
  <si>
    <t>Randall, MN</t>
  </si>
  <si>
    <t>Vida, OR</t>
  </si>
  <si>
    <t>Southwest Harbor, ME</t>
  </si>
  <si>
    <t>Wolf River, WI</t>
  </si>
  <si>
    <t>Avera, GA</t>
  </si>
  <si>
    <t>Mohawk, MI</t>
  </si>
  <si>
    <t>Haysi, VA</t>
  </si>
  <si>
    <t>Knapp, WI</t>
  </si>
  <si>
    <t>Easton, ME</t>
  </si>
  <si>
    <t>Richville, NY</t>
  </si>
  <si>
    <t>Buckland, OH</t>
  </si>
  <si>
    <t>Upperville, VA</t>
  </si>
  <si>
    <t>Karlstad, MN</t>
  </si>
  <si>
    <t>Orford, NH</t>
  </si>
  <si>
    <t>Lyman, WA</t>
  </si>
  <si>
    <t>Mannsville, NY</t>
  </si>
  <si>
    <t>Saxtons River, VT</t>
  </si>
  <si>
    <t>Duxbury, VT</t>
  </si>
  <si>
    <t>Cherrylog, GA</t>
  </si>
  <si>
    <t>Elgin, AZ</t>
  </si>
  <si>
    <t>Cove, AR</t>
  </si>
  <si>
    <t>New Plymouth, OH</t>
  </si>
  <si>
    <t>Hackberry, LA</t>
  </si>
  <si>
    <t>Chesterville, ME</t>
  </si>
  <si>
    <t>Bevier, MO</t>
  </si>
  <si>
    <t>Nutrioso, AZ</t>
  </si>
  <si>
    <t>Byromville, GA</t>
  </si>
  <si>
    <t>Diamond, IL</t>
  </si>
  <si>
    <t>Rockledge, GA</t>
  </si>
  <si>
    <t>Midwest, WY</t>
  </si>
  <si>
    <t>Edgemont, AR</t>
  </si>
  <si>
    <t>Pathfork, KY</t>
  </si>
  <si>
    <t>Pittsburg, IL</t>
  </si>
  <si>
    <t>Puako, HI</t>
  </si>
  <si>
    <t>Ector, TX</t>
  </si>
  <si>
    <t>Stoddard, NH</t>
  </si>
  <si>
    <t>Sandyston Township, NJ</t>
  </si>
  <si>
    <t>Dupont, IN</t>
  </si>
  <si>
    <t>Booker, TX</t>
  </si>
  <si>
    <t>New Madrid, MO</t>
  </si>
  <si>
    <t>Ashkum, IL</t>
  </si>
  <si>
    <t>Chiefland, FL</t>
  </si>
  <si>
    <t>Flat Top, WV</t>
  </si>
  <si>
    <t>Pepin, WI</t>
  </si>
  <si>
    <t>Darden, TN</t>
  </si>
  <si>
    <t>Longport, NJ</t>
  </si>
  <si>
    <t>Clarence, IA</t>
  </si>
  <si>
    <t>Midway, OH</t>
  </si>
  <si>
    <t>Hardy, KY</t>
  </si>
  <si>
    <t>Melrose, MN</t>
  </si>
  <si>
    <t>Marlboro, VT</t>
  </si>
  <si>
    <t>Jim Falls, WI</t>
  </si>
  <si>
    <t>New Concord, KY</t>
  </si>
  <si>
    <t>Bryant, WI</t>
  </si>
  <si>
    <t>West Yellowstone, MT</t>
  </si>
  <si>
    <t>Theresa, WI</t>
  </si>
  <si>
    <t>Exeter, MO</t>
  </si>
  <si>
    <t>Chester, MT</t>
  </si>
  <si>
    <t>Glenbrook, NV</t>
  </si>
  <si>
    <t>Great River, NY</t>
  </si>
  <si>
    <t>Macdoel, CA</t>
  </si>
  <si>
    <t>Wykoff, MN</t>
  </si>
  <si>
    <t>Clintondale, NY</t>
  </si>
  <si>
    <t>Stella, MO</t>
  </si>
  <si>
    <t>Agra, OK</t>
  </si>
  <si>
    <t>Okarche, OK</t>
  </si>
  <si>
    <t>Clark, MO</t>
  </si>
  <si>
    <t>Olds, IA</t>
  </si>
  <si>
    <t>Mount Nebo, WV</t>
  </si>
  <si>
    <t>Prather, CA</t>
  </si>
  <si>
    <t>Ford, VA</t>
  </si>
  <si>
    <t>Saulsbury, TN</t>
  </si>
  <si>
    <t>Yates City, IL</t>
  </si>
  <si>
    <t>Orlinda, TN</t>
  </si>
  <si>
    <t>Sonoita, AZ</t>
  </si>
  <si>
    <t>Kahuku, HI</t>
  </si>
  <si>
    <t>Glenbeulah, WI</t>
  </si>
  <si>
    <t>Tidewater, OR</t>
  </si>
  <si>
    <t>Combine, TX</t>
  </si>
  <si>
    <t>Euharlee, GA</t>
  </si>
  <si>
    <t>Roman Forest, TX</t>
  </si>
  <si>
    <t>Catharpin, VA</t>
  </si>
  <si>
    <t>Summerland Key, FL</t>
  </si>
  <si>
    <t>Leeds, NY</t>
  </si>
  <si>
    <t>Pena Blanca, NM</t>
  </si>
  <si>
    <t>Bridport, VT</t>
  </si>
  <si>
    <t>Henrico, NC</t>
  </si>
  <si>
    <t>Waterman, IL</t>
  </si>
  <si>
    <t>Caliente, CA</t>
  </si>
  <si>
    <t>Kress, TX</t>
  </si>
  <si>
    <t>Bolton, VT</t>
  </si>
  <si>
    <t>Collins, GA</t>
  </si>
  <si>
    <t>Rociada, NM</t>
  </si>
  <si>
    <t>Pleasant Plains, AR</t>
  </si>
  <si>
    <t>Chunky, MS</t>
  </si>
  <si>
    <t>Effie, LA</t>
  </si>
  <si>
    <t>Maple, WI</t>
  </si>
  <si>
    <t>Somerville, IN</t>
  </si>
  <si>
    <t>New Castle, VA</t>
  </si>
  <si>
    <t>Celestine, IN</t>
  </si>
  <si>
    <t>Wayland, MO</t>
  </si>
  <si>
    <t>Gumspring, VA</t>
  </si>
  <si>
    <t>Barker Heights, NC</t>
  </si>
  <si>
    <t>North Fairfield, OH</t>
  </si>
  <si>
    <t>Pawlet, VT</t>
  </si>
  <si>
    <t>Ennice, NC</t>
  </si>
  <si>
    <t>Spiro, OK</t>
  </si>
  <si>
    <t>Capon Bridge, WV</t>
  </si>
  <si>
    <t>Buchanan Dam, TX</t>
  </si>
  <si>
    <t>Warrens, WI</t>
  </si>
  <si>
    <t>Chesterfield, MA</t>
  </si>
  <si>
    <t>Pescadero, CA</t>
  </si>
  <si>
    <t>Ransom, KY</t>
  </si>
  <si>
    <t>Camp Point, IL</t>
  </si>
  <si>
    <t>Tripoli, WI</t>
  </si>
  <si>
    <t>Fulks Run, VA</t>
  </si>
  <si>
    <t>Bolivar, PA</t>
  </si>
  <si>
    <t>Paw Paw, IL</t>
  </si>
  <si>
    <t>Cairnbrook, PA</t>
  </si>
  <si>
    <t>Comstock, NY</t>
  </si>
  <si>
    <t>Goldonna, LA</t>
  </si>
  <si>
    <t>Iron, MN</t>
  </si>
  <si>
    <t>Splendora, TX</t>
  </si>
  <si>
    <t>Stewardson, IL</t>
  </si>
  <si>
    <t>Kenduskeag, ME</t>
  </si>
  <si>
    <t>Lewistown, OH</t>
  </si>
  <si>
    <t>Kelley, IA</t>
  </si>
  <si>
    <t>Dewittville, NY</t>
  </si>
  <si>
    <t>Dowell, MD</t>
  </si>
  <si>
    <t>New Philadelphia, PA</t>
  </si>
  <si>
    <t>Goldvein, VA</t>
  </si>
  <si>
    <t>Tombstone, AZ</t>
  </si>
  <si>
    <t>North Lawrence, NY</t>
  </si>
  <si>
    <t>Ontario, WI</t>
  </si>
  <si>
    <t>Hesston, PA</t>
  </si>
  <si>
    <t>Olar, SC</t>
  </si>
  <si>
    <t>Wrightsville Beach, NC</t>
  </si>
  <si>
    <t>Dennison, MN</t>
  </si>
  <si>
    <t>Morris, GA</t>
  </si>
  <si>
    <t>Cottage Grove, TN</t>
  </si>
  <si>
    <t>Southern Shores, NC</t>
  </si>
  <si>
    <t>Velda Village, MO</t>
  </si>
  <si>
    <t>Ohio, IL</t>
  </si>
  <si>
    <t>Gallipolis Ferry, WV</t>
  </si>
  <si>
    <t>Curtis, NE</t>
  </si>
  <si>
    <t>Plentywood, MT</t>
  </si>
  <si>
    <t>Huttonsville, WV</t>
  </si>
  <si>
    <t>Mercer, WI</t>
  </si>
  <si>
    <t>Clear Fork, WV</t>
  </si>
  <si>
    <t>Penobscot, ME</t>
  </si>
  <si>
    <t>Merrionette Park, IL</t>
  </si>
  <si>
    <t>Tunbridge, VT</t>
  </si>
  <si>
    <t>Bradfordwoods, PA</t>
  </si>
  <si>
    <t>Elmore City, OK</t>
  </si>
  <si>
    <t>Moravia, IA</t>
  </si>
  <si>
    <t>Quasqueton, IA</t>
  </si>
  <si>
    <t>Milton, NC</t>
  </si>
  <si>
    <t>Lodi, NY</t>
  </si>
  <si>
    <t>Lewis, IN</t>
  </si>
  <si>
    <t>Arcadia, OH</t>
  </si>
  <si>
    <t>Fowler, OH</t>
  </si>
  <si>
    <t>Cypress Inn, TN</t>
  </si>
  <si>
    <t>Hickory Grove, SC</t>
  </si>
  <si>
    <t>Dawson, IL</t>
  </si>
  <si>
    <t>Carlin, NV</t>
  </si>
  <si>
    <t>Lamy, NM</t>
  </si>
  <si>
    <t>Princeville, NC</t>
  </si>
  <si>
    <t>Pattonsburg, MO</t>
  </si>
  <si>
    <t>Burlington, ND</t>
  </si>
  <si>
    <t>Glade Valley, NC</t>
  </si>
  <si>
    <t>Louise, TX</t>
  </si>
  <si>
    <t>Boomer, NC</t>
  </si>
  <si>
    <t>Walker, IA</t>
  </si>
  <si>
    <t>Plymouth, ME</t>
  </si>
  <si>
    <t>Cordova, IL</t>
  </si>
  <si>
    <t>Forest Ranch, CA</t>
  </si>
  <si>
    <t>Nauvoo, IL</t>
  </si>
  <si>
    <t>Sterling, AK</t>
  </si>
  <si>
    <t>New Marshfield, OH</t>
  </si>
  <si>
    <t>Galliano, LA</t>
  </si>
  <si>
    <t>Hidden Hills, CA</t>
  </si>
  <si>
    <t>Croydon, NH</t>
  </si>
  <si>
    <t>Greenville, CA</t>
  </si>
  <si>
    <t>Illinois City, IL</t>
  </si>
  <si>
    <t>Newhall, IA</t>
  </si>
  <si>
    <t>Mortons Gap, KY</t>
  </si>
  <si>
    <t>Freetown, IN</t>
  </si>
  <si>
    <t>Calhoun, MO</t>
  </si>
  <si>
    <t>Shumway, IL</t>
  </si>
  <si>
    <t>Paron, AR</t>
  </si>
  <si>
    <t>Dannemora, NY</t>
  </si>
  <si>
    <t>Newark, MD</t>
  </si>
  <si>
    <t>Glenwood, MN</t>
  </si>
  <si>
    <t>Primghar, IA</t>
  </si>
  <si>
    <t>Bettsville, OH</t>
  </si>
  <si>
    <t>Sparks, OK</t>
  </si>
  <si>
    <t>Dodge, NE</t>
  </si>
  <si>
    <t>North Zulch, TX</t>
  </si>
  <si>
    <t>Idyllwild, CA</t>
  </si>
  <si>
    <t>Eldorado, WI</t>
  </si>
  <si>
    <t>North Redington Beach, FL</t>
  </si>
  <si>
    <t>Dumas, MS</t>
  </si>
  <si>
    <t>Mitchell, WI</t>
  </si>
  <si>
    <t>Effingham, KS</t>
  </si>
  <si>
    <t>Chappell, NE</t>
  </si>
  <si>
    <t>Greencastle, MO</t>
  </si>
  <si>
    <t>Van Horne, IA</t>
  </si>
  <si>
    <t>Maple Hill, KS</t>
  </si>
  <si>
    <t>Walnut Grove, TN</t>
  </si>
  <si>
    <t>Mears, MI</t>
  </si>
  <si>
    <t>Waddington, NY</t>
  </si>
  <si>
    <t>Scanlon, MN</t>
  </si>
  <si>
    <t>New Braintree, MA</t>
  </si>
  <si>
    <t>Jackson, NH</t>
  </si>
  <si>
    <t>Coffeen, IL</t>
  </si>
  <si>
    <t>Rock, MI</t>
  </si>
  <si>
    <t>Ancram, NY</t>
  </si>
  <si>
    <t>Idaville, IN</t>
  </si>
  <si>
    <t>Wakefield, KS</t>
  </si>
  <si>
    <t>Benkelman, NE</t>
  </si>
  <si>
    <t>Paris, AR</t>
  </si>
  <si>
    <t>Fairview, MI</t>
  </si>
  <si>
    <t>Turin, NY</t>
  </si>
  <si>
    <t>Fremont, IA</t>
  </si>
  <si>
    <t>Mountainair, NM</t>
  </si>
  <si>
    <t>Dunkirk, OH</t>
  </si>
  <si>
    <t>Lagunitas, CA</t>
  </si>
  <si>
    <t>Chili, WI</t>
  </si>
  <si>
    <t>Townville, PA</t>
  </si>
  <si>
    <t>Breezy Point, MN</t>
  </si>
  <si>
    <t>Varnell, GA</t>
  </si>
  <si>
    <t>Fulton, MI</t>
  </si>
  <si>
    <t>McKenzie, AL</t>
  </si>
  <si>
    <t>Hoffman, IL</t>
  </si>
  <si>
    <t>Coulee City, WA</t>
  </si>
  <si>
    <t>Houston, OH</t>
  </si>
  <si>
    <t>West Windsor, VT</t>
  </si>
  <si>
    <t>Stambaugh, KY</t>
  </si>
  <si>
    <t>Blanco, NM</t>
  </si>
  <si>
    <t>Burke, WI</t>
  </si>
  <si>
    <t>Erskine, MN</t>
  </si>
  <si>
    <t>Hubbardston, MI</t>
  </si>
  <si>
    <t>Clements, MD</t>
  </si>
  <si>
    <t>Delaware, AR</t>
  </si>
  <si>
    <t>McDowell, KY</t>
  </si>
  <si>
    <t>Rouses Point, NY</t>
  </si>
  <si>
    <t>Cairo, WV</t>
  </si>
  <si>
    <t>Greenup, KY</t>
  </si>
  <si>
    <t>Greenwood, CA</t>
  </si>
  <si>
    <t>Middlebourne, WV</t>
  </si>
  <si>
    <t>Lupton, MI</t>
  </si>
  <si>
    <t>Brackney, PA</t>
  </si>
  <si>
    <t>Mt Holly, VT</t>
  </si>
  <si>
    <t>Ocean Gate, NJ</t>
  </si>
  <si>
    <t>Graettinger, IA</t>
  </si>
  <si>
    <t>Arkansaw, WI</t>
  </si>
  <si>
    <t>Blakesburg, IA</t>
  </si>
  <si>
    <t>Wilderville, OR</t>
  </si>
  <si>
    <t>Coral, MI</t>
  </si>
  <si>
    <t>Metamora, OH</t>
  </si>
  <si>
    <t>Chateau Woods, TX</t>
  </si>
  <si>
    <t>Milltown, WI</t>
  </si>
  <si>
    <t>Rushford, WI</t>
  </si>
  <si>
    <t>Leo-Cedarville, IN</t>
  </si>
  <si>
    <t>Trinity Center, CA</t>
  </si>
  <si>
    <t>Atlantic Beach, NC</t>
  </si>
  <si>
    <t>Bear River, WY</t>
  </si>
  <si>
    <t>Lake Leelanau, MI</t>
  </si>
  <si>
    <t>Mulberry, TN</t>
  </si>
  <si>
    <t>Porterfield, WI</t>
  </si>
  <si>
    <t>Askov, MN</t>
  </si>
  <si>
    <t>Mankato, KS</t>
  </si>
  <si>
    <t>Country Club Hills, MO</t>
  </si>
  <si>
    <t>Washington, NH</t>
  </si>
  <si>
    <t>Fletcher, OH</t>
  </si>
  <si>
    <t>Brandy Station, VA</t>
  </si>
  <si>
    <t>Arabi, GA</t>
  </si>
  <si>
    <t>Sandborn, IN</t>
  </si>
  <si>
    <t>Rancho Viejo, TX</t>
  </si>
  <si>
    <t>Meadow Grove, NE</t>
  </si>
  <si>
    <t>Lennon, MI</t>
  </si>
  <si>
    <t>Atwood, IL</t>
  </si>
  <si>
    <t>Silver City, IA</t>
  </si>
  <si>
    <t>Oglesby, TX</t>
  </si>
  <si>
    <t>Rosalia, WA</t>
  </si>
  <si>
    <t>Malden, WA</t>
  </si>
  <si>
    <t>Tracys Landing, MD</t>
  </si>
  <si>
    <t>Odessa, NY</t>
  </si>
  <si>
    <t>Lake Lafayette, MO</t>
  </si>
  <si>
    <t>Leetsdale, PA</t>
  </si>
  <si>
    <t>Bowlus, MN</t>
  </si>
  <si>
    <t>Ashmore, IL</t>
  </si>
  <si>
    <t>Bodega Bay, CA</t>
  </si>
  <si>
    <t>Trufant, MI</t>
  </si>
  <si>
    <t>Kendrick, ID</t>
  </si>
  <si>
    <t>Kokomo, MS</t>
  </si>
  <si>
    <t>Hinkley, CA</t>
  </si>
  <si>
    <t>Underwood, IA</t>
  </si>
  <si>
    <t>Washington, VA</t>
  </si>
  <si>
    <t>Seville, OH</t>
  </si>
  <si>
    <t>Guilford, ME</t>
  </si>
  <si>
    <t>Cantrall, IL</t>
  </si>
  <si>
    <t>Ideal, GA</t>
  </si>
  <si>
    <t>Forestville, WI</t>
  </si>
  <si>
    <t>Round Top, TX</t>
  </si>
  <si>
    <t>Farmersville, TX</t>
  </si>
  <si>
    <t>Seabrook Island, SC</t>
  </si>
  <si>
    <t>Canaan, NY</t>
  </si>
  <si>
    <t>Turners Station, KY</t>
  </si>
  <si>
    <t>Mosier, OR</t>
  </si>
  <si>
    <t>Excelsior, MN</t>
  </si>
  <si>
    <t>Prentice, WI</t>
  </si>
  <si>
    <t>Apple River, IL</t>
  </si>
  <si>
    <t>Meeteetse, WY</t>
  </si>
  <si>
    <t>Payneville, KY</t>
  </si>
  <si>
    <t>Sycamore, GA</t>
  </si>
  <si>
    <t>Roberts, ID</t>
  </si>
  <si>
    <t>Lane, SC</t>
  </si>
  <si>
    <t>Stanford, IL</t>
  </si>
  <si>
    <t>Fisher, IL</t>
  </si>
  <si>
    <t>Bruceville, IN</t>
  </si>
  <si>
    <t>Denmark, ME</t>
  </si>
  <si>
    <t>Arenzville, IL</t>
  </si>
  <si>
    <t>Woodstock, ME</t>
  </si>
  <si>
    <t>Nutter Fort, WV</t>
  </si>
  <si>
    <t>Petersham, MA</t>
  </si>
  <si>
    <t>Bellwood, NE</t>
  </si>
  <si>
    <t>Greensburg, KS</t>
  </si>
  <si>
    <t>Dodd City, TX</t>
  </si>
  <si>
    <t>Lost Creek, KY</t>
  </si>
  <si>
    <t>Oak Harbor, OH</t>
  </si>
  <si>
    <t>Tieton, WA</t>
  </si>
  <si>
    <t>Seadrift, TX</t>
  </si>
  <si>
    <t>Cardwell, MO</t>
  </si>
  <si>
    <t>Eastman, WI</t>
  </si>
  <si>
    <t>Hoffman, MN</t>
  </si>
  <si>
    <t>Boswell, OK</t>
  </si>
  <si>
    <t>Ponca, NE</t>
  </si>
  <si>
    <t>Wellsburg, IA</t>
  </si>
  <si>
    <t>Island Pond, VT</t>
  </si>
  <si>
    <t>Lake Santeetlah, NC</t>
  </si>
  <si>
    <t>Atlantic, PA</t>
  </si>
  <si>
    <t>Hopewell, OH</t>
  </si>
  <si>
    <t>Albert City, IA</t>
  </si>
  <si>
    <t>East Griffin, GA</t>
  </si>
  <si>
    <t>Selmont-West Selmont, AL</t>
  </si>
  <si>
    <t>Pembine, WI</t>
  </si>
  <si>
    <t>Maynard, MN</t>
  </si>
  <si>
    <t>Simpson, IL</t>
  </si>
  <si>
    <t>Harrold, SD</t>
  </si>
  <si>
    <t>Drayton, ND</t>
  </si>
  <si>
    <t>Toms Brook, VA</t>
  </si>
  <si>
    <t>Killdeer, ND</t>
  </si>
  <si>
    <t>Dufur, OR</t>
  </si>
  <si>
    <t>Empire, MI</t>
  </si>
  <si>
    <t>Brasstown, NC</t>
  </si>
  <si>
    <t>Cameron, MT</t>
  </si>
  <si>
    <t>Pittsburg, OK</t>
  </si>
  <si>
    <t>Bledsoe, KY</t>
  </si>
  <si>
    <t>Bonaparte, IA</t>
  </si>
  <si>
    <t>Center, MO</t>
  </si>
  <si>
    <t>Pattersonville, NY</t>
  </si>
  <si>
    <t>Findlay, IL</t>
  </si>
  <si>
    <t>Readlyn, IA</t>
  </si>
  <si>
    <t>Cowden, IL</t>
  </si>
  <si>
    <t>Albany, IL</t>
  </si>
  <si>
    <t>Mosca, CO</t>
  </si>
  <si>
    <t>Sulphur Springs, IN</t>
  </si>
  <si>
    <t>Elk Creek, VA</t>
  </si>
  <si>
    <t>Olga, WA</t>
  </si>
  <si>
    <t>Columbia, CA</t>
  </si>
  <si>
    <t>Lesage, WV</t>
  </si>
  <si>
    <t>Sharon Springs, KS</t>
  </si>
  <si>
    <t>Blodgett, OR</t>
  </si>
  <si>
    <t>Cynthiana, IN</t>
  </si>
  <si>
    <t>Alvordton, OH</t>
  </si>
  <si>
    <t>Woodbridge, CA</t>
  </si>
  <si>
    <t>Joseph, OR</t>
  </si>
  <si>
    <t>Corunna, IN</t>
  </si>
  <si>
    <t>Hamburg, MN</t>
  </si>
  <si>
    <t>Laconia, IN</t>
  </si>
  <si>
    <t>Honey Creek, IA</t>
  </si>
  <si>
    <t>Cypress Lakes, FL</t>
  </si>
  <si>
    <t>Henderson, NE</t>
  </si>
  <si>
    <t>Carr, CO</t>
  </si>
  <si>
    <t>Jacobus, PA</t>
  </si>
  <si>
    <t>Cedar Vale, KS</t>
  </si>
  <si>
    <t>Loganville, WI</t>
  </si>
  <si>
    <t>Seymour, IA</t>
  </si>
  <si>
    <t>Scranton, KS</t>
  </si>
  <si>
    <t>Shickley, NE</t>
  </si>
  <si>
    <t>Bellefonte, DE</t>
  </si>
  <si>
    <t>Gordon, WI</t>
  </si>
  <si>
    <t>Lava Hot Springs, ID</t>
  </si>
  <si>
    <t>Ama, LA</t>
  </si>
  <si>
    <t>North Courtland, AL</t>
  </si>
  <si>
    <t>Nesbitt, TX</t>
  </si>
  <si>
    <t>Reed, KY</t>
  </si>
  <si>
    <t>Schuyler, VA</t>
  </si>
  <si>
    <t>Richardton, ND</t>
  </si>
  <si>
    <t>New Germany, MN</t>
  </si>
  <si>
    <t>Stone Lake, WI</t>
  </si>
  <si>
    <t>Assaria, KS</t>
  </si>
  <si>
    <t>Star Prairie, WI</t>
  </si>
  <si>
    <t>Stone Harbor, NJ</t>
  </si>
  <si>
    <t>Sidon, MS</t>
  </si>
  <si>
    <t>West Manchester, OH</t>
  </si>
  <si>
    <t>Brandon, WI</t>
  </si>
  <si>
    <t>Porter, OK</t>
  </si>
  <si>
    <t>Bunceton, MO</t>
  </si>
  <si>
    <t>Lamberton, MN</t>
  </si>
  <si>
    <t>Lenzburg, IL</t>
  </si>
  <si>
    <t>Fillmore, UT</t>
  </si>
  <si>
    <t>Altona, IL</t>
  </si>
  <si>
    <t>Fithian, IL</t>
  </si>
  <si>
    <t>Mill Creek, IN</t>
  </si>
  <si>
    <t>Russell, NY</t>
  </si>
  <si>
    <t>Minnesota Lake, MN</t>
  </si>
  <si>
    <t>Craigmont, ID</t>
  </si>
  <si>
    <t>Allen, MI</t>
  </si>
  <si>
    <t>Vernon Hill, VA</t>
  </si>
  <si>
    <t>Poplar, WI</t>
  </si>
  <si>
    <t>Blue Rock, OH</t>
  </si>
  <si>
    <t>Barlow, KY</t>
  </si>
  <si>
    <t>Lorenzo, TX</t>
  </si>
  <si>
    <t>Nucla, CO</t>
  </si>
  <si>
    <t>Boxholm, IA</t>
  </si>
  <si>
    <t>Clinton, OH</t>
  </si>
  <si>
    <t>Pilot Mound, IA</t>
  </si>
  <si>
    <t>Eckerty, IN</t>
  </si>
  <si>
    <t>Milaca, MN</t>
  </si>
  <si>
    <t>Roosevelt, OK</t>
  </si>
  <si>
    <t>Mountain Park, OK</t>
  </si>
  <si>
    <t>Washington, CT</t>
  </si>
  <si>
    <t>Marenisco, MI</t>
  </si>
  <si>
    <t>Wooton, KY</t>
  </si>
  <si>
    <t>Rockbridge Baths, VA</t>
  </si>
  <si>
    <t>Viola, KS</t>
  </si>
  <si>
    <t>Yachats, OR</t>
  </si>
  <si>
    <t>Duboistown, PA</t>
  </si>
  <si>
    <t>Eldridge, AL</t>
  </si>
  <si>
    <t>Ogden Dunes, IN</t>
  </si>
  <si>
    <t>Du Pont, GA</t>
  </si>
  <si>
    <t>Early Branch, SC</t>
  </si>
  <si>
    <t>Gardiner, MT</t>
  </si>
  <si>
    <t>Ulen, MN</t>
  </si>
  <si>
    <t>Isola, MS</t>
  </si>
  <si>
    <t>Carlotta, CA</t>
  </si>
  <si>
    <t>Perry, SC</t>
  </si>
  <si>
    <t>Hartford, ME</t>
  </si>
  <si>
    <t>Cleveland, OK</t>
  </si>
  <si>
    <t>Saint James, LA</t>
  </si>
  <si>
    <t>Moss, TN</t>
  </si>
  <si>
    <t>Sedgwick, ME</t>
  </si>
  <si>
    <t>Lafitte, LA</t>
  </si>
  <si>
    <t>Reading, KS</t>
  </si>
  <si>
    <t>Sulphur Bluff, TX</t>
  </si>
  <si>
    <t>Holy Cross, IA</t>
  </si>
  <si>
    <t>Hope, ID</t>
  </si>
  <si>
    <t>Luxemburg, IA</t>
  </si>
  <si>
    <t>Erhard, MN</t>
  </si>
  <si>
    <t>Courtland, CA</t>
  </si>
  <si>
    <t>Stewart, MN</t>
  </si>
  <si>
    <t>Silverwood, MI</t>
  </si>
  <si>
    <t>Huntington Bay, NY</t>
  </si>
  <si>
    <t>Elysian, MN</t>
  </si>
  <si>
    <t>Creston, CA</t>
  </si>
  <si>
    <t>Rankin, IL</t>
  </si>
  <si>
    <t>Leola, AR</t>
  </si>
  <si>
    <t>Gerry, NY</t>
  </si>
  <si>
    <t>Lyons, IN</t>
  </si>
  <si>
    <t>Calhoun City, MS</t>
  </si>
  <si>
    <t>Burnettsville, IN</t>
  </si>
  <si>
    <t>Shiloh, NC</t>
  </si>
  <si>
    <t>Smiley, TX</t>
  </si>
  <si>
    <t>Gifford, IL</t>
  </si>
  <si>
    <t>New Meadows, ID</t>
  </si>
  <si>
    <t>Dunlap, CA</t>
  </si>
  <si>
    <t>Byron, CA</t>
  </si>
  <si>
    <t>Tresckow, PA</t>
  </si>
  <si>
    <t>Coal City, WV</t>
  </si>
  <si>
    <t>Washington Township, NJ</t>
  </si>
  <si>
    <t>Coosada, AL</t>
  </si>
  <si>
    <t>Saint Regis Falls, NY</t>
  </si>
  <si>
    <t>Mill Neck, NY</t>
  </si>
  <si>
    <t>Glenville, NC</t>
  </si>
  <si>
    <t>McMechen, WV</t>
  </si>
  <si>
    <t>Shrewsbury, VT</t>
  </si>
  <si>
    <t>Farmersville Station, NY</t>
  </si>
  <si>
    <t>Smithland, KY</t>
  </si>
  <si>
    <t>Gaylord, KS</t>
  </si>
  <si>
    <t>Livingston, WI</t>
  </si>
  <si>
    <t>Washington, VT</t>
  </si>
  <si>
    <t>Harrietta, MI</t>
  </si>
  <si>
    <t>Cedarbluff, MS</t>
  </si>
  <si>
    <t>Schleswig, IA</t>
  </si>
  <si>
    <t>Deweyville, UT</t>
  </si>
  <si>
    <t>McCurtain, OK</t>
  </si>
  <si>
    <t>Canute, OK</t>
  </si>
  <si>
    <t>Bigfoot, TX</t>
  </si>
  <si>
    <t>Richards, TX</t>
  </si>
  <si>
    <t>Hale, MO</t>
  </si>
  <si>
    <t>La Moille, IL</t>
  </si>
  <si>
    <t>Point Reyes Station, CA</t>
  </si>
  <si>
    <t>Horseshoe Bend, ID</t>
  </si>
  <si>
    <t>Head of the Harbor, NY</t>
  </si>
  <si>
    <t>Earp, CA</t>
  </si>
  <si>
    <t>Greenville, VA</t>
  </si>
  <si>
    <t>Goodspring, TN</t>
  </si>
  <si>
    <t>Vienna, MD</t>
  </si>
  <si>
    <t>Ventura, IA</t>
  </si>
  <si>
    <t>Sardis, TN</t>
  </si>
  <si>
    <t>Steuben, ME</t>
  </si>
  <si>
    <t>Tannersville, VA</t>
  </si>
  <si>
    <t>Doon, IA</t>
  </si>
  <si>
    <t>Varna, IL</t>
  </si>
  <si>
    <t>Whitaker, PA</t>
  </si>
  <si>
    <t>Meyers Lake, OH</t>
  </si>
  <si>
    <t>Arapaho, OK</t>
  </si>
  <si>
    <t>Roosevelt, MN</t>
  </si>
  <si>
    <t>Epps, LA</t>
  </si>
  <si>
    <t>Etoile, TX</t>
  </si>
  <si>
    <t>Wheelwright, KY</t>
  </si>
  <si>
    <t>Brunson, SC</t>
  </si>
  <si>
    <t>Cable, WI</t>
  </si>
  <si>
    <t>Saltillo, TX</t>
  </si>
  <si>
    <t>Equinunk, PA</t>
  </si>
  <si>
    <t>Patoka, IL</t>
  </si>
  <si>
    <t>Clay Center, NE</t>
  </si>
  <si>
    <t>Gardner, IL</t>
  </si>
  <si>
    <t>Hermanville, MS</t>
  </si>
  <si>
    <t>Fairview Lanes, OH</t>
  </si>
  <si>
    <t>Middleton, MI</t>
  </si>
  <si>
    <t>Junction City, IL</t>
  </si>
  <si>
    <t>La Crosse, KS</t>
  </si>
  <si>
    <t>Gulf Stream, FL</t>
  </si>
  <si>
    <t>Morris Chapel, TN</t>
  </si>
  <si>
    <t>Ethan, SD</t>
  </si>
  <si>
    <t>Elmwood, TN</t>
  </si>
  <si>
    <t>Weston, OR</t>
  </si>
  <si>
    <t>Custar, OH</t>
  </si>
  <si>
    <t>Cleveland, MN</t>
  </si>
  <si>
    <t>Wentworth, SD</t>
  </si>
  <si>
    <t>Grayland, WA</t>
  </si>
  <si>
    <t>Marydel, DE</t>
  </si>
  <si>
    <t>Berthold, ND</t>
  </si>
  <si>
    <t>Bingen, WA</t>
  </si>
  <si>
    <t>Hay Springs, NE</t>
  </si>
  <si>
    <t>Hustisford, WI</t>
  </si>
  <si>
    <t>Bucklin, KS</t>
  </si>
  <si>
    <t>Point Lookout, NY</t>
  </si>
  <si>
    <t>Thrall, TX</t>
  </si>
  <si>
    <t>Canton, MN</t>
  </si>
  <si>
    <t>Sapphire, NC</t>
  </si>
  <si>
    <t>Elwood, NE</t>
  </si>
  <si>
    <t>Trimont, MN</t>
  </si>
  <si>
    <t>Schaller, IA</t>
  </si>
  <si>
    <t>Ariel, WA</t>
  </si>
  <si>
    <t>Tulelake, CA</t>
  </si>
  <si>
    <t>La Motte, IA</t>
  </si>
  <si>
    <t>Tutwiler, MS</t>
  </si>
  <si>
    <t>Wallace, WV</t>
  </si>
  <si>
    <t>Grand View, ID</t>
  </si>
  <si>
    <t>Broadus, MT</t>
  </si>
  <si>
    <t>Otley, IA</t>
  </si>
  <si>
    <t>Walnut Hill, IL</t>
  </si>
  <si>
    <t>Wellsburg, NY</t>
  </si>
  <si>
    <t>Montezuma, IN</t>
  </si>
  <si>
    <t>Clarissa, MN</t>
  </si>
  <si>
    <t>Craftsbury, VT</t>
  </si>
  <si>
    <t>Reedy, WV</t>
  </si>
  <si>
    <t>North Prairie, WI</t>
  </si>
  <si>
    <t>Weston, NE</t>
  </si>
  <si>
    <t>Swansboro, NC</t>
  </si>
  <si>
    <t>Olney Springs, CO</t>
  </si>
  <si>
    <t>Hydesville, CA</t>
  </si>
  <si>
    <t>Point Arena, CA</t>
  </si>
  <si>
    <t>Burt, IA</t>
  </si>
  <si>
    <t>Belleair Beach, FL</t>
  </si>
  <si>
    <t>Portland, ND</t>
  </si>
  <si>
    <t>Asotin, WA</t>
  </si>
  <si>
    <t>Hampton, IA</t>
  </si>
  <si>
    <t>Lincoln, ND</t>
  </si>
  <si>
    <t>New Lebanon, NY</t>
  </si>
  <si>
    <t>Colton, WA</t>
  </si>
  <si>
    <t>Falmouth, MI</t>
  </si>
  <si>
    <t>Onida, SD</t>
  </si>
  <si>
    <t>Otwell, IN</t>
  </si>
  <si>
    <t>Lenore, ID</t>
  </si>
  <si>
    <t>Bentley, KS</t>
  </si>
  <si>
    <t>Bokoshe, OK</t>
  </si>
  <si>
    <t>What Cheer, IA</t>
  </si>
  <si>
    <t>Salisbury, VT</t>
  </si>
  <si>
    <t>Saybrook, IL</t>
  </si>
  <si>
    <t>Brock, NE</t>
  </si>
  <si>
    <t>Liberty, WI</t>
  </si>
  <si>
    <t>Portage, OH</t>
  </si>
  <si>
    <t>Casstown, OH</t>
  </si>
  <si>
    <t>Finchville, KY</t>
  </si>
  <si>
    <t>Sterling City, TX</t>
  </si>
  <si>
    <t>Overton, NE</t>
  </si>
  <si>
    <t>Kenwood, CA</t>
  </si>
  <si>
    <t>Hampshire, TN</t>
  </si>
  <si>
    <t>Allen, NE</t>
  </si>
  <si>
    <t>Roxton, TX</t>
  </si>
  <si>
    <t>Hazard, NE</t>
  </si>
  <si>
    <t>Lasara, TX</t>
  </si>
  <si>
    <t>Bradley, CA</t>
  </si>
  <si>
    <t>Trout Creek, MT</t>
  </si>
  <si>
    <t>Goldsboro, MD</t>
  </si>
  <si>
    <t>Elk Ridge, UT</t>
  </si>
  <si>
    <t>Centerville, WA</t>
  </si>
  <si>
    <t>Charlack, MO</t>
  </si>
  <si>
    <t>Laverne, OK</t>
  </si>
  <si>
    <t>Laona, WI</t>
  </si>
  <si>
    <t>Caryville, FL</t>
  </si>
  <si>
    <t>Carson, IA</t>
  </si>
  <si>
    <t>Plainview, TN</t>
  </si>
  <si>
    <t>Danbury, NH</t>
  </si>
  <si>
    <t>Loleta, CA</t>
  </si>
  <si>
    <t>Bingham Farms, MI</t>
  </si>
  <si>
    <t>Holden Beach, NC</t>
  </si>
  <si>
    <t>Morgan, TX</t>
  </si>
  <si>
    <t>South Wayne, WI</t>
  </si>
  <si>
    <t>Elk Rapids, MI</t>
  </si>
  <si>
    <t>Fontanelle, IA</t>
  </si>
  <si>
    <t>Jupiter Island, FL</t>
  </si>
  <si>
    <t>Witt, IL</t>
  </si>
  <si>
    <t>Minden, IA</t>
  </si>
  <si>
    <t>Firth, NE</t>
  </si>
  <si>
    <t>Lime Springs, IA</t>
  </si>
  <si>
    <t>Chadwick, MO</t>
  </si>
  <si>
    <t>Loma, CO</t>
  </si>
  <si>
    <t>Heidelberg, PA</t>
  </si>
  <si>
    <t>Clarks Green, PA</t>
  </si>
  <si>
    <t>Cedar Bluffs, NE</t>
  </si>
  <si>
    <t>Abiquiu, NM</t>
  </si>
  <si>
    <t>Stonington, IL</t>
  </si>
  <si>
    <t>San Luis, CO</t>
  </si>
  <si>
    <t>Columbine Valley, CO</t>
  </si>
  <si>
    <t>Kempton, IN</t>
  </si>
  <si>
    <t>Beldenville, WI</t>
  </si>
  <si>
    <t>Kinmundy, IL</t>
  </si>
  <si>
    <t>Grand Junction, IA</t>
  </si>
  <si>
    <t>Lena, LA</t>
  </si>
  <si>
    <t>Hoisington, KS</t>
  </si>
  <si>
    <t>Saint Marys, CO</t>
  </si>
  <si>
    <t>Hopedale, IL</t>
  </si>
  <si>
    <t>Edmundson, MO</t>
  </si>
  <si>
    <t>Boulder Junction, WI</t>
  </si>
  <si>
    <t>Bancroft, IA</t>
  </si>
  <si>
    <t>Star Tannery, VA</t>
  </si>
  <si>
    <t>Cochrane, WI</t>
  </si>
  <si>
    <t>Pilot, VA</t>
  </si>
  <si>
    <t>Richmond, NH</t>
  </si>
  <si>
    <t>Willow, OK</t>
  </si>
  <si>
    <t>McLean, IL</t>
  </si>
  <si>
    <t>Hobbsville, NC</t>
  </si>
  <si>
    <t>Urbana, IN</t>
  </si>
  <si>
    <t>Shokan, NY</t>
  </si>
  <si>
    <t>Algood, TN</t>
  </si>
  <si>
    <t>Adamsville, OH</t>
  </si>
  <si>
    <t>Plain, WI</t>
  </si>
  <si>
    <t>Grand Mound, IA</t>
  </si>
  <si>
    <t>Hughesville, MO</t>
  </si>
  <si>
    <t>Cabot, VT</t>
  </si>
  <si>
    <t>Glenelg, MD</t>
  </si>
  <si>
    <t>Wittman, MD</t>
  </si>
  <si>
    <t>Friendship, ME</t>
  </si>
  <si>
    <t>Falcon, MO</t>
  </si>
  <si>
    <t>East Liberty, OH</t>
  </si>
  <si>
    <t>Port Barrington, IL</t>
  </si>
  <si>
    <t>Hartland, MN</t>
  </si>
  <si>
    <t>Felch, MI</t>
  </si>
  <si>
    <t>Valdez, AK</t>
  </si>
  <si>
    <t>German Valley, IL</t>
  </si>
  <si>
    <t>Germantown Hills, IL</t>
  </si>
  <si>
    <t>Dover, MN</t>
  </si>
  <si>
    <t>Craig Beach, OH</t>
  </si>
  <si>
    <t>Loon Lake, WA</t>
  </si>
  <si>
    <t>Faber, VA</t>
  </si>
  <si>
    <t>Willow River, MN</t>
  </si>
  <si>
    <t>Otterville, MO</t>
  </si>
  <si>
    <t>Carlos, MN</t>
  </si>
  <si>
    <t>Nickerson, KS</t>
  </si>
  <si>
    <t>Martha, KY</t>
  </si>
  <si>
    <t>Dime Box, TX</t>
  </si>
  <si>
    <t>Florence, SD</t>
  </si>
  <si>
    <t>Duck, WV</t>
  </si>
  <si>
    <t>Tahoe Vista, CA</t>
  </si>
  <si>
    <t>Dove Creek, CO</t>
  </si>
  <si>
    <t>Beaverdam, OH</t>
  </si>
  <si>
    <t>Elkton, OR</t>
  </si>
  <si>
    <t>Lone Pine, CA</t>
  </si>
  <si>
    <t>Glen Daniel, WV</t>
  </si>
  <si>
    <t>Sanders, KY</t>
  </si>
  <si>
    <t>Tranquillity, CA</t>
  </si>
  <si>
    <t>Schuyler Falls, NY</t>
  </si>
  <si>
    <t>Edgecomb, ME</t>
  </si>
  <si>
    <t>Edgerton, MO</t>
  </si>
  <si>
    <t>Union, MS</t>
  </si>
  <si>
    <t>Moatsville, WV</t>
  </si>
  <si>
    <t>Springbrook, WI</t>
  </si>
  <si>
    <t>Kinards, SC</t>
  </si>
  <si>
    <t>Tool, TX</t>
  </si>
  <si>
    <t>Laneville, TX</t>
  </si>
  <si>
    <t>Yawkey, WV</t>
  </si>
  <si>
    <t>Union, MI</t>
  </si>
  <si>
    <t>Illiopolis, IL</t>
  </si>
  <si>
    <t>Pine Bluffs, WY</t>
  </si>
  <si>
    <t>Owls Head, ME</t>
  </si>
  <si>
    <t>Grafton, NH</t>
  </si>
  <si>
    <t>Paxico, KS</t>
  </si>
  <si>
    <t>Dumont, IA</t>
  </si>
  <si>
    <t>Long Lake, WI</t>
  </si>
  <si>
    <t>Sorento, IL</t>
  </si>
  <si>
    <t>Halfway, OR</t>
  </si>
  <si>
    <t>Crozier, VA</t>
  </si>
  <si>
    <t>Waldo, OH</t>
  </si>
  <si>
    <t>Stafford, KS</t>
  </si>
  <si>
    <t>Haviland, OH</t>
  </si>
  <si>
    <t>North Randall, OH</t>
  </si>
  <si>
    <t>Monetta, SC</t>
  </si>
  <si>
    <t>Sumner, ME</t>
  </si>
  <si>
    <t>Richmond, KS</t>
  </si>
  <si>
    <t>Lake Isabella, MI</t>
  </si>
  <si>
    <t>Wesley, AR</t>
  </si>
  <si>
    <t>North Topsail Beach, NC</t>
  </si>
  <si>
    <t>Blandford, MA</t>
  </si>
  <si>
    <t>Cedarcreek, MO</t>
  </si>
  <si>
    <t>Church Creek, MD</t>
  </si>
  <si>
    <t>Ashton, NE</t>
  </si>
  <si>
    <t>Palmyra, MI</t>
  </si>
  <si>
    <t>Wayne, ME</t>
  </si>
  <si>
    <t>Mount Vernon, OR</t>
  </si>
  <si>
    <t>New Douglas, IL</t>
  </si>
  <si>
    <t>Canton, OK</t>
  </si>
  <si>
    <t>Swan Valley, ID</t>
  </si>
  <si>
    <t>Greeley Center, NE</t>
  </si>
  <si>
    <t>Scotia, NE</t>
  </si>
  <si>
    <t>Deerfield, MA</t>
  </si>
  <si>
    <t>Hills, MN</t>
  </si>
  <si>
    <t>Wilder, TN</t>
  </si>
  <si>
    <t>Wilsons Mills, NC</t>
  </si>
  <si>
    <t>Graham, KY</t>
  </si>
  <si>
    <t>Irvona, PA</t>
  </si>
  <si>
    <t>Enterprise, KS</t>
  </si>
  <si>
    <t>Coldwater, KS</t>
  </si>
  <si>
    <t>Kansas, OH</t>
  </si>
  <si>
    <t>Tallapoosa, GA</t>
  </si>
  <si>
    <t>Mount Hope, AL</t>
  </si>
  <si>
    <t>Saint David, IL</t>
  </si>
  <si>
    <t>Udell, IA</t>
  </si>
  <si>
    <t>Aplington, IA</t>
  </si>
  <si>
    <t>Dallas, WI</t>
  </si>
  <si>
    <t>South Solon, OH</t>
  </si>
  <si>
    <t>Schell City, MO</t>
  </si>
  <si>
    <t>Wilson, MI</t>
  </si>
  <si>
    <t>Minor Hill, TN</t>
  </si>
  <si>
    <t>Dunmor, KY</t>
  </si>
  <si>
    <t>Brashear, TX</t>
  </si>
  <si>
    <t>Eads, CO</t>
  </si>
  <si>
    <t>Drain, OR</t>
  </si>
  <si>
    <t>Davisville, WV</t>
  </si>
  <si>
    <t>Utica, PA</t>
  </si>
  <si>
    <t>North Adams, MI</t>
  </si>
  <si>
    <t>Arnoldsville, GA</t>
  </si>
  <si>
    <t>Curlew, WA</t>
  </si>
  <si>
    <t>Bentley, MI</t>
  </si>
  <si>
    <t>Poplar Branch, NC</t>
  </si>
  <si>
    <t>Wall Lake, IA</t>
  </si>
  <si>
    <t>Mooers Forks, NY</t>
  </si>
  <si>
    <t>Pleasant Hill, NC</t>
  </si>
  <si>
    <t>Proctor, MT</t>
  </si>
  <si>
    <t>Andale, KS</t>
  </si>
  <si>
    <t>Oil City, LA</t>
  </si>
  <si>
    <t>Crainville, IL</t>
  </si>
  <si>
    <t>Elkhart, IA</t>
  </si>
  <si>
    <t>Exeter, ME</t>
  </si>
  <si>
    <t>Weston, CO</t>
  </si>
  <si>
    <t>Hope, AK</t>
  </si>
  <si>
    <t>Lake Lillian, MN</t>
  </si>
  <si>
    <t>Crab Orchard, WV</t>
  </si>
  <si>
    <t>Sparland, IL</t>
  </si>
  <si>
    <t>Moose Pass, AK</t>
  </si>
  <si>
    <t>Lubec, ME</t>
  </si>
  <si>
    <t>Reynolds, IN</t>
  </si>
  <si>
    <t>Egan, SD</t>
  </si>
  <si>
    <t>Chesterfield, IN</t>
  </si>
  <si>
    <t>Tiltonsville, OH</t>
  </si>
  <si>
    <t>Warsaw, IL</t>
  </si>
  <si>
    <t>Weir, KS</t>
  </si>
  <si>
    <t>Agency, MO</t>
  </si>
  <si>
    <t>South Hutchinson, KS</t>
  </si>
  <si>
    <t>Beach Haven, NJ</t>
  </si>
  <si>
    <t>Truro, MA</t>
  </si>
  <si>
    <t>Big Stone City, SD</t>
  </si>
  <si>
    <t>Challis, ID</t>
  </si>
  <si>
    <t>Plainfield, IA</t>
  </si>
  <si>
    <t>Lane, OK</t>
  </si>
  <si>
    <t>Windthorst, TX</t>
  </si>
  <si>
    <t>Collettsville, NC</t>
  </si>
  <si>
    <t>Nemo, TX</t>
  </si>
  <si>
    <t>Howard City, NE</t>
  </si>
  <si>
    <t>Bakersfield, VT</t>
  </si>
  <si>
    <t>Westphalia, MO</t>
  </si>
  <si>
    <t>Monroe Center, IL</t>
  </si>
  <si>
    <t>Springfield, NH</t>
  </si>
  <si>
    <t>Smith River, CA</t>
  </si>
  <si>
    <t>Fayston, VT</t>
  </si>
  <si>
    <t>Roll, AZ</t>
  </si>
  <si>
    <t>Pittsboro, MS</t>
  </si>
  <si>
    <t>Hickory, PA</t>
  </si>
  <si>
    <t>Baldwinville, MA</t>
  </si>
  <si>
    <t>West Stockbridge, MA</t>
  </si>
  <si>
    <t>Alplaus, NY</t>
  </si>
  <si>
    <t>Eidson, TN</t>
  </si>
  <si>
    <t>Oolitic, IN</t>
  </si>
  <si>
    <t>Downs, KS</t>
  </si>
  <si>
    <t>Mendon, VT</t>
  </si>
  <si>
    <t>Kingston, ID</t>
  </si>
  <si>
    <t>Goodview, MN</t>
  </si>
  <si>
    <t>East Hope, ID</t>
  </si>
  <si>
    <t>Burnham, ME</t>
  </si>
  <si>
    <t>Tescott, KS</t>
  </si>
  <si>
    <t>Hayti, SD</t>
  </si>
  <si>
    <t>Dafter, MI</t>
  </si>
  <si>
    <t>Elwood, UT</t>
  </si>
  <si>
    <t>Fayette, ME</t>
  </si>
  <si>
    <t>Stratford, IA</t>
  </si>
  <si>
    <t>Chilmark, MA</t>
  </si>
  <si>
    <t>Veradale, WA</t>
  </si>
  <si>
    <t>Brighton, MO</t>
  </si>
  <si>
    <t>Kenney, IL</t>
  </si>
  <si>
    <t>Rock Island, WA</t>
  </si>
  <si>
    <t>Lester, AL</t>
  </si>
  <si>
    <t>Oscar, LA</t>
  </si>
  <si>
    <t>Windsor, NC</t>
  </si>
  <si>
    <t>Ship Bottom, NJ</t>
  </si>
  <si>
    <t>Romney, IN</t>
  </si>
  <si>
    <t>Julesburg, CO</t>
  </si>
  <si>
    <t>Farmington, IA</t>
  </si>
  <si>
    <t>Abbott, TX</t>
  </si>
  <si>
    <t>Irondale, OH</t>
  </si>
  <si>
    <t>Tumtum, WA</t>
  </si>
  <si>
    <t>South Thomaston, ME</t>
  </si>
  <si>
    <t>Marshfield, VT</t>
  </si>
  <si>
    <t>Sumner, MI</t>
  </si>
  <si>
    <t>Rochert, MN</t>
  </si>
  <si>
    <t>Lunenburg, VT</t>
  </si>
  <si>
    <t>Vaughn, WA</t>
  </si>
  <si>
    <t>Kenesaw, NE</t>
  </si>
  <si>
    <t>Oshkosh, NE</t>
  </si>
  <si>
    <t>Clifford, MI</t>
  </si>
  <si>
    <t>Woodmont, CT</t>
  </si>
  <si>
    <t>Brightwood, VA</t>
  </si>
  <si>
    <t>Ashton, WV</t>
  </si>
  <si>
    <t>Poygan, WI</t>
  </si>
  <si>
    <t>Brooten, MN</t>
  </si>
  <si>
    <t>Dearborn, MO</t>
  </si>
  <si>
    <t>Pine Springs, MN</t>
  </si>
  <si>
    <t>Malone, FL</t>
  </si>
  <si>
    <t>Jerusalem, OH</t>
  </si>
  <si>
    <t>Lynch, NE</t>
  </si>
  <si>
    <t>Keystone, IA</t>
  </si>
  <si>
    <t>Weyerhaeuser, WI</t>
  </si>
  <si>
    <t>Glen Campbell, PA</t>
  </si>
  <si>
    <t>Clarks, NE</t>
  </si>
  <si>
    <t>Bucklin, MO</t>
  </si>
  <si>
    <t>Milam, TX</t>
  </si>
  <si>
    <t>Mackinac Island, MI</t>
  </si>
  <si>
    <t>Stumpy Point, NC</t>
  </si>
  <si>
    <t>Russell, IA</t>
  </si>
  <si>
    <t>Hatton, ND</t>
  </si>
  <si>
    <t>New Site, MS</t>
  </si>
  <si>
    <t>Canistota, SD</t>
  </si>
  <si>
    <t>Wright City, OK</t>
  </si>
  <si>
    <t>Nabb, IN</t>
  </si>
  <si>
    <t>Buckholts, TX</t>
  </si>
  <si>
    <t>Lansford, ND</t>
  </si>
  <si>
    <t>Laurel Fork, VA</t>
  </si>
  <si>
    <t>Palmyra, NE</t>
  </si>
  <si>
    <t>Pe Ell, WA</t>
  </si>
  <si>
    <t>Klamath River, CA</t>
  </si>
  <si>
    <t>Newport, DE</t>
  </si>
  <si>
    <t>Avondale, CO</t>
  </si>
  <si>
    <t>Topsham, VT</t>
  </si>
  <si>
    <t>Jacksonburg, WV</t>
  </si>
  <si>
    <t>Banner, KY</t>
  </si>
  <si>
    <t>Lake Wissota, WI</t>
  </si>
  <si>
    <t>Lyndon, IL</t>
  </si>
  <si>
    <t>Golden, MO</t>
  </si>
  <si>
    <t>Preston, KS</t>
  </si>
  <si>
    <t>Kensington, MN</t>
  </si>
  <si>
    <t>Twining, MI</t>
  </si>
  <si>
    <t>Cairo, OH</t>
  </si>
  <si>
    <t>Allenwood, NJ</t>
  </si>
  <si>
    <t>Lavinia, TN</t>
  </si>
  <si>
    <t>Dalton City, IL</t>
  </si>
  <si>
    <t>Lingle, WY</t>
  </si>
  <si>
    <t>Nashotah, WI</t>
  </si>
  <si>
    <t>McLeod, MT</t>
  </si>
  <si>
    <t>Welcome, MD</t>
  </si>
  <si>
    <t>Turner, MI</t>
  </si>
  <si>
    <t>Arrowsmith, IL</t>
  </si>
  <si>
    <t>Brussels, WI</t>
  </si>
  <si>
    <t>Carey, ID</t>
  </si>
  <si>
    <t>Brighton, VT</t>
  </si>
  <si>
    <t>Colman, SD</t>
  </si>
  <si>
    <t>Walker, MO</t>
  </si>
  <si>
    <t>Bergholz, OH</t>
  </si>
  <si>
    <t>Ruston, WA</t>
  </si>
  <si>
    <t>Aspermont, TX</t>
  </si>
  <si>
    <t>West Finley, PA</t>
  </si>
  <si>
    <t>Throckmorton, TX</t>
  </si>
  <si>
    <t>Buckman, MN</t>
  </si>
  <si>
    <t>Stafford, NY</t>
  </si>
  <si>
    <t>Greenvale, NY</t>
  </si>
  <si>
    <t>Oakley, ID</t>
  </si>
  <si>
    <t>Marquette, WI</t>
  </si>
  <si>
    <t>Evanston, IN</t>
  </si>
  <si>
    <t>Canyon City, OR</t>
  </si>
  <si>
    <t>Stonington, ME</t>
  </si>
  <si>
    <t>Pottersville, MO</t>
  </si>
  <si>
    <t>Westby, MT</t>
  </si>
  <si>
    <t>Hoyleton, IL</t>
  </si>
  <si>
    <t>Aquilla, OH</t>
  </si>
  <si>
    <t>Manquin, VA</t>
  </si>
  <si>
    <t>Vossburg, MS</t>
  </si>
  <si>
    <t>Belwood, NC</t>
  </si>
  <si>
    <t>Darwin, MN</t>
  </si>
  <si>
    <t>Ryegate, VT</t>
  </si>
  <si>
    <t>Farwell, MN</t>
  </si>
  <si>
    <t>Granite, UT</t>
  </si>
  <si>
    <t>Spruce, MI</t>
  </si>
  <si>
    <t>Harshaw, WI</t>
  </si>
  <si>
    <t>Newsoms, VA</t>
  </si>
  <si>
    <t>Tullos, LA</t>
  </si>
  <si>
    <t>Rodman, NY</t>
  </si>
  <si>
    <t>Alkol, WV</t>
  </si>
  <si>
    <t>North San Juan, CA</t>
  </si>
  <si>
    <t>Steele, ND</t>
  </si>
  <si>
    <t>Buckhorn, KY</t>
  </si>
  <si>
    <t>Bowling Green, IN</t>
  </si>
  <si>
    <t>Marmet, WV</t>
  </si>
  <si>
    <t>Fulton, OH</t>
  </si>
  <si>
    <t>Rockford, WA</t>
  </si>
  <si>
    <t>Woodacre, CA</t>
  </si>
  <si>
    <t>Center Harbor, NH</t>
  </si>
  <si>
    <t>Warne, NC</t>
  </si>
  <si>
    <t>Clyde Park, MT</t>
  </si>
  <si>
    <t>Morrill, ME</t>
  </si>
  <si>
    <t>Minburn, IA</t>
  </si>
  <si>
    <t>Waterford, OH</t>
  </si>
  <si>
    <t>Strafford, VT</t>
  </si>
  <si>
    <t>Platte Woods, MO</t>
  </si>
  <si>
    <t>Pimento, IN</t>
  </si>
  <si>
    <t>Wells, MN</t>
  </si>
  <si>
    <t>Mammoth Cave, KY</t>
  </si>
  <si>
    <t>Tallmansville, WV</t>
  </si>
  <si>
    <t>Sullivan, ME</t>
  </si>
  <si>
    <t>De Kalb, MO</t>
  </si>
  <si>
    <t>New Richmond, IN</t>
  </si>
  <si>
    <t>Grover, CO</t>
  </si>
  <si>
    <t>Wentworth, MO</t>
  </si>
  <si>
    <t>Chaseburg, WI</t>
  </si>
  <si>
    <t>Fowler, IL</t>
  </si>
  <si>
    <t>Etna, ME</t>
  </si>
  <si>
    <t>Orwell, VT</t>
  </si>
  <si>
    <t>Potomac, IL</t>
  </si>
  <si>
    <t>Alexandria Bay, NY</t>
  </si>
  <si>
    <t>Port Bolivar, TX</t>
  </si>
  <si>
    <t>Ennis, MT</t>
  </si>
  <si>
    <t>Fairview, AL</t>
  </si>
  <si>
    <t>Radcliffe, IA</t>
  </si>
  <si>
    <t>Phenix, VA</t>
  </si>
  <si>
    <t>Meadville, MS</t>
  </si>
  <si>
    <t>Sodus Point, NY</t>
  </si>
  <si>
    <t>Douglas City, CA</t>
  </si>
  <si>
    <t>Wheatley, AR</t>
  </si>
  <si>
    <t>Branchville, VA</t>
  </si>
  <si>
    <t>Sallis, MS</t>
  </si>
  <si>
    <t>Piermont, NH</t>
  </si>
  <si>
    <t>Surf City, NJ</t>
  </si>
  <si>
    <t>Rangeley, ME</t>
  </si>
  <si>
    <t>Lithopolis, OH</t>
  </si>
  <si>
    <t>Pineview, GA</t>
  </si>
  <si>
    <t>Van Vleck, TX</t>
  </si>
  <si>
    <t>Como, CO</t>
  </si>
  <si>
    <t>Julian, WV</t>
  </si>
  <si>
    <t>Glover, VT</t>
  </si>
  <si>
    <t>Yeaddiss, KY</t>
  </si>
  <si>
    <t>Buffalo, KY</t>
  </si>
  <si>
    <t>Frankfort, ME</t>
  </si>
  <si>
    <t>Linden, IN</t>
  </si>
  <si>
    <t>Parker, KS</t>
  </si>
  <si>
    <t>Ten Sleep, WY</t>
  </si>
  <si>
    <t>Ellis Grove, IL</t>
  </si>
  <si>
    <t>Velva, ND</t>
  </si>
  <si>
    <t>Marengo, WI</t>
  </si>
  <si>
    <t>Marlborough, MO</t>
  </si>
  <si>
    <t>Clarence, MO</t>
  </si>
  <si>
    <t>Russell, WI</t>
  </si>
  <si>
    <t>Ivanhoe, TX</t>
  </si>
  <si>
    <t>Cheshire, OR</t>
  </si>
  <si>
    <t>Rolling Hills, WY</t>
  </si>
  <si>
    <t>Leicester, VT</t>
  </si>
  <si>
    <t>Kendalia, TX</t>
  </si>
  <si>
    <t>Beulah, CO</t>
  </si>
  <si>
    <t>Minden City, MI</t>
  </si>
  <si>
    <t>Calcium, NY</t>
  </si>
  <si>
    <t>Sinks Grove, WV</t>
  </si>
  <si>
    <t>Trona, CA</t>
  </si>
  <si>
    <t>Springer, OK</t>
  </si>
  <si>
    <t>Morrill, NE</t>
  </si>
  <si>
    <t>Loch Lynn Heights, MD</t>
  </si>
  <si>
    <t>Braintree, VT</t>
  </si>
  <si>
    <t>Speedwell, VA</t>
  </si>
  <si>
    <t>Surrency, GA</t>
  </si>
  <si>
    <t>Kansas, IL</t>
  </si>
  <si>
    <t>Zephyr, TX</t>
  </si>
  <si>
    <t>Frederika, IA</t>
  </si>
  <si>
    <t>Humboldt, SD</t>
  </si>
  <si>
    <t>Muldraugh, KY</t>
  </si>
  <si>
    <t>Grandview, IL</t>
  </si>
  <si>
    <t>Utica, OH</t>
  </si>
  <si>
    <t>Bradford, RI</t>
  </si>
  <si>
    <t>Mousie, KY</t>
  </si>
  <si>
    <t>Dellwood, MN</t>
  </si>
  <si>
    <t>Piper City, IL</t>
  </si>
  <si>
    <t>Williamsburg, KS</t>
  </si>
  <si>
    <t>Palmersville, TN</t>
  </si>
  <si>
    <t>Pond Gap, WV</t>
  </si>
  <si>
    <t>Hawkeye, IA</t>
  </si>
  <si>
    <t>Minter, AL</t>
  </si>
  <si>
    <t>Holcomb, MO</t>
  </si>
  <si>
    <t>Longville, MN</t>
  </si>
  <si>
    <t>Brule, WI</t>
  </si>
  <si>
    <t>Lindsay, OK</t>
  </si>
  <si>
    <t>Harrah, WA</t>
  </si>
  <si>
    <t>Knights Landing, CA</t>
  </si>
  <si>
    <t>Denton, NE</t>
  </si>
  <si>
    <t>Red Oak, VA</t>
  </si>
  <si>
    <t>Mellen, WI</t>
  </si>
  <si>
    <t>White Bird, ID</t>
  </si>
  <si>
    <t>Constableville, NY</t>
  </si>
  <si>
    <t>Port Republic, NJ</t>
  </si>
  <si>
    <t>Trenton, IL</t>
  </si>
  <si>
    <t>Kirksey, KY</t>
  </si>
  <si>
    <t>Blain, PA</t>
  </si>
  <si>
    <t>Fargo, GA</t>
  </si>
  <si>
    <t>Hazel Green, KY</t>
  </si>
  <si>
    <t>Skyline, MN</t>
  </si>
  <si>
    <t>Urbanna, VA</t>
  </si>
  <si>
    <t>Argonia, KS</t>
  </si>
  <si>
    <t>Mentor, MN</t>
  </si>
  <si>
    <t>Tahoma, CA</t>
  </si>
  <si>
    <t>Fairmont, NE</t>
  </si>
  <si>
    <t>Saint Lucas, IA</t>
  </si>
  <si>
    <t>Gloucester Point, VA</t>
  </si>
  <si>
    <t>Rickreall, OR</t>
  </si>
  <si>
    <t>Cocolalla, ID</t>
  </si>
  <si>
    <t>Dora, AL</t>
  </si>
  <si>
    <t>Westfield, IL</t>
  </si>
  <si>
    <t>Spottsville, KY</t>
  </si>
  <si>
    <t>Annetta, TX</t>
  </si>
  <si>
    <t>Stringtown, OK</t>
  </si>
  <si>
    <t>Atlantic Beach, NY</t>
  </si>
  <si>
    <t>Orange, VT</t>
  </si>
  <si>
    <t>Melvin, IL</t>
  </si>
  <si>
    <t>Mokane, MO</t>
  </si>
  <si>
    <t>Leyden, MA</t>
  </si>
  <si>
    <t>Smithers, WV</t>
  </si>
  <si>
    <t>Palmer, NE</t>
  </si>
  <si>
    <t>Wilton, ND</t>
  </si>
  <si>
    <t>Rollingstone, MN</t>
  </si>
  <si>
    <t>Liberty City, TX</t>
  </si>
  <si>
    <t>Dover, VT</t>
  </si>
  <si>
    <t>Mathews, VA</t>
  </si>
  <si>
    <t>Wheeling, MO</t>
  </si>
  <si>
    <t>Minerva Park, OH</t>
  </si>
  <si>
    <t>Custer City, OK</t>
  </si>
  <si>
    <t>Mullan, ID</t>
  </si>
  <si>
    <t>Shelby Gap, KY</t>
  </si>
  <si>
    <t>Ladonia, TX</t>
  </si>
  <si>
    <t>Roggen, CO</t>
  </si>
  <si>
    <t>Bradbury, CA</t>
  </si>
  <si>
    <t>Oak Ridge, LA</t>
  </si>
  <si>
    <t>Newport, IN</t>
  </si>
  <si>
    <t>Groom, TX</t>
  </si>
  <si>
    <t>Royal Oak, MD</t>
  </si>
  <si>
    <t>Meridian, CA</t>
  </si>
  <si>
    <t>Fair Play, MO</t>
  </si>
  <si>
    <t>Onekama, MI</t>
  </si>
  <si>
    <t>Worcester, VT</t>
  </si>
  <si>
    <t>Garber, OK</t>
  </si>
  <si>
    <t>Crosby, MS</t>
  </si>
  <si>
    <t>Blanket, TX</t>
  </si>
  <si>
    <t>Unity, WI</t>
  </si>
  <si>
    <t>Tilton, IL</t>
  </si>
  <si>
    <t>Townshend, VT</t>
  </si>
  <si>
    <t>Palestine, WV</t>
  </si>
  <si>
    <t>Plum City, WI</t>
  </si>
  <si>
    <t>Baiting Hollow, NY</t>
  </si>
  <si>
    <t>South West City, MO</t>
  </si>
  <si>
    <t>Eagle, CO</t>
  </si>
  <si>
    <t>Woodstock, NH</t>
  </si>
  <si>
    <t>Gouldsboro, ME</t>
  </si>
  <si>
    <t>Beach, ND</t>
  </si>
  <si>
    <t>Topping, VA</t>
  </si>
  <si>
    <t>Farmington, KY</t>
  </si>
  <si>
    <t>Green Bay, VA</t>
  </si>
  <si>
    <t>Iredell, TX</t>
  </si>
  <si>
    <t>Potlatch, ID</t>
  </si>
  <si>
    <t>Ogdensburg, WI</t>
  </si>
  <si>
    <t>Kimberly, AL</t>
  </si>
  <si>
    <t>Berger, MO</t>
  </si>
  <si>
    <t>Richville, MN</t>
  </si>
  <si>
    <t>Anaktuvuk Pass, AK</t>
  </si>
  <si>
    <t>Kaktovik, AK</t>
  </si>
  <si>
    <t>Hammondsville, OH</t>
  </si>
  <si>
    <t>Manattee Road, FL</t>
  </si>
  <si>
    <t>Diamond City, AR</t>
  </si>
  <si>
    <t>Otis, CO</t>
  </si>
  <si>
    <t>Wise River, MT</t>
  </si>
  <si>
    <t>Willshire, OH</t>
  </si>
  <si>
    <t>Edgewood, IN</t>
  </si>
  <si>
    <t>Boswell, IN</t>
  </si>
  <si>
    <t>Metz, WV</t>
  </si>
  <si>
    <t>Matthews, GA</t>
  </si>
  <si>
    <t>Prospect Hill, NC</t>
  </si>
  <si>
    <t>Long Branch, TX</t>
  </si>
  <si>
    <t>Nunn, CO</t>
  </si>
  <si>
    <t>Spokane, MO</t>
  </si>
  <si>
    <t>Lincoln, MT</t>
  </si>
  <si>
    <t>Webbers Falls, OK</t>
  </si>
  <si>
    <t>Sherwood, TN</t>
  </si>
  <si>
    <t>Brashear, MO</t>
  </si>
  <si>
    <t>Crawford, TN</t>
  </si>
  <si>
    <t>Hamler, OH</t>
  </si>
  <si>
    <t>Iaeger, WV</t>
  </si>
  <si>
    <t>Mapleton, OR</t>
  </si>
  <si>
    <t>Chevy Chase View, MD</t>
  </si>
  <si>
    <t>Denmark, TN</t>
  </si>
  <si>
    <t>Keithsburg, IL</t>
  </si>
  <si>
    <t>Olpe, KS</t>
  </si>
  <si>
    <t>Level Plains, AL</t>
  </si>
  <si>
    <t>Coleman, OK</t>
  </si>
  <si>
    <t>Nissequogue, NY</t>
  </si>
  <si>
    <t>Thebes, IL</t>
  </si>
  <si>
    <t>Florence, CO</t>
  </si>
  <si>
    <t>Chana, IL</t>
  </si>
  <si>
    <t>Littleton, ME</t>
  </si>
  <si>
    <t>Aguila, AZ</t>
  </si>
  <si>
    <t>Velma, OK</t>
  </si>
  <si>
    <t>West Milford, WV</t>
  </si>
  <si>
    <t>Fillmore, IL</t>
  </si>
  <si>
    <t>Dungannon, VA</t>
  </si>
  <si>
    <t>Whaleyville, MD</t>
  </si>
  <si>
    <t>Santa Claus, IN</t>
  </si>
  <si>
    <t>Stratton, CO</t>
  </si>
  <si>
    <t>Water Mill, NY</t>
  </si>
  <si>
    <t>Perkins, GA</t>
  </si>
  <si>
    <t>Ridgeland, WI</t>
  </si>
  <si>
    <t>Brookfield Center, OH</t>
  </si>
  <si>
    <t>Ireton, IA</t>
  </si>
  <si>
    <t>Tyrone, OK</t>
  </si>
  <si>
    <t>Webbville, KY</t>
  </si>
  <si>
    <t>Montville, ME</t>
  </si>
  <si>
    <t>Modoc, IN</t>
  </si>
  <si>
    <t>Union Point, GA</t>
  </si>
  <si>
    <t>Charleston, VT</t>
  </si>
  <si>
    <t>Miner, MO</t>
  </si>
  <si>
    <t>Glen Ullin, ND</t>
  </si>
  <si>
    <t>Ermine, KY</t>
  </si>
  <si>
    <t>Singers Glen, VA</t>
  </si>
  <si>
    <t>Midpines, CA</t>
  </si>
  <si>
    <t>South Branch, MI</t>
  </si>
  <si>
    <t>West Pittsburg, PA</t>
  </si>
  <si>
    <t>Hanover, KS</t>
  </si>
  <si>
    <t>Park City, MT</t>
  </si>
  <si>
    <t>Ozawkie, KS</t>
  </si>
  <si>
    <t>Star City, IN</t>
  </si>
  <si>
    <t>Palermo, CA</t>
  </si>
  <si>
    <t>Estancia, NM</t>
  </si>
  <si>
    <t>Emerado, ND</t>
  </si>
  <si>
    <t>Rockwood, IL</t>
  </si>
  <si>
    <t>Franklin, IL</t>
  </si>
  <si>
    <t>Hull, IL</t>
  </si>
  <si>
    <t>Bloomfield, NE</t>
  </si>
  <si>
    <t>Boykins, VA</t>
  </si>
  <si>
    <t>Twin Oaks, MO</t>
  </si>
  <si>
    <t>New Berlin, PA</t>
  </si>
  <si>
    <t>New Salem, MA</t>
  </si>
  <si>
    <t>New Llano, LA</t>
  </si>
  <si>
    <t>Excello, MO</t>
  </si>
  <si>
    <t>Hillburn, NY</t>
  </si>
  <si>
    <t>San Patricio, NM</t>
  </si>
  <si>
    <t>Quicksburg, VA</t>
  </si>
  <si>
    <t>Foster, OR</t>
  </si>
  <si>
    <t>Towner, ND</t>
  </si>
  <si>
    <t>Hickman, CA</t>
  </si>
  <si>
    <t>Brooker, FL</t>
  </si>
  <si>
    <t>Oak City, NC</t>
  </si>
  <si>
    <t>Kingston, AR</t>
  </si>
  <si>
    <t>Parma, MO</t>
  </si>
  <si>
    <t>Bunkerville, NV</t>
  </si>
  <si>
    <t>Temple, NH</t>
  </si>
  <si>
    <t>Hazelton, ID</t>
  </si>
  <si>
    <t>Arthur City, TX</t>
  </si>
  <si>
    <t>Jasper, MI</t>
  </si>
  <si>
    <t>Moran, MI</t>
  </si>
  <si>
    <t>Davis City, IA</t>
  </si>
  <si>
    <t>Kerens, TX</t>
  </si>
  <si>
    <t>Metolius, OR</t>
  </si>
  <si>
    <t>Man, WV</t>
  </si>
  <si>
    <t>Elk Horn, KY</t>
  </si>
  <si>
    <t>Sheridan, CA</t>
  </si>
  <si>
    <t>Fairfax, IA</t>
  </si>
  <si>
    <t>Rye, CO</t>
  </si>
  <si>
    <t>Hermansville, MI</t>
  </si>
  <si>
    <t>Decker, MI</t>
  </si>
  <si>
    <t>Happy Jack, AZ</t>
  </si>
  <si>
    <t>Wilsonville, KY</t>
  </si>
  <si>
    <t>Sister Bay, WI</t>
  </si>
  <si>
    <t>Parshall, CO</t>
  </si>
  <si>
    <t>Berwind, WV</t>
  </si>
  <si>
    <t>New Woodstock, NY</t>
  </si>
  <si>
    <t>Saint Paul, KS</t>
  </si>
  <si>
    <t>Prospect, VA</t>
  </si>
  <si>
    <t>Foxboro, WI</t>
  </si>
  <si>
    <t>Woodcreek, TX</t>
  </si>
  <si>
    <t>Marquette Heights, IL</t>
  </si>
  <si>
    <t>Walden, VT</t>
  </si>
  <si>
    <t>Deport, TX</t>
  </si>
  <si>
    <t>Napier Field, AL</t>
  </si>
  <si>
    <t>Fonda, IA</t>
  </si>
  <si>
    <t>Glenn, CA</t>
  </si>
  <si>
    <t>Salol, MN</t>
  </si>
  <si>
    <t>Hillsboro, AL</t>
  </si>
  <si>
    <t>South Paris, ME</t>
  </si>
  <si>
    <t>South Zanesville, OH</t>
  </si>
  <si>
    <t>New Ellenton, SC</t>
  </si>
  <si>
    <t>Green Forest, AR</t>
  </si>
  <si>
    <t>Buckley, IL</t>
  </si>
  <si>
    <t>Lee, FL</t>
  </si>
  <si>
    <t>Bridgewater, VT</t>
  </si>
  <si>
    <t>Wrightstown, NJ</t>
  </si>
  <si>
    <t>Fountain, MI</t>
  </si>
  <si>
    <t>Kings Mountain, KY</t>
  </si>
  <si>
    <t>Walnut, IA</t>
  </si>
  <si>
    <t>Lake Angelus, MI</t>
  </si>
  <si>
    <t>Chapin, IL</t>
  </si>
  <si>
    <t>Rocky Ridge, MD</t>
  </si>
  <si>
    <t>Lackawaxen, PA</t>
  </si>
  <si>
    <t>Ames, OK</t>
  </si>
  <si>
    <t>Loda, IL</t>
  </si>
  <si>
    <t>Kandiyohi, MN</t>
  </si>
  <si>
    <t>Charter Oak, IA</t>
  </si>
  <si>
    <t>Ewing, IL</t>
  </si>
  <si>
    <t>Kettle River, MN</t>
  </si>
  <si>
    <t>Fairlee, VT</t>
  </si>
  <si>
    <t>Remerton, GA</t>
  </si>
  <si>
    <t>Etta, MS</t>
  </si>
  <si>
    <t>Presque Isle, WI</t>
  </si>
  <si>
    <t>Nebo, IL</t>
  </si>
  <si>
    <t>Martinsburg, MO</t>
  </si>
  <si>
    <t>Palos Verdes Peninsula, CA</t>
  </si>
  <si>
    <t>Lehigh, KS</t>
  </si>
  <si>
    <t>Ferron, UT</t>
  </si>
  <si>
    <t>Mount Calm, TX</t>
  </si>
  <si>
    <t>Ackworth, IA</t>
  </si>
  <si>
    <t>Jonestown, TX</t>
  </si>
  <si>
    <t>East Bangor, PA</t>
  </si>
  <si>
    <t>Haskell, AR</t>
  </si>
  <si>
    <t>Pleasanton, NE</t>
  </si>
  <si>
    <t>Neuse Forest, NC</t>
  </si>
  <si>
    <t>Dike, TX</t>
  </si>
  <si>
    <t>Readstown, WI</t>
  </si>
  <si>
    <t>Oreana, IL</t>
  </si>
  <si>
    <t>Chalmers, IN</t>
  </si>
  <si>
    <t>Arnett, OK</t>
  </si>
  <si>
    <t>Cornell, IL</t>
  </si>
  <si>
    <t>Almena, WI</t>
  </si>
  <si>
    <t>Rome, ME</t>
  </si>
  <si>
    <t>Dyke, VA</t>
  </si>
  <si>
    <t>Dennard, AR</t>
  </si>
  <si>
    <t>Adams, MN</t>
  </si>
  <si>
    <t>Springport, IN</t>
  </si>
  <si>
    <t>Glenwood Landing, NY</t>
  </si>
  <si>
    <t>Hospers, IA</t>
  </si>
  <si>
    <t>Eastpoint, FL</t>
  </si>
  <si>
    <t>Leedey, OK</t>
  </si>
  <si>
    <t>Anguilla, MS</t>
  </si>
  <si>
    <t>Underwood, ND</t>
  </si>
  <si>
    <t>Winchester, MO</t>
  </si>
  <si>
    <t>East Brewton, AL</t>
  </si>
  <si>
    <t>Wells, VT</t>
  </si>
  <si>
    <t>Frametown, WV</t>
  </si>
  <si>
    <t>Oconomowoc Lake, WI</t>
  </si>
  <si>
    <t>Osmond, NE</t>
  </si>
  <si>
    <t>Santa Clara, TX</t>
  </si>
  <si>
    <t>Coventry, VT</t>
  </si>
  <si>
    <t>Kidder, MO</t>
  </si>
  <si>
    <t>Kingdom City, MO</t>
  </si>
  <si>
    <t>Brooks, ME</t>
  </si>
  <si>
    <t>Glidden, WI</t>
  </si>
  <si>
    <t>Melrose, IA</t>
  </si>
  <si>
    <t>Clarksburg, TN</t>
  </si>
  <si>
    <t>Harwood, TX</t>
  </si>
  <si>
    <t>Groton, VT</t>
  </si>
  <si>
    <t>Stockholm, WI</t>
  </si>
  <si>
    <t>White Deer, TX</t>
  </si>
  <si>
    <t>Huntleigh, MO</t>
  </si>
  <si>
    <t>Paducah, TX</t>
  </si>
  <si>
    <t>Stamford, VT</t>
  </si>
  <si>
    <t>Shady Valley, TN</t>
  </si>
  <si>
    <t>Sapello, NM</t>
  </si>
  <si>
    <t>Hillsboro, WV</t>
  </si>
  <si>
    <t>Miltona, MN</t>
  </si>
  <si>
    <t>Jenera, OH</t>
  </si>
  <si>
    <t>Hadar, NE</t>
  </si>
  <si>
    <t>Blue River, WI</t>
  </si>
  <si>
    <t>Gasquet, CA</t>
  </si>
  <si>
    <t>Askewville, NC</t>
  </si>
  <si>
    <t>Ash Fork, AZ</t>
  </si>
  <si>
    <t>Wheeler, WI</t>
  </si>
  <si>
    <t>Somerset, VA</t>
  </si>
  <si>
    <t>Valley View, PA</t>
  </si>
  <si>
    <t>Newman Grove, NE</t>
  </si>
  <si>
    <t>Rachel, WV</t>
  </si>
  <si>
    <t>Tollesboro, KY</t>
  </si>
  <si>
    <t>Rosendale, WI</t>
  </si>
  <si>
    <t>Nelson, MO</t>
  </si>
  <si>
    <t>Weldona, CO</t>
  </si>
  <si>
    <t>Bruno, MN</t>
  </si>
  <si>
    <t>Sutherland, IA</t>
  </si>
  <si>
    <t>Towanda, IL</t>
  </si>
  <si>
    <t>Stewartstown, NH</t>
  </si>
  <si>
    <t>Wheaton, MO</t>
  </si>
  <si>
    <t>Benson, IL</t>
  </si>
  <si>
    <t>Snowmass Village, CO</t>
  </si>
  <si>
    <t>Lower Peach Tree, AL</t>
  </si>
  <si>
    <t>La Plata, NM</t>
  </si>
  <si>
    <t>Armstrong, MO</t>
  </si>
  <si>
    <t>Howard, CO</t>
  </si>
  <si>
    <t>Ossian, IA</t>
  </si>
  <si>
    <t>Condon, MT</t>
  </si>
  <si>
    <t>Brookville, KS</t>
  </si>
  <si>
    <t>Kenansville, FL</t>
  </si>
  <si>
    <t>Cecil, OH</t>
  </si>
  <si>
    <t>Big Rock, TN</t>
  </si>
  <si>
    <t>Tabor, SD</t>
  </si>
  <si>
    <t>Jeffersonville, IL</t>
  </si>
  <si>
    <t>Downing, WI</t>
  </si>
  <si>
    <t>Republican City, NE</t>
  </si>
  <si>
    <t>Veblen, SD</t>
  </si>
  <si>
    <t>Sargent, NE</t>
  </si>
  <si>
    <t>Reynolds, ND</t>
  </si>
  <si>
    <t>Jolo, WV</t>
  </si>
  <si>
    <t>Matherville, IL</t>
  </si>
  <si>
    <t>Knox City, TX</t>
  </si>
  <si>
    <t>Alex, OK</t>
  </si>
  <si>
    <t>Saint Anthony, IN</t>
  </si>
  <si>
    <t>Irving, IL</t>
  </si>
  <si>
    <t>Courtland, MN</t>
  </si>
  <si>
    <t>Resaca, GA</t>
  </si>
  <si>
    <t>Smithville, OK</t>
  </si>
  <si>
    <t>Tabor, IA</t>
  </si>
  <si>
    <t>Maupin, OR</t>
  </si>
  <si>
    <t>Lorimor, IA</t>
  </si>
  <si>
    <t>Stetsonville, WI</t>
  </si>
  <si>
    <t>Underwood, IN</t>
  </si>
  <si>
    <t>Nashville, IL</t>
  </si>
  <si>
    <t>Donie, TX</t>
  </si>
  <si>
    <t>Brightwood, OR</t>
  </si>
  <si>
    <t>Stout, IA</t>
  </si>
  <si>
    <t>Sunderland, VT</t>
  </si>
  <si>
    <t>Monroe, ME</t>
  </si>
  <si>
    <t>Hartsel, CO</t>
  </si>
  <si>
    <t>Elk Creek, MO</t>
  </si>
  <si>
    <t>Biltmore Forest, NC</t>
  </si>
  <si>
    <t>Belleview, MO</t>
  </si>
  <si>
    <t>Callaway, MD</t>
  </si>
  <si>
    <t>Wausa, NE</t>
  </si>
  <si>
    <t>Mount Cory, OH</t>
  </si>
  <si>
    <t>West Augusta, VA</t>
  </si>
  <si>
    <t>Hunting Valley, OH</t>
  </si>
  <si>
    <t>Garwin, IA</t>
  </si>
  <si>
    <t>Eva, TN</t>
  </si>
  <si>
    <t>Golf, FL</t>
  </si>
  <si>
    <t>Haviland, KS</t>
  </si>
  <si>
    <t>Sutersville, PA</t>
  </si>
  <si>
    <t>Fort Hill, PA</t>
  </si>
  <si>
    <t>Woodway, WA</t>
  </si>
  <si>
    <t>Marion, MS</t>
  </si>
  <si>
    <t>Brandonville, WV</t>
  </si>
  <si>
    <t>Edgewood, IL</t>
  </si>
  <si>
    <t>Tiro, OH</t>
  </si>
  <si>
    <t>Convent, LA</t>
  </si>
  <si>
    <t>Coal Mountain, WV</t>
  </si>
  <si>
    <t>Cerulean, KY</t>
  </si>
  <si>
    <t>Basin, WY</t>
  </si>
  <si>
    <t>Reklaw, TX</t>
  </si>
  <si>
    <t>South Bloomfield, OH</t>
  </si>
  <si>
    <t>Warwick, MA</t>
  </si>
  <si>
    <t>Hendricks, MN</t>
  </si>
  <si>
    <t>Blackwater, MO</t>
  </si>
  <si>
    <t>Pickton, TX</t>
  </si>
  <si>
    <t>Tow, TX</t>
  </si>
  <si>
    <t>Chula, MO</t>
  </si>
  <si>
    <t>Tamassee, SC</t>
  </si>
  <si>
    <t>Lawrence, MS</t>
  </si>
  <si>
    <t>Rowley, IA</t>
  </si>
  <si>
    <t>Cusick, WA</t>
  </si>
  <si>
    <t>Naselle, WA</t>
  </si>
  <si>
    <t>Troy, ME</t>
  </si>
  <si>
    <t>Malaga, NJ</t>
  </si>
  <si>
    <t>North Benton, OH</t>
  </si>
  <si>
    <t>Irwinton, GA</t>
  </si>
  <si>
    <t>Clarkfield, MN</t>
  </si>
  <si>
    <t>Ferryville, WI</t>
  </si>
  <si>
    <t>Cecilia, LA</t>
  </si>
  <si>
    <t>Mayfield, PA</t>
  </si>
  <si>
    <t>Fairhope, PA</t>
  </si>
  <si>
    <t>Elephant Butte, NM</t>
  </si>
  <si>
    <t>Scranton, IA</t>
  </si>
  <si>
    <t>Walnut Springs, TX</t>
  </si>
  <si>
    <t>Mansfield, TN</t>
  </si>
  <si>
    <t>Cedar Key, FL</t>
  </si>
  <si>
    <t>McIntosh, MN</t>
  </si>
  <si>
    <t>Cole, OK</t>
  </si>
  <si>
    <t>Machiasport, ME</t>
  </si>
  <si>
    <t>Guy, TX</t>
  </si>
  <si>
    <t>Westport, WA</t>
  </si>
  <si>
    <t>Georgetown, NY</t>
  </si>
  <si>
    <t>Jasper, TN</t>
  </si>
  <si>
    <t>New Hampton, IA</t>
  </si>
  <si>
    <t>Arlington, OR</t>
  </si>
  <si>
    <t>Pawnee, OK</t>
  </si>
  <si>
    <t>Chancellor, SD</t>
  </si>
  <si>
    <t>Hollow Rock, TN</t>
  </si>
  <si>
    <t>Alma, KS</t>
  </si>
  <si>
    <t>Marydel, MD</t>
  </si>
  <si>
    <t>Nelson, NE</t>
  </si>
  <si>
    <t>Knoxville, AR</t>
  </si>
  <si>
    <t>Green Isle, MN</t>
  </si>
  <si>
    <t>Red Feather Lakes, CO</t>
  </si>
  <si>
    <t>Chandlerville, IL</t>
  </si>
  <si>
    <t>Stanton, IA</t>
  </si>
  <si>
    <t>La Harpe, IL</t>
  </si>
  <si>
    <t>Monte Rio, CA</t>
  </si>
  <si>
    <t>Wyoming, IA</t>
  </si>
  <si>
    <t>Gamaliel, KY</t>
  </si>
  <si>
    <t>Ingalls, KS</t>
  </si>
  <si>
    <t>Washburn, TN</t>
  </si>
  <si>
    <t>Kinsale, VA</t>
  </si>
  <si>
    <t>Carbonado, WA</t>
  </si>
  <si>
    <t>Silver Bay, MN</t>
  </si>
  <si>
    <t>Shade Gap, PA</t>
  </si>
  <si>
    <t>Brethren, MI</t>
  </si>
  <si>
    <t>Centerville, MO</t>
  </si>
  <si>
    <t>Fritch, TX</t>
  </si>
  <si>
    <t>Badger, MN</t>
  </si>
  <si>
    <t>Vici, OK</t>
  </si>
  <si>
    <t>Thornton, WV</t>
  </si>
  <si>
    <t>Rockville, MO</t>
  </si>
  <si>
    <t>Hamel, IL</t>
  </si>
  <si>
    <t>Worthington, MA</t>
  </si>
  <si>
    <t>Fitzpatrick, AL</t>
  </si>
  <si>
    <t>Forestburg, TX</t>
  </si>
  <si>
    <t>Tallassee, TN</t>
  </si>
  <si>
    <t>Oxford Junction, IA</t>
  </si>
  <si>
    <t>New Cambria, KS</t>
  </si>
  <si>
    <t>Taylors Island, MD</t>
  </si>
  <si>
    <t>Indian Shores, FL</t>
  </si>
  <si>
    <t>Fishing Creek, MD</t>
  </si>
  <si>
    <t>Brownsdale, MN</t>
  </si>
  <si>
    <t>Rexford, KS</t>
  </si>
  <si>
    <t>Barton, MD</t>
  </si>
  <si>
    <t>Carthage, NC</t>
  </si>
  <si>
    <t>Orma, WV</t>
  </si>
  <si>
    <t>Ringwood, OK</t>
  </si>
  <si>
    <t>Dewey, IL</t>
  </si>
  <si>
    <t>Grassy Creek, NC</t>
  </si>
  <si>
    <t>Dunbar, WI</t>
  </si>
  <si>
    <t>Essie, KY</t>
  </si>
  <si>
    <t>Cleora, OK</t>
  </si>
  <si>
    <t>North Hero, VT</t>
  </si>
  <si>
    <t>Winside, NE</t>
  </si>
  <si>
    <t>Union Church, MS</t>
  </si>
  <si>
    <t>Maine, NY</t>
  </si>
  <si>
    <t>East Germantown, IN</t>
  </si>
  <si>
    <t>White Pine, TN</t>
  </si>
  <si>
    <t>Gagetown, MI</t>
  </si>
  <si>
    <t>Sea Bright, NJ</t>
  </si>
  <si>
    <t>Center Cross, VA</t>
  </si>
  <si>
    <t>Hagaman, NY</t>
  </si>
  <si>
    <t>Laytonsville, MD</t>
  </si>
  <si>
    <t>Kabetogama, MN</t>
  </si>
  <si>
    <t>Hernando Beach, FL</t>
  </si>
  <si>
    <t>Stockton, GA</t>
  </si>
  <si>
    <t>Chamois, MO</t>
  </si>
  <si>
    <t>Walterville, OR</t>
  </si>
  <si>
    <t>Coila, MS</t>
  </si>
  <si>
    <t>Naplate, IL</t>
  </si>
  <si>
    <t>Herrick, IL</t>
  </si>
  <si>
    <t>McCune, KS</t>
  </si>
  <si>
    <t>Terril, IA</t>
  </si>
  <si>
    <t>Kirkwood, IL</t>
  </si>
  <si>
    <t>Everly, IA</t>
  </si>
  <si>
    <t>Delhi, IA</t>
  </si>
  <si>
    <t>Albany, VT</t>
  </si>
  <si>
    <t>Ogunquit, ME</t>
  </si>
  <si>
    <t>Argyle, IA</t>
  </si>
  <si>
    <t>Cougar, WA</t>
  </si>
  <si>
    <t>Big Pool, MD</t>
  </si>
  <si>
    <t>Smithfield, ME</t>
  </si>
  <si>
    <t>Phillips, NE</t>
  </si>
  <si>
    <t>Michigantown, IN</t>
  </si>
  <si>
    <t>Star Harbor, TX</t>
  </si>
  <si>
    <t>Mount Blanchard, OH</t>
  </si>
  <si>
    <t>North Star, OH</t>
  </si>
  <si>
    <t>Garden City, TX</t>
  </si>
  <si>
    <t>Stirling City, CA</t>
  </si>
  <si>
    <t>Fleischmanns, NY</t>
  </si>
  <si>
    <t>Ekalaka, MT</t>
  </si>
  <si>
    <t>Stonewall, MS</t>
  </si>
  <si>
    <t>San Jose, IL</t>
  </si>
  <si>
    <t>Eden, SD</t>
  </si>
  <si>
    <t>Deal, NJ</t>
  </si>
  <si>
    <t>New Hope, KY</t>
  </si>
  <si>
    <t>Asher, OK</t>
  </si>
  <si>
    <t>Iron Mountain Lake, MO</t>
  </si>
  <si>
    <t>Belton, KY</t>
  </si>
  <si>
    <t>Solway, MN</t>
  </si>
  <si>
    <t>Milton, IA</t>
  </si>
  <si>
    <t>Bulpitt, IL</t>
  </si>
  <si>
    <t>Newton, GA</t>
  </si>
  <si>
    <t>Randolph, KS</t>
  </si>
  <si>
    <t>Bruce, SD</t>
  </si>
  <si>
    <t>Kissee Mills, MO</t>
  </si>
  <si>
    <t>Losantville, IN</t>
  </si>
  <si>
    <t>Bailey, MI</t>
  </si>
  <si>
    <t>Fair Bluff, NC</t>
  </si>
  <si>
    <t>Delmar, IA</t>
  </si>
  <si>
    <t>Despard, WV</t>
  </si>
  <si>
    <t>Emmalena, KY</t>
  </si>
  <si>
    <t>Greeley, PA</t>
  </si>
  <si>
    <t>Flanagan, IL</t>
  </si>
  <si>
    <t>Brookfield, NH</t>
  </si>
  <si>
    <t>Langston, AL</t>
  </si>
  <si>
    <t>Plantersville, AL</t>
  </si>
  <si>
    <t>Sedley, VA</t>
  </si>
  <si>
    <t>Bismarck, IL</t>
  </si>
  <si>
    <t>Pomfret, VT</t>
  </si>
  <si>
    <t>Elk City, KS</t>
  </si>
  <si>
    <t>Hulmeville, PA</t>
  </si>
  <si>
    <t>Drummond, OK</t>
  </si>
  <si>
    <t>Buffalo Valley, TN</t>
  </si>
  <si>
    <t>Doyle, CA</t>
  </si>
  <si>
    <t>Barco, NC</t>
  </si>
  <si>
    <t>Ridgeway, OH</t>
  </si>
  <si>
    <t>Wright, MN</t>
  </si>
  <si>
    <t>Harrington, ME</t>
  </si>
  <si>
    <t>Cottonwood Falls, KS</t>
  </si>
  <si>
    <t>Matador, TX</t>
  </si>
  <si>
    <t>Butternut, WI</t>
  </si>
  <si>
    <t>Clarks Grove, MN</t>
  </si>
  <si>
    <t>Lilbourn, MO</t>
  </si>
  <si>
    <t>Malta, ID</t>
  </si>
  <si>
    <t>Arlington, KY</t>
  </si>
  <si>
    <t>Ashford, AL</t>
  </si>
  <si>
    <t>Sacred Heart, MN</t>
  </si>
  <si>
    <t>Arenas Valley, NM</t>
  </si>
  <si>
    <t>Guys, TN</t>
  </si>
  <si>
    <t>Evant, TX</t>
  </si>
  <si>
    <t>Hubbard, NE</t>
  </si>
  <si>
    <t>Rumsey, KY</t>
  </si>
  <si>
    <t>White Oak, WV</t>
  </si>
  <si>
    <t>Nichols, IA</t>
  </si>
  <si>
    <t>Marianna, AR</t>
  </si>
  <si>
    <t>Hartsville, IN</t>
  </si>
  <si>
    <t>Harrisville, NH</t>
  </si>
  <si>
    <t>Newcomb, TN</t>
  </si>
  <si>
    <t>Gore Springs, MS</t>
  </si>
  <si>
    <t>Metamora, IL</t>
  </si>
  <si>
    <t>Nicasio, CA</t>
  </si>
  <si>
    <t>Hodges, AL</t>
  </si>
  <si>
    <t>Sumerco, WV</t>
  </si>
  <si>
    <t>Swea City, IA</t>
  </si>
  <si>
    <t>Morral, OH</t>
  </si>
  <si>
    <t>Lempster, NH</t>
  </si>
  <si>
    <t>Trenton, NE</t>
  </si>
  <si>
    <t>Belmont, ME</t>
  </si>
  <si>
    <t>Choctaw Lake, OH</t>
  </si>
  <si>
    <t>Siler, KY</t>
  </si>
  <si>
    <t>Dingess, WV</t>
  </si>
  <si>
    <t>Boulevard, CA</t>
  </si>
  <si>
    <t>North Apollo, PA</t>
  </si>
  <si>
    <t>Alvada, OH</t>
  </si>
  <si>
    <t>Welaka, FL</t>
  </si>
  <si>
    <t>Leipsic, OH</t>
  </si>
  <si>
    <t>Lostant, IL</t>
  </si>
  <si>
    <t>Round Mountain, TX</t>
  </si>
  <si>
    <t>Gandeeville, WV</t>
  </si>
  <si>
    <t>Canaseraga, NY</t>
  </si>
  <si>
    <t>Ashland, KS</t>
  </si>
  <si>
    <t>Gorman, TX</t>
  </si>
  <si>
    <t>Oxford, MD</t>
  </si>
  <si>
    <t>Hill, NH</t>
  </si>
  <si>
    <t>Sherman, ME</t>
  </si>
  <si>
    <t>Emily, MN</t>
  </si>
  <si>
    <t>Murrayville, IL</t>
  </si>
  <si>
    <t>Dickson, OK</t>
  </si>
  <si>
    <t>Elba, NE</t>
  </si>
  <si>
    <t>Swanquarter, NC</t>
  </si>
  <si>
    <t>Blair, OK</t>
  </si>
  <si>
    <t>Beaver Crossing, NE</t>
  </si>
  <si>
    <t>Emerson, IA</t>
  </si>
  <si>
    <t>Campbellton, FL</t>
  </si>
  <si>
    <t>Wataga, IL</t>
  </si>
  <si>
    <t>McRoberts, KY</t>
  </si>
  <si>
    <t>Custer, MT</t>
  </si>
  <si>
    <t>Almena, KS</t>
  </si>
  <si>
    <t>Ransom, IL</t>
  </si>
  <si>
    <t>Tafton, PA</t>
  </si>
  <si>
    <t>Flint Hill, VA</t>
  </si>
  <si>
    <t>Rainbow, TX</t>
  </si>
  <si>
    <t>Osage, MN</t>
  </si>
  <si>
    <t>Cherryfield, ME</t>
  </si>
  <si>
    <t>New Shoreham, RI</t>
  </si>
  <si>
    <t>Taft Mosswood, CA</t>
  </si>
  <si>
    <t>Random Lake, WI</t>
  </si>
  <si>
    <t>Lowry Crossing, TX</t>
  </si>
  <si>
    <t>Gallant, AL</t>
  </si>
  <si>
    <t>Worthington, IA</t>
  </si>
  <si>
    <t>Due West, SC</t>
  </si>
  <si>
    <t>Palestine, OH</t>
  </si>
  <si>
    <t>Circleville, NY</t>
  </si>
  <si>
    <t>Harpster, OH</t>
  </si>
  <si>
    <t>Woodland Mills, TN</t>
  </si>
  <si>
    <t>Saint John, WA</t>
  </si>
  <si>
    <t>Cochise, AZ</t>
  </si>
  <si>
    <t>Grover Hill, OH</t>
  </si>
  <si>
    <t>Morgan, MN</t>
  </si>
  <si>
    <t>Elkton, SD</t>
  </si>
  <si>
    <t>Monteagle, TN</t>
  </si>
  <si>
    <t>Beaver Springs, PA</t>
  </si>
  <si>
    <t>Cranks, KY</t>
  </si>
  <si>
    <t>Fowler, KS</t>
  </si>
  <si>
    <t>Ashcamp, KY</t>
  </si>
  <si>
    <t>West Baraboo, WI</t>
  </si>
  <si>
    <t>Goshen, MA</t>
  </si>
  <si>
    <t>Hardinsburg, IN</t>
  </si>
  <si>
    <t>Bennett, CO</t>
  </si>
  <si>
    <t>Middle Point, OH</t>
  </si>
  <si>
    <t>North Loup, NE</t>
  </si>
  <si>
    <t>Big Arm, MT</t>
  </si>
  <si>
    <t>Chatham, NH</t>
  </si>
  <si>
    <t>Ezel, KY</t>
  </si>
  <si>
    <t>Ehrenberg, AZ</t>
  </si>
  <si>
    <t>Saint Anthony, ID</t>
  </si>
  <si>
    <t>Medicine Bow, WY</t>
  </si>
  <si>
    <t>Mannford, OK</t>
  </si>
  <si>
    <t>Cooksville, MD</t>
  </si>
  <si>
    <t>Mount Vernon, SD</t>
  </si>
  <si>
    <t>Hazleton, IN</t>
  </si>
  <si>
    <t>Rohrersville, MD</t>
  </si>
  <si>
    <t>Belknap, IL</t>
  </si>
  <si>
    <t>Sylvania, GA</t>
  </si>
  <si>
    <t>South Bristol, ME</t>
  </si>
  <si>
    <t>Rothsay, MN</t>
  </si>
  <si>
    <t>Oxford, NE</t>
  </si>
  <si>
    <t>Geneva, MN</t>
  </si>
  <si>
    <t>Avila Beach, CA</t>
  </si>
  <si>
    <t>Concordia, MO</t>
  </si>
  <si>
    <t>Birchwood, MN</t>
  </si>
  <si>
    <t>Avenue, MD</t>
  </si>
  <si>
    <t>Ocheyedan, IA</t>
  </si>
  <si>
    <t>Sauk City, WI</t>
  </si>
  <si>
    <t>Chelsea, IA</t>
  </si>
  <si>
    <t>Deer Creek, MN</t>
  </si>
  <si>
    <t>Anthon, IA</t>
  </si>
  <si>
    <t>Coal Fork, WV</t>
  </si>
  <si>
    <t>Mouthcard, KY</t>
  </si>
  <si>
    <t>Pulaski, MS</t>
  </si>
  <si>
    <t>Odd, WV</t>
  </si>
  <si>
    <t>Irene, SD</t>
  </si>
  <si>
    <t>Acworth, NH</t>
  </si>
  <si>
    <t>Dalton, NH</t>
  </si>
  <si>
    <t>Big Sky, MT</t>
  </si>
  <si>
    <t>Pitts, GA</t>
  </si>
  <si>
    <t>Stonewood, WV</t>
  </si>
  <si>
    <t>Tamms, IL</t>
  </si>
  <si>
    <t>Cridersville, OH</t>
  </si>
  <si>
    <t>Seldovia, AK</t>
  </si>
  <si>
    <t>Guffey, CO</t>
  </si>
  <si>
    <t>Weippe, ID</t>
  </si>
  <si>
    <t>Lily Lake, IL</t>
  </si>
  <si>
    <t>Jacksonville, OH</t>
  </si>
  <si>
    <t>Kendleton, TX</t>
  </si>
  <si>
    <t>Barker Ten Mile, NC</t>
  </si>
  <si>
    <t>Sea Ranch Lakes, FL</t>
  </si>
  <si>
    <t>Hartstown, PA</t>
  </si>
  <si>
    <t>Ellsworth, IL</t>
  </si>
  <si>
    <t>Anawalt, WV</t>
  </si>
  <si>
    <t>Thurmond, NC</t>
  </si>
  <si>
    <t>Honeyville, UT</t>
  </si>
  <si>
    <t>Auxier, KY</t>
  </si>
  <si>
    <t>Lewisville, IN</t>
  </si>
  <si>
    <t>Martinton, IL</t>
  </si>
  <si>
    <t>Trenton, TX</t>
  </si>
  <si>
    <t>Bricelyn, MN</t>
  </si>
  <si>
    <t>Bentleyville, OH</t>
  </si>
  <si>
    <t>Phoenicia, NY</t>
  </si>
  <si>
    <t>Eureka Mill, SC</t>
  </si>
  <si>
    <t>Bradford, IL</t>
  </si>
  <si>
    <t>Apple Springs, TX</t>
  </si>
  <si>
    <t>Long Island, VA</t>
  </si>
  <si>
    <t>Roberts, MT</t>
  </si>
  <si>
    <t>Bolckow, MO</t>
  </si>
  <si>
    <t>Red Rock, OK</t>
  </si>
  <si>
    <t>Deer Creek, WI</t>
  </si>
  <si>
    <t>Bancroft, ID</t>
  </si>
  <si>
    <t>Nortonville, KS</t>
  </si>
  <si>
    <t>Norwich, OH</t>
  </si>
  <si>
    <t>Apple Valley, UT</t>
  </si>
  <si>
    <t>Walcott, ND</t>
  </si>
  <si>
    <t>Lytle Creek, CA</t>
  </si>
  <si>
    <t>Dutton, MT</t>
  </si>
  <si>
    <t>Whately, MA</t>
  </si>
  <si>
    <t>Cruger, MS</t>
  </si>
  <si>
    <t>Dover, ID</t>
  </si>
  <si>
    <t>Dorchester, IA</t>
  </si>
  <si>
    <t>Attica, KS</t>
  </si>
  <si>
    <t>Cornwall, VT</t>
  </si>
  <si>
    <t>Liberty, ME</t>
  </si>
  <si>
    <t>Smithboro, IL</t>
  </si>
  <si>
    <t>Arlington, IA</t>
  </si>
  <si>
    <t>Big Creek, MS</t>
  </si>
  <si>
    <t>Shawnee, OH</t>
  </si>
  <si>
    <t>Creede, CO</t>
  </si>
  <si>
    <t>Kismet, KS</t>
  </si>
  <si>
    <t>Girard, GA</t>
  </si>
  <si>
    <t>Saint Lawrence, SD</t>
  </si>
  <si>
    <t>Durham, OR</t>
  </si>
  <si>
    <t>Green City, MO</t>
  </si>
  <si>
    <t>Union, CT</t>
  </si>
  <si>
    <t>Bolton Landing, NY</t>
  </si>
  <si>
    <t>West Fairlee, VT</t>
  </si>
  <si>
    <t>Mount Crested Butte, CO</t>
  </si>
  <si>
    <t>Wentworth, NH</t>
  </si>
  <si>
    <t>Ironton, MN</t>
  </si>
  <si>
    <t>Wellington, MO</t>
  </si>
  <si>
    <t>Geronimo, OK</t>
  </si>
  <si>
    <t>Leaf River, IL</t>
  </si>
  <si>
    <t>Lowry, MN</t>
  </si>
  <si>
    <t>Harmony, ME</t>
  </si>
  <si>
    <t>Sandisfield, MA</t>
  </si>
  <si>
    <t>Chenequa, WI</t>
  </si>
  <si>
    <t>Oilville, VA</t>
  </si>
  <si>
    <t>Atlanta, KS</t>
  </si>
  <si>
    <t>Lenora, KS</t>
  </si>
  <si>
    <t>Oak Run, CA</t>
  </si>
  <si>
    <t>Pittsburg, NH</t>
  </si>
  <si>
    <t>Cripple Creek, VA</t>
  </si>
  <si>
    <t>Fairfield, NC</t>
  </si>
  <si>
    <t>Dover, KY</t>
  </si>
  <si>
    <t>Trent, TX</t>
  </si>
  <si>
    <t>San Pierre, IN</t>
  </si>
  <si>
    <t>New Hartford, IA</t>
  </si>
  <si>
    <t>Mechanicsburg, IL</t>
  </si>
  <si>
    <t>Sharon Grove, KY</t>
  </si>
  <si>
    <t>Elk Creek, NE</t>
  </si>
  <si>
    <t>Port Hope, MI</t>
  </si>
  <si>
    <t>Orchard, NE</t>
  </si>
  <si>
    <t>Lyman, NH</t>
  </si>
  <si>
    <t>Exeland, WI</t>
  </si>
  <si>
    <t>Poplar Grove, AR</t>
  </si>
  <si>
    <t>Melvin, MI</t>
  </si>
  <si>
    <t>Reasnor, IA</t>
  </si>
  <si>
    <t>Solomons, MD</t>
  </si>
  <si>
    <t>Union City, OK</t>
  </si>
  <si>
    <t>Early, IA</t>
  </si>
  <si>
    <t>Willard, WI</t>
  </si>
  <si>
    <t>Nelson, WI</t>
  </si>
  <si>
    <t>Barstow, TX</t>
  </si>
  <si>
    <t>Five Points, TN</t>
  </si>
  <si>
    <t>Quenemo, KS</t>
  </si>
  <si>
    <t>Mer Rouge, LA</t>
  </si>
  <si>
    <t>Clayton, LA</t>
  </si>
  <si>
    <t>Pearlington, MS</t>
  </si>
  <si>
    <t>Indian Springs, NV</t>
  </si>
  <si>
    <t>Roy, MT</t>
  </si>
  <si>
    <t>Yeagertown, PA</t>
  </si>
  <si>
    <t>New Milton, WV</t>
  </si>
  <si>
    <t>Cadwell, GA</t>
  </si>
  <si>
    <t>Canaan, VT</t>
  </si>
  <si>
    <t>Industry, ME</t>
  </si>
  <si>
    <t>Limestone Creek, FL</t>
  </si>
  <si>
    <t>Hubbell, MI</t>
  </si>
  <si>
    <t>Delaware, OK</t>
  </si>
  <si>
    <t>Stonyford, CA</t>
  </si>
  <si>
    <t>Scotland, MD</t>
  </si>
  <si>
    <t>Dexter, MN</t>
  </si>
  <si>
    <t>Keystone, SD</t>
  </si>
  <si>
    <t>Unadilla, NE</t>
  </si>
  <si>
    <t>Greenbush, MI</t>
  </si>
  <si>
    <t>Augusta, NJ</t>
  </si>
  <si>
    <t>Exeter, NE</t>
  </si>
  <si>
    <t>Perdido, AL</t>
  </si>
  <si>
    <t>Meadville, MO</t>
  </si>
  <si>
    <t>Watson, IL</t>
  </si>
  <si>
    <t>Littlefork, MN</t>
  </si>
  <si>
    <t>Belle, WV</t>
  </si>
  <si>
    <t>Rosedale, VA</t>
  </si>
  <si>
    <t>Baskerville, VA</t>
  </si>
  <si>
    <t>Warbranch, KY</t>
  </si>
  <si>
    <t>Boon, MI</t>
  </si>
  <si>
    <t>Applegate, MI</t>
  </si>
  <si>
    <t>Lagro, IN</t>
  </si>
  <si>
    <t>Anchor Point, AK</t>
  </si>
  <si>
    <t>Warren, NH</t>
  </si>
  <si>
    <t>Graytown, OH</t>
  </si>
  <si>
    <t>Manzanola, CO</t>
  </si>
  <si>
    <t>Dixie, GA</t>
  </si>
  <si>
    <t>Lillie, LA</t>
  </si>
  <si>
    <t>Lindsey, OH</t>
  </si>
  <si>
    <t>East Duke, OK</t>
  </si>
  <si>
    <t>Gordon, GA</t>
  </si>
  <si>
    <t>Millwood, WV</t>
  </si>
  <si>
    <t>Granada, MN</t>
  </si>
  <si>
    <t>Perrin, TX</t>
  </si>
  <si>
    <t>Maugansville, MD</t>
  </si>
  <si>
    <t>Arcadia, MI</t>
  </si>
  <si>
    <t>Huntly, VA</t>
  </si>
  <si>
    <t>Howard, KS</t>
  </si>
  <si>
    <t>The Rock, GA</t>
  </si>
  <si>
    <t>Detroit, ME</t>
  </si>
  <si>
    <t>Enola, AR</t>
  </si>
  <si>
    <t>Coffeeville, AL</t>
  </si>
  <si>
    <t>Russellton, PA</t>
  </si>
  <si>
    <t>Flemington, GA</t>
  </si>
  <si>
    <t>Perry, AR</t>
  </si>
  <si>
    <t>Fleming, CO</t>
  </si>
  <si>
    <t>Milmay, NJ</t>
  </si>
  <si>
    <t>Randolph, VA</t>
  </si>
  <si>
    <t>Guin, AL</t>
  </si>
  <si>
    <t>Royston, GA</t>
  </si>
  <si>
    <t>Chatsworth, IL</t>
  </si>
  <si>
    <t>Westside, IA</t>
  </si>
  <si>
    <t>Albion, CA</t>
  </si>
  <si>
    <t>Lyman, NE</t>
  </si>
  <si>
    <t>Castalia, IA</t>
  </si>
  <si>
    <t>Ellenburg Center, NY</t>
  </si>
  <si>
    <t>Valley Brook, OK</t>
  </si>
  <si>
    <t>Mc Henry, MS</t>
  </si>
  <si>
    <t>Henry, SD</t>
  </si>
  <si>
    <t>Birmingham, IA</t>
  </si>
  <si>
    <t>Lilydale, MN</t>
  </si>
  <si>
    <t>Soldier, KS</t>
  </si>
  <si>
    <t>Hurricane Mills, TN</t>
  </si>
  <si>
    <t>Midway, PA</t>
  </si>
  <si>
    <t>Brownsville, IN</t>
  </si>
  <si>
    <t>Remsenburg, NY</t>
  </si>
  <si>
    <t>Salisbury Center, NY</t>
  </si>
  <si>
    <t>Pembroke, ME</t>
  </si>
  <si>
    <t>Kingsford Heights, IN</t>
  </si>
  <si>
    <t>Pine Knot, KY</t>
  </si>
  <si>
    <t>Sumner, IA</t>
  </si>
  <si>
    <t>Buffalo Lake, MN</t>
  </si>
  <si>
    <t>Kimball, TN</t>
  </si>
  <si>
    <t>Sugar Notch, PA</t>
  </si>
  <si>
    <t>Fremont, MO</t>
  </si>
  <si>
    <t>South Fork, CO</t>
  </si>
  <si>
    <t>Weld, ME</t>
  </si>
  <si>
    <t>Baileys Harbor, WI</t>
  </si>
  <si>
    <t>Old Chatham, NY</t>
  </si>
  <si>
    <t>Palm, PA</t>
  </si>
  <si>
    <t>Miltonvale, KS</t>
  </si>
  <si>
    <t>Butte, NE</t>
  </si>
  <si>
    <t>Toutle, WA</t>
  </si>
  <si>
    <t>Torrey, UT</t>
  </si>
  <si>
    <t>Knoxville, GA</t>
  </si>
  <si>
    <t>Georgetown, ID</t>
  </si>
  <si>
    <t>Jonesboro, TX</t>
  </si>
  <si>
    <t>Corder, MO</t>
  </si>
  <si>
    <t>Maquon, IL</t>
  </si>
  <si>
    <t>Point Hope, AK</t>
  </si>
  <si>
    <t>Windsor, MA</t>
  </si>
  <si>
    <t>Aaronsburg, PA</t>
  </si>
  <si>
    <t>Hebron, OH</t>
  </si>
  <si>
    <t>Wendell, MA</t>
  </si>
  <si>
    <t>Asherton, TX</t>
  </si>
  <si>
    <t>Equality, AL</t>
  </si>
  <si>
    <t>Linn, TX</t>
  </si>
  <si>
    <t>Sparkill, NY</t>
  </si>
  <si>
    <t>Lorraine, NY</t>
  </si>
  <si>
    <t>Wahkon, MN</t>
  </si>
  <si>
    <t>Campbell Hill, IL</t>
  </si>
  <si>
    <t>Church View, VA</t>
  </si>
  <si>
    <t>Montrose, IL</t>
  </si>
  <si>
    <t>Midville, GA</t>
  </si>
  <si>
    <t>Humphrey, AR</t>
  </si>
  <si>
    <t>Hawks, MI</t>
  </si>
  <si>
    <t>Lehigh, IA</t>
  </si>
  <si>
    <t>Crosby, MN</t>
  </si>
  <si>
    <t>Potter, NE</t>
  </si>
  <si>
    <t>Marquette, KS</t>
  </si>
  <si>
    <t>Elmore, MN</t>
  </si>
  <si>
    <t>Lovell, ME</t>
  </si>
  <si>
    <t>Barronett, WI</t>
  </si>
  <si>
    <t>Karnak, IL</t>
  </si>
  <si>
    <t>Cantua Creek, CA</t>
  </si>
  <si>
    <t>Solon, ME</t>
  </si>
  <si>
    <t>Hartford, KS</t>
  </si>
  <si>
    <t>New Preston, CT</t>
  </si>
  <si>
    <t>Logan, WV</t>
  </si>
  <si>
    <t>Benoit, MS</t>
  </si>
  <si>
    <t>Isleton, CA</t>
  </si>
  <si>
    <t>Craigville, IN</t>
  </si>
  <si>
    <t>Cascilla, MS</t>
  </si>
  <si>
    <t>Capay, CA</t>
  </si>
  <si>
    <t>Lafayette, MN</t>
  </si>
  <si>
    <t>Graysville, OH</t>
  </si>
  <si>
    <t>Brandywine, WV</t>
  </si>
  <si>
    <t>Fort Blackmore, VA</t>
  </si>
  <si>
    <t>Goldfield, IA</t>
  </si>
  <si>
    <t>Gas, KS</t>
  </si>
  <si>
    <t>Hope, KS</t>
  </si>
  <si>
    <t>Cosby, MO</t>
  </si>
  <si>
    <t>Elberon, VA</t>
  </si>
  <si>
    <t>Douglass, TX</t>
  </si>
  <si>
    <t>Rolfe, IA</t>
  </si>
  <si>
    <t>Bloomingrose, WV</t>
  </si>
  <si>
    <t>Myers Flat, CA</t>
  </si>
  <si>
    <t>Happy Camp, CA</t>
  </si>
  <si>
    <t>Merry Hill, NC</t>
  </si>
  <si>
    <t>Basye, VA</t>
  </si>
  <si>
    <t>Lottsburg, VA</t>
  </si>
  <si>
    <t>Dalton, NY</t>
  </si>
  <si>
    <t>Waverly, KY</t>
  </si>
  <si>
    <t>Goodfield, IL</t>
  </si>
  <si>
    <t>Jefferson, NH</t>
  </si>
  <si>
    <t>Preston Hollow, NY</t>
  </si>
  <si>
    <t>Luzerne, MI</t>
  </si>
  <si>
    <t>Arlington, KS</t>
  </si>
  <si>
    <t>Aurora, SD</t>
  </si>
  <si>
    <t>Airport Drive, MO</t>
  </si>
  <si>
    <t>Protem, MO</t>
  </si>
  <si>
    <t>Alburnett, IA</t>
  </si>
  <si>
    <t>Carbon, TX</t>
  </si>
  <si>
    <t>Malcom, IA</t>
  </si>
  <si>
    <t>Eaton, NH</t>
  </si>
  <si>
    <t>Geneva-on-the-Lake, OH</t>
  </si>
  <si>
    <t>Mondamin, IA</t>
  </si>
  <si>
    <t>Tower Lakes, IL</t>
  </si>
  <si>
    <t>Castle Creek, NY</t>
  </si>
  <si>
    <t>Belvidere, NC</t>
  </si>
  <si>
    <t>Cainsville, MO</t>
  </si>
  <si>
    <t>Sandy Hook, VA</t>
  </si>
  <si>
    <t>Brookston, MN</t>
  </si>
  <si>
    <t>Tamarack, MN</t>
  </si>
  <si>
    <t>Mystic, IA</t>
  </si>
  <si>
    <t>Thompson, IA</t>
  </si>
  <si>
    <t>Mechanicstown, OH</t>
  </si>
  <si>
    <t>Weldon, IA</t>
  </si>
  <si>
    <t>Cummington, MA</t>
  </si>
  <si>
    <t>Hatchechubbee, AL</t>
  </si>
  <si>
    <t>Mount Cobb, PA</t>
  </si>
  <si>
    <t>Donnellson, IL</t>
  </si>
  <si>
    <t>Fedscreek, KY</t>
  </si>
  <si>
    <t>Barnard, VT</t>
  </si>
  <si>
    <t>Clifton, ME</t>
  </si>
  <si>
    <t>Cedarville, AR</t>
  </si>
  <si>
    <t>War, WV</t>
  </si>
  <si>
    <t>Summerland, CA</t>
  </si>
  <si>
    <t>Londonderry, OH</t>
  </si>
  <si>
    <t>Ullin, IL</t>
  </si>
  <si>
    <t>Pleasant Dale, NE</t>
  </si>
  <si>
    <t>Lake Lotawana, MO</t>
  </si>
  <si>
    <t>Palm Beach Shores, FL</t>
  </si>
  <si>
    <t>Pine Island, TX</t>
  </si>
  <si>
    <t>Lashmeet, WV</t>
  </si>
  <si>
    <t>Cortland, IL</t>
  </si>
  <si>
    <t>Concho, AZ</t>
  </si>
  <si>
    <t>Sutton, VT</t>
  </si>
  <si>
    <t>Forest Hills, KY</t>
  </si>
  <si>
    <t>Athens, LA</t>
  </si>
  <si>
    <t>Congerville, IL</t>
  </si>
  <si>
    <t>Sun Valley, ID</t>
  </si>
  <si>
    <t>Salem, IA</t>
  </si>
  <si>
    <t>Glenwood, WV</t>
  </si>
  <si>
    <t>Wesson, MS</t>
  </si>
  <si>
    <t>Tuckasegee, NC</t>
  </si>
  <si>
    <t>Skippers, VA</t>
  </si>
  <si>
    <t>Rockdale, IL</t>
  </si>
  <si>
    <t>Palmer, TN</t>
  </si>
  <si>
    <t>Plymouth, IL</t>
  </si>
  <si>
    <t>Mount Washington, MA</t>
  </si>
  <si>
    <t>Higdon, AL</t>
  </si>
  <si>
    <t>Springfield, NE</t>
  </si>
  <si>
    <t>Ingalls, IN</t>
  </si>
  <si>
    <t>Nicolaus, CA</t>
  </si>
  <si>
    <t>Tishomingo, OK</t>
  </si>
  <si>
    <t>Benson, VT</t>
  </si>
  <si>
    <t>Cherokee, KS</t>
  </si>
  <si>
    <t>Dows, IA</t>
  </si>
  <si>
    <t>Atalissa, IA</t>
  </si>
  <si>
    <t>Edna, KS</t>
  </si>
  <si>
    <t>Water View, VA</t>
  </si>
  <si>
    <t>Callands, VA</t>
  </si>
  <si>
    <t>Bennington, KS</t>
  </si>
  <si>
    <t>New Cambria, MO</t>
  </si>
  <si>
    <t>Axson, GA</t>
  </si>
  <si>
    <t>Jean Lafitte, LA</t>
  </si>
  <si>
    <t>Mercer, TN</t>
  </si>
  <si>
    <t>Sentinel, OK</t>
  </si>
  <si>
    <t>Redstone, CO</t>
  </si>
  <si>
    <t>Oklee, MN</t>
  </si>
  <si>
    <t>Moorefield, KY</t>
  </si>
  <si>
    <t>Kite, KY</t>
  </si>
  <si>
    <t>Coldiron, KY</t>
  </si>
  <si>
    <t>Delaplane, VA</t>
  </si>
  <si>
    <t>Golf, IL</t>
  </si>
  <si>
    <t>Hydetown, PA</t>
  </si>
  <si>
    <t>Calamus, IA</t>
  </si>
  <si>
    <t>Alto Pass, IL</t>
  </si>
  <si>
    <t>Owendale, MI</t>
  </si>
  <si>
    <t>Meadowlands, MN</t>
  </si>
  <si>
    <t>Modoc, SC</t>
  </si>
  <si>
    <t>Silverlake, WA</t>
  </si>
  <si>
    <t>Nordland, WA</t>
  </si>
  <si>
    <t>Tillatoba, MS</t>
  </si>
  <si>
    <t>Big Bend, WI</t>
  </si>
  <si>
    <t>Rock Springs, WI</t>
  </si>
  <si>
    <t>Collins, IA</t>
  </si>
  <si>
    <t>Woodbury, VT</t>
  </si>
  <si>
    <t>Kosse, TX</t>
  </si>
  <si>
    <t>Gill, CO</t>
  </si>
  <si>
    <t>Gilsum, NH</t>
  </si>
  <si>
    <t>Dendron, VA</t>
  </si>
  <si>
    <t>Millville, CA</t>
  </si>
  <si>
    <t>Minersville, UT</t>
  </si>
  <si>
    <t>Angel Fire, NM</t>
  </si>
  <si>
    <t>Bray, OK</t>
  </si>
  <si>
    <t>Marlow, NH</t>
  </si>
  <si>
    <t>Whitmore, CA</t>
  </si>
  <si>
    <t>Coal City, IN</t>
  </si>
  <si>
    <t>Cheshire, OH</t>
  </si>
  <si>
    <t>Omaha, GA</t>
  </si>
  <si>
    <t>Dalton, NE</t>
  </si>
  <si>
    <t>Saint Inigoes, MD</t>
  </si>
  <si>
    <t>Lafe, AR</t>
  </si>
  <si>
    <t>Pittsville, VA</t>
  </si>
  <si>
    <t>Rowe, VA</t>
  </si>
  <si>
    <t>Reader, WV</t>
  </si>
  <si>
    <t>Jones, AL</t>
  </si>
  <si>
    <t>Norwich, ND</t>
  </si>
  <si>
    <t>Pomeroy, IA</t>
  </si>
  <si>
    <t>Arlington Heights, OH</t>
  </si>
  <si>
    <t>Wallowa, OR</t>
  </si>
  <si>
    <t>Chavies, KY</t>
  </si>
  <si>
    <t>Oak Park, MN</t>
  </si>
  <si>
    <t>Cape Charles, VA</t>
  </si>
  <si>
    <t>Braithwaite, LA</t>
  </si>
  <si>
    <t>Hanna, IN</t>
  </si>
  <si>
    <t>Piney View, WV</t>
  </si>
  <si>
    <t>Reeves, LA</t>
  </si>
  <si>
    <t>Bluffton, GA</t>
  </si>
  <si>
    <t>Peru, MA</t>
  </si>
  <si>
    <t>Eleele, HI</t>
  </si>
  <si>
    <t>Ivyland, PA</t>
  </si>
  <si>
    <t>Gulliver, MI</t>
  </si>
  <si>
    <t>Zumbro Falls, MN</t>
  </si>
  <si>
    <t>Ewing, NE</t>
  </si>
  <si>
    <t>Spearville, KS</t>
  </si>
  <si>
    <t>Gracemont, OK</t>
  </si>
  <si>
    <t>Bowen, IL</t>
  </si>
  <si>
    <t>Blenheim, SC</t>
  </si>
  <si>
    <t>Sully, IA</t>
  </si>
  <si>
    <t>Waterville, KS</t>
  </si>
  <si>
    <t>Arcadia, IA</t>
  </si>
  <si>
    <t>Tubac, AZ</t>
  </si>
  <si>
    <t>Hanover, IL</t>
  </si>
  <si>
    <t>Altenburg, MO</t>
  </si>
  <si>
    <t>Java, VA</t>
  </si>
  <si>
    <t>Toddville, IA</t>
  </si>
  <si>
    <t>Canton, ME</t>
  </si>
  <si>
    <t>Lost Nation, IA</t>
  </si>
  <si>
    <t>Bryantown, MD</t>
  </si>
  <si>
    <t>Newark, VT</t>
  </si>
  <si>
    <t>Pearl, IL</t>
  </si>
  <si>
    <t>Raymond, MS</t>
  </si>
  <si>
    <t>Cataldo, ID</t>
  </si>
  <si>
    <t>Trout Lake, WA</t>
  </si>
  <si>
    <t>Rock Island, OK</t>
  </si>
  <si>
    <t>Detroit, AL</t>
  </si>
  <si>
    <t>Summersville, KY</t>
  </si>
  <si>
    <t>Granite Falls, MN</t>
  </si>
  <si>
    <t>Luana, IA</t>
  </si>
  <si>
    <t>Ramrod Key, FL</t>
  </si>
  <si>
    <t>Imnaha, OR</t>
  </si>
  <si>
    <t>Batesville, TX</t>
  </si>
  <si>
    <t>Boston Heights, OH</t>
  </si>
  <si>
    <t>Summerville, OR</t>
  </si>
  <si>
    <t>Oakdale, IL</t>
  </si>
  <si>
    <t>Blue Mound, TX</t>
  </si>
  <si>
    <t>Covington, TX</t>
  </si>
  <si>
    <t>Davenport, VA</t>
  </si>
  <si>
    <t>Warm Springs, VA</t>
  </si>
  <si>
    <t>Franklin, MN</t>
  </si>
  <si>
    <t>Orchard, CO</t>
  </si>
  <si>
    <t>Doe Run, MO</t>
  </si>
  <si>
    <t>Markham, VA</t>
  </si>
  <si>
    <t>Water Valley, KY</t>
  </si>
  <si>
    <t>Snow Lake Shores, MS</t>
  </si>
  <si>
    <t>Reserve, NM</t>
  </si>
  <si>
    <t>Dahinda, IL</t>
  </si>
  <si>
    <t>Pattison, MS</t>
  </si>
  <si>
    <t>Niantic, IL</t>
  </si>
  <si>
    <t>Roundhill, KY</t>
  </si>
  <si>
    <t>Powers Lake, WI</t>
  </si>
  <si>
    <t>Newman, IL</t>
  </si>
  <si>
    <t>Richview, IL</t>
  </si>
  <si>
    <t>Brookesmith, TX</t>
  </si>
  <si>
    <t>Montague, TX</t>
  </si>
  <si>
    <t>Glenwood, IN</t>
  </si>
  <si>
    <t>Aniwa, WI</t>
  </si>
  <si>
    <t>Masaryktown, FL</t>
  </si>
  <si>
    <t>Howards Grove, WI</t>
  </si>
  <si>
    <t>Calumet, IA</t>
  </si>
  <si>
    <t>Lewisville, ID</t>
  </si>
  <si>
    <t>Highland Hills, OH</t>
  </si>
  <si>
    <t>Calvin, OK</t>
  </si>
  <si>
    <t>Forestville, MI</t>
  </si>
  <si>
    <t>Johnstown, WI</t>
  </si>
  <si>
    <t>Grantville, KS</t>
  </si>
  <si>
    <t>Florida, MA</t>
  </si>
  <si>
    <t>Rodney Village, DE</t>
  </si>
  <si>
    <t>Edwards, NY</t>
  </si>
  <si>
    <t>Empire, CO</t>
  </si>
  <si>
    <t>Lannon, WI</t>
  </si>
  <si>
    <t>Bussey, IA</t>
  </si>
  <si>
    <t>Zearing, IA</t>
  </si>
  <si>
    <t>Pinehurst, GA</t>
  </si>
  <si>
    <t>Stigler, OK</t>
  </si>
  <si>
    <t>Hume, VA</t>
  </si>
  <si>
    <t>East Cape Girardeau, IL</t>
  </si>
  <si>
    <t>Caledonia, MO</t>
  </si>
  <si>
    <t>Racine, MN</t>
  </si>
  <si>
    <t>Trevorton, PA</t>
  </si>
  <si>
    <t>Eastborough, KS</t>
  </si>
  <si>
    <t>Thorndike, ME</t>
  </si>
  <si>
    <t>Cotton, MN</t>
  </si>
  <si>
    <t>Lovilia, IA</t>
  </si>
  <si>
    <t>Hopedale, OH</t>
  </si>
  <si>
    <t>Kenefic, OK</t>
  </si>
  <si>
    <t>Smelterville, ID</t>
  </si>
  <si>
    <t>McGrath, MN</t>
  </si>
  <si>
    <t>Darmstadt, IN</t>
  </si>
  <si>
    <t>Seville, FL</t>
  </si>
  <si>
    <t>Slocomb, AL</t>
  </si>
  <si>
    <t>Ridgeway, IA</t>
  </si>
  <si>
    <t>Robinson Creek, KY</t>
  </si>
  <si>
    <t>Paoli, OK</t>
  </si>
  <si>
    <t>Arbyrd, MO</t>
  </si>
  <si>
    <t>Aubrey, TX</t>
  </si>
  <si>
    <t>Meyersville, TX</t>
  </si>
  <si>
    <t>Jerico Springs, MO</t>
  </si>
  <si>
    <t>Nerstrand, MN</t>
  </si>
  <si>
    <t>Ripplemead, VA</t>
  </si>
  <si>
    <t>Richland, TX</t>
  </si>
  <si>
    <t>Saint Elizabeth, MO</t>
  </si>
  <si>
    <t>Augusta, IL</t>
  </si>
  <si>
    <t>Markleton, PA</t>
  </si>
  <si>
    <t>Bagley, WI</t>
  </si>
  <si>
    <t>Chase Mills, NY</t>
  </si>
  <si>
    <t>Huntington, OR</t>
  </si>
  <si>
    <t>Mont Alto, PA</t>
  </si>
  <si>
    <t>Sale City, GA</t>
  </si>
  <si>
    <t>Cut and Shoot, TX</t>
  </si>
  <si>
    <t>Sebec, ME</t>
  </si>
  <si>
    <t>Montgomery, MA</t>
  </si>
  <si>
    <t>Garibaldi, OR</t>
  </si>
  <si>
    <t>Surry, NH</t>
  </si>
  <si>
    <t>Forestview, IL</t>
  </si>
  <si>
    <t>Merritt, NC</t>
  </si>
  <si>
    <t>Ellsworth, PA</t>
  </si>
  <si>
    <t>Velda Village Hills, MO</t>
  </si>
  <si>
    <t>Earl Park, IN</t>
  </si>
  <si>
    <t>Clark Fork, ID</t>
  </si>
  <si>
    <t>Yorkshire, OH</t>
  </si>
  <si>
    <t>Mead, NE</t>
  </si>
  <si>
    <t>Union, IA</t>
  </si>
  <si>
    <t>Loch Sheldrake, NY</t>
  </si>
  <si>
    <t>Newcastle, TX</t>
  </si>
  <si>
    <t>Riga, MI</t>
  </si>
  <si>
    <t>Henderson, MI</t>
  </si>
  <si>
    <t>Hoskins, NE</t>
  </si>
  <si>
    <t>Oak Leaf, TX</t>
  </si>
  <si>
    <t>Maine, WI</t>
  </si>
  <si>
    <t>Krakow, WI</t>
  </si>
  <si>
    <t>Beaver, OR</t>
  </si>
  <si>
    <t>Vichy, MO</t>
  </si>
  <si>
    <t>Middlefield, MA</t>
  </si>
  <si>
    <t>Woodburn, IA</t>
  </si>
  <si>
    <t>Brocton, IL</t>
  </si>
  <si>
    <t>Harvard, NE</t>
  </si>
  <si>
    <t>Halbur, IA</t>
  </si>
  <si>
    <t>Cameron, LA</t>
  </si>
  <si>
    <t>Pioche, NV</t>
  </si>
  <si>
    <t>Summerfield, OH</t>
  </si>
  <si>
    <t>Carp Lake, MI</t>
  </si>
  <si>
    <t>Ravenwood, MO</t>
  </si>
  <si>
    <t>Michigan City, MS</t>
  </si>
  <si>
    <t>San Simon, AZ</t>
  </si>
  <si>
    <t>Flag Pond, TN</t>
  </si>
  <si>
    <t>Wood Lake, MN</t>
  </si>
  <si>
    <t>Uintah, UT</t>
  </si>
  <si>
    <t>Grubville, MO</t>
  </si>
  <si>
    <t>Bent Mountain, VA</t>
  </si>
  <si>
    <t>Orchard Grass Hills, KY</t>
  </si>
  <si>
    <t>Handley, WV</t>
  </si>
  <si>
    <t>Isom, KY</t>
  </si>
  <si>
    <t>North Pekin, IL</t>
  </si>
  <si>
    <t>Panton, VT</t>
  </si>
  <si>
    <t>Roaming Shores, OH</t>
  </si>
  <si>
    <t>Pansey, AL</t>
  </si>
  <si>
    <t>Odessa, DE</t>
  </si>
  <si>
    <t>Homestead, IA</t>
  </si>
  <si>
    <t>Lowell, VT</t>
  </si>
  <si>
    <t>Follett, TX</t>
  </si>
  <si>
    <t>McLain, MS</t>
  </si>
  <si>
    <t>Moore, MT</t>
  </si>
  <si>
    <t>Potter Lake, WI</t>
  </si>
  <si>
    <t>Pheba, MS</t>
  </si>
  <si>
    <t>Waurika, OK</t>
  </si>
  <si>
    <t>Dillon Beach, CA</t>
  </si>
  <si>
    <t>Patoka, IN</t>
  </si>
  <si>
    <t>Maxwell, CA</t>
  </si>
  <si>
    <t>Geronimo, TX</t>
  </si>
  <si>
    <t>Freedom, ME</t>
  </si>
  <si>
    <t>North Brentwood, MD</t>
  </si>
  <si>
    <t>Merriam Woods Village, MO</t>
  </si>
  <si>
    <t>Onaga, KS</t>
  </si>
  <si>
    <t>Humbird, WI</t>
  </si>
  <si>
    <t>Brighton, IA</t>
  </si>
  <si>
    <t>Montgomery, VT</t>
  </si>
  <si>
    <t>Iona, ID</t>
  </si>
  <si>
    <t>Des Arc, MO</t>
  </si>
  <si>
    <t>Aydlett, NC</t>
  </si>
  <si>
    <t>Wyoming, DE</t>
  </si>
  <si>
    <t>Middletown Springs, VT</t>
  </si>
  <si>
    <t>Kellyville, OK</t>
  </si>
  <si>
    <t>Brownsville, CA</t>
  </si>
  <si>
    <t>Pleasant Gap, PA</t>
  </si>
  <si>
    <t>Hurley, SD</t>
  </si>
  <si>
    <t>Sciotodale, OH</t>
  </si>
  <si>
    <t>Blairstown, IA</t>
  </si>
  <si>
    <t>Elsinore, UT</t>
  </si>
  <si>
    <t>Portland, MO</t>
  </si>
  <si>
    <t>Westbrook, MN</t>
  </si>
  <si>
    <t>Nehawka, NE</t>
  </si>
  <si>
    <t>Check, VA</t>
  </si>
  <si>
    <t>Sumpter, OR</t>
  </si>
  <si>
    <t>Dustin, OK</t>
  </si>
  <si>
    <t>Bryn Athyn, PA</t>
  </si>
  <si>
    <t>Flagler, CO</t>
  </si>
  <si>
    <t>West Union, IL</t>
  </si>
  <si>
    <t>Bagley, IA</t>
  </si>
  <si>
    <t>Kents Store, VA</t>
  </si>
  <si>
    <t>Pesotum, IL</t>
  </si>
  <si>
    <t>Wardsboro, VT</t>
  </si>
  <si>
    <t>Ruthton, MN</t>
  </si>
  <si>
    <t>Essex, IL</t>
  </si>
  <si>
    <t>High Bridge, WI</t>
  </si>
  <si>
    <t>Lynnville, IA</t>
  </si>
  <si>
    <t>North Irwin, PA</t>
  </si>
  <si>
    <t>Bellevue, TX</t>
  </si>
  <si>
    <t>Corning, AR</t>
  </si>
  <si>
    <t>Gamaliel, AR</t>
  </si>
  <si>
    <t>New Hope, TN</t>
  </si>
  <si>
    <t>East Gull Lake, MN</t>
  </si>
  <si>
    <t>Weybridge, VT</t>
  </si>
  <si>
    <t>Springdale, UT</t>
  </si>
  <si>
    <t>Mingo, IA</t>
  </si>
  <si>
    <t>Clarksburg, MO</t>
  </si>
  <si>
    <t>South Hampton, NH</t>
  </si>
  <si>
    <t>Heath, MA</t>
  </si>
  <si>
    <t>Wheeler, OR</t>
  </si>
  <si>
    <t>Prospect, OR</t>
  </si>
  <si>
    <t>Southern View, IL</t>
  </si>
  <si>
    <t>Wauregan, CT</t>
  </si>
  <si>
    <t>San Leanna, TX</t>
  </si>
  <si>
    <t>Lincoln, NH</t>
  </si>
  <si>
    <t>Richland, IA</t>
  </si>
  <si>
    <t>Moscow, IA</t>
  </si>
  <si>
    <t>White Heath, IL</t>
  </si>
  <si>
    <t>Alto, NM</t>
  </si>
  <si>
    <t>Gratiot, WI</t>
  </si>
  <si>
    <t>Jetmore, KS</t>
  </si>
  <si>
    <t>Somerset, CO</t>
  </si>
  <si>
    <t>Junction City, GA</t>
  </si>
  <si>
    <t>Brant Lake, NY</t>
  </si>
  <si>
    <t>Holloway, MN</t>
  </si>
  <si>
    <t>Black Eagle, MT</t>
  </si>
  <si>
    <t>Atwood, CO</t>
  </si>
  <si>
    <t>Fork, SC</t>
  </si>
  <si>
    <t>Appleton, MN</t>
  </si>
  <si>
    <t>Ola, ID</t>
  </si>
  <si>
    <t>Dunnegan, MO</t>
  </si>
  <si>
    <t>Maddock, ND</t>
  </si>
  <si>
    <t>Griffin, IN</t>
  </si>
  <si>
    <t>Putnam, IL</t>
  </si>
  <si>
    <t>Nashwauk, MN</t>
  </si>
  <si>
    <t>Forest Park, OK</t>
  </si>
  <si>
    <t>Blessing, TX</t>
  </si>
  <si>
    <t>Arlington, IN</t>
  </si>
  <si>
    <t>Eckerman, MI</t>
  </si>
  <si>
    <t>Jamaica, VT</t>
  </si>
  <si>
    <t>Shedd, OR</t>
  </si>
  <si>
    <t>Pine Mountain Club, CA</t>
  </si>
  <si>
    <t>Dalbo, MN</t>
  </si>
  <si>
    <t>Wells, TX</t>
  </si>
  <si>
    <t>McGill, NV</t>
  </si>
  <si>
    <t>Lake Koshkonong, WI</t>
  </si>
  <si>
    <t>Tippecanoe, IN</t>
  </si>
  <si>
    <t>Americus, KS</t>
  </si>
  <si>
    <t>Maurice, IA</t>
  </si>
  <si>
    <t>Greeley, KS</t>
  </si>
  <si>
    <t>New Harmony, UT</t>
  </si>
  <si>
    <t>Vergennes, IL</t>
  </si>
  <si>
    <t>Bynum, TX</t>
  </si>
  <si>
    <t>Merino, CO</t>
  </si>
  <si>
    <t>Cambridge, KS</t>
  </si>
  <si>
    <t>Hickory Valley, TN</t>
  </si>
  <si>
    <t>Harpers Ferry, IA</t>
  </si>
  <si>
    <t>Kell, IL</t>
  </si>
  <si>
    <t>Rio Oso, CA</t>
  </si>
  <si>
    <t>Wapello, IA</t>
  </si>
  <si>
    <t>Center, ND</t>
  </si>
  <si>
    <t>Columbus Junction, IA</t>
  </si>
  <si>
    <t>Locust Fork, AL</t>
  </si>
  <si>
    <t>Ryan, IA</t>
  </si>
  <si>
    <t>Topton, NC</t>
  </si>
  <si>
    <t>Yale, VA</t>
  </si>
  <si>
    <t>Land O Lakes, WI</t>
  </si>
  <si>
    <t>Tollette, AR</t>
  </si>
  <si>
    <t>Cascade, MD</t>
  </si>
  <si>
    <t>Chattaroy, WV</t>
  </si>
  <si>
    <t>Diaz, AR</t>
  </si>
  <si>
    <t>Lavaca, AR</t>
  </si>
  <si>
    <t>Cortland, NE</t>
  </si>
  <si>
    <t>Midway, AR</t>
  </si>
  <si>
    <t>Hanska, MN</t>
  </si>
  <si>
    <t>Kincaid, IL</t>
  </si>
  <si>
    <t>Addieville, IL</t>
  </si>
  <si>
    <t>Panaca, NV</t>
  </si>
  <si>
    <t>Sarahsville, OH</t>
  </si>
  <si>
    <t>Gridley, KS</t>
  </si>
  <si>
    <t>Cave in Rock, IL</t>
  </si>
  <si>
    <t>Woods Hole, MA</t>
  </si>
  <si>
    <t>Wurtland, KY</t>
  </si>
  <si>
    <t>Mosel, WI</t>
  </si>
  <si>
    <t>Springview, NE</t>
  </si>
  <si>
    <t>Pickrell, NE</t>
  </si>
  <si>
    <t>Eolia, KY</t>
  </si>
  <si>
    <t>Safford, AL</t>
  </si>
  <si>
    <t>Amberg, WI</t>
  </si>
  <si>
    <t>Granville, IA</t>
  </si>
  <si>
    <t>Lawley, AL</t>
  </si>
  <si>
    <t>Freeborn, MN</t>
  </si>
  <si>
    <t>Peninsula, OH</t>
  </si>
  <si>
    <t>Klemme, IA</t>
  </si>
  <si>
    <t>Columbia City, OR</t>
  </si>
  <si>
    <t>Menoken, ND</t>
  </si>
  <si>
    <t>Hodgkins, IL</t>
  </si>
  <si>
    <t>Cammack Village, AR</t>
  </si>
  <si>
    <t>Stockton, IA</t>
  </si>
  <si>
    <t>Fostoria, IA</t>
  </si>
  <si>
    <t>Hornick, IA</t>
  </si>
  <si>
    <t>Albion, IA</t>
  </si>
  <si>
    <t>Addison, ME</t>
  </si>
  <si>
    <t>Kettle Falls, WA</t>
  </si>
  <si>
    <t>Wakonda, SD</t>
  </si>
  <si>
    <t>Wheelock, VT</t>
  </si>
  <si>
    <t>Peacham, VT</t>
  </si>
  <si>
    <t>Christopher, IL</t>
  </si>
  <si>
    <t>Powderly, KY</t>
  </si>
  <si>
    <t>Woodville, GA</t>
  </si>
  <si>
    <t>Limestone, NY</t>
  </si>
  <si>
    <t>Warba, MN</t>
  </si>
  <si>
    <t>Hewitt, MN</t>
  </si>
  <si>
    <t>Moore, TX</t>
  </si>
  <si>
    <t>New Glarus, WI</t>
  </si>
  <si>
    <t>West Brooklyn, IL</t>
  </si>
  <si>
    <t>North Bennington, VT</t>
  </si>
  <si>
    <t>Howells, NE</t>
  </si>
  <si>
    <t>Red Lodge, MT</t>
  </si>
  <si>
    <t>Nelson, VA</t>
  </si>
  <si>
    <t>Parrott, GA</t>
  </si>
  <si>
    <t>Du Bois, IL</t>
  </si>
  <si>
    <t>Mount Olivet, KY</t>
  </si>
  <si>
    <t>North Perry, OH</t>
  </si>
  <si>
    <t>Metaline Falls, WA</t>
  </si>
  <si>
    <t>Kellogg, ID</t>
  </si>
  <si>
    <t>Abbot, ME</t>
  </si>
  <si>
    <t>Mountain Lake Park, MD</t>
  </si>
  <si>
    <t>D Hanis, TX</t>
  </si>
  <si>
    <t>Carbon, IN</t>
  </si>
  <si>
    <t>Reynolds, IL</t>
  </si>
  <si>
    <t>Fulton, IN</t>
  </si>
  <si>
    <t>Lee, ME</t>
  </si>
  <si>
    <t>Sterling, ND</t>
  </si>
  <si>
    <t>Newtown, MO</t>
  </si>
  <si>
    <t>Flordell Hills, MO</t>
  </si>
  <si>
    <t>Fort Peck, MT</t>
  </si>
  <si>
    <t>Masonville, IA</t>
  </si>
  <si>
    <t>Henderson, AR</t>
  </si>
  <si>
    <t>Libertyville, IA</t>
  </si>
  <si>
    <t>Interlaken, NJ</t>
  </si>
  <si>
    <t>Friendship, MD</t>
  </si>
  <si>
    <t>Effie, MN</t>
  </si>
  <si>
    <t>Frisco, NC</t>
  </si>
  <si>
    <t>Brantingham, NY</t>
  </si>
  <si>
    <t>Glidden, IA</t>
  </si>
  <si>
    <t>Prosperity, WV</t>
  </si>
  <si>
    <t>Bliss, ID</t>
  </si>
  <si>
    <t>Colmar Manor, MD</t>
  </si>
  <si>
    <t>Sugar City, CO</t>
  </si>
  <si>
    <t>Maple Creek, WI</t>
  </si>
  <si>
    <t>Carpendale, WV</t>
  </si>
  <si>
    <t>Elmo, UT</t>
  </si>
  <si>
    <t>Kennard, NE</t>
  </si>
  <si>
    <t>Ashton, IA</t>
  </si>
  <si>
    <t>Ovid, CO</t>
  </si>
  <si>
    <t>Kelliher, MN</t>
  </si>
  <si>
    <t>Manalapan, FL</t>
  </si>
  <si>
    <t>Twin Lake, MI</t>
  </si>
  <si>
    <t>Black Wolf, WI</t>
  </si>
  <si>
    <t>Powell, AL</t>
  </si>
  <si>
    <t>Vail, IA</t>
  </si>
  <si>
    <t>Asbury, MO</t>
  </si>
  <si>
    <t>Coltons Point, MD</t>
  </si>
  <si>
    <t>Maywood, MO</t>
  </si>
  <si>
    <t>Billings, OK</t>
  </si>
  <si>
    <t>Norris, TN</t>
  </si>
  <si>
    <t>Denton, GA</t>
  </si>
  <si>
    <t>Felda, FL</t>
  </si>
  <si>
    <t>Manilla, IN</t>
  </si>
  <si>
    <t>Wheatland, IN</t>
  </si>
  <si>
    <t>Gresham, NE</t>
  </si>
  <si>
    <t>Napoleon, MO</t>
  </si>
  <si>
    <t>Kerkhoven, MN</t>
  </si>
  <si>
    <t>Cedar Mountain, NC</t>
  </si>
  <si>
    <t>Umpire, AR</t>
  </si>
  <si>
    <t>Sycamore Hills, MO</t>
  </si>
  <si>
    <t>Winhall, VT</t>
  </si>
  <si>
    <t>Comfrey, MN</t>
  </si>
  <si>
    <t>Clarkton, MO</t>
  </si>
  <si>
    <t>Briggsdale, CO</t>
  </si>
  <si>
    <t>Moffat, CO</t>
  </si>
  <si>
    <t>Uniontown, KY</t>
  </si>
  <si>
    <t>Loomis, NE</t>
  </si>
  <si>
    <t>Camden Point, MO</t>
  </si>
  <si>
    <t>Rickardsville, IA</t>
  </si>
  <si>
    <t>Cameron, IL</t>
  </si>
  <si>
    <t>New Vienna, IA</t>
  </si>
  <si>
    <t>Carthage, IL</t>
  </si>
  <si>
    <t>Prospect, ME</t>
  </si>
  <si>
    <t>Brule, NE</t>
  </si>
  <si>
    <t>Western Grove, AR</t>
  </si>
  <si>
    <t>Whitesville, WV</t>
  </si>
  <si>
    <t>Lakeshire, MO</t>
  </si>
  <si>
    <t>Fossil, OR</t>
  </si>
  <si>
    <t>Melber, KY</t>
  </si>
  <si>
    <t>Embden, ME</t>
  </si>
  <si>
    <t>Hana, HI</t>
  </si>
  <si>
    <t>Animas, NM</t>
  </si>
  <si>
    <t>Lynchburg, MS</t>
  </si>
  <si>
    <t>Paris Crossing, IN</t>
  </si>
  <si>
    <t>Twelve Mile, IN</t>
  </si>
  <si>
    <t>Waterproof, LA</t>
  </si>
  <si>
    <t>Glenwood, NM</t>
  </si>
  <si>
    <t>Marble, CO</t>
  </si>
  <si>
    <t>Breda, IA</t>
  </si>
  <si>
    <t>Thawville, IL</t>
  </si>
  <si>
    <t>Gales Creek, OR</t>
  </si>
  <si>
    <t>Roxbury, VT</t>
  </si>
  <si>
    <t>Carmen, ID</t>
  </si>
  <si>
    <t>Westmore, VT</t>
  </si>
  <si>
    <t>Oakland, MD</t>
  </si>
  <si>
    <t>Herman, MN</t>
  </si>
  <si>
    <t>Sulphur, KY</t>
  </si>
  <si>
    <t>Garden City, MO</t>
  </si>
  <si>
    <t>Caret, VA</t>
  </si>
  <si>
    <t>Weir, MS</t>
  </si>
  <si>
    <t>Bass River, NJ</t>
  </si>
  <si>
    <t>Burtrum, MN</t>
  </si>
  <si>
    <t>Clinton, MN</t>
  </si>
  <si>
    <t>Stockett, MT</t>
  </si>
  <si>
    <t>Strabane, PA</t>
  </si>
  <si>
    <t>South Palm Beach, FL</t>
  </si>
  <si>
    <t>Silver Creek, NE</t>
  </si>
  <si>
    <t>Ponsford, MN</t>
  </si>
  <si>
    <t>New Edinburg, AR</t>
  </si>
  <si>
    <t>Bay Head, NJ</t>
  </si>
  <si>
    <t>La Crosse, WA</t>
  </si>
  <si>
    <t>Sula, MT</t>
  </si>
  <si>
    <t>North River, NY</t>
  </si>
  <si>
    <t>Kingman, IN</t>
  </si>
  <si>
    <t>Concord, AL</t>
  </si>
  <si>
    <t>Monroe, NH</t>
  </si>
  <si>
    <t>Ridgedale, MO</t>
  </si>
  <si>
    <t>Rondo, AR</t>
  </si>
  <si>
    <t>Harkers Island, NC</t>
  </si>
  <si>
    <t>Cornettsville, KY</t>
  </si>
  <si>
    <t>Greensboro, VT</t>
  </si>
  <si>
    <t>Oswego, KS</t>
  </si>
  <si>
    <t>Tonka Bay, MN</t>
  </si>
  <si>
    <t>Tatamy, PA</t>
  </si>
  <si>
    <t>Moyie Springs, ID</t>
  </si>
  <si>
    <t>College Corner, OH</t>
  </si>
  <si>
    <t>Stockport, IA</t>
  </si>
  <si>
    <t>Aquilla, TX</t>
  </si>
  <si>
    <t>Ranchita, CA</t>
  </si>
  <si>
    <t>Rising City, NE</t>
  </si>
  <si>
    <t>Clare, IA</t>
  </si>
  <si>
    <t>Ryegate, MT</t>
  </si>
  <si>
    <t>Stopover, KY</t>
  </si>
  <si>
    <t>Richardsville, VA</t>
  </si>
  <si>
    <t>Banner, WY</t>
  </si>
  <si>
    <t>Farmersville, IL</t>
  </si>
  <si>
    <t>Gardendale, TX</t>
  </si>
  <si>
    <t>Maineville, OH</t>
  </si>
  <si>
    <t>Jenner, CA</t>
  </si>
  <si>
    <t>Estelline, SD</t>
  </si>
  <si>
    <t>Balsam Grove, NC</t>
  </si>
  <si>
    <t>Shushan, NY</t>
  </si>
  <si>
    <t>Oakwood Hills, IL</t>
  </si>
  <si>
    <t>Deshler, NE</t>
  </si>
  <si>
    <t>Hampton, NY</t>
  </si>
  <si>
    <t>Leonidas, MI</t>
  </si>
  <si>
    <t>Lakewood, WI</t>
  </si>
  <si>
    <t>Natural Bridge, NY</t>
  </si>
  <si>
    <t>Fort Atkinson, IA</t>
  </si>
  <si>
    <t>Floyd, IA</t>
  </si>
  <si>
    <t>Hallie, KY</t>
  </si>
  <si>
    <t>Greenleaf, ID</t>
  </si>
  <si>
    <t>Plum Grove, TX</t>
  </si>
  <si>
    <t>De Soto, GA</t>
  </si>
  <si>
    <t>Wolf Creek, MT</t>
  </si>
  <si>
    <t>Theriot, LA</t>
  </si>
  <si>
    <t>Ethel, WA</t>
  </si>
  <si>
    <t>Green Valley Lake, CA</t>
  </si>
  <si>
    <t>Denton, MT</t>
  </si>
  <si>
    <t>De Land, IL</t>
  </si>
  <si>
    <t>Chemung, NY</t>
  </si>
  <si>
    <t>Oakesdale, WA</t>
  </si>
  <si>
    <t>Bardwell, KY</t>
  </si>
  <si>
    <t>Cerrillos, NM</t>
  </si>
  <si>
    <t>Seeley Lake, MT</t>
  </si>
  <si>
    <t>Westfield, IA</t>
  </si>
  <si>
    <t>Upper Tract, WV</t>
  </si>
  <si>
    <t>Teton, ID</t>
  </si>
  <si>
    <t>Oakfield, ME</t>
  </si>
  <si>
    <t>Hornbrook, CA</t>
  </si>
  <si>
    <t>Applegate, CA</t>
  </si>
  <si>
    <t>Conesville, IA</t>
  </si>
  <si>
    <t>Pennsbury Village, PA</t>
  </si>
  <si>
    <t>Churdan, IA</t>
  </si>
  <si>
    <t>Duncombe, IA</t>
  </si>
  <si>
    <t>Union, NE</t>
  </si>
  <si>
    <t>Garfield, WA</t>
  </si>
  <si>
    <t>Jordan Valley, OR</t>
  </si>
  <si>
    <t>Bartley, NE</t>
  </si>
  <si>
    <t>Valley Lee, MD</t>
  </si>
  <si>
    <t>Bristol, GA</t>
  </si>
  <si>
    <t>Bradleyville, MO</t>
  </si>
  <si>
    <t>Scotland, TX</t>
  </si>
  <si>
    <t>Chimacum, WA</t>
  </si>
  <si>
    <t>Malcolm, NE</t>
  </si>
  <si>
    <t>Proctor, WV</t>
  </si>
  <si>
    <t>Bell Canyon, CA</t>
  </si>
  <si>
    <t>Herman, NE</t>
  </si>
  <si>
    <t>Oregon House, CA</t>
  </si>
  <si>
    <t>Roby, TX</t>
  </si>
  <si>
    <t>Wallace, NE</t>
  </si>
  <si>
    <t>Brilliant, OH</t>
  </si>
  <si>
    <t>Lone Wolf, OK</t>
  </si>
  <si>
    <t>Comins, MI</t>
  </si>
  <si>
    <t>Morrison, MO</t>
  </si>
  <si>
    <t>Flora Vista, NM</t>
  </si>
  <si>
    <t>Scammon, KS</t>
  </si>
  <si>
    <t>Ryland Heights, KY</t>
  </si>
  <si>
    <t>Colony, KS</t>
  </si>
  <si>
    <t>Burns, KS</t>
  </si>
  <si>
    <t>Kingston, MO</t>
  </si>
  <si>
    <t>Partridge, KS</t>
  </si>
  <si>
    <t>Newington, NH</t>
  </si>
  <si>
    <t>Foster, OK</t>
  </si>
  <si>
    <t>Majestic, KY</t>
  </si>
  <si>
    <t>Langdon, NH</t>
  </si>
  <si>
    <t>Harrington, DE</t>
  </si>
  <si>
    <t>Belvidere, VT</t>
  </si>
  <si>
    <t>Caroga Lake, NY</t>
  </si>
  <si>
    <t>Millboro, VA</t>
  </si>
  <si>
    <t>Hornsby, TN</t>
  </si>
  <si>
    <t>Egremont, MA</t>
  </si>
  <si>
    <t>Happy, KY</t>
  </si>
  <si>
    <t>Industrial, GA</t>
  </si>
  <si>
    <t>Delia, KS</t>
  </si>
  <si>
    <t>Utica, NE</t>
  </si>
  <si>
    <t>Sugar Grove, WV</t>
  </si>
  <si>
    <t>Curryville, MO</t>
  </si>
  <si>
    <t>Fisher, MN</t>
  </si>
  <si>
    <t>Altoona, KS</t>
  </si>
  <si>
    <t>West Union, IA</t>
  </si>
  <si>
    <t>Waves, NC</t>
  </si>
  <si>
    <t>Bay Port, MI</t>
  </si>
  <si>
    <t>Pavillion, WY</t>
  </si>
  <si>
    <t>Reed Point, MT</t>
  </si>
  <si>
    <t>Kilkenny, MN</t>
  </si>
  <si>
    <t>Claxton, GA</t>
  </si>
  <si>
    <t>Harlowton, MT</t>
  </si>
  <si>
    <t>Alta Vista, IA</t>
  </si>
  <si>
    <t>Robbins, CA</t>
  </si>
  <si>
    <t>Mayview, MO</t>
  </si>
  <si>
    <t>Mora, MO</t>
  </si>
  <si>
    <t>Pine Top, KY</t>
  </si>
  <si>
    <t>Dillon, CO</t>
  </si>
  <si>
    <t>Roanoke, LA</t>
  </si>
  <si>
    <t>Portland, NY</t>
  </si>
  <si>
    <t>Makinen, MN</t>
  </si>
  <si>
    <t>Blue Mound, KS</t>
  </si>
  <si>
    <t>Charlotte, IA</t>
  </si>
  <si>
    <t>Jamesport, MO</t>
  </si>
  <si>
    <t>Hartford, IA</t>
  </si>
  <si>
    <t>Sublette, IL</t>
  </si>
  <si>
    <t>Lawler, IA</t>
  </si>
  <si>
    <t>Chelsea, OK</t>
  </si>
  <si>
    <t>Wilson, KS</t>
  </si>
  <si>
    <t>Oakville, IA</t>
  </si>
  <si>
    <t>Melvern, KS</t>
  </si>
  <si>
    <t>Carmine, TX</t>
  </si>
  <si>
    <t>Goshen, NH</t>
  </si>
  <si>
    <t>Lind, WA</t>
  </si>
  <si>
    <t>Walton, KS</t>
  </si>
  <si>
    <t>Engadine, MI</t>
  </si>
  <si>
    <t>Tarrytown, GA</t>
  </si>
  <si>
    <t>Bryant, SD</t>
  </si>
  <si>
    <t>Decatur, NE</t>
  </si>
  <si>
    <t>Truro, IA</t>
  </si>
  <si>
    <t>Hobgood, NC</t>
  </si>
  <si>
    <t>Bellmont, IL</t>
  </si>
  <si>
    <t>Liberty Center, IN</t>
  </si>
  <si>
    <t>Pringle, PA</t>
  </si>
  <si>
    <t>Good Hope, IL</t>
  </si>
  <si>
    <t>Shell Knob, MO</t>
  </si>
  <si>
    <t>Gloverville, SC</t>
  </si>
  <si>
    <t>Millstone, KY</t>
  </si>
  <si>
    <t>Braman, OK</t>
  </si>
  <si>
    <t>Palmer, TX</t>
  </si>
  <si>
    <t>Liberty, NE</t>
  </si>
  <si>
    <t>Dunmore, WV</t>
  </si>
  <si>
    <t>Laneview, VA</t>
  </si>
  <si>
    <t>Woodmere, OH</t>
  </si>
  <si>
    <t>Rosendale, MO</t>
  </si>
  <si>
    <t>Santa Ysabel, CA</t>
  </si>
  <si>
    <t>Carney, MI</t>
  </si>
  <si>
    <t>Bethany, PA</t>
  </si>
  <si>
    <t>Ocoee, TN</t>
  </si>
  <si>
    <t>Amber, OK</t>
  </si>
  <si>
    <t>Islamorada, FL</t>
  </si>
  <si>
    <t>Powers, MI</t>
  </si>
  <si>
    <t>Hoodsport, WA</t>
  </si>
  <si>
    <t>Moscow, TX</t>
  </si>
  <si>
    <t>Pennington, MN</t>
  </si>
  <si>
    <t>Monterey, MA</t>
  </si>
  <si>
    <t>Fredonia, IA</t>
  </si>
  <si>
    <t>Cosmos, MN</t>
  </si>
  <si>
    <t>Lee, IL</t>
  </si>
  <si>
    <t>Johnsburg, NY</t>
  </si>
  <si>
    <t>Sullivan City, TX</t>
  </si>
  <si>
    <t>Tipton, OK</t>
  </si>
  <si>
    <t>Garrett Park, MD</t>
  </si>
  <si>
    <t>Bushwood, MD</t>
  </si>
  <si>
    <t>Langford, SD</t>
  </si>
  <si>
    <t>Lawn, TX</t>
  </si>
  <si>
    <t>Hillcrest, TX</t>
  </si>
  <si>
    <t>Colon, NE</t>
  </si>
  <si>
    <t>Kiowa, OK</t>
  </si>
  <si>
    <t>Serena, IL</t>
  </si>
  <si>
    <t>Wauneta, NE</t>
  </si>
  <si>
    <t>Bennett, IA</t>
  </si>
  <si>
    <t>Brooksville, ME</t>
  </si>
  <si>
    <t>Piney Creek, NC</t>
  </si>
  <si>
    <t>Ogden, IA</t>
  </si>
  <si>
    <t>Ilwaco, WA</t>
  </si>
  <si>
    <t>Mullen, NE</t>
  </si>
  <si>
    <t>Rich Creek, VA</t>
  </si>
  <si>
    <t>Paupack, PA</t>
  </si>
  <si>
    <t>Whitesville, NY</t>
  </si>
  <si>
    <t>Horseshoe Lake, AR</t>
  </si>
  <si>
    <t>Bolt, WV</t>
  </si>
  <si>
    <t>Ionia, MO</t>
  </si>
  <si>
    <t>Kinta, OK</t>
  </si>
  <si>
    <t>Arnold, NE</t>
  </si>
  <si>
    <t>Bosworth, MO</t>
  </si>
  <si>
    <t>Gustine, TX</t>
  </si>
  <si>
    <t>Gilbert, IA</t>
  </si>
  <si>
    <t>Paint Rock, TX</t>
  </si>
  <si>
    <t>Looneyville, WV</t>
  </si>
  <si>
    <t>Waucoma, IA</t>
  </si>
  <si>
    <t>Ellston, IA</t>
  </si>
  <si>
    <t>Ridgeside, TN</t>
  </si>
  <si>
    <t>Hahira, GA</t>
  </si>
  <si>
    <t>New Canton, VA</t>
  </si>
  <si>
    <t>Kirtland Hills, OH</t>
  </si>
  <si>
    <t>Conesville, OH</t>
  </si>
  <si>
    <t>Third Lake, IL</t>
  </si>
  <si>
    <t>Sagaponack, NY</t>
  </si>
  <si>
    <t>College Springs, IA</t>
  </si>
  <si>
    <t>Temple, OK</t>
  </si>
  <si>
    <t>Eolia, MO</t>
  </si>
  <si>
    <t>Ollie, IA</t>
  </si>
  <si>
    <t>New Holland, IL</t>
  </si>
  <si>
    <t>Ionia, IA</t>
  </si>
  <si>
    <t>Cedar Grove, WV</t>
  </si>
  <si>
    <t>Versailles, IL</t>
  </si>
  <si>
    <t>Vershire, VT</t>
  </si>
  <si>
    <t>Sunburg, MN</t>
  </si>
  <si>
    <t>Buffalo Gap, TX</t>
  </si>
  <si>
    <t>Sumner, MS</t>
  </si>
  <si>
    <t>Wiley Ford, WV</t>
  </si>
  <si>
    <t>Republic, MI</t>
  </si>
  <si>
    <t>Headrick, OK</t>
  </si>
  <si>
    <t>Elliott, IL</t>
  </si>
  <si>
    <t>Low Moor, IA</t>
  </si>
  <si>
    <t>Conover, OH</t>
  </si>
  <si>
    <t>Lakeshore, CA</t>
  </si>
  <si>
    <t>Clark Mills, NY</t>
  </si>
  <si>
    <t>Piedmont, OH</t>
  </si>
  <si>
    <t>Sigel, IL</t>
  </si>
  <si>
    <t>Northport, MI</t>
  </si>
  <si>
    <t>Bannister, MI</t>
  </si>
  <si>
    <t>Crooks, SD</t>
  </si>
  <si>
    <t>Harrison, NE</t>
  </si>
  <si>
    <t>Wibaux, MT</t>
  </si>
  <si>
    <t>Drummond, WI</t>
  </si>
  <si>
    <t>Edwardsport, IN</t>
  </si>
  <si>
    <t>Hammon, OK</t>
  </si>
  <si>
    <t>Savoy, MA</t>
  </si>
  <si>
    <t>Indianola, IL</t>
  </si>
  <si>
    <t>Chapman, NE</t>
  </si>
  <si>
    <t>Davis, WV</t>
  </si>
  <si>
    <t>Farner, TN</t>
  </si>
  <si>
    <t>Leopold, IN</t>
  </si>
  <si>
    <t>Orlando, WV</t>
  </si>
  <si>
    <t>Hosford, FL</t>
  </si>
  <si>
    <t>Shelburn, IN</t>
  </si>
  <si>
    <t>Milan, NH</t>
  </si>
  <si>
    <t>Timberlake, OH</t>
  </si>
  <si>
    <t>Cullom, IL</t>
  </si>
  <si>
    <t>Sadorus, IL</t>
  </si>
  <si>
    <t>Bouckville, NY</t>
  </si>
  <si>
    <t>Los Olivos, CA</t>
  </si>
  <si>
    <t>Nelson, NH</t>
  </si>
  <si>
    <t>Strasburg, IL</t>
  </si>
  <si>
    <t>Adrian, OR</t>
  </si>
  <si>
    <t>Wapanucka, OK</t>
  </si>
  <si>
    <t>Cuyahoga Heights, OH</t>
  </si>
  <si>
    <t>Donovan, IL</t>
  </si>
  <si>
    <t>Melbourne Village, FL</t>
  </si>
  <si>
    <t>Iroquois, IL</t>
  </si>
  <si>
    <t>Benton, WI</t>
  </si>
  <si>
    <t>Hallwood, VA</t>
  </si>
  <si>
    <t>Killington, VT</t>
  </si>
  <si>
    <t>Skanee, MI</t>
  </si>
  <si>
    <t>Red Cross, NC</t>
  </si>
  <si>
    <t>Valles Mines, MO</t>
  </si>
  <si>
    <t>Genesee, MI</t>
  </si>
  <si>
    <t>Glencoe, KY</t>
  </si>
  <si>
    <t>Dasher, GA</t>
  </si>
  <si>
    <t>Dora, MO</t>
  </si>
  <si>
    <t>White City, KS</t>
  </si>
  <si>
    <t>Circleville, WV</t>
  </si>
  <si>
    <t>Mi Wuk Village, CA</t>
  </si>
  <si>
    <t>Banco, VA</t>
  </si>
  <si>
    <t>Rush Valley, UT</t>
  </si>
  <si>
    <t>Lucas, IA</t>
  </si>
  <si>
    <t>Lake Preston, SD</t>
  </si>
  <si>
    <t>Waggoner, IL</t>
  </si>
  <si>
    <t>Pines, IN</t>
  </si>
  <si>
    <t>Roodhouse, IL</t>
  </si>
  <si>
    <t>Brookshire, TX</t>
  </si>
  <si>
    <t>Easton, IL</t>
  </si>
  <si>
    <t>Mutual, OK</t>
  </si>
  <si>
    <t>Prairie Home, MO</t>
  </si>
  <si>
    <t>Stockbridge, VT</t>
  </si>
  <si>
    <t>Bath, NH</t>
  </si>
  <si>
    <t>Power, MT</t>
  </si>
  <si>
    <t>Dawn, MO</t>
  </si>
  <si>
    <t>Austin, KY</t>
  </si>
  <si>
    <t>Allardt, TN</t>
  </si>
  <si>
    <t>West Harwich, MA</t>
  </si>
  <si>
    <t>South Haven, KS</t>
  </si>
  <si>
    <t>Arch Cape, OR</t>
  </si>
  <si>
    <t>Eldorado, OK</t>
  </si>
  <si>
    <t>Between, GA</t>
  </si>
  <si>
    <t>Stanaford, WV</t>
  </si>
  <si>
    <t>Black, AL</t>
  </si>
  <si>
    <t>Boggstown, IN</t>
  </si>
  <si>
    <t>Westfield, VT</t>
  </si>
  <si>
    <t>Glen Elder, KS</t>
  </si>
  <si>
    <t>Pleasant View, CO</t>
  </si>
  <si>
    <t>Cleveland, AL</t>
  </si>
  <si>
    <t>Dorchester, NE</t>
  </si>
  <si>
    <t>Garden Grove, IA</t>
  </si>
  <si>
    <t>Ida, LA</t>
  </si>
  <si>
    <t>Barrett, MN</t>
  </si>
  <si>
    <t>Florence, KS</t>
  </si>
  <si>
    <t>Purmela, TX</t>
  </si>
  <si>
    <t>Ivanhoe, MN</t>
  </si>
  <si>
    <t>Unionville, IA</t>
  </si>
  <si>
    <t>Surrey, ND</t>
  </si>
  <si>
    <t>Leburn, KY</t>
  </si>
  <si>
    <t>Sunol-Midtown, CA</t>
  </si>
  <si>
    <t>Fifty Lakes, MN</t>
  </si>
  <si>
    <t>Auburntown, TN</t>
  </si>
  <si>
    <t>McCutchenville, OH</t>
  </si>
  <si>
    <t>Titonka, IA</t>
  </si>
  <si>
    <t>Saint Leon, IN</t>
  </si>
  <si>
    <t>Battle Creek, IA</t>
  </si>
  <si>
    <t>Gonvick, MN</t>
  </si>
  <si>
    <t>Alpha, KY</t>
  </si>
  <si>
    <t>Dorris, CA</t>
  </si>
  <si>
    <t>Indian Valley, VA</t>
  </si>
  <si>
    <t>Le Raysville, PA</t>
  </si>
  <si>
    <t>Cunningham, KY</t>
  </si>
  <si>
    <t>Jesse, WV</t>
  </si>
  <si>
    <t>Drummond, MT</t>
  </si>
  <si>
    <t>Callaway, MN</t>
  </si>
  <si>
    <t>Elk Garden, WV</t>
  </si>
  <si>
    <t>Cheyenne Wells, CO</t>
  </si>
  <si>
    <t>Griffithsville, WV</t>
  </si>
  <si>
    <t>Green Mountain Falls, CO</t>
  </si>
  <si>
    <t>Danbury, IA</t>
  </si>
  <si>
    <t>Riverdale, NE</t>
  </si>
  <si>
    <t>Mc Kittrick, CA</t>
  </si>
  <si>
    <t>Pattonville, TX</t>
  </si>
  <si>
    <t>Veyo, UT</t>
  </si>
  <si>
    <t>Plainfield, MA</t>
  </si>
  <si>
    <t>Shade, OH</t>
  </si>
  <si>
    <t>Diamond Point, NY</t>
  </si>
  <si>
    <t>Scotts Hill, TN</t>
  </si>
  <si>
    <t>Canmer, KY</t>
  </si>
  <si>
    <t>Hulett, WY</t>
  </si>
  <si>
    <t>Westport, ME</t>
  </si>
  <si>
    <t>Otis, ME</t>
  </si>
  <si>
    <t>Sitka, KY</t>
  </si>
  <si>
    <t>Mica, WA</t>
  </si>
  <si>
    <t>Gladstone, ND</t>
  </si>
  <si>
    <t>Lake Tapawingo, MO</t>
  </si>
  <si>
    <t>Onyx, CA</t>
  </si>
  <si>
    <t>Bel Alton, MD</t>
  </si>
  <si>
    <t>Eureka, NV</t>
  </si>
  <si>
    <t>Lenox, IA</t>
  </si>
  <si>
    <t>Midfield, TX</t>
  </si>
  <si>
    <t>Lowpoint, IL</t>
  </si>
  <si>
    <t>Armona, CA</t>
  </si>
  <si>
    <t>Venedocia, OH</t>
  </si>
  <si>
    <t>Turtle Lake, ND</t>
  </si>
  <si>
    <t>Lodgepole, NE</t>
  </si>
  <si>
    <t>Scobey, MS</t>
  </si>
  <si>
    <t>Salyer, CA</t>
  </si>
  <si>
    <t>Willow City, ND</t>
  </si>
  <si>
    <t>Shorterville, AL</t>
  </si>
  <si>
    <t>Hawley, MA</t>
  </si>
  <si>
    <t>Barclay, MD</t>
  </si>
  <si>
    <t>Keyesport, IL</t>
  </si>
  <si>
    <t>Wainwright, AK</t>
  </si>
  <si>
    <t>Gibson Island, MD</t>
  </si>
  <si>
    <t>Wyndmere, ND</t>
  </si>
  <si>
    <t>Vaughn, MT</t>
  </si>
  <si>
    <t>Carrizozo, NM</t>
  </si>
  <si>
    <t>Butterfield, MN</t>
  </si>
  <si>
    <t>Lutts, TN</t>
  </si>
  <si>
    <t>Osborn, MO</t>
  </si>
  <si>
    <t>Brady, NE</t>
  </si>
  <si>
    <t>Saint Francisville, IL</t>
  </si>
  <si>
    <t>Arcanum, OH</t>
  </si>
  <si>
    <t>Middleburg, KY</t>
  </si>
  <si>
    <t>Gaastra, MI</t>
  </si>
  <si>
    <t>Gun Club Estates, FL</t>
  </si>
  <si>
    <t>Bradshaw, WV</t>
  </si>
  <si>
    <t>Quinby, VA</t>
  </si>
  <si>
    <t>Pinopolis, SC</t>
  </si>
  <si>
    <t>Catheys Valley, CA</t>
  </si>
  <si>
    <t>Daleville, MS</t>
  </si>
  <si>
    <t>Bardolph, IL</t>
  </si>
  <si>
    <t>Regina, KY</t>
  </si>
  <si>
    <t>Howardville, MO</t>
  </si>
  <si>
    <t>Marquette, NE</t>
  </si>
  <si>
    <t>Ostrander, MN</t>
  </si>
  <si>
    <t>Carlton, WA</t>
  </si>
  <si>
    <t>Powers Lake, ND</t>
  </si>
  <si>
    <t>Montalba, TX</t>
  </si>
  <si>
    <t>Fairview, IL</t>
  </si>
  <si>
    <t>Thornton, IA</t>
  </si>
  <si>
    <t>Thornton, KY</t>
  </si>
  <si>
    <t>Loco, OK</t>
  </si>
  <si>
    <t>Cincinnati, IA</t>
  </si>
  <si>
    <t>Blanca, CO</t>
  </si>
  <si>
    <t>Minter City, MS</t>
  </si>
  <si>
    <t>Hestand, KY</t>
  </si>
  <si>
    <t>Prescott, KS</t>
  </si>
  <si>
    <t>Leigh, NE</t>
  </si>
  <si>
    <t>Royal, IA</t>
  </si>
  <si>
    <t>Tryon, OK</t>
  </si>
  <si>
    <t>Knob Lick, KY</t>
  </si>
  <si>
    <t>Hennepin, IL</t>
  </si>
  <si>
    <t>Browns Valley, MN</t>
  </si>
  <si>
    <t>Bellflower, IL</t>
  </si>
  <si>
    <t>Lynx, OH</t>
  </si>
  <si>
    <t>Guilford, MO</t>
  </si>
  <si>
    <t>Rileyville, VA</t>
  </si>
  <si>
    <t>Saint Charles, KY</t>
  </si>
  <si>
    <t>Himrod, NY</t>
  </si>
  <si>
    <t>Barataria, LA</t>
  </si>
  <si>
    <t>Blairs Mills, PA</t>
  </si>
  <si>
    <t>Brownsville, MN</t>
  </si>
  <si>
    <t>Potwin, KS</t>
  </si>
  <si>
    <t>Datil, NM</t>
  </si>
  <si>
    <t>Thurman, NY</t>
  </si>
  <si>
    <t>Irwin, OH</t>
  </si>
  <si>
    <t>Cutler, IL</t>
  </si>
  <si>
    <t>Juno Ridge, FL</t>
  </si>
  <si>
    <t>Minneola, KS</t>
  </si>
  <si>
    <t>Oldenburg, IN</t>
  </si>
  <si>
    <t>Wesley, IA</t>
  </si>
  <si>
    <t>Wachapreague, VA</t>
  </si>
  <si>
    <t>Epping, ND</t>
  </si>
  <si>
    <t>Aurora, IA</t>
  </si>
  <si>
    <t>Cobb Island, MD</t>
  </si>
  <si>
    <t>Robertsdale, PA</t>
  </si>
  <si>
    <t>Jerome, MO</t>
  </si>
  <si>
    <t>Rye, TX</t>
  </si>
  <si>
    <t>Piney Point, MD</t>
  </si>
  <si>
    <t>Mormon Lake, AZ</t>
  </si>
  <si>
    <t>Little York, IL</t>
  </si>
  <si>
    <t>Stuart, OK</t>
  </si>
  <si>
    <t>Wallace, CA</t>
  </si>
  <si>
    <t>Little Genesee, NY</t>
  </si>
  <si>
    <t>West Pelzer, SC</t>
  </si>
  <si>
    <t>Volin, SD</t>
  </si>
  <si>
    <t>Merom, IN</t>
  </si>
  <si>
    <t>Sidell, IL</t>
  </si>
  <si>
    <t>Halifax, VT</t>
  </si>
  <si>
    <t>Kirby, VT</t>
  </si>
  <si>
    <t>Stewart, MS</t>
  </si>
  <si>
    <t>Fountain, NC</t>
  </si>
  <si>
    <t>Star Lake, NY</t>
  </si>
  <si>
    <t>Walls, MS</t>
  </si>
  <si>
    <t>Westport, OK</t>
  </si>
  <si>
    <t>Davey, NE</t>
  </si>
  <si>
    <t>Liverpool, TX</t>
  </si>
  <si>
    <t>Silver Creek, WA</t>
  </si>
  <si>
    <t>Sharon, NH</t>
  </si>
  <si>
    <t>Dover, OK</t>
  </si>
  <si>
    <t>Doyle, TN</t>
  </si>
  <si>
    <t>Chatham, MI</t>
  </si>
  <si>
    <t>Clarington, PA</t>
  </si>
  <si>
    <t>Lotus, CA</t>
  </si>
  <si>
    <t>Bon Secour, AL</t>
  </si>
  <si>
    <t>Angora, MN</t>
  </si>
  <si>
    <t>Simmler, CA</t>
  </si>
  <si>
    <t>Butler, OK</t>
  </si>
  <si>
    <t>Kaaawa, HI</t>
  </si>
  <si>
    <t>Herod, IL</t>
  </si>
  <si>
    <t>Claremont, VA</t>
  </si>
  <si>
    <t>Straughn, IN</t>
  </si>
  <si>
    <t>Camargo, IL</t>
  </si>
  <si>
    <t>Given, WV</t>
  </si>
  <si>
    <t>Rose Hill, MS</t>
  </si>
  <si>
    <t>Beverly Hills, MO</t>
  </si>
  <si>
    <t>Zwingle, IA</t>
  </si>
  <si>
    <t>Homerville, GA</t>
  </si>
  <si>
    <t>Lisbon, ND</t>
  </si>
  <si>
    <t>Lake Shangrila, WI</t>
  </si>
  <si>
    <t>Riddleton, TN</t>
  </si>
  <si>
    <t>Bethelridge, KY</t>
  </si>
  <si>
    <t>Maywood Park, OR</t>
  </si>
  <si>
    <t>Arvonia, VA</t>
  </si>
  <si>
    <t>Morgantown, KY</t>
  </si>
  <si>
    <t>Rocky Hill, NJ</t>
  </si>
  <si>
    <t>Rio, WV</t>
  </si>
  <si>
    <t>Burlington, TX</t>
  </si>
  <si>
    <t>Parnell, IA</t>
  </si>
  <si>
    <t>South Shore, SD</t>
  </si>
  <si>
    <t>Cleo Springs, OK</t>
  </si>
  <si>
    <t>Parnell, MO</t>
  </si>
  <si>
    <t>Egg Harbor, WI</t>
  </si>
  <si>
    <t>Dune Acres, IN</t>
  </si>
  <si>
    <t>Burbank, SD</t>
  </si>
  <si>
    <t>Roosevelt, NJ</t>
  </si>
  <si>
    <t>Moline, KS</t>
  </si>
  <si>
    <t>Columbia, NH</t>
  </si>
  <si>
    <t>Tall Timbers, MD</t>
  </si>
  <si>
    <t>Redfield, KS</t>
  </si>
  <si>
    <t>Annetta South, TX</t>
  </si>
  <si>
    <t>Buckingham, IL</t>
  </si>
  <si>
    <t>Bella Villa, MO</t>
  </si>
  <si>
    <t>Gayle Mill, SC</t>
  </si>
  <si>
    <t>Corolla, NC</t>
  </si>
  <si>
    <t>Pine Village, IN</t>
  </si>
  <si>
    <t>Cullen, VA</t>
  </si>
  <si>
    <t>Sperry, IA</t>
  </si>
  <si>
    <t>Innsbrook, MO</t>
  </si>
  <si>
    <t>Taloga, OK</t>
  </si>
  <si>
    <t>Columbia, SD</t>
  </si>
  <si>
    <t>Otho, IA</t>
  </si>
  <si>
    <t>Cardwell, MT</t>
  </si>
  <si>
    <t>Benedict, NE</t>
  </si>
  <si>
    <t>Oil Springs, KY</t>
  </si>
  <si>
    <t>Indianola, NE</t>
  </si>
  <si>
    <t>Ferguson, KY</t>
  </si>
  <si>
    <t>Aline, OK</t>
  </si>
  <si>
    <t>Dexter, KS</t>
  </si>
  <si>
    <t>Saint Leo, FL</t>
  </si>
  <si>
    <t>Tatums, OK</t>
  </si>
  <si>
    <t>Putnam Station, NY</t>
  </si>
  <si>
    <t>Newhope, AR</t>
  </si>
  <si>
    <t>Farmington, WA</t>
  </si>
  <si>
    <t>Bellefonte, KY</t>
  </si>
  <si>
    <t>Lockridge, IA</t>
  </si>
  <si>
    <t>Yancey, TX</t>
  </si>
  <si>
    <t>Brook Park, MN</t>
  </si>
  <si>
    <t>Wheatland, ND</t>
  </si>
  <si>
    <t>Verona, ME</t>
  </si>
  <si>
    <t>Ixonia, WI</t>
  </si>
  <si>
    <t>Ruth, MI</t>
  </si>
  <si>
    <t>Arnolds Park, IA</t>
  </si>
  <si>
    <t>Axtell, KS</t>
  </si>
  <si>
    <t>West Point, IL</t>
  </si>
  <si>
    <t>Runaway Bay, TX</t>
  </si>
  <si>
    <t>Turney, MO</t>
  </si>
  <si>
    <t>Max, ND</t>
  </si>
  <si>
    <t>Reeder, ND</t>
  </si>
  <si>
    <t>Watkins, IA</t>
  </si>
  <si>
    <t>West Lebanon, IN</t>
  </si>
  <si>
    <t>Hitchins, KY</t>
  </si>
  <si>
    <t>Ward, CO</t>
  </si>
  <si>
    <t>Manning, IA</t>
  </si>
  <si>
    <t>Stanwood, IA</t>
  </si>
  <si>
    <t>Princeton, ME</t>
  </si>
  <si>
    <t>Persia, IA</t>
  </si>
  <si>
    <t>Leeds, ND</t>
  </si>
  <si>
    <t>Breckenridge, MO</t>
  </si>
  <si>
    <t>Niobrara, NE</t>
  </si>
  <si>
    <t>Fairmount, ND</t>
  </si>
  <si>
    <t>Doddsville, MS</t>
  </si>
  <si>
    <t>Grafton, VT</t>
  </si>
  <si>
    <t>Selby, SD</t>
  </si>
  <si>
    <t>Avondale, WV</t>
  </si>
  <si>
    <t>Trumbull, NE</t>
  </si>
  <si>
    <t>Marion Heights, PA</t>
  </si>
  <si>
    <t>Fairview, KS</t>
  </si>
  <si>
    <t>Sheffield, VT</t>
  </si>
  <si>
    <t>The Sea Ranch, CA</t>
  </si>
  <si>
    <t>Baylis, IL</t>
  </si>
  <si>
    <t>Oconee, IL</t>
  </si>
  <si>
    <t>Leonard, ND</t>
  </si>
  <si>
    <t>Caney, OK</t>
  </si>
  <si>
    <t>Astoria, SD</t>
  </si>
  <si>
    <t>Alda, NE</t>
  </si>
  <si>
    <t>Koppel, PA</t>
  </si>
  <si>
    <t>Phyllis, KY</t>
  </si>
  <si>
    <t>Woodhull, IL</t>
  </si>
  <si>
    <t>Concepcion, TX</t>
  </si>
  <si>
    <t>Jewett, IL</t>
  </si>
  <si>
    <t>Red Rock, AZ</t>
  </si>
  <si>
    <t>Strong City, KS</t>
  </si>
  <si>
    <t>Elmendorf, TX</t>
  </si>
  <si>
    <t>Danforth, IL</t>
  </si>
  <si>
    <t>Northrop, MN</t>
  </si>
  <si>
    <t>Rantoul, KS</t>
  </si>
  <si>
    <t>Uniondale, IN</t>
  </si>
  <si>
    <t>Washington Grove, MD</t>
  </si>
  <si>
    <t>Keys, OK</t>
  </si>
  <si>
    <t>Midway, GA</t>
  </si>
  <si>
    <t>Dema, KY</t>
  </si>
  <si>
    <t>Vermillion, KS</t>
  </si>
  <si>
    <t>Topmost, KY</t>
  </si>
  <si>
    <t>Trade, TN</t>
  </si>
  <si>
    <t>Joy, IL</t>
  </si>
  <si>
    <t>Eldora, IA</t>
  </si>
  <si>
    <t>Onley, VA</t>
  </si>
  <si>
    <t>Olsburg, KS</t>
  </si>
  <si>
    <t>Granville, TN</t>
  </si>
  <si>
    <t>Williston, TN</t>
  </si>
  <si>
    <t>Sharon, OK</t>
  </si>
  <si>
    <t>Cumberland, IA</t>
  </si>
  <si>
    <t>Peel, AR</t>
  </si>
  <si>
    <t>Middlebrook, VA</t>
  </si>
  <si>
    <t>Shambaugh, IA</t>
  </si>
  <si>
    <t>Buffalo, SD</t>
  </si>
  <si>
    <t>Easton, WA</t>
  </si>
  <si>
    <t>Westphalia, KS</t>
  </si>
  <si>
    <t>Kirkersville, OH</t>
  </si>
  <si>
    <t>Greenwood, MN</t>
  </si>
  <si>
    <t>Fort Garland, CO</t>
  </si>
  <si>
    <t>Dannebrog, NE</t>
  </si>
  <si>
    <t>Weston, VT</t>
  </si>
  <si>
    <t>Longdale, OK</t>
  </si>
  <si>
    <t>Blunt, SD</t>
  </si>
  <si>
    <t>Kit Carson, CO</t>
  </si>
  <si>
    <t>Alta Vista, KS</t>
  </si>
  <si>
    <t>Massena, IA</t>
  </si>
  <si>
    <t>Whiting, IA</t>
  </si>
  <si>
    <t>Foxfield, CO</t>
  </si>
  <si>
    <t>Clayton, ID</t>
  </si>
  <si>
    <t>Platte Center, NE</t>
  </si>
  <si>
    <t>Ceres, VA</t>
  </si>
  <si>
    <t>Woodall, OK</t>
  </si>
  <si>
    <t>Ashland, MT</t>
  </si>
  <si>
    <t>Amado, AZ</t>
  </si>
  <si>
    <t>Readsboro, VT</t>
  </si>
  <si>
    <t>Channing, TX</t>
  </si>
  <si>
    <t>Jackson, NE</t>
  </si>
  <si>
    <t>Champlain, VA</t>
  </si>
  <si>
    <t>Cost, TX</t>
  </si>
  <si>
    <t>Mound Valley, KS</t>
  </si>
  <si>
    <t>Benavides, TX</t>
  </si>
  <si>
    <t>Saint Meinrad, IN</t>
  </si>
  <si>
    <t>Elaine, AR</t>
  </si>
  <si>
    <t>Burns, WY</t>
  </si>
  <si>
    <t>Palms, MI</t>
  </si>
  <si>
    <t>Olmsted, IL</t>
  </si>
  <si>
    <t>Bramwell, WV</t>
  </si>
  <si>
    <t>Graton, CA</t>
  </si>
  <si>
    <t>Olaton, KY</t>
  </si>
  <si>
    <t>Buhl, MN</t>
  </si>
  <si>
    <t>Oakland, AR</t>
  </si>
  <si>
    <t>Echo, MN</t>
  </si>
  <si>
    <t>Hubbardton, VT</t>
  </si>
  <si>
    <t>Manvel, ND</t>
  </si>
  <si>
    <t>Idaho City, ID</t>
  </si>
  <si>
    <t>Ancramdale, NY</t>
  </si>
  <si>
    <t>Fairfield, ID</t>
  </si>
  <si>
    <t>Casey, IA</t>
  </si>
  <si>
    <t>Shell, WY</t>
  </si>
  <si>
    <t>Zeb, OK</t>
  </si>
  <si>
    <t>Dorchester, NH</t>
  </si>
  <si>
    <t>Rexford, MT</t>
  </si>
  <si>
    <t>Peterson, IA</t>
  </si>
  <si>
    <t>Clairfield, TN</t>
  </si>
  <si>
    <t>Montour, IA</t>
  </si>
  <si>
    <t>Malinta, OH</t>
  </si>
  <si>
    <t>Francis, OK</t>
  </si>
  <si>
    <t>Monterville, WV</t>
  </si>
  <si>
    <t>Lynd, MN</t>
  </si>
  <si>
    <t>Earling, IA</t>
  </si>
  <si>
    <t>Whittemore, IA</t>
  </si>
  <si>
    <t>Taylor, MO</t>
  </si>
  <si>
    <t>Crystal Lake, IA</t>
  </si>
  <si>
    <t>Winona, KS</t>
  </si>
  <si>
    <t>Sea Island, GA</t>
  </si>
  <si>
    <t>Plato, MN</t>
  </si>
  <si>
    <t>Depew, OK</t>
  </si>
  <si>
    <t>Tenstrike, MN</t>
  </si>
  <si>
    <t>Mount Storm, WV</t>
  </si>
  <si>
    <t>Penrose, NC</t>
  </si>
  <si>
    <t>Mohawk, WV</t>
  </si>
  <si>
    <t>Hancock, MA</t>
  </si>
  <si>
    <t>Points, WV</t>
  </si>
  <si>
    <t>Sylvan Springs, AL</t>
  </si>
  <si>
    <t>Saguache, CO</t>
  </si>
  <si>
    <t>Courtdale, PA</t>
  </si>
  <si>
    <t>Chattanooga, OK</t>
  </si>
  <si>
    <t>Fielding, UT</t>
  </si>
  <si>
    <t>Doss, TX</t>
  </si>
  <si>
    <t>McCarr, KY</t>
  </si>
  <si>
    <t>Bouse, AZ</t>
  </si>
  <si>
    <t>Doland, SD</t>
  </si>
  <si>
    <t>Lucerne, IN</t>
  </si>
  <si>
    <t>Prairie City, OR</t>
  </si>
  <si>
    <t>Lakewood Club, MI</t>
  </si>
  <si>
    <t>Cawood, KY</t>
  </si>
  <si>
    <t>Beech Mountain, NC</t>
  </si>
  <si>
    <t>Gheens, LA</t>
  </si>
  <si>
    <t>Spencerville, MD</t>
  </si>
  <si>
    <t>Farragut, IA</t>
  </si>
  <si>
    <t>Climax, MN</t>
  </si>
  <si>
    <t>Creston, NE</t>
  </si>
  <si>
    <t>Spalding, NE</t>
  </si>
  <si>
    <t>Tumbling Shoals, AR</t>
  </si>
  <si>
    <t>Ivel, KY</t>
  </si>
  <si>
    <t>Wharton, OH</t>
  </si>
  <si>
    <t>Glenvil, NE</t>
  </si>
  <si>
    <t>Weaubleau, MO</t>
  </si>
  <si>
    <t>New Albin, IA</t>
  </si>
  <si>
    <t>Elliott, IA</t>
  </si>
  <si>
    <t>Lake Saint Croix Beach, MN</t>
  </si>
  <si>
    <t>Baldwin, IA</t>
  </si>
  <si>
    <t>Petersburg, OH</t>
  </si>
  <si>
    <t>Logan, KS</t>
  </si>
  <si>
    <t>Orderville, UT</t>
  </si>
  <si>
    <t>Goodwin, SD</t>
  </si>
  <si>
    <t>Bass Lake, CA</t>
  </si>
  <si>
    <t>Stacy, MN</t>
  </si>
  <si>
    <t>Page, ND</t>
  </si>
  <si>
    <t>Lindenwood, IL</t>
  </si>
  <si>
    <t>Lyle, MN</t>
  </si>
  <si>
    <t>Webster, NC</t>
  </si>
  <si>
    <t>Windsor, NH</t>
  </si>
  <si>
    <t>Sugar Tree, TN</t>
  </si>
  <si>
    <t>Etlan, VA</t>
  </si>
  <si>
    <t>Beaman, IA</t>
  </si>
  <si>
    <t>Wilcox, NE</t>
  </si>
  <si>
    <t>Halo, KY</t>
  </si>
  <si>
    <t>Jamestown, KS</t>
  </si>
  <si>
    <t>Westover Hills, TX</t>
  </si>
  <si>
    <t>Badger, IA</t>
  </si>
  <si>
    <t>Monmouth, IA</t>
  </si>
  <si>
    <t>Rule, TX</t>
  </si>
  <si>
    <t>Long Lane, MO</t>
  </si>
  <si>
    <t>Hallam, NE</t>
  </si>
  <si>
    <t>Luray, TN</t>
  </si>
  <si>
    <t>North Henderson, IL</t>
  </si>
  <si>
    <t>Venus, TX</t>
  </si>
  <si>
    <t>Eldorado, OH</t>
  </si>
  <si>
    <t>Yorkville, OH</t>
  </si>
  <si>
    <t>Sweden, ME</t>
  </si>
  <si>
    <t>Rockhill, PA</t>
  </si>
  <si>
    <t>Wolbach, NE</t>
  </si>
  <si>
    <t>Yale, IA</t>
  </si>
  <si>
    <t>Wittensville, KY</t>
  </si>
  <si>
    <t>Lebec, CA</t>
  </si>
  <si>
    <t>Windsor, KY</t>
  </si>
  <si>
    <t>Vienna Center, OH</t>
  </si>
  <si>
    <t>Poneto, IN</t>
  </si>
  <si>
    <t>Coalgate, OK</t>
  </si>
  <si>
    <t>Sharon, KS</t>
  </si>
  <si>
    <t>Pendergrass, GA</t>
  </si>
  <si>
    <t>Le Roy, KS</t>
  </si>
  <si>
    <t>Toddville, MD</t>
  </si>
  <si>
    <t>Wingate, MD</t>
  </si>
  <si>
    <t>Birmingham, MO</t>
  </si>
  <si>
    <t>Deep River, IA</t>
  </si>
  <si>
    <t>Paradise, MI</t>
  </si>
  <si>
    <t>Lawson, MO</t>
  </si>
  <si>
    <t>Williamsburg, MO</t>
  </si>
  <si>
    <t>Walkersville, WV</t>
  </si>
  <si>
    <t>Tinmouth, VT</t>
  </si>
  <si>
    <t>Yarrow Point, WA</t>
  </si>
  <si>
    <t>Montgomery Creek, CA</t>
  </si>
  <si>
    <t>Leonardville, KS</t>
  </si>
  <si>
    <t>Montcalm, WV</t>
  </si>
  <si>
    <t>Mantee, MS</t>
  </si>
  <si>
    <t>McCall Creek, MS</t>
  </si>
  <si>
    <t>Olympia, KY</t>
  </si>
  <si>
    <t>Ninilchik, AK</t>
  </si>
  <si>
    <t>Inchelium, WA</t>
  </si>
  <si>
    <t>Holmes Mill, KY</t>
  </si>
  <si>
    <t>Quinby, SC</t>
  </si>
  <si>
    <t>Heron, MT</t>
  </si>
  <si>
    <t>Camp Creek, WV</t>
  </si>
  <si>
    <t>Browning, MO</t>
  </si>
  <si>
    <t>Clearmont, WY</t>
  </si>
  <si>
    <t>Ducor, CA</t>
  </si>
  <si>
    <t>Kiamesha Lake, NY</t>
  </si>
  <si>
    <t>Black, MO</t>
  </si>
  <si>
    <t>Hammond, IL</t>
  </si>
  <si>
    <t>Banner, MS</t>
  </si>
  <si>
    <t>Mineville, NY</t>
  </si>
  <si>
    <t>Graceville, MN</t>
  </si>
  <si>
    <t>Holyoke, MN</t>
  </si>
  <si>
    <t>Murdock, NE</t>
  </si>
  <si>
    <t>East Vandergrift, PA</t>
  </si>
  <si>
    <t>Gardner, CO</t>
  </si>
  <si>
    <t>Alexis, IL</t>
  </si>
  <si>
    <t>Cranfills Gap, TX</t>
  </si>
  <si>
    <t>Brownville, ME</t>
  </si>
  <si>
    <t>Peru, IA</t>
  </si>
  <si>
    <t>Plummer, MN</t>
  </si>
  <si>
    <t>Redfox, KY</t>
  </si>
  <si>
    <t>Middletown, IL</t>
  </si>
  <si>
    <t>Lancaster, KS</t>
  </si>
  <si>
    <t>Island Falls, ME</t>
  </si>
  <si>
    <t>Smilax, KY</t>
  </si>
  <si>
    <t>Stockdale, PA</t>
  </si>
  <si>
    <t>Bridgman, MI</t>
  </si>
  <si>
    <t>Starrucca, PA</t>
  </si>
  <si>
    <t>Bullard, TX</t>
  </si>
  <si>
    <t>Crawfordsville, IA</t>
  </si>
  <si>
    <t>Jet, OK</t>
  </si>
  <si>
    <t>Rudd, IA</t>
  </si>
  <si>
    <t>Nineveh, NY</t>
  </si>
  <si>
    <t>Darrington, WA</t>
  </si>
  <si>
    <t>Fairdale, WV</t>
  </si>
  <si>
    <t>Maxwell, NE</t>
  </si>
  <si>
    <t>New Bloomington, OH</t>
  </si>
  <si>
    <t>Placerville, CO</t>
  </si>
  <si>
    <t>Fort Hall, ID</t>
  </si>
  <si>
    <t>Belfast, TN</t>
  </si>
  <si>
    <t>Goshen, UT</t>
  </si>
  <si>
    <t>Falmouth, IN</t>
  </si>
  <si>
    <t>Richey, MT</t>
  </si>
  <si>
    <t>Harbert, MI</t>
  </si>
  <si>
    <t>Blackey, KY</t>
  </si>
  <si>
    <t>Pine Mountain Valley, GA</t>
  </si>
  <si>
    <t>Sudbury, VT</t>
  </si>
  <si>
    <t>Nash, OK</t>
  </si>
  <si>
    <t>Dayton, WY</t>
  </si>
  <si>
    <t>Blackwater, VA</t>
  </si>
  <si>
    <t>La Russell, MO</t>
  </si>
  <si>
    <t>Marland, OK</t>
  </si>
  <si>
    <t>Walnut, KS</t>
  </si>
  <si>
    <t>Lyons Falls, NY</t>
  </si>
  <si>
    <t>Uniontown, WA</t>
  </si>
  <si>
    <t>Clarkston, UT</t>
  </si>
  <si>
    <t>Steward, IL</t>
  </si>
  <si>
    <t>Carnelian Bay, CA</t>
  </si>
  <si>
    <t>Brian Head, UT</t>
  </si>
  <si>
    <t>Dundas, IL</t>
  </si>
  <si>
    <t>Hillsboro Pines, FL</t>
  </si>
  <si>
    <t>Carroll, NE</t>
  </si>
  <si>
    <t>Gearhart, OR</t>
  </si>
  <si>
    <t>Trimble, TN</t>
  </si>
  <si>
    <t>Shamrock Lakes, IN</t>
  </si>
  <si>
    <t>Canadian, OK</t>
  </si>
  <si>
    <t>Wilsons, VA</t>
  </si>
  <si>
    <t>Mulhall, OK</t>
  </si>
  <si>
    <t>Rochelle, VA</t>
  </si>
  <si>
    <t>Squire, WV</t>
  </si>
  <si>
    <t>Charlemont, MA</t>
  </si>
  <si>
    <t>Sylvester, WV</t>
  </si>
  <si>
    <t>Forest Lake, IL</t>
  </si>
  <si>
    <t>Vernon, IL</t>
  </si>
  <si>
    <t>Rocky Ford, GA</t>
  </si>
  <si>
    <t>Trail, MN</t>
  </si>
  <si>
    <t>Rock Creek, AL</t>
  </si>
  <si>
    <t>Terry, MT</t>
  </si>
  <si>
    <t>Jay, VT</t>
  </si>
  <si>
    <t>Au Train, MI</t>
  </si>
  <si>
    <t>McDaniels, KY</t>
  </si>
  <si>
    <t>Brainard, NE</t>
  </si>
  <si>
    <t>Dorena, OR</t>
  </si>
  <si>
    <t>Bangor, CA</t>
  </si>
  <si>
    <t>Sassafras, KY</t>
  </si>
  <si>
    <t>Tabernash, CO</t>
  </si>
  <si>
    <t>Colerain, NC</t>
  </si>
  <si>
    <t>Lake Waukomis, MO</t>
  </si>
  <si>
    <t>Wasola, MO</t>
  </si>
  <si>
    <t>New Liberty, IA</t>
  </si>
  <si>
    <t>Parkersburg, IL</t>
  </si>
  <si>
    <t>Oswegatchie, NY</t>
  </si>
  <si>
    <t>Highland, KS</t>
  </si>
  <si>
    <t>Vader, WA</t>
  </si>
  <si>
    <t>Linn, KS</t>
  </si>
  <si>
    <t>Ames, NE</t>
  </si>
  <si>
    <t>New Bavaria, OH</t>
  </si>
  <si>
    <t>China Grove, TX</t>
  </si>
  <si>
    <t>Somerset Center, MI</t>
  </si>
  <si>
    <t>Turon, KS</t>
  </si>
  <si>
    <t>Temple, ME</t>
  </si>
  <si>
    <t>Kernville, CA</t>
  </si>
  <si>
    <t>Buffalo, ND</t>
  </si>
  <si>
    <t>Lake Shore, MN</t>
  </si>
  <si>
    <t>McArthur, CA</t>
  </si>
  <si>
    <t>Tatum, NM</t>
  </si>
  <si>
    <t>Philadelphia, MO</t>
  </si>
  <si>
    <t>Louise, MS</t>
  </si>
  <si>
    <t>Williamsfield, IL</t>
  </si>
  <si>
    <t>Harvel, IL</t>
  </si>
  <si>
    <t>Prairie City, IL</t>
  </si>
  <si>
    <t>Hornersville, MO</t>
  </si>
  <si>
    <t>Searchlight, NV</t>
  </si>
  <si>
    <t>Clarksdale, MO</t>
  </si>
  <si>
    <t>Riverlea, OH</t>
  </si>
  <si>
    <t>Endicott, WA</t>
  </si>
  <si>
    <t>Bakers Mills, NY</t>
  </si>
  <si>
    <t>Shelley, ID</t>
  </si>
  <si>
    <t>Cromwell, MN</t>
  </si>
  <si>
    <t>Fort Necessity, LA</t>
  </si>
  <si>
    <t>Leeds, UT</t>
  </si>
  <si>
    <t>Parkman, WY</t>
  </si>
  <si>
    <t>Holland, VT</t>
  </si>
  <si>
    <t>Raleigh, IL</t>
  </si>
  <si>
    <t>Auburn, IA</t>
  </si>
  <si>
    <t>Broadview, MT</t>
  </si>
  <si>
    <t>Fort Shaw, MT</t>
  </si>
  <si>
    <t>McClusky, ND</t>
  </si>
  <si>
    <t>Peconic, NY</t>
  </si>
  <si>
    <t>Stony Creek, NY</t>
  </si>
  <si>
    <t>Farber, MO</t>
  </si>
  <si>
    <t>Benton, NH</t>
  </si>
  <si>
    <t>Saint Joseph, TN</t>
  </si>
  <si>
    <t>Bridgeport, CA</t>
  </si>
  <si>
    <t>Shaver Lake, CA</t>
  </si>
  <si>
    <t>Brownington, VT</t>
  </si>
  <si>
    <t>Langley, KY</t>
  </si>
  <si>
    <t>Hokah, MN</t>
  </si>
  <si>
    <t>Neely, MS</t>
  </si>
  <si>
    <t>Randolph, UT</t>
  </si>
  <si>
    <t>Amherst, NE</t>
  </si>
  <si>
    <t>Sweet Grass, MT</t>
  </si>
  <si>
    <t>Sikes, LA</t>
  </si>
  <si>
    <t>Millville, MN</t>
  </si>
  <si>
    <t>Merrill, NY</t>
  </si>
  <si>
    <t>Rice, WA</t>
  </si>
  <si>
    <t>Saxis, VA</t>
  </si>
  <si>
    <t>Magnolia, TX</t>
  </si>
  <si>
    <t>Eglon, WV</t>
  </si>
  <si>
    <t>Oakes, ND</t>
  </si>
  <si>
    <t>Denison, KS</t>
  </si>
  <si>
    <t>Earlsboro, OK</t>
  </si>
  <si>
    <t>Everson, WA</t>
  </si>
  <si>
    <t>Protection, KS</t>
  </si>
  <si>
    <t>Leawood, MO</t>
  </si>
  <si>
    <t>Dobbins, CA</t>
  </si>
  <si>
    <t>La Harpe, KS</t>
  </si>
  <si>
    <t>Northome, MN</t>
  </si>
  <si>
    <t>Mass City, MI</t>
  </si>
  <si>
    <t>Greenwood, ME</t>
  </si>
  <si>
    <t>Millersburg, OR</t>
  </si>
  <si>
    <t>Dundee, IA</t>
  </si>
  <si>
    <t>Elcho, WI</t>
  </si>
  <si>
    <t>Ewing, MO</t>
  </si>
  <si>
    <t>Buffalo, IA</t>
  </si>
  <si>
    <t>Callaway, NE</t>
  </si>
  <si>
    <t>Rice, VA</t>
  </si>
  <si>
    <t>Perronville, MI</t>
  </si>
  <si>
    <t>Economy, IN</t>
  </si>
  <si>
    <t>Jasper, MN</t>
  </si>
  <si>
    <t>Olden, TX</t>
  </si>
  <si>
    <t>Sasakwa, OK</t>
  </si>
  <si>
    <t>Seney, MI</t>
  </si>
  <si>
    <t>Mount Hermon, KY</t>
  </si>
  <si>
    <t>Hinsdale, MT</t>
  </si>
  <si>
    <t>Plymouth, IA</t>
  </si>
  <si>
    <t>Villa Ridge, IL</t>
  </si>
  <si>
    <t>Stevensville, MI</t>
  </si>
  <si>
    <t>Valley Head, WV</t>
  </si>
  <si>
    <t>Swisshome, OR</t>
  </si>
  <si>
    <t>Paulding, MS</t>
  </si>
  <si>
    <t>Kampsville, IL</t>
  </si>
  <si>
    <t>Joanna, SC</t>
  </si>
  <si>
    <t>Saint Libory, NE</t>
  </si>
  <si>
    <t>Gould City, MI</t>
  </si>
  <si>
    <t>Oak Vale, MS</t>
  </si>
  <si>
    <t>Epworth, IA</t>
  </si>
  <si>
    <t>Searsboro, IA</t>
  </si>
  <si>
    <t>Bronson, KS</t>
  </si>
  <si>
    <t>Granville, ND</t>
  </si>
  <si>
    <t>Arden, DE</t>
  </si>
  <si>
    <t>South Amherst, OH</t>
  </si>
  <si>
    <t>Marcell, MN</t>
  </si>
  <si>
    <t>Armstrong, IL</t>
  </si>
  <si>
    <t>Pepeekeo, HI</t>
  </si>
  <si>
    <t>Park Ridge, WI</t>
  </si>
  <si>
    <t>Bushnell, NE</t>
  </si>
  <si>
    <t>Lamont, IA</t>
  </si>
  <si>
    <t>Fairview, MT</t>
  </si>
  <si>
    <t>Lancaster, TN</t>
  </si>
  <si>
    <t>Broadlands, IL</t>
  </si>
  <si>
    <t>Cowgill, MO</t>
  </si>
  <si>
    <t>Garrison, MN</t>
  </si>
  <si>
    <t>Tyro, KS</t>
  </si>
  <si>
    <t>Amherst, TX</t>
  </si>
  <si>
    <t>Longton, KS</t>
  </si>
  <si>
    <t>Manter, KS</t>
  </si>
  <si>
    <t>Danvers, MN</t>
  </si>
  <si>
    <t>Gentryville, IN</t>
  </si>
  <si>
    <t>Sullivan, NH</t>
  </si>
  <si>
    <t>Westport, TN</t>
  </si>
  <si>
    <t>Bronson, IA</t>
  </si>
  <si>
    <t>Forgan, OK</t>
  </si>
  <si>
    <t>Gardner, ND</t>
  </si>
  <si>
    <t>Forsyth, IL</t>
  </si>
  <si>
    <t>Rodessa, LA</t>
  </si>
  <si>
    <t>Curran, MI</t>
  </si>
  <si>
    <t>Freedom, OK</t>
  </si>
  <si>
    <t>Rappahannock Academy, VA</t>
  </si>
  <si>
    <t>Worthington, KY</t>
  </si>
  <si>
    <t>Industry, IL</t>
  </si>
  <si>
    <t>Deltaville, VA</t>
  </si>
  <si>
    <t>Nordheim, TX</t>
  </si>
  <si>
    <t>Spangle, WA</t>
  </si>
  <si>
    <t>Utica, MO</t>
  </si>
  <si>
    <t>Rake, IA</t>
  </si>
  <si>
    <t>Wiley, CO</t>
  </si>
  <si>
    <t>Rupert, VT</t>
  </si>
  <si>
    <t>Pelican Lake, WI</t>
  </si>
  <si>
    <t>Laclede, MO</t>
  </si>
  <si>
    <t>Little Rock, IA</t>
  </si>
  <si>
    <t>Caswell Beach, NC</t>
  </si>
  <si>
    <t>Greenwich, NJ</t>
  </si>
  <si>
    <t>Lake Ripley, WI</t>
  </si>
  <si>
    <t>Normantown, WV</t>
  </si>
  <si>
    <t>Fieldsboro, NJ</t>
  </si>
  <si>
    <t>Dolphin, VA</t>
  </si>
  <si>
    <t>Bent Creek, NC</t>
  </si>
  <si>
    <t>Buckingham, IA</t>
  </si>
  <si>
    <t>Hunnewell, MO</t>
  </si>
  <si>
    <t>Cooksville, IL</t>
  </si>
  <si>
    <t>Groton, NH</t>
  </si>
  <si>
    <t>Sunfish Lake, MN</t>
  </si>
  <si>
    <t>Celoron, NY</t>
  </si>
  <si>
    <t>Adirondack, NY</t>
  </si>
  <si>
    <t>Underwood, WA</t>
  </si>
  <si>
    <t>Cross Timbers, MO</t>
  </si>
  <si>
    <t>Pine Valley, NY</t>
  </si>
  <si>
    <t>Easton, NH</t>
  </si>
  <si>
    <t>Joice, IA</t>
  </si>
  <si>
    <t>Center, KY</t>
  </si>
  <si>
    <t>Armington, IL</t>
  </si>
  <si>
    <t>Beaver, KY</t>
  </si>
  <si>
    <t>Manor, GA</t>
  </si>
  <si>
    <t>Rose Hill, IA</t>
  </si>
  <si>
    <t>Sheldon, SC</t>
  </si>
  <si>
    <t>Markleeville, CA</t>
  </si>
  <si>
    <t>Keokee, VA</t>
  </si>
  <si>
    <t>Stuart, NE</t>
  </si>
  <si>
    <t>Townsend, WI</t>
  </si>
  <si>
    <t>Littleton, WV</t>
  </si>
  <si>
    <t>Franklin, NE</t>
  </si>
  <si>
    <t>Alma, IL</t>
  </si>
  <si>
    <t>Indianola, WA</t>
  </si>
  <si>
    <t>Parmele, NC</t>
  </si>
  <si>
    <t>Webster, KY</t>
  </si>
  <si>
    <t>Fontana, KS</t>
  </si>
  <si>
    <t>Kopperl, TX</t>
  </si>
  <si>
    <t>Logsden, OR</t>
  </si>
  <si>
    <t>Felt, ID</t>
  </si>
  <si>
    <t>Mayhill, NM</t>
  </si>
  <si>
    <t>Alma, MO</t>
  </si>
  <si>
    <t>Wing, AL</t>
  </si>
  <si>
    <t>Aurora, UT</t>
  </si>
  <si>
    <t>Plainville, IN</t>
  </si>
  <si>
    <t>Vesta, MN</t>
  </si>
  <si>
    <t>Pierson, IA</t>
  </si>
  <si>
    <t>Burden, KS</t>
  </si>
  <si>
    <t>Plymouth, VT</t>
  </si>
  <si>
    <t>Pinedale, WY</t>
  </si>
  <si>
    <t>Stratford, NH</t>
  </si>
  <si>
    <t>Latah, WA</t>
  </si>
  <si>
    <t>Viola, ID</t>
  </si>
  <si>
    <t>Geraldine, MT</t>
  </si>
  <si>
    <t>Orleans, NE</t>
  </si>
  <si>
    <t>Trout Valley, IL</t>
  </si>
  <si>
    <t>Braddyville, IA</t>
  </si>
  <si>
    <t>Diller, NE</t>
  </si>
  <si>
    <t>Watson, OK</t>
  </si>
  <si>
    <t>Light Oak, NC</t>
  </si>
  <si>
    <t>Baldwin, IL</t>
  </si>
  <si>
    <t>Knox City, MO</t>
  </si>
  <si>
    <t>Gray Summit, MO</t>
  </si>
  <si>
    <t>Viola, DE</t>
  </si>
  <si>
    <t>Boss, MO</t>
  </si>
  <si>
    <t>Aquinnah, MA</t>
  </si>
  <si>
    <t>Deerfield, VA</t>
  </si>
  <si>
    <t>Tolland, MA</t>
  </si>
  <si>
    <t>Bloomery, WV</t>
  </si>
  <si>
    <t>Vienna, GA</t>
  </si>
  <si>
    <t>West Tawakoni, TX</t>
  </si>
  <si>
    <t>Rosepine, LA</t>
  </si>
  <si>
    <t>Dunbar, NE</t>
  </si>
  <si>
    <t>Grand Coteau, LA</t>
  </si>
  <si>
    <t>Arcadia, KS</t>
  </si>
  <si>
    <t>Williams, IA</t>
  </si>
  <si>
    <t>Knightsville, IN</t>
  </si>
  <si>
    <t>Big Springs, NE</t>
  </si>
  <si>
    <t>Laurie, MO</t>
  </si>
  <si>
    <t>Cedar Bluff, AL</t>
  </si>
  <si>
    <t>Milo, MO</t>
  </si>
  <si>
    <t>Riviera, TX</t>
  </si>
  <si>
    <t>Beason, IL</t>
  </si>
  <si>
    <t>Venango, PA</t>
  </si>
  <si>
    <t>Viking, MN</t>
  </si>
  <si>
    <t>Morven, GA</t>
  </si>
  <si>
    <t>Mountain Park, GA</t>
  </si>
  <si>
    <t>Blue Springs, NE</t>
  </si>
  <si>
    <t>Ryderwood, WA</t>
  </si>
  <si>
    <t>Chilcoot, CA</t>
  </si>
  <si>
    <t>Mound City, IL</t>
  </si>
  <si>
    <t>Mountain View, CO</t>
  </si>
  <si>
    <t>Gholson, TX</t>
  </si>
  <si>
    <t>Olean, MO</t>
  </si>
  <si>
    <t>Virgin, UT</t>
  </si>
  <si>
    <t>Davenport, OK</t>
  </si>
  <si>
    <t>Vanlue, OH</t>
  </si>
  <si>
    <t>Cleveland, WV</t>
  </si>
  <si>
    <t>Murphy, ID</t>
  </si>
  <si>
    <t>White Plains, VA</t>
  </si>
  <si>
    <t>Arapahoe, CO</t>
  </si>
  <si>
    <t>Emmett, KS</t>
  </si>
  <si>
    <t>Bevil Oaks, TX</t>
  </si>
  <si>
    <t>Union Star, MO</t>
  </si>
  <si>
    <t>Mount Union, IA</t>
  </si>
  <si>
    <t>Caliente, NV</t>
  </si>
  <si>
    <t>Copper Harbor, MI</t>
  </si>
  <si>
    <t>Seminole, AL</t>
  </si>
  <si>
    <t>Fargo, OK</t>
  </si>
  <si>
    <t>South Williamson, KY</t>
  </si>
  <si>
    <t>Jamaica, VA</t>
  </si>
  <si>
    <t>Valentines, VA</t>
  </si>
  <si>
    <t>Brandon, IA</t>
  </si>
  <si>
    <t>Brewster, OH</t>
  </si>
  <si>
    <t>Hampton, NE</t>
  </si>
  <si>
    <t>Stanhope, IA</t>
  </si>
  <si>
    <t>Rowe, MA</t>
  </si>
  <si>
    <t>Gays, IL</t>
  </si>
  <si>
    <t>Castleton, VA</t>
  </si>
  <si>
    <t>Claflin, KS</t>
  </si>
  <si>
    <t>Chadwicks, NY</t>
  </si>
  <si>
    <t>Pottersville, NY</t>
  </si>
  <si>
    <t>Laura, IL</t>
  </si>
  <si>
    <t>Martelle, IA</t>
  </si>
  <si>
    <t>Inverness, CA</t>
  </si>
  <si>
    <t>Maynard, IA</t>
  </si>
  <si>
    <t>Daniel, WY</t>
  </si>
  <si>
    <t>Addyston, OH</t>
  </si>
  <si>
    <t>Norwood, CO</t>
  </si>
  <si>
    <t>Waubay, SD</t>
  </si>
  <si>
    <t>Mertens, TX</t>
  </si>
  <si>
    <t>Cushing, WI</t>
  </si>
  <si>
    <t>Barton City, MI</t>
  </si>
  <si>
    <t>Trenton, UT</t>
  </si>
  <si>
    <t>Bridgewater, SD</t>
  </si>
  <si>
    <t>Verona, IL</t>
  </si>
  <si>
    <t>Frankston, TX</t>
  </si>
  <si>
    <t>Hessel, MI</t>
  </si>
  <si>
    <t>Lyon Mountain, NY</t>
  </si>
  <si>
    <t>Wintergreen, VA</t>
  </si>
  <si>
    <t>Prague, NE</t>
  </si>
  <si>
    <t>Stacyville, IA</t>
  </si>
  <si>
    <t>Kensett, IA</t>
  </si>
  <si>
    <t>Panther, WV</t>
  </si>
  <si>
    <t>Windsor Heights, WV</t>
  </si>
  <si>
    <t>Fountain, MN</t>
  </si>
  <si>
    <t>Columbia, ME</t>
  </si>
  <si>
    <t>Kiron, IA</t>
  </si>
  <si>
    <t>Marble Cliff, OH</t>
  </si>
  <si>
    <t>Burgoon, OH</t>
  </si>
  <si>
    <t>Rocky, OK</t>
  </si>
  <si>
    <t>Hagan, GA</t>
  </si>
  <si>
    <t>Java, SD</t>
  </si>
  <si>
    <t>Bryant, IA</t>
  </si>
  <si>
    <t>Willow City, TX</t>
  </si>
  <si>
    <t>Glasco, KS</t>
  </si>
  <si>
    <t>Wayland, KY</t>
  </si>
  <si>
    <t>Sandgate, VT</t>
  </si>
  <si>
    <t>Somerville, ME</t>
  </si>
  <si>
    <t>Linneus, MO</t>
  </si>
  <si>
    <t>Humboldt, IL</t>
  </si>
  <si>
    <t>Waterville, IA</t>
  </si>
  <si>
    <t>Andalusia, IL</t>
  </si>
  <si>
    <t>Shellman, GA</t>
  </si>
  <si>
    <t>Lincoln, TX</t>
  </si>
  <si>
    <t>Longbranch, WA</t>
  </si>
  <si>
    <t>Dunnell, MN</t>
  </si>
  <si>
    <t>Green Spring, WV</t>
  </si>
  <si>
    <t>Fenwick Island, DE</t>
  </si>
  <si>
    <t>Thaxton, MS</t>
  </si>
  <si>
    <t>Lambsburg, VA</t>
  </si>
  <si>
    <t>Buckner, AR</t>
  </si>
  <si>
    <t>Nodaway, IA</t>
  </si>
  <si>
    <t>Lilliwaup, WA</t>
  </si>
  <si>
    <t>Potrero, CA</t>
  </si>
  <si>
    <t>Alta, CA</t>
  </si>
  <si>
    <t>Neosho Rapids, KS</t>
  </si>
  <si>
    <t>Brussels, IL</t>
  </si>
  <si>
    <t>Litchfield, CA</t>
  </si>
  <si>
    <t>Dike, IA</t>
  </si>
  <si>
    <t>Mount Aetna, MD</t>
  </si>
  <si>
    <t>Silverton, TX</t>
  </si>
  <si>
    <t>Dry Creek, WV</t>
  </si>
  <si>
    <t>Lucas, KS</t>
  </si>
  <si>
    <t>Linn Grove, IA</t>
  </si>
  <si>
    <t>Roberts, IL</t>
  </si>
  <si>
    <t>Paton, IA</t>
  </si>
  <si>
    <t>Briggs, TX</t>
  </si>
  <si>
    <t>South Mountain, TX</t>
  </si>
  <si>
    <t>Woodville, VA</t>
  </si>
  <si>
    <t>Tupelo, OK</t>
  </si>
  <si>
    <t>Rockaway Beach, MO</t>
  </si>
  <si>
    <t>Cory, IN</t>
  </si>
  <si>
    <t>Dana, IL</t>
  </si>
  <si>
    <t>Cornish, UT</t>
  </si>
  <si>
    <t>Ute, IA</t>
  </si>
  <si>
    <t>Germfask, MI</t>
  </si>
  <si>
    <t>Loraine, TX</t>
  </si>
  <si>
    <t>Bremen, ME</t>
  </si>
  <si>
    <t>Rockland, ID</t>
  </si>
  <si>
    <t>Linwood, NE</t>
  </si>
  <si>
    <t>Montreal, WI</t>
  </si>
  <si>
    <t>Los Alamos, CA</t>
  </si>
  <si>
    <t>Schlater, MS</t>
  </si>
  <si>
    <t>Monson, ME</t>
  </si>
  <si>
    <t>Almont, CO</t>
  </si>
  <si>
    <t>Lone Rock, IA</t>
  </si>
  <si>
    <t>Emmons, MN</t>
  </si>
  <si>
    <t>Swepsonville, NC</t>
  </si>
  <si>
    <t>Harmon, IL</t>
  </si>
  <si>
    <t>Totz, KY</t>
  </si>
  <si>
    <t>Cabery, IL</t>
  </si>
  <si>
    <t>Howland, ME</t>
  </si>
  <si>
    <t>Lavon, TX</t>
  </si>
  <si>
    <t>Norwich, KS</t>
  </si>
  <si>
    <t>Alma, WV</t>
  </si>
  <si>
    <t>Naubinway, MI</t>
  </si>
  <si>
    <t>Eustis, NE</t>
  </si>
  <si>
    <t>Michigamme, MI</t>
  </si>
  <si>
    <t>Andover, VT</t>
  </si>
  <si>
    <t>Zuehl, TX</t>
  </si>
  <si>
    <t>Barrackville, WV</t>
  </si>
  <si>
    <t>Washington, MA</t>
  </si>
  <si>
    <t>Thedford, NE</t>
  </si>
  <si>
    <t>Mountain Village, CO</t>
  </si>
  <si>
    <t>Gates, OR</t>
  </si>
  <si>
    <t>Packwood, WA</t>
  </si>
  <si>
    <t>Clearfield, IA</t>
  </si>
  <si>
    <t>Princes Lakes, IN</t>
  </si>
  <si>
    <t>Petroleum, WV</t>
  </si>
  <si>
    <t>Henrietta, MO</t>
  </si>
  <si>
    <t>Cunningham, KS</t>
  </si>
  <si>
    <t>Tygh Valley, OR</t>
  </si>
  <si>
    <t>Rhodhiss, NC</t>
  </si>
  <si>
    <t>Acme, WA</t>
  </si>
  <si>
    <t>Transylvania, LA</t>
  </si>
  <si>
    <t>Bumpus Mills, TN</t>
  </si>
  <si>
    <t>Pickerel, WI</t>
  </si>
  <si>
    <t>Telephone, TX</t>
  </si>
  <si>
    <t>Keaton, KY</t>
  </si>
  <si>
    <t>Port Costa, CA</t>
  </si>
  <si>
    <t>Fairbanks, IN</t>
  </si>
  <si>
    <t>Yosemite, KY</t>
  </si>
  <si>
    <t>Rupert, WV</t>
  </si>
  <si>
    <t>Blackhawk, SD</t>
  </si>
  <si>
    <t>Westport, KY</t>
  </si>
  <si>
    <t>Appleton, WA</t>
  </si>
  <si>
    <t>Harrisburg, NE</t>
  </si>
  <si>
    <t>Tyaskin, MD</t>
  </si>
  <si>
    <t>Energy, IL</t>
  </si>
  <si>
    <t>Clutier, IA</t>
  </si>
  <si>
    <t>Goetzville, MI</t>
  </si>
  <si>
    <t>Plainville, IL</t>
  </si>
  <si>
    <t>Nokomis, IL</t>
  </si>
  <si>
    <t>Bartow, WV</t>
  </si>
  <si>
    <t>Pawnee Rock, KS</t>
  </si>
  <si>
    <t>Alpine, WY</t>
  </si>
  <si>
    <t>Centralia, KS</t>
  </si>
  <si>
    <t>Pilger, NE</t>
  </si>
  <si>
    <t>San Jose, NM</t>
  </si>
  <si>
    <t>Stotts City, MO</t>
  </si>
  <si>
    <t>Lewiston, CA</t>
  </si>
  <si>
    <t>Marbury, MD</t>
  </si>
  <si>
    <t>Beemer, NE</t>
  </si>
  <si>
    <t>Bethune, CO</t>
  </si>
  <si>
    <t>Dawson, NE</t>
  </si>
  <si>
    <t>New Market, IA</t>
  </si>
  <si>
    <t>Landaff, NH</t>
  </si>
  <si>
    <t>Mona, UT</t>
  </si>
  <si>
    <t>Carmen, OK</t>
  </si>
  <si>
    <t>Alvord, IA</t>
  </si>
  <si>
    <t>Corn, OK</t>
  </si>
  <si>
    <t>Byng, OK</t>
  </si>
  <si>
    <t>Zeigler, IL</t>
  </si>
  <si>
    <t>Lebanon, KS</t>
  </si>
  <si>
    <t>Williams, MN</t>
  </si>
  <si>
    <t>Mariaville, ME</t>
  </si>
  <si>
    <t>Beechmont, KY</t>
  </si>
  <si>
    <t>Asharoken, NY</t>
  </si>
  <si>
    <t>Lynchburg, OH</t>
  </si>
  <si>
    <t>Petersburg, NE</t>
  </si>
  <si>
    <t>North Enid, OK</t>
  </si>
  <si>
    <t>Simla, CO</t>
  </si>
  <si>
    <t>Bluffton, TX</t>
  </si>
  <si>
    <t>Luttrell, TN</t>
  </si>
  <si>
    <t>Valley View, TX</t>
  </si>
  <si>
    <t>Talmage, NE</t>
  </si>
  <si>
    <t>Hobson, TX</t>
  </si>
  <si>
    <t>Cawker City, KS</t>
  </si>
  <si>
    <t>Sandy Level, VA</t>
  </si>
  <si>
    <t>San Simeon, CA</t>
  </si>
  <si>
    <t>Belvue, KS</t>
  </si>
  <si>
    <t>Gay, WV</t>
  </si>
  <si>
    <t>Lynco, WV</t>
  </si>
  <si>
    <t>Holbrook, NE</t>
  </si>
  <si>
    <t>Leadwood, MO</t>
  </si>
  <si>
    <t>Thorp, WA</t>
  </si>
  <si>
    <t>Cabins, WV</t>
  </si>
  <si>
    <t>Barney, GA</t>
  </si>
  <si>
    <t>Lebanon, OK</t>
  </si>
  <si>
    <t>Miami, TX</t>
  </si>
  <si>
    <t>Cleghorn, IA</t>
  </si>
  <si>
    <t>Delta, IA</t>
  </si>
  <si>
    <t>Morgan, VT</t>
  </si>
  <si>
    <t>Weeksbury, KY</t>
  </si>
  <si>
    <t>Dassel, MN</t>
  </si>
  <si>
    <t>Shelter Island Heights, NY</t>
  </si>
  <si>
    <t>Verdi, NV</t>
  </si>
  <si>
    <t>Ford, KS</t>
  </si>
  <si>
    <t>Skellytown, TX</t>
  </si>
  <si>
    <t>Emery, UT</t>
  </si>
  <si>
    <t>Lengby, MN</t>
  </si>
  <si>
    <t>Cedarville, MI</t>
  </si>
  <si>
    <t>Gasburg, VA</t>
  </si>
  <si>
    <t>Vernon Center, MN</t>
  </si>
  <si>
    <t>Sedgwick, CO</t>
  </si>
  <si>
    <t>Leadore, ID</t>
  </si>
  <si>
    <t>Giltner, NE</t>
  </si>
  <si>
    <t>Lewis, IA</t>
  </si>
  <si>
    <t>Camargo, KY</t>
  </si>
  <si>
    <t>Dickens, IA</t>
  </si>
  <si>
    <t>Gerlaw, IL</t>
  </si>
  <si>
    <t>Hills and Dales, OH</t>
  </si>
  <si>
    <t>Malone, TX</t>
  </si>
  <si>
    <t>Mount Erie, IL</t>
  </si>
  <si>
    <t>Dola, OH</t>
  </si>
  <si>
    <t>Laupahoehoe, HI</t>
  </si>
  <si>
    <t>Jenkinsville, SC</t>
  </si>
  <si>
    <t>Port Royal, VA</t>
  </si>
  <si>
    <t>Filion, MI</t>
  </si>
  <si>
    <t>Powells Point, NC</t>
  </si>
  <si>
    <t>Limestone, OK</t>
  </si>
  <si>
    <t>Mendon, NY</t>
  </si>
  <si>
    <t>Morse Bluff, NE</t>
  </si>
  <si>
    <t>Lodge, SC</t>
  </si>
  <si>
    <t>Quemado, NM</t>
  </si>
  <si>
    <t>Holiday Hills, IL</t>
  </si>
  <si>
    <t>Athens, VT</t>
  </si>
  <si>
    <t>Avoca, NE</t>
  </si>
  <si>
    <t>Upland, NE</t>
  </si>
  <si>
    <t>Columbia, IA</t>
  </si>
  <si>
    <t>Leighton, IA</t>
  </si>
  <si>
    <t>Farson, WY</t>
  </si>
  <si>
    <t>Hollandale, MN</t>
  </si>
  <si>
    <t>Deane, KY</t>
  </si>
  <si>
    <t>Shawnee Hills, OH</t>
  </si>
  <si>
    <t>Fox River, AK</t>
  </si>
  <si>
    <t>Palo Pinto, TX</t>
  </si>
  <si>
    <t>Port Sanilac, MI</t>
  </si>
  <si>
    <t>Nooksack, WA</t>
  </si>
  <si>
    <t>Zieglersville, PA</t>
  </si>
  <si>
    <t>Pleak, TX</t>
  </si>
  <si>
    <t>Loyalhanna, PA</t>
  </si>
  <si>
    <t>Wakita, OK</t>
  </si>
  <si>
    <t>Calera, OK</t>
  </si>
  <si>
    <t>French Gulch, CA</t>
  </si>
  <si>
    <t>Salley, SC</t>
  </si>
  <si>
    <t>Braceville, IL</t>
  </si>
  <si>
    <t>Miramonte, CA</t>
  </si>
  <si>
    <t>Naper, NE</t>
  </si>
  <si>
    <t>Elsah, IL</t>
  </si>
  <si>
    <t>Mackville, KY</t>
  </si>
  <si>
    <t>Ripton, VT</t>
  </si>
  <si>
    <t>McMillan, MI</t>
  </si>
  <si>
    <t>Helena, MO</t>
  </si>
  <si>
    <t>Coyne Center, IL</t>
  </si>
  <si>
    <t>Athol, NY</t>
  </si>
  <si>
    <t>Churubusco, NY</t>
  </si>
  <si>
    <t>Tracy, IA</t>
  </si>
  <si>
    <t>Keystone, IN</t>
  </si>
  <si>
    <t>Tekoa, WA</t>
  </si>
  <si>
    <t>Truesdale, MO</t>
  </si>
  <si>
    <t>Glen Allan, MS</t>
  </si>
  <si>
    <t>Lenapah, OK</t>
  </si>
  <si>
    <t>Columbus, KY</t>
  </si>
  <si>
    <t>Manns Harbor, NC</t>
  </si>
  <si>
    <t>Iliff, CO</t>
  </si>
  <si>
    <t>Beaux Arts Village, WA</t>
  </si>
  <si>
    <t>Spivey, KS</t>
  </si>
  <si>
    <t>Carthage, AR</t>
  </si>
  <si>
    <t>Kelly, LA</t>
  </si>
  <si>
    <t>Pulaski, IL</t>
  </si>
  <si>
    <t>Allensville, PA</t>
  </si>
  <si>
    <t>Tyringham, MA</t>
  </si>
  <si>
    <t>Burr Hill, VA</t>
  </si>
  <si>
    <t>Spencer, SD</t>
  </si>
  <si>
    <t>Cameron, OK</t>
  </si>
  <si>
    <t>Sugarloaf, CA</t>
  </si>
  <si>
    <t>New Lisbon, WI</t>
  </si>
  <si>
    <t>Dennison, IL</t>
  </si>
  <si>
    <t>Whitethorn, CA</t>
  </si>
  <si>
    <t>Wapella, IL</t>
  </si>
  <si>
    <t>Henderson, WV</t>
  </si>
  <si>
    <t>Mapleton, KS</t>
  </si>
  <si>
    <t>Put in Bay, OH</t>
  </si>
  <si>
    <t>Middle Bass, OH</t>
  </si>
  <si>
    <t>Left Hand, WV</t>
  </si>
  <si>
    <t>Kasilof, AK</t>
  </si>
  <si>
    <t>Crary, ND</t>
  </si>
  <si>
    <t>Quogue, NY</t>
  </si>
  <si>
    <t>Grand River, IA</t>
  </si>
  <si>
    <t>Bison, KS</t>
  </si>
  <si>
    <t>Eden, ID</t>
  </si>
  <si>
    <t>South Amana, IA</t>
  </si>
  <si>
    <t>Bradshaw, NE</t>
  </si>
  <si>
    <t>Weatherby, MO</t>
  </si>
  <si>
    <t>Patten, ME</t>
  </si>
  <si>
    <t>Galva, IA</t>
  </si>
  <si>
    <t>Hunter, ND</t>
  </si>
  <si>
    <t>Ashland Heights, SD</t>
  </si>
  <si>
    <t>Fishtail, MT</t>
  </si>
  <si>
    <t>Terral, OK</t>
  </si>
  <si>
    <t>Stratton, NE</t>
  </si>
  <si>
    <t>Westville, SC</t>
  </si>
  <si>
    <t>Wye Mills, MD</t>
  </si>
  <si>
    <t>Kinnear, WY</t>
  </si>
  <si>
    <t>Baldwin, FL</t>
  </si>
  <si>
    <t>Meno, OK</t>
  </si>
  <si>
    <t>Bruceville-Eddy, TX</t>
  </si>
  <si>
    <t>Foss, OK</t>
  </si>
  <si>
    <t>Oakdale, NE</t>
  </si>
  <si>
    <t>Russell, MN</t>
  </si>
  <si>
    <t>Netawaka, KS</t>
  </si>
  <si>
    <t>Taylor, ND</t>
  </si>
  <si>
    <t>Aladdin, WY</t>
  </si>
  <si>
    <t>Green, KS</t>
  </si>
  <si>
    <t>Hungry Horse, MT</t>
  </si>
  <si>
    <t>Latimer, IA</t>
  </si>
  <si>
    <t>Lewellen, NE</t>
  </si>
  <si>
    <t>Melvin, IA</t>
  </si>
  <si>
    <t>Rea, MO</t>
  </si>
  <si>
    <t>Spencer, NE</t>
  </si>
  <si>
    <t>Indian Hills, CO</t>
  </si>
  <si>
    <t>Eddyville, OR</t>
  </si>
  <si>
    <t>Carrabassett Valley, ME</t>
  </si>
  <si>
    <t>Fish Haven, ID</t>
  </si>
  <si>
    <t>Chaplin, KY</t>
  </si>
  <si>
    <t>Vallecito, CA</t>
  </si>
  <si>
    <t>Jameson, MO</t>
  </si>
  <si>
    <t>Kiester, MN</t>
  </si>
  <si>
    <t>Greendale, MO</t>
  </si>
  <si>
    <t>Hayden Lake, ID</t>
  </si>
  <si>
    <t>Garrison, IA</t>
  </si>
  <si>
    <t>Bartow, GA</t>
  </si>
  <si>
    <t>Cisco, IL</t>
  </si>
  <si>
    <t>Amagansett, NY</t>
  </si>
  <si>
    <t>South English, IA</t>
  </si>
  <si>
    <t>Layton, FL</t>
  </si>
  <si>
    <t>Riverton, NE</t>
  </si>
  <si>
    <t>Reading, VT</t>
  </si>
  <si>
    <t>Helper, UT</t>
  </si>
  <si>
    <t>De Soto, IA</t>
  </si>
  <si>
    <t>Seneca Rocks, WV</t>
  </si>
  <si>
    <t>Clermont, IA</t>
  </si>
  <si>
    <t>Davenport, ND</t>
  </si>
  <si>
    <t>Leonard, MO</t>
  </si>
  <si>
    <t>Retreat, TX</t>
  </si>
  <si>
    <t>Ocracoke, NC</t>
  </si>
  <si>
    <t>Odell, NE</t>
  </si>
  <si>
    <t>Stonewall, TX</t>
  </si>
  <si>
    <t>Faulkner, MD</t>
  </si>
  <si>
    <t>Freeburg, PA</t>
  </si>
  <si>
    <t>Patterson Springs, NC</t>
  </si>
  <si>
    <t>Spruce Creek, PA</t>
  </si>
  <si>
    <t>Mt Chase Plantation, ME</t>
  </si>
  <si>
    <t>Edgar, NE</t>
  </si>
  <si>
    <t>Fordyce, NE</t>
  </si>
  <si>
    <t>Stendal, IN</t>
  </si>
  <si>
    <t>Saint Regis, MT</t>
  </si>
  <si>
    <t>Bethel, MO</t>
  </si>
  <si>
    <t>Fillmore, MO</t>
  </si>
  <si>
    <t>Enterprise, UT</t>
  </si>
  <si>
    <t>Waite Hill, OH</t>
  </si>
  <si>
    <t>Sunrise Beach, TX</t>
  </si>
  <si>
    <t>Okauchee, WI</t>
  </si>
  <si>
    <t>Belcher, LA</t>
  </si>
  <si>
    <t>Richfield, KS</t>
  </si>
  <si>
    <t>Athena, OR</t>
  </si>
  <si>
    <t>Compton, IL</t>
  </si>
  <si>
    <t>Hardy, AR</t>
  </si>
  <si>
    <t>Smithfield, WV</t>
  </si>
  <si>
    <t>Oakley, UT</t>
  </si>
  <si>
    <t>Newburg, WV</t>
  </si>
  <si>
    <t>Villa Verde, TX</t>
  </si>
  <si>
    <t>Ashby, MN</t>
  </si>
  <si>
    <t>Walton, NE</t>
  </si>
  <si>
    <t>Brookline, VT</t>
  </si>
  <si>
    <t>Lesterville, MO</t>
  </si>
  <si>
    <t>Danube, MN</t>
  </si>
  <si>
    <t>North Haven, ME</t>
  </si>
  <si>
    <t>Lake City, CO</t>
  </si>
  <si>
    <t>Village of Oakview, MO</t>
  </si>
  <si>
    <t>Gary, SD</t>
  </si>
  <si>
    <t>Elmwood Park, WI</t>
  </si>
  <si>
    <t>Ladora, IA</t>
  </si>
  <si>
    <t>Ellsworth, IA</t>
  </si>
  <si>
    <t>Laurel, IA</t>
  </si>
  <si>
    <t>Rolla, KS</t>
  </si>
  <si>
    <t>Walker, WV</t>
  </si>
  <si>
    <t>Laurel, NY</t>
  </si>
  <si>
    <t>Clitherall, MN</t>
  </si>
  <si>
    <t>Chase, KS</t>
  </si>
  <si>
    <t>Cook, NE</t>
  </si>
  <si>
    <t>Montpelier, ND</t>
  </si>
  <si>
    <t>Edgewater, AL</t>
  </si>
  <si>
    <t>Susan Moore, AL</t>
  </si>
  <si>
    <t>Leland, IA</t>
  </si>
  <si>
    <t>Modale, IA</t>
  </si>
  <si>
    <t>Peletier, NC</t>
  </si>
  <si>
    <t>Black River, MI</t>
  </si>
  <si>
    <t>Gibbs, MO</t>
  </si>
  <si>
    <t>Walnut Grove, GA</t>
  </si>
  <si>
    <t>Arcadia, NE</t>
  </si>
  <si>
    <t>Herreid, SD</t>
  </si>
  <si>
    <t>Hitchcock, OK</t>
  </si>
  <si>
    <t>Clearwater, MN</t>
  </si>
  <si>
    <t>Stinnett, KY</t>
  </si>
  <si>
    <t>Birch Run, MI</t>
  </si>
  <si>
    <t>West Leyden, NY</t>
  </si>
  <si>
    <t>Plymouth, NE</t>
  </si>
  <si>
    <t>Lawrence, PA</t>
  </si>
  <si>
    <t>Delavan, MN</t>
  </si>
  <si>
    <t>Lowland, NC</t>
  </si>
  <si>
    <t>Havensville, KS</t>
  </si>
  <si>
    <t>Nye, MT</t>
  </si>
  <si>
    <t>Pittman Center, TN</t>
  </si>
  <si>
    <t>Bishop, VA</t>
  </si>
  <si>
    <t>Hanlontown, IA</t>
  </si>
  <si>
    <t>Randlett, OK</t>
  </si>
  <si>
    <t>Mitchell, OR</t>
  </si>
  <si>
    <t>Wilson, TX</t>
  </si>
  <si>
    <t>Greeley, IA</t>
  </si>
  <si>
    <t>New Hampton, MO</t>
  </si>
  <si>
    <t>Guide Rock, NE</t>
  </si>
  <si>
    <t>Lu Verne, IA</t>
  </si>
  <si>
    <t>Dameron, MD</t>
  </si>
  <si>
    <t>Hacksneck, VA</t>
  </si>
  <si>
    <t>Rattan, OK</t>
  </si>
  <si>
    <t>Beatty, OR</t>
  </si>
  <si>
    <t>Williamsport, IN</t>
  </si>
  <si>
    <t>Boca Grande, FL</t>
  </si>
  <si>
    <t>Marshall, CA</t>
  </si>
  <si>
    <t>Enterprise, WV</t>
  </si>
  <si>
    <t>Irwin, IA</t>
  </si>
  <si>
    <t>Shelby, NE</t>
  </si>
  <si>
    <t>Rotterdam Junction, NY</t>
  </si>
  <si>
    <t>La Pryor, TX</t>
  </si>
  <si>
    <t>Brookside, OH</t>
  </si>
  <si>
    <t>Dexter City, OH</t>
  </si>
  <si>
    <t>Menahga, MN</t>
  </si>
  <si>
    <t>Gold Run, CA</t>
  </si>
  <si>
    <t>Jarvisburg, NC</t>
  </si>
  <si>
    <t>Gurley, NE</t>
  </si>
  <si>
    <t>Austerlitz, NY</t>
  </si>
  <si>
    <t>Le Grand, IA</t>
  </si>
  <si>
    <t>Mount Auburn, IL</t>
  </si>
  <si>
    <t>Bethel, MN</t>
  </si>
  <si>
    <t>Millwood, KY</t>
  </si>
  <si>
    <t>Oakford, IL</t>
  </si>
  <si>
    <t>Packwood, IA</t>
  </si>
  <si>
    <t>Thurman, IA</t>
  </si>
  <si>
    <t>Independence, CA</t>
  </si>
  <si>
    <t>Thornburg, PA</t>
  </si>
  <si>
    <t>Pahala, HI</t>
  </si>
  <si>
    <t>Aledo, IL</t>
  </si>
  <si>
    <t>Sand Coulee, MT</t>
  </si>
  <si>
    <t>Little Orleans, MD</t>
  </si>
  <si>
    <t>Beeson, WV</t>
  </si>
  <si>
    <t>Browns, IL</t>
  </si>
  <si>
    <t>Kempton, IL</t>
  </si>
  <si>
    <t>Alexis, NC</t>
  </si>
  <si>
    <t>Hanley Falls, MN</t>
  </si>
  <si>
    <t>Waterloo, OH</t>
  </si>
  <si>
    <t>Payne Springs, TX</t>
  </si>
  <si>
    <t>South Colton, NY</t>
  </si>
  <si>
    <t>Portage des Sioux, MO</t>
  </si>
  <si>
    <t>New Providence, IA</t>
  </si>
  <si>
    <t>Vanceburg, KY</t>
  </si>
  <si>
    <t>Saint Croix, IN</t>
  </si>
  <si>
    <t>Farnam, NE</t>
  </si>
  <si>
    <t>Augusta, MT</t>
  </si>
  <si>
    <t>Campbell, AL</t>
  </si>
  <si>
    <t>Sigourney, IA</t>
  </si>
  <si>
    <t>Lewis, KS</t>
  </si>
  <si>
    <t>Carl, GA</t>
  </si>
  <si>
    <t>Truxton, MO</t>
  </si>
  <si>
    <t>Garden City, MN</t>
  </si>
  <si>
    <t>Deerfield, KS</t>
  </si>
  <si>
    <t>Meadview, AZ</t>
  </si>
  <si>
    <t>Rush City, MN</t>
  </si>
  <si>
    <t>Keensburg, IL</t>
  </si>
  <si>
    <t>Indian Point, MO</t>
  </si>
  <si>
    <t>Durbin, WV</t>
  </si>
  <si>
    <t>Rawlings, VA</t>
  </si>
  <si>
    <t>Marathon, TX</t>
  </si>
  <si>
    <t>Douglas, MI</t>
  </si>
  <si>
    <t>Avondale, MO</t>
  </si>
  <si>
    <t>Moundville, MO</t>
  </si>
  <si>
    <t>Tyro, VA</t>
  </si>
  <si>
    <t>Blooming Grove, NY</t>
  </si>
  <si>
    <t>Stockton, MD</t>
  </si>
  <si>
    <t>Copeland, KS</t>
  </si>
  <si>
    <t>Tutor Key, KY</t>
  </si>
  <si>
    <t>Russellville, IN</t>
  </si>
  <si>
    <t>Princeton, ID</t>
  </si>
  <si>
    <t>Harvey Cedars, NJ</t>
  </si>
  <si>
    <t>Pettit, OK</t>
  </si>
  <si>
    <t>Simon, WV</t>
  </si>
  <si>
    <t>Fox Chase, KY</t>
  </si>
  <si>
    <t>Pine Grove, WV</t>
  </si>
  <si>
    <t>Massey, MD</t>
  </si>
  <si>
    <t>San Ardo, CA</t>
  </si>
  <si>
    <t>Ratliff City, OK</t>
  </si>
  <si>
    <t>Wanette, OK</t>
  </si>
  <si>
    <t>Warfield, VA</t>
  </si>
  <si>
    <t>Hillsboro, IA</t>
  </si>
  <si>
    <t>Knifley, KY</t>
  </si>
  <si>
    <t>Trout Creek, MI</t>
  </si>
  <si>
    <t>Log Cabin, TX</t>
  </si>
  <si>
    <t>Fairmont, NC</t>
  </si>
  <si>
    <t>Federal Dam, MN</t>
  </si>
  <si>
    <t>Menlo, IA</t>
  </si>
  <si>
    <t>University Heights, IA</t>
  </si>
  <si>
    <t>Clifton, KS</t>
  </si>
  <si>
    <t>Leivasy, WV</t>
  </si>
  <si>
    <t>Ceylon, MN</t>
  </si>
  <si>
    <t>Westover, PA</t>
  </si>
  <si>
    <t>Delphos, KS</t>
  </si>
  <si>
    <t>Barnum, IA</t>
  </si>
  <si>
    <t>Sterling, NE</t>
  </si>
  <si>
    <t>Gorham, KS</t>
  </si>
  <si>
    <t>Taswell, IN</t>
  </si>
  <si>
    <t>Saint Thomas, MO</t>
  </si>
  <si>
    <t>Reidville, SC</t>
  </si>
  <si>
    <t>Wingate, IN</t>
  </si>
  <si>
    <t>Alford, MA</t>
  </si>
  <si>
    <t>Verdon, NE</t>
  </si>
  <si>
    <t>Little Sioux, IA</t>
  </si>
  <si>
    <t>Fiddletown, CA</t>
  </si>
  <si>
    <t>Forest, OH</t>
  </si>
  <si>
    <t>Ione, WA</t>
  </si>
  <si>
    <t>Old Station, CA</t>
  </si>
  <si>
    <t>Tiline, KY</t>
  </si>
  <si>
    <t>Little Rock, SC</t>
  </si>
  <si>
    <t>Austin, NV</t>
  </si>
  <si>
    <t>Silverton, CO</t>
  </si>
  <si>
    <t>Colcord, WV</t>
  </si>
  <si>
    <t>Ferndale, FL</t>
  </si>
  <si>
    <t>Lakewood, IL</t>
  </si>
  <si>
    <t>Lake Winnebago, MO</t>
  </si>
  <si>
    <t>Cedarville, CA</t>
  </si>
  <si>
    <t>Geuda Springs, KS</t>
  </si>
  <si>
    <t>Speonk, NY</t>
  </si>
  <si>
    <t>Dunes City, OR</t>
  </si>
  <si>
    <t>Glade Park, CO</t>
  </si>
  <si>
    <t>Windom, KS</t>
  </si>
  <si>
    <t>Ringsted, IA</t>
  </si>
  <si>
    <t>Alleyton, TX</t>
  </si>
  <si>
    <t>Herbster, WI</t>
  </si>
  <si>
    <t>Jordan, MT</t>
  </si>
  <si>
    <t>Bristow, IA</t>
  </si>
  <si>
    <t>Glen Aubrey, NY</t>
  </si>
  <si>
    <t>West Green, GA</t>
  </si>
  <si>
    <t>Craig, NE</t>
  </si>
  <si>
    <t>McDonald Chapel, AL</t>
  </si>
  <si>
    <t>Woodstock, MN</t>
  </si>
  <si>
    <t>Tonto Basin, AZ</t>
  </si>
  <si>
    <t>Goose Lake, IA</t>
  </si>
  <si>
    <t>Argyle, MO</t>
  </si>
  <si>
    <t>Moorhead, IA</t>
  </si>
  <si>
    <t>Atwood, OK</t>
  </si>
  <si>
    <t>Forbes, MN</t>
  </si>
  <si>
    <t>Three Mile Bay, NY</t>
  </si>
  <si>
    <t>Stanford, MT</t>
  </si>
  <si>
    <t>Wyatt, MO</t>
  </si>
  <si>
    <t>Bird City, KS</t>
  </si>
  <si>
    <t>Westfir, OR</t>
  </si>
  <si>
    <t>Jackman, ME</t>
  </si>
  <si>
    <t>Irvington, VA</t>
  </si>
  <si>
    <t>Emigrant, MT</t>
  </si>
  <si>
    <t>Wayan, ID</t>
  </si>
  <si>
    <t>Glenarm, IL</t>
  </si>
  <si>
    <t>Harris, IA</t>
  </si>
  <si>
    <t>Isle La Motte, VT</t>
  </si>
  <si>
    <t>San Antonio, FL</t>
  </si>
  <si>
    <t>Arcola, MS</t>
  </si>
  <si>
    <t>Little River, KS</t>
  </si>
  <si>
    <t>Farwell, NE</t>
  </si>
  <si>
    <t>Callender, IA</t>
  </si>
  <si>
    <t>Winston, NM</t>
  </si>
  <si>
    <t>Manitowish Waters, WI</t>
  </si>
  <si>
    <t>Junction City, CA</t>
  </si>
  <si>
    <t>Raysal, WV</t>
  </si>
  <si>
    <t>Killian, LA</t>
  </si>
  <si>
    <t>Central City, IL</t>
  </si>
  <si>
    <t>Pierz, MN</t>
  </si>
  <si>
    <t>South Roxana, IL</t>
  </si>
  <si>
    <t>Stella, NE</t>
  </si>
  <si>
    <t>Alexander, IL</t>
  </si>
  <si>
    <t>Wellfleet, NE</t>
  </si>
  <si>
    <t>Roscoe, PA</t>
  </si>
  <si>
    <t>Olustee, OK</t>
  </si>
  <si>
    <t>Cyrus, MN</t>
  </si>
  <si>
    <t>Tilghman, MD</t>
  </si>
  <si>
    <t>Longcreek, SC</t>
  </si>
  <si>
    <t>South Carthage, TN</t>
  </si>
  <si>
    <t>Livingston, IL</t>
  </si>
  <si>
    <t>Dutch John, UT</t>
  </si>
  <si>
    <t>Forkland, AL</t>
  </si>
  <si>
    <t>Crump, TN</t>
  </si>
  <si>
    <t>Gretna, FL</t>
  </si>
  <si>
    <t>Everson, PA</t>
  </si>
  <si>
    <t>Pope Valley, CA</t>
  </si>
  <si>
    <t>Falls City, OR</t>
  </si>
  <si>
    <t>Tecumseh, MO</t>
  </si>
  <si>
    <t>Colfax, IA</t>
  </si>
  <si>
    <t>Glendora, MS</t>
  </si>
  <si>
    <t>Wing, ND</t>
  </si>
  <si>
    <t>Nelson, GA</t>
  </si>
  <si>
    <t>New Canton, IL</t>
  </si>
  <si>
    <t>Hastings, OK</t>
  </si>
  <si>
    <t>North Newton, KS</t>
  </si>
  <si>
    <t>Barren Springs, VA</t>
  </si>
  <si>
    <t>Wimbledon, ND</t>
  </si>
  <si>
    <t>Bogard, MO</t>
  </si>
  <si>
    <t>Winston, MO</t>
  </si>
  <si>
    <t>Duncan, NE</t>
  </si>
  <si>
    <t>Devol, OK</t>
  </si>
  <si>
    <t>Elk Horn, IA</t>
  </si>
  <si>
    <t>New Pekin, IN</t>
  </si>
  <si>
    <t>Steamboat Rock, IA</t>
  </si>
  <si>
    <t>Thomas, WV</t>
  </si>
  <si>
    <t>Jefferson, CO</t>
  </si>
  <si>
    <t>Baileyville, KS</t>
  </si>
  <si>
    <t>Issue, MD</t>
  </si>
  <si>
    <t>Franklin Springs, GA</t>
  </si>
  <si>
    <t>Scaly Mountain, NC</t>
  </si>
  <si>
    <t>Paauilo, HI</t>
  </si>
  <si>
    <t>Bluffton, MN</t>
  </si>
  <si>
    <t>Jonesboro, ME</t>
  </si>
  <si>
    <t>Millheim, PA</t>
  </si>
  <si>
    <t>West Alton, MO</t>
  </si>
  <si>
    <t>Morrill, KS</t>
  </si>
  <si>
    <t>Slanesville, WV</t>
  </si>
  <si>
    <t>Shoreham, MI</t>
  </si>
  <si>
    <t>Saint Peter, IL</t>
  </si>
  <si>
    <t>Bradenton Beach, FL</t>
  </si>
  <si>
    <t>Bode, IA</t>
  </si>
  <si>
    <t>Whiting, KS</t>
  </si>
  <si>
    <t>Littleville, AL</t>
  </si>
  <si>
    <t>Logan, NM</t>
  </si>
  <si>
    <t>Sedalia, NC</t>
  </si>
  <si>
    <t>Litchville, ND</t>
  </si>
  <si>
    <t>Winlock, WA</t>
  </si>
  <si>
    <t>Cantril, IA</t>
  </si>
  <si>
    <t>Varney, KY</t>
  </si>
  <si>
    <t>Arnegard, ND</t>
  </si>
  <si>
    <t>Coleman, GA</t>
  </si>
  <si>
    <t>Round Lake, MN</t>
  </si>
  <si>
    <t>Brooks, CA</t>
  </si>
  <si>
    <t>West Liberty, WV</t>
  </si>
  <si>
    <t>Camptonville, CA</t>
  </si>
  <si>
    <t>Coin, IA</t>
  </si>
  <si>
    <t>Bella Vista, CA</t>
  </si>
  <si>
    <t>Ulysses, NE</t>
  </si>
  <si>
    <t>Eldon, OK</t>
  </si>
  <si>
    <t>Deaver, WY</t>
  </si>
  <si>
    <t>Lamont, OK</t>
  </si>
  <si>
    <t>Glouster, OH</t>
  </si>
  <si>
    <t>Sibley, IL</t>
  </si>
  <si>
    <t>Fremont, IN</t>
  </si>
  <si>
    <t>Weldon, IL</t>
  </si>
  <si>
    <t>Republic, KS</t>
  </si>
  <si>
    <t>Topton, PA</t>
  </si>
  <si>
    <t>Alligator, MS</t>
  </si>
  <si>
    <t>Livermore, IA</t>
  </si>
  <si>
    <t>Lignum, VA</t>
  </si>
  <si>
    <t>Lytton, IA</t>
  </si>
  <si>
    <t>Maysville, GA</t>
  </si>
  <si>
    <t>Webb, IA</t>
  </si>
  <si>
    <t>Drift, KY</t>
  </si>
  <si>
    <t>Saint Lucie, FL</t>
  </si>
  <si>
    <t>Calhoun, IL</t>
  </si>
  <si>
    <t>Navajo Dam, NM</t>
  </si>
  <si>
    <t>Charleston, UT</t>
  </si>
  <si>
    <t>Mode, IL</t>
  </si>
  <si>
    <t>Cologne, MN</t>
  </si>
  <si>
    <t>Pine Knoll Shores, NC</t>
  </si>
  <si>
    <t>Waltham, MN</t>
  </si>
  <si>
    <t>Agate, CO</t>
  </si>
  <si>
    <t>Medusa, NY</t>
  </si>
  <si>
    <t>Cobb, GA</t>
  </si>
  <si>
    <t>Neskowin, OR</t>
  </si>
  <si>
    <t>Saxman, AK</t>
  </si>
  <si>
    <t>Jeremiah, KY</t>
  </si>
  <si>
    <t>Hague, NY</t>
  </si>
  <si>
    <t>De Tour Village, MI</t>
  </si>
  <si>
    <t>Agency, IA</t>
  </si>
  <si>
    <t>Daleville, IN</t>
  </si>
  <si>
    <t>Baileyville, IL</t>
  </si>
  <si>
    <t>Sanford, TX</t>
  </si>
  <si>
    <t>Plano, IA</t>
  </si>
  <si>
    <t>Circleville, KS</t>
  </si>
  <si>
    <t>Bethania, NC</t>
  </si>
  <si>
    <t>Burdett, KS</t>
  </si>
  <si>
    <t>Orchard, IA</t>
  </si>
  <si>
    <t>Beardsley, MN</t>
  </si>
  <si>
    <t>Bluejacket, OK</t>
  </si>
  <si>
    <t>Statenville, GA</t>
  </si>
  <si>
    <t>Trego, MT</t>
  </si>
  <si>
    <t>Rockport, IL</t>
  </si>
  <si>
    <t>Powells Crossroads, TN</t>
  </si>
  <si>
    <t>Cummings, KS</t>
  </si>
  <si>
    <t>Emerson, GA</t>
  </si>
  <si>
    <t>Highwood, MT</t>
  </si>
  <si>
    <t>Macksville, KS</t>
  </si>
  <si>
    <t>Stark, NH</t>
  </si>
  <si>
    <t>Denbo, PA</t>
  </si>
  <si>
    <t>Derby, IN</t>
  </si>
  <si>
    <t>Onslow, IA</t>
  </si>
  <si>
    <t>Indianola, OK</t>
  </si>
  <si>
    <t>Ithaca, NE</t>
  </si>
  <si>
    <t>Bouton, IA</t>
  </si>
  <si>
    <t>Western, NE</t>
  </si>
  <si>
    <t>Brewster, KS</t>
  </si>
  <si>
    <t>Hooker, OK</t>
  </si>
  <si>
    <t>Vinalhaven, ME</t>
  </si>
  <si>
    <t>Suwannee, FL</t>
  </si>
  <si>
    <t>Glens Fork, KY</t>
  </si>
  <si>
    <t>Pomona, IL</t>
  </si>
  <si>
    <t>Ira, VT</t>
  </si>
  <si>
    <t>Easton, MN</t>
  </si>
  <si>
    <t>Parkersburg, IA</t>
  </si>
  <si>
    <t>Randolph, IA</t>
  </si>
  <si>
    <t>Graymont, IL</t>
  </si>
  <si>
    <t>Paynesville, WV</t>
  </si>
  <si>
    <t>Brockway, MT</t>
  </si>
  <si>
    <t>Defiance, IA</t>
  </si>
  <si>
    <t>Whiting, VT</t>
  </si>
  <si>
    <t>Long Pine, NE</t>
  </si>
  <si>
    <t>Lamar, OK</t>
  </si>
  <si>
    <t>Dukedom, TN</t>
  </si>
  <si>
    <t>Mabie, WV</t>
  </si>
  <si>
    <t>Village of Loch Lloyd, MO</t>
  </si>
  <si>
    <t>Scott, OH</t>
  </si>
  <si>
    <t>Polk, MO</t>
  </si>
  <si>
    <t>Bogue, NC</t>
  </si>
  <si>
    <t>Continental, OH</t>
  </si>
  <si>
    <t>Santa Clara, NM</t>
  </si>
  <si>
    <t>Colfax, ND</t>
  </si>
  <si>
    <t>Lakota, IA</t>
  </si>
  <si>
    <t>Saint Stephen, MN</t>
  </si>
  <si>
    <t>Williamsburg, NM</t>
  </si>
  <si>
    <t>Coleridge, NE</t>
  </si>
  <si>
    <t>Bee, NE</t>
  </si>
  <si>
    <t>Cooper, TX</t>
  </si>
  <si>
    <t>Fairview Park, IN</t>
  </si>
  <si>
    <t>Washta, IA</t>
  </si>
  <si>
    <t>Hobson, MT</t>
  </si>
  <si>
    <t>Royalton, MN</t>
  </si>
  <si>
    <t>Harvey, IA</t>
  </si>
  <si>
    <t>Startex, SC</t>
  </si>
  <si>
    <t>Idalia, CO</t>
  </si>
  <si>
    <t>Jones, LA</t>
  </si>
  <si>
    <t>Edison, NE</t>
  </si>
  <si>
    <t>Island Park, ID</t>
  </si>
  <si>
    <t>Ohiowa, NE</t>
  </si>
  <si>
    <t>Creighton, MO</t>
  </si>
  <si>
    <t>Tower City, ND</t>
  </si>
  <si>
    <t>Skamokawa, WA</t>
  </si>
  <si>
    <t>Upham, ND</t>
  </si>
  <si>
    <t>Marble Rock, IA</t>
  </si>
  <si>
    <t>Divide, MT</t>
  </si>
  <si>
    <t>Greers Ferry, AR</t>
  </si>
  <si>
    <t>Polk, NE</t>
  </si>
  <si>
    <t>Ottosen, IA</t>
  </si>
  <si>
    <t>Sawyer, OK</t>
  </si>
  <si>
    <t>San Geronimo, CA</t>
  </si>
  <si>
    <t>Mount Sherman, KY</t>
  </si>
  <si>
    <t>Philmont, NY</t>
  </si>
  <si>
    <t>Burfordville, MO</t>
  </si>
  <si>
    <t>Napavine, WA</t>
  </si>
  <si>
    <t>Tye, TX</t>
  </si>
  <si>
    <t>Buckner, KY</t>
  </si>
  <si>
    <t>Chambers, NE</t>
  </si>
  <si>
    <t>Waco, GA</t>
  </si>
  <si>
    <t>Higgins, TX</t>
  </si>
  <si>
    <t>Portsmouth, IA</t>
  </si>
  <si>
    <t>Mount Hope, WV</t>
  </si>
  <si>
    <t>Bridgeville, CA</t>
  </si>
  <si>
    <t>Forest City, IL</t>
  </si>
  <si>
    <t>Ebony, VA</t>
  </si>
  <si>
    <t>Gildford, MT</t>
  </si>
  <si>
    <t>Bolivar, OH</t>
  </si>
  <si>
    <t>Saltillo, TN</t>
  </si>
  <si>
    <t>Eagle Lake, ME</t>
  </si>
  <si>
    <t>Pasadena Park, MO</t>
  </si>
  <si>
    <t>Chester, SD</t>
  </si>
  <si>
    <t>Aitkin, MN</t>
  </si>
  <si>
    <t>Reydon, OK</t>
  </si>
  <si>
    <t>Percival, IA</t>
  </si>
  <si>
    <t>Matheson, CO</t>
  </si>
  <si>
    <t>Sutter Creek, CA</t>
  </si>
  <si>
    <t>Sargeant, MN</t>
  </si>
  <si>
    <t>Snead, AL</t>
  </si>
  <si>
    <t>Stone, KY</t>
  </si>
  <si>
    <t>Couch, MO</t>
  </si>
  <si>
    <t>Covington, OK</t>
  </si>
  <si>
    <t>Mustang Ridge, TX</t>
  </si>
  <si>
    <t>Frakes, KY</t>
  </si>
  <si>
    <t>Wamac, IL</t>
  </si>
  <si>
    <t>Nickerson, NE</t>
  </si>
  <si>
    <t>Outing, MN</t>
  </si>
  <si>
    <t>Gotebo, OK</t>
  </si>
  <si>
    <t>Fyffe, AL</t>
  </si>
  <si>
    <t>Farmersburg, IA</t>
  </si>
  <si>
    <t>Parkman, ME</t>
  </si>
  <si>
    <t>Genoa, NV</t>
  </si>
  <si>
    <t>Fort Coffee, OK</t>
  </si>
  <si>
    <t>Geyser, MT</t>
  </si>
  <si>
    <t>Hollansburg, OH</t>
  </si>
  <si>
    <t>Westhope, ND</t>
  </si>
  <si>
    <t>De Peyster, NY</t>
  </si>
  <si>
    <t>Benedict, KS</t>
  </si>
  <si>
    <t>Lavina, MT</t>
  </si>
  <si>
    <t>Riverton, KS</t>
  </si>
  <si>
    <t>Hastings, IA</t>
  </si>
  <si>
    <t>Betsy Layne, KY</t>
  </si>
  <si>
    <t>David, KY</t>
  </si>
  <si>
    <t>Terra Ceia, FL</t>
  </si>
  <si>
    <t>Glendo, WY</t>
  </si>
  <si>
    <t>Stinson Beach, CA</t>
  </si>
  <si>
    <t>Sayner, WI</t>
  </si>
  <si>
    <t>Granville, VT</t>
  </si>
  <si>
    <t>Mingus, TX</t>
  </si>
  <si>
    <t>Ballantine, MT</t>
  </si>
  <si>
    <t>Blackwell, TX</t>
  </si>
  <si>
    <t>Gideon, MO</t>
  </si>
  <si>
    <t>Dubach, LA</t>
  </si>
  <si>
    <t>Candor, NC</t>
  </si>
  <si>
    <t>North High Shoals, GA</t>
  </si>
  <si>
    <t>Grandy, NC</t>
  </si>
  <si>
    <t>Hammett, ID</t>
  </si>
  <si>
    <t>Goltry, OK</t>
  </si>
  <si>
    <t>Linden, IA</t>
  </si>
  <si>
    <t>Armstrong Creek, WI</t>
  </si>
  <si>
    <t>Fairfield, NE</t>
  </si>
  <si>
    <t>Brinklow, MD</t>
  </si>
  <si>
    <t>Jacksonville, MO</t>
  </si>
  <si>
    <t>Galesburg, KS</t>
  </si>
  <si>
    <t>Hayward, MN</t>
  </si>
  <si>
    <t>Rhodes, IA</t>
  </si>
  <si>
    <t>Green Bank, WV</t>
  </si>
  <si>
    <t>Anamoose, ND</t>
  </si>
  <si>
    <t>Wynot, NE</t>
  </si>
  <si>
    <t>Coleharbor, ND</t>
  </si>
  <si>
    <t>Holland, MN</t>
  </si>
  <si>
    <t>Hunts Point, WA</t>
  </si>
  <si>
    <t>Lost City, WV</t>
  </si>
  <si>
    <t>Loa, UT</t>
  </si>
  <si>
    <t>Westover, AL</t>
  </si>
  <si>
    <t>Wilsey, KS</t>
  </si>
  <si>
    <t>Markesan, WI</t>
  </si>
  <si>
    <t>Greenleaf, KS</t>
  </si>
  <si>
    <t>Franklin, GA</t>
  </si>
  <si>
    <t>Letcher, KY</t>
  </si>
  <si>
    <t>Imogene, IA</t>
  </si>
  <si>
    <t>Ormsby, MN</t>
  </si>
  <si>
    <t>Hood, VA</t>
  </si>
  <si>
    <t>Lindsay, TX</t>
  </si>
  <si>
    <t>Republic, PA</t>
  </si>
  <si>
    <t>Westgate, IA</t>
  </si>
  <si>
    <t>Broad Top, PA</t>
  </si>
  <si>
    <t>Darrouzett, TX</t>
  </si>
  <si>
    <t>Campbell, NE</t>
  </si>
  <si>
    <t>Fulton, KS</t>
  </si>
  <si>
    <t>Welda, KS</t>
  </si>
  <si>
    <t>Edgerton, OH</t>
  </si>
  <si>
    <t>Harcourt, IA</t>
  </si>
  <si>
    <t>Alpine, TN</t>
  </si>
  <si>
    <t>Avon, AL</t>
  </si>
  <si>
    <t>Eastview, TN</t>
  </si>
  <si>
    <t>Alamo, NV</t>
  </si>
  <si>
    <t>Lindsay, NE</t>
  </si>
  <si>
    <t>Frazer, MT</t>
  </si>
  <si>
    <t>Pierce City, MO</t>
  </si>
  <si>
    <t>De Witt, IL</t>
  </si>
  <si>
    <t>Drake, ND</t>
  </si>
  <si>
    <t>Barbeau, MI</t>
  </si>
  <si>
    <t>Euclid, MN</t>
  </si>
  <si>
    <t>Blachly, OR</t>
  </si>
  <si>
    <t>Brinnon, WA</t>
  </si>
  <si>
    <t>McIntire, IA</t>
  </si>
  <si>
    <t>Oriska, ND</t>
  </si>
  <si>
    <t>Shobonier, IL</t>
  </si>
  <si>
    <t>Isabella, MN</t>
  </si>
  <si>
    <t>Penelope, TX</t>
  </si>
  <si>
    <t>Mooreton, ND</t>
  </si>
  <si>
    <t>Hanna, WY</t>
  </si>
  <si>
    <t>Grinnell, KS</t>
  </si>
  <si>
    <t>Coleraine, MN</t>
  </si>
  <si>
    <t>Walnut Creek, NC</t>
  </si>
  <si>
    <t>Hyannis, NE</t>
  </si>
  <si>
    <t>Barrow, AK</t>
  </si>
  <si>
    <t>Chippewa Lake, OH</t>
  </si>
  <si>
    <t>Williamson, IA</t>
  </si>
  <si>
    <t>Bridgeport, NJ</t>
  </si>
  <si>
    <t>Burlington, WY</t>
  </si>
  <si>
    <t>Weidman, MI</t>
  </si>
  <si>
    <t>Speculator, NY</t>
  </si>
  <si>
    <t>Dwight, KS</t>
  </si>
  <si>
    <t>Briaroaks, TX</t>
  </si>
  <si>
    <t>Farmington, WV</t>
  </si>
  <si>
    <t>Munds Park, AZ</t>
  </si>
  <si>
    <t>Sugar Hill, NH</t>
  </si>
  <si>
    <t>Sanborn, ND</t>
  </si>
  <si>
    <t>Winfield, IA</t>
  </si>
  <si>
    <t>Shubert, NE</t>
  </si>
  <si>
    <t>Dwight, NE</t>
  </si>
  <si>
    <t>New Milford, IL</t>
  </si>
  <si>
    <t>Annapolis, CA</t>
  </si>
  <si>
    <t>Leesburg, AL</t>
  </si>
  <si>
    <t>Smithfield, NE</t>
  </si>
  <si>
    <t>Byron, NE</t>
  </si>
  <si>
    <t>Corwith, IA</t>
  </si>
  <si>
    <t>Lakeland Shores, MN</t>
  </si>
  <si>
    <t>Hat Creek, CA</t>
  </si>
  <si>
    <t>Yoder, WY</t>
  </si>
  <si>
    <t>Grenada, CA</t>
  </si>
  <si>
    <t>Hebo, OR</t>
  </si>
  <si>
    <t>Forest Falls, CA</t>
  </si>
  <si>
    <t>Adamsburg, PA</t>
  </si>
  <si>
    <t>Savage, MT</t>
  </si>
  <si>
    <t>Piedmont, WV</t>
  </si>
  <si>
    <t>Rochester, TX</t>
  </si>
  <si>
    <t>Oakland, OK</t>
  </si>
  <si>
    <t>Betterton, MD</t>
  </si>
  <si>
    <t>Arrey, NM</t>
  </si>
  <si>
    <t>Bowden, WV</t>
  </si>
  <si>
    <t>Gate, OK</t>
  </si>
  <si>
    <t>Cooleemee, NC</t>
  </si>
  <si>
    <t>Harveyville, KS</t>
  </si>
  <si>
    <t>Ulman, MO</t>
  </si>
  <si>
    <t>Fenton, IA</t>
  </si>
  <si>
    <t>Pageton, WV</t>
  </si>
  <si>
    <t>Spring Grove, IN</t>
  </si>
  <si>
    <t>Goff, KS</t>
  </si>
  <si>
    <t>Judith Gap, MT</t>
  </si>
  <si>
    <t>Leary, GA</t>
  </si>
  <si>
    <t>Mesa, CO</t>
  </si>
  <si>
    <t>Smithshire, IL</t>
  </si>
  <si>
    <t>Canada, KY</t>
  </si>
  <si>
    <t>Littcarr, KY</t>
  </si>
  <si>
    <t>Joplin, MT</t>
  </si>
  <si>
    <t>Sylvan Grove, KS</t>
  </si>
  <si>
    <t>Uplands Park, MO</t>
  </si>
  <si>
    <t>Alum Bridge, WV</t>
  </si>
  <si>
    <t>Merriman, NE</t>
  </si>
  <si>
    <t>Springfield, WV</t>
  </si>
  <si>
    <t>Garland, NE</t>
  </si>
  <si>
    <t>Palm Shores, FL</t>
  </si>
  <si>
    <t>Stanton, AL</t>
  </si>
  <si>
    <t>Covesville, VA</t>
  </si>
  <si>
    <t>Fellows, CA</t>
  </si>
  <si>
    <t>New Hope, TX</t>
  </si>
  <si>
    <t>Westwood, MO</t>
  </si>
  <si>
    <t>South Heart, ND</t>
  </si>
  <si>
    <t>Mallie, KY</t>
  </si>
  <si>
    <t>Grey Forest, TX</t>
  </si>
  <si>
    <t>Falls City, NE</t>
  </si>
  <si>
    <t>Hayes Center, NE</t>
  </si>
  <si>
    <t>Waterville, VT</t>
  </si>
  <si>
    <t>Waynesville, IL</t>
  </si>
  <si>
    <t>Spiritwood, ND</t>
  </si>
  <si>
    <t>Derma, MS</t>
  </si>
  <si>
    <t>Kensington, KS</t>
  </si>
  <si>
    <t>Panama, IA</t>
  </si>
  <si>
    <t>Vernon, AZ</t>
  </si>
  <si>
    <t>Germantown, KY</t>
  </si>
  <si>
    <t>Scranton, NC</t>
  </si>
  <si>
    <t>Tatum, TX</t>
  </si>
  <si>
    <t>Grimstead, VA</t>
  </si>
  <si>
    <t>Deal Island, MD</t>
  </si>
  <si>
    <t>Strawberry, CA</t>
  </si>
  <si>
    <t>Merrill, OR</t>
  </si>
  <si>
    <t>Alvo, NE</t>
  </si>
  <si>
    <t>Sandersville, MS</t>
  </si>
  <si>
    <t>Havelock, IA</t>
  </si>
  <si>
    <t>Sylvia, KS</t>
  </si>
  <si>
    <t>North, VA</t>
  </si>
  <si>
    <t>Zahl, ND</t>
  </si>
  <si>
    <t>Langley, OK</t>
  </si>
  <si>
    <t>Saratoga, AR</t>
  </si>
  <si>
    <t>Levels, WV</t>
  </si>
  <si>
    <t>Smyrna, NC</t>
  </si>
  <si>
    <t>Finland, MN</t>
  </si>
  <si>
    <t>Shelburne, NH</t>
  </si>
  <si>
    <t>Tivoli, TX</t>
  </si>
  <si>
    <t>Purdin, MO</t>
  </si>
  <si>
    <t>Denton, KS</t>
  </si>
  <si>
    <t>Basco, IL</t>
  </si>
  <si>
    <t>Morrisville, VT</t>
  </si>
  <si>
    <t>Tomales, CA</t>
  </si>
  <si>
    <t>Earlington, KY</t>
  </si>
  <si>
    <t>Columbia Falls, ME</t>
  </si>
  <si>
    <t>Palmer, KS</t>
  </si>
  <si>
    <t>Oak Ridge, TX</t>
  </si>
  <si>
    <t>Lake Junaluska, NC</t>
  </si>
  <si>
    <t>Hartford, WV</t>
  </si>
  <si>
    <t>Haddam, KS</t>
  </si>
  <si>
    <t>Bickmore, WV</t>
  </si>
  <si>
    <t>Douds, IA</t>
  </si>
  <si>
    <t>Hallsburg, TX</t>
  </si>
  <si>
    <t>Horton, MO</t>
  </si>
  <si>
    <t>Polkton, NC</t>
  </si>
  <si>
    <t>Keswick, IA</t>
  </si>
  <si>
    <t>Balko, OK</t>
  </si>
  <si>
    <t>Hawkins, WI</t>
  </si>
  <si>
    <t>Whitetop, VA</t>
  </si>
  <si>
    <t>Prinsburg, MN</t>
  </si>
  <si>
    <t>Driscoll, ND</t>
  </si>
  <si>
    <t>Cortez, FL</t>
  </si>
  <si>
    <t>Frankfort, SD</t>
  </si>
  <si>
    <t>Mission Woods, KS</t>
  </si>
  <si>
    <t>Templeton, IA</t>
  </si>
  <si>
    <t>Grafton, IA</t>
  </si>
  <si>
    <t>Toston, MT</t>
  </si>
  <si>
    <t>Merna, NE</t>
  </si>
  <si>
    <t>Green Valley, CA</t>
  </si>
  <si>
    <t>Coleman Falls, VA</t>
  </si>
  <si>
    <t>Myrtle, MO</t>
  </si>
  <si>
    <t>New Portland, ME</t>
  </si>
  <si>
    <t>Clemons, NY</t>
  </si>
  <si>
    <t>Charlottesville, IN</t>
  </si>
  <si>
    <t>Denmark, WI</t>
  </si>
  <si>
    <t>Gove, KS</t>
  </si>
  <si>
    <t>Garden City, UT</t>
  </si>
  <si>
    <t>Francis, UT</t>
  </si>
  <si>
    <t>Whatley, AL</t>
  </si>
  <si>
    <t>Saunemin, IL</t>
  </si>
  <si>
    <t>Horntown, VA</t>
  </si>
  <si>
    <t>Webster, IA</t>
  </si>
  <si>
    <t>Roseland, NE</t>
  </si>
  <si>
    <t>Todd, PA</t>
  </si>
  <si>
    <t>Buffalo City, WI</t>
  </si>
  <si>
    <t>Du Bois, NE</t>
  </si>
  <si>
    <t>Litchfield, NE</t>
  </si>
  <si>
    <t>Geneva, IA</t>
  </si>
  <si>
    <t>Elk Run Heights, IA</t>
  </si>
  <si>
    <t>Walsh, IL</t>
  </si>
  <si>
    <t>Dauphin Island, AL</t>
  </si>
  <si>
    <t>Golden Beach, FL</t>
  </si>
  <si>
    <t>Bethel, DE</t>
  </si>
  <si>
    <t>Alvin, IL</t>
  </si>
  <si>
    <t>Lohrville, WI</t>
  </si>
  <si>
    <t>Pemberton, MN</t>
  </si>
  <si>
    <t>Richland, OR</t>
  </si>
  <si>
    <t>Parishville, NY</t>
  </si>
  <si>
    <t>Bronaugh, MO</t>
  </si>
  <si>
    <t>Export, PA</t>
  </si>
  <si>
    <t>Natoma, KS</t>
  </si>
  <si>
    <t>Freeburn, KY</t>
  </si>
  <si>
    <t>Mobeetie, TX</t>
  </si>
  <si>
    <t>Newport, NJ</t>
  </si>
  <si>
    <t>Beech Creek, KY</t>
  </si>
  <si>
    <t>Pelkie, MI</t>
  </si>
  <si>
    <t>Palisade, NE</t>
  </si>
  <si>
    <t>Winnett, MT</t>
  </si>
  <si>
    <t>Winchester, ID</t>
  </si>
  <si>
    <t>Moapa, NV</t>
  </si>
  <si>
    <t>Kingfield, ME</t>
  </si>
  <si>
    <t>Dollar Bay, MI</t>
  </si>
  <si>
    <t>Glen Fork, WV</t>
  </si>
  <si>
    <t>Greenwood, VA</t>
  </si>
  <si>
    <t>Kettleman City, CA</t>
  </si>
  <si>
    <t>Quimby, IA</t>
  </si>
  <si>
    <t>Whitney, NE</t>
  </si>
  <si>
    <t>Bern, KS</t>
  </si>
  <si>
    <t>Saint Martins, MO</t>
  </si>
  <si>
    <t>Martinsdale, MT</t>
  </si>
  <si>
    <t>Nordman, ID</t>
  </si>
  <si>
    <t>Ridge, MD</t>
  </si>
  <si>
    <t>Eldred, IL</t>
  </si>
  <si>
    <t>South Vinemont, AL</t>
  </si>
  <si>
    <t>Beal City, MI</t>
  </si>
  <si>
    <t>Ary, KY</t>
  </si>
  <si>
    <t>Pinckard, AL</t>
  </si>
  <si>
    <t>Atlantic, VA</t>
  </si>
  <si>
    <t>Courtland, KS</t>
  </si>
  <si>
    <t>Altamont, TN</t>
  </si>
  <si>
    <t>Binford, ND</t>
  </si>
  <si>
    <t>Rocky Comfort, MO</t>
  </si>
  <si>
    <t>Belgrade, MN</t>
  </si>
  <si>
    <t>Macksburg, OH</t>
  </si>
  <si>
    <t>Bushton, KS</t>
  </si>
  <si>
    <t>Taylor, NE</t>
  </si>
  <si>
    <t>Creole, LA</t>
  </si>
  <si>
    <t>Locust Hill, VA</t>
  </si>
  <si>
    <t>Poca, WV</t>
  </si>
  <si>
    <t>Dougherty, IA</t>
  </si>
  <si>
    <t>Canyon Creek, MT</t>
  </si>
  <si>
    <t>Marne, IA</t>
  </si>
  <si>
    <t>Dorothy, WV</t>
  </si>
  <si>
    <t>West York, IL</t>
  </si>
  <si>
    <t>McFall, MO</t>
  </si>
  <si>
    <t>Mason City, NE</t>
  </si>
  <si>
    <t>Annada, MO</t>
  </si>
  <si>
    <t>Bozman, MD</t>
  </si>
  <si>
    <t>Talmo, GA</t>
  </si>
  <si>
    <t>Elsie, NE</t>
  </si>
  <si>
    <t>Haverhill, IA</t>
  </si>
  <si>
    <t>Briggsville, WI</t>
  </si>
  <si>
    <t>Halstad, MN</t>
  </si>
  <si>
    <t>Arnoldsburg, WV</t>
  </si>
  <si>
    <t>Selden, KS</t>
  </si>
  <si>
    <t>Rio, WI</t>
  </si>
  <si>
    <t>Taylorsville, CA</t>
  </si>
  <si>
    <t>Paskenta, CA</t>
  </si>
  <si>
    <t>Copalis Beach, WA</t>
  </si>
  <si>
    <t>Cutler, ME</t>
  </si>
  <si>
    <t>Witherbee, NY</t>
  </si>
  <si>
    <t>Coal Run Village, KY</t>
  </si>
  <si>
    <t>Emington, IL</t>
  </si>
  <si>
    <t>Jeffersonville, OH</t>
  </si>
  <si>
    <t>Ambia, IN</t>
  </si>
  <si>
    <t>Hudson, KY</t>
  </si>
  <si>
    <t>Rhodell, WV</t>
  </si>
  <si>
    <t>Arthur, IA</t>
  </si>
  <si>
    <t>Milton, KS</t>
  </si>
  <si>
    <t>Lucien, OK</t>
  </si>
  <si>
    <t>Jamaica, IA</t>
  </si>
  <si>
    <t>Phillips, ME</t>
  </si>
  <si>
    <t>Herscher, IL</t>
  </si>
  <si>
    <t>Juliaetta, ID</t>
  </si>
  <si>
    <t>Polebridge, MT</t>
  </si>
  <si>
    <t>Maytown, AL</t>
  </si>
  <si>
    <t>Harper, IA</t>
  </si>
  <si>
    <t>Milesburg, PA</t>
  </si>
  <si>
    <t>Burr, NE</t>
  </si>
  <si>
    <t>Logan Elm Village, OH</t>
  </si>
  <si>
    <t>Coburg, OR</t>
  </si>
  <si>
    <t>Lineville, IA</t>
  </si>
  <si>
    <t>Atlantic, NC</t>
  </si>
  <si>
    <t>Sun, LA</t>
  </si>
  <si>
    <t>May, ID</t>
  </si>
  <si>
    <t>Cylinder, IA</t>
  </si>
  <si>
    <t>Grand Tower, IL</t>
  </si>
  <si>
    <t>New Castle, NH</t>
  </si>
  <si>
    <t>Minden, NE</t>
  </si>
  <si>
    <t>Earleton, FL</t>
  </si>
  <si>
    <t>Jewell, KS</t>
  </si>
  <si>
    <t>Clearwater, NE</t>
  </si>
  <si>
    <t>Goodman, WI</t>
  </si>
  <si>
    <t>Glandorf, OH</t>
  </si>
  <si>
    <t>Blackburn, MO</t>
  </si>
  <si>
    <t>Fenton, IL</t>
  </si>
  <si>
    <t>Duncan Falls, OH</t>
  </si>
  <si>
    <t>Riverton, WV</t>
  </si>
  <si>
    <t>Edgerton, MN</t>
  </si>
  <si>
    <t>Promise City, IA</t>
  </si>
  <si>
    <t>South Shaftsbury, VT</t>
  </si>
  <si>
    <t>Colony, OK</t>
  </si>
  <si>
    <t>Otis, KS</t>
  </si>
  <si>
    <t>Raymond, IA</t>
  </si>
  <si>
    <t>Allen, KY</t>
  </si>
  <si>
    <t>Fallon, MT</t>
  </si>
  <si>
    <t>Lakeport, TX</t>
  </si>
  <si>
    <t>Brimson, MN</t>
  </si>
  <si>
    <t>Peru, VT</t>
  </si>
  <si>
    <t>Girdletree, MD</t>
  </si>
  <si>
    <t>Mendota, MN</t>
  </si>
  <si>
    <t>Caddo, TX</t>
  </si>
  <si>
    <t>Forest Hill, WV</t>
  </si>
  <si>
    <t>Harman, WV</t>
  </si>
  <si>
    <t>Secor, IL</t>
  </si>
  <si>
    <t>Elk Creek, CA</t>
  </si>
  <si>
    <t>Electric City, WA</t>
  </si>
  <si>
    <t>Hammondville, AL</t>
  </si>
  <si>
    <t>Ogden, KS</t>
  </si>
  <si>
    <t>Dixon, NE</t>
  </si>
  <si>
    <t>Hysham, MT</t>
  </si>
  <si>
    <t>Livingston, KY</t>
  </si>
  <si>
    <t>Bloomington, NE</t>
  </si>
  <si>
    <t>Burr Oak, KS</t>
  </si>
  <si>
    <t>Tulare, SD</t>
  </si>
  <si>
    <t>Johnson, NE</t>
  </si>
  <si>
    <t>Tumacacori, AZ</t>
  </si>
  <si>
    <t>Eau Galle, WI</t>
  </si>
  <si>
    <t>Wallace, KS</t>
  </si>
  <si>
    <t>Seven Mile, OH</t>
  </si>
  <si>
    <t>Cody, NE</t>
  </si>
  <si>
    <t>Seaton, IL</t>
  </si>
  <si>
    <t>East Marion, NY</t>
  </si>
  <si>
    <t>Oak, NE</t>
  </si>
  <si>
    <t>Richfield, ID</t>
  </si>
  <si>
    <t>Helvetia, WV</t>
  </si>
  <si>
    <t>Briarcliffe Acres, SC</t>
  </si>
  <si>
    <t>Riverton, IA</t>
  </si>
  <si>
    <t>Chester, IA</t>
  </si>
  <si>
    <t>Cisco, GA</t>
  </si>
  <si>
    <t>Sperry, OK</t>
  </si>
  <si>
    <t>Douglas, NE</t>
  </si>
  <si>
    <t>Staplehurst, NE</t>
  </si>
  <si>
    <t>Center Junction, IA</t>
  </si>
  <si>
    <t>Viburnum, MO</t>
  </si>
  <si>
    <t>Mallard, IA</t>
  </si>
  <si>
    <t>Alborn, MN</t>
  </si>
  <si>
    <t>Bay View, OH</t>
  </si>
  <si>
    <t>Meadow, TX</t>
  </si>
  <si>
    <t>Moorland, IA</t>
  </si>
  <si>
    <t>Tobias, NE</t>
  </si>
  <si>
    <t>Alamo, ND</t>
  </si>
  <si>
    <t>Saint Olaf, IA</t>
  </si>
  <si>
    <t>Southport, ME</t>
  </si>
  <si>
    <t>Grand View, WI</t>
  </si>
  <si>
    <t>Clatonia, NE</t>
  </si>
  <si>
    <t>Addison, PA</t>
  </si>
  <si>
    <t>Adair, IL</t>
  </si>
  <si>
    <t>Dundas, VA</t>
  </si>
  <si>
    <t>Wiota, IA</t>
  </si>
  <si>
    <t>Harbinger, NC</t>
  </si>
  <si>
    <t>McCallsburg, IA</t>
  </si>
  <si>
    <t>Porter, MN</t>
  </si>
  <si>
    <t>Alexander, IA</t>
  </si>
  <si>
    <t>Davidson, OK</t>
  </si>
  <si>
    <t>Everest, KS</t>
  </si>
  <si>
    <t>Batchtown, IL</t>
  </si>
  <si>
    <t>South Pekin, IL</t>
  </si>
  <si>
    <t>Holland, IA</t>
  </si>
  <si>
    <t>Havana, KS</t>
  </si>
  <si>
    <t>Rossville, TN</t>
  </si>
  <si>
    <t>Lacassine, LA</t>
  </si>
  <si>
    <t>Monroe, UT</t>
  </si>
  <si>
    <t>North Fork, ID</t>
  </si>
  <si>
    <t>Naturita, CO</t>
  </si>
  <si>
    <t>Greenfield, MO</t>
  </si>
  <si>
    <t>McHenry, KY</t>
  </si>
  <si>
    <t>Dubois, ID</t>
  </si>
  <si>
    <t>Tampa, KS</t>
  </si>
  <si>
    <t>Malmo, NE</t>
  </si>
  <si>
    <t>Lisco, NE</t>
  </si>
  <si>
    <t>Montara, CA</t>
  </si>
  <si>
    <t>Brooklin, ME</t>
  </si>
  <si>
    <t>Pulaski, IA</t>
  </si>
  <si>
    <t>Thayer, IA</t>
  </si>
  <si>
    <t>Glenaire, MO</t>
  </si>
  <si>
    <t>Coolin, ID</t>
  </si>
  <si>
    <t>Wolf Lake, IL</t>
  </si>
  <si>
    <t>Hanston, KS</t>
  </si>
  <si>
    <t>El Indio, TX</t>
  </si>
  <si>
    <t>Pittsfield, VT</t>
  </si>
  <si>
    <t>Grenola, KS</t>
  </si>
  <si>
    <t>New Boston, MO</t>
  </si>
  <si>
    <t>Pisgah, IA</t>
  </si>
  <si>
    <t>Levant, KS</t>
  </si>
  <si>
    <t>Ralston, OK</t>
  </si>
  <si>
    <t>Table Rock, NE</t>
  </si>
  <si>
    <t>Meservey, IA</t>
  </si>
  <si>
    <t>Eckley, CO</t>
  </si>
  <si>
    <t>Weeki Wachee Gardens, FL</t>
  </si>
  <si>
    <t>Powell, TX</t>
  </si>
  <si>
    <t>Marathon, IA</t>
  </si>
  <si>
    <t>Uncertain, TX</t>
  </si>
  <si>
    <t>Amma, WV</t>
  </si>
  <si>
    <t>Encinal, TX</t>
  </si>
  <si>
    <t>La Fayette, IL</t>
  </si>
  <si>
    <t>Tappen, ND</t>
  </si>
  <si>
    <t>Hamburg, IL</t>
  </si>
  <si>
    <t>Keno, OR</t>
  </si>
  <si>
    <t>Waltham, VT</t>
  </si>
  <si>
    <t>Miller, NE</t>
  </si>
  <si>
    <t>Alloway, NJ</t>
  </si>
  <si>
    <t>Altamont, MO</t>
  </si>
  <si>
    <t>Pacific Beach, WA</t>
  </si>
  <si>
    <t>Wardsville, MO</t>
  </si>
  <si>
    <t>Hargill, TX</t>
  </si>
  <si>
    <t>Clark, CO</t>
  </si>
  <si>
    <t>Elsmore, KS</t>
  </si>
  <si>
    <t>Mason, WV</t>
  </si>
  <si>
    <t>Cedar, IA</t>
  </si>
  <si>
    <t>Maxbass, ND</t>
  </si>
  <si>
    <t>Preston, MO</t>
  </si>
  <si>
    <t>Sprague River, OR</t>
  </si>
  <si>
    <t>Swan, IA</t>
  </si>
  <si>
    <t>Clarence, PA</t>
  </si>
  <si>
    <t>Summerfield, LA</t>
  </si>
  <si>
    <t>New Salem, IL</t>
  </si>
  <si>
    <t>Morehouse, MO</t>
  </si>
  <si>
    <t>Mansfield, WA</t>
  </si>
  <si>
    <t>Beattie, KS</t>
  </si>
  <si>
    <t>Norcatur, KS</t>
  </si>
  <si>
    <t>Jumping Branch, WV</t>
  </si>
  <si>
    <t>Rosman, NC</t>
  </si>
  <si>
    <t>Sheridan, MT</t>
  </si>
  <si>
    <t>New Haven, WV</t>
  </si>
  <si>
    <t>Council Hill, OK</t>
  </si>
  <si>
    <t>Jefferson, WV</t>
  </si>
  <si>
    <t>Decatur, IA</t>
  </si>
  <si>
    <t>Cossayuna, NY</t>
  </si>
  <si>
    <t>Jacumba, CA</t>
  </si>
  <si>
    <t>Gully, MN</t>
  </si>
  <si>
    <t>Newry, ME</t>
  </si>
  <si>
    <t>Prompton, PA</t>
  </si>
  <si>
    <t>Essex, MT</t>
  </si>
  <si>
    <t>Tryon, NE</t>
  </si>
  <si>
    <t>Esbon, KS</t>
  </si>
  <si>
    <t>Blythe, GA</t>
  </si>
  <si>
    <t>Aurora, WV</t>
  </si>
  <si>
    <t>Stratford, NY</t>
  </si>
  <si>
    <t>Corona, NM</t>
  </si>
  <si>
    <t>Deweese, NE</t>
  </si>
  <si>
    <t>Farnhamville, IA</t>
  </si>
  <si>
    <t>Mildred, TX</t>
  </si>
  <si>
    <t>Franklin, KS</t>
  </si>
  <si>
    <t>Creston, WA</t>
  </si>
  <si>
    <t>Fall River, KS</t>
  </si>
  <si>
    <t>Lorraine, KS</t>
  </si>
  <si>
    <t>Corbin City, NJ</t>
  </si>
  <si>
    <t>Bladen, NE</t>
  </si>
  <si>
    <t>Kiowa, KS</t>
  </si>
  <si>
    <t>Brayton, IA</t>
  </si>
  <si>
    <t>South Padre Island, TX</t>
  </si>
  <si>
    <t>Fromberg, MT</t>
  </si>
  <si>
    <t>Camp Dennison, OH</t>
  </si>
  <si>
    <t>Orient, WA</t>
  </si>
  <si>
    <t>Hardy, IA</t>
  </si>
  <si>
    <t>Garner, KY</t>
  </si>
  <si>
    <t>Page, NE</t>
  </si>
  <si>
    <t>Montreat, NC</t>
  </si>
  <si>
    <t>Paeonian Springs, VA</t>
  </si>
  <si>
    <t>Big Wells, TX</t>
  </si>
  <si>
    <t>Rector, AR</t>
  </si>
  <si>
    <t>McDonald, KS</t>
  </si>
  <si>
    <t>Saginaw, MO</t>
  </si>
  <si>
    <t>Hildreth, NE</t>
  </si>
  <si>
    <t>Davis, SD</t>
  </si>
  <si>
    <t>Philipp, MS</t>
  </si>
  <si>
    <t>Peetz, CO</t>
  </si>
  <si>
    <t>Luzerne, IA</t>
  </si>
  <si>
    <t>Worthington, WV</t>
  </si>
  <si>
    <t>Yarnell, AZ</t>
  </si>
  <si>
    <t>White Hall, WV</t>
  </si>
  <si>
    <t>Arbovale, WV</t>
  </si>
  <si>
    <t>Hasty, CO</t>
  </si>
  <si>
    <t>Chester, NE</t>
  </si>
  <si>
    <t>Renwick, IA</t>
  </si>
  <si>
    <t>Hamilton, KS</t>
  </si>
  <si>
    <t>Pinecrest, CA</t>
  </si>
  <si>
    <t>Oakhurst, TX</t>
  </si>
  <si>
    <t>Cass, WV</t>
  </si>
  <si>
    <t>Greenbackville, VA</t>
  </si>
  <si>
    <t>Otoe, NE</t>
  </si>
  <si>
    <t>Karlsruhe, ND</t>
  </si>
  <si>
    <t>Henderson, IA</t>
  </si>
  <si>
    <t>Gifford, SC</t>
  </si>
  <si>
    <t>Cross Plains, IN</t>
  </si>
  <si>
    <t>Funk, NE</t>
  </si>
  <si>
    <t>Shiloh, TN</t>
  </si>
  <si>
    <t>Hancock, VT</t>
  </si>
  <si>
    <t>Chester, OK</t>
  </si>
  <si>
    <t>Madrid, NE</t>
  </si>
  <si>
    <t>Grafton, NE</t>
  </si>
  <si>
    <t>Breeding, KY</t>
  </si>
  <si>
    <t>Bethesda, OH</t>
  </si>
  <si>
    <t>Snyder, CO</t>
  </si>
  <si>
    <t>Minnetonka Beach, MN</t>
  </si>
  <si>
    <t>Colquitt, GA</t>
  </si>
  <si>
    <t>Hanover, OH</t>
  </si>
  <si>
    <t>Washingtonville, OH</t>
  </si>
  <si>
    <t>Lane, KS</t>
  </si>
  <si>
    <t>Mount Auburn, IA</t>
  </si>
  <si>
    <t>Seaview, WA</t>
  </si>
  <si>
    <t>Tremont, ME</t>
  </si>
  <si>
    <t>Tannersville, NY</t>
  </si>
  <si>
    <t>Rhome, TX</t>
  </si>
  <si>
    <t>Waldorf, MN</t>
  </si>
  <si>
    <t>Scandia, KS</t>
  </si>
  <si>
    <t>Bedford, IA</t>
  </si>
  <si>
    <t>King Hill, ID</t>
  </si>
  <si>
    <t>Vida, MT</t>
  </si>
  <si>
    <t>Gravity, IA</t>
  </si>
  <si>
    <t>Point Venture, TX</t>
  </si>
  <si>
    <t>Donnelly, ID</t>
  </si>
  <si>
    <t>Fair Grove, MO</t>
  </si>
  <si>
    <t>Bronwood, GA</t>
  </si>
  <si>
    <t>Palmer, IA</t>
  </si>
  <si>
    <t>New Sweden, ME</t>
  </si>
  <si>
    <t>Rose Hill, NC</t>
  </si>
  <si>
    <t>Kanorado, KS</t>
  </si>
  <si>
    <t>Long Point, IL</t>
  </si>
  <si>
    <t>Piney River, VA</t>
  </si>
  <si>
    <t>Bowie, AZ</t>
  </si>
  <si>
    <t>Henderson, LA</t>
  </si>
  <si>
    <t>Frankewing, TN</t>
  </si>
  <si>
    <t>Carroll, NH</t>
  </si>
  <si>
    <t>Curtis, MI</t>
  </si>
  <si>
    <t>Spaulding, IL</t>
  </si>
  <si>
    <t>River Bluff, KY</t>
  </si>
  <si>
    <t>Seven Devils, NC</t>
  </si>
  <si>
    <t>Paris, MS</t>
  </si>
  <si>
    <t>Deering, ND</t>
  </si>
  <si>
    <t>Sutter, IL</t>
  </si>
  <si>
    <t>Spanishburg, WV</t>
  </si>
  <si>
    <t>Lockport, KY</t>
  </si>
  <si>
    <t>Beach City, TX</t>
  </si>
  <si>
    <t>Okoboji, IA</t>
  </si>
  <si>
    <t>Audubon, IA</t>
  </si>
  <si>
    <t>Kathryn, ND</t>
  </si>
  <si>
    <t>Mackinaw City, MI</t>
  </si>
  <si>
    <t>Coats, KS</t>
  </si>
  <si>
    <t>Lake Tanglewood, TX</t>
  </si>
  <si>
    <t>Lemoyne, NE</t>
  </si>
  <si>
    <t>Elberon, IA</t>
  </si>
  <si>
    <t>Bucoda, WA</t>
  </si>
  <si>
    <t>Wilbur Park, MO</t>
  </si>
  <si>
    <t>Burna, KY</t>
  </si>
  <si>
    <t>Tribbey, OK</t>
  </si>
  <si>
    <t>McCracken, KS</t>
  </si>
  <si>
    <t>Grand Chenier, LA</t>
  </si>
  <si>
    <t>Aurora, TX</t>
  </si>
  <si>
    <t>Votaw, TX</t>
  </si>
  <si>
    <t>Skykomish, WA</t>
  </si>
  <si>
    <t>Hillsboro, NM</t>
  </si>
  <si>
    <t>Stevenson, WA</t>
  </si>
  <si>
    <t>Beltrami, MN</t>
  </si>
  <si>
    <t>Christmas Valley, OR</t>
  </si>
  <si>
    <t>Odin, MN</t>
  </si>
  <si>
    <t>Burlington, KS</t>
  </si>
  <si>
    <t>Cassville, PA</t>
  </si>
  <si>
    <t>Racine, WV</t>
  </si>
  <si>
    <t>Chautauqua, NY</t>
  </si>
  <si>
    <t>Ira, TX</t>
  </si>
  <si>
    <t>Ardentown, DE</t>
  </si>
  <si>
    <t>Cloverdale, VA</t>
  </si>
  <si>
    <t>Antler, ND</t>
  </si>
  <si>
    <t>Topsail Beach, NC</t>
  </si>
  <si>
    <t>Flushing, OH</t>
  </si>
  <si>
    <t>Grandin, ND</t>
  </si>
  <si>
    <t>Heartwell, NE</t>
  </si>
  <si>
    <t>Hanalei, HI</t>
  </si>
  <si>
    <t>Thor, IA</t>
  </si>
  <si>
    <t>Campbellsport, WI</t>
  </si>
  <si>
    <t>Muscotah, KS</t>
  </si>
  <si>
    <t>Monarch, MT</t>
  </si>
  <si>
    <t>Algoma, MS</t>
  </si>
  <si>
    <t>Osburn, ID</t>
  </si>
  <si>
    <t>Westwood Hills, KS</t>
  </si>
  <si>
    <t>Ardencroft, DE</t>
  </si>
  <si>
    <t>Riesel, TX</t>
  </si>
  <si>
    <t>Hindsboro, IL</t>
  </si>
  <si>
    <t>Uniontown, KS</t>
  </si>
  <si>
    <t>Blanchard, IA</t>
  </si>
  <si>
    <t>Cannon Beach, OR</t>
  </si>
  <si>
    <t>Dickens, TX</t>
  </si>
  <si>
    <t>Crook, CO</t>
  </si>
  <si>
    <t>Tallula, IL</t>
  </si>
  <si>
    <t>Keyes, OK</t>
  </si>
  <si>
    <t>Kaw City, OK</t>
  </si>
  <si>
    <t>Lake City, SD</t>
  </si>
  <si>
    <t>Telluride, CO</t>
  </si>
  <si>
    <t>Dolliver, IA</t>
  </si>
  <si>
    <t>Point of Rocks, MD</t>
  </si>
  <si>
    <t>Cashton, WI</t>
  </si>
  <si>
    <t>Jacks Creek, TN</t>
  </si>
  <si>
    <t>Lewisville, MN</t>
  </si>
  <si>
    <t>Lucas, KY</t>
  </si>
  <si>
    <t>Long Island, KS</t>
  </si>
  <si>
    <t>Saint Charles, ID</t>
  </si>
  <si>
    <t>Valleyview, OH</t>
  </si>
  <si>
    <t>Rock River, WY</t>
  </si>
  <si>
    <t>Piru, CA</t>
  </si>
  <si>
    <t>Waynoka, OK</t>
  </si>
  <si>
    <t>Lynn, AL</t>
  </si>
  <si>
    <t>Utica, KS</t>
  </si>
  <si>
    <t>Port Wing, WI</t>
  </si>
  <si>
    <t>North Powder, OR</t>
  </si>
  <si>
    <t>Sophia, WV</t>
  </si>
  <si>
    <t>Funkstown, MD</t>
  </si>
  <si>
    <t>Paynes Creek, CA</t>
  </si>
  <si>
    <t>Alcova, WY</t>
  </si>
  <si>
    <t>Island City, OR</t>
  </si>
  <si>
    <t>Rome, IN</t>
  </si>
  <si>
    <t>Woolstock, IA</t>
  </si>
  <si>
    <t>Paradise, KS</t>
  </si>
  <si>
    <t>Rainelle, WV</t>
  </si>
  <si>
    <t>Timberlane, IL</t>
  </si>
  <si>
    <t>Streeter, ND</t>
  </si>
  <si>
    <t>Oto, IA</t>
  </si>
  <si>
    <t>Neihart, MT</t>
  </si>
  <si>
    <t>Drewryville, VA</t>
  </si>
  <si>
    <t>Liberty, KS</t>
  </si>
  <si>
    <t>Nemaha, NE</t>
  </si>
  <si>
    <t>Scarville, IA</t>
  </si>
  <si>
    <t>Spray, OR</t>
  </si>
  <si>
    <t>Davenport, NE</t>
  </si>
  <si>
    <t>Star Valley, AZ</t>
  </si>
  <si>
    <t>Bethlehem, KY</t>
  </si>
  <si>
    <t>Smith, NV</t>
  </si>
  <si>
    <t>Otis, LA</t>
  </si>
  <si>
    <t>Wellington, IL</t>
  </si>
  <si>
    <t>Livonia, MO</t>
  </si>
  <si>
    <t>Randolph, NH</t>
  </si>
  <si>
    <t>Windom, TX</t>
  </si>
  <si>
    <t>Quinlan, TX</t>
  </si>
  <si>
    <t>Fanning Springs, FL</t>
  </si>
  <si>
    <t>Powers, OR</t>
  </si>
  <si>
    <t>Simpson, NC</t>
  </si>
  <si>
    <t>La Plata, MO</t>
  </si>
  <si>
    <t>Stidham, OK</t>
  </si>
  <si>
    <t>Ohio City, CO</t>
  </si>
  <si>
    <t>Middle Granville, NY</t>
  </si>
  <si>
    <t>Gause, TX</t>
  </si>
  <si>
    <t>Saltese, MT</t>
  </si>
  <si>
    <t>Gloucester, NC</t>
  </si>
  <si>
    <t>Carleton, NE</t>
  </si>
  <si>
    <t>Glenwood, WA</t>
  </si>
  <si>
    <t>Kings Mills, OH</t>
  </si>
  <si>
    <t>Silver Plume, CO</t>
  </si>
  <si>
    <t>Abbyville, KS</t>
  </si>
  <si>
    <t>Balaton, MN</t>
  </si>
  <si>
    <t>Holyrood, KS</t>
  </si>
  <si>
    <t>Comstock, TX</t>
  </si>
  <si>
    <t>Chestnut Mound, TN</t>
  </si>
  <si>
    <t>Willernie, MN</t>
  </si>
  <si>
    <t>Morrowville, KS</t>
  </si>
  <si>
    <t>Lyndonville, VT</t>
  </si>
  <si>
    <t>Harmony, IN</t>
  </si>
  <si>
    <t>Vassar, KS</t>
  </si>
  <si>
    <t>Rhine, GA</t>
  </si>
  <si>
    <t>Smithland, IA</t>
  </si>
  <si>
    <t>Trent, SD</t>
  </si>
  <si>
    <t>Bayard, IA</t>
  </si>
  <si>
    <t>Plevna, MT</t>
  </si>
  <si>
    <t>Arthur, NE</t>
  </si>
  <si>
    <t>Switz City, IN</t>
  </si>
  <si>
    <t>Ouray, CO</t>
  </si>
  <si>
    <t>Gilliam, MO</t>
  </si>
  <si>
    <t>Orient, NY</t>
  </si>
  <si>
    <t>Breesport, NY</t>
  </si>
  <si>
    <t>Renick, WV</t>
  </si>
  <si>
    <t>Concord, NE</t>
  </si>
  <si>
    <t>Ayrshire, IA</t>
  </si>
  <si>
    <t>Bath, IN</t>
  </si>
  <si>
    <t>Hannaford, ND</t>
  </si>
  <si>
    <t>Winchester, OK</t>
  </si>
  <si>
    <t>Beech Bottom, WV</t>
  </si>
  <si>
    <t>Union Pier, MI</t>
  </si>
  <si>
    <t>Hazen, ND</t>
  </si>
  <si>
    <t>Meredith, CO</t>
  </si>
  <si>
    <t>Gordon, KY</t>
  </si>
  <si>
    <t>Varnamtown, NC</t>
  </si>
  <si>
    <t>Lawrence, NE</t>
  </si>
  <si>
    <t>Middleville, NY</t>
  </si>
  <si>
    <t>Swan River, MN</t>
  </si>
  <si>
    <t>Garfield, KS</t>
  </si>
  <si>
    <t>Leary, TX</t>
  </si>
  <si>
    <t>Olive Branch, IL</t>
  </si>
  <si>
    <t>Fremont Hills, MO</t>
  </si>
  <si>
    <t>Hebron, NH</t>
  </si>
  <si>
    <t>Mount Gretna, PA</t>
  </si>
  <si>
    <t>Triana, AL</t>
  </si>
  <si>
    <t>Goree, TX</t>
  </si>
  <si>
    <t>Hovland, MN</t>
  </si>
  <si>
    <t>Homewood, CA</t>
  </si>
  <si>
    <t>New Cuyama, CA</t>
  </si>
  <si>
    <t>Pocahontas, IL</t>
  </si>
  <si>
    <t>Hudson, KS</t>
  </si>
  <si>
    <t>Wisdom, MT</t>
  </si>
  <si>
    <t>Rochester, KY</t>
  </si>
  <si>
    <t>Loma, MT</t>
  </si>
  <si>
    <t>Arnett, WV</t>
  </si>
  <si>
    <t>Groveton, NH</t>
  </si>
  <si>
    <t>Manchester, CA</t>
  </si>
  <si>
    <t>Morganville, KS</t>
  </si>
  <si>
    <t>Brookford, NC</t>
  </si>
  <si>
    <t>Brunswick, NE</t>
  </si>
  <si>
    <t>East Laurinburg, NC</t>
  </si>
  <si>
    <t>Falun, KS</t>
  </si>
  <si>
    <t>Hillsdale, OK</t>
  </si>
  <si>
    <t>Hartford, NY</t>
  </si>
  <si>
    <t>Brady Lake, OH</t>
  </si>
  <si>
    <t>Albert, KS</t>
  </si>
  <si>
    <t>Emigsville, PA</t>
  </si>
  <si>
    <t>Black Creek, NY</t>
  </si>
  <si>
    <t>Seibert, CO</t>
  </si>
  <si>
    <t>Trafford, AL</t>
  </si>
  <si>
    <t>Muse, OK</t>
  </si>
  <si>
    <t>Fish Creek, WI</t>
  </si>
  <si>
    <t>Longford, KS</t>
  </si>
  <si>
    <t>Alton, KS</t>
  </si>
  <si>
    <t>Odessa, MN</t>
  </si>
  <si>
    <t>Leadington, MO</t>
  </si>
  <si>
    <t>Osseo, WI</t>
  </si>
  <si>
    <t>East Haven, VT</t>
  </si>
  <si>
    <t>Rarden, OH</t>
  </si>
  <si>
    <t>Yale, OK</t>
  </si>
  <si>
    <t>Fortescue, NJ</t>
  </si>
  <si>
    <t>Kitzmiller, MD</t>
  </si>
  <si>
    <t>Lima, MT</t>
  </si>
  <si>
    <t>Nanticoke, MD</t>
  </si>
  <si>
    <t>Adin, CA</t>
  </si>
  <si>
    <t>Hatteras, NC</t>
  </si>
  <si>
    <t>Hartline, WA</t>
  </si>
  <si>
    <t>Manton, CA</t>
  </si>
  <si>
    <t>Hurdland, MO</t>
  </si>
  <si>
    <t>Mc Adenville, NC</t>
  </si>
  <si>
    <t>Hampton, KY</t>
  </si>
  <si>
    <t>Hayden, AZ</t>
  </si>
  <si>
    <t>Luray, KS</t>
  </si>
  <si>
    <t>Quitaque, TX</t>
  </si>
  <si>
    <t>Henriette, MN</t>
  </si>
  <si>
    <t>Portage, ME</t>
  </si>
  <si>
    <t>Brier Hill, NY</t>
  </si>
  <si>
    <t>Ensign, KS</t>
  </si>
  <si>
    <t>Michiana Shores, IN</t>
  </si>
  <si>
    <t>Wood Heights, MO</t>
  </si>
  <si>
    <t>Glendon, PA</t>
  </si>
  <si>
    <t>Hankamer, TX</t>
  </si>
  <si>
    <t>Westhoff, TX</t>
  </si>
  <si>
    <t>Detroit, OR</t>
  </si>
  <si>
    <t>Canaan, IN</t>
  </si>
  <si>
    <t>Slickville, PA</t>
  </si>
  <si>
    <t>Berwick, IL</t>
  </si>
  <si>
    <t>Great Cacapon, WV</t>
  </si>
  <si>
    <t>Copan, OK</t>
  </si>
  <si>
    <t>Hunter, OK</t>
  </si>
  <si>
    <t>Blencoe, IA</t>
  </si>
  <si>
    <t>Cary, MS</t>
  </si>
  <si>
    <t>Wauconda, WA</t>
  </si>
  <si>
    <t>Garden, MI</t>
  </si>
  <si>
    <t>Polaris, MT</t>
  </si>
  <si>
    <t>Ford Cliff, PA</t>
  </si>
  <si>
    <t>Thurston, NE</t>
  </si>
  <si>
    <t>Macksburg, IA</t>
  </si>
  <si>
    <t>Hazelton, KS</t>
  </si>
  <si>
    <t>Hoven, SD</t>
  </si>
  <si>
    <t>Wannaska, MN</t>
  </si>
  <si>
    <t>Kingstown, NC</t>
  </si>
  <si>
    <t>Gracey, KY</t>
  </si>
  <si>
    <t>Dawson, IA</t>
  </si>
  <si>
    <t>Montebello, VA</t>
  </si>
  <si>
    <t>McDowell, VA</t>
  </si>
  <si>
    <t>Plevna, KS</t>
  </si>
  <si>
    <t>La Pointe, WI</t>
  </si>
  <si>
    <t>Stannard, VT</t>
  </si>
  <si>
    <t>Olcott, NY</t>
  </si>
  <si>
    <t>Clam Lake, WI</t>
  </si>
  <si>
    <t>Foxfire, NC</t>
  </si>
  <si>
    <t>Peebles, OH</t>
  </si>
  <si>
    <t>Kelleys Island, OH</t>
  </si>
  <si>
    <t>Clemons, IA</t>
  </si>
  <si>
    <t>Derby Line, VT</t>
  </si>
  <si>
    <t>Laketown, UT</t>
  </si>
  <si>
    <t>Hopkins Park, IL</t>
  </si>
  <si>
    <t>Warner, SD</t>
  </si>
  <si>
    <t>Lowber, PA</t>
  </si>
  <si>
    <t>Mound City, SD</t>
  </si>
  <si>
    <t>Hoolehua, HI</t>
  </si>
  <si>
    <t>Alta, UT</t>
  </si>
  <si>
    <t>Kopperston, WV</t>
  </si>
  <si>
    <t>Gorham, IL</t>
  </si>
  <si>
    <t>Husser, LA</t>
  </si>
  <si>
    <t>Woden, IA</t>
  </si>
  <si>
    <t>Chester Gap, VA</t>
  </si>
  <si>
    <t>Swain, NY</t>
  </si>
  <si>
    <t>Naponee, NE</t>
  </si>
  <si>
    <t>Hanna, OK</t>
  </si>
  <si>
    <t>Fleming-Neon, KY</t>
  </si>
  <si>
    <t>Warriormine, WV</t>
  </si>
  <si>
    <t>Rippey, IA</t>
  </si>
  <si>
    <t>Godeffroy, NY</t>
  </si>
  <si>
    <t>Kinderhook, IL</t>
  </si>
  <si>
    <t>Seelyville, IN</t>
  </si>
  <si>
    <t>Fallston, NC</t>
  </si>
  <si>
    <t>Yucca, AZ</t>
  </si>
  <si>
    <t>Stacy, NC</t>
  </si>
  <si>
    <t>Bruno, NE</t>
  </si>
  <si>
    <t>Tiki Island, TX</t>
  </si>
  <si>
    <t>Cross Timber, TX</t>
  </si>
  <si>
    <t>Grass Range, MT</t>
  </si>
  <si>
    <t>Long Creek, IL</t>
  </si>
  <si>
    <t>Krugerville, TX</t>
  </si>
  <si>
    <t>Toquerville, UT</t>
  </si>
  <si>
    <t>Marston, MO</t>
  </si>
  <si>
    <t>Fort Laramie, WY</t>
  </si>
  <si>
    <t>Rodanthe, NC</t>
  </si>
  <si>
    <t>Hardyville, VA</t>
  </si>
  <si>
    <t>Belcher, KY</t>
  </si>
  <si>
    <t>Lakeline, OH</t>
  </si>
  <si>
    <t>Holly Ridge, NC</t>
  </si>
  <si>
    <t>Middletown, IA</t>
  </si>
  <si>
    <t>Greenville, IA</t>
  </si>
  <si>
    <t>Loch Arbour, NJ</t>
  </si>
  <si>
    <t>Side Lake, MN</t>
  </si>
  <si>
    <t>Hamlin, IA</t>
  </si>
  <si>
    <t>Danese, WV</t>
  </si>
  <si>
    <t>Saronville, NE</t>
  </si>
  <si>
    <t>Gilbertsville, NY</t>
  </si>
  <si>
    <t>Healy, KS</t>
  </si>
  <si>
    <t>Willow Creek, CA</t>
  </si>
  <si>
    <t>McCool Junction, NE</t>
  </si>
  <si>
    <t>Yankeetown, FL</t>
  </si>
  <si>
    <t>Proctorville, OH</t>
  </si>
  <si>
    <t>Rulo, NE</t>
  </si>
  <si>
    <t>Dakota, MN</t>
  </si>
  <si>
    <t>Monongah, WV</t>
  </si>
  <si>
    <t>Marble Hill, MO</t>
  </si>
  <si>
    <t>Forest, IN</t>
  </si>
  <si>
    <t>Duck, NC</t>
  </si>
  <si>
    <t>Eleanor, WV</t>
  </si>
  <si>
    <t>Highland Haven, TX</t>
  </si>
  <si>
    <t>Rosa, AL</t>
  </si>
  <si>
    <t>Canby, CA</t>
  </si>
  <si>
    <t>Latonia Lakes, KY</t>
  </si>
  <si>
    <t>Shueyville, IA</t>
  </si>
  <si>
    <t>Silver City, MS</t>
  </si>
  <si>
    <t>Baltimore, VT</t>
  </si>
  <si>
    <t>Grimes, AL</t>
  </si>
  <si>
    <t>Sciota, IL</t>
  </si>
  <si>
    <t>West Okoboji, IA</t>
  </si>
  <si>
    <t>Sterling, OK</t>
  </si>
  <si>
    <t>Offerle, KS</t>
  </si>
  <si>
    <t>Dellrose, TN</t>
  </si>
  <si>
    <t>Marblehead, OH</t>
  </si>
  <si>
    <t>Wheatland, IA</t>
  </si>
  <si>
    <t>Soldier, IA</t>
  </si>
  <si>
    <t>Bromley, KY</t>
  </si>
  <si>
    <t>Oak Hill, OH</t>
  </si>
  <si>
    <t>Avon, MT</t>
  </si>
  <si>
    <t>Lincolnville, KS</t>
  </si>
  <si>
    <t>Marshall, IN</t>
  </si>
  <si>
    <t>Donahue, IA</t>
  </si>
  <si>
    <t>Fort Bidwell, CA</t>
  </si>
  <si>
    <t>Tokeland, WA</t>
  </si>
  <si>
    <t>Misenheimer, NC</t>
  </si>
  <si>
    <t>Arthur, ND</t>
  </si>
  <si>
    <t>Eddyville, NE</t>
  </si>
  <si>
    <t>Glencoe, CA</t>
  </si>
  <si>
    <t>Luna, NM</t>
  </si>
  <si>
    <t>Bonita, LA</t>
  </si>
  <si>
    <t>Campbell Station, AR</t>
  </si>
  <si>
    <t>Donnellson, IA</t>
  </si>
  <si>
    <t>Woodland Hills, UT</t>
  </si>
  <si>
    <t>Lynnville, IN</t>
  </si>
  <si>
    <t>Jamestown, CO</t>
  </si>
  <si>
    <t>Millville, OH</t>
  </si>
  <si>
    <t>Carlton, TX</t>
  </si>
  <si>
    <t>Conrad, IA</t>
  </si>
  <si>
    <t>Huletts Landing, NY</t>
  </si>
  <si>
    <t>Richland, MT</t>
  </si>
  <si>
    <t>Palmer, IL</t>
  </si>
  <si>
    <t>Rutland, IA</t>
  </si>
  <si>
    <t>Hillsboro, WI</t>
  </si>
  <si>
    <t>Belle Terre, NY</t>
  </si>
  <si>
    <t>Jennings, KS</t>
  </si>
  <si>
    <t>Morrow, LA</t>
  </si>
  <si>
    <t>Hartwick, IA</t>
  </si>
  <si>
    <t>Sumner, NE</t>
  </si>
  <si>
    <t>Randalia, IA</t>
  </si>
  <si>
    <t>Cleveland, WI</t>
  </si>
  <si>
    <t>Bivalve, MD</t>
  </si>
  <si>
    <t>Sandoval, IL</t>
  </si>
  <si>
    <t>Dedham, IA</t>
  </si>
  <si>
    <t>Guildhall, VT</t>
  </si>
  <si>
    <t>Sweet, ID</t>
  </si>
  <si>
    <t>Endicott, NE</t>
  </si>
  <si>
    <t>Seiad Valley, CA</t>
  </si>
  <si>
    <t>Barnard, KS</t>
  </si>
  <si>
    <t>Cohutta, GA</t>
  </si>
  <si>
    <t>Mayfield, KS</t>
  </si>
  <si>
    <t>Saint Helena, NE</t>
  </si>
  <si>
    <t>Leitersburg, MD</t>
  </si>
  <si>
    <t>Somers, MT</t>
  </si>
  <si>
    <t>Clifton Hill, MO</t>
  </si>
  <si>
    <t>Alamance, NC</t>
  </si>
  <si>
    <t>Cornucopia, WI</t>
  </si>
  <si>
    <t>Cambridge, IL</t>
  </si>
  <si>
    <t>Bieber, CA</t>
  </si>
  <si>
    <t>Crane, MO</t>
  </si>
  <si>
    <t>Ash Flat, AR</t>
  </si>
  <si>
    <t>Leonville, LA</t>
  </si>
  <si>
    <t>Hot Sulphur Springs, CO</t>
  </si>
  <si>
    <t>Kremlin, OK</t>
  </si>
  <si>
    <t>Blue Grass, VA</t>
  </si>
  <si>
    <t>Bazine, KS</t>
  </si>
  <si>
    <t>Jupiter Inlet Colony, FL</t>
  </si>
  <si>
    <t>Nashville, KS</t>
  </si>
  <si>
    <t>Old Fields, WV</t>
  </si>
  <si>
    <t>Star Valley Ranch, WY</t>
  </si>
  <si>
    <t>Sawyer, KS</t>
  </si>
  <si>
    <t>Spragueville, IA</t>
  </si>
  <si>
    <t>Silver Cliff, CO</t>
  </si>
  <si>
    <t>Ludell, KS</t>
  </si>
  <si>
    <t>University Park, IA</t>
  </si>
  <si>
    <t>Wadena, IA</t>
  </si>
  <si>
    <t>Cropsey, IL</t>
  </si>
  <si>
    <t>Saint Marys Point, MN</t>
  </si>
  <si>
    <t>Bison, SD</t>
  </si>
  <si>
    <t>Sandyfield, NC</t>
  </si>
  <si>
    <t>Farlington, KS</t>
  </si>
  <si>
    <t>Estill, SC</t>
  </si>
  <si>
    <t>Christine, ND</t>
  </si>
  <si>
    <t>Wetmore, KS</t>
  </si>
  <si>
    <t>Oak Valley, TX</t>
  </si>
  <si>
    <t>Piqua, KS</t>
  </si>
  <si>
    <t>Osgood, IN</t>
  </si>
  <si>
    <t>Bushyhead, OK</t>
  </si>
  <si>
    <t>Atlantic Beach, SC</t>
  </si>
  <si>
    <t>Winger, MN</t>
  </si>
  <si>
    <t>Barnes, KS</t>
  </si>
  <si>
    <t>Redvale, CO</t>
  </si>
  <si>
    <t>Alexandria, NE</t>
  </si>
  <si>
    <t>Mark Center, OH</t>
  </si>
  <si>
    <t>Beaver City, NE</t>
  </si>
  <si>
    <t>Wallingford, KY</t>
  </si>
  <si>
    <t>Franklin, ID</t>
  </si>
  <si>
    <t>Helmville, MT</t>
  </si>
  <si>
    <t>Steinauer, NE</t>
  </si>
  <si>
    <t>Bourbon, MO</t>
  </si>
  <si>
    <t>Whitefield, OK</t>
  </si>
  <si>
    <t>Lutsen, MN</t>
  </si>
  <si>
    <t>La Grange, WY</t>
  </si>
  <si>
    <t>Meriden, IA</t>
  </si>
  <si>
    <t>Fence, WI</t>
  </si>
  <si>
    <t>Grimsley, TN</t>
  </si>
  <si>
    <t>Red River, NM</t>
  </si>
  <si>
    <t>Silver Bay, NY</t>
  </si>
  <si>
    <t>Rapids City, IL</t>
  </si>
  <si>
    <t>Northport, WA</t>
  </si>
  <si>
    <t>Rozel, KS</t>
  </si>
  <si>
    <t>Papaaloa, HI</t>
  </si>
  <si>
    <t>Allenspark, CO</t>
  </si>
  <si>
    <t>Johnson, NY</t>
  </si>
  <si>
    <t>Belgrade, NE</t>
  </si>
  <si>
    <t>Pollock, SD</t>
  </si>
  <si>
    <t>Langlois, OR</t>
  </si>
  <si>
    <t>Bruneau, ID</t>
  </si>
  <si>
    <t>Saint Johns, IL</t>
  </si>
  <si>
    <t>Floris, IA</t>
  </si>
  <si>
    <t>Cedar Island, NC</t>
  </si>
  <si>
    <t>Browder, KY</t>
  </si>
  <si>
    <t>Pleasant Valley, TX</t>
  </si>
  <si>
    <t>Ponderosa, NM</t>
  </si>
  <si>
    <t>Doolittle, MO</t>
  </si>
  <si>
    <t>Palco, KS</t>
  </si>
  <si>
    <t>Milburn, OK</t>
  </si>
  <si>
    <t>Anna Maria, FL</t>
  </si>
  <si>
    <t>Hosston, LA</t>
  </si>
  <si>
    <t>Pierceton, IN</t>
  </si>
  <si>
    <t>Maunaloa, HI</t>
  </si>
  <si>
    <t>Welch, WV</t>
  </si>
  <si>
    <t>Fort Supply, OK</t>
  </si>
  <si>
    <t>Volga, IA</t>
  </si>
  <si>
    <t>Exline, IA</t>
  </si>
  <si>
    <t>Grand Isle, LA</t>
  </si>
  <si>
    <t>Fish Camp, CA</t>
  </si>
  <si>
    <t>Rembrandt, IA</t>
  </si>
  <si>
    <t>Bruni, TX</t>
  </si>
  <si>
    <t>Dorrance, KS</t>
  </si>
  <si>
    <t>Archer, IA</t>
  </si>
  <si>
    <t>Gilt Edge, TN</t>
  </si>
  <si>
    <t>Turkey, TX</t>
  </si>
  <si>
    <t>Barnes City, IA</t>
  </si>
  <si>
    <t>Haigler, NE</t>
  </si>
  <si>
    <t>Hordville, NE</t>
  </si>
  <si>
    <t>Coinjock, NC</t>
  </si>
  <si>
    <t>Dresden, KS</t>
  </si>
  <si>
    <t>Kittredge, CO</t>
  </si>
  <si>
    <t>Ruskin, NE</t>
  </si>
  <si>
    <t>Greenbush, VA</t>
  </si>
  <si>
    <t>Babson Park, FL</t>
  </si>
  <si>
    <t>Dearing, KS</t>
  </si>
  <si>
    <t>Silver Grove, KY</t>
  </si>
  <si>
    <t>Claverack, NY</t>
  </si>
  <si>
    <t>Thicket, TX</t>
  </si>
  <si>
    <t>Jones Creek, TX</t>
  </si>
  <si>
    <t>Elkader, IA</t>
  </si>
  <si>
    <t>Woolford, MD</t>
  </si>
  <si>
    <t>Onego, WV</t>
  </si>
  <si>
    <t>Robbinsville, NC</t>
  </si>
  <si>
    <t>Wake, VA</t>
  </si>
  <si>
    <t>Liberty Hill, SC</t>
  </si>
  <si>
    <t>Yermo, CA</t>
  </si>
  <si>
    <t>New Houlka, MS</t>
  </si>
  <si>
    <t>Ledyard, IA</t>
  </si>
  <si>
    <t>Gloria Glens Park, OH</t>
  </si>
  <si>
    <t>Wellston, OK</t>
  </si>
  <si>
    <t>Henefer, UT</t>
  </si>
  <si>
    <t>King City, MO</t>
  </si>
  <si>
    <t>Coalmont, TN</t>
  </si>
  <si>
    <t>Swaledale, IA</t>
  </si>
  <si>
    <t>Wainscott, NY</t>
  </si>
  <si>
    <t>Saco, MT</t>
  </si>
  <si>
    <t>Point Comfort, TX</t>
  </si>
  <si>
    <t>Clopton, AL</t>
  </si>
  <si>
    <t>Moscow, KS</t>
  </si>
  <si>
    <t>Goodell, IA</t>
  </si>
  <si>
    <t>Saint Paul, NE</t>
  </si>
  <si>
    <t>Mulga, AL</t>
  </si>
  <si>
    <t>Riggins, ID</t>
  </si>
  <si>
    <t>Arcola, MO</t>
  </si>
  <si>
    <t>Cedar Point, KS</t>
  </si>
  <si>
    <t>West Point, AL</t>
  </si>
  <si>
    <t>La Jara, NM</t>
  </si>
  <si>
    <t>Breckinridge, OK</t>
  </si>
  <si>
    <t>Lusk, WY</t>
  </si>
  <si>
    <t>Coffey, MO</t>
  </si>
  <si>
    <t>Lake View, AL</t>
  </si>
  <si>
    <t>Taylortown, NC</t>
  </si>
  <si>
    <t>Rushford, NY</t>
  </si>
  <si>
    <t>New Berlin, IL</t>
  </si>
  <si>
    <t>Belleville, WI</t>
  </si>
  <si>
    <t>Larrabee, IA</t>
  </si>
  <si>
    <t>North Utica, IL</t>
  </si>
  <si>
    <t>Frontenac, MN</t>
  </si>
  <si>
    <t>Badin, NC</t>
  </si>
  <si>
    <t>Ransom, KS</t>
  </si>
  <si>
    <t>Brazos Country, TX</t>
  </si>
  <si>
    <t>Minor, AL</t>
  </si>
  <si>
    <t>Ericson, NE</t>
  </si>
  <si>
    <t>Central Valley, UT</t>
  </si>
  <si>
    <t>Kingston, OK</t>
  </si>
  <si>
    <t>Alleman, IA</t>
  </si>
  <si>
    <t>Hardy, NE</t>
  </si>
  <si>
    <t>Kirwin, KS</t>
  </si>
  <si>
    <t>Hunters Hollow, KY</t>
  </si>
  <si>
    <t>Graeagle, CA</t>
  </si>
  <si>
    <t>Sharptown, MD</t>
  </si>
  <si>
    <t>Washtucna, WA</t>
  </si>
  <si>
    <t>Flatwoods, LA</t>
  </si>
  <si>
    <t>Peck, ID</t>
  </si>
  <si>
    <t>Corning, KS</t>
  </si>
  <si>
    <t>McAndrews, KY</t>
  </si>
  <si>
    <t>Woodford, VT</t>
  </si>
  <si>
    <t>Bartley, WV</t>
  </si>
  <si>
    <t>Vincent, IA</t>
  </si>
  <si>
    <t>Tennessee, IL</t>
  </si>
  <si>
    <t>Metcalf, IL</t>
  </si>
  <si>
    <t>Greer, AZ</t>
  </si>
  <si>
    <t>Rushford, MN</t>
  </si>
  <si>
    <t>Waterville Valley, NH</t>
  </si>
  <si>
    <t>Medicine Lake, MN</t>
  </si>
  <si>
    <t>Paxton, FL</t>
  </si>
  <si>
    <t>Alvarado, MN</t>
  </si>
  <si>
    <t>Stanley, IA</t>
  </si>
  <si>
    <t>Cape May Point, NJ</t>
  </si>
  <si>
    <t>Marshall, AR</t>
  </si>
  <si>
    <t>Berryville, TX</t>
  </si>
  <si>
    <t>White Mills, KY</t>
  </si>
  <si>
    <t>Honomu, HI</t>
  </si>
  <si>
    <t>Thorn Hill, TN</t>
  </si>
  <si>
    <t>Morland, KS</t>
  </si>
  <si>
    <t>Wildrose, ND</t>
  </si>
  <si>
    <t>Weston, ME</t>
  </si>
  <si>
    <t>Tigerton, WI</t>
  </si>
  <si>
    <t>Clare, IL</t>
  </si>
  <si>
    <t>Pitkin, CO</t>
  </si>
  <si>
    <t>Elkhart Lake, WI</t>
  </si>
  <si>
    <t>Hyde Park, PA</t>
  </si>
  <si>
    <t>Elkhorn City, KY</t>
  </si>
  <si>
    <t>Mount Olive, IL</t>
  </si>
  <si>
    <t>Butte Falls, OR</t>
  </si>
  <si>
    <t>Oslo, MN</t>
  </si>
  <si>
    <t>Winter Harbor, ME</t>
  </si>
  <si>
    <t>Herndon, KS</t>
  </si>
  <si>
    <t>Gilbertville, IA</t>
  </si>
  <si>
    <t>Terlingua, TX</t>
  </si>
  <si>
    <t>Oak Grove, TX</t>
  </si>
  <si>
    <t>Index, WA</t>
  </si>
  <si>
    <t>Ivey, GA</t>
  </si>
  <si>
    <t>Orleans, VT</t>
  </si>
  <si>
    <t>Forbestown, CA</t>
  </si>
  <si>
    <t>Stockton, MN</t>
  </si>
  <si>
    <t>Stottville, NY</t>
  </si>
  <si>
    <t>Oakwood Park, MO</t>
  </si>
  <si>
    <t>Twin City, GA</t>
  </si>
  <si>
    <t>Port Haywood, VA</t>
  </si>
  <si>
    <t>Strathmere, NJ</t>
  </si>
  <si>
    <t>Fire Island Pines, NY</t>
  </si>
  <si>
    <t>Schneider, IN</t>
  </si>
  <si>
    <t>Broadwater, NE</t>
  </si>
  <si>
    <t>Hunter, KS</t>
  </si>
  <si>
    <t>Clipper Mills, CA</t>
  </si>
  <si>
    <t>South Bethany, DE</t>
  </si>
  <si>
    <t>Wilmore, KS</t>
  </si>
  <si>
    <t>Carytown, MO</t>
  </si>
  <si>
    <t>Venango, NE</t>
  </si>
  <si>
    <t>Tofte, MN</t>
  </si>
  <si>
    <t>Roaring Gap, NC</t>
  </si>
  <si>
    <t>Carnuel, NM</t>
  </si>
  <si>
    <t>Rudyard, MT</t>
  </si>
  <si>
    <t>Cuba, KS</t>
  </si>
  <si>
    <t>Belfry, MT</t>
  </si>
  <si>
    <t>Enchanted Oaks, TX</t>
  </si>
  <si>
    <t>Dennis, KS</t>
  </si>
  <si>
    <t>Luxemburg, WI</t>
  </si>
  <si>
    <t>Woodland, MN</t>
  </si>
  <si>
    <t>Grainfield, KS</t>
  </si>
  <si>
    <t>Success, MO</t>
  </si>
  <si>
    <t>Oak Hall, VA</t>
  </si>
  <si>
    <t>Lewiston, NE</t>
  </si>
  <si>
    <t>Bonduel, WI</t>
  </si>
  <si>
    <t>Forest Lakes, AZ</t>
  </si>
  <si>
    <t>Kachemak City, AK</t>
  </si>
  <si>
    <t>Lakeside, MI</t>
  </si>
  <si>
    <t>Josephine, TX</t>
  </si>
  <si>
    <t>San Jon, NM</t>
  </si>
  <si>
    <t>Belgium, IL</t>
  </si>
  <si>
    <t>Dallesport, WA</t>
  </si>
  <si>
    <t>Williamsville, VA</t>
  </si>
  <si>
    <t>Martin City, MT</t>
  </si>
  <si>
    <t>Hobucken, NC</t>
  </si>
  <si>
    <t>Neotsu, OR</t>
  </si>
  <si>
    <t>La Prairie, MN</t>
  </si>
  <si>
    <t>Harristown, IL</t>
  </si>
  <si>
    <t>Mechanicsburg, OH</t>
  </si>
  <si>
    <t>Barry, IL</t>
  </si>
  <si>
    <t>Newport, NE</t>
  </si>
  <si>
    <t>Downieville, CA</t>
  </si>
  <si>
    <t>Daggett, CA</t>
  </si>
  <si>
    <t>Thelma, KY</t>
  </si>
  <si>
    <t>Clear Lake, IN</t>
  </si>
  <si>
    <t>Harrisville, WV</t>
  </si>
  <si>
    <t>Sorrento, ME</t>
  </si>
  <si>
    <t>Barnegat Light, NJ</t>
  </si>
  <si>
    <t>Milligan, NE</t>
  </si>
  <si>
    <t>Ladd, IL</t>
  </si>
  <si>
    <t>Millersport, OH</t>
  </si>
  <si>
    <t>Zenda, KS</t>
  </si>
  <si>
    <t>Orient, ME</t>
  </si>
  <si>
    <t>Highland Park, FL</t>
  </si>
  <si>
    <t>Dutch Flat, CA</t>
  </si>
  <si>
    <t>Van, WV</t>
  </si>
  <si>
    <t>Fort Montgomery, NY</t>
  </si>
  <si>
    <t>Brackettville, TX</t>
  </si>
  <si>
    <t>Mossville, IL</t>
  </si>
  <si>
    <t>Phillipsburg, KS</t>
  </si>
  <si>
    <t>Deloit, IA</t>
  </si>
  <si>
    <t>Parks, LA</t>
  </si>
  <si>
    <t>Baroda, MI</t>
  </si>
  <si>
    <t>Swisher, IA</t>
  </si>
  <si>
    <t>Canyon, MN</t>
  </si>
  <si>
    <t>Wilseyville, CA</t>
  </si>
  <si>
    <t>Cimarron, CO</t>
  </si>
  <si>
    <t>Port O Connor, TX</t>
  </si>
  <si>
    <t>Crescent, OK</t>
  </si>
  <si>
    <t>Lookout, WV</t>
  </si>
  <si>
    <t>Katskill Bay, NY</t>
  </si>
  <si>
    <t>Opheim, MT</t>
  </si>
  <si>
    <t>Salvo, NC</t>
  </si>
  <si>
    <t>Wallingford, IA</t>
  </si>
  <si>
    <t>Brownell, KS</t>
  </si>
  <si>
    <t>Bartlett, KS</t>
  </si>
  <si>
    <t>Dalzell, IL</t>
  </si>
  <si>
    <t>Spring Bay, IL</t>
  </si>
  <si>
    <t>Hillrose, CO</t>
  </si>
  <si>
    <t>Limestone, IL</t>
  </si>
  <si>
    <t>Bantam, CT</t>
  </si>
  <si>
    <t>Medimont, ID</t>
  </si>
  <si>
    <t>Owenton, KY</t>
  </si>
  <si>
    <t>Hume, IL</t>
  </si>
  <si>
    <t>Hardtner, KS</t>
  </si>
  <si>
    <t>Glenham, SD</t>
  </si>
  <si>
    <t>Staffordsville, VA</t>
  </si>
  <si>
    <t>Kamas, UT</t>
  </si>
  <si>
    <t>Prairie View, KS</t>
  </si>
  <si>
    <t>Oak Grove, AL</t>
  </si>
  <si>
    <t>Amherst, ME</t>
  </si>
  <si>
    <t>Brady, MT</t>
  </si>
  <si>
    <t>Hemingway, SC</t>
  </si>
  <si>
    <t>Hillsville, PA</t>
  </si>
  <si>
    <t>Liscomb, IA</t>
  </si>
  <si>
    <t>Brownville, NE</t>
  </si>
  <si>
    <t>Rockville, NE</t>
  </si>
  <si>
    <t>Dakota City, IA</t>
  </si>
  <si>
    <t>Shoal Creek Drive, MO</t>
  </si>
  <si>
    <t>Victor, CO</t>
  </si>
  <si>
    <t>Glady, WV</t>
  </si>
  <si>
    <t>Melrose, MT</t>
  </si>
  <si>
    <t>Cranberry Lake, NY</t>
  </si>
  <si>
    <t>Dix, NE</t>
  </si>
  <si>
    <t>Burchard, NE</t>
  </si>
  <si>
    <t>Minnesott Beach, NC</t>
  </si>
  <si>
    <t>Hustle, VA</t>
  </si>
  <si>
    <t>Howardsville, VA</t>
  </si>
  <si>
    <t>Chinook, WA</t>
  </si>
  <si>
    <t>Newburg, WI</t>
  </si>
  <si>
    <t>Archer, NE</t>
  </si>
  <si>
    <t>Plainville, KS</t>
  </si>
  <si>
    <t>Maywood, NE</t>
  </si>
  <si>
    <t>Dublin, IN</t>
  </si>
  <si>
    <t>Ramona, OK</t>
  </si>
  <si>
    <t>Eastbrook, ME</t>
  </si>
  <si>
    <t>McDaniel, MD</t>
  </si>
  <si>
    <t>Kerrick, MN</t>
  </si>
  <si>
    <t>Madison, MD</t>
  </si>
  <si>
    <t>High Shoals, NC</t>
  </si>
  <si>
    <t>Bayboro, NC</t>
  </si>
  <si>
    <t>Grant Town, WV</t>
  </si>
  <si>
    <t>Pie Town, NM</t>
  </si>
  <si>
    <t>Goessel, KS</t>
  </si>
  <si>
    <t>Sky Valley, GA</t>
  </si>
  <si>
    <t>Sierra City, CA</t>
  </si>
  <si>
    <t>Caballo, NM</t>
  </si>
  <si>
    <t>Medicine Lake, MT</t>
  </si>
  <si>
    <t>Bruning, NE</t>
  </si>
  <si>
    <t>Hiller, PA</t>
  </si>
  <si>
    <t>Valley Head, AL</t>
  </si>
  <si>
    <t>Joes, CO</t>
  </si>
  <si>
    <t>Willard, NM</t>
  </si>
  <si>
    <t>Milton, IL</t>
  </si>
  <si>
    <t>Marshallberg, NC</t>
  </si>
  <si>
    <t>Fifield, WI</t>
  </si>
  <si>
    <t>England, AR</t>
  </si>
  <si>
    <t>Still Pond, MD</t>
  </si>
  <si>
    <t>Agra, KS</t>
  </si>
  <si>
    <t>Shady Point, OK</t>
  </si>
  <si>
    <t>Stark, KS</t>
  </si>
  <si>
    <t>Lake Lac La Belle, WI</t>
  </si>
  <si>
    <t>Fertile, IA</t>
  </si>
  <si>
    <t>Slatyfork, WV</t>
  </si>
  <si>
    <t>Genola, UT</t>
  </si>
  <si>
    <t>West Salem, OH</t>
  </si>
  <si>
    <t>Islesboro, ME</t>
  </si>
  <si>
    <t>Chemult, OR</t>
  </si>
  <si>
    <t>Olancha, CA</t>
  </si>
  <si>
    <t>Weskan, KS</t>
  </si>
  <si>
    <t>Rowan, IA</t>
  </si>
  <si>
    <t>Wister, OK</t>
  </si>
  <si>
    <t>Antelope, MT</t>
  </si>
  <si>
    <t>Newton, UT</t>
  </si>
  <si>
    <t>Isabella, OK</t>
  </si>
  <si>
    <t>Belvidere, NE</t>
  </si>
  <si>
    <t>Ocean Beach, NY</t>
  </si>
  <si>
    <t>Wallaceton, PA</t>
  </si>
  <si>
    <t>Alliance, NC</t>
  </si>
  <si>
    <t>Vinita Terrace, MO</t>
  </si>
  <si>
    <t>Burgess, VA</t>
  </si>
  <si>
    <t>Wickett, TX</t>
  </si>
  <si>
    <t>Tipton, KS</t>
  </si>
  <si>
    <t>Samak, UT</t>
  </si>
  <si>
    <t>Lee Vining, CA</t>
  </si>
  <si>
    <t>Bayview, ID</t>
  </si>
  <si>
    <t>Concord, IL</t>
  </si>
  <si>
    <t>Findley Lake, NY</t>
  </si>
  <si>
    <t>Fruitland, IA</t>
  </si>
  <si>
    <t>Kanopolis, KS</t>
  </si>
  <si>
    <t>Kootenai, ID</t>
  </si>
  <si>
    <t>North Hills, WV</t>
  </si>
  <si>
    <t>Matoaka, WV</t>
  </si>
  <si>
    <t>Freedom, IN</t>
  </si>
  <si>
    <t>Wahpeton, IA</t>
  </si>
  <si>
    <t>Amalga, UT</t>
  </si>
  <si>
    <t>Clio, CA</t>
  </si>
  <si>
    <t>Alpine, AZ</t>
  </si>
  <si>
    <t>Woodland, GA</t>
  </si>
  <si>
    <t>Manzanita, OR</t>
  </si>
  <si>
    <t>Dillard, GA</t>
  </si>
  <si>
    <t>Glasgow, WV</t>
  </si>
  <si>
    <t>Glen Echo, MD</t>
  </si>
  <si>
    <t>Shiloh, NJ</t>
  </si>
  <si>
    <t>Lane, IL</t>
  </si>
  <si>
    <t>Clarksville, NH</t>
  </si>
  <si>
    <t>Anderson, MO</t>
  </si>
  <si>
    <t>Mackenzie, MO</t>
  </si>
  <si>
    <t>Afton, IA</t>
  </si>
  <si>
    <t>Sesser, IL</t>
  </si>
  <si>
    <t>Danbury, NE</t>
  </si>
  <si>
    <t>Maple, NC</t>
  </si>
  <si>
    <t>Biwabik, MN</t>
  </si>
  <si>
    <t>Mullinville, KS</t>
  </si>
  <si>
    <t>Lanesboro, MN</t>
  </si>
  <si>
    <t>Tina, MO</t>
  </si>
  <si>
    <t>Post Oak Bend City, TX</t>
  </si>
  <si>
    <t>Mountain City, TX</t>
  </si>
  <si>
    <t>Reads Landing, MN</t>
  </si>
  <si>
    <t>Ruth, NC</t>
  </si>
  <si>
    <t>Indian Beach, NC</t>
  </si>
  <si>
    <t>Sugar Mountain, NC</t>
  </si>
  <si>
    <t>Lookout, CA</t>
  </si>
  <si>
    <t>Oak Grove, LA</t>
  </si>
  <si>
    <t>Bellerive, MO</t>
  </si>
  <si>
    <t>Advance, MO</t>
  </si>
  <si>
    <t>Reedsville, WV</t>
  </si>
  <si>
    <t>Sebastian, TX</t>
  </si>
  <si>
    <t>Preston, GA</t>
  </si>
  <si>
    <t>Cokeburg, PA</t>
  </si>
  <si>
    <t>Blacksville, WV</t>
  </si>
  <si>
    <t>Tangelo Park, FL</t>
  </si>
  <si>
    <t>Sherwood, MD</t>
  </si>
  <si>
    <t>Saint Anthony, IA</t>
  </si>
  <si>
    <t>Havana, TX</t>
  </si>
  <si>
    <t>June Lake, CA</t>
  </si>
  <si>
    <t>South Middletown, OH</t>
  </si>
  <si>
    <t>Fraser, CO</t>
  </si>
  <si>
    <t>Rockport, WA</t>
  </si>
  <si>
    <t>North Troy, VT</t>
  </si>
  <si>
    <t>Reeds Spring, MO</t>
  </si>
  <si>
    <t>Milford, CA</t>
  </si>
  <si>
    <t>Keen Mountain, VA</t>
  </si>
  <si>
    <t>Schroeder, MN</t>
  </si>
  <si>
    <t>Lattimore, NC</t>
  </si>
  <si>
    <t>Collyer, KS</t>
  </si>
  <si>
    <t>Panama, OK</t>
  </si>
  <si>
    <t>Bly, OR</t>
  </si>
  <si>
    <t>Sacramento, NM</t>
  </si>
  <si>
    <t>Ailey, GA</t>
  </si>
  <si>
    <t>Taylorsville, IN</t>
  </si>
  <si>
    <t>Hedrick, IA</t>
  </si>
  <si>
    <t>Munden, KS</t>
  </si>
  <si>
    <t>East Glacier Park, MT</t>
  </si>
  <si>
    <t>Guernsey, IA</t>
  </si>
  <si>
    <t>Mirando City, TX</t>
  </si>
  <si>
    <t>Keene, CA</t>
  </si>
  <si>
    <t>Lummi Island, WA</t>
  </si>
  <si>
    <t>Walthall, MS</t>
  </si>
  <si>
    <t>Glenwood, UT</t>
  </si>
  <si>
    <t>Pettus, TX</t>
  </si>
  <si>
    <t>Daykin, NE</t>
  </si>
  <si>
    <t>McAlister, NM</t>
  </si>
  <si>
    <t>Roxobel, NC</t>
  </si>
  <si>
    <t>Rosemont, MD</t>
  </si>
  <si>
    <t>Olympian Village, MO</t>
  </si>
  <si>
    <t>Dubre, KY</t>
  </si>
  <si>
    <t>Sylvan Beach, NY</t>
  </si>
  <si>
    <t>Kirk, CO</t>
  </si>
  <si>
    <t>Mumford, NY</t>
  </si>
  <si>
    <t>West Chester, IA</t>
  </si>
  <si>
    <t>Appleby, TX</t>
  </si>
  <si>
    <t>Nicholville, NY</t>
  </si>
  <si>
    <t>Ephesus, GA</t>
  </si>
  <si>
    <t>Rillton, PA</t>
  </si>
  <si>
    <t>Sanderson, TX</t>
  </si>
  <si>
    <t>Gordon, NE</t>
  </si>
  <si>
    <t>Pratt, WV</t>
  </si>
  <si>
    <t>Northmoor, MO</t>
  </si>
  <si>
    <t>Stratton, VT</t>
  </si>
  <si>
    <t>McClave, CO</t>
  </si>
  <si>
    <t>Friars Point, MS</t>
  </si>
  <si>
    <t>Grayson, LA</t>
  </si>
  <si>
    <t>Nuremberg, PA</t>
  </si>
  <si>
    <t>Sealevel, NC</t>
  </si>
  <si>
    <t>Mesilla, NM</t>
  </si>
  <si>
    <t>Frazee, MN</t>
  </si>
  <si>
    <t>Crane Lake, MN</t>
  </si>
  <si>
    <t>Standish, CA</t>
  </si>
  <si>
    <t>Jenners, PA</t>
  </si>
  <si>
    <t>Errol, NH</t>
  </si>
  <si>
    <t>Maple Plain, MN</t>
  </si>
  <si>
    <t>Columbia, LA</t>
  </si>
  <si>
    <t>Bancroft, WV</t>
  </si>
  <si>
    <t>Malo, WA</t>
  </si>
  <si>
    <t>Weissport, PA</t>
  </si>
  <si>
    <t>Sarita, TX</t>
  </si>
  <si>
    <t>Park, KS</t>
  </si>
  <si>
    <t>Newton Falls, NY</t>
  </si>
  <si>
    <t>Cedar Rock, NC</t>
  </si>
  <si>
    <t>Swanton, NE</t>
  </si>
  <si>
    <t>Glen Arbor, MI</t>
  </si>
  <si>
    <t>Urbana, IA</t>
  </si>
  <si>
    <t>Allerton, IL</t>
  </si>
  <si>
    <t>Joseph, UT</t>
  </si>
  <si>
    <t>Alston, GA</t>
  </si>
  <si>
    <t>Cambridge, WI</t>
  </si>
  <si>
    <t>Madrid, AL</t>
  </si>
  <si>
    <t>Jenkins, MN</t>
  </si>
  <si>
    <t>Goodlow Park, TX</t>
  </si>
  <si>
    <t>Arcadia, OK</t>
  </si>
  <si>
    <t>Risco, MO</t>
  </si>
  <si>
    <t>Woodston, KS</t>
  </si>
  <si>
    <t>Fort Jackson, NY</t>
  </si>
  <si>
    <t>Gwynn, VA</t>
  </si>
  <si>
    <t>Kimballton, IA</t>
  </si>
  <si>
    <t>Pottawattamie Park, IN</t>
  </si>
  <si>
    <t>Mexico Beach, FL</t>
  </si>
  <si>
    <t>Aristes, PA</t>
  </si>
  <si>
    <t>Morgan City, MS</t>
  </si>
  <si>
    <t>Timbercreek Canyon, TX</t>
  </si>
  <si>
    <t>Old River-Winfree, TX</t>
  </si>
  <si>
    <t>Elizabeth, LA</t>
  </si>
  <si>
    <t>Grandfalls, TX</t>
  </si>
  <si>
    <t>Sheldahl, IA</t>
  </si>
  <si>
    <t>Elizabeth, MN</t>
  </si>
  <si>
    <t>Calpine, CA</t>
  </si>
  <si>
    <t>Frederica, DE</t>
  </si>
  <si>
    <t>West Bend, IA</t>
  </si>
  <si>
    <t>Wells River, VT</t>
  </si>
  <si>
    <t>Big Coppitt Key, FL</t>
  </si>
  <si>
    <t>Alfred, NY</t>
  </si>
  <si>
    <t>Baileyton, TN</t>
  </si>
  <si>
    <t>Delaware Water Gap, PA</t>
  </si>
  <si>
    <t>Mohawk Vista, CA</t>
  </si>
  <si>
    <t>Grantsboro, NC</t>
  </si>
  <si>
    <t>Okay, OK</t>
  </si>
  <si>
    <t>Rock Creek, WV</t>
  </si>
  <si>
    <t>Crescent City, IL</t>
  </si>
  <si>
    <t>Nevada, TX</t>
  </si>
  <si>
    <t>Cahone, CO</t>
  </si>
  <si>
    <t>Ovando, MT</t>
  </si>
  <si>
    <t>Trout Lake, MI</t>
  </si>
  <si>
    <t>Fremont, NC</t>
  </si>
  <si>
    <t>Dallas City, IL</t>
  </si>
  <si>
    <t>Fisher Island, FL</t>
  </si>
  <si>
    <t>Beaverville, IL</t>
  </si>
  <si>
    <t>New Pine Creek, CA</t>
  </si>
  <si>
    <t>Morgans Point, TX</t>
  </si>
  <si>
    <t>Schnellville, IN</t>
  </si>
  <si>
    <t>Greenevers, NC</t>
  </si>
  <si>
    <t>New Berlin, TX</t>
  </si>
  <si>
    <t>Huddy, KY</t>
  </si>
  <si>
    <t>Palomar Mountain, CA</t>
  </si>
  <si>
    <t>Willimantic, ME</t>
  </si>
  <si>
    <t>Lyons, NE</t>
  </si>
  <si>
    <t>Parlin, CO</t>
  </si>
  <si>
    <t>David City, NE</t>
  </si>
  <si>
    <t>Wilsonville, NE</t>
  </si>
  <si>
    <t>Sixes, OR</t>
  </si>
  <si>
    <t>Highland Lake, AL</t>
  </si>
  <si>
    <t>Scurry, TX</t>
  </si>
  <si>
    <t>Texhoma, OK</t>
  </si>
  <si>
    <t>Marquette, IA</t>
  </si>
  <si>
    <t>Strawberry Valley, CA</t>
  </si>
  <si>
    <t>Millsboro, PA</t>
  </si>
  <si>
    <t>Clayhatchee, AL</t>
  </si>
  <si>
    <t>Orestes, IN</t>
  </si>
  <si>
    <t>Powderhorn, CO</t>
  </si>
  <si>
    <t>Dewey Beach, DE</t>
  </si>
  <si>
    <t>Gould, OK</t>
  </si>
  <si>
    <t>Lake George, MN</t>
  </si>
  <si>
    <t>Wardner, ID</t>
  </si>
  <si>
    <t>Phippsburg, CO</t>
  </si>
  <si>
    <t>Rose Hill Acres, TX</t>
  </si>
  <si>
    <t>Camp Sherman, OR</t>
  </si>
  <si>
    <t>Belden, NE</t>
  </si>
  <si>
    <t>Sigurd, UT</t>
  </si>
  <si>
    <t>Stanley, ID</t>
  </si>
  <si>
    <t>Wharton, WV</t>
  </si>
  <si>
    <t>Bovill, ID</t>
  </si>
  <si>
    <t>Crown King, AZ</t>
  </si>
  <si>
    <t>Roaring Springs, TX</t>
  </si>
  <si>
    <t>Smallwood, NY</t>
  </si>
  <si>
    <t>Chippewa Lake, MI</t>
  </si>
  <si>
    <t>Bismarck, MO</t>
  </si>
  <si>
    <t>Key Colony Beach, FL</t>
  </si>
  <si>
    <t>Lawndale, NC</t>
  </si>
  <si>
    <t>Gilchrist, TX</t>
  </si>
  <si>
    <t>Lyon, MS</t>
  </si>
  <si>
    <t>Coleman, FL</t>
  </si>
  <si>
    <t>Heilwood, PA</t>
  </si>
  <si>
    <t>Duck Creek Village, UT</t>
  </si>
  <si>
    <t>Abell, MD</t>
  </si>
  <si>
    <t>Marion, TX</t>
  </si>
  <si>
    <t>Ewell, MD</t>
  </si>
  <si>
    <t>Goldcreek, MT</t>
  </si>
  <si>
    <t>Central City, CO</t>
  </si>
  <si>
    <t>Guernsey, WY</t>
  </si>
  <si>
    <t>Taos Ski Valley, NM</t>
  </si>
  <si>
    <t>White Lake, NC</t>
  </si>
  <si>
    <t>Cuthbert, GA</t>
  </si>
  <si>
    <t>Pine Hill, NY</t>
  </si>
  <si>
    <t>Staunton, IN</t>
  </si>
  <si>
    <t>Dodge City, AL</t>
  </si>
  <si>
    <t>Fort Howard, MD</t>
  </si>
  <si>
    <t>Hopewell, IL</t>
  </si>
  <si>
    <t>Conner, MT</t>
  </si>
  <si>
    <t>Elwood, KS</t>
  </si>
  <si>
    <t>Irwin, ID</t>
  </si>
  <si>
    <t>Methow, WA</t>
  </si>
  <si>
    <t>Fremont, WI</t>
  </si>
  <si>
    <t>Beersheba Springs, TN</t>
  </si>
  <si>
    <t>White Cloud, KS</t>
  </si>
  <si>
    <t>Centennial, WY</t>
  </si>
  <si>
    <t>Wetumka, OK</t>
  </si>
  <si>
    <t>Avon, NC</t>
  </si>
  <si>
    <t>Mazama, WA</t>
  </si>
  <si>
    <t>La Rue, OH</t>
  </si>
  <si>
    <t>Yampa, CO</t>
  </si>
  <si>
    <t>Lemington, VT</t>
  </si>
  <si>
    <t>Deer Park, MD</t>
  </si>
  <si>
    <t>Ceredo, WV</t>
  </si>
  <si>
    <t>Matagorda, TX</t>
  </si>
  <si>
    <t>Allenport, PA</t>
  </si>
  <si>
    <t>Campbellsburg, IN</t>
  </si>
  <si>
    <t>Flaxville, MT</t>
  </si>
  <si>
    <t>Lynch, KY</t>
  </si>
  <si>
    <t>Elrama, PA</t>
  </si>
  <si>
    <t>Weleetka, OK</t>
  </si>
  <si>
    <t>Newburg, MO</t>
  </si>
  <si>
    <t>Dummer, NH</t>
  </si>
  <si>
    <t>Oilton, OK</t>
  </si>
  <si>
    <t>Vestaburg, PA</t>
  </si>
  <si>
    <t>Wayne Lakes Park, OH</t>
  </si>
  <si>
    <t>Unionville, NY</t>
  </si>
  <si>
    <t>Buchtel, OH</t>
  </si>
  <si>
    <t>Kimball, MN</t>
  </si>
  <si>
    <t>Landgrove, VT</t>
  </si>
  <si>
    <t>Gulf Hammock, FL</t>
  </si>
  <si>
    <t>Oyster Creek, TX</t>
  </si>
  <si>
    <t>Moorcroft, WY</t>
  </si>
  <si>
    <t>Grapeville, PA</t>
  </si>
  <si>
    <t>Laclede, ID</t>
  </si>
  <si>
    <t>Ingalls, MI</t>
  </si>
  <si>
    <t>Owensville, OH</t>
  </si>
  <si>
    <t>Quapaw, OK</t>
  </si>
  <si>
    <t>Woodlawn, KY</t>
  </si>
  <si>
    <t>Lewis, CO</t>
  </si>
  <si>
    <t>Gilgo-Oak Beach-Captree, NY</t>
  </si>
  <si>
    <t>Stanberry, MO</t>
  </si>
  <si>
    <t>Manderson, WY</t>
  </si>
  <si>
    <t>McKinley, MN</t>
  </si>
  <si>
    <t>Elliston, MT</t>
  </si>
  <si>
    <t>Brownville, NY</t>
  </si>
  <si>
    <t>Payne City, GA</t>
  </si>
  <si>
    <t>Robersonville, NC</t>
  </si>
  <si>
    <t>Galesville, MD</t>
  </si>
  <si>
    <t>D'Lo, MS</t>
  </si>
  <si>
    <t>Rocky Ridge, OH</t>
  </si>
  <si>
    <t>Dayton, WA</t>
  </si>
  <si>
    <t>Soda Springs, CA</t>
  </si>
  <si>
    <t>Warren, IL</t>
  </si>
  <si>
    <t>Chebeague Island, ME</t>
  </si>
  <si>
    <t>Hettinger, ND</t>
  </si>
  <si>
    <t>Cochiti Lake, NM</t>
  </si>
  <si>
    <t>Cashion Community, TX</t>
  </si>
  <si>
    <t>Clarksville, MO</t>
  </si>
  <si>
    <t>Beverly, KS</t>
  </si>
  <si>
    <t>Ramer, TN</t>
  </si>
  <si>
    <t>Cooper Landing, AK</t>
  </si>
  <si>
    <t>Roslyn, WA</t>
  </si>
  <si>
    <t>Blanchard, PA</t>
  </si>
  <si>
    <t>Walkerville, MT</t>
  </si>
  <si>
    <t>Darlington, MO</t>
  </si>
  <si>
    <t>Risingsun, OH</t>
  </si>
  <si>
    <t>Bude, MS</t>
  </si>
  <si>
    <t>Millers Falls, MA</t>
  </si>
  <si>
    <t>Damar, KS</t>
  </si>
  <si>
    <t>Troy, KS</t>
  </si>
  <si>
    <t>Manila, UT</t>
  </si>
  <si>
    <t>Thornton, CA</t>
  </si>
  <si>
    <t>Powellsville, NC</t>
  </si>
  <si>
    <t>Woodland, UT</t>
  </si>
  <si>
    <t>Orleans, IA</t>
  </si>
  <si>
    <t>Ronald, WA</t>
  </si>
  <si>
    <t>Polkville, NC</t>
  </si>
  <si>
    <t>Ringgold, LA</t>
  </si>
  <si>
    <t>Monroe, SD</t>
  </si>
  <si>
    <t>Estral Beach, MI</t>
  </si>
  <si>
    <t>Lily Dale, NY</t>
  </si>
  <si>
    <t>Webb, MS</t>
  </si>
  <si>
    <t>Hume, CA</t>
  </si>
  <si>
    <t>Winkelman, AZ</t>
  </si>
  <si>
    <t>West Salem, IL</t>
  </si>
  <si>
    <t>Hutchinson, PA</t>
  </si>
  <si>
    <t>Sun River Terrace, IL</t>
  </si>
  <si>
    <t>Lawrenceville, OH</t>
  </si>
  <si>
    <t>Utica, IN</t>
  </si>
  <si>
    <t>Newland, NC</t>
  </si>
  <si>
    <t>Bayard, WV</t>
  </si>
  <si>
    <t>Malden, NY</t>
  </si>
  <si>
    <t>Arona, PA</t>
  </si>
  <si>
    <t>Bois Blanc Island, MI</t>
  </si>
  <si>
    <t>Garrison, MT</t>
  </si>
  <si>
    <t>West College Corner, IN</t>
  </si>
  <si>
    <t>La Cygne, KS</t>
  </si>
  <si>
    <t>Kilbourne, LA</t>
  </si>
  <si>
    <t>Menominee, IL</t>
  </si>
  <si>
    <t>Sheldon, IL</t>
  </si>
  <si>
    <t>Rich Square, NC</t>
  </si>
  <si>
    <t>Meddybemps, ME</t>
  </si>
  <si>
    <t>Pilot Knob, MO</t>
  </si>
  <si>
    <t>Mount Laguna, CA</t>
  </si>
  <si>
    <t>Bald Head Island, NC</t>
  </si>
  <si>
    <t>Crescent, OR</t>
  </si>
  <si>
    <t>Paynesville, MN</t>
  </si>
  <si>
    <t>Jewell, GA</t>
  </si>
  <si>
    <t>Tribune, KS</t>
  </si>
  <si>
    <t>Fulton, AL</t>
  </si>
  <si>
    <t>Gosnold, MA</t>
  </si>
  <si>
    <t>Roff, OK</t>
  </si>
  <si>
    <t>Warsaw, OH</t>
  </si>
  <si>
    <t>Fawnskin, CA</t>
  </si>
  <si>
    <t>Norwood, IL</t>
  </si>
  <si>
    <t>Williamson, IL</t>
  </si>
  <si>
    <t>Farina, IL</t>
  </si>
  <si>
    <t>Canyon Dam, CA</t>
  </si>
  <si>
    <t>Sierraville, CA</t>
  </si>
  <si>
    <t>Snowshoe, WV</t>
  </si>
  <si>
    <t>Millsap, TX</t>
  </si>
  <si>
    <t>Sibley, MO</t>
  </si>
  <si>
    <t>Morristown, NY</t>
  </si>
  <si>
    <t>Davis, NC</t>
  </si>
  <si>
    <t>Lanagan, MO</t>
  </si>
  <si>
    <t>Bogue, KS</t>
  </si>
  <si>
    <t>Mc Clure, IL</t>
  </si>
  <si>
    <t>Superior, WY</t>
  </si>
  <si>
    <t>Savanna, OK</t>
  </si>
  <si>
    <t>Megargel, TX</t>
  </si>
  <si>
    <t>Ashton, ID</t>
  </si>
  <si>
    <t>Vandemere, NC</t>
  </si>
  <si>
    <t>Captiva, FL</t>
  </si>
  <si>
    <t>Long Island, ME</t>
  </si>
  <si>
    <t>Long Barn, CA</t>
  </si>
  <si>
    <t>Ninole, HI</t>
  </si>
  <si>
    <t>Horseshoe Beach, FL</t>
  </si>
  <si>
    <t>Ocean Park, ME</t>
  </si>
  <si>
    <t>Twin Bridges, CA</t>
  </si>
  <si>
    <t>Kyburz, CA</t>
  </si>
  <si>
    <t>Tehama, CA</t>
  </si>
  <si>
    <t>Milledgeville, TN</t>
  </si>
  <si>
    <t>Arlington, SD</t>
  </si>
  <si>
    <t>Pierron, IL</t>
  </si>
  <si>
    <t>Wilkeson, WA</t>
  </si>
  <si>
    <t>Mesic, NC</t>
  </si>
  <si>
    <t>Reinbeck, IA</t>
  </si>
  <si>
    <t>Hendricks, WV</t>
  </si>
  <si>
    <t>Alma, NE</t>
  </si>
  <si>
    <t>Tangier, VA</t>
  </si>
  <si>
    <t>Haywood, VA</t>
  </si>
  <si>
    <t>Washington, OK</t>
  </si>
  <si>
    <t>Iva, SC</t>
  </si>
  <si>
    <t>Cassel, CA</t>
  </si>
  <si>
    <t>Danville, GA</t>
  </si>
  <si>
    <t>Soudan, MN</t>
  </si>
  <si>
    <t>Ursa, IL</t>
  </si>
  <si>
    <t>Sweetser, IN</t>
  </si>
  <si>
    <t>Varnado, LA</t>
  </si>
  <si>
    <t>Bellemont, AZ</t>
  </si>
  <si>
    <t>Reedsville, WI</t>
  </si>
  <si>
    <t>Haxtun, CO</t>
  </si>
  <si>
    <t>Gilmore City, IA</t>
  </si>
  <si>
    <t>Amador City, CA</t>
  </si>
  <si>
    <t>Beaver Cove Plantation, ME</t>
  </si>
  <si>
    <t>Matewan, WV</t>
  </si>
  <si>
    <t>Cleveland, UT</t>
  </si>
  <si>
    <t>Eureka, TX</t>
  </si>
  <si>
    <t>Sportsmen Acres, OK</t>
  </si>
  <si>
    <t>Perry, IL</t>
  </si>
  <si>
    <t>Shiocton, WI</t>
  </si>
  <si>
    <t>Otter Rock, OR</t>
  </si>
  <si>
    <t>Shipman, IL</t>
  </si>
  <si>
    <t>Marshall, WI</t>
  </si>
  <si>
    <t>Footville, WI</t>
  </si>
  <si>
    <t>Charlestown, MD</t>
  </si>
  <si>
    <t>Cedar Creek, NE</t>
  </si>
  <si>
    <t>Hawi, HI</t>
  </si>
  <si>
    <t>Kirkwood, CA</t>
  </si>
  <si>
    <t>Canalou, MO</t>
  </si>
  <si>
    <t>Rollins, MT</t>
  </si>
  <si>
    <t>Randolph, NE</t>
  </si>
  <si>
    <t>North English, IA</t>
  </si>
  <si>
    <t>Big Water, UT</t>
  </si>
  <si>
    <t>Greenwood, DE</t>
  </si>
  <si>
    <t>Port Vincent, LA</t>
  </si>
  <si>
    <t>Ponder, TX</t>
  </si>
  <si>
    <t>Grantfork, IL</t>
  </si>
  <si>
    <t>Alden, MN</t>
  </si>
  <si>
    <t>Sabina, OH</t>
  </si>
  <si>
    <t>Homeland, GA</t>
  </si>
  <si>
    <t>Fulda, MN</t>
  </si>
  <si>
    <t>Sleepy Hollow, WY</t>
  </si>
  <si>
    <t>Hillcrest Heights, FL</t>
  </si>
  <si>
    <t>Stockton, UT</t>
  </si>
  <si>
    <t>Morven, NC</t>
  </si>
  <si>
    <t>Buffalo Springs, TX</t>
  </si>
  <si>
    <t>Novinger, MO</t>
  </si>
  <si>
    <t>Cherokee, OK</t>
  </si>
  <si>
    <t>Haugen, WI</t>
  </si>
  <si>
    <t>Dow City, IA</t>
  </si>
  <si>
    <t>Deepwater, NJ</t>
  </si>
  <si>
    <t>Calumet, OK</t>
  </si>
  <si>
    <t>Point Roberts, WA</t>
  </si>
  <si>
    <t>Cleveland, MO</t>
  </si>
  <si>
    <t>Nelliston, NY</t>
  </si>
  <si>
    <t>Anmoore, WV</t>
  </si>
  <si>
    <t>Madison, PA</t>
  </si>
  <si>
    <t>Portland, PA</t>
  </si>
  <si>
    <t>Mardela Springs, MD</t>
  </si>
  <si>
    <t>North Hornell, NY</t>
  </si>
  <si>
    <t>Kimball, WV</t>
  </si>
  <si>
    <t>Binger, OK</t>
  </si>
  <si>
    <t>Elkhart, IL</t>
  </si>
  <si>
    <t>Gold Hill, CO</t>
  </si>
  <si>
    <t>Momeyer, NC</t>
  </si>
  <si>
    <t>Corning, OH</t>
  </si>
  <si>
    <t>Walford, IA</t>
  </si>
  <si>
    <t>Summerset, SD</t>
  </si>
  <si>
    <t>Dixon, IA</t>
  </si>
  <si>
    <t>Jackson, NC</t>
  </si>
  <si>
    <t>Woodson, IL</t>
  </si>
  <si>
    <t>Adell, WI</t>
  </si>
  <si>
    <t>Silver Gate, MT</t>
  </si>
  <si>
    <t>Valliant, OK</t>
  </si>
  <si>
    <t>McGregor, IA</t>
  </si>
  <si>
    <t>Wright, WY</t>
  </si>
  <si>
    <t>Little Creek, DE</t>
  </si>
  <si>
    <t>Williamsburg, CO</t>
  </si>
  <si>
    <t>Danville, OH</t>
  </si>
  <si>
    <t>Snook, TX</t>
  </si>
  <si>
    <t>Jaars, NC</t>
  </si>
  <si>
    <t>Beallsville, PA</t>
  </si>
  <si>
    <t>Ravencliff, WV</t>
  </si>
  <si>
    <t>Heron Lake, MN</t>
  </si>
  <si>
    <t>Riverdale, ND</t>
  </si>
  <si>
    <t>Geneseo, KS</t>
  </si>
  <si>
    <t>Greig, NY</t>
  </si>
  <si>
    <t>Aliceville, AL</t>
  </si>
  <si>
    <t>Bim, WV</t>
  </si>
  <si>
    <t>Hildale, UT</t>
  </si>
  <si>
    <t>Loretto, MN</t>
  </si>
  <si>
    <t>Sugar Bush Knolls, OH</t>
  </si>
  <si>
    <t>Protivin, IA</t>
  </si>
  <si>
    <t>Nuiqsut, AK</t>
  </si>
  <si>
    <t>Sedan, KS</t>
  </si>
  <si>
    <t>Hiltonia, GA</t>
  </si>
  <si>
    <t>Albers, IL</t>
  </si>
  <si>
    <t>White, GA</t>
  </si>
  <si>
    <t>Kittitas, WA</t>
  </si>
  <si>
    <t>Hideout, UT</t>
  </si>
  <si>
    <t>Winchester, IL</t>
  </si>
  <si>
    <t>Hymera, IN</t>
  </si>
  <si>
    <t>Deer River, MN</t>
  </si>
  <si>
    <t>Leland, MI</t>
  </si>
  <si>
    <t>Richburg, NY</t>
  </si>
  <si>
    <t>Bloomington, MD</t>
  </si>
  <si>
    <t>Columbus City, IA</t>
  </si>
  <si>
    <t>Hudson, WY</t>
  </si>
  <si>
    <t>Orient, OH</t>
  </si>
  <si>
    <t>Scenic, AZ</t>
  </si>
  <si>
    <t>Arlington, WI</t>
  </si>
  <si>
    <t>Johannesburg, CA</t>
  </si>
  <si>
    <t>Offerman, GA</t>
  </si>
  <si>
    <t>Kennard, IN</t>
  </si>
  <si>
    <t>Garland, TN</t>
  </si>
  <si>
    <t>Mill Creek, WV</t>
  </si>
  <si>
    <t>Homeland, FL</t>
  </si>
  <si>
    <t>Spring Lake, IN</t>
  </si>
  <si>
    <t>Ransom Canyon, TX</t>
  </si>
  <si>
    <t>Altura, MN</t>
  </si>
  <si>
    <t>Ringling, OK</t>
  </si>
  <si>
    <t>Northfield, ME</t>
  </si>
  <si>
    <t>Wallis, TX</t>
  </si>
  <si>
    <t>Matamoras, OH</t>
  </si>
  <si>
    <t>Silo, OK</t>
  </si>
  <si>
    <t>Shelby, IA</t>
  </si>
  <si>
    <t>Richland, GA</t>
  </si>
  <si>
    <t>Garrett, IL</t>
  </si>
  <si>
    <t>Crabtree, PA</t>
  </si>
  <si>
    <t>Brooklyn, WI</t>
  </si>
  <si>
    <t>Central, UT</t>
  </si>
  <si>
    <t>Gypsum, KS</t>
  </si>
  <si>
    <t>Point Harbor, NC</t>
  </si>
  <si>
    <t>Braswell, GA</t>
  </si>
  <si>
    <t>West Jefferson, AL</t>
  </si>
  <si>
    <t>Arnaudville, LA</t>
  </si>
  <si>
    <t>Goodland, FL</t>
  </si>
  <si>
    <t>Ashland, MS</t>
  </si>
  <si>
    <t>River Pines, CA</t>
  </si>
  <si>
    <t>Whiteface, TX</t>
  </si>
  <si>
    <t>Nogal, NM</t>
  </si>
  <si>
    <t>Snoqualmie Pass, WA</t>
  </si>
  <si>
    <t>Fairchilds, TX</t>
  </si>
  <si>
    <t>Mason, TN</t>
  </si>
  <si>
    <t>Burlington, IN</t>
  </si>
  <si>
    <t>Freeman, MO</t>
  </si>
  <si>
    <t>Rushville, OH</t>
  </si>
  <si>
    <t>Norman Park, GA</t>
  </si>
  <si>
    <t>Lambs Grove, IA</t>
  </si>
  <si>
    <t>Ookala, HI</t>
  </si>
  <si>
    <t>Miles, IA</t>
  </si>
  <si>
    <t>Adena, OH</t>
  </si>
  <si>
    <t>Chokoloskee, FL</t>
  </si>
  <si>
    <t>Dresden, NY</t>
  </si>
  <si>
    <t>Adrian, GA</t>
  </si>
  <si>
    <t>Metcalfe, MS</t>
  </si>
  <si>
    <t>Downieville-Lawson-Dumont, CO</t>
  </si>
  <si>
    <t>Old Appleton, MO</t>
  </si>
  <si>
    <t>El Paso, IL</t>
  </si>
  <si>
    <t>Advance, IN</t>
  </si>
  <si>
    <t>Gettysburg, OH</t>
  </si>
  <si>
    <t>Redwater, TX</t>
  </si>
  <si>
    <t>McCloud, CA</t>
  </si>
  <si>
    <t>Cedar Rapids, NE</t>
  </si>
  <si>
    <t>Addison (Webster Springs), WV</t>
  </si>
  <si>
    <t>Bertram, TX</t>
  </si>
  <si>
    <t>Angus, TX</t>
  </si>
  <si>
    <t>Hornbeak, TN</t>
  </si>
  <si>
    <t>Elco, PA</t>
  </si>
  <si>
    <t>Houston Lake, MO</t>
  </si>
  <si>
    <t>Blanchardville, WI</t>
  </si>
  <si>
    <t>Williamsport, OH</t>
  </si>
  <si>
    <t>Lucerne, WY</t>
  </si>
  <si>
    <t>Victor, MT</t>
  </si>
  <si>
    <t>New Cordell, OK</t>
  </si>
  <si>
    <t>Pray, MT</t>
  </si>
  <si>
    <t>Ellenboro, WV</t>
  </si>
  <si>
    <t>Mexico, IN</t>
  </si>
  <si>
    <t>Progreso Lakes, TX</t>
  </si>
  <si>
    <t>Waldo, WI</t>
  </si>
  <si>
    <t>Deepwater, MO</t>
  </si>
  <si>
    <t>Gisela, AZ</t>
  </si>
  <si>
    <t>Thorntonville, TX</t>
  </si>
  <si>
    <t>Troutville, PA</t>
  </si>
  <si>
    <t>Lake Annette, MO</t>
  </si>
  <si>
    <t>Chebanse, IL</t>
  </si>
  <si>
    <t>Colesburg, IA</t>
  </si>
  <si>
    <t>Tallapoosa, MO</t>
  </si>
  <si>
    <t>Plumas Eureka, CA</t>
  </si>
  <si>
    <t>Bear Valley, CA</t>
  </si>
  <si>
    <t>Rutledge, MN</t>
  </si>
  <si>
    <t>Pitsburg, OH</t>
  </si>
  <si>
    <t>Balsam, NC</t>
  </si>
  <si>
    <t>Hartford, OH</t>
  </si>
  <si>
    <t>Lumpkin, GA</t>
  </si>
  <si>
    <t>East Tawakoni, TX</t>
  </si>
  <si>
    <t>Woodland, ME</t>
  </si>
  <si>
    <t>Alton, UT</t>
  </si>
  <si>
    <t>Lakeview Heights, KY</t>
  </si>
  <si>
    <t>Ansley, NE</t>
  </si>
  <si>
    <t>Delta, MO</t>
  </si>
  <si>
    <t>Hanging Rock, OH</t>
  </si>
  <si>
    <t>Commercial Point, OH</t>
  </si>
  <si>
    <t>Knife River, MN</t>
  </si>
  <si>
    <t>Zanesville, IN</t>
  </si>
  <si>
    <t>Wagener, SC</t>
  </si>
  <si>
    <t>Northfork, WV</t>
  </si>
  <si>
    <t>Redmond, UT</t>
  </si>
  <si>
    <t>Spillville, IA</t>
  </si>
  <si>
    <t>Bear Creek, WI</t>
  </si>
  <si>
    <t>Alba, TX</t>
  </si>
  <si>
    <t>Cottondale, FL</t>
  </si>
  <si>
    <t>Allgood, AL</t>
  </si>
  <si>
    <t>Cedar Valley, OK</t>
  </si>
  <si>
    <t>Athalia, OH</t>
  </si>
  <si>
    <t>Rockville, UT</t>
  </si>
  <si>
    <t>Bovey, MN</t>
  </si>
  <si>
    <t>Holloway, OH</t>
  </si>
  <si>
    <t>Rowland, NC</t>
  </si>
  <si>
    <t>Fairfield, WA</t>
  </si>
  <si>
    <t>Orfordville, WI</t>
  </si>
  <si>
    <t>Mecca, IN</t>
  </si>
  <si>
    <t>Sandy Ridge, PA</t>
  </si>
  <si>
    <t>Bancroft, NE</t>
  </si>
  <si>
    <t>Nashua, MT</t>
  </si>
  <si>
    <t>Keystone, WV</t>
  </si>
  <si>
    <t>Inez, KY</t>
  </si>
  <si>
    <t>Hamilton, NC</t>
  </si>
  <si>
    <t>Greenhurst, NY</t>
  </si>
  <si>
    <t>El Cenizo, TX</t>
  </si>
  <si>
    <t>Warsaw, MN</t>
  </si>
  <si>
    <t>Everglades, FL</t>
  </si>
  <si>
    <t>Crestview, KY</t>
  </si>
  <si>
    <t>Uvalda, GA</t>
  </si>
  <si>
    <t>New Strawn, KS</t>
  </si>
  <si>
    <t>Garnavillo, IA</t>
  </si>
  <si>
    <t>Alta, WY</t>
  </si>
  <si>
    <t>Jamaica Beach, TX</t>
  </si>
  <si>
    <t>Ingleside on the Bay, TX</t>
  </si>
  <si>
    <t>Remer, MN</t>
  </si>
  <si>
    <t>Saratoga, NC</t>
  </si>
  <si>
    <t>Borden, IN</t>
  </si>
  <si>
    <t>South Corning, NY</t>
  </si>
  <si>
    <t>Pillow, PA</t>
  </si>
  <si>
    <t>Galena, MO</t>
  </si>
  <si>
    <t>Pierce, ID</t>
  </si>
  <si>
    <t>Timberon, NM</t>
  </si>
  <si>
    <t>Crescent Lake, OR</t>
  </si>
  <si>
    <t>Hills, IA</t>
  </si>
  <si>
    <t>Henning, IL</t>
  </si>
  <si>
    <t>Martensdale, IA</t>
  </si>
  <si>
    <t>Dryfork, WV</t>
  </si>
  <si>
    <t>Clam Gulch, AK</t>
  </si>
  <si>
    <t>Altona, IN</t>
  </si>
  <si>
    <t>Harveysburg, OH</t>
  </si>
  <si>
    <t>Haileyville, OK</t>
  </si>
  <si>
    <t>Peterson, MN</t>
  </si>
  <si>
    <t>Bentonia, MS</t>
  </si>
  <si>
    <t>Vernon, IN</t>
  </si>
  <si>
    <t>Polk City, FL</t>
  </si>
  <si>
    <t>Oak Park, GA</t>
  </si>
  <si>
    <t>Edgewood, IA</t>
  </si>
  <si>
    <t>Log Lane Village, CO</t>
  </si>
  <si>
    <t>Coulee Dam, WA</t>
  </si>
  <si>
    <t>New Deal, TX</t>
  </si>
  <si>
    <t>Surfside Beach, TX</t>
  </si>
  <si>
    <t>Corwin, OH</t>
  </si>
  <si>
    <t>West Point, IA</t>
  </si>
  <si>
    <t>Womelsdorf (Coalton), WV</t>
  </si>
  <si>
    <t>Rico, CO</t>
  </si>
  <si>
    <t>Condon, OR</t>
  </si>
  <si>
    <t>Marbleton, WY</t>
  </si>
  <si>
    <t>Donnelsville, OH</t>
  </si>
  <si>
    <t>Calmar, IA</t>
  </si>
  <si>
    <t>Verona, OH</t>
  </si>
  <si>
    <t>Jeffersonville, VT</t>
  </si>
  <si>
    <t>Crawfordville, GA</t>
  </si>
  <si>
    <t>Manorville, PA</t>
  </si>
  <si>
    <t>Quemado, TX</t>
  </si>
  <si>
    <t>South Bend, NE</t>
  </si>
  <si>
    <t>Centertown, TN</t>
  </si>
  <si>
    <t>Allentown, GA</t>
  </si>
  <si>
    <t>Lincoln Park, TX</t>
  </si>
  <si>
    <t>Troy, IN</t>
  </si>
  <si>
    <t>Leavenworth, IN</t>
  </si>
  <si>
    <t>Blockton, IA</t>
  </si>
  <si>
    <t>Hillsboro, IN</t>
  </si>
  <si>
    <t>Paris, ID</t>
  </si>
  <si>
    <t>Gary, WV</t>
  </si>
  <si>
    <t>Samburg, TN</t>
  </si>
  <si>
    <t>Hiseville, KY</t>
  </si>
  <si>
    <t>Rio Frio, TX</t>
  </si>
  <si>
    <t>Bowers, DE</t>
  </si>
  <si>
    <t>Linn Valley, KS</t>
  </si>
  <si>
    <t>Mount Charleston, NV</t>
  </si>
  <si>
    <t>Clearview, WV</t>
  </si>
  <si>
    <t>Spanish Valley, UT</t>
  </si>
  <si>
    <t>Newhall, WV</t>
  </si>
  <si>
    <t>Beckville, TX</t>
  </si>
  <si>
    <t>Letts, IA</t>
  </si>
  <si>
    <t>McGuffey, OH</t>
  </si>
  <si>
    <t>Washington, CA</t>
  </si>
  <si>
    <t>Bloomdale, OH</t>
  </si>
  <si>
    <t>Jonestown, MS</t>
  </si>
  <si>
    <t>Palisades, TX</t>
  </si>
  <si>
    <t>Tribes Hill, NY</t>
  </si>
  <si>
    <t>Port Mansfield, TX</t>
  </si>
  <si>
    <t>Quinwood, WV</t>
  </si>
  <si>
    <t>Derby Center, VT</t>
  </si>
  <si>
    <t>Stuyvesant Falls, NY</t>
  </si>
  <si>
    <t>Haskins, OH</t>
  </si>
  <si>
    <t>Lake Park, GA</t>
  </si>
  <si>
    <t>Reiles Acres, ND</t>
  </si>
  <si>
    <t>Spalding, MI</t>
  </si>
  <si>
    <t>Bolivar, WV</t>
  </si>
  <si>
    <t>Port William, OH</t>
  </si>
  <si>
    <t>Gilman, MN</t>
  </si>
  <si>
    <t>Poncha Springs, CO</t>
  </si>
  <si>
    <t>Parsons, WV</t>
  </si>
  <si>
    <t>Cando, ND</t>
  </si>
  <si>
    <t>Little Grass Valley, CA</t>
  </si>
  <si>
    <t>Junior, WV</t>
  </si>
  <si>
    <t>Strawberry Point, IA</t>
  </si>
  <si>
    <t>Damiansville, IL</t>
  </si>
  <si>
    <t>Medicine Park, OK</t>
  </si>
  <si>
    <t>Maud, TX</t>
  </si>
  <si>
    <t>Newcastle, NE</t>
  </si>
  <si>
    <t>Winton, MN</t>
  </si>
  <si>
    <t>Henderson Harbor, NY</t>
  </si>
  <si>
    <t>Market Avg. Rents</t>
  </si>
  <si>
    <t>Experience | Completed Flips</t>
  </si>
  <si>
    <t>Markets</t>
  </si>
  <si>
    <t>Newark</t>
  </si>
  <si>
    <t>Paterson</t>
  </si>
  <si>
    <t>Irvington</t>
  </si>
  <si>
    <t>Elizabeth</t>
  </si>
  <si>
    <t>East Orange</t>
  </si>
  <si>
    <t>New York</t>
  </si>
  <si>
    <t>Brooklyn</t>
  </si>
  <si>
    <t>Queens</t>
  </si>
  <si>
    <t>Bronx</t>
  </si>
  <si>
    <t>Jamaica</t>
  </si>
  <si>
    <t>Astoria</t>
  </si>
  <si>
    <t>Long Island City</t>
  </si>
  <si>
    <t>Flushing</t>
  </si>
  <si>
    <t>Rockaway</t>
  </si>
  <si>
    <t>Manhattan</t>
  </si>
  <si>
    <t>Baltimore</t>
  </si>
  <si>
    <t>Hartford</t>
  </si>
  <si>
    <t>Houston</t>
  </si>
  <si>
    <t>Austin</t>
  </si>
  <si>
    <t>Nashville</t>
  </si>
  <si>
    <t>NY Total</t>
  </si>
  <si>
    <t>CA Total</t>
  </si>
  <si>
    <t>Other Total</t>
  </si>
  <si>
    <t xml:space="preserve">Balt, Chicago, Detroit, Philly Exp? </t>
  </si>
  <si>
    <t>Max Proceed Qualifier</t>
  </si>
  <si>
    <t xml:space="preserve">Exp. </t>
  </si>
  <si>
    <t>FICO</t>
  </si>
  <si>
    <t>Assignment</t>
  </si>
  <si>
    <t>Prop</t>
  </si>
  <si>
    <t>Citizen</t>
  </si>
  <si>
    <t>Initial Check</t>
  </si>
  <si>
    <t>Est. Initial</t>
  </si>
  <si>
    <t>Est. Rehab</t>
  </si>
  <si>
    <t>Est. Max (ARV)</t>
  </si>
  <si>
    <t>Est. Max (IA + Rehab)</t>
  </si>
  <si>
    <t>Max Check</t>
  </si>
  <si>
    <t>FICO/FN</t>
  </si>
  <si>
    <t>Interest Reserves (&lt;660 FICO)</t>
  </si>
  <si>
    <t>Alt Liquidity IR</t>
  </si>
  <si>
    <t>Geographical Adjustment*:</t>
  </si>
  <si>
    <t>5Flat</t>
  </si>
  <si>
    <t>60M</t>
  </si>
  <si>
    <t>48M</t>
  </si>
  <si>
    <t>36M</t>
  </si>
  <si>
    <t>24M</t>
  </si>
  <si>
    <t>0M</t>
  </si>
  <si>
    <t>*700+ FICO, Light/Moderate Rehab, and 1+ Flips within Metro auto-waives adjustment</t>
  </si>
  <si>
    <t xml:space="preserve">Exp in Geo? </t>
  </si>
  <si>
    <t>Listed for Sale?</t>
  </si>
  <si>
    <t>MGT Review</t>
  </si>
  <si>
    <t>$50,000 - $1,499,999</t>
  </si>
  <si>
    <t>$1,500,000 - $2,000,000</t>
  </si>
  <si>
    <t>$2,000,000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</si>
</sst>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5" formatCode="&quot;$&quot;#,##0_);\(&quot;$&quot;#,##0\)"/>
    <numFmt numFmtId="8" formatCode="&quot;$&quot;#,##0.00_);[Red]\(&quot;$&quot;#,##0.00\)"/>
    <numFmt numFmtId="164" formatCode="0.0%"/>
    <numFmt numFmtId="165" formatCode="0.000%"/>
    <numFmt numFmtId="166" formatCode="&quot;$&quot;#,##0.00"/>
    <numFmt numFmtId="167" formatCode="&quot;$&quot;#,##0"/>
    <numFmt numFmtId="168" formatCode="0.0"/>
    <numFmt numFmtId="169" formatCode="0.0000%"/>
    <numFmt numFmtId="170" formatCode="0.00000%"/>
    <numFmt numFmtId="171" formatCode="0.000"/>
    <numFmt numFmtId="172" formatCode="0.0000"/>
    <numFmt numFmtId="173" formatCode="&quot;$&quot;#,##0.0"/>
  </numFmts>
  <fonts count="45" x14ac:knownFonts="1">
    <font>
      <sz val="11"/>
      <color theme="1"/>
      <name val="Calibri"/>
      <family val="2"/>
      <scheme val="minor"/>
    </font>
    <font>
      <sz val="11"/>
      <color theme="1"/>
      <name val="Calibri"/>
      <family val="2"/>
      <scheme val="minor"/>
    </font>
    <font>
      <sz val="11"/>
      <color theme="0"/>
      <name val="Calibri"/>
      <family val="2"/>
      <scheme val="minor"/>
    </font>
    <font>
      <sz val="14"/>
      <color theme="1"/>
      <name val="Calibri"/>
      <family val="2"/>
      <scheme val="minor"/>
    </font>
    <font>
      <b/>
      <sz val="14"/>
      <color theme="1"/>
      <name val="Calibri"/>
      <family val="2"/>
      <scheme val="minor"/>
    </font>
    <font>
      <sz val="13"/>
      <color theme="1"/>
      <name val="Calibri"/>
      <family val="2"/>
      <scheme val="minor"/>
    </font>
    <font>
      <b/>
      <sz val="13"/>
      <color theme="1"/>
      <name val="Calibri"/>
      <family val="2"/>
      <scheme val="minor"/>
    </font>
    <font>
      <sz val="13"/>
      <name val="Calibri"/>
      <family val="2"/>
      <scheme val="minor"/>
    </font>
    <font>
      <b/>
      <sz val="13"/>
      <name val="Calibri"/>
      <family val="2"/>
      <scheme val="minor"/>
    </font>
    <font>
      <b/>
      <sz val="13"/>
      <color theme="0"/>
      <name val="Calibri"/>
      <family val="2"/>
      <scheme val="minor"/>
    </font>
    <font>
      <sz val="13"/>
      <color theme="0"/>
      <name val="Calibri"/>
      <family val="2"/>
      <scheme val="minor"/>
    </font>
    <font>
      <b/>
      <u/>
      <sz val="13"/>
      <color theme="1"/>
      <name val="Calibri"/>
      <family val="2"/>
      <scheme val="minor"/>
    </font>
    <font>
      <b/>
      <sz val="16"/>
      <color theme="3"/>
      <name val="Calibri"/>
      <family val="2"/>
      <scheme val="minor"/>
    </font>
    <font>
      <b/>
      <sz val="18"/>
      <color theme="3"/>
      <name val="Calibri"/>
      <family val="2"/>
      <scheme val="minor"/>
    </font>
    <font>
      <sz val="12"/>
      <color theme="1"/>
      <name val="Calibri"/>
      <family val="2"/>
      <scheme val="minor"/>
    </font>
    <font>
      <b/>
      <sz val="12"/>
      <color theme="0"/>
      <name val="Calibri"/>
      <family val="2"/>
      <scheme val="minor"/>
    </font>
    <font>
      <b/>
      <u/>
      <sz val="12"/>
      <color theme="1"/>
      <name val="Calibri"/>
      <family val="2"/>
      <scheme val="minor"/>
    </font>
    <font>
      <b/>
      <sz val="14"/>
      <color indexed="81"/>
      <name val="Calibri"/>
      <family val="2"/>
      <scheme val="minor"/>
    </font>
    <font>
      <sz val="14"/>
      <color indexed="81"/>
      <name val="Calibri"/>
      <family val="2"/>
      <scheme val="minor"/>
    </font>
    <font>
      <sz val="12"/>
      <color theme="0"/>
      <name val="Calibri"/>
      <family val="2"/>
      <scheme val="minor"/>
    </font>
    <font>
      <b/>
      <sz val="12"/>
      <color theme="1"/>
      <name val="Calibri"/>
      <family val="2"/>
      <scheme val="minor"/>
    </font>
    <font>
      <sz val="14"/>
      <color theme="0"/>
      <name val="Calibri"/>
      <family val="2"/>
      <scheme val="minor"/>
    </font>
    <font>
      <b/>
      <vertAlign val="superscript"/>
      <sz val="13"/>
      <color theme="1"/>
      <name val="Calibri"/>
      <family val="2"/>
      <scheme val="minor"/>
    </font>
    <font>
      <b/>
      <vertAlign val="superscript"/>
      <sz val="13"/>
      <color theme="0"/>
      <name val="Calibri"/>
      <family val="2"/>
      <scheme val="minor"/>
    </font>
    <font>
      <b/>
      <sz val="11"/>
      <color indexed="81"/>
      <name val="Tahoma"/>
      <family val="2"/>
    </font>
    <font>
      <sz val="11"/>
      <color indexed="81"/>
      <name val="Tahoma"/>
      <family val="2"/>
    </font>
    <font>
      <sz val="12"/>
      <name val="Calibri"/>
      <family val="2"/>
      <scheme val="minor"/>
    </font>
    <font>
      <b/>
      <sz val="12"/>
      <name val="Calibri"/>
      <family val="2"/>
      <scheme val="minor"/>
    </font>
    <font>
      <b/>
      <u/>
      <sz val="12"/>
      <color theme="0"/>
      <name val="Calibri"/>
      <family val="2"/>
      <scheme val="minor"/>
    </font>
    <font>
      <b/>
      <sz val="9"/>
      <color indexed="81"/>
      <name val="Tahoma"/>
      <family val="2"/>
    </font>
    <font>
      <sz val="9"/>
      <color indexed="81"/>
      <name val="Tahoma"/>
      <family val="2"/>
    </font>
    <font>
      <b/>
      <sz val="12"/>
      <color indexed="81"/>
      <name val="Tahoma"/>
      <family val="2"/>
    </font>
    <font>
      <sz val="12"/>
      <color indexed="81"/>
      <name val="Tahoma"/>
      <family val="2"/>
    </font>
    <font>
      <b/>
      <i/>
      <sz val="13"/>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0"/>
      <color theme="0"/>
      <name val="Calibri"/>
      <family val="2"/>
      <scheme val="minor"/>
    </font>
    <font>
      <b/>
      <sz val="10"/>
      <name val="Calibri"/>
      <family val="2"/>
      <scheme val="minor"/>
    </font>
    <font>
      <b/>
      <sz val="14"/>
      <color theme="3"/>
      <name val="Calibri"/>
      <family val="2"/>
      <scheme val="minor"/>
    </font>
    <font>
      <b/>
      <vertAlign val="superscript"/>
      <sz val="10"/>
      <color theme="0"/>
      <name val="Calibri"/>
      <family val="2"/>
      <scheme val="minor"/>
    </font>
    <font>
      <b/>
      <sz val="12"/>
      <color indexed="81"/>
      <name val="Calibri"/>
      <family val="2"/>
      <scheme val="minor"/>
    </font>
    <font>
      <sz val="12"/>
      <color indexed="81"/>
      <name val="Calibri"/>
      <family val="2"/>
      <scheme val="minor"/>
    </font>
    <font>
      <sz val="11"/>
      <color rgb="FF000000"/>
      <name val="Calibri"/>
      <family val="2"/>
    </font>
    <font>
      <sz val="13"/>
      <color rgb="FFFF0000"/>
      <name val="Calibri"/>
      <family val="2"/>
      <scheme val="minor"/>
    </font>
  </fonts>
  <fills count="30">
    <fill>
      <patternFill patternType="none"/>
    </fill>
    <fill>
      <patternFill patternType="gray125"/>
    </fill>
    <fill>
      <patternFill patternType="solid">
        <fgColor theme="2" tint="-9.9978637043366805E-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3"/>
        <bgColor indexed="64"/>
      </patternFill>
    </fill>
    <fill>
      <patternFill patternType="solid">
        <fgColor rgb="FFFFFF00"/>
        <bgColor indexed="64"/>
      </patternFill>
    </fill>
    <fill>
      <patternFill patternType="solid">
        <fgColor theme="9" tint="0.39997558519241921"/>
        <bgColor indexed="64"/>
      </patternFill>
    </fill>
    <fill>
      <patternFill patternType="solid">
        <fgColor theme="0" tint="-0.14999847407452621"/>
        <bgColor indexed="64"/>
      </patternFill>
    </fill>
    <fill>
      <gradientFill degree="45">
        <stop position="0">
          <color theme="0"/>
        </stop>
        <stop position="1">
          <color theme="4" tint="0.59999389629810485"/>
        </stop>
      </gradientFill>
    </fill>
    <fill>
      <patternFill patternType="solid">
        <fgColor theme="9" tint="0.79998168889431442"/>
        <bgColor indexed="64"/>
      </patternFill>
    </fill>
    <fill>
      <patternFill patternType="solid">
        <fgColor rgb="FFC00000"/>
        <bgColor indexed="64"/>
      </patternFill>
    </fill>
    <fill>
      <patternFill patternType="solid">
        <fgColor rgb="FFF5CFFD"/>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7030A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249977111117893"/>
        <bgColor indexed="64"/>
      </patternFill>
    </fill>
  </fills>
  <borders count="18">
    <border>
      <left/>
      <right/>
      <top/>
      <bottom/>
      <diagonal/>
    </border>
    <border>
      <left/>
      <right/>
      <top style="thin">
        <color auto="1"/>
      </top>
      <bottom/>
      <diagonal/>
    </border>
    <border>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thin">
        <color indexed="64"/>
      </left>
      <right style="thin">
        <color indexed="64"/>
      </right>
      <top/>
      <bottom style="thin">
        <color indexed="64"/>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indexed="64"/>
      </left>
      <right style="thin">
        <color indexed="64"/>
      </right>
      <top style="thin">
        <color indexed="64"/>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mediumDashed">
        <color theme="1"/>
      </left>
      <right style="mediumDashed">
        <color theme="1"/>
      </right>
      <top style="mediumDashed">
        <color theme="1"/>
      </top>
      <bottom style="mediumDashed">
        <color theme="1"/>
      </bottom>
      <diagonal/>
    </border>
    <border>
      <left/>
      <right style="mediumDashed">
        <color theme="1"/>
      </right>
      <top/>
      <bottom/>
      <diagonal/>
    </border>
  </borders>
  <cellStyleXfs count="2">
    <xf numFmtId="0" fontId="0" fillId="0" borderId="0"/>
    <xf numFmtId="9" fontId="1" fillId="0" borderId="0" applyFont="0" applyFill="0" applyBorder="0" applyAlignment="0" applyProtection="0"/>
  </cellStyleXfs>
  <cellXfs count="954">
    <xf numFmtId="0" fontId="0" fillId="0" borderId="0" xfId="0"/>
    <xf numFmtId="0" fontId="3" fillId="0" borderId="0" xfId="0" applyFont="1" applyAlignment="1">
      <alignment horizontal="center" vertical="center"/>
    </xf>
    <xf numFmtId="0" fontId="4" fillId="0" borderId="0" xfId="0" applyFont="1" applyAlignment="1">
      <alignment horizontal="center" vertical="center" wrapText="1"/>
    </xf>
    <xf numFmtId="164" fontId="3" fillId="0" borderId="0" xfId="0" applyNumberFormat="1" applyFont="1" applyAlignment="1">
      <alignment horizontal="center" vertical="center"/>
    </xf>
    <xf numFmtId="0" fontId="5" fillId="0" borderId="0" xfId="0" applyFont="1" applyAlignment="1">
      <alignment horizontal="center" vertical="center"/>
    </xf>
    <xf numFmtId="10" fontId="5" fillId="2" borderId="2" xfId="0" applyNumberFormat="1" applyFont="1" applyFill="1" applyBorder="1" applyAlignment="1">
      <alignment horizontal="center" vertical="center"/>
    </xf>
    <xf numFmtId="0" fontId="6" fillId="2" borderId="3" xfId="0" applyFont="1" applyFill="1" applyBorder="1" applyAlignment="1">
      <alignment horizontal="left" vertical="center"/>
    </xf>
    <xf numFmtId="0" fontId="6" fillId="0" borderId="3" xfId="0" applyFont="1" applyBorder="1" applyAlignment="1">
      <alignment horizontal="center" vertical="center"/>
    </xf>
    <xf numFmtId="164" fontId="6" fillId="4" borderId="2" xfId="1" applyNumberFormat="1" applyFont="1" applyFill="1" applyBorder="1" applyAlignment="1">
      <alignment horizontal="center" vertical="center"/>
    </xf>
    <xf numFmtId="164" fontId="6" fillId="4" borderId="4" xfId="1" applyNumberFormat="1" applyFont="1" applyFill="1" applyBorder="1" applyAlignment="1">
      <alignment horizontal="center" vertical="center"/>
    </xf>
    <xf numFmtId="164" fontId="6" fillId="4" borderId="3" xfId="1" applyNumberFormat="1" applyFont="1" applyFill="1" applyBorder="1" applyAlignment="1">
      <alignment horizontal="center" vertical="center"/>
    </xf>
    <xf numFmtId="0" fontId="6" fillId="0" borderId="0" xfId="0" applyFont="1" applyAlignment="1">
      <alignment horizontal="center" vertical="center"/>
    </xf>
    <xf numFmtId="0" fontId="6" fillId="4" borderId="5" xfId="0" applyFont="1" applyFill="1" applyBorder="1" applyAlignment="1">
      <alignment horizontal="center" vertical="center"/>
    </xf>
    <xf numFmtId="10" fontId="5" fillId="2" borderId="6" xfId="0" applyNumberFormat="1" applyFont="1" applyFill="1" applyBorder="1" applyAlignment="1">
      <alignment horizontal="center" vertical="center"/>
    </xf>
    <xf numFmtId="0" fontId="6" fillId="2" borderId="7" xfId="0" applyFont="1" applyFill="1" applyBorder="1" applyAlignment="1">
      <alignment horizontal="left" vertical="center"/>
    </xf>
    <xf numFmtId="0" fontId="5" fillId="0" borderId="8" xfId="0" applyFont="1" applyBorder="1" applyAlignment="1">
      <alignment horizontal="center" vertical="center"/>
    </xf>
    <xf numFmtId="0" fontId="6" fillId="0" borderId="9" xfId="0" applyFont="1" applyBorder="1" applyAlignment="1">
      <alignment horizontal="center" vertical="center"/>
    </xf>
    <xf numFmtId="164" fontId="6" fillId="0" borderId="6" xfId="0" applyNumberFormat="1" applyFont="1" applyBorder="1" applyAlignment="1">
      <alignment horizontal="center" vertical="center"/>
    </xf>
    <xf numFmtId="164" fontId="6" fillId="0" borderId="1" xfId="0" applyNumberFormat="1" applyFont="1" applyBorder="1" applyAlignment="1">
      <alignment horizontal="center" vertical="center"/>
    </xf>
    <xf numFmtId="164" fontId="6" fillId="0" borderId="7" xfId="0" applyNumberFormat="1" applyFont="1" applyBorder="1" applyAlignment="1">
      <alignment horizontal="center" vertical="center"/>
    </xf>
    <xf numFmtId="0" fontId="6" fillId="0" borderId="10" xfId="0" applyFont="1" applyBorder="1" applyAlignment="1">
      <alignment horizontal="center" vertical="center"/>
    </xf>
    <xf numFmtId="164" fontId="7" fillId="6" borderId="2" xfId="1" applyNumberFormat="1" applyFont="1" applyFill="1" applyBorder="1" applyAlignment="1">
      <alignment horizontal="center" vertical="center"/>
    </xf>
    <xf numFmtId="0" fontId="8" fillId="6" borderId="3" xfId="0" applyFont="1" applyFill="1" applyBorder="1" applyAlignment="1">
      <alignment horizontal="left" vertical="center" indent="2"/>
    </xf>
    <xf numFmtId="164" fontId="7" fillId="6" borderId="8" xfId="1" applyNumberFormat="1" applyFont="1" applyFill="1" applyBorder="1" applyAlignment="1">
      <alignment horizontal="center" vertical="center"/>
    </xf>
    <xf numFmtId="0" fontId="8" fillId="6" borderId="9" xfId="0" applyFont="1" applyFill="1" applyBorder="1" applyAlignment="1">
      <alignment horizontal="left" vertical="center" indent="2"/>
    </xf>
    <xf numFmtId="0" fontId="8" fillId="6" borderId="9" xfId="0" applyFont="1" applyFill="1" applyBorder="1" applyAlignment="1">
      <alignment horizontal="left" vertical="center"/>
    </xf>
    <xf numFmtId="0" fontId="8" fillId="6" borderId="7" xfId="0" applyFont="1" applyFill="1" applyBorder="1" applyAlignment="1">
      <alignment horizontal="left" vertical="center"/>
    </xf>
    <xf numFmtId="0" fontId="6" fillId="0" borderId="7" xfId="0" applyFont="1" applyBorder="1" applyAlignment="1">
      <alignment horizontal="center" vertical="center"/>
    </xf>
    <xf numFmtId="0" fontId="6" fillId="0" borderId="9" xfId="0" applyFont="1" applyBorder="1" applyAlignment="1">
      <alignment horizontal="left" vertical="center"/>
    </xf>
    <xf numFmtId="164" fontId="5" fillId="0" borderId="8" xfId="1" applyNumberFormat="1" applyFont="1" applyBorder="1" applyAlignment="1">
      <alignment horizontal="center" vertical="center"/>
    </xf>
    <xf numFmtId="0" fontId="6" fillId="0" borderId="9" xfId="0" applyFont="1" applyBorder="1" applyAlignment="1">
      <alignment horizontal="left" vertical="center" indent="2"/>
    </xf>
    <xf numFmtId="0" fontId="9" fillId="12" borderId="0" xfId="0" applyFont="1" applyFill="1" applyAlignment="1">
      <alignment horizontal="center" vertical="center"/>
    </xf>
    <xf numFmtId="0" fontId="9" fillId="12" borderId="9" xfId="0" applyFont="1" applyFill="1" applyBorder="1" applyAlignment="1">
      <alignment horizontal="center" vertical="center"/>
    </xf>
    <xf numFmtId="0" fontId="9" fillId="12" borderId="8" xfId="0" applyFont="1" applyFill="1" applyBorder="1" applyAlignment="1">
      <alignment horizontal="center" vertical="center"/>
    </xf>
    <xf numFmtId="9" fontId="6" fillId="0" borderId="9" xfId="0" applyNumberFormat="1" applyFont="1" applyBorder="1" applyAlignment="1">
      <alignment horizontal="left" vertical="center" indent="2"/>
    </xf>
    <xf numFmtId="0" fontId="6" fillId="2" borderId="13" xfId="0" applyFont="1" applyFill="1" applyBorder="1" applyAlignment="1">
      <alignment horizontal="center" vertical="center"/>
    </xf>
    <xf numFmtId="0" fontId="5" fillId="3" borderId="0" xfId="0" applyFont="1" applyFill="1" applyAlignment="1">
      <alignment horizontal="center" vertical="center"/>
    </xf>
    <xf numFmtId="167" fontId="5" fillId="3" borderId="0" xfId="0" applyNumberFormat="1" applyFont="1" applyFill="1" applyAlignment="1">
      <alignment horizontal="center" vertical="center"/>
    </xf>
    <xf numFmtId="167" fontId="5" fillId="9" borderId="0" xfId="0" applyNumberFormat="1" applyFont="1" applyFill="1" applyAlignment="1" applyProtection="1">
      <alignment horizontal="center" vertical="center"/>
      <protection locked="0"/>
    </xf>
    <xf numFmtId="10" fontId="10" fillId="0" borderId="0" xfId="0" applyNumberFormat="1" applyFont="1" applyAlignment="1">
      <alignment horizontal="center" vertical="center"/>
    </xf>
    <xf numFmtId="167" fontId="5" fillId="9" borderId="1" xfId="0" applyNumberFormat="1" applyFont="1" applyFill="1" applyBorder="1" applyAlignment="1" applyProtection="1">
      <alignment horizontal="center" vertical="center"/>
      <protection locked="0"/>
    </xf>
    <xf numFmtId="166" fontId="5" fillId="9" borderId="0" xfId="0" applyNumberFormat="1" applyFont="1" applyFill="1" applyAlignment="1" applyProtection="1">
      <alignment horizontal="center" vertical="center"/>
      <protection locked="0"/>
    </xf>
    <xf numFmtId="0" fontId="5" fillId="9" borderId="0" xfId="0" applyFont="1" applyFill="1" applyAlignment="1" applyProtection="1">
      <alignment horizontal="center" vertical="center"/>
      <protection locked="0"/>
    </xf>
    <xf numFmtId="10" fontId="5" fillId="6" borderId="0" xfId="0" applyNumberFormat="1" applyFont="1" applyFill="1" applyAlignment="1">
      <alignment horizontal="center" vertical="center"/>
    </xf>
    <xf numFmtId="10" fontId="5" fillId="6" borderId="0" xfId="1" applyNumberFormat="1" applyFont="1" applyFill="1" applyAlignment="1">
      <alignment horizontal="center" vertical="center"/>
    </xf>
    <xf numFmtId="10" fontId="5" fillId="0" borderId="0" xfId="0" applyNumberFormat="1" applyFont="1" applyAlignment="1">
      <alignment horizontal="center" vertical="center"/>
    </xf>
    <xf numFmtId="10" fontId="5" fillId="0" borderId="0" xfId="1" applyNumberFormat="1" applyFont="1" applyAlignment="1">
      <alignment horizontal="center" vertical="center"/>
    </xf>
    <xf numFmtId="0" fontId="10" fillId="0" borderId="0" xfId="0" applyFont="1" applyAlignment="1">
      <alignment horizontal="center" vertical="center"/>
    </xf>
    <xf numFmtId="3" fontId="5" fillId="9" borderId="0" xfId="0" applyNumberFormat="1" applyFont="1" applyFill="1" applyAlignment="1" applyProtection="1">
      <alignment horizontal="center" vertical="center"/>
      <protection locked="0"/>
    </xf>
    <xf numFmtId="0" fontId="11" fillId="0" borderId="0" xfId="0" applyFont="1" applyAlignment="1">
      <alignment horizontal="center" vertical="center"/>
    </xf>
    <xf numFmtId="0" fontId="13" fillId="0" borderId="0" xfId="0" applyFont="1" applyAlignment="1">
      <alignment vertical="center"/>
    </xf>
    <xf numFmtId="0" fontId="14" fillId="0" borderId="0" xfId="0" applyFont="1" applyAlignment="1">
      <alignment horizontal="center" vertical="center"/>
    </xf>
    <xf numFmtId="166" fontId="14" fillId="0" borderId="0" xfId="0" applyNumberFormat="1" applyFont="1" applyAlignment="1">
      <alignment horizontal="center" vertical="center"/>
    </xf>
    <xf numFmtId="10" fontId="14" fillId="0" borderId="0" xfId="0" applyNumberFormat="1" applyFont="1" applyAlignment="1">
      <alignment horizontal="center" vertical="center"/>
    </xf>
    <xf numFmtId="1" fontId="14" fillId="0" borderId="0" xfId="0" applyNumberFormat="1" applyFont="1" applyAlignment="1">
      <alignment horizontal="center" vertical="center"/>
    </xf>
    <xf numFmtId="9" fontId="14" fillId="0" borderId="0" xfId="0" applyNumberFormat="1" applyFont="1" applyAlignment="1">
      <alignment horizontal="center" vertical="center"/>
    </xf>
    <xf numFmtId="165" fontId="14" fillId="0" borderId="0" xfId="1" applyNumberFormat="1" applyFont="1" applyAlignment="1">
      <alignment horizontal="center" vertical="center"/>
    </xf>
    <xf numFmtId="167" fontId="14" fillId="0" borderId="0" xfId="0" applyNumberFormat="1" applyFont="1" applyAlignment="1">
      <alignment horizontal="center" vertical="center"/>
    </xf>
    <xf numFmtId="10" fontId="14" fillId="0" borderId="0" xfId="1" applyNumberFormat="1" applyFont="1" applyAlignment="1">
      <alignment horizontal="center" vertical="center"/>
    </xf>
    <xf numFmtId="10" fontId="14" fillId="0" borderId="4" xfId="1" applyNumberFormat="1" applyFont="1" applyBorder="1" applyAlignment="1">
      <alignment horizontal="center" vertical="center"/>
    </xf>
    <xf numFmtId="0" fontId="14" fillId="0" borderId="3" xfId="0" applyFont="1" applyBorder="1" applyAlignment="1">
      <alignment horizontal="center" vertical="center"/>
    </xf>
    <xf numFmtId="10" fontId="14" fillId="0" borderId="0" xfId="1" applyNumberFormat="1" applyFont="1" applyBorder="1" applyAlignment="1">
      <alignment horizontal="center" vertical="center"/>
    </xf>
    <xf numFmtId="0" fontId="14" fillId="0" borderId="9" xfId="0" applyFont="1" applyBorder="1" applyAlignment="1">
      <alignment horizontal="center" vertical="center"/>
    </xf>
    <xf numFmtId="10" fontId="14" fillId="0" borderId="1" xfId="1" applyNumberFormat="1" applyFont="1" applyBorder="1" applyAlignment="1">
      <alignment horizontal="center" vertical="center"/>
    </xf>
    <xf numFmtId="0" fontId="14" fillId="0" borderId="7" xfId="0" applyFont="1" applyBorder="1" applyAlignment="1">
      <alignment horizontal="center" vertical="center"/>
    </xf>
    <xf numFmtId="0" fontId="15" fillId="12" borderId="4" xfId="0" applyFont="1" applyFill="1" applyBorder="1" applyAlignment="1">
      <alignment horizontal="center" vertical="center"/>
    </xf>
    <xf numFmtId="0" fontId="15" fillId="12" borderId="3" xfId="0" applyFont="1" applyFill="1" applyBorder="1" applyAlignment="1">
      <alignment horizontal="center" vertical="center"/>
    </xf>
    <xf numFmtId="165" fontId="14" fillId="0" borderId="0" xfId="0" applyNumberFormat="1" applyFont="1" applyAlignment="1">
      <alignment horizontal="center" vertical="center"/>
    </xf>
    <xf numFmtId="0" fontId="16" fillId="0" borderId="0" xfId="0" applyFont="1" applyAlignment="1">
      <alignment horizontal="center" vertical="center"/>
    </xf>
    <xf numFmtId="167" fontId="14" fillId="13" borderId="0" xfId="0" applyNumberFormat="1" applyFont="1" applyFill="1" applyAlignment="1">
      <alignment horizontal="center" vertical="center"/>
    </xf>
    <xf numFmtId="164" fontId="14" fillId="0" borderId="0" xfId="1" applyNumberFormat="1" applyFont="1" applyAlignment="1">
      <alignment horizontal="center" vertical="center"/>
    </xf>
    <xf numFmtId="164"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14" borderId="0" xfId="0" applyFont="1" applyFill="1" applyAlignment="1">
      <alignment horizontal="center" vertical="center"/>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2" xfId="0" applyFont="1" applyBorder="1" applyAlignment="1">
      <alignment horizontal="center"/>
    </xf>
    <xf numFmtId="0" fontId="6" fillId="0" borderId="4" xfId="0" applyFont="1" applyBorder="1" applyAlignment="1">
      <alignment horizontal="center"/>
    </xf>
    <xf numFmtId="0" fontId="6" fillId="0" borderId="3" xfId="0" applyFont="1" applyBorder="1" applyAlignment="1">
      <alignment horizontal="center"/>
    </xf>
    <xf numFmtId="0" fontId="5" fillId="3" borderId="0" xfId="0" applyFont="1" applyFill="1" applyAlignment="1">
      <alignment horizontal="center"/>
    </xf>
    <xf numFmtId="167" fontId="5" fillId="9" borderId="0" xfId="0" applyNumberFormat="1" applyFont="1" applyFill="1" applyAlignment="1" applyProtection="1">
      <alignment horizontal="center"/>
      <protection locked="0"/>
    </xf>
    <xf numFmtId="164" fontId="5" fillId="0" borderId="8" xfId="1" applyNumberFormat="1" applyFont="1" applyBorder="1" applyAlignment="1">
      <alignment horizontal="center"/>
    </xf>
    <xf numFmtId="0" fontId="6" fillId="0" borderId="0" xfId="0" applyFont="1" applyAlignment="1">
      <alignment horizontal="center"/>
    </xf>
    <xf numFmtId="0" fontId="6" fillId="0" borderId="9" xfId="0" applyFont="1" applyBorder="1" applyAlignment="1">
      <alignment horizontal="left" indent="2"/>
    </xf>
    <xf numFmtId="0" fontId="5" fillId="0" borderId="8" xfId="0" applyFont="1" applyBorder="1" applyAlignment="1">
      <alignment horizontal="center"/>
    </xf>
    <xf numFmtId="0" fontId="6" fillId="0" borderId="9" xfId="0" applyFont="1" applyBorder="1" applyAlignment="1">
      <alignment horizontal="left"/>
    </xf>
    <xf numFmtId="9" fontId="5" fillId="0" borderId="0" xfId="0" applyNumberFormat="1" applyFont="1" applyAlignment="1">
      <alignment horizontal="center"/>
    </xf>
    <xf numFmtId="10" fontId="5" fillId="0" borderId="0" xfId="1" applyNumberFormat="1" applyFont="1" applyAlignment="1">
      <alignment horizontal="center"/>
    </xf>
    <xf numFmtId="10" fontId="5" fillId="0" borderId="0" xfId="0" applyNumberFormat="1" applyFont="1" applyAlignment="1">
      <alignment horizontal="center"/>
    </xf>
    <xf numFmtId="164" fontId="5" fillId="0" borderId="8" xfId="0" applyNumberFormat="1" applyFont="1" applyBorder="1" applyAlignment="1">
      <alignment horizontal="center"/>
    </xf>
    <xf numFmtId="10" fontId="5" fillId="0" borderId="0" xfId="1" applyNumberFormat="1" applyFont="1" applyBorder="1" applyAlignment="1">
      <alignment horizontal="center"/>
    </xf>
    <xf numFmtId="10" fontId="5" fillId="0" borderId="0" xfId="1" applyNumberFormat="1" applyFont="1" applyFill="1" applyBorder="1" applyAlignment="1">
      <alignment horizontal="center"/>
    </xf>
    <xf numFmtId="0" fontId="11" fillId="0" borderId="0" xfId="0" applyFont="1" applyAlignment="1">
      <alignment horizontal="center"/>
    </xf>
    <xf numFmtId="167" fontId="5" fillId="3" borderId="0" xfId="0" applyNumberFormat="1" applyFont="1" applyFill="1" applyAlignment="1">
      <alignment horizontal="center"/>
    </xf>
    <xf numFmtId="164" fontId="10" fillId="0" borderId="0" xfId="1" applyNumberFormat="1" applyFont="1" applyAlignment="1">
      <alignment horizontal="center"/>
    </xf>
    <xf numFmtId="9" fontId="10" fillId="0" borderId="0" xfId="0" applyNumberFormat="1" applyFont="1" applyAlignment="1">
      <alignment horizontal="center"/>
    </xf>
    <xf numFmtId="0" fontId="9" fillId="0" borderId="8" xfId="0" applyFont="1" applyBorder="1" applyAlignment="1">
      <alignment horizontal="center"/>
    </xf>
    <xf numFmtId="0" fontId="9" fillId="0" borderId="0" xfId="0" applyFont="1" applyAlignment="1">
      <alignment horizontal="center"/>
    </xf>
    <xf numFmtId="0" fontId="9" fillId="0" borderId="9" xfId="0" applyFont="1" applyBorder="1" applyAlignment="1">
      <alignment horizontal="center"/>
    </xf>
    <xf numFmtId="10" fontId="5" fillId="0" borderId="8" xfId="0" applyNumberFormat="1" applyFont="1" applyBorder="1" applyAlignment="1">
      <alignment horizontal="center"/>
    </xf>
    <xf numFmtId="0" fontId="10" fillId="0" borderId="0" xfId="0" applyFont="1" applyAlignment="1">
      <alignment horizontal="center"/>
    </xf>
    <xf numFmtId="0" fontId="11" fillId="0" borderId="8" xfId="0" applyFont="1" applyBorder="1" applyAlignment="1">
      <alignment horizontal="center"/>
    </xf>
    <xf numFmtId="0" fontId="5" fillId="0" borderId="9" xfId="0" applyFont="1" applyBorder="1" applyAlignment="1">
      <alignment horizontal="center"/>
    </xf>
    <xf numFmtId="0" fontId="5" fillId="9" borderId="0" xfId="0" applyFont="1" applyFill="1" applyAlignment="1" applyProtection="1">
      <alignment horizontal="center"/>
      <protection locked="0"/>
    </xf>
    <xf numFmtId="0" fontId="13" fillId="0" borderId="0" xfId="0" applyFont="1" applyAlignment="1">
      <alignment vertical="center" wrapText="1"/>
    </xf>
    <xf numFmtId="164" fontId="14" fillId="0" borderId="2" xfId="1" applyNumberFormat="1" applyFont="1" applyBorder="1" applyAlignment="1">
      <alignment horizontal="center" vertical="center"/>
    </xf>
    <xf numFmtId="164" fontId="14" fillId="0" borderId="4" xfId="1" applyNumberFormat="1" applyFont="1" applyBorder="1" applyAlignment="1">
      <alignment horizontal="center" vertical="center"/>
    </xf>
    <xf numFmtId="0" fontId="14" fillId="0" borderId="4" xfId="0" applyFont="1" applyBorder="1" applyAlignment="1">
      <alignment horizontal="center" vertical="center"/>
    </xf>
    <xf numFmtId="164" fontId="14" fillId="0" borderId="8" xfId="1" applyNumberFormat="1" applyFont="1" applyBorder="1" applyAlignment="1">
      <alignment horizontal="center" vertical="center"/>
    </xf>
    <xf numFmtId="164" fontId="14" fillId="0" borderId="0" xfId="1" applyNumberFormat="1" applyFont="1" applyBorder="1" applyAlignment="1">
      <alignment horizontal="center" vertical="center"/>
    </xf>
    <xf numFmtId="164" fontId="14" fillId="0" borderId="6" xfId="1" applyNumberFormat="1" applyFont="1" applyBorder="1" applyAlignment="1">
      <alignment horizontal="center" vertical="center"/>
    </xf>
    <xf numFmtId="164" fontId="14" fillId="0" borderId="1" xfId="1" applyNumberFormat="1" applyFont="1" applyBorder="1" applyAlignment="1">
      <alignment horizontal="center" vertical="center"/>
    </xf>
    <xf numFmtId="0" fontId="14" fillId="0" borderId="1" xfId="0" applyFont="1" applyBorder="1" applyAlignment="1">
      <alignment horizontal="center" vertical="center"/>
    </xf>
    <xf numFmtId="168" fontId="14" fillId="0" borderId="8" xfId="0" applyNumberFormat="1" applyFont="1" applyBorder="1" applyAlignment="1">
      <alignment horizontal="center" vertical="center"/>
    </xf>
    <xf numFmtId="168" fontId="14" fillId="0" borderId="0" xfId="0" applyNumberFormat="1" applyFont="1" applyAlignment="1">
      <alignment horizontal="center" vertical="center"/>
    </xf>
    <xf numFmtId="0" fontId="16" fillId="0" borderId="6" xfId="0" applyFont="1" applyBorder="1" applyAlignment="1">
      <alignment horizontal="center" vertical="center"/>
    </xf>
    <xf numFmtId="0" fontId="16" fillId="0" borderId="1" xfId="0" applyFont="1" applyBorder="1" applyAlignment="1">
      <alignment horizontal="center" vertical="center"/>
    </xf>
    <xf numFmtId="0" fontId="14" fillId="0" borderId="5" xfId="0" applyFont="1" applyBorder="1" applyAlignment="1">
      <alignment horizontal="center" vertical="center"/>
    </xf>
    <xf numFmtId="0" fontId="14" fillId="0" borderId="14" xfId="0" applyFont="1" applyBorder="1" applyAlignment="1">
      <alignment horizontal="center" vertical="center"/>
    </xf>
    <xf numFmtId="0" fontId="14" fillId="0" borderId="8" xfId="0" applyFont="1" applyBorder="1" applyAlignment="1">
      <alignment horizontal="center" vertical="center"/>
    </xf>
    <xf numFmtId="164" fontId="14" fillId="0" borderId="9" xfId="1" applyNumberFormat="1" applyFont="1" applyBorder="1" applyAlignment="1">
      <alignment horizontal="center" vertical="center"/>
    </xf>
    <xf numFmtId="0" fontId="14" fillId="0" borderId="0" xfId="0" applyFont="1" applyAlignment="1">
      <alignment vertical="center"/>
    </xf>
    <xf numFmtId="10" fontId="14" fillId="0" borderId="5" xfId="1" applyNumberFormat="1" applyFont="1" applyBorder="1" applyAlignment="1">
      <alignment horizontal="center" vertical="center"/>
    </xf>
    <xf numFmtId="10" fontId="14" fillId="0" borderId="14" xfId="1" applyNumberFormat="1" applyFont="1" applyBorder="1" applyAlignment="1">
      <alignment horizontal="center" vertical="center"/>
    </xf>
    <xf numFmtId="0" fontId="14" fillId="0" borderId="11" xfId="0" applyFont="1" applyBorder="1" applyAlignment="1">
      <alignment horizontal="center" vertical="center"/>
    </xf>
    <xf numFmtId="0" fontId="14" fillId="0" borderId="2" xfId="0" applyFont="1" applyBorder="1" applyAlignment="1">
      <alignment horizontal="center" vertical="center"/>
    </xf>
    <xf numFmtId="0" fontId="14" fillId="17" borderId="3" xfId="0" applyFont="1" applyFill="1" applyBorder="1" applyAlignment="1">
      <alignment horizontal="center" vertical="center"/>
    </xf>
    <xf numFmtId="0" fontId="14" fillId="17" borderId="9" xfId="0" applyFont="1" applyFill="1" applyBorder="1" applyAlignment="1">
      <alignment horizontal="center" vertical="center"/>
    </xf>
    <xf numFmtId="10" fontId="14" fillId="0" borderId="2" xfId="1" applyNumberFormat="1" applyFont="1" applyBorder="1" applyAlignment="1">
      <alignment horizontal="center" vertical="center"/>
    </xf>
    <xf numFmtId="10" fontId="14" fillId="0" borderId="10" xfId="1" applyNumberFormat="1" applyFont="1" applyBorder="1" applyAlignment="1">
      <alignment horizontal="center" vertical="center"/>
    </xf>
    <xf numFmtId="0" fontId="14" fillId="17" borderId="0" xfId="0" applyFont="1" applyFill="1" applyAlignment="1">
      <alignment horizontal="center" vertical="center"/>
    </xf>
    <xf numFmtId="10" fontId="14" fillId="0" borderId="8" xfId="1" applyNumberFormat="1" applyFont="1" applyBorder="1" applyAlignment="1">
      <alignment horizontal="center" vertical="center"/>
    </xf>
    <xf numFmtId="0" fontId="15" fillId="12" borderId="13" xfId="0" applyFont="1" applyFill="1" applyBorder="1" applyAlignment="1">
      <alignment horizontal="center" vertical="center"/>
    </xf>
    <xf numFmtId="0" fontId="14" fillId="17" borderId="8" xfId="0" applyFont="1" applyFill="1" applyBorder="1" applyAlignment="1">
      <alignment horizontal="center" vertical="center"/>
    </xf>
    <xf numFmtId="167" fontId="14" fillId="0" borderId="2" xfId="0" applyNumberFormat="1" applyFont="1" applyBorder="1" applyAlignment="1">
      <alignment horizontal="center" vertical="center"/>
    </xf>
    <xf numFmtId="167" fontId="14" fillId="0" borderId="4" xfId="0" applyNumberFormat="1" applyFont="1" applyBorder="1" applyAlignment="1">
      <alignment horizontal="center" vertical="center"/>
    </xf>
    <xf numFmtId="164" fontId="14" fillId="0" borderId="8" xfId="0" applyNumberFormat="1" applyFont="1" applyBorder="1" applyAlignment="1">
      <alignment horizontal="center" vertical="center"/>
    </xf>
    <xf numFmtId="164" fontId="14" fillId="0" borderId="9" xfId="0" applyNumberFormat="1" applyFont="1" applyBorder="1" applyAlignment="1">
      <alignment horizontal="center" vertical="center"/>
    </xf>
    <xf numFmtId="167" fontId="14" fillId="0" borderId="8" xfId="0" applyNumberFormat="1" applyFont="1" applyBorder="1" applyAlignment="1">
      <alignment horizontal="center" vertical="center"/>
    </xf>
    <xf numFmtId="0" fontId="16" fillId="0" borderId="7" xfId="0" applyFont="1" applyBorder="1" applyAlignment="1">
      <alignment horizontal="center" vertical="center"/>
    </xf>
    <xf numFmtId="0" fontId="14" fillId="0" borderId="10" xfId="0" applyFont="1" applyBorder="1" applyAlignment="1">
      <alignment horizontal="center" vertical="center"/>
    </xf>
    <xf numFmtId="167" fontId="14" fillId="0" borderId="6" xfId="0" applyNumberFormat="1" applyFont="1" applyBorder="1" applyAlignment="1">
      <alignment horizontal="center" vertical="center"/>
    </xf>
    <xf numFmtId="164" fontId="20" fillId="15" borderId="2" xfId="1" applyNumberFormat="1" applyFont="1" applyFill="1" applyBorder="1" applyAlignment="1">
      <alignment horizontal="center" vertical="center"/>
    </xf>
    <xf numFmtId="164" fontId="20" fillId="15" borderId="4" xfId="1" applyNumberFormat="1" applyFont="1" applyFill="1" applyBorder="1" applyAlignment="1">
      <alignment horizontal="center" vertical="center"/>
    </xf>
    <xf numFmtId="164" fontId="20" fillId="15" borderId="3" xfId="1" applyNumberFormat="1" applyFont="1" applyFill="1" applyBorder="1" applyAlignment="1">
      <alignment horizontal="center" vertical="center"/>
    </xf>
    <xf numFmtId="0" fontId="16" fillId="15" borderId="8" xfId="0" applyFont="1" applyFill="1" applyBorder="1" applyAlignment="1">
      <alignment horizontal="center" vertical="center"/>
    </xf>
    <xf numFmtId="0" fontId="16" fillId="15" borderId="0" xfId="0" applyFont="1" applyFill="1" applyAlignment="1">
      <alignment horizontal="center" vertical="center"/>
    </xf>
    <xf numFmtId="0" fontId="16" fillId="15" borderId="9" xfId="0" applyFont="1" applyFill="1" applyBorder="1" applyAlignment="1">
      <alignment horizontal="center" vertical="center"/>
    </xf>
    <xf numFmtId="10" fontId="14" fillId="0" borderId="4" xfId="0" applyNumberFormat="1" applyFont="1" applyBorder="1" applyAlignment="1">
      <alignment horizontal="center" vertical="center"/>
    </xf>
    <xf numFmtId="10" fontId="14" fillId="0" borderId="3" xfId="1" applyNumberFormat="1" applyFont="1" applyBorder="1" applyAlignment="1">
      <alignment horizontal="center" vertical="center"/>
    </xf>
    <xf numFmtId="10" fontId="14" fillId="0" borderId="9" xfId="1" applyNumberFormat="1" applyFont="1" applyBorder="1" applyAlignment="1">
      <alignment horizontal="center" vertical="center"/>
    </xf>
    <xf numFmtId="10" fontId="14" fillId="0" borderId="6" xfId="1" applyNumberFormat="1" applyFont="1" applyBorder="1" applyAlignment="1">
      <alignment horizontal="center" vertical="center"/>
    </xf>
    <xf numFmtId="0" fontId="14" fillId="17" borderId="6" xfId="0" applyFont="1" applyFill="1" applyBorder="1" applyAlignment="1">
      <alignment horizontal="center" vertical="center"/>
    </xf>
    <xf numFmtId="0" fontId="14" fillId="17" borderId="1" xfId="0" applyFont="1" applyFill="1" applyBorder="1" applyAlignment="1">
      <alignment horizontal="center" vertical="center"/>
    </xf>
    <xf numFmtId="0" fontId="14" fillId="17" borderId="7" xfId="0" applyFont="1" applyFill="1" applyBorder="1" applyAlignment="1">
      <alignment horizontal="center" vertical="center"/>
    </xf>
    <xf numFmtId="0" fontId="15" fillId="12" borderId="2" xfId="0" applyFont="1" applyFill="1" applyBorder="1" applyAlignment="1">
      <alignment horizontal="center" vertical="center"/>
    </xf>
    <xf numFmtId="10" fontId="14" fillId="0" borderId="1" xfId="0" applyNumberFormat="1" applyFont="1" applyBorder="1" applyAlignment="1">
      <alignment horizontal="center" vertical="center"/>
    </xf>
    <xf numFmtId="10" fontId="14" fillId="0" borderId="7" xfId="0" applyNumberFormat="1" applyFont="1" applyBorder="1" applyAlignment="1">
      <alignment horizontal="center" vertical="center"/>
    </xf>
    <xf numFmtId="0" fontId="14" fillId="0" borderId="6" xfId="0" applyFont="1" applyBorder="1" applyAlignment="1">
      <alignment horizontal="center" vertical="center"/>
    </xf>
    <xf numFmtId="167" fontId="14" fillId="0" borderId="1" xfId="0" applyNumberFormat="1" applyFont="1" applyBorder="1" applyAlignment="1">
      <alignment horizontal="center" vertical="center"/>
    </xf>
    <xf numFmtId="0" fontId="15" fillId="12" borderId="11" xfId="0" applyFont="1" applyFill="1" applyBorder="1" applyAlignment="1">
      <alignment horizontal="center" vertical="center"/>
    </xf>
    <xf numFmtId="0" fontId="15" fillId="12" borderId="12"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2" borderId="13" xfId="0" applyFont="1" applyFill="1" applyBorder="1" applyAlignment="1">
      <alignment horizontal="center" vertical="center"/>
    </xf>
    <xf numFmtId="0" fontId="16" fillId="0" borderId="11" xfId="0" applyFont="1" applyBorder="1" applyAlignment="1">
      <alignment horizontal="center" vertical="center"/>
    </xf>
    <xf numFmtId="0" fontId="16" fillId="0" borderId="12" xfId="0" applyFont="1" applyBorder="1" applyAlignment="1">
      <alignment horizontal="center" vertical="center"/>
    </xf>
    <xf numFmtId="0" fontId="16" fillId="0" borderId="13" xfId="0" applyFont="1" applyBorder="1" applyAlignment="1">
      <alignment horizontal="center" vertical="center"/>
    </xf>
    <xf numFmtId="0" fontId="21"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vertical="top" wrapText="1"/>
    </xf>
    <xf numFmtId="0" fontId="5" fillId="0" borderId="0" xfId="0" applyFont="1" applyAlignment="1">
      <alignment vertical="center"/>
    </xf>
    <xf numFmtId="0" fontId="5" fillId="0" borderId="0" xfId="0" applyFont="1" applyAlignment="1">
      <alignment vertical="center" wrapText="1"/>
    </xf>
    <xf numFmtId="169" fontId="5" fillId="0" borderId="0" xfId="1" applyNumberFormat="1" applyFont="1" applyAlignment="1">
      <alignment horizontal="center" vertical="center"/>
    </xf>
    <xf numFmtId="10" fontId="5" fillId="9" borderId="0" xfId="1" applyNumberFormat="1" applyFont="1" applyFill="1" applyAlignment="1" applyProtection="1">
      <alignment horizontal="center" vertical="center"/>
      <protection locked="0"/>
    </xf>
    <xf numFmtId="169" fontId="5" fillId="9" borderId="0" xfId="1" applyNumberFormat="1" applyFont="1" applyFill="1" applyAlignment="1" applyProtection="1">
      <alignment horizontal="center" vertical="center"/>
      <protection locked="0"/>
    </xf>
    <xf numFmtId="10" fontId="5" fillId="3" borderId="0" xfId="0" applyNumberFormat="1" applyFont="1" applyFill="1" applyAlignment="1">
      <alignment horizontal="center" vertical="center"/>
    </xf>
    <xf numFmtId="167" fontId="9" fillId="12" borderId="2" xfId="0" applyNumberFormat="1" applyFont="1" applyFill="1" applyBorder="1" applyAlignment="1">
      <alignment horizontal="center" vertical="center"/>
    </xf>
    <xf numFmtId="167" fontId="9" fillId="12" borderId="4" xfId="0" applyNumberFormat="1" applyFont="1" applyFill="1" applyBorder="1" applyAlignment="1">
      <alignment horizontal="center" vertical="center"/>
    </xf>
    <xf numFmtId="0" fontId="9" fillId="12" borderId="3" xfId="0" applyFont="1" applyFill="1" applyBorder="1" applyAlignment="1">
      <alignment horizontal="center" vertical="center"/>
    </xf>
    <xf numFmtId="0" fontId="8" fillId="9" borderId="3" xfId="0" applyFont="1" applyFill="1" applyBorder="1" applyAlignment="1" applyProtection="1">
      <alignment horizontal="center" vertical="center"/>
      <protection locked="0"/>
    </xf>
    <xf numFmtId="14" fontId="5" fillId="9" borderId="0" xfId="0" applyNumberFormat="1" applyFont="1" applyFill="1" applyAlignment="1" applyProtection="1">
      <alignment horizontal="center" vertical="center"/>
      <protection locked="0"/>
    </xf>
    <xf numFmtId="2" fontId="5" fillId="0" borderId="0" xfId="0" applyNumberFormat="1" applyFont="1" applyAlignment="1">
      <alignment horizontal="center" vertical="center"/>
    </xf>
    <xf numFmtId="166" fontId="5" fillId="0" borderId="0" xfId="0" applyNumberFormat="1" applyFont="1" applyAlignment="1">
      <alignment horizontal="center" vertical="center"/>
    </xf>
    <xf numFmtId="167" fontId="5" fillId="0" borderId="0" xfId="0" applyNumberFormat="1" applyFont="1" applyAlignment="1">
      <alignment horizontal="center" vertical="center"/>
    </xf>
    <xf numFmtId="167" fontId="9" fillId="12" borderId="0" xfId="0" applyNumberFormat="1" applyFont="1" applyFill="1" applyAlignment="1">
      <alignment horizontal="center" vertical="center"/>
    </xf>
    <xf numFmtId="0" fontId="9" fillId="12" borderId="2" xfId="0" applyFont="1" applyFill="1" applyBorder="1" applyAlignment="1">
      <alignment horizontal="center" vertical="center"/>
    </xf>
    <xf numFmtId="0" fontId="9" fillId="12" borderId="4" xfId="0" applyFont="1" applyFill="1" applyBorder="1" applyAlignment="1">
      <alignment horizontal="center" vertical="center"/>
    </xf>
    <xf numFmtId="165" fontId="5" fillId="9" borderId="0" xfId="1" applyNumberFormat="1" applyFont="1" applyFill="1" applyAlignment="1" applyProtection="1">
      <alignment horizontal="center" vertical="center"/>
      <protection locked="0"/>
    </xf>
    <xf numFmtId="14" fontId="5" fillId="3" borderId="0" xfId="0" applyNumberFormat="1" applyFont="1" applyFill="1" applyAlignment="1">
      <alignment horizontal="center" vertical="center"/>
    </xf>
    <xf numFmtId="0" fontId="6" fillId="9" borderId="7" xfId="0" applyFont="1" applyFill="1" applyBorder="1" applyAlignment="1" applyProtection="1">
      <alignment horizontal="center" vertical="center"/>
      <protection locked="0"/>
    </xf>
    <xf numFmtId="164" fontId="14" fillId="10" borderId="0" xfId="1" applyNumberFormat="1" applyFont="1" applyFill="1" applyAlignment="1">
      <alignment horizontal="center" vertical="center"/>
    </xf>
    <xf numFmtId="0" fontId="14" fillId="10" borderId="0" xfId="0" applyFont="1" applyFill="1" applyAlignment="1">
      <alignment horizontal="center" vertical="center"/>
    </xf>
    <xf numFmtId="164" fontId="14" fillId="19" borderId="0" xfId="1" applyNumberFormat="1" applyFont="1" applyFill="1" applyAlignment="1">
      <alignment horizontal="center" vertical="center"/>
    </xf>
    <xf numFmtId="0" fontId="15" fillId="12" borderId="0" xfId="0" applyFont="1" applyFill="1" applyAlignment="1">
      <alignment horizontal="center" vertical="center"/>
    </xf>
    <xf numFmtId="170" fontId="26" fillId="0" borderId="0" xfId="0" applyNumberFormat="1" applyFont="1" applyAlignment="1">
      <alignment horizontal="center" vertical="center"/>
    </xf>
    <xf numFmtId="170" fontId="27" fillId="0" borderId="0" xfId="0" applyNumberFormat="1" applyFont="1" applyAlignment="1">
      <alignment horizontal="center" vertical="center"/>
    </xf>
    <xf numFmtId="165" fontId="14" fillId="20" borderId="0" xfId="1" applyNumberFormat="1" applyFont="1" applyFill="1" applyAlignment="1">
      <alignment horizontal="center" vertical="center"/>
    </xf>
    <xf numFmtId="165" fontId="14" fillId="0" borderId="2" xfId="1" applyNumberFormat="1" applyFont="1" applyBorder="1" applyAlignment="1">
      <alignment horizontal="center" vertical="center"/>
    </xf>
    <xf numFmtId="166" fontId="14" fillId="0" borderId="4" xfId="0" applyNumberFormat="1" applyFont="1" applyBorder="1" applyAlignment="1">
      <alignment horizontal="center" vertical="center"/>
    </xf>
    <xf numFmtId="165" fontId="14" fillId="0" borderId="3" xfId="0" applyNumberFormat="1" applyFont="1" applyBorder="1" applyAlignment="1">
      <alignment horizontal="center" vertical="center"/>
    </xf>
    <xf numFmtId="171" fontId="14" fillId="0" borderId="4" xfId="0" applyNumberFormat="1" applyFont="1" applyBorder="1" applyAlignment="1">
      <alignment horizontal="center" vertical="center"/>
    </xf>
    <xf numFmtId="171" fontId="14" fillId="0" borderId="3" xfId="0" applyNumberFormat="1" applyFont="1" applyBorder="1" applyAlignment="1">
      <alignment horizontal="center" vertical="center"/>
    </xf>
    <xf numFmtId="165" fontId="14" fillId="0" borderId="8" xfId="1" applyNumberFormat="1" applyFont="1" applyBorder="1" applyAlignment="1">
      <alignment horizontal="center" vertical="center"/>
    </xf>
    <xf numFmtId="165" fontId="14" fillId="0" borderId="9" xfId="0" applyNumberFormat="1" applyFont="1" applyBorder="1" applyAlignment="1">
      <alignment horizontal="center" vertical="center"/>
    </xf>
    <xf numFmtId="171" fontId="14" fillId="0" borderId="0" xfId="0" applyNumberFormat="1" applyFont="1" applyAlignment="1">
      <alignment horizontal="center" vertical="center"/>
    </xf>
    <xf numFmtId="171" fontId="14" fillId="0" borderId="9" xfId="0" applyNumberFormat="1" applyFont="1" applyBorder="1" applyAlignment="1">
      <alignment horizontal="center" vertical="center"/>
    </xf>
    <xf numFmtId="0" fontId="28" fillId="12" borderId="6" xfId="0" applyFont="1" applyFill="1" applyBorder="1" applyAlignment="1">
      <alignment horizontal="center" vertical="center"/>
    </xf>
    <xf numFmtId="0" fontId="28" fillId="12" borderId="1" xfId="0" applyFont="1" applyFill="1" applyBorder="1" applyAlignment="1">
      <alignment horizontal="center" vertical="center"/>
    </xf>
    <xf numFmtId="0" fontId="28" fillId="12" borderId="7" xfId="0" applyFont="1" applyFill="1" applyBorder="1" applyAlignment="1">
      <alignment horizontal="center" vertical="center"/>
    </xf>
    <xf numFmtId="171" fontId="20" fillId="7" borderId="2" xfId="0" applyNumberFormat="1" applyFont="1" applyFill="1" applyBorder="1" applyAlignment="1">
      <alignment horizontal="center" vertical="center"/>
    </xf>
    <xf numFmtId="171" fontId="20" fillId="7" borderId="4" xfId="0" applyNumberFormat="1" applyFont="1" applyFill="1" applyBorder="1" applyAlignment="1">
      <alignment horizontal="center" vertical="center"/>
    </xf>
    <xf numFmtId="2" fontId="20" fillId="20" borderId="3" xfId="0" applyNumberFormat="1" applyFont="1" applyFill="1" applyBorder="1" applyAlignment="1">
      <alignment horizontal="center" vertical="center"/>
    </xf>
    <xf numFmtId="2" fontId="14" fillId="0" borderId="0" xfId="0" applyNumberFormat="1" applyFont="1" applyAlignment="1">
      <alignment horizontal="center" vertical="center"/>
    </xf>
    <xf numFmtId="8" fontId="14" fillId="0" borderId="0" xfId="0" applyNumberFormat="1" applyFont="1" applyAlignment="1">
      <alignment horizontal="center" vertical="center"/>
    </xf>
    <xf numFmtId="2" fontId="14" fillId="0" borderId="0" xfId="1" applyNumberFormat="1" applyFont="1" applyAlignment="1">
      <alignment horizontal="center" vertical="center"/>
    </xf>
    <xf numFmtId="167" fontId="14" fillId="0" borderId="0" xfId="1" applyNumberFormat="1" applyFont="1" applyAlignment="1">
      <alignment horizontal="center" vertical="center"/>
    </xf>
    <xf numFmtId="0" fontId="15" fillId="12" borderId="9" xfId="0" applyFont="1" applyFill="1" applyBorder="1" applyAlignment="1">
      <alignment horizontal="center" vertical="center"/>
    </xf>
    <xf numFmtId="167" fontId="14" fillId="21" borderId="0" xfId="0" applyNumberFormat="1" applyFont="1" applyFill="1" applyAlignment="1">
      <alignment horizontal="center" vertical="center"/>
    </xf>
    <xf numFmtId="164" fontId="14" fillId="21" borderId="0" xfId="0" applyNumberFormat="1" applyFont="1" applyFill="1" applyAlignment="1">
      <alignment horizontal="center" vertical="center"/>
    </xf>
    <xf numFmtId="164" fontId="14" fillId="21" borderId="0" xfId="1" applyNumberFormat="1" applyFont="1" applyFill="1" applyAlignment="1">
      <alignment horizontal="center" vertical="center"/>
    </xf>
    <xf numFmtId="0" fontId="14" fillId="21" borderId="0" xfId="0" applyFont="1" applyFill="1" applyAlignment="1">
      <alignment horizontal="center" vertical="center"/>
    </xf>
    <xf numFmtId="10" fontId="14" fillId="21" borderId="0" xfId="1" applyNumberFormat="1" applyFont="1" applyFill="1" applyAlignment="1">
      <alignment horizontal="center" vertical="center"/>
    </xf>
    <xf numFmtId="166" fontId="14" fillId="0" borderId="0" xfId="1" applyNumberFormat="1" applyFont="1" applyAlignment="1">
      <alignment horizontal="center" vertical="center"/>
    </xf>
    <xf numFmtId="2" fontId="14" fillId="22" borderId="0" xfId="0" applyNumberFormat="1" applyFont="1" applyFill="1" applyAlignment="1">
      <alignment horizontal="center" vertical="center"/>
    </xf>
    <xf numFmtId="166" fontId="14" fillId="21" borderId="0" xfId="0" applyNumberFormat="1" applyFont="1" applyFill="1" applyAlignment="1">
      <alignment horizontal="center" vertical="center"/>
    </xf>
    <xf numFmtId="2" fontId="14" fillId="10" borderId="0" xfId="0" applyNumberFormat="1" applyFont="1" applyFill="1" applyAlignment="1">
      <alignment horizontal="center" vertical="center"/>
    </xf>
    <xf numFmtId="10" fontId="14" fillId="19" borderId="0" xfId="1" applyNumberFormat="1" applyFont="1" applyFill="1" applyAlignment="1">
      <alignment horizontal="center" vertical="center"/>
    </xf>
    <xf numFmtId="165" fontId="14" fillId="22" borderId="0" xfId="0" applyNumberFormat="1" applyFont="1" applyFill="1" applyAlignment="1">
      <alignment horizontal="center" vertical="center"/>
    </xf>
    <xf numFmtId="167" fontId="14" fillId="22" borderId="0" xfId="1" applyNumberFormat="1" applyFont="1" applyFill="1" applyAlignment="1">
      <alignment horizontal="center" vertical="center"/>
    </xf>
    <xf numFmtId="165" fontId="14" fillId="22" borderId="0" xfId="1" applyNumberFormat="1" applyFont="1" applyFill="1" applyAlignment="1">
      <alignment horizontal="center" vertical="center"/>
    </xf>
    <xf numFmtId="166" fontId="14" fillId="22" borderId="0" xfId="0" applyNumberFormat="1" applyFont="1" applyFill="1" applyAlignment="1">
      <alignment horizontal="center" vertical="center"/>
    </xf>
    <xf numFmtId="171" fontId="14" fillId="22" borderId="0" xfId="0" applyNumberFormat="1" applyFont="1" applyFill="1" applyAlignment="1">
      <alignment horizontal="center" vertical="center"/>
    </xf>
    <xf numFmtId="2" fontId="14" fillId="21" borderId="0" xfId="0" applyNumberFormat="1" applyFont="1" applyFill="1" applyAlignment="1">
      <alignment horizontal="center" vertical="center"/>
    </xf>
    <xf numFmtId="0" fontId="14" fillId="22" borderId="0" xfId="0" applyFont="1" applyFill="1" applyAlignment="1">
      <alignment horizontal="center" vertical="center"/>
    </xf>
    <xf numFmtId="165" fontId="14" fillId="10" borderId="0" xfId="1" applyNumberFormat="1" applyFont="1" applyFill="1" applyAlignment="1">
      <alignment horizontal="center" vertical="center"/>
    </xf>
    <xf numFmtId="169" fontId="14" fillId="10" borderId="0" xfId="1" applyNumberFormat="1" applyFont="1" applyFill="1" applyAlignment="1">
      <alignment horizontal="center" vertical="center"/>
    </xf>
    <xf numFmtId="169" fontId="14" fillId="0" borderId="0" xfId="1" applyNumberFormat="1" applyFont="1" applyAlignment="1">
      <alignment horizontal="center" vertical="center"/>
    </xf>
    <xf numFmtId="0" fontId="14" fillId="20" borderId="0" xfId="0" applyFont="1" applyFill="1" applyAlignment="1">
      <alignment horizontal="center" vertical="center"/>
    </xf>
    <xf numFmtId="0" fontId="20" fillId="7" borderId="0" xfId="0" applyFont="1" applyFill="1" applyAlignment="1">
      <alignment horizontal="center" vertical="center"/>
    </xf>
    <xf numFmtId="169" fontId="14" fillId="20" borderId="0" xfId="1" applyNumberFormat="1" applyFont="1" applyFill="1" applyAlignment="1">
      <alignment horizontal="center" vertical="center"/>
    </xf>
    <xf numFmtId="169" fontId="14" fillId="0" borderId="0" xfId="1" applyNumberFormat="1" applyFont="1" applyFill="1" applyAlignment="1">
      <alignment horizontal="center" vertical="center"/>
    </xf>
    <xf numFmtId="0" fontId="20" fillId="20" borderId="0" xfId="0" applyFont="1" applyFill="1" applyAlignment="1">
      <alignment horizontal="center" vertical="center"/>
    </xf>
    <xf numFmtId="0" fontId="20" fillId="10" borderId="0" xfId="0" applyFont="1" applyFill="1" applyAlignment="1">
      <alignment horizontal="center" vertical="center"/>
    </xf>
    <xf numFmtId="169" fontId="14" fillId="19" borderId="0" xfId="1" applyNumberFormat="1" applyFont="1" applyFill="1" applyAlignment="1">
      <alignment horizontal="center" vertical="center"/>
    </xf>
    <xf numFmtId="165" fontId="15" fillId="12" borderId="0" xfId="1" applyNumberFormat="1" applyFont="1" applyFill="1" applyAlignment="1">
      <alignment horizontal="center" vertical="center"/>
    </xf>
    <xf numFmtId="0" fontId="14" fillId="13" borderId="0" xfId="0" applyFont="1" applyFill="1" applyAlignment="1">
      <alignment horizontal="center" vertical="center"/>
    </xf>
    <xf numFmtId="0" fontId="14" fillId="11" borderId="0" xfId="0" applyFont="1" applyFill="1" applyAlignment="1">
      <alignment horizontal="center" vertical="center"/>
    </xf>
    <xf numFmtId="166" fontId="14" fillId="0" borderId="2" xfId="1" applyNumberFormat="1" applyFont="1" applyBorder="1" applyAlignment="1" applyProtection="1">
      <alignment horizontal="center" vertical="center"/>
    </xf>
    <xf numFmtId="164" fontId="14" fillId="0" borderId="4" xfId="1" applyNumberFormat="1" applyFont="1" applyBorder="1" applyAlignment="1" applyProtection="1">
      <alignment horizontal="center" vertical="center"/>
    </xf>
    <xf numFmtId="2" fontId="14" fillId="0" borderId="4" xfId="1" applyNumberFormat="1" applyFont="1" applyBorder="1" applyAlignment="1" applyProtection="1">
      <alignment horizontal="center" vertical="center"/>
    </xf>
    <xf numFmtId="10" fontId="14" fillId="0" borderId="4" xfId="1" applyNumberFormat="1" applyFont="1" applyBorder="1" applyAlignment="1" applyProtection="1">
      <alignment horizontal="center" vertical="center"/>
    </xf>
    <xf numFmtId="10" fontId="14" fillId="0" borderId="3" xfId="1" applyNumberFormat="1" applyFont="1" applyBorder="1" applyAlignment="1" applyProtection="1">
      <alignment horizontal="center" vertical="center"/>
      <protection locked="0"/>
    </xf>
    <xf numFmtId="167" fontId="14" fillId="0" borderId="2" xfId="1" applyNumberFormat="1" applyFont="1" applyBorder="1" applyAlignment="1" applyProtection="1">
      <alignment horizontal="center" vertical="center"/>
    </xf>
    <xf numFmtId="2" fontId="14" fillId="0" borderId="3" xfId="1" applyNumberFormat="1" applyFont="1" applyBorder="1" applyAlignment="1" applyProtection="1">
      <alignment horizontal="center" vertical="center"/>
    </xf>
    <xf numFmtId="167" fontId="14" fillId="0" borderId="2" xfId="0" applyNumberFormat="1" applyFont="1" applyBorder="1" applyAlignment="1" applyProtection="1">
      <alignment horizontal="center" vertical="center"/>
      <protection locked="0"/>
    </xf>
    <xf numFmtId="167" fontId="14" fillId="0" borderId="4" xfId="0" applyNumberFormat="1" applyFont="1"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167" fontId="14" fillId="0" borderId="3" xfId="0" applyNumberFormat="1" applyFont="1" applyBorder="1" applyAlignment="1" applyProtection="1">
      <alignment horizontal="center" vertical="center"/>
      <protection locked="0"/>
    </xf>
    <xf numFmtId="166" fontId="14" fillId="0" borderId="2" xfId="0" applyNumberFormat="1" applyFont="1" applyBorder="1" applyAlignment="1" applyProtection="1">
      <alignment horizontal="center" vertical="center"/>
      <protection locked="0"/>
    </xf>
    <xf numFmtId="166" fontId="14" fillId="0" borderId="4" xfId="0" applyNumberFormat="1" applyFont="1" applyBorder="1" applyAlignment="1" applyProtection="1">
      <alignment horizontal="center" vertical="center"/>
      <protection locked="0"/>
    </xf>
    <xf numFmtId="166" fontId="14" fillId="0" borderId="3" xfId="0" applyNumberFormat="1" applyFont="1" applyBorder="1" applyAlignment="1" applyProtection="1">
      <alignment horizontal="center" vertical="center"/>
      <protection locked="0"/>
    </xf>
    <xf numFmtId="0" fontId="14" fillId="0" borderId="2" xfId="0" applyFont="1" applyBorder="1" applyAlignment="1" applyProtection="1">
      <alignment horizontal="center" vertical="center"/>
      <protection locked="0"/>
    </xf>
    <xf numFmtId="166" fontId="14" fillId="0" borderId="8" xfId="0" applyNumberFormat="1" applyFont="1" applyBorder="1" applyAlignment="1">
      <alignment horizontal="center" vertical="center"/>
    </xf>
    <xf numFmtId="164" fontId="14" fillId="0" borderId="0" xfId="1" applyNumberFormat="1" applyFont="1" applyBorder="1" applyAlignment="1" applyProtection="1">
      <alignment horizontal="center" vertical="center"/>
    </xf>
    <xf numFmtId="167" fontId="14" fillId="0" borderId="9" xfId="0" applyNumberFormat="1" applyFont="1" applyBorder="1" applyAlignment="1" applyProtection="1">
      <alignment horizontal="center" vertical="center"/>
      <protection locked="0"/>
    </xf>
    <xf numFmtId="2" fontId="14" fillId="0" borderId="9" xfId="0" applyNumberFormat="1" applyFont="1" applyBorder="1" applyAlignment="1">
      <alignment horizontal="center" vertical="center"/>
    </xf>
    <xf numFmtId="167" fontId="14" fillId="0" borderId="8" xfId="0" applyNumberFormat="1" applyFont="1" applyBorder="1" applyAlignment="1" applyProtection="1">
      <alignment horizontal="center" vertical="center"/>
      <protection locked="0"/>
    </xf>
    <xf numFmtId="167" fontId="14" fillId="0" borderId="0" xfId="0" applyNumberFormat="1" applyFont="1" applyAlignment="1" applyProtection="1">
      <alignment horizontal="center" vertical="center"/>
      <protection locked="0"/>
    </xf>
    <xf numFmtId="0" fontId="14" fillId="0" borderId="9"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166" fontId="14" fillId="0" borderId="8" xfId="0" applyNumberFormat="1" applyFont="1" applyBorder="1" applyAlignment="1" applyProtection="1">
      <alignment horizontal="center" vertical="center"/>
      <protection locked="0"/>
    </xf>
    <xf numFmtId="166" fontId="14" fillId="0" borderId="0" xfId="0" applyNumberFormat="1" applyFont="1" applyAlignment="1" applyProtection="1">
      <alignment horizontal="center" vertical="center"/>
      <protection locked="0"/>
    </xf>
    <xf numFmtId="166" fontId="14" fillId="0" borderId="9" xfId="0" applyNumberFormat="1" applyFont="1" applyBorder="1" applyAlignment="1" applyProtection="1">
      <alignment horizontal="center" vertical="center"/>
      <protection locked="0"/>
    </xf>
    <xf numFmtId="0" fontId="14" fillId="0" borderId="8" xfId="0" applyFont="1" applyBorder="1" applyAlignment="1" applyProtection="1">
      <alignment horizontal="center" vertical="center"/>
      <protection locked="0"/>
    </xf>
    <xf numFmtId="166" fontId="14" fillId="4" borderId="8" xfId="0" applyNumberFormat="1" applyFont="1" applyFill="1" applyBorder="1" applyAlignment="1">
      <alignment horizontal="center" vertical="center"/>
    </xf>
    <xf numFmtId="164" fontId="14" fillId="4" borderId="0" xfId="0" applyNumberFormat="1" applyFont="1" applyFill="1" applyAlignment="1">
      <alignment horizontal="center" vertical="center"/>
    </xf>
    <xf numFmtId="164" fontId="14" fillId="4" borderId="0" xfId="1" applyNumberFormat="1" applyFont="1" applyFill="1" applyBorder="1" applyAlignment="1" applyProtection="1">
      <alignment horizontal="center" vertical="center"/>
    </xf>
    <xf numFmtId="2" fontId="14" fillId="4" borderId="0" xfId="0" applyNumberFormat="1" applyFont="1" applyFill="1" applyAlignment="1">
      <alignment horizontal="center" vertical="center"/>
    </xf>
    <xf numFmtId="0" fontId="14" fillId="4" borderId="0" xfId="0" applyFont="1" applyFill="1" applyAlignment="1">
      <alignment horizontal="center" vertical="center"/>
    </xf>
    <xf numFmtId="8" fontId="14" fillId="4" borderId="0" xfId="0" applyNumberFormat="1" applyFont="1" applyFill="1" applyAlignment="1">
      <alignment horizontal="center" vertical="center"/>
    </xf>
    <xf numFmtId="167" fontId="14" fillId="4" borderId="9" xfId="0" applyNumberFormat="1" applyFont="1" applyFill="1" applyBorder="1" applyAlignment="1" applyProtection="1">
      <alignment horizontal="center" vertical="center"/>
      <protection locked="0"/>
    </xf>
    <xf numFmtId="167" fontId="14" fillId="4" borderId="8" xfId="0" applyNumberFormat="1" applyFont="1" applyFill="1" applyBorder="1" applyAlignment="1">
      <alignment horizontal="center" vertical="center"/>
    </xf>
    <xf numFmtId="167" fontId="14" fillId="4" borderId="0" xfId="0" applyNumberFormat="1" applyFont="1" applyFill="1" applyAlignment="1">
      <alignment horizontal="center" vertical="center"/>
    </xf>
    <xf numFmtId="2" fontId="14" fillId="4" borderId="9" xfId="0" applyNumberFormat="1" applyFont="1" applyFill="1" applyBorder="1" applyAlignment="1">
      <alignment horizontal="center" vertical="center"/>
    </xf>
    <xf numFmtId="167" fontId="14" fillId="4" borderId="8" xfId="0" applyNumberFormat="1" applyFont="1" applyFill="1" applyBorder="1" applyAlignment="1" applyProtection="1">
      <alignment horizontal="center" vertical="center"/>
      <protection locked="0"/>
    </xf>
    <xf numFmtId="167" fontId="14" fillId="4" borderId="0" xfId="0" applyNumberFormat="1" applyFont="1" applyFill="1" applyAlignment="1" applyProtection="1">
      <alignment horizontal="center" vertical="center"/>
      <protection locked="0"/>
    </xf>
    <xf numFmtId="0" fontId="14" fillId="4" borderId="9" xfId="0" applyFont="1" applyFill="1" applyBorder="1" applyAlignment="1" applyProtection="1">
      <alignment horizontal="center" vertical="center"/>
      <protection locked="0"/>
    </xf>
    <xf numFmtId="0" fontId="14" fillId="4" borderId="0" xfId="0" applyFont="1" applyFill="1" applyAlignment="1" applyProtection="1">
      <alignment horizontal="center" vertical="center"/>
      <protection locked="0"/>
    </xf>
    <xf numFmtId="166" fontId="14" fillId="4" borderId="8" xfId="0" applyNumberFormat="1" applyFont="1" applyFill="1" applyBorder="1" applyAlignment="1" applyProtection="1">
      <alignment horizontal="center" vertical="center"/>
      <protection locked="0"/>
    </xf>
    <xf numFmtId="166" fontId="14" fillId="4" borderId="0" xfId="0" applyNumberFormat="1" applyFont="1" applyFill="1" applyAlignment="1" applyProtection="1">
      <alignment horizontal="center" vertical="center"/>
      <protection locked="0"/>
    </xf>
    <xf numFmtId="166" fontId="14" fillId="4" borderId="9" xfId="0" applyNumberFormat="1" applyFont="1" applyFill="1" applyBorder="1" applyAlignment="1" applyProtection="1">
      <alignment horizontal="center" vertical="center"/>
      <protection locked="0"/>
    </xf>
    <xf numFmtId="0" fontId="14" fillId="4" borderId="8" xfId="0" applyFont="1" applyFill="1" applyBorder="1" applyAlignment="1" applyProtection="1">
      <alignment horizontal="center" vertical="center"/>
      <protection locked="0"/>
    </xf>
    <xf numFmtId="166" fontId="14" fillId="0" borderId="6" xfId="0" applyNumberFormat="1" applyFont="1" applyBorder="1" applyAlignment="1">
      <alignment horizontal="center" vertical="center"/>
    </xf>
    <xf numFmtId="164" fontId="14" fillId="0" borderId="1" xfId="0" applyNumberFormat="1" applyFont="1" applyBorder="1" applyAlignment="1">
      <alignment horizontal="center" vertical="center"/>
    </xf>
    <xf numFmtId="164" fontId="14" fillId="0" borderId="1" xfId="1" applyNumberFormat="1" applyFont="1" applyBorder="1" applyAlignment="1" applyProtection="1">
      <alignment horizontal="center" vertical="center"/>
    </xf>
    <xf numFmtId="2" fontId="14" fillId="0" borderId="1" xfId="0" applyNumberFormat="1" applyFont="1" applyBorder="1" applyAlignment="1">
      <alignment horizontal="center" vertical="center"/>
    </xf>
    <xf numFmtId="166" fontId="14" fillId="0" borderId="1" xfId="0" applyNumberFormat="1" applyFont="1" applyBorder="1" applyAlignment="1">
      <alignment horizontal="center" vertical="center"/>
    </xf>
    <xf numFmtId="8" fontId="14" fillId="0" borderId="1" xfId="0" applyNumberFormat="1" applyFont="1" applyBorder="1" applyAlignment="1">
      <alignment horizontal="center" vertical="center"/>
    </xf>
    <xf numFmtId="167" fontId="14" fillId="0" borderId="7" xfId="0" applyNumberFormat="1" applyFont="1" applyBorder="1" applyAlignment="1" applyProtection="1">
      <alignment horizontal="center" vertical="center"/>
      <protection locked="0"/>
    </xf>
    <xf numFmtId="2" fontId="14" fillId="0" borderId="1" xfId="1" applyNumberFormat="1" applyFont="1" applyBorder="1" applyAlignment="1" applyProtection="1">
      <alignment horizontal="center" vertical="center"/>
    </xf>
    <xf numFmtId="166" fontId="14" fillId="0" borderId="1" xfId="1" applyNumberFormat="1" applyFont="1" applyBorder="1" applyAlignment="1" applyProtection="1">
      <alignment horizontal="center" vertical="center"/>
    </xf>
    <xf numFmtId="10" fontId="14" fillId="0" borderId="1" xfId="1" applyNumberFormat="1" applyFont="1" applyBorder="1" applyAlignment="1" applyProtection="1">
      <alignment horizontal="center" vertical="center"/>
    </xf>
    <xf numFmtId="8" fontId="14" fillId="0" borderId="1" xfId="1" applyNumberFormat="1" applyFont="1" applyBorder="1" applyAlignment="1" applyProtection="1">
      <alignment horizontal="center" vertical="center"/>
    </xf>
    <xf numFmtId="167" fontId="14" fillId="0" borderId="1" xfId="1" applyNumberFormat="1" applyFont="1" applyBorder="1" applyAlignment="1" applyProtection="1">
      <alignment horizontal="center" vertical="center"/>
    </xf>
    <xf numFmtId="2" fontId="14" fillId="0" borderId="7" xfId="0" applyNumberFormat="1" applyFont="1" applyBorder="1" applyAlignment="1">
      <alignment horizontal="center" vertical="center"/>
    </xf>
    <xf numFmtId="0" fontId="20" fillId="3" borderId="4" xfId="0" applyFont="1" applyFill="1" applyBorder="1" applyAlignment="1">
      <alignment horizontal="center" vertical="center"/>
    </xf>
    <xf numFmtId="164" fontId="20" fillId="3" borderId="3" xfId="1" applyNumberFormat="1" applyFont="1" applyFill="1" applyBorder="1" applyAlignment="1" applyProtection="1">
      <alignment horizontal="center" vertical="center"/>
    </xf>
    <xf numFmtId="164" fontId="20" fillId="3" borderId="4" xfId="1" applyNumberFormat="1" applyFont="1" applyFill="1" applyBorder="1" applyAlignment="1" applyProtection="1">
      <alignment horizontal="center" vertical="center"/>
    </xf>
    <xf numFmtId="167" fontId="20" fillId="3" borderId="4" xfId="0" applyNumberFormat="1" applyFont="1" applyFill="1" applyBorder="1" applyAlignment="1">
      <alignment horizontal="center" vertical="center"/>
    </xf>
    <xf numFmtId="167" fontId="20" fillId="3" borderId="0" xfId="0" applyNumberFormat="1" applyFont="1" applyFill="1" applyAlignment="1">
      <alignment horizontal="center" vertical="center"/>
    </xf>
    <xf numFmtId="167" fontId="20" fillId="3" borderId="2" xfId="0" applyNumberFormat="1" applyFont="1" applyFill="1" applyBorder="1" applyAlignment="1">
      <alignment horizontal="center" vertical="center"/>
    </xf>
    <xf numFmtId="0" fontId="20" fillId="3" borderId="3" xfId="0" applyFont="1" applyFill="1" applyBorder="1" applyAlignment="1">
      <alignment horizontal="center" vertical="center"/>
    </xf>
    <xf numFmtId="167" fontId="20" fillId="3" borderId="3" xfId="0" applyNumberFormat="1" applyFont="1" applyFill="1" applyBorder="1" applyAlignment="1">
      <alignment horizontal="center" vertical="center"/>
    </xf>
    <xf numFmtId="166" fontId="20" fillId="3" borderId="2" xfId="0" applyNumberFormat="1" applyFont="1" applyFill="1" applyBorder="1" applyAlignment="1">
      <alignment horizontal="center" vertical="center"/>
    </xf>
    <xf numFmtId="166" fontId="20" fillId="3" borderId="4" xfId="0" applyNumberFormat="1" applyFont="1" applyFill="1" applyBorder="1" applyAlignment="1">
      <alignment horizontal="center" vertical="center"/>
    </xf>
    <xf numFmtId="166" fontId="20" fillId="3" borderId="3" xfId="0" applyNumberFormat="1" applyFont="1" applyFill="1" applyBorder="1" applyAlignment="1">
      <alignment horizontal="center" vertical="center"/>
    </xf>
    <xf numFmtId="0" fontId="20" fillId="3" borderId="2" xfId="0" applyFont="1" applyFill="1" applyBorder="1" applyAlignment="1">
      <alignment horizontal="center" vertical="center"/>
    </xf>
    <xf numFmtId="0" fontId="20" fillId="3" borderId="1" xfId="0" applyFont="1" applyFill="1" applyBorder="1" applyAlignment="1">
      <alignment horizontal="center" vertical="center"/>
    </xf>
    <xf numFmtId="167" fontId="20" fillId="3" borderId="7" xfId="0" applyNumberFormat="1" applyFont="1" applyFill="1" applyBorder="1" applyAlignment="1">
      <alignment horizontal="center" vertical="center"/>
    </xf>
    <xf numFmtId="167" fontId="20" fillId="3" borderId="1" xfId="0" applyNumberFormat="1" applyFont="1" applyFill="1" applyBorder="1" applyAlignment="1">
      <alignment horizontal="center" vertical="center"/>
    </xf>
    <xf numFmtId="167" fontId="20" fillId="3" borderId="6" xfId="0" applyNumberFormat="1" applyFont="1" applyFill="1" applyBorder="1" applyAlignment="1">
      <alignment horizontal="center" vertical="center"/>
    </xf>
    <xf numFmtId="0" fontId="20" fillId="3" borderId="7" xfId="0" applyFont="1" applyFill="1" applyBorder="1" applyAlignment="1">
      <alignment horizontal="center" vertical="center"/>
    </xf>
    <xf numFmtId="166" fontId="20" fillId="3" borderId="6" xfId="0" applyNumberFormat="1" applyFont="1" applyFill="1" applyBorder="1" applyAlignment="1">
      <alignment horizontal="center" vertical="center"/>
    </xf>
    <xf numFmtId="166" fontId="20" fillId="3" borderId="1" xfId="0" applyNumberFormat="1" applyFont="1" applyFill="1" applyBorder="1" applyAlignment="1">
      <alignment horizontal="center" vertical="center"/>
    </xf>
    <xf numFmtId="166" fontId="20" fillId="3" borderId="7" xfId="0" applyNumberFormat="1" applyFont="1" applyFill="1" applyBorder="1" applyAlignment="1">
      <alignment horizontal="center" vertical="center"/>
    </xf>
    <xf numFmtId="0" fontId="20" fillId="3" borderId="6" xfId="0" applyFont="1" applyFill="1" applyBorder="1" applyAlignment="1">
      <alignment horizontal="center" vertical="center"/>
    </xf>
    <xf numFmtId="0" fontId="20" fillId="22" borderId="4" xfId="0" applyFont="1" applyFill="1" applyBorder="1" applyAlignment="1">
      <alignment horizontal="center" vertical="center"/>
    </xf>
    <xf numFmtId="0" fontId="20" fillId="22" borderId="0" xfId="0" applyFont="1" applyFill="1" applyAlignment="1">
      <alignment horizontal="center" vertical="center"/>
    </xf>
    <xf numFmtId="0" fontId="20" fillId="22" borderId="1" xfId="0" applyFont="1" applyFill="1" applyBorder="1" applyAlignment="1">
      <alignment horizontal="center" vertical="center"/>
    </xf>
    <xf numFmtId="10" fontId="14" fillId="0" borderId="0" xfId="1" applyNumberFormat="1" applyFont="1" applyAlignment="1" applyProtection="1">
      <alignment horizontal="center" vertical="center"/>
    </xf>
    <xf numFmtId="165" fontId="14" fillId="0" borderId="0" xfId="1" applyNumberFormat="1" applyFont="1" applyAlignment="1" applyProtection="1">
      <alignment horizontal="center" vertical="center"/>
    </xf>
    <xf numFmtId="0" fontId="20" fillId="0" borderId="0" xfId="0" applyFont="1" applyAlignment="1">
      <alignment horizontal="center" vertical="center"/>
    </xf>
    <xf numFmtId="169" fontId="14" fillId="0" borderId="0" xfId="1" applyNumberFormat="1" applyFont="1" applyAlignment="1" applyProtection="1">
      <alignment horizontal="center" vertical="center"/>
    </xf>
    <xf numFmtId="167" fontId="15" fillId="12" borderId="4" xfId="0" applyNumberFormat="1" applyFont="1" applyFill="1" applyBorder="1" applyAlignment="1">
      <alignment horizontal="center" vertical="center"/>
    </xf>
    <xf numFmtId="0" fontId="15" fillId="12" borderId="8" xfId="0" applyFont="1" applyFill="1" applyBorder="1" applyAlignment="1">
      <alignment horizontal="center" vertical="center"/>
    </xf>
    <xf numFmtId="10" fontId="5" fillId="14" borderId="0" xfId="1" applyNumberFormat="1" applyFont="1" applyFill="1" applyAlignment="1" applyProtection="1">
      <alignment horizontal="center" vertical="center"/>
      <protection locked="0"/>
    </xf>
    <xf numFmtId="169" fontId="5" fillId="14" borderId="0" xfId="1" applyNumberFormat="1" applyFont="1" applyFill="1" applyAlignment="1" applyProtection="1">
      <alignment horizontal="center" vertical="center"/>
      <protection locked="0"/>
    </xf>
    <xf numFmtId="167" fontId="5" fillId="14" borderId="0" xfId="0" applyNumberFormat="1" applyFont="1" applyFill="1" applyAlignment="1" applyProtection="1">
      <alignment horizontal="center" vertical="center"/>
      <protection locked="0"/>
    </xf>
    <xf numFmtId="0" fontId="5" fillId="14" borderId="0" xfId="0" applyFont="1" applyFill="1" applyAlignment="1" applyProtection="1">
      <alignment horizontal="center" vertical="center"/>
      <protection locked="0"/>
    </xf>
    <xf numFmtId="0" fontId="5" fillId="6" borderId="0" xfId="0" applyFont="1" applyFill="1" applyAlignment="1">
      <alignment horizontal="center" vertical="center"/>
    </xf>
    <xf numFmtId="0" fontId="6" fillId="6" borderId="0" xfId="0" applyFont="1" applyFill="1" applyAlignment="1">
      <alignment horizontal="center" vertical="center"/>
    </xf>
    <xf numFmtId="14" fontId="5" fillId="6" borderId="0" xfId="0" applyNumberFormat="1" applyFont="1" applyFill="1" applyAlignment="1" applyProtection="1">
      <alignment horizontal="center" vertical="center"/>
      <protection locked="0"/>
    </xf>
    <xf numFmtId="0" fontId="33" fillId="23" borderId="0" xfId="0" applyFont="1" applyFill="1" applyAlignment="1" applyProtection="1">
      <alignment horizontal="center" vertical="center"/>
      <protection locked="0"/>
    </xf>
    <xf numFmtId="0" fontId="33" fillId="23" borderId="0" xfId="0" applyFont="1" applyFill="1" applyAlignment="1">
      <alignment horizontal="center" vertical="center"/>
    </xf>
    <xf numFmtId="166" fontId="5" fillId="14" borderId="0" xfId="0" applyNumberFormat="1" applyFont="1" applyFill="1" applyAlignment="1" applyProtection="1">
      <alignment horizontal="center" vertical="center"/>
      <protection locked="0"/>
    </xf>
    <xf numFmtId="0" fontId="5" fillId="6" borderId="0" xfId="0" applyFont="1" applyFill="1" applyAlignment="1" applyProtection="1">
      <alignment horizontal="center" vertical="center"/>
      <protection locked="0"/>
    </xf>
    <xf numFmtId="167" fontId="5" fillId="14" borderId="0" xfId="0" applyNumberFormat="1" applyFont="1" applyFill="1" applyAlignment="1">
      <alignment horizontal="center" vertical="center"/>
    </xf>
    <xf numFmtId="167" fontId="5" fillId="6" borderId="0" xfId="0" applyNumberFormat="1" applyFont="1" applyFill="1" applyAlignment="1">
      <alignment horizontal="center" vertical="center"/>
    </xf>
    <xf numFmtId="167" fontId="5" fillId="6" borderId="0" xfId="0" applyNumberFormat="1" applyFont="1" applyFill="1" applyAlignment="1" applyProtection="1">
      <alignment horizontal="center" vertical="center"/>
      <protection locked="0"/>
    </xf>
    <xf numFmtId="165" fontId="5" fillId="14" borderId="0" xfId="1" applyNumberFormat="1" applyFont="1" applyFill="1" applyAlignment="1" applyProtection="1">
      <alignment horizontal="center" vertical="center"/>
      <protection locked="0"/>
    </xf>
    <xf numFmtId="14" fontId="5" fillId="6" borderId="0" xfId="0" applyNumberFormat="1" applyFont="1" applyFill="1" applyAlignment="1">
      <alignment horizontal="center" vertical="center"/>
    </xf>
    <xf numFmtId="165" fontId="19" fillId="25" borderId="0" xfId="1" applyNumberFormat="1" applyFont="1" applyFill="1" applyAlignment="1">
      <alignment horizontal="center" vertical="center"/>
    </xf>
    <xf numFmtId="0" fontId="34" fillId="0" borderId="0" xfId="0" applyFont="1" applyAlignment="1">
      <alignment horizontal="center" vertical="center"/>
    </xf>
    <xf numFmtId="166" fontId="34" fillId="0" borderId="0" xfId="0" applyNumberFormat="1" applyFont="1" applyAlignment="1">
      <alignment horizontal="center" vertical="center"/>
    </xf>
    <xf numFmtId="164" fontId="34" fillId="0" borderId="0" xfId="1" applyNumberFormat="1" applyFont="1" applyAlignment="1">
      <alignment horizontal="center" vertical="center"/>
    </xf>
    <xf numFmtId="171" fontId="34" fillId="0" borderId="0" xfId="0" applyNumberFormat="1" applyFont="1" applyAlignment="1">
      <alignment horizontal="center" vertical="center"/>
    </xf>
    <xf numFmtId="166" fontId="34" fillId="0" borderId="0" xfId="0" applyNumberFormat="1" applyFont="1" applyAlignment="1" applyProtection="1">
      <alignment horizontal="center" vertical="center"/>
      <protection locked="0"/>
    </xf>
    <xf numFmtId="165" fontId="34" fillId="0" borderId="0" xfId="0" applyNumberFormat="1" applyFont="1" applyAlignment="1">
      <alignment horizontal="center" vertical="center"/>
    </xf>
    <xf numFmtId="2" fontId="34" fillId="0" borderId="0" xfId="0" applyNumberFormat="1" applyFont="1" applyAlignment="1">
      <alignment horizontal="center" vertical="center"/>
    </xf>
    <xf numFmtId="14" fontId="34" fillId="0" borderId="0" xfId="0" applyNumberFormat="1" applyFont="1" applyAlignment="1" applyProtection="1">
      <alignment horizontal="center" vertical="center"/>
      <protection locked="0"/>
    </xf>
    <xf numFmtId="0" fontId="34" fillId="0" borderId="0" xfId="0" applyFont="1" applyAlignment="1" applyProtection="1">
      <alignment horizontal="center" vertical="center"/>
      <protection locked="0"/>
    </xf>
    <xf numFmtId="0" fontId="35" fillId="3" borderId="4" xfId="0" applyFont="1" applyFill="1" applyBorder="1" applyAlignment="1">
      <alignment horizontal="center" vertical="center"/>
    </xf>
    <xf numFmtId="166" fontId="35" fillId="3" borderId="3" xfId="0" applyNumberFormat="1" applyFont="1" applyFill="1" applyBorder="1" applyAlignment="1">
      <alignment horizontal="center" vertical="center"/>
    </xf>
    <xf numFmtId="0" fontId="35" fillId="3" borderId="2" xfId="0" applyFont="1" applyFill="1" applyBorder="1" applyAlignment="1">
      <alignment horizontal="center" vertical="center"/>
    </xf>
    <xf numFmtId="166" fontId="35" fillId="3" borderId="4" xfId="0" applyNumberFormat="1" applyFont="1" applyFill="1" applyBorder="1" applyAlignment="1">
      <alignment horizontal="center" vertical="center"/>
    </xf>
    <xf numFmtId="164" fontId="35" fillId="3" borderId="4" xfId="1" applyNumberFormat="1" applyFont="1" applyFill="1" applyBorder="1" applyAlignment="1">
      <alignment horizontal="center" vertical="center"/>
    </xf>
    <xf numFmtId="2" fontId="35" fillId="3" borderId="3" xfId="0" applyNumberFormat="1" applyFont="1" applyFill="1" applyBorder="1" applyAlignment="1">
      <alignment horizontal="center" vertical="center"/>
    </xf>
    <xf numFmtId="166" fontId="35" fillId="3" borderId="2" xfId="0" applyNumberFormat="1" applyFont="1" applyFill="1" applyBorder="1" applyAlignment="1">
      <alignment horizontal="center" vertical="center"/>
    </xf>
    <xf numFmtId="0" fontId="35" fillId="3" borderId="3" xfId="0" applyFont="1" applyFill="1" applyBorder="1" applyAlignment="1">
      <alignment horizontal="center" vertical="center"/>
    </xf>
    <xf numFmtId="0" fontId="35" fillId="3" borderId="1" xfId="0" applyFont="1" applyFill="1" applyBorder="1" applyAlignment="1">
      <alignment horizontal="center" vertical="center"/>
    </xf>
    <xf numFmtId="166" fontId="35" fillId="3" borderId="7" xfId="0" applyNumberFormat="1" applyFont="1" applyFill="1" applyBorder="1" applyAlignment="1">
      <alignment horizontal="center" vertical="center"/>
    </xf>
    <xf numFmtId="0" fontId="35" fillId="3" borderId="6" xfId="0" applyFont="1" applyFill="1" applyBorder="1" applyAlignment="1">
      <alignment horizontal="center" vertical="center"/>
    </xf>
    <xf numFmtId="166" fontId="35" fillId="3" borderId="1" xfId="0" applyNumberFormat="1" applyFont="1" applyFill="1" applyBorder="1" applyAlignment="1">
      <alignment horizontal="center" vertical="center"/>
    </xf>
    <xf numFmtId="164" fontId="35" fillId="3" borderId="1" xfId="1" applyNumberFormat="1" applyFont="1" applyFill="1" applyBorder="1" applyAlignment="1">
      <alignment horizontal="center" vertical="center"/>
    </xf>
    <xf numFmtId="2" fontId="35" fillId="3" borderId="7" xfId="0" applyNumberFormat="1" applyFont="1" applyFill="1" applyBorder="1" applyAlignment="1">
      <alignment horizontal="center" vertical="center"/>
    </xf>
    <xf numFmtId="166" fontId="35" fillId="3" borderId="6" xfId="0" applyNumberFormat="1" applyFont="1" applyFill="1" applyBorder="1" applyAlignment="1">
      <alignment horizontal="center" vertical="center"/>
    </xf>
    <xf numFmtId="0" fontId="35" fillId="3" borderId="7" xfId="0" applyFont="1" applyFill="1" applyBorder="1" applyAlignment="1">
      <alignment horizontal="center" vertical="center"/>
    </xf>
    <xf numFmtId="166" fontId="35" fillId="22" borderId="4" xfId="0" applyNumberFormat="1" applyFont="1" applyFill="1" applyBorder="1" applyAlignment="1">
      <alignment horizontal="center" vertical="center"/>
    </xf>
    <xf numFmtId="0" fontId="36" fillId="12" borderId="4" xfId="0" applyFont="1" applyFill="1" applyBorder="1" applyAlignment="1">
      <alignment horizontal="center" vertical="center"/>
    </xf>
    <xf numFmtId="0" fontId="36" fillId="12" borderId="3" xfId="0" applyFont="1" applyFill="1" applyBorder="1" applyAlignment="1">
      <alignment horizontal="center" vertical="center"/>
    </xf>
    <xf numFmtId="0" fontId="36" fillId="12" borderId="2" xfId="0" applyFont="1" applyFill="1" applyBorder="1" applyAlignment="1">
      <alignment horizontal="center" vertical="center"/>
    </xf>
    <xf numFmtId="0" fontId="35" fillId="22" borderId="0" xfId="0" applyFont="1" applyFill="1" applyAlignment="1">
      <alignment horizontal="center" vertical="center"/>
    </xf>
    <xf numFmtId="0" fontId="36" fillId="12" borderId="8" xfId="0" applyFont="1" applyFill="1" applyBorder="1" applyAlignment="1">
      <alignment horizontal="center" vertical="center"/>
    </xf>
    <xf numFmtId="0" fontId="37" fillId="0" borderId="0" xfId="0" applyFont="1" applyAlignment="1">
      <alignment horizontal="center" vertical="center"/>
    </xf>
    <xf numFmtId="165" fontId="34" fillId="0" borderId="0" xfId="1" applyNumberFormat="1" applyFont="1" applyAlignment="1">
      <alignment horizontal="center" vertical="center"/>
    </xf>
    <xf numFmtId="10" fontId="34" fillId="0" borderId="0" xfId="0" applyNumberFormat="1" applyFont="1" applyAlignment="1">
      <alignment horizontal="center" vertical="center"/>
    </xf>
    <xf numFmtId="167" fontId="34" fillId="0" borderId="0" xfId="0" applyNumberFormat="1" applyFont="1" applyAlignment="1">
      <alignment horizontal="center" vertical="center"/>
    </xf>
    <xf numFmtId="166" fontId="34" fillId="3" borderId="0" xfId="0" applyNumberFormat="1" applyFont="1" applyFill="1" applyAlignment="1">
      <alignment horizontal="center" vertical="center"/>
    </xf>
    <xf numFmtId="171" fontId="34" fillId="3" borderId="0" xfId="0" applyNumberFormat="1" applyFont="1" applyFill="1" applyAlignment="1">
      <alignment horizontal="center" vertical="center"/>
    </xf>
    <xf numFmtId="10" fontId="34" fillId="9" borderId="0" xfId="1" applyNumberFormat="1" applyFont="1" applyFill="1" applyAlignment="1" applyProtection="1">
      <alignment horizontal="center" vertical="center"/>
      <protection locked="0"/>
    </xf>
    <xf numFmtId="0" fontId="34" fillId="9" borderId="0" xfId="0" applyFont="1" applyFill="1" applyAlignment="1" applyProtection="1">
      <alignment horizontal="center" vertical="center"/>
      <protection locked="0"/>
    </xf>
    <xf numFmtId="165" fontId="34" fillId="9" borderId="0" xfId="1" applyNumberFormat="1" applyFont="1" applyFill="1" applyAlignment="1" applyProtection="1">
      <alignment horizontal="center" vertical="center"/>
      <protection locked="0"/>
    </xf>
    <xf numFmtId="14" fontId="34" fillId="3" borderId="0" xfId="0" applyNumberFormat="1" applyFont="1" applyFill="1" applyAlignment="1">
      <alignment horizontal="center" vertical="center"/>
    </xf>
    <xf numFmtId="167" fontId="34" fillId="9" borderId="0" xfId="0" applyNumberFormat="1" applyFont="1" applyFill="1" applyAlignment="1" applyProtection="1">
      <alignment horizontal="center" vertical="center"/>
      <protection locked="0"/>
    </xf>
    <xf numFmtId="167" fontId="36" fillId="12" borderId="0" xfId="0" applyNumberFormat="1" applyFont="1" applyFill="1" applyAlignment="1">
      <alignment horizontal="center" vertical="center"/>
    </xf>
    <xf numFmtId="0" fontId="36" fillId="12" borderId="0" xfId="0" applyFont="1" applyFill="1" applyAlignment="1">
      <alignment horizontal="center" vertical="center"/>
    </xf>
    <xf numFmtId="0" fontId="38" fillId="9" borderId="0" xfId="0" applyFont="1" applyFill="1" applyAlignment="1" applyProtection="1">
      <alignment horizontal="center" vertical="center"/>
      <protection locked="0"/>
    </xf>
    <xf numFmtId="0" fontId="0" fillId="0" borderId="0" xfId="0" applyAlignment="1">
      <alignment horizontal="center" vertical="center"/>
    </xf>
    <xf numFmtId="0" fontId="2" fillId="0" borderId="0" xfId="0" applyFont="1" applyAlignment="1">
      <alignment horizontal="center" vertical="center"/>
    </xf>
    <xf numFmtId="172" fontId="14" fillId="26" borderId="2" xfId="0" applyNumberFormat="1" applyFont="1" applyFill="1" applyBorder="1" applyAlignment="1">
      <alignment horizontal="center" vertical="center"/>
    </xf>
    <xf numFmtId="172" fontId="14" fillId="26" borderId="4" xfId="0" applyNumberFormat="1" applyFont="1" applyFill="1" applyBorder="1" applyAlignment="1">
      <alignment horizontal="center" vertical="center"/>
    </xf>
    <xf numFmtId="166" fontId="14" fillId="26" borderId="4" xfId="0" applyNumberFormat="1" applyFont="1" applyFill="1" applyBorder="1" applyAlignment="1">
      <alignment horizontal="center" vertical="center"/>
    </xf>
    <xf numFmtId="0" fontId="14" fillId="26" borderId="3" xfId="0" applyFont="1" applyFill="1" applyBorder="1" applyAlignment="1">
      <alignment horizontal="center" vertical="center"/>
    </xf>
    <xf numFmtId="171" fontId="14" fillId="0" borderId="2" xfId="0" applyNumberFormat="1" applyFont="1" applyBorder="1" applyAlignment="1">
      <alignment horizontal="center" vertical="center"/>
    </xf>
    <xf numFmtId="168" fontId="14" fillId="0" borderId="4" xfId="0" applyNumberFormat="1" applyFont="1" applyBorder="1" applyAlignment="1">
      <alignment horizontal="center" vertical="center"/>
    </xf>
    <xf numFmtId="165" fontId="14" fillId="0" borderId="4" xfId="0" applyNumberFormat="1" applyFont="1" applyBorder="1" applyAlignment="1">
      <alignment horizontal="center" vertical="center"/>
    </xf>
    <xf numFmtId="2" fontId="14" fillId="0" borderId="4" xfId="0" applyNumberFormat="1" applyFont="1" applyBorder="1" applyAlignment="1">
      <alignment horizontal="center" vertical="center"/>
    </xf>
    <xf numFmtId="10" fontId="14" fillId="0" borderId="3" xfId="0" applyNumberFormat="1" applyFont="1" applyBorder="1" applyAlignment="1">
      <alignment horizontal="center" vertical="center"/>
    </xf>
    <xf numFmtId="172" fontId="14" fillId="26" borderId="8" xfId="0" applyNumberFormat="1" applyFont="1" applyFill="1" applyBorder="1" applyAlignment="1">
      <alignment horizontal="center" vertical="center"/>
    </xf>
    <xf numFmtId="172" fontId="14" fillId="26" borderId="0" xfId="0" applyNumberFormat="1" applyFont="1" applyFill="1" applyAlignment="1">
      <alignment horizontal="center" vertical="center"/>
    </xf>
    <xf numFmtId="166" fontId="14" fillId="26" borderId="0" xfId="0" applyNumberFormat="1" applyFont="1" applyFill="1" applyAlignment="1">
      <alignment horizontal="center" vertical="center"/>
    </xf>
    <xf numFmtId="0" fontId="14" fillId="26" borderId="9" xfId="0" applyFont="1" applyFill="1" applyBorder="1" applyAlignment="1">
      <alignment horizontal="center" vertical="center"/>
    </xf>
    <xf numFmtId="171" fontId="14" fillId="0" borderId="8" xfId="0" applyNumberFormat="1" applyFont="1" applyBorder="1" applyAlignment="1">
      <alignment horizontal="center" vertical="center"/>
    </xf>
    <xf numFmtId="10" fontId="14" fillId="0" borderId="9" xfId="0" applyNumberFormat="1" applyFont="1" applyBorder="1" applyAlignment="1">
      <alignment horizontal="center" vertical="center"/>
    </xf>
    <xf numFmtId="10" fontId="20" fillId="0" borderId="0" xfId="0" applyNumberFormat="1" applyFont="1" applyAlignment="1">
      <alignment horizontal="center" vertical="center"/>
    </xf>
    <xf numFmtId="165" fontId="14" fillId="0" borderId="3" xfId="1" applyNumberFormat="1" applyFont="1" applyBorder="1" applyAlignment="1">
      <alignment horizontal="center" vertical="center"/>
    </xf>
    <xf numFmtId="2" fontId="14" fillId="0" borderId="5" xfId="0" applyNumberFormat="1" applyFont="1" applyBorder="1" applyAlignment="1">
      <alignment horizontal="center" vertical="center"/>
    </xf>
    <xf numFmtId="165" fontId="14" fillId="0" borderId="9" xfId="1" applyNumberFormat="1" applyFont="1" applyBorder="1" applyAlignment="1">
      <alignment horizontal="center" vertical="center"/>
    </xf>
    <xf numFmtId="2" fontId="14" fillId="0" borderId="14" xfId="0" applyNumberFormat="1" applyFont="1" applyBorder="1" applyAlignment="1">
      <alignment horizontal="center" vertical="center"/>
    </xf>
    <xf numFmtId="172" fontId="14" fillId="26" borderId="6" xfId="0" applyNumberFormat="1" applyFont="1" applyFill="1" applyBorder="1" applyAlignment="1">
      <alignment horizontal="center" vertical="center"/>
    </xf>
    <xf numFmtId="172" fontId="14" fillId="26" borderId="1" xfId="0" applyNumberFormat="1" applyFont="1" applyFill="1" applyBorder="1" applyAlignment="1">
      <alignment horizontal="center" vertical="center"/>
    </xf>
    <xf numFmtId="166" fontId="14" fillId="26" borderId="1" xfId="0" applyNumberFormat="1" applyFont="1" applyFill="1" applyBorder="1" applyAlignment="1">
      <alignment horizontal="center" vertical="center"/>
    </xf>
    <xf numFmtId="166" fontId="14" fillId="26" borderId="7" xfId="0" applyNumberFormat="1" applyFont="1" applyFill="1" applyBorder="1" applyAlignment="1">
      <alignment horizontal="center" vertical="center"/>
    </xf>
    <xf numFmtId="171" fontId="14" fillId="0" borderId="6" xfId="0" applyNumberFormat="1" applyFont="1" applyBorder="1" applyAlignment="1">
      <alignment horizontal="center" vertical="center"/>
    </xf>
    <xf numFmtId="168" fontId="14" fillId="0" borderId="1" xfId="0" applyNumberFormat="1" applyFont="1" applyBorder="1" applyAlignment="1">
      <alignment horizontal="center" vertical="center"/>
    </xf>
    <xf numFmtId="165" fontId="14" fillId="0" borderId="1" xfId="0" applyNumberFormat="1" applyFont="1" applyBorder="1" applyAlignment="1">
      <alignment horizontal="center" vertical="center"/>
    </xf>
    <xf numFmtId="0" fontId="14" fillId="26" borderId="2" xfId="0" applyFont="1" applyFill="1" applyBorder="1" applyAlignment="1">
      <alignment horizontal="center" vertical="center"/>
    </xf>
    <xf numFmtId="0" fontId="14" fillId="26" borderId="4" xfId="0" applyFont="1" applyFill="1" applyBorder="1" applyAlignment="1">
      <alignment horizontal="center" vertical="center"/>
    </xf>
    <xf numFmtId="0" fontId="14" fillId="26" borderId="1" xfId="0" applyFont="1" applyFill="1" applyBorder="1" applyAlignment="1">
      <alignment horizontal="center" vertical="center"/>
    </xf>
    <xf numFmtId="0" fontId="14" fillId="26" borderId="7" xfId="0" applyFont="1" applyFill="1" applyBorder="1" applyAlignment="1">
      <alignment horizontal="center" vertical="center"/>
    </xf>
    <xf numFmtId="172" fontId="14" fillId="27" borderId="2" xfId="0" applyNumberFormat="1" applyFont="1" applyFill="1" applyBorder="1" applyAlignment="1">
      <alignment horizontal="center" vertical="center"/>
    </xf>
    <xf numFmtId="172" fontId="14" fillId="27" borderId="4" xfId="0" applyNumberFormat="1" applyFont="1" applyFill="1" applyBorder="1" applyAlignment="1">
      <alignment horizontal="center" vertical="center"/>
    </xf>
    <xf numFmtId="166" fontId="14" fillId="27" borderId="4" xfId="0" applyNumberFormat="1" applyFont="1" applyFill="1" applyBorder="1" applyAlignment="1">
      <alignment horizontal="center" vertical="center"/>
    </xf>
    <xf numFmtId="0" fontId="14" fillId="27" borderId="3" xfId="0" applyFont="1" applyFill="1" applyBorder="1" applyAlignment="1">
      <alignment horizontal="center" vertical="center"/>
    </xf>
    <xf numFmtId="172" fontId="14" fillId="27" borderId="8" xfId="0" applyNumberFormat="1" applyFont="1" applyFill="1" applyBorder="1" applyAlignment="1">
      <alignment horizontal="center" vertical="center"/>
    </xf>
    <xf numFmtId="172" fontId="14" fillId="27" borderId="0" xfId="0" applyNumberFormat="1" applyFont="1" applyFill="1" applyAlignment="1">
      <alignment horizontal="center" vertical="center"/>
    </xf>
    <xf numFmtId="166" fontId="14" fillId="27" borderId="0" xfId="0" applyNumberFormat="1" applyFont="1" applyFill="1" applyAlignment="1">
      <alignment horizontal="center" vertical="center"/>
    </xf>
    <xf numFmtId="0" fontId="14" fillId="27" borderId="9" xfId="0" applyFont="1" applyFill="1" applyBorder="1" applyAlignment="1">
      <alignment horizontal="center" vertical="center"/>
    </xf>
    <xf numFmtId="165" fontId="14" fillId="0" borderId="6" xfId="1" applyNumberFormat="1" applyFont="1" applyBorder="1" applyAlignment="1">
      <alignment horizontal="center" vertical="center"/>
    </xf>
    <xf numFmtId="165" fontId="14" fillId="0" borderId="7" xfId="1" applyNumberFormat="1" applyFont="1" applyBorder="1" applyAlignment="1">
      <alignment horizontal="center" vertical="center"/>
    </xf>
    <xf numFmtId="2" fontId="14" fillId="0" borderId="10" xfId="0" applyNumberFormat="1" applyFont="1" applyBorder="1" applyAlignment="1">
      <alignment horizontal="center" vertical="center"/>
    </xf>
    <xf numFmtId="2" fontId="15" fillId="12" borderId="8" xfId="0" applyNumberFormat="1" applyFont="1" applyFill="1" applyBorder="1" applyAlignment="1">
      <alignment horizontal="center" vertical="center"/>
    </xf>
    <xf numFmtId="2" fontId="15" fillId="12" borderId="9" xfId="0" applyNumberFormat="1" applyFont="1" applyFill="1" applyBorder="1" applyAlignment="1">
      <alignment horizontal="center" vertical="center"/>
    </xf>
    <xf numFmtId="2" fontId="15" fillId="12" borderId="14" xfId="0" applyNumberFormat="1" applyFont="1" applyFill="1" applyBorder="1" applyAlignment="1">
      <alignment horizontal="center" vertical="center"/>
    </xf>
    <xf numFmtId="0" fontId="15" fillId="12" borderId="6" xfId="0" applyFont="1" applyFill="1" applyBorder="1" applyAlignment="1">
      <alignment horizontal="center" vertical="center"/>
    </xf>
    <xf numFmtId="0" fontId="15" fillId="12" borderId="1" xfId="0" applyFont="1" applyFill="1" applyBorder="1" applyAlignment="1">
      <alignment horizontal="center" vertical="center"/>
    </xf>
    <xf numFmtId="0" fontId="15" fillId="12" borderId="7" xfId="0" applyFont="1" applyFill="1" applyBorder="1" applyAlignment="1">
      <alignment horizontal="center" vertical="center"/>
    </xf>
    <xf numFmtId="0" fontId="15" fillId="12" borderId="10" xfId="0" applyFont="1" applyFill="1" applyBorder="1" applyAlignment="1">
      <alignment horizontal="center" vertical="center"/>
    </xf>
    <xf numFmtId="0" fontId="20" fillId="0" borderId="8" xfId="0" applyFont="1" applyBorder="1" applyAlignment="1">
      <alignment horizontal="center" vertical="center"/>
    </xf>
    <xf numFmtId="0" fontId="20" fillId="0" borderId="9" xfId="0" applyFont="1" applyBorder="1" applyAlignment="1">
      <alignment horizontal="center" vertical="center"/>
    </xf>
    <xf numFmtId="0" fontId="14" fillId="6" borderId="8" xfId="0" applyFont="1" applyFill="1" applyBorder="1" applyAlignment="1">
      <alignment horizontal="center" vertical="center"/>
    </xf>
    <xf numFmtId="0" fontId="14" fillId="6" borderId="0" xfId="0" applyFont="1" applyFill="1" applyAlignment="1">
      <alignment horizontal="center" vertical="center"/>
    </xf>
    <xf numFmtId="0" fontId="14" fillId="6" borderId="9" xfId="0" applyFont="1" applyFill="1" applyBorder="1" applyAlignment="1">
      <alignment horizontal="center" vertical="center"/>
    </xf>
    <xf numFmtId="172" fontId="14" fillId="27" borderId="6" xfId="0" applyNumberFormat="1" applyFont="1" applyFill="1" applyBorder="1" applyAlignment="1">
      <alignment horizontal="center" vertical="center"/>
    </xf>
    <xf numFmtId="172" fontId="14" fillId="27" borderId="1" xfId="0" applyNumberFormat="1" applyFont="1" applyFill="1" applyBorder="1" applyAlignment="1">
      <alignment horizontal="center" vertical="center"/>
    </xf>
    <xf numFmtId="166" fontId="14" fillId="27" borderId="1" xfId="0" applyNumberFormat="1" applyFont="1" applyFill="1" applyBorder="1" applyAlignment="1">
      <alignment horizontal="center" vertical="center"/>
    </xf>
    <xf numFmtId="166" fontId="14" fillId="27" borderId="7" xfId="0" applyNumberFormat="1" applyFont="1" applyFill="1" applyBorder="1" applyAlignment="1">
      <alignment horizontal="center" vertical="center"/>
    </xf>
    <xf numFmtId="0" fontId="14" fillId="27" borderId="2" xfId="0" applyFont="1" applyFill="1" applyBorder="1" applyAlignment="1">
      <alignment horizontal="center" vertical="center"/>
    </xf>
    <xf numFmtId="0" fontId="14" fillId="27" borderId="4" xfId="0" applyFont="1" applyFill="1" applyBorder="1" applyAlignment="1">
      <alignment horizontal="center" vertical="center"/>
    </xf>
    <xf numFmtId="0" fontId="14" fillId="27" borderId="1" xfId="0" applyFont="1" applyFill="1" applyBorder="1" applyAlignment="1">
      <alignment horizontal="center" vertical="center"/>
    </xf>
    <xf numFmtId="166" fontId="14" fillId="0" borderId="2" xfId="0" applyNumberFormat="1" applyFont="1" applyBorder="1" applyAlignment="1">
      <alignment horizontal="center" vertical="center"/>
    </xf>
    <xf numFmtId="0" fontId="20" fillId="0" borderId="3" xfId="0" applyFont="1" applyBorder="1" applyAlignment="1">
      <alignment horizontal="center" vertical="center"/>
    </xf>
    <xf numFmtId="165" fontId="26" fillId="0" borderId="2" xfId="1" applyNumberFormat="1" applyFont="1" applyBorder="1" applyAlignment="1">
      <alignment horizontal="center" vertical="center"/>
    </xf>
    <xf numFmtId="167" fontId="26" fillId="0" borderId="4" xfId="0" applyNumberFormat="1" applyFont="1" applyBorder="1" applyAlignment="1">
      <alignment horizontal="center" vertical="center"/>
    </xf>
    <xf numFmtId="0" fontId="26" fillId="0" borderId="4" xfId="0" applyFont="1" applyBorder="1" applyAlignment="1">
      <alignment horizontal="center" vertical="center"/>
    </xf>
    <xf numFmtId="10" fontId="26" fillId="0" borderId="4" xfId="1" applyNumberFormat="1" applyFont="1" applyBorder="1" applyAlignment="1">
      <alignment horizontal="center" vertical="center"/>
    </xf>
    <xf numFmtId="2" fontId="26" fillId="0" borderId="4" xfId="0" applyNumberFormat="1" applyFont="1" applyBorder="1" applyAlignment="1">
      <alignment horizontal="center" vertical="center"/>
    </xf>
    <xf numFmtId="167" fontId="26" fillId="0" borderId="3" xfId="0" applyNumberFormat="1" applyFont="1" applyBorder="1" applyAlignment="1">
      <alignment horizontal="center" vertical="center"/>
    </xf>
    <xf numFmtId="165" fontId="14" fillId="0" borderId="4" xfId="1" applyNumberFormat="1" applyFont="1" applyBorder="1" applyAlignment="1">
      <alignment horizontal="center" vertical="center"/>
    </xf>
    <xf numFmtId="167" fontId="14" fillId="0" borderId="3" xfId="0" applyNumberFormat="1" applyFont="1" applyBorder="1" applyAlignment="1">
      <alignment horizontal="center" vertical="center"/>
    </xf>
    <xf numFmtId="2" fontId="14" fillId="0" borderId="8" xfId="0" applyNumberFormat="1" applyFont="1" applyBorder="1" applyAlignment="1">
      <alignment horizontal="center" vertical="center"/>
    </xf>
    <xf numFmtId="165" fontId="26" fillId="0" borderId="8" xfId="1" applyNumberFormat="1" applyFont="1" applyBorder="1" applyAlignment="1">
      <alignment horizontal="center" vertical="center"/>
    </xf>
    <xf numFmtId="167" fontId="26" fillId="0" borderId="0" xfId="0" applyNumberFormat="1" applyFont="1" applyAlignment="1">
      <alignment horizontal="center" vertical="center"/>
    </xf>
    <xf numFmtId="0" fontId="26" fillId="0" borderId="0" xfId="0" applyFont="1" applyAlignment="1">
      <alignment horizontal="center" vertical="center"/>
    </xf>
    <xf numFmtId="10" fontId="26" fillId="0" borderId="0" xfId="1" applyNumberFormat="1" applyFont="1" applyBorder="1" applyAlignment="1">
      <alignment horizontal="center" vertical="center"/>
    </xf>
    <xf numFmtId="2" fontId="26" fillId="0" borderId="0" xfId="0" applyNumberFormat="1" applyFont="1" applyAlignment="1">
      <alignment horizontal="center" vertical="center"/>
    </xf>
    <xf numFmtId="167" fontId="26" fillId="0" borderId="9" xfId="0" applyNumberFormat="1" applyFont="1" applyBorder="1" applyAlignment="1">
      <alignment horizontal="center" vertical="center"/>
    </xf>
    <xf numFmtId="165" fontId="14" fillId="0" borderId="0" xfId="1" applyNumberFormat="1" applyFont="1" applyBorder="1" applyAlignment="1">
      <alignment horizontal="center" vertical="center"/>
    </xf>
    <xf numFmtId="167" fontId="14" fillId="0" borderId="9" xfId="0" applyNumberFormat="1" applyFont="1" applyBorder="1" applyAlignment="1">
      <alignment horizontal="center" vertical="center"/>
    </xf>
    <xf numFmtId="0" fontId="20" fillId="0" borderId="7" xfId="0" applyFont="1" applyBorder="1" applyAlignment="1">
      <alignment horizontal="center" vertical="center"/>
    </xf>
    <xf numFmtId="165" fontId="26" fillId="0" borderId="6" xfId="1" applyNumberFormat="1" applyFont="1" applyBorder="1" applyAlignment="1">
      <alignment horizontal="center" vertical="center"/>
    </xf>
    <xf numFmtId="167" fontId="26" fillId="0" borderId="1" xfId="0" applyNumberFormat="1" applyFont="1" applyBorder="1" applyAlignment="1">
      <alignment horizontal="center" vertical="center"/>
    </xf>
    <xf numFmtId="0" fontId="26" fillId="0" borderId="1" xfId="0" applyFont="1" applyBorder="1" applyAlignment="1">
      <alignment horizontal="center" vertical="center"/>
    </xf>
    <xf numFmtId="10" fontId="26" fillId="0" borderId="1" xfId="1" applyNumberFormat="1" applyFont="1" applyBorder="1" applyAlignment="1">
      <alignment horizontal="center" vertical="center"/>
    </xf>
    <xf numFmtId="2" fontId="26" fillId="0" borderId="1" xfId="0" applyNumberFormat="1" applyFont="1" applyBorder="1" applyAlignment="1">
      <alignment horizontal="center" vertical="center"/>
    </xf>
    <xf numFmtId="167" fontId="26" fillId="0" borderId="7" xfId="0" applyNumberFormat="1" applyFont="1" applyBorder="1" applyAlignment="1">
      <alignment horizontal="center" vertical="center"/>
    </xf>
    <xf numFmtId="165" fontId="14" fillId="0" borderId="1" xfId="1" applyNumberFormat="1" applyFont="1" applyBorder="1" applyAlignment="1">
      <alignment horizontal="center" vertical="center"/>
    </xf>
    <xf numFmtId="167" fontId="14" fillId="0" borderId="7" xfId="0" applyNumberFormat="1" applyFont="1" applyBorder="1" applyAlignment="1">
      <alignment horizontal="center" vertical="center"/>
    </xf>
    <xf numFmtId="0" fontId="19" fillId="27" borderId="4" xfId="0" applyFont="1" applyFill="1" applyBorder="1" applyAlignment="1">
      <alignment horizontal="center" vertical="center"/>
    </xf>
    <xf numFmtId="0" fontId="19" fillId="12" borderId="4" xfId="0" applyFont="1" applyFill="1" applyBorder="1" applyAlignment="1">
      <alignment horizontal="center" vertical="center"/>
    </xf>
    <xf numFmtId="0" fontId="19" fillId="29" borderId="4" xfId="0" applyFont="1" applyFill="1" applyBorder="1" applyAlignment="1">
      <alignment horizontal="center" vertical="center"/>
    </xf>
    <xf numFmtId="0" fontId="19" fillId="29" borderId="3" xfId="0" applyFont="1" applyFill="1" applyBorder="1" applyAlignment="1">
      <alignment horizontal="center" vertical="center"/>
    </xf>
    <xf numFmtId="0" fontId="19" fillId="27" borderId="1" xfId="0" applyFont="1" applyFill="1" applyBorder="1" applyAlignment="1">
      <alignment horizontal="center" vertical="center"/>
    </xf>
    <xf numFmtId="0" fontId="19" fillId="12" borderId="1" xfId="0" applyFont="1" applyFill="1" applyBorder="1" applyAlignment="1">
      <alignment horizontal="center" vertical="center"/>
    </xf>
    <xf numFmtId="0" fontId="19" fillId="29" borderId="1" xfId="0" applyFont="1" applyFill="1" applyBorder="1" applyAlignment="1">
      <alignment horizontal="center" vertical="center"/>
    </xf>
    <xf numFmtId="10" fontId="19" fillId="29" borderId="1" xfId="1" applyNumberFormat="1" applyFont="1" applyFill="1" applyBorder="1" applyAlignment="1">
      <alignment horizontal="center" vertical="center"/>
    </xf>
    <xf numFmtId="2" fontId="19" fillId="29" borderId="1" xfId="0" applyNumberFormat="1" applyFont="1" applyFill="1" applyBorder="1" applyAlignment="1">
      <alignment horizontal="center" vertical="center"/>
    </xf>
    <xf numFmtId="2" fontId="19" fillId="29" borderId="7" xfId="0" applyNumberFormat="1" applyFont="1" applyFill="1" applyBorder="1" applyAlignment="1">
      <alignment horizontal="center" vertical="center"/>
    </xf>
    <xf numFmtId="10" fontId="20" fillId="9" borderId="0" xfId="1" applyNumberFormat="1" applyFont="1" applyFill="1" applyAlignment="1">
      <alignment horizontal="center" vertical="center"/>
    </xf>
    <xf numFmtId="0" fontId="20" fillId="9" borderId="0" xfId="0" applyFont="1" applyFill="1" applyAlignment="1">
      <alignment horizontal="center" vertical="center"/>
    </xf>
    <xf numFmtId="14" fontId="14" fillId="0" borderId="0" xfId="0" applyNumberFormat="1" applyFont="1" applyAlignment="1">
      <alignment horizontal="center" vertical="center"/>
    </xf>
    <xf numFmtId="0" fontId="34" fillId="0" borderId="0" xfId="0" applyFont="1"/>
    <xf numFmtId="0" fontId="36" fillId="12" borderId="9" xfId="0" applyFont="1" applyFill="1" applyBorder="1" applyAlignment="1">
      <alignment horizontal="center" vertical="center"/>
    </xf>
    <xf numFmtId="167" fontId="36" fillId="12" borderId="4" xfId="0" applyNumberFormat="1" applyFont="1" applyFill="1" applyBorder="1" applyAlignment="1">
      <alignment horizontal="center" vertical="center"/>
    </xf>
    <xf numFmtId="167" fontId="36" fillId="12" borderId="2" xfId="0" applyNumberFormat="1" applyFont="1" applyFill="1" applyBorder="1" applyAlignment="1">
      <alignment horizontal="center" vertical="center"/>
    </xf>
    <xf numFmtId="0" fontId="7" fillId="6" borderId="8" xfId="0" applyFont="1" applyFill="1" applyBorder="1" applyAlignment="1">
      <alignment horizontal="center" vertical="center"/>
    </xf>
    <xf numFmtId="0" fontId="7" fillId="6" borderId="6" xfId="0" applyFont="1" applyFill="1" applyBorder="1" applyAlignment="1">
      <alignment horizontal="center" vertical="center"/>
    </xf>
    <xf numFmtId="0" fontId="6" fillId="0" borderId="0" xfId="0" applyFont="1" applyAlignment="1">
      <alignment horizontal="center"/>
    </xf>
    <xf numFmtId="0" fontId="5" fillId="3" borderId="0" xfId="0" applyFont="1" applyFill="1" applyAlignment="1">
      <alignment horizontal="center"/>
    </xf>
    <xf numFmtId="167" fontId="5" fillId="9" borderId="0" xfId="0" applyNumberFormat="1" applyFont="1" applyFill="1" applyAlignment="1" applyProtection="1">
      <alignment horizontal="center"/>
      <protection locked="0"/>
    </xf>
    <xf numFmtId="0" fontId="5" fillId="0" borderId="0" xfId="0" applyFont="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14" fontId="16" fillId="0" borderId="0" xfId="0" applyNumberFormat="1" applyFont="1" applyAlignment="1">
      <alignment horizontal="center" vertical="center"/>
    </xf>
    <xf numFmtId="0" fontId="14" fillId="0" borderId="0" xfId="0" applyFont="1"/>
    <xf numFmtId="0" fontId="14" fillId="0" borderId="0" xfId="0" applyFont="1" applyAlignment="1">
      <alignment horizontal="center"/>
    </xf>
    <xf numFmtId="10" fontId="14" fillId="0" borderId="0" xfId="1" applyNumberFormat="1" applyFont="1" applyAlignment="1">
      <alignment horizontal="center"/>
    </xf>
    <xf numFmtId="0" fontId="14" fillId="0" borderId="0" xfId="0" applyFont="1" applyFill="1" applyAlignment="1">
      <alignment horizontal="center" vertical="center"/>
    </xf>
    <xf numFmtId="0" fontId="35" fillId="0" borderId="0" xfId="0" applyFont="1" applyAlignment="1">
      <alignment horizontal="center" vertical="center"/>
    </xf>
    <xf numFmtId="0" fontId="14" fillId="0" borderId="0" xfId="0" applyFont="1" applyAlignment="1">
      <alignment horizontal="center" vertical="center"/>
    </xf>
    <xf numFmtId="0" fontId="6" fillId="0" borderId="9" xfId="0" applyFont="1" applyBorder="1" applyAlignment="1">
      <alignment horizontal="left" indent="2"/>
    </xf>
    <xf numFmtId="0" fontId="21" fillId="0" borderId="0" xfId="0" applyFont="1" applyAlignment="1">
      <alignment horizontal="center"/>
    </xf>
    <xf numFmtId="0" fontId="6" fillId="0" borderId="0" xfId="0" applyFont="1" applyAlignment="1"/>
    <xf numFmtId="0" fontId="14" fillId="0" borderId="0" xfId="0" applyFont="1" applyAlignment="1">
      <alignment horizontal="center"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9" xfId="0" applyFont="1" applyBorder="1" applyAlignment="1">
      <alignment horizontal="center" vertical="center"/>
    </xf>
    <xf numFmtId="0" fontId="14" fillId="0" borderId="7" xfId="0" applyFont="1" applyBorder="1" applyAlignment="1">
      <alignment horizontal="center" vertical="center"/>
    </xf>
    <xf numFmtId="0" fontId="14" fillId="0" borderId="1" xfId="0" applyFont="1" applyBorder="1" applyAlignment="1">
      <alignment horizontal="center" vertical="center"/>
    </xf>
    <xf numFmtId="164" fontId="14" fillId="21" borderId="1" xfId="1" applyNumberFormat="1" applyFont="1" applyFill="1" applyBorder="1" applyAlignment="1">
      <alignment horizontal="center" vertical="center"/>
    </xf>
    <xf numFmtId="164" fontId="14" fillId="21" borderId="6" xfId="1" applyNumberFormat="1" applyFont="1" applyFill="1" applyBorder="1" applyAlignment="1">
      <alignment horizontal="center" vertical="center"/>
    </xf>
    <xf numFmtId="164" fontId="14" fillId="21" borderId="0" xfId="1" applyNumberFormat="1" applyFont="1" applyFill="1" applyBorder="1" applyAlignment="1">
      <alignment horizontal="center" vertical="center"/>
    </xf>
    <xf numFmtId="164" fontId="14" fillId="21" borderId="8" xfId="1" applyNumberFormat="1" applyFont="1" applyFill="1" applyBorder="1" applyAlignment="1">
      <alignment horizontal="center" vertical="center"/>
    </xf>
    <xf numFmtId="0" fontId="14" fillId="0" borderId="0" xfId="0" applyFont="1" applyBorder="1" applyAlignment="1">
      <alignment horizontal="center" vertical="center"/>
    </xf>
    <xf numFmtId="164" fontId="14" fillId="21" borderId="4" xfId="1" applyNumberFormat="1" applyFont="1" applyFill="1" applyBorder="1" applyAlignment="1">
      <alignment horizontal="center" vertical="center"/>
    </xf>
    <xf numFmtId="164" fontId="14" fillId="21" borderId="2" xfId="1" applyNumberFormat="1" applyFont="1" applyFill="1" applyBorder="1" applyAlignment="1">
      <alignment horizontal="center" vertical="center"/>
    </xf>
    <xf numFmtId="0" fontId="11" fillId="9" borderId="16" xfId="0" applyFont="1" applyFill="1" applyBorder="1" applyAlignment="1" applyProtection="1">
      <alignment horizontal="center"/>
      <protection locked="0"/>
    </xf>
    <xf numFmtId="0" fontId="5" fillId="9" borderId="17" xfId="0" applyFont="1" applyFill="1" applyBorder="1" applyAlignment="1" applyProtection="1">
      <alignment horizontal="center"/>
      <protection locked="0"/>
    </xf>
    <xf numFmtId="0" fontId="14" fillId="0" borderId="0" xfId="0" applyFont="1" applyAlignment="1">
      <alignment horizontal="left"/>
    </xf>
    <xf numFmtId="0" fontId="3" fillId="0" borderId="0" xfId="0" applyFont="1" applyFill="1" applyAlignment="1">
      <alignment vertical="center"/>
    </xf>
    <xf numFmtId="0" fontId="20" fillId="9" borderId="7" xfId="0" applyFont="1" applyFill="1" applyBorder="1" applyAlignment="1" applyProtection="1">
      <alignment horizontal="center" vertical="center"/>
      <protection locked="0"/>
    </xf>
    <xf numFmtId="0" fontId="34" fillId="0" borderId="12" xfId="0" applyFont="1" applyFill="1" applyBorder="1" applyAlignment="1">
      <alignment horizontal="center" vertical="center"/>
    </xf>
    <xf numFmtId="0" fontId="34" fillId="0" borderId="0" xfId="0" applyFont="1" applyFill="1" applyAlignment="1">
      <alignment horizontal="center" vertical="center"/>
    </xf>
    <xf numFmtId="169" fontId="14" fillId="0" borderId="0" xfId="0" applyNumberFormat="1" applyFont="1" applyAlignment="1">
      <alignment horizontal="center" vertical="center"/>
    </xf>
    <xf numFmtId="0" fontId="14" fillId="0" borderId="0" xfId="0" applyFont="1" applyAlignment="1">
      <alignment horizontal="center" vertical="center"/>
    </xf>
    <xf numFmtId="0" fontId="14" fillId="21" borderId="0" xfId="0" applyFont="1" applyFill="1" applyAlignment="1">
      <alignment horizontal="center" vertical="center"/>
    </xf>
    <xf numFmtId="0" fontId="14" fillId="0" borderId="0" xfId="0" applyFont="1" applyAlignment="1">
      <alignment horizontal="center" vertical="center"/>
    </xf>
    <xf numFmtId="165" fontId="14" fillId="0" borderId="0" xfId="0" applyNumberFormat="1" applyFont="1" applyAlignment="1">
      <alignment horizontal="center" vertical="center"/>
    </xf>
    <xf numFmtId="169" fontId="14" fillId="21" borderId="0" xfId="1" applyNumberFormat="1" applyFont="1" applyFill="1" applyAlignment="1">
      <alignment horizontal="center" vertical="center"/>
    </xf>
    <xf numFmtId="0" fontId="14" fillId="3" borderId="0" xfId="0" applyFont="1" applyFill="1" applyAlignment="1">
      <alignment horizontal="center" vertical="center"/>
    </xf>
    <xf numFmtId="0" fontId="19" fillId="0" borderId="0" xfId="0" applyFont="1" applyAlignment="1">
      <alignment horizontal="center" vertical="center"/>
    </xf>
    <xf numFmtId="0" fontId="6" fillId="0" borderId="0" xfId="0" applyFont="1" applyAlignment="1">
      <alignment horizontal="center"/>
    </xf>
    <xf numFmtId="0" fontId="11" fillId="0" borderId="0" xfId="0" applyFont="1" applyAlignment="1">
      <alignment horizontal="center"/>
    </xf>
    <xf numFmtId="0" fontId="6" fillId="9" borderId="15" xfId="0" applyFont="1" applyFill="1" applyBorder="1" applyAlignment="1" applyProtection="1">
      <alignment horizontal="center" vertical="center"/>
      <protection locked="0"/>
    </xf>
    <xf numFmtId="0" fontId="14" fillId="21" borderId="0" xfId="0" applyFont="1" applyFill="1" applyAlignment="1">
      <alignment horizontal="center" vertical="center"/>
    </xf>
    <xf numFmtId="0" fontId="44" fillId="0" borderId="0" xfId="0" applyFont="1" applyAlignment="1">
      <alignment horizontal="center"/>
    </xf>
    <xf numFmtId="0" fontId="14" fillId="0" borderId="0" xfId="0" applyFont="1" applyAlignment="1">
      <alignment horizontal="center" vertical="center"/>
    </xf>
    <xf numFmtId="164" fontId="14" fillId="14" borderId="1" xfId="1" applyNumberFormat="1" applyFont="1" applyFill="1" applyBorder="1" applyAlignment="1">
      <alignment horizontal="center" vertical="center"/>
    </xf>
    <xf numFmtId="164" fontId="14" fillId="14" borderId="6" xfId="1" applyNumberFormat="1" applyFont="1" applyFill="1" applyBorder="1" applyAlignment="1">
      <alignment horizontal="center" vertical="center"/>
    </xf>
    <xf numFmtId="164" fontId="14" fillId="14" borderId="0" xfId="1" applyNumberFormat="1" applyFont="1" applyFill="1" applyBorder="1" applyAlignment="1">
      <alignment horizontal="center" vertical="center"/>
    </xf>
    <xf numFmtId="164" fontId="14" fillId="14" borderId="8" xfId="1" applyNumberFormat="1" applyFont="1" applyFill="1" applyBorder="1" applyAlignment="1">
      <alignment horizontal="center" vertical="center"/>
    </xf>
    <xf numFmtId="0" fontId="0" fillId="0" borderId="0" xfId="0" applyFill="1" applyAlignment="1">
      <alignment horizontal="center"/>
    </xf>
    <xf numFmtId="167" fontId="5" fillId="0" borderId="0" xfId="0" applyNumberFormat="1" applyFont="1" applyAlignment="1">
      <alignment horizontal="center" vertical="center"/>
    </xf>
    <xf numFmtId="167" fontId="5" fillId="0" borderId="8" xfId="0" applyNumberFormat="1" applyFont="1" applyBorder="1" applyAlignment="1">
      <alignment horizontal="center" vertical="center"/>
    </xf>
    <xf numFmtId="166" fontId="5" fillId="3" borderId="0" xfId="0" applyNumberFormat="1" applyFont="1" applyFill="1" applyAlignment="1">
      <alignment horizontal="center" vertical="center"/>
    </xf>
    <xf numFmtId="0" fontId="5" fillId="9" borderId="0" xfId="0" applyFont="1" applyFill="1" applyAlignment="1" applyProtection="1">
      <alignment horizontal="center" vertical="center"/>
      <protection locked="0"/>
    </xf>
    <xf numFmtId="0" fontId="9" fillId="12" borderId="7" xfId="0" applyFont="1" applyFill="1" applyBorder="1" applyAlignment="1">
      <alignment horizontal="center" vertical="center"/>
    </xf>
    <xf numFmtId="0" fontId="9" fillId="12" borderId="1" xfId="0" applyFont="1" applyFill="1" applyBorder="1" applyAlignment="1">
      <alignment horizontal="center" vertical="center"/>
    </xf>
    <xf numFmtId="0" fontId="9" fillId="12" borderId="6" xfId="0" applyFont="1" applyFill="1" applyBorder="1" applyAlignment="1">
      <alignment horizontal="center" vertical="center"/>
    </xf>
    <xf numFmtId="0" fontId="9" fillId="12" borderId="3" xfId="0" applyFont="1" applyFill="1" applyBorder="1" applyAlignment="1">
      <alignment horizontal="center" vertical="center"/>
    </xf>
    <xf numFmtId="0" fontId="9" fillId="12" borderId="4" xfId="0" applyFont="1" applyFill="1" applyBorder="1" applyAlignment="1">
      <alignment horizontal="center" vertical="center"/>
    </xf>
    <xf numFmtId="0" fontId="9" fillId="12" borderId="2" xfId="0" applyFont="1" applyFill="1" applyBorder="1" applyAlignment="1">
      <alignment horizontal="center" vertical="center"/>
    </xf>
    <xf numFmtId="167" fontId="5" fillId="9" borderId="0" xfId="0" applyNumberFormat="1" applyFont="1" applyFill="1" applyAlignment="1" applyProtection="1">
      <alignment horizontal="center" vertical="center"/>
      <protection locked="0"/>
    </xf>
    <xf numFmtId="0" fontId="10" fillId="12" borderId="13" xfId="0" applyFont="1" applyFill="1" applyBorder="1" applyAlignment="1">
      <alignment horizontal="center" vertical="center"/>
    </xf>
    <xf numFmtId="0" fontId="10" fillId="12" borderId="11" xfId="0" applyFont="1" applyFill="1" applyBorder="1" applyAlignment="1">
      <alignment horizontal="center" vertical="center"/>
    </xf>
    <xf numFmtId="0" fontId="9" fillId="12" borderId="13" xfId="0" applyFont="1" applyFill="1" applyBorder="1" applyAlignment="1">
      <alignment horizontal="center" vertical="center"/>
    </xf>
    <xf numFmtId="0" fontId="9" fillId="12" borderId="11" xfId="0" applyFont="1" applyFill="1" applyBorder="1" applyAlignment="1">
      <alignment horizontal="center" vertical="center"/>
    </xf>
    <xf numFmtId="165" fontId="5" fillId="3" borderId="4" xfId="1" applyNumberFormat="1" applyFont="1" applyFill="1" applyBorder="1" applyAlignment="1">
      <alignment horizontal="center" vertical="center"/>
    </xf>
    <xf numFmtId="165" fontId="5" fillId="3" borderId="2" xfId="1" applyNumberFormat="1" applyFont="1" applyFill="1" applyBorder="1" applyAlignment="1">
      <alignment horizontal="center" vertical="center"/>
    </xf>
    <xf numFmtId="0" fontId="5" fillId="3" borderId="8" xfId="0" applyFont="1" applyFill="1" applyBorder="1" applyAlignment="1">
      <alignment horizontal="center" vertical="center"/>
    </xf>
    <xf numFmtId="166" fontId="5" fillId="3" borderId="8" xfId="0" applyNumberFormat="1" applyFont="1" applyFill="1" applyBorder="1" applyAlignment="1">
      <alignment horizontal="center" vertical="center"/>
    </xf>
    <xf numFmtId="0" fontId="5" fillId="9" borderId="8" xfId="0" applyFont="1" applyFill="1" applyBorder="1" applyAlignment="1" applyProtection="1">
      <alignment horizontal="center" vertical="center"/>
      <protection locked="0"/>
    </xf>
    <xf numFmtId="167" fontId="5" fillId="3" borderId="0" xfId="0" applyNumberFormat="1" applyFont="1" applyFill="1" applyAlignment="1">
      <alignment horizontal="center" vertical="center"/>
    </xf>
    <xf numFmtId="0" fontId="9" fillId="12" borderId="0" xfId="0" applyFont="1" applyFill="1" applyAlignment="1">
      <alignment horizontal="center" vertical="center"/>
    </xf>
    <xf numFmtId="167" fontId="5" fillId="0" borderId="1" xfId="0" applyNumberFormat="1" applyFont="1" applyBorder="1" applyAlignment="1">
      <alignment horizontal="center" vertical="center"/>
    </xf>
    <xf numFmtId="167" fontId="5" fillId="0" borderId="6" xfId="0" applyNumberFormat="1" applyFont="1" applyBorder="1" applyAlignment="1">
      <alignment horizontal="center" vertical="center"/>
    </xf>
    <xf numFmtId="167" fontId="6" fillId="2" borderId="12" xfId="0" applyNumberFormat="1" applyFont="1" applyFill="1" applyBorder="1" applyAlignment="1">
      <alignment horizontal="center" vertical="center"/>
    </xf>
    <xf numFmtId="167" fontId="6" fillId="2" borderId="11" xfId="0" applyNumberFormat="1" applyFont="1" applyFill="1" applyBorder="1" applyAlignment="1">
      <alignment horizontal="center" vertical="center"/>
    </xf>
    <xf numFmtId="0" fontId="4" fillId="0" borderId="1" xfId="0" applyFont="1" applyBorder="1" applyAlignment="1">
      <alignment horizontal="center" vertical="center" wrapText="1"/>
    </xf>
    <xf numFmtId="0" fontId="5" fillId="3" borderId="0" xfId="0" applyFont="1" applyFill="1" applyAlignment="1">
      <alignment horizontal="center" vertical="center"/>
    </xf>
    <xf numFmtId="0" fontId="5" fillId="9" borderId="1" xfId="0" applyFont="1" applyFill="1" applyBorder="1" applyAlignment="1" applyProtection="1">
      <alignment horizontal="center" vertical="center"/>
      <protection locked="0"/>
    </xf>
    <xf numFmtId="0" fontId="5" fillId="9" borderId="6" xfId="0" applyFont="1" applyFill="1" applyBorder="1" applyAlignment="1" applyProtection="1">
      <alignment horizontal="center" vertical="center"/>
      <protection locked="0"/>
    </xf>
    <xf numFmtId="166" fontId="7" fillId="6" borderId="0" xfId="0" applyNumberFormat="1" applyFont="1" applyFill="1" applyAlignment="1">
      <alignment horizontal="center" vertical="center"/>
    </xf>
    <xf numFmtId="166" fontId="7" fillId="6" borderId="8" xfId="0" applyNumberFormat="1" applyFont="1" applyFill="1" applyBorder="1" applyAlignment="1">
      <alignment horizontal="center" vertical="center"/>
    </xf>
    <xf numFmtId="0" fontId="7" fillId="6" borderId="1" xfId="0" applyFont="1" applyFill="1" applyBorder="1" applyAlignment="1">
      <alignment horizontal="center" vertical="center"/>
    </xf>
    <xf numFmtId="0" fontId="7" fillId="6" borderId="6" xfId="0" applyFont="1" applyFill="1" applyBorder="1" applyAlignment="1">
      <alignment horizontal="center" vertical="center"/>
    </xf>
    <xf numFmtId="5" fontId="5" fillId="3" borderId="0" xfId="0" applyNumberFormat="1" applyFont="1" applyFill="1" applyAlignment="1">
      <alignment horizontal="center" vertical="center"/>
    </xf>
    <xf numFmtId="10" fontId="5" fillId="3" borderId="1" xfId="1" applyNumberFormat="1" applyFont="1" applyFill="1" applyBorder="1" applyAlignment="1">
      <alignment horizontal="center" vertical="center"/>
    </xf>
    <xf numFmtId="0" fontId="7" fillId="6" borderId="0" xfId="0" applyFont="1" applyFill="1" applyAlignment="1">
      <alignment horizontal="center" vertical="center"/>
    </xf>
    <xf numFmtId="0" fontId="7" fillId="6" borderId="8" xfId="0" applyFont="1" applyFill="1" applyBorder="1" applyAlignment="1">
      <alignment horizontal="center" vertical="center"/>
    </xf>
    <xf numFmtId="10" fontId="7" fillId="6" borderId="0" xfId="0" applyNumberFormat="1" applyFont="1" applyFill="1" applyAlignment="1">
      <alignment horizontal="center" vertical="center"/>
    </xf>
    <xf numFmtId="10" fontId="7" fillId="6" borderId="8" xfId="0" applyNumberFormat="1" applyFont="1" applyFill="1" applyBorder="1" applyAlignment="1">
      <alignment horizontal="center" vertical="center"/>
    </xf>
    <xf numFmtId="167" fontId="5" fillId="0" borderId="4" xfId="0" applyNumberFormat="1" applyFont="1" applyBorder="1" applyAlignment="1">
      <alignment horizontal="center" vertical="center"/>
    </xf>
    <xf numFmtId="167" fontId="5" fillId="0" borderId="2" xfId="0" applyNumberFormat="1" applyFont="1" applyBorder="1" applyAlignment="1">
      <alignment horizontal="center" vertical="center"/>
    </xf>
    <xf numFmtId="0" fontId="6" fillId="0" borderId="0" xfId="0" applyFont="1" applyAlignment="1">
      <alignment horizontal="center" vertical="center"/>
    </xf>
    <xf numFmtId="0" fontId="6" fillId="0" borderId="1" xfId="0" applyFont="1" applyBorder="1" applyAlignment="1">
      <alignment horizontal="center" vertical="center"/>
    </xf>
    <xf numFmtId="10" fontId="5" fillId="9" borderId="0" xfId="1" applyNumberFormat="1" applyFont="1" applyFill="1" applyAlignment="1" applyProtection="1">
      <alignment horizontal="center" vertical="center"/>
      <protection locked="0"/>
    </xf>
    <xf numFmtId="0" fontId="6" fillId="5" borderId="10" xfId="0" applyFont="1" applyFill="1" applyBorder="1" applyAlignment="1">
      <alignment horizontal="center" vertical="center"/>
    </xf>
    <xf numFmtId="0" fontId="6" fillId="5" borderId="5" xfId="0" applyFont="1" applyFill="1" applyBorder="1" applyAlignment="1">
      <alignment horizontal="center" vertical="center"/>
    </xf>
    <xf numFmtId="10" fontId="7" fillId="6" borderId="4" xfId="0" applyNumberFormat="1" applyFont="1" applyFill="1" applyBorder="1" applyAlignment="1">
      <alignment horizontal="center" vertical="center"/>
    </xf>
    <xf numFmtId="10" fontId="7" fillId="6" borderId="2" xfId="0" applyNumberFormat="1" applyFont="1" applyFill="1" applyBorder="1" applyAlignment="1">
      <alignment horizontal="center" vertical="center"/>
    </xf>
    <xf numFmtId="0" fontId="8" fillId="6" borderId="9" xfId="0" applyFont="1" applyFill="1" applyBorder="1" applyAlignment="1">
      <alignment horizontal="center" vertical="center"/>
    </xf>
    <xf numFmtId="0" fontId="8" fillId="6" borderId="0" xfId="0" applyFont="1" applyFill="1" applyAlignment="1">
      <alignment horizontal="center" vertical="center"/>
    </xf>
    <xf numFmtId="0" fontId="8" fillId="6" borderId="3" xfId="0" applyFont="1" applyFill="1" applyBorder="1" applyAlignment="1">
      <alignment horizontal="center" vertical="center"/>
    </xf>
    <xf numFmtId="0" fontId="8" fillId="6" borderId="4"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1" xfId="0" applyFont="1" applyFill="1" applyBorder="1" applyAlignment="1">
      <alignment horizontal="center" vertical="center"/>
    </xf>
    <xf numFmtId="0" fontId="9" fillId="12" borderId="12" xfId="0" applyFont="1" applyFill="1" applyBorder="1" applyAlignment="1">
      <alignment horizontal="center" vertical="center"/>
    </xf>
    <xf numFmtId="0" fontId="8" fillId="6" borderId="13" xfId="0" applyFont="1" applyFill="1" applyBorder="1" applyAlignment="1">
      <alignment horizontal="center" vertical="center"/>
    </xf>
    <xf numFmtId="0" fontId="8" fillId="6" borderId="12" xfId="0" applyFont="1" applyFill="1" applyBorder="1" applyAlignment="1">
      <alignment horizontal="center" vertical="center"/>
    </xf>
    <xf numFmtId="0" fontId="8" fillId="6" borderId="11" xfId="0" applyFont="1" applyFill="1" applyBorder="1" applyAlignment="1">
      <alignment horizontal="center" vertical="center"/>
    </xf>
    <xf numFmtId="166" fontId="5" fillId="9" borderId="0" xfId="0" applyNumberFormat="1" applyFont="1" applyFill="1" applyAlignment="1" applyProtection="1">
      <alignment horizontal="center" vertical="center"/>
      <protection locked="0"/>
    </xf>
    <xf numFmtId="10" fontId="5" fillId="3" borderId="0" xfId="1" applyNumberFormat="1" applyFont="1" applyFill="1" applyAlignment="1">
      <alignment horizontal="center" vertical="center"/>
    </xf>
    <xf numFmtId="0" fontId="12" fillId="0" borderId="0" xfId="0" applyFont="1" applyAlignment="1">
      <alignment horizontal="center" vertical="center" wrapText="1"/>
    </xf>
    <xf numFmtId="0" fontId="12" fillId="0" borderId="4" xfId="0" applyFont="1" applyBorder="1" applyAlignment="1">
      <alignment horizontal="center" vertical="center" wrapText="1"/>
    </xf>
    <xf numFmtId="14" fontId="12" fillId="0" borderId="0" xfId="0" applyNumberFormat="1" applyFont="1" applyAlignment="1">
      <alignment horizontal="center" vertical="center"/>
    </xf>
    <xf numFmtId="14" fontId="12" fillId="0" borderId="4" xfId="0" applyNumberFormat="1" applyFont="1" applyBorder="1" applyAlignment="1">
      <alignment horizontal="center" vertical="center"/>
    </xf>
    <xf numFmtId="0" fontId="6" fillId="7" borderId="10" xfId="0" applyFont="1" applyFill="1" applyBorder="1" applyAlignment="1">
      <alignment horizontal="center" vertical="center"/>
    </xf>
    <xf numFmtId="0" fontId="6" fillId="7" borderId="5" xfId="0" applyFont="1" applyFill="1" applyBorder="1" applyAlignment="1">
      <alignment horizontal="center" vertical="center"/>
    </xf>
    <xf numFmtId="0" fontId="6" fillId="8" borderId="10" xfId="0" applyFont="1" applyFill="1" applyBorder="1" applyAlignment="1">
      <alignment horizontal="center" vertical="center"/>
    </xf>
    <xf numFmtId="0" fontId="6" fillId="8" borderId="5" xfId="0" applyFont="1" applyFill="1" applyBorder="1" applyAlignment="1">
      <alignment horizontal="center" vertical="center"/>
    </xf>
    <xf numFmtId="0" fontId="6" fillId="10" borderId="10" xfId="0" applyFont="1" applyFill="1" applyBorder="1" applyAlignment="1">
      <alignment horizontal="center" vertical="center"/>
    </xf>
    <xf numFmtId="0" fontId="6" fillId="10" borderId="5" xfId="0" applyFont="1" applyFill="1" applyBorder="1" applyAlignment="1">
      <alignment horizontal="center" vertical="center"/>
    </xf>
    <xf numFmtId="0" fontId="6" fillId="11" borderId="10" xfId="0" applyFont="1" applyFill="1" applyBorder="1" applyAlignment="1">
      <alignment horizontal="center" vertical="center"/>
    </xf>
    <xf numFmtId="0" fontId="6" fillId="11" borderId="5" xfId="0" applyFont="1" applyFill="1" applyBorder="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0" fontId="6" fillId="0" borderId="9" xfId="0" applyFont="1" applyBorder="1" applyAlignment="1">
      <alignment horizontal="left" indent="2"/>
    </xf>
    <xf numFmtId="0" fontId="6" fillId="0" borderId="0" xfId="0" applyFont="1" applyBorder="1" applyAlignment="1">
      <alignment horizontal="left" indent="2"/>
    </xf>
    <xf numFmtId="0" fontId="6" fillId="28" borderId="13" xfId="0" applyFont="1" applyFill="1" applyBorder="1" applyAlignment="1">
      <alignment horizontal="center"/>
    </xf>
    <xf numFmtId="0" fontId="6" fillId="28" borderId="12" xfId="0" applyFont="1" applyFill="1" applyBorder="1" applyAlignment="1">
      <alignment horizontal="center"/>
    </xf>
    <xf numFmtId="167" fontId="6" fillId="28" borderId="12" xfId="0" applyNumberFormat="1" applyFont="1" applyFill="1" applyBorder="1" applyAlignment="1">
      <alignment horizontal="center"/>
    </xf>
    <xf numFmtId="0" fontId="6" fillId="28" borderId="11" xfId="0" applyFont="1" applyFill="1" applyBorder="1" applyAlignment="1">
      <alignment horizontal="center"/>
    </xf>
    <xf numFmtId="167" fontId="5" fillId="9" borderId="0" xfId="0" applyNumberFormat="1" applyFont="1" applyFill="1" applyAlignment="1" applyProtection="1">
      <alignment horizontal="center"/>
      <protection locked="0"/>
    </xf>
    <xf numFmtId="10" fontId="5" fillId="3" borderId="0" xfId="1" applyNumberFormat="1" applyFont="1" applyFill="1" applyAlignment="1">
      <alignment horizontal="center"/>
    </xf>
    <xf numFmtId="0" fontId="6" fillId="0" borderId="0" xfId="0" applyFont="1" applyAlignment="1">
      <alignment horizontal="center"/>
    </xf>
    <xf numFmtId="0" fontId="5" fillId="9" borderId="1" xfId="0" applyFont="1" applyFill="1" applyBorder="1" applyAlignment="1" applyProtection="1">
      <alignment horizontal="center"/>
      <protection locked="0"/>
    </xf>
    <xf numFmtId="0" fontId="5" fillId="9" borderId="0" xfId="0" applyFont="1" applyFill="1" applyAlignment="1" applyProtection="1">
      <alignment horizontal="center"/>
      <protection locked="0"/>
    </xf>
    <xf numFmtId="0" fontId="6" fillId="0" borderId="1" xfId="0" applyFont="1" applyBorder="1" applyAlignment="1">
      <alignment horizontal="center"/>
    </xf>
    <xf numFmtId="0" fontId="5" fillId="3" borderId="0" xfId="0" applyFont="1" applyFill="1" applyAlignment="1">
      <alignment horizontal="center"/>
    </xf>
    <xf numFmtId="0" fontId="6" fillId="15" borderId="7" xfId="0" applyFont="1" applyFill="1" applyBorder="1" applyAlignment="1">
      <alignment horizontal="left" vertical="center" wrapText="1"/>
    </xf>
    <xf numFmtId="0" fontId="6" fillId="15" borderId="1" xfId="0" applyFont="1" applyFill="1" applyBorder="1" applyAlignment="1">
      <alignment horizontal="left" vertical="center" wrapText="1"/>
    </xf>
    <xf numFmtId="0" fontId="6" fillId="15" borderId="3" xfId="0" applyFont="1" applyFill="1" applyBorder="1" applyAlignment="1">
      <alignment horizontal="left" vertical="center" wrapText="1"/>
    </xf>
    <xf numFmtId="0" fontId="6" fillId="15" borderId="4" xfId="0" applyFont="1" applyFill="1" applyBorder="1" applyAlignment="1">
      <alignment horizontal="left" vertical="center" wrapText="1"/>
    </xf>
    <xf numFmtId="167" fontId="5" fillId="0" borderId="0" xfId="0" applyNumberFormat="1" applyFont="1" applyAlignment="1">
      <alignment horizontal="center"/>
    </xf>
    <xf numFmtId="168" fontId="5" fillId="3" borderId="0" xfId="0" applyNumberFormat="1" applyFont="1" applyFill="1" applyAlignment="1">
      <alignment horizontal="center"/>
    </xf>
    <xf numFmtId="0" fontId="4" fillId="0" borderId="0" xfId="0" applyFont="1" applyAlignment="1">
      <alignment horizontal="center"/>
    </xf>
    <xf numFmtId="0" fontId="6" fillId="0" borderId="0" xfId="0" applyFont="1" applyFill="1" applyAlignment="1">
      <alignment horizontal="center"/>
    </xf>
    <xf numFmtId="167" fontId="5" fillId="9" borderId="1" xfId="0" applyNumberFormat="1" applyFont="1" applyFill="1" applyBorder="1" applyAlignment="1" applyProtection="1">
      <alignment horizontal="center"/>
      <protection locked="0"/>
    </xf>
    <xf numFmtId="0" fontId="5" fillId="0" borderId="0" xfId="0" applyFont="1" applyFill="1" applyAlignment="1">
      <alignment horizontal="center"/>
    </xf>
    <xf numFmtId="3" fontId="5" fillId="9" borderId="0" xfId="0" applyNumberFormat="1" applyFont="1" applyFill="1" applyAlignment="1" applyProtection="1">
      <alignment horizontal="center"/>
      <protection locked="0"/>
    </xf>
    <xf numFmtId="10" fontId="5" fillId="9" borderId="0" xfId="1" applyNumberFormat="1" applyFont="1" applyFill="1" applyAlignment="1" applyProtection="1">
      <alignment horizontal="center"/>
      <protection locked="0"/>
    </xf>
    <xf numFmtId="166" fontId="5" fillId="3" borderId="0" xfId="0" applyNumberFormat="1" applyFont="1" applyFill="1" applyAlignment="1">
      <alignment horizontal="center"/>
    </xf>
    <xf numFmtId="167" fontId="5" fillId="3" borderId="0" xfId="0" applyNumberFormat="1" applyFont="1" applyFill="1" applyAlignment="1">
      <alignment horizontal="center"/>
    </xf>
    <xf numFmtId="0" fontId="6" fillId="3" borderId="13" xfId="0" applyFont="1" applyFill="1" applyBorder="1" applyAlignment="1">
      <alignment horizontal="center"/>
    </xf>
    <xf numFmtId="0" fontId="6" fillId="3" borderId="12" xfId="0" applyFont="1" applyFill="1" applyBorder="1" applyAlignment="1">
      <alignment horizontal="center"/>
    </xf>
    <xf numFmtId="10" fontId="5" fillId="9" borderId="0" xfId="0" applyNumberFormat="1" applyFont="1" applyFill="1" applyAlignment="1" applyProtection="1">
      <alignment horizontal="center"/>
      <protection locked="0"/>
    </xf>
    <xf numFmtId="0" fontId="5" fillId="3" borderId="1" xfId="0" applyFont="1" applyFill="1" applyBorder="1" applyAlignment="1">
      <alignment horizontal="center"/>
    </xf>
    <xf numFmtId="0" fontId="10" fillId="0" borderId="4" xfId="0" applyFont="1" applyBorder="1" applyAlignment="1">
      <alignment horizontal="center"/>
    </xf>
    <xf numFmtId="164" fontId="6" fillId="15" borderId="6" xfId="1" applyNumberFormat="1" applyFont="1" applyFill="1" applyBorder="1" applyAlignment="1">
      <alignment horizontal="center" vertical="center"/>
    </xf>
    <xf numFmtId="164" fontId="6" fillId="15" borderId="2" xfId="1" applyNumberFormat="1" applyFont="1" applyFill="1" applyBorder="1" applyAlignment="1">
      <alignment horizontal="center" vertical="center"/>
    </xf>
    <xf numFmtId="167" fontId="6" fillId="3" borderId="12" xfId="0" applyNumberFormat="1" applyFont="1" applyFill="1" applyBorder="1" applyAlignment="1">
      <alignment horizontal="center"/>
    </xf>
    <xf numFmtId="0" fontId="6" fillId="3" borderId="11" xfId="0" applyFont="1" applyFill="1" applyBorder="1" applyAlignment="1">
      <alignment horizontal="center"/>
    </xf>
    <xf numFmtId="0" fontId="5" fillId="0" borderId="0" xfId="0" applyFont="1" applyAlignment="1">
      <alignment horizontal="center"/>
    </xf>
    <xf numFmtId="0" fontId="6" fillId="0" borderId="0" xfId="0" applyFont="1" applyAlignment="1">
      <alignment horizontal="left" indent="2"/>
    </xf>
    <xf numFmtId="0" fontId="9" fillId="12" borderId="9" xfId="0" applyFont="1" applyFill="1" applyBorder="1" applyAlignment="1">
      <alignment horizontal="center" vertical="center"/>
    </xf>
    <xf numFmtId="0" fontId="9" fillId="12" borderId="8" xfId="0" applyFont="1" applyFill="1" applyBorder="1" applyAlignment="1">
      <alignment horizontal="center" vertical="center"/>
    </xf>
    <xf numFmtId="0" fontId="6" fillId="0" borderId="9" xfId="0" applyFont="1" applyBorder="1" applyAlignment="1">
      <alignment horizontal="center"/>
    </xf>
    <xf numFmtId="0" fontId="11" fillId="0" borderId="9" xfId="0" applyFont="1" applyBorder="1" applyAlignment="1">
      <alignment horizontal="center"/>
    </xf>
    <xf numFmtId="0" fontId="11" fillId="0" borderId="0" xfId="0" applyFont="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10" fontId="5" fillId="3" borderId="0" xfId="0" applyNumberFormat="1" applyFont="1" applyFill="1" applyAlignment="1">
      <alignment horizontal="center"/>
    </xf>
    <xf numFmtId="0" fontId="5" fillId="9" borderId="8" xfId="0" applyFont="1" applyFill="1" applyBorder="1" applyAlignment="1" applyProtection="1">
      <alignment horizontal="center"/>
      <protection locked="0"/>
    </xf>
    <xf numFmtId="0" fontId="5" fillId="3" borderId="4" xfId="0" applyFont="1" applyFill="1" applyBorder="1" applyAlignment="1">
      <alignment horizontal="center"/>
    </xf>
    <xf numFmtId="0" fontId="5" fillId="3" borderId="2" xfId="0" applyFont="1" applyFill="1" applyBorder="1" applyAlignment="1">
      <alignment horizontal="center"/>
    </xf>
    <xf numFmtId="0" fontId="5" fillId="0" borderId="9" xfId="0" applyFont="1" applyBorder="1" applyAlignment="1">
      <alignment horizontal="center"/>
    </xf>
    <xf numFmtId="164" fontId="6" fillId="0" borderId="0" xfId="1" applyNumberFormat="1" applyFont="1" applyBorder="1" applyAlignment="1">
      <alignment horizontal="center" vertical="center"/>
    </xf>
    <xf numFmtId="0" fontId="5" fillId="3" borderId="8" xfId="0" applyFont="1" applyFill="1" applyBorder="1" applyAlignment="1">
      <alignment horizontal="center"/>
    </xf>
    <xf numFmtId="0" fontId="6" fillId="0" borderId="7" xfId="0" applyFont="1" applyBorder="1" applyAlignment="1">
      <alignment horizontal="center"/>
    </xf>
    <xf numFmtId="167" fontId="5" fillId="9" borderId="6" xfId="0" applyNumberFormat="1" applyFont="1" applyFill="1" applyBorder="1" applyAlignment="1" applyProtection="1">
      <alignment horizontal="center"/>
      <protection locked="0"/>
    </xf>
    <xf numFmtId="167" fontId="5" fillId="9" borderId="8" xfId="0" applyNumberFormat="1" applyFont="1" applyFill="1" applyBorder="1" applyAlignment="1" applyProtection="1">
      <alignment horizontal="center"/>
      <protection locked="0"/>
    </xf>
    <xf numFmtId="0" fontId="6" fillId="16" borderId="1" xfId="0" applyFont="1" applyFill="1" applyBorder="1" applyAlignment="1">
      <alignment horizontal="center" vertical="center"/>
    </xf>
    <xf numFmtId="0" fontId="6" fillId="16" borderId="0" xfId="0" applyFont="1" applyFill="1" applyAlignment="1">
      <alignment horizontal="center" vertical="center"/>
    </xf>
    <xf numFmtId="14" fontId="5" fillId="3" borderId="0" xfId="0" applyNumberFormat="1" applyFont="1" applyFill="1" applyAlignment="1">
      <alignment horizontal="center"/>
    </xf>
    <xf numFmtId="0" fontId="13" fillId="0" borderId="0" xfId="0" applyFont="1" applyAlignment="1">
      <alignment horizontal="center" vertical="center" wrapText="1"/>
    </xf>
    <xf numFmtId="0" fontId="13" fillId="0" borderId="4" xfId="0" applyFont="1" applyBorder="1" applyAlignment="1">
      <alignment horizontal="center" vertical="center" wrapText="1"/>
    </xf>
    <xf numFmtId="14" fontId="13" fillId="0" borderId="0" xfId="0" applyNumberFormat="1" applyFont="1" applyAlignment="1">
      <alignment horizontal="center" vertical="center" wrapText="1"/>
    </xf>
    <xf numFmtId="0" fontId="9" fillId="12" borderId="13" xfId="0" applyFont="1" applyFill="1" applyBorder="1" applyAlignment="1">
      <alignment horizontal="center"/>
    </xf>
    <xf numFmtId="0" fontId="9" fillId="12" borderId="12" xfId="0" applyFont="1" applyFill="1" applyBorder="1" applyAlignment="1">
      <alignment horizontal="center"/>
    </xf>
    <xf numFmtId="0" fontId="9" fillId="12" borderId="11" xfId="0" applyFont="1" applyFill="1" applyBorder="1" applyAlignment="1">
      <alignment horizontal="center"/>
    </xf>
    <xf numFmtId="167" fontId="5" fillId="3" borderId="8" xfId="0" applyNumberFormat="1" applyFont="1" applyFill="1" applyBorder="1" applyAlignment="1">
      <alignment horizontal="center"/>
    </xf>
    <xf numFmtId="10" fontId="5" fillId="3" borderId="0" xfId="1" applyNumberFormat="1" applyFont="1" applyFill="1" applyBorder="1" applyAlignment="1">
      <alignment horizontal="center"/>
    </xf>
    <xf numFmtId="10" fontId="5" fillId="3" borderId="8" xfId="1" applyNumberFormat="1" applyFont="1" applyFill="1" applyBorder="1" applyAlignment="1">
      <alignment horizontal="center"/>
    </xf>
    <xf numFmtId="0" fontId="16" fillId="0" borderId="7" xfId="0" applyFont="1" applyBorder="1" applyAlignment="1">
      <alignment horizontal="center" vertical="center"/>
    </xf>
    <xf numFmtId="0" fontId="16" fillId="0" borderId="1" xfId="0" applyFont="1" applyBorder="1" applyAlignment="1">
      <alignment horizontal="center"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9" xfId="0" applyFont="1" applyBorder="1" applyAlignment="1">
      <alignment horizontal="center" vertical="center"/>
    </xf>
    <xf numFmtId="0" fontId="15" fillId="12" borderId="7" xfId="0" applyFont="1" applyFill="1" applyBorder="1" applyAlignment="1">
      <alignment horizontal="center" vertical="center"/>
    </xf>
    <xf numFmtId="0" fontId="15" fillId="12" borderId="1" xfId="0" applyFont="1" applyFill="1" applyBorder="1" applyAlignment="1">
      <alignment horizontal="center" vertical="center"/>
    </xf>
    <xf numFmtId="0" fontId="15" fillId="12" borderId="6" xfId="0" applyFont="1" applyFill="1" applyBorder="1" applyAlignment="1">
      <alignment horizontal="center" vertical="center"/>
    </xf>
    <xf numFmtId="0" fontId="20" fillId="15" borderId="7" xfId="0" applyFont="1" applyFill="1" applyBorder="1" applyAlignment="1">
      <alignment horizontal="center" vertical="center"/>
    </xf>
    <xf numFmtId="0" fontId="20" fillId="15" borderId="1" xfId="0" applyFont="1" applyFill="1" applyBorder="1" applyAlignment="1">
      <alignment horizontal="center" vertical="center"/>
    </xf>
    <xf numFmtId="0" fontId="20" fillId="15" borderId="6" xfId="0" applyFont="1" applyFill="1" applyBorder="1" applyAlignment="1">
      <alignment horizontal="center" vertical="center"/>
    </xf>
    <xf numFmtId="0" fontId="14" fillId="0" borderId="7" xfId="0" applyFont="1" applyBorder="1" applyAlignment="1">
      <alignment horizontal="center" vertical="center"/>
    </xf>
    <xf numFmtId="0" fontId="14" fillId="0" borderId="1" xfId="0" applyFont="1" applyBorder="1" applyAlignment="1">
      <alignment horizontal="center" vertical="center"/>
    </xf>
    <xf numFmtId="0" fontId="14" fillId="9" borderId="9" xfId="0" applyFont="1" applyFill="1" applyBorder="1" applyAlignment="1">
      <alignment horizontal="center" vertical="center"/>
    </xf>
    <xf numFmtId="0" fontId="14" fillId="9" borderId="0" xfId="0" applyFont="1" applyFill="1" applyAlignment="1">
      <alignment horizontal="center" vertical="center"/>
    </xf>
    <xf numFmtId="10" fontId="14" fillId="9" borderId="0" xfId="1" applyNumberFormat="1" applyFont="1" applyFill="1" applyBorder="1" applyAlignment="1">
      <alignment horizontal="center" vertical="center"/>
    </xf>
    <xf numFmtId="10" fontId="14" fillId="9" borderId="8" xfId="1" applyNumberFormat="1" applyFont="1" applyFill="1" applyBorder="1" applyAlignment="1">
      <alignment horizontal="center" vertical="center"/>
    </xf>
    <xf numFmtId="0" fontId="20" fillId="9" borderId="13" xfId="0" applyFont="1" applyFill="1" applyBorder="1" applyAlignment="1">
      <alignment horizontal="center" vertical="center"/>
    </xf>
    <xf numFmtId="0" fontId="20" fillId="9" borderId="12" xfId="0" applyFont="1" applyFill="1" applyBorder="1" applyAlignment="1">
      <alignment horizontal="center" vertical="center"/>
    </xf>
    <xf numFmtId="10" fontId="20" fillId="9" borderId="12" xfId="0" applyNumberFormat="1" applyFont="1" applyFill="1" applyBorder="1" applyAlignment="1">
      <alignment horizontal="center" vertical="center"/>
    </xf>
    <xf numFmtId="0" fontId="20" fillId="9" borderId="11" xfId="0" applyFont="1" applyFill="1" applyBorder="1" applyAlignment="1">
      <alignment horizontal="center" vertical="center"/>
    </xf>
    <xf numFmtId="0" fontId="15" fillId="12" borderId="12" xfId="0" applyFont="1" applyFill="1" applyBorder="1" applyAlignment="1">
      <alignment horizontal="center" vertical="center"/>
    </xf>
    <xf numFmtId="0" fontId="15" fillId="12" borderId="11" xfId="0" applyFont="1" applyFill="1" applyBorder="1" applyAlignment="1">
      <alignment horizontal="center" vertical="center"/>
    </xf>
    <xf numFmtId="0" fontId="15" fillId="12" borderId="13" xfId="0" applyFont="1" applyFill="1" applyBorder="1" applyAlignment="1">
      <alignment horizontal="center" vertical="center"/>
    </xf>
    <xf numFmtId="0" fontId="14" fillId="0" borderId="2" xfId="0" applyFont="1" applyBorder="1" applyAlignment="1">
      <alignment horizontal="center" vertical="center"/>
    </xf>
    <xf numFmtId="0" fontId="14" fillId="0" borderId="8" xfId="0" applyFont="1" applyBorder="1" applyAlignment="1">
      <alignment horizontal="center" vertical="center"/>
    </xf>
    <xf numFmtId="0" fontId="14" fillId="0" borderId="6" xfId="0" applyFont="1" applyBorder="1" applyAlignment="1">
      <alignment horizontal="center" vertical="center"/>
    </xf>
    <xf numFmtId="10" fontId="14" fillId="0" borderId="7" xfId="1" applyNumberFormat="1" applyFont="1" applyBorder="1" applyAlignment="1">
      <alignment horizontal="center" vertical="center"/>
    </xf>
    <xf numFmtId="10" fontId="14" fillId="0" borderId="1" xfId="1" applyNumberFormat="1" applyFont="1" applyBorder="1" applyAlignment="1">
      <alignment horizontal="center" vertical="center"/>
    </xf>
    <xf numFmtId="167" fontId="14" fillId="0" borderId="9" xfId="0" applyNumberFormat="1" applyFont="1" applyBorder="1" applyAlignment="1">
      <alignment horizontal="center" vertical="center"/>
    </xf>
    <xf numFmtId="167" fontId="14" fillId="0" borderId="0" xfId="0" applyNumberFormat="1" applyFont="1" applyAlignment="1">
      <alignment horizontal="center" vertical="center"/>
    </xf>
    <xf numFmtId="167" fontId="14" fillId="0" borderId="8" xfId="0" applyNumberFormat="1" applyFont="1" applyBorder="1" applyAlignment="1">
      <alignment horizontal="center" vertical="center"/>
    </xf>
    <xf numFmtId="0" fontId="14" fillId="0" borderId="13" xfId="0" applyFont="1" applyBorder="1" applyAlignment="1">
      <alignment horizontal="center" vertical="center"/>
    </xf>
    <xf numFmtId="0" fontId="14" fillId="0" borderId="12" xfId="0" applyFont="1" applyBorder="1" applyAlignment="1">
      <alignment horizontal="center" vertical="center"/>
    </xf>
    <xf numFmtId="164" fontId="14" fillId="0" borderId="9" xfId="1" applyNumberFormat="1" applyFont="1" applyBorder="1" applyAlignment="1">
      <alignment horizontal="center" vertical="center"/>
    </xf>
    <xf numFmtId="164" fontId="14" fillId="0" borderId="0" xfId="1" applyNumberFormat="1" applyFont="1" applyBorder="1" applyAlignment="1">
      <alignment horizontal="center" vertical="center"/>
    </xf>
    <xf numFmtId="164" fontId="14" fillId="0" borderId="8" xfId="1" applyNumberFormat="1" applyFont="1" applyBorder="1" applyAlignment="1">
      <alignment horizontal="center" vertical="center"/>
    </xf>
    <xf numFmtId="10" fontId="14" fillId="0" borderId="0" xfId="1" applyNumberFormat="1" applyFont="1" applyBorder="1" applyAlignment="1">
      <alignment horizontal="center" vertical="center"/>
    </xf>
    <xf numFmtId="10" fontId="14" fillId="0" borderId="8" xfId="1" applyNumberFormat="1" applyFont="1" applyBorder="1" applyAlignment="1">
      <alignment horizontal="center" vertical="center"/>
    </xf>
    <xf numFmtId="10" fontId="14" fillId="0" borderId="3" xfId="1" applyNumberFormat="1" applyFont="1" applyBorder="1" applyAlignment="1">
      <alignment horizontal="center" vertical="center"/>
    </xf>
    <xf numFmtId="10" fontId="14" fillId="0" borderId="4" xfId="1" applyNumberFormat="1" applyFont="1" applyBorder="1" applyAlignment="1">
      <alignment horizontal="center" vertical="center"/>
    </xf>
    <xf numFmtId="10" fontId="14" fillId="0" borderId="9" xfId="1" applyNumberFormat="1" applyFont="1" applyBorder="1" applyAlignment="1">
      <alignment horizontal="center" vertical="center"/>
    </xf>
    <xf numFmtId="167" fontId="14" fillId="0" borderId="3" xfId="0" applyNumberFormat="1" applyFont="1" applyBorder="1" applyAlignment="1">
      <alignment horizontal="center" vertical="center"/>
    </xf>
    <xf numFmtId="167" fontId="14" fillId="0" borderId="4" xfId="0" applyNumberFormat="1" applyFont="1" applyBorder="1" applyAlignment="1">
      <alignment horizontal="center" vertical="center"/>
    </xf>
    <xf numFmtId="167" fontId="14" fillId="0" borderId="2" xfId="0" applyNumberFormat="1" applyFont="1" applyBorder="1" applyAlignment="1">
      <alignment horizontal="center" vertical="center"/>
    </xf>
    <xf numFmtId="0" fontId="19" fillId="12" borderId="13" xfId="0" applyFont="1" applyFill="1" applyBorder="1" applyAlignment="1">
      <alignment horizontal="center" vertical="center"/>
    </xf>
    <xf numFmtId="0" fontId="19" fillId="12" borderId="12"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0" xfId="0" applyFont="1" applyFill="1" applyAlignment="1">
      <alignment horizontal="center" vertical="center"/>
    </xf>
    <xf numFmtId="0" fontId="14" fillId="9" borderId="7" xfId="0" applyFont="1" applyFill="1" applyBorder="1" applyAlignment="1">
      <alignment horizontal="center" vertical="center"/>
    </xf>
    <xf numFmtId="0" fontId="14" fillId="9" borderId="1" xfId="0" applyFont="1" applyFill="1" applyBorder="1" applyAlignment="1">
      <alignment horizontal="center" vertical="center"/>
    </xf>
    <xf numFmtId="0" fontId="14" fillId="9" borderId="3" xfId="0" applyFont="1" applyFill="1" applyBorder="1" applyAlignment="1">
      <alignment horizontal="center" vertical="center"/>
    </xf>
    <xf numFmtId="0" fontId="14" fillId="9" borderId="4" xfId="0" applyFont="1" applyFill="1" applyBorder="1" applyAlignment="1">
      <alignment horizontal="center" vertical="center"/>
    </xf>
    <xf numFmtId="10" fontId="14" fillId="9" borderId="1" xfId="1" applyNumberFormat="1" applyFont="1" applyFill="1" applyBorder="1" applyAlignment="1">
      <alignment horizontal="center" vertical="center"/>
    </xf>
    <xf numFmtId="10" fontId="14" fillId="9" borderId="6" xfId="1" applyNumberFormat="1" applyFont="1" applyFill="1" applyBorder="1" applyAlignment="1">
      <alignment horizontal="center" vertical="center"/>
    </xf>
    <xf numFmtId="10" fontId="14" fillId="9" borderId="4" xfId="1" applyNumberFormat="1" applyFont="1" applyFill="1" applyBorder="1" applyAlignment="1">
      <alignment horizontal="center" vertical="center"/>
    </xf>
    <xf numFmtId="10" fontId="14" fillId="9" borderId="2" xfId="1" applyNumberFormat="1" applyFont="1" applyFill="1" applyBorder="1" applyAlignment="1">
      <alignment horizontal="center" vertical="center"/>
    </xf>
    <xf numFmtId="10" fontId="14" fillId="0" borderId="6" xfId="1" applyNumberFormat="1" applyFont="1" applyBorder="1" applyAlignment="1">
      <alignment horizontal="center" vertical="center"/>
    </xf>
    <xf numFmtId="10" fontId="14" fillId="0" borderId="2" xfId="1" applyNumberFormat="1" applyFont="1" applyBorder="1" applyAlignment="1">
      <alignment horizontal="center" vertical="center"/>
    </xf>
    <xf numFmtId="173" fontId="14" fillId="0" borderId="0" xfId="0" applyNumberFormat="1" applyFont="1" applyAlignment="1">
      <alignment horizontal="center" vertical="center"/>
    </xf>
    <xf numFmtId="0" fontId="12" fillId="0" borderId="0" xfId="0" applyFont="1" applyAlignment="1">
      <alignment horizontal="center" vertical="center"/>
    </xf>
    <xf numFmtId="0" fontId="12" fillId="0" borderId="4" xfId="0" applyFont="1" applyBorder="1" applyAlignment="1">
      <alignment horizontal="center" vertical="center"/>
    </xf>
    <xf numFmtId="0" fontId="5" fillId="0" borderId="0" xfId="0" applyFont="1" applyAlignment="1">
      <alignment horizontal="left" vertical="center" wrapText="1"/>
    </xf>
    <xf numFmtId="0" fontId="9" fillId="12" borderId="8" xfId="0" applyFont="1" applyFill="1" applyBorder="1" applyAlignment="1">
      <alignment horizontal="center" vertical="center" wrapText="1"/>
    </xf>
    <xf numFmtId="0" fontId="9" fillId="12" borderId="2" xfId="0" applyFont="1" applyFill="1" applyBorder="1" applyAlignment="1">
      <alignment horizontal="center" vertical="center" wrapText="1"/>
    </xf>
    <xf numFmtId="0" fontId="9" fillId="12" borderId="0" xfId="0" applyFont="1" applyFill="1" applyAlignment="1">
      <alignment horizontal="center" vertical="center" wrapText="1"/>
    </xf>
    <xf numFmtId="0" fontId="9" fillId="12" borderId="4" xfId="0" applyFont="1" applyFill="1" applyBorder="1" applyAlignment="1">
      <alignment horizontal="center" vertical="center" wrapText="1"/>
    </xf>
    <xf numFmtId="0" fontId="5" fillId="0" borderId="9" xfId="0" applyFont="1" applyBorder="1" applyAlignment="1">
      <alignment horizontal="center" vertical="center"/>
    </xf>
    <xf numFmtId="0" fontId="5" fillId="0" borderId="0" xfId="0" applyFont="1" applyAlignment="1">
      <alignment horizontal="center" vertical="center"/>
    </xf>
    <xf numFmtId="0" fontId="5" fillId="0" borderId="8"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2" xfId="0" applyFont="1" applyBorder="1" applyAlignment="1">
      <alignment horizontal="center" vertical="center"/>
    </xf>
    <xf numFmtId="2" fontId="5" fillId="3" borderId="0" xfId="0" applyNumberFormat="1" applyFont="1" applyFill="1" applyAlignment="1">
      <alignment horizontal="center" vertical="center"/>
    </xf>
    <xf numFmtId="0" fontId="5" fillId="0" borderId="0" xfId="0" applyFont="1" applyAlignment="1">
      <alignment horizontal="left" vertical="top" wrapText="1"/>
    </xf>
    <xf numFmtId="0" fontId="9" fillId="12" borderId="9" xfId="0" applyFont="1" applyFill="1" applyBorder="1" applyAlignment="1">
      <alignment horizontal="center" vertical="center" wrapText="1"/>
    </xf>
    <xf numFmtId="0" fontId="9" fillId="12" borderId="3" xfId="0" applyFont="1" applyFill="1" applyBorder="1" applyAlignment="1">
      <alignment horizontal="center" vertical="center" wrapText="1"/>
    </xf>
    <xf numFmtId="0" fontId="5" fillId="0" borderId="0" xfId="0" applyFont="1" applyAlignment="1">
      <alignment horizontal="left" vertical="center"/>
    </xf>
    <xf numFmtId="1" fontId="5" fillId="9" borderId="0" xfId="0" applyNumberFormat="1" applyFont="1" applyFill="1" applyAlignment="1" applyProtection="1">
      <alignment horizontal="center" vertical="center"/>
      <protection locked="0"/>
    </xf>
    <xf numFmtId="164" fontId="5" fillId="3" borderId="0" xfId="1" applyNumberFormat="1" applyFont="1" applyFill="1" applyAlignment="1">
      <alignment horizontal="center" vertical="center"/>
    </xf>
    <xf numFmtId="165" fontId="14" fillId="0" borderId="9" xfId="1" applyNumberFormat="1" applyFont="1" applyBorder="1" applyAlignment="1">
      <alignment horizontal="center" vertical="center"/>
    </xf>
    <xf numFmtId="165" fontId="14" fillId="0" borderId="0" xfId="1" applyNumberFormat="1" applyFont="1" applyBorder="1" applyAlignment="1">
      <alignment horizontal="center" vertical="center"/>
    </xf>
    <xf numFmtId="165" fontId="14" fillId="0" borderId="8" xfId="1" applyNumberFormat="1" applyFont="1" applyBorder="1" applyAlignment="1">
      <alignment horizontal="center" vertical="center"/>
    </xf>
    <xf numFmtId="165" fontId="14" fillId="0" borderId="9" xfId="0" applyNumberFormat="1" applyFont="1" applyBorder="1" applyAlignment="1">
      <alignment horizontal="center" vertical="center"/>
    </xf>
    <xf numFmtId="165" fontId="14" fillId="0" borderId="0" xfId="0" applyNumberFormat="1" applyFont="1" applyAlignment="1">
      <alignment horizontal="center" vertical="center"/>
    </xf>
    <xf numFmtId="165" fontId="14" fillId="0" borderId="8" xfId="0" applyNumberFormat="1" applyFont="1" applyBorder="1" applyAlignment="1">
      <alignment horizontal="center" vertical="center"/>
    </xf>
    <xf numFmtId="0" fontId="15" fillId="12" borderId="0" xfId="0" applyFont="1" applyFill="1" applyAlignment="1">
      <alignment horizontal="center" vertical="center"/>
    </xf>
    <xf numFmtId="165" fontId="14" fillId="0" borderId="3" xfId="1" applyNumberFormat="1" applyFont="1" applyBorder="1" applyAlignment="1">
      <alignment horizontal="center" vertical="center"/>
    </xf>
    <xf numFmtId="165" fontId="14" fillId="0" borderId="4" xfId="1" applyNumberFormat="1" applyFont="1" applyBorder="1" applyAlignment="1">
      <alignment horizontal="center" vertical="center"/>
    </xf>
    <xf numFmtId="165" fontId="14" fillId="0" borderId="2" xfId="1" applyNumberFormat="1" applyFont="1" applyBorder="1" applyAlignment="1">
      <alignment horizontal="center" vertical="center"/>
    </xf>
    <xf numFmtId="164" fontId="14" fillId="0" borderId="7" xfId="0" applyNumberFormat="1" applyFont="1" applyBorder="1" applyAlignment="1">
      <alignment horizontal="center" vertical="center"/>
    </xf>
    <xf numFmtId="164" fontId="14" fillId="0" borderId="1" xfId="0" applyNumberFormat="1" applyFont="1" applyBorder="1" applyAlignment="1">
      <alignment horizontal="center" vertical="center"/>
    </xf>
    <xf numFmtId="164" fontId="14" fillId="0" borderId="6" xfId="0" applyNumberFormat="1" applyFont="1" applyBorder="1" applyAlignment="1">
      <alignment horizontal="center" vertical="center"/>
    </xf>
    <xf numFmtId="0" fontId="14" fillId="21" borderId="0" xfId="0" applyFont="1" applyFill="1" applyAlignment="1">
      <alignment horizontal="center" vertical="center"/>
    </xf>
    <xf numFmtId="0" fontId="14" fillId="21" borderId="8" xfId="0" applyFont="1" applyFill="1" applyBorder="1" applyAlignment="1">
      <alignment horizontal="center" vertical="center"/>
    </xf>
    <xf numFmtId="0" fontId="14" fillId="23" borderId="0" xfId="0" applyFont="1" applyFill="1" applyAlignment="1">
      <alignment horizontal="center" vertical="center"/>
    </xf>
    <xf numFmtId="169" fontId="20" fillId="24" borderId="0" xfId="1" applyNumberFormat="1" applyFont="1" applyFill="1" applyAlignment="1">
      <alignment horizontal="center" vertical="center"/>
    </xf>
    <xf numFmtId="165" fontId="20" fillId="24" borderId="0" xfId="1" applyNumberFormat="1" applyFont="1" applyFill="1" applyAlignment="1">
      <alignment horizontal="center" vertical="center"/>
    </xf>
    <xf numFmtId="2" fontId="14" fillId="10" borderId="0" xfId="0" applyNumberFormat="1" applyFont="1" applyFill="1" applyAlignment="1">
      <alignment horizontal="center" vertical="center"/>
    </xf>
    <xf numFmtId="10" fontId="14" fillId="7" borderId="0" xfId="0" applyNumberFormat="1" applyFont="1" applyFill="1" applyAlignment="1">
      <alignment horizontal="center" vertical="center"/>
    </xf>
    <xf numFmtId="0" fontId="14" fillId="7" borderId="0" xfId="0" applyFont="1" applyFill="1" applyAlignment="1">
      <alignment horizontal="center" vertical="center"/>
    </xf>
    <xf numFmtId="10" fontId="14" fillId="20" borderId="0" xfId="0" applyNumberFormat="1" applyFont="1" applyFill="1" applyAlignment="1">
      <alignment horizontal="center" vertical="center"/>
    </xf>
    <xf numFmtId="0" fontId="14" fillId="20" borderId="0" xfId="0" applyFont="1" applyFill="1" applyAlignment="1">
      <alignment horizontal="center" vertical="center"/>
    </xf>
    <xf numFmtId="0" fontId="14" fillId="11" borderId="0" xfId="0" applyFont="1" applyFill="1" applyAlignment="1">
      <alignment horizontal="center" vertical="center"/>
    </xf>
    <xf numFmtId="14" fontId="12" fillId="0" borderId="0" xfId="0" applyNumberFormat="1" applyFont="1" applyAlignment="1">
      <alignment horizontal="center" vertical="center" wrapText="1"/>
    </xf>
    <xf numFmtId="0" fontId="20" fillId="14" borderId="6" xfId="0" applyFont="1" applyFill="1" applyBorder="1" applyAlignment="1">
      <alignment horizontal="center" vertical="center" wrapText="1"/>
    </xf>
    <xf numFmtId="0" fontId="20" fillId="14" borderId="2" xfId="0" applyFont="1" applyFill="1" applyBorder="1" applyAlignment="1">
      <alignment horizontal="center" vertical="center" wrapText="1"/>
    </xf>
    <xf numFmtId="2" fontId="20" fillId="3" borderId="7" xfId="0" applyNumberFormat="1" applyFont="1" applyFill="1" applyBorder="1" applyAlignment="1">
      <alignment horizontal="center" vertical="center"/>
    </xf>
    <xf numFmtId="2" fontId="20" fillId="3" borderId="3" xfId="0" applyNumberFormat="1" applyFont="1" applyFill="1" applyBorder="1" applyAlignment="1">
      <alignment horizontal="center" vertical="center"/>
    </xf>
    <xf numFmtId="2" fontId="20" fillId="3" borderId="1" xfId="0" applyNumberFormat="1" applyFont="1" applyFill="1" applyBorder="1" applyAlignment="1">
      <alignment horizontal="center" vertical="center"/>
    </xf>
    <xf numFmtId="2" fontId="20" fillId="3" borderId="4" xfId="0" applyNumberFormat="1" applyFont="1" applyFill="1" applyBorder="1" applyAlignment="1">
      <alignment horizontal="center" vertical="center"/>
    </xf>
    <xf numFmtId="164" fontId="20" fillId="3" borderId="1" xfId="1" applyNumberFormat="1" applyFont="1" applyFill="1" applyBorder="1" applyAlignment="1" applyProtection="1">
      <alignment horizontal="center" vertical="center"/>
    </xf>
    <xf numFmtId="164" fontId="20" fillId="3" borderId="4" xfId="1" applyNumberFormat="1" applyFont="1" applyFill="1" applyBorder="1" applyAlignment="1" applyProtection="1">
      <alignment horizontal="center" vertical="center"/>
    </xf>
    <xf numFmtId="167" fontId="20" fillId="3" borderId="1" xfId="0" applyNumberFormat="1" applyFont="1" applyFill="1" applyBorder="1" applyAlignment="1">
      <alignment horizontal="center" vertical="center"/>
    </xf>
    <xf numFmtId="167" fontId="20" fillId="3" borderId="4" xfId="0" applyNumberFormat="1" applyFont="1" applyFill="1" applyBorder="1" applyAlignment="1">
      <alignment horizontal="center" vertical="center"/>
    </xf>
    <xf numFmtId="167" fontId="20" fillId="3" borderId="6" xfId="0" applyNumberFormat="1" applyFont="1" applyFill="1" applyBorder="1" applyAlignment="1">
      <alignment horizontal="center" vertical="center"/>
    </xf>
    <xf numFmtId="167" fontId="20" fillId="3" borderId="2" xfId="0" applyNumberFormat="1" applyFont="1" applyFill="1" applyBorder="1" applyAlignment="1">
      <alignment horizontal="center" vertical="center"/>
    </xf>
    <xf numFmtId="0" fontId="20" fillId="14" borderId="1" xfId="0" applyFont="1" applyFill="1" applyBorder="1" applyAlignment="1">
      <alignment horizontal="center" vertical="center" wrapText="1"/>
    </xf>
    <xf numFmtId="0" fontId="20" fillId="14" borderId="4" xfId="0" applyFont="1" applyFill="1" applyBorder="1" applyAlignment="1">
      <alignment horizontal="center" vertical="center" wrapText="1"/>
    </xf>
    <xf numFmtId="0" fontId="20" fillId="22" borderId="7" xfId="0" applyFont="1" applyFill="1" applyBorder="1" applyAlignment="1">
      <alignment horizontal="center" vertical="center" wrapText="1"/>
    </xf>
    <xf numFmtId="0" fontId="20" fillId="22" borderId="3" xfId="0" applyFont="1" applyFill="1" applyBorder="1" applyAlignment="1">
      <alignment horizontal="center" vertical="center" wrapText="1"/>
    </xf>
    <xf numFmtId="164" fontId="20" fillId="3" borderId="1" xfId="0" applyNumberFormat="1" applyFont="1" applyFill="1" applyBorder="1" applyAlignment="1">
      <alignment horizontal="center" vertical="center"/>
    </xf>
    <xf numFmtId="164" fontId="20" fillId="3" borderId="4" xfId="0" applyNumberFormat="1" applyFont="1" applyFill="1" applyBorder="1" applyAlignment="1">
      <alignment horizontal="center" vertical="center"/>
    </xf>
    <xf numFmtId="0" fontId="20" fillId="22" borderId="1" xfId="0" applyFont="1" applyFill="1" applyBorder="1" applyAlignment="1">
      <alignment horizontal="center" vertical="center" wrapText="1"/>
    </xf>
    <xf numFmtId="0" fontId="20" fillId="22" borderId="4" xfId="0" applyFont="1" applyFill="1" applyBorder="1" applyAlignment="1">
      <alignment horizontal="center" vertical="center" wrapText="1"/>
    </xf>
    <xf numFmtId="0" fontId="20" fillId="22" borderId="6" xfId="0" applyFont="1" applyFill="1" applyBorder="1" applyAlignment="1">
      <alignment horizontal="center" vertical="center" wrapText="1"/>
    </xf>
    <xf numFmtId="0" fontId="20" fillId="22" borderId="2" xfId="0" applyFont="1" applyFill="1" applyBorder="1" applyAlignment="1">
      <alignment horizontal="center" vertical="center" wrapText="1"/>
    </xf>
    <xf numFmtId="0" fontId="20" fillId="14" borderId="7" xfId="0" applyFont="1" applyFill="1" applyBorder="1" applyAlignment="1">
      <alignment horizontal="center" vertical="center" wrapText="1"/>
    </xf>
    <xf numFmtId="0" fontId="20" fillId="14" borderId="3" xfId="0" applyFont="1" applyFill="1" applyBorder="1" applyAlignment="1">
      <alignment horizontal="center" vertical="center" wrapText="1"/>
    </xf>
    <xf numFmtId="9" fontId="20" fillId="3" borderId="6" xfId="1" applyFont="1" applyFill="1" applyBorder="1" applyAlignment="1" applyProtection="1">
      <alignment horizontal="center" vertical="center"/>
      <protection locked="0"/>
    </xf>
    <xf numFmtId="9" fontId="20" fillId="3" borderId="2" xfId="1" applyFont="1" applyFill="1" applyBorder="1" applyAlignment="1" applyProtection="1">
      <alignment horizontal="center" vertical="center"/>
      <protection locked="0"/>
    </xf>
    <xf numFmtId="0" fontId="14" fillId="9" borderId="0" xfId="0" applyFont="1" applyFill="1" applyAlignment="1" applyProtection="1">
      <alignment horizontal="center" vertical="center"/>
      <protection locked="0"/>
    </xf>
    <xf numFmtId="166" fontId="14" fillId="3" borderId="0" xfId="0" applyNumberFormat="1" applyFont="1" applyFill="1" applyAlignment="1">
      <alignment horizontal="center" vertical="center"/>
    </xf>
    <xf numFmtId="167" fontId="14" fillId="9" borderId="0" xfId="0" applyNumberFormat="1" applyFont="1" applyFill="1" applyAlignment="1" applyProtection="1">
      <alignment horizontal="center" vertical="center"/>
      <protection locked="0"/>
    </xf>
    <xf numFmtId="10" fontId="14" fillId="9" borderId="0" xfId="0" applyNumberFormat="1" applyFont="1" applyFill="1" applyAlignment="1" applyProtection="1">
      <alignment horizontal="center" vertical="center"/>
      <protection locked="0"/>
    </xf>
    <xf numFmtId="169" fontId="14" fillId="9" borderId="0" xfId="0" applyNumberFormat="1" applyFont="1" applyFill="1" applyAlignment="1" applyProtection="1">
      <alignment horizontal="center" vertical="center"/>
      <protection locked="0"/>
    </xf>
    <xf numFmtId="165" fontId="14" fillId="9" borderId="0" xfId="1" applyNumberFormat="1" applyFont="1" applyFill="1" applyAlignment="1" applyProtection="1">
      <alignment horizontal="center" vertical="center"/>
      <protection locked="0"/>
    </xf>
    <xf numFmtId="14" fontId="14" fillId="3" borderId="0" xfId="0" applyNumberFormat="1" applyFont="1" applyFill="1" applyAlignment="1">
      <alignment horizontal="center" vertical="center"/>
    </xf>
    <xf numFmtId="0" fontId="15" fillId="12" borderId="9" xfId="0" applyFont="1" applyFill="1" applyBorder="1" applyAlignment="1">
      <alignment horizontal="center" vertical="center" wrapText="1"/>
    </xf>
    <xf numFmtId="0" fontId="15" fillId="12" borderId="3" xfId="0" applyFont="1" applyFill="1" applyBorder="1" applyAlignment="1">
      <alignment horizontal="center" vertical="center" wrapText="1"/>
    </xf>
    <xf numFmtId="0" fontId="15" fillId="12" borderId="0" xfId="0" applyFont="1" applyFill="1" applyAlignment="1">
      <alignment horizontal="center" vertical="center" wrapText="1"/>
    </xf>
    <xf numFmtId="0" fontId="15" fillId="12" borderId="4" xfId="0" applyFont="1" applyFill="1" applyBorder="1" applyAlignment="1">
      <alignment horizontal="center" vertical="center" wrapText="1"/>
    </xf>
    <xf numFmtId="0" fontId="15" fillId="12" borderId="8" xfId="0" applyFont="1" applyFill="1" applyBorder="1" applyAlignment="1">
      <alignment horizontal="center" vertical="center" wrapText="1"/>
    </xf>
    <xf numFmtId="0" fontId="15" fillId="12" borderId="2" xfId="0" applyFont="1" applyFill="1" applyBorder="1" applyAlignment="1">
      <alignment horizontal="center" vertical="center" wrapText="1"/>
    </xf>
    <xf numFmtId="0" fontId="33" fillId="23" borderId="0" xfId="0" applyFont="1" applyFill="1" applyAlignment="1">
      <alignment horizontal="center" vertical="center"/>
    </xf>
    <xf numFmtId="0" fontId="3" fillId="18" borderId="0" xfId="0" applyFont="1" applyFill="1" applyAlignment="1">
      <alignment horizontal="center" vertical="center"/>
    </xf>
    <xf numFmtId="0" fontId="35" fillId="10" borderId="0" xfId="0" applyFont="1" applyFill="1" applyAlignment="1">
      <alignment horizontal="center" vertical="center" wrapText="1"/>
    </xf>
    <xf numFmtId="0" fontId="35" fillId="10" borderId="4" xfId="0" applyFont="1" applyFill="1" applyBorder="1" applyAlignment="1">
      <alignment horizontal="center" vertical="center" wrapText="1"/>
    </xf>
    <xf numFmtId="0" fontId="35" fillId="10" borderId="9" xfId="0" applyFont="1" applyFill="1" applyBorder="1" applyAlignment="1">
      <alignment horizontal="center" vertical="center" wrapText="1"/>
    </xf>
    <xf numFmtId="0" fontId="35" fillId="10" borderId="3" xfId="0" applyFont="1" applyFill="1" applyBorder="1" applyAlignment="1">
      <alignment horizontal="center" vertical="center" wrapText="1"/>
    </xf>
    <xf numFmtId="0" fontId="35" fillId="10" borderId="8" xfId="0" applyFont="1" applyFill="1" applyBorder="1" applyAlignment="1">
      <alignment horizontal="center" vertical="center" wrapText="1"/>
    </xf>
    <xf numFmtId="0" fontId="35" fillId="10" borderId="2" xfId="0" applyFont="1" applyFill="1" applyBorder="1" applyAlignment="1">
      <alignment horizontal="center" vertical="center" wrapText="1"/>
    </xf>
    <xf numFmtId="0" fontId="35" fillId="10" borderId="7" xfId="0" applyFont="1" applyFill="1" applyBorder="1" applyAlignment="1">
      <alignment horizontal="center" vertical="center"/>
    </xf>
    <xf numFmtId="0" fontId="35" fillId="10" borderId="1" xfId="0" applyFont="1" applyFill="1" applyBorder="1" applyAlignment="1">
      <alignment horizontal="center" vertical="center"/>
    </xf>
    <xf numFmtId="0" fontId="35" fillId="10" borderId="6" xfId="0" applyFont="1" applyFill="1" applyBorder="1" applyAlignment="1">
      <alignment horizontal="center" vertical="center"/>
    </xf>
    <xf numFmtId="9" fontId="35" fillId="3" borderId="6" xfId="0" applyNumberFormat="1" applyFont="1" applyFill="1" applyBorder="1" applyAlignment="1">
      <alignment horizontal="center" vertical="center"/>
    </xf>
    <xf numFmtId="0" fontId="35" fillId="3" borderId="2" xfId="0" applyFont="1" applyFill="1" applyBorder="1" applyAlignment="1">
      <alignment horizontal="center" vertical="center"/>
    </xf>
    <xf numFmtId="0" fontId="35" fillId="22" borderId="7" xfId="0" applyFont="1" applyFill="1" applyBorder="1" applyAlignment="1">
      <alignment horizontal="center" vertical="center"/>
    </xf>
    <xf numFmtId="0" fontId="35" fillId="22" borderId="1" xfId="0" applyFont="1" applyFill="1" applyBorder="1" applyAlignment="1">
      <alignment horizontal="center" vertical="center"/>
    </xf>
    <xf numFmtId="0" fontId="35" fillId="22" borderId="6" xfId="0" applyFont="1" applyFill="1" applyBorder="1" applyAlignment="1">
      <alignment horizontal="center" vertical="center"/>
    </xf>
    <xf numFmtId="0" fontId="35" fillId="22" borderId="9" xfId="0" applyFont="1" applyFill="1" applyBorder="1" applyAlignment="1">
      <alignment horizontal="center" vertical="center" wrapText="1"/>
    </xf>
    <xf numFmtId="0" fontId="35" fillId="22" borderId="3" xfId="0" applyFont="1" applyFill="1" applyBorder="1" applyAlignment="1">
      <alignment horizontal="center" vertical="center" wrapText="1"/>
    </xf>
    <xf numFmtId="0" fontId="35" fillId="3" borderId="1" xfId="0" applyFont="1" applyFill="1" applyBorder="1" applyAlignment="1">
      <alignment horizontal="center" vertical="center"/>
    </xf>
    <xf numFmtId="0" fontId="35" fillId="3" borderId="4" xfId="0" applyFont="1" applyFill="1" applyBorder="1" applyAlignment="1">
      <alignment horizontal="center" vertical="center"/>
    </xf>
    <xf numFmtId="171" fontId="35" fillId="3" borderId="1" xfId="0" applyNumberFormat="1" applyFont="1" applyFill="1" applyBorder="1" applyAlignment="1">
      <alignment horizontal="center" vertical="center"/>
    </xf>
    <xf numFmtId="171" fontId="35" fillId="3" borderId="4" xfId="0" applyNumberFormat="1" applyFont="1" applyFill="1" applyBorder="1" applyAlignment="1">
      <alignment horizontal="center" vertical="center"/>
    </xf>
    <xf numFmtId="10" fontId="35" fillId="3" borderId="1" xfId="1" applyNumberFormat="1" applyFont="1" applyFill="1" applyBorder="1" applyAlignment="1">
      <alignment horizontal="center" vertical="center"/>
    </xf>
    <xf numFmtId="10" fontId="35" fillId="3" borderId="4" xfId="1" applyNumberFormat="1" applyFont="1" applyFill="1" applyBorder="1" applyAlignment="1">
      <alignment horizontal="center" vertical="center"/>
    </xf>
    <xf numFmtId="0" fontId="35" fillId="22" borderId="0" xfId="0" applyFont="1" applyFill="1" applyAlignment="1">
      <alignment horizontal="center" vertical="center"/>
    </xf>
    <xf numFmtId="0" fontId="35" fillId="22" borderId="4" xfId="0" applyFont="1" applyFill="1" applyBorder="1" applyAlignment="1">
      <alignment horizontal="center" vertical="center"/>
    </xf>
    <xf numFmtId="0" fontId="35" fillId="22" borderId="8" xfId="0" applyFont="1" applyFill="1" applyBorder="1" applyAlignment="1">
      <alignment horizontal="center" vertical="center"/>
    </xf>
    <xf numFmtId="0" fontId="35" fillId="22" borderId="2" xfId="0" applyFont="1" applyFill="1" applyBorder="1" applyAlignment="1">
      <alignment horizontal="center" vertical="center"/>
    </xf>
    <xf numFmtId="164" fontId="35" fillId="3" borderId="1" xfId="1" applyNumberFormat="1" applyFont="1" applyFill="1" applyBorder="1" applyAlignment="1">
      <alignment horizontal="center" vertical="center"/>
    </xf>
    <xf numFmtId="164" fontId="35" fillId="3" borderId="4" xfId="1" applyNumberFormat="1" applyFont="1" applyFill="1" applyBorder="1" applyAlignment="1">
      <alignment horizontal="center" vertical="center"/>
    </xf>
    <xf numFmtId="0" fontId="36" fillId="12" borderId="13" xfId="0" applyFont="1" applyFill="1" applyBorder="1" applyAlignment="1">
      <alignment horizontal="center" vertical="center"/>
    </xf>
    <xf numFmtId="0" fontId="36" fillId="12" borderId="11" xfId="0" applyFont="1" applyFill="1" applyBorder="1" applyAlignment="1">
      <alignment horizontal="center" vertical="center"/>
    </xf>
    <xf numFmtId="0" fontId="36" fillId="12" borderId="7" xfId="0" applyFont="1" applyFill="1" applyBorder="1" applyAlignment="1">
      <alignment horizontal="center" vertical="center"/>
    </xf>
    <xf numFmtId="0" fontId="36" fillId="12" borderId="1" xfId="0" applyFont="1" applyFill="1" applyBorder="1" applyAlignment="1">
      <alignment horizontal="center" vertical="center"/>
    </xf>
    <xf numFmtId="0" fontId="36" fillId="12" borderId="6" xfId="0" applyFont="1" applyFill="1" applyBorder="1" applyAlignment="1">
      <alignment horizontal="center" vertical="center"/>
    </xf>
    <xf numFmtId="0" fontId="36" fillId="12" borderId="9" xfId="0" applyFont="1" applyFill="1" applyBorder="1" applyAlignment="1">
      <alignment horizontal="center" vertical="center"/>
    </xf>
    <xf numFmtId="0" fontId="36" fillId="12" borderId="0" xfId="0" applyFont="1" applyFill="1" applyAlignment="1">
      <alignment horizontal="center" vertical="center"/>
    </xf>
    <xf numFmtId="0" fontId="36" fillId="12" borderId="8" xfId="0" applyFont="1" applyFill="1" applyBorder="1" applyAlignment="1">
      <alignment horizontal="center" vertical="center"/>
    </xf>
    <xf numFmtId="0" fontId="39" fillId="0" borderId="0" xfId="0" applyFont="1" applyAlignment="1">
      <alignment horizontal="center" vertical="center" wrapText="1"/>
    </xf>
    <xf numFmtId="14" fontId="39" fillId="0" borderId="0" xfId="0" applyNumberFormat="1" applyFont="1" applyAlignment="1">
      <alignment horizontal="center" vertical="center"/>
    </xf>
    <xf numFmtId="0" fontId="39" fillId="0" borderId="0" xfId="0" applyFont="1" applyAlignment="1">
      <alignment horizontal="center" vertical="center"/>
    </xf>
    <xf numFmtId="0" fontId="35" fillId="22" borderId="9" xfId="0" applyFont="1" applyFill="1" applyBorder="1" applyAlignment="1">
      <alignment horizontal="center" vertical="center"/>
    </xf>
    <xf numFmtId="0" fontId="35" fillId="22" borderId="3" xfId="0" applyFont="1" applyFill="1" applyBorder="1" applyAlignment="1">
      <alignment horizontal="center" vertical="center"/>
    </xf>
    <xf numFmtId="0" fontId="34" fillId="3" borderId="0" xfId="0" applyFont="1" applyFill="1" applyAlignment="1">
      <alignment horizontal="center" vertical="center"/>
    </xf>
    <xf numFmtId="0" fontId="36" fillId="12" borderId="12" xfId="0" applyFont="1" applyFill="1" applyBorder="1" applyAlignment="1">
      <alignment horizontal="center" vertical="center"/>
    </xf>
    <xf numFmtId="0" fontId="20" fillId="0" borderId="9" xfId="0" applyFont="1" applyBorder="1" applyAlignment="1">
      <alignment horizontal="center" vertical="center"/>
    </xf>
    <xf numFmtId="0" fontId="20" fillId="0" borderId="8" xfId="0" applyFont="1" applyBorder="1" applyAlignment="1">
      <alignment horizontal="center" vertical="center"/>
    </xf>
    <xf numFmtId="171" fontId="20" fillId="0" borderId="0" xfId="0" applyNumberFormat="1" applyFont="1" applyAlignment="1">
      <alignment horizontal="center" vertical="center"/>
    </xf>
    <xf numFmtId="0" fontId="19" fillId="29" borderId="1" xfId="0" applyFont="1" applyFill="1" applyBorder="1" applyAlignment="1">
      <alignment horizontal="center" vertical="center"/>
    </xf>
    <xf numFmtId="0" fontId="19" fillId="29" borderId="4" xfId="0" applyFont="1" applyFill="1" applyBorder="1" applyAlignment="1">
      <alignment horizontal="center" vertical="center"/>
    </xf>
    <xf numFmtId="0" fontId="20" fillId="0" borderId="3" xfId="0" applyFont="1" applyBorder="1" applyAlignment="1">
      <alignment horizontal="center" vertical="center"/>
    </xf>
    <xf numFmtId="0" fontId="20" fillId="0" borderId="2" xfId="0" applyFont="1" applyBorder="1" applyAlignment="1">
      <alignment horizontal="center" vertical="center"/>
    </xf>
    <xf numFmtId="0" fontId="14" fillId="6" borderId="9" xfId="0" applyFont="1" applyFill="1" applyBorder="1" applyAlignment="1">
      <alignment horizontal="center" vertical="center"/>
    </xf>
    <xf numFmtId="0" fontId="14" fillId="6" borderId="0" xfId="0" applyFont="1" applyFill="1" applyAlignment="1">
      <alignment horizontal="center" vertical="center"/>
    </xf>
    <xf numFmtId="0" fontId="14" fillId="27" borderId="7" xfId="0" applyFont="1" applyFill="1" applyBorder="1" applyAlignment="1">
      <alignment horizontal="center" vertical="center"/>
    </xf>
    <xf numFmtId="0" fontId="14" fillId="27" borderId="1" xfId="0" applyFont="1" applyFill="1" applyBorder="1" applyAlignment="1">
      <alignment horizontal="center" vertical="center"/>
    </xf>
    <xf numFmtId="0" fontId="19" fillId="12" borderId="1" xfId="0" applyFont="1" applyFill="1" applyBorder="1" applyAlignment="1">
      <alignment horizontal="center" vertical="center"/>
    </xf>
    <xf numFmtId="0" fontId="19" fillId="12" borderId="4" xfId="0" applyFont="1" applyFill="1" applyBorder="1" applyAlignment="1">
      <alignment horizontal="center" vertical="center"/>
    </xf>
    <xf numFmtId="0" fontId="19" fillId="27" borderId="6" xfId="0" applyFont="1" applyFill="1" applyBorder="1" applyAlignment="1">
      <alignment horizontal="center" vertical="center"/>
    </xf>
    <xf numFmtId="0" fontId="19" fillId="27" borderId="2" xfId="0" applyFont="1" applyFill="1" applyBorder="1" applyAlignment="1">
      <alignment horizontal="center" vertical="center"/>
    </xf>
    <xf numFmtId="0" fontId="16" fillId="0" borderId="9" xfId="0" quotePrefix="1" applyFont="1" applyBorder="1" applyAlignment="1">
      <alignment horizontal="center" vertical="center"/>
    </xf>
    <xf numFmtId="0" fontId="16" fillId="0" borderId="9" xfId="0" applyFont="1" applyBorder="1" applyAlignment="1">
      <alignment horizontal="center" vertical="center"/>
    </xf>
    <xf numFmtId="0" fontId="26" fillId="26" borderId="7" xfId="0" applyFont="1" applyFill="1" applyBorder="1" applyAlignment="1">
      <alignment horizontal="center" vertical="center"/>
    </xf>
    <xf numFmtId="0" fontId="26" fillId="26" borderId="3" xfId="0" applyFont="1" applyFill="1" applyBorder="1" applyAlignment="1">
      <alignment horizontal="center" vertical="center"/>
    </xf>
    <xf numFmtId="0" fontId="26" fillId="26" borderId="1" xfId="0" applyFont="1" applyFill="1" applyBorder="1" applyAlignment="1">
      <alignment horizontal="center" vertical="center"/>
    </xf>
    <xf numFmtId="0" fontId="26" fillId="26" borderId="4" xfId="0" applyFont="1" applyFill="1" applyBorder="1" applyAlignment="1">
      <alignment horizontal="center" vertical="center"/>
    </xf>
    <xf numFmtId="0" fontId="16" fillId="0" borderId="10" xfId="0" quotePrefix="1" applyFont="1" applyBorder="1" applyAlignment="1">
      <alignment horizontal="center" vertical="center"/>
    </xf>
    <xf numFmtId="0" fontId="16" fillId="0" borderId="14" xfId="0" quotePrefix="1" applyFont="1" applyBorder="1" applyAlignment="1">
      <alignment horizontal="center" vertical="center"/>
    </xf>
    <xf numFmtId="0" fontId="16" fillId="0" borderId="5" xfId="0" quotePrefix="1" applyFont="1" applyBorder="1" applyAlignment="1">
      <alignment horizontal="center" vertical="center"/>
    </xf>
    <xf numFmtId="0" fontId="19" fillId="12" borderId="7" xfId="0" applyFont="1" applyFill="1" applyBorder="1" applyAlignment="1">
      <alignment horizontal="center" vertical="center"/>
    </xf>
    <xf numFmtId="0" fontId="19" fillId="12" borderId="3" xfId="0" applyFont="1" applyFill="1" applyBorder="1" applyAlignment="1">
      <alignment horizontal="center" vertical="center"/>
    </xf>
    <xf numFmtId="0" fontId="19" fillId="27" borderId="1" xfId="0" applyFont="1" applyFill="1" applyBorder="1" applyAlignment="1">
      <alignment horizontal="center" vertical="center"/>
    </xf>
    <xf numFmtId="0" fontId="19" fillId="27" borderId="4" xfId="0" applyFont="1" applyFill="1" applyBorder="1" applyAlignment="1">
      <alignment horizontal="center" vertical="center"/>
    </xf>
    <xf numFmtId="0" fontId="19" fillId="12" borderId="6" xfId="0" applyFont="1" applyFill="1" applyBorder="1" applyAlignment="1">
      <alignment horizontal="center" vertical="center"/>
    </xf>
    <xf numFmtId="0" fontId="19" fillId="12" borderId="2" xfId="0" applyFont="1" applyFill="1" applyBorder="1" applyAlignment="1">
      <alignment horizontal="center" vertical="center"/>
    </xf>
    <xf numFmtId="0" fontId="16" fillId="0" borderId="0" xfId="0" quotePrefix="1" applyFont="1" applyAlignment="1">
      <alignment horizontal="center" vertical="center"/>
    </xf>
    <xf numFmtId="0" fontId="19" fillId="27" borderId="7" xfId="0" applyFont="1" applyFill="1" applyBorder="1" applyAlignment="1">
      <alignment horizontal="center" vertical="center"/>
    </xf>
    <xf numFmtId="0" fontId="19" fillId="27" borderId="3" xfId="0" applyFont="1" applyFill="1" applyBorder="1" applyAlignment="1">
      <alignment horizontal="center" vertical="center"/>
    </xf>
    <xf numFmtId="0" fontId="26" fillId="26" borderId="6" xfId="0" applyFont="1" applyFill="1" applyBorder="1" applyAlignment="1">
      <alignment horizontal="center" vertical="center"/>
    </xf>
    <xf numFmtId="0" fontId="26" fillId="26" borderId="2" xfId="0" applyFont="1" applyFill="1" applyBorder="1" applyAlignment="1">
      <alignment horizontal="center" vertical="center"/>
    </xf>
    <xf numFmtId="0" fontId="14" fillId="28" borderId="6" xfId="0" applyFont="1" applyFill="1" applyBorder="1" applyAlignment="1">
      <alignment horizontal="center" vertical="center"/>
    </xf>
    <xf numFmtId="0" fontId="14" fillId="28" borderId="2" xfId="0" applyFont="1" applyFill="1" applyBorder="1" applyAlignment="1">
      <alignment horizontal="center" vertical="center"/>
    </xf>
    <xf numFmtId="0" fontId="14" fillId="28" borderId="1" xfId="0" applyFont="1" applyFill="1" applyBorder="1" applyAlignment="1">
      <alignment horizontal="center" vertical="center"/>
    </xf>
    <xf numFmtId="0" fontId="14" fillId="28" borderId="4" xfId="0" applyFont="1" applyFill="1" applyBorder="1" applyAlignment="1">
      <alignment horizontal="center" vertical="center"/>
    </xf>
    <xf numFmtId="0" fontId="14" fillId="28" borderId="7" xfId="0" applyFont="1" applyFill="1" applyBorder="1" applyAlignment="1">
      <alignment horizontal="center" vertical="center"/>
    </xf>
    <xf numFmtId="0" fontId="14" fillId="28" borderId="3" xfId="0" applyFont="1" applyFill="1" applyBorder="1" applyAlignment="1">
      <alignment horizontal="center" vertical="center"/>
    </xf>
    <xf numFmtId="0" fontId="14" fillId="26" borderId="7" xfId="0" applyFont="1" applyFill="1" applyBorder="1" applyAlignment="1">
      <alignment horizontal="center" vertical="center"/>
    </xf>
    <xf numFmtId="0" fontId="14" fillId="26" borderId="1" xfId="0" applyFont="1" applyFill="1" applyBorder="1" applyAlignment="1">
      <alignment horizontal="center" vertical="center"/>
    </xf>
    <xf numFmtId="0" fontId="14" fillId="26" borderId="6" xfId="0" applyFont="1" applyFill="1" applyBorder="1" applyAlignment="1">
      <alignment horizontal="center" vertical="center"/>
    </xf>
    <xf numFmtId="0" fontId="14" fillId="26" borderId="4" xfId="0" applyFont="1" applyFill="1" applyBorder="1" applyAlignment="1">
      <alignment horizontal="center" vertical="center"/>
    </xf>
    <xf numFmtId="0" fontId="14" fillId="26" borderId="2" xfId="0" applyFont="1" applyFill="1" applyBorder="1" applyAlignment="1">
      <alignment horizontal="center" vertical="center"/>
    </xf>
    <xf numFmtId="0" fontId="14" fillId="27" borderId="4" xfId="0" applyFont="1" applyFill="1" applyBorder="1" applyAlignment="1">
      <alignment horizontal="center" vertical="center"/>
    </xf>
    <xf numFmtId="0" fontId="14" fillId="27" borderId="6" xfId="0" applyFont="1" applyFill="1" applyBorder="1" applyAlignment="1">
      <alignment horizontal="center" vertical="center"/>
    </xf>
    <xf numFmtId="0" fontId="14" fillId="27" borderId="2" xfId="0" applyFont="1" applyFill="1" applyBorder="1" applyAlignment="1">
      <alignment horizontal="center" vertical="center"/>
    </xf>
    <xf numFmtId="0" fontId="20" fillId="15" borderId="0" xfId="0" applyFont="1" applyFill="1" applyAlignment="1">
      <alignment horizontal="center" vertical="center"/>
    </xf>
    <xf numFmtId="0" fontId="36" fillId="12" borderId="9" xfId="0" applyFont="1" applyFill="1" applyBorder="1" applyAlignment="1">
      <alignment horizontal="center" vertical="center" wrapText="1"/>
    </xf>
    <xf numFmtId="0" fontId="36" fillId="12" borderId="3" xfId="0" applyFont="1" applyFill="1" applyBorder="1" applyAlignment="1">
      <alignment horizontal="center" vertical="center" wrapText="1"/>
    </xf>
    <xf numFmtId="0" fontId="36" fillId="12" borderId="0" xfId="0" applyFont="1" applyFill="1" applyAlignment="1">
      <alignment horizontal="center" vertical="center" wrapText="1"/>
    </xf>
    <xf numFmtId="0" fontId="36" fillId="12" borderId="4" xfId="0" applyFont="1" applyFill="1" applyBorder="1" applyAlignment="1">
      <alignment horizontal="center" vertical="center" wrapText="1"/>
    </xf>
    <xf numFmtId="0" fontId="36" fillId="12" borderId="8" xfId="0" applyFont="1" applyFill="1" applyBorder="1" applyAlignment="1">
      <alignment horizontal="center" vertical="center" wrapText="1"/>
    </xf>
    <xf numFmtId="0" fontId="36" fillId="12" borderId="2" xfId="0" applyFont="1" applyFill="1" applyBorder="1" applyAlignment="1">
      <alignment horizontal="center" vertical="center" wrapText="1"/>
    </xf>
    <xf numFmtId="0" fontId="14" fillId="0" borderId="0" xfId="0" applyFont="1" applyAlignment="1">
      <alignment horizontal="center"/>
    </xf>
  </cellXfs>
  <cellStyles count="2">
    <cellStyle name="Normal" xfId="0" builtinId="0"/>
    <cellStyle name="Percent" xfId="1" builtinId="5"/>
  </cellStyles>
  <dxfs count="44">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1"/>
      </font>
      <fill>
        <patternFill>
          <bgColor theme="1"/>
        </patternFill>
      </fill>
      <border>
        <left style="thin">
          <color auto="1"/>
        </left>
        <right style="thin">
          <color auto="1"/>
        </right>
        <top style="thin">
          <color auto="1"/>
        </top>
        <bottom style="thin">
          <color auto="1"/>
        </bottom>
        <vertical/>
        <horizontal/>
      </border>
    </dxf>
    <dxf>
      <font>
        <color theme="1"/>
      </font>
      <fill>
        <patternFill>
          <bgColor theme="1"/>
        </patternFill>
      </fill>
      <border>
        <left style="thin">
          <color auto="1"/>
        </left>
        <right style="thin">
          <color auto="1"/>
        </right>
        <top style="thin">
          <color auto="1"/>
        </top>
        <bottom style="thin">
          <color auto="1"/>
        </bottom>
        <vertical/>
        <horizontal/>
      </border>
    </dxf>
    <dxf>
      <font>
        <b/>
        <i val="0"/>
      </font>
      <border>
        <left style="dashed">
          <color auto="1"/>
        </left>
        <right style="dashed">
          <color auto="1"/>
        </right>
        <top style="dashed">
          <color auto="1"/>
        </top>
        <bottom style="dashed">
          <color auto="1"/>
        </bottom>
        <vertical/>
        <horizontal/>
      </border>
    </dxf>
    <dxf>
      <font>
        <b/>
        <i val="0"/>
      </font>
      <border>
        <left style="dashed">
          <color auto="1"/>
        </left>
        <right style="dashed">
          <color auto="1"/>
        </right>
        <top style="dashed">
          <color auto="1"/>
        </top>
        <bottom style="dashed">
          <color auto="1"/>
        </bottom>
        <vertical/>
        <horizontal/>
      </border>
    </dxf>
    <dxf>
      <font>
        <color theme="0"/>
      </font>
      <fill>
        <patternFill>
          <bgColor theme="0"/>
        </patternFill>
      </fill>
    </dxf>
    <dxf>
      <font>
        <color theme="0"/>
      </font>
      <fill>
        <patternFill>
          <bgColor theme="0"/>
        </patternFill>
      </fill>
    </dxf>
    <dxf>
      <font>
        <color theme="0"/>
      </font>
      <fill>
        <patternFill>
          <bgColor theme="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1"/>
      </font>
      <fill>
        <patternFill>
          <bgColor theme="1"/>
        </patternFill>
      </fill>
      <border>
        <left style="thin">
          <color auto="1"/>
        </left>
        <right style="thin">
          <color auto="1"/>
        </right>
        <top style="thin">
          <color auto="1"/>
        </top>
        <bottom style="thin">
          <color auto="1"/>
        </bottom>
        <vertical/>
        <horizontal/>
      </border>
    </dxf>
    <dxf>
      <font>
        <color theme="1"/>
      </font>
      <fill>
        <patternFill>
          <bgColor theme="1"/>
        </patternFill>
      </fill>
      <border>
        <left style="thin">
          <color auto="1"/>
        </left>
        <right style="thin">
          <color auto="1"/>
        </right>
        <top style="thin">
          <color auto="1"/>
        </top>
        <bottom style="thin">
          <color auto="1"/>
        </bottom>
        <vertical/>
        <horizontal/>
      </border>
    </dxf>
    <dxf>
      <fill>
        <patternFill>
          <bgColor rgb="FFC00000"/>
        </patternFill>
      </fill>
    </dxf>
    <dxf>
      <font>
        <b/>
        <i val="0"/>
      </font>
      <border>
        <left style="dashed">
          <color auto="1"/>
        </left>
        <right style="dashed">
          <color auto="1"/>
        </right>
        <top style="dashed">
          <color auto="1"/>
        </top>
        <bottom style="dashed">
          <color auto="1"/>
        </bottom>
        <vertical/>
        <horizontal/>
      </border>
    </dxf>
    <dxf>
      <font>
        <b/>
        <i val="0"/>
      </font>
      <border>
        <left style="dashed">
          <color auto="1"/>
        </left>
        <right style="dashed">
          <color auto="1"/>
        </right>
        <top style="dashed">
          <color auto="1"/>
        </top>
        <bottom style="dashed">
          <color auto="1"/>
        </bottom>
        <vertical/>
        <horizontal/>
      </border>
    </dxf>
    <dxf>
      <fill>
        <patternFill>
          <bgColor rgb="FFFF0000"/>
        </patternFill>
      </fill>
    </dxf>
    <dxf>
      <fill>
        <patternFill>
          <bgColor rgb="FFC00000"/>
        </patternFill>
      </fill>
    </dxf>
    <dxf>
      <font>
        <color theme="1"/>
      </font>
      <fill>
        <patternFill>
          <bgColor theme="1"/>
        </patternFill>
      </fill>
      <border>
        <left style="thin">
          <color auto="1"/>
        </left>
        <right style="thin">
          <color auto="1"/>
        </right>
        <top style="thin">
          <color auto="1"/>
        </top>
        <bottom style="thin">
          <color auto="1"/>
        </bottom>
        <vertical/>
        <horizontal/>
      </border>
    </dxf>
    <dxf>
      <font>
        <color theme="1"/>
      </font>
      <fill>
        <patternFill>
          <bgColor theme="1"/>
        </patternFill>
      </fill>
      <border>
        <left style="thin">
          <color auto="1"/>
        </left>
        <right style="thin">
          <color auto="1"/>
        </right>
        <top style="thin">
          <color auto="1"/>
        </top>
        <bottom style="thin">
          <color auto="1"/>
        </bottom>
        <vertical/>
        <horizontal/>
      </border>
    </dxf>
    <dxf>
      <font>
        <color theme="1"/>
      </font>
      <fill>
        <patternFill>
          <bgColor theme="1"/>
        </patternFill>
      </fill>
      <border>
        <left style="thin">
          <color auto="1"/>
        </left>
        <right style="thin">
          <color auto="1"/>
        </right>
        <top style="thin">
          <color auto="1"/>
        </top>
        <bottom style="thin">
          <color auto="1"/>
        </bottom>
        <vertical/>
        <horizontal/>
      </border>
    </dxf>
    <dxf>
      <font>
        <color theme="1"/>
      </font>
      <fill>
        <patternFill>
          <bgColor theme="1"/>
        </patternFill>
      </fill>
      <border>
        <left style="thin">
          <color auto="1"/>
        </left>
        <right style="thin">
          <color auto="1"/>
        </right>
        <top style="thin">
          <color auto="1"/>
        </top>
        <bottom style="thin">
          <color auto="1"/>
        </bottom>
        <vertical/>
        <horizontal/>
      </border>
    </dxf>
    <dxf>
      <font>
        <color theme="1"/>
      </font>
      <fill>
        <patternFill>
          <bgColor theme="1"/>
        </patternFill>
      </fill>
      <border>
        <left style="thin">
          <color auto="1"/>
        </left>
        <right style="thin">
          <color auto="1"/>
        </right>
        <top style="thin">
          <color auto="1"/>
        </top>
        <bottom style="thin">
          <color auto="1"/>
        </bottom>
        <vertical/>
        <horizontal/>
      </border>
    </dxf>
    <dxf>
      <font>
        <color theme="1"/>
      </font>
      <fill>
        <patternFill>
          <bgColor theme="1"/>
        </patternFill>
      </fill>
      <border>
        <left style="thin">
          <color auto="1"/>
        </left>
        <right style="thin">
          <color auto="1"/>
        </right>
        <top style="thin">
          <color auto="1"/>
        </top>
        <bottom style="thin">
          <color auto="1"/>
        </bottom>
      </border>
    </dxf>
    <dxf>
      <fill>
        <patternFill>
          <bgColor rgb="FFC00000"/>
        </patternFill>
      </fill>
    </dxf>
    <dxf>
      <fill>
        <patternFill>
          <bgColor rgb="FFC00000"/>
        </patternFill>
      </fill>
    </dxf>
    <dxf>
      <fill>
        <patternFill>
          <bgColor rgb="FFFF0000"/>
        </patternFill>
      </fill>
    </dxf>
  </dxfs>
  <tableStyles count="0" defaultTableStyle="TableStyleMedium2" defaultPivotStyle="PivotStyleLight16"/>
  <colors>
    <mruColors>
      <color rgb="FFFCC0C0"/>
      <color rgb="FF9BACBF"/>
      <color rgb="FF7D93AB"/>
      <color rgb="FF607A96"/>
      <color rgb="FF50657C"/>
      <color rgb="FF3C4C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28575</xdr:rowOff>
        </xdr:from>
        <xdr:to>
          <xdr:col>5</xdr:col>
          <xdr:colOff>1543050</xdr:colOff>
          <xdr:row>1</xdr:row>
          <xdr:rowOff>238125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Loan (Will Erase Pre-Existing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85725</xdr:rowOff>
        </xdr:from>
        <xdr:to>
          <xdr:col>9</xdr:col>
          <xdr:colOff>1428750</xdr:colOff>
          <xdr:row>2</xdr:row>
          <xdr:rowOff>133350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Inputs (WARNING: All inputs from this sheet will 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171450</xdr:colOff>
          <xdr:row>0</xdr:row>
          <xdr:rowOff>85725</xdr:rowOff>
        </xdr:from>
        <xdr:to>
          <xdr:col>6</xdr:col>
          <xdr:colOff>114300</xdr:colOff>
          <xdr:row>2</xdr:row>
          <xdr:rowOff>142875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Loan (Will Erase Pre-Existing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266700</xdr:colOff>
          <xdr:row>5</xdr:row>
          <xdr:rowOff>28575</xdr:rowOff>
        </xdr:from>
        <xdr:to>
          <xdr:col>22</xdr:col>
          <xdr:colOff>47625</xdr:colOff>
          <xdr:row>11</xdr:row>
          <xdr:rowOff>142875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6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Copy/Paste PX Options to LTR Quote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847725</xdr:colOff>
          <xdr:row>7</xdr:row>
          <xdr:rowOff>66675</xdr:rowOff>
        </xdr:from>
        <xdr:to>
          <xdr:col>26</xdr:col>
          <xdr:colOff>419100</xdr:colOff>
          <xdr:row>17</xdr:row>
          <xdr:rowOff>57150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 Paste Pricing Options to LTR Quote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657225</xdr:colOff>
          <xdr:row>16</xdr:row>
          <xdr:rowOff>38100</xdr:rowOff>
        </xdr:from>
        <xdr:to>
          <xdr:col>58</xdr:col>
          <xdr:colOff>914400</xdr:colOff>
          <xdr:row>23</xdr:row>
          <xdr:rowOff>133350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A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Requested Loan to Final Allocated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485775</xdr:colOff>
          <xdr:row>7</xdr:row>
          <xdr:rowOff>66675</xdr:rowOff>
        </xdr:from>
        <xdr:to>
          <xdr:col>57</xdr:col>
          <xdr:colOff>628650</xdr:colOff>
          <xdr:row>20</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F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Copy/Paste Req. Loan Amounts to Final Allocated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0</xdr:row>
          <xdr:rowOff>114300</xdr:rowOff>
        </xdr:from>
        <xdr:to>
          <xdr:col>16</xdr:col>
          <xdr:colOff>933450</xdr:colOff>
          <xdr:row>1</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F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Copy/Paste PX Options to Quote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142875</xdr:rowOff>
        </xdr:from>
        <xdr:to>
          <xdr:col>1</xdr:col>
          <xdr:colOff>952500</xdr:colOff>
          <xdr:row>7</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LTR Quote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485775</xdr:colOff>
          <xdr:row>26</xdr:row>
          <xdr:rowOff>47625</xdr:rowOff>
        </xdr:from>
        <xdr:to>
          <xdr:col>11</xdr:col>
          <xdr:colOff>590550</xdr:colOff>
          <xdr:row>38</xdr:row>
          <xdr:rowOff>57150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4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Quote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45E9E-D4AF-4391-A8DD-1C7B6C40014D}">
  <sheetPr codeName="Sheet1">
    <tabColor rgb="FF3C4C5E"/>
    <pageSetUpPr fitToPage="1"/>
  </sheetPr>
  <dimension ref="A1:O46"/>
  <sheetViews>
    <sheetView showGridLines="0" zoomScale="70" zoomScaleNormal="70" workbookViewId="0">
      <selection activeCell="C4" sqref="C4"/>
    </sheetView>
  </sheetViews>
  <sheetFormatPr defaultColWidth="9.140625" defaultRowHeight="18" customHeight="1" x14ac:dyDescent="0.25"/>
  <cols>
    <col min="1" max="1" width="3.42578125" style="1" customWidth="1"/>
    <col min="2" max="3" width="40.42578125" style="1" customWidth="1"/>
    <col min="4" max="4" width="3.42578125" style="1" customWidth="1"/>
    <col min="5" max="8" width="24.42578125" style="1" customWidth="1"/>
    <col min="9" max="9" width="3.42578125" style="1" customWidth="1"/>
    <col min="10" max="10" width="37.42578125" style="1" customWidth="1"/>
    <col min="11" max="12" width="18.5703125" style="1" customWidth="1"/>
    <col min="13" max="13" width="3.42578125" style="1" customWidth="1"/>
    <col min="14" max="15" width="36.85546875" style="1" customWidth="1"/>
    <col min="16" max="16384" width="9.140625" style="1"/>
  </cols>
  <sheetData>
    <row r="1" spans="1:15" ht="22.5" customHeight="1" x14ac:dyDescent="0.25">
      <c r="B1" s="627" t="s">
        <v>116</v>
      </c>
      <c r="C1" s="629">
        <v>45086</v>
      </c>
    </row>
    <row r="2" spans="1:15" ht="22.5" customHeight="1" x14ac:dyDescent="0.25">
      <c r="A2" s="50"/>
      <c r="B2" s="628"/>
      <c r="C2" s="630"/>
    </row>
    <row r="3" spans="1:15" s="4" customFormat="1" ht="18" customHeight="1" x14ac:dyDescent="0.25">
      <c r="B3" s="579" t="s">
        <v>115</v>
      </c>
      <c r="C3" s="580"/>
      <c r="E3" s="579" t="s">
        <v>114</v>
      </c>
      <c r="F3" s="621"/>
      <c r="G3" s="621"/>
      <c r="H3" s="621"/>
      <c r="J3" s="570" t="s">
        <v>113</v>
      </c>
      <c r="K3" s="571"/>
      <c r="L3" s="572"/>
      <c r="N3" s="577" t="s">
        <v>112</v>
      </c>
      <c r="O3" s="578"/>
    </row>
    <row r="4" spans="1:15" s="4" customFormat="1" ht="18" customHeight="1" x14ac:dyDescent="0.25">
      <c r="B4" s="11" t="s">
        <v>111</v>
      </c>
      <c r="C4" s="48"/>
      <c r="E4" s="609" t="s">
        <v>110</v>
      </c>
      <c r="F4" s="609"/>
      <c r="G4" s="594"/>
      <c r="H4" s="594"/>
      <c r="J4" s="573"/>
      <c r="K4" s="574"/>
      <c r="L4" s="575"/>
      <c r="N4" s="49" t="s">
        <v>109</v>
      </c>
      <c r="O4" s="49" t="s">
        <v>108</v>
      </c>
    </row>
    <row r="5" spans="1:15" s="4" customFormat="1" ht="18" customHeight="1" x14ac:dyDescent="0.25">
      <c r="B5" s="11" t="s">
        <v>107</v>
      </c>
      <c r="C5" s="42"/>
      <c r="E5" s="608" t="s">
        <v>106</v>
      </c>
      <c r="F5" s="608"/>
      <c r="G5" s="569"/>
      <c r="H5" s="569"/>
      <c r="J5" s="11" t="s">
        <v>105</v>
      </c>
      <c r="K5" s="569"/>
      <c r="L5" s="569"/>
      <c r="N5" s="45">
        <v>0.01</v>
      </c>
      <c r="O5" s="45" t="str">
        <f>'GUC (Loan Calc)'!G30</f>
        <v>-</v>
      </c>
    </row>
    <row r="6" spans="1:15" s="4" customFormat="1" ht="18" customHeight="1" x14ac:dyDescent="0.25">
      <c r="B6" s="11" t="s">
        <v>104</v>
      </c>
      <c r="C6" s="48"/>
      <c r="E6" s="608" t="s">
        <v>103</v>
      </c>
      <c r="F6" s="608"/>
      <c r="G6" s="569"/>
      <c r="H6" s="569"/>
      <c r="J6" s="11" t="s">
        <v>102</v>
      </c>
      <c r="K6" s="569"/>
      <c r="L6" s="569"/>
      <c r="N6" s="46">
        <f t="shared" ref="N6:N15" si="0">+N5+0.25%</f>
        <v>1.2500000000000001E-2</v>
      </c>
      <c r="O6" s="45" t="str">
        <f>'GUC (Loan Calc)'!G31</f>
        <v>-</v>
      </c>
    </row>
    <row r="7" spans="1:15" s="4" customFormat="1" ht="18" customHeight="1" x14ac:dyDescent="0.25">
      <c r="B7" s="11" t="s">
        <v>101</v>
      </c>
      <c r="C7" s="48"/>
      <c r="E7" s="608" t="s">
        <v>100</v>
      </c>
      <c r="F7" s="608"/>
      <c r="G7" s="569"/>
      <c r="H7" s="569"/>
      <c r="J7" s="11" t="s">
        <v>99</v>
      </c>
      <c r="K7" s="568" t="str">
        <f>IFERROR(VLOOKUP($K$6,'GUC (Loan Calc)'!$I$38:$M$47,MATCH($K$5,'GUC (Loan Calc)'!$I$39:$M$39,0),FALSE),"-")</f>
        <v>-</v>
      </c>
      <c r="L7" s="568"/>
      <c r="N7" s="46">
        <f t="shared" si="0"/>
        <v>1.5000000000000001E-2</v>
      </c>
      <c r="O7" s="45" t="str">
        <f>'GUC (Loan Calc)'!G32</f>
        <v>-</v>
      </c>
    </row>
    <row r="8" spans="1:15" s="4" customFormat="1" ht="18" customHeight="1" x14ac:dyDescent="0.25">
      <c r="B8" s="11" t="s">
        <v>98</v>
      </c>
      <c r="C8" s="36" t="str">
        <f>'GUC (Loan Calc)'!$C$32</f>
        <v>-</v>
      </c>
      <c r="E8" s="608" t="s">
        <v>97</v>
      </c>
      <c r="F8" s="608"/>
      <c r="G8" s="569"/>
      <c r="H8" s="569"/>
      <c r="N8" s="46">
        <f t="shared" si="0"/>
        <v>1.7500000000000002E-2</v>
      </c>
      <c r="O8" s="45" t="str">
        <f>'GUC (Loan Calc)'!G33</f>
        <v>-</v>
      </c>
    </row>
    <row r="9" spans="1:15" s="4" customFormat="1" ht="18" customHeight="1" x14ac:dyDescent="0.25">
      <c r="E9" s="608" t="s">
        <v>96</v>
      </c>
      <c r="F9" s="608"/>
      <c r="G9" s="610"/>
      <c r="H9" s="610"/>
      <c r="J9" s="570" t="s">
        <v>95</v>
      </c>
      <c r="K9" s="571"/>
      <c r="L9" s="572"/>
      <c r="N9" s="46">
        <f t="shared" si="0"/>
        <v>0.02</v>
      </c>
      <c r="O9" s="45" t="str">
        <f>'GUC (Loan Calc)'!G34</f>
        <v>-</v>
      </c>
    </row>
    <row r="10" spans="1:15" s="4" customFormat="1" ht="18" customHeight="1" x14ac:dyDescent="0.25">
      <c r="B10" s="579" t="s">
        <v>94</v>
      </c>
      <c r="C10" s="580"/>
      <c r="E10" s="608" t="s">
        <v>93</v>
      </c>
      <c r="F10" s="608"/>
      <c r="G10" s="610"/>
      <c r="H10" s="610"/>
      <c r="J10" s="573"/>
      <c r="K10" s="574"/>
      <c r="L10" s="575"/>
      <c r="N10" s="46">
        <f t="shared" si="0"/>
        <v>2.2499999999999999E-2</v>
      </c>
      <c r="O10" s="45" t="str">
        <f>'GUC (Loan Calc)'!G35</f>
        <v>-</v>
      </c>
    </row>
    <row r="11" spans="1:15" s="4" customFormat="1" ht="18" customHeight="1" x14ac:dyDescent="0.25">
      <c r="A11" s="47" t="str">
        <f>IF(AND($C$11&gt;0,$C$11&lt;5),"GUCProp1to4",IF($C$11&gt;=5,"GUCProp5","-"))</f>
        <v>-</v>
      </c>
      <c r="B11" s="11" t="s">
        <v>92</v>
      </c>
      <c r="C11" s="42"/>
      <c r="E11" s="608" t="s">
        <v>91</v>
      </c>
      <c r="F11" s="608"/>
      <c r="G11" s="610"/>
      <c r="H11" s="610"/>
      <c r="J11" s="11" t="s">
        <v>71</v>
      </c>
      <c r="K11" s="37" t="str">
        <f>'GUC (Loan Calc)'!$O$27</f>
        <v>-</v>
      </c>
      <c r="L11" s="37" t="str">
        <f>'GUC (Loan Calc)'!$J$32</f>
        <v>- | -</v>
      </c>
      <c r="N11" s="46">
        <f t="shared" si="0"/>
        <v>2.4999999999999998E-2</v>
      </c>
      <c r="O11" s="45" t="str">
        <f>'GUC (Loan Calc)'!G36</f>
        <v>-</v>
      </c>
    </row>
    <row r="12" spans="1:15" s="4" customFormat="1" ht="18" customHeight="1" x14ac:dyDescent="0.25">
      <c r="B12" s="11" t="s">
        <v>90</v>
      </c>
      <c r="C12" s="42"/>
      <c r="J12" s="11" t="s">
        <v>89</v>
      </c>
      <c r="K12" s="586" t="str">
        <f>'GUC (Loan Calc)'!$O$28</f>
        <v>-</v>
      </c>
      <c r="L12" s="586"/>
      <c r="N12" s="44">
        <f t="shared" si="0"/>
        <v>2.7499999999999997E-2</v>
      </c>
      <c r="O12" s="43" t="str">
        <f>'GUC (Loan Calc)'!G37</f>
        <v>-</v>
      </c>
    </row>
    <row r="13" spans="1:15" s="4" customFormat="1" ht="18" customHeight="1" x14ac:dyDescent="0.25">
      <c r="B13" s="11" t="s">
        <v>88</v>
      </c>
      <c r="C13" s="42"/>
      <c r="E13" s="579" t="s">
        <v>87</v>
      </c>
      <c r="F13" s="621"/>
      <c r="G13" s="621"/>
      <c r="H13" s="621"/>
      <c r="J13" s="11" t="s">
        <v>86</v>
      </c>
      <c r="K13" s="586" t="e">
        <f>+K11+K12</f>
        <v>#VALUE!</v>
      </c>
      <c r="L13" s="586"/>
      <c r="N13" s="44">
        <f t="shared" si="0"/>
        <v>2.9999999999999995E-2</v>
      </c>
      <c r="O13" s="43" t="str">
        <f>'GUC (Loan Calc)'!G38</f>
        <v>-</v>
      </c>
    </row>
    <row r="14" spans="1:15" s="4" customFormat="1" ht="18" customHeight="1" x14ac:dyDescent="0.25">
      <c r="B14" s="11" t="s">
        <v>85</v>
      </c>
      <c r="C14" s="42"/>
      <c r="E14" s="609" t="s">
        <v>84</v>
      </c>
      <c r="F14" s="609"/>
      <c r="G14" s="594"/>
      <c r="H14" s="594"/>
      <c r="J14" s="11" t="s">
        <v>83</v>
      </c>
      <c r="K14" s="586" t="str">
        <f>'GUC (Loan Calc)'!$O$29</f>
        <v>-</v>
      </c>
      <c r="L14" s="586"/>
      <c r="N14" s="44">
        <f t="shared" si="0"/>
        <v>3.2499999999999994E-2</v>
      </c>
      <c r="O14" s="43" t="str">
        <f>'GUC (Loan Calc)'!G39</f>
        <v>-</v>
      </c>
    </row>
    <row r="15" spans="1:15" s="4" customFormat="1" ht="18" customHeight="1" x14ac:dyDescent="0.25">
      <c r="B15" s="11" t="s">
        <v>82</v>
      </c>
      <c r="C15" s="42"/>
      <c r="E15" s="608" t="s">
        <v>81</v>
      </c>
      <c r="F15" s="608"/>
      <c r="G15" s="626" t="str">
        <f>IFERROR(($C$27-($C$22+$C$25))/($C$22+$C$25),"-")</f>
        <v>-</v>
      </c>
      <c r="H15" s="626"/>
      <c r="J15" s="11" t="s">
        <v>62</v>
      </c>
      <c r="K15" s="37" t="str">
        <f>'GUC (Loan Calc)'!$O$30</f>
        <v>-</v>
      </c>
      <c r="L15" s="37" t="str">
        <f>'GUC (Loan Calc)'!$J$35</f>
        <v>- | -</v>
      </c>
      <c r="N15" s="44">
        <f t="shared" si="0"/>
        <v>3.4999999999999996E-2</v>
      </c>
      <c r="O15" s="43" t="str">
        <f>'GUC (Loan Calc)'!G40</f>
        <v>-</v>
      </c>
    </row>
    <row r="16" spans="1:15" s="4" customFormat="1" ht="18" customHeight="1" x14ac:dyDescent="0.25">
      <c r="B16" s="11" t="s">
        <v>80</v>
      </c>
      <c r="C16" s="42"/>
      <c r="E16" s="608" t="s">
        <v>79</v>
      </c>
      <c r="F16" s="608"/>
      <c r="G16" s="625"/>
      <c r="H16" s="625"/>
    </row>
    <row r="17" spans="2:15" s="4" customFormat="1" ht="18" customHeight="1" x14ac:dyDescent="0.25">
      <c r="B17" s="11" t="s">
        <v>78</v>
      </c>
      <c r="C17" s="36" t="str">
        <f>IFERROR(VLOOKUP(C16,Market!$A:$B,2,FALSE),"-")</f>
        <v>-</v>
      </c>
      <c r="E17" s="608" t="s">
        <v>77</v>
      </c>
      <c r="F17" s="608"/>
      <c r="G17" s="593" t="str">
        <f>IFERROR(($G$16*12)/$K$22,"-")</f>
        <v>-</v>
      </c>
      <c r="H17" s="593"/>
      <c r="J17" s="570" t="s">
        <v>76</v>
      </c>
      <c r="K17" s="571"/>
      <c r="L17" s="572"/>
      <c r="N17" s="579" t="s">
        <v>75</v>
      </c>
      <c r="O17" s="580"/>
    </row>
    <row r="18" spans="2:15" s="4" customFormat="1" ht="18" customHeight="1" x14ac:dyDescent="0.25">
      <c r="B18" s="11"/>
      <c r="C18" s="47" t="str">
        <f>$C$14&amp;", "&amp;$C$15</f>
        <v xml:space="preserve">, </v>
      </c>
      <c r="E18" s="608" t="s">
        <v>74</v>
      </c>
      <c r="F18" s="608"/>
      <c r="G18" s="593" t="str">
        <f>IF(AND('GUC (Loan Calc)'!$C$11="1-4",OR($G$15&gt;=15%,$K$44&gt;=10%)),"PASS",IF(AND('GUC (Loan Calc)'!$C$11="5+",OR($G$15&gt;=15%,$K$44&gt;=7%)),"PASS","Check with MGT"))</f>
        <v>PASS</v>
      </c>
      <c r="H18" s="593"/>
      <c r="J18" s="573"/>
      <c r="K18" s="574"/>
      <c r="L18" s="575"/>
      <c r="N18" s="28" t="s">
        <v>73</v>
      </c>
      <c r="O18" s="15"/>
    </row>
    <row r="19" spans="2:15" s="4" customFormat="1" ht="18" customHeight="1" x14ac:dyDescent="0.25">
      <c r="B19" s="11" t="s">
        <v>72</v>
      </c>
      <c r="C19" s="41"/>
      <c r="J19" s="11" t="s">
        <v>71</v>
      </c>
      <c r="K19" s="40"/>
      <c r="L19" s="37" t="str">
        <f>'GUC (Loan Calc)'!$K$32</f>
        <v>- | -</v>
      </c>
      <c r="N19" s="30" t="s">
        <v>70</v>
      </c>
      <c r="O19" s="29">
        <f>IF($G$6="No","Not Permitted",0%)</f>
        <v>0</v>
      </c>
    </row>
    <row r="20" spans="2:15" s="4" customFormat="1" ht="18" customHeight="1" x14ac:dyDescent="0.25">
      <c r="B20" s="11"/>
      <c r="E20" s="579" t="s">
        <v>69</v>
      </c>
      <c r="F20" s="621"/>
      <c r="G20" s="621"/>
      <c r="H20" s="621"/>
      <c r="J20" s="11" t="s">
        <v>68</v>
      </c>
      <c r="K20" s="576"/>
      <c r="L20" s="576"/>
      <c r="N20" s="30" t="s">
        <v>67</v>
      </c>
      <c r="O20" s="29">
        <v>0</v>
      </c>
    </row>
    <row r="21" spans="2:15" s="4" customFormat="1" ht="18" customHeight="1" x14ac:dyDescent="0.25">
      <c r="B21" s="11" t="s">
        <v>66</v>
      </c>
      <c r="C21" s="38"/>
      <c r="E21" s="609" t="s">
        <v>65</v>
      </c>
      <c r="F21" s="609"/>
      <c r="G21" s="601" t="str">
        <f>IFERROR(VLOOKUP($C$16,Market!$A:$E,4,FALSE),IFERROR(VLOOKUP(GUC!$C$18,Market!$F:$I,3,FALSE),"-"))</f>
        <v>-</v>
      </c>
      <c r="H21" s="601"/>
      <c r="J21" s="11" t="s">
        <v>64</v>
      </c>
      <c r="K21" s="576"/>
      <c r="L21" s="576"/>
      <c r="N21" s="28"/>
      <c r="O21" s="15"/>
    </row>
    <row r="22" spans="2:15" s="4" customFormat="1" ht="18" customHeight="1" x14ac:dyDescent="0.25">
      <c r="B22" s="11" t="s">
        <v>63</v>
      </c>
      <c r="C22" s="38"/>
      <c r="E22" s="608" t="s">
        <v>23559</v>
      </c>
      <c r="F22" s="608"/>
      <c r="G22" s="593" t="str">
        <f>IFERROR(VLOOKUP($C$16,Market!$A:$E,5,FALSE),IFERROR(VLOOKUP(GUC!$C$18,Market!$F:$I,4,FALSE),"-"))</f>
        <v>-</v>
      </c>
      <c r="H22" s="593"/>
      <c r="J22" s="11" t="s">
        <v>62</v>
      </c>
      <c r="K22" s="38"/>
      <c r="L22" s="37" t="str">
        <f>'GUC (Loan Calc)'!$K$35</f>
        <v>- | -</v>
      </c>
      <c r="N22" s="28" t="s">
        <v>61</v>
      </c>
      <c r="O22" s="15"/>
    </row>
    <row r="23" spans="2:15" s="4" customFormat="1" ht="18" customHeight="1" x14ac:dyDescent="0.25">
      <c r="B23" s="11" t="s">
        <v>60</v>
      </c>
      <c r="C23" s="38"/>
      <c r="E23" s="608" t="s">
        <v>59</v>
      </c>
      <c r="F23" s="608"/>
      <c r="G23" s="600" t="str">
        <f>IFERROR(VLOOKUP($C$16,Market!$A:$E,3,FALSE),IFERROR(VLOOKUP($C$17,Market!$F:$I,2,FALSE),"-"))</f>
        <v>-</v>
      </c>
      <c r="H23" s="600"/>
      <c r="J23" s="11" t="s">
        <v>58</v>
      </c>
      <c r="K23" s="568" t="str">
        <f>IF($K$5="Full Note Interest",$K$22*($G$11/12),IF($K$5="UPB Interest",$K$19*($G$11/12),"-"))</f>
        <v>-</v>
      </c>
      <c r="L23" s="568"/>
      <c r="N23" s="30" t="s">
        <v>57</v>
      </c>
      <c r="O23" s="29" t="str">
        <f>IF(OR($C$4="",$C$4&lt;650),"Not Permitted",0)</f>
        <v>Not Permitted</v>
      </c>
    </row>
    <row r="24" spans="2:15" s="4" customFormat="1" ht="18" customHeight="1" x14ac:dyDescent="0.25">
      <c r="B24" s="11" t="s">
        <v>56</v>
      </c>
      <c r="C24" s="38"/>
      <c r="D24" s="39" t="e">
        <f>$C$24/$C$25</f>
        <v>#DIV/0!</v>
      </c>
      <c r="N24" s="30" t="s">
        <v>55</v>
      </c>
      <c r="O24" s="29">
        <f>IF(AND($C$4&gt;=650,$C$4&lt;680),-5%,0%)</f>
        <v>0</v>
      </c>
    </row>
    <row r="25" spans="2:15" s="4" customFormat="1" ht="18" customHeight="1" x14ac:dyDescent="0.25">
      <c r="B25" s="11" t="s">
        <v>54</v>
      </c>
      <c r="C25" s="37">
        <f>$C$23+$C$24</f>
        <v>0</v>
      </c>
      <c r="E25" s="622"/>
      <c r="F25" s="623"/>
      <c r="G25" s="623"/>
      <c r="H25" s="624"/>
      <c r="J25" s="587" t="s">
        <v>53</v>
      </c>
      <c r="K25" s="587"/>
      <c r="L25" s="587"/>
      <c r="N25" s="30" t="s">
        <v>52</v>
      </c>
      <c r="O25" s="29">
        <f>IF($C$5="Foreign National","Not Permitted",0)</f>
        <v>0</v>
      </c>
    </row>
    <row r="26" spans="2:15" s="4" customFormat="1" ht="18" customHeight="1" x14ac:dyDescent="0.25">
      <c r="B26" s="11" t="s">
        <v>51</v>
      </c>
      <c r="C26" s="36" t="str">
        <f>'GUC (Loan Calc)'!$R$28</f>
        <v>-</v>
      </c>
      <c r="E26" s="619"/>
      <c r="F26" s="620"/>
      <c r="G26" s="598"/>
      <c r="H26" s="599"/>
      <c r="J26" s="587"/>
      <c r="K26" s="587"/>
      <c r="L26" s="587"/>
      <c r="N26" s="28"/>
      <c r="O26" s="15"/>
    </row>
    <row r="27" spans="2:15" s="4" customFormat="1" ht="18" customHeight="1" x14ac:dyDescent="0.25">
      <c r="B27" s="11" t="s">
        <v>50</v>
      </c>
      <c r="C27" s="38"/>
      <c r="E27" s="615"/>
      <c r="F27" s="616"/>
      <c r="G27" s="596"/>
      <c r="H27" s="597"/>
      <c r="J27" s="27" t="s">
        <v>49</v>
      </c>
      <c r="K27" s="588">
        <f>IF($G$4="Purchase",$C$22-$K$19,IF(AND($G$4="Refinance (Rate/Term)",$K$19&lt;$C$19),$C$19-$K$19,0))</f>
        <v>0</v>
      </c>
      <c r="L27" s="589"/>
      <c r="N27" s="28" t="s">
        <v>48</v>
      </c>
      <c r="O27" s="15"/>
    </row>
    <row r="28" spans="2:15" s="4" customFormat="1" ht="18" customHeight="1" x14ac:dyDescent="0.25">
      <c r="E28" s="615"/>
      <c r="F28" s="616"/>
      <c r="G28" s="604"/>
      <c r="H28" s="605"/>
      <c r="J28" s="16" t="s">
        <v>47</v>
      </c>
      <c r="K28" s="566">
        <f>$G$10*$K$22</f>
        <v>0</v>
      </c>
      <c r="L28" s="567"/>
      <c r="N28" s="30" t="s">
        <v>46</v>
      </c>
      <c r="O28" s="29">
        <f>IFERROR(IF(AND($G$21&lt;=-2%,$G$21&gt;=-5%),-5%,0%),0%)</f>
        <v>0</v>
      </c>
    </row>
    <row r="29" spans="2:15" s="4" customFormat="1" ht="18" customHeight="1" x14ac:dyDescent="0.25">
      <c r="B29" s="579" t="s">
        <v>45</v>
      </c>
      <c r="C29" s="580"/>
      <c r="E29" s="615"/>
      <c r="F29" s="616"/>
      <c r="G29" s="602"/>
      <c r="H29" s="603"/>
      <c r="J29" s="16" t="s">
        <v>44</v>
      </c>
      <c r="K29" s="566">
        <f>1%*$K$22</f>
        <v>0</v>
      </c>
      <c r="L29" s="567"/>
      <c r="N29" s="30" t="s">
        <v>43</v>
      </c>
      <c r="O29" s="29">
        <f>IFERROR(IF($G$21&lt;-5%,"Not Permitted",0),0)</f>
        <v>0</v>
      </c>
    </row>
    <row r="30" spans="2:15" s="4" customFormat="1" ht="18" customHeight="1" x14ac:dyDescent="0.25">
      <c r="B30" s="11" t="s">
        <v>42</v>
      </c>
      <c r="C30" s="37">
        <f>IF(OR('GUC (Loan Calc)'!$C$11="5+",$C$12="2-4 Unit Residential"),"-",150000)</f>
        <v>150000</v>
      </c>
      <c r="E30" s="615"/>
      <c r="F30" s="616"/>
      <c r="G30" s="596"/>
      <c r="H30" s="597"/>
      <c r="J30" s="16" t="s">
        <v>41</v>
      </c>
      <c r="K30" s="566" t="str">
        <f>IF('GUC (Loan Calc)'!$G$19="Out of Pocket",GUC!$K$7,0)</f>
        <v>-</v>
      </c>
      <c r="L30" s="567"/>
      <c r="N30" s="28"/>
      <c r="O30" s="15"/>
    </row>
    <row r="31" spans="2:15" s="4" customFormat="1" ht="18" customHeight="1" x14ac:dyDescent="0.25">
      <c r="B31" s="11" t="s">
        <v>40</v>
      </c>
      <c r="C31" s="36" t="str">
        <f>IF(OR('GUC (Loan Calc)'!$C$11="5+",AND('GUC (Loan Calc)'!$C$9&gt;=2,'GUC (Loan Calc)'!$C$9&lt;=4)),"$100,000 per Unit","-")</f>
        <v>-</v>
      </c>
      <c r="E31" s="617"/>
      <c r="F31" s="618"/>
      <c r="G31" s="613"/>
      <c r="H31" s="614"/>
      <c r="J31" s="7" t="s">
        <v>39</v>
      </c>
      <c r="K31" s="606">
        <f>10%*$K$22</f>
        <v>0</v>
      </c>
      <c r="L31" s="607"/>
      <c r="N31" s="28" t="s">
        <v>38</v>
      </c>
      <c r="O31" s="15"/>
    </row>
    <row r="32" spans="2:15" s="4" customFormat="1" ht="18" customHeight="1" x14ac:dyDescent="0.25">
      <c r="J32" s="35" t="s">
        <v>37</v>
      </c>
      <c r="K32" s="590">
        <f>SUM($K$27:$L$31)</f>
        <v>0</v>
      </c>
      <c r="L32" s="591"/>
      <c r="N32" s="34" t="s">
        <v>36</v>
      </c>
      <c r="O32" s="29">
        <f>IF(OR($C$12="2-4 Unit Residential",'GUC (Loan Calc)'!$C$11="5+"),"-",IF($G$23="-",0,IF(AND(MAX($C$27/$C$11,$C$21/$C$11)&gt;=2*$G$23,MAX($C$27/$C$11,$C$21/$C$11)&lt;=3*$G$23),-5%,0)))</f>
        <v>0</v>
      </c>
    </row>
    <row r="33" spans="2:15" s="4" customFormat="1" ht="18" customHeight="1" x14ac:dyDescent="0.25">
      <c r="B33" s="570" t="s">
        <v>35</v>
      </c>
      <c r="C33" s="572"/>
      <c r="D33" s="11"/>
      <c r="E33" s="570" t="s">
        <v>34</v>
      </c>
      <c r="F33" s="571"/>
      <c r="G33" s="571" t="s">
        <v>33</v>
      </c>
      <c r="H33" s="571"/>
      <c r="N33" s="30" t="s">
        <v>32</v>
      </c>
      <c r="O33" s="29">
        <f>IF(OR($C$12="2-4 Unit Residential",'GUC (Loan Calc)'!$C$11="5+"),"-",IF($G$23="-",0,IF(AND(MAX($C$27/$C$11,$C$21/$C$11)&gt;=3*$G$23,MAX($C$27/$C$11,$C$21/$C$11)&lt;=5*$G$23),-10%,0)))</f>
        <v>0</v>
      </c>
    </row>
    <row r="34" spans="2:15" s="4" customFormat="1" ht="18" customHeight="1" x14ac:dyDescent="0.25">
      <c r="B34" s="32" t="s">
        <v>31</v>
      </c>
      <c r="C34" s="33" t="s">
        <v>30</v>
      </c>
      <c r="D34" s="11"/>
      <c r="E34" s="32" t="s">
        <v>29</v>
      </c>
      <c r="F34" s="31" t="s">
        <v>28</v>
      </c>
      <c r="G34" s="31" t="s">
        <v>27</v>
      </c>
      <c r="H34" s="31" t="s">
        <v>26</v>
      </c>
      <c r="J34" s="587" t="s">
        <v>25</v>
      </c>
      <c r="K34" s="587"/>
      <c r="L34" s="587"/>
      <c r="N34" s="30" t="s">
        <v>24</v>
      </c>
      <c r="O34" s="29">
        <f>IF(OR($C$12="2-4 Unit Residential",'GUC (Loan Calc)'!$C$11="5+"),"-",IF($G$23="-",0,IF(MAX($C$27/$C$11,$C$21/$C$11)&gt;5*$G$23,"Not Permitted",0)))</f>
        <v>0</v>
      </c>
    </row>
    <row r="35" spans="2:15" s="4" customFormat="1" ht="18" customHeight="1" x14ac:dyDescent="0.25">
      <c r="B35" s="637" t="s">
        <v>23</v>
      </c>
      <c r="C35" s="20" t="s">
        <v>5</v>
      </c>
      <c r="D35" s="11"/>
      <c r="E35" s="19">
        <v>0.75</v>
      </c>
      <c r="F35" s="18">
        <v>0.8</v>
      </c>
      <c r="G35" s="18">
        <v>0.75</v>
      </c>
      <c r="H35" s="17">
        <v>0.9</v>
      </c>
      <c r="J35" s="574"/>
      <c r="K35" s="574"/>
      <c r="L35" s="574"/>
      <c r="N35" s="28"/>
      <c r="O35" s="15"/>
    </row>
    <row r="36" spans="2:15" s="4" customFormat="1" ht="18" customHeight="1" x14ac:dyDescent="0.25">
      <c r="B36" s="638"/>
      <c r="C36" s="12" t="s">
        <v>3</v>
      </c>
      <c r="D36" s="11"/>
      <c r="E36" s="10">
        <v>0.75</v>
      </c>
      <c r="F36" s="9" t="s">
        <v>2</v>
      </c>
      <c r="G36" s="9">
        <v>0.75</v>
      </c>
      <c r="H36" s="8">
        <v>0.9</v>
      </c>
      <c r="J36" s="27" t="s">
        <v>22</v>
      </c>
      <c r="K36" s="594"/>
      <c r="L36" s="595"/>
      <c r="N36" s="26" t="s">
        <v>21</v>
      </c>
      <c r="O36" s="509"/>
    </row>
    <row r="37" spans="2:15" s="4" customFormat="1" ht="18" customHeight="1" x14ac:dyDescent="0.25">
      <c r="B37" s="635" t="s">
        <v>20</v>
      </c>
      <c r="C37" s="20" t="s">
        <v>5</v>
      </c>
      <c r="D37" s="11"/>
      <c r="E37" s="19">
        <v>0.75</v>
      </c>
      <c r="F37" s="18">
        <v>0.75</v>
      </c>
      <c r="G37" s="18">
        <v>0.7</v>
      </c>
      <c r="H37" s="17">
        <v>0.85</v>
      </c>
      <c r="J37" s="16" t="s">
        <v>19</v>
      </c>
      <c r="K37" s="569"/>
      <c r="L37" s="585"/>
      <c r="N37" s="24" t="s">
        <v>18</v>
      </c>
      <c r="O37" s="23"/>
    </row>
    <row r="38" spans="2:15" s="4" customFormat="1" ht="18" customHeight="1" x14ac:dyDescent="0.25">
      <c r="B38" s="636"/>
      <c r="C38" s="12" t="s">
        <v>3</v>
      </c>
      <c r="D38" s="11"/>
      <c r="E38" s="10">
        <v>0.72499999999999998</v>
      </c>
      <c r="F38" s="9" t="s">
        <v>2</v>
      </c>
      <c r="G38" s="9">
        <v>0.7</v>
      </c>
      <c r="H38" s="8">
        <v>0.85</v>
      </c>
      <c r="J38" s="16" t="s">
        <v>17</v>
      </c>
      <c r="K38" s="569"/>
      <c r="L38" s="585"/>
      <c r="N38" s="24" t="s">
        <v>16</v>
      </c>
      <c r="O38" s="23"/>
    </row>
    <row r="39" spans="2:15" s="4" customFormat="1" ht="18" customHeight="1" x14ac:dyDescent="0.25">
      <c r="B39" s="633" t="s">
        <v>15</v>
      </c>
      <c r="C39" s="20" t="s">
        <v>5</v>
      </c>
      <c r="D39" s="11"/>
      <c r="E39" s="19">
        <v>0.7</v>
      </c>
      <c r="F39" s="18">
        <v>0.72499999999999998</v>
      </c>
      <c r="G39" s="18">
        <v>0.65</v>
      </c>
      <c r="H39" s="17">
        <v>0.85</v>
      </c>
      <c r="J39" s="16" t="s">
        <v>14</v>
      </c>
      <c r="K39" s="569"/>
      <c r="L39" s="585"/>
      <c r="N39" s="25"/>
      <c r="O39" s="508"/>
    </row>
    <row r="40" spans="2:15" s="4" customFormat="1" ht="18" customHeight="1" x14ac:dyDescent="0.25">
      <c r="B40" s="634"/>
      <c r="C40" s="12" t="s">
        <v>3</v>
      </c>
      <c r="D40" s="11"/>
      <c r="E40" s="10">
        <v>0.67500000000000004</v>
      </c>
      <c r="F40" s="9" t="s">
        <v>2</v>
      </c>
      <c r="G40" s="9">
        <v>0.65</v>
      </c>
      <c r="H40" s="8">
        <v>0.85</v>
      </c>
      <c r="J40" s="16" t="s">
        <v>13</v>
      </c>
      <c r="K40" s="568" t="str">
        <f>'GUC (Loan Calc)'!$C$47</f>
        <v>-</v>
      </c>
      <c r="L40" s="584"/>
      <c r="N40" s="25" t="s">
        <v>12</v>
      </c>
      <c r="O40" s="508"/>
    </row>
    <row r="41" spans="2:15" s="4" customFormat="1" ht="18" customHeight="1" x14ac:dyDescent="0.25">
      <c r="B41" s="631" t="s">
        <v>11</v>
      </c>
      <c r="C41" s="20" t="s">
        <v>5</v>
      </c>
      <c r="D41" s="11"/>
      <c r="E41" s="19">
        <v>0.7</v>
      </c>
      <c r="F41" s="18">
        <v>0.7</v>
      </c>
      <c r="G41" s="18">
        <v>0.65</v>
      </c>
      <c r="H41" s="17">
        <v>0.82499999999999996</v>
      </c>
      <c r="J41" s="16" t="s">
        <v>10</v>
      </c>
      <c r="K41" s="568">
        <f>300*$C$11</f>
        <v>0</v>
      </c>
      <c r="L41" s="584"/>
      <c r="N41" s="24" t="s">
        <v>9</v>
      </c>
      <c r="O41" s="23"/>
    </row>
    <row r="42" spans="2:15" s="4" customFormat="1" ht="18" customHeight="1" x14ac:dyDescent="0.25">
      <c r="B42" s="632"/>
      <c r="C42" s="12" t="s">
        <v>3</v>
      </c>
      <c r="D42" s="11"/>
      <c r="E42" s="10">
        <v>0.65</v>
      </c>
      <c r="F42" s="9" t="s">
        <v>2</v>
      </c>
      <c r="G42" s="9">
        <v>0.65</v>
      </c>
      <c r="H42" s="8">
        <v>0.82499999999999996</v>
      </c>
      <c r="J42" s="16" t="s">
        <v>8</v>
      </c>
      <c r="K42" s="568">
        <f>$K$36-$K$37-$K$38-$K$39-$K$41</f>
        <v>0</v>
      </c>
      <c r="L42" s="583"/>
      <c r="N42" s="22" t="s">
        <v>7</v>
      </c>
      <c r="O42" s="21"/>
    </row>
    <row r="43" spans="2:15" s="4" customFormat="1" ht="18" customHeight="1" x14ac:dyDescent="0.25">
      <c r="B43" s="611" t="s">
        <v>6</v>
      </c>
      <c r="C43" s="20" t="s">
        <v>5</v>
      </c>
      <c r="D43" s="11"/>
      <c r="E43" s="19">
        <v>0.7</v>
      </c>
      <c r="F43" s="18">
        <v>0.75</v>
      </c>
      <c r="G43" s="18">
        <v>0.65</v>
      </c>
      <c r="H43" s="17">
        <v>0.85</v>
      </c>
      <c r="J43" s="16"/>
      <c r="L43" s="15"/>
      <c r="N43" s="14" t="s">
        <v>4</v>
      </c>
      <c r="O43" s="13" t="str">
        <f>IF(OR($O$19="Not Permitted",$O$23="Not Permitted",$O$25="Not Permitted",$O$29="Not Permitted",$O$34="Not Permitted"),"Not Permitted",SUM($O$19,$O$20,$O$23,$O$24,$O$25,$O$28,$O$29,$O$32,$O$33,$O$34))</f>
        <v>Not Permitted</v>
      </c>
    </row>
    <row r="44" spans="2:15" s="4" customFormat="1" ht="18" customHeight="1" x14ac:dyDescent="0.25">
      <c r="B44" s="612"/>
      <c r="C44" s="12" t="s">
        <v>3</v>
      </c>
      <c r="D44" s="11"/>
      <c r="E44" s="10">
        <v>0.65</v>
      </c>
      <c r="F44" s="9" t="s">
        <v>2</v>
      </c>
      <c r="G44" s="9">
        <v>0.65</v>
      </c>
      <c r="H44" s="8">
        <v>0.85</v>
      </c>
      <c r="J44" s="7" t="s">
        <v>1</v>
      </c>
      <c r="K44" s="581" t="str">
        <f>IFERROR($K$42/$K$22,"-")</f>
        <v>-</v>
      </c>
      <c r="L44" s="582"/>
      <c r="N44" s="6" t="s">
        <v>0</v>
      </c>
      <c r="O44" s="5" t="str">
        <f>IF(OR($O$19="Not Permitted",$O$23="Not Permitted",$O$25="Not Permitted",$O$29="Not Permitted",$O$38="Not Permitted",$O$42="Not Permitted"),"Not Permitted",SUM($O$19,$O$20,$O$23,$O$24,$O$25,$O$28,$O$29,$O$37,$O$38,$O$41,$O$42))</f>
        <v>Not Permitted</v>
      </c>
    </row>
    <row r="45" spans="2:15" ht="18" customHeight="1" x14ac:dyDescent="0.25">
      <c r="E45" s="3"/>
      <c r="F45" s="3"/>
      <c r="G45" s="3"/>
      <c r="H45" s="3"/>
      <c r="J45" s="592"/>
      <c r="K45" s="592"/>
      <c r="L45" s="592"/>
    </row>
    <row r="46" spans="2:15" ht="18" customHeight="1" x14ac:dyDescent="0.25">
      <c r="J46" s="2"/>
      <c r="K46" s="2"/>
      <c r="L46" s="2"/>
    </row>
  </sheetData>
  <sheetProtection algorithmName="SHA-512" hashValue="Fv0lkn/IHBF3weleTFWaSHkkTIusdWtBFAdWwhOqozAm+okURD9m80J2Qzjhx5F7VuNAoFfuAocPLz3ogdWMSw==" saltValue="uBz70g7WGz4PdZNitnKoQA==" spinCount="100000" sheet="1" formatCells="0" selectLockedCells="1"/>
  <mergeCells count="92">
    <mergeCell ref="B1:B2"/>
    <mergeCell ref="C1:C2"/>
    <mergeCell ref="B3:C3"/>
    <mergeCell ref="B10:C10"/>
    <mergeCell ref="B41:B42"/>
    <mergeCell ref="B39:B40"/>
    <mergeCell ref="B37:B38"/>
    <mergeCell ref="B35:B36"/>
    <mergeCell ref="B29:C29"/>
    <mergeCell ref="E3:H3"/>
    <mergeCell ref="E13:H13"/>
    <mergeCell ref="E20:H20"/>
    <mergeCell ref="E25:H25"/>
    <mergeCell ref="E11:F11"/>
    <mergeCell ref="E10:F10"/>
    <mergeCell ref="E4:F4"/>
    <mergeCell ref="E8:F8"/>
    <mergeCell ref="E7:F7"/>
    <mergeCell ref="E6:F6"/>
    <mergeCell ref="E5:F5"/>
    <mergeCell ref="G4:H4"/>
    <mergeCell ref="G17:H17"/>
    <mergeCell ref="G16:H16"/>
    <mergeCell ref="G15:H15"/>
    <mergeCell ref="G14:H14"/>
    <mergeCell ref="B43:B44"/>
    <mergeCell ref="G8:H8"/>
    <mergeCell ref="G7:H7"/>
    <mergeCell ref="G6:H6"/>
    <mergeCell ref="G5:H5"/>
    <mergeCell ref="E9:F9"/>
    <mergeCell ref="G33:H33"/>
    <mergeCell ref="E33:F33"/>
    <mergeCell ref="B33:C33"/>
    <mergeCell ref="G31:H31"/>
    <mergeCell ref="E27:F27"/>
    <mergeCell ref="E31:F31"/>
    <mergeCell ref="E30:F30"/>
    <mergeCell ref="E29:F29"/>
    <mergeCell ref="E28:F28"/>
    <mergeCell ref="E26:F26"/>
    <mergeCell ref="E23:F23"/>
    <mergeCell ref="E22:F22"/>
    <mergeCell ref="E21:F21"/>
    <mergeCell ref="G9:H9"/>
    <mergeCell ref="G11:H11"/>
    <mergeCell ref="G10:H10"/>
    <mergeCell ref="E14:F14"/>
    <mergeCell ref="E15:F15"/>
    <mergeCell ref="E16:F16"/>
    <mergeCell ref="E17:F17"/>
    <mergeCell ref="E18:F18"/>
    <mergeCell ref="J45:L45"/>
    <mergeCell ref="G18:H18"/>
    <mergeCell ref="K38:L38"/>
    <mergeCell ref="K37:L37"/>
    <mergeCell ref="K36:L36"/>
    <mergeCell ref="G27:H27"/>
    <mergeCell ref="G26:H26"/>
    <mergeCell ref="G23:H23"/>
    <mergeCell ref="G22:H22"/>
    <mergeCell ref="G21:H21"/>
    <mergeCell ref="G30:H30"/>
    <mergeCell ref="G29:H29"/>
    <mergeCell ref="G28:H28"/>
    <mergeCell ref="K31:L31"/>
    <mergeCell ref="K23:L23"/>
    <mergeCell ref="K30:L30"/>
    <mergeCell ref="N3:O3"/>
    <mergeCell ref="N17:O17"/>
    <mergeCell ref="K44:L44"/>
    <mergeCell ref="K42:L42"/>
    <mergeCell ref="K41:L41"/>
    <mergeCell ref="K40:L40"/>
    <mergeCell ref="K39:L39"/>
    <mergeCell ref="K12:L12"/>
    <mergeCell ref="K13:L13"/>
    <mergeCell ref="K14:L14"/>
    <mergeCell ref="K5:L5"/>
    <mergeCell ref="J25:L26"/>
    <mergeCell ref="J3:L4"/>
    <mergeCell ref="J34:L35"/>
    <mergeCell ref="K27:L27"/>
    <mergeCell ref="K32:L32"/>
    <mergeCell ref="K29:L29"/>
    <mergeCell ref="K28:L28"/>
    <mergeCell ref="K7:L7"/>
    <mergeCell ref="K6:L6"/>
    <mergeCell ref="J9:L10"/>
    <mergeCell ref="J17:L18"/>
    <mergeCell ref="K20:L20"/>
    <mergeCell ref="K21:L21"/>
  </mergeCells>
  <conditionalFormatting sqref="C24">
    <cfRule type="expression" dxfId="43" priority="4">
      <formula>$D$24&gt;15%</formula>
    </cfRule>
  </conditionalFormatting>
  <conditionalFormatting sqref="G18:H18">
    <cfRule type="expression" dxfId="42" priority="2">
      <formula>$G$18="Check with MGT"</formula>
    </cfRule>
  </conditionalFormatting>
  <conditionalFormatting sqref="C15">
    <cfRule type="expression" dxfId="41" priority="1">
      <formula>OR($C$15="NV",$C$15="MN",$C$15="ND",$C$15="SD",$C$15="AK",$C$15="VT")</formula>
    </cfRule>
  </conditionalFormatting>
  <dataValidations count="1">
    <dataValidation type="list" allowBlank="1" showInputMessage="1" showErrorMessage="1" sqref="C12" xr:uid="{29474ACC-DBA2-4C90-B518-B90A5EC1430C}">
      <formula1>INDIRECT(A11)</formula1>
    </dataValidation>
  </dataValidations>
  <pageMargins left="0.7" right="0.7" top="0.75" bottom="0.75" header="0.3" footer="0.3"/>
  <pageSetup scale="3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GUC">
                <anchor moveWithCells="1" sizeWithCells="1">
                  <from>
                    <xdr:col>3</xdr:col>
                    <xdr:colOff>104775</xdr:colOff>
                    <xdr:row>0</xdr:row>
                    <xdr:rowOff>28575</xdr:rowOff>
                  </from>
                  <to>
                    <xdr:col>5</xdr:col>
                    <xdr:colOff>1543050</xdr:colOff>
                    <xdr:row>1</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B4012117-2924-417C-8280-5F952565B2FC}">
            <xm:f>'GUC (Loan Calc)'!$C$11="5+"</xm:f>
            <x14:dxf>
              <font>
                <color theme="1"/>
              </font>
              <fill>
                <patternFill>
                  <bgColor theme="1"/>
                </patternFill>
              </fill>
              <border>
                <left style="thin">
                  <color auto="1"/>
                </left>
                <right style="thin">
                  <color auto="1"/>
                </right>
                <top style="thin">
                  <color auto="1"/>
                </top>
                <bottom style="thin">
                  <color auto="1"/>
                </bottom>
              </border>
            </x14:dxf>
          </x14:cfRule>
          <xm:sqref>E16:H17</xm:sqref>
        </x14:conditionalFormatting>
        <x14:conditionalFormatting xmlns:xm="http://schemas.microsoft.com/office/excel/2006/main">
          <x14:cfRule type="expression" priority="3" id="{17F297E4-88A9-47A7-ADDF-80A6E0CC55A6}">
            <xm:f>'GUC (Loan Calc)'!$C$11="1-4"</xm:f>
            <x14:dxf>
              <font>
                <color theme="1"/>
              </font>
              <fill>
                <patternFill>
                  <bgColor theme="1"/>
                </patternFill>
              </fill>
              <border>
                <left style="thin">
                  <color auto="1"/>
                </left>
                <right style="thin">
                  <color auto="1"/>
                </right>
                <top style="thin">
                  <color auto="1"/>
                </top>
                <bottom style="thin">
                  <color auto="1"/>
                </bottom>
                <vertical/>
                <horizontal/>
              </border>
            </x14:dxf>
          </x14:cfRule>
          <xm:sqref>J34:L44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812B85CD-F20C-4265-9582-3CA9ADB65AD0}">
          <x14:formula1>
            <xm:f>'GUC (Legend)'!$J$2:$J$3</xm:f>
          </x14:formula1>
          <xm:sqref>G14:H14</xm:sqref>
        </x14:dataValidation>
        <x14:dataValidation type="list" allowBlank="1" showInputMessage="1" showErrorMessage="1" xr:uid="{31D8B450-A22B-4A07-A6C6-A6284884EE9A}">
          <x14:formula1>
            <xm:f>'GUC (Legend)'!$I$2:$I$3</xm:f>
          </x14:formula1>
          <xm:sqref>K5:L5</xm:sqref>
        </x14:dataValidation>
        <x14:dataValidation type="list" allowBlank="1" showInputMessage="1" showErrorMessage="1" xr:uid="{4B459D04-690E-4198-A1B8-7B67E502B7CF}">
          <x14:formula1>
            <xm:f>'GUC (Legend)'!$H$2:$H$8</xm:f>
          </x14:formula1>
          <xm:sqref>K6:L6</xm:sqref>
        </x14:dataValidation>
        <x14:dataValidation type="list" allowBlank="1" showInputMessage="1" showErrorMessage="1" xr:uid="{479DB2CC-4B78-47A4-9990-D179209B83E2}">
          <x14:formula1>
            <xm:f>'GUC (Legend)'!$C$2:$C$52</xm:f>
          </x14:formula1>
          <xm:sqref>C15</xm:sqref>
        </x14:dataValidation>
        <x14:dataValidation type="list" allowBlank="1" showInputMessage="1" showErrorMessage="1" xr:uid="{BB31BE42-12CD-486A-831F-0D0DFA6F74F4}">
          <x14:formula1>
            <xm:f>'GUC (Legend)'!$A$2:$A$4</xm:f>
          </x14:formula1>
          <xm:sqref>C5</xm:sqref>
        </x14:dataValidation>
        <x14:dataValidation type="list" allowBlank="1" showInputMessage="1" showErrorMessage="1" xr:uid="{61494187-88E4-44B9-8FE1-C0BED931D1B3}">
          <x14:formula1>
            <xm:f>'GUC (Legend)'!$G$2:$G$3</xm:f>
          </x14:formula1>
          <xm:sqref>G6:G8</xm:sqref>
        </x14:dataValidation>
        <x14:dataValidation type="list" allowBlank="1" showInputMessage="1" showErrorMessage="1" xr:uid="{621B4B82-2DA8-4EA6-86B6-FD6397B0192C}">
          <x14:formula1>
            <xm:f>'GUC (Legend)'!$F$2:$F$4</xm:f>
          </x14:formula1>
          <xm:sqref>G5</xm:sqref>
        </x14:dataValidation>
        <x14:dataValidation type="list" allowBlank="1" showInputMessage="1" showErrorMessage="1" promptTitle="LoanPurpose" prompt="If property/parcel was purchased within the last 2 years, please select Delayed Purchase. Anything outside of two years is considered to be a Refinance transaction_x000a_" xr:uid="{423D738D-4DFF-4F10-86C8-42C4A3CB298B}">
          <x14:formula1>
            <xm:f>'GUC (Legend)'!$B$2:$B$5</xm:f>
          </x14:formula1>
          <xm:sqref>G4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E3565-BBCB-40BC-B76A-0BFC1AA87CCC}">
  <sheetPr codeName="Sheet12">
    <tabColor rgb="FF3C4C5E"/>
  </sheetPr>
  <dimension ref="A2:X48"/>
  <sheetViews>
    <sheetView topLeftCell="Y1" zoomScale="70" zoomScaleNormal="70" workbookViewId="0">
      <selection sqref="A1:X1048576"/>
    </sheetView>
  </sheetViews>
  <sheetFormatPr defaultColWidth="9.140625" defaultRowHeight="15.75" x14ac:dyDescent="0.25"/>
  <cols>
    <col min="1" max="1" width="9.140625" style="51" hidden="1" customWidth="1"/>
    <col min="2" max="2" width="29.7109375" style="51" hidden="1" customWidth="1"/>
    <col min="3" max="3" width="20.7109375" style="51" hidden="1" customWidth="1"/>
    <col min="4" max="4" width="21.7109375" style="51" hidden="1" customWidth="1"/>
    <col min="5" max="5" width="23.140625" style="51" hidden="1" customWidth="1"/>
    <col min="6" max="7" width="45.85546875" style="51" hidden="1" customWidth="1"/>
    <col min="8" max="13" width="15.28515625" style="51" hidden="1" customWidth="1"/>
    <col min="14" max="15" width="19.5703125" style="51" hidden="1" customWidth="1"/>
    <col min="16" max="16" width="9.140625" style="51" hidden="1" customWidth="1"/>
    <col min="17" max="21" width="25" style="51" hidden="1" customWidth="1"/>
    <col min="22" max="24" width="9.140625" style="51" hidden="1" customWidth="1"/>
    <col min="25" max="27" width="9.140625" style="51" customWidth="1"/>
    <col min="28" max="16384" width="9.140625" style="51"/>
  </cols>
  <sheetData>
    <row r="2" spans="2:18" x14ac:dyDescent="0.25">
      <c r="B2" s="51" t="s">
        <v>110</v>
      </c>
      <c r="C2" s="51">
        <f>GUC!$G$4</f>
        <v>0</v>
      </c>
      <c r="E2" s="68" t="s">
        <v>226</v>
      </c>
      <c r="F2" s="68" t="s">
        <v>30</v>
      </c>
      <c r="G2" s="68" t="s">
        <v>190</v>
      </c>
      <c r="H2" s="68" t="s">
        <v>180</v>
      </c>
      <c r="I2" s="68" t="s">
        <v>155</v>
      </c>
      <c r="J2" s="68" t="s">
        <v>175</v>
      </c>
      <c r="K2" s="68" t="s">
        <v>173</v>
      </c>
      <c r="L2" s="68" t="s">
        <v>171</v>
      </c>
      <c r="N2" s="639" t="s">
        <v>225</v>
      </c>
      <c r="O2" s="639"/>
      <c r="Q2" s="639" t="s">
        <v>224</v>
      </c>
      <c r="R2" s="639"/>
    </row>
    <row r="3" spans="2:18" x14ac:dyDescent="0.25">
      <c r="B3" s="51" t="s">
        <v>107</v>
      </c>
      <c r="C3" s="51">
        <f>GUC!$C$5</f>
        <v>0</v>
      </c>
      <c r="E3" s="51" t="s">
        <v>129</v>
      </c>
      <c r="F3" s="51" t="s">
        <v>202</v>
      </c>
      <c r="G3" s="51" t="s">
        <v>223</v>
      </c>
      <c r="H3" s="71">
        <v>0.75</v>
      </c>
      <c r="I3" s="71">
        <v>0.8</v>
      </c>
      <c r="J3" s="71">
        <v>0.75</v>
      </c>
      <c r="K3" s="71">
        <v>0.9</v>
      </c>
      <c r="L3" s="70">
        <v>0.9</v>
      </c>
      <c r="N3" s="51" t="s">
        <v>145</v>
      </c>
      <c r="O3" s="52">
        <f>MIN($J$21:$J$22)</f>
        <v>0</v>
      </c>
      <c r="Q3" s="51">
        <f>GUC!E26</f>
        <v>0</v>
      </c>
      <c r="R3" s="51">
        <f>GUC!G26</f>
        <v>0</v>
      </c>
    </row>
    <row r="4" spans="2:18" x14ac:dyDescent="0.25">
      <c r="B4" s="51" t="s">
        <v>111</v>
      </c>
      <c r="C4" s="72">
        <f>GUC!$C$4</f>
        <v>0</v>
      </c>
      <c r="E4" s="51" t="s">
        <v>129</v>
      </c>
      <c r="F4" s="51" t="s">
        <v>200</v>
      </c>
      <c r="G4" s="51" t="s">
        <v>222</v>
      </c>
      <c r="H4" s="71">
        <v>0.75</v>
      </c>
      <c r="I4" s="71">
        <v>0.8</v>
      </c>
      <c r="J4" s="71">
        <v>0.75</v>
      </c>
      <c r="K4" s="71">
        <v>0.9</v>
      </c>
      <c r="L4" s="70">
        <v>0.9</v>
      </c>
      <c r="N4" s="51" t="s">
        <v>68</v>
      </c>
      <c r="O4" s="52">
        <f>$C$18</f>
        <v>0</v>
      </c>
      <c r="Q4" s="51">
        <f>GUC!E27</f>
        <v>0</v>
      </c>
      <c r="R4" s="51">
        <f>GUC!G27</f>
        <v>0</v>
      </c>
    </row>
    <row r="5" spans="2:18" x14ac:dyDescent="0.25">
      <c r="B5" s="51" t="s">
        <v>104</v>
      </c>
      <c r="C5" s="72">
        <f>GUC!$C$6</f>
        <v>0</v>
      </c>
      <c r="E5" s="51" t="s">
        <v>129</v>
      </c>
      <c r="F5" s="51" t="s">
        <v>3</v>
      </c>
      <c r="G5" s="51" t="s">
        <v>221</v>
      </c>
      <c r="H5" s="71">
        <v>0.75</v>
      </c>
      <c r="I5" s="71" t="s">
        <v>2</v>
      </c>
      <c r="J5" s="71">
        <v>0.75</v>
      </c>
      <c r="K5" s="71">
        <v>0.9</v>
      </c>
      <c r="L5" s="70">
        <v>0.9</v>
      </c>
      <c r="N5" s="51" t="s">
        <v>64</v>
      </c>
      <c r="O5" s="52">
        <f>IF($G$19="Funded",GUC!$K$7,0)</f>
        <v>0</v>
      </c>
      <c r="Q5" s="51">
        <f>GUC!E28</f>
        <v>0</v>
      </c>
      <c r="R5" s="51">
        <f>GUC!G28</f>
        <v>0</v>
      </c>
    </row>
    <row r="6" spans="2:18" x14ac:dyDescent="0.25">
      <c r="B6" s="51" t="s">
        <v>220</v>
      </c>
      <c r="C6" s="72">
        <f>GUC!$C$7</f>
        <v>0</v>
      </c>
      <c r="E6" s="51" t="s">
        <v>126</v>
      </c>
      <c r="F6" s="51" t="s">
        <v>202</v>
      </c>
      <c r="G6" s="51" t="s">
        <v>219</v>
      </c>
      <c r="H6" s="71">
        <v>0.75</v>
      </c>
      <c r="I6" s="71">
        <v>0.75</v>
      </c>
      <c r="J6" s="71">
        <v>0.7</v>
      </c>
      <c r="K6" s="71">
        <v>0.85</v>
      </c>
      <c r="L6" s="70">
        <v>0.85</v>
      </c>
      <c r="N6" s="51" t="s">
        <v>135</v>
      </c>
      <c r="O6" s="52">
        <f>SUM(O3:O5)</f>
        <v>0</v>
      </c>
      <c r="Q6" s="51">
        <f>GUC!E29</f>
        <v>0</v>
      </c>
      <c r="R6" s="51">
        <f>GUC!G29</f>
        <v>0</v>
      </c>
    </row>
    <row r="7" spans="2:18" x14ac:dyDescent="0.25">
      <c r="B7" s="51" t="s">
        <v>218</v>
      </c>
      <c r="C7" s="51" t="str">
        <f>IF($C$5&gt;=1,"Y","N")</f>
        <v>N</v>
      </c>
      <c r="E7" s="51" t="s">
        <v>126</v>
      </c>
      <c r="F7" s="51" t="s">
        <v>200</v>
      </c>
      <c r="G7" s="51" t="s">
        <v>217</v>
      </c>
      <c r="H7" s="71">
        <v>0.75</v>
      </c>
      <c r="I7" s="71">
        <v>0.75</v>
      </c>
      <c r="J7" s="71">
        <v>0.7</v>
      </c>
      <c r="K7" s="71">
        <v>0.85</v>
      </c>
      <c r="L7" s="70">
        <v>0.85</v>
      </c>
      <c r="O7" s="52"/>
      <c r="Q7" s="51">
        <f>GUC!E30</f>
        <v>0</v>
      </c>
      <c r="R7" s="52">
        <f>GUC!G30</f>
        <v>0</v>
      </c>
    </row>
    <row r="8" spans="2:18" x14ac:dyDescent="0.25">
      <c r="E8" s="51" t="s">
        <v>126</v>
      </c>
      <c r="F8" s="51" t="s">
        <v>3</v>
      </c>
      <c r="G8" s="51" t="s">
        <v>216</v>
      </c>
      <c r="H8" s="71">
        <v>0.72499999999999998</v>
      </c>
      <c r="I8" s="71" t="s">
        <v>2</v>
      </c>
      <c r="J8" s="71">
        <v>0.7</v>
      </c>
      <c r="K8" s="71">
        <v>0.85</v>
      </c>
      <c r="L8" s="70">
        <v>0.85</v>
      </c>
      <c r="N8" s="639" t="s">
        <v>215</v>
      </c>
      <c r="O8" s="639"/>
      <c r="Q8" s="51">
        <f>GUC!E31</f>
        <v>0</v>
      </c>
      <c r="R8" s="58">
        <f>GUC!G31</f>
        <v>0</v>
      </c>
    </row>
    <row r="9" spans="2:18" x14ac:dyDescent="0.25">
      <c r="B9" s="51" t="s">
        <v>92</v>
      </c>
      <c r="C9" s="51">
        <f>GUC!$C$11</f>
        <v>0</v>
      </c>
      <c r="E9" s="51" t="s">
        <v>123</v>
      </c>
      <c r="F9" s="51" t="s">
        <v>202</v>
      </c>
      <c r="G9" s="51" t="s">
        <v>214</v>
      </c>
      <c r="H9" s="71">
        <v>0.7</v>
      </c>
      <c r="I9" s="71">
        <v>0.72499999999999998</v>
      </c>
      <c r="J9" s="71">
        <v>0.65</v>
      </c>
      <c r="K9" s="71">
        <v>0.85</v>
      </c>
      <c r="L9" s="70">
        <v>0.85</v>
      </c>
      <c r="N9" s="51" t="s">
        <v>145</v>
      </c>
      <c r="O9" s="52">
        <f>O12-O11-O10</f>
        <v>0</v>
      </c>
    </row>
    <row r="10" spans="2:18" x14ac:dyDescent="0.25">
      <c r="B10" s="51" t="s">
        <v>90</v>
      </c>
      <c r="C10" s="51">
        <f>GUC!$C$12</f>
        <v>0</v>
      </c>
      <c r="E10" s="51" t="s">
        <v>123</v>
      </c>
      <c r="F10" s="51" t="s">
        <v>200</v>
      </c>
      <c r="G10" s="51" t="s">
        <v>213</v>
      </c>
      <c r="H10" s="71">
        <v>0.7</v>
      </c>
      <c r="I10" s="71">
        <v>0.72499999999999998</v>
      </c>
      <c r="J10" s="71">
        <v>0.65</v>
      </c>
      <c r="K10" s="71">
        <v>0.85</v>
      </c>
      <c r="L10" s="70">
        <v>0.85</v>
      </c>
      <c r="N10" s="51" t="s">
        <v>68</v>
      </c>
      <c r="O10" s="52">
        <f>$C$18</f>
        <v>0</v>
      </c>
      <c r="Q10" s="51" t="s">
        <v>212</v>
      </c>
      <c r="R10" s="52">
        <f>IFERROR(MAX($R$7,$R$4),"-")</f>
        <v>0</v>
      </c>
    </row>
    <row r="11" spans="2:18" x14ac:dyDescent="0.25">
      <c r="B11" s="51" t="s">
        <v>211</v>
      </c>
      <c r="C11" s="51" t="str">
        <f>IF($C$9&gt;=5,"5+","1-4")</f>
        <v>1-4</v>
      </c>
      <c r="E11" s="51" t="s">
        <v>123</v>
      </c>
      <c r="F11" s="51" t="s">
        <v>3</v>
      </c>
      <c r="G11" s="51" t="s">
        <v>210</v>
      </c>
      <c r="H11" s="71">
        <v>0.67500000000000004</v>
      </c>
      <c r="I11" s="71" t="s">
        <v>2</v>
      </c>
      <c r="J11" s="71">
        <v>0.65</v>
      </c>
      <c r="K11" s="71">
        <v>0.85</v>
      </c>
      <c r="L11" s="70">
        <v>0.85</v>
      </c>
      <c r="N11" s="51" t="s">
        <v>64</v>
      </c>
      <c r="O11" s="52">
        <v>0</v>
      </c>
      <c r="Q11" s="51" t="s">
        <v>209</v>
      </c>
      <c r="R11" s="52" t="str">
        <f>IFERROR(GUC!$K$36/GUC!$C$11,"-")</f>
        <v>-</v>
      </c>
    </row>
    <row r="12" spans="2:18" x14ac:dyDescent="0.25">
      <c r="B12" s="51" t="s">
        <v>82</v>
      </c>
      <c r="C12" s="51">
        <f>GUC!$C$15</f>
        <v>0</v>
      </c>
      <c r="E12" s="51" t="s">
        <v>120</v>
      </c>
      <c r="F12" s="51" t="s">
        <v>202</v>
      </c>
      <c r="G12" s="51" t="s">
        <v>208</v>
      </c>
      <c r="H12" s="71">
        <v>0.7</v>
      </c>
      <c r="I12" s="71">
        <v>0.7</v>
      </c>
      <c r="J12" s="71">
        <v>0.65</v>
      </c>
      <c r="K12" s="71">
        <v>0.82499999999999996</v>
      </c>
      <c r="L12" s="70">
        <v>0.82499999999999996</v>
      </c>
      <c r="N12" s="51" t="s">
        <v>135</v>
      </c>
      <c r="O12" s="52">
        <f>MIN($J$23:$J$24)</f>
        <v>0</v>
      </c>
    </row>
    <row r="13" spans="2:18" x14ac:dyDescent="0.25">
      <c r="E13" s="51" t="s">
        <v>120</v>
      </c>
      <c r="F13" s="51" t="s">
        <v>200</v>
      </c>
      <c r="G13" s="51" t="s">
        <v>207</v>
      </c>
      <c r="H13" s="71">
        <v>0.7</v>
      </c>
      <c r="I13" s="71">
        <v>0.7</v>
      </c>
      <c r="J13" s="71">
        <v>0.65</v>
      </c>
      <c r="K13" s="71">
        <v>0.82499999999999996</v>
      </c>
      <c r="L13" s="70">
        <v>0.82499999999999996</v>
      </c>
      <c r="O13" s="52"/>
      <c r="Q13" s="51" t="s">
        <v>206</v>
      </c>
      <c r="R13" s="58">
        <f>IFERROR(IF(AND($R$11&gt;=($R$10*120%),$R$11&lt;($R$10*140%)),-5%,0),"-")</f>
        <v>0</v>
      </c>
    </row>
    <row r="14" spans="2:18" x14ac:dyDescent="0.25">
      <c r="B14" s="51" t="s">
        <v>66</v>
      </c>
      <c r="C14" s="57">
        <f>GUC!$C$21</f>
        <v>0</v>
      </c>
      <c r="E14" s="51" t="s">
        <v>120</v>
      </c>
      <c r="F14" s="51" t="s">
        <v>3</v>
      </c>
      <c r="G14" s="51" t="s">
        <v>205</v>
      </c>
      <c r="H14" s="71">
        <v>0.65</v>
      </c>
      <c r="I14" s="71" t="s">
        <v>2</v>
      </c>
      <c r="J14" s="71">
        <v>0.65</v>
      </c>
      <c r="K14" s="71">
        <v>0.82499999999999996</v>
      </c>
      <c r="L14" s="70">
        <v>0.82499999999999996</v>
      </c>
      <c r="N14" s="639" t="s">
        <v>204</v>
      </c>
      <c r="O14" s="639"/>
      <c r="Q14" s="51" t="s">
        <v>203</v>
      </c>
      <c r="R14" s="58">
        <f>IFERROR(IF($R$11&gt;=($R$10*140%),-10%,0%),"-")</f>
        <v>-0.1</v>
      </c>
    </row>
    <row r="15" spans="2:18" x14ac:dyDescent="0.25">
      <c r="B15" s="51" t="s">
        <v>63</v>
      </c>
      <c r="C15" s="57">
        <f>GUC!$C$22</f>
        <v>0</v>
      </c>
      <c r="E15" s="51" t="s">
        <v>6</v>
      </c>
      <c r="F15" s="51" t="s">
        <v>202</v>
      </c>
      <c r="G15" s="51" t="s">
        <v>201</v>
      </c>
      <c r="H15" s="71">
        <v>0.7</v>
      </c>
      <c r="I15" s="71">
        <v>0.75</v>
      </c>
      <c r="J15" s="71">
        <v>0.65</v>
      </c>
      <c r="K15" s="71">
        <v>0.85</v>
      </c>
      <c r="L15" s="70">
        <v>0.85</v>
      </c>
      <c r="N15" s="51" t="s">
        <v>145</v>
      </c>
      <c r="O15" s="52">
        <f>O18-O17-O16</f>
        <v>0</v>
      </c>
    </row>
    <row r="16" spans="2:18" x14ac:dyDescent="0.25">
      <c r="B16" s="51" t="s">
        <v>60</v>
      </c>
      <c r="C16" s="57">
        <f>GUC!$C$23</f>
        <v>0</v>
      </c>
      <c r="E16" s="51" t="s">
        <v>6</v>
      </c>
      <c r="F16" s="51" t="s">
        <v>200</v>
      </c>
      <c r="G16" s="51" t="s">
        <v>199</v>
      </c>
      <c r="H16" s="71">
        <v>0.7</v>
      </c>
      <c r="I16" s="71">
        <v>0.75</v>
      </c>
      <c r="J16" s="71">
        <v>0.65</v>
      </c>
      <c r="K16" s="71">
        <v>0.85</v>
      </c>
      <c r="L16" s="70">
        <v>0.85</v>
      </c>
      <c r="N16" s="51" t="s">
        <v>68</v>
      </c>
      <c r="O16" s="52">
        <f>$C$18</f>
        <v>0</v>
      </c>
    </row>
    <row r="17" spans="2:22" x14ac:dyDescent="0.25">
      <c r="B17" s="51" t="s">
        <v>56</v>
      </c>
      <c r="C17" s="57">
        <f>GUC!$C$24</f>
        <v>0</v>
      </c>
      <c r="E17" s="51" t="s">
        <v>6</v>
      </c>
      <c r="F17" s="51" t="s">
        <v>3</v>
      </c>
      <c r="G17" s="51" t="s">
        <v>198</v>
      </c>
      <c r="H17" s="71">
        <v>0.65</v>
      </c>
      <c r="I17" s="71" t="s">
        <v>2</v>
      </c>
      <c r="J17" s="71">
        <v>0.65</v>
      </c>
      <c r="K17" s="71">
        <v>0.85</v>
      </c>
      <c r="L17" s="70">
        <v>0.85</v>
      </c>
      <c r="N17" s="51" t="s">
        <v>64</v>
      </c>
      <c r="O17" s="52">
        <f>IF($G$19="Funded",GUC!$K$7,0)</f>
        <v>0</v>
      </c>
      <c r="Q17" s="51" t="s">
        <v>197</v>
      </c>
      <c r="R17" s="51" t="s">
        <v>196</v>
      </c>
      <c r="S17" s="51" t="s">
        <v>195</v>
      </c>
      <c r="T17" s="51" t="s">
        <v>194</v>
      </c>
      <c r="U17" s="51" t="s">
        <v>193</v>
      </c>
      <c r="V17" s="51" t="s">
        <v>192</v>
      </c>
    </row>
    <row r="18" spans="2:22" x14ac:dyDescent="0.25">
      <c r="B18" s="51" t="s">
        <v>54</v>
      </c>
      <c r="C18" s="57">
        <f>GUC!$C$25</f>
        <v>0</v>
      </c>
      <c r="N18" s="51" t="s">
        <v>135</v>
      </c>
      <c r="O18" s="52">
        <f>IF($O$17=0,$O$12,MIN($J$23,$J$25))</f>
        <v>0</v>
      </c>
      <c r="Q18" s="51" t="s">
        <v>191</v>
      </c>
      <c r="R18" s="51">
        <f t="shared" ref="R18:R25" si="0">$C$9</f>
        <v>0</v>
      </c>
      <c r="S18" s="57">
        <f t="shared" ref="S18:S25" si="1">$C$18</f>
        <v>0</v>
      </c>
      <c r="T18" s="57" t="e">
        <f t="shared" ref="T18:T24" si="2">S18/R18</f>
        <v>#DIV/0!</v>
      </c>
      <c r="U18" s="57">
        <v>700000</v>
      </c>
      <c r="V18" s="51" t="e">
        <f t="shared" ref="V18:V25" si="3">IF(T18&lt;=U18,"Level 1","Level 2")</f>
        <v>#DIV/0!</v>
      </c>
    </row>
    <row r="19" spans="2:22" x14ac:dyDescent="0.25">
      <c r="B19" s="51" t="s">
        <v>50</v>
      </c>
      <c r="C19" s="57">
        <f>GUC!$C$27</f>
        <v>0</v>
      </c>
      <c r="E19" s="51" t="s">
        <v>190</v>
      </c>
      <c r="F19" s="51" t="str">
        <f>_xlfn.CONCAT($C$32," | ",$C$2)</f>
        <v>- | 0</v>
      </c>
      <c r="G19" s="51" t="str">
        <f>IF(ISERR(SEARCH("Funded",GUC!$K$6)),"Out of Pocket","Funded")</f>
        <v>Out of Pocket</v>
      </c>
      <c r="O19" s="52"/>
      <c r="Q19" s="51" t="s">
        <v>189</v>
      </c>
      <c r="R19" s="51">
        <f t="shared" si="0"/>
        <v>0</v>
      </c>
      <c r="S19" s="57">
        <f t="shared" si="1"/>
        <v>0</v>
      </c>
      <c r="T19" s="57" t="e">
        <f t="shared" si="2"/>
        <v>#DIV/0!</v>
      </c>
      <c r="U19" s="57">
        <v>500000</v>
      </c>
      <c r="V19" s="51" t="e">
        <f t="shared" si="3"/>
        <v>#DIV/0!</v>
      </c>
    </row>
    <row r="20" spans="2:22" x14ac:dyDescent="0.25">
      <c r="E20" s="640" t="s">
        <v>188</v>
      </c>
      <c r="F20" s="640"/>
      <c r="G20" s="68" t="s">
        <v>187</v>
      </c>
      <c r="H20" s="68" t="s">
        <v>186</v>
      </c>
      <c r="I20" s="68" t="s">
        <v>185</v>
      </c>
      <c r="J20" s="68" t="s">
        <v>184</v>
      </c>
      <c r="N20" s="639" t="s">
        <v>183</v>
      </c>
      <c r="O20" s="639"/>
      <c r="Q20" s="51" t="s">
        <v>182</v>
      </c>
      <c r="R20" s="51">
        <f t="shared" si="0"/>
        <v>0</v>
      </c>
      <c r="S20" s="57">
        <f t="shared" si="1"/>
        <v>0</v>
      </c>
      <c r="T20" s="57" t="e">
        <f t="shared" si="2"/>
        <v>#DIV/0!</v>
      </c>
      <c r="U20" s="57">
        <v>700000</v>
      </c>
      <c r="V20" s="51" t="e">
        <f t="shared" si="3"/>
        <v>#DIV/0!</v>
      </c>
    </row>
    <row r="21" spans="2:22" x14ac:dyDescent="0.25">
      <c r="B21" s="51" t="s">
        <v>181</v>
      </c>
      <c r="C21" s="51">
        <f>GUC!$G$6</f>
        <v>0</v>
      </c>
      <c r="E21" s="639" t="s">
        <v>180</v>
      </c>
      <c r="F21" s="639"/>
      <c r="G21" s="58" t="str">
        <f>IFERROR(VLOOKUP($F$19,$G$2:$L$17,MATCH(E21,$G$2:$L$2,0),FALSE),"-")</f>
        <v>-</v>
      </c>
      <c r="H21" s="70" t="str">
        <f>IF(AND($C$11="1-4",GUC!$O$43="Not Permitted"),"NA",IF(AND($C$11="5+",GUC!$O$44="Not Permitted"),"NA",IF($C$11="1-4",GUC!$O$43,IF($C$11="5+",GUC!$O$44,"-"))))</f>
        <v>NA</v>
      </c>
      <c r="I21" s="70" t="str">
        <f>IF(OR(H21="NA",G21="-",H21="-"),"-",H21+G21)</f>
        <v>-</v>
      </c>
      <c r="J21" s="57" t="str">
        <f>IF(I21="-","-",I21*$C$14)</f>
        <v>-</v>
      </c>
      <c r="N21" s="51" t="s">
        <v>145</v>
      </c>
      <c r="O21" s="52" t="str">
        <f>IF($H$21="NA","-",IF($G$19="Funded",MIN($O$15,$O$3),MIN($O$9,$O$3))*0+MIN($O$3,$O$9,$O$15))</f>
        <v>-</v>
      </c>
      <c r="Q21" s="51" t="s">
        <v>179</v>
      </c>
      <c r="R21" s="51">
        <f t="shared" si="0"/>
        <v>0</v>
      </c>
      <c r="S21" s="57">
        <f t="shared" si="1"/>
        <v>0</v>
      </c>
      <c r="T21" s="57" t="e">
        <f t="shared" si="2"/>
        <v>#DIV/0!</v>
      </c>
      <c r="U21" s="57">
        <v>700000</v>
      </c>
      <c r="V21" s="51" t="e">
        <f t="shared" si="3"/>
        <v>#DIV/0!</v>
      </c>
    </row>
    <row r="22" spans="2:22" x14ac:dyDescent="0.25">
      <c r="B22" s="51" t="s">
        <v>178</v>
      </c>
      <c r="C22" s="51">
        <f>GUC!$G$7</f>
        <v>0</v>
      </c>
      <c r="E22" s="639" t="s">
        <v>155</v>
      </c>
      <c r="F22" s="639"/>
      <c r="G22" s="58" t="str">
        <f>IFERROR(VLOOKUP($F$19,$G$2:$L$17,MATCH(E22,$G$2:$L$2,0),FALSE),"-")</f>
        <v>-</v>
      </c>
      <c r="H22" s="70" t="str">
        <f>IF(AND($C$11="1-4",GUC!$O$43="Not Permitted"),"NA",IF(AND($C$11="5+",GUC!$O$44="Not Permitted"),"NA",IF($C$11="1-4",GUC!$O$43,IF($C$11="5+",GUC!$O$44,"-"))))</f>
        <v>NA</v>
      </c>
      <c r="I22" s="70" t="str">
        <f>IF(OR(H22="NA",G22="-",H22="-"),"-",H22+G22)</f>
        <v>-</v>
      </c>
      <c r="J22" s="57" t="str">
        <f>IF(I22="-","-",I22*$C$15)</f>
        <v>-</v>
      </c>
      <c r="N22" s="51" t="s">
        <v>68</v>
      </c>
      <c r="O22" s="52" t="str">
        <f>IF($H$21="NA","-",$C$18)</f>
        <v>-</v>
      </c>
      <c r="Q22" s="51" t="s">
        <v>177</v>
      </c>
      <c r="R22" s="51">
        <f t="shared" si="0"/>
        <v>0</v>
      </c>
      <c r="S22" s="57">
        <f t="shared" si="1"/>
        <v>0</v>
      </c>
      <c r="T22" s="57" t="e">
        <f t="shared" si="2"/>
        <v>#DIV/0!</v>
      </c>
      <c r="U22" s="57">
        <v>1000000</v>
      </c>
      <c r="V22" s="51" t="e">
        <f t="shared" si="3"/>
        <v>#DIV/0!</v>
      </c>
    </row>
    <row r="23" spans="2:22" x14ac:dyDescent="0.25">
      <c r="B23" s="51" t="s">
        <v>176</v>
      </c>
      <c r="C23" s="51">
        <f>GUC!$G$7</f>
        <v>0</v>
      </c>
      <c r="E23" s="639" t="s">
        <v>175</v>
      </c>
      <c r="F23" s="639"/>
      <c r="G23" s="58" t="str">
        <f>IFERROR(VLOOKUP($F$19,$G$2:$L$17,MATCH(E23,$G$2:$L$2,0),FALSE),"-")</f>
        <v>-</v>
      </c>
      <c r="H23" s="70" t="str">
        <f>IF(AND($C$11="1-4",GUC!$O$43="Not Permitted"),"NA",IF(AND($C$11="5+",GUC!$O$44="Not Permitted"),"NA",IF($C$11="1-4",GUC!$O$43,IF($C$11="5+",GUC!$O$44,"-"))))</f>
        <v>NA</v>
      </c>
      <c r="I23" s="70" t="str">
        <f>IF(OR(H23="NA",G23="-",H23="-"),"-",H23+G23)</f>
        <v>-</v>
      </c>
      <c r="J23" s="57" t="str">
        <f>IF(I23="-","-",I23*$C$19)</f>
        <v>-</v>
      </c>
      <c r="N23" s="51" t="s">
        <v>64</v>
      </c>
      <c r="O23" s="52" t="str">
        <f>IF($H$21="NA","-",IF($G$19="Funded",GUC!$K$7,0))</f>
        <v>-</v>
      </c>
      <c r="Q23" s="51" t="s">
        <v>174</v>
      </c>
      <c r="R23" s="51">
        <f t="shared" si="0"/>
        <v>0</v>
      </c>
      <c r="S23" s="57">
        <f t="shared" si="1"/>
        <v>0</v>
      </c>
      <c r="T23" s="57" t="e">
        <f t="shared" si="2"/>
        <v>#DIV/0!</v>
      </c>
      <c r="U23" s="57">
        <v>1000000</v>
      </c>
      <c r="V23" s="51" t="e">
        <f t="shared" si="3"/>
        <v>#DIV/0!</v>
      </c>
    </row>
    <row r="24" spans="2:22" x14ac:dyDescent="0.25">
      <c r="E24" s="639" t="s">
        <v>173</v>
      </c>
      <c r="F24" s="639"/>
      <c r="G24" s="58" t="str">
        <f>IFERROR(VLOOKUP($F$19,$G$2:$L$17,MATCH(E24,$G$2:$L$2,0),FALSE),"-")</f>
        <v>-</v>
      </c>
      <c r="H24" s="70" t="str">
        <f>IF(AND($C$11="1-4",GUC!$O$43="Not Permitted"),"NA",IF(AND($C$11="5+",GUC!$O$44="Not Permitted"),"NA",IF($C$11="1-4",GUC!$O$43,IF($C$11="5+",GUC!$O$44,"-"))))</f>
        <v>NA</v>
      </c>
      <c r="I24" s="70" t="str">
        <f>IF(OR(H24="NA",G24="-",H24="-"),"-",H24+G24)</f>
        <v>-</v>
      </c>
      <c r="J24" s="57" t="str">
        <f>IF(I24="-","-",I24*SUM($C$15,$C$18))</f>
        <v>-</v>
      </c>
      <c r="N24" s="51" t="s">
        <v>135</v>
      </c>
      <c r="O24" s="52" t="str">
        <f>IF($H$21="NA","-",(O21+O22+O23))</f>
        <v>-</v>
      </c>
      <c r="Q24" s="51" t="s">
        <v>172</v>
      </c>
      <c r="R24" s="51">
        <f t="shared" si="0"/>
        <v>0</v>
      </c>
      <c r="S24" s="57">
        <f t="shared" si="1"/>
        <v>0</v>
      </c>
      <c r="T24" s="57" t="e">
        <f t="shared" si="2"/>
        <v>#DIV/0!</v>
      </c>
      <c r="U24" s="57">
        <v>1000000</v>
      </c>
      <c r="V24" s="51" t="e">
        <f t="shared" si="3"/>
        <v>#DIV/0!</v>
      </c>
    </row>
    <row r="25" spans="2:22" x14ac:dyDescent="0.25">
      <c r="E25" s="639" t="s">
        <v>171</v>
      </c>
      <c r="F25" s="639"/>
      <c r="G25" s="58" t="str">
        <f>IFERROR(VLOOKUP($F$19,$G$2:$L$17,MATCH(E25,$G$2:$L$2,0),FALSE),"-")</f>
        <v>-</v>
      </c>
      <c r="H25" s="70" t="str">
        <f>IF(AND($C$11="1-4",GUC!$O$43="Not Permitted"),"NA",IF(AND($C$11="5+",GUC!$O$44="Not Permitted"),"NA",IF($C$11="1-4",GUC!$O$43,IF($C$11="5+",GUC!$O$44,"-"))))</f>
        <v>NA</v>
      </c>
      <c r="I25" s="70" t="str">
        <f>IF(OR(H25="NA",G25="-",H25="-"),"-",H25+G25)</f>
        <v>-</v>
      </c>
      <c r="J25" s="57" t="str">
        <f>IF(I25="-","-",I25*SUM($C$15,$C$18))</f>
        <v>-</v>
      </c>
      <c r="O25" s="52"/>
      <c r="Q25" s="51" t="s">
        <v>170</v>
      </c>
      <c r="R25" s="51">
        <f t="shared" si="0"/>
        <v>0</v>
      </c>
      <c r="S25" s="57">
        <f t="shared" si="1"/>
        <v>0</v>
      </c>
      <c r="T25" s="69">
        <f>S25</f>
        <v>0</v>
      </c>
      <c r="U25" s="57">
        <v>1000000</v>
      </c>
      <c r="V25" s="51" t="str">
        <f t="shared" si="3"/>
        <v>Level 1</v>
      </c>
    </row>
    <row r="26" spans="2:22" x14ac:dyDescent="0.25">
      <c r="B26" s="51" t="s">
        <v>169</v>
      </c>
      <c r="C26" s="51" t="str">
        <f>IF($C$11="5+","-",IF(AND($C$7="Y",$C$5&gt;=10),"PASS","-"))</f>
        <v>-</v>
      </c>
      <c r="D26" s="51" t="s">
        <v>129</v>
      </c>
      <c r="N26" s="639" t="s">
        <v>168</v>
      </c>
      <c r="O26" s="639"/>
    </row>
    <row r="27" spans="2:22" x14ac:dyDescent="0.25">
      <c r="B27" s="51" t="s">
        <v>167</v>
      </c>
      <c r="C27" s="51" t="str">
        <f>IF(OR($C$26="PASS",$C$11="5+"),"-",IF(AND($C$7="Y",SUM($C$5,$C$6)&gt;=10),"PASS","-"))</f>
        <v>-</v>
      </c>
      <c r="D27" s="51" t="s">
        <v>126</v>
      </c>
      <c r="N27" s="51" t="s">
        <v>145</v>
      </c>
      <c r="O27" s="52" t="str">
        <f>IF($H$21="NA","-",IF(OR($C$2="Delayed Purchase",$C$2="Purchase"),$O$21,IF($C$2="Refinance (Rate/Term)",MIN($O$21,GUC!$C$19*1.02),)))</f>
        <v>-</v>
      </c>
      <c r="Q27" s="51" t="s">
        <v>90</v>
      </c>
      <c r="R27" s="51">
        <f>$C$10</f>
        <v>0</v>
      </c>
    </row>
    <row r="28" spans="2:22" x14ac:dyDescent="0.25">
      <c r="B28" s="51" t="s">
        <v>166</v>
      </c>
      <c r="C28" s="51" t="str">
        <f>IF(OR($C$26="PASS",$C$27="PASS",$C$11="5+"),"-",IF(SUM($C$5:$C$6)&gt;=3,"PASS","-"))</f>
        <v>-</v>
      </c>
      <c r="D28" s="51" t="s">
        <v>123</v>
      </c>
      <c r="F28" s="639" t="s">
        <v>165</v>
      </c>
      <c r="G28" s="639"/>
      <c r="I28" s="639" t="s">
        <v>164</v>
      </c>
      <c r="J28" s="639"/>
      <c r="K28" s="639"/>
      <c r="L28" s="639"/>
      <c r="N28" s="51" t="s">
        <v>68</v>
      </c>
      <c r="O28" s="52" t="str">
        <f>IF($H$21="NA","-",$C$18)</f>
        <v>-</v>
      </c>
      <c r="Q28" s="51" t="s">
        <v>163</v>
      </c>
      <c r="R28" s="51" t="str">
        <f>IFERROR(VLOOKUP(R27,$Q$17:$V$25,6,FALSE),"-")</f>
        <v>-</v>
      </c>
    </row>
    <row r="29" spans="2:22" x14ac:dyDescent="0.25">
      <c r="B29" s="51" t="s">
        <v>162</v>
      </c>
      <c r="C29" s="51" t="str">
        <f>IF(OR($C$26="PASS",$C$27="PASS",$C$28="PASS",$C$11="5+"),"-",IF(AND($C$11="1-4",$C$21="Yes",$C$22="Yes",$C$23="Yes"),"PASS","-"))</f>
        <v>-</v>
      </c>
      <c r="D29" s="51" t="s">
        <v>120</v>
      </c>
      <c r="F29" s="68" t="s">
        <v>161</v>
      </c>
      <c r="G29" s="68" t="s">
        <v>160</v>
      </c>
      <c r="J29" s="51" t="s">
        <v>159</v>
      </c>
      <c r="K29" s="51" t="s">
        <v>158</v>
      </c>
      <c r="N29" s="51" t="s">
        <v>64</v>
      </c>
      <c r="O29" s="52" t="str">
        <f>IF($H$21="NA","-",IF($G$19="Funded",GUC!$K$7,0))</f>
        <v>-</v>
      </c>
    </row>
    <row r="30" spans="2:22" x14ac:dyDescent="0.25">
      <c r="B30" s="51" t="s">
        <v>157</v>
      </c>
      <c r="C30" s="51" t="str">
        <f>IF($C$11="1-4","-",IF(OR($C$5&gt;=2,SUM($C$5:$C$6)&gt;=5),"PASS","-"))</f>
        <v>-</v>
      </c>
      <c r="D30" s="51" t="s">
        <v>6</v>
      </c>
      <c r="F30" s="67">
        <v>0.01</v>
      </c>
      <c r="G30" s="58" t="str">
        <f>IFERROR(G31+0.25%,"-")</f>
        <v>-</v>
      </c>
      <c r="I30" s="51" t="s">
        <v>156</v>
      </c>
      <c r="J30" s="51" t="str">
        <f>IFERROR((ROUND($O$27/$C$14,3))*100,"-")</f>
        <v>-</v>
      </c>
      <c r="K30" s="51" t="str">
        <f>IFERROR((ROUND($O$37/$C$14,3))*100,"-")</f>
        <v>-</v>
      </c>
      <c r="N30" s="51" t="s">
        <v>135</v>
      </c>
      <c r="O30" s="52" t="str">
        <f>IF($H$21="NA","-",(O27+O28+O29))</f>
        <v>-</v>
      </c>
    </row>
    <row r="31" spans="2:22" x14ac:dyDescent="0.25">
      <c r="F31" s="56">
        <f t="shared" ref="F31:F40" si="4">+F30+0.25%</f>
        <v>1.2500000000000001E-2</v>
      </c>
      <c r="G31" s="58" t="str">
        <f>IFERROR(G32+0.25%,"-")</f>
        <v>-</v>
      </c>
      <c r="I31" s="51" t="s">
        <v>155</v>
      </c>
      <c r="J31" s="51" t="str">
        <f>IF(OR($C$2="Refinance (Rate/Term)",$C$2="Refinance (Cash Out)"),"-",IFERROR((ROUND($O$27/$C$15,3))*100,"-"))</f>
        <v>-</v>
      </c>
      <c r="K31" s="51" t="str">
        <f>IF(OR($C$2="Refinance (Rate/Term)",$C$2="Refinance (Cash Out)"),"-",IFERROR((ROUND($O$37/$C$15,3))*100,"-"))</f>
        <v>-</v>
      </c>
    </row>
    <row r="32" spans="2:22" x14ac:dyDescent="0.25">
      <c r="B32" s="51" t="s">
        <v>154</v>
      </c>
      <c r="C32" s="51" t="str">
        <f>IFERROR(VLOOKUP("PASS",$C$26:$D$30,2,FALSE),"-")</f>
        <v>-</v>
      </c>
      <c r="F32" s="56">
        <f t="shared" si="4"/>
        <v>1.5000000000000001E-2</v>
      </c>
      <c r="G32" s="58" t="str">
        <f>IFERROR(VLOOKUP($C$32,$F$42:$G$47,2,FALSE),"-")</f>
        <v>-</v>
      </c>
      <c r="I32" s="51" t="s">
        <v>149</v>
      </c>
      <c r="J32" s="51" t="str">
        <f>_xlfn.CONCAT(J30," | ",J31)</f>
        <v>- | -</v>
      </c>
      <c r="K32" s="51" t="str">
        <f>_xlfn.CONCAT(K30," | ",K31)</f>
        <v>- | -</v>
      </c>
    </row>
    <row r="33" spans="2:15" x14ac:dyDescent="0.25">
      <c r="F33" s="56">
        <f t="shared" si="4"/>
        <v>1.7500000000000002E-2</v>
      </c>
      <c r="G33" s="58" t="str">
        <f>IFERROR(G32-0.175%,"-")</f>
        <v>-</v>
      </c>
      <c r="I33" s="51" t="s">
        <v>153</v>
      </c>
      <c r="J33" s="51" t="str">
        <f>IFERROR((ROUND($O$30/$C$19,3))*100,"-")</f>
        <v>-</v>
      </c>
      <c r="K33" s="51" t="str">
        <f>IFERROR((ROUND($O$40/$C$19,3))*100,"-")</f>
        <v>-</v>
      </c>
    </row>
    <row r="34" spans="2:15" x14ac:dyDescent="0.25">
      <c r="F34" s="56">
        <f t="shared" si="4"/>
        <v>0.02</v>
      </c>
      <c r="G34" s="58" t="str">
        <f>IFERROR(G33-0.175%,"-")</f>
        <v>-</v>
      </c>
      <c r="I34" s="51" t="s">
        <v>152</v>
      </c>
      <c r="J34" s="51" t="str">
        <f>IFERROR((ROUND($O$30/($C$15+$C$18),3))*100,"-")</f>
        <v>-</v>
      </c>
      <c r="K34" s="51" t="str">
        <f>IFERROR((ROUND($O$40/($C$15+$C$18),3))*100,"-")</f>
        <v>-</v>
      </c>
    </row>
    <row r="35" spans="2:15" x14ac:dyDescent="0.25">
      <c r="B35" s="66" t="s">
        <v>151</v>
      </c>
      <c r="C35" s="65" t="s">
        <v>150</v>
      </c>
      <c r="F35" s="56">
        <f t="shared" si="4"/>
        <v>2.2499999999999999E-2</v>
      </c>
      <c r="G35" s="58" t="str">
        <f>IFERROR(G34-0.175%,"-")</f>
        <v>-</v>
      </c>
      <c r="I35" s="51" t="s">
        <v>149</v>
      </c>
      <c r="J35" s="51" t="str">
        <f>_xlfn.CONCAT(J33," | ",J34)</f>
        <v>- | -</v>
      </c>
      <c r="K35" s="51" t="str">
        <f>_xlfn.CONCAT(K33," | ",K34)</f>
        <v>- | -</v>
      </c>
    </row>
    <row r="36" spans="2:15" x14ac:dyDescent="0.25">
      <c r="B36" s="64" t="s">
        <v>148</v>
      </c>
      <c r="C36" s="63" t="s">
        <v>2</v>
      </c>
      <c r="F36" s="56">
        <f t="shared" si="4"/>
        <v>2.4999999999999998E-2</v>
      </c>
      <c r="G36" s="58" t="str">
        <f>IFERROR(G35-0.175%,"-")</f>
        <v>-</v>
      </c>
      <c r="N36" s="639" t="s">
        <v>147</v>
      </c>
      <c r="O36" s="639"/>
    </row>
    <row r="37" spans="2:15" x14ac:dyDescent="0.25">
      <c r="B37" s="62" t="s">
        <v>146</v>
      </c>
      <c r="C37" s="61">
        <v>0.35</v>
      </c>
      <c r="F37" s="56">
        <f t="shared" si="4"/>
        <v>2.7499999999999997E-2</v>
      </c>
      <c r="G37" s="58" t="str">
        <f>IFERROR(G36-0.125%,"-")</f>
        <v>-</v>
      </c>
      <c r="N37" s="51" t="s">
        <v>145</v>
      </c>
      <c r="O37" s="52">
        <f>GUC!$K$19</f>
        <v>0</v>
      </c>
    </row>
    <row r="38" spans="2:15" x14ac:dyDescent="0.25">
      <c r="B38" s="62" t="s">
        <v>144</v>
      </c>
      <c r="C38" s="61">
        <v>0.35</v>
      </c>
      <c r="F38" s="56">
        <f t="shared" si="4"/>
        <v>2.9999999999999995E-2</v>
      </c>
      <c r="G38" s="58" t="str">
        <f>IFERROR(G37-0.125%,"-")</f>
        <v>-</v>
      </c>
      <c r="I38" s="639" t="s">
        <v>143</v>
      </c>
      <c r="J38" s="639"/>
      <c r="K38" s="639"/>
      <c r="L38" s="639"/>
      <c r="M38" s="639"/>
      <c r="N38" s="51" t="s">
        <v>68</v>
      </c>
      <c r="O38" s="52">
        <f>GUC!$K$20</f>
        <v>0</v>
      </c>
    </row>
    <row r="39" spans="2:15" x14ac:dyDescent="0.25">
      <c r="B39" s="62" t="s">
        <v>142</v>
      </c>
      <c r="C39" s="61">
        <v>0.35</v>
      </c>
      <c r="F39" s="56">
        <f t="shared" si="4"/>
        <v>3.2499999999999994E-2</v>
      </c>
      <c r="G39" s="58" t="str">
        <f>IFERROR(G38-0.125%,"-")</f>
        <v>-</v>
      </c>
      <c r="I39" s="639" t="s">
        <v>141</v>
      </c>
      <c r="J39" s="639"/>
      <c r="K39" s="51" t="s">
        <v>140</v>
      </c>
      <c r="L39" s="51" t="s">
        <v>139</v>
      </c>
      <c r="M39" s="51" t="s">
        <v>138</v>
      </c>
      <c r="N39" s="51" t="s">
        <v>64</v>
      </c>
      <c r="O39" s="52">
        <f>GUC!$K$21</f>
        <v>0</v>
      </c>
    </row>
    <row r="40" spans="2:15" x14ac:dyDescent="0.25">
      <c r="B40" s="62" t="s">
        <v>137</v>
      </c>
      <c r="C40" s="61">
        <v>0.25</v>
      </c>
      <c r="F40" s="56">
        <f t="shared" si="4"/>
        <v>3.4999999999999996E-2</v>
      </c>
      <c r="G40" s="58" t="str">
        <f>IFERROR(G39-0.125%,"-")</f>
        <v>-</v>
      </c>
      <c r="I40" s="639" t="s">
        <v>136</v>
      </c>
      <c r="J40" s="639"/>
      <c r="K40" s="54">
        <v>0</v>
      </c>
      <c r="L40" s="52">
        <f t="shared" ref="L40:L45" si="5">($O$42/12)*(75%*($C$14+$C$18))*K40</f>
        <v>0</v>
      </c>
      <c r="M40" s="52">
        <f t="shared" ref="M40:M45" si="6">(($O$42/12)*$O$40)*K40</f>
        <v>0</v>
      </c>
      <c r="N40" s="51" t="s">
        <v>135</v>
      </c>
      <c r="O40" s="52">
        <f>GUC!$K$22</f>
        <v>0</v>
      </c>
    </row>
    <row r="41" spans="2:15" x14ac:dyDescent="0.25">
      <c r="B41" s="62" t="s">
        <v>134</v>
      </c>
      <c r="C41" s="61">
        <v>0.25</v>
      </c>
      <c r="F41" s="56"/>
      <c r="I41" s="639" t="s">
        <v>133</v>
      </c>
      <c r="J41" s="639"/>
      <c r="K41" s="54">
        <v>3</v>
      </c>
      <c r="L41" s="52">
        <f t="shared" si="5"/>
        <v>0</v>
      </c>
      <c r="M41" s="52">
        <f t="shared" si="6"/>
        <v>0</v>
      </c>
    </row>
    <row r="42" spans="2:15" x14ac:dyDescent="0.25">
      <c r="B42" s="60" t="s">
        <v>132</v>
      </c>
      <c r="C42" s="59">
        <v>0.15</v>
      </c>
      <c r="F42" s="56" t="s">
        <v>31</v>
      </c>
      <c r="G42" s="51" t="s">
        <v>131</v>
      </c>
      <c r="I42" s="639" t="s">
        <v>130</v>
      </c>
      <c r="J42" s="639"/>
      <c r="K42" s="54">
        <v>6</v>
      </c>
      <c r="L42" s="52">
        <f t="shared" si="5"/>
        <v>0</v>
      </c>
      <c r="M42" s="52">
        <f t="shared" si="6"/>
        <v>0</v>
      </c>
      <c r="N42" s="51" t="s">
        <v>91</v>
      </c>
      <c r="O42" s="58">
        <f>GUC!$G$11</f>
        <v>0</v>
      </c>
    </row>
    <row r="43" spans="2:15" x14ac:dyDescent="0.25">
      <c r="F43" s="56" t="s">
        <v>129</v>
      </c>
      <c r="G43" s="53">
        <v>0.1099</v>
      </c>
      <c r="H43" s="55"/>
      <c r="I43" s="639" t="s">
        <v>128</v>
      </c>
      <c r="J43" s="639"/>
      <c r="K43" s="54">
        <v>3</v>
      </c>
      <c r="L43" s="52">
        <f t="shared" si="5"/>
        <v>0</v>
      </c>
      <c r="M43" s="52">
        <f t="shared" si="6"/>
        <v>0</v>
      </c>
    </row>
    <row r="44" spans="2:15" x14ac:dyDescent="0.25">
      <c r="B44" s="51" t="s">
        <v>127</v>
      </c>
      <c r="C44" s="57" t="e">
        <f>MAX($C$19,$C$14)/$C$9</f>
        <v>#DIV/0!</v>
      </c>
      <c r="F44" s="56" t="s">
        <v>126</v>
      </c>
      <c r="G44" s="53">
        <v>0.1124</v>
      </c>
      <c r="H44" s="55"/>
      <c r="I44" s="639" t="s">
        <v>125</v>
      </c>
      <c r="J44" s="639"/>
      <c r="K44" s="54">
        <v>6</v>
      </c>
      <c r="L44" s="52">
        <f t="shared" si="5"/>
        <v>0</v>
      </c>
      <c r="M44" s="52">
        <f t="shared" si="6"/>
        <v>0</v>
      </c>
    </row>
    <row r="45" spans="2:15" x14ac:dyDescent="0.25">
      <c r="B45" s="51" t="s">
        <v>124</v>
      </c>
      <c r="C45" s="51" t="e">
        <f>IF($C$44&lt;=INDEX('GUC (Legend)'!#REF!,MATCH($C$44,'GUC (Legend)'!#REF!,1),2),INDEX('GUC (Legend)'!#REF!,MATCH($C$44,'GUC (Legend)'!#REF!,1),3),"-")</f>
        <v>#DIV/0!</v>
      </c>
      <c r="F45" s="51" t="s">
        <v>123</v>
      </c>
      <c r="G45" s="53">
        <v>0.1149</v>
      </c>
      <c r="H45" s="53"/>
      <c r="I45" s="639" t="s">
        <v>122</v>
      </c>
      <c r="J45" s="639"/>
      <c r="K45" s="54">
        <v>9</v>
      </c>
      <c r="L45" s="52">
        <f t="shared" si="5"/>
        <v>0</v>
      </c>
      <c r="M45" s="52">
        <f t="shared" si="6"/>
        <v>0</v>
      </c>
    </row>
    <row r="46" spans="2:15" x14ac:dyDescent="0.25">
      <c r="B46" s="51" t="s">
        <v>121</v>
      </c>
      <c r="C46" s="51" t="str">
        <f>IFERROR(VLOOKUP(C45,$B$36:$C$42,2,FALSE),"-")</f>
        <v>-</v>
      </c>
      <c r="F46" s="51" t="s">
        <v>120</v>
      </c>
      <c r="G46" s="53">
        <v>0.11990000000000001</v>
      </c>
      <c r="H46" s="53"/>
      <c r="I46" s="639" t="s">
        <v>119</v>
      </c>
      <c r="J46" s="639"/>
      <c r="K46" s="54">
        <f>GUC!$G$5</f>
        <v>0</v>
      </c>
      <c r="L46" s="52" t="s">
        <v>2</v>
      </c>
      <c r="M46" s="52" t="s">
        <v>2</v>
      </c>
    </row>
    <row r="47" spans="2:15" x14ac:dyDescent="0.25">
      <c r="B47" s="51" t="s">
        <v>118</v>
      </c>
      <c r="C47" s="51" t="str">
        <f>IFERROR($C$46*GUC!$K$36,"-")</f>
        <v>-</v>
      </c>
      <c r="F47" s="51" t="s">
        <v>6</v>
      </c>
      <c r="G47" s="53">
        <v>0.11990000000000001</v>
      </c>
      <c r="H47" s="53"/>
      <c r="I47" s="639" t="s">
        <v>117</v>
      </c>
      <c r="J47" s="639"/>
      <c r="K47" s="51" t="str">
        <f>IF($K$46="12 Months",12,IF($K$46="18 Months",18,IF($K$46="24 Months",24,"-")))</f>
        <v>-</v>
      </c>
      <c r="L47" s="52" t="e">
        <f>($O$42/12)*(75%*($C$14+$C$18))*K47</f>
        <v>#VALUE!</v>
      </c>
      <c r="M47" s="52" t="e">
        <f>(($O$42/12)*$O$40)*K47</f>
        <v>#VALUE!</v>
      </c>
    </row>
    <row r="48" spans="2:15" x14ac:dyDescent="0.25">
      <c r="I48" s="639"/>
      <c r="J48" s="639"/>
    </row>
  </sheetData>
  <sheetProtection algorithmName="SHA-512" hashValue="M3lXwuyFGv1aRG8icCDhOdsTautSFBlAlwG7qlwzf2M4l0ya8rk1/ewB4HWxb9IT7+izY+OGN9ybu6IZpe5aug==" saltValue="D2TvpycVk47DxgaQg7OWJg==" spinCount="100000" sheet="1" objects="1" scenarios="1" selectLockedCells="1" selectUnlockedCells="1"/>
  <mergeCells count="26">
    <mergeCell ref="I48:J48"/>
    <mergeCell ref="I38:M38"/>
    <mergeCell ref="Q2:R2"/>
    <mergeCell ref="I42:J42"/>
    <mergeCell ref="I43:J43"/>
    <mergeCell ref="I44:J44"/>
    <mergeCell ref="I45:J45"/>
    <mergeCell ref="I46:J46"/>
    <mergeCell ref="I40:J40"/>
    <mergeCell ref="E23:F23"/>
    <mergeCell ref="I28:L28"/>
    <mergeCell ref="N36:O36"/>
    <mergeCell ref="F28:G28"/>
    <mergeCell ref="I47:J47"/>
    <mergeCell ref="I41:J41"/>
    <mergeCell ref="I39:J39"/>
    <mergeCell ref="N26:O26"/>
    <mergeCell ref="E25:F25"/>
    <mergeCell ref="E24:F24"/>
    <mergeCell ref="E22:F22"/>
    <mergeCell ref="E21:F21"/>
    <mergeCell ref="N2:O2"/>
    <mergeCell ref="N8:O8"/>
    <mergeCell ref="N14:O14"/>
    <mergeCell ref="N20:O20"/>
    <mergeCell ref="E20:F2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C0017-9A48-473F-AFE1-762FA68DD53F}">
  <sheetPr codeName="Sheet13">
    <tabColor rgb="FF3C4C5E"/>
  </sheetPr>
  <dimension ref="A1:J52"/>
  <sheetViews>
    <sheetView topLeftCell="L1" zoomScale="70" zoomScaleNormal="70" workbookViewId="0">
      <selection activeCell="L1" sqref="L1"/>
    </sheetView>
  </sheetViews>
  <sheetFormatPr defaultColWidth="9.140625" defaultRowHeight="15.75" x14ac:dyDescent="0.25"/>
  <cols>
    <col min="1" max="1" width="21.5703125" style="51" hidden="1" customWidth="1"/>
    <col min="2" max="2" width="23.140625" style="51" hidden="1" customWidth="1"/>
    <col min="3" max="3" width="9.140625" style="51" hidden="1" customWidth="1"/>
    <col min="4" max="4" width="24.42578125" style="51" hidden="1" customWidth="1"/>
    <col min="5" max="5" width="21.5703125" style="51" hidden="1" customWidth="1"/>
    <col min="6" max="6" width="17.140625" style="51" hidden="1" customWidth="1"/>
    <col min="7" max="7" width="13.85546875" style="51" hidden="1" customWidth="1"/>
    <col min="8" max="8" width="19.140625" style="51" hidden="1" customWidth="1"/>
    <col min="9" max="9" width="18.28515625" style="51" hidden="1" customWidth="1"/>
    <col min="10" max="10" width="19.140625" style="51" hidden="1" customWidth="1"/>
    <col min="11" max="11" width="0" style="51" hidden="1" customWidth="1"/>
    <col min="12" max="16384" width="9.140625" style="51"/>
  </cols>
  <sheetData>
    <row r="1" spans="1:10" x14ac:dyDescent="0.25">
      <c r="A1" s="73"/>
      <c r="B1" s="73"/>
      <c r="C1" s="73"/>
      <c r="D1" s="73" t="s">
        <v>292</v>
      </c>
      <c r="E1" s="73" t="s">
        <v>291</v>
      </c>
      <c r="F1" s="73" t="s">
        <v>119</v>
      </c>
      <c r="G1" s="73" t="s">
        <v>290</v>
      </c>
      <c r="H1" s="73" t="s">
        <v>143</v>
      </c>
      <c r="I1" s="73" t="s">
        <v>289</v>
      </c>
      <c r="J1" s="73" t="s">
        <v>288</v>
      </c>
    </row>
    <row r="2" spans="1:10" x14ac:dyDescent="0.25">
      <c r="A2" s="51" t="s">
        <v>287</v>
      </c>
      <c r="B2" s="51" t="s">
        <v>202</v>
      </c>
      <c r="C2" s="51" t="s">
        <v>286</v>
      </c>
      <c r="D2" s="51" t="s">
        <v>191</v>
      </c>
      <c r="E2" s="51" t="s">
        <v>177</v>
      </c>
      <c r="F2" s="51" t="s">
        <v>285</v>
      </c>
      <c r="G2" s="51" t="s">
        <v>284</v>
      </c>
      <c r="H2" s="51" t="s">
        <v>136</v>
      </c>
      <c r="I2" s="51" t="s">
        <v>138</v>
      </c>
      <c r="J2" s="51" t="s">
        <v>283</v>
      </c>
    </row>
    <row r="3" spans="1:10" x14ac:dyDescent="0.25">
      <c r="A3" s="51" t="s">
        <v>282</v>
      </c>
      <c r="B3" s="51" t="s">
        <v>200</v>
      </c>
      <c r="C3" s="51" t="s">
        <v>281</v>
      </c>
      <c r="D3" s="51" t="s">
        <v>189</v>
      </c>
      <c r="E3" s="51" t="s">
        <v>174</v>
      </c>
      <c r="F3" s="51" t="s">
        <v>280</v>
      </c>
      <c r="G3" s="51" t="s">
        <v>279</v>
      </c>
      <c r="H3" s="51" t="s">
        <v>133</v>
      </c>
      <c r="I3" s="51" t="s">
        <v>139</v>
      </c>
      <c r="J3" s="51" t="s">
        <v>278</v>
      </c>
    </row>
    <row r="4" spans="1:10" x14ac:dyDescent="0.25">
      <c r="A4" s="51" t="s">
        <v>277</v>
      </c>
      <c r="B4" s="51" t="s">
        <v>3</v>
      </c>
      <c r="C4" s="51" t="s">
        <v>276</v>
      </c>
      <c r="D4" s="51" t="s">
        <v>182</v>
      </c>
      <c r="E4" s="51" t="s">
        <v>172</v>
      </c>
      <c r="F4" s="51" t="s">
        <v>275</v>
      </c>
      <c r="H4" s="51" t="s">
        <v>130</v>
      </c>
    </row>
    <row r="5" spans="1:10" x14ac:dyDescent="0.25">
      <c r="B5" s="51" t="s">
        <v>274</v>
      </c>
      <c r="C5" s="51" t="s">
        <v>273</v>
      </c>
      <c r="D5" s="51" t="s">
        <v>179</v>
      </c>
      <c r="E5" s="51" t="s">
        <v>170</v>
      </c>
      <c r="H5" s="51" t="s">
        <v>128</v>
      </c>
    </row>
    <row r="6" spans="1:10" x14ac:dyDescent="0.25">
      <c r="C6" s="51" t="s">
        <v>272</v>
      </c>
      <c r="H6" s="51" t="s">
        <v>125</v>
      </c>
    </row>
    <row r="7" spans="1:10" x14ac:dyDescent="0.25">
      <c r="C7" s="51" t="s">
        <v>271</v>
      </c>
      <c r="H7" s="51" t="s">
        <v>122</v>
      </c>
    </row>
    <row r="8" spans="1:10" x14ac:dyDescent="0.25">
      <c r="C8" s="51" t="s">
        <v>270</v>
      </c>
      <c r="H8" s="51" t="s">
        <v>117</v>
      </c>
    </row>
    <row r="9" spans="1:10" x14ac:dyDescent="0.25">
      <c r="C9" s="51" t="s">
        <v>269</v>
      </c>
    </row>
    <row r="10" spans="1:10" x14ac:dyDescent="0.25">
      <c r="C10" s="51" t="s">
        <v>268</v>
      </c>
    </row>
    <row r="11" spans="1:10" x14ac:dyDescent="0.25">
      <c r="C11" s="51" t="s">
        <v>267</v>
      </c>
    </row>
    <row r="12" spans="1:10" x14ac:dyDescent="0.25">
      <c r="C12" s="51" t="s">
        <v>266</v>
      </c>
    </row>
    <row r="13" spans="1:10" x14ac:dyDescent="0.25">
      <c r="C13" s="51" t="s">
        <v>265</v>
      </c>
    </row>
    <row r="14" spans="1:10" x14ac:dyDescent="0.25">
      <c r="C14" s="51" t="s">
        <v>145</v>
      </c>
    </row>
    <row r="15" spans="1:10" x14ac:dyDescent="0.25">
      <c r="C15" s="51" t="s">
        <v>264</v>
      </c>
    </row>
    <row r="16" spans="1:10" x14ac:dyDescent="0.25">
      <c r="C16" s="51" t="s">
        <v>263</v>
      </c>
    </row>
    <row r="17" spans="3:3" x14ac:dyDescent="0.25">
      <c r="C17" s="51" t="s">
        <v>262</v>
      </c>
    </row>
    <row r="18" spans="3:3" x14ac:dyDescent="0.25">
      <c r="C18" s="51" t="s">
        <v>261</v>
      </c>
    </row>
    <row r="19" spans="3:3" x14ac:dyDescent="0.25">
      <c r="C19" s="51" t="s">
        <v>260</v>
      </c>
    </row>
    <row r="20" spans="3:3" x14ac:dyDescent="0.25">
      <c r="C20" s="51" t="s">
        <v>259</v>
      </c>
    </row>
    <row r="21" spans="3:3" x14ac:dyDescent="0.25">
      <c r="C21" s="51" t="s">
        <v>258</v>
      </c>
    </row>
    <row r="22" spans="3:3" x14ac:dyDescent="0.25">
      <c r="C22" s="51" t="s">
        <v>257</v>
      </c>
    </row>
    <row r="23" spans="3:3" x14ac:dyDescent="0.25">
      <c r="C23" s="51" t="s">
        <v>256</v>
      </c>
    </row>
    <row r="24" spans="3:3" x14ac:dyDescent="0.25">
      <c r="C24" s="51" t="s">
        <v>255</v>
      </c>
    </row>
    <row r="25" spans="3:3" x14ac:dyDescent="0.25">
      <c r="C25" s="51" t="s">
        <v>254</v>
      </c>
    </row>
    <row r="26" spans="3:3" x14ac:dyDescent="0.25">
      <c r="C26" s="51" t="s">
        <v>253</v>
      </c>
    </row>
    <row r="27" spans="3:3" x14ac:dyDescent="0.25">
      <c r="C27" s="51" t="s">
        <v>252</v>
      </c>
    </row>
    <row r="28" spans="3:3" x14ac:dyDescent="0.25">
      <c r="C28" s="51" t="s">
        <v>251</v>
      </c>
    </row>
    <row r="29" spans="3:3" x14ac:dyDescent="0.25">
      <c r="C29" s="51" t="s">
        <v>250</v>
      </c>
    </row>
    <row r="30" spans="3:3" x14ac:dyDescent="0.25">
      <c r="C30" s="51" t="s">
        <v>249</v>
      </c>
    </row>
    <row r="31" spans="3:3" x14ac:dyDescent="0.25">
      <c r="C31" s="51" t="s">
        <v>248</v>
      </c>
    </row>
    <row r="32" spans="3:3" x14ac:dyDescent="0.25">
      <c r="C32" s="51" t="s">
        <v>247</v>
      </c>
    </row>
    <row r="33" spans="3:3" x14ac:dyDescent="0.25">
      <c r="C33" s="51" t="s">
        <v>246</v>
      </c>
    </row>
    <row r="34" spans="3:3" x14ac:dyDescent="0.25">
      <c r="C34" s="51" t="s">
        <v>245</v>
      </c>
    </row>
    <row r="35" spans="3:3" x14ac:dyDescent="0.25">
      <c r="C35" s="51" t="s">
        <v>244</v>
      </c>
    </row>
    <row r="36" spans="3:3" x14ac:dyDescent="0.25">
      <c r="C36" s="51" t="s">
        <v>243</v>
      </c>
    </row>
    <row r="37" spans="3:3" x14ac:dyDescent="0.25">
      <c r="C37" s="51" t="s">
        <v>242</v>
      </c>
    </row>
    <row r="38" spans="3:3" x14ac:dyDescent="0.25">
      <c r="C38" s="51" t="s">
        <v>241</v>
      </c>
    </row>
    <row r="39" spans="3:3" x14ac:dyDescent="0.25">
      <c r="C39" s="51" t="s">
        <v>240</v>
      </c>
    </row>
    <row r="40" spans="3:3" x14ac:dyDescent="0.25">
      <c r="C40" s="51" t="s">
        <v>239</v>
      </c>
    </row>
    <row r="41" spans="3:3" x14ac:dyDescent="0.25">
      <c r="C41" s="51" t="s">
        <v>238</v>
      </c>
    </row>
    <row r="42" spans="3:3" x14ac:dyDescent="0.25">
      <c r="C42" s="51" t="s">
        <v>237</v>
      </c>
    </row>
    <row r="43" spans="3:3" x14ac:dyDescent="0.25">
      <c r="C43" s="51" t="s">
        <v>236</v>
      </c>
    </row>
    <row r="44" spans="3:3" x14ac:dyDescent="0.25">
      <c r="C44" s="51" t="s">
        <v>235</v>
      </c>
    </row>
    <row r="45" spans="3:3" x14ac:dyDescent="0.25">
      <c r="C45" s="51" t="s">
        <v>234</v>
      </c>
    </row>
    <row r="46" spans="3:3" x14ac:dyDescent="0.25">
      <c r="C46" s="51" t="s">
        <v>233</v>
      </c>
    </row>
    <row r="47" spans="3:3" x14ac:dyDescent="0.25">
      <c r="C47" s="51" t="s">
        <v>232</v>
      </c>
    </row>
    <row r="48" spans="3:3" x14ac:dyDescent="0.25">
      <c r="C48" s="51" t="s">
        <v>231</v>
      </c>
    </row>
    <row r="49" spans="3:3" x14ac:dyDescent="0.25">
      <c r="C49" s="51" t="s">
        <v>230</v>
      </c>
    </row>
    <row r="50" spans="3:3" x14ac:dyDescent="0.25">
      <c r="C50" s="51" t="s">
        <v>229</v>
      </c>
    </row>
    <row r="51" spans="3:3" x14ac:dyDescent="0.25">
      <c r="C51" s="51" t="s">
        <v>228</v>
      </c>
    </row>
    <row r="52" spans="3:3" x14ac:dyDescent="0.25">
      <c r="C52" s="51" t="s">
        <v>227</v>
      </c>
    </row>
  </sheetData>
  <sheetProtection algorithmName="SHA-512" hashValue="W+P0oQ/GRoM6Q0LQLhJr2/SaD+cWDi64Gz9kRRy0j349cYcZmnzFXctjaYio+vMGT/xFefUn6FKHE8YmmhwheQ==" saltValue="jVKh4G1qmEJ+aIk0yxvIUg==" spinCount="100000" sheet="1" objects="1" scenarios="1" selectLockedCells="1" selectUn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0CF6E-E54E-4AF2-9B4D-A6E045763640}">
  <sheetPr codeName="Sheet5">
    <tabColor rgb="FF50657C"/>
  </sheetPr>
  <dimension ref="A1:W56"/>
  <sheetViews>
    <sheetView showGridLines="0" zoomScale="70" zoomScaleNormal="70" workbookViewId="0">
      <selection activeCell="D7" sqref="D7:E7"/>
    </sheetView>
  </sheetViews>
  <sheetFormatPr defaultColWidth="9.140625" defaultRowHeight="17.25" customHeight="1" x14ac:dyDescent="0.3"/>
  <cols>
    <col min="1" max="1" width="5.5703125" style="74" customWidth="1"/>
    <col min="2" max="3" width="21.85546875" style="75" customWidth="1"/>
    <col min="4" max="5" width="21.85546875" style="74" customWidth="1"/>
    <col min="6" max="6" width="5.5703125" style="74" customWidth="1"/>
    <col min="7" max="8" width="21.85546875" style="75" customWidth="1"/>
    <col min="9" max="10" width="21.85546875" style="74" customWidth="1"/>
    <col min="11" max="11" width="5.5703125" style="74" customWidth="1"/>
    <col min="12" max="15" width="21.85546875" style="74" customWidth="1"/>
    <col min="16" max="16" width="5.5703125" style="74" customWidth="1"/>
    <col min="17" max="20" width="21.85546875" style="74" customWidth="1"/>
    <col min="21" max="22" width="22.85546875" style="74" customWidth="1"/>
    <col min="23" max="23" width="17.140625" style="74" customWidth="1"/>
    <col min="24" max="16384" width="9.140625" style="74"/>
  </cols>
  <sheetData>
    <row r="1" spans="1:23" ht="17.25" customHeight="1" x14ac:dyDescent="0.3">
      <c r="A1" s="105"/>
      <c r="B1" s="699" t="s">
        <v>1513</v>
      </c>
      <c r="C1" s="699"/>
      <c r="D1" s="701">
        <f>GUC!$C$1</f>
        <v>45086</v>
      </c>
      <c r="E1" s="699"/>
      <c r="Q1" s="525" t="str">
        <f>IF('RTL (Loan Calc)'!$W$39="Y","Qualified","Standard")</f>
        <v>Standard</v>
      </c>
    </row>
    <row r="2" spans="1:23" ht="17.25" customHeight="1" x14ac:dyDescent="0.3">
      <c r="A2" s="105"/>
      <c r="B2" s="699"/>
      <c r="C2" s="699"/>
      <c r="D2" s="699"/>
      <c r="E2" s="699"/>
    </row>
    <row r="3" spans="1:23" ht="17.25" customHeight="1" x14ac:dyDescent="0.3">
      <c r="A3" s="105"/>
      <c r="B3" s="700"/>
      <c r="C3" s="700"/>
      <c r="D3" s="700"/>
      <c r="E3" s="700"/>
    </row>
    <row r="4" spans="1:23" s="76" customFormat="1" ht="17.25" customHeight="1" x14ac:dyDescent="0.3">
      <c r="B4" s="570" t="s">
        <v>114</v>
      </c>
      <c r="C4" s="571"/>
      <c r="D4" s="571"/>
      <c r="E4" s="572"/>
      <c r="G4" s="570" t="s">
        <v>1512</v>
      </c>
      <c r="H4" s="571"/>
      <c r="I4" s="571"/>
      <c r="J4" s="572"/>
      <c r="L4" s="570" t="s">
        <v>1511</v>
      </c>
      <c r="M4" s="571"/>
      <c r="N4" s="571"/>
      <c r="O4" s="572"/>
      <c r="Q4" s="702" t="s">
        <v>1510</v>
      </c>
      <c r="R4" s="703"/>
      <c r="S4" s="703"/>
      <c r="T4" s="704"/>
    </row>
    <row r="5" spans="1:23" s="76" customFormat="1" ht="17.25" customHeight="1" x14ac:dyDescent="0.3">
      <c r="B5" s="573"/>
      <c r="C5" s="574"/>
      <c r="D5" s="574"/>
      <c r="E5" s="575"/>
      <c r="G5" s="573"/>
      <c r="H5" s="574"/>
      <c r="I5" s="574"/>
      <c r="J5" s="575"/>
      <c r="L5" s="573"/>
      <c r="M5" s="574"/>
      <c r="N5" s="574"/>
      <c r="O5" s="575"/>
      <c r="Q5" s="696" t="e">
        <f>'RTL (Loan Calc)'!$O$10</f>
        <v>#N/A</v>
      </c>
      <c r="R5" s="696"/>
      <c r="S5" s="696"/>
      <c r="T5" s="696"/>
    </row>
    <row r="6" spans="1:23" s="76" customFormat="1" ht="17.25" customHeight="1" x14ac:dyDescent="0.3">
      <c r="B6" s="649" t="s">
        <v>1509</v>
      </c>
      <c r="C6" s="649"/>
      <c r="D6" s="698">
        <f ca="1">TODAY()</f>
        <v>45086</v>
      </c>
      <c r="E6" s="653"/>
      <c r="G6" s="93" t="s">
        <v>1508</v>
      </c>
      <c r="H6" s="93" t="s">
        <v>1507</v>
      </c>
      <c r="I6" s="93" t="s">
        <v>1506</v>
      </c>
      <c r="J6" s="93" t="s">
        <v>1505</v>
      </c>
      <c r="L6" s="693" t="s">
        <v>22</v>
      </c>
      <c r="M6" s="652"/>
      <c r="N6" s="662"/>
      <c r="O6" s="694"/>
      <c r="Q6" s="697"/>
      <c r="R6" s="697"/>
      <c r="S6" s="697"/>
      <c r="T6" s="697"/>
    </row>
    <row r="7" spans="1:23" s="76" customFormat="1" ht="17.25" customHeight="1" x14ac:dyDescent="0.3">
      <c r="B7" s="649" t="s">
        <v>110</v>
      </c>
      <c r="C7" s="649"/>
      <c r="D7" s="651" t="s">
        <v>202</v>
      </c>
      <c r="E7" s="651"/>
      <c r="G7" s="83">
        <v>1</v>
      </c>
      <c r="H7" s="104" t="s">
        <v>1594</v>
      </c>
      <c r="I7" s="81">
        <v>5000</v>
      </c>
      <c r="J7" s="81">
        <v>5000</v>
      </c>
      <c r="K7" s="101">
        <f>IF(H7="Y",MIN(I7:J7),J7)</f>
        <v>0</v>
      </c>
      <c r="L7" s="681" t="s">
        <v>1504</v>
      </c>
      <c r="M7" s="649"/>
      <c r="N7" s="647"/>
      <c r="O7" s="695"/>
      <c r="Q7" s="697"/>
      <c r="R7" s="697"/>
      <c r="S7" s="697"/>
      <c r="T7" s="697"/>
    </row>
    <row r="8" spans="1:23" s="76" customFormat="1" ht="17.25" customHeight="1" x14ac:dyDescent="0.3">
      <c r="B8" s="649" t="s">
        <v>1503</v>
      </c>
      <c r="C8" s="649"/>
      <c r="D8" s="647">
        <v>0.00</v>
      </c>
      <c r="E8" s="647"/>
      <c r="G8" s="83">
        <v>2</v>
      </c>
      <c r="H8" s="104"/>
      <c r="I8" s="81"/>
      <c r="J8" s="81"/>
      <c r="K8" s="101">
        <f>IF(H8="Y",MIN(I8:J8),J8)</f>
        <v>0</v>
      </c>
      <c r="L8" s="681" t="s">
        <v>1492</v>
      </c>
      <c r="M8" s="649"/>
      <c r="N8" s="647"/>
      <c r="O8" s="695"/>
      <c r="Q8" s="93" t="s">
        <v>1502</v>
      </c>
      <c r="R8" s="93" t="s">
        <v>1501</v>
      </c>
      <c r="S8" s="93" t="s">
        <v>1500</v>
      </c>
      <c r="T8" s="93" t="s">
        <v>152</v>
      </c>
    </row>
    <row r="9" spans="1:23" s="76" customFormat="1" ht="17.25" customHeight="1" x14ac:dyDescent="0.3">
      <c r="B9" s="649" t="s">
        <v>1499</v>
      </c>
      <c r="C9" s="649"/>
      <c r="D9" s="651" t="s">
        <v>1598</v>
      </c>
      <c r="E9" s="651"/>
      <c r="G9" s="83">
        <v>3</v>
      </c>
      <c r="H9" s="104"/>
      <c r="I9" s="81"/>
      <c r="J9" s="81"/>
      <c r="K9" s="101">
        <f>IF(H9="Y",MIN(I9:J9),J9)</f>
        <v>0</v>
      </c>
      <c r="L9" s="681" t="s">
        <v>1498</v>
      </c>
      <c r="M9" s="649"/>
      <c r="N9" s="647"/>
      <c r="O9" s="695"/>
      <c r="Q9" s="691" t="str">
        <f>'RTL (Loan Calc)'!$M$12</f>
        <v>-</v>
      </c>
      <c r="R9" s="691" t="str">
        <f>'RTL (Loan Calc)'!N12</f>
        <v>-</v>
      </c>
      <c r="S9" s="691" t="str">
        <f>'RTL (Loan Calc)'!O12</f>
        <v>-</v>
      </c>
      <c r="T9" s="691" t="str">
        <f>'RTL (Loan Calc)'!P12</f>
        <v>-</v>
      </c>
    </row>
    <row r="10" spans="1:23" s="76" customFormat="1" ht="17.25" customHeight="1" thickBot="1" x14ac:dyDescent="0.35">
      <c r="B10" s="649" t="s">
        <v>111</v>
      </c>
      <c r="C10" s="649"/>
      <c r="D10" s="651">
        <v>740</v>
      </c>
      <c r="E10" s="651"/>
      <c r="G10" s="83">
        <v>4</v>
      </c>
      <c r="H10" s="104"/>
      <c r="I10" s="81"/>
      <c r="J10" s="81"/>
      <c r="K10" s="101">
        <f>IF(H10="Y",MIN(I10:J10),J10)</f>
        <v>0</v>
      </c>
      <c r="L10" s="681" t="s">
        <v>1497</v>
      </c>
      <c r="M10" s="649"/>
      <c r="N10" s="667" t="e">
        <f>$N$6*$N$17</f>
        <v>#DIV/0!</v>
      </c>
      <c r="O10" s="705"/>
      <c r="Q10" s="691"/>
      <c r="R10" s="691"/>
      <c r="S10" s="691"/>
      <c r="T10" s="691"/>
    </row>
    <row r="11" spans="1:23" s="76" customFormat="1" ht="17.25" customHeight="1" thickBot="1" x14ac:dyDescent="0.35">
      <c r="B11" s="649" t="s">
        <v>23560</v>
      </c>
      <c r="C11" s="649"/>
      <c r="D11" s="541" t="s">
        <v>1519</v>
      </c>
      <c r="E11" s="540" t="s">
        <v>1519</v>
      </c>
      <c r="G11" s="649" t="s">
        <v>1496</v>
      </c>
      <c r="H11" s="649"/>
      <c r="I11" s="667">
        <f>SUM($K$7:$K$10)</f>
        <v>0</v>
      </c>
      <c r="J11" s="667"/>
      <c r="L11" s="681" t="s">
        <v>1495</v>
      </c>
      <c r="M11" s="649"/>
      <c r="N11" s="667">
        <f>300*$D$16</f>
        <v>0</v>
      </c>
      <c r="O11" s="705"/>
      <c r="Q11" s="691"/>
      <c r="R11" s="691"/>
      <c r="S11" s="691"/>
      <c r="T11" s="691"/>
    </row>
    <row r="12" spans="1:23" s="76" customFormat="1" ht="17.25" customHeight="1" x14ac:dyDescent="0.3">
      <c r="B12" s="83"/>
      <c r="C12" s="83"/>
      <c r="G12" s="649" t="s">
        <v>1494</v>
      </c>
      <c r="H12" s="649"/>
      <c r="I12" s="653" t="str">
        <f>IF(AND(OR($D$7="Refinance (Rate/Term)",$D$7="Refinance (Cash Out)"),($D$16-SUM($K$7:$K$10))&gt;0),"Review","Pass")</f>
        <v>Pass</v>
      </c>
      <c r="J12" s="653"/>
      <c r="L12" s="681" t="s">
        <v>8</v>
      </c>
      <c r="M12" s="649"/>
      <c r="N12" s="667">
        <f>$N$6-SUM($N$7,$N$8,$N$9,$N$11)</f>
        <v>0</v>
      </c>
      <c r="O12" s="705"/>
      <c r="Q12" s="570" t="s">
        <v>75</v>
      </c>
      <c r="R12" s="571"/>
      <c r="S12" s="571"/>
      <c r="T12" s="572"/>
      <c r="U12" s="559"/>
      <c r="V12" s="559"/>
      <c r="W12" s="559"/>
    </row>
    <row r="13" spans="1:23" s="76" customFormat="1" ht="17.25" customHeight="1" x14ac:dyDescent="0.3">
      <c r="B13" s="570" t="s">
        <v>1493</v>
      </c>
      <c r="C13" s="571"/>
      <c r="D13" s="571"/>
      <c r="E13" s="572"/>
      <c r="G13" s="83"/>
      <c r="H13" s="83"/>
      <c r="L13" s="681"/>
      <c r="M13" s="649"/>
      <c r="O13" s="85"/>
      <c r="Q13" s="573"/>
      <c r="R13" s="574"/>
      <c r="S13" s="574"/>
      <c r="T13" s="575"/>
      <c r="U13" s="559"/>
      <c r="V13" s="559"/>
      <c r="W13" s="559"/>
    </row>
    <row r="14" spans="1:23" s="76" customFormat="1" ht="17.25" customHeight="1" x14ac:dyDescent="0.3">
      <c r="B14" s="573"/>
      <c r="C14" s="574"/>
      <c r="D14" s="574"/>
      <c r="E14" s="575"/>
      <c r="G14" s="93" t="s">
        <v>1492</v>
      </c>
      <c r="H14" s="93" t="s">
        <v>1491</v>
      </c>
      <c r="I14" s="93" t="s">
        <v>1490</v>
      </c>
      <c r="J14" s="93" t="s">
        <v>1489</v>
      </c>
      <c r="L14" s="681" t="s">
        <v>1488</v>
      </c>
      <c r="M14" s="649"/>
      <c r="N14" s="706" t="str">
        <f>IFERROR($N$12/$D$45,"-")</f>
        <v>-</v>
      </c>
      <c r="O14" s="707"/>
      <c r="Q14" s="86" t="s">
        <v>1487</v>
      </c>
      <c r="R14" s="83"/>
      <c r="S14" s="83"/>
      <c r="T14" s="85"/>
      <c r="U14" s="101" t="s">
        <v>1486</v>
      </c>
      <c r="V14" s="101" t="s">
        <v>1485</v>
      </c>
      <c r="W14" s="101"/>
    </row>
    <row r="15" spans="1:23" s="76" customFormat="1" ht="17.25" customHeight="1" x14ac:dyDescent="0.3">
      <c r="B15" s="652" t="s">
        <v>90</v>
      </c>
      <c r="C15" s="652"/>
      <c r="D15" s="650" t="s">
        <v>1597</v>
      </c>
      <c r="E15" s="650"/>
      <c r="G15" s="81">
        <v>1000.00</v>
      </c>
      <c r="H15" s="81">
        <v>1000.00</v>
      </c>
      <c r="I15" s="81"/>
      <c r="J15" s="81">
        <v>0.00</v>
      </c>
      <c r="L15" s="103"/>
      <c r="O15" s="85"/>
      <c r="Q15" s="84" t="s">
        <v>1484</v>
      </c>
      <c r="R15" s="83"/>
      <c r="S15" s="83"/>
      <c r="T15" s="82" t="str">
        <f>IF($D$9="Foreign National",0,IF($D$10&lt;620,$W$15,0))</f>
        <v>Not Permitted</v>
      </c>
      <c r="U15" s="101" t="s">
        <v>1440</v>
      </c>
      <c r="V15" s="101" t="s">
        <v>1440</v>
      </c>
      <c r="W15" s="95" t="str">
        <f>IF($D$15="Multi (5-8 Unit)",V15,U15)</f>
        <v>Not Permitted</v>
      </c>
    </row>
    <row r="16" spans="1:23" s="76" customFormat="1" ht="17.25" customHeight="1" x14ac:dyDescent="0.3">
      <c r="B16" s="649" t="s">
        <v>92</v>
      </c>
      <c r="C16" s="649"/>
      <c r="D16" s="651">
        <v>1</v>
      </c>
      <c r="E16" s="651"/>
      <c r="G16" s="83"/>
      <c r="H16" s="83"/>
      <c r="L16" s="682" t="s">
        <v>1483</v>
      </c>
      <c r="M16" s="683"/>
      <c r="N16" s="93" t="s">
        <v>1482</v>
      </c>
      <c r="O16" s="102" t="s">
        <v>1481</v>
      </c>
      <c r="Q16" s="84" t="s">
        <v>1480</v>
      </c>
      <c r="R16" s="83"/>
      <c r="S16" s="83"/>
      <c r="T16" s="82">
        <f>IF($D$9="Foreign National",0,IF(AND($D$10&gt;=620,$D$10&lt;650),$W$16,0))</f>
        <v>0</v>
      </c>
      <c r="U16" s="96" t="s">
        <v>23611</v>
      </c>
      <c r="V16" s="101" t="s">
        <v>23611</v>
      </c>
      <c r="W16" s="95" t="str">
        <f>IF($D$15="Multi (5-8 Unit)",V16,U16)</f>
        <v>MGT Review</v>
      </c>
    </row>
    <row r="17" spans="2:23" s="76" customFormat="1" ht="17.25" customHeight="1" x14ac:dyDescent="0.3">
      <c r="B17" s="649" t="s">
        <v>1479</v>
      </c>
      <c r="C17" s="649"/>
      <c r="D17" s="651"/>
      <c r="E17" s="651"/>
      <c r="G17" s="570" t="s">
        <v>1478</v>
      </c>
      <c r="H17" s="571"/>
      <c r="I17" s="571"/>
      <c r="J17" s="572"/>
      <c r="L17" s="690" t="e">
        <f>'RTL (Loan Calc)'!$AB$15</f>
        <v>#DIV/0!</v>
      </c>
      <c r="M17" s="677"/>
      <c r="N17" s="89" t="e">
        <f>'RTL (Loan Calc)'!$AB$16</f>
        <v>#DIV/0!</v>
      </c>
      <c r="O17" s="100" t="e">
        <f>'RTL (Loan Calc)'!$AB$17</f>
        <v>#DIV/0!</v>
      </c>
      <c r="Q17" s="84" t="s">
        <v>1477</v>
      </c>
      <c r="R17" s="83"/>
      <c r="S17" s="83"/>
      <c r="T17" s="82">
        <f>IF($D$9="Foreign National",0,IF(AND($D$10&gt;=650,$D$10&lt;680),$W$17,0))</f>
        <v>0</v>
      </c>
      <c r="U17" s="96">
        <v>-0.05</v>
      </c>
      <c r="V17" s="96">
        <v>-0.1</v>
      </c>
      <c r="W17" s="95">
        <f>IF($D$15="Multi (5-8 Unit)",V17,U17)</f>
        <v>-0.05</v>
      </c>
    </row>
    <row r="18" spans="2:23" s="76" customFormat="1" ht="17.25" customHeight="1" x14ac:dyDescent="0.3">
      <c r="B18" s="649" t="s">
        <v>85</v>
      </c>
      <c r="C18" s="649"/>
      <c r="D18" s="651" t="inlineStr">
        <is>
          <t>Jersey City</t>
        </is>
      </c>
      <c r="E18" s="651"/>
      <c r="G18" s="573"/>
      <c r="H18" s="574"/>
      <c r="I18" s="574"/>
      <c r="J18" s="575"/>
      <c r="L18" s="99"/>
      <c r="M18" s="98"/>
      <c r="N18" s="98"/>
      <c r="O18" s="97"/>
      <c r="Q18" s="84" t="s">
        <v>1476</v>
      </c>
      <c r="R18" s="83"/>
      <c r="S18" s="83"/>
      <c r="T18" s="90">
        <v>0</v>
      </c>
      <c r="U18" s="96">
        <v>0</v>
      </c>
      <c r="V18" s="96">
        <v>0</v>
      </c>
      <c r="W18" s="95">
        <f>IF($D$15="Multi (5-8 Unit)",V18,U18)</f>
        <v>0</v>
      </c>
    </row>
    <row r="19" spans="2:23" s="76" customFormat="1" ht="17.25" customHeight="1" x14ac:dyDescent="0.3">
      <c r="B19" s="649" t="s">
        <v>82</v>
      </c>
      <c r="C19" s="649"/>
      <c r="D19" s="651" t="s">
        <v>246</v>
      </c>
      <c r="E19" s="651"/>
      <c r="G19" s="649" t="s">
        <v>1475</v>
      </c>
      <c r="H19" s="649"/>
      <c r="I19" s="651" t="s">
        <v>1594</v>
      </c>
      <c r="J19" s="651"/>
      <c r="L19" s="681" t="s">
        <v>1474</v>
      </c>
      <c r="M19" s="649"/>
      <c r="N19" s="653" t="s">
        <v>1468</v>
      </c>
      <c r="O19" s="692"/>
      <c r="Q19" s="84" t="s">
        <v>1473</v>
      </c>
      <c r="R19" s="83"/>
      <c r="S19" s="83"/>
      <c r="T19" s="82">
        <f>IF($D$9="Foreign National",$W$19,0)</f>
        <v>0</v>
      </c>
      <c r="U19" s="96">
        <v>-0.05</v>
      </c>
      <c r="V19" s="96">
        <v>-0.1</v>
      </c>
      <c r="W19" s="95">
        <f>IF($D$15="Multi (5-8 Unit)",V19,U19)</f>
        <v>-0.05</v>
      </c>
    </row>
    <row r="20" spans="2:23" s="76" customFormat="1" ht="17.25" customHeight="1" x14ac:dyDescent="0.3">
      <c r="B20" s="649" t="s">
        <v>80</v>
      </c>
      <c r="C20" s="649"/>
      <c r="D20" s="651">
        <v>7305</v>
      </c>
      <c r="E20" s="651"/>
      <c r="G20" s="649" t="s">
        <v>1472</v>
      </c>
      <c r="H20" s="649"/>
      <c r="I20" s="651" t="s">
        <v>1594</v>
      </c>
      <c r="J20" s="651"/>
      <c r="L20" s="681" t="s">
        <v>1471</v>
      </c>
      <c r="M20" s="649"/>
      <c r="N20" s="651"/>
      <c r="O20" s="687"/>
      <c r="Q20" s="86"/>
      <c r="R20" s="83"/>
      <c r="S20" s="83"/>
      <c r="T20" s="85"/>
      <c r="U20" s="559"/>
      <c r="V20" s="559"/>
      <c r="W20" s="559"/>
    </row>
    <row r="21" spans="2:23" s="76" customFormat="1" ht="17.25" customHeight="1" x14ac:dyDescent="0.3">
      <c r="B21" s="510"/>
      <c r="C21" s="510"/>
      <c r="D21" s="672" t="str">
        <f>$D$18&amp;", "&amp;$D$19</f>
        <v xml:space="preserve">, </v>
      </c>
      <c r="E21" s="672"/>
      <c r="G21" s="649" t="s">
        <v>1470</v>
      </c>
      <c r="H21" s="649"/>
      <c r="I21" s="664">
        <v>0.00</v>
      </c>
      <c r="J21" s="664"/>
      <c r="L21" s="681" t="s">
        <v>1469</v>
      </c>
      <c r="M21" s="649"/>
      <c r="N21" s="653" t="s">
        <v>1468</v>
      </c>
      <c r="O21" s="692"/>
      <c r="Q21" s="86" t="s">
        <v>23601</v>
      </c>
      <c r="R21" s="83"/>
      <c r="S21" s="83"/>
      <c r="T21" s="85"/>
      <c r="U21" s="556" t="s">
        <v>23609</v>
      </c>
    </row>
    <row r="22" spans="2:23" s="76" customFormat="1" ht="17.25" customHeight="1" x14ac:dyDescent="0.3">
      <c r="B22" s="570" t="s">
        <v>1467</v>
      </c>
      <c r="C22" s="571"/>
      <c r="D22" s="571"/>
      <c r="E22" s="572"/>
      <c r="G22" s="649" t="s">
        <v>1466</v>
      </c>
      <c r="H22" s="649"/>
      <c r="I22" s="686" t="b">
        <f>'RTL (Loan Calc)'!$P$6</f>
        <v>0</v>
      </c>
      <c r="J22" s="653"/>
      <c r="L22" s="684" t="s">
        <v>1465</v>
      </c>
      <c r="M22" s="685"/>
      <c r="N22" s="688" t="str">
        <f>IF(OR($D$16&gt;=25,AND($N$20&gt;1,$D$16&gt;=10)),"Required","-")</f>
        <v>-</v>
      </c>
      <c r="O22" s="689"/>
      <c r="Q22" s="641" t="s">
        <v>23585</v>
      </c>
      <c r="R22" s="642"/>
      <c r="S22" s="555"/>
      <c r="T22" s="82">
        <f>IF(AND($D$10&gt;=700,OR('RTL (Loan Calc)'!$P$8="Stabilized",'RTL (Loan Calc)'!$P$8="Light",'RTL (Loan Calc)'!$P$8="Moderate"),RTL!$U$22="Y"),0,IF(AND(OR($D$18="Baltimore",$D$18="Philiadelphia",$D$18="Chicago",$D$18="Detroit"),$U$22="N"),"Check w. MGT",0))</f>
        <v>0</v>
      </c>
      <c r="U22" s="557"/>
    </row>
    <row r="23" spans="2:23" s="76" customFormat="1" ht="17.25" customHeight="1" x14ac:dyDescent="0.3">
      <c r="B23" s="573"/>
      <c r="C23" s="574"/>
      <c r="D23" s="574"/>
      <c r="E23" s="575"/>
      <c r="G23" s="649" t="s">
        <v>1464</v>
      </c>
      <c r="H23" s="649"/>
      <c r="I23" s="653" t="b">
        <f>'RTL (Loan Calc)'!$P$8</f>
        <v>0</v>
      </c>
      <c r="J23" s="653"/>
      <c r="Q23" s="86"/>
      <c r="R23" s="83"/>
      <c r="S23" s="83"/>
      <c r="T23" s="85"/>
    </row>
    <row r="24" spans="2:23" s="76" customFormat="1" ht="17.25" customHeight="1" x14ac:dyDescent="0.3">
      <c r="B24" s="652" t="s">
        <v>1463</v>
      </c>
      <c r="C24" s="652"/>
      <c r="D24" s="671" t="str">
        <f>IFERROR(VLOOKUP($D$20,Market!$A:$B,2,FALSE),"-")</f>
        <v>-</v>
      </c>
      <c r="E24" s="671"/>
      <c r="G24" s="649" t="s">
        <v>1462</v>
      </c>
      <c r="H24" s="649"/>
      <c r="I24" s="653" t="str">
        <f>IF(OR($I$23="Heavy",$D$36&gt;=150000),"Required","-")</f>
        <v>-</v>
      </c>
      <c r="J24" s="653"/>
      <c r="L24" s="570" t="s">
        <v>1461</v>
      </c>
      <c r="M24" s="571"/>
      <c r="N24" s="571"/>
      <c r="O24" s="572"/>
      <c r="Q24" s="86" t="s">
        <v>1453</v>
      </c>
      <c r="R24" s="83"/>
      <c r="S24" s="83"/>
      <c r="T24" s="85"/>
    </row>
    <row r="25" spans="2:23" s="76" customFormat="1" ht="17.25" customHeight="1" x14ac:dyDescent="0.3">
      <c r="B25" s="649" t="s">
        <v>65</v>
      </c>
      <c r="C25" s="649"/>
      <c r="D25" s="648" t="str">
        <f>IFERROR(VLOOKUP($D$20,Market!$A:$E,4,FALSE),IFERROR(VLOOKUP(RTL!$D$21,Market!$F:$I,3,FALSE),"-"))</f>
        <v>-</v>
      </c>
      <c r="E25" s="648"/>
      <c r="G25" s="83"/>
      <c r="H25" s="83"/>
      <c r="L25" s="573"/>
      <c r="M25" s="574"/>
      <c r="N25" s="574"/>
      <c r="O25" s="575"/>
      <c r="Q25" s="641" t="s">
        <v>1451</v>
      </c>
      <c r="R25" s="678"/>
      <c r="S25" s="678"/>
      <c r="T25" s="82">
        <f>IF(OR($D$15="Multi (5-8 Unit)",$D$15="Multi (8+ Unit)",$D$15="Mixed-Use",$D$15="2-4 Unit"),0,IF($D$27="-",0,IF(MAX($D$31,$D$37)&gt;3*$D$27,"MGT Review",0)))</f>
        <v>0</v>
      </c>
    </row>
    <row r="26" spans="2:23" s="76" customFormat="1" ht="17.25" customHeight="1" x14ac:dyDescent="0.3">
      <c r="B26" s="649" t="s">
        <v>23559</v>
      </c>
      <c r="C26" s="649"/>
      <c r="D26" s="659" t="str">
        <f>IFERROR(VLOOKUP($D$20,Market!$A:$E,5,FALSE),IFERROR(VLOOKUP(RTL!$D$21,Market!$F:$I,4,FALSE),"-"))</f>
        <v>-</v>
      </c>
      <c r="E26" s="659"/>
      <c r="G26" s="570" t="s">
        <v>1460</v>
      </c>
      <c r="H26" s="571"/>
      <c r="I26" s="571"/>
      <c r="J26" s="572"/>
      <c r="L26" s="649" t="s">
        <v>71</v>
      </c>
      <c r="M26" s="649"/>
      <c r="N26" s="94">
        <f>'RTL (Loan Calc)'!$M$52</f>
        <v>0</v>
      </c>
      <c r="O26" s="80" t="str">
        <f>'RTL (Loan Calc)'!$M$60</f>
        <v>- | -</v>
      </c>
      <c r="Q26" s="86"/>
      <c r="R26" s="83"/>
      <c r="S26" s="83"/>
      <c r="T26" s="85"/>
    </row>
    <row r="27" spans="2:23" s="76" customFormat="1" ht="17.25" customHeight="1" x14ac:dyDescent="0.3">
      <c r="B27" s="649" t="s">
        <v>59</v>
      </c>
      <c r="C27" s="649"/>
      <c r="D27" s="667" t="str">
        <f>IFERROR(VLOOKUP($D$20,Market!$A:$E,3,FALSE),IFERROR(VLOOKUP(RTL!$D$21,Market!$F:$I,2,FALSE),"-"))</f>
        <v>-</v>
      </c>
      <c r="E27" s="667"/>
      <c r="G27" s="573"/>
      <c r="H27" s="574"/>
      <c r="I27" s="574"/>
      <c r="J27" s="575"/>
      <c r="L27" s="649" t="s">
        <v>1459</v>
      </c>
      <c r="M27" s="649"/>
      <c r="N27" s="94">
        <f>'RTL (Loan Calc)'!$M$53</f>
        <v>0</v>
      </c>
      <c r="O27" s="80" t="str">
        <f>'RTL (Loan Calc)'!$M$61</f>
        <v>-</v>
      </c>
      <c r="Q27" s="86" t="s">
        <v>1443</v>
      </c>
      <c r="R27" s="83"/>
      <c r="S27" s="83"/>
      <c r="T27" s="85"/>
    </row>
    <row r="28" spans="2:23" s="76" customFormat="1" ht="17.25" customHeight="1" x14ac:dyDescent="0.3">
      <c r="B28" s="510"/>
      <c r="C28" s="510"/>
      <c r="D28" s="513"/>
      <c r="E28" s="513"/>
      <c r="G28" s="649" t="s">
        <v>1458</v>
      </c>
      <c r="H28" s="649"/>
      <c r="I28" s="648" t="str">
        <f>IF(OR($D$7="Purchase",$D$7="Delayed Purchase"),($D$32-$D$31)/$D$32,"-")</f>
        <v>-</v>
      </c>
      <c r="J28" s="648"/>
      <c r="L28" s="649" t="s">
        <v>1457</v>
      </c>
      <c r="M28" s="649"/>
      <c r="N28" s="94">
        <f>'RTL (Loan Calc)'!$M$54</f>
        <v>0</v>
      </c>
      <c r="O28" s="80" t="str">
        <f>'RTL (Loan Calc)'!$O$61</f>
        <v>-</v>
      </c>
      <c r="Q28" s="524" t="s">
        <v>1441</v>
      </c>
      <c r="R28" s="526"/>
      <c r="S28" s="526"/>
      <c r="T28" s="85" t="s">
        <v>1440</v>
      </c>
    </row>
    <row r="29" spans="2:23" s="76" customFormat="1" ht="17.25" customHeight="1" x14ac:dyDescent="0.3">
      <c r="B29" s="570" t="s">
        <v>1456</v>
      </c>
      <c r="C29" s="571"/>
      <c r="D29" s="571"/>
      <c r="E29" s="572"/>
      <c r="G29" s="649" t="s">
        <v>1455</v>
      </c>
      <c r="H29" s="649"/>
      <c r="I29" s="648" t="str">
        <f>IF($I$23="Stabilized","-",IF(OR($D$7="Delayed Purchase",$D$7="Purchase"),(($D$37-(($D$32*1.03)+($D$34+$D$36)))/(($D$32*1.03)+($D$34+$D$36))),"-"))</f>
        <v>-</v>
      </c>
      <c r="J29" s="648"/>
      <c r="L29" s="649" t="s">
        <v>62</v>
      </c>
      <c r="M29" s="649"/>
      <c r="N29" s="94">
        <f>'RTL (Loan Calc)'!$M$55</f>
        <v>0</v>
      </c>
      <c r="O29" s="80" t="str">
        <f>'RTL (Loan Calc)'!$O$60</f>
        <v>- | -</v>
      </c>
      <c r="Q29" s="641" t="s">
        <v>23612</v>
      </c>
      <c r="R29" s="678"/>
      <c r="S29" s="678"/>
      <c r="T29" s="90">
        <v>0</v>
      </c>
    </row>
    <row r="30" spans="2:23" s="76" customFormat="1" ht="17.25" customHeight="1" x14ac:dyDescent="0.3">
      <c r="B30" s="573"/>
      <c r="C30" s="574"/>
      <c r="D30" s="574"/>
      <c r="E30" s="575"/>
      <c r="G30" s="649" t="s">
        <v>1454</v>
      </c>
      <c r="H30" s="649"/>
      <c r="I30" s="648">
        <f>IF($I$23="Stabilized","-",IF(OR($D$11="0+",$D$11="1+"),15%,10%))</f>
        <v>0.1</v>
      </c>
      <c r="J30" s="648"/>
      <c r="Q30" s="641" t="s">
        <v>23613</v>
      </c>
      <c r="R30" s="678"/>
      <c r="S30" s="678"/>
      <c r="T30" s="90">
        <v>-0.05</v>
      </c>
    </row>
    <row r="31" spans="2:23" s="76" customFormat="1" ht="17.25" customHeight="1" x14ac:dyDescent="0.3">
      <c r="B31" s="652" t="s">
        <v>66</v>
      </c>
      <c r="C31" s="652"/>
      <c r="D31" s="662">
        <v>125000.00</v>
      </c>
      <c r="E31" s="662"/>
      <c r="G31" s="649" t="s">
        <v>1</v>
      </c>
      <c r="H31" s="649"/>
      <c r="I31" s="648" t="str">
        <f>IFERROR(($I$11*12)/$D$45,"-")</f>
        <v>-</v>
      </c>
      <c r="J31" s="648"/>
      <c r="L31" s="570" t="s">
        <v>1452</v>
      </c>
      <c r="M31" s="571"/>
      <c r="N31" s="571"/>
      <c r="O31" s="572"/>
      <c r="Q31" s="641" t="s">
        <v>23614</v>
      </c>
      <c r="R31" s="678"/>
      <c r="S31" s="678"/>
      <c r="T31" s="85" t="s">
        <v>1433</v>
      </c>
    </row>
    <row r="32" spans="2:23" s="76" customFormat="1" ht="17.25" customHeight="1" x14ac:dyDescent="0.3">
      <c r="B32" s="649" t="s">
        <v>1450</v>
      </c>
      <c r="C32" s="649"/>
      <c r="D32" s="647">
        <v>400000.00</v>
      </c>
      <c r="E32" s="647"/>
      <c r="G32" s="83"/>
      <c r="H32" s="83"/>
      <c r="L32" s="573"/>
      <c r="M32" s="574"/>
      <c r="N32" s="574"/>
      <c r="O32" s="575"/>
      <c r="Q32" s="86"/>
      <c r="R32" s="83"/>
      <c r="S32" s="83"/>
      <c r="T32" s="85"/>
    </row>
    <row r="33" spans="2:22" s="76" customFormat="1" ht="17.25" customHeight="1" x14ac:dyDescent="0.3">
      <c r="B33" s="649" t="s">
        <v>1449</v>
      </c>
      <c r="C33" s="649"/>
      <c r="D33" s="651" t="s">
        <v>1594</v>
      </c>
      <c r="E33" s="651"/>
      <c r="G33" s="570" t="s">
        <v>1448</v>
      </c>
      <c r="H33" s="571"/>
      <c r="I33" s="571"/>
      <c r="J33" s="572"/>
      <c r="L33" s="93" t="s">
        <v>1447</v>
      </c>
      <c r="M33" s="93" t="s">
        <v>1446</v>
      </c>
      <c r="N33" s="93" t="s">
        <v>1445</v>
      </c>
      <c r="O33" s="93" t="s">
        <v>1444</v>
      </c>
      <c r="Q33" s="86" t="s">
        <v>1430</v>
      </c>
      <c r="R33" s="83"/>
      <c r="S33" s="83"/>
      <c r="T33" s="85"/>
      <c r="U33" s="556" t="s">
        <v>23610</v>
      </c>
    </row>
    <row r="34" spans="2:22" s="76" customFormat="1" ht="17.25" customHeight="1" x14ac:dyDescent="0.3">
      <c r="B34" s="649" t="s">
        <v>1442</v>
      </c>
      <c r="C34" s="649"/>
      <c r="D34" s="647">
        <v>50000.00</v>
      </c>
      <c r="E34" s="647"/>
      <c r="G34" s="573"/>
      <c r="H34" s="574"/>
      <c r="I34" s="574"/>
      <c r="J34" s="575"/>
      <c r="L34" s="89">
        <v>5.0000000000000001E-3</v>
      </c>
      <c r="M34" s="92" t="str">
        <f>'RTL (Loan Calc)'!S17</f>
        <v>-</v>
      </c>
      <c r="N34" s="92" t="str">
        <f>'RTL (Loan Calc)'!U17</f>
        <v>-</v>
      </c>
      <c r="O34" s="92" t="str">
        <f>'RTL (Loan Calc)'!W17</f>
        <v>-</v>
      </c>
      <c r="Q34" s="641" t="s">
        <v>1429</v>
      </c>
      <c r="R34" s="642"/>
      <c r="S34" s="642"/>
      <c r="T34" s="82">
        <f>IF(AND($I$23="Stabilized",OR($D$7="Refinance (Rate/Term)",$D$7="Refinance (Cash Out)"),$D$36&lt;5000,$I$12="Review",$U$34="N"),-15%,0%)</f>
        <v>0</v>
      </c>
      <c r="U34" s="557"/>
    </row>
    <row r="35" spans="2:22" s="76" customFormat="1" ht="17.25" customHeight="1" x14ac:dyDescent="0.3">
      <c r="B35" s="649" t="s">
        <v>1439</v>
      </c>
      <c r="C35" s="649"/>
      <c r="D35" s="651" t="s">
        <v>1538</v>
      </c>
      <c r="E35" s="651"/>
      <c r="G35" s="649" t="s">
        <v>66</v>
      </c>
      <c r="H35" s="649"/>
      <c r="I35" s="667">
        <f>IF(OR($D$15="Multi (5-8 Unit)",$D$15="Multi (8+ Unit)",$D$15="Mixed-Use"),"-",'RTL (Loan Calc)'!$AF$15)</f>
        <v>50000</v>
      </c>
      <c r="J35" s="667"/>
      <c r="L35" s="89">
        <v>7.4999999999999997E-3</v>
      </c>
      <c r="M35" s="91" t="str">
        <f>'RTL (Loan Calc)'!S18</f>
        <v>-</v>
      </c>
      <c r="N35" s="91" t="str">
        <f>'RTL (Loan Calc)'!U18</f>
        <v>-</v>
      </c>
      <c r="O35" s="91" t="str">
        <f>'RTL (Loan Calc)'!W18</f>
        <v>-</v>
      </c>
      <c r="Q35" s="86"/>
      <c r="R35" s="83"/>
      <c r="S35" s="83"/>
      <c r="T35" s="85"/>
    </row>
    <row r="36" spans="2:22" s="76" customFormat="1" ht="17.25" customHeight="1" x14ac:dyDescent="0.3">
      <c r="B36" s="649" t="s">
        <v>1438</v>
      </c>
      <c r="C36" s="649"/>
      <c r="D36" s="647">
        <v>50000.00</v>
      </c>
      <c r="E36" s="647"/>
      <c r="G36" s="649" t="s">
        <v>1437</v>
      </c>
      <c r="H36" s="649"/>
      <c r="I36" s="667">
        <f>'RTL (Loan Calc)'!$AG$15</f>
        <v>75000</v>
      </c>
      <c r="J36" s="667"/>
      <c r="L36" s="89">
        <v>0.01</v>
      </c>
      <c r="M36" s="88" t="str">
        <f>'RTL (Loan Calc)'!S19</f>
        <v>-</v>
      </c>
      <c r="N36" s="88" t="str">
        <f>'RTL (Loan Calc)'!U19</f>
        <v>-</v>
      </c>
      <c r="O36" s="88" t="str">
        <f>'RTL (Loan Calc)'!W19</f>
        <v>-</v>
      </c>
      <c r="Q36" s="86" t="s">
        <v>1424</v>
      </c>
      <c r="R36" s="83"/>
      <c r="S36" s="83"/>
      <c r="T36" s="85"/>
    </row>
    <row r="37" spans="2:22" s="76" customFormat="1" ht="17.25" customHeight="1" x14ac:dyDescent="0.3">
      <c r="B37" s="649" t="s">
        <v>1437</v>
      </c>
      <c r="C37" s="649"/>
      <c r="D37" s="647">
        <v>700000</v>
      </c>
      <c r="E37" s="647"/>
      <c r="G37" s="649" t="s">
        <v>1436</v>
      </c>
      <c r="H37" s="649"/>
      <c r="I37" s="667" t="str">
        <f>IF(OR($D$15="Multi (5-8 Unit)",$D$15="Multi (8+ Unit)"),'RTL (Loan Calc)'!$AH$15,IF($D$15="2-4 Unit",20000,"-"))</f>
        <v>-</v>
      </c>
      <c r="J37" s="667"/>
      <c r="L37" s="89">
        <v>1.2500000000000001E-2</v>
      </c>
      <c r="M37" s="88" t="str">
        <f>'RTL (Loan Calc)'!S20</f>
        <v>-</v>
      </c>
      <c r="N37" s="88" t="str">
        <f>'RTL (Loan Calc)'!U20</f>
        <v>-</v>
      </c>
      <c r="O37" s="88" t="str">
        <f>'RTL (Loan Calc)'!W20</f>
        <v>-</v>
      </c>
      <c r="Q37" s="84" t="s">
        <v>1420</v>
      </c>
      <c r="R37" s="83"/>
      <c r="S37" s="83"/>
      <c r="T37" s="82">
        <f>IFERROR(IF(AND(OR($D$15="Multi (5-8 Unit)",$D$15="Multi (8+ Unit)"),(MAX($D$31,$D$37)/$D$16)&lt;50000),-5%,0%),0)</f>
        <v>0</v>
      </c>
    </row>
    <row r="38" spans="2:22" s="76" customFormat="1" ht="17.25" customHeight="1" x14ac:dyDescent="0.3">
      <c r="B38" s="649" t="s">
        <v>1435</v>
      </c>
      <c r="C38" s="649"/>
      <c r="D38" s="664"/>
      <c r="E38" s="664"/>
      <c r="G38" s="649" t="s">
        <v>1434</v>
      </c>
      <c r="H38" s="649"/>
      <c r="I38" s="667" t="str">
        <f>IF(OR($D$15="Multi (5-8 Unit)",$D$15="Multi (8+ Unit)"),'RTL (Loan Calc)'!$AI$15,"-")</f>
        <v>-</v>
      </c>
      <c r="J38" s="667"/>
      <c r="L38" s="87"/>
      <c r="Q38" s="79"/>
      <c r="R38" s="78"/>
      <c r="S38" s="78"/>
      <c r="T38" s="77"/>
    </row>
    <row r="39" spans="2:22" s="76" customFormat="1" ht="17.25" customHeight="1" x14ac:dyDescent="0.3">
      <c r="B39" s="510"/>
      <c r="C39" s="510"/>
      <c r="D39" s="513"/>
      <c r="E39" s="513"/>
      <c r="G39" s="83"/>
      <c r="H39" s="83"/>
      <c r="L39" s="570" t="s">
        <v>1431</v>
      </c>
      <c r="M39" s="571"/>
      <c r="N39" s="571"/>
      <c r="O39" s="572"/>
      <c r="Q39" s="654" t="s">
        <v>1416</v>
      </c>
      <c r="R39" s="655"/>
      <c r="S39" s="655"/>
      <c r="T39" s="673" t="str">
        <f>IF(OR($T$15="Not Permitted",$T$16="MGT Review",$T$25="MGT Review",$T$22="MGT Review"),"NA",SUM($T$34,$T$37,$T$17,$T$18,$T$19))</f>
        <v>NA</v>
      </c>
    </row>
    <row r="40" spans="2:22" s="76" customFormat="1" ht="17.25" customHeight="1" x14ac:dyDescent="0.3">
      <c r="B40" s="570" t="s">
        <v>1432</v>
      </c>
      <c r="C40" s="571"/>
      <c r="D40" s="571"/>
      <c r="E40" s="571"/>
      <c r="F40" s="571"/>
      <c r="G40" s="571"/>
      <c r="H40" s="571"/>
      <c r="I40" s="571"/>
      <c r="J40" s="572"/>
      <c r="L40" s="679"/>
      <c r="M40" s="587"/>
      <c r="N40" s="587"/>
      <c r="O40" s="680"/>
      <c r="P40" s="74"/>
      <c r="Q40" s="656"/>
      <c r="R40" s="657"/>
      <c r="S40" s="657"/>
      <c r="T40" s="674"/>
    </row>
    <row r="41" spans="2:22" s="76" customFormat="1" ht="17.25" customHeight="1" x14ac:dyDescent="0.3">
      <c r="B41" s="573"/>
      <c r="C41" s="574"/>
      <c r="D41" s="574"/>
      <c r="E41" s="574"/>
      <c r="F41" s="574"/>
      <c r="G41" s="574"/>
      <c r="H41" s="574"/>
      <c r="I41" s="574"/>
      <c r="J41" s="575"/>
      <c r="L41" s="649" t="s">
        <v>1428</v>
      </c>
      <c r="M41" s="649"/>
      <c r="N41" s="658">
        <f>IF($D$7="Purchase",$D$32-$D$42,IF(AND($D$7="Refinance (Rate/Term)",$D$42&lt;$D$8),$D$8-$D$42,0))</f>
        <v>0</v>
      </c>
      <c r="O41" s="658"/>
      <c r="P41" s="525">
        <f>IF($I$23="Heavy",9,6)</f>
        <v>6</v>
      </c>
      <c r="Q41" s="542" t="s">
        <v>23608</v>
      </c>
      <c r="R41" s="74"/>
      <c r="S41" s="74"/>
      <c r="T41" s="74"/>
      <c r="U41" s="74"/>
    </row>
    <row r="42" spans="2:22" s="76" customFormat="1" ht="17.25" customHeight="1" x14ac:dyDescent="0.3">
      <c r="B42" s="652" t="s">
        <v>71</v>
      </c>
      <c r="C42" s="652"/>
      <c r="D42" s="512">
        <v>106250.00</v>
      </c>
      <c r="E42" s="511" t="str">
        <f>'RTL (Loan Calc)'!$M$64</f>
        <v>- | -</v>
      </c>
      <c r="G42" s="649" t="s">
        <v>105</v>
      </c>
      <c r="H42" s="649"/>
      <c r="I42" s="651" t="s">
        <v>139</v>
      </c>
      <c r="J42" s="651"/>
      <c r="L42" s="649" t="s">
        <v>1425</v>
      </c>
      <c r="M42" s="649"/>
      <c r="N42" s="658">
        <f>($I$47+1.5%)*$D$45</f>
        <v>0</v>
      </c>
      <c r="O42" s="658"/>
      <c r="P42" s="74"/>
      <c r="Q42" s="74"/>
      <c r="R42" s="74"/>
      <c r="S42" s="74"/>
      <c r="T42" s="74"/>
      <c r="U42" s="74"/>
      <c r="V42" s="74"/>
    </row>
    <row r="43" spans="2:22" s="76" customFormat="1" ht="17.25" customHeight="1" x14ac:dyDescent="0.3">
      <c r="B43" s="649" t="s">
        <v>1427</v>
      </c>
      <c r="C43" s="649"/>
      <c r="D43" s="512">
        <v>50000.00</v>
      </c>
      <c r="E43" s="511" t="str">
        <f>'RTL (Loan Calc)'!$M$65</f>
        <v>-</v>
      </c>
      <c r="G43" s="649" t="s">
        <v>1426</v>
      </c>
      <c r="H43" s="649"/>
      <c r="I43" s="670">
        <v>0.1099</v>
      </c>
      <c r="J43" s="670"/>
      <c r="L43" s="649" t="s">
        <v>1421</v>
      </c>
      <c r="M43" s="649"/>
      <c r="N43" s="658">
        <f>$D$44</f>
        <v>0</v>
      </c>
      <c r="O43" s="658"/>
      <c r="P43" s="74"/>
      <c r="Q43" s="74"/>
      <c r="R43" s="74"/>
      <c r="S43" s="74"/>
      <c r="T43" s="74"/>
      <c r="U43" s="74"/>
      <c r="V43" s="74"/>
    </row>
    <row r="44" spans="2:22" s="76" customFormat="1" ht="17.25" customHeight="1" x14ac:dyDescent="0.3">
      <c r="B44" s="649" t="s">
        <v>1423</v>
      </c>
      <c r="C44" s="649"/>
      <c r="D44" s="512"/>
      <c r="E44" s="511" t="str">
        <f>'RTL (Loan Calc)'!$O$65</f>
        <v>-</v>
      </c>
      <c r="G44" s="649" t="s">
        <v>1422</v>
      </c>
      <c r="H44" s="649"/>
      <c r="I44" s="670">
        <v>0.1099</v>
      </c>
      <c r="J44" s="670"/>
      <c r="L44" s="649" t="s">
        <v>23599</v>
      </c>
      <c r="M44" s="649"/>
      <c r="N44" s="658">
        <f>IF($D$9="Foreign National",0,IF($D$10&lt;660,$I$45*$P$41,0))</f>
        <v>0</v>
      </c>
      <c r="O44" s="658"/>
      <c r="P44" s="74"/>
      <c r="Q44" s="74"/>
      <c r="R44" s="74"/>
      <c r="S44" s="74"/>
      <c r="T44" s="74"/>
      <c r="U44" s="74"/>
      <c r="V44" s="74"/>
    </row>
    <row r="45" spans="2:22" s="76" customFormat="1" ht="17.25" customHeight="1" x14ac:dyDescent="0.3">
      <c r="B45" s="649" t="s">
        <v>62</v>
      </c>
      <c r="C45" s="649"/>
      <c r="D45" s="512">
        <v>156250.00</v>
      </c>
      <c r="E45" s="511" t="str">
        <f>'RTL (Loan Calc)'!$O$64</f>
        <v>- | -</v>
      </c>
      <c r="G45" s="649" t="s">
        <v>1419</v>
      </c>
      <c r="H45" s="649"/>
      <c r="I45" s="666">
        <f>IFERROR(IF($I$42="Full Note Interest",($I$44/12)*$D$45,($I$44/12)*$D$42),"-")</f>
        <v>0</v>
      </c>
      <c r="J45" s="666"/>
      <c r="L45" s="649" t="s">
        <v>1417</v>
      </c>
      <c r="M45" s="649"/>
      <c r="N45" s="658">
        <f>(($I$45*$P$41)+(10%*$D$43))-$N$44</f>
        <v>0</v>
      </c>
      <c r="O45" s="677"/>
      <c r="P45" s="74"/>
      <c r="Q45" s="74"/>
      <c r="R45" s="74"/>
      <c r="S45" s="74"/>
      <c r="T45" s="74"/>
      <c r="U45" s="74"/>
      <c r="V45" s="74"/>
    </row>
    <row r="46" spans="2:22" s="76" customFormat="1" ht="17.25" customHeight="1" x14ac:dyDescent="0.3">
      <c r="B46" s="649" t="s">
        <v>106</v>
      </c>
      <c r="C46" s="649"/>
      <c r="D46" s="651" t="s">
        <v>285</v>
      </c>
      <c r="E46" s="651"/>
      <c r="G46" s="649" t="s">
        <v>1418</v>
      </c>
      <c r="H46" s="649"/>
      <c r="I46" s="665">
        <v>0.0125</v>
      </c>
      <c r="J46" s="665"/>
      <c r="L46" s="668" t="s">
        <v>37</v>
      </c>
      <c r="M46" s="669"/>
      <c r="N46" s="675">
        <f>SUM(N41:O45)</f>
        <v>0</v>
      </c>
      <c r="O46" s="676"/>
      <c r="P46" s="74"/>
      <c r="Q46" s="74"/>
      <c r="R46" s="74"/>
      <c r="S46" s="74"/>
      <c r="T46" s="74"/>
      <c r="U46" s="74"/>
      <c r="V46" s="74"/>
    </row>
    <row r="47" spans="2:22" s="76" customFormat="1" ht="17.25" customHeight="1" x14ac:dyDescent="0.3">
      <c r="B47" s="661"/>
      <c r="C47" s="661"/>
      <c r="D47" s="663"/>
      <c r="E47" s="663"/>
      <c r="G47" s="649" t="s">
        <v>1415</v>
      </c>
      <c r="H47" s="649"/>
      <c r="I47" s="665">
        <v>0.0128</v>
      </c>
      <c r="J47" s="665"/>
      <c r="K47" s="74"/>
      <c r="L47" s="643" t="s">
        <v>23600</v>
      </c>
      <c r="M47" s="644"/>
      <c r="N47" s="645">
        <f>(($I$44/12)*$D$45)*$P$41</f>
        <v>0</v>
      </c>
      <c r="O47" s="646"/>
      <c r="P47" s="74"/>
      <c r="Q47" s="74"/>
      <c r="R47" s="74"/>
      <c r="S47" s="74"/>
      <c r="T47" s="74"/>
      <c r="U47" s="74"/>
      <c r="V47" s="74"/>
    </row>
    <row r="48" spans="2:22" ht="17.25" customHeight="1" x14ac:dyDescent="0.3">
      <c r="B48" s="660"/>
      <c r="C48" s="660"/>
    </row>
    <row r="51" spans="7:8" ht="17.25" customHeight="1" x14ac:dyDescent="0.3">
      <c r="G51" s="660"/>
      <c r="H51" s="660"/>
    </row>
    <row r="52" spans="7:8" ht="17.25" customHeight="1" x14ac:dyDescent="0.3">
      <c r="G52" s="660"/>
      <c r="H52" s="660"/>
    </row>
    <row r="53" spans="7:8" ht="17.25" customHeight="1" x14ac:dyDescent="0.3">
      <c r="G53" s="660"/>
      <c r="H53" s="660"/>
    </row>
    <row r="54" spans="7:8" ht="17.25" customHeight="1" x14ac:dyDescent="0.3">
      <c r="G54" s="660"/>
      <c r="H54" s="660"/>
    </row>
    <row r="55" spans="7:8" ht="17.25" customHeight="1" x14ac:dyDescent="0.3">
      <c r="G55" s="660"/>
      <c r="H55" s="660"/>
    </row>
    <row r="56" spans="7:8" ht="17.25" customHeight="1" x14ac:dyDescent="0.3">
      <c r="G56" s="660"/>
      <c r="H56" s="660"/>
    </row>
  </sheetData>
  <sheetProtection algorithmName="SHA-512" hashValue="c2OOcJ3OK7IpCT3tDEmB4qMv7ADYnULqBfO9hUbqkvoCOJMBYywVajQb+hkQOJxRGOmbNPSpn98ARXibarNDDw==" saltValue="nBr28JoA+3UXOYrckrYFvA==" spinCount="100000" sheet="1" formatCells="0" selectLockedCells="1"/>
  <mergeCells count="182">
    <mergeCell ref="B1:C3"/>
    <mergeCell ref="D1:E3"/>
    <mergeCell ref="Q4:T4"/>
    <mergeCell ref="N10:O10"/>
    <mergeCell ref="N11:O11"/>
    <mergeCell ref="N12:O12"/>
    <mergeCell ref="N14:O14"/>
    <mergeCell ref="N19:O19"/>
    <mergeCell ref="Q9:Q11"/>
    <mergeCell ref="L14:M14"/>
    <mergeCell ref="D9:E9"/>
    <mergeCell ref="D10:E10"/>
    <mergeCell ref="N21:O21"/>
    <mergeCell ref="L4:O5"/>
    <mergeCell ref="G4:J5"/>
    <mergeCell ref="B16:C16"/>
    <mergeCell ref="B17:C17"/>
    <mergeCell ref="B18:C18"/>
    <mergeCell ref="B13:E14"/>
    <mergeCell ref="B4:E5"/>
    <mergeCell ref="Q12:T13"/>
    <mergeCell ref="B10:C10"/>
    <mergeCell ref="L6:M6"/>
    <mergeCell ref="L7:M7"/>
    <mergeCell ref="L8:M8"/>
    <mergeCell ref="L9:M9"/>
    <mergeCell ref="N6:O6"/>
    <mergeCell ref="N7:O7"/>
    <mergeCell ref="N8:O8"/>
    <mergeCell ref="N9:O9"/>
    <mergeCell ref="Q5:T7"/>
    <mergeCell ref="T9:T11"/>
    <mergeCell ref="B9:C9"/>
    <mergeCell ref="D6:E6"/>
    <mergeCell ref="D7:E7"/>
    <mergeCell ref="D8:E8"/>
    <mergeCell ref="G23:H23"/>
    <mergeCell ref="I22:J22"/>
    <mergeCell ref="I23:J23"/>
    <mergeCell ref="Q25:S25"/>
    <mergeCell ref="L24:O25"/>
    <mergeCell ref="N20:O20"/>
    <mergeCell ref="N22:O22"/>
    <mergeCell ref="Q22:R22"/>
    <mergeCell ref="L11:M11"/>
    <mergeCell ref="L12:M12"/>
    <mergeCell ref="L13:M13"/>
    <mergeCell ref="G19:H19"/>
    <mergeCell ref="G20:H20"/>
    <mergeCell ref="G21:H21"/>
    <mergeCell ref="L17:M17"/>
    <mergeCell ref="I21:J21"/>
    <mergeCell ref="G11:H11"/>
    <mergeCell ref="G12:H12"/>
    <mergeCell ref="G17:J18"/>
    <mergeCell ref="I20:J20"/>
    <mergeCell ref="I12:J12"/>
    <mergeCell ref="I11:J11"/>
    <mergeCell ref="S9:S11"/>
    <mergeCell ref="R9:R11"/>
    <mergeCell ref="L42:M42"/>
    <mergeCell ref="I29:J29"/>
    <mergeCell ref="I30:J30"/>
    <mergeCell ref="I31:J31"/>
    <mergeCell ref="L10:M10"/>
    <mergeCell ref="L16:M16"/>
    <mergeCell ref="L19:M19"/>
    <mergeCell ref="L20:M20"/>
    <mergeCell ref="L21:M21"/>
    <mergeCell ref="L22:M22"/>
    <mergeCell ref="I19:J19"/>
    <mergeCell ref="T39:T40"/>
    <mergeCell ref="G45:H45"/>
    <mergeCell ref="N46:O46"/>
    <mergeCell ref="G28:H28"/>
    <mergeCell ref="G29:H29"/>
    <mergeCell ref="G30:H30"/>
    <mergeCell ref="L43:M43"/>
    <mergeCell ref="N44:O44"/>
    <mergeCell ref="N45:O45"/>
    <mergeCell ref="I37:J37"/>
    <mergeCell ref="L44:M44"/>
    <mergeCell ref="L45:M45"/>
    <mergeCell ref="Q29:S29"/>
    <mergeCell ref="I42:J42"/>
    <mergeCell ref="Q30:S30"/>
    <mergeCell ref="Q31:S31"/>
    <mergeCell ref="L39:O40"/>
    <mergeCell ref="L31:O32"/>
    <mergeCell ref="G33:J34"/>
    <mergeCell ref="G31:H31"/>
    <mergeCell ref="I36:J36"/>
    <mergeCell ref="I46:J46"/>
    <mergeCell ref="I44:J44"/>
    <mergeCell ref="N43:O43"/>
    <mergeCell ref="D27:E27"/>
    <mergeCell ref="D33:E33"/>
    <mergeCell ref="D24:E24"/>
    <mergeCell ref="B6:C6"/>
    <mergeCell ref="B7:C7"/>
    <mergeCell ref="B8:C8"/>
    <mergeCell ref="D21:E21"/>
    <mergeCell ref="D18:E18"/>
    <mergeCell ref="B20:C20"/>
    <mergeCell ref="D19:E19"/>
    <mergeCell ref="B11:C11"/>
    <mergeCell ref="B15:C15"/>
    <mergeCell ref="D16:E16"/>
    <mergeCell ref="D17:E17"/>
    <mergeCell ref="B19:C19"/>
    <mergeCell ref="G55:H55"/>
    <mergeCell ref="G56:H56"/>
    <mergeCell ref="G52:H52"/>
    <mergeCell ref="G53:H53"/>
    <mergeCell ref="G54:H54"/>
    <mergeCell ref="L27:M27"/>
    <mergeCell ref="I47:J47"/>
    <mergeCell ref="G47:H47"/>
    <mergeCell ref="G51:H51"/>
    <mergeCell ref="L28:M28"/>
    <mergeCell ref="L29:M29"/>
    <mergeCell ref="I45:J45"/>
    <mergeCell ref="I38:J38"/>
    <mergeCell ref="G38:H38"/>
    <mergeCell ref="I35:J35"/>
    <mergeCell ref="G44:H44"/>
    <mergeCell ref="G46:H46"/>
    <mergeCell ref="G42:H42"/>
    <mergeCell ref="G43:H43"/>
    <mergeCell ref="L46:M46"/>
    <mergeCell ref="I43:J43"/>
    <mergeCell ref="G35:H35"/>
    <mergeCell ref="I28:J28"/>
    <mergeCell ref="G26:J27"/>
    <mergeCell ref="B48:C48"/>
    <mergeCell ref="G22:H22"/>
    <mergeCell ref="B47:C47"/>
    <mergeCell ref="G36:H36"/>
    <mergeCell ref="G37:H37"/>
    <mergeCell ref="B42:C42"/>
    <mergeCell ref="B43:C43"/>
    <mergeCell ref="B44:C44"/>
    <mergeCell ref="B45:C45"/>
    <mergeCell ref="B46:C46"/>
    <mergeCell ref="B25:C25"/>
    <mergeCell ref="D31:E31"/>
    <mergeCell ref="D32:E32"/>
    <mergeCell ref="B32:C32"/>
    <mergeCell ref="D35:E35"/>
    <mergeCell ref="B33:C33"/>
    <mergeCell ref="D47:E47"/>
    <mergeCell ref="B31:C31"/>
    <mergeCell ref="B38:C38"/>
    <mergeCell ref="B36:C36"/>
    <mergeCell ref="B37:C37"/>
    <mergeCell ref="B34:C34"/>
    <mergeCell ref="D38:E38"/>
    <mergeCell ref="D37:E37"/>
    <mergeCell ref="Q34:S34"/>
    <mergeCell ref="L47:M47"/>
    <mergeCell ref="N47:O47"/>
    <mergeCell ref="B40:J41"/>
    <mergeCell ref="D36:E36"/>
    <mergeCell ref="D25:E25"/>
    <mergeCell ref="B27:C27"/>
    <mergeCell ref="B26:C26"/>
    <mergeCell ref="D15:E15"/>
    <mergeCell ref="B22:E23"/>
    <mergeCell ref="D20:E20"/>
    <mergeCell ref="B35:C35"/>
    <mergeCell ref="D34:E34"/>
    <mergeCell ref="B24:C24"/>
    <mergeCell ref="B29:E30"/>
    <mergeCell ref="D46:E46"/>
    <mergeCell ref="G24:H24"/>
    <mergeCell ref="I24:J24"/>
    <mergeCell ref="Q39:S40"/>
    <mergeCell ref="L26:M26"/>
    <mergeCell ref="N41:O41"/>
    <mergeCell ref="N42:O42"/>
    <mergeCell ref="L41:M41"/>
    <mergeCell ref="D26:E26"/>
  </mergeCells>
  <conditionalFormatting sqref="G4:J15">
    <cfRule type="expression" dxfId="38" priority="11">
      <formula>OR($D$15="Multi (5-8 Unit)",$D$15="Multi (8+ Unit)",$D$15="Mixed-Use")</formula>
    </cfRule>
  </conditionalFormatting>
  <conditionalFormatting sqref="G17:J24">
    <cfRule type="expression" dxfId="37" priority="9">
      <formula>AND($D$36=0,$I$23="Stabilized")</formula>
    </cfRule>
  </conditionalFormatting>
  <conditionalFormatting sqref="L4:O22">
    <cfRule type="expression" dxfId="36" priority="8">
      <formula>OR($D$15="Detached SFR",$D$15="2-4 Unit",$D$15="Condominium",$D$15="Townhome",$D$15="PUD")</formula>
    </cfRule>
  </conditionalFormatting>
  <conditionalFormatting sqref="G14:J15">
    <cfRule type="expression" dxfId="35" priority="5">
      <formula>$I$23&lt;&gt;"Stabilized"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7" r:id="rId4" name="Button 19">
              <controlPr defaultSize="0" print="0" autoFill="0" autoPict="0" macro="[0]!ClearRTLversion512">
                <anchor moveWithCells="1" sizeWithCells="1">
                  <from>
                    <xdr:col>6</xdr:col>
                    <xdr:colOff>66675</xdr:colOff>
                    <xdr:row>0</xdr:row>
                    <xdr:rowOff>85725</xdr:rowOff>
                  </from>
                  <to>
                    <xdr:col>9</xdr:col>
                    <xdr:colOff>1428750</xdr:colOff>
                    <xdr:row>2</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98309D78-56B8-4218-935B-CB31F1BD0F6D}">
          <x14:formula1>
            <xm:f>'RTL (Legend)'!$A$1:$A$4</xm:f>
          </x14:formula1>
          <xm:sqref>D7:E7</xm:sqref>
        </x14:dataValidation>
        <x14:dataValidation type="list" allowBlank="1" showInputMessage="1" showErrorMessage="1" xr:uid="{52D9A3E4-3FA0-4708-9EDD-8519DE9B98E9}">
          <x14:formula1>
            <xm:f>'RTL (Legend)'!$C$1:$C$3</xm:f>
          </x14:formula1>
          <xm:sqref>D9:E9</xm:sqref>
        </x14:dataValidation>
        <x14:dataValidation type="list" allowBlank="1" showInputMessage="1" showErrorMessage="1" xr:uid="{5D375806-B554-4969-A13E-8411FA677463}">
          <x14:formula1>
            <xm:f>'RTL (Legend)'!$B$1:$B$6</xm:f>
          </x14:formula1>
          <xm:sqref>D11</xm:sqref>
        </x14:dataValidation>
        <x14:dataValidation type="list" allowBlank="1" showInputMessage="1" showErrorMessage="1" xr:uid="{391744C3-69D8-4E01-9020-E1181CB0BCD6}">
          <x14:formula1>
            <xm:f>'RTL (Legend)'!$D$1:$D$8</xm:f>
          </x14:formula1>
          <xm:sqref>D15:E15</xm:sqref>
        </x14:dataValidation>
        <x14:dataValidation type="list" allowBlank="1" showInputMessage="1" showErrorMessage="1" xr:uid="{A7247255-8469-4552-AB2B-3A13D581197F}">
          <x14:formula1>
            <xm:f>'RTL (Legend)'!$I$1:$I$51</xm:f>
          </x14:formula1>
          <xm:sqref>D19:E19</xm:sqref>
        </x14:dataValidation>
        <x14:dataValidation type="list" allowBlank="1" showInputMessage="1" showErrorMessage="1" xr:uid="{AA140F54-915E-4449-8C6A-4224AD2372AF}">
          <x14:formula1>
            <xm:f>'RTL (Legend)'!$F$1:$F$2</xm:f>
          </x14:formula1>
          <xm:sqref>D33:E33 I19:J20 H7:H10 D35:E35 U34 U22</xm:sqref>
        </x14:dataValidation>
        <x14:dataValidation type="list" allowBlank="1" showInputMessage="1" showErrorMessage="1" xr:uid="{55467739-3F72-41F4-8792-C80469CD9066}">
          <x14:formula1>
            <xm:f>'RTL (Legend)'!$H$1:$H$2</xm:f>
          </x14:formula1>
          <xm:sqref>I42:J42</xm:sqref>
        </x14:dataValidation>
        <x14:dataValidation type="list" allowBlank="1" showInputMessage="1" showErrorMessage="1" xr:uid="{E2D13C67-4A16-4594-A8F4-D4CF9A28E625}">
          <x14:formula1>
            <xm:f>'RTL (Legend)'!$G$1:$G$3</xm:f>
          </x14:formula1>
          <xm:sqref>D46:E46</xm:sqref>
        </x14:dataValidation>
        <x14:dataValidation type="list" allowBlank="1" showInputMessage="1" showErrorMessage="1" xr:uid="{950277C3-F143-4F9E-987F-766CFE6E8859}">
          <x14:formula1>
            <xm:f>'RTL (Legend)'!$B$1:$B$4</xm:f>
          </x14:formula1>
          <xm:sqref>E11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568A4-91E2-417A-9CD2-9468BECEF5F3}">
  <sheetPr codeName="Sheet6">
    <tabColor rgb="FF50657C"/>
  </sheetPr>
  <dimension ref="A1:AN386"/>
  <sheetViews>
    <sheetView topLeftCell="AO1" zoomScale="70" zoomScaleNormal="70" workbookViewId="0">
      <selection sqref="A1:AN1048576"/>
    </sheetView>
  </sheetViews>
  <sheetFormatPr defaultColWidth="9.140625" defaultRowHeight="15.75" x14ac:dyDescent="0.25"/>
  <cols>
    <col min="1" max="1" width="9.140625" hidden="1" customWidth="1"/>
    <col min="2" max="2" width="26" style="51" hidden="1" customWidth="1"/>
    <col min="3" max="3" width="18.7109375" style="51" hidden="1" customWidth="1"/>
    <col min="4" max="5" width="23.140625" style="51" hidden="1" customWidth="1"/>
    <col min="6" max="6" width="52.85546875" style="51" hidden="1" customWidth="1"/>
    <col min="7" max="10" width="15.7109375" style="51" hidden="1" customWidth="1"/>
    <col min="11" max="11" width="2.85546875" style="51" hidden="1" customWidth="1"/>
    <col min="12" max="12" width="35.7109375" style="51" hidden="1" customWidth="1"/>
    <col min="13" max="16" width="33" style="51" hidden="1" customWidth="1"/>
    <col min="17" max="17" width="9.140625" style="51" hidden="1" customWidth="1"/>
    <col min="18" max="18" width="11.140625" style="51" hidden="1" customWidth="1"/>
    <col min="19" max="24" width="9.7109375" style="51" hidden="1" customWidth="1"/>
    <col min="25" max="25" width="9.140625" style="51" hidden="1" customWidth="1"/>
    <col min="26" max="28" width="20.7109375" style="51" hidden="1" customWidth="1"/>
    <col min="29" max="29" width="9.140625" style="51" hidden="1" customWidth="1"/>
    <col min="30" max="35" width="15.5703125" style="51" hidden="1" customWidth="1"/>
    <col min="36" max="36" width="9.140625" style="51" hidden="1" customWidth="1"/>
    <col min="37" max="39" width="48" style="51" hidden="1" customWidth="1"/>
    <col min="40" max="40" width="9.140625" style="51" hidden="1" customWidth="1"/>
    <col min="41" max="45" width="9.140625" style="51" customWidth="1"/>
    <col min="46" max="16384" width="9.140625" style="51"/>
  </cols>
  <sheetData>
    <row r="1" spans="1:39" x14ac:dyDescent="0.25">
      <c r="A1" s="565"/>
    </row>
    <row r="2" spans="1:39" x14ac:dyDescent="0.25">
      <c r="A2" s="51"/>
      <c r="B2" s="168" t="s">
        <v>31</v>
      </c>
      <c r="C2" s="167" t="s">
        <v>1464</v>
      </c>
      <c r="D2" s="167" t="s">
        <v>30</v>
      </c>
      <c r="E2" s="167" t="s">
        <v>90</v>
      </c>
      <c r="F2" s="167" t="s">
        <v>190</v>
      </c>
      <c r="G2" s="167" t="s">
        <v>180</v>
      </c>
      <c r="H2" s="167" t="s">
        <v>1501</v>
      </c>
      <c r="I2" s="167" t="s">
        <v>175</v>
      </c>
      <c r="J2" s="166" t="s">
        <v>152</v>
      </c>
      <c r="L2" s="521"/>
      <c r="M2" s="713" t="s">
        <v>1587</v>
      </c>
      <c r="N2" s="714"/>
      <c r="O2" s="714"/>
      <c r="P2" s="715"/>
      <c r="R2" s="165" t="s">
        <v>1586</v>
      </c>
      <c r="S2" s="164" t="s">
        <v>1520</v>
      </c>
      <c r="T2" s="164" t="s">
        <v>1519</v>
      </c>
      <c r="U2" s="164" t="s">
        <v>1518</v>
      </c>
      <c r="V2" s="164" t="s">
        <v>1485</v>
      </c>
      <c r="W2" s="164" t="s">
        <v>1517</v>
      </c>
      <c r="X2" s="163" t="s">
        <v>1516</v>
      </c>
      <c r="Z2" s="713" t="s">
        <v>1585</v>
      </c>
      <c r="AA2" s="714"/>
      <c r="AB2" s="715"/>
      <c r="AD2" s="731" t="s">
        <v>1584</v>
      </c>
      <c r="AE2" s="729"/>
      <c r="AF2" s="729"/>
      <c r="AG2" s="729"/>
      <c r="AH2" s="729"/>
      <c r="AI2" s="730"/>
      <c r="AK2" s="133" t="s">
        <v>1583</v>
      </c>
      <c r="AL2" s="162" t="s">
        <v>1582</v>
      </c>
      <c r="AM2" s="161" t="s">
        <v>1581</v>
      </c>
    </row>
    <row r="3" spans="1:39" x14ac:dyDescent="0.25">
      <c r="A3" s="51"/>
      <c r="B3" s="64" t="s">
        <v>1520</v>
      </c>
      <c r="C3" s="113" t="s">
        <v>1523</v>
      </c>
      <c r="D3" s="113" t="s">
        <v>202</v>
      </c>
      <c r="E3" s="113" t="s">
        <v>1526</v>
      </c>
      <c r="F3" s="113" t="str">
        <f t="shared" ref="F3:F46" si="0">B3&amp;" | "&amp;C3&amp;" | "&amp;D3&amp;" | "&amp;E3</f>
        <v>0+ | Stabilized | Purchase | 1-4 Unit</v>
      </c>
      <c r="G3" s="561">
        <v>0.72499999999999998</v>
      </c>
      <c r="H3" s="561">
        <v>0.75</v>
      </c>
      <c r="I3" s="561">
        <v>0.72499999999999998</v>
      </c>
      <c r="J3" s="562" t="s">
        <v>2</v>
      </c>
      <c r="K3" s="51" t="str">
        <f>$W$39</f>
        <v>N</v>
      </c>
      <c r="L3" s="521"/>
      <c r="M3" s="64" t="s">
        <v>66</v>
      </c>
      <c r="N3" s="160">
        <f>RTL!$D$31</f>
        <v>0</v>
      </c>
      <c r="O3" s="113" t="s">
        <v>110</v>
      </c>
      <c r="P3" s="159">
        <f>RTL!$D$7</f>
        <v>0</v>
      </c>
      <c r="R3" s="158">
        <v>5.0000000000000001E-3</v>
      </c>
      <c r="S3" s="157">
        <v>0.1249</v>
      </c>
      <c r="T3" s="157">
        <v>0.11990000000000001</v>
      </c>
      <c r="U3" s="157">
        <v>0.1149</v>
      </c>
      <c r="V3" s="63">
        <v>0.1099</v>
      </c>
      <c r="W3" s="63">
        <v>0.1099</v>
      </c>
      <c r="X3" s="152">
        <v>0.1099</v>
      </c>
      <c r="Z3" s="66" t="s">
        <v>151</v>
      </c>
      <c r="AA3" s="65" t="s">
        <v>150</v>
      </c>
      <c r="AB3" s="156" t="s">
        <v>1580</v>
      </c>
      <c r="AD3" s="719" t="s">
        <v>85</v>
      </c>
      <c r="AE3" s="720"/>
      <c r="AF3" s="720"/>
      <c r="AG3" s="720">
        <f>RTL!$D$18</f>
        <v>0</v>
      </c>
      <c r="AH3" s="720"/>
      <c r="AI3" s="734"/>
      <c r="AK3" s="155" t="s">
        <v>375</v>
      </c>
      <c r="AL3" s="154" t="s">
        <v>520</v>
      </c>
      <c r="AM3" s="153" t="s">
        <v>1392</v>
      </c>
    </row>
    <row r="4" spans="1:39" x14ac:dyDescent="0.25">
      <c r="A4" s="51"/>
      <c r="B4" s="62" t="s">
        <v>1519</v>
      </c>
      <c r="C4" s="51" t="s">
        <v>1523</v>
      </c>
      <c r="D4" s="51" t="s">
        <v>202</v>
      </c>
      <c r="E4" s="51" t="s">
        <v>1526</v>
      </c>
      <c r="F4" s="51" t="str">
        <f t="shared" si="0"/>
        <v>1+ | Stabilized | Purchase | 1-4 Unit</v>
      </c>
      <c r="G4" s="563">
        <v>0.75</v>
      </c>
      <c r="H4" s="563">
        <v>0.75</v>
      </c>
      <c r="I4" s="563">
        <v>0.75</v>
      </c>
      <c r="J4" s="564" t="s">
        <v>2</v>
      </c>
      <c r="K4" s="523" t="str">
        <f t="shared" ref="K4:K47" si="1">$W$39</f>
        <v>N</v>
      </c>
      <c r="L4" s="521"/>
      <c r="M4" s="62" t="s">
        <v>1450</v>
      </c>
      <c r="N4" s="57">
        <f>RTL!$D$32</f>
        <v>0</v>
      </c>
      <c r="O4" s="51" t="s">
        <v>1579</v>
      </c>
      <c r="P4" s="120">
        <f>RTL!$E$11</f>
        <v>0</v>
      </c>
      <c r="R4" s="151">
        <v>7.4999999999999997E-3</v>
      </c>
      <c r="S4" s="53">
        <v>0.12239999999999999</v>
      </c>
      <c r="T4" s="53">
        <v>0.1149</v>
      </c>
      <c r="U4" s="53">
        <v>0.1099</v>
      </c>
      <c r="V4" s="61">
        <v>0.1074</v>
      </c>
      <c r="W4" s="61">
        <v>0.1074</v>
      </c>
      <c r="X4" s="132">
        <v>0.1074</v>
      </c>
      <c r="Z4" s="64" t="s">
        <v>148</v>
      </c>
      <c r="AA4" s="63" t="s">
        <v>2</v>
      </c>
      <c r="AB4" s="152" t="s">
        <v>2</v>
      </c>
      <c r="AD4" s="712" t="s">
        <v>82</v>
      </c>
      <c r="AE4" s="639"/>
      <c r="AF4" s="639"/>
      <c r="AG4" s="639">
        <f>RTL!$D$19</f>
        <v>0</v>
      </c>
      <c r="AH4" s="639"/>
      <c r="AI4" s="733"/>
      <c r="AK4" s="128" t="s">
        <v>831</v>
      </c>
      <c r="AL4" s="131" t="s">
        <v>1404</v>
      </c>
      <c r="AM4" s="134" t="s">
        <v>582</v>
      </c>
    </row>
    <row r="5" spans="1:39" x14ac:dyDescent="0.25">
      <c r="A5" s="51"/>
      <c r="B5" s="62" t="s">
        <v>1518</v>
      </c>
      <c r="C5" s="51" t="s">
        <v>1523</v>
      </c>
      <c r="D5" s="51" t="s">
        <v>202</v>
      </c>
      <c r="E5" s="51" t="s">
        <v>1526</v>
      </c>
      <c r="F5" s="51" t="str">
        <f t="shared" si="0"/>
        <v>3+ | Stabilized | Purchase | 1-4 Unit</v>
      </c>
      <c r="G5" s="563">
        <v>0.75</v>
      </c>
      <c r="H5" s="563">
        <v>0.75</v>
      </c>
      <c r="I5" s="563">
        <v>0.75</v>
      </c>
      <c r="J5" s="564" t="s">
        <v>2</v>
      </c>
      <c r="K5" s="523" t="str">
        <f t="shared" si="1"/>
        <v>N</v>
      </c>
      <c r="L5" s="521"/>
      <c r="M5" s="62" t="s">
        <v>1578</v>
      </c>
      <c r="N5" s="57">
        <f>RTL!$D$34</f>
        <v>0</v>
      </c>
      <c r="O5" s="51" t="s">
        <v>1439</v>
      </c>
      <c r="P5" s="120">
        <f>RTL!$D$35</f>
        <v>0</v>
      </c>
      <c r="R5" s="151">
        <v>0.01</v>
      </c>
      <c r="S5" s="53">
        <v>0.1174</v>
      </c>
      <c r="T5" s="53">
        <v>0.1124</v>
      </c>
      <c r="U5" s="53">
        <v>0.1074</v>
      </c>
      <c r="V5" s="61">
        <v>0.10489999999999998</v>
      </c>
      <c r="W5" s="61">
        <v>0.10489999999999998</v>
      </c>
      <c r="X5" s="132">
        <v>0.10489999999999998</v>
      </c>
      <c r="Z5" s="62" t="s">
        <v>146</v>
      </c>
      <c r="AA5" s="61">
        <v>0.35</v>
      </c>
      <c r="AB5" s="132">
        <v>8.5000000000000006E-2</v>
      </c>
      <c r="AD5" s="712" t="s">
        <v>1577</v>
      </c>
      <c r="AE5" s="639"/>
      <c r="AF5" s="639"/>
      <c r="AG5" s="639">
        <f>RTL!$D$20</f>
        <v>0</v>
      </c>
      <c r="AH5" s="639"/>
      <c r="AI5" s="733"/>
      <c r="AK5" s="128" t="s">
        <v>777</v>
      </c>
      <c r="AL5" s="131" t="s">
        <v>1172</v>
      </c>
      <c r="AM5" s="134" t="s">
        <v>394</v>
      </c>
    </row>
    <row r="6" spans="1:39" x14ac:dyDescent="0.25">
      <c r="A6" s="51"/>
      <c r="B6" s="62" t="s">
        <v>1485</v>
      </c>
      <c r="C6" s="51" t="s">
        <v>1523</v>
      </c>
      <c r="D6" s="51" t="s">
        <v>202</v>
      </c>
      <c r="E6" s="51" t="s">
        <v>1526</v>
      </c>
      <c r="F6" s="51" t="str">
        <f t="shared" si="0"/>
        <v>5+ | Stabilized | Purchase | 1-4 Unit</v>
      </c>
      <c r="G6" s="563">
        <v>0.75</v>
      </c>
      <c r="H6" s="563">
        <v>0.75</v>
      </c>
      <c r="I6" s="563">
        <v>0.75</v>
      </c>
      <c r="J6" s="564" t="s">
        <v>2</v>
      </c>
      <c r="K6" s="523" t="str">
        <f t="shared" si="1"/>
        <v>N</v>
      </c>
      <c r="L6" s="521"/>
      <c r="M6" s="62" t="s">
        <v>1438</v>
      </c>
      <c r="N6" s="57">
        <f>RTL!$D$36</f>
        <v>0</v>
      </c>
      <c r="O6" s="51" t="s">
        <v>1576</v>
      </c>
      <c r="P6" s="132" t="b">
        <f>IF(OR($P$3="Purchase",$P$3="Delayed Purchase"),$N$6/$N$4,IF(OR($P$3="Refinance (Rate/Term)",$P$3="Refinance (Cash Out)"),$N$6/$N$3))</f>
        <v>0</v>
      </c>
      <c r="R6" s="151">
        <v>1.2500000000000001E-2</v>
      </c>
      <c r="S6" s="53">
        <v>0.1149</v>
      </c>
      <c r="T6" s="53">
        <v>0.1099</v>
      </c>
      <c r="U6" s="53">
        <v>0.10489999999999998</v>
      </c>
      <c r="V6" s="61">
        <v>0.1024</v>
      </c>
      <c r="W6" s="61">
        <v>0.1024</v>
      </c>
      <c r="X6" s="132">
        <v>0.1024</v>
      </c>
      <c r="Z6" s="62" t="s">
        <v>144</v>
      </c>
      <c r="AA6" s="61">
        <v>0.35</v>
      </c>
      <c r="AB6" s="132">
        <v>8.5000000000000006E-2</v>
      </c>
      <c r="AD6" s="710" t="s">
        <v>78</v>
      </c>
      <c r="AE6" s="711"/>
      <c r="AF6" s="711"/>
      <c r="AG6" s="711" t="str">
        <f>RTL!$D$24</f>
        <v>-</v>
      </c>
      <c r="AH6" s="711"/>
      <c r="AI6" s="732"/>
      <c r="AK6" s="128" t="s">
        <v>593</v>
      </c>
      <c r="AL6" s="131" t="s">
        <v>324</v>
      </c>
      <c r="AM6" s="134" t="s">
        <v>1410</v>
      </c>
    </row>
    <row r="7" spans="1:39" x14ac:dyDescent="0.25">
      <c r="A7" s="51"/>
      <c r="B7" s="64" t="s">
        <v>1520</v>
      </c>
      <c r="C7" s="113" t="s">
        <v>1522</v>
      </c>
      <c r="D7" s="113" t="s">
        <v>202</v>
      </c>
      <c r="E7" s="113" t="s">
        <v>1526</v>
      </c>
      <c r="F7" s="113" t="str">
        <f t="shared" si="0"/>
        <v>0+ | Light | Purchase | 1-4 Unit</v>
      </c>
      <c r="G7" s="561">
        <v>0.75</v>
      </c>
      <c r="H7" s="561">
        <v>0.75</v>
      </c>
      <c r="I7" s="561">
        <v>0.65</v>
      </c>
      <c r="J7" s="562" t="s">
        <v>2</v>
      </c>
      <c r="K7" s="523" t="str">
        <f t="shared" si="1"/>
        <v>N</v>
      </c>
      <c r="L7" s="521"/>
      <c r="M7" s="62" t="s">
        <v>1575</v>
      </c>
      <c r="N7" s="57">
        <f>RTL!$D$37</f>
        <v>0</v>
      </c>
      <c r="O7" s="51" t="s">
        <v>1574</v>
      </c>
      <c r="P7" s="120" t="b">
        <f>IFERROR(IF(OR($P$5="N",$P$6&lt;=5%),"Stabilized",IF(AND($P$5="Y",AND($P$6&gt;5%,$P$6&lt;=50%)),"Light",IF(AND($P$5="Y",AND($P$6&gt;50%,$P$6&lt;=100%)),"Moderate",IF(AND($P$5="Y",$P$6&gt;100%),"Heavy")))),"-")</f>
        <v>0</v>
      </c>
      <c r="R7" s="150"/>
      <c r="S7" s="149"/>
      <c r="T7" s="149"/>
      <c r="U7" s="149"/>
      <c r="V7" s="59"/>
      <c r="W7" s="59"/>
      <c r="X7" s="129"/>
      <c r="Z7" s="62" t="s">
        <v>142</v>
      </c>
      <c r="AA7" s="61">
        <v>0.35</v>
      </c>
      <c r="AB7" s="132">
        <v>8.5000000000000006E-2</v>
      </c>
      <c r="AK7" s="128" t="s">
        <v>951</v>
      </c>
      <c r="AL7" s="131" t="s">
        <v>1405</v>
      </c>
      <c r="AM7" s="134" t="s">
        <v>1399</v>
      </c>
    </row>
    <row r="8" spans="1:39" x14ac:dyDescent="0.25">
      <c r="A8" s="51"/>
      <c r="B8" s="62" t="s">
        <v>1519</v>
      </c>
      <c r="C8" s="51" t="s">
        <v>1522</v>
      </c>
      <c r="D8" s="51" t="s">
        <v>202</v>
      </c>
      <c r="E8" s="51" t="s">
        <v>1526</v>
      </c>
      <c r="F8" s="51" t="str">
        <f t="shared" si="0"/>
        <v>1+ | Light | Purchase | 1-4 Unit</v>
      </c>
      <c r="G8" s="563">
        <v>0.85</v>
      </c>
      <c r="H8" s="563">
        <v>0.8</v>
      </c>
      <c r="I8" s="563">
        <v>0.65</v>
      </c>
      <c r="J8" s="564" t="s">
        <v>2</v>
      </c>
      <c r="K8" s="523" t="str">
        <f t="shared" si="1"/>
        <v>N</v>
      </c>
      <c r="M8" s="62" t="s">
        <v>1573</v>
      </c>
      <c r="N8" s="57">
        <f>+$N$4+$N$5</f>
        <v>0</v>
      </c>
      <c r="O8" s="51" t="s">
        <v>1572</v>
      </c>
      <c r="P8" s="120" t="b">
        <f>IF(OR(RTL!$I$19="Y",AND(RTL!$I$20="Y",RTL!$I$21&gt;=750)),"Heavy",$P$7)</f>
        <v>0</v>
      </c>
      <c r="R8" s="58"/>
      <c r="Z8" s="62" t="s">
        <v>137</v>
      </c>
      <c r="AA8" s="61">
        <v>0.25</v>
      </c>
      <c r="AB8" s="132">
        <v>7.4999999999999997E-2</v>
      </c>
      <c r="AD8" s="140"/>
      <c r="AE8" s="117" t="s">
        <v>1571</v>
      </c>
      <c r="AF8" s="117" t="s">
        <v>180</v>
      </c>
      <c r="AG8" s="117" t="s">
        <v>175</v>
      </c>
      <c r="AH8" s="117" t="s">
        <v>1553</v>
      </c>
      <c r="AI8" s="116" t="s">
        <v>1552</v>
      </c>
      <c r="AK8" s="128" t="s">
        <v>498</v>
      </c>
      <c r="AL8" s="131" t="s">
        <v>957</v>
      </c>
      <c r="AM8" s="134" t="s">
        <v>685</v>
      </c>
    </row>
    <row r="9" spans="1:39" x14ac:dyDescent="0.25">
      <c r="A9" s="51"/>
      <c r="B9" s="62" t="s">
        <v>1518</v>
      </c>
      <c r="C9" s="51" t="s">
        <v>1522</v>
      </c>
      <c r="D9" s="51" t="s">
        <v>202</v>
      </c>
      <c r="E9" s="51" t="s">
        <v>1526</v>
      </c>
      <c r="F9" s="51" t="str">
        <f t="shared" si="0"/>
        <v>3+ | Light | Purchase | 1-4 Unit</v>
      </c>
      <c r="G9" s="563">
        <v>0.9</v>
      </c>
      <c r="H9" s="563">
        <v>0.85</v>
      </c>
      <c r="I9" s="563">
        <v>0.7</v>
      </c>
      <c r="J9" s="564" t="s">
        <v>2</v>
      </c>
      <c r="K9" s="523" t="str">
        <f t="shared" si="1"/>
        <v>N</v>
      </c>
      <c r="M9" s="62" t="s">
        <v>90</v>
      </c>
      <c r="N9" s="51">
        <f>RTL!$D$15</f>
        <v>0</v>
      </c>
      <c r="O9" s="51" t="s">
        <v>1570</v>
      </c>
      <c r="P9" s="120" t="e">
        <f>VLOOKUP(N9,'RTL (Legend)'!$D$1:$E$8,2,FALSE)</f>
        <v>#N/A</v>
      </c>
      <c r="R9" s="756" t="s">
        <v>1569</v>
      </c>
      <c r="S9" s="756"/>
      <c r="T9" s="756"/>
      <c r="U9" s="756"/>
      <c r="V9" s="756"/>
      <c r="W9" s="756"/>
      <c r="X9" s="756"/>
      <c r="Z9" s="62" t="s">
        <v>134</v>
      </c>
      <c r="AA9" s="61">
        <v>0.25</v>
      </c>
      <c r="AB9" s="132">
        <v>7.4999999999999997E-2</v>
      </c>
      <c r="AD9" s="62" t="s">
        <v>1568</v>
      </c>
      <c r="AE9" s="51" t="str">
        <f>IF(SUM(IFERROR(MATCH($AG$6,$AK$2:$AK$18,),0),IFERROR(MATCH($AG$6,$AK$2:$AK$18,),0),IFERROR(MATCH($AG$3,$AK$2:$AK$18,),0))&gt;0,"TRUE","FALSE")</f>
        <v>FALSE</v>
      </c>
      <c r="AF9" s="57">
        <v>65000</v>
      </c>
      <c r="AG9" s="57">
        <v>100000</v>
      </c>
      <c r="AH9" s="57">
        <v>50000</v>
      </c>
      <c r="AI9" s="139">
        <v>75000</v>
      </c>
      <c r="AK9" s="128" t="s">
        <v>375</v>
      </c>
      <c r="AL9" s="131" t="s">
        <v>520</v>
      </c>
      <c r="AM9" s="134" t="s">
        <v>759</v>
      </c>
    </row>
    <row r="10" spans="1:39" x14ac:dyDescent="0.25">
      <c r="A10" s="51"/>
      <c r="B10" s="62" t="s">
        <v>1485</v>
      </c>
      <c r="C10" s="51" t="s">
        <v>1522</v>
      </c>
      <c r="D10" s="51" t="s">
        <v>202</v>
      </c>
      <c r="E10" s="51" t="s">
        <v>1526</v>
      </c>
      <c r="F10" s="51" t="str">
        <f t="shared" si="0"/>
        <v>5+ | Light | Purchase | 1-4 Unit</v>
      </c>
      <c r="G10" s="563">
        <v>0.9</v>
      </c>
      <c r="H10" s="563">
        <v>0.85</v>
      </c>
      <c r="I10" s="563">
        <v>0.7</v>
      </c>
      <c r="J10" s="564" t="s">
        <v>2</v>
      </c>
      <c r="K10" s="523" t="str">
        <f t="shared" si="1"/>
        <v>N</v>
      </c>
      <c r="M10" s="716" t="s">
        <v>1567</v>
      </c>
      <c r="N10" s="717"/>
      <c r="O10" s="717" t="e">
        <f>$P$4&amp;" | "&amp;$P$8&amp;" | "&amp;$P$3&amp;" | "&amp;$P$9</f>
        <v>#N/A</v>
      </c>
      <c r="P10" s="718"/>
      <c r="R10" s="757" t="s">
        <v>1566</v>
      </c>
      <c r="S10" s="758"/>
      <c r="T10" s="758"/>
      <c r="U10" s="758"/>
      <c r="V10" s="761">
        <f>IFERROR(IF(OR($P$3="Refinance (Rate/Term)",$P$3="Refinance (Cash Out)"),0.5%,0%),0%)</f>
        <v>0</v>
      </c>
      <c r="W10" s="761"/>
      <c r="X10" s="762"/>
      <c r="Z10" s="60" t="s">
        <v>132</v>
      </c>
      <c r="AA10" s="59">
        <v>0.15</v>
      </c>
      <c r="AB10" s="129">
        <v>7.0000000000000007E-2</v>
      </c>
      <c r="AD10" s="62" t="s">
        <v>1565</v>
      </c>
      <c r="AE10" s="51" t="str">
        <f>IF(SUM(IFERROR(MATCH($AG$6,$AL$2:$AL$16,),0),IFERROR(MATCH($AG$6,$AL$2:$AL$16,),0),IFERROR(MATCH($AG$3,$AL$2:$AL$16,),0))&gt;0,"TRUE","FALSE")</f>
        <v>FALSE</v>
      </c>
      <c r="AF10" s="57">
        <v>100000</v>
      </c>
      <c r="AG10" s="57">
        <v>150000</v>
      </c>
      <c r="AH10" s="57">
        <v>60000</v>
      </c>
      <c r="AI10" s="139">
        <v>100000</v>
      </c>
      <c r="AK10" s="128" t="s">
        <v>831</v>
      </c>
      <c r="AL10" s="131" t="s">
        <v>1381</v>
      </c>
      <c r="AM10" s="134" t="s">
        <v>759</v>
      </c>
    </row>
    <row r="11" spans="1:39" x14ac:dyDescent="0.25">
      <c r="A11" s="51"/>
      <c r="B11" s="64" t="s">
        <v>1520</v>
      </c>
      <c r="C11" s="113" t="s">
        <v>1521</v>
      </c>
      <c r="D11" s="113" t="s">
        <v>202</v>
      </c>
      <c r="E11" s="113" t="s">
        <v>1526</v>
      </c>
      <c r="F11" s="113" t="str">
        <f t="shared" si="0"/>
        <v>0+ | Moderate | Purchase | 1-4 Unit</v>
      </c>
      <c r="G11" s="561">
        <v>0.75</v>
      </c>
      <c r="H11" s="561">
        <v>0.75</v>
      </c>
      <c r="I11" s="561">
        <v>0.65</v>
      </c>
      <c r="J11" s="562" t="s">
        <v>2</v>
      </c>
      <c r="K11" s="523" t="str">
        <f t="shared" si="1"/>
        <v>N</v>
      </c>
      <c r="M11" s="148" t="s">
        <v>180</v>
      </c>
      <c r="N11" s="147" t="s">
        <v>1501</v>
      </c>
      <c r="O11" s="147" t="s">
        <v>175</v>
      </c>
      <c r="P11" s="146" t="s">
        <v>152</v>
      </c>
      <c r="R11" s="721" t="s">
        <v>23598</v>
      </c>
      <c r="S11" s="722"/>
      <c r="T11" s="722"/>
      <c r="U11" s="722"/>
      <c r="V11" s="723">
        <f>IF(OR(RTL!$D$10&lt;700,RTL!$D$9="Foreign National"),0.25%,0)</f>
        <v>2.5000000000000001E-3</v>
      </c>
      <c r="W11" s="723"/>
      <c r="X11" s="724"/>
      <c r="AD11" s="62" t="s">
        <v>1564</v>
      </c>
      <c r="AE11" s="51" t="str">
        <f>IF(SUM(IFERROR(MATCH($AG$6,$AM$2:$AM$15,),0),IFERROR(MATCH($AG$6,$AM$2:$AM$15,),0),IFERROR(MATCH($AG$3,$AM$2:$AM$15,),0))&gt;0,"TRUE","FALSE")</f>
        <v>FALSE</v>
      </c>
      <c r="AF11" s="57">
        <v>100000</v>
      </c>
      <c r="AG11" s="57">
        <v>175000</v>
      </c>
      <c r="AH11" s="57">
        <v>75000</v>
      </c>
      <c r="AI11" s="139">
        <v>125000</v>
      </c>
      <c r="AK11" s="128" t="s">
        <v>1406</v>
      </c>
      <c r="AL11" s="131" t="s">
        <v>1412</v>
      </c>
      <c r="AM11" s="134" t="s">
        <v>1563</v>
      </c>
    </row>
    <row r="12" spans="1:39" x14ac:dyDescent="0.25">
      <c r="A12" s="51"/>
      <c r="B12" s="62" t="s">
        <v>1519</v>
      </c>
      <c r="C12" s="51" t="s">
        <v>1521</v>
      </c>
      <c r="D12" s="51" t="s">
        <v>202</v>
      </c>
      <c r="E12" s="51" t="s">
        <v>1526</v>
      </c>
      <c r="F12" s="51" t="str">
        <f t="shared" si="0"/>
        <v>1+ | Moderate | Purchase | 1-4 Unit</v>
      </c>
      <c r="G12" s="563">
        <v>0.85</v>
      </c>
      <c r="H12" s="563">
        <v>0.8</v>
      </c>
      <c r="I12" s="563">
        <v>0.65</v>
      </c>
      <c r="J12" s="564" t="s">
        <v>2</v>
      </c>
      <c r="K12" s="523" t="str">
        <f t="shared" si="1"/>
        <v>N</v>
      </c>
      <c r="M12" s="145" t="str">
        <f>IFERROR(VLOOKUP($O$10,$F$2:$J$258,MATCH(M$11,$F$2:$J$2,0),FALSE),"-")</f>
        <v>-</v>
      </c>
      <c r="N12" s="144" t="str">
        <f>IFERROR(VLOOKUP($O$10,$F$2:$J$258,MATCH(N$11,$F$2:$J$2,0),FALSE),"-")</f>
        <v>-</v>
      </c>
      <c r="O12" s="144" t="str">
        <f>IFERROR(VLOOKUP($O$10,$F$2:$J$258,MATCH(O$11,$F$2:$J$2,0),FALSE),"-")</f>
        <v>-</v>
      </c>
      <c r="P12" s="143" t="str">
        <f>IFERROR(VLOOKUP($O$10,$F$2:$J$258,MATCH(P$11,$F$2:$J$2,0),FALSE),"-")</f>
        <v>-</v>
      </c>
      <c r="R12" s="721" t="s">
        <v>1562</v>
      </c>
      <c r="S12" s="722"/>
      <c r="T12" s="722"/>
      <c r="U12" s="722"/>
      <c r="V12" s="723">
        <f>IF(OR(RTL!$D$15="Multi (5-8 Unit)",RTL!$D$15="Multi (8+ Unit)",RTL!$D$15="Mixed-Use"),0.5%,0)</f>
        <v>0</v>
      </c>
      <c r="W12" s="723"/>
      <c r="X12" s="724"/>
      <c r="Z12" s="719" t="s">
        <v>1561</v>
      </c>
      <c r="AA12" s="720"/>
      <c r="AB12" s="142" t="e">
        <f>RTL!$D$31/RTL!$D$16</f>
        <v>#DIV/0!</v>
      </c>
      <c r="AD12" s="60" t="s">
        <v>1560</v>
      </c>
      <c r="AE12" s="108" t="str">
        <f>IF(AND($AE$9="FALSE",$AE$10="FALSE",$AE$11="FALSE"),"TRUE","FALSE")</f>
        <v>TRUE</v>
      </c>
      <c r="AF12" s="136">
        <v>50000</v>
      </c>
      <c r="AG12" s="136">
        <v>75000</v>
      </c>
      <c r="AH12" s="136">
        <v>35000</v>
      </c>
      <c r="AI12" s="135">
        <v>50000</v>
      </c>
      <c r="AK12" s="128" t="s">
        <v>1373</v>
      </c>
      <c r="AL12" s="131" t="s">
        <v>294</v>
      </c>
      <c r="AM12" s="134" t="s">
        <v>1559</v>
      </c>
    </row>
    <row r="13" spans="1:39" x14ac:dyDescent="0.25">
      <c r="A13" s="51"/>
      <c r="B13" s="62" t="s">
        <v>1518</v>
      </c>
      <c r="C13" s="51" t="s">
        <v>1521</v>
      </c>
      <c r="D13" s="51" t="s">
        <v>202</v>
      </c>
      <c r="E13" s="51" t="s">
        <v>1526</v>
      </c>
      <c r="F13" s="51" t="str">
        <f t="shared" si="0"/>
        <v>3+ | Moderate | Purchase | 1-4 Unit</v>
      </c>
      <c r="G13" s="563">
        <v>0.9</v>
      </c>
      <c r="H13" s="563">
        <v>0.85</v>
      </c>
      <c r="I13" s="563">
        <v>0.7</v>
      </c>
      <c r="J13" s="564" t="s">
        <v>2</v>
      </c>
      <c r="K13" s="523" t="str">
        <f t="shared" si="1"/>
        <v>N</v>
      </c>
      <c r="R13" s="759" t="s">
        <v>1558</v>
      </c>
      <c r="S13" s="760"/>
      <c r="T13" s="760"/>
      <c r="U13" s="760"/>
      <c r="V13" s="763">
        <f>IFERROR(IF($P$8="Heavy",0.5%,0%),0%)</f>
        <v>0</v>
      </c>
      <c r="W13" s="763"/>
      <c r="X13" s="764"/>
      <c r="Z13" s="712" t="s">
        <v>1557</v>
      </c>
      <c r="AA13" s="639"/>
      <c r="AB13" s="139" t="e">
        <f>RTL!$D$37/RTL!$D$16</f>
        <v>#DIV/0!</v>
      </c>
      <c r="AK13" s="128" t="s">
        <v>1401</v>
      </c>
      <c r="AL13" s="131" t="s">
        <v>1172</v>
      </c>
      <c r="AM13" s="134" t="s">
        <v>1399</v>
      </c>
    </row>
    <row r="14" spans="1:39" x14ac:dyDescent="0.25">
      <c r="A14" s="51"/>
      <c r="B14" s="62" t="s">
        <v>1485</v>
      </c>
      <c r="C14" s="51" t="s">
        <v>1521</v>
      </c>
      <c r="D14" s="51" t="s">
        <v>202</v>
      </c>
      <c r="E14" s="51" t="s">
        <v>1526</v>
      </c>
      <c r="F14" s="51" t="str">
        <f t="shared" si="0"/>
        <v>5+ | Moderate | Purchase | 1-4 Unit</v>
      </c>
      <c r="G14" s="563">
        <v>0.9</v>
      </c>
      <c r="H14" s="563">
        <v>0.85</v>
      </c>
      <c r="I14" s="563">
        <v>0.7</v>
      </c>
      <c r="J14" s="564" t="s">
        <v>2</v>
      </c>
      <c r="K14" s="523" t="str">
        <f t="shared" si="1"/>
        <v>N</v>
      </c>
      <c r="L14" s="141" t="s">
        <v>1556</v>
      </c>
      <c r="M14" s="140" t="s">
        <v>180</v>
      </c>
      <c r="N14" s="117" t="s">
        <v>155</v>
      </c>
      <c r="O14" s="117" t="s">
        <v>175</v>
      </c>
      <c r="P14" s="116" t="s">
        <v>152</v>
      </c>
      <c r="R14" s="725" t="s">
        <v>37</v>
      </c>
      <c r="S14" s="726"/>
      <c r="T14" s="726"/>
      <c r="U14" s="726"/>
      <c r="V14" s="727">
        <f>MIN(SUM(V10:X13),0.5%)</f>
        <v>2.5000000000000001E-3</v>
      </c>
      <c r="W14" s="726"/>
      <c r="X14" s="728"/>
      <c r="Z14" s="712" t="s">
        <v>1555</v>
      </c>
      <c r="AA14" s="639"/>
      <c r="AB14" s="139" t="e">
        <f>MAX(AB12:AB13)</f>
        <v>#DIV/0!</v>
      </c>
      <c r="AD14" s="708" t="s">
        <v>1554</v>
      </c>
      <c r="AE14" s="709"/>
      <c r="AF14" s="117" t="s">
        <v>180</v>
      </c>
      <c r="AG14" s="117" t="s">
        <v>175</v>
      </c>
      <c r="AH14" s="117" t="s">
        <v>1553</v>
      </c>
      <c r="AI14" s="116" t="s">
        <v>1552</v>
      </c>
      <c r="AK14" s="128" t="s">
        <v>1393</v>
      </c>
      <c r="AL14" s="131" t="s">
        <v>1404</v>
      </c>
      <c r="AM14" s="134" t="s">
        <v>1410</v>
      </c>
    </row>
    <row r="15" spans="1:39" x14ac:dyDescent="0.25">
      <c r="A15" s="51"/>
      <c r="B15" s="64" t="s">
        <v>1520</v>
      </c>
      <c r="C15" s="113" t="s">
        <v>1515</v>
      </c>
      <c r="D15" s="113" t="s">
        <v>202</v>
      </c>
      <c r="E15" s="113" t="s">
        <v>1526</v>
      </c>
      <c r="F15" s="113" t="str">
        <f t="shared" si="0"/>
        <v>0+ | Heavy | Purchase | 1-4 Unit</v>
      </c>
      <c r="G15" s="561" t="s">
        <v>148</v>
      </c>
      <c r="H15" s="561" t="s">
        <v>148</v>
      </c>
      <c r="I15" s="561" t="s">
        <v>148</v>
      </c>
      <c r="J15" s="562" t="s">
        <v>148</v>
      </c>
      <c r="K15" s="523" t="str">
        <f t="shared" si="1"/>
        <v>N</v>
      </c>
      <c r="L15" s="119" t="s">
        <v>1551</v>
      </c>
      <c r="M15" s="138" t="str">
        <f>M12</f>
        <v>-</v>
      </c>
      <c r="N15" s="71" t="str">
        <f>N12</f>
        <v>-</v>
      </c>
      <c r="O15" s="71" t="str">
        <f>O12</f>
        <v>-</v>
      </c>
      <c r="P15" s="137" t="str">
        <f>P12</f>
        <v>-</v>
      </c>
      <c r="Z15" s="712" t="s">
        <v>124</v>
      </c>
      <c r="AA15" s="639"/>
      <c r="AB15" s="120" t="e">
        <f>IF($AB$14&lt;35000,"NA",IF(AND($AB$14&gt;=35000,$AB$14&lt;50000),"$35k to &lt; $50k",IF(AND($AB$14&gt;=50000,$AB$14&lt;75000),"$50k to &lt; $75k",IF(AND($AB$14&gt;=75000,$AB$14&lt;100000),"$75k to &lt; $100k",IF(AND($AB$14&gt;=100000,$AB$14&lt;150000),"$100k to &lt; $150k",IF(AND($AB$14&gt;=150000,$AB$14&lt;250000),"$150k to &lt; $250k",IF($AB$14&gt;=250000,"$250k+",)))))))</f>
        <v>#DIV/0!</v>
      </c>
      <c r="AD15" s="710" t="str">
        <f>$AG$6</f>
        <v>-</v>
      </c>
      <c r="AE15" s="711"/>
      <c r="AF15" s="136">
        <f>IF($W$33="Y","-",VLOOKUP("TRUE",$AE$8:$AI$12,MATCH(AF14,$AE$8:$AI$8,0),FALSE))</f>
        <v>50000</v>
      </c>
      <c r="AG15" s="136">
        <f>IF($W$33="Y",AG$12,VLOOKUP("TRUE",$AE$8:$AI$12,MATCH(AG14,$AE$8:$AI$8,0),FALSE))</f>
        <v>75000</v>
      </c>
      <c r="AH15" s="136">
        <f>IF($W$33="Y","-",VLOOKUP("TRUE",$AE$8:$AI$12,MATCH(AH14,$AE$8:$AI$8,0),FALSE))</f>
        <v>35000</v>
      </c>
      <c r="AI15" s="135">
        <f>IF($W$33="Y",AI$12,VLOOKUP("TRUE",$AE$8:$AI$12,MATCH(AI14,$AE$8:$AI$8,0),FALSE))</f>
        <v>50000</v>
      </c>
      <c r="AK15" s="128" t="s">
        <v>1550</v>
      </c>
      <c r="AL15" s="131" t="s">
        <v>1360</v>
      </c>
      <c r="AM15" s="134" t="s">
        <v>1549</v>
      </c>
    </row>
    <row r="16" spans="1:39" x14ac:dyDescent="0.25">
      <c r="A16" s="51"/>
      <c r="B16" s="62" t="s">
        <v>1519</v>
      </c>
      <c r="C16" s="51" t="s">
        <v>1515</v>
      </c>
      <c r="D16" s="51" t="s">
        <v>202</v>
      </c>
      <c r="E16" s="51" t="s">
        <v>1526</v>
      </c>
      <c r="F16" s="51" t="str">
        <f t="shared" si="0"/>
        <v>1+ | Heavy | Purchase | 1-4 Unit</v>
      </c>
      <c r="G16" s="563">
        <v>0.6</v>
      </c>
      <c r="H16" s="563">
        <v>0.6</v>
      </c>
      <c r="I16" s="563">
        <v>0.5</v>
      </c>
      <c r="J16" s="564" t="s">
        <v>2</v>
      </c>
      <c r="K16" s="523" t="str">
        <f t="shared" si="1"/>
        <v>N</v>
      </c>
      <c r="L16" s="119" t="s">
        <v>186</v>
      </c>
      <c r="M16" s="121" t="str">
        <f>RTL!$T$39</f>
        <v>NA</v>
      </c>
      <c r="N16" s="110" t="str">
        <f>RTL!$T$39</f>
        <v>NA</v>
      </c>
      <c r="O16" s="110" t="str">
        <f>RTL!$T$39</f>
        <v>NA</v>
      </c>
      <c r="P16" s="109" t="str">
        <f>RTL!$T$39</f>
        <v>NA</v>
      </c>
      <c r="R16" s="133">
        <f>$P$4</f>
        <v>0</v>
      </c>
      <c r="S16" s="729" t="s">
        <v>1446</v>
      </c>
      <c r="T16" s="729"/>
      <c r="U16" s="729" t="s">
        <v>1445</v>
      </c>
      <c r="V16" s="729"/>
      <c r="W16" s="729" t="s">
        <v>1444</v>
      </c>
      <c r="X16" s="730"/>
      <c r="Z16" s="712" t="s">
        <v>1548</v>
      </c>
      <c r="AA16" s="639"/>
      <c r="AB16" s="132" t="e">
        <f>VLOOKUP($AB$15,$Z$4:$AB$10,2,FALSE)</f>
        <v>#DIV/0!</v>
      </c>
      <c r="AK16" s="128" t="s">
        <v>1373</v>
      </c>
      <c r="AL16" s="131" t="s">
        <v>1405</v>
      </c>
      <c r="AM16" s="120"/>
    </row>
    <row r="17" spans="2:39" s="51" customFormat="1" x14ac:dyDescent="0.25">
      <c r="B17" s="62" t="s">
        <v>1518</v>
      </c>
      <c r="C17" s="51" t="s">
        <v>1515</v>
      </c>
      <c r="D17" s="51" t="s">
        <v>202</v>
      </c>
      <c r="E17" s="51" t="s">
        <v>1526</v>
      </c>
      <c r="F17" s="51" t="str">
        <f t="shared" si="0"/>
        <v>3+ | Heavy | Purchase | 1-4 Unit</v>
      </c>
      <c r="G17" s="563">
        <v>0.75</v>
      </c>
      <c r="H17" s="563">
        <v>0.75</v>
      </c>
      <c r="I17" s="563">
        <v>0.6</v>
      </c>
      <c r="J17" s="564" t="s">
        <v>2</v>
      </c>
      <c r="K17" s="523" t="str">
        <f t="shared" si="1"/>
        <v>N</v>
      </c>
      <c r="L17" s="119" t="s">
        <v>1547</v>
      </c>
      <c r="M17" s="121" t="str">
        <f>IF(OR(M15="NA",M16="NA"),"NA",IF(M15="-","-",M15+M16))</f>
        <v>NA</v>
      </c>
      <c r="N17" s="110" t="str">
        <f>IF(OR(N15="NA",N16="NA"),"NA",IF(N15="-","-",N15+N16))</f>
        <v>NA</v>
      </c>
      <c r="O17" s="110" t="str">
        <f>IF(OR(O15="NA",O16="NA"),"NA",IF(O15="-","-",O15+O16))</f>
        <v>NA</v>
      </c>
      <c r="P17" s="109" t="str">
        <f>IF(OR(P15="NA",P16="NA"),"NA",IF(P15="-","-",P15+P16))</f>
        <v>NA</v>
      </c>
      <c r="R17" s="130">
        <v>5.0000000000000001E-3</v>
      </c>
      <c r="S17" s="735" t="str">
        <f>IFERROR((VLOOKUP($R17,$R$2:$X$7,MATCH($R$16,$R$2:$X$2,0),FALSE))+$V$14,"-")</f>
        <v>-</v>
      </c>
      <c r="T17" s="736"/>
      <c r="U17" s="736" t="str">
        <f>IF(S17="-","-",S17+0.5%)</f>
        <v>-</v>
      </c>
      <c r="V17" s="736"/>
      <c r="W17" s="736" t="str">
        <f>IF(U17="-","-",U17+0.5%)</f>
        <v>-</v>
      </c>
      <c r="X17" s="765"/>
      <c r="Z17" s="710" t="s">
        <v>1546</v>
      </c>
      <c r="AA17" s="711"/>
      <c r="AB17" s="129" t="e">
        <f>VLOOKUP($AB$15,$Z$4:$AB$10,3,FALSE)</f>
        <v>#DIV/0!</v>
      </c>
      <c r="AK17" s="128" t="s">
        <v>1411</v>
      </c>
      <c r="AM17" s="120"/>
    </row>
    <row r="18" spans="2:39" s="51" customFormat="1" x14ac:dyDescent="0.25">
      <c r="B18" s="62" t="s">
        <v>1485</v>
      </c>
      <c r="C18" s="51" t="s">
        <v>1515</v>
      </c>
      <c r="D18" s="51" t="s">
        <v>202</v>
      </c>
      <c r="E18" s="51" t="s">
        <v>1526</v>
      </c>
      <c r="F18" s="51" t="str">
        <f t="shared" si="0"/>
        <v>5+ | Heavy | Purchase | 1-4 Unit</v>
      </c>
      <c r="G18" s="563">
        <v>0.75</v>
      </c>
      <c r="H18" s="563">
        <v>0.75</v>
      </c>
      <c r="I18" s="563">
        <v>0.6</v>
      </c>
      <c r="J18" s="564" t="s">
        <v>2</v>
      </c>
      <c r="K18" s="523" t="str">
        <f t="shared" si="1"/>
        <v>N</v>
      </c>
      <c r="L18" s="119"/>
      <c r="M18" s="62"/>
      <c r="P18" s="120"/>
      <c r="R18" s="124">
        <v>7.4999999999999997E-3</v>
      </c>
      <c r="S18" s="749" t="str">
        <f>IFERROR((VLOOKUP($R18,$R$2:$X$7,MATCH($R$16,$R$2:$X$2,0),FALSE))+$V$14,"-")</f>
        <v>-</v>
      </c>
      <c r="T18" s="745"/>
      <c r="U18" s="745" t="str">
        <f>IF(S18="-","-",S18+0.5%)</f>
        <v>-</v>
      </c>
      <c r="V18" s="745"/>
      <c r="W18" s="745" t="str">
        <f>IF(U18="-","-",U18+0.5%)</f>
        <v>-</v>
      </c>
      <c r="X18" s="746"/>
      <c r="AE18" s="515"/>
      <c r="AF18" s="515"/>
      <c r="AG18" s="515"/>
      <c r="AH18" s="515"/>
      <c r="AI18" s="515"/>
      <c r="AK18" s="127" t="s">
        <v>1374</v>
      </c>
      <c r="AL18" s="108"/>
      <c r="AM18" s="126"/>
    </row>
    <row r="19" spans="2:39" s="51" customFormat="1" x14ac:dyDescent="0.25">
      <c r="B19" s="64" t="s">
        <v>1520</v>
      </c>
      <c r="C19" s="113" t="s">
        <v>1523</v>
      </c>
      <c r="D19" s="113" t="s">
        <v>200</v>
      </c>
      <c r="E19" s="113" t="s">
        <v>1526</v>
      </c>
      <c r="F19" s="113" t="str">
        <f t="shared" si="0"/>
        <v>0+ | Stabilized | Delayed Purchase | 1-4 Unit</v>
      </c>
      <c r="G19" s="561">
        <v>0.72499999999999998</v>
      </c>
      <c r="H19" s="561">
        <v>0.72499999999999998</v>
      </c>
      <c r="I19" s="561">
        <v>0.72499999999999998</v>
      </c>
      <c r="J19" s="562" t="s">
        <v>2</v>
      </c>
      <c r="K19" s="523" t="str">
        <f t="shared" si="1"/>
        <v>N</v>
      </c>
      <c r="L19" s="119" t="s">
        <v>1542</v>
      </c>
      <c r="M19" s="737" t="str">
        <f>IF($M$17="NA","NA",IF($M$17="-","-",$M$17*$N$3))</f>
        <v>NA</v>
      </c>
      <c r="N19" s="738"/>
      <c r="O19" s="738"/>
      <c r="P19" s="739"/>
      <c r="R19" s="124">
        <v>0.01</v>
      </c>
      <c r="S19" s="749" t="str">
        <f>IFERROR((VLOOKUP($R19,$R$2:$X$7,MATCH($R$16,$R$2:$X$2,0),FALSE))+$V$14,"-")</f>
        <v>-</v>
      </c>
      <c r="T19" s="745"/>
      <c r="U19" s="745" t="str">
        <f>IF(S19="-","-",S19+0.5%)</f>
        <v>-</v>
      </c>
      <c r="V19" s="745"/>
      <c r="W19" s="745" t="str">
        <f>IF(U19="-","-",U19+0.5%)</f>
        <v>-</v>
      </c>
      <c r="X19" s="746"/>
      <c r="Z19" s="740" t="s">
        <v>1545</v>
      </c>
      <c r="AA19" s="741"/>
      <c r="AB19" s="125" t="s">
        <v>1825</v>
      </c>
    </row>
    <row r="20" spans="2:39" s="51" customFormat="1" x14ac:dyDescent="0.25">
      <c r="B20" s="62" t="s">
        <v>1519</v>
      </c>
      <c r="C20" s="51" t="s">
        <v>1523</v>
      </c>
      <c r="D20" s="51" t="s">
        <v>200</v>
      </c>
      <c r="E20" s="51" t="s">
        <v>1526</v>
      </c>
      <c r="F20" s="51" t="str">
        <f t="shared" si="0"/>
        <v>1+ | Stabilized | Delayed Purchase | 1-4 Unit</v>
      </c>
      <c r="G20" s="563">
        <v>0.75</v>
      </c>
      <c r="H20" s="563">
        <v>0.75</v>
      </c>
      <c r="I20" s="563">
        <v>0.75</v>
      </c>
      <c r="J20" s="564" t="s">
        <v>2</v>
      </c>
      <c r="K20" s="523" t="str">
        <f t="shared" si="1"/>
        <v>N</v>
      </c>
      <c r="L20" s="119" t="s">
        <v>28</v>
      </c>
      <c r="M20" s="737" t="str">
        <f>IF($N$17="NA","NA",IF($N$17="-","-",$N$17*$N$8))</f>
        <v>NA</v>
      </c>
      <c r="N20" s="738"/>
      <c r="O20" s="738"/>
      <c r="P20" s="739"/>
      <c r="R20" s="124">
        <v>1.2500000000000001E-2</v>
      </c>
      <c r="S20" s="749" t="str">
        <f>IFERROR((VLOOKUP($R20,$R$2:$X$7,MATCH($R$16,$R$2:$X$2,0),FALSE))+$V$14,"-")</f>
        <v>-</v>
      </c>
      <c r="T20" s="745"/>
      <c r="U20" s="745" t="str">
        <f>IF(S20="-","-",S20+0.5%)</f>
        <v>-</v>
      </c>
      <c r="V20" s="745"/>
      <c r="W20" s="745" t="str">
        <f>IF(U20="-","-",U20+0.5%)</f>
        <v>-</v>
      </c>
      <c r="X20" s="746"/>
    </row>
    <row r="21" spans="2:39" s="51" customFormat="1" x14ac:dyDescent="0.25">
      <c r="B21" s="62" t="s">
        <v>1518</v>
      </c>
      <c r="C21" s="51" t="s">
        <v>1523</v>
      </c>
      <c r="D21" s="51" t="s">
        <v>200</v>
      </c>
      <c r="E21" s="51" t="s">
        <v>1526</v>
      </c>
      <c r="F21" s="51" t="str">
        <f t="shared" si="0"/>
        <v>3+ | Stabilized | Delayed Purchase | 1-4 Unit</v>
      </c>
      <c r="G21" s="563">
        <v>0.75</v>
      </c>
      <c r="H21" s="563">
        <v>0.75</v>
      </c>
      <c r="I21" s="563">
        <v>0.75</v>
      </c>
      <c r="J21" s="564" t="s">
        <v>2</v>
      </c>
      <c r="K21" s="523" t="str">
        <f t="shared" si="1"/>
        <v>N</v>
      </c>
      <c r="L21" s="119" t="s">
        <v>1541</v>
      </c>
      <c r="M21" s="737" t="str">
        <f>IF(OR($M$19="NA",$M$20="NA"),"NA",IF($M$19="-",$M$20,IF($M$20="-",$M$19,MIN($M$19:$P$20))))</f>
        <v>NA</v>
      </c>
      <c r="N21" s="738"/>
      <c r="O21" s="738"/>
      <c r="P21" s="739"/>
      <c r="R21" s="123">
        <v>1.5000000000000001E-2</v>
      </c>
      <c r="S21" s="747" t="str">
        <f>IFERROR((VLOOKUP($R21,$R$2:$X$7,MATCH($R$16,$R$2:$X$2,0),FALSE))+$V$14,"-")</f>
        <v>-</v>
      </c>
      <c r="T21" s="748"/>
      <c r="U21" s="748" t="str">
        <f>IF(S21="-","-",S21+0.5%)</f>
        <v>-</v>
      </c>
      <c r="V21" s="748"/>
      <c r="W21" s="748" t="str">
        <f>IF(U21="-","-",U21+0.5%)</f>
        <v>-</v>
      </c>
      <c r="X21" s="766"/>
    </row>
    <row r="22" spans="2:39" s="51" customFormat="1" x14ac:dyDescent="0.25">
      <c r="B22" s="62" t="s">
        <v>1485</v>
      </c>
      <c r="C22" s="51" t="s">
        <v>1523</v>
      </c>
      <c r="D22" s="51" t="s">
        <v>200</v>
      </c>
      <c r="E22" s="51" t="s">
        <v>1526</v>
      </c>
      <c r="F22" s="51" t="str">
        <f t="shared" si="0"/>
        <v>5+ | Stabilized | Delayed Purchase | 1-4 Unit</v>
      </c>
      <c r="G22" s="563">
        <v>0.75</v>
      </c>
      <c r="H22" s="563">
        <v>0.75</v>
      </c>
      <c r="I22" s="563">
        <v>0.75</v>
      </c>
      <c r="J22" s="564" t="s">
        <v>2</v>
      </c>
      <c r="K22" s="523" t="str">
        <f t="shared" si="1"/>
        <v>N</v>
      </c>
      <c r="L22" s="119"/>
      <c r="M22" s="62"/>
      <c r="P22" s="120"/>
      <c r="S22" s="122"/>
      <c r="T22" s="122"/>
      <c r="U22" s="122"/>
      <c r="V22" s="122"/>
      <c r="W22" s="122"/>
      <c r="X22" s="122"/>
    </row>
    <row r="23" spans="2:39" s="51" customFormat="1" x14ac:dyDescent="0.25">
      <c r="B23" s="64" t="s">
        <v>1520</v>
      </c>
      <c r="C23" s="113" t="s">
        <v>1522</v>
      </c>
      <c r="D23" s="113" t="s">
        <v>200</v>
      </c>
      <c r="E23" s="113" t="s">
        <v>1526</v>
      </c>
      <c r="F23" s="113" t="str">
        <f t="shared" si="0"/>
        <v>0+ | Light | Delayed Purchase | 1-4 Unit</v>
      </c>
      <c r="G23" s="561">
        <v>0.75</v>
      </c>
      <c r="H23" s="561">
        <v>0.75</v>
      </c>
      <c r="I23" s="561">
        <v>0.65</v>
      </c>
      <c r="J23" s="562" t="s">
        <v>2</v>
      </c>
      <c r="K23" s="523" t="str">
        <f t="shared" si="1"/>
        <v>N</v>
      </c>
      <c r="L23" s="119" t="s">
        <v>1540</v>
      </c>
      <c r="M23" s="737" t="str">
        <f>IF($O$17="NA","NA",IF($O$17="-","-",$O$17*$N$7))</f>
        <v>NA</v>
      </c>
      <c r="N23" s="738"/>
      <c r="O23" s="738"/>
      <c r="P23" s="739"/>
      <c r="S23" s="122"/>
      <c r="T23" s="122"/>
      <c r="U23" s="122"/>
      <c r="V23" s="122"/>
      <c r="W23" s="122"/>
      <c r="X23" s="122"/>
    </row>
    <row r="24" spans="2:39" s="51" customFormat="1" x14ac:dyDescent="0.25">
      <c r="B24" s="62" t="s">
        <v>1519</v>
      </c>
      <c r="C24" s="51" t="s">
        <v>1522</v>
      </c>
      <c r="D24" s="51" t="s">
        <v>200</v>
      </c>
      <c r="E24" s="51" t="s">
        <v>1526</v>
      </c>
      <c r="F24" s="51" t="str">
        <f t="shared" si="0"/>
        <v>1+ | Light | Delayed Purchase | 1-4 Unit</v>
      </c>
      <c r="G24" s="563">
        <v>0.85</v>
      </c>
      <c r="H24" s="563">
        <v>0.8</v>
      </c>
      <c r="I24" s="563">
        <v>0.65</v>
      </c>
      <c r="J24" s="564" t="s">
        <v>2</v>
      </c>
      <c r="K24" s="523" t="str">
        <f t="shared" si="1"/>
        <v>N</v>
      </c>
      <c r="L24" s="119" t="s">
        <v>28</v>
      </c>
      <c r="M24" s="737" t="str">
        <f>IF($P$17="NA","NA",IF($P$17="-","-",$P$17*($N$8+$N$6)))</f>
        <v>NA</v>
      </c>
      <c r="N24" s="738"/>
      <c r="O24" s="738"/>
      <c r="P24" s="739"/>
      <c r="R24" s="639" t="s">
        <v>23586</v>
      </c>
      <c r="S24" s="639"/>
      <c r="T24" s="639"/>
      <c r="U24" s="639"/>
      <c r="V24" s="639"/>
      <c r="W24" s="639"/>
      <c r="X24" s="639"/>
    </row>
    <row r="25" spans="2:39" s="51" customFormat="1" x14ac:dyDescent="0.25">
      <c r="B25" s="62" t="s">
        <v>1518</v>
      </c>
      <c r="C25" s="51" t="s">
        <v>1522</v>
      </c>
      <c r="D25" s="51" t="s">
        <v>200</v>
      </c>
      <c r="E25" s="51" t="s">
        <v>1526</v>
      </c>
      <c r="F25" s="51" t="str">
        <f t="shared" si="0"/>
        <v>3+ | Light | Delayed Purchase | 1-4 Unit</v>
      </c>
      <c r="G25" s="563">
        <v>0.9</v>
      </c>
      <c r="H25" s="563">
        <v>0.85</v>
      </c>
      <c r="I25" s="563">
        <v>0.7</v>
      </c>
      <c r="J25" s="564" t="s">
        <v>2</v>
      </c>
      <c r="K25" s="523" t="str">
        <f t="shared" si="1"/>
        <v>N</v>
      </c>
      <c r="L25" s="119" t="s">
        <v>1539</v>
      </c>
      <c r="M25" s="737" t="str">
        <f>IF(OR($M$23="NA",$M$24="NA"),"NA",IF($M$23="-",$M$24,IF($M$24="-",$M$23,MIN($M$23:$P$24))))</f>
        <v>NA</v>
      </c>
      <c r="N25" s="738"/>
      <c r="O25" s="738"/>
      <c r="P25" s="739"/>
      <c r="R25" s="639" t="s">
        <v>23590</v>
      </c>
      <c r="S25" s="639"/>
      <c r="T25" s="639">
        <f>RTL!$D$15</f>
        <v>0</v>
      </c>
      <c r="U25" s="639"/>
      <c r="V25" s="639"/>
      <c r="W25" s="639" t="str">
        <f>IF(OR(T25="Multi (5-8 Unit)",T25="Multi (8+ Unit)",T25="Mixed-Use"),"N","Y")</f>
        <v>Y</v>
      </c>
      <c r="X25" s="639"/>
    </row>
    <row r="26" spans="2:39" s="51" customFormat="1" x14ac:dyDescent="0.25">
      <c r="B26" s="62" t="s">
        <v>1485</v>
      </c>
      <c r="C26" s="51" t="s">
        <v>1522</v>
      </c>
      <c r="D26" s="51" t="s">
        <v>200</v>
      </c>
      <c r="E26" s="51" t="s">
        <v>1526</v>
      </c>
      <c r="F26" s="51" t="str">
        <f t="shared" si="0"/>
        <v>5+ | Light | Delayed Purchase | 1-4 Unit</v>
      </c>
      <c r="G26" s="563">
        <v>0.9</v>
      </c>
      <c r="H26" s="563">
        <v>0.85</v>
      </c>
      <c r="I26" s="563">
        <v>0.7</v>
      </c>
      <c r="J26" s="564" t="s">
        <v>2</v>
      </c>
      <c r="K26" s="523" t="str">
        <f t="shared" si="1"/>
        <v>N</v>
      </c>
      <c r="L26" s="119"/>
      <c r="M26" s="62"/>
      <c r="P26" s="120"/>
      <c r="R26" s="639" t="s">
        <v>195</v>
      </c>
      <c r="S26" s="639"/>
      <c r="T26" s="639">
        <f>RTL!$D$36</f>
        <v>0</v>
      </c>
      <c r="U26" s="639"/>
      <c r="V26" s="639"/>
      <c r="W26" s="639" t="str">
        <f>IF(T26&gt;150000,"N","Y")</f>
        <v>Y</v>
      </c>
      <c r="X26" s="639"/>
    </row>
    <row r="27" spans="2:39" s="51" customFormat="1" x14ac:dyDescent="0.25">
      <c r="B27" s="64" t="s">
        <v>1520</v>
      </c>
      <c r="C27" s="113" t="s">
        <v>1521</v>
      </c>
      <c r="D27" s="113" t="s">
        <v>200</v>
      </c>
      <c r="E27" s="113" t="s">
        <v>1526</v>
      </c>
      <c r="F27" s="113" t="str">
        <f t="shared" si="0"/>
        <v>0+ | Moderate | Delayed Purchase | 1-4 Unit</v>
      </c>
      <c r="G27" s="561">
        <v>0.75</v>
      </c>
      <c r="H27" s="561">
        <v>0.75</v>
      </c>
      <c r="I27" s="561">
        <v>0.65</v>
      </c>
      <c r="J27" s="562" t="s">
        <v>2</v>
      </c>
      <c r="K27" s="523" t="str">
        <f t="shared" si="1"/>
        <v>N</v>
      </c>
      <c r="L27" s="119" t="s">
        <v>1537</v>
      </c>
      <c r="M27" s="737" t="str">
        <f>IFERROR(IF(OR($M$21="NA",M25="NA"),"NA",IF(OR($N$6=0,$N$6=""),0,MIN((($M$25)-$M$21),$N$6))),"-")</f>
        <v>NA</v>
      </c>
      <c r="N27" s="738"/>
      <c r="O27" s="738"/>
      <c r="P27" s="739"/>
      <c r="R27" s="639" t="s">
        <v>23587</v>
      </c>
      <c r="S27" s="639"/>
      <c r="T27" s="639">
        <f>RTL!$E$11</f>
        <v>0</v>
      </c>
      <c r="U27" s="639"/>
      <c r="V27" s="639"/>
      <c r="W27" s="639" t="str">
        <f>IF(OR(T27="0+",T27="1+",T27=0),"N","Y")</f>
        <v>N</v>
      </c>
      <c r="X27" s="639"/>
    </row>
    <row r="28" spans="2:39" s="51" customFormat="1" x14ac:dyDescent="0.25">
      <c r="B28" s="62" t="s">
        <v>1519</v>
      </c>
      <c r="C28" s="51" t="s">
        <v>1521</v>
      </c>
      <c r="D28" s="51" t="s">
        <v>200</v>
      </c>
      <c r="E28" s="51" t="s">
        <v>1526</v>
      </c>
      <c r="F28" s="51" t="str">
        <f t="shared" si="0"/>
        <v>1+ | Moderate | Delayed Purchase | 1-4 Unit</v>
      </c>
      <c r="G28" s="563">
        <v>0.85</v>
      </c>
      <c r="H28" s="563">
        <v>0.8</v>
      </c>
      <c r="I28" s="563">
        <v>0.65</v>
      </c>
      <c r="J28" s="564" t="s">
        <v>2</v>
      </c>
      <c r="K28" s="523" t="str">
        <f t="shared" si="1"/>
        <v>N</v>
      </c>
      <c r="L28" s="119" t="s">
        <v>1421</v>
      </c>
      <c r="M28" s="737" t="str">
        <f>IF($M$27="NA","NA",IFERROR($N$6-$M$27,"-"))</f>
        <v>NA</v>
      </c>
      <c r="N28" s="738"/>
      <c r="O28" s="738"/>
      <c r="P28" s="739"/>
      <c r="R28" s="639" t="s">
        <v>23588</v>
      </c>
      <c r="S28" s="639"/>
      <c r="T28" s="639">
        <f>RTL!$D$10</f>
        <v>0</v>
      </c>
      <c r="U28" s="639"/>
      <c r="V28" s="639"/>
      <c r="W28" s="639" t="str">
        <f>IF(T28&lt;680,"N","Y")</f>
        <v>N</v>
      </c>
      <c r="X28" s="639"/>
    </row>
    <row r="29" spans="2:39" s="51" customFormat="1" x14ac:dyDescent="0.25">
      <c r="B29" s="62" t="s">
        <v>1518</v>
      </c>
      <c r="C29" s="51" t="s">
        <v>1521</v>
      </c>
      <c r="D29" s="51" t="s">
        <v>200</v>
      </c>
      <c r="E29" s="51" t="s">
        <v>1526</v>
      </c>
      <c r="F29" s="51" t="str">
        <f t="shared" si="0"/>
        <v>3+ | Moderate | Delayed Purchase | 1-4 Unit</v>
      </c>
      <c r="G29" s="563">
        <v>0.9</v>
      </c>
      <c r="H29" s="563">
        <v>0.85</v>
      </c>
      <c r="I29" s="563">
        <v>0.7</v>
      </c>
      <c r="J29" s="564" t="s">
        <v>2</v>
      </c>
      <c r="K29" s="523" t="str">
        <f t="shared" si="1"/>
        <v>N</v>
      </c>
      <c r="L29" s="119"/>
      <c r="M29" s="62"/>
      <c r="P29" s="120"/>
      <c r="R29" s="639" t="s">
        <v>23589</v>
      </c>
      <c r="S29" s="639"/>
      <c r="T29" s="639">
        <f>RTL!$D$33</f>
        <v>0</v>
      </c>
      <c r="U29" s="639"/>
      <c r="V29" s="639"/>
      <c r="W29" s="639" t="str">
        <f>IF(T29="Y","N","Y")</f>
        <v>Y</v>
      </c>
      <c r="X29" s="639"/>
    </row>
    <row r="30" spans="2:39" s="51" customFormat="1" x14ac:dyDescent="0.25">
      <c r="B30" s="62" t="s">
        <v>1485</v>
      </c>
      <c r="C30" s="51" t="s">
        <v>1521</v>
      </c>
      <c r="D30" s="51" t="s">
        <v>200</v>
      </c>
      <c r="E30" s="51" t="s">
        <v>1526</v>
      </c>
      <c r="F30" s="51" t="str">
        <f t="shared" si="0"/>
        <v>5+ | Moderate | Delayed Purchase | 1-4 Unit</v>
      </c>
      <c r="G30" s="563">
        <v>0.9</v>
      </c>
      <c r="H30" s="563">
        <v>0.85</v>
      </c>
      <c r="I30" s="563">
        <v>0.7</v>
      </c>
      <c r="J30" s="564" t="s">
        <v>2</v>
      </c>
      <c r="K30" s="523" t="str">
        <f t="shared" si="1"/>
        <v>N</v>
      </c>
      <c r="L30" s="119" t="s">
        <v>62</v>
      </c>
      <c r="M30" s="737" t="str">
        <f>IF(OR($M$21="NA",$M$25="NA"),"NA",IFERROR(IF($N$6=0,$M$21,MIN(SUM($M$21,$M$27),$M$25)),"-"))</f>
        <v>NA</v>
      </c>
      <c r="N30" s="738"/>
      <c r="O30" s="738"/>
      <c r="P30" s="739"/>
      <c r="R30" s="639"/>
      <c r="S30" s="639"/>
      <c r="T30" s="639"/>
      <c r="U30" s="639"/>
      <c r="V30" s="639"/>
      <c r="W30" s="639"/>
      <c r="X30" s="639"/>
    </row>
    <row r="31" spans="2:39" s="51" customFormat="1" x14ac:dyDescent="0.25">
      <c r="B31" s="64" t="s">
        <v>1520</v>
      </c>
      <c r="C31" s="113" t="s">
        <v>1515</v>
      </c>
      <c r="D31" s="113" t="s">
        <v>200</v>
      </c>
      <c r="E31" s="113" t="s">
        <v>1526</v>
      </c>
      <c r="F31" s="113" t="str">
        <f t="shared" si="0"/>
        <v>0+ | Heavy | Delayed Purchase | 1-4 Unit</v>
      </c>
      <c r="G31" s="561" t="s">
        <v>148</v>
      </c>
      <c r="H31" s="561" t="s">
        <v>148</v>
      </c>
      <c r="I31" s="561" t="s">
        <v>148</v>
      </c>
      <c r="J31" s="562" t="s">
        <v>148</v>
      </c>
      <c r="K31" s="523" t="str">
        <f t="shared" si="1"/>
        <v>N</v>
      </c>
      <c r="L31" s="119"/>
      <c r="M31" s="62"/>
      <c r="P31" s="120"/>
      <c r="R31" s="639" t="s">
        <v>1464</v>
      </c>
      <c r="S31" s="639"/>
      <c r="T31" s="639" t="b">
        <f>$P$8</f>
        <v>0</v>
      </c>
      <c r="U31" s="639"/>
      <c r="V31" s="639"/>
      <c r="W31" s="639" t="str">
        <f>IF(T31="Heavy","N","Y")</f>
        <v>Y</v>
      </c>
      <c r="X31" s="639"/>
    </row>
    <row r="32" spans="2:39" s="51" customFormat="1" x14ac:dyDescent="0.25">
      <c r="B32" s="62" t="s">
        <v>1519</v>
      </c>
      <c r="C32" s="51" t="s">
        <v>1515</v>
      </c>
      <c r="D32" s="51" t="s">
        <v>200</v>
      </c>
      <c r="E32" s="51" t="s">
        <v>1526</v>
      </c>
      <c r="F32" s="51" t="str">
        <f t="shared" si="0"/>
        <v>1+ | Heavy | Delayed Purchase | 1-4 Unit</v>
      </c>
      <c r="G32" s="563">
        <v>0.6</v>
      </c>
      <c r="H32" s="563">
        <v>0.6</v>
      </c>
      <c r="I32" s="563">
        <v>0.5</v>
      </c>
      <c r="J32" s="564" t="s">
        <v>2</v>
      </c>
      <c r="K32" s="523" t="str">
        <f t="shared" si="1"/>
        <v>N</v>
      </c>
      <c r="L32" s="119" t="s">
        <v>1544</v>
      </c>
      <c r="M32" s="742" t="str">
        <f>IF($M$30="NA","NA",IF($M$30="-","-",IF($M$30&gt;1500000,-5%,)))</f>
        <v>NA</v>
      </c>
      <c r="N32" s="743"/>
      <c r="O32" s="743"/>
      <c r="P32" s="744"/>
      <c r="R32" s="639" t="s">
        <v>23591</v>
      </c>
      <c r="S32" s="639"/>
      <c r="T32" s="639">
        <f>RTL!$D$9</f>
        <v>0</v>
      </c>
      <c r="U32" s="639"/>
      <c r="V32" s="639"/>
      <c r="W32" s="639" t="str">
        <f>IF(T32="Foreign National","N","Y")</f>
        <v>Y</v>
      </c>
      <c r="X32" s="639"/>
    </row>
    <row r="33" spans="2:24" s="51" customFormat="1" x14ac:dyDescent="0.25">
      <c r="B33" s="62" t="s">
        <v>1518</v>
      </c>
      <c r="C33" s="51" t="s">
        <v>1515</v>
      </c>
      <c r="D33" s="51" t="s">
        <v>200</v>
      </c>
      <c r="E33" s="51" t="s">
        <v>1526</v>
      </c>
      <c r="F33" s="51" t="str">
        <f t="shared" si="0"/>
        <v>3+ | Heavy | Delayed Purchase | 1-4 Unit</v>
      </c>
      <c r="G33" s="563">
        <v>0.75</v>
      </c>
      <c r="H33" s="563">
        <v>0.75</v>
      </c>
      <c r="I33" s="563">
        <v>0.6</v>
      </c>
      <c r="J33" s="564" t="s">
        <v>2</v>
      </c>
      <c r="K33" s="523" t="str">
        <f t="shared" si="1"/>
        <v>N</v>
      </c>
      <c r="L33" s="119"/>
      <c r="M33" s="62"/>
      <c r="P33" s="120"/>
      <c r="R33" s="639" t="s">
        <v>23592</v>
      </c>
      <c r="S33" s="639"/>
      <c r="T33" s="639"/>
      <c r="U33" s="639"/>
      <c r="V33" s="639"/>
      <c r="W33" s="639" t="str">
        <f>IF(OR(W25="N",W26="N",W27="N",W28="N",W29="N",W30="N",W31="N",W32="N"),"N","Y")</f>
        <v>N</v>
      </c>
      <c r="X33" s="639"/>
    </row>
    <row r="34" spans="2:24" s="51" customFormat="1" x14ac:dyDescent="0.25">
      <c r="B34" s="62" t="s">
        <v>1485</v>
      </c>
      <c r="C34" s="51" t="s">
        <v>1515</v>
      </c>
      <c r="D34" s="51" t="s">
        <v>200</v>
      </c>
      <c r="E34" s="51" t="s">
        <v>1526</v>
      </c>
      <c r="F34" s="51" t="str">
        <f t="shared" si="0"/>
        <v>5+ | Heavy | Delayed Purchase | 1-4 Unit</v>
      </c>
      <c r="G34" s="563">
        <v>0.75</v>
      </c>
      <c r="H34" s="563">
        <v>0.75</v>
      </c>
      <c r="I34" s="563">
        <v>0.6</v>
      </c>
      <c r="J34" s="564" t="s">
        <v>2</v>
      </c>
      <c r="K34" s="523" t="str">
        <f t="shared" si="1"/>
        <v>N</v>
      </c>
      <c r="L34" s="119" t="s">
        <v>1543</v>
      </c>
      <c r="M34" s="121" t="str">
        <f>IF(M$17="NA","NA",IF(M$17="-","-",M$17+$M$32))</f>
        <v>NA</v>
      </c>
      <c r="N34" s="110" t="str">
        <f>IF(N$17="NA","NA",IF(N$17="-","-",N$17+$M$32))</f>
        <v>NA</v>
      </c>
      <c r="O34" s="110" t="str">
        <f>IF(O$17="NA","NA",IF(O$17="-","-",O$17+$M$32))</f>
        <v>NA</v>
      </c>
      <c r="P34" s="109" t="str">
        <f>IF(P$17="NA","NA",IF(P$17="-","-",P$17+$M$32))</f>
        <v>NA</v>
      </c>
    </row>
    <row r="35" spans="2:24" s="51" customFormat="1" x14ac:dyDescent="0.25">
      <c r="B35" s="64" t="s">
        <v>1520</v>
      </c>
      <c r="C35" s="113" t="s">
        <v>1523</v>
      </c>
      <c r="D35" s="113" t="s">
        <v>3</v>
      </c>
      <c r="E35" s="113" t="s">
        <v>1526</v>
      </c>
      <c r="F35" s="113" t="str">
        <f t="shared" si="0"/>
        <v>0+ | Stabilized | Refinance (Rate/Term) | 1-4 Unit</v>
      </c>
      <c r="G35" s="533">
        <v>0.65</v>
      </c>
      <c r="H35" s="533" t="s">
        <v>2</v>
      </c>
      <c r="I35" s="533">
        <v>0.65</v>
      </c>
      <c r="J35" s="534" t="s">
        <v>2</v>
      </c>
      <c r="K35" s="523" t="str">
        <f t="shared" si="1"/>
        <v>N</v>
      </c>
      <c r="L35" s="119"/>
      <c r="M35" s="62"/>
      <c r="P35" s="120"/>
      <c r="R35" s="639" t="s">
        <v>23593</v>
      </c>
      <c r="S35" s="639"/>
      <c r="T35" s="639"/>
      <c r="U35" s="639"/>
      <c r="V35" s="639"/>
      <c r="W35" s="639">
        <f>MIN(0.85*$N$8,0.9*$N$3)</f>
        <v>0</v>
      </c>
      <c r="X35" s="639"/>
    </row>
    <row r="36" spans="2:24" s="51" customFormat="1" x14ac:dyDescent="0.25">
      <c r="B36" s="62" t="s">
        <v>1519</v>
      </c>
      <c r="C36" s="51" t="s">
        <v>1523</v>
      </c>
      <c r="D36" s="51" t="s">
        <v>3</v>
      </c>
      <c r="E36" s="51" t="s">
        <v>1526</v>
      </c>
      <c r="F36" s="51" t="str">
        <f t="shared" si="0"/>
        <v>1+ | Stabilized | Refinance (Rate/Term) | 1-4 Unit</v>
      </c>
      <c r="G36" s="535">
        <v>0.65</v>
      </c>
      <c r="H36" s="535" t="s">
        <v>2</v>
      </c>
      <c r="I36" s="535">
        <v>0.65</v>
      </c>
      <c r="J36" s="536" t="s">
        <v>2</v>
      </c>
      <c r="K36" s="523" t="str">
        <f t="shared" si="1"/>
        <v>N</v>
      </c>
      <c r="L36" s="119" t="s">
        <v>1542</v>
      </c>
      <c r="M36" s="737" t="str">
        <f>IF($M$34="NA","NA",IF($M$34="-","-",$M$34*$N$3))</f>
        <v>NA</v>
      </c>
      <c r="N36" s="738"/>
      <c r="O36" s="738"/>
      <c r="P36" s="739"/>
      <c r="R36" s="639" t="s">
        <v>23594</v>
      </c>
      <c r="S36" s="639"/>
      <c r="T36" s="639"/>
      <c r="U36" s="639"/>
      <c r="V36" s="639"/>
      <c r="W36" s="738">
        <f>$N$6</f>
        <v>0</v>
      </c>
      <c r="X36" s="639"/>
    </row>
    <row r="37" spans="2:24" s="51" customFormat="1" x14ac:dyDescent="0.25">
      <c r="B37" s="62" t="s">
        <v>1518</v>
      </c>
      <c r="C37" s="51" t="s">
        <v>1523</v>
      </c>
      <c r="D37" s="51" t="s">
        <v>3</v>
      </c>
      <c r="E37" s="51" t="s">
        <v>1526</v>
      </c>
      <c r="F37" s="51" t="str">
        <f t="shared" si="0"/>
        <v>3+ | Stabilized | Refinance (Rate/Term) | 1-4 Unit</v>
      </c>
      <c r="G37" s="535">
        <v>0.65</v>
      </c>
      <c r="H37" s="535" t="s">
        <v>2</v>
      </c>
      <c r="I37" s="535">
        <v>0.65</v>
      </c>
      <c r="J37" s="536" t="s">
        <v>2</v>
      </c>
      <c r="K37" s="523" t="str">
        <f t="shared" si="1"/>
        <v>N</v>
      </c>
      <c r="L37" s="119" t="s">
        <v>28</v>
      </c>
      <c r="M37" s="737" t="str">
        <f>IF($N$34="NA","NA",IF($N$34="-","-",$N$34*$N$8))</f>
        <v>NA</v>
      </c>
      <c r="N37" s="738"/>
      <c r="O37" s="738"/>
      <c r="P37" s="739"/>
      <c r="R37" s="639" t="s">
        <v>23595</v>
      </c>
      <c r="S37" s="639"/>
      <c r="T37" s="639"/>
      <c r="U37" s="639"/>
      <c r="V37" s="639"/>
      <c r="W37" s="767">
        <f>0.7*$N$7</f>
        <v>0</v>
      </c>
      <c r="X37" s="639"/>
    </row>
    <row r="38" spans="2:24" s="51" customFormat="1" x14ac:dyDescent="0.25">
      <c r="B38" s="62" t="s">
        <v>1485</v>
      </c>
      <c r="C38" s="51" t="s">
        <v>1523</v>
      </c>
      <c r="D38" s="51" t="s">
        <v>3</v>
      </c>
      <c r="E38" s="51" t="s">
        <v>1526</v>
      </c>
      <c r="F38" s="51" t="str">
        <f t="shared" si="0"/>
        <v>5+ | Stabilized | Refinance (Rate/Term) | 1-4 Unit</v>
      </c>
      <c r="G38" s="535">
        <v>0.65</v>
      </c>
      <c r="H38" s="535" t="s">
        <v>2</v>
      </c>
      <c r="I38" s="535">
        <v>0.65</v>
      </c>
      <c r="J38" s="536" t="s">
        <v>2</v>
      </c>
      <c r="K38" s="523" t="str">
        <f t="shared" si="1"/>
        <v>N</v>
      </c>
      <c r="L38" s="119" t="s">
        <v>1541</v>
      </c>
      <c r="M38" s="737" t="str">
        <f>IF(OR($M$36="NA",$M$37="NA"),"NA",IF($M$36="-",$M$37,IF($M$37="-",$M$36,MIN($M$36:$P$37))))</f>
        <v>NA</v>
      </c>
      <c r="N38" s="738"/>
      <c r="O38" s="738"/>
      <c r="P38" s="739"/>
      <c r="R38" s="639" t="s">
        <v>23596</v>
      </c>
      <c r="S38" s="639"/>
      <c r="T38" s="639"/>
      <c r="U38" s="639"/>
      <c r="V38" s="639"/>
      <c r="W38" s="767">
        <f>W35+W36</f>
        <v>0</v>
      </c>
      <c r="X38" s="639"/>
    </row>
    <row r="39" spans="2:24" s="51" customFormat="1" x14ac:dyDescent="0.25">
      <c r="B39" s="64" t="s">
        <v>1520</v>
      </c>
      <c r="C39" s="113" t="s">
        <v>1522</v>
      </c>
      <c r="D39" s="113" t="s">
        <v>3</v>
      </c>
      <c r="E39" s="113" t="s">
        <v>1526</v>
      </c>
      <c r="F39" s="113" t="str">
        <f t="shared" si="0"/>
        <v>0+ | Light | Refinance (Rate/Term) | 1-4 Unit</v>
      </c>
      <c r="G39" s="533">
        <v>0.65</v>
      </c>
      <c r="H39" s="533" t="s">
        <v>2</v>
      </c>
      <c r="I39" s="533">
        <v>0.6</v>
      </c>
      <c r="J39" s="534" t="s">
        <v>2</v>
      </c>
      <c r="K39" s="523" t="str">
        <f t="shared" si="1"/>
        <v>N</v>
      </c>
      <c r="L39" s="119"/>
      <c r="M39" s="62"/>
      <c r="P39" s="120"/>
      <c r="R39" s="639" t="s">
        <v>23597</v>
      </c>
      <c r="S39" s="639"/>
      <c r="T39" s="639"/>
      <c r="U39" s="639"/>
      <c r="V39" s="639"/>
      <c r="W39" s="639" t="str">
        <f>IF($W$33="N","N",IF(OR(W37&gt;750000,W38&gt;750000),"N","Y"))</f>
        <v>N</v>
      </c>
      <c r="X39" s="639"/>
    </row>
    <row r="40" spans="2:24" s="51" customFormat="1" x14ac:dyDescent="0.25">
      <c r="B40" s="62" t="s">
        <v>1519</v>
      </c>
      <c r="C40" s="51" t="s">
        <v>1522</v>
      </c>
      <c r="D40" s="51" t="s">
        <v>3</v>
      </c>
      <c r="E40" s="51" t="s">
        <v>1526</v>
      </c>
      <c r="F40" s="51" t="str">
        <f t="shared" si="0"/>
        <v>1+ | Light | Refinance (Rate/Term) | 1-4 Unit</v>
      </c>
      <c r="G40" s="535">
        <v>0.65</v>
      </c>
      <c r="H40" s="535" t="s">
        <v>2</v>
      </c>
      <c r="I40" s="535">
        <v>0.6</v>
      </c>
      <c r="J40" s="536" t="s">
        <v>2</v>
      </c>
      <c r="K40" s="523" t="str">
        <f t="shared" si="1"/>
        <v>N</v>
      </c>
      <c r="L40" s="119" t="s">
        <v>1540</v>
      </c>
      <c r="M40" s="737" t="str">
        <f>IF($O$34="NA","NA",IF($O$34="-","-",$O$34*$N$7))</f>
        <v>NA</v>
      </c>
      <c r="N40" s="738"/>
      <c r="O40" s="738"/>
      <c r="P40" s="739"/>
    </row>
    <row r="41" spans="2:24" s="51" customFormat="1" x14ac:dyDescent="0.25">
      <c r="B41" s="62" t="s">
        <v>1518</v>
      </c>
      <c r="C41" s="51" t="s">
        <v>1522</v>
      </c>
      <c r="D41" s="51" t="s">
        <v>3</v>
      </c>
      <c r="E41" s="51" t="s">
        <v>1526</v>
      </c>
      <c r="F41" s="51" t="str">
        <f t="shared" si="0"/>
        <v>3+ | Light | Refinance (Rate/Term) | 1-4 Unit</v>
      </c>
      <c r="G41" s="535">
        <v>0.7</v>
      </c>
      <c r="H41" s="535" t="s">
        <v>2</v>
      </c>
      <c r="I41" s="535">
        <v>0.6</v>
      </c>
      <c r="J41" s="536" t="s">
        <v>2</v>
      </c>
      <c r="K41" s="523" t="str">
        <f t="shared" si="1"/>
        <v>N</v>
      </c>
      <c r="L41" s="119" t="s">
        <v>28</v>
      </c>
      <c r="M41" s="737" t="str">
        <f>IF($P$34="NA","NA",IF($P$34="-","-",$P$34*($N$8+$N$6)))</f>
        <v>NA</v>
      </c>
      <c r="N41" s="738"/>
      <c r="O41" s="738"/>
      <c r="P41" s="739"/>
    </row>
    <row r="42" spans="2:24" s="51" customFormat="1" x14ac:dyDescent="0.25">
      <c r="B42" s="62" t="s">
        <v>1485</v>
      </c>
      <c r="C42" s="51" t="s">
        <v>1522</v>
      </c>
      <c r="D42" s="51" t="s">
        <v>3</v>
      </c>
      <c r="E42" s="51" t="s">
        <v>1526</v>
      </c>
      <c r="F42" s="51" t="str">
        <f t="shared" si="0"/>
        <v>5+ | Light | Refinance (Rate/Term) | 1-4 Unit</v>
      </c>
      <c r="G42" s="535">
        <v>0.7</v>
      </c>
      <c r="H42" s="535" t="s">
        <v>2</v>
      </c>
      <c r="I42" s="535">
        <v>0.6</v>
      </c>
      <c r="J42" s="536" t="s">
        <v>2</v>
      </c>
      <c r="K42" s="523" t="str">
        <f t="shared" si="1"/>
        <v>N</v>
      </c>
      <c r="L42" s="119" t="s">
        <v>1539</v>
      </c>
      <c r="M42" s="737" t="str">
        <f>IF(OR($M$40="NA",$M$41="NA"),"NA",IF($M$40="-",$M$41,IF($M$41="-",$M$40,MIN($M$40:$P$41))))</f>
        <v>NA</v>
      </c>
      <c r="N42" s="738"/>
      <c r="O42" s="738"/>
      <c r="P42" s="739"/>
    </row>
    <row r="43" spans="2:24" s="51" customFormat="1" x14ac:dyDescent="0.25">
      <c r="B43" s="64" t="s">
        <v>1520</v>
      </c>
      <c r="C43" s="113" t="s">
        <v>1521</v>
      </c>
      <c r="D43" s="113" t="s">
        <v>3</v>
      </c>
      <c r="E43" s="113" t="s">
        <v>1526</v>
      </c>
      <c r="F43" s="113" t="str">
        <f t="shared" si="0"/>
        <v>0+ | Moderate | Refinance (Rate/Term) | 1-4 Unit</v>
      </c>
      <c r="G43" s="533">
        <v>0.65</v>
      </c>
      <c r="H43" s="533" t="s">
        <v>2</v>
      </c>
      <c r="I43" s="533">
        <v>0.6</v>
      </c>
      <c r="J43" s="534" t="s">
        <v>2</v>
      </c>
      <c r="K43" s="523" t="str">
        <f t="shared" si="1"/>
        <v>N</v>
      </c>
      <c r="L43" s="119"/>
      <c r="M43" s="62"/>
      <c r="P43" s="120"/>
    </row>
    <row r="44" spans="2:24" s="51" customFormat="1" x14ac:dyDescent="0.25">
      <c r="B44" s="62" t="s">
        <v>1519</v>
      </c>
      <c r="C44" s="51" t="s">
        <v>1521</v>
      </c>
      <c r="D44" s="51" t="s">
        <v>3</v>
      </c>
      <c r="E44" s="51" t="s">
        <v>1526</v>
      </c>
      <c r="F44" s="51" t="str">
        <f t="shared" si="0"/>
        <v>1+ | Moderate | Refinance (Rate/Term) | 1-4 Unit</v>
      </c>
      <c r="G44" s="535">
        <v>0.65</v>
      </c>
      <c r="H44" s="535" t="s">
        <v>2</v>
      </c>
      <c r="I44" s="535">
        <v>0.6</v>
      </c>
      <c r="J44" s="536" t="s">
        <v>2</v>
      </c>
      <c r="K44" s="523" t="str">
        <f t="shared" si="1"/>
        <v>N</v>
      </c>
      <c r="L44" s="119" t="s">
        <v>1537</v>
      </c>
      <c r="M44" s="737" t="str">
        <f>IFERROR(IF(OR($M$38="NA",M42="NA"),"NA",IF(OR($N$6=0,$N$6=""),0,MIN((($M$42)-$M$38),$N$6))),"-")</f>
        <v>NA</v>
      </c>
      <c r="N44" s="738"/>
      <c r="O44" s="738"/>
      <c r="P44" s="739"/>
    </row>
    <row r="45" spans="2:24" s="51" customFormat="1" x14ac:dyDescent="0.25">
      <c r="B45" s="62" t="s">
        <v>1518</v>
      </c>
      <c r="C45" s="51" t="s">
        <v>1521</v>
      </c>
      <c r="D45" s="51" t="s">
        <v>3</v>
      </c>
      <c r="E45" s="51" t="s">
        <v>1526</v>
      </c>
      <c r="F45" s="51" t="str">
        <f t="shared" si="0"/>
        <v>3+ | Moderate | Refinance (Rate/Term) | 1-4 Unit</v>
      </c>
      <c r="G45" s="535">
        <v>0.7</v>
      </c>
      <c r="H45" s="535" t="s">
        <v>2</v>
      </c>
      <c r="I45" s="535">
        <v>0.6</v>
      </c>
      <c r="J45" s="536" t="s">
        <v>2</v>
      </c>
      <c r="K45" s="523" t="str">
        <f t="shared" si="1"/>
        <v>N</v>
      </c>
      <c r="L45" s="119" t="s">
        <v>1421</v>
      </c>
      <c r="M45" s="737" t="str">
        <f>IF($M$44="NA","NA",IFERROR($N$6-$M$44,"-"))</f>
        <v>NA</v>
      </c>
      <c r="N45" s="738"/>
      <c r="O45" s="738"/>
      <c r="P45" s="739"/>
    </row>
    <row r="46" spans="2:24" s="51" customFormat="1" x14ac:dyDescent="0.25">
      <c r="B46" s="62" t="s">
        <v>1485</v>
      </c>
      <c r="C46" s="51" t="s">
        <v>1521</v>
      </c>
      <c r="D46" s="51" t="s">
        <v>3</v>
      </c>
      <c r="E46" s="51" t="s">
        <v>1526</v>
      </c>
      <c r="F46" s="51" t="str">
        <f t="shared" si="0"/>
        <v>5+ | Moderate | Refinance (Rate/Term) | 1-4 Unit</v>
      </c>
      <c r="G46" s="535">
        <v>0.7</v>
      </c>
      <c r="H46" s="535" t="s">
        <v>2</v>
      </c>
      <c r="I46" s="535">
        <v>0.6</v>
      </c>
      <c r="J46" s="536" t="s">
        <v>2</v>
      </c>
      <c r="K46" s="523" t="str">
        <f t="shared" si="1"/>
        <v>N</v>
      </c>
      <c r="L46" s="119"/>
      <c r="M46" s="62"/>
      <c r="P46" s="120"/>
    </row>
    <row r="47" spans="2:24" s="51" customFormat="1" x14ac:dyDescent="0.25">
      <c r="B47" s="64" t="s">
        <v>1520</v>
      </c>
      <c r="C47" s="113" t="s">
        <v>1515</v>
      </c>
      <c r="D47" s="113" t="s">
        <v>3</v>
      </c>
      <c r="E47" s="113" t="s">
        <v>1526</v>
      </c>
      <c r="F47" s="113" t="str">
        <f t="shared" ref="F47:F88" si="2">B47&amp;" | "&amp;C47&amp;" | "&amp;D47&amp;" | "&amp;E47</f>
        <v>0+ | Heavy | Refinance (Rate/Term) | 1-4 Unit</v>
      </c>
      <c r="G47" s="533" t="s">
        <v>148</v>
      </c>
      <c r="H47" s="533" t="s">
        <v>148</v>
      </c>
      <c r="I47" s="533" t="s">
        <v>148</v>
      </c>
      <c r="J47" s="534" t="s">
        <v>148</v>
      </c>
      <c r="K47" s="523" t="str">
        <f t="shared" si="1"/>
        <v>N</v>
      </c>
      <c r="L47" s="119" t="s">
        <v>62</v>
      </c>
      <c r="M47" s="737" t="str">
        <f>IF(OR($M$38="NA",$M$42="NA"),"NA",IFERROR(IF($N$6=0,$M$38,MIN(SUM($M$38,$M$44),$M$42)),"-"))</f>
        <v>NA</v>
      </c>
      <c r="N47" s="738"/>
      <c r="O47" s="738"/>
      <c r="P47" s="739"/>
    </row>
    <row r="48" spans="2:24" s="51" customFormat="1" x14ac:dyDescent="0.25">
      <c r="B48" s="62" t="s">
        <v>1519</v>
      </c>
      <c r="C48" s="51" t="s">
        <v>1515</v>
      </c>
      <c r="D48" s="51" t="s">
        <v>3</v>
      </c>
      <c r="E48" s="51" t="s">
        <v>1526</v>
      </c>
      <c r="F48" s="51" t="str">
        <f t="shared" si="2"/>
        <v>1+ | Heavy | Refinance (Rate/Term) | 1-4 Unit</v>
      </c>
      <c r="G48" s="535" t="s">
        <v>148</v>
      </c>
      <c r="H48" s="535" t="s">
        <v>148</v>
      </c>
      <c r="I48" s="535" t="s">
        <v>148</v>
      </c>
      <c r="J48" s="536" t="s">
        <v>148</v>
      </c>
      <c r="K48" s="523" t="str">
        <f t="shared" ref="K48:K91" si="3">$W$39</f>
        <v>N</v>
      </c>
      <c r="L48" s="119" t="s">
        <v>1536</v>
      </c>
      <c r="M48" s="737">
        <v>1500000</v>
      </c>
      <c r="N48" s="738"/>
      <c r="O48" s="738"/>
      <c r="P48" s="739"/>
    </row>
    <row r="49" spans="2:16" s="51" customFormat="1" x14ac:dyDescent="0.25">
      <c r="B49" s="62" t="s">
        <v>1518</v>
      </c>
      <c r="C49" s="51" t="s">
        <v>1515</v>
      </c>
      <c r="D49" s="51" t="s">
        <v>3</v>
      </c>
      <c r="E49" s="51" t="s">
        <v>1526</v>
      </c>
      <c r="F49" s="51" t="str">
        <f t="shared" si="2"/>
        <v>3+ | Heavy | Refinance (Rate/Term) | 1-4 Unit</v>
      </c>
      <c r="G49" s="535">
        <v>0.7</v>
      </c>
      <c r="H49" s="535" t="s">
        <v>2</v>
      </c>
      <c r="I49" s="535">
        <v>0.6</v>
      </c>
      <c r="J49" s="536" t="s">
        <v>2</v>
      </c>
      <c r="K49" s="523" t="str">
        <f t="shared" si="3"/>
        <v>N</v>
      </c>
      <c r="L49" s="119" t="s">
        <v>1535</v>
      </c>
      <c r="M49" s="737" t="str">
        <f>IF($M$32&lt;0,MAX($M$47,$M$48),$M$47)</f>
        <v>NA</v>
      </c>
      <c r="N49" s="738"/>
      <c r="O49" s="738"/>
      <c r="P49" s="739"/>
    </row>
    <row r="50" spans="2:16" s="51" customFormat="1" x14ac:dyDescent="0.25">
      <c r="B50" s="62" t="s">
        <v>1485</v>
      </c>
      <c r="C50" s="51" t="s">
        <v>1515</v>
      </c>
      <c r="D50" s="51" t="s">
        <v>3</v>
      </c>
      <c r="E50" s="51" t="s">
        <v>1526</v>
      </c>
      <c r="F50" s="51" t="str">
        <f t="shared" si="2"/>
        <v>5+ | Heavy | Refinance (Rate/Term) | 1-4 Unit</v>
      </c>
      <c r="G50" s="535">
        <v>0.7</v>
      </c>
      <c r="H50" s="535" t="s">
        <v>2</v>
      </c>
      <c r="I50" s="535">
        <v>0.6</v>
      </c>
      <c r="J50" s="536" t="s">
        <v>2</v>
      </c>
      <c r="K50" s="523" t="str">
        <f t="shared" si="3"/>
        <v>N</v>
      </c>
      <c r="L50" s="119"/>
      <c r="M50" s="62"/>
      <c r="P50" s="120"/>
    </row>
    <row r="51" spans="2:16" s="51" customFormat="1" x14ac:dyDescent="0.25">
      <c r="B51" s="64" t="s">
        <v>1520</v>
      </c>
      <c r="C51" s="113" t="s">
        <v>1523</v>
      </c>
      <c r="D51" s="113" t="s">
        <v>274</v>
      </c>
      <c r="E51" s="113" t="s">
        <v>1526</v>
      </c>
      <c r="F51" s="113" t="str">
        <f t="shared" si="2"/>
        <v>0+ | Stabilized | Refinance (Cash Out) | 1-4 Unit</v>
      </c>
      <c r="G51" s="533">
        <v>0.6</v>
      </c>
      <c r="H51" s="533" t="s">
        <v>2</v>
      </c>
      <c r="I51" s="533">
        <v>0.6</v>
      </c>
      <c r="J51" s="534" t="s">
        <v>2</v>
      </c>
      <c r="K51" s="523" t="str">
        <f t="shared" si="3"/>
        <v>N</v>
      </c>
      <c r="L51" s="119" t="s">
        <v>1534</v>
      </c>
      <c r="M51" s="737">
        <f>MIN($M$38,$M$21)</f>
        <v>0</v>
      </c>
      <c r="N51" s="639"/>
      <c r="O51" s="639"/>
      <c r="P51" s="733"/>
    </row>
    <row r="52" spans="2:16" s="51" customFormat="1" x14ac:dyDescent="0.25">
      <c r="B52" s="62" t="s">
        <v>1519</v>
      </c>
      <c r="C52" s="51" t="s">
        <v>1523</v>
      </c>
      <c r="D52" s="51" t="s">
        <v>274</v>
      </c>
      <c r="E52" s="51" t="s">
        <v>1526</v>
      </c>
      <c r="F52" s="51" t="str">
        <f t="shared" si="2"/>
        <v>1+ | Stabilized | Refinance (Cash Out) | 1-4 Unit</v>
      </c>
      <c r="G52" s="535">
        <v>0.6</v>
      </c>
      <c r="H52" s="535" t="s">
        <v>2</v>
      </c>
      <c r="I52" s="535">
        <v>0.6</v>
      </c>
      <c r="J52" s="536" t="s">
        <v>2</v>
      </c>
      <c r="K52" s="523" t="str">
        <f t="shared" si="3"/>
        <v>N</v>
      </c>
      <c r="L52" s="119" t="s">
        <v>1533</v>
      </c>
      <c r="M52" s="737">
        <f>IF(OR($M$51="-",$M$51="NA"),"-",IF($P$3="Refinance (Rate/Term)",MIN($M$51,RTL!$D$8*1.02),$M$51))</f>
        <v>0</v>
      </c>
      <c r="N52" s="738"/>
      <c r="O52" s="738"/>
      <c r="P52" s="739"/>
    </row>
    <row r="53" spans="2:16" s="51" customFormat="1" x14ac:dyDescent="0.25">
      <c r="B53" s="62" t="s">
        <v>1518</v>
      </c>
      <c r="C53" s="51" t="s">
        <v>1523</v>
      </c>
      <c r="D53" s="51" t="s">
        <v>274</v>
      </c>
      <c r="E53" s="51" t="s">
        <v>1526</v>
      </c>
      <c r="F53" s="51" t="str">
        <f t="shared" si="2"/>
        <v>3+ | Stabilized | Refinance (Cash Out) | 1-4 Unit</v>
      </c>
      <c r="G53" s="535">
        <v>0.6</v>
      </c>
      <c r="H53" s="535" t="s">
        <v>2</v>
      </c>
      <c r="I53" s="535">
        <v>0.6</v>
      </c>
      <c r="J53" s="536" t="s">
        <v>2</v>
      </c>
      <c r="K53" s="523" t="str">
        <f t="shared" si="3"/>
        <v>N</v>
      </c>
      <c r="L53" s="119" t="s">
        <v>1532</v>
      </c>
      <c r="M53" s="737">
        <f>IFERROR(IF($N$6=0,0,MIN((($M$47)-$M$52),$N$6)),"-")</f>
        <v>0</v>
      </c>
      <c r="N53" s="738"/>
      <c r="O53" s="738"/>
      <c r="P53" s="739"/>
    </row>
    <row r="54" spans="2:16" s="51" customFormat="1" x14ac:dyDescent="0.25">
      <c r="B54" s="62" t="s">
        <v>1485</v>
      </c>
      <c r="C54" s="51" t="s">
        <v>1523</v>
      </c>
      <c r="D54" s="51" t="s">
        <v>274</v>
      </c>
      <c r="E54" s="51" t="s">
        <v>1526</v>
      </c>
      <c r="F54" s="51" t="str">
        <f t="shared" si="2"/>
        <v>5+ | Stabilized | Refinance (Cash Out) | 1-4 Unit</v>
      </c>
      <c r="G54" s="535">
        <v>0.6</v>
      </c>
      <c r="H54" s="535" t="s">
        <v>2</v>
      </c>
      <c r="I54" s="535">
        <v>0.6</v>
      </c>
      <c r="J54" s="536" t="s">
        <v>2</v>
      </c>
      <c r="K54" s="523" t="str">
        <f t="shared" si="3"/>
        <v>N</v>
      </c>
      <c r="L54" s="119" t="s">
        <v>1531</v>
      </c>
      <c r="M54" s="737">
        <f>IFERROR($N$6-$M$53,"-")</f>
        <v>0</v>
      </c>
      <c r="N54" s="738"/>
      <c r="O54" s="738"/>
      <c r="P54" s="739"/>
    </row>
    <row r="55" spans="2:16" s="51" customFormat="1" x14ac:dyDescent="0.25">
      <c r="B55" s="64" t="s">
        <v>1520</v>
      </c>
      <c r="C55" s="113" t="s">
        <v>1522</v>
      </c>
      <c r="D55" s="113" t="s">
        <v>274</v>
      </c>
      <c r="E55" s="113" t="s">
        <v>1526</v>
      </c>
      <c r="F55" s="113" t="str">
        <f t="shared" si="2"/>
        <v>0+ | Light | Refinance (Cash Out) | 1-4 Unit</v>
      </c>
      <c r="G55" s="533" t="s">
        <v>148</v>
      </c>
      <c r="H55" s="533" t="s">
        <v>148</v>
      </c>
      <c r="I55" s="533" t="s">
        <v>148</v>
      </c>
      <c r="J55" s="534" t="s">
        <v>148</v>
      </c>
      <c r="K55" s="523" t="str">
        <f t="shared" si="3"/>
        <v>N</v>
      </c>
      <c r="L55" s="118" t="s">
        <v>1530</v>
      </c>
      <c r="M55" s="750">
        <f>IFERROR(IF($N$6=0,$M$52,MIN(SUM($M$52:$P$53),$M$42)),"-")</f>
        <v>0</v>
      </c>
      <c r="N55" s="751"/>
      <c r="O55" s="751"/>
      <c r="P55" s="752"/>
    </row>
    <row r="56" spans="2:16" s="51" customFormat="1" x14ac:dyDescent="0.25">
      <c r="B56" s="62" t="s">
        <v>1519</v>
      </c>
      <c r="C56" s="51" t="s">
        <v>1522</v>
      </c>
      <c r="D56" s="51" t="s">
        <v>274</v>
      </c>
      <c r="E56" s="51" t="s">
        <v>1526</v>
      </c>
      <c r="F56" s="51" t="str">
        <f t="shared" si="2"/>
        <v>1+ | Light | Refinance (Cash Out) | 1-4 Unit</v>
      </c>
      <c r="G56" s="535" t="s">
        <v>148</v>
      </c>
      <c r="H56" s="535" t="s">
        <v>148</v>
      </c>
      <c r="I56" s="535" t="s">
        <v>148</v>
      </c>
      <c r="J56" s="536" t="s">
        <v>148</v>
      </c>
      <c r="K56" s="523" t="str">
        <f t="shared" si="3"/>
        <v>N</v>
      </c>
    </row>
    <row r="57" spans="2:16" s="51" customFormat="1" x14ac:dyDescent="0.25">
      <c r="B57" s="62" t="s">
        <v>1518</v>
      </c>
      <c r="C57" s="51" t="s">
        <v>1522</v>
      </c>
      <c r="D57" s="51" t="s">
        <v>274</v>
      </c>
      <c r="E57" s="51" t="s">
        <v>1526</v>
      </c>
      <c r="F57" s="51" t="str">
        <f t="shared" si="2"/>
        <v>3+ | Light | Refinance (Cash Out) | 1-4 Unit</v>
      </c>
      <c r="G57" s="535">
        <v>0.6</v>
      </c>
      <c r="H57" s="535" t="s">
        <v>2</v>
      </c>
      <c r="I57" s="535">
        <v>0.55000000000000004</v>
      </c>
      <c r="J57" s="536" t="s">
        <v>2</v>
      </c>
      <c r="K57" s="523" t="str">
        <f t="shared" si="3"/>
        <v>N</v>
      </c>
      <c r="L57" s="753" t="s">
        <v>164</v>
      </c>
      <c r="M57" s="754"/>
      <c r="N57" s="754"/>
      <c r="O57" s="754"/>
      <c r="P57" s="755"/>
    </row>
    <row r="58" spans="2:16" s="51" customFormat="1" x14ac:dyDescent="0.25">
      <c r="B58" s="62" t="s">
        <v>1485</v>
      </c>
      <c r="C58" s="51" t="s">
        <v>1522</v>
      </c>
      <c r="D58" s="51" t="s">
        <v>274</v>
      </c>
      <c r="E58" s="51" t="s">
        <v>1526</v>
      </c>
      <c r="F58" s="51" t="str">
        <f t="shared" si="2"/>
        <v>5+ | Light | Refinance (Cash Out) | 1-4 Unit</v>
      </c>
      <c r="G58" s="535">
        <v>0.6</v>
      </c>
      <c r="H58" s="535" t="s">
        <v>2</v>
      </c>
      <c r="I58" s="535">
        <v>0.55000000000000004</v>
      </c>
      <c r="J58" s="536" t="s">
        <v>2</v>
      </c>
      <c r="K58" s="523" t="str">
        <f t="shared" si="3"/>
        <v>N</v>
      </c>
      <c r="L58" s="64"/>
      <c r="M58" s="117" t="s">
        <v>1502</v>
      </c>
      <c r="N58" s="117" t="s">
        <v>1501</v>
      </c>
      <c r="O58" s="117" t="s">
        <v>1500</v>
      </c>
      <c r="P58" s="116" t="s">
        <v>152</v>
      </c>
    </row>
    <row r="59" spans="2:16" s="51" customFormat="1" x14ac:dyDescent="0.25">
      <c r="B59" s="64" t="s">
        <v>1520</v>
      </c>
      <c r="C59" s="113" t="s">
        <v>1521</v>
      </c>
      <c r="D59" s="113" t="s">
        <v>274</v>
      </c>
      <c r="E59" s="113" t="s">
        <v>1526</v>
      </c>
      <c r="F59" s="113" t="str">
        <f t="shared" si="2"/>
        <v>0+ | Moderate | Refinance (Cash Out) | 1-4 Unit</v>
      </c>
      <c r="G59" s="533" t="s">
        <v>148</v>
      </c>
      <c r="H59" s="533" t="s">
        <v>148</v>
      </c>
      <c r="I59" s="533" t="s">
        <v>148</v>
      </c>
      <c r="J59" s="534" t="s">
        <v>148</v>
      </c>
      <c r="K59" s="523" t="str">
        <f t="shared" si="3"/>
        <v>N</v>
      </c>
      <c r="L59" s="62" t="s">
        <v>1529</v>
      </c>
      <c r="M59" s="51" t="str">
        <f>IFERROR((ROUND($M$52/$N$3,3))*100,"-")</f>
        <v>-</v>
      </c>
      <c r="N59" s="115" t="str">
        <f>IFERROR((ROUND($M$52/$N$8,3))*100,"-")</f>
        <v>-</v>
      </c>
      <c r="O59" s="115" t="str">
        <f>IFERROR((ROUND($M$55/$N$7,3))*100,"-")</f>
        <v>-</v>
      </c>
      <c r="P59" s="114" t="str">
        <f>IFERROR((ROUND($M$55/($N$8+$N$6),3))*100,"-")</f>
        <v>-</v>
      </c>
    </row>
    <row r="60" spans="2:16" s="51" customFormat="1" x14ac:dyDescent="0.25">
      <c r="B60" s="62" t="s">
        <v>1519</v>
      </c>
      <c r="C60" s="51" t="s">
        <v>1521</v>
      </c>
      <c r="D60" s="51" t="s">
        <v>274</v>
      </c>
      <c r="E60" s="51" t="s">
        <v>1526</v>
      </c>
      <c r="F60" s="51" t="str">
        <f t="shared" si="2"/>
        <v>1+ | Moderate | Refinance (Cash Out) | 1-4 Unit</v>
      </c>
      <c r="G60" s="535" t="s">
        <v>148</v>
      </c>
      <c r="H60" s="535" t="s">
        <v>148</v>
      </c>
      <c r="I60" s="535" t="s">
        <v>148</v>
      </c>
      <c r="J60" s="536" t="s">
        <v>148</v>
      </c>
      <c r="K60" s="523" t="str">
        <f t="shared" si="3"/>
        <v>N</v>
      </c>
      <c r="L60" s="62" t="s">
        <v>149</v>
      </c>
      <c r="M60" s="639" t="str">
        <f>M59&amp;" | "&amp;N59</f>
        <v>- | -</v>
      </c>
      <c r="N60" s="639"/>
      <c r="O60" s="639" t="str">
        <f>O59&amp;" | "&amp;P59</f>
        <v>- | -</v>
      </c>
      <c r="P60" s="733"/>
    </row>
    <row r="61" spans="2:16" s="51" customFormat="1" x14ac:dyDescent="0.25">
      <c r="B61" s="62" t="s">
        <v>1518</v>
      </c>
      <c r="C61" s="51" t="s">
        <v>1521</v>
      </c>
      <c r="D61" s="51" t="s">
        <v>274</v>
      </c>
      <c r="E61" s="51" t="s">
        <v>1526</v>
      </c>
      <c r="F61" s="51" t="str">
        <f t="shared" si="2"/>
        <v>3+ | Moderate | Refinance (Cash Out) | 1-4 Unit</v>
      </c>
      <c r="G61" s="535">
        <v>0.6</v>
      </c>
      <c r="H61" s="535" t="s">
        <v>2</v>
      </c>
      <c r="I61" s="535">
        <v>0.55000000000000004</v>
      </c>
      <c r="J61" s="536" t="s">
        <v>2</v>
      </c>
      <c r="K61" s="523" t="str">
        <f t="shared" si="3"/>
        <v>N</v>
      </c>
      <c r="L61" s="62" t="s">
        <v>1527</v>
      </c>
      <c r="M61" s="639" t="str">
        <f>IFERROR((ROUND($M$53/$N$6,3))*100,"-")</f>
        <v>-</v>
      </c>
      <c r="N61" s="639"/>
      <c r="O61" s="639" t="str">
        <f>IFERROR((ROUND($M$54/$N$6,3))*100,"-")</f>
        <v>-</v>
      </c>
      <c r="P61" s="733"/>
    </row>
    <row r="62" spans="2:16" s="51" customFormat="1" x14ac:dyDescent="0.25">
      <c r="B62" s="62" t="s">
        <v>1485</v>
      </c>
      <c r="C62" s="51" t="s">
        <v>1521</v>
      </c>
      <c r="D62" s="51" t="s">
        <v>274</v>
      </c>
      <c r="E62" s="51" t="s">
        <v>1526</v>
      </c>
      <c r="F62" s="51" t="str">
        <f t="shared" si="2"/>
        <v>5+ | Moderate | Refinance (Cash Out) | 1-4 Unit</v>
      </c>
      <c r="G62" s="535">
        <v>0.6</v>
      </c>
      <c r="H62" s="535" t="s">
        <v>2</v>
      </c>
      <c r="I62" s="535">
        <v>0.55000000000000004</v>
      </c>
      <c r="J62" s="536" t="s">
        <v>2</v>
      </c>
      <c r="K62" s="523" t="str">
        <f t="shared" si="3"/>
        <v>N</v>
      </c>
      <c r="L62" s="62"/>
      <c r="O62" s="639"/>
      <c r="P62" s="733"/>
    </row>
    <row r="63" spans="2:16" s="51" customFormat="1" x14ac:dyDescent="0.25">
      <c r="B63" s="64" t="s">
        <v>1520</v>
      </c>
      <c r="C63" s="113" t="s">
        <v>1515</v>
      </c>
      <c r="D63" s="113" t="s">
        <v>274</v>
      </c>
      <c r="E63" s="113" t="s">
        <v>1526</v>
      </c>
      <c r="F63" s="113" t="str">
        <f t="shared" si="2"/>
        <v>0+ | Heavy | Refinance (Cash Out) | 1-4 Unit</v>
      </c>
      <c r="G63" s="533" t="s">
        <v>148</v>
      </c>
      <c r="H63" s="533" t="s">
        <v>148</v>
      </c>
      <c r="I63" s="533" t="s">
        <v>148</v>
      </c>
      <c r="J63" s="534" t="s">
        <v>148</v>
      </c>
      <c r="K63" s="523" t="str">
        <f t="shared" si="3"/>
        <v>N</v>
      </c>
      <c r="L63" s="62" t="s">
        <v>1528</v>
      </c>
      <c r="M63" s="51" t="str">
        <f>IFERROR((ROUND(RTL!$D$42/$N$3,3))*100,"-")</f>
        <v>-</v>
      </c>
      <c r="N63" s="115" t="str">
        <f>IFERROR((ROUND(RTL!$D$42/$N$8,3))*100,"-")</f>
        <v>-</v>
      </c>
      <c r="O63" s="115" t="str">
        <f>IFERROR((ROUND(RTL!$D$45/$N$7,3))*100,"-")</f>
        <v>-</v>
      </c>
      <c r="P63" s="114" t="str">
        <f>IFERROR((ROUND(RTL!$D$45/($N$8+$N$6),3))*100,"-")</f>
        <v>-</v>
      </c>
    </row>
    <row r="64" spans="2:16" s="51" customFormat="1" x14ac:dyDescent="0.25">
      <c r="B64" s="62" t="s">
        <v>1519</v>
      </c>
      <c r="C64" s="51" t="s">
        <v>1515</v>
      </c>
      <c r="D64" s="51" t="s">
        <v>274</v>
      </c>
      <c r="E64" s="51" t="s">
        <v>1526</v>
      </c>
      <c r="F64" s="51" t="str">
        <f t="shared" si="2"/>
        <v>1+ | Heavy | Refinance (Cash Out) | 1-4 Unit</v>
      </c>
      <c r="G64" s="535" t="s">
        <v>148</v>
      </c>
      <c r="H64" s="535" t="s">
        <v>148</v>
      </c>
      <c r="I64" s="535" t="s">
        <v>148</v>
      </c>
      <c r="J64" s="536" t="s">
        <v>148</v>
      </c>
      <c r="K64" s="523" t="str">
        <f t="shared" si="3"/>
        <v>N</v>
      </c>
      <c r="L64" s="62" t="s">
        <v>149</v>
      </c>
      <c r="M64" s="639" t="str">
        <f>M63&amp;" | "&amp;N63</f>
        <v>- | -</v>
      </c>
      <c r="N64" s="639"/>
      <c r="O64" s="639" t="str">
        <f>O63&amp;" | "&amp;P63</f>
        <v>- | -</v>
      </c>
      <c r="P64" s="733"/>
    </row>
    <row r="65" spans="2:16" s="51" customFormat="1" x14ac:dyDescent="0.25">
      <c r="B65" s="62" t="s">
        <v>1518</v>
      </c>
      <c r="C65" s="51" t="s">
        <v>1515</v>
      </c>
      <c r="D65" s="51" t="s">
        <v>274</v>
      </c>
      <c r="E65" s="51" t="s">
        <v>1526</v>
      </c>
      <c r="F65" s="51" t="str">
        <f t="shared" si="2"/>
        <v>3+ | Heavy | Refinance (Cash Out) | 1-4 Unit</v>
      </c>
      <c r="G65" s="535" t="s">
        <v>148</v>
      </c>
      <c r="H65" s="535" t="s">
        <v>148</v>
      </c>
      <c r="I65" s="535" t="s">
        <v>148</v>
      </c>
      <c r="J65" s="536" t="s">
        <v>148</v>
      </c>
      <c r="K65" s="523" t="str">
        <f t="shared" si="3"/>
        <v>N</v>
      </c>
      <c r="L65" s="60" t="s">
        <v>1527</v>
      </c>
      <c r="M65" s="711" t="str">
        <f>IFERROR((ROUND(RTL!$D$43/$N$6,3))*100,"-")</f>
        <v>-</v>
      </c>
      <c r="N65" s="711"/>
      <c r="O65" s="711" t="str">
        <f>IFERROR((ROUND(RTL!$D$44/$N$6,3))*100,"-")</f>
        <v>-</v>
      </c>
      <c r="P65" s="732"/>
    </row>
    <row r="66" spans="2:16" s="51" customFormat="1" x14ac:dyDescent="0.25">
      <c r="B66" s="62" t="s">
        <v>1485</v>
      </c>
      <c r="C66" s="51" t="s">
        <v>1515</v>
      </c>
      <c r="D66" s="51" t="s">
        <v>274</v>
      </c>
      <c r="E66" s="51" t="s">
        <v>1526</v>
      </c>
      <c r="F66" s="51" t="str">
        <f t="shared" si="2"/>
        <v>5+ | Heavy | Refinance (Cash Out) | 1-4 Unit</v>
      </c>
      <c r="G66" s="535" t="s">
        <v>148</v>
      </c>
      <c r="H66" s="535" t="s">
        <v>148</v>
      </c>
      <c r="I66" s="535" t="s">
        <v>148</v>
      </c>
      <c r="J66" s="536" t="s">
        <v>148</v>
      </c>
      <c r="K66" s="523" t="str">
        <f t="shared" si="3"/>
        <v>N</v>
      </c>
    </row>
    <row r="67" spans="2:16" s="51" customFormat="1" x14ac:dyDescent="0.25">
      <c r="B67" s="64" t="s">
        <v>1520</v>
      </c>
      <c r="C67" s="113" t="s">
        <v>1523</v>
      </c>
      <c r="D67" s="113" t="s">
        <v>202</v>
      </c>
      <c r="E67" s="113" t="s">
        <v>1525</v>
      </c>
      <c r="F67" s="113" t="str">
        <f t="shared" si="2"/>
        <v>0+ | Stabilized | Purchase | 5-8 Unit</v>
      </c>
      <c r="G67" s="533">
        <v>0.7</v>
      </c>
      <c r="H67" s="533">
        <v>0.75</v>
      </c>
      <c r="I67" s="533">
        <v>0.7</v>
      </c>
      <c r="J67" s="534" t="s">
        <v>2</v>
      </c>
      <c r="K67" s="523" t="str">
        <f t="shared" si="3"/>
        <v>N</v>
      </c>
    </row>
    <row r="68" spans="2:16" s="51" customFormat="1" x14ac:dyDescent="0.25">
      <c r="B68" s="62" t="s">
        <v>1519</v>
      </c>
      <c r="C68" s="51" t="s">
        <v>1523</v>
      </c>
      <c r="D68" s="51" t="s">
        <v>202</v>
      </c>
      <c r="E68" s="51" t="s">
        <v>1525</v>
      </c>
      <c r="F68" s="51" t="str">
        <f t="shared" si="2"/>
        <v>1+ | Stabilized | Purchase | 5-8 Unit</v>
      </c>
      <c r="G68" s="535">
        <v>0.7</v>
      </c>
      <c r="H68" s="535">
        <v>0.75</v>
      </c>
      <c r="I68" s="535">
        <v>0.7</v>
      </c>
      <c r="J68" s="536" t="s">
        <v>2</v>
      </c>
      <c r="K68" s="523" t="str">
        <f t="shared" si="3"/>
        <v>N</v>
      </c>
    </row>
    <row r="69" spans="2:16" s="51" customFormat="1" x14ac:dyDescent="0.25">
      <c r="B69" s="62" t="s">
        <v>1518</v>
      </c>
      <c r="C69" s="51" t="s">
        <v>1523</v>
      </c>
      <c r="D69" s="51" t="s">
        <v>202</v>
      </c>
      <c r="E69" s="51" t="s">
        <v>1525</v>
      </c>
      <c r="F69" s="51" t="str">
        <f t="shared" si="2"/>
        <v>3+ | Stabilized | Purchase | 5-8 Unit</v>
      </c>
      <c r="G69" s="535">
        <v>0.75</v>
      </c>
      <c r="H69" s="535">
        <v>0.75</v>
      </c>
      <c r="I69" s="535">
        <v>0.75</v>
      </c>
      <c r="J69" s="536" t="s">
        <v>2</v>
      </c>
      <c r="K69" s="523" t="str">
        <f t="shared" si="3"/>
        <v>N</v>
      </c>
    </row>
    <row r="70" spans="2:16" s="51" customFormat="1" x14ac:dyDescent="0.25">
      <c r="B70" s="62" t="s">
        <v>1485</v>
      </c>
      <c r="C70" s="51" t="s">
        <v>1523</v>
      </c>
      <c r="D70" s="51" t="s">
        <v>202</v>
      </c>
      <c r="E70" s="51" t="s">
        <v>1525</v>
      </c>
      <c r="F70" s="51" t="str">
        <f t="shared" si="2"/>
        <v>5+ | Stabilized | Purchase | 5-8 Unit</v>
      </c>
      <c r="G70" s="535">
        <v>0.75</v>
      </c>
      <c r="H70" s="535">
        <v>0.75</v>
      </c>
      <c r="I70" s="535">
        <v>0.75</v>
      </c>
      <c r="J70" s="536" t="s">
        <v>2</v>
      </c>
      <c r="K70" s="523" t="str">
        <f t="shared" si="3"/>
        <v>N</v>
      </c>
    </row>
    <row r="71" spans="2:16" s="51" customFormat="1" x14ac:dyDescent="0.25">
      <c r="B71" s="64" t="s">
        <v>1520</v>
      </c>
      <c r="C71" s="113" t="s">
        <v>1522</v>
      </c>
      <c r="D71" s="113" t="s">
        <v>202</v>
      </c>
      <c r="E71" s="113" t="s">
        <v>1525</v>
      </c>
      <c r="F71" s="113" t="str">
        <f t="shared" si="2"/>
        <v>0+ | Light | Purchase | 5-8 Unit</v>
      </c>
      <c r="G71" s="533">
        <v>0.7</v>
      </c>
      <c r="H71" s="533">
        <v>0.7</v>
      </c>
      <c r="I71" s="533">
        <v>0.65</v>
      </c>
      <c r="J71" s="534" t="s">
        <v>2</v>
      </c>
      <c r="K71" s="523" t="str">
        <f t="shared" si="3"/>
        <v>N</v>
      </c>
    </row>
    <row r="72" spans="2:16" s="51" customFormat="1" x14ac:dyDescent="0.25">
      <c r="B72" s="62" t="s">
        <v>1519</v>
      </c>
      <c r="C72" s="51" t="s">
        <v>1522</v>
      </c>
      <c r="D72" s="51" t="s">
        <v>202</v>
      </c>
      <c r="E72" s="51" t="s">
        <v>1525</v>
      </c>
      <c r="F72" s="51" t="str">
        <f t="shared" si="2"/>
        <v>1+ | Light | Purchase | 5-8 Unit</v>
      </c>
      <c r="G72" s="535">
        <v>0.7</v>
      </c>
      <c r="H72" s="535">
        <v>0.7</v>
      </c>
      <c r="I72" s="535">
        <v>0.65</v>
      </c>
      <c r="J72" s="536" t="s">
        <v>2</v>
      </c>
      <c r="K72" s="523" t="str">
        <f t="shared" si="3"/>
        <v>N</v>
      </c>
    </row>
    <row r="73" spans="2:16" s="51" customFormat="1" x14ac:dyDescent="0.25">
      <c r="B73" s="62" t="s">
        <v>1518</v>
      </c>
      <c r="C73" s="51" t="s">
        <v>1522</v>
      </c>
      <c r="D73" s="51" t="s">
        <v>202</v>
      </c>
      <c r="E73" s="51" t="s">
        <v>1525</v>
      </c>
      <c r="F73" s="51" t="str">
        <f t="shared" si="2"/>
        <v>3+ | Light | Purchase | 5-8 Unit</v>
      </c>
      <c r="G73" s="535" t="s">
        <v>2</v>
      </c>
      <c r="H73" s="535">
        <v>0.8</v>
      </c>
      <c r="I73" s="535">
        <v>0.7</v>
      </c>
      <c r="J73" s="536">
        <v>0.85</v>
      </c>
      <c r="K73" s="523" t="str">
        <f t="shared" si="3"/>
        <v>N</v>
      </c>
    </row>
    <row r="74" spans="2:16" s="51" customFormat="1" x14ac:dyDescent="0.25">
      <c r="B74" s="62" t="s">
        <v>1485</v>
      </c>
      <c r="C74" s="51" t="s">
        <v>1522</v>
      </c>
      <c r="D74" s="51" t="s">
        <v>202</v>
      </c>
      <c r="E74" s="51" t="s">
        <v>1525</v>
      </c>
      <c r="F74" s="51" t="str">
        <f t="shared" si="2"/>
        <v>5+ | Light | Purchase | 5-8 Unit</v>
      </c>
      <c r="G74" s="535" t="s">
        <v>2</v>
      </c>
      <c r="H74" s="535">
        <v>0.8</v>
      </c>
      <c r="I74" s="535">
        <v>0.7</v>
      </c>
      <c r="J74" s="536">
        <v>0.9</v>
      </c>
      <c r="K74" s="523" t="str">
        <f t="shared" si="3"/>
        <v>N</v>
      </c>
    </row>
    <row r="75" spans="2:16" s="51" customFormat="1" x14ac:dyDescent="0.25">
      <c r="B75" s="64" t="s">
        <v>1520</v>
      </c>
      <c r="C75" s="113" t="s">
        <v>1521</v>
      </c>
      <c r="D75" s="113" t="s">
        <v>202</v>
      </c>
      <c r="E75" s="113" t="s">
        <v>1525</v>
      </c>
      <c r="F75" s="113" t="str">
        <f t="shared" si="2"/>
        <v>0+ | Moderate | Purchase | 5-8 Unit</v>
      </c>
      <c r="G75" s="533">
        <v>0.7</v>
      </c>
      <c r="H75" s="533">
        <v>0.7</v>
      </c>
      <c r="I75" s="533">
        <v>0.65</v>
      </c>
      <c r="J75" s="534" t="s">
        <v>2</v>
      </c>
      <c r="K75" s="523" t="str">
        <f t="shared" si="3"/>
        <v>N</v>
      </c>
    </row>
    <row r="76" spans="2:16" s="51" customFormat="1" x14ac:dyDescent="0.25">
      <c r="B76" s="62" t="s">
        <v>1519</v>
      </c>
      <c r="C76" s="51" t="s">
        <v>1521</v>
      </c>
      <c r="D76" s="51" t="s">
        <v>202</v>
      </c>
      <c r="E76" s="51" t="s">
        <v>1525</v>
      </c>
      <c r="F76" s="51" t="str">
        <f t="shared" si="2"/>
        <v>1+ | Moderate | Purchase | 5-8 Unit</v>
      </c>
      <c r="G76" s="535">
        <v>0.7</v>
      </c>
      <c r="H76" s="535">
        <v>0.7</v>
      </c>
      <c r="I76" s="535">
        <v>0.65</v>
      </c>
      <c r="J76" s="536" t="s">
        <v>2</v>
      </c>
      <c r="K76" s="523" t="str">
        <f t="shared" si="3"/>
        <v>N</v>
      </c>
    </row>
    <row r="77" spans="2:16" s="51" customFormat="1" x14ac:dyDescent="0.25">
      <c r="B77" s="62" t="s">
        <v>1518</v>
      </c>
      <c r="C77" s="51" t="s">
        <v>1521</v>
      </c>
      <c r="D77" s="51" t="s">
        <v>202</v>
      </c>
      <c r="E77" s="51" t="s">
        <v>1525</v>
      </c>
      <c r="F77" s="51" t="str">
        <f t="shared" si="2"/>
        <v>3+ | Moderate | Purchase | 5-8 Unit</v>
      </c>
      <c r="G77" s="535" t="s">
        <v>2</v>
      </c>
      <c r="H77" s="535">
        <v>0.8</v>
      </c>
      <c r="I77" s="535">
        <v>0.7</v>
      </c>
      <c r="J77" s="536">
        <v>0.85</v>
      </c>
      <c r="K77" s="523" t="str">
        <f t="shared" si="3"/>
        <v>N</v>
      </c>
    </row>
    <row r="78" spans="2:16" s="51" customFormat="1" x14ac:dyDescent="0.25">
      <c r="B78" s="62" t="s">
        <v>1485</v>
      </c>
      <c r="C78" s="51" t="s">
        <v>1521</v>
      </c>
      <c r="D78" s="51" t="s">
        <v>202</v>
      </c>
      <c r="E78" s="51" t="s">
        <v>1525</v>
      </c>
      <c r="F78" s="51" t="str">
        <f t="shared" si="2"/>
        <v>5+ | Moderate | Purchase | 5-8 Unit</v>
      </c>
      <c r="G78" s="535" t="s">
        <v>2</v>
      </c>
      <c r="H78" s="535">
        <v>0.8</v>
      </c>
      <c r="I78" s="535">
        <v>0.7</v>
      </c>
      <c r="J78" s="536">
        <v>0.9</v>
      </c>
      <c r="K78" s="523" t="str">
        <f t="shared" si="3"/>
        <v>N</v>
      </c>
    </row>
    <row r="79" spans="2:16" s="51" customFormat="1" x14ac:dyDescent="0.25">
      <c r="B79" s="64" t="s">
        <v>1520</v>
      </c>
      <c r="C79" s="113" t="s">
        <v>1515</v>
      </c>
      <c r="D79" s="113" t="s">
        <v>202</v>
      </c>
      <c r="E79" s="113" t="s">
        <v>1525</v>
      </c>
      <c r="F79" s="113" t="str">
        <f t="shared" si="2"/>
        <v>0+ | Heavy | Purchase | 5-8 Unit</v>
      </c>
      <c r="G79" s="533" t="s">
        <v>148</v>
      </c>
      <c r="H79" s="533" t="s">
        <v>148</v>
      </c>
      <c r="I79" s="533" t="s">
        <v>148</v>
      </c>
      <c r="J79" s="534" t="s">
        <v>148</v>
      </c>
      <c r="K79" s="523" t="str">
        <f t="shared" si="3"/>
        <v>N</v>
      </c>
    </row>
    <row r="80" spans="2:16" s="51" customFormat="1" x14ac:dyDescent="0.25">
      <c r="B80" s="62" t="s">
        <v>1519</v>
      </c>
      <c r="C80" s="51" t="s">
        <v>1515</v>
      </c>
      <c r="D80" s="51" t="s">
        <v>202</v>
      </c>
      <c r="E80" s="51" t="s">
        <v>1525</v>
      </c>
      <c r="F80" s="51" t="str">
        <f t="shared" si="2"/>
        <v>1+ | Heavy | Purchase | 5-8 Unit</v>
      </c>
      <c r="G80" s="535" t="s">
        <v>148</v>
      </c>
      <c r="H80" s="535" t="s">
        <v>148</v>
      </c>
      <c r="I80" s="535" t="s">
        <v>148</v>
      </c>
      <c r="J80" s="536" t="s">
        <v>148</v>
      </c>
      <c r="K80" s="523" t="str">
        <f t="shared" si="3"/>
        <v>N</v>
      </c>
    </row>
    <row r="81" spans="2:11" s="51" customFormat="1" x14ac:dyDescent="0.25">
      <c r="B81" s="62" t="s">
        <v>1518</v>
      </c>
      <c r="C81" s="51" t="s">
        <v>1515</v>
      </c>
      <c r="D81" s="51" t="s">
        <v>202</v>
      </c>
      <c r="E81" s="51" t="s">
        <v>1525</v>
      </c>
      <c r="F81" s="51" t="str">
        <f t="shared" si="2"/>
        <v>3+ | Heavy | Purchase | 5-8 Unit</v>
      </c>
      <c r="G81" s="535">
        <v>0.7</v>
      </c>
      <c r="H81" s="535">
        <v>0.7</v>
      </c>
      <c r="I81" s="535">
        <v>0.65</v>
      </c>
      <c r="J81" s="536" t="s">
        <v>2</v>
      </c>
      <c r="K81" s="523" t="str">
        <f t="shared" si="3"/>
        <v>N</v>
      </c>
    </row>
    <row r="82" spans="2:11" s="51" customFormat="1" x14ac:dyDescent="0.25">
      <c r="B82" s="62" t="s">
        <v>1485</v>
      </c>
      <c r="C82" s="51" t="s">
        <v>1515</v>
      </c>
      <c r="D82" s="51" t="s">
        <v>202</v>
      </c>
      <c r="E82" s="51" t="s">
        <v>1525</v>
      </c>
      <c r="F82" s="51" t="str">
        <f t="shared" si="2"/>
        <v>5+ | Heavy | Purchase | 5-8 Unit</v>
      </c>
      <c r="G82" s="535">
        <v>0.7</v>
      </c>
      <c r="H82" s="535">
        <v>0.7</v>
      </c>
      <c r="I82" s="535">
        <v>0.65</v>
      </c>
      <c r="J82" s="536" t="s">
        <v>2</v>
      </c>
      <c r="K82" s="523" t="str">
        <f t="shared" si="3"/>
        <v>N</v>
      </c>
    </row>
    <row r="83" spans="2:11" s="51" customFormat="1" x14ac:dyDescent="0.25">
      <c r="B83" s="64" t="s">
        <v>1520</v>
      </c>
      <c r="C83" s="113" t="s">
        <v>1523</v>
      </c>
      <c r="D83" s="113" t="s">
        <v>200</v>
      </c>
      <c r="E83" s="113" t="s">
        <v>1525</v>
      </c>
      <c r="F83" s="113" t="str">
        <f t="shared" si="2"/>
        <v>0+ | Stabilized | Delayed Purchase | 5-8 Unit</v>
      </c>
      <c r="G83" s="533">
        <v>0.7</v>
      </c>
      <c r="H83" s="533">
        <v>0.75</v>
      </c>
      <c r="I83" s="533">
        <v>0.7</v>
      </c>
      <c r="J83" s="534" t="s">
        <v>2</v>
      </c>
      <c r="K83" s="523" t="str">
        <f t="shared" si="3"/>
        <v>N</v>
      </c>
    </row>
    <row r="84" spans="2:11" s="51" customFormat="1" x14ac:dyDescent="0.25">
      <c r="B84" s="62" t="s">
        <v>1519</v>
      </c>
      <c r="C84" s="51" t="s">
        <v>1523</v>
      </c>
      <c r="D84" s="51" t="s">
        <v>200</v>
      </c>
      <c r="E84" s="51" t="s">
        <v>1525</v>
      </c>
      <c r="F84" s="51" t="str">
        <f t="shared" si="2"/>
        <v>1+ | Stabilized | Delayed Purchase | 5-8 Unit</v>
      </c>
      <c r="G84" s="535">
        <v>0.7</v>
      </c>
      <c r="H84" s="535">
        <v>0.75</v>
      </c>
      <c r="I84" s="535">
        <v>0.7</v>
      </c>
      <c r="J84" s="536" t="s">
        <v>2</v>
      </c>
      <c r="K84" s="523" t="str">
        <f t="shared" si="3"/>
        <v>N</v>
      </c>
    </row>
    <row r="85" spans="2:11" s="51" customFormat="1" x14ac:dyDescent="0.25">
      <c r="B85" s="62" t="s">
        <v>1518</v>
      </c>
      <c r="C85" s="51" t="s">
        <v>1523</v>
      </c>
      <c r="D85" s="51" t="s">
        <v>200</v>
      </c>
      <c r="E85" s="51" t="s">
        <v>1525</v>
      </c>
      <c r="F85" s="51" t="str">
        <f t="shared" si="2"/>
        <v>3+ | Stabilized | Delayed Purchase | 5-8 Unit</v>
      </c>
      <c r="G85" s="535">
        <v>0.75</v>
      </c>
      <c r="H85" s="535">
        <v>0.75</v>
      </c>
      <c r="I85" s="535">
        <v>0.75</v>
      </c>
      <c r="J85" s="536" t="s">
        <v>2</v>
      </c>
      <c r="K85" s="523" t="str">
        <f t="shared" si="3"/>
        <v>N</v>
      </c>
    </row>
    <row r="86" spans="2:11" s="51" customFormat="1" x14ac:dyDescent="0.25">
      <c r="B86" s="62" t="s">
        <v>1485</v>
      </c>
      <c r="C86" s="51" t="s">
        <v>1523</v>
      </c>
      <c r="D86" s="51" t="s">
        <v>200</v>
      </c>
      <c r="E86" s="51" t="s">
        <v>1525</v>
      </c>
      <c r="F86" s="51" t="str">
        <f t="shared" si="2"/>
        <v>5+ | Stabilized | Delayed Purchase | 5-8 Unit</v>
      </c>
      <c r="G86" s="535">
        <v>0.75</v>
      </c>
      <c r="H86" s="535">
        <v>0.75</v>
      </c>
      <c r="I86" s="535">
        <v>0.75</v>
      </c>
      <c r="J86" s="536" t="s">
        <v>2</v>
      </c>
      <c r="K86" s="523" t="str">
        <f t="shared" si="3"/>
        <v>N</v>
      </c>
    </row>
    <row r="87" spans="2:11" s="51" customFormat="1" x14ac:dyDescent="0.25">
      <c r="B87" s="64" t="s">
        <v>1520</v>
      </c>
      <c r="C87" s="113" t="s">
        <v>1522</v>
      </c>
      <c r="D87" s="113" t="s">
        <v>200</v>
      </c>
      <c r="E87" s="113" t="s">
        <v>1525</v>
      </c>
      <c r="F87" s="113" t="str">
        <f t="shared" si="2"/>
        <v>0+ | Light | Delayed Purchase | 5-8 Unit</v>
      </c>
      <c r="G87" s="533">
        <v>0.7</v>
      </c>
      <c r="H87" s="533">
        <v>0.7</v>
      </c>
      <c r="I87" s="533">
        <v>0.65</v>
      </c>
      <c r="J87" s="534" t="s">
        <v>2</v>
      </c>
      <c r="K87" s="523" t="str">
        <f t="shared" si="3"/>
        <v>N</v>
      </c>
    </row>
    <row r="88" spans="2:11" s="51" customFormat="1" x14ac:dyDescent="0.25">
      <c r="B88" s="62" t="s">
        <v>1519</v>
      </c>
      <c r="C88" s="51" t="s">
        <v>1522</v>
      </c>
      <c r="D88" s="51" t="s">
        <v>200</v>
      </c>
      <c r="E88" s="51" t="s">
        <v>1525</v>
      </c>
      <c r="F88" s="51" t="str">
        <f t="shared" si="2"/>
        <v>1+ | Light | Delayed Purchase | 5-8 Unit</v>
      </c>
      <c r="G88" s="535">
        <v>0.7</v>
      </c>
      <c r="H88" s="535">
        <v>0.7</v>
      </c>
      <c r="I88" s="535">
        <v>0.65</v>
      </c>
      <c r="J88" s="536" t="s">
        <v>2</v>
      </c>
      <c r="K88" s="523" t="str">
        <f t="shared" si="3"/>
        <v>N</v>
      </c>
    </row>
    <row r="89" spans="2:11" s="51" customFormat="1" x14ac:dyDescent="0.25">
      <c r="B89" s="62" t="s">
        <v>1518</v>
      </c>
      <c r="C89" s="51" t="s">
        <v>1522</v>
      </c>
      <c r="D89" s="51" t="s">
        <v>200</v>
      </c>
      <c r="E89" s="51" t="s">
        <v>1525</v>
      </c>
      <c r="F89" s="51" t="str">
        <f t="shared" ref="F89:F130" si="4">B89&amp;" | "&amp;C89&amp;" | "&amp;D89&amp;" | "&amp;E89</f>
        <v>3+ | Light | Delayed Purchase | 5-8 Unit</v>
      </c>
      <c r="G89" s="535" t="s">
        <v>2</v>
      </c>
      <c r="H89" s="535">
        <v>0.8</v>
      </c>
      <c r="I89" s="535">
        <v>0.7</v>
      </c>
      <c r="J89" s="536">
        <v>0.85</v>
      </c>
      <c r="K89" s="523" t="str">
        <f t="shared" si="3"/>
        <v>N</v>
      </c>
    </row>
    <row r="90" spans="2:11" s="51" customFormat="1" x14ac:dyDescent="0.25">
      <c r="B90" s="62" t="s">
        <v>1485</v>
      </c>
      <c r="C90" s="51" t="s">
        <v>1522</v>
      </c>
      <c r="D90" s="51" t="s">
        <v>200</v>
      </c>
      <c r="E90" s="51" t="s">
        <v>1525</v>
      </c>
      <c r="F90" s="51" t="str">
        <f t="shared" si="4"/>
        <v>5+ | Light | Delayed Purchase | 5-8 Unit</v>
      </c>
      <c r="G90" s="535" t="s">
        <v>2</v>
      </c>
      <c r="H90" s="535">
        <v>0.8</v>
      </c>
      <c r="I90" s="535">
        <v>0.7</v>
      </c>
      <c r="J90" s="536">
        <v>0.9</v>
      </c>
      <c r="K90" s="523" t="str">
        <f t="shared" si="3"/>
        <v>N</v>
      </c>
    </row>
    <row r="91" spans="2:11" s="51" customFormat="1" x14ac:dyDescent="0.25">
      <c r="B91" s="64" t="s">
        <v>1520</v>
      </c>
      <c r="C91" s="113" t="s">
        <v>1521</v>
      </c>
      <c r="D91" s="113" t="s">
        <v>200</v>
      </c>
      <c r="E91" s="113" t="s">
        <v>1525</v>
      </c>
      <c r="F91" s="113" t="str">
        <f t="shared" si="4"/>
        <v>0+ | Moderate | Delayed Purchase | 5-8 Unit</v>
      </c>
      <c r="G91" s="533">
        <v>0.7</v>
      </c>
      <c r="H91" s="533">
        <v>0.7</v>
      </c>
      <c r="I91" s="533">
        <v>0.65</v>
      </c>
      <c r="J91" s="534" t="s">
        <v>2</v>
      </c>
      <c r="K91" s="523" t="str">
        <f t="shared" si="3"/>
        <v>N</v>
      </c>
    </row>
    <row r="92" spans="2:11" s="51" customFormat="1" x14ac:dyDescent="0.25">
      <c r="B92" s="62" t="s">
        <v>1519</v>
      </c>
      <c r="C92" s="51" t="s">
        <v>1521</v>
      </c>
      <c r="D92" s="51" t="s">
        <v>200</v>
      </c>
      <c r="E92" s="51" t="s">
        <v>1525</v>
      </c>
      <c r="F92" s="51" t="str">
        <f t="shared" si="4"/>
        <v>1+ | Moderate | Delayed Purchase | 5-8 Unit</v>
      </c>
      <c r="G92" s="535">
        <v>0.7</v>
      </c>
      <c r="H92" s="535">
        <v>0.7</v>
      </c>
      <c r="I92" s="535">
        <v>0.65</v>
      </c>
      <c r="J92" s="536" t="s">
        <v>2</v>
      </c>
      <c r="K92" s="523" t="str">
        <f t="shared" ref="K92:K134" si="5">$W$39</f>
        <v>N</v>
      </c>
    </row>
    <row r="93" spans="2:11" s="51" customFormat="1" x14ac:dyDescent="0.25">
      <c r="B93" s="62" t="s">
        <v>1518</v>
      </c>
      <c r="C93" s="51" t="s">
        <v>1521</v>
      </c>
      <c r="D93" s="51" t="s">
        <v>200</v>
      </c>
      <c r="E93" s="51" t="s">
        <v>1525</v>
      </c>
      <c r="F93" s="51" t="str">
        <f t="shared" si="4"/>
        <v>3+ | Moderate | Delayed Purchase | 5-8 Unit</v>
      </c>
      <c r="G93" s="535" t="s">
        <v>2</v>
      </c>
      <c r="H93" s="535">
        <v>0.8</v>
      </c>
      <c r="I93" s="535">
        <v>0.7</v>
      </c>
      <c r="J93" s="536">
        <v>0.85</v>
      </c>
      <c r="K93" s="523" t="str">
        <f t="shared" si="5"/>
        <v>N</v>
      </c>
    </row>
    <row r="94" spans="2:11" s="51" customFormat="1" x14ac:dyDescent="0.25">
      <c r="B94" s="62" t="s">
        <v>1485</v>
      </c>
      <c r="C94" s="51" t="s">
        <v>1521</v>
      </c>
      <c r="D94" s="51" t="s">
        <v>200</v>
      </c>
      <c r="E94" s="51" t="s">
        <v>1525</v>
      </c>
      <c r="F94" s="51" t="str">
        <f t="shared" si="4"/>
        <v>5+ | Moderate | Delayed Purchase | 5-8 Unit</v>
      </c>
      <c r="G94" s="535" t="s">
        <v>2</v>
      </c>
      <c r="H94" s="535">
        <v>0.8</v>
      </c>
      <c r="I94" s="535">
        <v>0.7</v>
      </c>
      <c r="J94" s="536">
        <v>0.9</v>
      </c>
      <c r="K94" s="523" t="str">
        <f t="shared" si="5"/>
        <v>N</v>
      </c>
    </row>
    <row r="95" spans="2:11" s="51" customFormat="1" x14ac:dyDescent="0.25">
      <c r="B95" s="64" t="s">
        <v>1520</v>
      </c>
      <c r="C95" s="113" t="s">
        <v>1515</v>
      </c>
      <c r="D95" s="113" t="s">
        <v>200</v>
      </c>
      <c r="E95" s="113" t="s">
        <v>1525</v>
      </c>
      <c r="F95" s="113" t="str">
        <f t="shared" si="4"/>
        <v>0+ | Heavy | Delayed Purchase | 5-8 Unit</v>
      </c>
      <c r="G95" s="533" t="s">
        <v>148</v>
      </c>
      <c r="H95" s="533" t="s">
        <v>148</v>
      </c>
      <c r="I95" s="533" t="s">
        <v>148</v>
      </c>
      <c r="J95" s="534" t="s">
        <v>148</v>
      </c>
      <c r="K95" s="523" t="str">
        <f t="shared" si="5"/>
        <v>N</v>
      </c>
    </row>
    <row r="96" spans="2:11" s="51" customFormat="1" x14ac:dyDescent="0.25">
      <c r="B96" s="62" t="s">
        <v>1519</v>
      </c>
      <c r="C96" s="51" t="s">
        <v>1515</v>
      </c>
      <c r="D96" s="51" t="s">
        <v>200</v>
      </c>
      <c r="E96" s="51" t="s">
        <v>1525</v>
      </c>
      <c r="F96" s="51" t="str">
        <f t="shared" si="4"/>
        <v>1+ | Heavy | Delayed Purchase | 5-8 Unit</v>
      </c>
      <c r="G96" s="535" t="s">
        <v>148</v>
      </c>
      <c r="H96" s="535" t="s">
        <v>148</v>
      </c>
      <c r="I96" s="535" t="s">
        <v>148</v>
      </c>
      <c r="J96" s="536" t="s">
        <v>148</v>
      </c>
      <c r="K96" s="523" t="str">
        <f t="shared" si="5"/>
        <v>N</v>
      </c>
    </row>
    <row r="97" spans="2:11" s="51" customFormat="1" x14ac:dyDescent="0.25">
      <c r="B97" s="62" t="s">
        <v>1518</v>
      </c>
      <c r="C97" s="51" t="s">
        <v>1515</v>
      </c>
      <c r="D97" s="51" t="s">
        <v>200</v>
      </c>
      <c r="E97" s="51" t="s">
        <v>1525</v>
      </c>
      <c r="F97" s="51" t="str">
        <f t="shared" si="4"/>
        <v>3+ | Heavy | Delayed Purchase | 5-8 Unit</v>
      </c>
      <c r="G97" s="535">
        <v>0.7</v>
      </c>
      <c r="H97" s="535">
        <v>0.7</v>
      </c>
      <c r="I97" s="535">
        <v>0.65</v>
      </c>
      <c r="J97" s="536" t="s">
        <v>2</v>
      </c>
      <c r="K97" s="523" t="str">
        <f t="shared" si="5"/>
        <v>N</v>
      </c>
    </row>
    <row r="98" spans="2:11" s="51" customFormat="1" x14ac:dyDescent="0.25">
      <c r="B98" s="62" t="s">
        <v>1485</v>
      </c>
      <c r="C98" s="51" t="s">
        <v>1515</v>
      </c>
      <c r="D98" s="51" t="s">
        <v>200</v>
      </c>
      <c r="E98" s="51" t="s">
        <v>1525</v>
      </c>
      <c r="F98" s="51" t="str">
        <f t="shared" si="4"/>
        <v>5+ | Heavy | Delayed Purchase | 5-8 Unit</v>
      </c>
      <c r="G98" s="535">
        <v>0.7</v>
      </c>
      <c r="H98" s="535">
        <v>0.7</v>
      </c>
      <c r="I98" s="535">
        <v>0.65</v>
      </c>
      <c r="J98" s="536" t="s">
        <v>2</v>
      </c>
      <c r="K98" s="523" t="str">
        <f t="shared" si="5"/>
        <v>N</v>
      </c>
    </row>
    <row r="99" spans="2:11" s="51" customFormat="1" x14ac:dyDescent="0.25">
      <c r="B99" s="64" t="s">
        <v>1520</v>
      </c>
      <c r="C99" s="113" t="s">
        <v>1523</v>
      </c>
      <c r="D99" s="113" t="s">
        <v>3</v>
      </c>
      <c r="E99" s="113" t="s">
        <v>1525</v>
      </c>
      <c r="F99" s="113" t="str">
        <f t="shared" si="4"/>
        <v>0+ | Stabilized | Refinance (Rate/Term) | 5-8 Unit</v>
      </c>
      <c r="G99" s="533">
        <v>0.67500000000000004</v>
      </c>
      <c r="H99" s="533" t="s">
        <v>2</v>
      </c>
      <c r="I99" s="533">
        <v>0.67500000000000004</v>
      </c>
      <c r="J99" s="534" t="s">
        <v>2</v>
      </c>
      <c r="K99" s="523" t="str">
        <f t="shared" si="5"/>
        <v>N</v>
      </c>
    </row>
    <row r="100" spans="2:11" s="51" customFormat="1" x14ac:dyDescent="0.25">
      <c r="B100" s="62" t="s">
        <v>1519</v>
      </c>
      <c r="C100" s="51" t="s">
        <v>1523</v>
      </c>
      <c r="D100" s="51" t="s">
        <v>3</v>
      </c>
      <c r="E100" s="51" t="s">
        <v>1525</v>
      </c>
      <c r="F100" s="51" t="str">
        <f t="shared" si="4"/>
        <v>1+ | Stabilized | Refinance (Rate/Term) | 5-8 Unit</v>
      </c>
      <c r="G100" s="535">
        <v>0.67500000000000004</v>
      </c>
      <c r="H100" s="535" t="s">
        <v>2</v>
      </c>
      <c r="I100" s="535">
        <v>0.67500000000000004</v>
      </c>
      <c r="J100" s="536" t="s">
        <v>2</v>
      </c>
      <c r="K100" s="523" t="str">
        <f t="shared" si="5"/>
        <v>N</v>
      </c>
    </row>
    <row r="101" spans="2:11" s="51" customFormat="1" x14ac:dyDescent="0.25">
      <c r="B101" s="62" t="s">
        <v>1518</v>
      </c>
      <c r="C101" s="51" t="s">
        <v>1523</v>
      </c>
      <c r="D101" s="51" t="s">
        <v>3</v>
      </c>
      <c r="E101" s="51" t="s">
        <v>1525</v>
      </c>
      <c r="F101" s="51" t="str">
        <f t="shared" si="4"/>
        <v>3+ | Stabilized | Refinance (Rate/Term) | 5-8 Unit</v>
      </c>
      <c r="G101" s="535">
        <v>0.7</v>
      </c>
      <c r="H101" s="535" t="s">
        <v>2</v>
      </c>
      <c r="I101" s="535">
        <v>0.7</v>
      </c>
      <c r="J101" s="536" t="s">
        <v>2</v>
      </c>
      <c r="K101" s="523" t="str">
        <f t="shared" si="5"/>
        <v>N</v>
      </c>
    </row>
    <row r="102" spans="2:11" s="51" customFormat="1" x14ac:dyDescent="0.25">
      <c r="B102" s="62" t="s">
        <v>1485</v>
      </c>
      <c r="C102" s="51" t="s">
        <v>1523</v>
      </c>
      <c r="D102" s="51" t="s">
        <v>3</v>
      </c>
      <c r="E102" s="51" t="s">
        <v>1525</v>
      </c>
      <c r="F102" s="51" t="str">
        <f t="shared" si="4"/>
        <v>5+ | Stabilized | Refinance (Rate/Term) | 5-8 Unit</v>
      </c>
      <c r="G102" s="535">
        <v>0.7</v>
      </c>
      <c r="H102" s="535" t="s">
        <v>2</v>
      </c>
      <c r="I102" s="535">
        <v>0.7</v>
      </c>
      <c r="J102" s="536" t="s">
        <v>2</v>
      </c>
      <c r="K102" s="523" t="str">
        <f t="shared" si="5"/>
        <v>N</v>
      </c>
    </row>
    <row r="103" spans="2:11" s="51" customFormat="1" x14ac:dyDescent="0.25">
      <c r="B103" s="64" t="s">
        <v>1520</v>
      </c>
      <c r="C103" s="113" t="s">
        <v>1522</v>
      </c>
      <c r="D103" s="113" t="s">
        <v>3</v>
      </c>
      <c r="E103" s="113" t="s">
        <v>1525</v>
      </c>
      <c r="F103" s="113" t="str">
        <f t="shared" si="4"/>
        <v>0+ | Light | Refinance (Rate/Term) | 5-8 Unit</v>
      </c>
      <c r="G103" s="533" t="s">
        <v>148</v>
      </c>
      <c r="H103" s="533" t="s">
        <v>148</v>
      </c>
      <c r="I103" s="533" t="s">
        <v>148</v>
      </c>
      <c r="J103" s="534" t="s">
        <v>148</v>
      </c>
      <c r="K103" s="523" t="str">
        <f t="shared" si="5"/>
        <v>N</v>
      </c>
    </row>
    <row r="104" spans="2:11" s="51" customFormat="1" x14ac:dyDescent="0.25">
      <c r="B104" s="62" t="s">
        <v>1519</v>
      </c>
      <c r="C104" s="51" t="s">
        <v>1522</v>
      </c>
      <c r="D104" s="51" t="s">
        <v>3</v>
      </c>
      <c r="E104" s="51" t="s">
        <v>1525</v>
      </c>
      <c r="F104" s="51" t="str">
        <f t="shared" si="4"/>
        <v>1+ | Light | Refinance (Rate/Term) | 5-8 Unit</v>
      </c>
      <c r="G104" s="535" t="s">
        <v>148</v>
      </c>
      <c r="H104" s="535" t="s">
        <v>148</v>
      </c>
      <c r="I104" s="535" t="s">
        <v>148</v>
      </c>
      <c r="J104" s="536" t="s">
        <v>148</v>
      </c>
      <c r="K104" s="523" t="str">
        <f t="shared" si="5"/>
        <v>N</v>
      </c>
    </row>
    <row r="105" spans="2:11" s="51" customFormat="1" x14ac:dyDescent="0.25">
      <c r="B105" s="62" t="s">
        <v>1518</v>
      </c>
      <c r="C105" s="51" t="s">
        <v>1522</v>
      </c>
      <c r="D105" s="51" t="s">
        <v>3</v>
      </c>
      <c r="E105" s="51" t="s">
        <v>1525</v>
      </c>
      <c r="F105" s="51" t="str">
        <f t="shared" si="4"/>
        <v>3+ | Light | Refinance (Rate/Term) | 5-8 Unit</v>
      </c>
      <c r="G105" s="535">
        <v>0.7</v>
      </c>
      <c r="H105" s="535" t="s">
        <v>2</v>
      </c>
      <c r="I105" s="535">
        <v>0.65</v>
      </c>
      <c r="J105" s="536" t="s">
        <v>2</v>
      </c>
      <c r="K105" s="523" t="str">
        <f t="shared" si="5"/>
        <v>N</v>
      </c>
    </row>
    <row r="106" spans="2:11" s="51" customFormat="1" x14ac:dyDescent="0.25">
      <c r="B106" s="62" t="s">
        <v>1485</v>
      </c>
      <c r="C106" s="51" t="s">
        <v>1522</v>
      </c>
      <c r="D106" s="51" t="s">
        <v>3</v>
      </c>
      <c r="E106" s="51" t="s">
        <v>1525</v>
      </c>
      <c r="F106" s="51" t="str">
        <f t="shared" si="4"/>
        <v>5+ | Light | Refinance (Rate/Term) | 5-8 Unit</v>
      </c>
      <c r="G106" s="535">
        <v>0.7</v>
      </c>
      <c r="H106" s="535" t="s">
        <v>2</v>
      </c>
      <c r="I106" s="535">
        <v>0.65</v>
      </c>
      <c r="J106" s="536" t="s">
        <v>2</v>
      </c>
      <c r="K106" s="523" t="str">
        <f t="shared" si="5"/>
        <v>N</v>
      </c>
    </row>
    <row r="107" spans="2:11" s="51" customFormat="1" x14ac:dyDescent="0.25">
      <c r="B107" s="64" t="s">
        <v>1520</v>
      </c>
      <c r="C107" s="113" t="s">
        <v>1521</v>
      </c>
      <c r="D107" s="113" t="s">
        <v>3</v>
      </c>
      <c r="E107" s="113" t="s">
        <v>1525</v>
      </c>
      <c r="F107" s="113" t="str">
        <f t="shared" si="4"/>
        <v>0+ | Moderate | Refinance (Rate/Term) | 5-8 Unit</v>
      </c>
      <c r="G107" s="533" t="s">
        <v>148</v>
      </c>
      <c r="H107" s="533" t="s">
        <v>148</v>
      </c>
      <c r="I107" s="533" t="s">
        <v>148</v>
      </c>
      <c r="J107" s="534" t="s">
        <v>148</v>
      </c>
      <c r="K107" s="523" t="str">
        <f t="shared" si="5"/>
        <v>N</v>
      </c>
    </row>
    <row r="108" spans="2:11" s="51" customFormat="1" x14ac:dyDescent="0.25">
      <c r="B108" s="62" t="s">
        <v>1519</v>
      </c>
      <c r="C108" s="51" t="s">
        <v>1521</v>
      </c>
      <c r="D108" s="51" t="s">
        <v>3</v>
      </c>
      <c r="E108" s="51" t="s">
        <v>1525</v>
      </c>
      <c r="F108" s="51" t="str">
        <f t="shared" si="4"/>
        <v>1+ | Moderate | Refinance (Rate/Term) | 5-8 Unit</v>
      </c>
      <c r="G108" s="535" t="s">
        <v>148</v>
      </c>
      <c r="H108" s="535" t="s">
        <v>148</v>
      </c>
      <c r="I108" s="535" t="s">
        <v>148</v>
      </c>
      <c r="J108" s="536" t="s">
        <v>148</v>
      </c>
      <c r="K108" s="523" t="str">
        <f t="shared" si="5"/>
        <v>N</v>
      </c>
    </row>
    <row r="109" spans="2:11" s="51" customFormat="1" x14ac:dyDescent="0.25">
      <c r="B109" s="62" t="s">
        <v>1518</v>
      </c>
      <c r="C109" s="51" t="s">
        <v>1521</v>
      </c>
      <c r="D109" s="51" t="s">
        <v>3</v>
      </c>
      <c r="E109" s="51" t="s">
        <v>1525</v>
      </c>
      <c r="F109" s="51" t="str">
        <f t="shared" si="4"/>
        <v>3+ | Moderate | Refinance (Rate/Term) | 5-8 Unit</v>
      </c>
      <c r="G109" s="535">
        <v>0.7</v>
      </c>
      <c r="H109" s="535" t="s">
        <v>2</v>
      </c>
      <c r="I109" s="535">
        <v>0.65</v>
      </c>
      <c r="J109" s="536" t="s">
        <v>2</v>
      </c>
      <c r="K109" s="523" t="str">
        <f t="shared" si="5"/>
        <v>N</v>
      </c>
    </row>
    <row r="110" spans="2:11" s="51" customFormat="1" x14ac:dyDescent="0.25">
      <c r="B110" s="62" t="s">
        <v>1485</v>
      </c>
      <c r="C110" s="51" t="s">
        <v>1521</v>
      </c>
      <c r="D110" s="51" t="s">
        <v>3</v>
      </c>
      <c r="E110" s="51" t="s">
        <v>1525</v>
      </c>
      <c r="F110" s="51" t="str">
        <f t="shared" si="4"/>
        <v>5+ | Moderate | Refinance (Rate/Term) | 5-8 Unit</v>
      </c>
      <c r="G110" s="535">
        <v>0.7</v>
      </c>
      <c r="H110" s="535" t="s">
        <v>2</v>
      </c>
      <c r="I110" s="535">
        <v>0.65</v>
      </c>
      <c r="J110" s="536" t="s">
        <v>2</v>
      </c>
      <c r="K110" s="523" t="str">
        <f t="shared" si="5"/>
        <v>N</v>
      </c>
    </row>
    <row r="111" spans="2:11" s="51" customFormat="1" x14ac:dyDescent="0.25">
      <c r="B111" s="64" t="s">
        <v>1520</v>
      </c>
      <c r="C111" s="113" t="s">
        <v>1515</v>
      </c>
      <c r="D111" s="113" t="s">
        <v>3</v>
      </c>
      <c r="E111" s="113" t="s">
        <v>1525</v>
      </c>
      <c r="F111" s="113" t="str">
        <f t="shared" si="4"/>
        <v>0+ | Heavy | Refinance (Rate/Term) | 5-8 Unit</v>
      </c>
      <c r="G111" s="533" t="s">
        <v>148</v>
      </c>
      <c r="H111" s="533" t="s">
        <v>148</v>
      </c>
      <c r="I111" s="533" t="s">
        <v>148</v>
      </c>
      <c r="J111" s="534" t="s">
        <v>148</v>
      </c>
      <c r="K111" s="523" t="str">
        <f t="shared" si="5"/>
        <v>N</v>
      </c>
    </row>
    <row r="112" spans="2:11" s="51" customFormat="1" x14ac:dyDescent="0.25">
      <c r="B112" s="62" t="s">
        <v>1519</v>
      </c>
      <c r="C112" s="51" t="s">
        <v>1515</v>
      </c>
      <c r="D112" s="51" t="s">
        <v>3</v>
      </c>
      <c r="E112" s="51" t="s">
        <v>1525</v>
      </c>
      <c r="F112" s="51" t="str">
        <f t="shared" si="4"/>
        <v>1+ | Heavy | Refinance (Rate/Term) | 5-8 Unit</v>
      </c>
      <c r="G112" s="535" t="s">
        <v>148</v>
      </c>
      <c r="H112" s="535" t="s">
        <v>148</v>
      </c>
      <c r="I112" s="535" t="s">
        <v>148</v>
      </c>
      <c r="J112" s="536" t="s">
        <v>148</v>
      </c>
      <c r="K112" s="523" t="str">
        <f t="shared" si="5"/>
        <v>N</v>
      </c>
    </row>
    <row r="113" spans="2:11" s="51" customFormat="1" x14ac:dyDescent="0.25">
      <c r="B113" s="62" t="s">
        <v>1518</v>
      </c>
      <c r="C113" s="51" t="s">
        <v>1515</v>
      </c>
      <c r="D113" s="51" t="s">
        <v>3</v>
      </c>
      <c r="E113" s="51" t="s">
        <v>1525</v>
      </c>
      <c r="F113" s="51" t="str">
        <f t="shared" si="4"/>
        <v>3+ | Heavy | Refinance (Rate/Term) | 5-8 Unit</v>
      </c>
      <c r="G113" s="535">
        <v>0.65</v>
      </c>
      <c r="H113" s="535" t="s">
        <v>2</v>
      </c>
      <c r="I113" s="535">
        <v>0.6</v>
      </c>
      <c r="J113" s="536" t="s">
        <v>2</v>
      </c>
      <c r="K113" s="523" t="str">
        <f t="shared" si="5"/>
        <v>N</v>
      </c>
    </row>
    <row r="114" spans="2:11" s="51" customFormat="1" x14ac:dyDescent="0.25">
      <c r="B114" s="62" t="s">
        <v>1485</v>
      </c>
      <c r="C114" s="51" t="s">
        <v>1515</v>
      </c>
      <c r="D114" s="51" t="s">
        <v>3</v>
      </c>
      <c r="E114" s="51" t="s">
        <v>1525</v>
      </c>
      <c r="F114" s="51" t="str">
        <f t="shared" si="4"/>
        <v>5+ | Heavy | Refinance (Rate/Term) | 5-8 Unit</v>
      </c>
      <c r="G114" s="535">
        <v>0.65</v>
      </c>
      <c r="H114" s="535" t="s">
        <v>2</v>
      </c>
      <c r="I114" s="535">
        <v>0.6</v>
      </c>
      <c r="J114" s="536" t="s">
        <v>2</v>
      </c>
      <c r="K114" s="523" t="str">
        <f t="shared" si="5"/>
        <v>N</v>
      </c>
    </row>
    <row r="115" spans="2:11" s="51" customFormat="1" x14ac:dyDescent="0.25">
      <c r="B115" s="64" t="s">
        <v>1520</v>
      </c>
      <c r="C115" s="113" t="s">
        <v>1523</v>
      </c>
      <c r="D115" s="113" t="s">
        <v>274</v>
      </c>
      <c r="E115" s="113" t="s">
        <v>1525</v>
      </c>
      <c r="F115" s="113" t="str">
        <f t="shared" si="4"/>
        <v>0+ | Stabilized | Refinance (Cash Out) | 5-8 Unit</v>
      </c>
      <c r="G115" s="533">
        <v>0.625</v>
      </c>
      <c r="H115" s="533" t="s">
        <v>2</v>
      </c>
      <c r="I115" s="533">
        <v>0.625</v>
      </c>
      <c r="J115" s="534" t="s">
        <v>2</v>
      </c>
      <c r="K115" s="523" t="str">
        <f t="shared" si="5"/>
        <v>N</v>
      </c>
    </row>
    <row r="116" spans="2:11" s="51" customFormat="1" x14ac:dyDescent="0.25">
      <c r="B116" s="62" t="s">
        <v>1519</v>
      </c>
      <c r="C116" s="51" t="s">
        <v>1523</v>
      </c>
      <c r="D116" s="51" t="s">
        <v>274</v>
      </c>
      <c r="E116" s="51" t="s">
        <v>1525</v>
      </c>
      <c r="F116" s="51" t="str">
        <f t="shared" si="4"/>
        <v>1+ | Stabilized | Refinance (Cash Out) | 5-8 Unit</v>
      </c>
      <c r="G116" s="535">
        <v>0.625</v>
      </c>
      <c r="H116" s="535" t="s">
        <v>2</v>
      </c>
      <c r="I116" s="535">
        <v>0.625</v>
      </c>
      <c r="J116" s="536" t="s">
        <v>2</v>
      </c>
      <c r="K116" s="523" t="str">
        <f t="shared" si="5"/>
        <v>N</v>
      </c>
    </row>
    <row r="117" spans="2:11" s="51" customFormat="1" x14ac:dyDescent="0.25">
      <c r="B117" s="62" t="s">
        <v>1518</v>
      </c>
      <c r="C117" s="51" t="s">
        <v>1523</v>
      </c>
      <c r="D117" s="51" t="s">
        <v>274</v>
      </c>
      <c r="E117" s="51" t="s">
        <v>1525</v>
      </c>
      <c r="F117" s="51" t="str">
        <f t="shared" si="4"/>
        <v>3+ | Stabilized | Refinance (Cash Out) | 5-8 Unit</v>
      </c>
      <c r="G117" s="535">
        <v>0.65</v>
      </c>
      <c r="H117" s="535" t="s">
        <v>2</v>
      </c>
      <c r="I117" s="535">
        <v>0.65</v>
      </c>
      <c r="J117" s="536" t="s">
        <v>2</v>
      </c>
      <c r="K117" s="523" t="str">
        <f t="shared" si="5"/>
        <v>N</v>
      </c>
    </row>
    <row r="118" spans="2:11" s="51" customFormat="1" x14ac:dyDescent="0.25">
      <c r="B118" s="62" t="s">
        <v>1485</v>
      </c>
      <c r="C118" s="51" t="s">
        <v>1523</v>
      </c>
      <c r="D118" s="51" t="s">
        <v>274</v>
      </c>
      <c r="E118" s="51" t="s">
        <v>1525</v>
      </c>
      <c r="F118" s="51" t="str">
        <f t="shared" si="4"/>
        <v>5+ | Stabilized | Refinance (Cash Out) | 5-8 Unit</v>
      </c>
      <c r="G118" s="535">
        <v>0.65</v>
      </c>
      <c r="H118" s="535" t="s">
        <v>2</v>
      </c>
      <c r="I118" s="535">
        <v>0.65</v>
      </c>
      <c r="J118" s="536" t="s">
        <v>2</v>
      </c>
      <c r="K118" s="523" t="str">
        <f t="shared" si="5"/>
        <v>N</v>
      </c>
    </row>
    <row r="119" spans="2:11" s="51" customFormat="1" x14ac:dyDescent="0.25">
      <c r="B119" s="64" t="s">
        <v>1520</v>
      </c>
      <c r="C119" s="113" t="s">
        <v>1522</v>
      </c>
      <c r="D119" s="113" t="s">
        <v>274</v>
      </c>
      <c r="E119" s="113" t="s">
        <v>1525</v>
      </c>
      <c r="F119" s="113" t="str">
        <f t="shared" si="4"/>
        <v>0+ | Light | Refinance (Cash Out) | 5-8 Unit</v>
      </c>
      <c r="G119" s="533" t="s">
        <v>148</v>
      </c>
      <c r="H119" s="533" t="s">
        <v>148</v>
      </c>
      <c r="I119" s="533" t="s">
        <v>148</v>
      </c>
      <c r="J119" s="534" t="s">
        <v>148</v>
      </c>
      <c r="K119" s="523" t="str">
        <f t="shared" si="5"/>
        <v>N</v>
      </c>
    </row>
    <row r="120" spans="2:11" s="51" customFormat="1" x14ac:dyDescent="0.25">
      <c r="B120" s="62" t="s">
        <v>1519</v>
      </c>
      <c r="C120" s="51" t="s">
        <v>1522</v>
      </c>
      <c r="D120" s="51" t="s">
        <v>274</v>
      </c>
      <c r="E120" s="51" t="s">
        <v>1525</v>
      </c>
      <c r="F120" s="51" t="str">
        <f t="shared" si="4"/>
        <v>1+ | Light | Refinance (Cash Out) | 5-8 Unit</v>
      </c>
      <c r="G120" s="535" t="s">
        <v>148</v>
      </c>
      <c r="H120" s="535" t="s">
        <v>148</v>
      </c>
      <c r="I120" s="535" t="s">
        <v>148</v>
      </c>
      <c r="J120" s="536" t="s">
        <v>148</v>
      </c>
      <c r="K120" s="523" t="str">
        <f t="shared" si="5"/>
        <v>N</v>
      </c>
    </row>
    <row r="121" spans="2:11" s="51" customFormat="1" x14ac:dyDescent="0.25">
      <c r="B121" s="62" t="s">
        <v>1518</v>
      </c>
      <c r="C121" s="51" t="s">
        <v>1522</v>
      </c>
      <c r="D121" s="51" t="s">
        <v>274</v>
      </c>
      <c r="E121" s="51" t="s">
        <v>1525</v>
      </c>
      <c r="F121" s="51" t="str">
        <f t="shared" si="4"/>
        <v>3+ | Light | Refinance (Cash Out) | 5-8 Unit</v>
      </c>
      <c r="G121" s="535">
        <v>0.65</v>
      </c>
      <c r="H121" s="535" t="s">
        <v>2</v>
      </c>
      <c r="I121" s="535">
        <v>0.6</v>
      </c>
      <c r="J121" s="536" t="s">
        <v>2</v>
      </c>
      <c r="K121" s="523" t="str">
        <f t="shared" si="5"/>
        <v>N</v>
      </c>
    </row>
    <row r="122" spans="2:11" s="51" customFormat="1" x14ac:dyDescent="0.25">
      <c r="B122" s="62" t="s">
        <v>1485</v>
      </c>
      <c r="C122" s="51" t="s">
        <v>1522</v>
      </c>
      <c r="D122" s="51" t="s">
        <v>274</v>
      </c>
      <c r="E122" s="51" t="s">
        <v>1525</v>
      </c>
      <c r="F122" s="51" t="str">
        <f t="shared" si="4"/>
        <v>5+ | Light | Refinance (Cash Out) | 5-8 Unit</v>
      </c>
      <c r="G122" s="535">
        <v>0.65</v>
      </c>
      <c r="H122" s="535" t="s">
        <v>2</v>
      </c>
      <c r="I122" s="535">
        <v>0.6</v>
      </c>
      <c r="J122" s="536" t="s">
        <v>2</v>
      </c>
      <c r="K122" s="523" t="str">
        <f t="shared" si="5"/>
        <v>N</v>
      </c>
    </row>
    <row r="123" spans="2:11" s="51" customFormat="1" x14ac:dyDescent="0.25">
      <c r="B123" s="64" t="s">
        <v>1520</v>
      </c>
      <c r="C123" s="113" t="s">
        <v>1521</v>
      </c>
      <c r="D123" s="113" t="s">
        <v>274</v>
      </c>
      <c r="E123" s="113" t="s">
        <v>1525</v>
      </c>
      <c r="F123" s="113" t="str">
        <f t="shared" si="4"/>
        <v>0+ | Moderate | Refinance (Cash Out) | 5-8 Unit</v>
      </c>
      <c r="G123" s="533" t="s">
        <v>148</v>
      </c>
      <c r="H123" s="533" t="s">
        <v>148</v>
      </c>
      <c r="I123" s="533" t="s">
        <v>148</v>
      </c>
      <c r="J123" s="534" t="s">
        <v>148</v>
      </c>
      <c r="K123" s="523" t="str">
        <f t="shared" si="5"/>
        <v>N</v>
      </c>
    </row>
    <row r="124" spans="2:11" s="51" customFormat="1" x14ac:dyDescent="0.25">
      <c r="B124" s="62" t="s">
        <v>1519</v>
      </c>
      <c r="C124" s="51" t="s">
        <v>1521</v>
      </c>
      <c r="D124" s="51" t="s">
        <v>274</v>
      </c>
      <c r="E124" s="51" t="s">
        <v>1525</v>
      </c>
      <c r="F124" s="51" t="str">
        <f t="shared" si="4"/>
        <v>1+ | Moderate | Refinance (Cash Out) | 5-8 Unit</v>
      </c>
      <c r="G124" s="535" t="s">
        <v>148</v>
      </c>
      <c r="H124" s="535" t="s">
        <v>148</v>
      </c>
      <c r="I124" s="535" t="s">
        <v>148</v>
      </c>
      <c r="J124" s="536" t="s">
        <v>148</v>
      </c>
      <c r="K124" s="523" t="str">
        <f t="shared" si="5"/>
        <v>N</v>
      </c>
    </row>
    <row r="125" spans="2:11" s="51" customFormat="1" x14ac:dyDescent="0.25">
      <c r="B125" s="62" t="s">
        <v>1518</v>
      </c>
      <c r="C125" s="51" t="s">
        <v>1521</v>
      </c>
      <c r="D125" s="51" t="s">
        <v>274</v>
      </c>
      <c r="E125" s="51" t="s">
        <v>1525</v>
      </c>
      <c r="F125" s="51" t="str">
        <f t="shared" si="4"/>
        <v>3+ | Moderate | Refinance (Cash Out) | 5-8 Unit</v>
      </c>
      <c r="G125" s="535">
        <v>0.65</v>
      </c>
      <c r="H125" s="535" t="s">
        <v>2</v>
      </c>
      <c r="I125" s="535">
        <v>0.6</v>
      </c>
      <c r="J125" s="536" t="s">
        <v>2</v>
      </c>
      <c r="K125" s="523" t="str">
        <f t="shared" si="5"/>
        <v>N</v>
      </c>
    </row>
    <row r="126" spans="2:11" s="51" customFormat="1" x14ac:dyDescent="0.25">
      <c r="B126" s="62" t="s">
        <v>1485</v>
      </c>
      <c r="C126" s="51" t="s">
        <v>1521</v>
      </c>
      <c r="D126" s="51" t="s">
        <v>274</v>
      </c>
      <c r="E126" s="51" t="s">
        <v>1525</v>
      </c>
      <c r="F126" s="51" t="str">
        <f t="shared" si="4"/>
        <v>5+ | Moderate | Refinance (Cash Out) | 5-8 Unit</v>
      </c>
      <c r="G126" s="535">
        <v>0.65</v>
      </c>
      <c r="H126" s="535" t="s">
        <v>2</v>
      </c>
      <c r="I126" s="535">
        <v>0.6</v>
      </c>
      <c r="J126" s="536" t="s">
        <v>2</v>
      </c>
      <c r="K126" s="523" t="str">
        <f t="shared" si="5"/>
        <v>N</v>
      </c>
    </row>
    <row r="127" spans="2:11" s="51" customFormat="1" x14ac:dyDescent="0.25">
      <c r="B127" s="64" t="s">
        <v>1520</v>
      </c>
      <c r="C127" s="113" t="s">
        <v>1515</v>
      </c>
      <c r="D127" s="113" t="s">
        <v>274</v>
      </c>
      <c r="E127" s="113" t="s">
        <v>1525</v>
      </c>
      <c r="F127" s="113" t="str">
        <f t="shared" si="4"/>
        <v>0+ | Heavy | Refinance (Cash Out) | 5-8 Unit</v>
      </c>
      <c r="G127" s="533" t="s">
        <v>148</v>
      </c>
      <c r="H127" s="533" t="s">
        <v>148</v>
      </c>
      <c r="I127" s="533" t="s">
        <v>148</v>
      </c>
      <c r="J127" s="534" t="s">
        <v>148</v>
      </c>
      <c r="K127" s="523" t="str">
        <f t="shared" si="5"/>
        <v>N</v>
      </c>
    </row>
    <row r="128" spans="2:11" s="51" customFormat="1" x14ac:dyDescent="0.25">
      <c r="B128" s="62" t="s">
        <v>1519</v>
      </c>
      <c r="C128" s="51" t="s">
        <v>1515</v>
      </c>
      <c r="D128" s="51" t="s">
        <v>274</v>
      </c>
      <c r="E128" s="51" t="s">
        <v>1525</v>
      </c>
      <c r="F128" s="51" t="str">
        <f t="shared" si="4"/>
        <v>1+ | Heavy | Refinance (Cash Out) | 5-8 Unit</v>
      </c>
      <c r="G128" s="535" t="s">
        <v>148</v>
      </c>
      <c r="H128" s="535" t="s">
        <v>148</v>
      </c>
      <c r="I128" s="535" t="s">
        <v>148</v>
      </c>
      <c r="J128" s="536" t="s">
        <v>148</v>
      </c>
      <c r="K128" s="523" t="str">
        <f t="shared" si="5"/>
        <v>N</v>
      </c>
    </row>
    <row r="129" spans="2:15" s="51" customFormat="1" x14ac:dyDescent="0.25">
      <c r="B129" s="62" t="s">
        <v>1518</v>
      </c>
      <c r="C129" s="51" t="s">
        <v>1515</v>
      </c>
      <c r="D129" s="51" t="s">
        <v>274</v>
      </c>
      <c r="E129" s="51" t="s">
        <v>1525</v>
      </c>
      <c r="F129" s="51" t="str">
        <f t="shared" si="4"/>
        <v>3+ | Heavy | Refinance (Cash Out) | 5-8 Unit</v>
      </c>
      <c r="G129" s="535" t="s">
        <v>148</v>
      </c>
      <c r="H129" s="535" t="s">
        <v>148</v>
      </c>
      <c r="I129" s="535" t="s">
        <v>148</v>
      </c>
      <c r="J129" s="536" t="s">
        <v>148</v>
      </c>
      <c r="K129" s="523" t="str">
        <f t="shared" si="5"/>
        <v>N</v>
      </c>
    </row>
    <row r="130" spans="2:15" s="51" customFormat="1" x14ac:dyDescent="0.25">
      <c r="B130" s="62" t="s">
        <v>1485</v>
      </c>
      <c r="C130" s="51" t="s">
        <v>1515</v>
      </c>
      <c r="D130" s="51" t="s">
        <v>274</v>
      </c>
      <c r="E130" s="51" t="s">
        <v>1525</v>
      </c>
      <c r="F130" s="51" t="str">
        <f t="shared" si="4"/>
        <v>5+ | Heavy | Refinance (Cash Out) | 5-8 Unit</v>
      </c>
      <c r="G130" s="535" t="s">
        <v>148</v>
      </c>
      <c r="H130" s="535" t="s">
        <v>148</v>
      </c>
      <c r="I130" s="535" t="s">
        <v>148</v>
      </c>
      <c r="J130" s="536" t="s">
        <v>148</v>
      </c>
      <c r="K130" s="523" t="str">
        <f t="shared" si="5"/>
        <v>N</v>
      </c>
    </row>
    <row r="131" spans="2:15" s="51" customFormat="1" x14ac:dyDescent="0.25">
      <c r="B131" s="64" t="s">
        <v>1520</v>
      </c>
      <c r="C131" s="113" t="s">
        <v>1523</v>
      </c>
      <c r="D131" s="113" t="s">
        <v>202</v>
      </c>
      <c r="E131" s="113" t="s">
        <v>1524</v>
      </c>
      <c r="F131" s="113" t="str">
        <f t="shared" ref="F131:F174" si="6">B131&amp;" | "&amp;C131&amp;" | "&amp;D131&amp;" | "&amp;E131</f>
        <v>0+ | Stabilized | Purchase | 8+ Unit</v>
      </c>
      <c r="G131" s="533">
        <v>0.7</v>
      </c>
      <c r="H131" s="533">
        <v>0.75</v>
      </c>
      <c r="I131" s="533">
        <v>0.7</v>
      </c>
      <c r="J131" s="534" t="s">
        <v>2</v>
      </c>
      <c r="K131" s="523" t="str">
        <f t="shared" si="5"/>
        <v>N</v>
      </c>
      <c r="M131" s="527"/>
      <c r="N131" s="527"/>
      <c r="O131" s="527"/>
    </row>
    <row r="132" spans="2:15" s="51" customFormat="1" x14ac:dyDescent="0.25">
      <c r="B132" s="62" t="s">
        <v>1519</v>
      </c>
      <c r="C132" s="51" t="s">
        <v>1523</v>
      </c>
      <c r="D132" s="51" t="s">
        <v>202</v>
      </c>
      <c r="E132" s="51" t="s">
        <v>1524</v>
      </c>
      <c r="F132" s="51" t="str">
        <f t="shared" si="6"/>
        <v>1+ | Stabilized | Purchase | 8+ Unit</v>
      </c>
      <c r="G132" s="535">
        <v>0.7</v>
      </c>
      <c r="H132" s="535">
        <v>0.75</v>
      </c>
      <c r="I132" s="535">
        <v>0.7</v>
      </c>
      <c r="J132" s="536" t="s">
        <v>2</v>
      </c>
      <c r="K132" s="523" t="str">
        <f t="shared" si="5"/>
        <v>N</v>
      </c>
      <c r="L132" s="527"/>
      <c r="M132" s="527"/>
      <c r="N132" s="527"/>
      <c r="O132" s="527"/>
    </row>
    <row r="133" spans="2:15" s="51" customFormat="1" x14ac:dyDescent="0.25">
      <c r="B133" s="62" t="s">
        <v>1518</v>
      </c>
      <c r="C133" s="51" t="s">
        <v>1523</v>
      </c>
      <c r="D133" s="51" t="s">
        <v>202</v>
      </c>
      <c r="E133" s="51" t="s">
        <v>1524</v>
      </c>
      <c r="F133" s="51" t="str">
        <f t="shared" si="6"/>
        <v>3+ | Stabilized | Purchase | 8+ Unit</v>
      </c>
      <c r="G133" s="535">
        <v>0.75</v>
      </c>
      <c r="H133" s="535">
        <v>0.75</v>
      </c>
      <c r="I133" s="535">
        <v>0.75</v>
      </c>
      <c r="J133" s="536" t="s">
        <v>2</v>
      </c>
      <c r="K133" s="523" t="str">
        <f t="shared" si="5"/>
        <v>N</v>
      </c>
      <c r="L133" s="527"/>
      <c r="M133" s="527"/>
      <c r="N133" s="527"/>
      <c r="O133" s="527"/>
    </row>
    <row r="134" spans="2:15" s="51" customFormat="1" x14ac:dyDescent="0.25">
      <c r="B134" s="62" t="s">
        <v>1485</v>
      </c>
      <c r="C134" s="51" t="s">
        <v>1523</v>
      </c>
      <c r="D134" s="51" t="s">
        <v>202</v>
      </c>
      <c r="E134" s="51" t="s">
        <v>1524</v>
      </c>
      <c r="F134" s="51" t="str">
        <f t="shared" si="6"/>
        <v>5+ | Stabilized | Purchase | 8+ Unit</v>
      </c>
      <c r="G134" s="535">
        <v>0.75</v>
      </c>
      <c r="H134" s="535">
        <v>0.75</v>
      </c>
      <c r="I134" s="535">
        <v>0.75</v>
      </c>
      <c r="J134" s="536" t="s">
        <v>2</v>
      </c>
      <c r="K134" s="523" t="str">
        <f t="shared" si="5"/>
        <v>N</v>
      </c>
      <c r="L134" s="527"/>
      <c r="M134" s="527"/>
      <c r="N134" s="527"/>
      <c r="O134" s="527"/>
    </row>
    <row r="135" spans="2:15" s="51" customFormat="1" x14ac:dyDescent="0.25">
      <c r="B135" s="64" t="s">
        <v>1520</v>
      </c>
      <c r="C135" s="113" t="s">
        <v>1522</v>
      </c>
      <c r="D135" s="113" t="s">
        <v>202</v>
      </c>
      <c r="E135" s="113" t="s">
        <v>1524</v>
      </c>
      <c r="F135" s="113" t="str">
        <f t="shared" si="6"/>
        <v>0+ | Light | Purchase | 8+ Unit</v>
      </c>
      <c r="G135" s="533">
        <v>0.7</v>
      </c>
      <c r="H135" s="533">
        <v>0.7</v>
      </c>
      <c r="I135" s="533">
        <v>0.65</v>
      </c>
      <c r="J135" s="534" t="s">
        <v>2</v>
      </c>
      <c r="K135" s="523" t="str">
        <f t="shared" ref="K135:K177" si="7">$W$39</f>
        <v>N</v>
      </c>
      <c r="L135" s="527"/>
      <c r="M135" s="527"/>
      <c r="N135" s="527"/>
      <c r="O135" s="527"/>
    </row>
    <row r="136" spans="2:15" s="51" customFormat="1" x14ac:dyDescent="0.25">
      <c r="B136" s="62" t="s">
        <v>1519</v>
      </c>
      <c r="C136" s="51" t="s">
        <v>1522</v>
      </c>
      <c r="D136" s="51" t="s">
        <v>202</v>
      </c>
      <c r="E136" s="51" t="s">
        <v>1524</v>
      </c>
      <c r="F136" s="51" t="str">
        <f t="shared" si="6"/>
        <v>1+ | Light | Purchase | 8+ Unit</v>
      </c>
      <c r="G136" s="535">
        <v>0.7</v>
      </c>
      <c r="H136" s="535">
        <v>0.7</v>
      </c>
      <c r="I136" s="535">
        <v>0.65</v>
      </c>
      <c r="J136" s="536" t="s">
        <v>2</v>
      </c>
      <c r="K136" s="523" t="str">
        <f t="shared" si="7"/>
        <v>N</v>
      </c>
      <c r="L136" s="527"/>
      <c r="M136" s="527"/>
      <c r="N136" s="527"/>
      <c r="O136" s="527"/>
    </row>
    <row r="137" spans="2:15" s="51" customFormat="1" x14ac:dyDescent="0.25">
      <c r="B137" s="62" t="s">
        <v>1518</v>
      </c>
      <c r="C137" s="51" t="s">
        <v>1522</v>
      </c>
      <c r="D137" s="51" t="s">
        <v>202</v>
      </c>
      <c r="E137" s="51" t="s">
        <v>1524</v>
      </c>
      <c r="F137" s="51" t="str">
        <f t="shared" si="6"/>
        <v>3+ | Light | Purchase | 8+ Unit</v>
      </c>
      <c r="G137" s="535">
        <v>0.75</v>
      </c>
      <c r="H137" s="535">
        <v>0.75</v>
      </c>
      <c r="I137" s="535">
        <v>0.7</v>
      </c>
      <c r="J137" s="536" t="s">
        <v>2</v>
      </c>
      <c r="K137" s="523" t="str">
        <f t="shared" si="7"/>
        <v>N</v>
      </c>
      <c r="L137" s="527"/>
      <c r="M137" s="527"/>
      <c r="N137" s="527"/>
      <c r="O137" s="527"/>
    </row>
    <row r="138" spans="2:15" s="51" customFormat="1" x14ac:dyDescent="0.25">
      <c r="B138" s="62" t="s">
        <v>1485</v>
      </c>
      <c r="C138" s="51" t="s">
        <v>1522</v>
      </c>
      <c r="D138" s="51" t="s">
        <v>202</v>
      </c>
      <c r="E138" s="51" t="s">
        <v>1524</v>
      </c>
      <c r="F138" s="51" t="str">
        <f t="shared" si="6"/>
        <v>5+ | Light | Purchase | 8+ Unit</v>
      </c>
      <c r="G138" s="535">
        <v>0.75</v>
      </c>
      <c r="H138" s="535">
        <v>0.75</v>
      </c>
      <c r="I138" s="535">
        <v>0.7</v>
      </c>
      <c r="J138" s="536" t="s">
        <v>2</v>
      </c>
      <c r="K138" s="523" t="str">
        <f t="shared" si="7"/>
        <v>N</v>
      </c>
      <c r="L138" s="527"/>
      <c r="M138" s="527"/>
      <c r="N138" s="527"/>
      <c r="O138" s="527"/>
    </row>
    <row r="139" spans="2:15" s="51" customFormat="1" x14ac:dyDescent="0.25">
      <c r="B139" s="64" t="s">
        <v>1520</v>
      </c>
      <c r="C139" s="113" t="s">
        <v>1521</v>
      </c>
      <c r="D139" s="113" t="s">
        <v>202</v>
      </c>
      <c r="E139" s="113" t="s">
        <v>1524</v>
      </c>
      <c r="F139" s="113" t="str">
        <f t="shared" si="6"/>
        <v>0+ | Moderate | Purchase | 8+ Unit</v>
      </c>
      <c r="G139" s="533">
        <v>0.7</v>
      </c>
      <c r="H139" s="533">
        <v>0.7</v>
      </c>
      <c r="I139" s="533">
        <v>0.65</v>
      </c>
      <c r="J139" s="534" t="s">
        <v>2</v>
      </c>
      <c r="K139" s="523" t="str">
        <f t="shared" si="7"/>
        <v>N</v>
      </c>
      <c r="L139" s="527"/>
      <c r="M139" s="527"/>
      <c r="N139" s="527"/>
      <c r="O139" s="527"/>
    </row>
    <row r="140" spans="2:15" s="51" customFormat="1" x14ac:dyDescent="0.25">
      <c r="B140" s="62" t="s">
        <v>1519</v>
      </c>
      <c r="C140" s="51" t="s">
        <v>1521</v>
      </c>
      <c r="D140" s="51" t="s">
        <v>202</v>
      </c>
      <c r="E140" s="51" t="s">
        <v>1524</v>
      </c>
      <c r="F140" s="51" t="str">
        <f t="shared" si="6"/>
        <v>1+ | Moderate | Purchase | 8+ Unit</v>
      </c>
      <c r="G140" s="535">
        <v>0.7</v>
      </c>
      <c r="H140" s="535">
        <v>0.7</v>
      </c>
      <c r="I140" s="535">
        <v>0.65</v>
      </c>
      <c r="J140" s="536" t="s">
        <v>2</v>
      </c>
      <c r="K140" s="523" t="str">
        <f t="shared" si="7"/>
        <v>N</v>
      </c>
      <c r="L140" s="527"/>
      <c r="M140" s="527"/>
      <c r="N140" s="527"/>
      <c r="O140" s="527"/>
    </row>
    <row r="141" spans="2:15" s="51" customFormat="1" x14ac:dyDescent="0.25">
      <c r="B141" s="62" t="s">
        <v>1518</v>
      </c>
      <c r="C141" s="51" t="s">
        <v>1521</v>
      </c>
      <c r="D141" s="51" t="s">
        <v>202</v>
      </c>
      <c r="E141" s="51" t="s">
        <v>1524</v>
      </c>
      <c r="F141" s="51" t="str">
        <f t="shared" si="6"/>
        <v>3+ | Moderate | Purchase | 8+ Unit</v>
      </c>
      <c r="G141" s="535">
        <v>0.75</v>
      </c>
      <c r="H141" s="535">
        <v>0.75</v>
      </c>
      <c r="I141" s="535">
        <v>0.7</v>
      </c>
      <c r="J141" s="536" t="s">
        <v>2</v>
      </c>
      <c r="K141" s="523" t="str">
        <f t="shared" si="7"/>
        <v>N</v>
      </c>
      <c r="L141" s="527"/>
      <c r="M141" s="527"/>
      <c r="N141" s="527"/>
      <c r="O141" s="527"/>
    </row>
    <row r="142" spans="2:15" s="51" customFormat="1" x14ac:dyDescent="0.25">
      <c r="B142" s="62" t="s">
        <v>1485</v>
      </c>
      <c r="C142" s="51" t="s">
        <v>1521</v>
      </c>
      <c r="D142" s="51" t="s">
        <v>202</v>
      </c>
      <c r="E142" s="51" t="s">
        <v>1524</v>
      </c>
      <c r="F142" s="51" t="str">
        <f t="shared" si="6"/>
        <v>5+ | Moderate | Purchase | 8+ Unit</v>
      </c>
      <c r="G142" s="535">
        <v>0.75</v>
      </c>
      <c r="H142" s="535">
        <v>0.75</v>
      </c>
      <c r="I142" s="535">
        <v>0.7</v>
      </c>
      <c r="J142" s="536" t="s">
        <v>2</v>
      </c>
      <c r="K142" s="523" t="str">
        <f t="shared" si="7"/>
        <v>N</v>
      </c>
      <c r="L142" s="527"/>
      <c r="M142" s="527"/>
      <c r="N142" s="527"/>
      <c r="O142" s="527"/>
    </row>
    <row r="143" spans="2:15" s="51" customFormat="1" x14ac:dyDescent="0.25">
      <c r="B143" s="64" t="s">
        <v>1520</v>
      </c>
      <c r="C143" s="113" t="s">
        <v>1515</v>
      </c>
      <c r="D143" s="113" t="s">
        <v>202</v>
      </c>
      <c r="E143" s="113" t="s">
        <v>1524</v>
      </c>
      <c r="F143" s="113" t="str">
        <f t="shared" si="6"/>
        <v>0+ | Heavy | Purchase | 8+ Unit</v>
      </c>
      <c r="G143" s="533" t="s">
        <v>148</v>
      </c>
      <c r="H143" s="533" t="s">
        <v>148</v>
      </c>
      <c r="I143" s="533" t="s">
        <v>148</v>
      </c>
      <c r="J143" s="534" t="s">
        <v>148</v>
      </c>
      <c r="K143" s="523" t="str">
        <f t="shared" si="7"/>
        <v>N</v>
      </c>
      <c r="L143" s="527"/>
      <c r="M143" s="527"/>
      <c r="N143" s="527"/>
      <c r="O143" s="527"/>
    </row>
    <row r="144" spans="2:15" s="51" customFormat="1" x14ac:dyDescent="0.25">
      <c r="B144" s="62" t="s">
        <v>1519</v>
      </c>
      <c r="C144" s="51" t="s">
        <v>1515</v>
      </c>
      <c r="D144" s="51" t="s">
        <v>202</v>
      </c>
      <c r="E144" s="51" t="s">
        <v>1524</v>
      </c>
      <c r="F144" s="51" t="str">
        <f t="shared" si="6"/>
        <v>1+ | Heavy | Purchase | 8+ Unit</v>
      </c>
      <c r="G144" s="535" t="s">
        <v>148</v>
      </c>
      <c r="H144" s="535" t="s">
        <v>148</v>
      </c>
      <c r="I144" s="535" t="s">
        <v>148</v>
      </c>
      <c r="J144" s="536" t="s">
        <v>148</v>
      </c>
      <c r="K144" s="523" t="str">
        <f t="shared" si="7"/>
        <v>N</v>
      </c>
      <c r="L144" s="527"/>
      <c r="M144" s="527"/>
      <c r="N144" s="527"/>
      <c r="O144" s="527"/>
    </row>
    <row r="145" spans="2:15" s="51" customFormat="1" x14ac:dyDescent="0.25">
      <c r="B145" s="62" t="s">
        <v>1518</v>
      </c>
      <c r="C145" s="51" t="s">
        <v>1515</v>
      </c>
      <c r="D145" s="51" t="s">
        <v>202</v>
      </c>
      <c r="E145" s="51" t="s">
        <v>1524</v>
      </c>
      <c r="F145" s="51" t="str">
        <f t="shared" si="6"/>
        <v>3+ | Heavy | Purchase | 8+ Unit</v>
      </c>
      <c r="G145" s="535">
        <v>0.7</v>
      </c>
      <c r="H145" s="535">
        <v>0.7</v>
      </c>
      <c r="I145" s="535">
        <v>0.65</v>
      </c>
      <c r="J145" s="536" t="s">
        <v>2</v>
      </c>
      <c r="K145" s="523" t="str">
        <f t="shared" si="7"/>
        <v>N</v>
      </c>
      <c r="L145" s="527"/>
      <c r="M145" s="527"/>
      <c r="N145" s="527"/>
      <c r="O145" s="527"/>
    </row>
    <row r="146" spans="2:15" s="51" customFormat="1" x14ac:dyDescent="0.25">
      <c r="B146" s="62" t="s">
        <v>1485</v>
      </c>
      <c r="C146" s="51" t="s">
        <v>1515</v>
      </c>
      <c r="D146" s="51" t="s">
        <v>202</v>
      </c>
      <c r="E146" s="51" t="s">
        <v>1524</v>
      </c>
      <c r="F146" s="51" t="str">
        <f t="shared" si="6"/>
        <v>5+ | Heavy | Purchase | 8+ Unit</v>
      </c>
      <c r="G146" s="535">
        <v>0.7</v>
      </c>
      <c r="H146" s="535">
        <v>0.7</v>
      </c>
      <c r="I146" s="535">
        <v>0.65</v>
      </c>
      <c r="J146" s="536" t="s">
        <v>2</v>
      </c>
      <c r="K146" s="523" t="str">
        <f t="shared" si="7"/>
        <v>N</v>
      </c>
      <c r="L146" s="527"/>
      <c r="M146" s="527"/>
      <c r="N146" s="527"/>
      <c r="O146" s="527"/>
    </row>
    <row r="147" spans="2:15" s="51" customFormat="1" x14ac:dyDescent="0.25">
      <c r="B147" s="64" t="s">
        <v>1520</v>
      </c>
      <c r="C147" s="113" t="s">
        <v>1523</v>
      </c>
      <c r="D147" s="113" t="s">
        <v>200</v>
      </c>
      <c r="E147" s="113" t="s">
        <v>1524</v>
      </c>
      <c r="F147" s="113" t="str">
        <f t="shared" si="6"/>
        <v>0+ | Stabilized | Delayed Purchase | 8+ Unit</v>
      </c>
      <c r="G147" s="533">
        <v>0.7</v>
      </c>
      <c r="H147" s="533">
        <v>0.75</v>
      </c>
      <c r="I147" s="533">
        <v>0.7</v>
      </c>
      <c r="J147" s="534" t="s">
        <v>2</v>
      </c>
      <c r="K147" s="523" t="str">
        <f t="shared" si="7"/>
        <v>N</v>
      </c>
      <c r="L147" s="527"/>
      <c r="M147" s="527"/>
      <c r="N147" s="527"/>
      <c r="O147" s="527"/>
    </row>
    <row r="148" spans="2:15" s="51" customFormat="1" x14ac:dyDescent="0.25">
      <c r="B148" s="62" t="s">
        <v>1519</v>
      </c>
      <c r="C148" s="51" t="s">
        <v>1523</v>
      </c>
      <c r="D148" s="51" t="s">
        <v>200</v>
      </c>
      <c r="E148" s="51" t="s">
        <v>1524</v>
      </c>
      <c r="F148" s="51" t="str">
        <f t="shared" si="6"/>
        <v>1+ | Stabilized | Delayed Purchase | 8+ Unit</v>
      </c>
      <c r="G148" s="535">
        <v>0.7</v>
      </c>
      <c r="H148" s="535">
        <v>0.75</v>
      </c>
      <c r="I148" s="535">
        <v>0.7</v>
      </c>
      <c r="J148" s="536" t="s">
        <v>2</v>
      </c>
      <c r="K148" s="523" t="str">
        <f t="shared" si="7"/>
        <v>N</v>
      </c>
      <c r="L148" s="527"/>
      <c r="M148" s="527"/>
      <c r="N148" s="527"/>
      <c r="O148" s="527"/>
    </row>
    <row r="149" spans="2:15" s="51" customFormat="1" x14ac:dyDescent="0.25">
      <c r="B149" s="62" t="s">
        <v>1518</v>
      </c>
      <c r="C149" s="51" t="s">
        <v>1523</v>
      </c>
      <c r="D149" s="51" t="s">
        <v>200</v>
      </c>
      <c r="E149" s="51" t="s">
        <v>1524</v>
      </c>
      <c r="F149" s="51" t="str">
        <f t="shared" si="6"/>
        <v>3+ | Stabilized | Delayed Purchase | 8+ Unit</v>
      </c>
      <c r="G149" s="535">
        <v>0.75</v>
      </c>
      <c r="H149" s="535">
        <v>0.75</v>
      </c>
      <c r="I149" s="535">
        <v>0.75</v>
      </c>
      <c r="J149" s="536" t="s">
        <v>2</v>
      </c>
      <c r="K149" s="523" t="str">
        <f t="shared" si="7"/>
        <v>N</v>
      </c>
      <c r="L149" s="527"/>
      <c r="M149" s="527"/>
      <c r="N149" s="527"/>
      <c r="O149" s="527"/>
    </row>
    <row r="150" spans="2:15" s="51" customFormat="1" x14ac:dyDescent="0.25">
      <c r="B150" s="62" t="s">
        <v>1485</v>
      </c>
      <c r="C150" s="51" t="s">
        <v>1523</v>
      </c>
      <c r="D150" s="51" t="s">
        <v>200</v>
      </c>
      <c r="E150" s="51" t="s">
        <v>1524</v>
      </c>
      <c r="F150" s="51" t="str">
        <f t="shared" si="6"/>
        <v>5+ | Stabilized | Delayed Purchase | 8+ Unit</v>
      </c>
      <c r="G150" s="535">
        <v>0.75</v>
      </c>
      <c r="H150" s="535">
        <v>0.75</v>
      </c>
      <c r="I150" s="535">
        <v>0.75</v>
      </c>
      <c r="J150" s="536" t="s">
        <v>2</v>
      </c>
      <c r="K150" s="523" t="str">
        <f t="shared" si="7"/>
        <v>N</v>
      </c>
      <c r="L150" s="527"/>
      <c r="M150" s="527"/>
      <c r="N150" s="527"/>
      <c r="O150" s="527"/>
    </row>
    <row r="151" spans="2:15" s="51" customFormat="1" x14ac:dyDescent="0.25">
      <c r="B151" s="64" t="s">
        <v>1520</v>
      </c>
      <c r="C151" s="113" t="s">
        <v>1522</v>
      </c>
      <c r="D151" s="113" t="s">
        <v>200</v>
      </c>
      <c r="E151" s="113" t="s">
        <v>1524</v>
      </c>
      <c r="F151" s="113" t="str">
        <f t="shared" si="6"/>
        <v>0+ | Light | Delayed Purchase | 8+ Unit</v>
      </c>
      <c r="G151" s="533">
        <v>0.7</v>
      </c>
      <c r="H151" s="533">
        <v>0.7</v>
      </c>
      <c r="I151" s="533">
        <v>0.65</v>
      </c>
      <c r="J151" s="534" t="s">
        <v>2</v>
      </c>
      <c r="K151" s="523" t="str">
        <f t="shared" si="7"/>
        <v>N</v>
      </c>
      <c r="L151" s="527"/>
      <c r="M151" s="527"/>
      <c r="N151" s="527"/>
      <c r="O151" s="527"/>
    </row>
    <row r="152" spans="2:15" s="51" customFormat="1" x14ac:dyDescent="0.25">
      <c r="B152" s="62" t="s">
        <v>1519</v>
      </c>
      <c r="C152" s="51" t="s">
        <v>1522</v>
      </c>
      <c r="D152" s="51" t="s">
        <v>200</v>
      </c>
      <c r="E152" s="51" t="s">
        <v>1524</v>
      </c>
      <c r="F152" s="51" t="str">
        <f t="shared" si="6"/>
        <v>1+ | Light | Delayed Purchase | 8+ Unit</v>
      </c>
      <c r="G152" s="535">
        <v>0.7</v>
      </c>
      <c r="H152" s="535">
        <v>0.7</v>
      </c>
      <c r="I152" s="535">
        <v>0.65</v>
      </c>
      <c r="J152" s="536" t="s">
        <v>2</v>
      </c>
      <c r="K152" s="523" t="str">
        <f t="shared" si="7"/>
        <v>N</v>
      </c>
      <c r="L152" s="527"/>
      <c r="M152" s="527"/>
      <c r="N152" s="527"/>
      <c r="O152" s="527"/>
    </row>
    <row r="153" spans="2:15" s="51" customFormat="1" x14ac:dyDescent="0.25">
      <c r="B153" s="62" t="s">
        <v>1518</v>
      </c>
      <c r="C153" s="51" t="s">
        <v>1522</v>
      </c>
      <c r="D153" s="51" t="s">
        <v>200</v>
      </c>
      <c r="E153" s="51" t="s">
        <v>1524</v>
      </c>
      <c r="F153" s="51" t="str">
        <f t="shared" si="6"/>
        <v>3+ | Light | Delayed Purchase | 8+ Unit</v>
      </c>
      <c r="G153" s="535">
        <v>0.75</v>
      </c>
      <c r="H153" s="535">
        <v>0.75</v>
      </c>
      <c r="I153" s="535">
        <v>0.7</v>
      </c>
      <c r="J153" s="536" t="s">
        <v>2</v>
      </c>
      <c r="K153" s="523" t="str">
        <f t="shared" si="7"/>
        <v>N</v>
      </c>
      <c r="L153" s="527"/>
      <c r="M153" s="527"/>
      <c r="N153" s="527"/>
      <c r="O153" s="527"/>
    </row>
    <row r="154" spans="2:15" s="51" customFormat="1" x14ac:dyDescent="0.25">
      <c r="B154" s="62" t="s">
        <v>1485</v>
      </c>
      <c r="C154" s="51" t="s">
        <v>1522</v>
      </c>
      <c r="D154" s="51" t="s">
        <v>200</v>
      </c>
      <c r="E154" s="51" t="s">
        <v>1524</v>
      </c>
      <c r="F154" s="51" t="str">
        <f t="shared" si="6"/>
        <v>5+ | Light | Delayed Purchase | 8+ Unit</v>
      </c>
      <c r="G154" s="535">
        <v>0.75</v>
      </c>
      <c r="H154" s="535">
        <v>0.75</v>
      </c>
      <c r="I154" s="535">
        <v>0.7</v>
      </c>
      <c r="J154" s="536" t="s">
        <v>2</v>
      </c>
      <c r="K154" s="523" t="str">
        <f t="shared" si="7"/>
        <v>N</v>
      </c>
      <c r="L154" s="527"/>
      <c r="M154" s="527"/>
      <c r="N154" s="527"/>
      <c r="O154" s="527"/>
    </row>
    <row r="155" spans="2:15" s="51" customFormat="1" x14ac:dyDescent="0.25">
      <c r="B155" s="64" t="s">
        <v>1520</v>
      </c>
      <c r="C155" s="113" t="s">
        <v>1521</v>
      </c>
      <c r="D155" s="113" t="s">
        <v>200</v>
      </c>
      <c r="E155" s="113" t="s">
        <v>1524</v>
      </c>
      <c r="F155" s="113" t="str">
        <f t="shared" si="6"/>
        <v>0+ | Moderate | Delayed Purchase | 8+ Unit</v>
      </c>
      <c r="G155" s="533">
        <v>0.7</v>
      </c>
      <c r="H155" s="533">
        <v>0.7</v>
      </c>
      <c r="I155" s="533">
        <v>0.65</v>
      </c>
      <c r="J155" s="534" t="s">
        <v>2</v>
      </c>
      <c r="K155" s="523" t="str">
        <f t="shared" si="7"/>
        <v>N</v>
      </c>
      <c r="L155" s="527"/>
      <c r="M155" s="527"/>
      <c r="N155" s="527"/>
      <c r="O155" s="527"/>
    </row>
    <row r="156" spans="2:15" s="51" customFormat="1" x14ac:dyDescent="0.25">
      <c r="B156" s="62" t="s">
        <v>1519</v>
      </c>
      <c r="C156" s="51" t="s">
        <v>1521</v>
      </c>
      <c r="D156" s="51" t="s">
        <v>200</v>
      </c>
      <c r="E156" s="51" t="s">
        <v>1524</v>
      </c>
      <c r="F156" s="51" t="str">
        <f t="shared" si="6"/>
        <v>1+ | Moderate | Delayed Purchase | 8+ Unit</v>
      </c>
      <c r="G156" s="535">
        <v>0.7</v>
      </c>
      <c r="H156" s="535">
        <v>0.7</v>
      </c>
      <c r="I156" s="535">
        <v>0.65</v>
      </c>
      <c r="J156" s="536" t="s">
        <v>2</v>
      </c>
      <c r="K156" s="523" t="str">
        <f t="shared" si="7"/>
        <v>N</v>
      </c>
      <c r="L156" s="527"/>
      <c r="M156" s="527"/>
      <c r="N156" s="527"/>
      <c r="O156" s="527"/>
    </row>
    <row r="157" spans="2:15" s="51" customFormat="1" x14ac:dyDescent="0.25">
      <c r="B157" s="62" t="s">
        <v>1518</v>
      </c>
      <c r="C157" s="51" t="s">
        <v>1521</v>
      </c>
      <c r="D157" s="51" t="s">
        <v>200</v>
      </c>
      <c r="E157" s="51" t="s">
        <v>1524</v>
      </c>
      <c r="F157" s="51" t="str">
        <f t="shared" si="6"/>
        <v>3+ | Moderate | Delayed Purchase | 8+ Unit</v>
      </c>
      <c r="G157" s="535">
        <v>0.75</v>
      </c>
      <c r="H157" s="535">
        <v>0.75</v>
      </c>
      <c r="I157" s="535">
        <v>0.7</v>
      </c>
      <c r="J157" s="536" t="s">
        <v>2</v>
      </c>
      <c r="K157" s="523" t="str">
        <f t="shared" si="7"/>
        <v>N</v>
      </c>
      <c r="L157" s="527"/>
      <c r="M157" s="527"/>
      <c r="N157" s="527"/>
      <c r="O157" s="527"/>
    </row>
    <row r="158" spans="2:15" s="51" customFormat="1" x14ac:dyDescent="0.25">
      <c r="B158" s="62" t="s">
        <v>1485</v>
      </c>
      <c r="C158" s="51" t="s">
        <v>1521</v>
      </c>
      <c r="D158" s="51" t="s">
        <v>200</v>
      </c>
      <c r="E158" s="51" t="s">
        <v>1524</v>
      </c>
      <c r="F158" s="51" t="str">
        <f t="shared" si="6"/>
        <v>5+ | Moderate | Delayed Purchase | 8+ Unit</v>
      </c>
      <c r="G158" s="535">
        <v>0.75</v>
      </c>
      <c r="H158" s="535">
        <v>0.75</v>
      </c>
      <c r="I158" s="535">
        <v>0.7</v>
      </c>
      <c r="J158" s="536" t="s">
        <v>2</v>
      </c>
      <c r="K158" s="523" t="str">
        <f t="shared" si="7"/>
        <v>N</v>
      </c>
      <c r="L158" s="527"/>
      <c r="M158" s="527"/>
      <c r="N158" s="527"/>
      <c r="O158" s="527"/>
    </row>
    <row r="159" spans="2:15" s="51" customFormat="1" x14ac:dyDescent="0.25">
      <c r="B159" s="64" t="s">
        <v>1520</v>
      </c>
      <c r="C159" s="113" t="s">
        <v>1515</v>
      </c>
      <c r="D159" s="113" t="s">
        <v>200</v>
      </c>
      <c r="E159" s="113" t="s">
        <v>1524</v>
      </c>
      <c r="F159" s="113" t="str">
        <f t="shared" si="6"/>
        <v>0+ | Heavy | Delayed Purchase | 8+ Unit</v>
      </c>
      <c r="G159" s="533" t="s">
        <v>148</v>
      </c>
      <c r="H159" s="533" t="s">
        <v>148</v>
      </c>
      <c r="I159" s="533" t="s">
        <v>148</v>
      </c>
      <c r="J159" s="534" t="s">
        <v>148</v>
      </c>
      <c r="K159" s="523" t="str">
        <f t="shared" si="7"/>
        <v>N</v>
      </c>
      <c r="L159" s="527"/>
      <c r="M159" s="527"/>
      <c r="N159" s="527"/>
      <c r="O159" s="527"/>
    </row>
    <row r="160" spans="2:15" s="51" customFormat="1" x14ac:dyDescent="0.25">
      <c r="B160" s="62" t="s">
        <v>1519</v>
      </c>
      <c r="C160" s="51" t="s">
        <v>1515</v>
      </c>
      <c r="D160" s="51" t="s">
        <v>200</v>
      </c>
      <c r="E160" s="51" t="s">
        <v>1524</v>
      </c>
      <c r="F160" s="51" t="str">
        <f t="shared" si="6"/>
        <v>1+ | Heavy | Delayed Purchase | 8+ Unit</v>
      </c>
      <c r="G160" s="535" t="s">
        <v>148</v>
      </c>
      <c r="H160" s="535" t="s">
        <v>148</v>
      </c>
      <c r="I160" s="535" t="s">
        <v>148</v>
      </c>
      <c r="J160" s="536" t="s">
        <v>148</v>
      </c>
      <c r="K160" s="523" t="str">
        <f t="shared" si="7"/>
        <v>N</v>
      </c>
      <c r="L160" s="527"/>
      <c r="M160" s="527"/>
      <c r="N160" s="527"/>
      <c r="O160" s="527"/>
    </row>
    <row r="161" spans="2:15" s="51" customFormat="1" x14ac:dyDescent="0.25">
      <c r="B161" s="62" t="s">
        <v>1518</v>
      </c>
      <c r="C161" s="51" t="s">
        <v>1515</v>
      </c>
      <c r="D161" s="51" t="s">
        <v>200</v>
      </c>
      <c r="E161" s="51" t="s">
        <v>1524</v>
      </c>
      <c r="F161" s="51" t="str">
        <f t="shared" si="6"/>
        <v>3+ | Heavy | Delayed Purchase | 8+ Unit</v>
      </c>
      <c r="G161" s="535">
        <v>0.7</v>
      </c>
      <c r="H161" s="535">
        <v>0.7</v>
      </c>
      <c r="I161" s="535">
        <v>0.65</v>
      </c>
      <c r="J161" s="536" t="s">
        <v>2</v>
      </c>
      <c r="K161" s="523" t="str">
        <f t="shared" si="7"/>
        <v>N</v>
      </c>
      <c r="L161" s="527"/>
      <c r="M161" s="527"/>
      <c r="N161" s="527"/>
      <c r="O161" s="527"/>
    </row>
    <row r="162" spans="2:15" s="51" customFormat="1" x14ac:dyDescent="0.25">
      <c r="B162" s="62" t="s">
        <v>1485</v>
      </c>
      <c r="C162" s="51" t="s">
        <v>1515</v>
      </c>
      <c r="D162" s="51" t="s">
        <v>200</v>
      </c>
      <c r="E162" s="51" t="s">
        <v>1524</v>
      </c>
      <c r="F162" s="51" t="str">
        <f t="shared" si="6"/>
        <v>5+ | Heavy | Delayed Purchase | 8+ Unit</v>
      </c>
      <c r="G162" s="535">
        <v>0.7</v>
      </c>
      <c r="H162" s="535">
        <v>0.7</v>
      </c>
      <c r="I162" s="535">
        <v>0.65</v>
      </c>
      <c r="J162" s="536" t="s">
        <v>2</v>
      </c>
      <c r="K162" s="523" t="str">
        <f t="shared" si="7"/>
        <v>N</v>
      </c>
      <c r="L162" s="527"/>
      <c r="M162" s="527"/>
      <c r="N162" s="527"/>
      <c r="O162" s="527"/>
    </row>
    <row r="163" spans="2:15" s="51" customFormat="1" x14ac:dyDescent="0.25">
      <c r="B163" s="64" t="s">
        <v>1520</v>
      </c>
      <c r="C163" s="113" t="s">
        <v>1523</v>
      </c>
      <c r="D163" s="113" t="s">
        <v>3</v>
      </c>
      <c r="E163" s="113" t="s">
        <v>1524</v>
      </c>
      <c r="F163" s="113" t="str">
        <f t="shared" si="6"/>
        <v>0+ | Stabilized | Refinance (Rate/Term) | 8+ Unit</v>
      </c>
      <c r="G163" s="533">
        <v>0.67500000000000004</v>
      </c>
      <c r="H163" s="533" t="s">
        <v>2</v>
      </c>
      <c r="I163" s="533">
        <v>0.67500000000000004</v>
      </c>
      <c r="J163" s="534" t="s">
        <v>2</v>
      </c>
      <c r="K163" s="523" t="str">
        <f t="shared" si="7"/>
        <v>N</v>
      </c>
      <c r="L163" s="527"/>
      <c r="M163" s="527"/>
      <c r="N163" s="527"/>
      <c r="O163" s="527"/>
    </row>
    <row r="164" spans="2:15" s="51" customFormat="1" x14ac:dyDescent="0.25">
      <c r="B164" s="62" t="s">
        <v>1519</v>
      </c>
      <c r="C164" s="51" t="s">
        <v>1523</v>
      </c>
      <c r="D164" s="51" t="s">
        <v>3</v>
      </c>
      <c r="E164" s="51" t="s">
        <v>1524</v>
      </c>
      <c r="F164" s="51" t="str">
        <f t="shared" si="6"/>
        <v>1+ | Stabilized | Refinance (Rate/Term) | 8+ Unit</v>
      </c>
      <c r="G164" s="535">
        <v>0.67500000000000004</v>
      </c>
      <c r="H164" s="535" t="s">
        <v>2</v>
      </c>
      <c r="I164" s="535">
        <v>0.67500000000000004</v>
      </c>
      <c r="J164" s="536" t="s">
        <v>2</v>
      </c>
      <c r="K164" s="523" t="str">
        <f t="shared" si="7"/>
        <v>N</v>
      </c>
      <c r="L164" s="527"/>
      <c r="M164" s="527"/>
      <c r="N164" s="527"/>
      <c r="O164" s="527"/>
    </row>
    <row r="165" spans="2:15" s="51" customFormat="1" x14ac:dyDescent="0.25">
      <c r="B165" s="62" t="s">
        <v>1518</v>
      </c>
      <c r="C165" s="51" t="s">
        <v>1523</v>
      </c>
      <c r="D165" s="51" t="s">
        <v>3</v>
      </c>
      <c r="E165" s="51" t="s">
        <v>1524</v>
      </c>
      <c r="F165" s="51" t="str">
        <f t="shared" si="6"/>
        <v>3+ | Stabilized | Refinance (Rate/Term) | 8+ Unit</v>
      </c>
      <c r="G165" s="535">
        <v>0.7</v>
      </c>
      <c r="H165" s="535" t="s">
        <v>2</v>
      </c>
      <c r="I165" s="535">
        <v>0.7</v>
      </c>
      <c r="J165" s="536" t="s">
        <v>2</v>
      </c>
      <c r="K165" s="523" t="str">
        <f t="shared" si="7"/>
        <v>N</v>
      </c>
      <c r="L165" s="527"/>
      <c r="M165" s="527"/>
      <c r="N165" s="527"/>
      <c r="O165" s="527"/>
    </row>
    <row r="166" spans="2:15" s="51" customFormat="1" x14ac:dyDescent="0.25">
      <c r="B166" s="62" t="s">
        <v>1485</v>
      </c>
      <c r="C166" s="51" t="s">
        <v>1523</v>
      </c>
      <c r="D166" s="51" t="s">
        <v>3</v>
      </c>
      <c r="E166" s="51" t="s">
        <v>1524</v>
      </c>
      <c r="F166" s="51" t="str">
        <f t="shared" si="6"/>
        <v>5+ | Stabilized | Refinance (Rate/Term) | 8+ Unit</v>
      </c>
      <c r="G166" s="535">
        <v>0.7</v>
      </c>
      <c r="H166" s="535" t="s">
        <v>2</v>
      </c>
      <c r="I166" s="535">
        <v>0.7</v>
      </c>
      <c r="J166" s="536" t="s">
        <v>2</v>
      </c>
      <c r="K166" s="523" t="str">
        <f t="shared" si="7"/>
        <v>N</v>
      </c>
      <c r="L166" s="527"/>
      <c r="M166" s="527"/>
      <c r="N166" s="527"/>
      <c r="O166" s="527"/>
    </row>
    <row r="167" spans="2:15" s="51" customFormat="1" x14ac:dyDescent="0.25">
      <c r="B167" s="64" t="s">
        <v>1520</v>
      </c>
      <c r="C167" s="113" t="s">
        <v>1522</v>
      </c>
      <c r="D167" s="113" t="s">
        <v>3</v>
      </c>
      <c r="E167" s="113" t="s">
        <v>1524</v>
      </c>
      <c r="F167" s="113" t="str">
        <f t="shared" si="6"/>
        <v>0+ | Light | Refinance (Rate/Term) | 8+ Unit</v>
      </c>
      <c r="G167" s="533" t="s">
        <v>148</v>
      </c>
      <c r="H167" s="533" t="s">
        <v>148</v>
      </c>
      <c r="I167" s="533" t="s">
        <v>148</v>
      </c>
      <c r="J167" s="534" t="s">
        <v>148</v>
      </c>
      <c r="K167" s="523" t="str">
        <f t="shared" si="7"/>
        <v>N</v>
      </c>
      <c r="L167" s="527"/>
      <c r="M167" s="527"/>
      <c r="N167" s="527"/>
      <c r="O167" s="527"/>
    </row>
    <row r="168" spans="2:15" s="51" customFormat="1" x14ac:dyDescent="0.25">
      <c r="B168" s="62" t="s">
        <v>1519</v>
      </c>
      <c r="C168" s="51" t="s">
        <v>1522</v>
      </c>
      <c r="D168" s="51" t="s">
        <v>3</v>
      </c>
      <c r="E168" s="51" t="s">
        <v>1524</v>
      </c>
      <c r="F168" s="51" t="str">
        <f t="shared" si="6"/>
        <v>1+ | Light | Refinance (Rate/Term) | 8+ Unit</v>
      </c>
      <c r="G168" s="535" t="s">
        <v>148</v>
      </c>
      <c r="H168" s="535" t="s">
        <v>148</v>
      </c>
      <c r="I168" s="535" t="s">
        <v>148</v>
      </c>
      <c r="J168" s="536" t="s">
        <v>148</v>
      </c>
      <c r="K168" s="523" t="str">
        <f t="shared" si="7"/>
        <v>N</v>
      </c>
      <c r="L168" s="527"/>
      <c r="M168" s="527"/>
      <c r="N168" s="527"/>
      <c r="O168" s="527"/>
    </row>
    <row r="169" spans="2:15" s="51" customFormat="1" x14ac:dyDescent="0.25">
      <c r="B169" s="62" t="s">
        <v>1518</v>
      </c>
      <c r="C169" s="51" t="s">
        <v>1522</v>
      </c>
      <c r="D169" s="51" t="s">
        <v>3</v>
      </c>
      <c r="E169" s="51" t="s">
        <v>1524</v>
      </c>
      <c r="F169" s="51" t="str">
        <f t="shared" si="6"/>
        <v>3+ | Light | Refinance (Rate/Term) | 8+ Unit</v>
      </c>
      <c r="G169" s="535">
        <v>0.7</v>
      </c>
      <c r="H169" s="535" t="s">
        <v>2</v>
      </c>
      <c r="I169" s="535">
        <v>0.65</v>
      </c>
      <c r="J169" s="536" t="s">
        <v>2</v>
      </c>
      <c r="K169" s="523" t="str">
        <f t="shared" si="7"/>
        <v>N</v>
      </c>
      <c r="L169" s="527"/>
      <c r="M169" s="527"/>
      <c r="N169" s="527"/>
      <c r="O169" s="527"/>
    </row>
    <row r="170" spans="2:15" s="51" customFormat="1" x14ac:dyDescent="0.25">
      <c r="B170" s="62" t="s">
        <v>1485</v>
      </c>
      <c r="C170" s="51" t="s">
        <v>1522</v>
      </c>
      <c r="D170" s="51" t="s">
        <v>3</v>
      </c>
      <c r="E170" s="51" t="s">
        <v>1524</v>
      </c>
      <c r="F170" s="51" t="str">
        <f t="shared" si="6"/>
        <v>5+ | Light | Refinance (Rate/Term) | 8+ Unit</v>
      </c>
      <c r="G170" s="535">
        <v>0.7</v>
      </c>
      <c r="H170" s="535" t="s">
        <v>2</v>
      </c>
      <c r="I170" s="535">
        <v>0.65</v>
      </c>
      <c r="J170" s="536" t="s">
        <v>2</v>
      </c>
      <c r="K170" s="523" t="str">
        <f t="shared" si="7"/>
        <v>N</v>
      </c>
      <c r="L170" s="527"/>
      <c r="M170" s="527"/>
      <c r="N170" s="527"/>
      <c r="O170" s="527"/>
    </row>
    <row r="171" spans="2:15" s="51" customFormat="1" x14ac:dyDescent="0.25">
      <c r="B171" s="64" t="s">
        <v>1520</v>
      </c>
      <c r="C171" s="113" t="s">
        <v>1521</v>
      </c>
      <c r="D171" s="113" t="s">
        <v>3</v>
      </c>
      <c r="E171" s="113" t="s">
        <v>1524</v>
      </c>
      <c r="F171" s="113" t="str">
        <f t="shared" si="6"/>
        <v>0+ | Moderate | Refinance (Rate/Term) | 8+ Unit</v>
      </c>
      <c r="G171" s="533" t="s">
        <v>148</v>
      </c>
      <c r="H171" s="533" t="s">
        <v>148</v>
      </c>
      <c r="I171" s="533" t="s">
        <v>148</v>
      </c>
      <c r="J171" s="534" t="s">
        <v>148</v>
      </c>
      <c r="K171" s="523" t="str">
        <f t="shared" si="7"/>
        <v>N</v>
      </c>
      <c r="L171" s="527"/>
      <c r="M171" s="527"/>
      <c r="N171" s="527"/>
      <c r="O171" s="527"/>
    </row>
    <row r="172" spans="2:15" s="51" customFormat="1" x14ac:dyDescent="0.25">
      <c r="B172" s="62" t="s">
        <v>1519</v>
      </c>
      <c r="C172" s="51" t="s">
        <v>1521</v>
      </c>
      <c r="D172" s="51" t="s">
        <v>3</v>
      </c>
      <c r="E172" s="51" t="s">
        <v>1524</v>
      </c>
      <c r="F172" s="51" t="str">
        <f t="shared" si="6"/>
        <v>1+ | Moderate | Refinance (Rate/Term) | 8+ Unit</v>
      </c>
      <c r="G172" s="535" t="s">
        <v>148</v>
      </c>
      <c r="H172" s="535" t="s">
        <v>148</v>
      </c>
      <c r="I172" s="535" t="s">
        <v>148</v>
      </c>
      <c r="J172" s="536" t="s">
        <v>148</v>
      </c>
      <c r="K172" s="523" t="str">
        <f t="shared" si="7"/>
        <v>N</v>
      </c>
      <c r="L172" s="527"/>
      <c r="M172" s="527"/>
      <c r="N172" s="527"/>
      <c r="O172" s="527"/>
    </row>
    <row r="173" spans="2:15" s="51" customFormat="1" x14ac:dyDescent="0.25">
      <c r="B173" s="62" t="s">
        <v>1518</v>
      </c>
      <c r="C173" s="51" t="s">
        <v>1521</v>
      </c>
      <c r="D173" s="51" t="s">
        <v>3</v>
      </c>
      <c r="E173" s="51" t="s">
        <v>1524</v>
      </c>
      <c r="F173" s="51" t="str">
        <f t="shared" si="6"/>
        <v>3+ | Moderate | Refinance (Rate/Term) | 8+ Unit</v>
      </c>
      <c r="G173" s="535">
        <v>0.7</v>
      </c>
      <c r="H173" s="535" t="s">
        <v>2</v>
      </c>
      <c r="I173" s="535">
        <v>0.65</v>
      </c>
      <c r="J173" s="536" t="s">
        <v>2</v>
      </c>
      <c r="K173" s="523" t="str">
        <f t="shared" si="7"/>
        <v>N</v>
      </c>
      <c r="L173" s="527"/>
      <c r="M173" s="527"/>
      <c r="N173" s="527"/>
      <c r="O173" s="527"/>
    </row>
    <row r="174" spans="2:15" s="51" customFormat="1" x14ac:dyDescent="0.25">
      <c r="B174" s="62" t="s">
        <v>1485</v>
      </c>
      <c r="C174" s="51" t="s">
        <v>1521</v>
      </c>
      <c r="D174" s="51" t="s">
        <v>3</v>
      </c>
      <c r="E174" s="51" t="s">
        <v>1524</v>
      </c>
      <c r="F174" s="51" t="str">
        <f t="shared" si="6"/>
        <v>5+ | Moderate | Refinance (Rate/Term) | 8+ Unit</v>
      </c>
      <c r="G174" s="535">
        <v>0.7</v>
      </c>
      <c r="H174" s="535" t="s">
        <v>2</v>
      </c>
      <c r="I174" s="535">
        <v>0.65</v>
      </c>
      <c r="J174" s="536" t="s">
        <v>2</v>
      </c>
      <c r="K174" s="523" t="str">
        <f t="shared" si="7"/>
        <v>N</v>
      </c>
      <c r="L174" s="527"/>
      <c r="M174" s="527"/>
      <c r="N174" s="527"/>
      <c r="O174" s="527"/>
    </row>
    <row r="175" spans="2:15" s="51" customFormat="1" x14ac:dyDescent="0.25">
      <c r="B175" s="64" t="s">
        <v>1520</v>
      </c>
      <c r="C175" s="113" t="s">
        <v>1515</v>
      </c>
      <c r="D175" s="113" t="s">
        <v>3</v>
      </c>
      <c r="E175" s="113" t="s">
        <v>1524</v>
      </c>
      <c r="F175" s="113" t="str">
        <f t="shared" ref="F175:F216" si="8">B175&amp;" | "&amp;C175&amp;" | "&amp;D175&amp;" | "&amp;E175</f>
        <v>0+ | Heavy | Refinance (Rate/Term) | 8+ Unit</v>
      </c>
      <c r="G175" s="533" t="s">
        <v>148</v>
      </c>
      <c r="H175" s="533" t="s">
        <v>148</v>
      </c>
      <c r="I175" s="533" t="s">
        <v>148</v>
      </c>
      <c r="J175" s="534" t="s">
        <v>148</v>
      </c>
      <c r="K175" s="523" t="str">
        <f t="shared" si="7"/>
        <v>N</v>
      </c>
      <c r="L175" s="527"/>
      <c r="M175" s="527"/>
      <c r="N175" s="527"/>
      <c r="O175" s="527"/>
    </row>
    <row r="176" spans="2:15" s="51" customFormat="1" x14ac:dyDescent="0.25">
      <c r="B176" s="62" t="s">
        <v>1519</v>
      </c>
      <c r="C176" s="51" t="s">
        <v>1515</v>
      </c>
      <c r="D176" s="51" t="s">
        <v>3</v>
      </c>
      <c r="E176" s="51" t="s">
        <v>1524</v>
      </c>
      <c r="F176" s="51" t="str">
        <f t="shared" si="8"/>
        <v>1+ | Heavy | Refinance (Rate/Term) | 8+ Unit</v>
      </c>
      <c r="G176" s="535" t="s">
        <v>148</v>
      </c>
      <c r="H176" s="535" t="s">
        <v>148</v>
      </c>
      <c r="I176" s="535" t="s">
        <v>148</v>
      </c>
      <c r="J176" s="536" t="s">
        <v>148</v>
      </c>
      <c r="K176" s="523" t="str">
        <f t="shared" si="7"/>
        <v>N</v>
      </c>
      <c r="L176" s="527"/>
      <c r="M176" s="527"/>
      <c r="N176" s="527"/>
      <c r="O176" s="527"/>
    </row>
    <row r="177" spans="2:15" s="51" customFormat="1" x14ac:dyDescent="0.25">
      <c r="B177" s="62" t="s">
        <v>1518</v>
      </c>
      <c r="C177" s="51" t="s">
        <v>1515</v>
      </c>
      <c r="D177" s="51" t="s">
        <v>3</v>
      </c>
      <c r="E177" s="51" t="s">
        <v>1524</v>
      </c>
      <c r="F177" s="51" t="str">
        <f t="shared" si="8"/>
        <v>3+ | Heavy | Refinance (Rate/Term) | 8+ Unit</v>
      </c>
      <c r="G177" s="535">
        <v>0.65</v>
      </c>
      <c r="H177" s="535" t="s">
        <v>2</v>
      </c>
      <c r="I177" s="535">
        <v>0.6</v>
      </c>
      <c r="J177" s="536" t="s">
        <v>2</v>
      </c>
      <c r="K177" s="523" t="str">
        <f t="shared" si="7"/>
        <v>N</v>
      </c>
      <c r="L177" s="527"/>
      <c r="M177" s="527"/>
      <c r="N177" s="527"/>
      <c r="O177" s="527"/>
    </row>
    <row r="178" spans="2:15" s="51" customFormat="1" x14ac:dyDescent="0.25">
      <c r="B178" s="62" t="s">
        <v>1485</v>
      </c>
      <c r="C178" s="51" t="s">
        <v>1515</v>
      </c>
      <c r="D178" s="51" t="s">
        <v>3</v>
      </c>
      <c r="E178" s="51" t="s">
        <v>1524</v>
      </c>
      <c r="F178" s="51" t="str">
        <f t="shared" si="8"/>
        <v>5+ | Heavy | Refinance (Rate/Term) | 8+ Unit</v>
      </c>
      <c r="G178" s="535">
        <v>0.65</v>
      </c>
      <c r="H178" s="535" t="s">
        <v>2</v>
      </c>
      <c r="I178" s="535">
        <v>0.6</v>
      </c>
      <c r="J178" s="536" t="s">
        <v>2</v>
      </c>
      <c r="K178" s="523" t="str">
        <f t="shared" ref="K178:K219" si="9">$W$39</f>
        <v>N</v>
      </c>
      <c r="L178" s="527"/>
      <c r="M178" s="527"/>
      <c r="N178" s="527"/>
      <c r="O178" s="527"/>
    </row>
    <row r="179" spans="2:15" s="51" customFormat="1" x14ac:dyDescent="0.25">
      <c r="B179" s="64" t="s">
        <v>1520</v>
      </c>
      <c r="C179" s="113" t="s">
        <v>1523</v>
      </c>
      <c r="D179" s="113" t="s">
        <v>274</v>
      </c>
      <c r="E179" s="113" t="s">
        <v>1524</v>
      </c>
      <c r="F179" s="113" t="str">
        <f t="shared" si="8"/>
        <v>0+ | Stabilized | Refinance (Cash Out) | 8+ Unit</v>
      </c>
      <c r="G179" s="533">
        <v>0.625</v>
      </c>
      <c r="H179" s="533" t="s">
        <v>2</v>
      </c>
      <c r="I179" s="533">
        <v>0.625</v>
      </c>
      <c r="J179" s="534" t="s">
        <v>2</v>
      </c>
      <c r="K179" s="523" t="str">
        <f t="shared" si="9"/>
        <v>N</v>
      </c>
      <c r="L179" s="527"/>
      <c r="M179" s="527"/>
      <c r="N179" s="527"/>
      <c r="O179" s="527"/>
    </row>
    <row r="180" spans="2:15" s="51" customFormat="1" x14ac:dyDescent="0.25">
      <c r="B180" s="62" t="s">
        <v>1519</v>
      </c>
      <c r="C180" s="51" t="s">
        <v>1523</v>
      </c>
      <c r="D180" s="51" t="s">
        <v>274</v>
      </c>
      <c r="E180" s="51" t="s">
        <v>1524</v>
      </c>
      <c r="F180" s="51" t="str">
        <f t="shared" si="8"/>
        <v>1+ | Stabilized | Refinance (Cash Out) | 8+ Unit</v>
      </c>
      <c r="G180" s="535">
        <v>0.625</v>
      </c>
      <c r="H180" s="535" t="s">
        <v>2</v>
      </c>
      <c r="I180" s="535">
        <v>0.625</v>
      </c>
      <c r="J180" s="536" t="s">
        <v>2</v>
      </c>
      <c r="K180" s="523" t="str">
        <f t="shared" si="9"/>
        <v>N</v>
      </c>
      <c r="L180" s="527"/>
      <c r="M180" s="527"/>
      <c r="N180" s="527"/>
      <c r="O180" s="527"/>
    </row>
    <row r="181" spans="2:15" s="51" customFormat="1" x14ac:dyDescent="0.25">
      <c r="B181" s="62" t="s">
        <v>1518</v>
      </c>
      <c r="C181" s="51" t="s">
        <v>1523</v>
      </c>
      <c r="D181" s="51" t="s">
        <v>274</v>
      </c>
      <c r="E181" s="51" t="s">
        <v>1524</v>
      </c>
      <c r="F181" s="51" t="str">
        <f t="shared" si="8"/>
        <v>3+ | Stabilized | Refinance (Cash Out) | 8+ Unit</v>
      </c>
      <c r="G181" s="535">
        <v>0.65</v>
      </c>
      <c r="H181" s="535" t="s">
        <v>2</v>
      </c>
      <c r="I181" s="535">
        <v>0.65</v>
      </c>
      <c r="J181" s="536" t="s">
        <v>2</v>
      </c>
      <c r="K181" s="523" t="str">
        <f t="shared" si="9"/>
        <v>N</v>
      </c>
      <c r="L181" s="527"/>
      <c r="M181" s="527"/>
      <c r="N181" s="527"/>
      <c r="O181" s="527"/>
    </row>
    <row r="182" spans="2:15" s="51" customFormat="1" x14ac:dyDescent="0.25">
      <c r="B182" s="62" t="s">
        <v>1485</v>
      </c>
      <c r="C182" s="51" t="s">
        <v>1523</v>
      </c>
      <c r="D182" s="51" t="s">
        <v>274</v>
      </c>
      <c r="E182" s="51" t="s">
        <v>1524</v>
      </c>
      <c r="F182" s="51" t="str">
        <f t="shared" si="8"/>
        <v>5+ | Stabilized | Refinance (Cash Out) | 8+ Unit</v>
      </c>
      <c r="G182" s="535">
        <v>0.65</v>
      </c>
      <c r="H182" s="535" t="s">
        <v>2</v>
      </c>
      <c r="I182" s="535">
        <v>0.65</v>
      </c>
      <c r="J182" s="536" t="s">
        <v>2</v>
      </c>
      <c r="K182" s="523" t="str">
        <f t="shared" si="9"/>
        <v>N</v>
      </c>
      <c r="L182" s="527"/>
      <c r="M182" s="527"/>
      <c r="N182" s="527"/>
      <c r="O182" s="527"/>
    </row>
    <row r="183" spans="2:15" s="51" customFormat="1" x14ac:dyDescent="0.25">
      <c r="B183" s="64" t="s">
        <v>1520</v>
      </c>
      <c r="C183" s="113" t="s">
        <v>1522</v>
      </c>
      <c r="D183" s="113" t="s">
        <v>274</v>
      </c>
      <c r="E183" s="113" t="s">
        <v>1524</v>
      </c>
      <c r="F183" s="113" t="str">
        <f t="shared" si="8"/>
        <v>0+ | Light | Refinance (Cash Out) | 8+ Unit</v>
      </c>
      <c r="G183" s="533" t="s">
        <v>148</v>
      </c>
      <c r="H183" s="533" t="s">
        <v>148</v>
      </c>
      <c r="I183" s="533" t="s">
        <v>148</v>
      </c>
      <c r="J183" s="534" t="s">
        <v>148</v>
      </c>
      <c r="K183" s="523" t="str">
        <f t="shared" si="9"/>
        <v>N</v>
      </c>
      <c r="L183" s="527"/>
      <c r="M183" s="527"/>
      <c r="N183" s="527"/>
      <c r="O183" s="527"/>
    </row>
    <row r="184" spans="2:15" s="51" customFormat="1" x14ac:dyDescent="0.25">
      <c r="B184" s="62" t="s">
        <v>1519</v>
      </c>
      <c r="C184" s="51" t="s">
        <v>1522</v>
      </c>
      <c r="D184" s="51" t="s">
        <v>274</v>
      </c>
      <c r="E184" s="51" t="s">
        <v>1524</v>
      </c>
      <c r="F184" s="51" t="str">
        <f t="shared" si="8"/>
        <v>1+ | Light | Refinance (Cash Out) | 8+ Unit</v>
      </c>
      <c r="G184" s="535" t="s">
        <v>148</v>
      </c>
      <c r="H184" s="535" t="s">
        <v>148</v>
      </c>
      <c r="I184" s="535" t="s">
        <v>148</v>
      </c>
      <c r="J184" s="536" t="s">
        <v>148</v>
      </c>
      <c r="K184" s="523" t="str">
        <f t="shared" si="9"/>
        <v>N</v>
      </c>
      <c r="L184" s="527"/>
      <c r="M184" s="527"/>
      <c r="N184" s="527"/>
      <c r="O184" s="527"/>
    </row>
    <row r="185" spans="2:15" s="51" customFormat="1" x14ac:dyDescent="0.25">
      <c r="B185" s="62" t="s">
        <v>1518</v>
      </c>
      <c r="C185" s="51" t="s">
        <v>1522</v>
      </c>
      <c r="D185" s="51" t="s">
        <v>274</v>
      </c>
      <c r="E185" s="51" t="s">
        <v>1524</v>
      </c>
      <c r="F185" s="51" t="str">
        <f t="shared" si="8"/>
        <v>3+ | Light | Refinance (Cash Out) | 8+ Unit</v>
      </c>
      <c r="G185" s="535">
        <v>0.65</v>
      </c>
      <c r="H185" s="535" t="s">
        <v>2</v>
      </c>
      <c r="I185" s="535">
        <v>0.6</v>
      </c>
      <c r="J185" s="536" t="s">
        <v>2</v>
      </c>
      <c r="K185" s="523" t="str">
        <f t="shared" si="9"/>
        <v>N</v>
      </c>
      <c r="L185" s="527"/>
      <c r="M185" s="527"/>
      <c r="N185" s="527"/>
      <c r="O185" s="527"/>
    </row>
    <row r="186" spans="2:15" s="51" customFormat="1" x14ac:dyDescent="0.25">
      <c r="B186" s="62" t="s">
        <v>1485</v>
      </c>
      <c r="C186" s="51" t="s">
        <v>1522</v>
      </c>
      <c r="D186" s="51" t="s">
        <v>274</v>
      </c>
      <c r="E186" s="51" t="s">
        <v>1524</v>
      </c>
      <c r="F186" s="51" t="str">
        <f t="shared" si="8"/>
        <v>5+ | Light | Refinance (Cash Out) | 8+ Unit</v>
      </c>
      <c r="G186" s="535">
        <v>0.65</v>
      </c>
      <c r="H186" s="535" t="s">
        <v>2</v>
      </c>
      <c r="I186" s="535">
        <v>0.6</v>
      </c>
      <c r="J186" s="536" t="s">
        <v>2</v>
      </c>
      <c r="K186" s="523" t="str">
        <f t="shared" si="9"/>
        <v>N</v>
      </c>
      <c r="L186" s="527"/>
      <c r="M186" s="527"/>
      <c r="N186" s="527"/>
      <c r="O186" s="527"/>
    </row>
    <row r="187" spans="2:15" s="51" customFormat="1" x14ac:dyDescent="0.25">
      <c r="B187" s="64" t="s">
        <v>1520</v>
      </c>
      <c r="C187" s="113" t="s">
        <v>1521</v>
      </c>
      <c r="D187" s="113" t="s">
        <v>274</v>
      </c>
      <c r="E187" s="113" t="s">
        <v>1524</v>
      </c>
      <c r="F187" s="113" t="str">
        <f t="shared" si="8"/>
        <v>0+ | Moderate | Refinance (Cash Out) | 8+ Unit</v>
      </c>
      <c r="G187" s="533" t="s">
        <v>148</v>
      </c>
      <c r="H187" s="533" t="s">
        <v>148</v>
      </c>
      <c r="I187" s="533" t="s">
        <v>148</v>
      </c>
      <c r="J187" s="534" t="s">
        <v>148</v>
      </c>
      <c r="K187" s="523" t="str">
        <f t="shared" si="9"/>
        <v>N</v>
      </c>
      <c r="L187" s="527"/>
      <c r="M187" s="527"/>
      <c r="N187" s="527"/>
      <c r="O187" s="527"/>
    </row>
    <row r="188" spans="2:15" s="51" customFormat="1" x14ac:dyDescent="0.25">
      <c r="B188" s="62" t="s">
        <v>1519</v>
      </c>
      <c r="C188" s="51" t="s">
        <v>1521</v>
      </c>
      <c r="D188" s="51" t="s">
        <v>274</v>
      </c>
      <c r="E188" s="51" t="s">
        <v>1524</v>
      </c>
      <c r="F188" s="51" t="str">
        <f t="shared" si="8"/>
        <v>1+ | Moderate | Refinance (Cash Out) | 8+ Unit</v>
      </c>
      <c r="G188" s="535" t="s">
        <v>148</v>
      </c>
      <c r="H188" s="535" t="s">
        <v>148</v>
      </c>
      <c r="I188" s="535" t="s">
        <v>148</v>
      </c>
      <c r="J188" s="536" t="s">
        <v>148</v>
      </c>
      <c r="K188" s="523" t="str">
        <f t="shared" si="9"/>
        <v>N</v>
      </c>
      <c r="L188" s="527"/>
      <c r="M188" s="527"/>
      <c r="N188" s="527"/>
      <c r="O188" s="527"/>
    </row>
    <row r="189" spans="2:15" s="51" customFormat="1" x14ac:dyDescent="0.25">
      <c r="B189" s="62" t="s">
        <v>1518</v>
      </c>
      <c r="C189" s="51" t="s">
        <v>1521</v>
      </c>
      <c r="D189" s="51" t="s">
        <v>274</v>
      </c>
      <c r="E189" s="51" t="s">
        <v>1524</v>
      </c>
      <c r="F189" s="51" t="str">
        <f t="shared" si="8"/>
        <v>3+ | Moderate | Refinance (Cash Out) | 8+ Unit</v>
      </c>
      <c r="G189" s="535">
        <v>0.65</v>
      </c>
      <c r="H189" s="535" t="s">
        <v>2</v>
      </c>
      <c r="I189" s="535">
        <v>0.6</v>
      </c>
      <c r="J189" s="536" t="s">
        <v>2</v>
      </c>
      <c r="K189" s="523" t="str">
        <f t="shared" si="9"/>
        <v>N</v>
      </c>
      <c r="L189" s="527"/>
      <c r="M189" s="527"/>
      <c r="N189" s="527"/>
      <c r="O189" s="527"/>
    </row>
    <row r="190" spans="2:15" s="51" customFormat="1" x14ac:dyDescent="0.25">
      <c r="B190" s="62" t="s">
        <v>1485</v>
      </c>
      <c r="C190" s="51" t="s">
        <v>1521</v>
      </c>
      <c r="D190" s="51" t="s">
        <v>274</v>
      </c>
      <c r="E190" s="51" t="s">
        <v>1524</v>
      </c>
      <c r="F190" s="51" t="str">
        <f t="shared" si="8"/>
        <v>5+ | Moderate | Refinance (Cash Out) | 8+ Unit</v>
      </c>
      <c r="G190" s="535">
        <v>0.65</v>
      </c>
      <c r="H190" s="535" t="s">
        <v>2</v>
      </c>
      <c r="I190" s="535">
        <v>0.6</v>
      </c>
      <c r="J190" s="536" t="s">
        <v>2</v>
      </c>
      <c r="K190" s="523" t="str">
        <f t="shared" si="9"/>
        <v>N</v>
      </c>
      <c r="L190" s="527"/>
      <c r="M190" s="527"/>
      <c r="N190" s="527"/>
      <c r="O190" s="527"/>
    </row>
    <row r="191" spans="2:15" s="51" customFormat="1" x14ac:dyDescent="0.25">
      <c r="B191" s="64" t="s">
        <v>1520</v>
      </c>
      <c r="C191" s="113" t="s">
        <v>1515</v>
      </c>
      <c r="D191" s="113" t="s">
        <v>274</v>
      </c>
      <c r="E191" s="113" t="s">
        <v>1524</v>
      </c>
      <c r="F191" s="113" t="str">
        <f t="shared" si="8"/>
        <v>0+ | Heavy | Refinance (Cash Out) | 8+ Unit</v>
      </c>
      <c r="G191" s="533" t="s">
        <v>148</v>
      </c>
      <c r="H191" s="533" t="s">
        <v>148</v>
      </c>
      <c r="I191" s="533" t="s">
        <v>148</v>
      </c>
      <c r="J191" s="534" t="s">
        <v>148</v>
      </c>
      <c r="K191" s="523" t="str">
        <f t="shared" si="9"/>
        <v>N</v>
      </c>
      <c r="L191" s="527"/>
      <c r="M191" s="527"/>
      <c r="N191" s="527"/>
      <c r="O191" s="527"/>
    </row>
    <row r="192" spans="2:15" s="51" customFormat="1" x14ac:dyDescent="0.25">
      <c r="B192" s="62" t="s">
        <v>1519</v>
      </c>
      <c r="C192" s="51" t="s">
        <v>1515</v>
      </c>
      <c r="D192" s="51" t="s">
        <v>274</v>
      </c>
      <c r="E192" s="51" t="s">
        <v>1524</v>
      </c>
      <c r="F192" s="51" t="str">
        <f t="shared" si="8"/>
        <v>1+ | Heavy | Refinance (Cash Out) | 8+ Unit</v>
      </c>
      <c r="G192" s="535" t="s">
        <v>148</v>
      </c>
      <c r="H192" s="535" t="s">
        <v>148</v>
      </c>
      <c r="I192" s="535" t="s">
        <v>148</v>
      </c>
      <c r="J192" s="536" t="s">
        <v>148</v>
      </c>
      <c r="K192" s="523" t="str">
        <f t="shared" si="9"/>
        <v>N</v>
      </c>
      <c r="L192" s="527"/>
      <c r="M192" s="527"/>
      <c r="N192" s="527"/>
      <c r="O192" s="527"/>
    </row>
    <row r="193" spans="2:15" s="51" customFormat="1" x14ac:dyDescent="0.25">
      <c r="B193" s="62" t="s">
        <v>1518</v>
      </c>
      <c r="C193" s="51" t="s">
        <v>1515</v>
      </c>
      <c r="D193" s="51" t="s">
        <v>274</v>
      </c>
      <c r="E193" s="51" t="s">
        <v>1524</v>
      </c>
      <c r="F193" s="51" t="str">
        <f t="shared" si="8"/>
        <v>3+ | Heavy | Refinance (Cash Out) | 8+ Unit</v>
      </c>
      <c r="G193" s="535" t="s">
        <v>148</v>
      </c>
      <c r="H193" s="535" t="s">
        <v>148</v>
      </c>
      <c r="I193" s="535" t="s">
        <v>148</v>
      </c>
      <c r="J193" s="536" t="s">
        <v>148</v>
      </c>
      <c r="K193" s="523" t="str">
        <f t="shared" si="9"/>
        <v>N</v>
      </c>
      <c r="L193" s="527"/>
      <c r="M193" s="527"/>
      <c r="N193" s="527"/>
      <c r="O193" s="527"/>
    </row>
    <row r="194" spans="2:15" s="51" customFormat="1" x14ac:dyDescent="0.25">
      <c r="B194" s="62" t="s">
        <v>1485</v>
      </c>
      <c r="C194" s="51" t="s">
        <v>1515</v>
      </c>
      <c r="D194" s="51" t="s">
        <v>274</v>
      </c>
      <c r="E194" s="51" t="s">
        <v>1524</v>
      </c>
      <c r="F194" s="51" t="str">
        <f t="shared" si="8"/>
        <v>5+ | Heavy | Refinance (Cash Out) | 8+ Unit</v>
      </c>
      <c r="G194" s="535" t="s">
        <v>148</v>
      </c>
      <c r="H194" s="535" t="s">
        <v>148</v>
      </c>
      <c r="I194" s="535" t="s">
        <v>148</v>
      </c>
      <c r="J194" s="536" t="s">
        <v>148</v>
      </c>
      <c r="K194" s="523" t="str">
        <f t="shared" si="9"/>
        <v>N</v>
      </c>
      <c r="L194" s="527"/>
      <c r="M194" s="527"/>
      <c r="N194" s="527"/>
      <c r="O194" s="527"/>
    </row>
    <row r="195" spans="2:15" s="51" customFormat="1" x14ac:dyDescent="0.25">
      <c r="B195" s="64" t="s">
        <v>1520</v>
      </c>
      <c r="C195" s="113" t="s">
        <v>1523</v>
      </c>
      <c r="D195" s="113" t="s">
        <v>202</v>
      </c>
      <c r="E195" s="113" t="s">
        <v>1514</v>
      </c>
      <c r="F195" s="113" t="str">
        <f t="shared" si="8"/>
        <v>0+ | Stabilized | Purchase | Mixed-Use</v>
      </c>
      <c r="G195" s="533">
        <v>0.64999999999999991</v>
      </c>
      <c r="H195" s="533">
        <v>0.7</v>
      </c>
      <c r="I195" s="533">
        <v>0.64999999999999991</v>
      </c>
      <c r="J195" s="534" t="s">
        <v>2</v>
      </c>
      <c r="K195" s="523" t="str">
        <f t="shared" si="9"/>
        <v>N</v>
      </c>
    </row>
    <row r="196" spans="2:15" s="51" customFormat="1" x14ac:dyDescent="0.25">
      <c r="B196" s="62" t="s">
        <v>1519</v>
      </c>
      <c r="C196" s="51" t="s">
        <v>1523</v>
      </c>
      <c r="D196" s="51" t="s">
        <v>202</v>
      </c>
      <c r="E196" s="51" t="s">
        <v>1514</v>
      </c>
      <c r="F196" s="51" t="str">
        <f t="shared" si="8"/>
        <v>1+ | Stabilized | Purchase | Mixed-Use</v>
      </c>
      <c r="G196" s="535">
        <v>0.64999999999999991</v>
      </c>
      <c r="H196" s="535">
        <v>0.7</v>
      </c>
      <c r="I196" s="535">
        <v>0.64999999999999991</v>
      </c>
      <c r="J196" s="536" t="s">
        <v>2</v>
      </c>
      <c r="K196" s="523" t="str">
        <f t="shared" si="9"/>
        <v>N</v>
      </c>
    </row>
    <row r="197" spans="2:15" s="51" customFormat="1" x14ac:dyDescent="0.25">
      <c r="B197" s="62" t="s">
        <v>1518</v>
      </c>
      <c r="C197" s="51" t="s">
        <v>1523</v>
      </c>
      <c r="D197" s="51" t="s">
        <v>202</v>
      </c>
      <c r="E197" s="51" t="s">
        <v>1514</v>
      </c>
      <c r="F197" s="51" t="str">
        <f t="shared" si="8"/>
        <v>3+ | Stabilized | Purchase | Mixed-Use</v>
      </c>
      <c r="G197" s="535">
        <v>0.7</v>
      </c>
      <c r="H197" s="535">
        <v>0.7</v>
      </c>
      <c r="I197" s="535">
        <v>0.7</v>
      </c>
      <c r="J197" s="536" t="s">
        <v>2</v>
      </c>
      <c r="K197" s="523" t="str">
        <f t="shared" si="9"/>
        <v>N</v>
      </c>
    </row>
    <row r="198" spans="2:15" s="51" customFormat="1" x14ac:dyDescent="0.25">
      <c r="B198" s="62" t="s">
        <v>1485</v>
      </c>
      <c r="C198" s="51" t="s">
        <v>1523</v>
      </c>
      <c r="D198" s="51" t="s">
        <v>202</v>
      </c>
      <c r="E198" s="51" t="s">
        <v>1514</v>
      </c>
      <c r="F198" s="51" t="str">
        <f t="shared" si="8"/>
        <v>5+ | Stabilized | Purchase | Mixed-Use</v>
      </c>
      <c r="G198" s="535">
        <v>0.7</v>
      </c>
      <c r="H198" s="535">
        <v>0.7</v>
      </c>
      <c r="I198" s="535">
        <v>0.7</v>
      </c>
      <c r="J198" s="536" t="s">
        <v>2</v>
      </c>
      <c r="K198" s="523" t="str">
        <f t="shared" si="9"/>
        <v>N</v>
      </c>
    </row>
    <row r="199" spans="2:15" s="51" customFormat="1" x14ac:dyDescent="0.25">
      <c r="B199" s="64" t="s">
        <v>1520</v>
      </c>
      <c r="C199" s="113" t="s">
        <v>1522</v>
      </c>
      <c r="D199" s="113" t="s">
        <v>202</v>
      </c>
      <c r="E199" s="113" t="s">
        <v>1514</v>
      </c>
      <c r="F199" s="113" t="str">
        <f t="shared" si="8"/>
        <v>0+ | Light | Purchase | Mixed-Use</v>
      </c>
      <c r="G199" s="533">
        <v>0.64999999999999991</v>
      </c>
      <c r="H199" s="533">
        <v>0.64999999999999991</v>
      </c>
      <c r="I199" s="533">
        <v>0.6</v>
      </c>
      <c r="J199" s="534" t="s">
        <v>2</v>
      </c>
      <c r="K199" s="523" t="str">
        <f t="shared" si="9"/>
        <v>N</v>
      </c>
    </row>
    <row r="200" spans="2:15" s="51" customFormat="1" x14ac:dyDescent="0.25">
      <c r="B200" s="62" t="s">
        <v>1519</v>
      </c>
      <c r="C200" s="51" t="s">
        <v>1522</v>
      </c>
      <c r="D200" s="51" t="s">
        <v>202</v>
      </c>
      <c r="E200" s="51" t="s">
        <v>1514</v>
      </c>
      <c r="F200" s="51" t="str">
        <f t="shared" si="8"/>
        <v>1+ | Light | Purchase | Mixed-Use</v>
      </c>
      <c r="G200" s="535">
        <v>0.64999999999999991</v>
      </c>
      <c r="H200" s="535">
        <v>0.64999999999999991</v>
      </c>
      <c r="I200" s="535">
        <v>0.6</v>
      </c>
      <c r="J200" s="536" t="s">
        <v>2</v>
      </c>
      <c r="K200" s="523" t="str">
        <f t="shared" si="9"/>
        <v>N</v>
      </c>
    </row>
    <row r="201" spans="2:15" s="51" customFormat="1" x14ac:dyDescent="0.25">
      <c r="B201" s="62" t="s">
        <v>1518</v>
      </c>
      <c r="C201" s="51" t="s">
        <v>1522</v>
      </c>
      <c r="D201" s="51" t="s">
        <v>202</v>
      </c>
      <c r="E201" s="51" t="s">
        <v>1514</v>
      </c>
      <c r="F201" s="51" t="str">
        <f t="shared" si="8"/>
        <v>3+ | Light | Purchase | Mixed-Use</v>
      </c>
      <c r="G201" s="535">
        <v>0.7</v>
      </c>
      <c r="H201" s="535">
        <v>0.7</v>
      </c>
      <c r="I201" s="535">
        <v>0.64999999999999991</v>
      </c>
      <c r="J201" s="536" t="s">
        <v>2</v>
      </c>
      <c r="K201" s="523" t="str">
        <f t="shared" si="9"/>
        <v>N</v>
      </c>
    </row>
    <row r="202" spans="2:15" s="51" customFormat="1" x14ac:dyDescent="0.25">
      <c r="B202" s="62" t="s">
        <v>1485</v>
      </c>
      <c r="C202" s="51" t="s">
        <v>1522</v>
      </c>
      <c r="D202" s="51" t="s">
        <v>202</v>
      </c>
      <c r="E202" s="51" t="s">
        <v>1514</v>
      </c>
      <c r="F202" s="51" t="str">
        <f t="shared" si="8"/>
        <v>5+ | Light | Purchase | Mixed-Use</v>
      </c>
      <c r="G202" s="535">
        <v>0.7</v>
      </c>
      <c r="H202" s="535">
        <v>0.7</v>
      </c>
      <c r="I202" s="535">
        <v>0.64999999999999991</v>
      </c>
      <c r="J202" s="536" t="s">
        <v>2</v>
      </c>
      <c r="K202" s="523" t="str">
        <f t="shared" si="9"/>
        <v>N</v>
      </c>
    </row>
    <row r="203" spans="2:15" s="51" customFormat="1" x14ac:dyDescent="0.25">
      <c r="B203" s="64" t="s">
        <v>1520</v>
      </c>
      <c r="C203" s="113" t="s">
        <v>1521</v>
      </c>
      <c r="D203" s="113" t="s">
        <v>202</v>
      </c>
      <c r="E203" s="113" t="s">
        <v>1514</v>
      </c>
      <c r="F203" s="113" t="str">
        <f t="shared" si="8"/>
        <v>0+ | Moderate | Purchase | Mixed-Use</v>
      </c>
      <c r="G203" s="533">
        <v>0.64999999999999991</v>
      </c>
      <c r="H203" s="533">
        <v>0.64999999999999991</v>
      </c>
      <c r="I203" s="533">
        <v>0.6</v>
      </c>
      <c r="J203" s="534" t="s">
        <v>2</v>
      </c>
      <c r="K203" s="523" t="str">
        <f t="shared" si="9"/>
        <v>N</v>
      </c>
    </row>
    <row r="204" spans="2:15" s="51" customFormat="1" x14ac:dyDescent="0.25">
      <c r="B204" s="62" t="s">
        <v>1519</v>
      </c>
      <c r="C204" s="51" t="s">
        <v>1521</v>
      </c>
      <c r="D204" s="51" t="s">
        <v>202</v>
      </c>
      <c r="E204" s="51" t="s">
        <v>1514</v>
      </c>
      <c r="F204" s="51" t="str">
        <f t="shared" si="8"/>
        <v>1+ | Moderate | Purchase | Mixed-Use</v>
      </c>
      <c r="G204" s="535">
        <v>0.64999999999999991</v>
      </c>
      <c r="H204" s="535">
        <v>0.64999999999999991</v>
      </c>
      <c r="I204" s="535">
        <v>0.6</v>
      </c>
      <c r="J204" s="536" t="s">
        <v>2</v>
      </c>
      <c r="K204" s="523" t="str">
        <f t="shared" si="9"/>
        <v>N</v>
      </c>
    </row>
    <row r="205" spans="2:15" s="51" customFormat="1" x14ac:dyDescent="0.25">
      <c r="B205" s="62" t="s">
        <v>1518</v>
      </c>
      <c r="C205" s="51" t="s">
        <v>1521</v>
      </c>
      <c r="D205" s="51" t="s">
        <v>202</v>
      </c>
      <c r="E205" s="51" t="s">
        <v>1514</v>
      </c>
      <c r="F205" s="51" t="str">
        <f t="shared" si="8"/>
        <v>3+ | Moderate | Purchase | Mixed-Use</v>
      </c>
      <c r="G205" s="535">
        <v>0.7</v>
      </c>
      <c r="H205" s="535">
        <v>0.7</v>
      </c>
      <c r="I205" s="535">
        <v>0.64999999999999991</v>
      </c>
      <c r="J205" s="536" t="s">
        <v>2</v>
      </c>
      <c r="K205" s="523" t="str">
        <f t="shared" si="9"/>
        <v>N</v>
      </c>
    </row>
    <row r="206" spans="2:15" s="51" customFormat="1" x14ac:dyDescent="0.25">
      <c r="B206" s="62" t="s">
        <v>1485</v>
      </c>
      <c r="C206" s="51" t="s">
        <v>1521</v>
      </c>
      <c r="D206" s="51" t="s">
        <v>202</v>
      </c>
      <c r="E206" s="51" t="s">
        <v>1514</v>
      </c>
      <c r="F206" s="51" t="str">
        <f t="shared" si="8"/>
        <v>5+ | Moderate | Purchase | Mixed-Use</v>
      </c>
      <c r="G206" s="535">
        <v>0.7</v>
      </c>
      <c r="H206" s="535">
        <v>0.7</v>
      </c>
      <c r="I206" s="535">
        <v>0.64999999999999991</v>
      </c>
      <c r="J206" s="536" t="s">
        <v>2</v>
      </c>
      <c r="K206" s="523" t="str">
        <f t="shared" si="9"/>
        <v>N</v>
      </c>
    </row>
    <row r="207" spans="2:15" s="51" customFormat="1" x14ac:dyDescent="0.25">
      <c r="B207" s="64" t="s">
        <v>1520</v>
      </c>
      <c r="C207" s="113" t="s">
        <v>1515</v>
      </c>
      <c r="D207" s="113" t="s">
        <v>202</v>
      </c>
      <c r="E207" s="113" t="s">
        <v>1514</v>
      </c>
      <c r="F207" s="113" t="str">
        <f t="shared" si="8"/>
        <v>0+ | Heavy | Purchase | Mixed-Use</v>
      </c>
      <c r="G207" s="533" t="s">
        <v>148</v>
      </c>
      <c r="H207" s="533" t="s">
        <v>148</v>
      </c>
      <c r="I207" s="533" t="s">
        <v>148</v>
      </c>
      <c r="J207" s="534" t="s">
        <v>148</v>
      </c>
      <c r="K207" s="523" t="str">
        <f t="shared" si="9"/>
        <v>N</v>
      </c>
    </row>
    <row r="208" spans="2:15" s="51" customFormat="1" x14ac:dyDescent="0.25">
      <c r="B208" s="62" t="s">
        <v>1519</v>
      </c>
      <c r="C208" s="51" t="s">
        <v>1515</v>
      </c>
      <c r="D208" s="51" t="s">
        <v>202</v>
      </c>
      <c r="E208" s="51" t="s">
        <v>1514</v>
      </c>
      <c r="F208" s="51" t="str">
        <f t="shared" si="8"/>
        <v>1+ | Heavy | Purchase | Mixed-Use</v>
      </c>
      <c r="G208" s="535" t="s">
        <v>148</v>
      </c>
      <c r="H208" s="535" t="s">
        <v>148</v>
      </c>
      <c r="I208" s="535" t="s">
        <v>148</v>
      </c>
      <c r="J208" s="536" t="s">
        <v>148</v>
      </c>
      <c r="K208" s="523" t="str">
        <f t="shared" si="9"/>
        <v>N</v>
      </c>
    </row>
    <row r="209" spans="2:11" s="51" customFormat="1" x14ac:dyDescent="0.25">
      <c r="B209" s="62" t="s">
        <v>1518</v>
      </c>
      <c r="C209" s="51" t="s">
        <v>1515</v>
      </c>
      <c r="D209" s="51" t="s">
        <v>202</v>
      </c>
      <c r="E209" s="51" t="s">
        <v>1514</v>
      </c>
      <c r="F209" s="51" t="str">
        <f t="shared" si="8"/>
        <v>3+ | Heavy | Purchase | Mixed-Use</v>
      </c>
      <c r="G209" s="535">
        <v>0.64999999999999991</v>
      </c>
      <c r="H209" s="535">
        <v>0.64999999999999991</v>
      </c>
      <c r="I209" s="535">
        <v>0.6</v>
      </c>
      <c r="J209" s="536" t="s">
        <v>2</v>
      </c>
      <c r="K209" s="523" t="str">
        <f t="shared" si="9"/>
        <v>N</v>
      </c>
    </row>
    <row r="210" spans="2:11" s="51" customFormat="1" x14ac:dyDescent="0.25">
      <c r="B210" s="62" t="s">
        <v>1485</v>
      </c>
      <c r="C210" s="51" t="s">
        <v>1515</v>
      </c>
      <c r="D210" s="51" t="s">
        <v>202</v>
      </c>
      <c r="E210" s="51" t="s">
        <v>1514</v>
      </c>
      <c r="F210" s="51" t="str">
        <f t="shared" si="8"/>
        <v>5+ | Heavy | Purchase | Mixed-Use</v>
      </c>
      <c r="G210" s="535">
        <v>0.64999999999999991</v>
      </c>
      <c r="H210" s="535">
        <v>0.64999999999999991</v>
      </c>
      <c r="I210" s="535">
        <v>0.6</v>
      </c>
      <c r="J210" s="536" t="s">
        <v>2</v>
      </c>
      <c r="K210" s="523" t="str">
        <f t="shared" si="9"/>
        <v>N</v>
      </c>
    </row>
    <row r="211" spans="2:11" s="51" customFormat="1" x14ac:dyDescent="0.25">
      <c r="B211" s="64" t="s">
        <v>1520</v>
      </c>
      <c r="C211" s="113" t="s">
        <v>1523</v>
      </c>
      <c r="D211" s="113" t="s">
        <v>200</v>
      </c>
      <c r="E211" s="113" t="s">
        <v>1514</v>
      </c>
      <c r="F211" s="113" t="str">
        <f t="shared" si="8"/>
        <v>0+ | Stabilized | Delayed Purchase | Mixed-Use</v>
      </c>
      <c r="G211" s="533">
        <v>0.64999999999999991</v>
      </c>
      <c r="H211" s="533">
        <v>0.7</v>
      </c>
      <c r="I211" s="533">
        <v>0.64999999999999991</v>
      </c>
      <c r="J211" s="534" t="s">
        <v>2</v>
      </c>
      <c r="K211" s="523" t="str">
        <f t="shared" si="9"/>
        <v>N</v>
      </c>
    </row>
    <row r="212" spans="2:11" s="51" customFormat="1" x14ac:dyDescent="0.25">
      <c r="B212" s="62" t="s">
        <v>1519</v>
      </c>
      <c r="C212" s="51" t="s">
        <v>1523</v>
      </c>
      <c r="D212" s="51" t="s">
        <v>200</v>
      </c>
      <c r="E212" s="51" t="s">
        <v>1514</v>
      </c>
      <c r="F212" s="51" t="str">
        <f t="shared" si="8"/>
        <v>1+ | Stabilized | Delayed Purchase | Mixed-Use</v>
      </c>
      <c r="G212" s="535">
        <v>0.64999999999999991</v>
      </c>
      <c r="H212" s="535">
        <v>0.7</v>
      </c>
      <c r="I212" s="535">
        <v>0.64999999999999991</v>
      </c>
      <c r="J212" s="536" t="s">
        <v>2</v>
      </c>
      <c r="K212" s="523" t="str">
        <f t="shared" si="9"/>
        <v>N</v>
      </c>
    </row>
    <row r="213" spans="2:11" s="51" customFormat="1" x14ac:dyDescent="0.25">
      <c r="B213" s="62" t="s">
        <v>1518</v>
      </c>
      <c r="C213" s="51" t="s">
        <v>1523</v>
      </c>
      <c r="D213" s="51" t="s">
        <v>200</v>
      </c>
      <c r="E213" s="51" t="s">
        <v>1514</v>
      </c>
      <c r="F213" s="51" t="str">
        <f t="shared" si="8"/>
        <v>3+ | Stabilized | Delayed Purchase | Mixed-Use</v>
      </c>
      <c r="G213" s="535">
        <v>0.7</v>
      </c>
      <c r="H213" s="535">
        <v>0.7</v>
      </c>
      <c r="I213" s="535">
        <v>0.7</v>
      </c>
      <c r="J213" s="536" t="s">
        <v>2</v>
      </c>
      <c r="K213" s="523" t="str">
        <f t="shared" si="9"/>
        <v>N</v>
      </c>
    </row>
    <row r="214" spans="2:11" s="51" customFormat="1" x14ac:dyDescent="0.25">
      <c r="B214" s="62" t="s">
        <v>1485</v>
      </c>
      <c r="C214" s="51" t="s">
        <v>1523</v>
      </c>
      <c r="D214" s="51" t="s">
        <v>200</v>
      </c>
      <c r="E214" s="51" t="s">
        <v>1514</v>
      </c>
      <c r="F214" s="51" t="str">
        <f t="shared" si="8"/>
        <v>5+ | Stabilized | Delayed Purchase | Mixed-Use</v>
      </c>
      <c r="G214" s="535">
        <v>0.7</v>
      </c>
      <c r="H214" s="535">
        <v>0.7</v>
      </c>
      <c r="I214" s="535">
        <v>0.7</v>
      </c>
      <c r="J214" s="536" t="s">
        <v>2</v>
      </c>
      <c r="K214" s="523" t="str">
        <f t="shared" si="9"/>
        <v>N</v>
      </c>
    </row>
    <row r="215" spans="2:11" s="51" customFormat="1" x14ac:dyDescent="0.25">
      <c r="B215" s="64" t="s">
        <v>1520</v>
      </c>
      <c r="C215" s="113" t="s">
        <v>1522</v>
      </c>
      <c r="D215" s="113" t="s">
        <v>200</v>
      </c>
      <c r="E215" s="113" t="s">
        <v>1514</v>
      </c>
      <c r="F215" s="113" t="str">
        <f t="shared" si="8"/>
        <v>0+ | Light | Delayed Purchase | Mixed-Use</v>
      </c>
      <c r="G215" s="533">
        <v>0.64999999999999991</v>
      </c>
      <c r="H215" s="533">
        <v>0.64999999999999991</v>
      </c>
      <c r="I215" s="533">
        <v>0.6</v>
      </c>
      <c r="J215" s="534" t="s">
        <v>2</v>
      </c>
      <c r="K215" s="523" t="str">
        <f t="shared" si="9"/>
        <v>N</v>
      </c>
    </row>
    <row r="216" spans="2:11" s="51" customFormat="1" x14ac:dyDescent="0.25">
      <c r="B216" s="62" t="s">
        <v>1519</v>
      </c>
      <c r="C216" s="51" t="s">
        <v>1522</v>
      </c>
      <c r="D216" s="51" t="s">
        <v>200</v>
      </c>
      <c r="E216" s="51" t="s">
        <v>1514</v>
      </c>
      <c r="F216" s="51" t="str">
        <f t="shared" si="8"/>
        <v>1+ | Light | Delayed Purchase | Mixed-Use</v>
      </c>
      <c r="G216" s="535">
        <v>0.64999999999999991</v>
      </c>
      <c r="H216" s="535">
        <v>0.64999999999999991</v>
      </c>
      <c r="I216" s="535">
        <v>0.6</v>
      </c>
      <c r="J216" s="536" t="s">
        <v>2</v>
      </c>
      <c r="K216" s="523" t="str">
        <f t="shared" si="9"/>
        <v>N</v>
      </c>
    </row>
    <row r="217" spans="2:11" s="51" customFormat="1" x14ac:dyDescent="0.25">
      <c r="B217" s="62" t="s">
        <v>1518</v>
      </c>
      <c r="C217" s="51" t="s">
        <v>1522</v>
      </c>
      <c r="D217" s="51" t="s">
        <v>200</v>
      </c>
      <c r="E217" s="51" t="s">
        <v>1514</v>
      </c>
      <c r="F217" s="51" t="str">
        <f t="shared" ref="F217:F258" si="10">B217&amp;" | "&amp;C217&amp;" | "&amp;D217&amp;" | "&amp;E217</f>
        <v>3+ | Light | Delayed Purchase | Mixed-Use</v>
      </c>
      <c r="G217" s="535">
        <v>0.7</v>
      </c>
      <c r="H217" s="535">
        <v>0.7</v>
      </c>
      <c r="I217" s="535">
        <v>0.64999999999999991</v>
      </c>
      <c r="J217" s="536" t="s">
        <v>2</v>
      </c>
      <c r="K217" s="523" t="str">
        <f t="shared" si="9"/>
        <v>N</v>
      </c>
    </row>
    <row r="218" spans="2:11" s="51" customFormat="1" x14ac:dyDescent="0.25">
      <c r="B218" s="62" t="s">
        <v>1485</v>
      </c>
      <c r="C218" s="51" t="s">
        <v>1522</v>
      </c>
      <c r="D218" s="51" t="s">
        <v>200</v>
      </c>
      <c r="E218" s="51" t="s">
        <v>1514</v>
      </c>
      <c r="F218" s="51" t="str">
        <f t="shared" si="10"/>
        <v>5+ | Light | Delayed Purchase | Mixed-Use</v>
      </c>
      <c r="G218" s="535">
        <v>0.7</v>
      </c>
      <c r="H218" s="535">
        <v>0.7</v>
      </c>
      <c r="I218" s="535">
        <v>0.64999999999999991</v>
      </c>
      <c r="J218" s="536" t="s">
        <v>2</v>
      </c>
      <c r="K218" s="523" t="str">
        <f t="shared" si="9"/>
        <v>N</v>
      </c>
    </row>
    <row r="219" spans="2:11" s="51" customFormat="1" x14ac:dyDescent="0.25">
      <c r="B219" s="64" t="s">
        <v>1520</v>
      </c>
      <c r="C219" s="113" t="s">
        <v>1521</v>
      </c>
      <c r="D219" s="113" t="s">
        <v>200</v>
      </c>
      <c r="E219" s="113" t="s">
        <v>1514</v>
      </c>
      <c r="F219" s="113" t="str">
        <f t="shared" si="10"/>
        <v>0+ | Moderate | Delayed Purchase | Mixed-Use</v>
      </c>
      <c r="G219" s="533">
        <v>0.64999999999999991</v>
      </c>
      <c r="H219" s="533">
        <v>0.64999999999999991</v>
      </c>
      <c r="I219" s="533">
        <v>0.6</v>
      </c>
      <c r="J219" s="534" t="s">
        <v>2</v>
      </c>
      <c r="K219" s="523" t="str">
        <f t="shared" si="9"/>
        <v>N</v>
      </c>
    </row>
    <row r="220" spans="2:11" s="51" customFormat="1" x14ac:dyDescent="0.25">
      <c r="B220" s="62" t="s">
        <v>1519</v>
      </c>
      <c r="C220" s="51" t="s">
        <v>1521</v>
      </c>
      <c r="D220" s="51" t="s">
        <v>200</v>
      </c>
      <c r="E220" s="51" t="s">
        <v>1514</v>
      </c>
      <c r="F220" s="51" t="str">
        <f t="shared" si="10"/>
        <v>1+ | Moderate | Delayed Purchase | Mixed-Use</v>
      </c>
      <c r="G220" s="535">
        <v>0.64999999999999991</v>
      </c>
      <c r="H220" s="535">
        <v>0.64999999999999991</v>
      </c>
      <c r="I220" s="535">
        <v>0.6</v>
      </c>
      <c r="J220" s="536" t="s">
        <v>2</v>
      </c>
      <c r="K220" s="523" t="str">
        <f t="shared" ref="K220:K258" si="11">$W$39</f>
        <v>N</v>
      </c>
    </row>
    <row r="221" spans="2:11" s="51" customFormat="1" x14ac:dyDescent="0.25">
      <c r="B221" s="62" t="s">
        <v>1518</v>
      </c>
      <c r="C221" s="51" t="s">
        <v>1521</v>
      </c>
      <c r="D221" s="51" t="s">
        <v>200</v>
      </c>
      <c r="E221" s="51" t="s">
        <v>1514</v>
      </c>
      <c r="F221" s="51" t="str">
        <f t="shared" si="10"/>
        <v>3+ | Moderate | Delayed Purchase | Mixed-Use</v>
      </c>
      <c r="G221" s="535">
        <v>0.7</v>
      </c>
      <c r="H221" s="535">
        <v>0.7</v>
      </c>
      <c r="I221" s="535">
        <v>0.64999999999999991</v>
      </c>
      <c r="J221" s="536" t="s">
        <v>2</v>
      </c>
      <c r="K221" s="523" t="str">
        <f t="shared" si="11"/>
        <v>N</v>
      </c>
    </row>
    <row r="222" spans="2:11" s="51" customFormat="1" x14ac:dyDescent="0.25">
      <c r="B222" s="62" t="s">
        <v>1485</v>
      </c>
      <c r="C222" s="51" t="s">
        <v>1521</v>
      </c>
      <c r="D222" s="51" t="s">
        <v>200</v>
      </c>
      <c r="E222" s="51" t="s">
        <v>1514</v>
      </c>
      <c r="F222" s="51" t="str">
        <f t="shared" si="10"/>
        <v>5+ | Moderate | Delayed Purchase | Mixed-Use</v>
      </c>
      <c r="G222" s="535">
        <v>0.7</v>
      </c>
      <c r="H222" s="535">
        <v>0.7</v>
      </c>
      <c r="I222" s="535">
        <v>0.64999999999999991</v>
      </c>
      <c r="J222" s="536" t="s">
        <v>2</v>
      </c>
      <c r="K222" s="523" t="str">
        <f t="shared" si="11"/>
        <v>N</v>
      </c>
    </row>
    <row r="223" spans="2:11" s="51" customFormat="1" x14ac:dyDescent="0.25">
      <c r="B223" s="64" t="s">
        <v>1520</v>
      </c>
      <c r="C223" s="113" t="s">
        <v>1515</v>
      </c>
      <c r="D223" s="113" t="s">
        <v>200</v>
      </c>
      <c r="E223" s="113" t="s">
        <v>1514</v>
      </c>
      <c r="F223" s="113" t="str">
        <f t="shared" si="10"/>
        <v>0+ | Heavy | Delayed Purchase | Mixed-Use</v>
      </c>
      <c r="G223" s="533" t="s">
        <v>148</v>
      </c>
      <c r="H223" s="533" t="s">
        <v>148</v>
      </c>
      <c r="I223" s="533" t="s">
        <v>148</v>
      </c>
      <c r="J223" s="534" t="s">
        <v>148</v>
      </c>
      <c r="K223" s="523" t="str">
        <f t="shared" si="11"/>
        <v>N</v>
      </c>
    </row>
    <row r="224" spans="2:11" s="51" customFormat="1" x14ac:dyDescent="0.25">
      <c r="B224" s="62" t="s">
        <v>1519</v>
      </c>
      <c r="C224" s="51" t="s">
        <v>1515</v>
      </c>
      <c r="D224" s="51" t="s">
        <v>200</v>
      </c>
      <c r="E224" s="51" t="s">
        <v>1514</v>
      </c>
      <c r="F224" s="51" t="str">
        <f t="shared" si="10"/>
        <v>1+ | Heavy | Delayed Purchase | Mixed-Use</v>
      </c>
      <c r="G224" s="535" t="s">
        <v>148</v>
      </c>
      <c r="H224" s="535" t="s">
        <v>148</v>
      </c>
      <c r="I224" s="535" t="s">
        <v>148</v>
      </c>
      <c r="J224" s="536" t="s">
        <v>148</v>
      </c>
      <c r="K224" s="523" t="str">
        <f t="shared" si="11"/>
        <v>N</v>
      </c>
    </row>
    <row r="225" spans="2:11" s="51" customFormat="1" x14ac:dyDescent="0.25">
      <c r="B225" s="62" t="s">
        <v>1518</v>
      </c>
      <c r="C225" s="51" t="s">
        <v>1515</v>
      </c>
      <c r="D225" s="51" t="s">
        <v>200</v>
      </c>
      <c r="E225" s="51" t="s">
        <v>1514</v>
      </c>
      <c r="F225" s="51" t="str">
        <f t="shared" si="10"/>
        <v>3+ | Heavy | Delayed Purchase | Mixed-Use</v>
      </c>
      <c r="G225" s="535">
        <v>0.64999999999999991</v>
      </c>
      <c r="H225" s="535">
        <v>0.64999999999999991</v>
      </c>
      <c r="I225" s="535">
        <v>0.6</v>
      </c>
      <c r="J225" s="536" t="s">
        <v>2</v>
      </c>
      <c r="K225" s="523" t="str">
        <f t="shared" si="11"/>
        <v>N</v>
      </c>
    </row>
    <row r="226" spans="2:11" s="51" customFormat="1" x14ac:dyDescent="0.25">
      <c r="B226" s="62" t="s">
        <v>1485</v>
      </c>
      <c r="C226" s="51" t="s">
        <v>1515</v>
      </c>
      <c r="D226" s="51" t="s">
        <v>200</v>
      </c>
      <c r="E226" s="51" t="s">
        <v>1514</v>
      </c>
      <c r="F226" s="51" t="str">
        <f t="shared" si="10"/>
        <v>5+ | Heavy | Delayed Purchase | Mixed-Use</v>
      </c>
      <c r="G226" s="535">
        <v>0.64999999999999991</v>
      </c>
      <c r="H226" s="535">
        <v>0.64999999999999991</v>
      </c>
      <c r="I226" s="535">
        <v>0.6</v>
      </c>
      <c r="J226" s="536" t="s">
        <v>2</v>
      </c>
      <c r="K226" s="523" t="str">
        <f t="shared" si="11"/>
        <v>N</v>
      </c>
    </row>
    <row r="227" spans="2:11" s="51" customFormat="1" x14ac:dyDescent="0.25">
      <c r="B227" s="64" t="s">
        <v>1520</v>
      </c>
      <c r="C227" s="113" t="s">
        <v>1523</v>
      </c>
      <c r="D227" s="113" t="s">
        <v>3</v>
      </c>
      <c r="E227" s="113" t="s">
        <v>1514</v>
      </c>
      <c r="F227" s="113" t="str">
        <f t="shared" si="10"/>
        <v>0+ | Stabilized | Refinance (Rate/Term) | Mixed-Use</v>
      </c>
      <c r="G227" s="533">
        <v>0.625</v>
      </c>
      <c r="H227" s="533" t="s">
        <v>2</v>
      </c>
      <c r="I227" s="533">
        <v>0.625</v>
      </c>
      <c r="J227" s="534" t="s">
        <v>2</v>
      </c>
      <c r="K227" s="523" t="str">
        <f t="shared" si="11"/>
        <v>N</v>
      </c>
    </row>
    <row r="228" spans="2:11" s="51" customFormat="1" x14ac:dyDescent="0.25">
      <c r="B228" s="62" t="s">
        <v>1519</v>
      </c>
      <c r="C228" s="51" t="s">
        <v>1523</v>
      </c>
      <c r="D228" s="51" t="s">
        <v>3</v>
      </c>
      <c r="E228" s="51" t="s">
        <v>1514</v>
      </c>
      <c r="F228" s="51" t="str">
        <f t="shared" si="10"/>
        <v>1+ | Stabilized | Refinance (Rate/Term) | Mixed-Use</v>
      </c>
      <c r="G228" s="535">
        <v>0.625</v>
      </c>
      <c r="H228" s="535" t="s">
        <v>2</v>
      </c>
      <c r="I228" s="535">
        <v>0.625</v>
      </c>
      <c r="J228" s="536" t="s">
        <v>2</v>
      </c>
      <c r="K228" s="523" t="str">
        <f t="shared" si="11"/>
        <v>N</v>
      </c>
    </row>
    <row r="229" spans="2:11" s="51" customFormat="1" x14ac:dyDescent="0.25">
      <c r="B229" s="62" t="s">
        <v>1518</v>
      </c>
      <c r="C229" s="51" t="s">
        <v>1523</v>
      </c>
      <c r="D229" s="51" t="s">
        <v>3</v>
      </c>
      <c r="E229" s="51" t="s">
        <v>1514</v>
      </c>
      <c r="F229" s="51" t="str">
        <f t="shared" si="10"/>
        <v>3+ | Stabilized | Refinance (Rate/Term) | Mixed-Use</v>
      </c>
      <c r="G229" s="535">
        <v>0.64999999999999991</v>
      </c>
      <c r="H229" s="535" t="s">
        <v>2</v>
      </c>
      <c r="I229" s="535">
        <v>0.64999999999999991</v>
      </c>
      <c r="J229" s="536" t="s">
        <v>2</v>
      </c>
      <c r="K229" s="523" t="str">
        <f t="shared" si="11"/>
        <v>N</v>
      </c>
    </row>
    <row r="230" spans="2:11" s="51" customFormat="1" x14ac:dyDescent="0.25">
      <c r="B230" s="62" t="s">
        <v>1485</v>
      </c>
      <c r="C230" s="51" t="s">
        <v>1523</v>
      </c>
      <c r="D230" s="51" t="s">
        <v>3</v>
      </c>
      <c r="E230" s="51" t="s">
        <v>1514</v>
      </c>
      <c r="F230" s="51" t="str">
        <f t="shared" si="10"/>
        <v>5+ | Stabilized | Refinance (Rate/Term) | Mixed-Use</v>
      </c>
      <c r="G230" s="535">
        <v>0.64999999999999991</v>
      </c>
      <c r="H230" s="535" t="s">
        <v>2</v>
      </c>
      <c r="I230" s="535">
        <v>0.64999999999999991</v>
      </c>
      <c r="J230" s="536" t="s">
        <v>2</v>
      </c>
      <c r="K230" s="523" t="str">
        <f t="shared" si="11"/>
        <v>N</v>
      </c>
    </row>
    <row r="231" spans="2:11" s="51" customFormat="1" x14ac:dyDescent="0.25">
      <c r="B231" s="64" t="s">
        <v>1520</v>
      </c>
      <c r="C231" s="113" t="s">
        <v>1522</v>
      </c>
      <c r="D231" s="113" t="s">
        <v>3</v>
      </c>
      <c r="E231" s="113" t="s">
        <v>1514</v>
      </c>
      <c r="F231" s="113" t="str">
        <f t="shared" si="10"/>
        <v>0+ | Light | Refinance (Rate/Term) | Mixed-Use</v>
      </c>
      <c r="G231" s="533" t="s">
        <v>148</v>
      </c>
      <c r="H231" s="533" t="s">
        <v>148</v>
      </c>
      <c r="I231" s="533" t="s">
        <v>148</v>
      </c>
      <c r="J231" s="534" t="s">
        <v>148</v>
      </c>
      <c r="K231" s="523" t="str">
        <f t="shared" si="11"/>
        <v>N</v>
      </c>
    </row>
    <row r="232" spans="2:11" s="51" customFormat="1" x14ac:dyDescent="0.25">
      <c r="B232" s="62" t="s">
        <v>1519</v>
      </c>
      <c r="C232" s="51" t="s">
        <v>1522</v>
      </c>
      <c r="D232" s="51" t="s">
        <v>3</v>
      </c>
      <c r="E232" s="51" t="s">
        <v>1514</v>
      </c>
      <c r="F232" s="51" t="str">
        <f t="shared" si="10"/>
        <v>1+ | Light | Refinance (Rate/Term) | Mixed-Use</v>
      </c>
      <c r="G232" s="535" t="s">
        <v>148</v>
      </c>
      <c r="H232" s="535" t="s">
        <v>148</v>
      </c>
      <c r="I232" s="535" t="s">
        <v>148</v>
      </c>
      <c r="J232" s="536" t="s">
        <v>148</v>
      </c>
      <c r="K232" s="523" t="str">
        <f t="shared" si="11"/>
        <v>N</v>
      </c>
    </row>
    <row r="233" spans="2:11" s="51" customFormat="1" x14ac:dyDescent="0.25">
      <c r="B233" s="62" t="s">
        <v>1518</v>
      </c>
      <c r="C233" s="51" t="s">
        <v>1522</v>
      </c>
      <c r="D233" s="51" t="s">
        <v>3</v>
      </c>
      <c r="E233" s="51" t="s">
        <v>1514</v>
      </c>
      <c r="F233" s="51" t="str">
        <f t="shared" si="10"/>
        <v>3+ | Light | Refinance (Rate/Term) | Mixed-Use</v>
      </c>
      <c r="G233" s="535">
        <v>0.64999999999999991</v>
      </c>
      <c r="H233" s="535" t="s">
        <v>2</v>
      </c>
      <c r="I233" s="535">
        <v>0.6</v>
      </c>
      <c r="J233" s="536" t="s">
        <v>2</v>
      </c>
      <c r="K233" s="523" t="str">
        <f t="shared" si="11"/>
        <v>N</v>
      </c>
    </row>
    <row r="234" spans="2:11" s="51" customFormat="1" x14ac:dyDescent="0.25">
      <c r="B234" s="62" t="s">
        <v>1485</v>
      </c>
      <c r="C234" s="51" t="s">
        <v>1522</v>
      </c>
      <c r="D234" s="51" t="s">
        <v>3</v>
      </c>
      <c r="E234" s="51" t="s">
        <v>1514</v>
      </c>
      <c r="F234" s="51" t="str">
        <f t="shared" si="10"/>
        <v>5+ | Light | Refinance (Rate/Term) | Mixed-Use</v>
      </c>
      <c r="G234" s="535">
        <v>0.64999999999999991</v>
      </c>
      <c r="H234" s="535" t="s">
        <v>2</v>
      </c>
      <c r="I234" s="535">
        <v>0.6</v>
      </c>
      <c r="J234" s="536" t="s">
        <v>2</v>
      </c>
      <c r="K234" s="523" t="str">
        <f t="shared" si="11"/>
        <v>N</v>
      </c>
    </row>
    <row r="235" spans="2:11" s="51" customFormat="1" x14ac:dyDescent="0.25">
      <c r="B235" s="64" t="s">
        <v>1520</v>
      </c>
      <c r="C235" s="113" t="s">
        <v>1521</v>
      </c>
      <c r="D235" s="113" t="s">
        <v>3</v>
      </c>
      <c r="E235" s="113" t="s">
        <v>1514</v>
      </c>
      <c r="F235" s="113" t="str">
        <f t="shared" si="10"/>
        <v>0+ | Moderate | Refinance (Rate/Term) | Mixed-Use</v>
      </c>
      <c r="G235" s="533" t="s">
        <v>148</v>
      </c>
      <c r="H235" s="533" t="s">
        <v>148</v>
      </c>
      <c r="I235" s="533" t="s">
        <v>148</v>
      </c>
      <c r="J235" s="534" t="s">
        <v>148</v>
      </c>
      <c r="K235" s="523" t="str">
        <f t="shared" si="11"/>
        <v>N</v>
      </c>
    </row>
    <row r="236" spans="2:11" s="51" customFormat="1" x14ac:dyDescent="0.25">
      <c r="B236" s="62" t="s">
        <v>1519</v>
      </c>
      <c r="C236" s="51" t="s">
        <v>1521</v>
      </c>
      <c r="D236" s="51" t="s">
        <v>3</v>
      </c>
      <c r="E236" s="51" t="s">
        <v>1514</v>
      </c>
      <c r="F236" s="51" t="str">
        <f t="shared" si="10"/>
        <v>1+ | Moderate | Refinance (Rate/Term) | Mixed-Use</v>
      </c>
      <c r="G236" s="535" t="s">
        <v>148</v>
      </c>
      <c r="H236" s="535" t="s">
        <v>148</v>
      </c>
      <c r="I236" s="535" t="s">
        <v>148</v>
      </c>
      <c r="J236" s="536" t="s">
        <v>148</v>
      </c>
      <c r="K236" s="523" t="str">
        <f t="shared" si="11"/>
        <v>N</v>
      </c>
    </row>
    <row r="237" spans="2:11" s="51" customFormat="1" x14ac:dyDescent="0.25">
      <c r="B237" s="62" t="s">
        <v>1518</v>
      </c>
      <c r="C237" s="51" t="s">
        <v>1521</v>
      </c>
      <c r="D237" s="51" t="s">
        <v>3</v>
      </c>
      <c r="E237" s="51" t="s">
        <v>1514</v>
      </c>
      <c r="F237" s="51" t="str">
        <f t="shared" si="10"/>
        <v>3+ | Moderate | Refinance (Rate/Term) | Mixed-Use</v>
      </c>
      <c r="G237" s="535">
        <v>0.64999999999999991</v>
      </c>
      <c r="H237" s="535" t="s">
        <v>2</v>
      </c>
      <c r="I237" s="535">
        <v>0.6</v>
      </c>
      <c r="J237" s="536" t="s">
        <v>2</v>
      </c>
      <c r="K237" s="523" t="str">
        <f t="shared" si="11"/>
        <v>N</v>
      </c>
    </row>
    <row r="238" spans="2:11" s="51" customFormat="1" x14ac:dyDescent="0.25">
      <c r="B238" s="62" t="s">
        <v>1485</v>
      </c>
      <c r="C238" s="51" t="s">
        <v>1521</v>
      </c>
      <c r="D238" s="51" t="s">
        <v>3</v>
      </c>
      <c r="E238" s="51" t="s">
        <v>1514</v>
      </c>
      <c r="F238" s="51" t="str">
        <f t="shared" si="10"/>
        <v>5+ | Moderate | Refinance (Rate/Term) | Mixed-Use</v>
      </c>
      <c r="G238" s="535">
        <v>0.64999999999999991</v>
      </c>
      <c r="H238" s="535" t="s">
        <v>2</v>
      </c>
      <c r="I238" s="535">
        <v>0.6</v>
      </c>
      <c r="J238" s="536" t="s">
        <v>2</v>
      </c>
      <c r="K238" s="523" t="str">
        <f t="shared" si="11"/>
        <v>N</v>
      </c>
    </row>
    <row r="239" spans="2:11" s="51" customFormat="1" x14ac:dyDescent="0.25">
      <c r="B239" s="64" t="s">
        <v>1520</v>
      </c>
      <c r="C239" s="113" t="s">
        <v>1515</v>
      </c>
      <c r="D239" s="113" t="s">
        <v>3</v>
      </c>
      <c r="E239" s="113" t="s">
        <v>1514</v>
      </c>
      <c r="F239" s="113" t="str">
        <f t="shared" si="10"/>
        <v>0+ | Heavy | Refinance (Rate/Term) | Mixed-Use</v>
      </c>
      <c r="G239" s="533" t="s">
        <v>148</v>
      </c>
      <c r="H239" s="533" t="s">
        <v>148</v>
      </c>
      <c r="I239" s="533" t="s">
        <v>148</v>
      </c>
      <c r="J239" s="534" t="s">
        <v>148</v>
      </c>
      <c r="K239" s="523" t="str">
        <f t="shared" si="11"/>
        <v>N</v>
      </c>
    </row>
    <row r="240" spans="2:11" s="51" customFormat="1" x14ac:dyDescent="0.25">
      <c r="B240" s="62" t="s">
        <v>1519</v>
      </c>
      <c r="C240" s="51" t="s">
        <v>1515</v>
      </c>
      <c r="D240" s="51" t="s">
        <v>3</v>
      </c>
      <c r="E240" s="51" t="s">
        <v>1514</v>
      </c>
      <c r="F240" s="51" t="str">
        <f t="shared" si="10"/>
        <v>1+ | Heavy | Refinance (Rate/Term) | Mixed-Use</v>
      </c>
      <c r="G240" s="535" t="s">
        <v>148</v>
      </c>
      <c r="H240" s="535" t="s">
        <v>148</v>
      </c>
      <c r="I240" s="535" t="s">
        <v>148</v>
      </c>
      <c r="J240" s="536" t="s">
        <v>148</v>
      </c>
      <c r="K240" s="523" t="str">
        <f t="shared" si="11"/>
        <v>N</v>
      </c>
    </row>
    <row r="241" spans="2:11" s="51" customFormat="1" x14ac:dyDescent="0.25">
      <c r="B241" s="62" t="s">
        <v>1518</v>
      </c>
      <c r="C241" s="51" t="s">
        <v>1515</v>
      </c>
      <c r="D241" s="51" t="s">
        <v>3</v>
      </c>
      <c r="E241" s="51" t="s">
        <v>1514</v>
      </c>
      <c r="F241" s="51" t="str">
        <f t="shared" si="10"/>
        <v>3+ | Heavy | Refinance (Rate/Term) | Mixed-Use</v>
      </c>
      <c r="G241" s="535">
        <v>0.6</v>
      </c>
      <c r="H241" s="535" t="s">
        <v>2</v>
      </c>
      <c r="I241" s="535">
        <v>0.54999999999999993</v>
      </c>
      <c r="J241" s="536" t="s">
        <v>2</v>
      </c>
      <c r="K241" s="523" t="str">
        <f t="shared" si="11"/>
        <v>N</v>
      </c>
    </row>
    <row r="242" spans="2:11" s="51" customFormat="1" x14ac:dyDescent="0.25">
      <c r="B242" s="62" t="s">
        <v>1485</v>
      </c>
      <c r="C242" s="51" t="s">
        <v>1515</v>
      </c>
      <c r="D242" s="51" t="s">
        <v>3</v>
      </c>
      <c r="E242" s="51" t="s">
        <v>1514</v>
      </c>
      <c r="F242" s="51" t="str">
        <f t="shared" si="10"/>
        <v>5+ | Heavy | Refinance (Rate/Term) | Mixed-Use</v>
      </c>
      <c r="G242" s="535">
        <v>0.6</v>
      </c>
      <c r="H242" s="535" t="s">
        <v>2</v>
      </c>
      <c r="I242" s="535">
        <v>0.54999999999999993</v>
      </c>
      <c r="J242" s="536" t="s">
        <v>2</v>
      </c>
      <c r="K242" s="523" t="str">
        <f t="shared" si="11"/>
        <v>N</v>
      </c>
    </row>
    <row r="243" spans="2:11" s="51" customFormat="1" x14ac:dyDescent="0.25">
      <c r="B243" s="64" t="s">
        <v>1520</v>
      </c>
      <c r="C243" s="113" t="s">
        <v>1523</v>
      </c>
      <c r="D243" s="113" t="s">
        <v>274</v>
      </c>
      <c r="E243" s="113" t="s">
        <v>1514</v>
      </c>
      <c r="F243" s="113" t="str">
        <f t="shared" si="10"/>
        <v>0+ | Stabilized | Refinance (Cash Out) | Mixed-Use</v>
      </c>
      <c r="G243" s="533">
        <v>0.57499999999999996</v>
      </c>
      <c r="H243" s="533" t="s">
        <v>2</v>
      </c>
      <c r="I243" s="533">
        <v>0.57499999999999996</v>
      </c>
      <c r="J243" s="534" t="s">
        <v>2</v>
      </c>
      <c r="K243" s="523" t="str">
        <f t="shared" si="11"/>
        <v>N</v>
      </c>
    </row>
    <row r="244" spans="2:11" s="51" customFormat="1" x14ac:dyDescent="0.25">
      <c r="B244" s="62" t="s">
        <v>1519</v>
      </c>
      <c r="C244" s="51" t="s">
        <v>1523</v>
      </c>
      <c r="D244" s="51" t="s">
        <v>274</v>
      </c>
      <c r="E244" s="51" t="s">
        <v>1514</v>
      </c>
      <c r="F244" s="51" t="str">
        <f t="shared" si="10"/>
        <v>1+ | Stabilized | Refinance (Cash Out) | Mixed-Use</v>
      </c>
      <c r="G244" s="535">
        <v>0.57499999999999996</v>
      </c>
      <c r="H244" s="535" t="s">
        <v>2</v>
      </c>
      <c r="I244" s="535">
        <v>0.57499999999999996</v>
      </c>
      <c r="J244" s="536" t="s">
        <v>2</v>
      </c>
      <c r="K244" s="523" t="str">
        <f t="shared" si="11"/>
        <v>N</v>
      </c>
    </row>
    <row r="245" spans="2:11" s="51" customFormat="1" x14ac:dyDescent="0.25">
      <c r="B245" s="62" t="s">
        <v>1518</v>
      </c>
      <c r="C245" s="51" t="s">
        <v>1523</v>
      </c>
      <c r="D245" s="51" t="s">
        <v>274</v>
      </c>
      <c r="E245" s="51" t="s">
        <v>1514</v>
      </c>
      <c r="F245" s="51" t="str">
        <f t="shared" si="10"/>
        <v>3+ | Stabilized | Refinance (Cash Out) | Mixed-Use</v>
      </c>
      <c r="G245" s="535">
        <v>0.6</v>
      </c>
      <c r="H245" s="535" t="s">
        <v>2</v>
      </c>
      <c r="I245" s="535">
        <v>0.6</v>
      </c>
      <c r="J245" s="536" t="s">
        <v>2</v>
      </c>
      <c r="K245" s="523" t="str">
        <f t="shared" si="11"/>
        <v>N</v>
      </c>
    </row>
    <row r="246" spans="2:11" s="51" customFormat="1" x14ac:dyDescent="0.25">
      <c r="B246" s="62" t="s">
        <v>1485</v>
      </c>
      <c r="C246" s="51" t="s">
        <v>1523</v>
      </c>
      <c r="D246" s="51" t="s">
        <v>274</v>
      </c>
      <c r="E246" s="51" t="s">
        <v>1514</v>
      </c>
      <c r="F246" s="51" t="str">
        <f t="shared" si="10"/>
        <v>5+ | Stabilized | Refinance (Cash Out) | Mixed-Use</v>
      </c>
      <c r="G246" s="535">
        <v>0.6</v>
      </c>
      <c r="H246" s="535" t="s">
        <v>2</v>
      </c>
      <c r="I246" s="535">
        <v>0.6</v>
      </c>
      <c r="J246" s="536" t="s">
        <v>2</v>
      </c>
      <c r="K246" s="523" t="str">
        <f t="shared" si="11"/>
        <v>N</v>
      </c>
    </row>
    <row r="247" spans="2:11" s="51" customFormat="1" x14ac:dyDescent="0.25">
      <c r="B247" s="64" t="s">
        <v>1520</v>
      </c>
      <c r="C247" s="113" t="s">
        <v>1522</v>
      </c>
      <c r="D247" s="113" t="s">
        <v>274</v>
      </c>
      <c r="E247" s="113" t="s">
        <v>1514</v>
      </c>
      <c r="F247" s="113" t="str">
        <f t="shared" si="10"/>
        <v>0+ | Light | Refinance (Cash Out) | Mixed-Use</v>
      </c>
      <c r="G247" s="533" t="s">
        <v>148</v>
      </c>
      <c r="H247" s="533" t="s">
        <v>148</v>
      </c>
      <c r="I247" s="533" t="s">
        <v>148</v>
      </c>
      <c r="J247" s="534" t="s">
        <v>148</v>
      </c>
      <c r="K247" s="523" t="str">
        <f t="shared" si="11"/>
        <v>N</v>
      </c>
    </row>
    <row r="248" spans="2:11" s="51" customFormat="1" x14ac:dyDescent="0.25">
      <c r="B248" s="62" t="s">
        <v>1519</v>
      </c>
      <c r="C248" s="51" t="s">
        <v>1522</v>
      </c>
      <c r="D248" s="51" t="s">
        <v>274</v>
      </c>
      <c r="E248" s="51" t="s">
        <v>1514</v>
      </c>
      <c r="F248" s="51" t="str">
        <f t="shared" si="10"/>
        <v>1+ | Light | Refinance (Cash Out) | Mixed-Use</v>
      </c>
      <c r="G248" s="535" t="s">
        <v>148</v>
      </c>
      <c r="H248" s="535" t="s">
        <v>148</v>
      </c>
      <c r="I248" s="535" t="s">
        <v>148</v>
      </c>
      <c r="J248" s="536" t="s">
        <v>148</v>
      </c>
      <c r="K248" s="523" t="str">
        <f t="shared" si="11"/>
        <v>N</v>
      </c>
    </row>
    <row r="249" spans="2:11" s="51" customFormat="1" x14ac:dyDescent="0.25">
      <c r="B249" s="62" t="s">
        <v>1518</v>
      </c>
      <c r="C249" s="51" t="s">
        <v>1522</v>
      </c>
      <c r="D249" s="51" t="s">
        <v>274</v>
      </c>
      <c r="E249" s="51" t="s">
        <v>1514</v>
      </c>
      <c r="F249" s="51" t="str">
        <f t="shared" si="10"/>
        <v>3+ | Light | Refinance (Cash Out) | Mixed-Use</v>
      </c>
      <c r="G249" s="535">
        <v>0.6</v>
      </c>
      <c r="H249" s="535" t="s">
        <v>2</v>
      </c>
      <c r="I249" s="535">
        <v>0.54999999999999993</v>
      </c>
      <c r="J249" s="536" t="s">
        <v>2</v>
      </c>
      <c r="K249" s="523" t="str">
        <f t="shared" si="11"/>
        <v>N</v>
      </c>
    </row>
    <row r="250" spans="2:11" s="51" customFormat="1" x14ac:dyDescent="0.25">
      <c r="B250" s="62" t="s">
        <v>1485</v>
      </c>
      <c r="C250" s="51" t="s">
        <v>1522</v>
      </c>
      <c r="D250" s="51" t="s">
        <v>274</v>
      </c>
      <c r="E250" s="51" t="s">
        <v>1514</v>
      </c>
      <c r="F250" s="51" t="str">
        <f t="shared" si="10"/>
        <v>5+ | Light | Refinance (Cash Out) | Mixed-Use</v>
      </c>
      <c r="G250" s="535">
        <v>0.6</v>
      </c>
      <c r="H250" s="535" t="s">
        <v>2</v>
      </c>
      <c r="I250" s="535">
        <v>0.54999999999999993</v>
      </c>
      <c r="J250" s="536" t="s">
        <v>2</v>
      </c>
      <c r="K250" s="523" t="str">
        <f t="shared" si="11"/>
        <v>N</v>
      </c>
    </row>
    <row r="251" spans="2:11" s="51" customFormat="1" x14ac:dyDescent="0.25">
      <c r="B251" s="64" t="s">
        <v>1520</v>
      </c>
      <c r="C251" s="113" t="s">
        <v>1521</v>
      </c>
      <c r="D251" s="113" t="s">
        <v>274</v>
      </c>
      <c r="E251" s="113" t="s">
        <v>1514</v>
      </c>
      <c r="F251" s="113" t="str">
        <f t="shared" si="10"/>
        <v>0+ | Moderate | Refinance (Cash Out) | Mixed-Use</v>
      </c>
      <c r="G251" s="533" t="s">
        <v>148</v>
      </c>
      <c r="H251" s="533" t="s">
        <v>148</v>
      </c>
      <c r="I251" s="533" t="s">
        <v>148</v>
      </c>
      <c r="J251" s="534" t="s">
        <v>148</v>
      </c>
      <c r="K251" s="523" t="str">
        <f t="shared" si="11"/>
        <v>N</v>
      </c>
    </row>
    <row r="252" spans="2:11" s="51" customFormat="1" x14ac:dyDescent="0.25">
      <c r="B252" s="62" t="s">
        <v>1519</v>
      </c>
      <c r="C252" s="51" t="s">
        <v>1521</v>
      </c>
      <c r="D252" s="51" t="s">
        <v>274</v>
      </c>
      <c r="E252" s="51" t="s">
        <v>1514</v>
      </c>
      <c r="F252" s="51" t="str">
        <f t="shared" si="10"/>
        <v>1+ | Moderate | Refinance (Cash Out) | Mixed-Use</v>
      </c>
      <c r="G252" s="535" t="s">
        <v>148</v>
      </c>
      <c r="H252" s="535" t="s">
        <v>148</v>
      </c>
      <c r="I252" s="535" t="s">
        <v>148</v>
      </c>
      <c r="J252" s="536" t="s">
        <v>148</v>
      </c>
      <c r="K252" s="523" t="str">
        <f t="shared" si="11"/>
        <v>N</v>
      </c>
    </row>
    <row r="253" spans="2:11" s="51" customFormat="1" x14ac:dyDescent="0.25">
      <c r="B253" s="62" t="s">
        <v>1518</v>
      </c>
      <c r="C253" s="51" t="s">
        <v>1521</v>
      </c>
      <c r="D253" s="51" t="s">
        <v>274</v>
      </c>
      <c r="E253" s="51" t="s">
        <v>1514</v>
      </c>
      <c r="F253" s="51" t="str">
        <f t="shared" si="10"/>
        <v>3+ | Moderate | Refinance (Cash Out) | Mixed-Use</v>
      </c>
      <c r="G253" s="535">
        <v>0.6</v>
      </c>
      <c r="H253" s="535" t="s">
        <v>2</v>
      </c>
      <c r="I253" s="535">
        <v>0.54999999999999993</v>
      </c>
      <c r="J253" s="536" t="s">
        <v>2</v>
      </c>
      <c r="K253" s="523" t="str">
        <f t="shared" si="11"/>
        <v>N</v>
      </c>
    </row>
    <row r="254" spans="2:11" s="51" customFormat="1" x14ac:dyDescent="0.25">
      <c r="B254" s="62" t="s">
        <v>1485</v>
      </c>
      <c r="C254" s="51" t="s">
        <v>1521</v>
      </c>
      <c r="D254" s="51" t="s">
        <v>274</v>
      </c>
      <c r="E254" s="51" t="s">
        <v>1514</v>
      </c>
      <c r="F254" s="51" t="str">
        <f t="shared" si="10"/>
        <v>5+ | Moderate | Refinance (Cash Out) | Mixed-Use</v>
      </c>
      <c r="G254" s="535">
        <v>0.6</v>
      </c>
      <c r="H254" s="535" t="s">
        <v>2</v>
      </c>
      <c r="I254" s="535">
        <v>0.54999999999999993</v>
      </c>
      <c r="J254" s="536" t="s">
        <v>2</v>
      </c>
      <c r="K254" s="523" t="str">
        <f t="shared" si="11"/>
        <v>N</v>
      </c>
    </row>
    <row r="255" spans="2:11" s="51" customFormat="1" x14ac:dyDescent="0.25">
      <c r="B255" s="531" t="s">
        <v>1520</v>
      </c>
      <c r="C255" s="532" t="s">
        <v>1515</v>
      </c>
      <c r="D255" s="532" t="s">
        <v>274</v>
      </c>
      <c r="E255" s="532" t="s">
        <v>1514</v>
      </c>
      <c r="F255" s="532" t="str">
        <f t="shared" si="10"/>
        <v>0+ | Heavy | Refinance (Cash Out) | Mixed-Use</v>
      </c>
      <c r="G255" s="533" t="s">
        <v>148</v>
      </c>
      <c r="H255" s="533" t="s">
        <v>148</v>
      </c>
      <c r="I255" s="533" t="s">
        <v>148</v>
      </c>
      <c r="J255" s="534" t="s">
        <v>148</v>
      </c>
      <c r="K255" s="523" t="str">
        <f t="shared" si="11"/>
        <v>N</v>
      </c>
    </row>
    <row r="256" spans="2:11" s="51" customFormat="1" x14ac:dyDescent="0.25">
      <c r="B256" s="530" t="s">
        <v>1519</v>
      </c>
      <c r="C256" s="537" t="s">
        <v>1515</v>
      </c>
      <c r="D256" s="537" t="s">
        <v>274</v>
      </c>
      <c r="E256" s="537" t="s">
        <v>1514</v>
      </c>
      <c r="F256" s="537" t="str">
        <f t="shared" si="10"/>
        <v>1+ | Heavy | Refinance (Cash Out) | Mixed-Use</v>
      </c>
      <c r="G256" s="535" t="s">
        <v>148</v>
      </c>
      <c r="H256" s="535" t="s">
        <v>148</v>
      </c>
      <c r="I256" s="535" t="s">
        <v>148</v>
      </c>
      <c r="J256" s="536" t="s">
        <v>148</v>
      </c>
      <c r="K256" s="523" t="str">
        <f t="shared" si="11"/>
        <v>N</v>
      </c>
    </row>
    <row r="257" spans="2:11" s="51" customFormat="1" x14ac:dyDescent="0.25">
      <c r="B257" s="530" t="s">
        <v>1518</v>
      </c>
      <c r="C257" s="537" t="s">
        <v>1515</v>
      </c>
      <c r="D257" s="537" t="s">
        <v>274</v>
      </c>
      <c r="E257" s="537" t="s">
        <v>1514</v>
      </c>
      <c r="F257" s="537" t="str">
        <f t="shared" si="10"/>
        <v>3+ | Heavy | Refinance (Cash Out) | Mixed-Use</v>
      </c>
      <c r="G257" s="535" t="s">
        <v>148</v>
      </c>
      <c r="H257" s="535" t="s">
        <v>148</v>
      </c>
      <c r="I257" s="535" t="s">
        <v>148</v>
      </c>
      <c r="J257" s="536" t="s">
        <v>148</v>
      </c>
      <c r="K257" s="523" t="str">
        <f t="shared" si="11"/>
        <v>N</v>
      </c>
    </row>
    <row r="258" spans="2:11" s="51" customFormat="1" x14ac:dyDescent="0.25">
      <c r="B258" s="528" t="s">
        <v>1485</v>
      </c>
      <c r="C258" s="529" t="s">
        <v>1515</v>
      </c>
      <c r="D258" s="529" t="s">
        <v>274</v>
      </c>
      <c r="E258" s="529" t="s">
        <v>1514</v>
      </c>
      <c r="F258" s="529" t="str">
        <f t="shared" si="10"/>
        <v>5+ | Heavy | Refinance (Cash Out) | Mixed-Use</v>
      </c>
      <c r="G258" s="538" t="s">
        <v>148</v>
      </c>
      <c r="H258" s="538" t="s">
        <v>148</v>
      </c>
      <c r="I258" s="538" t="s">
        <v>148</v>
      </c>
      <c r="J258" s="539" t="s">
        <v>148</v>
      </c>
      <c r="K258" s="523" t="str">
        <f t="shared" si="11"/>
        <v>N</v>
      </c>
    </row>
    <row r="259" spans="2:11" s="51" customFormat="1" x14ac:dyDescent="0.25">
      <c r="K259" s="523"/>
    </row>
    <row r="260" spans="2:11" s="51" customFormat="1" x14ac:dyDescent="0.25">
      <c r="K260" s="523"/>
    </row>
    <row r="261" spans="2:11" s="51" customFormat="1" x14ac:dyDescent="0.25">
      <c r="K261" s="523"/>
    </row>
    <row r="262" spans="2:11" s="51" customFormat="1" x14ac:dyDescent="0.25">
      <c r="K262" s="523"/>
    </row>
    <row r="263" spans="2:11" s="51" customFormat="1" x14ac:dyDescent="0.25"/>
    <row r="264" spans="2:11" s="51" customFormat="1" x14ac:dyDescent="0.25"/>
    <row r="265" spans="2:11" s="51" customFormat="1" x14ac:dyDescent="0.25"/>
    <row r="266" spans="2:11" s="51" customFormat="1" x14ac:dyDescent="0.25"/>
    <row r="267" spans="2:11" s="51" customFormat="1" x14ac:dyDescent="0.25"/>
    <row r="268" spans="2:11" s="51" customFormat="1" x14ac:dyDescent="0.25"/>
    <row r="269" spans="2:11" s="51" customFormat="1" x14ac:dyDescent="0.25"/>
    <row r="270" spans="2:11" s="51" customFormat="1" x14ac:dyDescent="0.25"/>
    <row r="271" spans="2:11" s="51" customFormat="1" x14ac:dyDescent="0.25"/>
    <row r="272" spans="2:11" s="51" customFormat="1" x14ac:dyDescent="0.25"/>
    <row r="273" s="51" customFormat="1" x14ac:dyDescent="0.25"/>
    <row r="274" s="51" customFormat="1" x14ac:dyDescent="0.25"/>
    <row r="275" s="51" customFormat="1" x14ac:dyDescent="0.25"/>
    <row r="276" s="51" customFormat="1" x14ac:dyDescent="0.25"/>
    <row r="277" s="51" customFormat="1" x14ac:dyDescent="0.25"/>
    <row r="278" s="51" customFormat="1" x14ac:dyDescent="0.25"/>
    <row r="279" s="51" customFormat="1" x14ac:dyDescent="0.25"/>
    <row r="280" s="51" customFormat="1" x14ac:dyDescent="0.25"/>
    <row r="281" s="51" customFormat="1" x14ac:dyDescent="0.25"/>
    <row r="282" s="51" customFormat="1" x14ac:dyDescent="0.25"/>
    <row r="283" s="51" customFormat="1" x14ac:dyDescent="0.25"/>
    <row r="284" s="51" customFormat="1" x14ac:dyDescent="0.25"/>
    <row r="285" s="51" customFormat="1" x14ac:dyDescent="0.25"/>
    <row r="286" s="51" customFormat="1" x14ac:dyDescent="0.25"/>
    <row r="287" s="51" customFormat="1" x14ac:dyDescent="0.25"/>
    <row r="288" s="51" customFormat="1" x14ac:dyDescent="0.25"/>
    <row r="289" s="51" customFormat="1" x14ac:dyDescent="0.25"/>
    <row r="290" s="51" customFormat="1" x14ac:dyDescent="0.25"/>
    <row r="291" s="51" customFormat="1" x14ac:dyDescent="0.25"/>
    <row r="292" s="51" customFormat="1" x14ac:dyDescent="0.25"/>
    <row r="293" s="51" customFormat="1" x14ac:dyDescent="0.25"/>
    <row r="294" s="51" customFormat="1" x14ac:dyDescent="0.25"/>
    <row r="295" s="51" customFormat="1" x14ac:dyDescent="0.25"/>
    <row r="296" s="51" customFormat="1" x14ac:dyDescent="0.25"/>
    <row r="297" s="51" customFormat="1" x14ac:dyDescent="0.25"/>
    <row r="298" s="51" customFormat="1" x14ac:dyDescent="0.25"/>
    <row r="299" s="51" customFormat="1" x14ac:dyDescent="0.25"/>
    <row r="300" s="51" customFormat="1" x14ac:dyDescent="0.25"/>
    <row r="301" s="51" customFormat="1" x14ac:dyDescent="0.25"/>
    <row r="302" s="51" customFormat="1" x14ac:dyDescent="0.25"/>
    <row r="303" s="51" customFormat="1" x14ac:dyDescent="0.25"/>
    <row r="304" s="51" customFormat="1" x14ac:dyDescent="0.25"/>
    <row r="305" s="51" customFormat="1" x14ac:dyDescent="0.25"/>
    <row r="306" s="51" customFormat="1" x14ac:dyDescent="0.25"/>
    <row r="307" s="51" customFormat="1" x14ac:dyDescent="0.25"/>
    <row r="308" s="51" customFormat="1" x14ac:dyDescent="0.25"/>
    <row r="309" s="51" customFormat="1" x14ac:dyDescent="0.25"/>
    <row r="310" s="51" customFormat="1" x14ac:dyDescent="0.25"/>
    <row r="311" s="51" customFormat="1" x14ac:dyDescent="0.25"/>
    <row r="312" s="51" customFormat="1" x14ac:dyDescent="0.25"/>
    <row r="313" s="51" customFormat="1" x14ac:dyDescent="0.25"/>
    <row r="314" s="51" customFormat="1" x14ac:dyDescent="0.25"/>
    <row r="315" s="51" customFormat="1" x14ac:dyDescent="0.25"/>
    <row r="316" s="51" customFormat="1" x14ac:dyDescent="0.25"/>
    <row r="317" s="51" customFormat="1" x14ac:dyDescent="0.25"/>
    <row r="318" s="51" customFormat="1" x14ac:dyDescent="0.25"/>
    <row r="319" s="51" customFormat="1" x14ac:dyDescent="0.25"/>
    <row r="320" s="51" customFormat="1" x14ac:dyDescent="0.25"/>
    <row r="321" s="51" customFormat="1" x14ac:dyDescent="0.25"/>
    <row r="322" s="51" customFormat="1" x14ac:dyDescent="0.25"/>
    <row r="323" s="51" customFormat="1" x14ac:dyDescent="0.25"/>
    <row r="324" s="51" customFormat="1" x14ac:dyDescent="0.25"/>
    <row r="325" s="51" customFormat="1" x14ac:dyDescent="0.25"/>
    <row r="326" s="51" customFormat="1" x14ac:dyDescent="0.25"/>
    <row r="327" s="51" customFormat="1" x14ac:dyDescent="0.25"/>
    <row r="328" s="51" customFormat="1" x14ac:dyDescent="0.25"/>
    <row r="329" s="51" customFormat="1" x14ac:dyDescent="0.25"/>
    <row r="330" s="51" customFormat="1" x14ac:dyDescent="0.25"/>
    <row r="331" s="51" customFormat="1" x14ac:dyDescent="0.25"/>
    <row r="332" s="51" customFormat="1" x14ac:dyDescent="0.25"/>
    <row r="333" s="51" customFormat="1" x14ac:dyDescent="0.25"/>
    <row r="334" s="51" customFormat="1" x14ac:dyDescent="0.25"/>
    <row r="335" s="51" customFormat="1" x14ac:dyDescent="0.25"/>
    <row r="336" s="51" customFormat="1" x14ac:dyDescent="0.25"/>
    <row r="337" s="51" customFormat="1" x14ac:dyDescent="0.25"/>
    <row r="338" s="51" customFormat="1" x14ac:dyDescent="0.25"/>
    <row r="339" s="51" customFormat="1" x14ac:dyDescent="0.25"/>
    <row r="340" s="51" customFormat="1" x14ac:dyDescent="0.25"/>
    <row r="341" s="51" customFormat="1" x14ac:dyDescent="0.25"/>
    <row r="342" s="51" customFormat="1" x14ac:dyDescent="0.25"/>
    <row r="343" s="51" customFormat="1" x14ac:dyDescent="0.25"/>
    <row r="344" s="51" customFormat="1" x14ac:dyDescent="0.25"/>
    <row r="345" s="51" customFormat="1" x14ac:dyDescent="0.25"/>
    <row r="346" s="51" customFormat="1" x14ac:dyDescent="0.25"/>
    <row r="347" s="51" customFormat="1" x14ac:dyDescent="0.25"/>
    <row r="348" s="51" customFormat="1" x14ac:dyDescent="0.25"/>
    <row r="349" s="51" customFormat="1" x14ac:dyDescent="0.25"/>
    <row r="350" s="51" customFormat="1" x14ac:dyDescent="0.25"/>
    <row r="351" s="51" customFormat="1" x14ac:dyDescent="0.25"/>
    <row r="352" s="51" customFormat="1" x14ac:dyDescent="0.25"/>
    <row r="353" s="51" customFormat="1" x14ac:dyDescent="0.25"/>
    <row r="354" s="51" customFormat="1" x14ac:dyDescent="0.25"/>
    <row r="355" s="51" customFormat="1" x14ac:dyDescent="0.25"/>
    <row r="356" s="51" customFormat="1" x14ac:dyDescent="0.25"/>
    <row r="357" s="51" customFormat="1" x14ac:dyDescent="0.25"/>
    <row r="358" s="51" customFormat="1" x14ac:dyDescent="0.25"/>
    <row r="359" s="51" customFormat="1" x14ac:dyDescent="0.25"/>
    <row r="360" s="51" customFormat="1" x14ac:dyDescent="0.25"/>
    <row r="361" s="51" customFormat="1" x14ac:dyDescent="0.25"/>
    <row r="362" s="51" customFormat="1" x14ac:dyDescent="0.25"/>
    <row r="363" s="51" customFormat="1" x14ac:dyDescent="0.25"/>
    <row r="364" s="51" customFormat="1" x14ac:dyDescent="0.25"/>
    <row r="365" s="51" customFormat="1" x14ac:dyDescent="0.25"/>
    <row r="366" s="51" customFormat="1" x14ac:dyDescent="0.25"/>
    <row r="367" s="51" customFormat="1" x14ac:dyDescent="0.25"/>
    <row r="368" s="51" customFormat="1" x14ac:dyDescent="0.25"/>
    <row r="369" s="51" customFormat="1" x14ac:dyDescent="0.25"/>
    <row r="370" s="51" customFormat="1" x14ac:dyDescent="0.25"/>
    <row r="371" s="51" customFormat="1" x14ac:dyDescent="0.25"/>
    <row r="372" s="51" customFormat="1" x14ac:dyDescent="0.25"/>
    <row r="373" s="51" customFormat="1" x14ac:dyDescent="0.25"/>
    <row r="374" s="51" customFormat="1" x14ac:dyDescent="0.25"/>
    <row r="375" s="51" customFormat="1" x14ac:dyDescent="0.25"/>
    <row r="376" s="51" customFormat="1" x14ac:dyDescent="0.25"/>
    <row r="377" s="51" customFormat="1" x14ac:dyDescent="0.25"/>
    <row r="378" s="51" customFormat="1" x14ac:dyDescent="0.25"/>
    <row r="379" s="51" customFormat="1" x14ac:dyDescent="0.25"/>
    <row r="380" s="51" customFormat="1" x14ac:dyDescent="0.25"/>
    <row r="381" s="51" customFormat="1" x14ac:dyDescent="0.25"/>
    <row r="382" s="51" customFormat="1" x14ac:dyDescent="0.25"/>
    <row r="383" s="51" customFormat="1" x14ac:dyDescent="0.25"/>
    <row r="384" s="51" customFormat="1" x14ac:dyDescent="0.25"/>
    <row r="385" s="51" customFormat="1" x14ac:dyDescent="0.25"/>
    <row r="386" s="51" customFormat="1" x14ac:dyDescent="0.25"/>
  </sheetData>
  <sheetProtection algorithmName="SHA-512" hashValue="l6Aea1Jnnh0o9Tjb+yj2Az6oqwC/3cWybA2yESJNN4HuQfHo+V2CF3dVrSit1L+STwX1ZtT11kOJRpYqZsA/aA==" saltValue="+D+hF5ytPyQaJ9H2ITVdyg==" spinCount="100000" sheet="1" selectLockedCells="1" selectUnlockedCells="1"/>
  <autoFilter ref="B2:J258" xr:uid="{7A66A28B-AD8B-48FC-B51A-D70ADBC40994}"/>
  <mergeCells count="124">
    <mergeCell ref="R38:V38"/>
    <mergeCell ref="W38:X38"/>
    <mergeCell ref="R39:V39"/>
    <mergeCell ref="R33:V33"/>
    <mergeCell ref="W33:X33"/>
    <mergeCell ref="R35:V35"/>
    <mergeCell ref="R36:V36"/>
    <mergeCell ref="R37:V37"/>
    <mergeCell ref="W35:X35"/>
    <mergeCell ref="W36:X36"/>
    <mergeCell ref="W37:X37"/>
    <mergeCell ref="W39:X39"/>
    <mergeCell ref="T32:V32"/>
    <mergeCell ref="W32:X32"/>
    <mergeCell ref="W28:X28"/>
    <mergeCell ref="R29:S29"/>
    <mergeCell ref="T29:V29"/>
    <mergeCell ref="W29:X29"/>
    <mergeCell ref="R30:S30"/>
    <mergeCell ref="T30:V30"/>
    <mergeCell ref="W30:X30"/>
    <mergeCell ref="M65:N65"/>
    <mergeCell ref="O65:P65"/>
    <mergeCell ref="R9:X9"/>
    <mergeCell ref="R10:U10"/>
    <mergeCell ref="R12:U12"/>
    <mergeCell ref="R13:U13"/>
    <mergeCell ref="V10:X10"/>
    <mergeCell ref="V12:X12"/>
    <mergeCell ref="V13:X13"/>
    <mergeCell ref="W17:X17"/>
    <mergeCell ref="U21:V21"/>
    <mergeCell ref="W21:X21"/>
    <mergeCell ref="S18:T18"/>
    <mergeCell ref="U18:V18"/>
    <mergeCell ref="W18:X18"/>
    <mergeCell ref="S19:T19"/>
    <mergeCell ref="M61:N61"/>
    <mergeCell ref="O61:P61"/>
    <mergeCell ref="O62:P62"/>
    <mergeCell ref="M64:N64"/>
    <mergeCell ref="R31:S31"/>
    <mergeCell ref="T31:V31"/>
    <mergeCell ref="W31:X31"/>
    <mergeCell ref="R32:S32"/>
    <mergeCell ref="O64:P64"/>
    <mergeCell ref="M48:P48"/>
    <mergeCell ref="M49:P49"/>
    <mergeCell ref="M51:P51"/>
    <mergeCell ref="M52:P52"/>
    <mergeCell ref="M37:P37"/>
    <mergeCell ref="M38:P38"/>
    <mergeCell ref="M40:P40"/>
    <mergeCell ref="M41:P41"/>
    <mergeCell ref="M42:P42"/>
    <mergeCell ref="M44:P44"/>
    <mergeCell ref="M45:P45"/>
    <mergeCell ref="M47:P47"/>
    <mergeCell ref="M53:P53"/>
    <mergeCell ref="M54:P54"/>
    <mergeCell ref="M55:P55"/>
    <mergeCell ref="L57:P57"/>
    <mergeCell ref="O60:P60"/>
    <mergeCell ref="M60:N60"/>
    <mergeCell ref="AD6:AF6"/>
    <mergeCell ref="AD5:AF5"/>
    <mergeCell ref="AD4:AF4"/>
    <mergeCell ref="M36:P36"/>
    <mergeCell ref="Z19:AA19"/>
    <mergeCell ref="M19:P19"/>
    <mergeCell ref="M20:P20"/>
    <mergeCell ref="M21:P21"/>
    <mergeCell ref="M23:P23"/>
    <mergeCell ref="M24:P24"/>
    <mergeCell ref="M32:P32"/>
    <mergeCell ref="W20:X20"/>
    <mergeCell ref="S21:T21"/>
    <mergeCell ref="U20:V20"/>
    <mergeCell ref="U19:V19"/>
    <mergeCell ref="W19:X19"/>
    <mergeCell ref="S20:T20"/>
    <mergeCell ref="M25:P25"/>
    <mergeCell ref="M27:P27"/>
    <mergeCell ref="M28:P28"/>
    <mergeCell ref="M30:P30"/>
    <mergeCell ref="R28:S28"/>
    <mergeCell ref="T28:V28"/>
    <mergeCell ref="R24:X24"/>
    <mergeCell ref="Z17:AA17"/>
    <mergeCell ref="S17:T17"/>
    <mergeCell ref="U17:V17"/>
    <mergeCell ref="R26:S26"/>
    <mergeCell ref="T26:V26"/>
    <mergeCell ref="W26:X26"/>
    <mergeCell ref="R27:S27"/>
    <mergeCell ref="T27:V27"/>
    <mergeCell ref="W27:X27"/>
    <mergeCell ref="W25:X25"/>
    <mergeCell ref="T25:V25"/>
    <mergeCell ref="R25:S25"/>
    <mergeCell ref="AD14:AE14"/>
    <mergeCell ref="AD15:AE15"/>
    <mergeCell ref="Z13:AA13"/>
    <mergeCell ref="Z14:AA14"/>
    <mergeCell ref="Z15:AA15"/>
    <mergeCell ref="Z16:AA16"/>
    <mergeCell ref="M2:P2"/>
    <mergeCell ref="M10:N10"/>
    <mergeCell ref="O10:P10"/>
    <mergeCell ref="Z2:AB2"/>
    <mergeCell ref="Z12:AA12"/>
    <mergeCell ref="R11:U11"/>
    <mergeCell ref="V11:X11"/>
    <mergeCell ref="R14:U14"/>
    <mergeCell ref="V14:X14"/>
    <mergeCell ref="S16:T16"/>
    <mergeCell ref="U16:V16"/>
    <mergeCell ref="W16:X16"/>
    <mergeCell ref="AD2:AI2"/>
    <mergeCell ref="AD3:AF3"/>
    <mergeCell ref="AG6:AI6"/>
    <mergeCell ref="AG5:AI5"/>
    <mergeCell ref="AG4:AI4"/>
    <mergeCell ref="AG3:AI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A5BBA-891C-4EC6-A69F-CB08112574DB}">
  <sheetPr codeName="Sheet7">
    <tabColor rgb="FF50657C"/>
  </sheetPr>
  <dimension ref="A1:I51"/>
  <sheetViews>
    <sheetView topLeftCell="K1" zoomScale="60" zoomScaleNormal="60" workbookViewId="0">
      <selection activeCell="P39" sqref="P39:P40"/>
    </sheetView>
  </sheetViews>
  <sheetFormatPr defaultColWidth="9.140625" defaultRowHeight="18.75" x14ac:dyDescent="0.25"/>
  <cols>
    <col min="1" max="1" width="29.7109375" style="1" hidden="1" customWidth="1"/>
    <col min="2" max="2" width="11.7109375" style="1" hidden="1" customWidth="1"/>
    <col min="3" max="3" width="27.28515625" style="1" hidden="1" customWidth="1"/>
    <col min="4" max="5" width="21.7109375" style="1" hidden="1" customWidth="1"/>
    <col min="6" max="6" width="10" style="1" hidden="1" customWidth="1"/>
    <col min="7" max="7" width="17.28515625" style="1" hidden="1" customWidth="1"/>
    <col min="8" max="8" width="26.28515625" style="1" hidden="1" customWidth="1"/>
    <col min="9" max="9" width="11.42578125" style="1" hidden="1" customWidth="1"/>
    <col min="10" max="10" width="0" style="1" hidden="1" customWidth="1"/>
    <col min="11" max="11" width="9.140625" style="1" customWidth="1"/>
    <col min="12" max="16384" width="9.140625" style="1"/>
  </cols>
  <sheetData>
    <row r="1" spans="1:9" x14ac:dyDescent="0.25">
      <c r="A1" s="1" t="s">
        <v>202</v>
      </c>
      <c r="B1" s="1" t="s">
        <v>1520</v>
      </c>
      <c r="C1" s="1" t="s">
        <v>1598</v>
      </c>
      <c r="D1" s="1" t="s">
        <v>1597</v>
      </c>
      <c r="E1" s="1" t="s">
        <v>1526</v>
      </c>
      <c r="F1" s="1" t="s">
        <v>1538</v>
      </c>
      <c r="G1" s="1" t="s">
        <v>285</v>
      </c>
      <c r="H1" s="1" t="s">
        <v>138</v>
      </c>
      <c r="I1" s="1" t="s">
        <v>286</v>
      </c>
    </row>
    <row r="2" spans="1:9" x14ac:dyDescent="0.25">
      <c r="A2" s="1" t="s">
        <v>200</v>
      </c>
      <c r="B2" s="1" t="s">
        <v>1519</v>
      </c>
      <c r="C2" s="1" t="s">
        <v>1596</v>
      </c>
      <c r="D2" s="1" t="s">
        <v>1595</v>
      </c>
      <c r="E2" s="1" t="s">
        <v>1526</v>
      </c>
      <c r="F2" s="1" t="s">
        <v>1594</v>
      </c>
      <c r="G2" s="1" t="s">
        <v>1593</v>
      </c>
      <c r="H2" s="1" t="s">
        <v>139</v>
      </c>
      <c r="I2" s="1" t="s">
        <v>281</v>
      </c>
    </row>
    <row r="3" spans="1:9" x14ac:dyDescent="0.25">
      <c r="A3" s="1" t="s">
        <v>3</v>
      </c>
      <c r="B3" s="1" t="s">
        <v>1518</v>
      </c>
      <c r="C3" s="1" t="s">
        <v>277</v>
      </c>
      <c r="D3" s="1" t="s">
        <v>1592</v>
      </c>
      <c r="E3" s="1" t="s">
        <v>1526</v>
      </c>
      <c r="G3" s="1" t="s">
        <v>280</v>
      </c>
      <c r="I3" s="1" t="s">
        <v>276</v>
      </c>
    </row>
    <row r="4" spans="1:9" x14ac:dyDescent="0.25">
      <c r="A4" s="1" t="s">
        <v>274</v>
      </c>
      <c r="B4" s="1" t="s">
        <v>1485</v>
      </c>
      <c r="D4" s="1" t="s">
        <v>1591</v>
      </c>
      <c r="E4" s="1" t="s">
        <v>1526</v>
      </c>
      <c r="I4" s="1" t="s">
        <v>273</v>
      </c>
    </row>
    <row r="5" spans="1:9" x14ac:dyDescent="0.25">
      <c r="B5" s="1" t="s">
        <v>1517</v>
      </c>
      <c r="D5" s="1" t="s">
        <v>1590</v>
      </c>
      <c r="E5" s="1" t="s">
        <v>1525</v>
      </c>
      <c r="I5" s="1" t="s">
        <v>272</v>
      </c>
    </row>
    <row r="6" spans="1:9" x14ac:dyDescent="0.25">
      <c r="B6" s="1" t="s">
        <v>1516</v>
      </c>
      <c r="D6" s="1" t="s">
        <v>1589</v>
      </c>
      <c r="E6" s="1" t="s">
        <v>1524</v>
      </c>
      <c r="I6" s="1" t="s">
        <v>271</v>
      </c>
    </row>
    <row r="7" spans="1:9" x14ac:dyDescent="0.25">
      <c r="D7" s="1" t="s">
        <v>1514</v>
      </c>
      <c r="E7" s="1" t="s">
        <v>1514</v>
      </c>
      <c r="I7" s="1" t="s">
        <v>270</v>
      </c>
    </row>
    <row r="8" spans="1:9" x14ac:dyDescent="0.25">
      <c r="D8" s="1" t="s">
        <v>1588</v>
      </c>
      <c r="E8" s="1" t="s">
        <v>1526</v>
      </c>
      <c r="I8" s="1" t="s">
        <v>269</v>
      </c>
    </row>
    <row r="9" spans="1:9" x14ac:dyDescent="0.25">
      <c r="I9" s="1" t="s">
        <v>268</v>
      </c>
    </row>
    <row r="10" spans="1:9" x14ac:dyDescent="0.25">
      <c r="I10" s="1" t="s">
        <v>267</v>
      </c>
    </row>
    <row r="11" spans="1:9" x14ac:dyDescent="0.25">
      <c r="I11" s="1" t="s">
        <v>266</v>
      </c>
    </row>
    <row r="12" spans="1:9" x14ac:dyDescent="0.25">
      <c r="I12" s="1" t="s">
        <v>265</v>
      </c>
    </row>
    <row r="13" spans="1:9" x14ac:dyDescent="0.25">
      <c r="I13" s="1" t="s">
        <v>145</v>
      </c>
    </row>
    <row r="14" spans="1:9" x14ac:dyDescent="0.25">
      <c r="I14" s="1" t="s">
        <v>264</v>
      </c>
    </row>
    <row r="15" spans="1:9" x14ac:dyDescent="0.25">
      <c r="I15" s="1" t="s">
        <v>263</v>
      </c>
    </row>
    <row r="16" spans="1:9" x14ac:dyDescent="0.25">
      <c r="I16" s="1" t="s">
        <v>262</v>
      </c>
    </row>
    <row r="17" spans="9:9" x14ac:dyDescent="0.25">
      <c r="I17" s="1" t="s">
        <v>261</v>
      </c>
    </row>
    <row r="18" spans="9:9" x14ac:dyDescent="0.25">
      <c r="I18" s="1" t="s">
        <v>260</v>
      </c>
    </row>
    <row r="19" spans="9:9" x14ac:dyDescent="0.25">
      <c r="I19" s="1" t="s">
        <v>259</v>
      </c>
    </row>
    <row r="20" spans="9:9" x14ac:dyDescent="0.25">
      <c r="I20" s="1" t="s">
        <v>258</v>
      </c>
    </row>
    <row r="21" spans="9:9" x14ac:dyDescent="0.25">
      <c r="I21" s="1" t="s">
        <v>257</v>
      </c>
    </row>
    <row r="22" spans="9:9" x14ac:dyDescent="0.25">
      <c r="I22" s="1" t="s">
        <v>256</v>
      </c>
    </row>
    <row r="23" spans="9:9" x14ac:dyDescent="0.25">
      <c r="I23" s="1" t="s">
        <v>255</v>
      </c>
    </row>
    <row r="24" spans="9:9" x14ac:dyDescent="0.25">
      <c r="I24" s="1" t="s">
        <v>254</v>
      </c>
    </row>
    <row r="25" spans="9:9" x14ac:dyDescent="0.25">
      <c r="I25" s="1" t="s">
        <v>253</v>
      </c>
    </row>
    <row r="26" spans="9:9" x14ac:dyDescent="0.25">
      <c r="I26" s="1" t="s">
        <v>252</v>
      </c>
    </row>
    <row r="27" spans="9:9" x14ac:dyDescent="0.25">
      <c r="I27" s="1" t="s">
        <v>251</v>
      </c>
    </row>
    <row r="28" spans="9:9" x14ac:dyDescent="0.25">
      <c r="I28" s="1" t="s">
        <v>250</v>
      </c>
    </row>
    <row r="29" spans="9:9" x14ac:dyDescent="0.25">
      <c r="I29" s="1" t="s">
        <v>249</v>
      </c>
    </row>
    <row r="30" spans="9:9" x14ac:dyDescent="0.25">
      <c r="I30" s="1" t="s">
        <v>248</v>
      </c>
    </row>
    <row r="31" spans="9:9" x14ac:dyDescent="0.25">
      <c r="I31" s="1" t="s">
        <v>247</v>
      </c>
    </row>
    <row r="32" spans="9:9" x14ac:dyDescent="0.25">
      <c r="I32" s="1" t="s">
        <v>246</v>
      </c>
    </row>
    <row r="33" spans="9:9" x14ac:dyDescent="0.25">
      <c r="I33" s="1" t="s">
        <v>245</v>
      </c>
    </row>
    <row r="34" spans="9:9" x14ac:dyDescent="0.25">
      <c r="I34" s="1" t="s">
        <v>244</v>
      </c>
    </row>
    <row r="35" spans="9:9" x14ac:dyDescent="0.25">
      <c r="I35" s="1" t="s">
        <v>243</v>
      </c>
    </row>
    <row r="36" spans="9:9" x14ac:dyDescent="0.25">
      <c r="I36" s="1" t="s">
        <v>242</v>
      </c>
    </row>
    <row r="37" spans="9:9" x14ac:dyDescent="0.25">
      <c r="I37" s="1" t="s">
        <v>241</v>
      </c>
    </row>
    <row r="38" spans="9:9" x14ac:dyDescent="0.25">
      <c r="I38" s="1" t="s">
        <v>240</v>
      </c>
    </row>
    <row r="39" spans="9:9" x14ac:dyDescent="0.25">
      <c r="I39" s="1" t="s">
        <v>239</v>
      </c>
    </row>
    <row r="40" spans="9:9" x14ac:dyDescent="0.25">
      <c r="I40" s="1" t="s">
        <v>238</v>
      </c>
    </row>
    <row r="41" spans="9:9" x14ac:dyDescent="0.25">
      <c r="I41" s="1" t="s">
        <v>237</v>
      </c>
    </row>
    <row r="42" spans="9:9" x14ac:dyDescent="0.25">
      <c r="I42" s="1" t="s">
        <v>236</v>
      </c>
    </row>
    <row r="43" spans="9:9" x14ac:dyDescent="0.25">
      <c r="I43" s="1" t="s">
        <v>235</v>
      </c>
    </row>
    <row r="44" spans="9:9" x14ac:dyDescent="0.25">
      <c r="I44" s="1" t="s">
        <v>234</v>
      </c>
    </row>
    <row r="45" spans="9:9" x14ac:dyDescent="0.25">
      <c r="I45" s="1" t="s">
        <v>233</v>
      </c>
    </row>
    <row r="46" spans="9:9" x14ac:dyDescent="0.25">
      <c r="I46" s="1" t="s">
        <v>232</v>
      </c>
    </row>
    <row r="47" spans="9:9" x14ac:dyDescent="0.25">
      <c r="I47" s="1" t="s">
        <v>231</v>
      </c>
    </row>
    <row r="48" spans="9:9" x14ac:dyDescent="0.25">
      <c r="I48" s="1" t="s">
        <v>230</v>
      </c>
    </row>
    <row r="49" spans="9:9" x14ac:dyDescent="0.25">
      <c r="I49" s="1" t="s">
        <v>229</v>
      </c>
    </row>
    <row r="50" spans="9:9" x14ac:dyDescent="0.25">
      <c r="I50" s="1" t="s">
        <v>228</v>
      </c>
    </row>
    <row r="51" spans="9:9" x14ac:dyDescent="0.25">
      <c r="I51" s="1" t="s">
        <v>227</v>
      </c>
    </row>
  </sheetData>
  <sheetProtection algorithmName="SHA-512" hashValue="E9RouRBnSMTSGCb/o+kY/8LaNTwaHyoYBQqZHkB/Uhf6+8FWejhMBn8s+Ut/w+Wd9OodkYMS10ckxT/bAI6j4A==" saltValue="Ko4El3HurfmkWFZiJAvwnw==" spinCount="100000" sheet="1" selectLockedCells="1"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A4C0C-6CBC-46E2-8651-F9029B125246}">
  <sheetPr codeName="Sheet2">
    <tabColor rgb="FF607A96"/>
    <pageSetUpPr fitToPage="1"/>
  </sheetPr>
  <dimension ref="A1:T62"/>
  <sheetViews>
    <sheetView showGridLines="0" zoomScale="70" zoomScaleNormal="70" workbookViewId="0">
      <selection activeCell="E24" sqref="E24"/>
    </sheetView>
  </sheetViews>
  <sheetFormatPr defaultColWidth="9.140625" defaultRowHeight="18" customHeight="1" x14ac:dyDescent="0.25"/>
  <cols>
    <col min="1" max="1" width="3.42578125" style="169" customWidth="1"/>
    <col min="2" max="3" width="34.28515625" style="1" customWidth="1"/>
    <col min="4" max="4" width="3.42578125" style="1" customWidth="1"/>
    <col min="5" max="5" width="36.5703125" style="1" customWidth="1"/>
    <col min="6" max="9" width="18.7109375" style="1" customWidth="1"/>
    <col min="10" max="10" width="3.28515625" style="169" customWidth="1"/>
    <col min="11" max="18" width="20.42578125" style="1" customWidth="1"/>
    <col min="19" max="16384" width="9.140625" style="1"/>
  </cols>
  <sheetData>
    <row r="1" spans="1:18" ht="16.5" customHeight="1" x14ac:dyDescent="0.25">
      <c r="B1" s="627" t="s">
        <v>1678</v>
      </c>
      <c r="C1" s="629">
        <f>GUC!$C$1</f>
        <v>45086</v>
      </c>
    </row>
    <row r="2" spans="1:18" ht="16.5" customHeight="1" x14ac:dyDescent="0.25">
      <c r="A2" s="50"/>
      <c r="B2" s="627"/>
      <c r="C2" s="768"/>
      <c r="H2" s="543"/>
      <c r="I2" s="543"/>
    </row>
    <row r="3" spans="1:18" ht="16.5" customHeight="1" x14ac:dyDescent="0.25">
      <c r="A3" s="50"/>
      <c r="B3" s="628"/>
      <c r="C3" s="769"/>
    </row>
    <row r="4" spans="1:18" s="4" customFormat="1" ht="16.5" customHeight="1" x14ac:dyDescent="0.25">
      <c r="A4" s="47"/>
      <c r="B4" s="579" t="s">
        <v>1676</v>
      </c>
      <c r="C4" s="621"/>
      <c r="D4" s="621"/>
      <c r="E4" s="621"/>
      <c r="F4" s="621"/>
      <c r="G4" s="621"/>
      <c r="H4" s="621"/>
      <c r="I4" s="580"/>
      <c r="J4" s="47"/>
      <c r="K4" s="191" t="s">
        <v>1675</v>
      </c>
      <c r="L4" s="571" t="s">
        <v>1452</v>
      </c>
      <c r="M4" s="571"/>
      <c r="N4" s="571"/>
      <c r="O4" s="571"/>
      <c r="P4" s="571"/>
      <c r="Q4" s="571"/>
      <c r="R4" s="572"/>
    </row>
    <row r="5" spans="1:18" s="4" customFormat="1" ht="16.5" customHeight="1" x14ac:dyDescent="0.25">
      <c r="A5" s="47"/>
      <c r="J5" s="47"/>
      <c r="K5" s="783" t="s">
        <v>1632</v>
      </c>
      <c r="L5" s="773" t="s">
        <v>1641</v>
      </c>
      <c r="M5" s="773" t="s">
        <v>1674</v>
      </c>
      <c r="N5" s="773" t="s">
        <v>1673</v>
      </c>
      <c r="O5" s="773" t="s">
        <v>1672</v>
      </c>
      <c r="P5" s="773" t="s">
        <v>1671</v>
      </c>
      <c r="Q5" s="773" t="s">
        <v>1670</v>
      </c>
      <c r="R5" s="771" t="s">
        <v>1669</v>
      </c>
    </row>
    <row r="6" spans="1:18" s="4" customFormat="1" ht="16.5" customHeight="1" x14ac:dyDescent="0.25">
      <c r="A6" s="47"/>
      <c r="B6" s="11" t="s">
        <v>1668</v>
      </c>
      <c r="C6" s="42"/>
      <c r="E6" s="579" t="s">
        <v>1667</v>
      </c>
      <c r="F6" s="621"/>
      <c r="G6" s="621"/>
      <c r="H6" s="621"/>
      <c r="I6" s="580"/>
      <c r="J6" s="47"/>
      <c r="K6" s="784"/>
      <c r="L6" s="774"/>
      <c r="M6" s="774"/>
      <c r="N6" s="774"/>
      <c r="O6" s="774"/>
      <c r="P6" s="774"/>
      <c r="Q6" s="774"/>
      <c r="R6" s="772"/>
    </row>
    <row r="7" spans="1:18" s="4" customFormat="1" ht="16.5" customHeight="1" x14ac:dyDescent="0.25">
      <c r="A7" s="47"/>
      <c r="B7" s="11" t="s">
        <v>1666</v>
      </c>
      <c r="C7" s="190">
        <f ca="1">TODAY()</f>
        <v>45086</v>
      </c>
      <c r="J7" s="47"/>
      <c r="K7" s="45">
        <f>IF($C$30="No PPP",1.5%,IF($C$30="12 Months",1%,IF($C$30="24 Months",0.5%,0%)))</f>
        <v>0</v>
      </c>
      <c r="L7" s="185" t="str">
        <f>IF($K$4="Max Proceeds",'DSCR (Loan Calc)'!$BT4,'DSCR (Loan Calc)'!$BT26)</f>
        <v>-</v>
      </c>
      <c r="M7" s="174" t="str">
        <f>IF($K$4="Max Proceeds",'DSCR (Loan Calc)'!$BU4,'DSCR (Loan Calc)'!$BU26)</f>
        <v>-</v>
      </c>
      <c r="N7" s="4" t="e">
        <f>IF($K$4="Max Proceeds",'DSCR (Loan Calc)'!$BX4,'DSCR (Loan Calc)'!$BX26)</f>
        <v>#VALUE!</v>
      </c>
      <c r="O7" s="184" t="str">
        <f>IF($K$4="Max Proceeds",'DSCR (Loan Calc)'!$CM4,'DSCR (Loan Calc)'!$CM26)</f>
        <v>-</v>
      </c>
      <c r="P7" s="184" t="str">
        <f>IF($K$4="Max Proceeds",'DSCR (Loan Calc)'!$CN4,'DSCR (Loan Calc)'!$CN26)</f>
        <v>-</v>
      </c>
      <c r="Q7" s="183" t="str">
        <f>IF($K$4="Max Proceeds",'DSCR (Loan Calc)'!$CO4,'DSCR (Loan Calc)'!$CO26)</f>
        <v>-</v>
      </c>
      <c r="R7" s="183" t="str">
        <f>IF($K$4="Max Proceeds",'DSCR (Loan Calc)'!$CV4,'DSCR (Loan Calc)'!$CV26)</f>
        <v>-</v>
      </c>
    </row>
    <row r="8" spans="1:18" s="4" customFormat="1" ht="16.5" customHeight="1" x14ac:dyDescent="0.25">
      <c r="A8" s="47"/>
      <c r="B8" s="11" t="s">
        <v>110</v>
      </c>
      <c r="C8" s="42"/>
      <c r="E8" s="570" t="s">
        <v>1665</v>
      </c>
      <c r="F8" s="571"/>
      <c r="G8" s="571"/>
      <c r="H8" s="571"/>
      <c r="I8" s="572"/>
      <c r="J8" s="47"/>
      <c r="K8" s="45">
        <f>+K7+0.25%</f>
        <v>2.5000000000000001E-3</v>
      </c>
      <c r="L8" s="185" t="str">
        <f>IF($K$4="Max Proceeds",'DSCR (Loan Calc)'!$BT5,'DSCR (Loan Calc)'!$BT27)</f>
        <v>-</v>
      </c>
      <c r="M8" s="174" t="str">
        <f>IF($K$4="Max Proceeds",'DSCR (Loan Calc)'!$BU5,'DSCR (Loan Calc)'!$BU27)</f>
        <v>-</v>
      </c>
      <c r="N8" s="4" t="e">
        <f>IF($K$4="Max Proceeds",'DSCR (Loan Calc)'!$BX5,'DSCR (Loan Calc)'!$BX27)</f>
        <v>#VALUE!</v>
      </c>
      <c r="O8" s="184" t="str">
        <f>IF($K$4="Max Proceeds",'DSCR (Loan Calc)'!$CM5,'DSCR (Loan Calc)'!$CM27)</f>
        <v>-</v>
      </c>
      <c r="P8" s="184" t="str">
        <f>IF($K$4="Max Proceeds",'DSCR (Loan Calc)'!$CN5,'DSCR (Loan Calc)'!$CN27)</f>
        <v>-</v>
      </c>
      <c r="Q8" s="183" t="str">
        <f>IF($K$4="Max Proceeds",'DSCR (Loan Calc)'!$CO5,'DSCR (Loan Calc)'!$CO27)</f>
        <v>-</v>
      </c>
      <c r="R8" s="183" t="e">
        <f>IF($K$4="Max Proceeds",'DSCR (Loan Calc)'!$CV5,'DSCR (Loan Calc)'!$CV27)</f>
        <v>#VALUE!</v>
      </c>
    </row>
    <row r="9" spans="1:18" s="4" customFormat="1" ht="16.5" customHeight="1" x14ac:dyDescent="0.25">
      <c r="A9" s="47"/>
      <c r="B9" s="11" t="s">
        <v>1664</v>
      </c>
      <c r="C9" s="189"/>
      <c r="E9" s="180" t="s">
        <v>1508</v>
      </c>
      <c r="F9" s="188" t="s">
        <v>1663</v>
      </c>
      <c r="G9" s="188" t="s">
        <v>1662</v>
      </c>
      <c r="H9" s="188" t="s">
        <v>1661</v>
      </c>
      <c r="I9" s="187" t="s">
        <v>1660</v>
      </c>
      <c r="J9" s="47"/>
      <c r="K9" s="45">
        <f t="shared" ref="K9:K23" si="0">+K8+0.25%</f>
        <v>5.0000000000000001E-3</v>
      </c>
      <c r="L9" s="185" t="str">
        <f>IF($K$4="Max Proceeds",'DSCR (Loan Calc)'!$BT6,'DSCR (Loan Calc)'!$BT28)</f>
        <v>-</v>
      </c>
      <c r="M9" s="174" t="str">
        <f>IF($K$4="Max Proceeds",'DSCR (Loan Calc)'!$BU6,'DSCR (Loan Calc)'!$BU28)</f>
        <v>-</v>
      </c>
      <c r="N9" s="4" t="e">
        <f>IF($K$4="Max Proceeds",'DSCR (Loan Calc)'!$BX6,'DSCR (Loan Calc)'!$BX28)</f>
        <v>#VALUE!</v>
      </c>
      <c r="O9" s="184" t="str">
        <f>IF($K$4="Max Proceeds",'DSCR (Loan Calc)'!$CM6,'DSCR (Loan Calc)'!$CM28)</f>
        <v>-</v>
      </c>
      <c r="P9" s="184" t="str">
        <f>IF($K$4="Max Proceeds",'DSCR (Loan Calc)'!$CN6,'DSCR (Loan Calc)'!$CN28)</f>
        <v>-</v>
      </c>
      <c r="Q9" s="183" t="str">
        <f>IF($K$4="Max Proceeds",'DSCR (Loan Calc)'!$CO6,'DSCR (Loan Calc)'!$CO28)</f>
        <v>-</v>
      </c>
      <c r="R9" s="183" t="e">
        <f>IF($K$4="Max Proceeds",'DSCR (Loan Calc)'!$CV6,'DSCR (Loan Calc)'!$CV28)</f>
        <v>#VALUE!</v>
      </c>
    </row>
    <row r="10" spans="1:18" s="4" customFormat="1" ht="16.5" customHeight="1" x14ac:dyDescent="0.25">
      <c r="A10" s="47"/>
      <c r="B10" s="11"/>
      <c r="E10" s="11">
        <v>1</v>
      </c>
      <c r="F10" s="42"/>
      <c r="G10" s="38"/>
      <c r="H10" s="38"/>
      <c r="I10" s="37" t="str">
        <f>IF(F10="Leased (LTR)",MIN(G10,H10),IF(F10="Leased (STR)",MIN(G10*80%,H10),IF(OR(F10="Vacant (LTR)",F10="Vacant (STR)"),H10,"-")))</f>
        <v>-</v>
      </c>
      <c r="J10" s="47">
        <f>IF(OR(F10="Leased (LTR)",F10="Leased (STR)"),1,0)</f>
        <v>0</v>
      </c>
      <c r="K10" s="45">
        <f t="shared" si="0"/>
        <v>7.4999999999999997E-3</v>
      </c>
      <c r="L10" s="185" t="str">
        <f>IF($K$4="Max Proceeds",'DSCR (Loan Calc)'!$BT7,'DSCR (Loan Calc)'!$BT29)</f>
        <v>-</v>
      </c>
      <c r="M10" s="174" t="str">
        <f>IF($K$4="Max Proceeds",'DSCR (Loan Calc)'!$BU7,'DSCR (Loan Calc)'!$BU29)</f>
        <v>-</v>
      </c>
      <c r="N10" s="4" t="e">
        <f>IF($K$4="Max Proceeds",'DSCR (Loan Calc)'!$BX7,'DSCR (Loan Calc)'!$BX29)</f>
        <v>#VALUE!</v>
      </c>
      <c r="O10" s="184" t="str">
        <f>IF($K$4="Max Proceeds",'DSCR (Loan Calc)'!$CM7,'DSCR (Loan Calc)'!$CM29)</f>
        <v>-</v>
      </c>
      <c r="P10" s="184" t="str">
        <f>IF($K$4="Max Proceeds",'DSCR (Loan Calc)'!$CN7,'DSCR (Loan Calc)'!$CN29)</f>
        <v>-</v>
      </c>
      <c r="Q10" s="183" t="str">
        <f>IF($K$4="Max Proceeds",'DSCR (Loan Calc)'!$CO7,'DSCR (Loan Calc)'!$CO29)</f>
        <v>-</v>
      </c>
      <c r="R10" s="183" t="e">
        <f>IF($K$4="Max Proceeds",'DSCR (Loan Calc)'!$CV7,'DSCR (Loan Calc)'!$CV29)</f>
        <v>#VALUE!</v>
      </c>
    </row>
    <row r="11" spans="1:18" s="4" customFormat="1" ht="16.5" customHeight="1" x14ac:dyDescent="0.25">
      <c r="A11" s="47"/>
      <c r="B11" s="11" t="s">
        <v>107</v>
      </c>
      <c r="C11" s="42"/>
      <c r="E11" s="11">
        <v>2</v>
      </c>
      <c r="F11" s="42"/>
      <c r="G11" s="38"/>
      <c r="H11" s="38"/>
      <c r="I11" s="37" t="str">
        <f>IF(F11="Leased (LTR)",MIN(G11,H11),IF(F11="Leased (STR)",MIN(G11*80%,H11),IF(OR(F11="Vacant (LTR)",F11="Vacant (STR)"),H11,"-")))</f>
        <v>-</v>
      </c>
      <c r="J11" s="47">
        <f>IF(OR(F11="Leased (LTR)",F11="Leased (STR)"),1,0)</f>
        <v>0</v>
      </c>
      <c r="K11" s="45">
        <f t="shared" si="0"/>
        <v>0.01</v>
      </c>
      <c r="L11" s="185" t="str">
        <f>IF($K$4="Max Proceeds",'DSCR (Loan Calc)'!$BT8,'DSCR (Loan Calc)'!$BT30)</f>
        <v>-</v>
      </c>
      <c r="M11" s="174" t="str">
        <f>IF($K$4="Max Proceeds",'DSCR (Loan Calc)'!$BU8,'DSCR (Loan Calc)'!$BU30)</f>
        <v>-</v>
      </c>
      <c r="N11" s="4" t="e">
        <f>IF($K$4="Max Proceeds",'DSCR (Loan Calc)'!$BX8,'DSCR (Loan Calc)'!$BX30)</f>
        <v>#VALUE!</v>
      </c>
      <c r="O11" s="184" t="str">
        <f>IF($K$4="Max Proceeds",'DSCR (Loan Calc)'!$CM8,'DSCR (Loan Calc)'!$CM30)</f>
        <v>-</v>
      </c>
      <c r="P11" s="184" t="str">
        <f>IF($K$4="Max Proceeds",'DSCR (Loan Calc)'!$CN8,'DSCR (Loan Calc)'!$CN30)</f>
        <v>-</v>
      </c>
      <c r="Q11" s="183" t="str">
        <f>IF($K$4="Max Proceeds",'DSCR (Loan Calc)'!$CO8,'DSCR (Loan Calc)'!$CO30)</f>
        <v>-</v>
      </c>
      <c r="R11" s="183" t="e">
        <f>IF($K$4="Max Proceeds",'DSCR (Loan Calc)'!$CV8,'DSCR (Loan Calc)'!$CV30)</f>
        <v>#VALUE!</v>
      </c>
    </row>
    <row r="12" spans="1:18" s="4" customFormat="1" ht="16.5" customHeight="1" x14ac:dyDescent="0.25">
      <c r="A12" s="47"/>
      <c r="B12" s="11" t="s">
        <v>1659</v>
      </c>
      <c r="C12" s="42"/>
      <c r="E12" s="11">
        <v>3</v>
      </c>
      <c r="F12" s="42"/>
      <c r="G12" s="38"/>
      <c r="H12" s="38"/>
      <c r="I12" s="37" t="str">
        <f>IF(F12="Leased (LTR)",MIN(G12,H12),IF(F12="Leased (STR)",MIN(G12*80%,H12),IF(OR(F12="Vacant (LTR)",F12="Vacant (STR)"),H12,"-")))</f>
        <v>-</v>
      </c>
      <c r="J12" s="47">
        <f>IF(OR(F12="Leased (LTR)",F12="Leased (STR)"),1,0)</f>
        <v>0</v>
      </c>
      <c r="K12" s="45">
        <f t="shared" si="0"/>
        <v>1.2500000000000001E-2</v>
      </c>
      <c r="L12" s="185" t="str">
        <f>IF($K$4="Max Proceeds",'DSCR (Loan Calc)'!$BT9,'DSCR (Loan Calc)'!$BT31)</f>
        <v>-</v>
      </c>
      <c r="M12" s="174" t="str">
        <f>IF($K$4="Max Proceeds",'DSCR (Loan Calc)'!$BU9,'DSCR (Loan Calc)'!$BU31)</f>
        <v>-</v>
      </c>
      <c r="N12" s="4" t="e">
        <f>IF($K$4="Max Proceeds",'DSCR (Loan Calc)'!$BX9,'DSCR (Loan Calc)'!$BX31)</f>
        <v>#VALUE!</v>
      </c>
      <c r="O12" s="184" t="str">
        <f>IF($K$4="Max Proceeds",'DSCR (Loan Calc)'!$CM9,'DSCR (Loan Calc)'!$CM31)</f>
        <v>-</v>
      </c>
      <c r="P12" s="184" t="str">
        <f>IF($K$4="Max Proceeds",'DSCR (Loan Calc)'!$CN9,'DSCR (Loan Calc)'!$CN31)</f>
        <v>-</v>
      </c>
      <c r="Q12" s="183" t="str">
        <f>IF($K$4="Max Proceeds",'DSCR (Loan Calc)'!$CO9,'DSCR (Loan Calc)'!$CO31)</f>
        <v>-</v>
      </c>
      <c r="R12" s="183" t="e">
        <f>IF($K$4="Max Proceeds",'DSCR (Loan Calc)'!$CV9,'DSCR (Loan Calc)'!$CV31)</f>
        <v>#VALUE!</v>
      </c>
    </row>
    <row r="13" spans="1:18" s="4" customFormat="1" ht="16.5" customHeight="1" x14ac:dyDescent="0.25">
      <c r="A13" s="47"/>
      <c r="B13" s="11"/>
      <c r="E13" s="11">
        <v>4</v>
      </c>
      <c r="F13" s="42"/>
      <c r="G13" s="38"/>
      <c r="H13" s="38"/>
      <c r="I13" s="37" t="str">
        <f>IF(F13="Leased (LTR)",MIN(G13,H13),IF(F13="Leased (STR)",MIN(G13*80%,H13),IF(OR(F13="Vacant (LTR)",F13="Vacant (STR)"),H13,"-")))</f>
        <v>-</v>
      </c>
      <c r="J13" s="47">
        <f>IF(OR(F13="Leased (LTR)",F13="Leased (STR)"),1,0)</f>
        <v>0</v>
      </c>
      <c r="K13" s="45">
        <f t="shared" si="0"/>
        <v>1.5000000000000001E-2</v>
      </c>
      <c r="L13" s="185" t="str">
        <f>IF($K$4="Max Proceeds",'DSCR (Loan Calc)'!$BT10,'DSCR (Loan Calc)'!$BT32)</f>
        <v>-</v>
      </c>
      <c r="M13" s="174" t="str">
        <f>IF($K$4="Max Proceeds",'DSCR (Loan Calc)'!$BU10,'DSCR (Loan Calc)'!$BU32)</f>
        <v>-</v>
      </c>
      <c r="N13" s="4" t="e">
        <f>IF($K$4="Max Proceeds",'DSCR (Loan Calc)'!$BX10,'DSCR (Loan Calc)'!$BX32)</f>
        <v>#VALUE!</v>
      </c>
      <c r="O13" s="184" t="str">
        <f>IF($K$4="Max Proceeds",'DSCR (Loan Calc)'!$CM10,'DSCR (Loan Calc)'!$CM32)</f>
        <v>-</v>
      </c>
      <c r="P13" s="184" t="str">
        <f>IF($K$4="Max Proceeds",'DSCR (Loan Calc)'!$CN10,'DSCR (Loan Calc)'!$CN32)</f>
        <v>-</v>
      </c>
      <c r="Q13" s="183" t="str">
        <f>IF($K$4="Max Proceeds",'DSCR (Loan Calc)'!$CO10,'DSCR (Loan Calc)'!$CO32)</f>
        <v>-</v>
      </c>
      <c r="R13" s="183" t="e">
        <f>IF($K$4="Max Proceeds",'DSCR (Loan Calc)'!$CV10,'DSCR (Loan Calc)'!$CV32)</f>
        <v>#VALUE!</v>
      </c>
    </row>
    <row r="14" spans="1:18" s="4" customFormat="1" ht="16.5" customHeight="1" x14ac:dyDescent="0.25">
      <c r="A14" s="47"/>
      <c r="B14" s="11" t="s">
        <v>90</v>
      </c>
      <c r="C14" s="42"/>
      <c r="E14" s="11" t="s">
        <v>1658</v>
      </c>
      <c r="F14" s="36" t="s">
        <v>2</v>
      </c>
      <c r="G14" s="37">
        <f>SUM(G10:G13)</f>
        <v>0</v>
      </c>
      <c r="H14" s="37">
        <f>SUM(H10:H13)</f>
        <v>0</v>
      </c>
      <c r="I14" s="37">
        <f>SUM(I10:I13)</f>
        <v>0</v>
      </c>
      <c r="J14" s="47">
        <f>$C$15-SUM($J$10:$J$13)</f>
        <v>0</v>
      </c>
      <c r="K14" s="45">
        <f t="shared" si="0"/>
        <v>1.7500000000000002E-2</v>
      </c>
      <c r="L14" s="185" t="str">
        <f>IF($K$4="Max Proceeds",'DSCR (Loan Calc)'!$BT11,'DSCR (Loan Calc)'!$BT33)</f>
        <v>-</v>
      </c>
      <c r="M14" s="174" t="str">
        <f>IF($K$4="Max Proceeds",'DSCR (Loan Calc)'!$BU11,'DSCR (Loan Calc)'!$BU33)</f>
        <v>-</v>
      </c>
      <c r="N14" s="4" t="e">
        <f>IF($K$4="Max Proceeds",'DSCR (Loan Calc)'!$BX11,'DSCR (Loan Calc)'!$BX33)</f>
        <v>#VALUE!</v>
      </c>
      <c r="O14" s="184" t="str">
        <f>IF($K$4="Max Proceeds",'DSCR (Loan Calc)'!$CM11,'DSCR (Loan Calc)'!$CM33)</f>
        <v>-</v>
      </c>
      <c r="P14" s="184" t="str">
        <f>IF($K$4="Max Proceeds",'DSCR (Loan Calc)'!$CN11,'DSCR (Loan Calc)'!$CN33)</f>
        <v>-</v>
      </c>
      <c r="Q14" s="183" t="str">
        <f>IF($K$4="Max Proceeds",'DSCR (Loan Calc)'!$CO11,'DSCR (Loan Calc)'!$CO33)</f>
        <v>-</v>
      </c>
      <c r="R14" s="183" t="e">
        <f>IF($K$4="Max Proceeds",'DSCR (Loan Calc)'!$CV11,'DSCR (Loan Calc)'!$CV33)</f>
        <v>#VALUE!</v>
      </c>
    </row>
    <row r="15" spans="1:18" s="4" customFormat="1" ht="16.5" customHeight="1" x14ac:dyDescent="0.25">
      <c r="A15" s="47"/>
      <c r="B15" s="11" t="s">
        <v>92</v>
      </c>
      <c r="C15" s="42"/>
      <c r="G15" s="185"/>
      <c r="H15" s="185"/>
      <c r="I15" s="185"/>
      <c r="J15" s="47"/>
      <c r="K15" s="45">
        <f t="shared" si="0"/>
        <v>0.02</v>
      </c>
      <c r="L15" s="185" t="str">
        <f>IF($K$4="Max Proceeds",'DSCR (Loan Calc)'!$BT12,'DSCR (Loan Calc)'!$BT34)</f>
        <v>-</v>
      </c>
      <c r="M15" s="174" t="str">
        <f>IF($K$4="Max Proceeds",'DSCR (Loan Calc)'!$BU12,'DSCR (Loan Calc)'!$BU34)</f>
        <v>-</v>
      </c>
      <c r="N15" s="4" t="e">
        <f>IF($K$4="Max Proceeds",'DSCR (Loan Calc)'!$BX12,'DSCR (Loan Calc)'!$BX34)</f>
        <v>#VALUE!</v>
      </c>
      <c r="O15" s="184" t="str">
        <f>IF($K$4="Max Proceeds",'DSCR (Loan Calc)'!$CM12,'DSCR (Loan Calc)'!$CM34)</f>
        <v>-</v>
      </c>
      <c r="P15" s="184" t="str">
        <f>IF($K$4="Max Proceeds",'DSCR (Loan Calc)'!$CN12,'DSCR (Loan Calc)'!$CN34)</f>
        <v>-</v>
      </c>
      <c r="Q15" s="183" t="str">
        <f>IF($K$4="Max Proceeds",'DSCR (Loan Calc)'!$CO12,'DSCR (Loan Calc)'!$CO34)</f>
        <v>-</v>
      </c>
      <c r="R15" s="183" t="e">
        <f>IF($K$4="Max Proceeds",'DSCR (Loan Calc)'!$CV12,'DSCR (Loan Calc)'!$CV34)</f>
        <v>#VALUE!</v>
      </c>
    </row>
    <row r="16" spans="1:18" s="4" customFormat="1" ht="16.5" customHeight="1" x14ac:dyDescent="0.25">
      <c r="A16" s="47"/>
      <c r="B16" s="11" t="s">
        <v>1657</v>
      </c>
      <c r="C16" s="42"/>
      <c r="E16" s="608" t="s">
        <v>1642</v>
      </c>
      <c r="F16" s="31" t="s">
        <v>1492</v>
      </c>
      <c r="G16" s="186" t="s">
        <v>1491</v>
      </c>
      <c r="H16" s="186" t="s">
        <v>1490</v>
      </c>
      <c r="I16" s="186" t="s">
        <v>1489</v>
      </c>
      <c r="J16" s="47"/>
      <c r="K16" s="45">
        <f t="shared" si="0"/>
        <v>2.2499999999999999E-2</v>
      </c>
      <c r="L16" s="185" t="str">
        <f>IF($K$4="Max Proceeds",'DSCR (Loan Calc)'!$BT13,'DSCR (Loan Calc)'!$BT35)</f>
        <v>-</v>
      </c>
      <c r="M16" s="174" t="str">
        <f>IF($K$4="Max Proceeds",'DSCR (Loan Calc)'!$BU13,'DSCR (Loan Calc)'!$BU35)</f>
        <v>-</v>
      </c>
      <c r="N16" s="4" t="e">
        <f>IF($K$4="Max Proceeds",'DSCR (Loan Calc)'!$BX13,'DSCR (Loan Calc)'!$BX35)</f>
        <v>#VALUE!</v>
      </c>
      <c r="O16" s="184" t="str">
        <f>IF($K$4="Max Proceeds",'DSCR (Loan Calc)'!$CM13,'DSCR (Loan Calc)'!$CM35)</f>
        <v>-</v>
      </c>
      <c r="P16" s="184" t="str">
        <f>IF($K$4="Max Proceeds",'DSCR (Loan Calc)'!$CN13,'DSCR (Loan Calc)'!$CN35)</f>
        <v>-</v>
      </c>
      <c r="Q16" s="183" t="str">
        <f>IF($K$4="Max Proceeds",'DSCR (Loan Calc)'!$CO13,'DSCR (Loan Calc)'!$CO35)</f>
        <v>-</v>
      </c>
      <c r="R16" s="183" t="e">
        <f>IF($K$4="Max Proceeds",'DSCR (Loan Calc)'!$CV13,'DSCR (Loan Calc)'!$CV35)</f>
        <v>#VALUE!</v>
      </c>
    </row>
    <row r="17" spans="1:18" s="4" customFormat="1" ht="16.5" customHeight="1" x14ac:dyDescent="0.25">
      <c r="A17" s="47"/>
      <c r="B17" s="11" t="s">
        <v>1656</v>
      </c>
      <c r="C17" s="42"/>
      <c r="E17" s="608"/>
      <c r="F17" s="41"/>
      <c r="G17" s="41"/>
      <c r="H17" s="41"/>
      <c r="I17" s="41"/>
      <c r="J17" s="47"/>
      <c r="K17" s="45">
        <f t="shared" si="0"/>
        <v>2.4999999999999998E-2</v>
      </c>
      <c r="L17" s="185" t="str">
        <f>IF($K$4="Max Proceeds",'DSCR (Loan Calc)'!$BT14,'DSCR (Loan Calc)'!$BT36)</f>
        <v>-</v>
      </c>
      <c r="M17" s="174" t="str">
        <f>IF($K$4="Max Proceeds",'DSCR (Loan Calc)'!$BU14,'DSCR (Loan Calc)'!$BU36)</f>
        <v>-</v>
      </c>
      <c r="N17" s="4" t="e">
        <f>IF($K$4="Max Proceeds",'DSCR (Loan Calc)'!$BX14,'DSCR (Loan Calc)'!$BX36)</f>
        <v>#VALUE!</v>
      </c>
      <c r="O17" s="184" t="str">
        <f>IF($K$4="Max Proceeds",'DSCR (Loan Calc)'!$CM14,'DSCR (Loan Calc)'!$CM36)</f>
        <v>-</v>
      </c>
      <c r="P17" s="184" t="str">
        <f>IF($K$4="Max Proceeds",'DSCR (Loan Calc)'!$CN14,'DSCR (Loan Calc)'!$CN36)</f>
        <v>-</v>
      </c>
      <c r="Q17" s="183" t="str">
        <f>IF($K$4="Max Proceeds",'DSCR (Loan Calc)'!$CO14,'DSCR (Loan Calc)'!$CO36)</f>
        <v>-</v>
      </c>
      <c r="R17" s="183" t="e">
        <f>IF($K$4="Max Proceeds",'DSCR (Loan Calc)'!$CV14,'DSCR (Loan Calc)'!$CV36)</f>
        <v>#VALUE!</v>
      </c>
    </row>
    <row r="18" spans="1:18" s="4" customFormat="1" ht="16.5" customHeight="1" x14ac:dyDescent="0.25">
      <c r="A18" s="47"/>
      <c r="B18" s="11" t="s">
        <v>1655</v>
      </c>
      <c r="C18" s="42"/>
      <c r="G18" s="185"/>
      <c r="H18" s="185"/>
      <c r="I18" s="185"/>
      <c r="J18" s="47"/>
      <c r="K18" s="45">
        <f t="shared" si="0"/>
        <v>2.7499999999999997E-2</v>
      </c>
      <c r="L18" s="185" t="str">
        <f>IF($K$4="Max Proceeds",'DSCR (Loan Calc)'!$BT15,'DSCR (Loan Calc)'!$BT37)</f>
        <v>-</v>
      </c>
      <c r="M18" s="174" t="str">
        <f>IF($K$4="Max Proceeds",'DSCR (Loan Calc)'!$BU15,'DSCR (Loan Calc)'!$BU37)</f>
        <v>-</v>
      </c>
      <c r="N18" s="4" t="e">
        <f>IF($K$4="Max Proceeds",'DSCR (Loan Calc)'!$BX15,'DSCR (Loan Calc)'!$BX37)</f>
        <v>#VALUE!</v>
      </c>
      <c r="O18" s="184" t="str">
        <f>IF($K$4="Max Proceeds",'DSCR (Loan Calc)'!$CM15,'DSCR (Loan Calc)'!$CM37)</f>
        <v>-</v>
      </c>
      <c r="P18" s="184" t="str">
        <f>IF($K$4="Max Proceeds",'DSCR (Loan Calc)'!$CN15,'DSCR (Loan Calc)'!$CN37)</f>
        <v>-</v>
      </c>
      <c r="Q18" s="183" t="str">
        <f>IF($K$4="Max Proceeds",'DSCR (Loan Calc)'!$CO15,'DSCR (Loan Calc)'!$CO37)</f>
        <v>-</v>
      </c>
      <c r="R18" s="183" t="e">
        <f>IF($K$4="Max Proceeds",'DSCR (Loan Calc)'!$CV15,'DSCR (Loan Calc)'!$CV37)</f>
        <v>#VALUE!</v>
      </c>
    </row>
    <row r="19" spans="1:18" s="4" customFormat="1" ht="16.5" customHeight="1" x14ac:dyDescent="0.25">
      <c r="A19" s="47"/>
      <c r="B19" s="11" t="s">
        <v>1654</v>
      </c>
      <c r="C19" s="42"/>
      <c r="E19" s="514" t="s">
        <v>1653</v>
      </c>
      <c r="F19" s="593" t="str">
        <f>IF(OR($F$10="Leased (STR)",$F$11="Leased (STR)",$F$12="Leased (STR)",$F$13="Leased (STR)",$F$10="Vacant (STR)",$F$11="Vacant (STR)",$F$12="Vacant (STR)",$F$13="Vacant (STR)"),"STR","LTR")</f>
        <v>LTR</v>
      </c>
      <c r="G19" s="593"/>
      <c r="H19" s="593" t="str">
        <f>IF(AND(OR(C8="Purchase",C8="Delayed Purchase"),C15=1),"Leased-UW",IF(AND(C15=1,OR(C8="Refinance (Rate/Term)",C8="Refinance (Cash Out)"),J14=1),"Vacant-UW",IF(AND(OR(C15=2,C15=3),J14&gt;1),"Vacant-UW",IF(AND(C15=4,J14&gt;2),"Vacant-UW","Leased-UW"))))</f>
        <v>Leased-UW</v>
      </c>
      <c r="I19" s="593"/>
      <c r="J19" s="47"/>
      <c r="K19" s="45">
        <f t="shared" si="0"/>
        <v>2.9999999999999995E-2</v>
      </c>
      <c r="L19" s="185" t="str">
        <f>IF($K$4="Max Proceeds",'DSCR (Loan Calc)'!$BT16,'DSCR (Loan Calc)'!$BT38)</f>
        <v>-</v>
      </c>
      <c r="M19" s="174" t="str">
        <f>IF($K$4="Max Proceeds",'DSCR (Loan Calc)'!$BU16,'DSCR (Loan Calc)'!$BU38)</f>
        <v>-</v>
      </c>
      <c r="N19" s="4" t="e">
        <f>IF($K$4="Max Proceeds",'DSCR (Loan Calc)'!$BX16,'DSCR (Loan Calc)'!$BX38)</f>
        <v>#VALUE!</v>
      </c>
      <c r="O19" s="184" t="str">
        <f>IF($K$4="Max Proceeds",'DSCR (Loan Calc)'!$CM16,'DSCR (Loan Calc)'!$CM38)</f>
        <v>-</v>
      </c>
      <c r="P19" s="184" t="str">
        <f>IF($K$4="Max Proceeds",'DSCR (Loan Calc)'!$CN16,'DSCR (Loan Calc)'!$CN38)</f>
        <v>-</v>
      </c>
      <c r="Q19" s="183" t="str">
        <f>IF($K$4="Max Proceeds",'DSCR (Loan Calc)'!$CO16,'DSCR (Loan Calc)'!$CO38)</f>
        <v>-</v>
      </c>
      <c r="R19" s="183" t="e">
        <f>IF($K$4="Max Proceeds",'DSCR (Loan Calc)'!$CV16,'DSCR (Loan Calc)'!$CV38)</f>
        <v>#VALUE!</v>
      </c>
    </row>
    <row r="20" spans="1:18" s="4" customFormat="1" ht="16.5" customHeight="1" x14ac:dyDescent="0.25">
      <c r="A20" s="47"/>
      <c r="B20" s="11" t="s">
        <v>1652</v>
      </c>
      <c r="C20" s="37" t="str">
        <f>IFERROR(VLOOKUP(C19,Market!$A:$B,2,FALSE),"-")</f>
        <v>-</v>
      </c>
      <c r="E20" s="514" t="s">
        <v>23559</v>
      </c>
      <c r="F20" s="568" t="str">
        <f>IFERROR(VLOOKUP(C19,Market!$A:$E,5,FALSE),IFERROR(VLOOKUP($C$21,Market!$F:$I,4,FALSE),"-"))</f>
        <v>-</v>
      </c>
      <c r="G20" s="568"/>
      <c r="H20" s="568"/>
      <c r="I20" s="568"/>
      <c r="J20" s="47"/>
      <c r="K20" s="45">
        <f t="shared" si="0"/>
        <v>3.2499999999999994E-2</v>
      </c>
      <c r="L20" s="185" t="str">
        <f>IF($K$4="Max Proceeds",'DSCR (Loan Calc)'!$BT17,'DSCR (Loan Calc)'!$BT39)</f>
        <v>-</v>
      </c>
      <c r="M20" s="174" t="str">
        <f>IF($K$4="Max Proceeds",'DSCR (Loan Calc)'!$BU17,'DSCR (Loan Calc)'!$BU39)</f>
        <v>-</v>
      </c>
      <c r="N20" s="4" t="e">
        <f>IF($K$4="Max Proceeds",'DSCR (Loan Calc)'!$BX17,'DSCR (Loan Calc)'!$BX39)</f>
        <v>#VALUE!</v>
      </c>
      <c r="O20" s="184" t="str">
        <f>IF($K$4="Max Proceeds",'DSCR (Loan Calc)'!$CM17,'DSCR (Loan Calc)'!$CM39)</f>
        <v>-</v>
      </c>
      <c r="P20" s="184" t="str">
        <f>IF($K$4="Max Proceeds",'DSCR (Loan Calc)'!$CN17,'DSCR (Loan Calc)'!$CN39)</f>
        <v>-</v>
      </c>
      <c r="Q20" s="183" t="str">
        <f>IF($K$4="Max Proceeds",'DSCR (Loan Calc)'!$CO17,'DSCR (Loan Calc)'!$CO39)</f>
        <v>-</v>
      </c>
      <c r="R20" s="183" t="e">
        <f>IF($K$4="Max Proceeds",'DSCR (Loan Calc)'!$CV17,'DSCR (Loan Calc)'!$CV39)</f>
        <v>#VALUE!</v>
      </c>
    </row>
    <row r="21" spans="1:18" s="4" customFormat="1" ht="16.5" customHeight="1" x14ac:dyDescent="0.25">
      <c r="A21" s="47"/>
      <c r="B21" s="11"/>
      <c r="E21" s="11" t="s">
        <v>1625</v>
      </c>
      <c r="F21" s="781">
        <f>IF(AND($C$11="Foreign National",$C$12=""),1.1,IF($C$12&lt;720,1.2,1.1))</f>
        <v>1.2</v>
      </c>
      <c r="G21" s="781"/>
      <c r="H21" s="781"/>
      <c r="I21" s="781"/>
      <c r="J21" s="47"/>
      <c r="K21" s="45">
        <f t="shared" si="0"/>
        <v>3.4999999999999996E-2</v>
      </c>
      <c r="L21" s="185" t="str">
        <f>IF($K$4="Max Proceeds",'DSCR (Loan Calc)'!$BT18,'DSCR (Loan Calc)'!$BT40)</f>
        <v>-</v>
      </c>
      <c r="M21" s="174" t="str">
        <f>IF($K$4="Max Proceeds",'DSCR (Loan Calc)'!$BU18,'DSCR (Loan Calc)'!$BU40)</f>
        <v>-</v>
      </c>
      <c r="N21" s="4" t="e">
        <f>IF($K$4="Max Proceeds",'DSCR (Loan Calc)'!$BX18,'DSCR (Loan Calc)'!$BX40)</f>
        <v>#VALUE!</v>
      </c>
      <c r="O21" s="184" t="str">
        <f>IF($K$4="Max Proceeds",'DSCR (Loan Calc)'!$CM18,'DSCR (Loan Calc)'!$CM40)</f>
        <v>-</v>
      </c>
      <c r="P21" s="184" t="str">
        <f>IF($K$4="Max Proceeds",'DSCR (Loan Calc)'!$CN18,'DSCR (Loan Calc)'!$CN40)</f>
        <v>-</v>
      </c>
      <c r="Q21" s="183" t="str">
        <f>IF($K$4="Max Proceeds",'DSCR (Loan Calc)'!$CO18,'DSCR (Loan Calc)'!$CO40)</f>
        <v>-</v>
      </c>
      <c r="R21" s="183" t="e">
        <f>IF($K$4="Max Proceeds",'DSCR (Loan Calc)'!$CV18,'DSCR (Loan Calc)'!$CV40)</f>
        <v>#VALUE!</v>
      </c>
    </row>
    <row r="22" spans="1:18" s="4" customFormat="1" ht="16.5" customHeight="1" x14ac:dyDescent="0.25">
      <c r="A22" s="47"/>
      <c r="B22" s="11" t="s">
        <v>1651</v>
      </c>
      <c r="C22" s="38"/>
      <c r="F22" s="183"/>
      <c r="G22" s="183"/>
      <c r="H22" s="183"/>
      <c r="I22" s="183"/>
      <c r="J22" s="47"/>
      <c r="K22" s="45">
        <f t="shared" si="0"/>
        <v>3.7499999999999999E-2</v>
      </c>
      <c r="L22" s="185" t="str">
        <f>IF($K$4="Max Proceeds",'DSCR (Loan Calc)'!$BT19,'DSCR (Loan Calc)'!$BT41)</f>
        <v>-</v>
      </c>
      <c r="M22" s="174" t="str">
        <f>IF($K$4="Max Proceeds",'DSCR (Loan Calc)'!$BU19,'DSCR (Loan Calc)'!$BU41)</f>
        <v>-</v>
      </c>
      <c r="N22" s="4" t="e">
        <f>IF($K$4="Max Proceeds",'DSCR (Loan Calc)'!$BX19,'DSCR (Loan Calc)'!$BX41)</f>
        <v>#VALUE!</v>
      </c>
      <c r="O22" s="184" t="str">
        <f>IF($K$4="Max Proceeds",'DSCR (Loan Calc)'!$CM19,'DSCR (Loan Calc)'!$CM41)</f>
        <v>-</v>
      </c>
      <c r="P22" s="184" t="str">
        <f>IF($K$4="Max Proceeds",'DSCR (Loan Calc)'!$CN19,'DSCR (Loan Calc)'!$CN41)</f>
        <v>-</v>
      </c>
      <c r="Q22" s="183" t="str">
        <f>IF($K$4="Max Proceeds",'DSCR (Loan Calc)'!$CO19,'DSCR (Loan Calc)'!$CO41)</f>
        <v>-</v>
      </c>
      <c r="R22" s="183" t="e">
        <f>IF($K$4="Max Proceeds",'DSCR (Loan Calc)'!$CV19,'DSCR (Loan Calc)'!$CV41)</f>
        <v>#VALUE!</v>
      </c>
    </row>
    <row r="23" spans="1:18" s="4" customFormat="1" ht="16.5" customHeight="1" x14ac:dyDescent="0.25">
      <c r="A23" s="47"/>
      <c r="B23" s="11"/>
      <c r="E23" s="570" t="s">
        <v>1650</v>
      </c>
      <c r="F23" s="571"/>
      <c r="G23" s="571"/>
      <c r="H23" s="571"/>
      <c r="I23" s="572"/>
      <c r="J23" s="47"/>
      <c r="K23" s="45">
        <f t="shared" si="0"/>
        <v>0.04</v>
      </c>
      <c r="L23" s="185" t="str">
        <f>IF($K$4="Max Proceeds",'DSCR (Loan Calc)'!$BT20,'DSCR (Loan Calc)'!$BT42)</f>
        <v>-</v>
      </c>
      <c r="M23" s="174" t="str">
        <f>IF($K$4="Max Proceeds",'DSCR (Loan Calc)'!$BU20,'DSCR (Loan Calc)'!$BU42)</f>
        <v>-</v>
      </c>
      <c r="N23" s="4" t="e">
        <f>IF($K$4="Max Proceeds",'DSCR (Loan Calc)'!$BX20,'DSCR (Loan Calc)'!$BX42)</f>
        <v>#VALUE!</v>
      </c>
      <c r="O23" s="184" t="str">
        <f>IF($K$4="Max Proceeds",'DSCR (Loan Calc)'!$CM20,'DSCR (Loan Calc)'!$CM42)</f>
        <v>-</v>
      </c>
      <c r="P23" s="184" t="str">
        <f>IF($K$4="Max Proceeds",'DSCR (Loan Calc)'!$CN20,'DSCR (Loan Calc)'!$CN42)</f>
        <v>-</v>
      </c>
      <c r="Q23" s="183" t="str">
        <f>IF($K$4="Max Proceeds",'DSCR (Loan Calc)'!$CO20,'DSCR (Loan Calc)'!$CO42)</f>
        <v>-</v>
      </c>
      <c r="R23" s="183" t="e">
        <f>IF($K$4="Max Proceeds",'DSCR (Loan Calc)'!$CV20,'DSCR (Loan Calc)'!$CV42)</f>
        <v>#VALUE!</v>
      </c>
    </row>
    <row r="24" spans="1:18" s="4" customFormat="1" ht="16.5" customHeight="1" x14ac:dyDescent="0.25">
      <c r="A24" s="47"/>
      <c r="B24" s="11" t="s">
        <v>1649</v>
      </c>
      <c r="C24" s="182"/>
      <c r="E24" s="181"/>
      <c r="F24" s="574" t="s">
        <v>1648</v>
      </c>
      <c r="G24" s="574"/>
      <c r="H24" s="574" t="s">
        <v>1647</v>
      </c>
      <c r="I24" s="575"/>
      <c r="J24" s="47"/>
    </row>
    <row r="25" spans="1:18" s="4" customFormat="1" ht="16.5" customHeight="1" x14ac:dyDescent="0.25">
      <c r="A25" s="47"/>
      <c r="B25" s="11" t="s">
        <v>1646</v>
      </c>
      <c r="C25" s="38"/>
      <c r="E25" s="11" t="s">
        <v>1645</v>
      </c>
      <c r="F25" s="625"/>
      <c r="G25" s="625"/>
      <c r="H25" s="576"/>
      <c r="I25" s="576"/>
      <c r="J25" s="47"/>
      <c r="K25" s="570" t="s">
        <v>1644</v>
      </c>
      <c r="L25" s="571"/>
      <c r="M25" s="571"/>
      <c r="N25" s="571"/>
      <c r="O25" s="571"/>
      <c r="P25" s="571"/>
      <c r="Q25" s="571"/>
      <c r="R25" s="572"/>
    </row>
    <row r="26" spans="1:18" s="4" customFormat="1" ht="16.5" customHeight="1" x14ac:dyDescent="0.25">
      <c r="A26" s="47"/>
      <c r="B26" s="11" t="s">
        <v>1643</v>
      </c>
      <c r="C26" s="38"/>
      <c r="E26" s="11" t="s">
        <v>1642</v>
      </c>
      <c r="F26" s="568" t="e">
        <f>$F$25*'DSCR (Loan Calc)'!$C$32</f>
        <v>#VALUE!</v>
      </c>
      <c r="G26" s="568"/>
      <c r="H26" s="576"/>
      <c r="I26" s="576"/>
      <c r="J26" s="47"/>
      <c r="K26" s="32" t="s">
        <v>1641</v>
      </c>
      <c r="L26" s="31" t="s">
        <v>1640</v>
      </c>
      <c r="M26" s="31" t="s">
        <v>1639</v>
      </c>
      <c r="N26" s="31" t="s">
        <v>1638</v>
      </c>
      <c r="O26" s="31" t="s">
        <v>1637</v>
      </c>
      <c r="P26" s="31" t="s">
        <v>1636</v>
      </c>
      <c r="Q26" s="31" t="s">
        <v>1635</v>
      </c>
      <c r="R26" s="33" t="s">
        <v>1634</v>
      </c>
    </row>
    <row r="27" spans="1:18" s="4" customFormat="1" ht="16.5" customHeight="1" x14ac:dyDescent="0.25">
      <c r="A27" s="47"/>
      <c r="B27" s="11" t="s">
        <v>66</v>
      </c>
      <c r="C27" s="38"/>
      <c r="E27" s="11" t="s">
        <v>1633</v>
      </c>
      <c r="F27" s="625"/>
      <c r="G27" s="625"/>
      <c r="H27" s="576"/>
      <c r="I27" s="576"/>
      <c r="J27" s="47"/>
      <c r="K27" s="180" t="s">
        <v>1632</v>
      </c>
      <c r="L27" s="179" t="e">
        <f>'DSCR (Loan Calc)'!$D$49</f>
        <v>#VALUE!</v>
      </c>
      <c r="M27" s="179" t="e">
        <f>'DSCR (Loan Calc)'!$G$49</f>
        <v>#VALUE!</v>
      </c>
      <c r="N27" s="179" t="e">
        <f>'DSCR (Loan Calc)'!$J$49</f>
        <v>#VALUE!</v>
      </c>
      <c r="O27" s="179" t="e">
        <f>'DSCR (Loan Calc)'!$M$49</f>
        <v>#VALUE!</v>
      </c>
      <c r="P27" s="179" t="e">
        <f>'DSCR (Loan Calc)'!$P$49</f>
        <v>#VALUE!</v>
      </c>
      <c r="Q27" s="179" t="e">
        <f>'DSCR (Loan Calc)'!$S$49</f>
        <v>#VALUE!</v>
      </c>
      <c r="R27" s="178" t="e">
        <f>'DSCR (Loan Calc)'!$V$49</f>
        <v>#VALUE!</v>
      </c>
    </row>
    <row r="28" spans="1:18" s="4" customFormat="1" ht="16.5" customHeight="1" x14ac:dyDescent="0.25">
      <c r="A28" s="47"/>
      <c r="B28" s="11" t="s">
        <v>1631</v>
      </c>
      <c r="C28" s="37" t="e">
        <f>$C$27/$C$15</f>
        <v>#DIV/0!</v>
      </c>
      <c r="E28" s="11" t="s">
        <v>1630</v>
      </c>
      <c r="F28" s="625"/>
      <c r="G28" s="625"/>
      <c r="H28" s="576"/>
      <c r="I28" s="576"/>
      <c r="J28" s="47">
        <f>IF($E$24="Quote",SUM($F$27:$G$28),IF($E$24="Appraisal/Lock",SUM(H27:I28),))</f>
        <v>0</v>
      </c>
      <c r="K28" s="45">
        <f>IF($C$30="No PPP",1.5%,IF($C$30="12 Months",1%,IF($C$30="24 Months",0.5%,0%)))</f>
        <v>0</v>
      </c>
      <c r="L28" s="174" t="str">
        <f>'DSCR (Loan Calc)'!$F67</f>
        <v>-</v>
      </c>
      <c r="M28" s="174" t="str">
        <f>'DSCR (Loan Calc)'!$I67</f>
        <v>-</v>
      </c>
      <c r="N28" s="174" t="str">
        <f>'DSCR (Loan Calc)'!$L67</f>
        <v>-</v>
      </c>
      <c r="O28" s="174" t="str">
        <f>'DSCR (Loan Calc)'!$O67</f>
        <v>-</v>
      </c>
      <c r="P28" s="174" t="str">
        <f>'DSCR (Loan Calc)'!$R67</f>
        <v>-</v>
      </c>
      <c r="Q28" s="174" t="str">
        <f>'DSCR (Loan Calc)'!$U67</f>
        <v>-</v>
      </c>
      <c r="R28" s="174" t="str">
        <f>'DSCR (Loan Calc)'!$X67</f>
        <v>-</v>
      </c>
    </row>
    <row r="29" spans="1:18" s="4" customFormat="1" ht="16.5" customHeight="1" x14ac:dyDescent="0.25">
      <c r="A29" s="47"/>
      <c r="B29" s="11"/>
      <c r="D29" s="47">
        <f>IF($C$30="No PPP",0,1)</f>
        <v>1</v>
      </c>
      <c r="E29" s="11" t="s">
        <v>1629</v>
      </c>
      <c r="F29" s="586">
        <f>500*$C$15</f>
        <v>0</v>
      </c>
      <c r="G29" s="586"/>
      <c r="H29" s="586">
        <f>500*$C$15</f>
        <v>0</v>
      </c>
      <c r="I29" s="586"/>
      <c r="J29" s="47"/>
      <c r="K29" s="45">
        <f>+K28+0.25%</f>
        <v>2.5000000000000001E-3</v>
      </c>
      <c r="L29" s="174" t="str">
        <f>'DSCR (Loan Calc)'!$F68</f>
        <v>-</v>
      </c>
      <c r="M29" s="174" t="str">
        <f>'DSCR (Loan Calc)'!$I68</f>
        <v>-</v>
      </c>
      <c r="N29" s="174" t="str">
        <f>'DSCR (Loan Calc)'!$L68</f>
        <v>-</v>
      </c>
      <c r="O29" s="174" t="str">
        <f>'DSCR (Loan Calc)'!$O68</f>
        <v>-</v>
      </c>
      <c r="P29" s="174" t="str">
        <f>'DSCR (Loan Calc)'!$R68</f>
        <v>-</v>
      </c>
      <c r="Q29" s="174" t="str">
        <f>'DSCR (Loan Calc)'!$U68</f>
        <v>-</v>
      </c>
      <c r="R29" s="174" t="str">
        <f>'DSCR (Loan Calc)'!$X68</f>
        <v>-</v>
      </c>
    </row>
    <row r="30" spans="1:18" s="4" customFormat="1" ht="16.5" customHeight="1" x14ac:dyDescent="0.25">
      <c r="A30" s="47" t="str">
        <f>'DSCR (Loan Calc)'!$C$6&amp;"PPP"</f>
        <v>-PPP</v>
      </c>
      <c r="B30" s="11" t="s">
        <v>1628</v>
      </c>
      <c r="C30" s="42"/>
      <c r="D30" s="47" t="e">
        <f>VLOOKUP(C30,'DSCR (Legend)'!$AZ$1:$BA$8,2,FALSE)</f>
        <v>#N/A</v>
      </c>
      <c r="E30" s="11" t="s">
        <v>1627</v>
      </c>
      <c r="F30" s="586" t="e">
        <f>$F$25-SUM($F$26:$G$29)</f>
        <v>#VALUE!</v>
      </c>
      <c r="G30" s="586"/>
      <c r="H30" s="586">
        <f>$H$25-SUM($H$26:$I$29)</f>
        <v>0</v>
      </c>
      <c r="I30" s="586"/>
      <c r="J30" s="47"/>
      <c r="K30" s="45">
        <f t="shared" ref="K30:K44" si="1">+K29+0.25%</f>
        <v>5.0000000000000001E-3</v>
      </c>
      <c r="L30" s="174" t="str">
        <f>'DSCR (Loan Calc)'!$F69</f>
        <v>-</v>
      </c>
      <c r="M30" s="174" t="str">
        <f>'DSCR (Loan Calc)'!$I69</f>
        <v>-</v>
      </c>
      <c r="N30" s="174" t="str">
        <f>'DSCR (Loan Calc)'!$L69</f>
        <v>-</v>
      </c>
      <c r="O30" s="174" t="str">
        <f>'DSCR (Loan Calc)'!$O69</f>
        <v>-</v>
      </c>
      <c r="P30" s="174" t="str">
        <f>'DSCR (Loan Calc)'!$R69</f>
        <v>-</v>
      </c>
      <c r="Q30" s="174" t="str">
        <f>'DSCR (Loan Calc)'!$U69</f>
        <v>-</v>
      </c>
      <c r="R30" s="174" t="str">
        <f>'DSCR (Loan Calc)'!$X69</f>
        <v>-</v>
      </c>
    </row>
    <row r="31" spans="1:18" s="4" customFormat="1" ht="16.5" customHeight="1" x14ac:dyDescent="0.25">
      <c r="A31" s="47"/>
      <c r="B31" s="11" t="s">
        <v>1626</v>
      </c>
      <c r="C31" s="36" t="str">
        <f>IFERROR(VLOOKUP(C30,'DSCR (Legend)'!$AE$1:$AF$19,2,FALSE),"-")</f>
        <v>-</v>
      </c>
      <c r="J31" s="47"/>
      <c r="K31" s="45">
        <f t="shared" si="1"/>
        <v>7.4999999999999997E-3</v>
      </c>
      <c r="L31" s="174" t="str">
        <f>'DSCR (Loan Calc)'!$F70</f>
        <v>-</v>
      </c>
      <c r="M31" s="174" t="str">
        <f>'DSCR (Loan Calc)'!$I70</f>
        <v>-</v>
      </c>
      <c r="N31" s="174" t="str">
        <f>'DSCR (Loan Calc)'!$L70</f>
        <v>-</v>
      </c>
      <c r="O31" s="174" t="str">
        <f>'DSCR (Loan Calc)'!$O70</f>
        <v>-</v>
      </c>
      <c r="P31" s="174" t="str">
        <f>'DSCR (Loan Calc)'!$R70</f>
        <v>-</v>
      </c>
      <c r="Q31" s="174" t="str">
        <f>'DSCR (Loan Calc)'!$U70</f>
        <v>-</v>
      </c>
      <c r="R31" s="174" t="str">
        <f>'DSCR (Loan Calc)'!$X70</f>
        <v>-</v>
      </c>
    </row>
    <row r="32" spans="1:18" s="4" customFormat="1" ht="16.5" customHeight="1" x14ac:dyDescent="0.25">
      <c r="A32" s="47" t="str">
        <f>'DSCR (Loan Calc)'!$C$6&amp;"Term"</f>
        <v>-Term</v>
      </c>
      <c r="B32" s="11" t="s">
        <v>106</v>
      </c>
      <c r="C32" s="42"/>
      <c r="E32" s="608" t="s">
        <v>1625</v>
      </c>
      <c r="F32" s="781">
        <f>'DSCR (Loan Calc)'!$L$30</f>
        <v>1.2</v>
      </c>
      <c r="G32" s="781"/>
      <c r="H32" s="781"/>
      <c r="I32" s="781"/>
      <c r="J32" s="47"/>
      <c r="K32" s="45">
        <f t="shared" si="1"/>
        <v>0.01</v>
      </c>
      <c r="L32" s="174" t="str">
        <f>'DSCR (Loan Calc)'!$F71</f>
        <v>-</v>
      </c>
      <c r="M32" s="174" t="str">
        <f>'DSCR (Loan Calc)'!$I71</f>
        <v>-</v>
      </c>
      <c r="N32" s="174" t="str">
        <f>'DSCR (Loan Calc)'!$L71</f>
        <v>-</v>
      </c>
      <c r="O32" s="174" t="str">
        <f>'DSCR (Loan Calc)'!$O71</f>
        <v>-</v>
      </c>
      <c r="P32" s="174" t="str">
        <f>'DSCR (Loan Calc)'!$R71</f>
        <v>-</v>
      </c>
      <c r="Q32" s="174" t="str">
        <f>'DSCR (Loan Calc)'!$U71</f>
        <v>-</v>
      </c>
      <c r="R32" s="174" t="str">
        <f>'DSCR (Loan Calc)'!$X71</f>
        <v>-</v>
      </c>
    </row>
    <row r="33" spans="1:20" s="4" customFormat="1" ht="16.5" customHeight="1" x14ac:dyDescent="0.25">
      <c r="A33" s="47" t="str">
        <f>'DSCR (Loan Calc)'!$C$6&amp;"Amort"</f>
        <v>-Amort</v>
      </c>
      <c r="B33" s="11" t="s">
        <v>1624</v>
      </c>
      <c r="C33" s="42"/>
      <c r="E33" s="608"/>
      <c r="F33" s="781"/>
      <c r="G33" s="781"/>
      <c r="H33" s="781"/>
      <c r="I33" s="781"/>
      <c r="J33" s="47"/>
      <c r="K33" s="45">
        <f t="shared" si="1"/>
        <v>1.2500000000000001E-2</v>
      </c>
      <c r="L33" s="174" t="str">
        <f>'DSCR (Loan Calc)'!$F72</f>
        <v>-</v>
      </c>
      <c r="M33" s="174" t="str">
        <f>'DSCR (Loan Calc)'!$I72</f>
        <v>-</v>
      </c>
      <c r="N33" s="174" t="str">
        <f>'DSCR (Loan Calc)'!$L72</f>
        <v>-</v>
      </c>
      <c r="O33" s="174" t="str">
        <f>'DSCR (Loan Calc)'!$O72</f>
        <v>-</v>
      </c>
      <c r="P33" s="174" t="str">
        <f>'DSCR (Loan Calc)'!$R72</f>
        <v>-</v>
      </c>
      <c r="Q33" s="174" t="str">
        <f>'DSCR (Loan Calc)'!$U72</f>
        <v>-</v>
      </c>
      <c r="R33" s="174" t="str">
        <f>'DSCR (Loan Calc)'!$X72</f>
        <v>-</v>
      </c>
    </row>
    <row r="34" spans="1:20" s="4" customFormat="1" ht="16.5" customHeight="1" x14ac:dyDescent="0.25">
      <c r="A34" s="47" t="str">
        <f>'DSCR (Loan Calc)'!$C$6&amp;"IO"</f>
        <v>-IO</v>
      </c>
      <c r="B34" s="11" t="s">
        <v>1623</v>
      </c>
      <c r="C34" s="42"/>
      <c r="E34" s="11" t="s">
        <v>1622</v>
      </c>
      <c r="F34" s="786"/>
      <c r="G34" s="786"/>
      <c r="H34" s="787" t="e">
        <f>($C$15-$F$34)/$C$15</f>
        <v>#DIV/0!</v>
      </c>
      <c r="I34" s="787"/>
      <c r="J34" s="47"/>
      <c r="K34" s="45">
        <f t="shared" si="1"/>
        <v>1.5000000000000001E-2</v>
      </c>
      <c r="L34" s="174" t="str">
        <f>'DSCR (Loan Calc)'!$F73</f>
        <v>-</v>
      </c>
      <c r="M34" s="174" t="str">
        <f>'DSCR (Loan Calc)'!$I73</f>
        <v>-</v>
      </c>
      <c r="N34" s="174" t="str">
        <f>'DSCR (Loan Calc)'!$L73</f>
        <v>-</v>
      </c>
      <c r="O34" s="174" t="str">
        <f>'DSCR (Loan Calc)'!$O73</f>
        <v>-</v>
      </c>
      <c r="P34" s="174" t="str">
        <f>'DSCR (Loan Calc)'!$R73</f>
        <v>-</v>
      </c>
      <c r="Q34" s="174" t="str">
        <f>'DSCR (Loan Calc)'!$U73</f>
        <v>-</v>
      </c>
      <c r="R34" s="174" t="str">
        <f>'DSCR (Loan Calc)'!$X73</f>
        <v>-</v>
      </c>
    </row>
    <row r="35" spans="1:20" s="4" customFormat="1" ht="16.5" customHeight="1" x14ac:dyDescent="0.25">
      <c r="A35" s="47"/>
      <c r="J35" s="47"/>
      <c r="K35" s="45">
        <f t="shared" si="1"/>
        <v>1.7500000000000002E-2</v>
      </c>
      <c r="L35" s="174" t="str">
        <f>'DSCR (Loan Calc)'!$F74</f>
        <v>-</v>
      </c>
      <c r="M35" s="174" t="str">
        <f>'DSCR (Loan Calc)'!$I74</f>
        <v>-</v>
      </c>
      <c r="N35" s="174" t="str">
        <f>'DSCR (Loan Calc)'!$L74</f>
        <v>-</v>
      </c>
      <c r="O35" s="174" t="str">
        <f>'DSCR (Loan Calc)'!$O74</f>
        <v>-</v>
      </c>
      <c r="P35" s="174" t="str">
        <f>'DSCR (Loan Calc)'!$R74</f>
        <v>-</v>
      </c>
      <c r="Q35" s="174" t="str">
        <f>'DSCR (Loan Calc)'!$U74</f>
        <v>-</v>
      </c>
      <c r="R35" s="174" t="str">
        <f>'DSCR (Loan Calc)'!$X74</f>
        <v>-</v>
      </c>
    </row>
    <row r="36" spans="1:20" s="4" customFormat="1" ht="16.5" customHeight="1" x14ac:dyDescent="0.25">
      <c r="A36" s="47"/>
      <c r="B36" s="579" t="s">
        <v>1621</v>
      </c>
      <c r="C36" s="621"/>
      <c r="D36" s="621"/>
      <c r="E36" s="621"/>
      <c r="F36" s="621"/>
      <c r="G36" s="621"/>
      <c r="H36" s="621"/>
      <c r="I36" s="580"/>
      <c r="J36" s="47"/>
      <c r="K36" s="45">
        <f t="shared" si="1"/>
        <v>0.02</v>
      </c>
      <c r="L36" s="174" t="str">
        <f>'DSCR (Loan Calc)'!$F75</f>
        <v>-</v>
      </c>
      <c r="M36" s="174" t="str">
        <f>'DSCR (Loan Calc)'!$I75</f>
        <v>-</v>
      </c>
      <c r="N36" s="174" t="str">
        <f>'DSCR (Loan Calc)'!$L75</f>
        <v>-</v>
      </c>
      <c r="O36" s="174" t="str">
        <f>'DSCR (Loan Calc)'!$O75</f>
        <v>-</v>
      </c>
      <c r="P36" s="174" t="str">
        <f>'DSCR (Loan Calc)'!$R75</f>
        <v>-</v>
      </c>
      <c r="Q36" s="174" t="str">
        <f>'DSCR (Loan Calc)'!$U75</f>
        <v>-</v>
      </c>
      <c r="R36" s="174" t="str">
        <f>'DSCR (Loan Calc)'!$X75</f>
        <v>-</v>
      </c>
    </row>
    <row r="37" spans="1:20" s="4" customFormat="1" ht="16.5" customHeight="1" x14ac:dyDescent="0.25">
      <c r="A37" s="47"/>
      <c r="J37" s="47"/>
      <c r="K37" s="45">
        <f t="shared" si="1"/>
        <v>2.2499999999999999E-2</v>
      </c>
      <c r="L37" s="174" t="str">
        <f>'DSCR (Loan Calc)'!$F76</f>
        <v>-</v>
      </c>
      <c r="M37" s="174" t="str">
        <f>'DSCR (Loan Calc)'!$I76</f>
        <v>-</v>
      </c>
      <c r="N37" s="174" t="str">
        <f>'DSCR (Loan Calc)'!$L76</f>
        <v>-</v>
      </c>
      <c r="O37" s="174" t="str">
        <f>'DSCR (Loan Calc)'!$O76</f>
        <v>-</v>
      </c>
      <c r="P37" s="174" t="str">
        <f>'DSCR (Loan Calc)'!$R76</f>
        <v>-</v>
      </c>
      <c r="Q37" s="174" t="str">
        <f>'DSCR (Loan Calc)'!$U76</f>
        <v>-</v>
      </c>
      <c r="R37" s="174" t="str">
        <f>'DSCR (Loan Calc)'!$X76</f>
        <v>-</v>
      </c>
    </row>
    <row r="38" spans="1:20" s="4" customFormat="1" ht="16.5" customHeight="1" x14ac:dyDescent="0.25">
      <c r="A38" s="47"/>
      <c r="B38" s="11" t="s">
        <v>1620</v>
      </c>
      <c r="C38" s="38"/>
      <c r="E38" s="11" t="s">
        <v>1619</v>
      </c>
      <c r="F38" s="568">
        <f>IF($C$34="No IO","-",$C$38*($C$42/12))</f>
        <v>0</v>
      </c>
      <c r="G38" s="568"/>
      <c r="H38" s="568" t="str">
        <f>IF($C$34="No IO","-",IF('DSCR (Loan Calc)'!$C$6="SFR",$F$38+((SUM($F$17:$I$17)/12)),IF('DSCR (Loan Calc)'!$C$6="Multi",$F$38+((SUM($F$27:$G$28)/12)),"-")))</f>
        <v>-</v>
      </c>
      <c r="I38" s="568"/>
      <c r="J38" s="47"/>
      <c r="K38" s="45">
        <f t="shared" si="1"/>
        <v>2.4999999999999998E-2</v>
      </c>
      <c r="L38" s="174" t="str">
        <f>'DSCR (Loan Calc)'!$F77</f>
        <v>-</v>
      </c>
      <c r="M38" s="174" t="str">
        <f>'DSCR (Loan Calc)'!$I77</f>
        <v>-</v>
      </c>
      <c r="N38" s="174" t="str">
        <f>'DSCR (Loan Calc)'!$L77</f>
        <v>-</v>
      </c>
      <c r="O38" s="174" t="str">
        <f>'DSCR (Loan Calc)'!$O77</f>
        <v>-</v>
      </c>
      <c r="P38" s="174" t="str">
        <f>'DSCR (Loan Calc)'!$R77</f>
        <v>-</v>
      </c>
      <c r="Q38" s="174" t="str">
        <f>'DSCR (Loan Calc)'!$U77</f>
        <v>-</v>
      </c>
      <c r="R38" s="174" t="str">
        <f>'DSCR (Loan Calc)'!$X77</f>
        <v>-</v>
      </c>
    </row>
    <row r="39" spans="1:20" s="4" customFormat="1" ht="16.5" customHeight="1" x14ac:dyDescent="0.25">
      <c r="A39" s="47"/>
      <c r="B39" s="11" t="s">
        <v>1618</v>
      </c>
      <c r="C39" s="36" t="e">
        <f>'DSCR (Loan Calc)'!$G$89</f>
        <v>#DIV/0!</v>
      </c>
      <c r="E39" s="11" t="s">
        <v>1617</v>
      </c>
      <c r="F39" s="568" t="e">
        <f>ROUND(PMT($C$42/12,'DSCR (Loan Calc)'!$C$17,-$C$38),2)</f>
        <v>#VALUE!</v>
      </c>
      <c r="G39" s="568"/>
      <c r="H39" s="568" t="str">
        <f>IF('DSCR (Loan Calc)'!$C$6="SFR",$F$39+((SUM($F$17:$I$17)/12)),IF('DSCR (Loan Calc)'!$C$6="Multi",$F$39+((SUM($F$27:$G$28)/12)),"-"))</f>
        <v>-</v>
      </c>
      <c r="I39" s="568"/>
      <c r="J39" s="47"/>
      <c r="K39" s="45">
        <f t="shared" si="1"/>
        <v>2.7499999999999997E-2</v>
      </c>
      <c r="L39" s="174" t="str">
        <f>'DSCR (Loan Calc)'!$F78</f>
        <v>-</v>
      </c>
      <c r="M39" s="174" t="str">
        <f>'DSCR (Loan Calc)'!$I78</f>
        <v>-</v>
      </c>
      <c r="N39" s="174" t="str">
        <f>'DSCR (Loan Calc)'!$L78</f>
        <v>-</v>
      </c>
      <c r="O39" s="174" t="str">
        <f>'DSCR (Loan Calc)'!$O78</f>
        <v>-</v>
      </c>
      <c r="P39" s="174" t="str">
        <f>'DSCR (Loan Calc)'!$R78</f>
        <v>-</v>
      </c>
      <c r="Q39" s="174" t="str">
        <f>'DSCR (Loan Calc)'!$U78</f>
        <v>-</v>
      </c>
      <c r="R39" s="174" t="str">
        <f>'DSCR (Loan Calc)'!$X78</f>
        <v>-</v>
      </c>
    </row>
    <row r="40" spans="1:20" s="4" customFormat="1" ht="16.5" customHeight="1" x14ac:dyDescent="0.25">
      <c r="A40" s="47"/>
      <c r="B40" s="11" t="s">
        <v>1616</v>
      </c>
      <c r="C40" s="177">
        <f>$C$9</f>
        <v>0</v>
      </c>
      <c r="E40" s="11" t="s">
        <v>1615</v>
      </c>
      <c r="F40" s="568">
        <f>IF($C$8="Purchase",$C$25-$C$38,IF(AND($C$8="Refinance (Rate/Term)",$C$38&lt;$C$22),$C$22-$C$38,0))</f>
        <v>0</v>
      </c>
      <c r="G40" s="568"/>
      <c r="H40" s="568">
        <f>IFERROR($C$38*($C$43+1%),0)</f>
        <v>0</v>
      </c>
      <c r="I40" s="568"/>
      <c r="J40" s="47"/>
      <c r="K40" s="45">
        <f t="shared" si="1"/>
        <v>2.9999999999999995E-2</v>
      </c>
      <c r="L40" s="174" t="str">
        <f>'DSCR (Loan Calc)'!$F79</f>
        <v>-</v>
      </c>
      <c r="M40" s="174" t="str">
        <f>'DSCR (Loan Calc)'!$I79</f>
        <v>-</v>
      </c>
      <c r="N40" s="174" t="str">
        <f>'DSCR (Loan Calc)'!$L79</f>
        <v>-</v>
      </c>
      <c r="O40" s="174" t="str">
        <f>'DSCR (Loan Calc)'!$O79</f>
        <v>-</v>
      </c>
      <c r="P40" s="174" t="str">
        <f>'DSCR (Loan Calc)'!$R79</f>
        <v>-</v>
      </c>
      <c r="Q40" s="174" t="str">
        <f>'DSCR (Loan Calc)'!$U79</f>
        <v>-</v>
      </c>
      <c r="R40" s="174" t="str">
        <f>'DSCR (Loan Calc)'!$X79</f>
        <v>-</v>
      </c>
    </row>
    <row r="41" spans="1:20" s="4" customFormat="1" ht="16.5" customHeight="1" x14ac:dyDescent="0.25">
      <c r="A41" s="47"/>
      <c r="B41" s="11" t="s">
        <v>109</v>
      </c>
      <c r="C41" s="175"/>
      <c r="E41" s="11" t="s">
        <v>1614</v>
      </c>
      <c r="F41" s="568" t="str">
        <f>IF($C$11="Foreign National",IF(AND('DSCR (Loan Calc)'!$C$6="SFR",$C$34="No IO"),$H$39*12,IF('DSCR (Loan Calc)'!$C$6="SFR",$H$38*12,IF('DSCR (Loan Calc)'!$C$6="Multi",5%*$C$38,"-"))),IF(AND('DSCR (Loan Calc)'!$C$6="SFR",$C$34="No IO"),$H$39*9,IF('DSCR (Loan Calc)'!$C$6="SFR",$H$38*9,IF('DSCR (Loan Calc)'!$C$6="Multi",5%*$C$38,"-"))))</f>
        <v>-</v>
      </c>
      <c r="G41" s="568"/>
      <c r="H41" s="568"/>
      <c r="I41" s="568"/>
      <c r="J41" s="47"/>
      <c r="K41" s="45">
        <f t="shared" si="1"/>
        <v>3.2499999999999994E-2</v>
      </c>
      <c r="L41" s="174" t="str">
        <f>'DSCR (Loan Calc)'!$F80</f>
        <v>-</v>
      </c>
      <c r="M41" s="174" t="str">
        <f>'DSCR (Loan Calc)'!$I80</f>
        <v>-</v>
      </c>
      <c r="N41" s="174" t="str">
        <f>'DSCR (Loan Calc)'!$L80</f>
        <v>-</v>
      </c>
      <c r="O41" s="174" t="str">
        <f>'DSCR (Loan Calc)'!$O80</f>
        <v>-</v>
      </c>
      <c r="P41" s="174" t="str">
        <f>'DSCR (Loan Calc)'!$R80</f>
        <v>-</v>
      </c>
      <c r="Q41" s="174" t="str">
        <f>'DSCR (Loan Calc)'!$U80</f>
        <v>-</v>
      </c>
      <c r="R41" s="174" t="str">
        <f>'DSCR (Loan Calc)'!$X80</f>
        <v>-</v>
      </c>
    </row>
    <row r="42" spans="1:20" s="4" customFormat="1" ht="16.5" customHeight="1" x14ac:dyDescent="0.25">
      <c r="A42" s="47"/>
      <c r="B42" s="11" t="s">
        <v>1613</v>
      </c>
      <c r="C42" s="176"/>
      <c r="E42" s="11" t="s">
        <v>1612</v>
      </c>
      <c r="F42" s="568" t="str">
        <f>IF('DSCR (Loan Calc)'!$C$6="SFR",85%*SUM($F$17:$H$17),IF('DSCR (Loan Calc)'!$C$6="Multi",85%*$J$28,"-"))</f>
        <v>-</v>
      </c>
      <c r="G42" s="568"/>
      <c r="H42" s="568"/>
      <c r="I42" s="568"/>
      <c r="J42" s="47"/>
      <c r="K42" s="45">
        <f t="shared" si="1"/>
        <v>3.4999999999999996E-2</v>
      </c>
      <c r="L42" s="174" t="str">
        <f>'DSCR (Loan Calc)'!$F81</f>
        <v>-</v>
      </c>
      <c r="M42" s="174" t="str">
        <f>'DSCR (Loan Calc)'!$I81</f>
        <v>-</v>
      </c>
      <c r="N42" s="174" t="str">
        <f>'DSCR (Loan Calc)'!$L81</f>
        <v>-</v>
      </c>
      <c r="O42" s="174" t="str">
        <f>'DSCR (Loan Calc)'!$O81</f>
        <v>-</v>
      </c>
      <c r="P42" s="174" t="str">
        <f>'DSCR (Loan Calc)'!$R81</f>
        <v>-</v>
      </c>
      <c r="Q42" s="174" t="str">
        <f>'DSCR (Loan Calc)'!$U81</f>
        <v>-</v>
      </c>
      <c r="R42" s="174" t="str">
        <f>'DSCR (Loan Calc)'!$X81</f>
        <v>-</v>
      </c>
    </row>
    <row r="43" spans="1:20" s="4" customFormat="1" ht="16.5" customHeight="1" x14ac:dyDescent="0.25">
      <c r="A43" s="47"/>
      <c r="B43" s="11" t="s">
        <v>1611</v>
      </c>
      <c r="C43" s="175"/>
      <c r="E43" s="11" t="s">
        <v>1610</v>
      </c>
      <c r="F43" s="586">
        <f>SUM($F$40,$H$40,$F$41,$F$42)</f>
        <v>0</v>
      </c>
      <c r="G43" s="586"/>
      <c r="H43" s="586"/>
      <c r="I43" s="586"/>
      <c r="J43" s="47"/>
      <c r="K43" s="45">
        <f t="shared" si="1"/>
        <v>3.7499999999999999E-2</v>
      </c>
      <c r="L43" s="174" t="str">
        <f>'DSCR (Loan Calc)'!$F82</f>
        <v>-</v>
      </c>
      <c r="M43" s="174" t="str">
        <f>'DSCR (Loan Calc)'!$I82</f>
        <v>-</v>
      </c>
      <c r="N43" s="174" t="str">
        <f>'DSCR (Loan Calc)'!$L82</f>
        <v>-</v>
      </c>
      <c r="O43" s="174" t="str">
        <f>'DSCR (Loan Calc)'!$O82</f>
        <v>-</v>
      </c>
      <c r="P43" s="174" t="str">
        <f>'DSCR (Loan Calc)'!$R82</f>
        <v>-</v>
      </c>
      <c r="Q43" s="174" t="str">
        <f>'DSCR (Loan Calc)'!$U82</f>
        <v>-</v>
      </c>
      <c r="R43" s="174" t="str">
        <f>'DSCR (Loan Calc)'!$X82</f>
        <v>-</v>
      </c>
    </row>
    <row r="44" spans="1:20" s="4" customFormat="1" ht="16.5" customHeight="1" x14ac:dyDescent="0.25">
      <c r="A44" s="47"/>
      <c r="B44" s="11" t="s">
        <v>1609</v>
      </c>
      <c r="C44" s="36" t="str">
        <f>$C$31</f>
        <v>-</v>
      </c>
      <c r="E44" s="11" t="s">
        <v>1608</v>
      </c>
      <c r="F44" s="593" t="e">
        <f>'DSCR (Loan Calc)'!$G$89</f>
        <v>#DIV/0!</v>
      </c>
      <c r="G44" s="593"/>
      <c r="H44" s="781" t="str">
        <f>'DSCR (Loan Calc)'!$F$96</f>
        <v>-</v>
      </c>
      <c r="I44" s="781"/>
      <c r="J44" s="47"/>
      <c r="K44" s="45">
        <f t="shared" si="1"/>
        <v>0.04</v>
      </c>
      <c r="L44" s="174" t="str">
        <f>'DSCR (Loan Calc)'!$F83</f>
        <v>-</v>
      </c>
      <c r="M44" s="174" t="str">
        <f>'DSCR (Loan Calc)'!$I83</f>
        <v>-</v>
      </c>
      <c r="N44" s="174" t="str">
        <f>'DSCR (Loan Calc)'!$L83</f>
        <v>-</v>
      </c>
      <c r="O44" s="174" t="str">
        <f>'DSCR (Loan Calc)'!$O83</f>
        <v>-</v>
      </c>
      <c r="P44" s="174" t="str">
        <f>'DSCR (Loan Calc)'!$R83</f>
        <v>-</v>
      </c>
      <c r="Q44" s="174" t="str">
        <f>'DSCR (Loan Calc)'!$U83</f>
        <v>-</v>
      </c>
      <c r="R44" s="174" t="str">
        <f>'DSCR (Loan Calc)'!$X83</f>
        <v>-</v>
      </c>
    </row>
    <row r="45" spans="1:20" s="4" customFormat="1" ht="16.5" customHeight="1" x14ac:dyDescent="0.25">
      <c r="A45" s="47"/>
      <c r="J45" s="47"/>
    </row>
    <row r="46" spans="1:20" s="4" customFormat="1" ht="16.5" customHeight="1" x14ac:dyDescent="0.25">
      <c r="A46" s="47"/>
      <c r="B46" s="579" t="s">
        <v>1607</v>
      </c>
      <c r="C46" s="621"/>
      <c r="D46" s="621"/>
      <c r="E46" s="621"/>
      <c r="F46" s="621"/>
      <c r="G46" s="621"/>
      <c r="H46" s="621"/>
      <c r="I46" s="580"/>
      <c r="J46" s="47"/>
      <c r="K46" s="579" t="s">
        <v>1606</v>
      </c>
      <c r="L46" s="621"/>
      <c r="M46" s="621"/>
      <c r="N46" s="621"/>
      <c r="O46" s="621"/>
      <c r="P46" s="621"/>
      <c r="Q46" s="621"/>
      <c r="R46" s="580"/>
    </row>
    <row r="47" spans="1:20" s="4" customFormat="1" ht="16.5" customHeight="1" x14ac:dyDescent="0.25">
      <c r="A47" s="47"/>
      <c r="B47" s="775"/>
      <c r="C47" s="776"/>
      <c r="D47" s="776"/>
      <c r="E47" s="776"/>
      <c r="F47" s="776"/>
      <c r="G47" s="776"/>
      <c r="H47" s="776"/>
      <c r="I47" s="777"/>
      <c r="J47" s="47"/>
      <c r="K47" s="770" t="s">
        <v>1605</v>
      </c>
      <c r="L47" s="770"/>
      <c r="M47" s="770"/>
      <c r="N47" s="770"/>
      <c r="O47" s="770"/>
      <c r="P47" s="770"/>
      <c r="Q47" s="770"/>
      <c r="R47" s="770"/>
      <c r="S47" s="173"/>
      <c r="T47" s="173"/>
    </row>
    <row r="48" spans="1:20" s="4" customFormat="1" ht="16.5" customHeight="1" x14ac:dyDescent="0.25">
      <c r="A48" s="47"/>
      <c r="B48" s="775"/>
      <c r="C48" s="776"/>
      <c r="D48" s="776"/>
      <c r="E48" s="776"/>
      <c r="F48" s="776"/>
      <c r="G48" s="776"/>
      <c r="H48" s="776"/>
      <c r="I48" s="777"/>
      <c r="J48" s="47"/>
      <c r="K48" s="770"/>
      <c r="L48" s="770"/>
      <c r="M48" s="770"/>
      <c r="N48" s="770"/>
      <c r="O48" s="770"/>
      <c r="P48" s="770"/>
      <c r="Q48" s="770"/>
      <c r="R48" s="770"/>
      <c r="S48" s="173"/>
      <c r="T48" s="173"/>
    </row>
    <row r="49" spans="1:20" s="4" customFormat="1" ht="16.5" customHeight="1" x14ac:dyDescent="0.25">
      <c r="A49" s="47"/>
      <c r="B49" s="775"/>
      <c r="C49" s="776"/>
      <c r="D49" s="776"/>
      <c r="E49" s="776"/>
      <c r="F49" s="776"/>
      <c r="G49" s="776"/>
      <c r="H49" s="776"/>
      <c r="I49" s="777"/>
      <c r="J49" s="47"/>
      <c r="K49" s="785" t="s">
        <v>1604</v>
      </c>
      <c r="L49" s="785"/>
      <c r="M49" s="785"/>
      <c r="N49" s="785"/>
      <c r="O49" s="785"/>
      <c r="P49" s="785"/>
      <c r="Q49" s="785"/>
      <c r="R49" s="785"/>
      <c r="S49" s="172"/>
      <c r="T49" s="172"/>
    </row>
    <row r="50" spans="1:20" s="4" customFormat="1" ht="16.5" customHeight="1" x14ac:dyDescent="0.25">
      <c r="A50" s="47"/>
      <c r="B50" s="775"/>
      <c r="C50" s="776"/>
      <c r="D50" s="776"/>
      <c r="E50" s="776"/>
      <c r="F50" s="776"/>
      <c r="G50" s="776"/>
      <c r="H50" s="776"/>
      <c r="I50" s="777"/>
      <c r="J50" s="47"/>
      <c r="K50" s="770" t="s">
        <v>1603</v>
      </c>
      <c r="L50" s="770"/>
      <c r="M50" s="770"/>
      <c r="N50" s="770"/>
      <c r="O50" s="770"/>
      <c r="P50" s="770"/>
      <c r="Q50" s="770"/>
      <c r="R50" s="770"/>
      <c r="S50" s="173"/>
      <c r="T50" s="173"/>
    </row>
    <row r="51" spans="1:20" s="4" customFormat="1" ht="16.5" customHeight="1" x14ac:dyDescent="0.25">
      <c r="A51" s="47"/>
      <c r="B51" s="775"/>
      <c r="C51" s="776"/>
      <c r="D51" s="776"/>
      <c r="E51" s="776"/>
      <c r="F51" s="776"/>
      <c r="G51" s="776"/>
      <c r="H51" s="776"/>
      <c r="I51" s="777"/>
      <c r="J51" s="47"/>
      <c r="K51" s="770"/>
      <c r="L51" s="770"/>
      <c r="M51" s="770"/>
      <c r="N51" s="770"/>
      <c r="O51" s="770"/>
      <c r="P51" s="770"/>
      <c r="Q51" s="770"/>
      <c r="R51" s="770"/>
      <c r="S51" s="173"/>
      <c r="T51" s="173"/>
    </row>
    <row r="52" spans="1:20" s="4" customFormat="1" ht="16.5" customHeight="1" x14ac:dyDescent="0.25">
      <c r="A52" s="47"/>
      <c r="B52" s="775"/>
      <c r="C52" s="776"/>
      <c r="D52" s="776"/>
      <c r="E52" s="776"/>
      <c r="F52" s="776"/>
      <c r="G52" s="776"/>
      <c r="H52" s="776"/>
      <c r="I52" s="777"/>
      <c r="J52" s="47"/>
      <c r="K52" s="770"/>
      <c r="L52" s="770"/>
      <c r="M52" s="770"/>
      <c r="N52" s="770"/>
      <c r="O52" s="770"/>
      <c r="P52" s="770"/>
      <c r="Q52" s="770"/>
      <c r="R52" s="770"/>
      <c r="S52" s="172"/>
      <c r="T52" s="172"/>
    </row>
    <row r="53" spans="1:20" s="4" customFormat="1" ht="16.5" customHeight="1" x14ac:dyDescent="0.25">
      <c r="A53" s="47"/>
      <c r="B53" s="775"/>
      <c r="C53" s="776"/>
      <c r="D53" s="776"/>
      <c r="E53" s="776"/>
      <c r="F53" s="776"/>
      <c r="G53" s="776"/>
      <c r="H53" s="776"/>
      <c r="I53" s="777"/>
      <c r="J53" s="47"/>
      <c r="K53" s="770"/>
      <c r="L53" s="770"/>
      <c r="M53" s="770"/>
      <c r="N53" s="770"/>
      <c r="O53" s="770"/>
      <c r="P53" s="770"/>
      <c r="Q53" s="770"/>
      <c r="R53" s="770"/>
      <c r="S53" s="173"/>
      <c r="T53" s="173"/>
    </row>
    <row r="54" spans="1:20" s="4" customFormat="1" ht="16.5" customHeight="1" x14ac:dyDescent="0.25">
      <c r="A54" s="47"/>
      <c r="B54" s="775"/>
      <c r="C54" s="776"/>
      <c r="D54" s="776"/>
      <c r="E54" s="776"/>
      <c r="F54" s="776"/>
      <c r="G54" s="776"/>
      <c r="H54" s="776"/>
      <c r="I54" s="777"/>
      <c r="J54" s="47"/>
      <c r="K54" s="770" t="s">
        <v>1602</v>
      </c>
      <c r="L54" s="770"/>
      <c r="M54" s="770"/>
      <c r="N54" s="770"/>
      <c r="O54" s="770"/>
      <c r="P54" s="770"/>
      <c r="Q54" s="770"/>
      <c r="R54" s="770"/>
      <c r="S54" s="173"/>
      <c r="T54" s="173"/>
    </row>
    <row r="55" spans="1:20" s="4" customFormat="1" ht="16.5" customHeight="1" x14ac:dyDescent="0.25">
      <c r="A55" s="47"/>
      <c r="B55" s="775"/>
      <c r="C55" s="776"/>
      <c r="D55" s="776"/>
      <c r="E55" s="776"/>
      <c r="F55" s="776"/>
      <c r="G55" s="776"/>
      <c r="H55" s="776"/>
      <c r="I55" s="777"/>
      <c r="J55" s="47"/>
      <c r="K55" s="770"/>
      <c r="L55" s="770"/>
      <c r="M55" s="770"/>
      <c r="N55" s="770"/>
      <c r="O55" s="770"/>
      <c r="P55" s="770"/>
      <c r="Q55" s="770"/>
      <c r="R55" s="770"/>
      <c r="S55" s="172"/>
      <c r="T55" s="172"/>
    </row>
    <row r="56" spans="1:20" s="4" customFormat="1" ht="16.5" customHeight="1" x14ac:dyDescent="0.25">
      <c r="A56" s="47"/>
      <c r="B56" s="775"/>
      <c r="C56" s="776"/>
      <c r="D56" s="776"/>
      <c r="E56" s="776"/>
      <c r="F56" s="776"/>
      <c r="G56" s="776"/>
      <c r="H56" s="776"/>
      <c r="I56" s="777"/>
      <c r="J56" s="47"/>
      <c r="K56" s="770"/>
      <c r="L56" s="770"/>
      <c r="M56" s="770"/>
      <c r="N56" s="770"/>
      <c r="O56" s="770"/>
      <c r="P56" s="770"/>
      <c r="Q56" s="770"/>
      <c r="R56" s="770"/>
      <c r="S56" s="171"/>
      <c r="T56" s="171"/>
    </row>
    <row r="57" spans="1:20" s="4" customFormat="1" ht="16.5" customHeight="1" x14ac:dyDescent="0.25">
      <c r="A57" s="47"/>
      <c r="B57" s="775"/>
      <c r="C57" s="776"/>
      <c r="D57" s="776"/>
      <c r="E57" s="776"/>
      <c r="F57" s="776"/>
      <c r="G57" s="776"/>
      <c r="H57" s="776"/>
      <c r="I57" s="777"/>
      <c r="J57" s="47"/>
      <c r="K57" s="770" t="s">
        <v>1601</v>
      </c>
      <c r="L57" s="770"/>
      <c r="M57" s="770"/>
      <c r="N57" s="770"/>
      <c r="O57" s="770"/>
      <c r="P57" s="770"/>
      <c r="Q57" s="770"/>
      <c r="R57" s="770"/>
      <c r="S57" s="171"/>
      <c r="T57" s="171"/>
    </row>
    <row r="58" spans="1:20" s="4" customFormat="1" ht="16.5" customHeight="1" x14ac:dyDescent="0.25">
      <c r="A58" s="47"/>
      <c r="B58" s="775"/>
      <c r="C58" s="776"/>
      <c r="D58" s="776"/>
      <c r="E58" s="776"/>
      <c r="F58" s="776"/>
      <c r="G58" s="776"/>
      <c r="H58" s="776"/>
      <c r="I58" s="777"/>
      <c r="J58" s="47"/>
      <c r="K58" s="770"/>
      <c r="L58" s="770"/>
      <c r="M58" s="770"/>
      <c r="N58" s="770"/>
      <c r="O58" s="770"/>
      <c r="P58" s="770"/>
      <c r="Q58" s="770"/>
      <c r="R58" s="770"/>
      <c r="S58" s="171"/>
      <c r="T58" s="171"/>
    </row>
    <row r="59" spans="1:20" s="4" customFormat="1" ht="16.5" customHeight="1" x14ac:dyDescent="0.25">
      <c r="A59" s="47"/>
      <c r="B59" s="775"/>
      <c r="C59" s="776"/>
      <c r="D59" s="776"/>
      <c r="E59" s="776"/>
      <c r="F59" s="776"/>
      <c r="G59" s="776"/>
      <c r="H59" s="776"/>
      <c r="I59" s="777"/>
      <c r="J59" s="47"/>
      <c r="K59" s="782" t="s">
        <v>1600</v>
      </c>
      <c r="L59" s="782"/>
      <c r="M59" s="782"/>
      <c r="N59" s="782"/>
      <c r="O59" s="782"/>
      <c r="P59" s="782"/>
      <c r="Q59" s="782"/>
      <c r="R59" s="782"/>
    </row>
    <row r="60" spans="1:20" s="4" customFormat="1" ht="16.5" customHeight="1" x14ac:dyDescent="0.25">
      <c r="A60" s="47"/>
      <c r="B60" s="775"/>
      <c r="C60" s="776"/>
      <c r="D60" s="776"/>
      <c r="E60" s="776"/>
      <c r="F60" s="776"/>
      <c r="G60" s="776"/>
      <c r="H60" s="776"/>
      <c r="I60" s="777"/>
      <c r="J60" s="47"/>
      <c r="K60" s="782"/>
      <c r="L60" s="782"/>
      <c r="M60" s="782"/>
      <c r="N60" s="782"/>
      <c r="O60" s="782"/>
      <c r="P60" s="782"/>
      <c r="Q60" s="782"/>
      <c r="R60" s="782"/>
    </row>
    <row r="61" spans="1:20" s="4" customFormat="1" ht="16.5" customHeight="1" x14ac:dyDescent="0.25">
      <c r="A61" s="47"/>
      <c r="B61" s="775"/>
      <c r="C61" s="776"/>
      <c r="D61" s="776"/>
      <c r="E61" s="776"/>
      <c r="F61" s="776"/>
      <c r="G61" s="776"/>
      <c r="H61" s="776"/>
      <c r="I61" s="777"/>
      <c r="J61" s="47"/>
      <c r="K61" s="782"/>
      <c r="L61" s="782"/>
      <c r="M61" s="782"/>
      <c r="N61" s="782"/>
      <c r="O61" s="782"/>
      <c r="P61" s="782"/>
      <c r="Q61" s="782"/>
      <c r="R61" s="782"/>
    </row>
    <row r="62" spans="1:20" s="4" customFormat="1" ht="16.5" customHeight="1" x14ac:dyDescent="0.25">
      <c r="A62" s="47"/>
      <c r="B62" s="778"/>
      <c r="C62" s="779"/>
      <c r="D62" s="779"/>
      <c r="E62" s="779"/>
      <c r="F62" s="779"/>
      <c r="G62" s="779"/>
      <c r="H62" s="779"/>
      <c r="I62" s="780"/>
      <c r="J62" s="47"/>
      <c r="K62" s="170" t="s">
        <v>1599</v>
      </c>
    </row>
  </sheetData>
  <sheetProtection algorithmName="SHA-512" hashValue="IIM/c+yWnUCX+iLMQiH9mkdJ8f0MCrMJtKW2zKEpBZ/3n2h/kTIkewFlQ7bAuO8c8zZUJupBj91HWXUbSz5kLw==" saltValue="XB3iu2SBe4xwHnSDt0OCZA==" spinCount="100000" sheet="1" formatCells="0" selectLockedCells="1"/>
  <mergeCells count="60">
    <mergeCell ref="F20:I20"/>
    <mergeCell ref="F34:G34"/>
    <mergeCell ref="F38:G38"/>
    <mergeCell ref="F26:G26"/>
    <mergeCell ref="F25:G25"/>
    <mergeCell ref="F30:G30"/>
    <mergeCell ref="H30:I30"/>
    <mergeCell ref="H28:I28"/>
    <mergeCell ref="F32:I33"/>
    <mergeCell ref="H34:I34"/>
    <mergeCell ref="B4:I4"/>
    <mergeCell ref="E6:I6"/>
    <mergeCell ref="E8:I8"/>
    <mergeCell ref="H29:I29"/>
    <mergeCell ref="F21:I21"/>
    <mergeCell ref="E16:E17"/>
    <mergeCell ref="F29:G29"/>
    <mergeCell ref="F28:G28"/>
    <mergeCell ref="F27:G27"/>
    <mergeCell ref="E23:I23"/>
    <mergeCell ref="H26:I26"/>
    <mergeCell ref="H25:I25"/>
    <mergeCell ref="H24:I24"/>
    <mergeCell ref="H27:I27"/>
    <mergeCell ref="H19:I19"/>
    <mergeCell ref="F19:G19"/>
    <mergeCell ref="O5:O6"/>
    <mergeCell ref="K59:R61"/>
    <mergeCell ref="N5:N6"/>
    <mergeCell ref="M5:M6"/>
    <mergeCell ref="L5:L6"/>
    <mergeCell ref="K5:K6"/>
    <mergeCell ref="K57:R58"/>
    <mergeCell ref="K49:R49"/>
    <mergeCell ref="K47:R48"/>
    <mergeCell ref="B47:I62"/>
    <mergeCell ref="F39:G39"/>
    <mergeCell ref="F40:G40"/>
    <mergeCell ref="B36:I36"/>
    <mergeCell ref="H40:I40"/>
    <mergeCell ref="H44:I44"/>
    <mergeCell ref="F43:I43"/>
    <mergeCell ref="H38:I38"/>
    <mergeCell ref="H39:I39"/>
    <mergeCell ref="B1:B3"/>
    <mergeCell ref="C1:C3"/>
    <mergeCell ref="K54:R56"/>
    <mergeCell ref="F24:G24"/>
    <mergeCell ref="F44:G44"/>
    <mergeCell ref="E32:E33"/>
    <mergeCell ref="F41:I41"/>
    <mergeCell ref="F42:I42"/>
    <mergeCell ref="K50:R53"/>
    <mergeCell ref="K46:R46"/>
    <mergeCell ref="B46:I46"/>
    <mergeCell ref="R5:R6"/>
    <mergeCell ref="Q5:Q6"/>
    <mergeCell ref="P5:P6"/>
    <mergeCell ref="L4:R4"/>
    <mergeCell ref="K25:R25"/>
  </mergeCells>
  <conditionalFormatting sqref="C12">
    <cfRule type="expression" dxfId="34" priority="20">
      <formula>AND($C$12&lt;680,$C$12&gt;0)</formula>
    </cfRule>
  </conditionalFormatting>
  <conditionalFormatting sqref="C32">
    <cfRule type="expression" dxfId="33" priority="19">
      <formula>AND($C$32="FRM",OR($C$14="Multifamily (8+)",$C$14="Mixed-Use"))</formula>
    </cfRule>
  </conditionalFormatting>
  <conditionalFormatting sqref="F30:G30">
    <cfRule type="expression" dxfId="32" priority="6">
      <formula>$E$24="Quote"</formula>
    </cfRule>
  </conditionalFormatting>
  <conditionalFormatting sqref="H30:I30">
    <cfRule type="expression" dxfId="31" priority="5">
      <formula>$E$24="Appraisal/Lock"</formula>
    </cfRule>
  </conditionalFormatting>
  <conditionalFormatting sqref="C30">
    <cfRule type="expression" dxfId="30" priority="1">
      <formula>AND($C$18="PA",$D$29=1,$C$38&lt;301022,OR($C$15=1,$C$15=2))</formula>
    </cfRule>
  </conditionalFormatting>
  <dataValidations xWindow="294" yWindow="389" count="3">
    <dataValidation type="list" allowBlank="1" showInputMessage="1" showErrorMessage="1" promptTitle="Interest-Only" prompt="- If Amortization selection is an ARM, Interest-Only period MUST match term of the ARM_x000a_- If Amortization selection is FRM, Interest-Only period MUST be 10y IO selection" sqref="C34" xr:uid="{B8ACCD52-CA3A-4F12-8047-93A9D0A42835}">
      <formula1>INDIRECT(A34)</formula1>
    </dataValidation>
    <dataValidation type="list" allowBlank="1" showInputMessage="1" showErrorMessage="1" sqref="C30 C32:C33" xr:uid="{BF8536A6-C320-49C6-A741-8CAE903B9605}">
      <formula1>INDIRECT(A30)</formula1>
    </dataValidation>
    <dataValidation allowBlank="1" showInputMessage="1" showErrorMessage="1" promptTitle="FICO Score" prompt="Please input the highest qualifying FICO score within this cell. If borrower is a Foreign National and does not have U.S. FICO, please leave blank" sqref="C12" xr:uid="{419AFACE-0479-452F-A74B-D6070735366A}"/>
  </dataValidations>
  <pageMargins left="0.25" right="0.25" top="0.75" bottom="0.75" header="0.3" footer="0.3"/>
  <pageSetup scale="3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ClearDSCRSA">
                <anchor moveWithCells="1" sizeWithCells="1">
                  <from>
                    <xdr:col>4</xdr:col>
                    <xdr:colOff>171450</xdr:colOff>
                    <xdr:row>0</xdr:row>
                    <xdr:rowOff>85725</xdr:rowOff>
                  </from>
                  <to>
                    <xdr:col>6</xdr:col>
                    <xdr:colOff>114300</xdr:colOff>
                    <xdr:row>2</xdr:row>
                    <xdr:rowOff>142875</xdr:rowOff>
                  </to>
                </anchor>
              </controlPr>
            </control>
          </mc:Choice>
        </mc:AlternateContent>
        <mc:AlternateContent xmlns:mc="http://schemas.openxmlformats.org/markup-compatibility/2006">
          <mc:Choice Requires="x14">
            <control shapeId="3075" r:id="rId5" name="Button 3">
              <controlPr defaultSize="0" print="0" autoFill="0" autoPict="0" macro="[0]!CopPasDSCRSA">
                <anchor moveWithCells="1" sizeWithCells="1">
                  <from>
                    <xdr:col>18</xdr:col>
                    <xdr:colOff>266700</xdr:colOff>
                    <xdr:row>5</xdr:row>
                    <xdr:rowOff>28575</xdr:rowOff>
                  </from>
                  <to>
                    <xdr:col>22</xdr:col>
                    <xdr:colOff>47625</xdr:colOff>
                    <xdr:row>11</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47971081-6579-49D8-9EC2-94A055D8F7F2}">
            <xm:f>'DSCR (Loan Calc)'!$C$6="Multi"</xm:f>
            <x14:dxf>
              <font>
                <color theme="1"/>
              </font>
              <fill>
                <patternFill>
                  <bgColor theme="1"/>
                </patternFill>
              </fill>
              <border>
                <left style="thin">
                  <color auto="1"/>
                </left>
                <right style="thin">
                  <color auto="1"/>
                </right>
                <top style="thin">
                  <color auto="1"/>
                </top>
                <bottom style="thin">
                  <color auto="1"/>
                </bottom>
                <vertical/>
                <horizontal/>
              </border>
            </x14:dxf>
          </x14:cfRule>
          <xm:sqref>E8:I18 E21:I21 E19:F19 H19</xm:sqref>
        </x14:conditionalFormatting>
        <x14:conditionalFormatting xmlns:xm="http://schemas.microsoft.com/office/excel/2006/main">
          <x14:cfRule type="expression" priority="4" id="{B596DF33-DC12-4546-8EED-B88718141C1B}">
            <xm:f>'DSCR (Loan Calc)'!$C$6="SFR"</xm:f>
            <x14:dxf>
              <font>
                <color theme="1"/>
              </font>
              <fill>
                <patternFill>
                  <bgColor theme="1"/>
                </patternFill>
              </fill>
              <border>
                <left style="thin">
                  <color auto="1"/>
                </left>
                <right style="thin">
                  <color auto="1"/>
                </right>
                <top style="thin">
                  <color auto="1"/>
                </top>
                <bottom style="thin">
                  <color auto="1"/>
                </bottom>
                <vertical/>
                <horizontal/>
              </border>
            </x14:dxf>
          </x14:cfRule>
          <xm:sqref>E23:I31 E34:I34 E32:F32</xm:sqref>
        </x14:conditionalFormatting>
      </x14:conditionalFormattings>
    </ext>
    <ext xmlns:x14="http://schemas.microsoft.com/office/spreadsheetml/2009/9/main" uri="{CCE6A557-97BC-4b89-ADB6-D9C93CAAB3DF}">
      <x14:dataValidations xmlns:xm="http://schemas.microsoft.com/office/excel/2006/main" xWindow="294" yWindow="389" count="8">
        <x14:dataValidation type="list" allowBlank="1" showInputMessage="1" showErrorMessage="1" error="Please select available option(s) from drop down list" promptTitle="Rebate" prompt="Please select PPP before selecting rebate options!_x000a_" xr:uid="{BED4B9BE-566D-4FEB-B11F-FE759C4AD441}">
          <x14:formula1>
            <xm:f>'DSCR (Legend)'!$BI$2:$BI$14</xm:f>
          </x14:formula1>
          <xm:sqref>C9</xm:sqref>
        </x14:dataValidation>
        <x14:dataValidation type="list" allowBlank="1" showInputMessage="1" showErrorMessage="1" xr:uid="{BF120070-500D-45E1-ACEA-F845D0697C20}">
          <x14:formula1>
            <xm:f>'DSCR (Legend)'!$Q$2:$Q$9</xm:f>
          </x14:formula1>
          <xm:sqref>K4</xm:sqref>
        </x14:dataValidation>
        <x14:dataValidation type="list" allowBlank="1" showInputMessage="1" showErrorMessage="1" xr:uid="{9C4ED313-E733-42E4-B3BC-5813507579A7}">
          <x14:formula1>
            <xm:f>'DSCR (Legend)'!$AI$1:$AI$2</xm:f>
          </x14:formula1>
          <xm:sqref>E24</xm:sqref>
        </x14:dataValidation>
        <x14:dataValidation type="list" allowBlank="1" showInputMessage="1" showErrorMessage="1" errorTitle="State" error="Please select a state within the dropdown list" xr:uid="{95C8F0AE-D606-4535-9620-E6BAA6AFBAE9}">
          <x14:formula1>
            <xm:f>'DSCR (Legend)'!$V$2:$V$52</xm:f>
          </x14:formula1>
          <xm:sqref>C18</xm:sqref>
        </x14:dataValidation>
        <x14:dataValidation type="list" allowBlank="1" showInputMessage="1" showErrorMessage="1" promptTitle="Leasing Status" prompt="LTR: Long Term (6+ Months) / Month-to-Month Leases_x000a_STR: Vacation Rentals (12 months history) and/or Short-Term Leases (&lt;6 Months) _x000a_Vacant (LTR): Unit is &quot;not leased&quot; with LTR intent_x000a_Vacant (STR): Unit &quot;not leased&quot; with STR intent" xr:uid="{2595EE69-A051-49F5-89CA-42FE46459E19}">
          <x14:formula1>
            <xm:f>'DSCR (Legend)'!$U$2:$U$5</xm:f>
          </x14:formula1>
          <xm:sqref>F10:F13</xm:sqref>
        </x14:dataValidation>
        <x14:dataValidation type="list" allowBlank="1" showInputMessage="1" showErrorMessage="1" xr:uid="{C4F3D42D-7C7F-4F11-A513-8F24202C589F}">
          <x14:formula1>
            <xm:f>'DSCR (Legend)'!$T$2:$T$5</xm:f>
          </x14:formula1>
          <xm:sqref>C8</xm:sqref>
        </x14:dataValidation>
        <x14:dataValidation type="list" allowBlank="1" showInputMessage="1" showErrorMessage="1" xr:uid="{F27394EB-0069-440E-B318-5B7B6248E1EA}">
          <x14:formula1>
            <xm:f>'DSCR (Legend)'!$S$2:$S$9</xm:f>
          </x14:formula1>
          <xm:sqref>C14</xm:sqref>
        </x14:dataValidation>
        <x14:dataValidation type="list" allowBlank="1" showInputMessage="1" showErrorMessage="1" errorTitle="Citizenship" error="Selection Not Permitted" promptTitle="Citizenship" prompt="Please select the citizenship status of the Primary Guarantor for the proposed transaction" xr:uid="{92645967-ECC1-44B9-96F0-F0743C37DB16}">
          <x14:formula1>
            <xm:f>'DSCR (Legend)'!$R$2:$R$4</xm:f>
          </x14:formula1>
          <xm:sqref>C11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CEE92-8D3D-4AA9-A506-E1C302D398F4}">
  <sheetPr codeName="Sheet9">
    <tabColor rgb="FF607A96"/>
  </sheetPr>
  <dimension ref="A1:DP132"/>
  <sheetViews>
    <sheetView topLeftCell="DU32" zoomScale="60" zoomScaleNormal="60" workbookViewId="0">
      <selection activeCell="A61" sqref="A1:DT1048576"/>
    </sheetView>
  </sheetViews>
  <sheetFormatPr defaultColWidth="9" defaultRowHeight="15.75" x14ac:dyDescent="0.25"/>
  <cols>
    <col min="1" max="1" width="11.28515625" style="51" hidden="1" customWidth="1"/>
    <col min="2" max="2" width="30.140625" style="51" hidden="1" customWidth="1"/>
    <col min="3" max="3" width="28.42578125" style="51" hidden="1" customWidth="1"/>
    <col min="4" max="21" width="26.140625" style="51" hidden="1" customWidth="1"/>
    <col min="22" max="31" width="26" style="51" hidden="1" customWidth="1"/>
    <col min="32" max="32" width="22.42578125" style="51" hidden="1" customWidth="1"/>
    <col min="33" max="33" width="19.42578125" style="51" hidden="1" customWidth="1"/>
    <col min="34" max="34" width="18.140625" style="51" hidden="1" customWidth="1"/>
    <col min="35" max="35" width="20.42578125" style="51" hidden="1" customWidth="1"/>
    <col min="36" max="36" width="16.140625" style="51" hidden="1" customWidth="1"/>
    <col min="37" max="37" width="17.140625" style="51" hidden="1" customWidth="1"/>
    <col min="38" max="38" width="19.5703125" style="51" hidden="1" customWidth="1"/>
    <col min="39" max="39" width="9" style="51" hidden="1" customWidth="1"/>
    <col min="40" max="42" width="15.28515625" style="51" hidden="1" customWidth="1"/>
    <col min="43" max="68" width="24.28515625" style="51" hidden="1" customWidth="1"/>
    <col min="69" max="69" width="9" style="51" hidden="1" customWidth="1"/>
    <col min="70" max="71" width="18.42578125" style="51" hidden="1" customWidth="1"/>
    <col min="72" max="72" width="21.140625" style="51" hidden="1" customWidth="1"/>
    <col min="73" max="73" width="20" style="51" hidden="1" customWidth="1"/>
    <col min="74" max="74" width="9.7109375" style="51" hidden="1" customWidth="1"/>
    <col min="75" max="75" width="9" style="51" hidden="1" customWidth="1"/>
    <col min="76" max="76" width="10.28515625" style="51" hidden="1" customWidth="1"/>
    <col min="77" max="77" width="14.140625" style="51" hidden="1" customWidth="1"/>
    <col min="78" max="78" width="16" style="51" hidden="1" customWidth="1"/>
    <col min="79" max="80" width="13.28515625" style="51" hidden="1" customWidth="1"/>
    <col min="81" max="82" width="15.140625" style="51" hidden="1" customWidth="1"/>
    <col min="83" max="86" width="17.42578125" style="51" hidden="1" customWidth="1"/>
    <col min="87" max="90" width="14.7109375" style="51" hidden="1" customWidth="1"/>
    <col min="91" max="93" width="21.28515625" style="51" hidden="1" customWidth="1"/>
    <col min="94" max="95" width="9" style="51" hidden="1" customWidth="1"/>
    <col min="96" max="100" width="16.5703125" style="51" hidden="1" customWidth="1"/>
    <col min="101" max="120" width="9" style="51" hidden="1" customWidth="1"/>
    <col min="121" max="124" width="0" style="51" hidden="1" customWidth="1"/>
    <col min="125" max="16384" width="9" style="51"/>
  </cols>
  <sheetData>
    <row r="1" spans="2:100" x14ac:dyDescent="0.25">
      <c r="N1" s="51" t="s">
        <v>1822</v>
      </c>
    </row>
    <row r="2" spans="2:100" x14ac:dyDescent="0.25">
      <c r="B2" s="794" t="s">
        <v>1821</v>
      </c>
      <c r="C2" s="794"/>
      <c r="D2" s="794" t="s">
        <v>1526</v>
      </c>
      <c r="E2" s="794"/>
      <c r="F2" s="794"/>
      <c r="G2" s="794"/>
      <c r="H2" s="794"/>
      <c r="I2" s="794"/>
      <c r="J2" s="794"/>
      <c r="K2" s="794" t="s">
        <v>1820</v>
      </c>
      <c r="L2" s="794"/>
      <c r="N2" s="214">
        <f>$A$66</f>
        <v>0</v>
      </c>
      <c r="O2" s="206">
        <f>$B$66</f>
        <v>104</v>
      </c>
      <c r="P2" s="228" t="e">
        <f>$C$66/100</f>
        <v>#VALUE!</v>
      </c>
      <c r="Q2" s="71"/>
      <c r="R2" s="71"/>
      <c r="V2" s="51" t="s">
        <v>1569</v>
      </c>
      <c r="AN2" s="214">
        <f>$A$66</f>
        <v>0</v>
      </c>
      <c r="AO2" s="206">
        <f>$B$66</f>
        <v>104</v>
      </c>
      <c r="AP2" s="228" t="e">
        <f>$C$66/100</f>
        <v>#VALUE!</v>
      </c>
      <c r="BR2" s="639" t="s">
        <v>1675</v>
      </c>
      <c r="BS2" s="639"/>
      <c r="BT2" s="206">
        <f>$B$66</f>
        <v>104</v>
      </c>
      <c r="BY2" s="639" t="s">
        <v>1786</v>
      </c>
      <c r="BZ2" s="639"/>
      <c r="CA2" s="639" t="s">
        <v>1785</v>
      </c>
      <c r="CB2" s="639"/>
      <c r="CC2" s="639" t="s">
        <v>1784</v>
      </c>
      <c r="CD2" s="639"/>
      <c r="CE2" s="639" t="s">
        <v>1783</v>
      </c>
      <c r="CF2" s="639"/>
      <c r="CG2" s="639"/>
      <c r="CH2" s="639"/>
      <c r="CI2" s="51" t="s">
        <v>1782</v>
      </c>
      <c r="CK2" s="639" t="s">
        <v>1700</v>
      </c>
      <c r="CL2" s="639"/>
      <c r="CM2" s="639" t="s">
        <v>1781</v>
      </c>
      <c r="CN2" s="639" t="s">
        <v>1780</v>
      </c>
      <c r="CO2" s="639" t="s">
        <v>1700</v>
      </c>
    </row>
    <row r="3" spans="2:100" x14ac:dyDescent="0.25">
      <c r="B3" s="51" t="s">
        <v>110</v>
      </c>
      <c r="C3" s="222">
        <f>'DSCR (Single Asset)'!$C$8</f>
        <v>0</v>
      </c>
      <c r="D3" s="195" t="s">
        <v>1698</v>
      </c>
      <c r="E3" s="195" t="s">
        <v>1697</v>
      </c>
      <c r="F3" s="195" t="s">
        <v>1696</v>
      </c>
      <c r="G3" s="195" t="s">
        <v>1695</v>
      </c>
      <c r="H3" s="195" t="s">
        <v>1694</v>
      </c>
      <c r="I3" s="195" t="s">
        <v>1693</v>
      </c>
      <c r="J3" s="195" t="s">
        <v>1692</v>
      </c>
      <c r="N3" s="51" t="s">
        <v>161</v>
      </c>
      <c r="O3" s="51" t="s">
        <v>1778</v>
      </c>
      <c r="P3" s="51" t="s">
        <v>1795</v>
      </c>
      <c r="Q3" s="51" t="s">
        <v>1819</v>
      </c>
      <c r="R3" s="51" t="s">
        <v>1818</v>
      </c>
      <c r="S3" s="51" t="s">
        <v>1817</v>
      </c>
      <c r="T3" s="51" t="s">
        <v>1816</v>
      </c>
      <c r="U3" s="51" t="s">
        <v>1742</v>
      </c>
      <c r="V3" s="51">
        <f>$C$5</f>
        <v>0</v>
      </c>
      <c r="W3" s="51">
        <f>$C$3</f>
        <v>0</v>
      </c>
      <c r="X3" s="51">
        <f>$C$12</f>
        <v>0</v>
      </c>
      <c r="Y3" s="51">
        <f>$C$13</f>
        <v>0</v>
      </c>
      <c r="Z3" s="51">
        <f>$C$14</f>
        <v>0</v>
      </c>
      <c r="AA3" s="51">
        <f>'DSCR (Single Asset)'!$C$30</f>
        <v>0</v>
      </c>
      <c r="AB3" s="51" t="s">
        <v>1735</v>
      </c>
      <c r="AC3" s="51" t="s">
        <v>1733</v>
      </c>
      <c r="AD3" s="51">
        <f>'DSCR (Single Asset)'!$C$18</f>
        <v>0</v>
      </c>
      <c r="AE3" s="51" t="s">
        <v>1792</v>
      </c>
      <c r="AF3" s="51" t="s">
        <v>1731</v>
      </c>
      <c r="AG3" s="51" t="s">
        <v>1791</v>
      </c>
      <c r="AH3" s="51" t="s">
        <v>1760</v>
      </c>
      <c r="AI3" s="51" t="s">
        <v>1700</v>
      </c>
      <c r="AJ3" s="51" t="s">
        <v>1790</v>
      </c>
      <c r="AK3" s="51" t="s">
        <v>1789</v>
      </c>
      <c r="AL3" s="51" t="s">
        <v>1788</v>
      </c>
      <c r="AN3" s="51" t="s">
        <v>161</v>
      </c>
      <c r="AO3" s="51" t="s">
        <v>1778</v>
      </c>
      <c r="AP3" s="51" t="s">
        <v>1795</v>
      </c>
      <c r="AQ3" s="51" t="s">
        <v>1815</v>
      </c>
      <c r="AR3" s="51" t="s">
        <v>1793</v>
      </c>
      <c r="AS3" s="51">
        <f>$C$5</f>
        <v>0</v>
      </c>
      <c r="AT3" s="51">
        <f>$C$3</f>
        <v>0</v>
      </c>
      <c r="AU3" s="51">
        <f>$C$12</f>
        <v>0</v>
      </c>
      <c r="AV3" s="51">
        <f>$C$13</f>
        <v>0</v>
      </c>
      <c r="AW3" s="51">
        <f>$C$14</f>
        <v>0</v>
      </c>
      <c r="AX3" s="51">
        <f>'DSCR (Single Asset)'!$C$30</f>
        <v>0</v>
      </c>
      <c r="AY3" s="51" t="s">
        <v>1735</v>
      </c>
      <c r="AZ3" s="51" t="s">
        <v>1733</v>
      </c>
      <c r="BA3" s="51">
        <f>'DSCR (Single Asset)'!$C$18</f>
        <v>0</v>
      </c>
      <c r="BB3" s="51" t="s">
        <v>1792</v>
      </c>
      <c r="BC3" s="51" t="s">
        <v>1731</v>
      </c>
      <c r="BD3" s="51" t="s">
        <v>1791</v>
      </c>
      <c r="BE3" s="51" t="s">
        <v>1760</v>
      </c>
      <c r="BF3" s="51" t="s">
        <v>1700</v>
      </c>
      <c r="BG3" s="51" t="s">
        <v>1790</v>
      </c>
      <c r="BH3" s="51" t="s">
        <v>1789</v>
      </c>
      <c r="BI3" s="51" t="s">
        <v>1788</v>
      </c>
      <c r="BJ3" s="235" t="s">
        <v>1814</v>
      </c>
      <c r="BK3" s="235" t="s">
        <v>1778</v>
      </c>
      <c r="BL3" s="235" t="s">
        <v>1742</v>
      </c>
      <c r="BM3" s="235" t="s">
        <v>1813</v>
      </c>
      <c r="BN3" s="235" t="s">
        <v>1812</v>
      </c>
      <c r="BO3" s="235" t="s">
        <v>1539</v>
      </c>
      <c r="BP3" s="235" t="s">
        <v>1811</v>
      </c>
      <c r="BR3" s="51" t="s">
        <v>161</v>
      </c>
      <c r="BS3" s="51" t="s">
        <v>1778</v>
      </c>
      <c r="BT3" s="51" t="s">
        <v>62</v>
      </c>
      <c r="BU3" s="51" t="s">
        <v>1674</v>
      </c>
      <c r="BV3" s="51" t="s">
        <v>156</v>
      </c>
      <c r="BW3" s="51" t="s">
        <v>155</v>
      </c>
      <c r="BX3" s="51" t="s">
        <v>1777</v>
      </c>
      <c r="BY3" s="51" t="s">
        <v>1776</v>
      </c>
      <c r="BZ3" s="51" t="s">
        <v>1736</v>
      </c>
      <c r="CA3" s="51" t="s">
        <v>1771</v>
      </c>
      <c r="CB3" s="51" t="s">
        <v>1770</v>
      </c>
      <c r="CC3" s="51" t="s">
        <v>1771</v>
      </c>
      <c r="CD3" s="51" t="s">
        <v>1770</v>
      </c>
      <c r="CE3" s="51" t="s">
        <v>1775</v>
      </c>
      <c r="CF3" s="51" t="s">
        <v>1774</v>
      </c>
      <c r="CG3" s="51" t="s">
        <v>1773</v>
      </c>
      <c r="CH3" s="51" t="s">
        <v>1772</v>
      </c>
      <c r="CI3" s="51" t="s">
        <v>1771</v>
      </c>
      <c r="CJ3" s="51" t="s">
        <v>1770</v>
      </c>
      <c r="CK3" s="51" t="s">
        <v>1771</v>
      </c>
      <c r="CL3" s="51" t="s">
        <v>1770</v>
      </c>
      <c r="CM3" s="639"/>
      <c r="CN3" s="639"/>
      <c r="CO3" s="639"/>
      <c r="CR3" s="51" t="s">
        <v>1769</v>
      </c>
      <c r="CS3" s="51" t="s">
        <v>1768</v>
      </c>
      <c r="CT3" s="51" t="s">
        <v>161</v>
      </c>
      <c r="CU3" s="51" t="s">
        <v>140</v>
      </c>
      <c r="CV3" s="51" t="s">
        <v>1767</v>
      </c>
    </row>
    <row r="4" spans="2:100" x14ac:dyDescent="0.25">
      <c r="B4" s="51" t="s">
        <v>1810</v>
      </c>
      <c r="C4" s="222" t="str">
        <f>'DSCR (Single Asset)'!$F$19</f>
        <v>LTR</v>
      </c>
      <c r="D4" s="193" t="str">
        <f>'DSCR (Legend)'!D4</f>
        <v>&lt; 575</v>
      </c>
      <c r="E4" s="192" t="str">
        <f t="shared" ref="E4:J17" si="0">E119</f>
        <v>-</v>
      </c>
      <c r="F4" s="192" t="str">
        <f t="shared" si="0"/>
        <v>-</v>
      </c>
      <c r="G4" s="192" t="str">
        <f t="shared" si="0"/>
        <v>-</v>
      </c>
      <c r="H4" s="192" t="str">
        <f t="shared" si="0"/>
        <v>-</v>
      </c>
      <c r="I4" s="192" t="str">
        <f t="shared" si="0"/>
        <v>-</v>
      </c>
      <c r="J4" s="192" t="str">
        <f t="shared" si="0"/>
        <v>-</v>
      </c>
      <c r="K4" s="51" t="s">
        <v>1796</v>
      </c>
      <c r="L4" s="226">
        <f>'DSCR (Single Asset)'!$I$14</f>
        <v>0</v>
      </c>
      <c r="N4" s="53">
        <v>0</v>
      </c>
      <c r="O4" s="53">
        <f t="shared" ref="O4:O20" si="1">($O$2/100)-N4</f>
        <v>1.04</v>
      </c>
      <c r="P4" s="56" t="e">
        <f t="shared" ref="P4:P20" si="2">((O4-$P$2)/$N$2)</f>
        <v>#VALUE!</v>
      </c>
      <c r="Q4" s="57" t="str">
        <f t="shared" ref="Q4:Q20" si="3">IF(OR($C$3="Purchase",$C$3="Delayed Purchase"),MIN($C$37*$C$19,$C$38*$C$22),IF(OR($C$3="Refinance (Rate/Term)",$C$3="Refinance (Cash Out)"),$C$37*$C$19,"-"))</f>
        <v>-</v>
      </c>
      <c r="R4" s="57" t="str">
        <f t="shared" ref="R4:R20" si="4">IF(OR(Q4&lt;$C$40,Q4&gt;$C$39),"-",Q4)</f>
        <v>-</v>
      </c>
      <c r="S4" s="57" t="str">
        <f>IF(OR($C$3="Purchase",$C$3="Delayed Purchase",$C$3="Refinance (Cash Out)"),"-",IF($C$3="Refinance (Rate/Term)",'DSCR (Single Asset)'!$C$22*102%,"-"))</f>
        <v>-</v>
      </c>
      <c r="T4" s="57" t="str">
        <f t="shared" ref="T4:T20" si="5">IF($C$3="Refinance (Rate/Term)",MIN(R4:S4),R4)</f>
        <v>-</v>
      </c>
      <c r="U4" s="51" t="str">
        <f>IF(T4="-","-",IF(($T4/$C$19)&lt;=INDEX('DSCR (Legend)'!$F$3:$H$14,MATCH(($T4/$C$19),'DSCR (Legend)'!$F$3:$F$14,1),2),INDEX('DSCR (Legend)'!$F$3:$H$14,MATCH(($T4/$C$19),'DSCR (Legend)'!$F$3:$F$14,1),3),"-"))</f>
        <v>-</v>
      </c>
      <c r="V4" s="67" t="str">
        <f>IFERROR(IF($C$6="SFR",VLOOKUP(V$3,'DSCR (LLPA)'!$M:$V,MATCH($U4,'DSCR (LLPA)'!$M$1:$V$1,0),FALSE),IF($C$6="Multi",VLOOKUP(V$3,'DSCR (LLPA)'!$X:$AG,MATCH($U4,'DSCR (LLPA)'!$X$1:$AG$1,0),FALSE),"-")),"-")</f>
        <v>-</v>
      </c>
      <c r="W4" s="67" t="str">
        <f>IFERROR(IF($C$6="SFR",VLOOKUP(W$3,'DSCR (LLPA)'!$M:$V,MATCH($U4,'DSCR (LLPA)'!$M$1:$V$1,0),FALSE),IF($C$6="Multi",VLOOKUP(W$3,'DSCR (LLPA)'!$X:$AG,MATCH($U4,'DSCR (LLPA)'!$X$1:$AG$1,0),FALSE),"-")),"-")</f>
        <v>-</v>
      </c>
      <c r="X4" s="67" t="str">
        <f>IFERROR(IF($C$6="SFR",VLOOKUP(X$3,'DSCR (LLPA)'!$M:$V,MATCH($U4,'DSCR (LLPA)'!$M$1:$V$1,0),FALSE),IF($C$6="Multi",VLOOKUP(X$3,'DSCR (LLPA)'!$X:$AG,MATCH($U4,'DSCR (LLPA)'!$X$1:$AG$1,0),FALSE),"-")),"-")</f>
        <v>-</v>
      </c>
      <c r="Y4" s="67" t="str">
        <f>IFERROR(IF($C$6="SFR",VLOOKUP(Y$3,'DSCR (LLPA)'!$M:$V,MATCH($U4,'DSCR (LLPA)'!$M$1:$V$1,0),FALSE),IF($C$6="Multi",VLOOKUP(Y$3,'DSCR (LLPA)'!$X:$AG,MATCH($U4,'DSCR (LLPA)'!$X$1:$AG$1,0),FALSE),"-")),"-")</f>
        <v>-</v>
      </c>
      <c r="Z4" s="67" t="str">
        <f>IFERROR(IF($C$6="SFR",VLOOKUP(Z$3,'DSCR (LLPA)'!$M:$V,MATCH($U4,'DSCR (LLPA)'!$M$1:$V$1,0),FALSE),IF($C$6="Multi",VLOOKUP(Z$3,'DSCR (LLPA)'!$X:$AG,MATCH($U4,'DSCR (LLPA)'!$X$1:$AG$1,0),FALSE),"-")),"-")</f>
        <v>-</v>
      </c>
      <c r="AA4" s="67" t="str">
        <f>IFERROR(IF($C$6="SFR",VLOOKUP(AA$3,'DSCR (LLPA)'!$M:$V,MATCH($U4,'DSCR (LLPA)'!$M$1:$V$1,0),FALSE),IF($C$6="Multi",VLOOKUP(AA$3,'DSCR (LLPA)'!$X:$AG,MATCH($U4,'DSCR (LLPA)'!$X$1:$AG$1,0),FALSE),"-")),"-")</f>
        <v>-</v>
      </c>
      <c r="AB4" s="67" t="str">
        <f>IF($T4="-","-",IF($T4&lt;=INDEX('DSCR (Legend)'!$J$3:$L$17,MATCH($T4,'DSCR (Legend)'!$J$3:$J$17,1),2),INDEX('DSCR (Legend)'!$J$3:$L$17,MATCH($T4,'DSCR (Legend)'!$J$3:$J$17,1),3),"-"))</f>
        <v>-</v>
      </c>
      <c r="AC4" s="67" t="str">
        <f>IFERROR(IF($C$6="SFR",VLOOKUP($AB4,'DSCR (LLPA)'!$M:$V,MATCH($U4,'DSCR (LLPA)'!$M$1:$V$1,0),FALSE),IF($C$6="Multi",VLOOKUP($AB4,'DSCR (LLPA)'!$X:$AG,MATCH($U4,'DSCR (LLPA)'!$X$1:$AG$1,0),FALSE),"-")),"-")</f>
        <v>-</v>
      </c>
      <c r="AD4" s="67" t="str">
        <f>IFERROR(IF($C$6="SFR",VLOOKUP(AD$3,'DSCR (LLPA)'!$M:$V,MATCH($U4,'DSCR (LLPA)'!$M$1:$V$1,0),FALSE),IF($C$6="Multi",VLOOKUP(AD$3,'DSCR (LLPA)'!$X:$AG,MATCH($U4,'DSCR (LLPA)'!$X$1:$AG$1,0),FALSE),"-")),"-")</f>
        <v>-</v>
      </c>
      <c r="AE4" s="67" t="str">
        <f t="shared" ref="AE4:AE20" si="6">IF(OR(V4="-",W4="-",X4="-",Y4="-",Z4="-",AA4="-",AC4="-",AD4="-"),"-",SUM(V4:AA4,AC4:AD4))</f>
        <v>-</v>
      </c>
      <c r="AF4" s="56" t="str">
        <f>IF($AE4="-","-",IF($C$6="SFR",VLOOKUP($C$10,'DSCR (LLPA)'!$B$36:$K$50,MATCH($U4,'DSCR (LLPA)'!$B$36:$K$36,0),FALSE),IF($C$6="Multi",VLOOKUP($C$10,'DSCR (LLPA)'!$B$53:$K$67,MATCH($U4,'DSCR (LLPA)'!$B$53:$K$53,0),FALSE),"-")))</f>
        <v>-</v>
      </c>
      <c r="AG4" s="56" t="str">
        <f t="shared" ref="AG4:AG20" si="7">IF(OR(AE4="-",AF4="-"),"-",MAX((AF4+AE4+P4),$C$90))</f>
        <v>-</v>
      </c>
      <c r="AH4" s="52" t="str">
        <f t="shared" ref="AH4:AH20" si="8">IF($C$6="SFR",$L$12,IF($C$6="Multi",$L$31,"-"))</f>
        <v>-</v>
      </c>
      <c r="AI4" s="214" t="str">
        <f t="shared" ref="AI4:AI20" si="9">IF($C$6="SFR",$L$11,IF($C$6="Multi",$L$30,"-"))</f>
        <v>-</v>
      </c>
      <c r="AJ4" s="52" t="str">
        <f t="shared" ref="AJ4:AJ20" si="10">IF($C$6="SFR",$L$4,IF($C$6="Multi",$L$23,"-"))</f>
        <v>-</v>
      </c>
      <c r="AK4" s="52" t="str">
        <f t="shared" ref="AK4:AK20" si="11">IF($C$6="SFR",SUM($L$5:$L$8),IF($C$6="Multi",SUM($L$24:$L$27),"-"))</f>
        <v>-</v>
      </c>
      <c r="AL4" s="52">
        <f t="shared" ref="AL4:AL20" si="12">IF($C$6="SFR",ROUNDDOWN(IF($C$14="No IO",PV(AG4/12,$C$17,-AH4),(AJ4/(AI4*(AG4/12))-(AK4/(AG4/12)))),0),IF($C$6="Multi",ROUNDDOWN(IF($C$14="No IO",PV(AG4/12,$C$17,-AH4),(AH4/(AG4/12))),0),))</f>
        <v>0</v>
      </c>
      <c r="AN4" s="53">
        <v>0</v>
      </c>
      <c r="AO4" s="53">
        <f t="shared" ref="AO4:AO20" si="13">($AO$2/100)-AN4</f>
        <v>1.04</v>
      </c>
      <c r="AP4" s="56" t="e">
        <f t="shared" ref="AP4:AP20" si="14">((AO4-$P$2)/$N$2)</f>
        <v>#VALUE!</v>
      </c>
      <c r="AQ4" s="57" t="str">
        <f t="shared" ref="AQ4:AQ20" si="15">IF(OR($T4="-",$AI24="-"),"-",MIN($T4,$AI24))</f>
        <v>-</v>
      </c>
      <c r="AR4" s="51" t="str">
        <f>IF(AQ4="-","-",IF((AQ4/$C$19)&lt;=INDEX('DSCR (Legend)'!$F$3:$H$14,MATCH((AQ4/$C$19),'DSCR (Legend)'!$F$3:$F$14,1),2),INDEX('DSCR (Legend)'!$F$3:$H$14,MATCH((AQ4/$C$19),'DSCR (Legend)'!$F$3:$F$14,1),3),"-"))</f>
        <v>-</v>
      </c>
      <c r="AS4" s="56" t="str">
        <f>IFERROR(IF($C$6="SFR",VLOOKUP(AS$3,'DSCR (LLPA)'!$M:$V,MATCH($AR4,'DSCR (LLPA)'!$M$1:$V$1,0),FALSE),IF($C$6="Multi",VLOOKUP(AS$3,'DSCR (LLPA)'!$X:$AG,MATCH($AR4,'DSCR (LLPA)'!$X$1:$AG$1,0),FALSE),"-")),"-")</f>
        <v>-</v>
      </c>
      <c r="AT4" s="56" t="str">
        <f>IFERROR(IF($C$6="SFR",VLOOKUP(AT$3,'DSCR (LLPA)'!$M:$V,MATCH($AR4,'DSCR (LLPA)'!$M$1:$V$1,0),FALSE),IF($C$6="Multi",VLOOKUP(AT$3,'DSCR (LLPA)'!$X:$AG,MATCH($AR4,'DSCR (LLPA)'!$X$1:$AG$1,0),FALSE),"-")),"-")</f>
        <v>-</v>
      </c>
      <c r="AU4" s="56" t="str">
        <f>IFERROR(IF($C$6="SFR",VLOOKUP(AU$3,'DSCR (LLPA)'!$M:$V,MATCH($AR4,'DSCR (LLPA)'!$M$1:$V$1,0),FALSE),IF($C$6="Multi",VLOOKUP(AU$3,'DSCR (LLPA)'!$X:$AG,MATCH($AR4,'DSCR (LLPA)'!$X$1:$AG$1,0),FALSE),"-")),"-")</f>
        <v>-</v>
      </c>
      <c r="AV4" s="56" t="str">
        <f>IFERROR(IF($C$6="SFR",VLOOKUP(AV$3,'DSCR (LLPA)'!$M:$V,MATCH($AR4,'DSCR (LLPA)'!$M$1:$V$1,0),FALSE),IF($C$6="Multi",VLOOKUP(AV$3,'DSCR (LLPA)'!$X:$AG,MATCH($AR4,'DSCR (LLPA)'!$X$1:$AG$1,0),FALSE),"-")),"-")</f>
        <v>-</v>
      </c>
      <c r="AW4" s="56" t="str">
        <f>IFERROR(IF($C$6="SFR",VLOOKUP(AW$3,'DSCR (LLPA)'!$M:$V,MATCH($AR4,'DSCR (LLPA)'!$M$1:$V$1,0),FALSE),IF($C$6="Multi",VLOOKUP(AW$3,'DSCR (LLPA)'!$X:$AG,MATCH($AR4,'DSCR (LLPA)'!$X$1:$AG$1,0),FALSE),"-")),"-")</f>
        <v>-</v>
      </c>
      <c r="AX4" s="56" t="str">
        <f>IFERROR(IF($C$6="SFR",VLOOKUP(AX$3,'DSCR (LLPA)'!$M:$V,MATCH($AR4,'DSCR (LLPA)'!$M$1:$V$1,0),FALSE),IF($C$6="Multi",VLOOKUP(AX$3,'DSCR (LLPA)'!$X:$AG,MATCH($AR4,'DSCR (LLPA)'!$X$1:$AG$1,0),FALSE),"-")),"-")</f>
        <v>-</v>
      </c>
      <c r="AY4" s="56" t="str">
        <f>IF($AQ4="-","-",IF($AQ4&lt;=INDEX('DSCR (Legend)'!$J$3:$L$17,MATCH($AQ4,'DSCR (Legend)'!$J$3:$J$17,1),2),INDEX('DSCR (Legend)'!$J$3:$L$17,MATCH($AQ4,'DSCR (Legend)'!$J$3:$J$17,1),3),"-"))</f>
        <v>-</v>
      </c>
      <c r="AZ4" s="56" t="str">
        <f>IFERROR(IF($C$6="SFR",VLOOKUP($AY4,'DSCR (LLPA)'!$M:$V,MATCH($AR4,'DSCR (LLPA)'!$M$1:$V$1,0),FALSE),IF($C$6="Multi",VLOOKUP($AY4,'DSCR (LLPA)'!$X:$AG,MATCH($AR4,'DSCR (LLPA)'!$X$1:$AG$1,0),FALSE),"-")),"-")</f>
        <v>-</v>
      </c>
      <c r="BA4" s="56" t="str">
        <f>IFERROR(IF($C$6="SFR",VLOOKUP(BA$3,'DSCR (LLPA)'!$M:$V,MATCH($AR4,'DSCR (LLPA)'!$M$1:$V$1,0),FALSE),IF($C$6="Multi",VLOOKUP(BA$3,'DSCR (LLPA)'!$X:$AG,MATCH($AR4,'DSCR (LLPA)'!$X$1:$AG$1,0),FALSE),"-")),"-")</f>
        <v>-</v>
      </c>
      <c r="BB4" s="67" t="str">
        <f t="shared" ref="BB4:BB20" si="16">IF(OR(AS4="-",AT4="-",AU4="-",AV4="-",AW4="-",AX4="-",AZ4="-",BA4="-"),"-",SUM(AS4:AX4,AZ4:BA4))</f>
        <v>-</v>
      </c>
      <c r="BC4" s="56" t="str">
        <f>IF($BB4="-","-",IF($C$6="SFR",VLOOKUP($C$10,'DSCR (LLPA)'!$B$36:$K$50,MATCH($AR4,'DSCR (LLPA)'!$B$36:$K$36,0),FALSE),IF($C$6="Multi",VLOOKUP($C$10,'DSCR (LLPA)'!$B$53:$K$67,MATCH($AR4,'DSCR (LLPA)'!$B$53:$K$53,0),FALSE),"-")))</f>
        <v>-</v>
      </c>
      <c r="BD4" s="56" t="str">
        <f t="shared" ref="BD4:BD20" si="17">IF(OR(BB4="-",BC4="-"),"-",MAX((BC4+BB4+AP4),$C$90))</f>
        <v>-</v>
      </c>
      <c r="BE4" s="52" t="str">
        <f t="shared" ref="BE4:BE20" si="18">IF($C$6="SFR",$L$12,IF($C$6="Multi",$L$31,"-"))</f>
        <v>-</v>
      </c>
      <c r="BF4" s="214" t="str">
        <f t="shared" ref="BF4:BF20" si="19">IF($C$6="SFR",$L$11,IF($C$6="Multi",$L$30,"-"))</f>
        <v>-</v>
      </c>
      <c r="BG4" s="52" t="str">
        <f t="shared" ref="BG4:BG20" si="20">IF($C$6="SFR",$L$4,IF($C$6="Multi",$L$23,"-"))</f>
        <v>-</v>
      </c>
      <c r="BH4" s="52" t="str">
        <f t="shared" ref="BH4:BH20" si="21">IF($C$6="SFR",SUM($L$5:$L$8),IF($C$6="Multi",SUM($L$24:$L$27),"-"))</f>
        <v>-</v>
      </c>
      <c r="BI4" s="52">
        <f t="shared" ref="BI4:BI20" si="22">IF($C$6="SFR",ROUNDDOWN(IF($C$14="No IO",PV(BD4/12,$C$17,-BE4),(BG4/(BF4*(BD4/12))-(BH4/(BD4/12)))),0),IF($C$6="Multi",ROUNDDOWN(IF($C$14="No IO",PV(BD4/12,$C$17,-BE4),(BE4/(BD4/12))),0),))</f>
        <v>0</v>
      </c>
      <c r="BJ4" s="232" t="str">
        <f t="shared" ref="BJ4:BJ20" si="23">IF(OR($T4="-",BI4="-"),"-",MIN($T4,BI4))</f>
        <v>-</v>
      </c>
      <c r="BK4" s="233">
        <f t="shared" ref="BK4:BK20" si="24">BS26</f>
        <v>104</v>
      </c>
      <c r="BL4" s="232" t="str">
        <f>IF(BJ4="-","-",IF((BJ4/$C$19)&lt;=INDEX('DSCR (Legend)'!$F$3:$H$14,MATCH((BJ4/$C$19),'DSCR (Legend)'!$F$3:$F$14,1),2),INDEX('DSCR (Legend)'!$F$3:$H$14,MATCH((BJ4/$C$19),'DSCR (Legend)'!$F$3:$F$14,1),3),"-"))</f>
        <v>-</v>
      </c>
      <c r="BM4" s="232" t="b">
        <f t="shared" ref="BM4:BM20" si="25">BL4&lt;AR4</f>
        <v>0</v>
      </c>
      <c r="BN4" s="232" t="e">
        <f t="shared" ref="BN4:BN20" si="26">_xlfn.CONCAT(VLOOKUP(BL4,$BF$25:$BH$31,2,FALSE)," ","Rate")</f>
        <v>#N/A</v>
      </c>
      <c r="BO4" s="232" t="str">
        <f t="shared" ref="BO4:BO20" si="27">IFERROR(IF(BM4,VLOOKUP(BL4,$BF$25:$BH$31,3,FALSE),BJ4),"-")</f>
        <v>-</v>
      </c>
      <c r="BP4" s="231" t="str">
        <f t="shared" ref="BP4:BP20" si="28">IFERROR(IF(BM4,VLOOKUP(BK4,$B$67:$X$83,MATCH(BN4,$B$66:$X$66,0),FALSE),BD4),"-")</f>
        <v>-</v>
      </c>
      <c r="BR4" s="53">
        <v>0</v>
      </c>
      <c r="BS4" s="53">
        <f t="shared" ref="BS4:BS20" si="29">($BT$2/100)-BR4</f>
        <v>1.04</v>
      </c>
      <c r="BT4" s="230" t="str">
        <f t="shared" ref="BT4:BT20" si="30">IF(OR($T4="-",BO4="-"),"-",MIN($T4,BO4))</f>
        <v>-</v>
      </c>
      <c r="BU4" s="229" t="str">
        <f t="shared" ref="BU4:BU20" si="31">BP4</f>
        <v>-</v>
      </c>
      <c r="BV4" s="216" t="e">
        <f t="shared" ref="BV4:BV20" si="32">ROUND((BT4/$C$19)*100,1)</f>
        <v>#VALUE!</v>
      </c>
      <c r="BW4" s="216" t="e">
        <f t="shared" ref="BW4:BW20" si="33">IF(OR($C$3="Refinance (Rate/Term)",$C$3="Refinance (Cash Out)"),"-",ROUND((BT4/$C$22)*100,1))</f>
        <v>#VALUE!</v>
      </c>
      <c r="BX4" s="51" t="e">
        <f t="shared" ref="BX4:BX20" si="34">BV4&amp;" | "&amp;BW4</f>
        <v>#VALUE!</v>
      </c>
      <c r="BY4" s="215" t="e">
        <f t="shared" ref="BY4:BY20" si="35">PMT(BU4/12,$C$17,-BT4)</f>
        <v>#VALUE!</v>
      </c>
      <c r="BZ4" s="51" t="e">
        <f t="shared" ref="BZ4:BZ20" si="36">IF($C$14="No IO","-",BT4*(BU4/12))</f>
        <v>#VALUE!</v>
      </c>
      <c r="CA4" s="52">
        <f t="shared" ref="CA4:CA20" si="37">SUM($L$5:$L$7)</f>
        <v>0</v>
      </c>
      <c r="CB4" s="52">
        <f t="shared" ref="CB4:CB20" si="38">SUM($L$24:$L$25)</f>
        <v>0</v>
      </c>
      <c r="CC4" s="52">
        <f t="shared" ref="CC4:CC20" si="39">SUM($L$5:$L$8)</f>
        <v>0</v>
      </c>
      <c r="CD4" s="52">
        <f t="shared" ref="CD4:CD20" si="40">SUM($L$24:$L$27)</f>
        <v>0</v>
      </c>
      <c r="CE4" s="215" t="e">
        <f t="shared" ref="CE4:CE20" si="41">BY4+CA4</f>
        <v>#VALUE!</v>
      </c>
      <c r="CF4" s="51" t="e">
        <f t="shared" ref="CF4:CF20" si="42">IF($C$14="No IO","-",BZ4+CA4)</f>
        <v>#VALUE!</v>
      </c>
      <c r="CG4" s="52" t="e">
        <f t="shared" ref="CG4:CG20" si="43">+BY4+CB4</f>
        <v>#VALUE!</v>
      </c>
      <c r="CH4" s="51" t="e">
        <f t="shared" ref="CH4:CH20" si="44">IF($C$14="No IO","-",BZ4+CB4)</f>
        <v>#VALUE!</v>
      </c>
      <c r="CI4" s="52" t="e">
        <f t="shared" ref="CI4:CI20" si="45">IF($C$14="No IO",BY4+CC4,BZ4+CC4)</f>
        <v>#VALUE!</v>
      </c>
      <c r="CJ4" s="52" t="e">
        <f t="shared" ref="CJ4:CJ20" si="46">IF($C$14="No IO",BY4,BZ4)</f>
        <v>#VALUE!</v>
      </c>
      <c r="CK4" s="214" t="e">
        <f t="shared" ref="CK4:CK20" si="47">$L$4/CI4</f>
        <v>#VALUE!</v>
      </c>
      <c r="CL4" s="214" t="e">
        <f t="shared" ref="CL4:CL20" si="48">$L$29/CJ4</f>
        <v>#VALUE!</v>
      </c>
      <c r="CM4" s="51" t="str">
        <f t="shared" ref="CM4:CM20" si="49">IF($C$6="SFR",CF4,IF($C$6="Multi",CH4,"-"))</f>
        <v>-</v>
      </c>
      <c r="CN4" s="52" t="str">
        <f t="shared" ref="CN4:CN20" si="50">IF($C$6="SFR",CE4,IF($C$6="Multi",CG4,"-"))</f>
        <v>-</v>
      </c>
      <c r="CO4" s="214" t="str">
        <f t="shared" ref="CO4:CO20" si="51">IF($C$6="SFR",CK4,IF($C$6="Multi",CL4,"-"))</f>
        <v>-</v>
      </c>
      <c r="CR4" s="52" t="b">
        <f>IF($C$14="No IO",MAX($BY$4:$BY$20,MAX($BZ$4:$BZ$20)))</f>
        <v>0</v>
      </c>
      <c r="CS4" s="51" t="s">
        <v>2</v>
      </c>
      <c r="CT4" s="52" t="e">
        <f t="shared" ref="CT4:CT20" si="52">BT4*BR4</f>
        <v>#VALUE!</v>
      </c>
      <c r="CU4" s="51" t="str">
        <f t="shared" ref="CU4:CU20" si="53">IF(OR(CS4="-",CS4&lt;1),"-",CT4/CS4)</f>
        <v>-</v>
      </c>
      <c r="CV4" s="51" t="str">
        <f t="shared" ref="CV4:CV20" si="54">IF(CU4="-","-",ROUND(CU4/12,2))</f>
        <v>-</v>
      </c>
    </row>
    <row r="5" spans="2:100" x14ac:dyDescent="0.25">
      <c r="B5" s="51" t="s">
        <v>90</v>
      </c>
      <c r="C5" s="222">
        <f>'DSCR (Single Asset)'!$C$14</f>
        <v>0</v>
      </c>
      <c r="D5" s="193" t="str">
        <f>'DSCR (Legend)'!D5</f>
        <v>575+</v>
      </c>
      <c r="E5" s="192" t="str">
        <f t="shared" si="0"/>
        <v>-</v>
      </c>
      <c r="F5" s="192" t="str">
        <f t="shared" si="0"/>
        <v>-</v>
      </c>
      <c r="G5" s="192" t="str">
        <f t="shared" si="0"/>
        <v>-</v>
      </c>
      <c r="H5" s="192" t="str">
        <f t="shared" si="0"/>
        <v>-</v>
      </c>
      <c r="I5" s="192" t="str">
        <f t="shared" si="0"/>
        <v>-</v>
      </c>
      <c r="J5" s="192" t="str">
        <f t="shared" si="0"/>
        <v>-</v>
      </c>
      <c r="K5" s="51" t="s">
        <v>1787</v>
      </c>
      <c r="L5" s="226">
        <f>'DSCR (Single Asset)'!$F$17/12</f>
        <v>0</v>
      </c>
      <c r="N5" s="53">
        <v>2.5000000000000001E-3</v>
      </c>
      <c r="O5" s="53">
        <f t="shared" si="1"/>
        <v>1.0375000000000001</v>
      </c>
      <c r="P5" s="56" t="e">
        <f t="shared" si="2"/>
        <v>#VALUE!</v>
      </c>
      <c r="Q5" s="57" t="str">
        <f t="shared" si="3"/>
        <v>-</v>
      </c>
      <c r="R5" s="57" t="str">
        <f t="shared" si="4"/>
        <v>-</v>
      </c>
      <c r="S5" s="57" t="str">
        <f>IF(OR($C$3="Purchase",$C$3="Delayed Purchase",$C$3="Refinance (Cash Out)"),"-",IF($C$3="Refinance (Rate/Term)",'DSCR (Single Asset)'!$C$22*102%,"-"))</f>
        <v>-</v>
      </c>
      <c r="T5" s="57" t="str">
        <f t="shared" si="5"/>
        <v>-</v>
      </c>
      <c r="U5" s="51" t="str">
        <f>IF(T5="-","-",IF(($T5/$C$19)&lt;=INDEX('DSCR (Legend)'!$F$3:$H$14,MATCH(($T5/$C$19),'DSCR (Legend)'!$F$3:$F$14,1),2),INDEX('DSCR (Legend)'!$F$3:$H$14,MATCH(($T5/$C$19),'DSCR (Legend)'!$F$3:$F$14,1),3),"-"))</f>
        <v>-</v>
      </c>
      <c r="V5" s="67" t="str">
        <f>IFERROR(IF($C$6="SFR",VLOOKUP(V$3,'DSCR (LLPA)'!$M:$V,MATCH($U5,'DSCR (LLPA)'!$M$1:$V$1,0),FALSE),IF($C$6="Multi",VLOOKUP(V$3,'DSCR (LLPA)'!$X:$AG,MATCH($U5,'DSCR (LLPA)'!$X$1:$AG$1,0),FALSE),"-")),"-")</f>
        <v>-</v>
      </c>
      <c r="W5" s="67" t="str">
        <f>IFERROR(IF($C$6="SFR",VLOOKUP(W$3,'DSCR (LLPA)'!$M:$V,MATCH($U5,'DSCR (LLPA)'!$M$1:$V$1,0),FALSE),IF($C$6="Multi",VLOOKUP(W$3,'DSCR (LLPA)'!$X:$AG,MATCH($U5,'DSCR (LLPA)'!$X$1:$AG$1,0),FALSE),"-")),"-")</f>
        <v>-</v>
      </c>
      <c r="X5" s="67" t="str">
        <f>IFERROR(IF($C$6="SFR",VLOOKUP(X$3,'DSCR (LLPA)'!$M:$V,MATCH($U5,'DSCR (LLPA)'!$M$1:$V$1,0),FALSE),IF($C$6="Multi",VLOOKUP(X$3,'DSCR (LLPA)'!$X:$AG,MATCH($U5,'DSCR (LLPA)'!$X$1:$AG$1,0),FALSE),"-")),"-")</f>
        <v>-</v>
      </c>
      <c r="Y5" s="67" t="str">
        <f>IFERROR(IF($C$6="SFR",VLOOKUP(Y$3,'DSCR (LLPA)'!$M:$V,MATCH($U5,'DSCR (LLPA)'!$M$1:$V$1,0),FALSE),IF($C$6="Multi",VLOOKUP(Y$3,'DSCR (LLPA)'!$X:$AG,MATCH($U5,'DSCR (LLPA)'!$X$1:$AG$1,0),FALSE),"-")),"-")</f>
        <v>-</v>
      </c>
      <c r="Z5" s="67" t="str">
        <f>IFERROR(IF($C$6="SFR",VLOOKUP(Z$3,'DSCR (LLPA)'!$M:$V,MATCH($U5,'DSCR (LLPA)'!$M$1:$V$1,0),FALSE),IF($C$6="Multi",VLOOKUP(Z$3,'DSCR (LLPA)'!$X:$AG,MATCH($U5,'DSCR (LLPA)'!$X$1:$AG$1,0),FALSE),"-")),"-")</f>
        <v>-</v>
      </c>
      <c r="AA5" s="67" t="str">
        <f>IFERROR(IF($C$6="SFR",VLOOKUP(AA$3,'DSCR (LLPA)'!$M:$V,MATCH($U5,'DSCR (LLPA)'!$M$1:$V$1,0),FALSE),IF($C$6="Multi",VLOOKUP(AA$3,'DSCR (LLPA)'!$X:$AG,MATCH($U5,'DSCR (LLPA)'!$X$1:$AG$1,0),FALSE),"-")),"-")</f>
        <v>-</v>
      </c>
      <c r="AB5" s="67" t="str">
        <f>IF($T5="-","-",IF($T5&lt;=INDEX('DSCR (Legend)'!$J$3:$L$17,MATCH($T5,'DSCR (Legend)'!$J$3:$J$17,1),2),INDEX('DSCR (Legend)'!$J$3:$L$17,MATCH($T5,'DSCR (Legend)'!$J$3:$J$17,1),3),"-"))</f>
        <v>-</v>
      </c>
      <c r="AC5" s="67" t="str">
        <f>IFERROR(IF($C$6="SFR",VLOOKUP($AB5,'DSCR (LLPA)'!$M:$V,MATCH($U5,'DSCR (LLPA)'!$M$1:$V$1,0),FALSE),IF($C$6="Multi",VLOOKUP($AB5,'DSCR (LLPA)'!$X:$AG,MATCH($U5,'DSCR (LLPA)'!$X$1:$AG$1,0),FALSE),"-")),"-")</f>
        <v>-</v>
      </c>
      <c r="AD5" s="67" t="str">
        <f>IFERROR(IF($C$6="SFR",VLOOKUP(AD$3,'DSCR (LLPA)'!$M:$V,MATCH($U5,'DSCR (LLPA)'!$M$1:$V$1,0),FALSE),IF($C$6="Multi",VLOOKUP(AD$3,'DSCR (LLPA)'!$X:$AG,MATCH($U5,'DSCR (LLPA)'!$X$1:$AG$1,0),FALSE),"-")),"-")</f>
        <v>-</v>
      </c>
      <c r="AE5" s="67" t="str">
        <f t="shared" si="6"/>
        <v>-</v>
      </c>
      <c r="AF5" s="56" t="str">
        <f>IF($AE5="-","-",IF($C$6="SFR",VLOOKUP($C$10,'DSCR (LLPA)'!$B$36:$K$50,MATCH($U5,'DSCR (LLPA)'!$B$36:$K$36,0),FALSE),IF($C$6="Multi",VLOOKUP($C$10,'DSCR (LLPA)'!$B$53:$K$67,MATCH($U5,'DSCR (LLPA)'!$B$53:$K$53,0),FALSE),"-")))</f>
        <v>-</v>
      </c>
      <c r="AG5" s="56" t="str">
        <f t="shared" si="7"/>
        <v>-</v>
      </c>
      <c r="AH5" s="52" t="str">
        <f t="shared" si="8"/>
        <v>-</v>
      </c>
      <c r="AI5" s="214" t="str">
        <f t="shared" si="9"/>
        <v>-</v>
      </c>
      <c r="AJ5" s="52" t="str">
        <f t="shared" si="10"/>
        <v>-</v>
      </c>
      <c r="AK5" s="52" t="str">
        <f t="shared" si="11"/>
        <v>-</v>
      </c>
      <c r="AL5" s="52">
        <f t="shared" si="12"/>
        <v>0</v>
      </c>
      <c r="AN5" s="53">
        <v>2.5000000000000001E-3</v>
      </c>
      <c r="AO5" s="53">
        <f t="shared" si="13"/>
        <v>1.0375000000000001</v>
      </c>
      <c r="AP5" s="56" t="e">
        <f t="shared" si="14"/>
        <v>#VALUE!</v>
      </c>
      <c r="AQ5" s="57" t="str">
        <f t="shared" si="15"/>
        <v>-</v>
      </c>
      <c r="AR5" s="51" t="str">
        <f>IF(AQ5="-","-",IF((AQ5/$C$19)&lt;=INDEX('DSCR (Legend)'!$F$3:$H$14,MATCH((AQ5/$C$19),'DSCR (Legend)'!$F$3:$F$14,1),2),INDEX('DSCR (Legend)'!$F$3:$H$14,MATCH((AQ5/$C$19),'DSCR (Legend)'!$F$3:$F$14,1),3),"-"))</f>
        <v>-</v>
      </c>
      <c r="AS5" s="56" t="str">
        <f>IFERROR(IF($C$6="SFR",VLOOKUP(AS$3,'DSCR (LLPA)'!$M:$V,MATCH($AR5,'DSCR (LLPA)'!$M$1:$V$1,0),FALSE),IF($C$6="Multi",VLOOKUP(AS$3,'DSCR (LLPA)'!$X:$AG,MATCH($AR5,'DSCR (LLPA)'!$X$1:$AG$1,0),FALSE),"-")),"-")</f>
        <v>-</v>
      </c>
      <c r="AT5" s="56" t="str">
        <f>IFERROR(IF($C$6="SFR",VLOOKUP(AT$3,'DSCR (LLPA)'!$M:$V,MATCH($AR5,'DSCR (LLPA)'!$M$1:$V$1,0),FALSE),IF($C$6="Multi",VLOOKUP(AT$3,'DSCR (LLPA)'!$X:$AG,MATCH($AR5,'DSCR (LLPA)'!$X$1:$AG$1,0),FALSE),"-")),"-")</f>
        <v>-</v>
      </c>
      <c r="AU5" s="56" t="str">
        <f>IFERROR(IF($C$6="SFR",VLOOKUP(AU$3,'DSCR (LLPA)'!$M:$V,MATCH($AR5,'DSCR (LLPA)'!$M$1:$V$1,0),FALSE),IF($C$6="Multi",VLOOKUP(AU$3,'DSCR (LLPA)'!$X:$AG,MATCH($AR5,'DSCR (LLPA)'!$X$1:$AG$1,0),FALSE),"-")),"-")</f>
        <v>-</v>
      </c>
      <c r="AV5" s="56" t="str">
        <f>IFERROR(IF($C$6="SFR",VLOOKUP(AV$3,'DSCR (LLPA)'!$M:$V,MATCH($AR5,'DSCR (LLPA)'!$M$1:$V$1,0),FALSE),IF($C$6="Multi",VLOOKUP(AV$3,'DSCR (LLPA)'!$X:$AG,MATCH($AR5,'DSCR (LLPA)'!$X$1:$AG$1,0),FALSE),"-")),"-")</f>
        <v>-</v>
      </c>
      <c r="AW5" s="56" t="str">
        <f>IFERROR(IF($C$6="SFR",VLOOKUP(AW$3,'DSCR (LLPA)'!$M:$V,MATCH($AR5,'DSCR (LLPA)'!$M$1:$V$1,0),FALSE),IF($C$6="Multi",VLOOKUP(AW$3,'DSCR (LLPA)'!$X:$AG,MATCH($AR5,'DSCR (LLPA)'!$X$1:$AG$1,0),FALSE),"-")),"-")</f>
        <v>-</v>
      </c>
      <c r="AX5" s="56" t="str">
        <f>IFERROR(IF($C$6="SFR",VLOOKUP(AX$3,'DSCR (LLPA)'!$M:$V,MATCH($AR5,'DSCR (LLPA)'!$M$1:$V$1,0),FALSE),IF($C$6="Multi",VLOOKUP(AX$3,'DSCR (LLPA)'!$X:$AG,MATCH($AR5,'DSCR (LLPA)'!$X$1:$AG$1,0),FALSE),"-")),"-")</f>
        <v>-</v>
      </c>
      <c r="AY5" s="56" t="str">
        <f>IF($AQ5="-","-",IF($AQ5&lt;=INDEX('DSCR (Legend)'!$J$3:$L$17,MATCH($AQ5,'DSCR (Legend)'!$J$3:$J$17,1),2),INDEX('DSCR (Legend)'!$J$3:$L$17,MATCH($AQ5,'DSCR (Legend)'!$J$3:$J$17,1),3),"-"))</f>
        <v>-</v>
      </c>
      <c r="AZ5" s="56" t="str">
        <f>IFERROR(IF($C$6="SFR",VLOOKUP($AY5,'DSCR (LLPA)'!$M:$V,MATCH($AR5,'DSCR (LLPA)'!$M$1:$V$1,0),FALSE),IF($C$6="Multi",VLOOKUP($AY5,'DSCR (LLPA)'!$X:$AG,MATCH($AR5,'DSCR (LLPA)'!$X$1:$AG$1,0),FALSE),"-")),"-")</f>
        <v>-</v>
      </c>
      <c r="BA5" s="56" t="str">
        <f>IFERROR(IF($C$6="SFR",VLOOKUP(BA$3,'DSCR (LLPA)'!$M:$V,MATCH($AR5,'DSCR (LLPA)'!$M$1:$V$1,0),FALSE),IF($C$6="Multi",VLOOKUP(BA$3,'DSCR (LLPA)'!$X:$AG,MATCH($AR5,'DSCR (LLPA)'!$X$1:$AG$1,0),FALSE),"-")),"-")</f>
        <v>-</v>
      </c>
      <c r="BB5" s="67" t="str">
        <f t="shared" si="16"/>
        <v>-</v>
      </c>
      <c r="BC5" s="56" t="str">
        <f>IF($BB5="-","-",IF($C$6="SFR",VLOOKUP($C$10,'DSCR (LLPA)'!$B$36:$K$50,MATCH($AR5,'DSCR (LLPA)'!$B$36:$K$36,0),FALSE),IF($C$6="Multi",VLOOKUP($C$10,'DSCR (LLPA)'!$B$53:$K$67,MATCH($AR5,'DSCR (LLPA)'!$B$53:$K$53,0),FALSE),"-")))</f>
        <v>-</v>
      </c>
      <c r="BD5" s="56" t="str">
        <f t="shared" si="17"/>
        <v>-</v>
      </c>
      <c r="BE5" s="52" t="str">
        <f t="shared" si="18"/>
        <v>-</v>
      </c>
      <c r="BF5" s="214" t="str">
        <f t="shared" si="19"/>
        <v>-</v>
      </c>
      <c r="BG5" s="52" t="str">
        <f t="shared" si="20"/>
        <v>-</v>
      </c>
      <c r="BH5" s="52" t="str">
        <f t="shared" si="21"/>
        <v>-</v>
      </c>
      <c r="BI5" s="52">
        <f t="shared" si="22"/>
        <v>0</v>
      </c>
      <c r="BJ5" s="232" t="str">
        <f t="shared" si="23"/>
        <v>-</v>
      </c>
      <c r="BK5" s="233">
        <f t="shared" si="24"/>
        <v>103.75</v>
      </c>
      <c r="BL5" s="232" t="str">
        <f>IF(BJ5="-","-",IF((BJ5/$C$19)&lt;=INDEX('DSCR (Legend)'!$F$3:$H$14,MATCH((BJ5/$C$19),'DSCR (Legend)'!$F$3:$F$14,1),2),INDEX('DSCR (Legend)'!$F$3:$H$14,MATCH((BJ5/$C$19),'DSCR (Legend)'!$F$3:$F$14,1),3),"-"))</f>
        <v>-</v>
      </c>
      <c r="BM5" s="232" t="b">
        <f t="shared" si="25"/>
        <v>0</v>
      </c>
      <c r="BN5" s="232" t="e">
        <f t="shared" si="26"/>
        <v>#N/A</v>
      </c>
      <c r="BO5" s="232" t="str">
        <f t="shared" si="27"/>
        <v>-</v>
      </c>
      <c r="BP5" s="231" t="str">
        <f t="shared" si="28"/>
        <v>-</v>
      </c>
      <c r="BR5" s="53">
        <v>2.5000000000000001E-3</v>
      </c>
      <c r="BS5" s="53">
        <f t="shared" si="29"/>
        <v>1.0375000000000001</v>
      </c>
      <c r="BT5" s="230" t="str">
        <f t="shared" si="30"/>
        <v>-</v>
      </c>
      <c r="BU5" s="229" t="str">
        <f t="shared" si="31"/>
        <v>-</v>
      </c>
      <c r="BV5" s="216" t="e">
        <f t="shared" si="32"/>
        <v>#VALUE!</v>
      </c>
      <c r="BW5" s="216" t="e">
        <f t="shared" si="33"/>
        <v>#VALUE!</v>
      </c>
      <c r="BX5" s="51" t="e">
        <f t="shared" si="34"/>
        <v>#VALUE!</v>
      </c>
      <c r="BY5" s="215" t="e">
        <f t="shared" si="35"/>
        <v>#VALUE!</v>
      </c>
      <c r="BZ5" s="51" t="e">
        <f t="shared" si="36"/>
        <v>#VALUE!</v>
      </c>
      <c r="CA5" s="52">
        <f t="shared" si="37"/>
        <v>0</v>
      </c>
      <c r="CB5" s="52">
        <f t="shared" si="38"/>
        <v>0</v>
      </c>
      <c r="CC5" s="52">
        <f t="shared" si="39"/>
        <v>0</v>
      </c>
      <c r="CD5" s="52">
        <f t="shared" si="40"/>
        <v>0</v>
      </c>
      <c r="CE5" s="215" t="e">
        <f t="shared" si="41"/>
        <v>#VALUE!</v>
      </c>
      <c r="CF5" s="51" t="e">
        <f t="shared" si="42"/>
        <v>#VALUE!</v>
      </c>
      <c r="CG5" s="52" t="e">
        <f t="shared" si="43"/>
        <v>#VALUE!</v>
      </c>
      <c r="CH5" s="51" t="e">
        <f t="shared" si="44"/>
        <v>#VALUE!</v>
      </c>
      <c r="CI5" s="52" t="e">
        <f t="shared" si="45"/>
        <v>#VALUE!</v>
      </c>
      <c r="CJ5" s="52" t="e">
        <f t="shared" si="46"/>
        <v>#VALUE!</v>
      </c>
      <c r="CK5" s="214" t="e">
        <f t="shared" si="47"/>
        <v>#VALUE!</v>
      </c>
      <c r="CL5" s="214" t="e">
        <f t="shared" si="48"/>
        <v>#VALUE!</v>
      </c>
      <c r="CM5" s="51" t="str">
        <f t="shared" si="49"/>
        <v>-</v>
      </c>
      <c r="CN5" s="52" t="str">
        <f t="shared" si="50"/>
        <v>-</v>
      </c>
      <c r="CO5" s="214" t="str">
        <f t="shared" si="51"/>
        <v>-</v>
      </c>
      <c r="CS5" s="51" t="e">
        <f t="shared" ref="CS5:CS20" si="55">IF($C$14="No IO",IF(BT5&gt;BT4,"-",IF(BT5=BT4,ABS(BY5-$CR$4),"-")),IF(BT5&gt;BT4,"-",IF(BT5=BT4,ABS(BZ5-$CR$4),"-")))</f>
        <v>#VALUE!</v>
      </c>
      <c r="CT5" s="52" t="e">
        <f t="shared" si="52"/>
        <v>#VALUE!</v>
      </c>
      <c r="CU5" s="51" t="e">
        <f t="shared" si="53"/>
        <v>#VALUE!</v>
      </c>
      <c r="CV5" s="51" t="e">
        <f t="shared" si="54"/>
        <v>#VALUE!</v>
      </c>
    </row>
    <row r="6" spans="2:100" x14ac:dyDescent="0.25">
      <c r="B6" s="51" t="s">
        <v>1809</v>
      </c>
      <c r="C6" s="222" t="str">
        <f>IF(OR($C$5="Detached SFR",$C$5="2-4 Unit Residential",$C$5="Condominium",$C$5="Non-Warrantable Condo",$C$5="Townhome",$C$5="PUD"),"SFR",IF(OR($C$5="Multifamily (5-9 Unit)",$C$5="Multifamily (10+ Unit)",$C$5="Mixed-Use"),"Multi","-"))</f>
        <v>-</v>
      </c>
      <c r="D6" s="193" t="str">
        <f>'DSCR (Legend)'!D6</f>
        <v>600+</v>
      </c>
      <c r="E6" s="192" t="str">
        <f t="shared" si="0"/>
        <v>-</v>
      </c>
      <c r="F6" s="192" t="str">
        <f t="shared" si="0"/>
        <v>-</v>
      </c>
      <c r="G6" s="192" t="str">
        <f t="shared" si="0"/>
        <v>-</v>
      </c>
      <c r="H6" s="192" t="str">
        <f t="shared" si="0"/>
        <v>-</v>
      </c>
      <c r="I6" s="192" t="str">
        <f t="shared" si="0"/>
        <v>-</v>
      </c>
      <c r="J6" s="192" t="str">
        <f t="shared" si="0"/>
        <v>-</v>
      </c>
      <c r="K6" s="51" t="s">
        <v>1808</v>
      </c>
      <c r="L6" s="226">
        <f>'DSCR (Single Asset)'!$G$17/12</f>
        <v>0</v>
      </c>
      <c r="N6" s="53">
        <v>5.0000000000000001E-3</v>
      </c>
      <c r="O6" s="53">
        <f t="shared" si="1"/>
        <v>1.0350000000000001</v>
      </c>
      <c r="P6" s="56" t="e">
        <f t="shared" si="2"/>
        <v>#VALUE!</v>
      </c>
      <c r="Q6" s="57" t="str">
        <f t="shared" si="3"/>
        <v>-</v>
      </c>
      <c r="R6" s="57" t="str">
        <f t="shared" si="4"/>
        <v>-</v>
      </c>
      <c r="S6" s="57" t="str">
        <f>IF(OR($C$3="Purchase",$C$3="Delayed Purchase",$C$3="Refinance (Cash Out)"),"-",IF($C$3="Refinance (Rate/Term)",'DSCR (Single Asset)'!$C$22*102%,"-"))</f>
        <v>-</v>
      </c>
      <c r="T6" s="57" t="str">
        <f t="shared" si="5"/>
        <v>-</v>
      </c>
      <c r="U6" s="51" t="str">
        <f>IF(T6="-","-",IF(($T6/$C$19)&lt;=INDEX('DSCR (Legend)'!$F$3:$H$14,MATCH(($T6/$C$19),'DSCR (Legend)'!$F$3:$F$14,1),2),INDEX('DSCR (Legend)'!$F$3:$H$14,MATCH(($T6/$C$19),'DSCR (Legend)'!$F$3:$F$14,1),3),"-"))</f>
        <v>-</v>
      </c>
      <c r="V6" s="67" t="str">
        <f>IFERROR(IF($C$6="SFR",VLOOKUP(V$3,'DSCR (LLPA)'!$M:$V,MATCH($U6,'DSCR (LLPA)'!$M$1:$V$1,0),FALSE),IF($C$6="Multi",VLOOKUP(V$3,'DSCR (LLPA)'!$X:$AG,MATCH($U6,'DSCR (LLPA)'!$X$1:$AG$1,0),FALSE),"-")),"-")</f>
        <v>-</v>
      </c>
      <c r="W6" s="67" t="str">
        <f>IFERROR(IF($C$6="SFR",VLOOKUP(W$3,'DSCR (LLPA)'!$M:$V,MATCH($U6,'DSCR (LLPA)'!$M$1:$V$1,0),FALSE),IF($C$6="Multi",VLOOKUP(W$3,'DSCR (LLPA)'!$X:$AG,MATCH($U6,'DSCR (LLPA)'!$X$1:$AG$1,0),FALSE),"-")),"-")</f>
        <v>-</v>
      </c>
      <c r="X6" s="67" t="str">
        <f>IFERROR(IF($C$6="SFR",VLOOKUP(X$3,'DSCR (LLPA)'!$M:$V,MATCH($U6,'DSCR (LLPA)'!$M$1:$V$1,0),FALSE),IF($C$6="Multi",VLOOKUP(X$3,'DSCR (LLPA)'!$X:$AG,MATCH($U6,'DSCR (LLPA)'!$X$1:$AG$1,0),FALSE),"-")),"-")</f>
        <v>-</v>
      </c>
      <c r="Y6" s="67" t="str">
        <f>IFERROR(IF($C$6="SFR",VLOOKUP(Y$3,'DSCR (LLPA)'!$M:$V,MATCH($U6,'DSCR (LLPA)'!$M$1:$V$1,0),FALSE),IF($C$6="Multi",VLOOKUP(Y$3,'DSCR (LLPA)'!$X:$AG,MATCH($U6,'DSCR (LLPA)'!$X$1:$AG$1,0),FALSE),"-")),"-")</f>
        <v>-</v>
      </c>
      <c r="Z6" s="67" t="str">
        <f>IFERROR(IF($C$6="SFR",VLOOKUP(Z$3,'DSCR (LLPA)'!$M:$V,MATCH($U6,'DSCR (LLPA)'!$M$1:$V$1,0),FALSE),IF($C$6="Multi",VLOOKUP(Z$3,'DSCR (LLPA)'!$X:$AG,MATCH($U6,'DSCR (LLPA)'!$X$1:$AG$1,0),FALSE),"-")),"-")</f>
        <v>-</v>
      </c>
      <c r="AA6" s="67" t="str">
        <f>IFERROR(IF($C$6="SFR",VLOOKUP(AA$3,'DSCR (LLPA)'!$M:$V,MATCH($U6,'DSCR (LLPA)'!$M$1:$V$1,0),FALSE),IF($C$6="Multi",VLOOKUP(AA$3,'DSCR (LLPA)'!$X:$AG,MATCH($U6,'DSCR (LLPA)'!$X$1:$AG$1,0),FALSE),"-")),"-")</f>
        <v>-</v>
      </c>
      <c r="AB6" s="67" t="str">
        <f>IF($T6="-","-",IF($T6&lt;=INDEX('DSCR (Legend)'!$J$3:$L$17,MATCH($T6,'DSCR (Legend)'!$J$3:$J$17,1),2),INDEX('DSCR (Legend)'!$J$3:$L$17,MATCH($T6,'DSCR (Legend)'!$J$3:$J$17,1),3),"-"))</f>
        <v>-</v>
      </c>
      <c r="AC6" s="67" t="str">
        <f>IFERROR(IF($C$6="SFR",VLOOKUP($AB6,'DSCR (LLPA)'!$M:$V,MATCH($U6,'DSCR (LLPA)'!$M$1:$V$1,0),FALSE),IF($C$6="Multi",VLOOKUP($AB6,'DSCR (LLPA)'!$X:$AG,MATCH($U6,'DSCR (LLPA)'!$X$1:$AG$1,0),FALSE),"-")),"-")</f>
        <v>-</v>
      </c>
      <c r="AD6" s="67" t="str">
        <f>IFERROR(IF($C$6="SFR",VLOOKUP(AD$3,'DSCR (LLPA)'!$M:$V,MATCH($U6,'DSCR (LLPA)'!$M$1:$V$1,0),FALSE),IF($C$6="Multi",VLOOKUP(AD$3,'DSCR (LLPA)'!$X:$AG,MATCH($U6,'DSCR (LLPA)'!$X$1:$AG$1,0),FALSE),"-")),"-")</f>
        <v>-</v>
      </c>
      <c r="AE6" s="67" t="str">
        <f t="shared" si="6"/>
        <v>-</v>
      </c>
      <c r="AF6" s="56" t="str">
        <f>IF($AE6="-","-",IF($C$6="SFR",VLOOKUP($C$10,'DSCR (LLPA)'!$B$36:$K$50,MATCH($U6,'DSCR (LLPA)'!$B$36:$K$36,0),FALSE),IF($C$6="Multi",VLOOKUP($C$10,'DSCR (LLPA)'!$B$53:$K$67,MATCH($U6,'DSCR (LLPA)'!$B$53:$K$53,0),FALSE),"-")))</f>
        <v>-</v>
      </c>
      <c r="AG6" s="56" t="str">
        <f t="shared" si="7"/>
        <v>-</v>
      </c>
      <c r="AH6" s="52" t="str">
        <f t="shared" si="8"/>
        <v>-</v>
      </c>
      <c r="AI6" s="214" t="str">
        <f t="shared" si="9"/>
        <v>-</v>
      </c>
      <c r="AJ6" s="52" t="str">
        <f t="shared" si="10"/>
        <v>-</v>
      </c>
      <c r="AK6" s="52" t="str">
        <f t="shared" si="11"/>
        <v>-</v>
      </c>
      <c r="AL6" s="52">
        <f t="shared" si="12"/>
        <v>0</v>
      </c>
      <c r="AN6" s="53">
        <v>5.0000000000000001E-3</v>
      </c>
      <c r="AO6" s="53">
        <f t="shared" si="13"/>
        <v>1.0350000000000001</v>
      </c>
      <c r="AP6" s="56" t="e">
        <f t="shared" si="14"/>
        <v>#VALUE!</v>
      </c>
      <c r="AQ6" s="57" t="str">
        <f t="shared" si="15"/>
        <v>-</v>
      </c>
      <c r="AR6" s="51" t="str">
        <f>IF(AQ6="-","-",IF((AQ6/$C$19)&lt;=INDEX('DSCR (Legend)'!$F$3:$H$14,MATCH((AQ6/$C$19),'DSCR (Legend)'!$F$3:$F$14,1),2),INDEX('DSCR (Legend)'!$F$3:$H$14,MATCH((AQ6/$C$19),'DSCR (Legend)'!$F$3:$F$14,1),3),"-"))</f>
        <v>-</v>
      </c>
      <c r="AS6" s="56" t="str">
        <f>IFERROR(IF($C$6="SFR",VLOOKUP(AS$3,'DSCR (LLPA)'!$M:$V,MATCH($AR6,'DSCR (LLPA)'!$M$1:$V$1,0),FALSE),IF($C$6="Multi",VLOOKUP(AS$3,'DSCR (LLPA)'!$X:$AG,MATCH($AR6,'DSCR (LLPA)'!$X$1:$AG$1,0),FALSE),"-")),"-")</f>
        <v>-</v>
      </c>
      <c r="AT6" s="56" t="str">
        <f>IFERROR(IF($C$6="SFR",VLOOKUP(AT$3,'DSCR (LLPA)'!$M:$V,MATCH($AR6,'DSCR (LLPA)'!$M$1:$V$1,0),FALSE),IF($C$6="Multi",VLOOKUP(AT$3,'DSCR (LLPA)'!$X:$AG,MATCH($AR6,'DSCR (LLPA)'!$X$1:$AG$1,0),FALSE),"-")),"-")</f>
        <v>-</v>
      </c>
      <c r="AU6" s="56" t="str">
        <f>IFERROR(IF($C$6="SFR",VLOOKUP(AU$3,'DSCR (LLPA)'!$M:$V,MATCH($AR6,'DSCR (LLPA)'!$M$1:$V$1,0),FALSE),IF($C$6="Multi",VLOOKUP(AU$3,'DSCR (LLPA)'!$X:$AG,MATCH($AR6,'DSCR (LLPA)'!$X$1:$AG$1,0),FALSE),"-")),"-")</f>
        <v>-</v>
      </c>
      <c r="AV6" s="56" t="str">
        <f>IFERROR(IF($C$6="SFR",VLOOKUP(AV$3,'DSCR (LLPA)'!$M:$V,MATCH($AR6,'DSCR (LLPA)'!$M$1:$V$1,0),FALSE),IF($C$6="Multi",VLOOKUP(AV$3,'DSCR (LLPA)'!$X:$AG,MATCH($AR6,'DSCR (LLPA)'!$X$1:$AG$1,0),FALSE),"-")),"-")</f>
        <v>-</v>
      </c>
      <c r="AW6" s="56" t="str">
        <f>IFERROR(IF($C$6="SFR",VLOOKUP(AW$3,'DSCR (LLPA)'!$M:$V,MATCH($AR6,'DSCR (LLPA)'!$M$1:$V$1,0),FALSE),IF($C$6="Multi",VLOOKUP(AW$3,'DSCR (LLPA)'!$X:$AG,MATCH($AR6,'DSCR (LLPA)'!$X$1:$AG$1,0),FALSE),"-")),"-")</f>
        <v>-</v>
      </c>
      <c r="AX6" s="56" t="str">
        <f>IFERROR(IF($C$6="SFR",VLOOKUP(AX$3,'DSCR (LLPA)'!$M:$V,MATCH($AR6,'DSCR (LLPA)'!$M$1:$V$1,0),FALSE),IF($C$6="Multi",VLOOKUP(AX$3,'DSCR (LLPA)'!$X:$AG,MATCH($AR6,'DSCR (LLPA)'!$X$1:$AG$1,0),FALSE),"-")),"-")</f>
        <v>-</v>
      </c>
      <c r="AY6" s="56" t="str">
        <f>IF($AQ6="-","-",IF($AQ6&lt;=INDEX('DSCR (Legend)'!$J$3:$L$17,MATCH($AQ6,'DSCR (Legend)'!$J$3:$J$17,1),2),INDEX('DSCR (Legend)'!$J$3:$L$17,MATCH($AQ6,'DSCR (Legend)'!$J$3:$J$17,1),3),"-"))</f>
        <v>-</v>
      </c>
      <c r="AZ6" s="56" t="str">
        <f>IFERROR(IF($C$6="SFR",VLOOKUP($AY6,'DSCR (LLPA)'!$M:$V,MATCH($AR6,'DSCR (LLPA)'!$M$1:$V$1,0),FALSE),IF($C$6="Multi",VLOOKUP($AY6,'DSCR (LLPA)'!$X:$AG,MATCH($AR6,'DSCR (LLPA)'!$X$1:$AG$1,0),FALSE),"-")),"-")</f>
        <v>-</v>
      </c>
      <c r="BA6" s="56" t="str">
        <f>IFERROR(IF($C$6="SFR",VLOOKUP(BA$3,'DSCR (LLPA)'!$M:$V,MATCH($AR6,'DSCR (LLPA)'!$M$1:$V$1,0),FALSE),IF($C$6="Multi",VLOOKUP(BA$3,'DSCR (LLPA)'!$X:$AG,MATCH($AR6,'DSCR (LLPA)'!$X$1:$AG$1,0),FALSE),"-")),"-")</f>
        <v>-</v>
      </c>
      <c r="BB6" s="67" t="str">
        <f t="shared" si="16"/>
        <v>-</v>
      </c>
      <c r="BC6" s="56" t="str">
        <f>IF($BB6="-","-",IF($C$6="SFR",VLOOKUP($C$10,'DSCR (LLPA)'!$B$36:$K$50,MATCH($AR6,'DSCR (LLPA)'!$B$36:$K$36,0),FALSE),IF($C$6="Multi",VLOOKUP($C$10,'DSCR (LLPA)'!$B$53:$K$67,MATCH($AR6,'DSCR (LLPA)'!$B$53:$K$53,0),FALSE),"-")))</f>
        <v>-</v>
      </c>
      <c r="BD6" s="56" t="str">
        <f t="shared" si="17"/>
        <v>-</v>
      </c>
      <c r="BE6" s="52" t="str">
        <f t="shared" si="18"/>
        <v>-</v>
      </c>
      <c r="BF6" s="214" t="str">
        <f t="shared" si="19"/>
        <v>-</v>
      </c>
      <c r="BG6" s="52" t="str">
        <f t="shared" si="20"/>
        <v>-</v>
      </c>
      <c r="BH6" s="52" t="str">
        <f t="shared" si="21"/>
        <v>-</v>
      </c>
      <c r="BI6" s="52">
        <f t="shared" si="22"/>
        <v>0</v>
      </c>
      <c r="BJ6" s="232" t="str">
        <f t="shared" si="23"/>
        <v>-</v>
      </c>
      <c r="BK6" s="233">
        <f t="shared" si="24"/>
        <v>103.5</v>
      </c>
      <c r="BL6" s="232" t="str">
        <f>IF(BJ6="-","-",IF((BJ6/$C$19)&lt;=INDEX('DSCR (Legend)'!$F$3:$H$14,MATCH((BJ6/$C$19),'DSCR (Legend)'!$F$3:$F$14,1),2),INDEX('DSCR (Legend)'!$F$3:$H$14,MATCH((BJ6/$C$19),'DSCR (Legend)'!$F$3:$F$14,1),3),"-"))</f>
        <v>-</v>
      </c>
      <c r="BM6" s="232" t="b">
        <f t="shared" si="25"/>
        <v>0</v>
      </c>
      <c r="BN6" s="232" t="e">
        <f t="shared" si="26"/>
        <v>#N/A</v>
      </c>
      <c r="BO6" s="232" t="str">
        <f t="shared" si="27"/>
        <v>-</v>
      </c>
      <c r="BP6" s="231" t="str">
        <f t="shared" si="28"/>
        <v>-</v>
      </c>
      <c r="BR6" s="53">
        <v>5.0000000000000001E-3</v>
      </c>
      <c r="BS6" s="53">
        <f t="shared" si="29"/>
        <v>1.0350000000000001</v>
      </c>
      <c r="BT6" s="230" t="str">
        <f t="shared" si="30"/>
        <v>-</v>
      </c>
      <c r="BU6" s="229" t="str">
        <f t="shared" si="31"/>
        <v>-</v>
      </c>
      <c r="BV6" s="216" t="e">
        <f t="shared" si="32"/>
        <v>#VALUE!</v>
      </c>
      <c r="BW6" s="216" t="e">
        <f t="shared" si="33"/>
        <v>#VALUE!</v>
      </c>
      <c r="BX6" s="51" t="e">
        <f t="shared" si="34"/>
        <v>#VALUE!</v>
      </c>
      <c r="BY6" s="215" t="e">
        <f t="shared" si="35"/>
        <v>#VALUE!</v>
      </c>
      <c r="BZ6" s="51" t="e">
        <f t="shared" si="36"/>
        <v>#VALUE!</v>
      </c>
      <c r="CA6" s="52">
        <f t="shared" si="37"/>
        <v>0</v>
      </c>
      <c r="CB6" s="52">
        <f t="shared" si="38"/>
        <v>0</v>
      </c>
      <c r="CC6" s="52">
        <f t="shared" si="39"/>
        <v>0</v>
      </c>
      <c r="CD6" s="52">
        <f t="shared" si="40"/>
        <v>0</v>
      </c>
      <c r="CE6" s="215" t="e">
        <f t="shared" si="41"/>
        <v>#VALUE!</v>
      </c>
      <c r="CF6" s="51" t="e">
        <f t="shared" si="42"/>
        <v>#VALUE!</v>
      </c>
      <c r="CG6" s="52" t="e">
        <f t="shared" si="43"/>
        <v>#VALUE!</v>
      </c>
      <c r="CH6" s="51" t="e">
        <f t="shared" si="44"/>
        <v>#VALUE!</v>
      </c>
      <c r="CI6" s="52" t="e">
        <f t="shared" si="45"/>
        <v>#VALUE!</v>
      </c>
      <c r="CJ6" s="52" t="e">
        <f t="shared" si="46"/>
        <v>#VALUE!</v>
      </c>
      <c r="CK6" s="214" t="e">
        <f t="shared" si="47"/>
        <v>#VALUE!</v>
      </c>
      <c r="CL6" s="214" t="e">
        <f t="shared" si="48"/>
        <v>#VALUE!</v>
      </c>
      <c r="CM6" s="51" t="str">
        <f t="shared" si="49"/>
        <v>-</v>
      </c>
      <c r="CN6" s="52" t="str">
        <f t="shared" si="50"/>
        <v>-</v>
      </c>
      <c r="CO6" s="214" t="str">
        <f t="shared" si="51"/>
        <v>-</v>
      </c>
      <c r="CS6" s="51" t="e">
        <f t="shared" si="55"/>
        <v>#VALUE!</v>
      </c>
      <c r="CT6" s="52" t="e">
        <f t="shared" si="52"/>
        <v>#VALUE!</v>
      </c>
      <c r="CU6" s="51" t="e">
        <f t="shared" si="53"/>
        <v>#VALUE!</v>
      </c>
      <c r="CV6" s="51" t="e">
        <f t="shared" si="54"/>
        <v>#VALUE!</v>
      </c>
    </row>
    <row r="7" spans="2:100" x14ac:dyDescent="0.25">
      <c r="D7" s="193" t="str">
        <f>'DSCR (Legend)'!D7</f>
        <v>620+</v>
      </c>
      <c r="E7" s="192" t="str">
        <f t="shared" si="0"/>
        <v>-</v>
      </c>
      <c r="F7" s="192" t="str">
        <f t="shared" si="0"/>
        <v>-</v>
      </c>
      <c r="G7" s="192" t="str">
        <f t="shared" si="0"/>
        <v>-</v>
      </c>
      <c r="H7" s="192" t="str">
        <f t="shared" si="0"/>
        <v>-</v>
      </c>
      <c r="I7" s="192" t="str">
        <f t="shared" si="0"/>
        <v>-</v>
      </c>
      <c r="J7" s="192" t="str">
        <f t="shared" si="0"/>
        <v>-</v>
      </c>
      <c r="K7" s="51" t="s">
        <v>1807</v>
      </c>
      <c r="L7" s="226">
        <f>'DSCR (Single Asset)'!$H$17/12</f>
        <v>0</v>
      </c>
      <c r="N7" s="53">
        <v>7.4999999999999997E-3</v>
      </c>
      <c r="O7" s="53">
        <f t="shared" si="1"/>
        <v>1.0325</v>
      </c>
      <c r="P7" s="56" t="e">
        <f t="shared" si="2"/>
        <v>#VALUE!</v>
      </c>
      <c r="Q7" s="57" t="str">
        <f t="shared" si="3"/>
        <v>-</v>
      </c>
      <c r="R7" s="57" t="str">
        <f t="shared" si="4"/>
        <v>-</v>
      </c>
      <c r="S7" s="57" t="str">
        <f>IF(OR($C$3="Purchase",$C$3="Delayed Purchase",$C$3="Refinance (Cash Out)"),"-",IF($C$3="Refinance (Rate/Term)",'DSCR (Single Asset)'!$C$22*102%,"-"))</f>
        <v>-</v>
      </c>
      <c r="T7" s="57" t="str">
        <f t="shared" si="5"/>
        <v>-</v>
      </c>
      <c r="U7" s="51" t="str">
        <f>IF(T7="-","-",IF(($T7/$C$19)&lt;=INDEX('DSCR (Legend)'!$F$3:$H$14,MATCH(($T7/$C$19),'DSCR (Legend)'!$F$3:$F$14,1),2),INDEX('DSCR (Legend)'!$F$3:$H$14,MATCH(($T7/$C$19),'DSCR (Legend)'!$F$3:$F$14,1),3),"-"))</f>
        <v>-</v>
      </c>
      <c r="V7" s="67" t="str">
        <f>IFERROR(IF($C$6="SFR",VLOOKUP(V$3,'DSCR (LLPA)'!$M:$V,MATCH($U7,'DSCR (LLPA)'!$M$1:$V$1,0),FALSE),IF($C$6="Multi",VLOOKUP(V$3,'DSCR (LLPA)'!$X:$AG,MATCH($U7,'DSCR (LLPA)'!$X$1:$AG$1,0),FALSE),"-")),"-")</f>
        <v>-</v>
      </c>
      <c r="W7" s="67" t="str">
        <f>IFERROR(IF($C$6="SFR",VLOOKUP(W$3,'DSCR (LLPA)'!$M:$V,MATCH($U7,'DSCR (LLPA)'!$M$1:$V$1,0),FALSE),IF($C$6="Multi",VLOOKUP(W$3,'DSCR (LLPA)'!$X:$AG,MATCH($U7,'DSCR (LLPA)'!$X$1:$AG$1,0),FALSE),"-")),"-")</f>
        <v>-</v>
      </c>
      <c r="X7" s="67" t="str">
        <f>IFERROR(IF($C$6="SFR",VLOOKUP(X$3,'DSCR (LLPA)'!$M:$V,MATCH($U7,'DSCR (LLPA)'!$M$1:$V$1,0),FALSE),IF($C$6="Multi",VLOOKUP(X$3,'DSCR (LLPA)'!$X:$AG,MATCH($U7,'DSCR (LLPA)'!$X$1:$AG$1,0),FALSE),"-")),"-")</f>
        <v>-</v>
      </c>
      <c r="Y7" s="67" t="str">
        <f>IFERROR(IF($C$6="SFR",VLOOKUP(Y$3,'DSCR (LLPA)'!$M:$V,MATCH($U7,'DSCR (LLPA)'!$M$1:$V$1,0),FALSE),IF($C$6="Multi",VLOOKUP(Y$3,'DSCR (LLPA)'!$X:$AG,MATCH($U7,'DSCR (LLPA)'!$X$1:$AG$1,0),FALSE),"-")),"-")</f>
        <v>-</v>
      </c>
      <c r="Z7" s="67" t="str">
        <f>IFERROR(IF($C$6="SFR",VLOOKUP(Z$3,'DSCR (LLPA)'!$M:$V,MATCH($U7,'DSCR (LLPA)'!$M$1:$V$1,0),FALSE),IF($C$6="Multi",VLOOKUP(Z$3,'DSCR (LLPA)'!$X:$AG,MATCH($U7,'DSCR (LLPA)'!$X$1:$AG$1,0),FALSE),"-")),"-")</f>
        <v>-</v>
      </c>
      <c r="AA7" s="67" t="str">
        <f>IFERROR(IF($C$6="SFR",VLOOKUP(AA$3,'DSCR (LLPA)'!$M:$V,MATCH($U7,'DSCR (LLPA)'!$M$1:$V$1,0),FALSE),IF($C$6="Multi",VLOOKUP(AA$3,'DSCR (LLPA)'!$X:$AG,MATCH($U7,'DSCR (LLPA)'!$X$1:$AG$1,0),FALSE),"-")),"-")</f>
        <v>-</v>
      </c>
      <c r="AB7" s="67" t="str">
        <f>IF($T7="-","-",IF($T7&lt;=INDEX('DSCR (Legend)'!$J$3:$L$17,MATCH($T7,'DSCR (Legend)'!$J$3:$J$17,1),2),INDEX('DSCR (Legend)'!$J$3:$L$17,MATCH($T7,'DSCR (Legend)'!$J$3:$J$17,1),3),"-"))</f>
        <v>-</v>
      </c>
      <c r="AC7" s="67" t="str">
        <f>IFERROR(IF($C$6="SFR",VLOOKUP($AB7,'DSCR (LLPA)'!$M:$V,MATCH($U7,'DSCR (LLPA)'!$M$1:$V$1,0),FALSE),IF($C$6="Multi",VLOOKUP($AB7,'DSCR (LLPA)'!$X:$AG,MATCH($U7,'DSCR (LLPA)'!$X$1:$AG$1,0),FALSE),"-")),"-")</f>
        <v>-</v>
      </c>
      <c r="AD7" s="67" t="str">
        <f>IFERROR(IF($C$6="SFR",VLOOKUP(AD$3,'DSCR (LLPA)'!$M:$V,MATCH($U7,'DSCR (LLPA)'!$M$1:$V$1,0),FALSE),IF($C$6="Multi",VLOOKUP(AD$3,'DSCR (LLPA)'!$X:$AG,MATCH($U7,'DSCR (LLPA)'!$X$1:$AG$1,0),FALSE),"-")),"-")</f>
        <v>-</v>
      </c>
      <c r="AE7" s="67" t="str">
        <f t="shared" si="6"/>
        <v>-</v>
      </c>
      <c r="AF7" s="56" t="str">
        <f>IF($AE7="-","-",IF($C$6="SFR",VLOOKUP($C$10,'DSCR (LLPA)'!$B$36:$K$50,MATCH($U7,'DSCR (LLPA)'!$B$36:$K$36,0),FALSE),IF($C$6="Multi",VLOOKUP($C$10,'DSCR (LLPA)'!$B$53:$K$67,MATCH($U7,'DSCR (LLPA)'!$B$53:$K$53,0),FALSE),"-")))</f>
        <v>-</v>
      </c>
      <c r="AG7" s="56" t="str">
        <f t="shared" si="7"/>
        <v>-</v>
      </c>
      <c r="AH7" s="52" t="str">
        <f t="shared" si="8"/>
        <v>-</v>
      </c>
      <c r="AI7" s="214" t="str">
        <f t="shared" si="9"/>
        <v>-</v>
      </c>
      <c r="AJ7" s="52" t="str">
        <f t="shared" si="10"/>
        <v>-</v>
      </c>
      <c r="AK7" s="52" t="str">
        <f t="shared" si="11"/>
        <v>-</v>
      </c>
      <c r="AL7" s="52">
        <f t="shared" si="12"/>
        <v>0</v>
      </c>
      <c r="AN7" s="53">
        <v>7.4999999999999997E-3</v>
      </c>
      <c r="AO7" s="53">
        <f t="shared" si="13"/>
        <v>1.0325</v>
      </c>
      <c r="AP7" s="56" t="e">
        <f t="shared" si="14"/>
        <v>#VALUE!</v>
      </c>
      <c r="AQ7" s="57" t="str">
        <f t="shared" si="15"/>
        <v>-</v>
      </c>
      <c r="AR7" s="51" t="str">
        <f>IF(AQ7="-","-",IF((AQ7/$C$19)&lt;=INDEX('DSCR (Legend)'!$F$3:$H$14,MATCH((AQ7/$C$19),'DSCR (Legend)'!$F$3:$F$14,1),2),INDEX('DSCR (Legend)'!$F$3:$H$14,MATCH((AQ7/$C$19),'DSCR (Legend)'!$F$3:$F$14,1),3),"-"))</f>
        <v>-</v>
      </c>
      <c r="AS7" s="56" t="str">
        <f>IFERROR(IF($C$6="SFR",VLOOKUP(AS$3,'DSCR (LLPA)'!$M:$V,MATCH($AR7,'DSCR (LLPA)'!$M$1:$V$1,0),FALSE),IF($C$6="Multi",VLOOKUP(AS$3,'DSCR (LLPA)'!$X:$AG,MATCH($AR7,'DSCR (LLPA)'!$X$1:$AG$1,0),FALSE),"-")),"-")</f>
        <v>-</v>
      </c>
      <c r="AT7" s="56" t="str">
        <f>IFERROR(IF($C$6="SFR",VLOOKUP(AT$3,'DSCR (LLPA)'!$M:$V,MATCH($AR7,'DSCR (LLPA)'!$M$1:$V$1,0),FALSE),IF($C$6="Multi",VLOOKUP(AT$3,'DSCR (LLPA)'!$X:$AG,MATCH($AR7,'DSCR (LLPA)'!$X$1:$AG$1,0),FALSE),"-")),"-")</f>
        <v>-</v>
      </c>
      <c r="AU7" s="56" t="str">
        <f>IFERROR(IF($C$6="SFR",VLOOKUP(AU$3,'DSCR (LLPA)'!$M:$V,MATCH($AR7,'DSCR (LLPA)'!$M$1:$V$1,0),FALSE),IF($C$6="Multi",VLOOKUP(AU$3,'DSCR (LLPA)'!$X:$AG,MATCH($AR7,'DSCR (LLPA)'!$X$1:$AG$1,0),FALSE),"-")),"-")</f>
        <v>-</v>
      </c>
      <c r="AV7" s="56" t="str">
        <f>IFERROR(IF($C$6="SFR",VLOOKUP(AV$3,'DSCR (LLPA)'!$M:$V,MATCH($AR7,'DSCR (LLPA)'!$M$1:$V$1,0),FALSE),IF($C$6="Multi",VLOOKUP(AV$3,'DSCR (LLPA)'!$X:$AG,MATCH($AR7,'DSCR (LLPA)'!$X$1:$AG$1,0),FALSE),"-")),"-")</f>
        <v>-</v>
      </c>
      <c r="AW7" s="56" t="str">
        <f>IFERROR(IF($C$6="SFR",VLOOKUP(AW$3,'DSCR (LLPA)'!$M:$V,MATCH($AR7,'DSCR (LLPA)'!$M$1:$V$1,0),FALSE),IF($C$6="Multi",VLOOKUP(AW$3,'DSCR (LLPA)'!$X:$AG,MATCH($AR7,'DSCR (LLPA)'!$X$1:$AG$1,0),FALSE),"-")),"-")</f>
        <v>-</v>
      </c>
      <c r="AX7" s="56" t="str">
        <f>IFERROR(IF($C$6="SFR",VLOOKUP(AX$3,'DSCR (LLPA)'!$M:$V,MATCH($AR7,'DSCR (LLPA)'!$M$1:$V$1,0),FALSE),IF($C$6="Multi",VLOOKUP(AX$3,'DSCR (LLPA)'!$X:$AG,MATCH($AR7,'DSCR (LLPA)'!$X$1:$AG$1,0),FALSE),"-")),"-")</f>
        <v>-</v>
      </c>
      <c r="AY7" s="56" t="str">
        <f>IF($AQ7="-","-",IF($AQ7&lt;=INDEX('DSCR (Legend)'!$J$3:$L$17,MATCH($AQ7,'DSCR (Legend)'!$J$3:$J$17,1),2),INDEX('DSCR (Legend)'!$J$3:$L$17,MATCH($AQ7,'DSCR (Legend)'!$J$3:$J$17,1),3),"-"))</f>
        <v>-</v>
      </c>
      <c r="AZ7" s="56" t="str">
        <f>IFERROR(IF($C$6="SFR",VLOOKUP($AY7,'DSCR (LLPA)'!$M:$V,MATCH($AR7,'DSCR (LLPA)'!$M$1:$V$1,0),FALSE),IF($C$6="Multi",VLOOKUP($AY7,'DSCR (LLPA)'!$X:$AG,MATCH($AR7,'DSCR (LLPA)'!$X$1:$AG$1,0),FALSE),"-")),"-")</f>
        <v>-</v>
      </c>
      <c r="BA7" s="56" t="str">
        <f>IFERROR(IF($C$6="SFR",VLOOKUP(BA$3,'DSCR (LLPA)'!$M:$V,MATCH($AR7,'DSCR (LLPA)'!$M$1:$V$1,0),FALSE),IF($C$6="Multi",VLOOKUP(BA$3,'DSCR (LLPA)'!$X:$AG,MATCH($AR7,'DSCR (LLPA)'!$X$1:$AG$1,0),FALSE),"-")),"-")</f>
        <v>-</v>
      </c>
      <c r="BB7" s="67" t="str">
        <f t="shared" si="16"/>
        <v>-</v>
      </c>
      <c r="BC7" s="56" t="str">
        <f>IF($BB7="-","-",IF($C$6="SFR",VLOOKUP($C$10,'DSCR (LLPA)'!$B$36:$K$50,MATCH($AR7,'DSCR (LLPA)'!$B$36:$K$36,0),FALSE),IF($C$6="Multi",VLOOKUP($C$10,'DSCR (LLPA)'!$B$53:$K$67,MATCH($AR7,'DSCR (LLPA)'!$B$53:$K$53,0),FALSE),"-")))</f>
        <v>-</v>
      </c>
      <c r="BD7" s="56" t="str">
        <f t="shared" si="17"/>
        <v>-</v>
      </c>
      <c r="BE7" s="52" t="str">
        <f t="shared" si="18"/>
        <v>-</v>
      </c>
      <c r="BF7" s="214" t="str">
        <f t="shared" si="19"/>
        <v>-</v>
      </c>
      <c r="BG7" s="52" t="str">
        <f t="shared" si="20"/>
        <v>-</v>
      </c>
      <c r="BH7" s="52" t="str">
        <f t="shared" si="21"/>
        <v>-</v>
      </c>
      <c r="BI7" s="52">
        <f t="shared" si="22"/>
        <v>0</v>
      </c>
      <c r="BJ7" s="232" t="str">
        <f t="shared" si="23"/>
        <v>-</v>
      </c>
      <c r="BK7" s="233">
        <f t="shared" si="24"/>
        <v>103.25</v>
      </c>
      <c r="BL7" s="232" t="str">
        <f>IF(BJ7="-","-",IF((BJ7/$C$19)&lt;=INDEX('DSCR (Legend)'!$F$3:$H$14,MATCH((BJ7/$C$19),'DSCR (Legend)'!$F$3:$F$14,1),2),INDEX('DSCR (Legend)'!$F$3:$H$14,MATCH((BJ7/$C$19),'DSCR (Legend)'!$F$3:$F$14,1),3),"-"))</f>
        <v>-</v>
      </c>
      <c r="BM7" s="232" t="b">
        <f t="shared" si="25"/>
        <v>0</v>
      </c>
      <c r="BN7" s="232" t="e">
        <f t="shared" si="26"/>
        <v>#N/A</v>
      </c>
      <c r="BO7" s="232" t="str">
        <f t="shared" si="27"/>
        <v>-</v>
      </c>
      <c r="BP7" s="231" t="str">
        <f t="shared" si="28"/>
        <v>-</v>
      </c>
      <c r="BR7" s="53">
        <v>7.4999999999999997E-3</v>
      </c>
      <c r="BS7" s="53">
        <f t="shared" si="29"/>
        <v>1.0325</v>
      </c>
      <c r="BT7" s="230" t="str">
        <f t="shared" si="30"/>
        <v>-</v>
      </c>
      <c r="BU7" s="229" t="str">
        <f t="shared" si="31"/>
        <v>-</v>
      </c>
      <c r="BV7" s="216" t="e">
        <f t="shared" si="32"/>
        <v>#VALUE!</v>
      </c>
      <c r="BW7" s="216" t="e">
        <f t="shared" si="33"/>
        <v>#VALUE!</v>
      </c>
      <c r="BX7" s="51" t="e">
        <f t="shared" si="34"/>
        <v>#VALUE!</v>
      </c>
      <c r="BY7" s="215" t="e">
        <f t="shared" si="35"/>
        <v>#VALUE!</v>
      </c>
      <c r="BZ7" s="51" t="e">
        <f t="shared" si="36"/>
        <v>#VALUE!</v>
      </c>
      <c r="CA7" s="52">
        <f t="shared" si="37"/>
        <v>0</v>
      </c>
      <c r="CB7" s="52">
        <f t="shared" si="38"/>
        <v>0</v>
      </c>
      <c r="CC7" s="52">
        <f t="shared" si="39"/>
        <v>0</v>
      </c>
      <c r="CD7" s="52">
        <f t="shared" si="40"/>
        <v>0</v>
      </c>
      <c r="CE7" s="215" t="e">
        <f t="shared" si="41"/>
        <v>#VALUE!</v>
      </c>
      <c r="CF7" s="51" t="e">
        <f t="shared" si="42"/>
        <v>#VALUE!</v>
      </c>
      <c r="CG7" s="52" t="e">
        <f t="shared" si="43"/>
        <v>#VALUE!</v>
      </c>
      <c r="CH7" s="51" t="e">
        <f t="shared" si="44"/>
        <v>#VALUE!</v>
      </c>
      <c r="CI7" s="52" t="e">
        <f t="shared" si="45"/>
        <v>#VALUE!</v>
      </c>
      <c r="CJ7" s="52" t="e">
        <f t="shared" si="46"/>
        <v>#VALUE!</v>
      </c>
      <c r="CK7" s="214" t="e">
        <f t="shared" si="47"/>
        <v>#VALUE!</v>
      </c>
      <c r="CL7" s="214" t="e">
        <f t="shared" si="48"/>
        <v>#VALUE!</v>
      </c>
      <c r="CM7" s="51" t="str">
        <f t="shared" si="49"/>
        <v>-</v>
      </c>
      <c r="CN7" s="52" t="str">
        <f t="shared" si="50"/>
        <v>-</v>
      </c>
      <c r="CO7" s="214" t="str">
        <f t="shared" si="51"/>
        <v>-</v>
      </c>
      <c r="CS7" s="51" t="e">
        <f t="shared" si="55"/>
        <v>#VALUE!</v>
      </c>
      <c r="CT7" s="52" t="e">
        <f t="shared" si="52"/>
        <v>#VALUE!</v>
      </c>
      <c r="CU7" s="51" t="e">
        <f t="shared" si="53"/>
        <v>#VALUE!</v>
      </c>
      <c r="CV7" s="51" t="e">
        <f t="shared" si="54"/>
        <v>#VALUE!</v>
      </c>
    </row>
    <row r="8" spans="2:100" x14ac:dyDescent="0.25">
      <c r="B8" s="51" t="s">
        <v>107</v>
      </c>
      <c r="C8" s="222">
        <f>'DSCR (Single Asset)'!$C$11</f>
        <v>0</v>
      </c>
      <c r="D8" s="193" t="str">
        <f>'DSCR (Legend)'!D8</f>
        <v>640+</v>
      </c>
      <c r="E8" s="192" t="str">
        <f t="shared" si="0"/>
        <v>-</v>
      </c>
      <c r="F8" s="192" t="str">
        <f t="shared" si="0"/>
        <v>-</v>
      </c>
      <c r="G8" s="192" t="str">
        <f t="shared" si="0"/>
        <v>-</v>
      </c>
      <c r="H8" s="192" t="str">
        <f t="shared" si="0"/>
        <v>-</v>
      </c>
      <c r="I8" s="192" t="str">
        <f t="shared" si="0"/>
        <v>-</v>
      </c>
      <c r="J8" s="192" t="str">
        <f t="shared" si="0"/>
        <v>-</v>
      </c>
      <c r="K8" s="51" t="s">
        <v>1806</v>
      </c>
      <c r="L8" s="226">
        <f>'DSCR (Single Asset)'!$I$17/12</f>
        <v>0</v>
      </c>
      <c r="N8" s="53">
        <v>0.01</v>
      </c>
      <c r="O8" s="53">
        <f t="shared" si="1"/>
        <v>1.03</v>
      </c>
      <c r="P8" s="56" t="e">
        <f t="shared" si="2"/>
        <v>#VALUE!</v>
      </c>
      <c r="Q8" s="57" t="str">
        <f t="shared" si="3"/>
        <v>-</v>
      </c>
      <c r="R8" s="57" t="str">
        <f t="shared" si="4"/>
        <v>-</v>
      </c>
      <c r="S8" s="57" t="str">
        <f>IF(OR($C$3="Purchase",$C$3="Delayed Purchase",$C$3="Refinance (Cash Out)"),"-",IF($C$3="Refinance (Rate/Term)",'DSCR (Single Asset)'!$C$22*102%,"-"))</f>
        <v>-</v>
      </c>
      <c r="T8" s="57" t="str">
        <f t="shared" si="5"/>
        <v>-</v>
      </c>
      <c r="U8" s="51" t="str">
        <f>IF(T8="-","-",IF(($T8/$C$19)&lt;=INDEX('DSCR (Legend)'!$F$3:$H$14,MATCH(($T8/$C$19),'DSCR (Legend)'!$F$3:$F$14,1),2),INDEX('DSCR (Legend)'!$F$3:$H$14,MATCH(($T8/$C$19),'DSCR (Legend)'!$F$3:$F$14,1),3),"-"))</f>
        <v>-</v>
      </c>
      <c r="V8" s="67" t="str">
        <f>IFERROR(IF($C$6="SFR",VLOOKUP(V$3,'DSCR (LLPA)'!$M:$V,MATCH($U8,'DSCR (LLPA)'!$M$1:$V$1,0),FALSE),IF($C$6="Multi",VLOOKUP(V$3,'DSCR (LLPA)'!$X:$AG,MATCH($U8,'DSCR (LLPA)'!$X$1:$AG$1,0),FALSE),"-")),"-")</f>
        <v>-</v>
      </c>
      <c r="W8" s="67" t="str">
        <f>IFERROR(IF($C$6="SFR",VLOOKUP(W$3,'DSCR (LLPA)'!$M:$V,MATCH($U8,'DSCR (LLPA)'!$M$1:$V$1,0),FALSE),IF($C$6="Multi",VLOOKUP(W$3,'DSCR (LLPA)'!$X:$AG,MATCH($U8,'DSCR (LLPA)'!$X$1:$AG$1,0),FALSE),"-")),"-")</f>
        <v>-</v>
      </c>
      <c r="X8" s="67" t="str">
        <f>IFERROR(IF($C$6="SFR",VLOOKUP(X$3,'DSCR (LLPA)'!$M:$V,MATCH($U8,'DSCR (LLPA)'!$M$1:$V$1,0),FALSE),IF($C$6="Multi",VLOOKUP(X$3,'DSCR (LLPA)'!$X:$AG,MATCH($U8,'DSCR (LLPA)'!$X$1:$AG$1,0),FALSE),"-")),"-")</f>
        <v>-</v>
      </c>
      <c r="Y8" s="67" t="str">
        <f>IFERROR(IF($C$6="SFR",VLOOKUP(Y$3,'DSCR (LLPA)'!$M:$V,MATCH($U8,'DSCR (LLPA)'!$M$1:$V$1,0),FALSE),IF($C$6="Multi",VLOOKUP(Y$3,'DSCR (LLPA)'!$X:$AG,MATCH($U8,'DSCR (LLPA)'!$X$1:$AG$1,0),FALSE),"-")),"-")</f>
        <v>-</v>
      </c>
      <c r="Z8" s="67" t="str">
        <f>IFERROR(IF($C$6="SFR",VLOOKUP(Z$3,'DSCR (LLPA)'!$M:$V,MATCH($U8,'DSCR (LLPA)'!$M$1:$V$1,0),FALSE),IF($C$6="Multi",VLOOKUP(Z$3,'DSCR (LLPA)'!$X:$AG,MATCH($U8,'DSCR (LLPA)'!$X$1:$AG$1,0),FALSE),"-")),"-")</f>
        <v>-</v>
      </c>
      <c r="AA8" s="67" t="str">
        <f>IFERROR(IF($C$6="SFR",VLOOKUP(AA$3,'DSCR (LLPA)'!$M:$V,MATCH($U8,'DSCR (LLPA)'!$M$1:$V$1,0),FALSE),IF($C$6="Multi",VLOOKUP(AA$3,'DSCR (LLPA)'!$X:$AG,MATCH($U8,'DSCR (LLPA)'!$X$1:$AG$1,0),FALSE),"-")),"-")</f>
        <v>-</v>
      </c>
      <c r="AB8" s="67" t="str">
        <f>IF($T8="-","-",IF($T8&lt;=INDEX('DSCR (Legend)'!$J$3:$L$17,MATCH($T8,'DSCR (Legend)'!$J$3:$J$17,1),2),INDEX('DSCR (Legend)'!$J$3:$L$17,MATCH($T8,'DSCR (Legend)'!$J$3:$J$17,1),3),"-"))</f>
        <v>-</v>
      </c>
      <c r="AC8" s="67" t="str">
        <f>IFERROR(IF($C$6="SFR",VLOOKUP($AB8,'DSCR (LLPA)'!$M:$V,MATCH($U8,'DSCR (LLPA)'!$M$1:$V$1,0),FALSE),IF($C$6="Multi",VLOOKUP($AB8,'DSCR (LLPA)'!$X:$AG,MATCH($U8,'DSCR (LLPA)'!$X$1:$AG$1,0),FALSE),"-")),"-")</f>
        <v>-</v>
      </c>
      <c r="AD8" s="67" t="str">
        <f>IFERROR(IF($C$6="SFR",VLOOKUP(AD$3,'DSCR (LLPA)'!$M:$V,MATCH($U8,'DSCR (LLPA)'!$M$1:$V$1,0),FALSE),IF($C$6="Multi",VLOOKUP(AD$3,'DSCR (LLPA)'!$X:$AG,MATCH($U8,'DSCR (LLPA)'!$X$1:$AG$1,0),FALSE),"-")),"-")</f>
        <v>-</v>
      </c>
      <c r="AE8" s="67" t="str">
        <f t="shared" si="6"/>
        <v>-</v>
      </c>
      <c r="AF8" s="56" t="str">
        <f>IF($AE8="-","-",IF($C$6="SFR",VLOOKUP($C$10,'DSCR (LLPA)'!$B$36:$K$50,MATCH($U8,'DSCR (LLPA)'!$B$36:$K$36,0),FALSE),IF($C$6="Multi",VLOOKUP($C$10,'DSCR (LLPA)'!$B$53:$K$67,MATCH($U8,'DSCR (LLPA)'!$B$53:$K$53,0),FALSE),"-")))</f>
        <v>-</v>
      </c>
      <c r="AG8" s="56" t="str">
        <f t="shared" si="7"/>
        <v>-</v>
      </c>
      <c r="AH8" s="52" t="str">
        <f t="shared" si="8"/>
        <v>-</v>
      </c>
      <c r="AI8" s="214" t="str">
        <f t="shared" si="9"/>
        <v>-</v>
      </c>
      <c r="AJ8" s="52" t="str">
        <f t="shared" si="10"/>
        <v>-</v>
      </c>
      <c r="AK8" s="52" t="str">
        <f t="shared" si="11"/>
        <v>-</v>
      </c>
      <c r="AL8" s="52">
        <f t="shared" si="12"/>
        <v>0</v>
      </c>
      <c r="AN8" s="53">
        <v>0.01</v>
      </c>
      <c r="AO8" s="53">
        <f t="shared" si="13"/>
        <v>1.03</v>
      </c>
      <c r="AP8" s="56" t="e">
        <f t="shared" si="14"/>
        <v>#VALUE!</v>
      </c>
      <c r="AQ8" s="57" t="str">
        <f t="shared" si="15"/>
        <v>-</v>
      </c>
      <c r="AR8" s="51" t="str">
        <f>IF(AQ8="-","-",IF((AQ8/$C$19)&lt;=INDEX('DSCR (Legend)'!$F$3:$H$14,MATCH((AQ8/$C$19),'DSCR (Legend)'!$F$3:$F$14,1),2),INDEX('DSCR (Legend)'!$F$3:$H$14,MATCH((AQ8/$C$19),'DSCR (Legend)'!$F$3:$F$14,1),3),"-"))</f>
        <v>-</v>
      </c>
      <c r="AS8" s="56" t="str">
        <f>IFERROR(IF($C$6="SFR",VLOOKUP(AS$3,'DSCR (LLPA)'!$M:$V,MATCH($AR8,'DSCR (LLPA)'!$M$1:$V$1,0),FALSE),IF($C$6="Multi",VLOOKUP(AS$3,'DSCR (LLPA)'!$X:$AG,MATCH($AR8,'DSCR (LLPA)'!$X$1:$AG$1,0),FALSE),"-")),"-")</f>
        <v>-</v>
      </c>
      <c r="AT8" s="56" t="str">
        <f>IFERROR(IF($C$6="SFR",VLOOKUP(AT$3,'DSCR (LLPA)'!$M:$V,MATCH($AR8,'DSCR (LLPA)'!$M$1:$V$1,0),FALSE),IF($C$6="Multi",VLOOKUP(AT$3,'DSCR (LLPA)'!$X:$AG,MATCH($AR8,'DSCR (LLPA)'!$X$1:$AG$1,0),FALSE),"-")),"-")</f>
        <v>-</v>
      </c>
      <c r="AU8" s="56" t="str">
        <f>IFERROR(IF($C$6="SFR",VLOOKUP(AU$3,'DSCR (LLPA)'!$M:$V,MATCH($AR8,'DSCR (LLPA)'!$M$1:$V$1,0),FALSE),IF($C$6="Multi",VLOOKUP(AU$3,'DSCR (LLPA)'!$X:$AG,MATCH($AR8,'DSCR (LLPA)'!$X$1:$AG$1,0),FALSE),"-")),"-")</f>
        <v>-</v>
      </c>
      <c r="AV8" s="56" t="str">
        <f>IFERROR(IF($C$6="SFR",VLOOKUP(AV$3,'DSCR (LLPA)'!$M:$V,MATCH($AR8,'DSCR (LLPA)'!$M$1:$V$1,0),FALSE),IF($C$6="Multi",VLOOKUP(AV$3,'DSCR (LLPA)'!$X:$AG,MATCH($AR8,'DSCR (LLPA)'!$X$1:$AG$1,0),FALSE),"-")),"-")</f>
        <v>-</v>
      </c>
      <c r="AW8" s="56" t="str">
        <f>IFERROR(IF($C$6="SFR",VLOOKUP(AW$3,'DSCR (LLPA)'!$M:$V,MATCH($AR8,'DSCR (LLPA)'!$M$1:$V$1,0),FALSE),IF($C$6="Multi",VLOOKUP(AW$3,'DSCR (LLPA)'!$X:$AG,MATCH($AR8,'DSCR (LLPA)'!$X$1:$AG$1,0),FALSE),"-")),"-")</f>
        <v>-</v>
      </c>
      <c r="AX8" s="56" t="str">
        <f>IFERROR(IF($C$6="SFR",VLOOKUP(AX$3,'DSCR (LLPA)'!$M:$V,MATCH($AR8,'DSCR (LLPA)'!$M$1:$V$1,0),FALSE),IF($C$6="Multi",VLOOKUP(AX$3,'DSCR (LLPA)'!$X:$AG,MATCH($AR8,'DSCR (LLPA)'!$X$1:$AG$1,0),FALSE),"-")),"-")</f>
        <v>-</v>
      </c>
      <c r="AY8" s="56" t="str">
        <f>IF($AQ8="-","-",IF($AQ8&lt;=INDEX('DSCR (Legend)'!$J$3:$L$17,MATCH($AQ8,'DSCR (Legend)'!$J$3:$J$17,1),2),INDEX('DSCR (Legend)'!$J$3:$L$17,MATCH($AQ8,'DSCR (Legend)'!$J$3:$J$17,1),3),"-"))</f>
        <v>-</v>
      </c>
      <c r="AZ8" s="56" t="str">
        <f>IFERROR(IF($C$6="SFR",VLOOKUP($AY8,'DSCR (LLPA)'!$M:$V,MATCH($AR8,'DSCR (LLPA)'!$M$1:$V$1,0),FALSE),IF($C$6="Multi",VLOOKUP($AY8,'DSCR (LLPA)'!$X:$AG,MATCH($AR8,'DSCR (LLPA)'!$X$1:$AG$1,0),FALSE),"-")),"-")</f>
        <v>-</v>
      </c>
      <c r="BA8" s="56" t="str">
        <f>IFERROR(IF($C$6="SFR",VLOOKUP(BA$3,'DSCR (LLPA)'!$M:$V,MATCH($AR8,'DSCR (LLPA)'!$M$1:$V$1,0),FALSE),IF($C$6="Multi",VLOOKUP(BA$3,'DSCR (LLPA)'!$X:$AG,MATCH($AR8,'DSCR (LLPA)'!$X$1:$AG$1,0),FALSE),"-")),"-")</f>
        <v>-</v>
      </c>
      <c r="BB8" s="67" t="str">
        <f t="shared" si="16"/>
        <v>-</v>
      </c>
      <c r="BC8" s="56" t="str">
        <f>IF($BB8="-","-",IF($C$6="SFR",VLOOKUP($C$10,'DSCR (LLPA)'!$B$36:$K$50,MATCH($AR8,'DSCR (LLPA)'!$B$36:$K$36,0),FALSE),IF($C$6="Multi",VLOOKUP($C$10,'DSCR (LLPA)'!$B$53:$K$67,MATCH($AR8,'DSCR (LLPA)'!$B$53:$K$53,0),FALSE),"-")))</f>
        <v>-</v>
      </c>
      <c r="BD8" s="56" t="str">
        <f t="shared" si="17"/>
        <v>-</v>
      </c>
      <c r="BE8" s="52" t="str">
        <f t="shared" si="18"/>
        <v>-</v>
      </c>
      <c r="BF8" s="214" t="str">
        <f t="shared" si="19"/>
        <v>-</v>
      </c>
      <c r="BG8" s="52" t="str">
        <f t="shared" si="20"/>
        <v>-</v>
      </c>
      <c r="BH8" s="52" t="str">
        <f t="shared" si="21"/>
        <v>-</v>
      </c>
      <c r="BI8" s="52">
        <f t="shared" si="22"/>
        <v>0</v>
      </c>
      <c r="BJ8" s="232" t="str">
        <f t="shared" si="23"/>
        <v>-</v>
      </c>
      <c r="BK8" s="233">
        <f t="shared" si="24"/>
        <v>103</v>
      </c>
      <c r="BL8" s="232" t="str">
        <f>IF(BJ8="-","-",IF((BJ8/$C$19)&lt;=INDEX('DSCR (Legend)'!$F$3:$H$14,MATCH((BJ8/$C$19),'DSCR (Legend)'!$F$3:$F$14,1),2),INDEX('DSCR (Legend)'!$F$3:$H$14,MATCH((BJ8/$C$19),'DSCR (Legend)'!$F$3:$F$14,1),3),"-"))</f>
        <v>-</v>
      </c>
      <c r="BM8" s="232" t="b">
        <f t="shared" si="25"/>
        <v>0</v>
      </c>
      <c r="BN8" s="232" t="e">
        <f t="shared" si="26"/>
        <v>#N/A</v>
      </c>
      <c r="BO8" s="232" t="str">
        <f t="shared" si="27"/>
        <v>-</v>
      </c>
      <c r="BP8" s="231" t="str">
        <f t="shared" si="28"/>
        <v>-</v>
      </c>
      <c r="BR8" s="53">
        <v>0.01</v>
      </c>
      <c r="BS8" s="53">
        <f t="shared" si="29"/>
        <v>1.03</v>
      </c>
      <c r="BT8" s="230" t="str">
        <f t="shared" si="30"/>
        <v>-</v>
      </c>
      <c r="BU8" s="229" t="str">
        <f t="shared" si="31"/>
        <v>-</v>
      </c>
      <c r="BV8" s="216" t="e">
        <f t="shared" si="32"/>
        <v>#VALUE!</v>
      </c>
      <c r="BW8" s="216" t="e">
        <f t="shared" si="33"/>
        <v>#VALUE!</v>
      </c>
      <c r="BX8" s="51" t="e">
        <f t="shared" si="34"/>
        <v>#VALUE!</v>
      </c>
      <c r="BY8" s="215" t="e">
        <f t="shared" si="35"/>
        <v>#VALUE!</v>
      </c>
      <c r="BZ8" s="51" t="e">
        <f t="shared" si="36"/>
        <v>#VALUE!</v>
      </c>
      <c r="CA8" s="52">
        <f t="shared" si="37"/>
        <v>0</v>
      </c>
      <c r="CB8" s="52">
        <f t="shared" si="38"/>
        <v>0</v>
      </c>
      <c r="CC8" s="52">
        <f t="shared" si="39"/>
        <v>0</v>
      </c>
      <c r="CD8" s="52">
        <f t="shared" si="40"/>
        <v>0</v>
      </c>
      <c r="CE8" s="215" t="e">
        <f t="shared" si="41"/>
        <v>#VALUE!</v>
      </c>
      <c r="CF8" s="51" t="e">
        <f t="shared" si="42"/>
        <v>#VALUE!</v>
      </c>
      <c r="CG8" s="52" t="e">
        <f t="shared" si="43"/>
        <v>#VALUE!</v>
      </c>
      <c r="CH8" s="51" t="e">
        <f t="shared" si="44"/>
        <v>#VALUE!</v>
      </c>
      <c r="CI8" s="52" t="e">
        <f t="shared" si="45"/>
        <v>#VALUE!</v>
      </c>
      <c r="CJ8" s="52" t="e">
        <f t="shared" si="46"/>
        <v>#VALUE!</v>
      </c>
      <c r="CK8" s="214" t="e">
        <f t="shared" si="47"/>
        <v>#VALUE!</v>
      </c>
      <c r="CL8" s="214" t="e">
        <f t="shared" si="48"/>
        <v>#VALUE!</v>
      </c>
      <c r="CM8" s="51" t="str">
        <f t="shared" si="49"/>
        <v>-</v>
      </c>
      <c r="CN8" s="52" t="str">
        <f t="shared" si="50"/>
        <v>-</v>
      </c>
      <c r="CO8" s="214" t="str">
        <f t="shared" si="51"/>
        <v>-</v>
      </c>
      <c r="CS8" s="51" t="e">
        <f t="shared" si="55"/>
        <v>#VALUE!</v>
      </c>
      <c r="CT8" s="52" t="e">
        <f t="shared" si="52"/>
        <v>#VALUE!</v>
      </c>
      <c r="CU8" s="51" t="e">
        <f t="shared" si="53"/>
        <v>#VALUE!</v>
      </c>
      <c r="CV8" s="51" t="e">
        <f t="shared" si="54"/>
        <v>#VALUE!</v>
      </c>
    </row>
    <row r="9" spans="2:100" x14ac:dyDescent="0.25">
      <c r="B9" s="51" t="s">
        <v>1805</v>
      </c>
      <c r="C9" s="222">
        <f>'DSCR (Single Asset)'!$C$12</f>
        <v>0</v>
      </c>
      <c r="D9" s="193" t="str">
        <f>'DSCR (Legend)'!D9</f>
        <v>660+</v>
      </c>
      <c r="E9" s="192">
        <f t="shared" si="0"/>
        <v>0.6</v>
      </c>
      <c r="F9" s="192">
        <f t="shared" si="0"/>
        <v>0.6</v>
      </c>
      <c r="G9" s="192" t="str">
        <f t="shared" si="0"/>
        <v>-</v>
      </c>
      <c r="H9" s="192" t="str">
        <f t="shared" si="0"/>
        <v>-</v>
      </c>
      <c r="I9" s="192" t="str">
        <f t="shared" si="0"/>
        <v>-</v>
      </c>
      <c r="J9" s="192" t="str">
        <f t="shared" si="0"/>
        <v>-</v>
      </c>
      <c r="N9" s="53">
        <v>1.2500000000000001E-2</v>
      </c>
      <c r="O9" s="53">
        <f t="shared" si="1"/>
        <v>1.0275000000000001</v>
      </c>
      <c r="P9" s="56" t="e">
        <f t="shared" si="2"/>
        <v>#VALUE!</v>
      </c>
      <c r="Q9" s="57" t="str">
        <f t="shared" si="3"/>
        <v>-</v>
      </c>
      <c r="R9" s="57" t="str">
        <f t="shared" si="4"/>
        <v>-</v>
      </c>
      <c r="S9" s="57" t="str">
        <f>IF(OR($C$3="Purchase",$C$3="Delayed Purchase",$C$3="Refinance (Cash Out)"),"-",IF($C$3="Refinance (Rate/Term)",'DSCR (Single Asset)'!$C$22*102%,"-"))</f>
        <v>-</v>
      </c>
      <c r="T9" s="57" t="str">
        <f t="shared" si="5"/>
        <v>-</v>
      </c>
      <c r="U9" s="51" t="str">
        <f>IF(T9="-","-",IF(($T9/$C$19)&lt;=INDEX('DSCR (Legend)'!$F$3:$H$14,MATCH(($T9/$C$19),'DSCR (Legend)'!$F$3:$F$14,1),2),INDEX('DSCR (Legend)'!$F$3:$H$14,MATCH(($T9/$C$19),'DSCR (Legend)'!$F$3:$F$14,1),3),"-"))</f>
        <v>-</v>
      </c>
      <c r="V9" s="67" t="str">
        <f>IFERROR(IF($C$6="SFR",VLOOKUP(V$3,'DSCR (LLPA)'!$M:$V,MATCH($U9,'DSCR (LLPA)'!$M$1:$V$1,0),FALSE),IF($C$6="Multi",VLOOKUP(V$3,'DSCR (LLPA)'!$X:$AG,MATCH($U9,'DSCR (LLPA)'!$X$1:$AG$1,0),FALSE),"-")),"-")</f>
        <v>-</v>
      </c>
      <c r="W9" s="67" t="str">
        <f>IFERROR(IF($C$6="SFR",VLOOKUP(W$3,'DSCR (LLPA)'!$M:$V,MATCH($U9,'DSCR (LLPA)'!$M$1:$V$1,0),FALSE),IF($C$6="Multi",VLOOKUP(W$3,'DSCR (LLPA)'!$X:$AG,MATCH($U9,'DSCR (LLPA)'!$X$1:$AG$1,0),FALSE),"-")),"-")</f>
        <v>-</v>
      </c>
      <c r="X9" s="67" t="str">
        <f>IFERROR(IF($C$6="SFR",VLOOKUP(X$3,'DSCR (LLPA)'!$M:$V,MATCH($U9,'DSCR (LLPA)'!$M$1:$V$1,0),FALSE),IF($C$6="Multi",VLOOKUP(X$3,'DSCR (LLPA)'!$X:$AG,MATCH($U9,'DSCR (LLPA)'!$X$1:$AG$1,0),FALSE),"-")),"-")</f>
        <v>-</v>
      </c>
      <c r="Y9" s="67" t="str">
        <f>IFERROR(IF($C$6="SFR",VLOOKUP(Y$3,'DSCR (LLPA)'!$M:$V,MATCH($U9,'DSCR (LLPA)'!$M$1:$V$1,0),FALSE),IF($C$6="Multi",VLOOKUP(Y$3,'DSCR (LLPA)'!$X:$AG,MATCH($U9,'DSCR (LLPA)'!$X$1:$AG$1,0),FALSE),"-")),"-")</f>
        <v>-</v>
      </c>
      <c r="Z9" s="67" t="str">
        <f>IFERROR(IF($C$6="SFR",VLOOKUP(Z$3,'DSCR (LLPA)'!$M:$V,MATCH($U9,'DSCR (LLPA)'!$M$1:$V$1,0),FALSE),IF($C$6="Multi",VLOOKUP(Z$3,'DSCR (LLPA)'!$X:$AG,MATCH($U9,'DSCR (LLPA)'!$X$1:$AG$1,0),FALSE),"-")),"-")</f>
        <v>-</v>
      </c>
      <c r="AA9" s="67" t="str">
        <f>IFERROR(IF($C$6="SFR",VLOOKUP(AA$3,'DSCR (LLPA)'!$M:$V,MATCH($U9,'DSCR (LLPA)'!$M$1:$V$1,0),FALSE),IF($C$6="Multi",VLOOKUP(AA$3,'DSCR (LLPA)'!$X:$AG,MATCH($U9,'DSCR (LLPA)'!$X$1:$AG$1,0),FALSE),"-")),"-")</f>
        <v>-</v>
      </c>
      <c r="AB9" s="67" t="str">
        <f>IF($T9="-","-",IF($T9&lt;=INDEX('DSCR (Legend)'!$J$3:$L$17,MATCH($T9,'DSCR (Legend)'!$J$3:$J$17,1),2),INDEX('DSCR (Legend)'!$J$3:$L$17,MATCH($T9,'DSCR (Legend)'!$J$3:$J$17,1),3),"-"))</f>
        <v>-</v>
      </c>
      <c r="AC9" s="67" t="str">
        <f>IFERROR(IF($C$6="SFR",VLOOKUP($AB9,'DSCR (LLPA)'!$M:$V,MATCH($U9,'DSCR (LLPA)'!$M$1:$V$1,0),FALSE),IF($C$6="Multi",VLOOKUP($AB9,'DSCR (LLPA)'!$X:$AG,MATCH($U9,'DSCR (LLPA)'!$X$1:$AG$1,0),FALSE),"-")),"-")</f>
        <v>-</v>
      </c>
      <c r="AD9" s="67" t="str">
        <f>IFERROR(IF($C$6="SFR",VLOOKUP(AD$3,'DSCR (LLPA)'!$M:$V,MATCH($U9,'DSCR (LLPA)'!$M$1:$V$1,0),FALSE),IF($C$6="Multi",VLOOKUP(AD$3,'DSCR (LLPA)'!$X:$AG,MATCH($U9,'DSCR (LLPA)'!$X$1:$AG$1,0),FALSE),"-")),"-")</f>
        <v>-</v>
      </c>
      <c r="AE9" s="67" t="str">
        <f t="shared" si="6"/>
        <v>-</v>
      </c>
      <c r="AF9" s="56" t="str">
        <f>IF($AE9="-","-",IF($C$6="SFR",VLOOKUP($C$10,'DSCR (LLPA)'!$B$36:$K$50,MATCH($U9,'DSCR (LLPA)'!$B$36:$K$36,0),FALSE),IF($C$6="Multi",VLOOKUP($C$10,'DSCR (LLPA)'!$B$53:$K$67,MATCH($U9,'DSCR (LLPA)'!$B$53:$K$53,0),FALSE),"-")))</f>
        <v>-</v>
      </c>
      <c r="AG9" s="56" t="str">
        <f t="shared" si="7"/>
        <v>-</v>
      </c>
      <c r="AH9" s="52" t="str">
        <f t="shared" si="8"/>
        <v>-</v>
      </c>
      <c r="AI9" s="214" t="str">
        <f t="shared" si="9"/>
        <v>-</v>
      </c>
      <c r="AJ9" s="52" t="str">
        <f t="shared" si="10"/>
        <v>-</v>
      </c>
      <c r="AK9" s="52" t="str">
        <f t="shared" si="11"/>
        <v>-</v>
      </c>
      <c r="AL9" s="52">
        <f t="shared" si="12"/>
        <v>0</v>
      </c>
      <c r="AN9" s="53">
        <v>1.2500000000000001E-2</v>
      </c>
      <c r="AO9" s="53">
        <f t="shared" si="13"/>
        <v>1.0275000000000001</v>
      </c>
      <c r="AP9" s="56" t="e">
        <f t="shared" si="14"/>
        <v>#VALUE!</v>
      </c>
      <c r="AQ9" s="57" t="str">
        <f t="shared" si="15"/>
        <v>-</v>
      </c>
      <c r="AR9" s="51" t="str">
        <f>IF(AQ9="-","-",IF((AQ9/$C$19)&lt;=INDEX('DSCR (Legend)'!$F$3:$H$14,MATCH((AQ9/$C$19),'DSCR (Legend)'!$F$3:$F$14,1),2),INDEX('DSCR (Legend)'!$F$3:$H$14,MATCH((AQ9/$C$19),'DSCR (Legend)'!$F$3:$F$14,1),3),"-"))</f>
        <v>-</v>
      </c>
      <c r="AS9" s="56" t="str">
        <f>IFERROR(IF($C$6="SFR",VLOOKUP(AS$3,'DSCR (LLPA)'!$M:$V,MATCH($AR9,'DSCR (LLPA)'!$M$1:$V$1,0),FALSE),IF($C$6="Multi",VLOOKUP(AS$3,'DSCR (LLPA)'!$X:$AG,MATCH($AR9,'DSCR (LLPA)'!$X$1:$AG$1,0),FALSE),"-")),"-")</f>
        <v>-</v>
      </c>
      <c r="AT9" s="56" t="str">
        <f>IFERROR(IF($C$6="SFR",VLOOKUP(AT$3,'DSCR (LLPA)'!$M:$V,MATCH($AR9,'DSCR (LLPA)'!$M$1:$V$1,0),FALSE),IF($C$6="Multi",VLOOKUP(AT$3,'DSCR (LLPA)'!$X:$AG,MATCH($AR9,'DSCR (LLPA)'!$X$1:$AG$1,0),FALSE),"-")),"-")</f>
        <v>-</v>
      </c>
      <c r="AU9" s="56" t="str">
        <f>IFERROR(IF($C$6="SFR",VLOOKUP(AU$3,'DSCR (LLPA)'!$M:$V,MATCH($AR9,'DSCR (LLPA)'!$M$1:$V$1,0),FALSE),IF($C$6="Multi",VLOOKUP(AU$3,'DSCR (LLPA)'!$X:$AG,MATCH($AR9,'DSCR (LLPA)'!$X$1:$AG$1,0),FALSE),"-")),"-")</f>
        <v>-</v>
      </c>
      <c r="AV9" s="56" t="str">
        <f>IFERROR(IF($C$6="SFR",VLOOKUP(AV$3,'DSCR (LLPA)'!$M:$V,MATCH($AR9,'DSCR (LLPA)'!$M$1:$V$1,0),FALSE),IF($C$6="Multi",VLOOKUP(AV$3,'DSCR (LLPA)'!$X:$AG,MATCH($AR9,'DSCR (LLPA)'!$X$1:$AG$1,0),FALSE),"-")),"-")</f>
        <v>-</v>
      </c>
      <c r="AW9" s="56" t="str">
        <f>IFERROR(IF($C$6="SFR",VLOOKUP(AW$3,'DSCR (LLPA)'!$M:$V,MATCH($AR9,'DSCR (LLPA)'!$M$1:$V$1,0),FALSE),IF($C$6="Multi",VLOOKUP(AW$3,'DSCR (LLPA)'!$X:$AG,MATCH($AR9,'DSCR (LLPA)'!$X$1:$AG$1,0),FALSE),"-")),"-")</f>
        <v>-</v>
      </c>
      <c r="AX9" s="56" t="str">
        <f>IFERROR(IF($C$6="SFR",VLOOKUP(AX$3,'DSCR (LLPA)'!$M:$V,MATCH($AR9,'DSCR (LLPA)'!$M$1:$V$1,0),FALSE),IF($C$6="Multi",VLOOKUP(AX$3,'DSCR (LLPA)'!$X:$AG,MATCH($AR9,'DSCR (LLPA)'!$X$1:$AG$1,0),FALSE),"-")),"-")</f>
        <v>-</v>
      </c>
      <c r="AY9" s="56" t="str">
        <f>IF($AQ9="-","-",IF($AQ9&lt;=INDEX('DSCR (Legend)'!$J$3:$L$17,MATCH($AQ9,'DSCR (Legend)'!$J$3:$J$17,1),2),INDEX('DSCR (Legend)'!$J$3:$L$17,MATCH($AQ9,'DSCR (Legend)'!$J$3:$J$17,1),3),"-"))</f>
        <v>-</v>
      </c>
      <c r="AZ9" s="56" t="str">
        <f>IFERROR(IF($C$6="SFR",VLOOKUP($AY9,'DSCR (LLPA)'!$M:$V,MATCH($AR9,'DSCR (LLPA)'!$M$1:$V$1,0),FALSE),IF($C$6="Multi",VLOOKUP($AY9,'DSCR (LLPA)'!$X:$AG,MATCH($AR9,'DSCR (LLPA)'!$X$1:$AG$1,0),FALSE),"-")),"-")</f>
        <v>-</v>
      </c>
      <c r="BA9" s="56" t="str">
        <f>IFERROR(IF($C$6="SFR",VLOOKUP(BA$3,'DSCR (LLPA)'!$M:$V,MATCH($AR9,'DSCR (LLPA)'!$M$1:$V$1,0),FALSE),IF($C$6="Multi",VLOOKUP(BA$3,'DSCR (LLPA)'!$X:$AG,MATCH($AR9,'DSCR (LLPA)'!$X$1:$AG$1,0),FALSE),"-")),"-")</f>
        <v>-</v>
      </c>
      <c r="BB9" s="67" t="str">
        <f t="shared" si="16"/>
        <v>-</v>
      </c>
      <c r="BC9" s="56" t="str">
        <f>IF($BB9="-","-",IF($C$6="SFR",VLOOKUP($C$10,'DSCR (LLPA)'!$B$36:$K$50,MATCH($AR9,'DSCR (LLPA)'!$B$36:$K$36,0),FALSE),IF($C$6="Multi",VLOOKUP($C$10,'DSCR (LLPA)'!$B$53:$K$67,MATCH($AR9,'DSCR (LLPA)'!$B$53:$K$53,0),FALSE),"-")))</f>
        <v>-</v>
      </c>
      <c r="BD9" s="56" t="str">
        <f t="shared" si="17"/>
        <v>-</v>
      </c>
      <c r="BE9" s="52" t="str">
        <f t="shared" si="18"/>
        <v>-</v>
      </c>
      <c r="BF9" s="214" t="str">
        <f t="shared" si="19"/>
        <v>-</v>
      </c>
      <c r="BG9" s="52" t="str">
        <f t="shared" si="20"/>
        <v>-</v>
      </c>
      <c r="BH9" s="52" t="str">
        <f t="shared" si="21"/>
        <v>-</v>
      </c>
      <c r="BI9" s="52">
        <f t="shared" si="22"/>
        <v>0</v>
      </c>
      <c r="BJ9" s="232" t="str">
        <f t="shared" si="23"/>
        <v>-</v>
      </c>
      <c r="BK9" s="233">
        <f t="shared" si="24"/>
        <v>102.75</v>
      </c>
      <c r="BL9" s="232" t="str">
        <f>IF(BJ9="-","-",IF((BJ9/$C$19)&lt;=INDEX('DSCR (Legend)'!$F$3:$H$14,MATCH((BJ9/$C$19),'DSCR (Legend)'!$F$3:$F$14,1),2),INDEX('DSCR (Legend)'!$F$3:$H$14,MATCH((BJ9/$C$19),'DSCR (Legend)'!$F$3:$F$14,1),3),"-"))</f>
        <v>-</v>
      </c>
      <c r="BM9" s="232" t="b">
        <f t="shared" si="25"/>
        <v>0</v>
      </c>
      <c r="BN9" s="232" t="e">
        <f t="shared" si="26"/>
        <v>#N/A</v>
      </c>
      <c r="BO9" s="232" t="str">
        <f t="shared" si="27"/>
        <v>-</v>
      </c>
      <c r="BP9" s="231" t="str">
        <f t="shared" si="28"/>
        <v>-</v>
      </c>
      <c r="BR9" s="53">
        <v>1.2500000000000001E-2</v>
      </c>
      <c r="BS9" s="53">
        <f t="shared" si="29"/>
        <v>1.0275000000000001</v>
      </c>
      <c r="BT9" s="230" t="str">
        <f t="shared" si="30"/>
        <v>-</v>
      </c>
      <c r="BU9" s="229" t="str">
        <f t="shared" si="31"/>
        <v>-</v>
      </c>
      <c r="BV9" s="216" t="e">
        <f t="shared" si="32"/>
        <v>#VALUE!</v>
      </c>
      <c r="BW9" s="216" t="e">
        <f t="shared" si="33"/>
        <v>#VALUE!</v>
      </c>
      <c r="BX9" s="51" t="e">
        <f t="shared" si="34"/>
        <v>#VALUE!</v>
      </c>
      <c r="BY9" s="215" t="e">
        <f t="shared" si="35"/>
        <v>#VALUE!</v>
      </c>
      <c r="BZ9" s="51" t="e">
        <f t="shared" si="36"/>
        <v>#VALUE!</v>
      </c>
      <c r="CA9" s="52">
        <f t="shared" si="37"/>
        <v>0</v>
      </c>
      <c r="CB9" s="52">
        <f t="shared" si="38"/>
        <v>0</v>
      </c>
      <c r="CC9" s="52">
        <f t="shared" si="39"/>
        <v>0</v>
      </c>
      <c r="CD9" s="52">
        <f t="shared" si="40"/>
        <v>0</v>
      </c>
      <c r="CE9" s="215" t="e">
        <f t="shared" si="41"/>
        <v>#VALUE!</v>
      </c>
      <c r="CF9" s="51" t="e">
        <f t="shared" si="42"/>
        <v>#VALUE!</v>
      </c>
      <c r="CG9" s="52" t="e">
        <f t="shared" si="43"/>
        <v>#VALUE!</v>
      </c>
      <c r="CH9" s="51" t="e">
        <f t="shared" si="44"/>
        <v>#VALUE!</v>
      </c>
      <c r="CI9" s="52" t="e">
        <f t="shared" si="45"/>
        <v>#VALUE!</v>
      </c>
      <c r="CJ9" s="52" t="e">
        <f t="shared" si="46"/>
        <v>#VALUE!</v>
      </c>
      <c r="CK9" s="214" t="e">
        <f t="shared" si="47"/>
        <v>#VALUE!</v>
      </c>
      <c r="CL9" s="214" t="e">
        <f t="shared" si="48"/>
        <v>#VALUE!</v>
      </c>
      <c r="CM9" s="51" t="str">
        <f t="shared" si="49"/>
        <v>-</v>
      </c>
      <c r="CN9" s="52" t="str">
        <f t="shared" si="50"/>
        <v>-</v>
      </c>
      <c r="CO9" s="214" t="str">
        <f t="shared" si="51"/>
        <v>-</v>
      </c>
      <c r="CS9" s="51" t="e">
        <f t="shared" si="55"/>
        <v>#VALUE!</v>
      </c>
      <c r="CT9" s="52" t="e">
        <f t="shared" si="52"/>
        <v>#VALUE!</v>
      </c>
      <c r="CU9" s="51" t="e">
        <f t="shared" si="53"/>
        <v>#VALUE!</v>
      </c>
      <c r="CV9" s="51" t="e">
        <f t="shared" si="54"/>
        <v>#VALUE!</v>
      </c>
    </row>
    <row r="10" spans="2:100" x14ac:dyDescent="0.25">
      <c r="B10" s="51" t="s">
        <v>1698</v>
      </c>
      <c r="C10" s="222" t="str">
        <f>IF(OR($C$8="Foreign National",$C$9=""),"FN",IF($C$9&lt;=INDEX('DSCR (Legend)'!$B$3:$D$16,MATCH($C$9,'DSCR (Legend)'!$B$3:$B$16,1),2),INDEX('DSCR (Legend)'!$B$3:$D$16,MATCH($C$9,'DSCR (Legend)'!$B$3:$B$16,1),3),"-"))</f>
        <v>&lt; 575</v>
      </c>
      <c r="D10" s="193" t="str">
        <f>'DSCR (Legend)'!D10</f>
        <v>680+</v>
      </c>
      <c r="E10" s="192">
        <f t="shared" si="0"/>
        <v>0.7</v>
      </c>
      <c r="F10" s="192">
        <f t="shared" si="0"/>
        <v>0.7</v>
      </c>
      <c r="G10" s="192">
        <f t="shared" si="0"/>
        <v>0.7</v>
      </c>
      <c r="H10" s="192">
        <f t="shared" si="0"/>
        <v>0.7</v>
      </c>
      <c r="I10" s="192">
        <f t="shared" si="0"/>
        <v>0.7</v>
      </c>
      <c r="J10" s="192">
        <f t="shared" si="0"/>
        <v>0.65</v>
      </c>
      <c r="K10" s="51" t="s">
        <v>1762</v>
      </c>
      <c r="L10" s="226">
        <f>$L$4-SUM($L$5:$L$8)</f>
        <v>0</v>
      </c>
      <c r="N10" s="53">
        <v>1.5000000000000001E-2</v>
      </c>
      <c r="O10" s="53">
        <f t="shared" si="1"/>
        <v>1.0250000000000001</v>
      </c>
      <c r="P10" s="56" t="e">
        <f t="shared" si="2"/>
        <v>#VALUE!</v>
      </c>
      <c r="Q10" s="57" t="str">
        <f t="shared" si="3"/>
        <v>-</v>
      </c>
      <c r="R10" s="57" t="str">
        <f t="shared" si="4"/>
        <v>-</v>
      </c>
      <c r="S10" s="57" t="str">
        <f>IF(OR($C$3="Purchase",$C$3="Delayed Purchase",$C$3="Refinance (Cash Out)"),"-",IF($C$3="Refinance (Rate/Term)",'DSCR (Single Asset)'!$C$22*102%,"-"))</f>
        <v>-</v>
      </c>
      <c r="T10" s="57" t="str">
        <f t="shared" si="5"/>
        <v>-</v>
      </c>
      <c r="U10" s="51" t="str">
        <f>IF(T10="-","-",IF(($T10/$C$19)&lt;=INDEX('DSCR (Legend)'!$F$3:$H$14,MATCH(($T10/$C$19),'DSCR (Legend)'!$F$3:$F$14,1),2),INDEX('DSCR (Legend)'!$F$3:$H$14,MATCH(($T10/$C$19),'DSCR (Legend)'!$F$3:$F$14,1),3),"-"))</f>
        <v>-</v>
      </c>
      <c r="V10" s="67" t="str">
        <f>IFERROR(IF($C$6="SFR",VLOOKUP(V$3,'DSCR (LLPA)'!$M:$V,MATCH($U10,'DSCR (LLPA)'!$M$1:$V$1,0),FALSE),IF($C$6="Multi",VLOOKUP(V$3,'DSCR (LLPA)'!$X:$AG,MATCH($U10,'DSCR (LLPA)'!$X$1:$AG$1,0),FALSE),"-")),"-")</f>
        <v>-</v>
      </c>
      <c r="W10" s="67" t="str">
        <f>IFERROR(IF($C$6="SFR",VLOOKUP(W$3,'DSCR (LLPA)'!$M:$V,MATCH($U10,'DSCR (LLPA)'!$M$1:$V$1,0),FALSE),IF($C$6="Multi",VLOOKUP(W$3,'DSCR (LLPA)'!$X:$AG,MATCH($U10,'DSCR (LLPA)'!$X$1:$AG$1,0),FALSE),"-")),"-")</f>
        <v>-</v>
      </c>
      <c r="X10" s="67" t="str">
        <f>IFERROR(IF($C$6="SFR",VLOOKUP(X$3,'DSCR (LLPA)'!$M:$V,MATCH($U10,'DSCR (LLPA)'!$M$1:$V$1,0),FALSE),IF($C$6="Multi",VLOOKUP(X$3,'DSCR (LLPA)'!$X:$AG,MATCH($U10,'DSCR (LLPA)'!$X$1:$AG$1,0),FALSE),"-")),"-")</f>
        <v>-</v>
      </c>
      <c r="Y10" s="67" t="str">
        <f>IFERROR(IF($C$6="SFR",VLOOKUP(Y$3,'DSCR (LLPA)'!$M:$V,MATCH($U10,'DSCR (LLPA)'!$M$1:$V$1,0),FALSE),IF($C$6="Multi",VLOOKUP(Y$3,'DSCR (LLPA)'!$X:$AG,MATCH($U10,'DSCR (LLPA)'!$X$1:$AG$1,0),FALSE),"-")),"-")</f>
        <v>-</v>
      </c>
      <c r="Z10" s="67" t="str">
        <f>IFERROR(IF($C$6="SFR",VLOOKUP(Z$3,'DSCR (LLPA)'!$M:$V,MATCH($U10,'DSCR (LLPA)'!$M$1:$V$1,0),FALSE),IF($C$6="Multi",VLOOKUP(Z$3,'DSCR (LLPA)'!$X:$AG,MATCH($U10,'DSCR (LLPA)'!$X$1:$AG$1,0),FALSE),"-")),"-")</f>
        <v>-</v>
      </c>
      <c r="AA10" s="67" t="str">
        <f>IFERROR(IF($C$6="SFR",VLOOKUP(AA$3,'DSCR (LLPA)'!$M:$V,MATCH($U10,'DSCR (LLPA)'!$M$1:$V$1,0),FALSE),IF($C$6="Multi",VLOOKUP(AA$3,'DSCR (LLPA)'!$X:$AG,MATCH($U10,'DSCR (LLPA)'!$X$1:$AG$1,0),FALSE),"-")),"-")</f>
        <v>-</v>
      </c>
      <c r="AB10" s="67" t="str">
        <f>IF($T10="-","-",IF($T10&lt;=INDEX('DSCR (Legend)'!$J$3:$L$17,MATCH($T10,'DSCR (Legend)'!$J$3:$J$17,1),2),INDEX('DSCR (Legend)'!$J$3:$L$17,MATCH($T10,'DSCR (Legend)'!$J$3:$J$17,1),3),"-"))</f>
        <v>-</v>
      </c>
      <c r="AC10" s="67" t="str">
        <f>IFERROR(IF($C$6="SFR",VLOOKUP($AB10,'DSCR (LLPA)'!$M:$V,MATCH($U10,'DSCR (LLPA)'!$M$1:$V$1,0),FALSE),IF($C$6="Multi",VLOOKUP($AB10,'DSCR (LLPA)'!$X:$AG,MATCH($U10,'DSCR (LLPA)'!$X$1:$AG$1,0),FALSE),"-")),"-")</f>
        <v>-</v>
      </c>
      <c r="AD10" s="67" t="str">
        <f>IFERROR(IF($C$6="SFR",VLOOKUP(AD$3,'DSCR (LLPA)'!$M:$V,MATCH($U10,'DSCR (LLPA)'!$M$1:$V$1,0),FALSE),IF($C$6="Multi",VLOOKUP(AD$3,'DSCR (LLPA)'!$X:$AG,MATCH($U10,'DSCR (LLPA)'!$X$1:$AG$1,0),FALSE),"-")),"-")</f>
        <v>-</v>
      </c>
      <c r="AE10" s="67" t="str">
        <f t="shared" si="6"/>
        <v>-</v>
      </c>
      <c r="AF10" s="56" t="str">
        <f>IF($AE10="-","-",IF($C$6="SFR",VLOOKUP($C$10,'DSCR (LLPA)'!$B$36:$K$50,MATCH($U10,'DSCR (LLPA)'!$B$36:$K$36,0),FALSE),IF($C$6="Multi",VLOOKUP($C$10,'DSCR (LLPA)'!$B$53:$K$67,MATCH($U10,'DSCR (LLPA)'!$B$53:$K$53,0),FALSE),"-")))</f>
        <v>-</v>
      </c>
      <c r="AG10" s="56" t="str">
        <f t="shared" si="7"/>
        <v>-</v>
      </c>
      <c r="AH10" s="52" t="str">
        <f t="shared" si="8"/>
        <v>-</v>
      </c>
      <c r="AI10" s="214" t="str">
        <f t="shared" si="9"/>
        <v>-</v>
      </c>
      <c r="AJ10" s="52" t="str">
        <f t="shared" si="10"/>
        <v>-</v>
      </c>
      <c r="AK10" s="52" t="str">
        <f t="shared" si="11"/>
        <v>-</v>
      </c>
      <c r="AL10" s="52">
        <f t="shared" si="12"/>
        <v>0</v>
      </c>
      <c r="AN10" s="53">
        <v>1.5000000000000001E-2</v>
      </c>
      <c r="AO10" s="53">
        <f t="shared" si="13"/>
        <v>1.0250000000000001</v>
      </c>
      <c r="AP10" s="56" t="e">
        <f t="shared" si="14"/>
        <v>#VALUE!</v>
      </c>
      <c r="AQ10" s="57" t="str">
        <f t="shared" si="15"/>
        <v>-</v>
      </c>
      <c r="AR10" s="51" t="str">
        <f>IF(AQ10="-","-",IF((AQ10/$C$19)&lt;=INDEX('DSCR (Legend)'!$F$3:$H$14,MATCH((AQ10/$C$19),'DSCR (Legend)'!$F$3:$F$14,1),2),INDEX('DSCR (Legend)'!$F$3:$H$14,MATCH((AQ10/$C$19),'DSCR (Legend)'!$F$3:$F$14,1),3),"-"))</f>
        <v>-</v>
      </c>
      <c r="AS10" s="56" t="str">
        <f>IFERROR(IF($C$6="SFR",VLOOKUP(AS$3,'DSCR (LLPA)'!$M:$V,MATCH($AR10,'DSCR (LLPA)'!$M$1:$V$1,0),FALSE),IF($C$6="Multi",VLOOKUP(AS$3,'DSCR (LLPA)'!$X:$AG,MATCH($AR10,'DSCR (LLPA)'!$X$1:$AG$1,0),FALSE),"-")),"-")</f>
        <v>-</v>
      </c>
      <c r="AT10" s="56" t="str">
        <f>IFERROR(IF($C$6="SFR",VLOOKUP(AT$3,'DSCR (LLPA)'!$M:$V,MATCH($AR10,'DSCR (LLPA)'!$M$1:$V$1,0),FALSE),IF($C$6="Multi",VLOOKUP(AT$3,'DSCR (LLPA)'!$X:$AG,MATCH($AR10,'DSCR (LLPA)'!$X$1:$AG$1,0),FALSE),"-")),"-")</f>
        <v>-</v>
      </c>
      <c r="AU10" s="56" t="str">
        <f>IFERROR(IF($C$6="SFR",VLOOKUP(AU$3,'DSCR (LLPA)'!$M:$V,MATCH($AR10,'DSCR (LLPA)'!$M$1:$V$1,0),FALSE),IF($C$6="Multi",VLOOKUP(AU$3,'DSCR (LLPA)'!$X:$AG,MATCH($AR10,'DSCR (LLPA)'!$X$1:$AG$1,0),FALSE),"-")),"-")</f>
        <v>-</v>
      </c>
      <c r="AV10" s="56" t="str">
        <f>IFERROR(IF($C$6="SFR",VLOOKUP(AV$3,'DSCR (LLPA)'!$M:$V,MATCH($AR10,'DSCR (LLPA)'!$M$1:$V$1,0),FALSE),IF($C$6="Multi",VLOOKUP(AV$3,'DSCR (LLPA)'!$X:$AG,MATCH($AR10,'DSCR (LLPA)'!$X$1:$AG$1,0),FALSE),"-")),"-")</f>
        <v>-</v>
      </c>
      <c r="AW10" s="56" t="str">
        <f>IFERROR(IF($C$6="SFR",VLOOKUP(AW$3,'DSCR (LLPA)'!$M:$V,MATCH($AR10,'DSCR (LLPA)'!$M$1:$V$1,0),FALSE),IF($C$6="Multi",VLOOKUP(AW$3,'DSCR (LLPA)'!$X:$AG,MATCH($AR10,'DSCR (LLPA)'!$X$1:$AG$1,0),FALSE),"-")),"-")</f>
        <v>-</v>
      </c>
      <c r="AX10" s="56" t="str">
        <f>IFERROR(IF($C$6="SFR",VLOOKUP(AX$3,'DSCR (LLPA)'!$M:$V,MATCH($AR10,'DSCR (LLPA)'!$M$1:$V$1,0),FALSE),IF($C$6="Multi",VLOOKUP(AX$3,'DSCR (LLPA)'!$X:$AG,MATCH($AR10,'DSCR (LLPA)'!$X$1:$AG$1,0),FALSE),"-")),"-")</f>
        <v>-</v>
      </c>
      <c r="AY10" s="56" t="str">
        <f>IF($AQ10="-","-",IF($AQ10&lt;=INDEX('DSCR (Legend)'!$J$3:$L$17,MATCH($AQ10,'DSCR (Legend)'!$J$3:$J$17,1),2),INDEX('DSCR (Legend)'!$J$3:$L$17,MATCH($AQ10,'DSCR (Legend)'!$J$3:$J$17,1),3),"-"))</f>
        <v>-</v>
      </c>
      <c r="AZ10" s="56" t="str">
        <f>IFERROR(IF($C$6="SFR",VLOOKUP($AY10,'DSCR (LLPA)'!$M:$V,MATCH($AR10,'DSCR (LLPA)'!$M$1:$V$1,0),FALSE),IF($C$6="Multi",VLOOKUP($AY10,'DSCR (LLPA)'!$X:$AG,MATCH($AR10,'DSCR (LLPA)'!$X$1:$AG$1,0),FALSE),"-")),"-")</f>
        <v>-</v>
      </c>
      <c r="BA10" s="56" t="str">
        <f>IFERROR(IF($C$6="SFR",VLOOKUP(BA$3,'DSCR (LLPA)'!$M:$V,MATCH($AR10,'DSCR (LLPA)'!$M$1:$V$1,0),FALSE),IF($C$6="Multi",VLOOKUP(BA$3,'DSCR (LLPA)'!$X:$AG,MATCH($AR10,'DSCR (LLPA)'!$X$1:$AG$1,0),FALSE),"-")),"-")</f>
        <v>-</v>
      </c>
      <c r="BB10" s="67" t="str">
        <f t="shared" si="16"/>
        <v>-</v>
      </c>
      <c r="BC10" s="56" t="str">
        <f>IF($BB10="-","-",IF($C$6="SFR",VLOOKUP($C$10,'DSCR (LLPA)'!$B$36:$K$50,MATCH($AR10,'DSCR (LLPA)'!$B$36:$K$36,0),FALSE),IF($C$6="Multi",VLOOKUP($C$10,'DSCR (LLPA)'!$B$53:$K$67,MATCH($AR10,'DSCR (LLPA)'!$B$53:$K$53,0),FALSE),"-")))</f>
        <v>-</v>
      </c>
      <c r="BD10" s="56" t="str">
        <f t="shared" si="17"/>
        <v>-</v>
      </c>
      <c r="BE10" s="52" t="str">
        <f t="shared" si="18"/>
        <v>-</v>
      </c>
      <c r="BF10" s="214" t="str">
        <f t="shared" si="19"/>
        <v>-</v>
      </c>
      <c r="BG10" s="52" t="str">
        <f t="shared" si="20"/>
        <v>-</v>
      </c>
      <c r="BH10" s="52" t="str">
        <f t="shared" si="21"/>
        <v>-</v>
      </c>
      <c r="BI10" s="52">
        <f t="shared" si="22"/>
        <v>0</v>
      </c>
      <c r="BJ10" s="232" t="str">
        <f t="shared" si="23"/>
        <v>-</v>
      </c>
      <c r="BK10" s="233">
        <f t="shared" si="24"/>
        <v>102.5</v>
      </c>
      <c r="BL10" s="232" t="str">
        <f>IF(BJ10="-","-",IF((BJ10/$C$19)&lt;=INDEX('DSCR (Legend)'!$F$3:$H$14,MATCH((BJ10/$C$19),'DSCR (Legend)'!$F$3:$F$14,1),2),INDEX('DSCR (Legend)'!$F$3:$H$14,MATCH((BJ10/$C$19),'DSCR (Legend)'!$F$3:$F$14,1),3),"-"))</f>
        <v>-</v>
      </c>
      <c r="BM10" s="232" t="b">
        <f t="shared" si="25"/>
        <v>0</v>
      </c>
      <c r="BN10" s="232" t="e">
        <f t="shared" si="26"/>
        <v>#N/A</v>
      </c>
      <c r="BO10" s="232" t="str">
        <f t="shared" si="27"/>
        <v>-</v>
      </c>
      <c r="BP10" s="231" t="str">
        <f t="shared" si="28"/>
        <v>-</v>
      </c>
      <c r="BR10" s="53">
        <v>1.5000000000000001E-2</v>
      </c>
      <c r="BS10" s="53">
        <f t="shared" si="29"/>
        <v>1.0250000000000001</v>
      </c>
      <c r="BT10" s="230" t="str">
        <f t="shared" si="30"/>
        <v>-</v>
      </c>
      <c r="BU10" s="229" t="str">
        <f t="shared" si="31"/>
        <v>-</v>
      </c>
      <c r="BV10" s="216" t="e">
        <f t="shared" si="32"/>
        <v>#VALUE!</v>
      </c>
      <c r="BW10" s="216" t="e">
        <f t="shared" si="33"/>
        <v>#VALUE!</v>
      </c>
      <c r="BX10" s="51" t="e">
        <f t="shared" si="34"/>
        <v>#VALUE!</v>
      </c>
      <c r="BY10" s="215" t="e">
        <f t="shared" si="35"/>
        <v>#VALUE!</v>
      </c>
      <c r="BZ10" s="51" t="e">
        <f t="shared" si="36"/>
        <v>#VALUE!</v>
      </c>
      <c r="CA10" s="52">
        <f t="shared" si="37"/>
        <v>0</v>
      </c>
      <c r="CB10" s="52">
        <f t="shared" si="38"/>
        <v>0</v>
      </c>
      <c r="CC10" s="52">
        <f t="shared" si="39"/>
        <v>0</v>
      </c>
      <c r="CD10" s="52">
        <f t="shared" si="40"/>
        <v>0</v>
      </c>
      <c r="CE10" s="215" t="e">
        <f t="shared" si="41"/>
        <v>#VALUE!</v>
      </c>
      <c r="CF10" s="51" t="e">
        <f t="shared" si="42"/>
        <v>#VALUE!</v>
      </c>
      <c r="CG10" s="52" t="e">
        <f t="shared" si="43"/>
        <v>#VALUE!</v>
      </c>
      <c r="CH10" s="51" t="e">
        <f t="shared" si="44"/>
        <v>#VALUE!</v>
      </c>
      <c r="CI10" s="52" t="e">
        <f t="shared" si="45"/>
        <v>#VALUE!</v>
      </c>
      <c r="CJ10" s="52" t="e">
        <f t="shared" si="46"/>
        <v>#VALUE!</v>
      </c>
      <c r="CK10" s="214" t="e">
        <f t="shared" si="47"/>
        <v>#VALUE!</v>
      </c>
      <c r="CL10" s="214" t="e">
        <f t="shared" si="48"/>
        <v>#VALUE!</v>
      </c>
      <c r="CM10" s="51" t="str">
        <f t="shared" si="49"/>
        <v>-</v>
      </c>
      <c r="CN10" s="52" t="str">
        <f t="shared" si="50"/>
        <v>-</v>
      </c>
      <c r="CO10" s="214" t="str">
        <f t="shared" si="51"/>
        <v>-</v>
      </c>
      <c r="CS10" s="51" t="e">
        <f t="shared" si="55"/>
        <v>#VALUE!</v>
      </c>
      <c r="CT10" s="52" t="e">
        <f t="shared" si="52"/>
        <v>#VALUE!</v>
      </c>
      <c r="CU10" s="51" t="e">
        <f t="shared" si="53"/>
        <v>#VALUE!</v>
      </c>
      <c r="CV10" s="51" t="e">
        <f t="shared" si="54"/>
        <v>#VALUE!</v>
      </c>
    </row>
    <row r="11" spans="2:100" x14ac:dyDescent="0.25">
      <c r="D11" s="193" t="str">
        <f>'DSCR (Legend)'!D11</f>
        <v>700+</v>
      </c>
      <c r="E11" s="192">
        <f t="shared" si="0"/>
        <v>0.7</v>
      </c>
      <c r="F11" s="192">
        <f t="shared" si="0"/>
        <v>0.75</v>
      </c>
      <c r="G11" s="192">
        <f t="shared" si="0"/>
        <v>0.7</v>
      </c>
      <c r="H11" s="192">
        <f t="shared" si="0"/>
        <v>0.75</v>
      </c>
      <c r="I11" s="192">
        <f t="shared" si="0"/>
        <v>0.7</v>
      </c>
      <c r="J11" s="192">
        <f t="shared" si="0"/>
        <v>0.65</v>
      </c>
      <c r="K11" s="51" t="s">
        <v>1761</v>
      </c>
      <c r="L11" s="234">
        <f>'DSCR (Single Asset)'!$F$21</f>
        <v>1.2</v>
      </c>
      <c r="N11" s="53">
        <v>1.7500000000000002E-2</v>
      </c>
      <c r="O11" s="53">
        <f t="shared" si="1"/>
        <v>1.0225</v>
      </c>
      <c r="P11" s="56" t="e">
        <f t="shared" si="2"/>
        <v>#VALUE!</v>
      </c>
      <c r="Q11" s="57" t="str">
        <f t="shared" si="3"/>
        <v>-</v>
      </c>
      <c r="R11" s="57" t="str">
        <f t="shared" si="4"/>
        <v>-</v>
      </c>
      <c r="S11" s="57" t="str">
        <f>IF(OR($C$3="Purchase",$C$3="Delayed Purchase",$C$3="Refinance (Cash Out)"),"-",IF($C$3="Refinance (Rate/Term)",'DSCR (Single Asset)'!$C$22*102%,"-"))</f>
        <v>-</v>
      </c>
      <c r="T11" s="57" t="str">
        <f t="shared" si="5"/>
        <v>-</v>
      </c>
      <c r="U11" s="51" t="str">
        <f>IF(T11="-","-",IF(($T11/$C$19)&lt;=INDEX('DSCR (Legend)'!$F$3:$H$14,MATCH(($T11/$C$19),'DSCR (Legend)'!$F$3:$F$14,1),2),INDEX('DSCR (Legend)'!$F$3:$H$14,MATCH(($T11/$C$19),'DSCR (Legend)'!$F$3:$F$14,1),3),"-"))</f>
        <v>-</v>
      </c>
      <c r="V11" s="67" t="str">
        <f>IFERROR(IF($C$6="SFR",VLOOKUP(V$3,'DSCR (LLPA)'!$M:$V,MATCH($U11,'DSCR (LLPA)'!$M$1:$V$1,0),FALSE),IF($C$6="Multi",VLOOKUP(V$3,'DSCR (LLPA)'!$X:$AG,MATCH($U11,'DSCR (LLPA)'!$X$1:$AG$1,0),FALSE),"-")),"-")</f>
        <v>-</v>
      </c>
      <c r="W11" s="67" t="str">
        <f>IFERROR(IF($C$6="SFR",VLOOKUP(W$3,'DSCR (LLPA)'!$M:$V,MATCH($U11,'DSCR (LLPA)'!$M$1:$V$1,0),FALSE),IF($C$6="Multi",VLOOKUP(W$3,'DSCR (LLPA)'!$X:$AG,MATCH($U11,'DSCR (LLPA)'!$X$1:$AG$1,0),FALSE),"-")),"-")</f>
        <v>-</v>
      </c>
      <c r="X11" s="67" t="str">
        <f>IFERROR(IF($C$6="SFR",VLOOKUP(X$3,'DSCR (LLPA)'!$M:$V,MATCH($U11,'DSCR (LLPA)'!$M$1:$V$1,0),FALSE),IF($C$6="Multi",VLOOKUP(X$3,'DSCR (LLPA)'!$X:$AG,MATCH($U11,'DSCR (LLPA)'!$X$1:$AG$1,0),FALSE),"-")),"-")</f>
        <v>-</v>
      </c>
      <c r="Y11" s="67" t="str">
        <f>IFERROR(IF($C$6="SFR",VLOOKUP(Y$3,'DSCR (LLPA)'!$M:$V,MATCH($U11,'DSCR (LLPA)'!$M$1:$V$1,0),FALSE),IF($C$6="Multi",VLOOKUP(Y$3,'DSCR (LLPA)'!$X:$AG,MATCH($U11,'DSCR (LLPA)'!$X$1:$AG$1,0),FALSE),"-")),"-")</f>
        <v>-</v>
      </c>
      <c r="Z11" s="67" t="str">
        <f>IFERROR(IF($C$6="SFR",VLOOKUP(Z$3,'DSCR (LLPA)'!$M:$V,MATCH($U11,'DSCR (LLPA)'!$M$1:$V$1,0),FALSE),IF($C$6="Multi",VLOOKUP(Z$3,'DSCR (LLPA)'!$X:$AG,MATCH($U11,'DSCR (LLPA)'!$X$1:$AG$1,0),FALSE),"-")),"-")</f>
        <v>-</v>
      </c>
      <c r="AA11" s="67" t="str">
        <f>IFERROR(IF($C$6="SFR",VLOOKUP(AA$3,'DSCR (LLPA)'!$M:$V,MATCH($U11,'DSCR (LLPA)'!$M$1:$V$1,0),FALSE),IF($C$6="Multi",VLOOKUP(AA$3,'DSCR (LLPA)'!$X:$AG,MATCH($U11,'DSCR (LLPA)'!$X$1:$AG$1,0),FALSE),"-")),"-")</f>
        <v>-</v>
      </c>
      <c r="AB11" s="67" t="str">
        <f>IF($T11="-","-",IF($T11&lt;=INDEX('DSCR (Legend)'!$J$3:$L$17,MATCH($T11,'DSCR (Legend)'!$J$3:$J$17,1),2),INDEX('DSCR (Legend)'!$J$3:$L$17,MATCH($T11,'DSCR (Legend)'!$J$3:$J$17,1),3),"-"))</f>
        <v>-</v>
      </c>
      <c r="AC11" s="67" t="str">
        <f>IFERROR(IF($C$6="SFR",VLOOKUP($AB11,'DSCR (LLPA)'!$M:$V,MATCH($U11,'DSCR (LLPA)'!$M$1:$V$1,0),FALSE),IF($C$6="Multi",VLOOKUP($AB11,'DSCR (LLPA)'!$X:$AG,MATCH($U11,'DSCR (LLPA)'!$X$1:$AG$1,0),FALSE),"-")),"-")</f>
        <v>-</v>
      </c>
      <c r="AD11" s="67" t="str">
        <f>IFERROR(IF($C$6="SFR",VLOOKUP(AD$3,'DSCR (LLPA)'!$M:$V,MATCH($U11,'DSCR (LLPA)'!$M$1:$V$1,0),FALSE),IF($C$6="Multi",VLOOKUP(AD$3,'DSCR (LLPA)'!$X:$AG,MATCH($U11,'DSCR (LLPA)'!$X$1:$AG$1,0),FALSE),"-")),"-")</f>
        <v>-</v>
      </c>
      <c r="AE11" s="67" t="str">
        <f t="shared" si="6"/>
        <v>-</v>
      </c>
      <c r="AF11" s="56" t="str">
        <f>IF($AE11="-","-",IF($C$6="SFR",VLOOKUP($C$10,'DSCR (LLPA)'!$B$36:$K$50,MATCH($U11,'DSCR (LLPA)'!$B$36:$K$36,0),FALSE),IF($C$6="Multi",VLOOKUP($C$10,'DSCR (LLPA)'!$B$53:$K$67,MATCH($U11,'DSCR (LLPA)'!$B$53:$K$53,0),FALSE),"-")))</f>
        <v>-</v>
      </c>
      <c r="AG11" s="56" t="str">
        <f t="shared" si="7"/>
        <v>-</v>
      </c>
      <c r="AH11" s="52" t="str">
        <f t="shared" si="8"/>
        <v>-</v>
      </c>
      <c r="AI11" s="214" t="str">
        <f t="shared" si="9"/>
        <v>-</v>
      </c>
      <c r="AJ11" s="52" t="str">
        <f t="shared" si="10"/>
        <v>-</v>
      </c>
      <c r="AK11" s="52" t="str">
        <f t="shared" si="11"/>
        <v>-</v>
      </c>
      <c r="AL11" s="52">
        <f t="shared" si="12"/>
        <v>0</v>
      </c>
      <c r="AN11" s="53">
        <v>1.7500000000000002E-2</v>
      </c>
      <c r="AO11" s="53">
        <f t="shared" si="13"/>
        <v>1.0225</v>
      </c>
      <c r="AP11" s="56" t="e">
        <f t="shared" si="14"/>
        <v>#VALUE!</v>
      </c>
      <c r="AQ11" s="57" t="str">
        <f t="shared" si="15"/>
        <v>-</v>
      </c>
      <c r="AR11" s="51" t="str">
        <f>IF(AQ11="-","-",IF((AQ11/$C$19)&lt;=INDEX('DSCR (Legend)'!$F$3:$H$14,MATCH((AQ11/$C$19),'DSCR (Legend)'!$F$3:$F$14,1),2),INDEX('DSCR (Legend)'!$F$3:$H$14,MATCH((AQ11/$C$19),'DSCR (Legend)'!$F$3:$F$14,1),3),"-"))</f>
        <v>-</v>
      </c>
      <c r="AS11" s="56" t="str">
        <f>IFERROR(IF($C$6="SFR",VLOOKUP(AS$3,'DSCR (LLPA)'!$M:$V,MATCH($AR11,'DSCR (LLPA)'!$M$1:$V$1,0),FALSE),IF($C$6="Multi",VLOOKUP(AS$3,'DSCR (LLPA)'!$X:$AG,MATCH($AR11,'DSCR (LLPA)'!$X$1:$AG$1,0),FALSE),"-")),"-")</f>
        <v>-</v>
      </c>
      <c r="AT11" s="56" t="str">
        <f>IFERROR(IF($C$6="SFR",VLOOKUP(AT$3,'DSCR (LLPA)'!$M:$V,MATCH($AR11,'DSCR (LLPA)'!$M$1:$V$1,0),FALSE),IF($C$6="Multi",VLOOKUP(AT$3,'DSCR (LLPA)'!$X:$AG,MATCH($AR11,'DSCR (LLPA)'!$X$1:$AG$1,0),FALSE),"-")),"-")</f>
        <v>-</v>
      </c>
      <c r="AU11" s="56" t="str">
        <f>IFERROR(IF($C$6="SFR",VLOOKUP(AU$3,'DSCR (LLPA)'!$M:$V,MATCH($AR11,'DSCR (LLPA)'!$M$1:$V$1,0),FALSE),IF($C$6="Multi",VLOOKUP(AU$3,'DSCR (LLPA)'!$X:$AG,MATCH($AR11,'DSCR (LLPA)'!$X$1:$AG$1,0),FALSE),"-")),"-")</f>
        <v>-</v>
      </c>
      <c r="AV11" s="56" t="str">
        <f>IFERROR(IF($C$6="SFR",VLOOKUP(AV$3,'DSCR (LLPA)'!$M:$V,MATCH($AR11,'DSCR (LLPA)'!$M$1:$V$1,0),FALSE),IF($C$6="Multi",VLOOKUP(AV$3,'DSCR (LLPA)'!$X:$AG,MATCH($AR11,'DSCR (LLPA)'!$X$1:$AG$1,0),FALSE),"-")),"-")</f>
        <v>-</v>
      </c>
      <c r="AW11" s="56" t="str">
        <f>IFERROR(IF($C$6="SFR",VLOOKUP(AW$3,'DSCR (LLPA)'!$M:$V,MATCH($AR11,'DSCR (LLPA)'!$M$1:$V$1,0),FALSE),IF($C$6="Multi",VLOOKUP(AW$3,'DSCR (LLPA)'!$X:$AG,MATCH($AR11,'DSCR (LLPA)'!$X$1:$AG$1,0),FALSE),"-")),"-")</f>
        <v>-</v>
      </c>
      <c r="AX11" s="56" t="str">
        <f>IFERROR(IF($C$6="SFR",VLOOKUP(AX$3,'DSCR (LLPA)'!$M:$V,MATCH($AR11,'DSCR (LLPA)'!$M$1:$V$1,0),FALSE),IF($C$6="Multi",VLOOKUP(AX$3,'DSCR (LLPA)'!$X:$AG,MATCH($AR11,'DSCR (LLPA)'!$X$1:$AG$1,0),FALSE),"-")),"-")</f>
        <v>-</v>
      </c>
      <c r="AY11" s="56" t="str">
        <f>IF($AQ11="-","-",IF($AQ11&lt;=INDEX('DSCR (Legend)'!$J$3:$L$17,MATCH($AQ11,'DSCR (Legend)'!$J$3:$J$17,1),2),INDEX('DSCR (Legend)'!$J$3:$L$17,MATCH($AQ11,'DSCR (Legend)'!$J$3:$J$17,1),3),"-"))</f>
        <v>-</v>
      </c>
      <c r="AZ11" s="56" t="str">
        <f>IFERROR(IF($C$6="SFR",VLOOKUP($AY11,'DSCR (LLPA)'!$M:$V,MATCH($AR11,'DSCR (LLPA)'!$M$1:$V$1,0),FALSE),IF($C$6="Multi",VLOOKUP($AY11,'DSCR (LLPA)'!$X:$AG,MATCH($AR11,'DSCR (LLPA)'!$X$1:$AG$1,0),FALSE),"-")),"-")</f>
        <v>-</v>
      </c>
      <c r="BA11" s="56" t="str">
        <f>IFERROR(IF($C$6="SFR",VLOOKUP(BA$3,'DSCR (LLPA)'!$M:$V,MATCH($AR11,'DSCR (LLPA)'!$M$1:$V$1,0),FALSE),IF($C$6="Multi",VLOOKUP(BA$3,'DSCR (LLPA)'!$X:$AG,MATCH($AR11,'DSCR (LLPA)'!$X$1:$AG$1,0),FALSE),"-")),"-")</f>
        <v>-</v>
      </c>
      <c r="BB11" s="67" t="str">
        <f t="shared" si="16"/>
        <v>-</v>
      </c>
      <c r="BC11" s="56" t="str">
        <f>IF($BB11="-","-",IF($C$6="SFR",VLOOKUP($C$10,'DSCR (LLPA)'!$B$36:$K$50,MATCH($AR11,'DSCR (LLPA)'!$B$36:$K$36,0),FALSE),IF($C$6="Multi",VLOOKUP($C$10,'DSCR (LLPA)'!$B$53:$K$67,MATCH($AR11,'DSCR (LLPA)'!$B$53:$K$53,0),FALSE),"-")))</f>
        <v>-</v>
      </c>
      <c r="BD11" s="56" t="str">
        <f t="shared" si="17"/>
        <v>-</v>
      </c>
      <c r="BE11" s="52" t="str">
        <f t="shared" si="18"/>
        <v>-</v>
      </c>
      <c r="BF11" s="214" t="str">
        <f t="shared" si="19"/>
        <v>-</v>
      </c>
      <c r="BG11" s="52" t="str">
        <f t="shared" si="20"/>
        <v>-</v>
      </c>
      <c r="BH11" s="52" t="str">
        <f t="shared" si="21"/>
        <v>-</v>
      </c>
      <c r="BI11" s="52">
        <f t="shared" si="22"/>
        <v>0</v>
      </c>
      <c r="BJ11" s="232" t="str">
        <f t="shared" si="23"/>
        <v>-</v>
      </c>
      <c r="BK11" s="233">
        <f t="shared" si="24"/>
        <v>102.25</v>
      </c>
      <c r="BL11" s="232" t="str">
        <f>IF(BJ11="-","-",IF((BJ11/$C$19)&lt;=INDEX('DSCR (Legend)'!$F$3:$H$14,MATCH((BJ11/$C$19),'DSCR (Legend)'!$F$3:$F$14,1),2),INDEX('DSCR (Legend)'!$F$3:$H$14,MATCH((BJ11/$C$19),'DSCR (Legend)'!$F$3:$F$14,1),3),"-"))</f>
        <v>-</v>
      </c>
      <c r="BM11" s="232" t="b">
        <f t="shared" si="25"/>
        <v>0</v>
      </c>
      <c r="BN11" s="232" t="e">
        <f t="shared" si="26"/>
        <v>#N/A</v>
      </c>
      <c r="BO11" s="232" t="str">
        <f t="shared" si="27"/>
        <v>-</v>
      </c>
      <c r="BP11" s="231" t="str">
        <f t="shared" si="28"/>
        <v>-</v>
      </c>
      <c r="BR11" s="53">
        <v>1.7500000000000002E-2</v>
      </c>
      <c r="BS11" s="53">
        <f t="shared" si="29"/>
        <v>1.0225</v>
      </c>
      <c r="BT11" s="230" t="str">
        <f t="shared" si="30"/>
        <v>-</v>
      </c>
      <c r="BU11" s="229" t="str">
        <f t="shared" si="31"/>
        <v>-</v>
      </c>
      <c r="BV11" s="216" t="e">
        <f t="shared" si="32"/>
        <v>#VALUE!</v>
      </c>
      <c r="BW11" s="216" t="e">
        <f t="shared" si="33"/>
        <v>#VALUE!</v>
      </c>
      <c r="BX11" s="51" t="e">
        <f t="shared" si="34"/>
        <v>#VALUE!</v>
      </c>
      <c r="BY11" s="215" t="e">
        <f t="shared" si="35"/>
        <v>#VALUE!</v>
      </c>
      <c r="BZ11" s="51" t="e">
        <f t="shared" si="36"/>
        <v>#VALUE!</v>
      </c>
      <c r="CA11" s="52">
        <f t="shared" si="37"/>
        <v>0</v>
      </c>
      <c r="CB11" s="52">
        <f t="shared" si="38"/>
        <v>0</v>
      </c>
      <c r="CC11" s="52">
        <f t="shared" si="39"/>
        <v>0</v>
      </c>
      <c r="CD11" s="52">
        <f t="shared" si="40"/>
        <v>0</v>
      </c>
      <c r="CE11" s="215" t="e">
        <f t="shared" si="41"/>
        <v>#VALUE!</v>
      </c>
      <c r="CF11" s="51" t="e">
        <f t="shared" si="42"/>
        <v>#VALUE!</v>
      </c>
      <c r="CG11" s="52" t="e">
        <f t="shared" si="43"/>
        <v>#VALUE!</v>
      </c>
      <c r="CH11" s="51" t="e">
        <f t="shared" si="44"/>
        <v>#VALUE!</v>
      </c>
      <c r="CI11" s="52" t="e">
        <f t="shared" si="45"/>
        <v>#VALUE!</v>
      </c>
      <c r="CJ11" s="52" t="e">
        <f t="shared" si="46"/>
        <v>#VALUE!</v>
      </c>
      <c r="CK11" s="214" t="e">
        <f t="shared" si="47"/>
        <v>#VALUE!</v>
      </c>
      <c r="CL11" s="214" t="e">
        <f t="shared" si="48"/>
        <v>#VALUE!</v>
      </c>
      <c r="CM11" s="51" t="str">
        <f t="shared" si="49"/>
        <v>-</v>
      </c>
      <c r="CN11" s="52" t="str">
        <f t="shared" si="50"/>
        <v>-</v>
      </c>
      <c r="CO11" s="214" t="str">
        <f t="shared" si="51"/>
        <v>-</v>
      </c>
      <c r="CS11" s="51" t="e">
        <f t="shared" si="55"/>
        <v>#VALUE!</v>
      </c>
      <c r="CT11" s="52" t="e">
        <f t="shared" si="52"/>
        <v>#VALUE!</v>
      </c>
      <c r="CU11" s="51" t="e">
        <f t="shared" si="53"/>
        <v>#VALUE!</v>
      </c>
      <c r="CV11" s="51" t="e">
        <f t="shared" si="54"/>
        <v>#VALUE!</v>
      </c>
    </row>
    <row r="12" spans="2:100" x14ac:dyDescent="0.25">
      <c r="B12" s="51" t="s">
        <v>106</v>
      </c>
      <c r="C12" s="222">
        <f>'DSCR (Single Asset)'!$C$32</f>
        <v>0</v>
      </c>
      <c r="D12" s="193" t="str">
        <f>'DSCR (Legend)'!D12</f>
        <v>720+</v>
      </c>
      <c r="E12" s="192">
        <f t="shared" si="0"/>
        <v>0.75</v>
      </c>
      <c r="F12" s="192">
        <f t="shared" si="0"/>
        <v>0.75</v>
      </c>
      <c r="G12" s="192">
        <f t="shared" si="0"/>
        <v>0.75</v>
      </c>
      <c r="H12" s="192">
        <f t="shared" si="0"/>
        <v>0.75</v>
      </c>
      <c r="I12" s="192">
        <f t="shared" si="0"/>
        <v>0.75</v>
      </c>
      <c r="J12" s="192">
        <f t="shared" si="0"/>
        <v>0.7</v>
      </c>
      <c r="K12" s="51" t="s">
        <v>1760</v>
      </c>
      <c r="L12" s="226">
        <f>($L$4/$L$11)-(SUM($L$5:$L$8))</f>
        <v>0</v>
      </c>
      <c r="N12" s="53">
        <v>0.02</v>
      </c>
      <c r="O12" s="53">
        <f t="shared" si="1"/>
        <v>1.02</v>
      </c>
      <c r="P12" s="56" t="e">
        <f t="shared" si="2"/>
        <v>#VALUE!</v>
      </c>
      <c r="Q12" s="57" t="str">
        <f t="shared" si="3"/>
        <v>-</v>
      </c>
      <c r="R12" s="57" t="str">
        <f t="shared" si="4"/>
        <v>-</v>
      </c>
      <c r="S12" s="57" t="str">
        <f>IF(OR($C$3="Purchase",$C$3="Delayed Purchase",$C$3="Refinance (Cash Out)"),"-",IF($C$3="Refinance (Rate/Term)",'DSCR (Single Asset)'!$C$22*102%,"-"))</f>
        <v>-</v>
      </c>
      <c r="T12" s="57" t="str">
        <f t="shared" si="5"/>
        <v>-</v>
      </c>
      <c r="U12" s="51" t="str">
        <f>IF(T12="-","-",IF(($T12/$C$19)&lt;=INDEX('DSCR (Legend)'!$F$3:$H$14,MATCH(($T12/$C$19),'DSCR (Legend)'!$F$3:$F$14,1),2),INDEX('DSCR (Legend)'!$F$3:$H$14,MATCH(($T12/$C$19),'DSCR (Legend)'!$F$3:$F$14,1),3),"-"))</f>
        <v>-</v>
      </c>
      <c r="V12" s="67" t="str">
        <f>IFERROR(IF($C$6="SFR",VLOOKUP(V$3,'DSCR (LLPA)'!$M:$V,MATCH($U12,'DSCR (LLPA)'!$M$1:$V$1,0),FALSE),IF($C$6="Multi",VLOOKUP(V$3,'DSCR (LLPA)'!$X:$AG,MATCH($U12,'DSCR (LLPA)'!$X$1:$AG$1,0),FALSE),"-")),"-")</f>
        <v>-</v>
      </c>
      <c r="W12" s="67" t="str">
        <f>IFERROR(IF($C$6="SFR",VLOOKUP(W$3,'DSCR (LLPA)'!$M:$V,MATCH($U12,'DSCR (LLPA)'!$M$1:$V$1,0),FALSE),IF($C$6="Multi",VLOOKUP(W$3,'DSCR (LLPA)'!$X:$AG,MATCH($U12,'DSCR (LLPA)'!$X$1:$AG$1,0),FALSE),"-")),"-")</f>
        <v>-</v>
      </c>
      <c r="X12" s="67" t="str">
        <f>IFERROR(IF($C$6="SFR",VLOOKUP(X$3,'DSCR (LLPA)'!$M:$V,MATCH($U12,'DSCR (LLPA)'!$M$1:$V$1,0),FALSE),IF($C$6="Multi",VLOOKUP(X$3,'DSCR (LLPA)'!$X:$AG,MATCH($U12,'DSCR (LLPA)'!$X$1:$AG$1,0),FALSE),"-")),"-")</f>
        <v>-</v>
      </c>
      <c r="Y12" s="67" t="str">
        <f>IFERROR(IF($C$6="SFR",VLOOKUP(Y$3,'DSCR (LLPA)'!$M:$V,MATCH($U12,'DSCR (LLPA)'!$M$1:$V$1,0),FALSE),IF($C$6="Multi",VLOOKUP(Y$3,'DSCR (LLPA)'!$X:$AG,MATCH($U12,'DSCR (LLPA)'!$X$1:$AG$1,0),FALSE),"-")),"-")</f>
        <v>-</v>
      </c>
      <c r="Z12" s="67" t="str">
        <f>IFERROR(IF($C$6="SFR",VLOOKUP(Z$3,'DSCR (LLPA)'!$M:$V,MATCH($U12,'DSCR (LLPA)'!$M$1:$V$1,0),FALSE),IF($C$6="Multi",VLOOKUP(Z$3,'DSCR (LLPA)'!$X:$AG,MATCH($U12,'DSCR (LLPA)'!$X$1:$AG$1,0),FALSE),"-")),"-")</f>
        <v>-</v>
      </c>
      <c r="AA12" s="67" t="str">
        <f>IFERROR(IF($C$6="SFR",VLOOKUP(AA$3,'DSCR (LLPA)'!$M:$V,MATCH($U12,'DSCR (LLPA)'!$M$1:$V$1,0),FALSE),IF($C$6="Multi",VLOOKUP(AA$3,'DSCR (LLPA)'!$X:$AG,MATCH($U12,'DSCR (LLPA)'!$X$1:$AG$1,0),FALSE),"-")),"-")</f>
        <v>-</v>
      </c>
      <c r="AB12" s="67" t="str">
        <f>IF($T12="-","-",IF($T12&lt;=INDEX('DSCR (Legend)'!$J$3:$L$17,MATCH($T12,'DSCR (Legend)'!$J$3:$J$17,1),2),INDEX('DSCR (Legend)'!$J$3:$L$17,MATCH($T12,'DSCR (Legend)'!$J$3:$J$17,1),3),"-"))</f>
        <v>-</v>
      </c>
      <c r="AC12" s="67" t="str">
        <f>IFERROR(IF($C$6="SFR",VLOOKUP($AB12,'DSCR (LLPA)'!$M:$V,MATCH($U12,'DSCR (LLPA)'!$M$1:$V$1,0),FALSE),IF($C$6="Multi",VLOOKUP($AB12,'DSCR (LLPA)'!$X:$AG,MATCH($U12,'DSCR (LLPA)'!$X$1:$AG$1,0),FALSE),"-")),"-")</f>
        <v>-</v>
      </c>
      <c r="AD12" s="67" t="str">
        <f>IFERROR(IF($C$6="SFR",VLOOKUP(AD$3,'DSCR (LLPA)'!$M:$V,MATCH($U12,'DSCR (LLPA)'!$M$1:$V$1,0),FALSE),IF($C$6="Multi",VLOOKUP(AD$3,'DSCR (LLPA)'!$X:$AG,MATCH($U12,'DSCR (LLPA)'!$X$1:$AG$1,0),FALSE),"-")),"-")</f>
        <v>-</v>
      </c>
      <c r="AE12" s="67" t="str">
        <f t="shared" si="6"/>
        <v>-</v>
      </c>
      <c r="AF12" s="56" t="str">
        <f>IF($AE12="-","-",IF($C$6="SFR",VLOOKUP($C$10,'DSCR (LLPA)'!$B$36:$K$50,MATCH($U12,'DSCR (LLPA)'!$B$36:$K$36,0),FALSE),IF($C$6="Multi",VLOOKUP($C$10,'DSCR (LLPA)'!$B$53:$K$67,MATCH($U12,'DSCR (LLPA)'!$B$53:$K$53,0),FALSE),"-")))</f>
        <v>-</v>
      </c>
      <c r="AG12" s="56" t="str">
        <f t="shared" si="7"/>
        <v>-</v>
      </c>
      <c r="AH12" s="52" t="str">
        <f t="shared" si="8"/>
        <v>-</v>
      </c>
      <c r="AI12" s="214" t="str">
        <f t="shared" si="9"/>
        <v>-</v>
      </c>
      <c r="AJ12" s="52" t="str">
        <f t="shared" si="10"/>
        <v>-</v>
      </c>
      <c r="AK12" s="52" t="str">
        <f t="shared" si="11"/>
        <v>-</v>
      </c>
      <c r="AL12" s="52">
        <f t="shared" si="12"/>
        <v>0</v>
      </c>
      <c r="AN12" s="53">
        <v>0.02</v>
      </c>
      <c r="AO12" s="53">
        <f t="shared" si="13"/>
        <v>1.02</v>
      </c>
      <c r="AP12" s="56" t="e">
        <f t="shared" si="14"/>
        <v>#VALUE!</v>
      </c>
      <c r="AQ12" s="57" t="str">
        <f t="shared" si="15"/>
        <v>-</v>
      </c>
      <c r="AR12" s="51" t="str">
        <f>IF(AQ12="-","-",IF((AQ12/$C$19)&lt;=INDEX('DSCR (Legend)'!$F$3:$H$14,MATCH((AQ12/$C$19),'DSCR (Legend)'!$F$3:$F$14,1),2),INDEX('DSCR (Legend)'!$F$3:$H$14,MATCH((AQ12/$C$19),'DSCR (Legend)'!$F$3:$F$14,1),3),"-"))</f>
        <v>-</v>
      </c>
      <c r="AS12" s="56" t="str">
        <f>IFERROR(IF($C$6="SFR",VLOOKUP(AS$3,'DSCR (LLPA)'!$M:$V,MATCH($AR12,'DSCR (LLPA)'!$M$1:$V$1,0),FALSE),IF($C$6="Multi",VLOOKUP(AS$3,'DSCR (LLPA)'!$X:$AG,MATCH($AR12,'DSCR (LLPA)'!$X$1:$AG$1,0),FALSE),"-")),"-")</f>
        <v>-</v>
      </c>
      <c r="AT12" s="56" t="str">
        <f>IFERROR(IF($C$6="SFR",VLOOKUP(AT$3,'DSCR (LLPA)'!$M:$V,MATCH($AR12,'DSCR (LLPA)'!$M$1:$V$1,0),FALSE),IF($C$6="Multi",VLOOKUP(AT$3,'DSCR (LLPA)'!$X:$AG,MATCH($AR12,'DSCR (LLPA)'!$X$1:$AG$1,0),FALSE),"-")),"-")</f>
        <v>-</v>
      </c>
      <c r="AU12" s="56" t="str">
        <f>IFERROR(IF($C$6="SFR",VLOOKUP(AU$3,'DSCR (LLPA)'!$M:$V,MATCH($AR12,'DSCR (LLPA)'!$M$1:$V$1,0),FALSE),IF($C$6="Multi",VLOOKUP(AU$3,'DSCR (LLPA)'!$X:$AG,MATCH($AR12,'DSCR (LLPA)'!$X$1:$AG$1,0),FALSE),"-")),"-")</f>
        <v>-</v>
      </c>
      <c r="AV12" s="56" t="str">
        <f>IFERROR(IF($C$6="SFR",VLOOKUP(AV$3,'DSCR (LLPA)'!$M:$V,MATCH($AR12,'DSCR (LLPA)'!$M$1:$V$1,0),FALSE),IF($C$6="Multi",VLOOKUP(AV$3,'DSCR (LLPA)'!$X:$AG,MATCH($AR12,'DSCR (LLPA)'!$X$1:$AG$1,0),FALSE),"-")),"-")</f>
        <v>-</v>
      </c>
      <c r="AW12" s="56" t="str">
        <f>IFERROR(IF($C$6="SFR",VLOOKUP(AW$3,'DSCR (LLPA)'!$M:$V,MATCH($AR12,'DSCR (LLPA)'!$M$1:$V$1,0),FALSE),IF($C$6="Multi",VLOOKUP(AW$3,'DSCR (LLPA)'!$X:$AG,MATCH($AR12,'DSCR (LLPA)'!$X$1:$AG$1,0),FALSE),"-")),"-")</f>
        <v>-</v>
      </c>
      <c r="AX12" s="56" t="str">
        <f>IFERROR(IF($C$6="SFR",VLOOKUP(AX$3,'DSCR (LLPA)'!$M:$V,MATCH($AR12,'DSCR (LLPA)'!$M$1:$V$1,0),FALSE),IF($C$6="Multi",VLOOKUP(AX$3,'DSCR (LLPA)'!$X:$AG,MATCH($AR12,'DSCR (LLPA)'!$X$1:$AG$1,0),FALSE),"-")),"-")</f>
        <v>-</v>
      </c>
      <c r="AY12" s="56" t="str">
        <f>IF($AQ12="-","-",IF($AQ12&lt;=INDEX('DSCR (Legend)'!$J$3:$L$17,MATCH($AQ12,'DSCR (Legend)'!$J$3:$J$17,1),2),INDEX('DSCR (Legend)'!$J$3:$L$17,MATCH($AQ12,'DSCR (Legend)'!$J$3:$J$17,1),3),"-"))</f>
        <v>-</v>
      </c>
      <c r="AZ12" s="56" t="str">
        <f>IFERROR(IF($C$6="SFR",VLOOKUP($AY12,'DSCR (LLPA)'!$M:$V,MATCH($AR12,'DSCR (LLPA)'!$M$1:$V$1,0),FALSE),IF($C$6="Multi",VLOOKUP($AY12,'DSCR (LLPA)'!$X:$AG,MATCH($AR12,'DSCR (LLPA)'!$X$1:$AG$1,0),FALSE),"-")),"-")</f>
        <v>-</v>
      </c>
      <c r="BA12" s="56" t="str">
        <f>IFERROR(IF($C$6="SFR",VLOOKUP(BA$3,'DSCR (LLPA)'!$M:$V,MATCH($AR12,'DSCR (LLPA)'!$M$1:$V$1,0),FALSE),IF($C$6="Multi",VLOOKUP(BA$3,'DSCR (LLPA)'!$X:$AG,MATCH($AR12,'DSCR (LLPA)'!$X$1:$AG$1,0),FALSE),"-")),"-")</f>
        <v>-</v>
      </c>
      <c r="BB12" s="67" t="str">
        <f t="shared" si="16"/>
        <v>-</v>
      </c>
      <c r="BC12" s="56" t="str">
        <f>IF($BB12="-","-",IF($C$6="SFR",VLOOKUP($C$10,'DSCR (LLPA)'!$B$36:$K$50,MATCH($AR12,'DSCR (LLPA)'!$B$36:$K$36,0),FALSE),IF($C$6="Multi",VLOOKUP($C$10,'DSCR (LLPA)'!$B$53:$K$67,MATCH($AR12,'DSCR (LLPA)'!$B$53:$K$53,0),FALSE),"-")))</f>
        <v>-</v>
      </c>
      <c r="BD12" s="56" t="str">
        <f t="shared" si="17"/>
        <v>-</v>
      </c>
      <c r="BE12" s="52" t="str">
        <f t="shared" si="18"/>
        <v>-</v>
      </c>
      <c r="BF12" s="214" t="str">
        <f t="shared" si="19"/>
        <v>-</v>
      </c>
      <c r="BG12" s="52" t="str">
        <f t="shared" si="20"/>
        <v>-</v>
      </c>
      <c r="BH12" s="52" t="str">
        <f t="shared" si="21"/>
        <v>-</v>
      </c>
      <c r="BI12" s="52">
        <f t="shared" si="22"/>
        <v>0</v>
      </c>
      <c r="BJ12" s="232" t="str">
        <f t="shared" si="23"/>
        <v>-</v>
      </c>
      <c r="BK12" s="233">
        <f t="shared" si="24"/>
        <v>102</v>
      </c>
      <c r="BL12" s="232" t="str">
        <f>IF(BJ12="-","-",IF((BJ12/$C$19)&lt;=INDEX('DSCR (Legend)'!$F$3:$H$14,MATCH((BJ12/$C$19),'DSCR (Legend)'!$F$3:$F$14,1),2),INDEX('DSCR (Legend)'!$F$3:$H$14,MATCH((BJ12/$C$19),'DSCR (Legend)'!$F$3:$F$14,1),3),"-"))</f>
        <v>-</v>
      </c>
      <c r="BM12" s="232" t="b">
        <f t="shared" si="25"/>
        <v>0</v>
      </c>
      <c r="BN12" s="232" t="e">
        <f t="shared" si="26"/>
        <v>#N/A</v>
      </c>
      <c r="BO12" s="232" t="str">
        <f t="shared" si="27"/>
        <v>-</v>
      </c>
      <c r="BP12" s="231" t="str">
        <f t="shared" si="28"/>
        <v>-</v>
      </c>
      <c r="BR12" s="53">
        <v>0.02</v>
      </c>
      <c r="BS12" s="53">
        <f t="shared" si="29"/>
        <v>1.02</v>
      </c>
      <c r="BT12" s="230" t="str">
        <f t="shared" si="30"/>
        <v>-</v>
      </c>
      <c r="BU12" s="229" t="str">
        <f t="shared" si="31"/>
        <v>-</v>
      </c>
      <c r="BV12" s="216" t="e">
        <f t="shared" si="32"/>
        <v>#VALUE!</v>
      </c>
      <c r="BW12" s="216" t="e">
        <f t="shared" si="33"/>
        <v>#VALUE!</v>
      </c>
      <c r="BX12" s="51" t="e">
        <f t="shared" si="34"/>
        <v>#VALUE!</v>
      </c>
      <c r="BY12" s="215" t="e">
        <f t="shared" si="35"/>
        <v>#VALUE!</v>
      </c>
      <c r="BZ12" s="51" t="e">
        <f t="shared" si="36"/>
        <v>#VALUE!</v>
      </c>
      <c r="CA12" s="52">
        <f t="shared" si="37"/>
        <v>0</v>
      </c>
      <c r="CB12" s="52">
        <f t="shared" si="38"/>
        <v>0</v>
      </c>
      <c r="CC12" s="52">
        <f t="shared" si="39"/>
        <v>0</v>
      </c>
      <c r="CD12" s="52">
        <f t="shared" si="40"/>
        <v>0</v>
      </c>
      <c r="CE12" s="215" t="e">
        <f t="shared" si="41"/>
        <v>#VALUE!</v>
      </c>
      <c r="CF12" s="51" t="e">
        <f t="shared" si="42"/>
        <v>#VALUE!</v>
      </c>
      <c r="CG12" s="52" t="e">
        <f t="shared" si="43"/>
        <v>#VALUE!</v>
      </c>
      <c r="CH12" s="51" t="e">
        <f t="shared" si="44"/>
        <v>#VALUE!</v>
      </c>
      <c r="CI12" s="52" t="e">
        <f t="shared" si="45"/>
        <v>#VALUE!</v>
      </c>
      <c r="CJ12" s="52" t="e">
        <f t="shared" si="46"/>
        <v>#VALUE!</v>
      </c>
      <c r="CK12" s="214" t="e">
        <f t="shared" si="47"/>
        <v>#VALUE!</v>
      </c>
      <c r="CL12" s="214" t="e">
        <f t="shared" si="48"/>
        <v>#VALUE!</v>
      </c>
      <c r="CM12" s="51" t="str">
        <f t="shared" si="49"/>
        <v>-</v>
      </c>
      <c r="CN12" s="52" t="str">
        <f t="shared" si="50"/>
        <v>-</v>
      </c>
      <c r="CO12" s="214" t="str">
        <f t="shared" si="51"/>
        <v>-</v>
      </c>
      <c r="CS12" s="51" t="e">
        <f t="shared" si="55"/>
        <v>#VALUE!</v>
      </c>
      <c r="CT12" s="52" t="e">
        <f t="shared" si="52"/>
        <v>#VALUE!</v>
      </c>
      <c r="CU12" s="51" t="e">
        <f t="shared" si="53"/>
        <v>#VALUE!</v>
      </c>
      <c r="CV12" s="51" t="e">
        <f t="shared" si="54"/>
        <v>#VALUE!</v>
      </c>
    </row>
    <row r="13" spans="2:100" x14ac:dyDescent="0.25">
      <c r="B13" s="51" t="s">
        <v>1804</v>
      </c>
      <c r="C13" s="222">
        <f>'DSCR (Single Asset)'!$C$33</f>
        <v>0</v>
      </c>
      <c r="D13" s="193" t="str">
        <f>'DSCR (Legend)'!D13</f>
        <v>740+</v>
      </c>
      <c r="E13" s="192">
        <f t="shared" si="0"/>
        <v>0.8</v>
      </c>
      <c r="F13" s="192">
        <f t="shared" si="0"/>
        <v>0.8</v>
      </c>
      <c r="G13" s="192">
        <f t="shared" si="0"/>
        <v>0.8</v>
      </c>
      <c r="H13" s="192">
        <f t="shared" si="0"/>
        <v>0.8</v>
      </c>
      <c r="I13" s="192">
        <f t="shared" si="0"/>
        <v>0.8</v>
      </c>
      <c r="J13" s="192">
        <f t="shared" si="0"/>
        <v>0.75</v>
      </c>
      <c r="N13" s="53">
        <v>2.2499999999999999E-2</v>
      </c>
      <c r="O13" s="53">
        <f t="shared" si="1"/>
        <v>1.0175000000000001</v>
      </c>
      <c r="P13" s="56" t="e">
        <f t="shared" si="2"/>
        <v>#VALUE!</v>
      </c>
      <c r="Q13" s="57" t="str">
        <f t="shared" si="3"/>
        <v>-</v>
      </c>
      <c r="R13" s="57" t="str">
        <f t="shared" si="4"/>
        <v>-</v>
      </c>
      <c r="S13" s="57" t="str">
        <f>IF(OR($C$3="Purchase",$C$3="Delayed Purchase",$C$3="Refinance (Cash Out)"),"-",IF($C$3="Refinance (Rate/Term)",'DSCR (Single Asset)'!$C$22*102%,"-"))</f>
        <v>-</v>
      </c>
      <c r="T13" s="57" t="str">
        <f t="shared" si="5"/>
        <v>-</v>
      </c>
      <c r="U13" s="51" t="str">
        <f>IF(T13="-","-",IF(($T13/$C$19)&lt;=INDEX('DSCR (Legend)'!$F$3:$H$14,MATCH(($T13/$C$19),'DSCR (Legend)'!$F$3:$F$14,1),2),INDEX('DSCR (Legend)'!$F$3:$H$14,MATCH(($T13/$C$19),'DSCR (Legend)'!$F$3:$F$14,1),3),"-"))</f>
        <v>-</v>
      </c>
      <c r="V13" s="67" t="str">
        <f>IFERROR(IF($C$6="SFR",VLOOKUP(V$3,'DSCR (LLPA)'!$M:$V,MATCH($U13,'DSCR (LLPA)'!$M$1:$V$1,0),FALSE),IF($C$6="Multi",VLOOKUP(V$3,'DSCR (LLPA)'!$X:$AG,MATCH($U13,'DSCR (LLPA)'!$X$1:$AG$1,0),FALSE),"-")),"-")</f>
        <v>-</v>
      </c>
      <c r="W13" s="67" t="str">
        <f>IFERROR(IF($C$6="SFR",VLOOKUP(W$3,'DSCR (LLPA)'!$M:$V,MATCH($U13,'DSCR (LLPA)'!$M$1:$V$1,0),FALSE),IF($C$6="Multi",VLOOKUP(W$3,'DSCR (LLPA)'!$X:$AG,MATCH($U13,'DSCR (LLPA)'!$X$1:$AG$1,0),FALSE),"-")),"-")</f>
        <v>-</v>
      </c>
      <c r="X13" s="67" t="str">
        <f>IFERROR(IF($C$6="SFR",VLOOKUP(X$3,'DSCR (LLPA)'!$M:$V,MATCH($U13,'DSCR (LLPA)'!$M$1:$V$1,0),FALSE),IF($C$6="Multi",VLOOKUP(X$3,'DSCR (LLPA)'!$X:$AG,MATCH($U13,'DSCR (LLPA)'!$X$1:$AG$1,0),FALSE),"-")),"-")</f>
        <v>-</v>
      </c>
      <c r="Y13" s="67" t="str">
        <f>IFERROR(IF($C$6="SFR",VLOOKUP(Y$3,'DSCR (LLPA)'!$M:$V,MATCH($U13,'DSCR (LLPA)'!$M$1:$V$1,0),FALSE),IF($C$6="Multi",VLOOKUP(Y$3,'DSCR (LLPA)'!$X:$AG,MATCH($U13,'DSCR (LLPA)'!$X$1:$AG$1,0),FALSE),"-")),"-")</f>
        <v>-</v>
      </c>
      <c r="Z13" s="67" t="str">
        <f>IFERROR(IF($C$6="SFR",VLOOKUP(Z$3,'DSCR (LLPA)'!$M:$V,MATCH($U13,'DSCR (LLPA)'!$M$1:$V$1,0),FALSE),IF($C$6="Multi",VLOOKUP(Z$3,'DSCR (LLPA)'!$X:$AG,MATCH($U13,'DSCR (LLPA)'!$X$1:$AG$1,0),FALSE),"-")),"-")</f>
        <v>-</v>
      </c>
      <c r="AA13" s="67" t="str">
        <f>IFERROR(IF($C$6="SFR",VLOOKUP(AA$3,'DSCR (LLPA)'!$M:$V,MATCH($U13,'DSCR (LLPA)'!$M$1:$V$1,0),FALSE),IF($C$6="Multi",VLOOKUP(AA$3,'DSCR (LLPA)'!$X:$AG,MATCH($U13,'DSCR (LLPA)'!$X$1:$AG$1,0),FALSE),"-")),"-")</f>
        <v>-</v>
      </c>
      <c r="AB13" s="67" t="str">
        <f>IF($T13="-","-",IF($T13&lt;=INDEX('DSCR (Legend)'!$J$3:$L$17,MATCH($T13,'DSCR (Legend)'!$J$3:$J$17,1),2),INDEX('DSCR (Legend)'!$J$3:$L$17,MATCH($T13,'DSCR (Legend)'!$J$3:$J$17,1),3),"-"))</f>
        <v>-</v>
      </c>
      <c r="AC13" s="67" t="str">
        <f>IFERROR(IF($C$6="SFR",VLOOKUP($AB13,'DSCR (LLPA)'!$M:$V,MATCH($U13,'DSCR (LLPA)'!$M$1:$V$1,0),FALSE),IF($C$6="Multi",VLOOKUP($AB13,'DSCR (LLPA)'!$X:$AG,MATCH($U13,'DSCR (LLPA)'!$X$1:$AG$1,0),FALSE),"-")),"-")</f>
        <v>-</v>
      </c>
      <c r="AD13" s="67" t="str">
        <f>IFERROR(IF($C$6="SFR",VLOOKUP(AD$3,'DSCR (LLPA)'!$M:$V,MATCH($U13,'DSCR (LLPA)'!$M$1:$V$1,0),FALSE),IF($C$6="Multi",VLOOKUP(AD$3,'DSCR (LLPA)'!$X:$AG,MATCH($U13,'DSCR (LLPA)'!$X$1:$AG$1,0),FALSE),"-")),"-")</f>
        <v>-</v>
      </c>
      <c r="AE13" s="67" t="str">
        <f t="shared" si="6"/>
        <v>-</v>
      </c>
      <c r="AF13" s="56" t="str">
        <f>IF($AE13="-","-",IF($C$6="SFR",VLOOKUP($C$10,'DSCR (LLPA)'!$B$36:$K$50,MATCH($U13,'DSCR (LLPA)'!$B$36:$K$36,0),FALSE),IF($C$6="Multi",VLOOKUP($C$10,'DSCR (LLPA)'!$B$53:$K$67,MATCH($U13,'DSCR (LLPA)'!$B$53:$K$53,0),FALSE),"-")))</f>
        <v>-</v>
      </c>
      <c r="AG13" s="56" t="str">
        <f t="shared" si="7"/>
        <v>-</v>
      </c>
      <c r="AH13" s="52" t="str">
        <f t="shared" si="8"/>
        <v>-</v>
      </c>
      <c r="AI13" s="214" t="str">
        <f t="shared" si="9"/>
        <v>-</v>
      </c>
      <c r="AJ13" s="52" t="str">
        <f t="shared" si="10"/>
        <v>-</v>
      </c>
      <c r="AK13" s="52" t="str">
        <f t="shared" si="11"/>
        <v>-</v>
      </c>
      <c r="AL13" s="52">
        <f t="shared" si="12"/>
        <v>0</v>
      </c>
      <c r="AN13" s="53">
        <v>2.2499999999999999E-2</v>
      </c>
      <c r="AO13" s="53">
        <f t="shared" si="13"/>
        <v>1.0175000000000001</v>
      </c>
      <c r="AP13" s="56" t="e">
        <f t="shared" si="14"/>
        <v>#VALUE!</v>
      </c>
      <c r="AQ13" s="57" t="str">
        <f t="shared" si="15"/>
        <v>-</v>
      </c>
      <c r="AR13" s="51" t="str">
        <f>IF(AQ13="-","-",IF((AQ13/$C$19)&lt;=INDEX('DSCR (Legend)'!$F$3:$H$14,MATCH((AQ13/$C$19),'DSCR (Legend)'!$F$3:$F$14,1),2),INDEX('DSCR (Legend)'!$F$3:$H$14,MATCH((AQ13/$C$19),'DSCR (Legend)'!$F$3:$F$14,1),3),"-"))</f>
        <v>-</v>
      </c>
      <c r="AS13" s="56" t="str">
        <f>IFERROR(IF($C$6="SFR",VLOOKUP(AS$3,'DSCR (LLPA)'!$M:$V,MATCH($AR13,'DSCR (LLPA)'!$M$1:$V$1,0),FALSE),IF($C$6="Multi",VLOOKUP(AS$3,'DSCR (LLPA)'!$X:$AG,MATCH($AR13,'DSCR (LLPA)'!$X$1:$AG$1,0),FALSE),"-")),"-")</f>
        <v>-</v>
      </c>
      <c r="AT13" s="56" t="str">
        <f>IFERROR(IF($C$6="SFR",VLOOKUP(AT$3,'DSCR (LLPA)'!$M:$V,MATCH($AR13,'DSCR (LLPA)'!$M$1:$V$1,0),FALSE),IF($C$6="Multi",VLOOKUP(AT$3,'DSCR (LLPA)'!$X:$AG,MATCH($AR13,'DSCR (LLPA)'!$X$1:$AG$1,0),FALSE),"-")),"-")</f>
        <v>-</v>
      </c>
      <c r="AU13" s="56" t="str">
        <f>IFERROR(IF($C$6="SFR",VLOOKUP(AU$3,'DSCR (LLPA)'!$M:$V,MATCH($AR13,'DSCR (LLPA)'!$M$1:$V$1,0),FALSE),IF($C$6="Multi",VLOOKUP(AU$3,'DSCR (LLPA)'!$X:$AG,MATCH($AR13,'DSCR (LLPA)'!$X$1:$AG$1,0),FALSE),"-")),"-")</f>
        <v>-</v>
      </c>
      <c r="AV13" s="56" t="str">
        <f>IFERROR(IF($C$6="SFR",VLOOKUP(AV$3,'DSCR (LLPA)'!$M:$V,MATCH($AR13,'DSCR (LLPA)'!$M$1:$V$1,0),FALSE),IF($C$6="Multi",VLOOKUP(AV$3,'DSCR (LLPA)'!$X:$AG,MATCH($AR13,'DSCR (LLPA)'!$X$1:$AG$1,0),FALSE),"-")),"-")</f>
        <v>-</v>
      </c>
      <c r="AW13" s="56" t="str">
        <f>IFERROR(IF($C$6="SFR",VLOOKUP(AW$3,'DSCR (LLPA)'!$M:$V,MATCH($AR13,'DSCR (LLPA)'!$M$1:$V$1,0),FALSE),IF($C$6="Multi",VLOOKUP(AW$3,'DSCR (LLPA)'!$X:$AG,MATCH($AR13,'DSCR (LLPA)'!$X$1:$AG$1,0),FALSE),"-")),"-")</f>
        <v>-</v>
      </c>
      <c r="AX13" s="56" t="str">
        <f>IFERROR(IF($C$6="SFR",VLOOKUP(AX$3,'DSCR (LLPA)'!$M:$V,MATCH($AR13,'DSCR (LLPA)'!$M$1:$V$1,0),FALSE),IF($C$6="Multi",VLOOKUP(AX$3,'DSCR (LLPA)'!$X:$AG,MATCH($AR13,'DSCR (LLPA)'!$X$1:$AG$1,0),FALSE),"-")),"-")</f>
        <v>-</v>
      </c>
      <c r="AY13" s="56" t="str">
        <f>IF($AQ13="-","-",IF($AQ13&lt;=INDEX('DSCR (Legend)'!$J$3:$L$17,MATCH($AQ13,'DSCR (Legend)'!$J$3:$J$17,1),2),INDEX('DSCR (Legend)'!$J$3:$L$17,MATCH($AQ13,'DSCR (Legend)'!$J$3:$J$17,1),3),"-"))</f>
        <v>-</v>
      </c>
      <c r="AZ13" s="56" t="str">
        <f>IFERROR(IF($C$6="SFR",VLOOKUP($AY13,'DSCR (LLPA)'!$M:$V,MATCH($AR13,'DSCR (LLPA)'!$M$1:$V$1,0),FALSE),IF($C$6="Multi",VLOOKUP($AY13,'DSCR (LLPA)'!$X:$AG,MATCH($AR13,'DSCR (LLPA)'!$X$1:$AG$1,0),FALSE),"-")),"-")</f>
        <v>-</v>
      </c>
      <c r="BA13" s="56" t="str">
        <f>IFERROR(IF($C$6="SFR",VLOOKUP(BA$3,'DSCR (LLPA)'!$M:$V,MATCH($AR13,'DSCR (LLPA)'!$M$1:$V$1,0),FALSE),IF($C$6="Multi",VLOOKUP(BA$3,'DSCR (LLPA)'!$X:$AG,MATCH($AR13,'DSCR (LLPA)'!$X$1:$AG$1,0),FALSE),"-")),"-")</f>
        <v>-</v>
      </c>
      <c r="BB13" s="67" t="str">
        <f t="shared" si="16"/>
        <v>-</v>
      </c>
      <c r="BC13" s="56" t="str">
        <f>IF($BB13="-","-",IF($C$6="SFR",VLOOKUP($C$10,'DSCR (LLPA)'!$B$36:$K$50,MATCH($AR13,'DSCR (LLPA)'!$B$36:$K$36,0),FALSE),IF($C$6="Multi",VLOOKUP($C$10,'DSCR (LLPA)'!$B$53:$K$67,MATCH($AR13,'DSCR (LLPA)'!$B$53:$K$53,0),FALSE),"-")))</f>
        <v>-</v>
      </c>
      <c r="BD13" s="56" t="str">
        <f t="shared" si="17"/>
        <v>-</v>
      </c>
      <c r="BE13" s="52" t="str">
        <f t="shared" si="18"/>
        <v>-</v>
      </c>
      <c r="BF13" s="214" t="str">
        <f t="shared" si="19"/>
        <v>-</v>
      </c>
      <c r="BG13" s="52" t="str">
        <f t="shared" si="20"/>
        <v>-</v>
      </c>
      <c r="BH13" s="52" t="str">
        <f t="shared" si="21"/>
        <v>-</v>
      </c>
      <c r="BI13" s="52">
        <f t="shared" si="22"/>
        <v>0</v>
      </c>
      <c r="BJ13" s="232" t="str">
        <f t="shared" si="23"/>
        <v>-</v>
      </c>
      <c r="BK13" s="233">
        <f t="shared" si="24"/>
        <v>101.75</v>
      </c>
      <c r="BL13" s="232" t="str">
        <f>IF(BJ13="-","-",IF((BJ13/$C$19)&lt;=INDEX('DSCR (Legend)'!$F$3:$H$14,MATCH((BJ13/$C$19),'DSCR (Legend)'!$F$3:$F$14,1),2),INDEX('DSCR (Legend)'!$F$3:$H$14,MATCH((BJ13/$C$19),'DSCR (Legend)'!$F$3:$F$14,1),3),"-"))</f>
        <v>-</v>
      </c>
      <c r="BM13" s="232" t="b">
        <f t="shared" si="25"/>
        <v>0</v>
      </c>
      <c r="BN13" s="232" t="e">
        <f t="shared" si="26"/>
        <v>#N/A</v>
      </c>
      <c r="BO13" s="232" t="str">
        <f t="shared" si="27"/>
        <v>-</v>
      </c>
      <c r="BP13" s="231" t="str">
        <f t="shared" si="28"/>
        <v>-</v>
      </c>
      <c r="BR13" s="53">
        <v>2.2499999999999999E-2</v>
      </c>
      <c r="BS13" s="53">
        <f t="shared" si="29"/>
        <v>1.0175000000000001</v>
      </c>
      <c r="BT13" s="230" t="str">
        <f t="shared" si="30"/>
        <v>-</v>
      </c>
      <c r="BU13" s="229" t="str">
        <f t="shared" si="31"/>
        <v>-</v>
      </c>
      <c r="BV13" s="216" t="e">
        <f t="shared" si="32"/>
        <v>#VALUE!</v>
      </c>
      <c r="BW13" s="216" t="e">
        <f t="shared" si="33"/>
        <v>#VALUE!</v>
      </c>
      <c r="BX13" s="51" t="e">
        <f t="shared" si="34"/>
        <v>#VALUE!</v>
      </c>
      <c r="BY13" s="215" t="e">
        <f t="shared" si="35"/>
        <v>#VALUE!</v>
      </c>
      <c r="BZ13" s="51" t="e">
        <f t="shared" si="36"/>
        <v>#VALUE!</v>
      </c>
      <c r="CA13" s="52">
        <f t="shared" si="37"/>
        <v>0</v>
      </c>
      <c r="CB13" s="52">
        <f t="shared" si="38"/>
        <v>0</v>
      </c>
      <c r="CC13" s="52">
        <f t="shared" si="39"/>
        <v>0</v>
      </c>
      <c r="CD13" s="52">
        <f t="shared" si="40"/>
        <v>0</v>
      </c>
      <c r="CE13" s="215" t="e">
        <f t="shared" si="41"/>
        <v>#VALUE!</v>
      </c>
      <c r="CF13" s="51" t="e">
        <f t="shared" si="42"/>
        <v>#VALUE!</v>
      </c>
      <c r="CG13" s="52" t="e">
        <f t="shared" si="43"/>
        <v>#VALUE!</v>
      </c>
      <c r="CH13" s="51" t="e">
        <f t="shared" si="44"/>
        <v>#VALUE!</v>
      </c>
      <c r="CI13" s="52" t="e">
        <f t="shared" si="45"/>
        <v>#VALUE!</v>
      </c>
      <c r="CJ13" s="52" t="e">
        <f t="shared" si="46"/>
        <v>#VALUE!</v>
      </c>
      <c r="CK13" s="214" t="e">
        <f t="shared" si="47"/>
        <v>#VALUE!</v>
      </c>
      <c r="CL13" s="214" t="e">
        <f t="shared" si="48"/>
        <v>#VALUE!</v>
      </c>
      <c r="CM13" s="51" t="str">
        <f t="shared" si="49"/>
        <v>-</v>
      </c>
      <c r="CN13" s="52" t="str">
        <f t="shared" si="50"/>
        <v>-</v>
      </c>
      <c r="CO13" s="214" t="str">
        <f t="shared" si="51"/>
        <v>-</v>
      </c>
      <c r="CS13" s="51" t="e">
        <f t="shared" si="55"/>
        <v>#VALUE!</v>
      </c>
      <c r="CT13" s="52" t="e">
        <f t="shared" si="52"/>
        <v>#VALUE!</v>
      </c>
      <c r="CU13" s="51" t="e">
        <f t="shared" si="53"/>
        <v>#VALUE!</v>
      </c>
      <c r="CV13" s="51" t="e">
        <f t="shared" si="54"/>
        <v>#VALUE!</v>
      </c>
    </row>
    <row r="14" spans="2:100" x14ac:dyDescent="0.25">
      <c r="B14" s="51" t="s">
        <v>1803</v>
      </c>
      <c r="C14" s="222">
        <f>'DSCR (Single Asset)'!$C$34</f>
        <v>0</v>
      </c>
      <c r="D14" s="193" t="str">
        <f>'DSCR (Legend)'!D14</f>
        <v>760+</v>
      </c>
      <c r="E14" s="192">
        <f t="shared" si="0"/>
        <v>0.8</v>
      </c>
      <c r="F14" s="192">
        <f t="shared" si="0"/>
        <v>0.8</v>
      </c>
      <c r="G14" s="192">
        <f t="shared" si="0"/>
        <v>0.8</v>
      </c>
      <c r="H14" s="192">
        <f t="shared" si="0"/>
        <v>0.8</v>
      </c>
      <c r="I14" s="192">
        <f t="shared" si="0"/>
        <v>0.8</v>
      </c>
      <c r="J14" s="192">
        <f t="shared" si="0"/>
        <v>0.75</v>
      </c>
      <c r="N14" s="53">
        <v>2.4999999999999998E-2</v>
      </c>
      <c r="O14" s="53">
        <f t="shared" si="1"/>
        <v>1.0150000000000001</v>
      </c>
      <c r="P14" s="56" t="e">
        <f t="shared" si="2"/>
        <v>#VALUE!</v>
      </c>
      <c r="Q14" s="57" t="str">
        <f t="shared" si="3"/>
        <v>-</v>
      </c>
      <c r="R14" s="57" t="str">
        <f t="shared" si="4"/>
        <v>-</v>
      </c>
      <c r="S14" s="57" t="str">
        <f>IF(OR($C$3="Purchase",$C$3="Delayed Purchase",$C$3="Refinance (Cash Out)"),"-",IF($C$3="Refinance (Rate/Term)",'DSCR (Single Asset)'!$C$22*102%,"-"))</f>
        <v>-</v>
      </c>
      <c r="T14" s="57" t="str">
        <f t="shared" si="5"/>
        <v>-</v>
      </c>
      <c r="U14" s="51" t="str">
        <f>IF(T14="-","-",IF(($T14/$C$19)&lt;=INDEX('DSCR (Legend)'!$F$3:$H$14,MATCH(($T14/$C$19),'DSCR (Legend)'!$F$3:$F$14,1),2),INDEX('DSCR (Legend)'!$F$3:$H$14,MATCH(($T14/$C$19),'DSCR (Legend)'!$F$3:$F$14,1),3),"-"))</f>
        <v>-</v>
      </c>
      <c r="V14" s="67" t="str">
        <f>IFERROR(IF($C$6="SFR",VLOOKUP(V$3,'DSCR (LLPA)'!$M:$V,MATCH($U14,'DSCR (LLPA)'!$M$1:$V$1,0),FALSE),IF($C$6="Multi",VLOOKUP(V$3,'DSCR (LLPA)'!$X:$AG,MATCH($U14,'DSCR (LLPA)'!$X$1:$AG$1,0),FALSE),"-")),"-")</f>
        <v>-</v>
      </c>
      <c r="W14" s="67" t="str">
        <f>IFERROR(IF($C$6="SFR",VLOOKUP(W$3,'DSCR (LLPA)'!$M:$V,MATCH($U14,'DSCR (LLPA)'!$M$1:$V$1,0),FALSE),IF($C$6="Multi",VLOOKUP(W$3,'DSCR (LLPA)'!$X:$AG,MATCH($U14,'DSCR (LLPA)'!$X$1:$AG$1,0),FALSE),"-")),"-")</f>
        <v>-</v>
      </c>
      <c r="X14" s="67" t="str">
        <f>IFERROR(IF($C$6="SFR",VLOOKUP(X$3,'DSCR (LLPA)'!$M:$V,MATCH($U14,'DSCR (LLPA)'!$M$1:$V$1,0),FALSE),IF($C$6="Multi",VLOOKUP(X$3,'DSCR (LLPA)'!$X:$AG,MATCH($U14,'DSCR (LLPA)'!$X$1:$AG$1,0),FALSE),"-")),"-")</f>
        <v>-</v>
      </c>
      <c r="Y14" s="67" t="str">
        <f>IFERROR(IF($C$6="SFR",VLOOKUP(Y$3,'DSCR (LLPA)'!$M:$V,MATCH($U14,'DSCR (LLPA)'!$M$1:$V$1,0),FALSE),IF($C$6="Multi",VLOOKUP(Y$3,'DSCR (LLPA)'!$X:$AG,MATCH($U14,'DSCR (LLPA)'!$X$1:$AG$1,0),FALSE),"-")),"-")</f>
        <v>-</v>
      </c>
      <c r="Z14" s="67" t="str">
        <f>IFERROR(IF($C$6="SFR",VLOOKUP(Z$3,'DSCR (LLPA)'!$M:$V,MATCH($U14,'DSCR (LLPA)'!$M$1:$V$1,0),FALSE),IF($C$6="Multi",VLOOKUP(Z$3,'DSCR (LLPA)'!$X:$AG,MATCH($U14,'DSCR (LLPA)'!$X$1:$AG$1,0),FALSE),"-")),"-")</f>
        <v>-</v>
      </c>
      <c r="AA14" s="67" t="str">
        <f>IFERROR(IF($C$6="SFR",VLOOKUP(AA$3,'DSCR (LLPA)'!$M:$V,MATCH($U14,'DSCR (LLPA)'!$M$1:$V$1,0),FALSE),IF($C$6="Multi",VLOOKUP(AA$3,'DSCR (LLPA)'!$X:$AG,MATCH($U14,'DSCR (LLPA)'!$X$1:$AG$1,0),FALSE),"-")),"-")</f>
        <v>-</v>
      </c>
      <c r="AB14" s="67" t="str">
        <f>IF($T14="-","-",IF($T14&lt;=INDEX('DSCR (Legend)'!$J$3:$L$17,MATCH($T14,'DSCR (Legend)'!$J$3:$J$17,1),2),INDEX('DSCR (Legend)'!$J$3:$L$17,MATCH($T14,'DSCR (Legend)'!$J$3:$J$17,1),3),"-"))</f>
        <v>-</v>
      </c>
      <c r="AC14" s="67" t="str">
        <f>IFERROR(IF($C$6="SFR",VLOOKUP($AB14,'DSCR (LLPA)'!$M:$V,MATCH($U14,'DSCR (LLPA)'!$M$1:$V$1,0),FALSE),IF($C$6="Multi",VLOOKUP($AB14,'DSCR (LLPA)'!$X:$AG,MATCH($U14,'DSCR (LLPA)'!$X$1:$AG$1,0),FALSE),"-")),"-")</f>
        <v>-</v>
      </c>
      <c r="AD14" s="67" t="str">
        <f>IFERROR(IF($C$6="SFR",VLOOKUP(AD$3,'DSCR (LLPA)'!$M:$V,MATCH($U14,'DSCR (LLPA)'!$M$1:$V$1,0),FALSE),IF($C$6="Multi",VLOOKUP(AD$3,'DSCR (LLPA)'!$X:$AG,MATCH($U14,'DSCR (LLPA)'!$X$1:$AG$1,0),FALSE),"-")),"-")</f>
        <v>-</v>
      </c>
      <c r="AE14" s="67" t="str">
        <f t="shared" si="6"/>
        <v>-</v>
      </c>
      <c r="AF14" s="56" t="str">
        <f>IF($AE14="-","-",IF($C$6="SFR",VLOOKUP($C$10,'DSCR (LLPA)'!$B$36:$K$50,MATCH($U14,'DSCR (LLPA)'!$B$36:$K$36,0),FALSE),IF($C$6="Multi",VLOOKUP($C$10,'DSCR (LLPA)'!$B$53:$K$67,MATCH($U14,'DSCR (LLPA)'!$B$53:$K$53,0),FALSE),"-")))</f>
        <v>-</v>
      </c>
      <c r="AG14" s="56" t="str">
        <f t="shared" si="7"/>
        <v>-</v>
      </c>
      <c r="AH14" s="52" t="str">
        <f t="shared" si="8"/>
        <v>-</v>
      </c>
      <c r="AI14" s="214" t="str">
        <f t="shared" si="9"/>
        <v>-</v>
      </c>
      <c r="AJ14" s="52" t="str">
        <f t="shared" si="10"/>
        <v>-</v>
      </c>
      <c r="AK14" s="52" t="str">
        <f t="shared" si="11"/>
        <v>-</v>
      </c>
      <c r="AL14" s="52">
        <f t="shared" si="12"/>
        <v>0</v>
      </c>
      <c r="AN14" s="53">
        <v>2.4999999999999998E-2</v>
      </c>
      <c r="AO14" s="53">
        <f t="shared" si="13"/>
        <v>1.0150000000000001</v>
      </c>
      <c r="AP14" s="56" t="e">
        <f t="shared" si="14"/>
        <v>#VALUE!</v>
      </c>
      <c r="AQ14" s="57" t="str">
        <f t="shared" si="15"/>
        <v>-</v>
      </c>
      <c r="AR14" s="51" t="str">
        <f>IF(AQ14="-","-",IF((AQ14/$C$19)&lt;=INDEX('DSCR (Legend)'!$F$3:$H$14,MATCH((AQ14/$C$19),'DSCR (Legend)'!$F$3:$F$14,1),2),INDEX('DSCR (Legend)'!$F$3:$H$14,MATCH((AQ14/$C$19),'DSCR (Legend)'!$F$3:$F$14,1),3),"-"))</f>
        <v>-</v>
      </c>
      <c r="AS14" s="56" t="str">
        <f>IFERROR(IF($C$6="SFR",VLOOKUP(AS$3,'DSCR (LLPA)'!$M:$V,MATCH($AR14,'DSCR (LLPA)'!$M$1:$V$1,0),FALSE),IF($C$6="Multi",VLOOKUP(AS$3,'DSCR (LLPA)'!$X:$AG,MATCH($AR14,'DSCR (LLPA)'!$X$1:$AG$1,0),FALSE),"-")),"-")</f>
        <v>-</v>
      </c>
      <c r="AT14" s="56" t="str">
        <f>IFERROR(IF($C$6="SFR",VLOOKUP(AT$3,'DSCR (LLPA)'!$M:$V,MATCH($AR14,'DSCR (LLPA)'!$M$1:$V$1,0),FALSE),IF($C$6="Multi",VLOOKUP(AT$3,'DSCR (LLPA)'!$X:$AG,MATCH($AR14,'DSCR (LLPA)'!$X$1:$AG$1,0),FALSE),"-")),"-")</f>
        <v>-</v>
      </c>
      <c r="AU14" s="56" t="str">
        <f>IFERROR(IF($C$6="SFR",VLOOKUP(AU$3,'DSCR (LLPA)'!$M:$V,MATCH($AR14,'DSCR (LLPA)'!$M$1:$V$1,0),FALSE),IF($C$6="Multi",VLOOKUP(AU$3,'DSCR (LLPA)'!$X:$AG,MATCH($AR14,'DSCR (LLPA)'!$X$1:$AG$1,0),FALSE),"-")),"-")</f>
        <v>-</v>
      </c>
      <c r="AV14" s="56" t="str">
        <f>IFERROR(IF($C$6="SFR",VLOOKUP(AV$3,'DSCR (LLPA)'!$M:$V,MATCH($AR14,'DSCR (LLPA)'!$M$1:$V$1,0),FALSE),IF($C$6="Multi",VLOOKUP(AV$3,'DSCR (LLPA)'!$X:$AG,MATCH($AR14,'DSCR (LLPA)'!$X$1:$AG$1,0),FALSE),"-")),"-")</f>
        <v>-</v>
      </c>
      <c r="AW14" s="56" t="str">
        <f>IFERROR(IF($C$6="SFR",VLOOKUP(AW$3,'DSCR (LLPA)'!$M:$V,MATCH($AR14,'DSCR (LLPA)'!$M$1:$V$1,0),FALSE),IF($C$6="Multi",VLOOKUP(AW$3,'DSCR (LLPA)'!$X:$AG,MATCH($AR14,'DSCR (LLPA)'!$X$1:$AG$1,0),FALSE),"-")),"-")</f>
        <v>-</v>
      </c>
      <c r="AX14" s="56" t="str">
        <f>IFERROR(IF($C$6="SFR",VLOOKUP(AX$3,'DSCR (LLPA)'!$M:$V,MATCH($AR14,'DSCR (LLPA)'!$M$1:$V$1,0),FALSE),IF($C$6="Multi",VLOOKUP(AX$3,'DSCR (LLPA)'!$X:$AG,MATCH($AR14,'DSCR (LLPA)'!$X$1:$AG$1,0),FALSE),"-")),"-")</f>
        <v>-</v>
      </c>
      <c r="AY14" s="56" t="str">
        <f>IF($AQ14="-","-",IF($AQ14&lt;=INDEX('DSCR (Legend)'!$J$3:$L$17,MATCH($AQ14,'DSCR (Legend)'!$J$3:$J$17,1),2),INDEX('DSCR (Legend)'!$J$3:$L$17,MATCH($AQ14,'DSCR (Legend)'!$J$3:$J$17,1),3),"-"))</f>
        <v>-</v>
      </c>
      <c r="AZ14" s="56" t="str">
        <f>IFERROR(IF($C$6="SFR",VLOOKUP($AY14,'DSCR (LLPA)'!$M:$V,MATCH($AR14,'DSCR (LLPA)'!$M$1:$V$1,0),FALSE),IF($C$6="Multi",VLOOKUP($AY14,'DSCR (LLPA)'!$X:$AG,MATCH($AR14,'DSCR (LLPA)'!$X$1:$AG$1,0),FALSE),"-")),"-")</f>
        <v>-</v>
      </c>
      <c r="BA14" s="56" t="str">
        <f>IFERROR(IF($C$6="SFR",VLOOKUP(BA$3,'DSCR (LLPA)'!$M:$V,MATCH($AR14,'DSCR (LLPA)'!$M$1:$V$1,0),FALSE),IF($C$6="Multi",VLOOKUP(BA$3,'DSCR (LLPA)'!$X:$AG,MATCH($AR14,'DSCR (LLPA)'!$X$1:$AG$1,0),FALSE),"-")),"-")</f>
        <v>-</v>
      </c>
      <c r="BB14" s="67" t="str">
        <f t="shared" si="16"/>
        <v>-</v>
      </c>
      <c r="BC14" s="56" t="str">
        <f>IF($BB14="-","-",IF($C$6="SFR",VLOOKUP($C$10,'DSCR (LLPA)'!$B$36:$K$50,MATCH($AR14,'DSCR (LLPA)'!$B$36:$K$36,0),FALSE),IF($C$6="Multi",VLOOKUP($C$10,'DSCR (LLPA)'!$B$53:$K$67,MATCH($AR14,'DSCR (LLPA)'!$B$53:$K$53,0),FALSE),"-")))</f>
        <v>-</v>
      </c>
      <c r="BD14" s="56" t="str">
        <f t="shared" si="17"/>
        <v>-</v>
      </c>
      <c r="BE14" s="52" t="str">
        <f t="shared" si="18"/>
        <v>-</v>
      </c>
      <c r="BF14" s="214" t="str">
        <f t="shared" si="19"/>
        <v>-</v>
      </c>
      <c r="BG14" s="52" t="str">
        <f t="shared" si="20"/>
        <v>-</v>
      </c>
      <c r="BH14" s="52" t="str">
        <f t="shared" si="21"/>
        <v>-</v>
      </c>
      <c r="BI14" s="52">
        <f t="shared" si="22"/>
        <v>0</v>
      </c>
      <c r="BJ14" s="232" t="str">
        <f t="shared" si="23"/>
        <v>-</v>
      </c>
      <c r="BK14" s="233">
        <f t="shared" si="24"/>
        <v>101.5</v>
      </c>
      <c r="BL14" s="232" t="str">
        <f>IF(BJ14="-","-",IF((BJ14/$C$19)&lt;=INDEX('DSCR (Legend)'!$F$3:$H$14,MATCH((BJ14/$C$19),'DSCR (Legend)'!$F$3:$F$14,1),2),INDEX('DSCR (Legend)'!$F$3:$H$14,MATCH((BJ14/$C$19),'DSCR (Legend)'!$F$3:$F$14,1),3),"-"))</f>
        <v>-</v>
      </c>
      <c r="BM14" s="232" t="b">
        <f t="shared" si="25"/>
        <v>0</v>
      </c>
      <c r="BN14" s="232" t="e">
        <f t="shared" si="26"/>
        <v>#N/A</v>
      </c>
      <c r="BO14" s="232" t="str">
        <f t="shared" si="27"/>
        <v>-</v>
      </c>
      <c r="BP14" s="231" t="str">
        <f t="shared" si="28"/>
        <v>-</v>
      </c>
      <c r="BR14" s="53">
        <v>2.4999999999999998E-2</v>
      </c>
      <c r="BS14" s="53">
        <f t="shared" si="29"/>
        <v>1.0150000000000001</v>
      </c>
      <c r="BT14" s="230" t="str">
        <f t="shared" si="30"/>
        <v>-</v>
      </c>
      <c r="BU14" s="229" t="str">
        <f t="shared" si="31"/>
        <v>-</v>
      </c>
      <c r="BV14" s="216" t="e">
        <f t="shared" si="32"/>
        <v>#VALUE!</v>
      </c>
      <c r="BW14" s="216" t="e">
        <f t="shared" si="33"/>
        <v>#VALUE!</v>
      </c>
      <c r="BX14" s="51" t="e">
        <f t="shared" si="34"/>
        <v>#VALUE!</v>
      </c>
      <c r="BY14" s="215" t="e">
        <f t="shared" si="35"/>
        <v>#VALUE!</v>
      </c>
      <c r="BZ14" s="51" t="e">
        <f t="shared" si="36"/>
        <v>#VALUE!</v>
      </c>
      <c r="CA14" s="52">
        <f t="shared" si="37"/>
        <v>0</v>
      </c>
      <c r="CB14" s="52">
        <f t="shared" si="38"/>
        <v>0</v>
      </c>
      <c r="CC14" s="52">
        <f t="shared" si="39"/>
        <v>0</v>
      </c>
      <c r="CD14" s="52">
        <f t="shared" si="40"/>
        <v>0</v>
      </c>
      <c r="CE14" s="215" t="e">
        <f t="shared" si="41"/>
        <v>#VALUE!</v>
      </c>
      <c r="CF14" s="51" t="e">
        <f t="shared" si="42"/>
        <v>#VALUE!</v>
      </c>
      <c r="CG14" s="52" t="e">
        <f t="shared" si="43"/>
        <v>#VALUE!</v>
      </c>
      <c r="CH14" s="51" t="e">
        <f t="shared" si="44"/>
        <v>#VALUE!</v>
      </c>
      <c r="CI14" s="52" t="e">
        <f t="shared" si="45"/>
        <v>#VALUE!</v>
      </c>
      <c r="CJ14" s="52" t="e">
        <f t="shared" si="46"/>
        <v>#VALUE!</v>
      </c>
      <c r="CK14" s="214" t="e">
        <f t="shared" si="47"/>
        <v>#VALUE!</v>
      </c>
      <c r="CL14" s="214" t="e">
        <f t="shared" si="48"/>
        <v>#VALUE!</v>
      </c>
      <c r="CM14" s="51" t="str">
        <f t="shared" si="49"/>
        <v>-</v>
      </c>
      <c r="CN14" s="52" t="str">
        <f t="shared" si="50"/>
        <v>-</v>
      </c>
      <c r="CO14" s="214" t="str">
        <f t="shared" si="51"/>
        <v>-</v>
      </c>
      <c r="CS14" s="51" t="e">
        <f t="shared" si="55"/>
        <v>#VALUE!</v>
      </c>
      <c r="CT14" s="52" t="e">
        <f t="shared" si="52"/>
        <v>#VALUE!</v>
      </c>
      <c r="CU14" s="51" t="e">
        <f t="shared" si="53"/>
        <v>#VALUE!</v>
      </c>
      <c r="CV14" s="51" t="e">
        <f t="shared" si="54"/>
        <v>#VALUE!</v>
      </c>
    </row>
    <row r="15" spans="2:100" x14ac:dyDescent="0.25">
      <c r="B15" s="51" t="s">
        <v>1802</v>
      </c>
      <c r="C15" s="222" t="str">
        <f>IFERROR(VLOOKUP($C$14,'DSCR (Legend)'!$AG$1:$AH$6,2,FALSE),"-")</f>
        <v>-</v>
      </c>
      <c r="D15" s="193" t="str">
        <f>'DSCR (Legend)'!D15</f>
        <v>780+</v>
      </c>
      <c r="E15" s="192">
        <f t="shared" si="0"/>
        <v>0.8</v>
      </c>
      <c r="F15" s="192">
        <f t="shared" si="0"/>
        <v>0.8</v>
      </c>
      <c r="G15" s="192">
        <f t="shared" si="0"/>
        <v>0.8</v>
      </c>
      <c r="H15" s="192">
        <f t="shared" si="0"/>
        <v>0.8</v>
      </c>
      <c r="I15" s="192">
        <f t="shared" si="0"/>
        <v>0.8</v>
      </c>
      <c r="J15" s="192">
        <f t="shared" si="0"/>
        <v>0.75</v>
      </c>
      <c r="N15" s="53">
        <v>2.7499999999999997E-2</v>
      </c>
      <c r="O15" s="53">
        <f t="shared" si="1"/>
        <v>1.0125</v>
      </c>
      <c r="P15" s="56" t="e">
        <f t="shared" si="2"/>
        <v>#VALUE!</v>
      </c>
      <c r="Q15" s="57" t="str">
        <f t="shared" si="3"/>
        <v>-</v>
      </c>
      <c r="R15" s="57" t="str">
        <f t="shared" si="4"/>
        <v>-</v>
      </c>
      <c r="S15" s="57" t="str">
        <f>IF(OR($C$3="Purchase",$C$3="Delayed Purchase",$C$3="Refinance (Cash Out)"),"-",IF($C$3="Refinance (Rate/Term)",'DSCR (Single Asset)'!$C$22*102%,"-"))</f>
        <v>-</v>
      </c>
      <c r="T15" s="57" t="str">
        <f t="shared" si="5"/>
        <v>-</v>
      </c>
      <c r="U15" s="51" t="str">
        <f>IF(T15="-","-",IF(($T15/$C$19)&lt;=INDEX('DSCR (Legend)'!$F$3:$H$14,MATCH(($T15/$C$19),'DSCR (Legend)'!$F$3:$F$14,1),2),INDEX('DSCR (Legend)'!$F$3:$H$14,MATCH(($T15/$C$19),'DSCR (Legend)'!$F$3:$F$14,1),3),"-"))</f>
        <v>-</v>
      </c>
      <c r="V15" s="67" t="str">
        <f>IFERROR(IF($C$6="SFR",VLOOKUP(V$3,'DSCR (LLPA)'!$M:$V,MATCH($U15,'DSCR (LLPA)'!$M$1:$V$1,0),FALSE),IF($C$6="Multi",VLOOKUP(V$3,'DSCR (LLPA)'!$X:$AG,MATCH($U15,'DSCR (LLPA)'!$X$1:$AG$1,0),FALSE),"-")),"-")</f>
        <v>-</v>
      </c>
      <c r="W15" s="67" t="str">
        <f>IFERROR(IF($C$6="SFR",VLOOKUP(W$3,'DSCR (LLPA)'!$M:$V,MATCH($U15,'DSCR (LLPA)'!$M$1:$V$1,0),FALSE),IF($C$6="Multi",VLOOKUP(W$3,'DSCR (LLPA)'!$X:$AG,MATCH($U15,'DSCR (LLPA)'!$X$1:$AG$1,0),FALSE),"-")),"-")</f>
        <v>-</v>
      </c>
      <c r="X15" s="67" t="str">
        <f>IFERROR(IF($C$6="SFR",VLOOKUP(X$3,'DSCR (LLPA)'!$M:$V,MATCH($U15,'DSCR (LLPA)'!$M$1:$V$1,0),FALSE),IF($C$6="Multi",VLOOKUP(X$3,'DSCR (LLPA)'!$X:$AG,MATCH($U15,'DSCR (LLPA)'!$X$1:$AG$1,0),FALSE),"-")),"-")</f>
        <v>-</v>
      </c>
      <c r="Y15" s="67" t="str">
        <f>IFERROR(IF($C$6="SFR",VLOOKUP(Y$3,'DSCR (LLPA)'!$M:$V,MATCH($U15,'DSCR (LLPA)'!$M$1:$V$1,0),FALSE),IF($C$6="Multi",VLOOKUP(Y$3,'DSCR (LLPA)'!$X:$AG,MATCH($U15,'DSCR (LLPA)'!$X$1:$AG$1,0),FALSE),"-")),"-")</f>
        <v>-</v>
      </c>
      <c r="Z15" s="67" t="str">
        <f>IFERROR(IF($C$6="SFR",VLOOKUP(Z$3,'DSCR (LLPA)'!$M:$V,MATCH($U15,'DSCR (LLPA)'!$M$1:$V$1,0),FALSE),IF($C$6="Multi",VLOOKUP(Z$3,'DSCR (LLPA)'!$X:$AG,MATCH($U15,'DSCR (LLPA)'!$X$1:$AG$1,0),FALSE),"-")),"-")</f>
        <v>-</v>
      </c>
      <c r="AA15" s="67" t="str">
        <f>IFERROR(IF($C$6="SFR",VLOOKUP(AA$3,'DSCR (LLPA)'!$M:$V,MATCH($U15,'DSCR (LLPA)'!$M$1:$V$1,0),FALSE),IF($C$6="Multi",VLOOKUP(AA$3,'DSCR (LLPA)'!$X:$AG,MATCH($U15,'DSCR (LLPA)'!$X$1:$AG$1,0),FALSE),"-")),"-")</f>
        <v>-</v>
      </c>
      <c r="AB15" s="67" t="str">
        <f>IF($T15="-","-",IF($T15&lt;=INDEX('DSCR (Legend)'!$J$3:$L$17,MATCH($T15,'DSCR (Legend)'!$J$3:$J$17,1),2),INDEX('DSCR (Legend)'!$J$3:$L$17,MATCH($T15,'DSCR (Legend)'!$J$3:$J$17,1),3),"-"))</f>
        <v>-</v>
      </c>
      <c r="AC15" s="67" t="str">
        <f>IFERROR(IF($C$6="SFR",VLOOKUP($AB15,'DSCR (LLPA)'!$M:$V,MATCH($U15,'DSCR (LLPA)'!$M$1:$V$1,0),FALSE),IF($C$6="Multi",VLOOKUP($AB15,'DSCR (LLPA)'!$X:$AG,MATCH($U15,'DSCR (LLPA)'!$X$1:$AG$1,0),FALSE),"-")),"-")</f>
        <v>-</v>
      </c>
      <c r="AD15" s="67" t="str">
        <f>IFERROR(IF($C$6="SFR",VLOOKUP(AD$3,'DSCR (LLPA)'!$M:$V,MATCH($U15,'DSCR (LLPA)'!$M$1:$V$1,0),FALSE),IF($C$6="Multi",VLOOKUP(AD$3,'DSCR (LLPA)'!$X:$AG,MATCH($U15,'DSCR (LLPA)'!$X$1:$AG$1,0),FALSE),"-")),"-")</f>
        <v>-</v>
      </c>
      <c r="AE15" s="67" t="str">
        <f t="shared" si="6"/>
        <v>-</v>
      </c>
      <c r="AF15" s="56" t="str">
        <f>IF($AE15="-","-",IF($C$6="SFR",VLOOKUP($C$10,'DSCR (LLPA)'!$B$36:$K$50,MATCH($U15,'DSCR (LLPA)'!$B$36:$K$36,0),FALSE),IF($C$6="Multi",VLOOKUP($C$10,'DSCR (LLPA)'!$B$53:$K$67,MATCH($U15,'DSCR (LLPA)'!$B$53:$K$53,0),FALSE),"-")))</f>
        <v>-</v>
      </c>
      <c r="AG15" s="56" t="str">
        <f t="shared" si="7"/>
        <v>-</v>
      </c>
      <c r="AH15" s="52" t="str">
        <f t="shared" si="8"/>
        <v>-</v>
      </c>
      <c r="AI15" s="214" t="str">
        <f t="shared" si="9"/>
        <v>-</v>
      </c>
      <c r="AJ15" s="52" t="str">
        <f t="shared" si="10"/>
        <v>-</v>
      </c>
      <c r="AK15" s="52" t="str">
        <f t="shared" si="11"/>
        <v>-</v>
      </c>
      <c r="AL15" s="52">
        <f t="shared" si="12"/>
        <v>0</v>
      </c>
      <c r="AN15" s="53">
        <v>2.7499999999999997E-2</v>
      </c>
      <c r="AO15" s="53">
        <f t="shared" si="13"/>
        <v>1.0125</v>
      </c>
      <c r="AP15" s="56" t="e">
        <f t="shared" si="14"/>
        <v>#VALUE!</v>
      </c>
      <c r="AQ15" s="57" t="str">
        <f t="shared" si="15"/>
        <v>-</v>
      </c>
      <c r="AR15" s="51" t="str">
        <f>IF(AQ15="-","-",IF((AQ15/$C$19)&lt;=INDEX('DSCR (Legend)'!$F$3:$H$14,MATCH((AQ15/$C$19),'DSCR (Legend)'!$F$3:$F$14,1),2),INDEX('DSCR (Legend)'!$F$3:$H$14,MATCH((AQ15/$C$19),'DSCR (Legend)'!$F$3:$F$14,1),3),"-"))</f>
        <v>-</v>
      </c>
      <c r="AS15" s="56" t="str">
        <f>IFERROR(IF($C$6="SFR",VLOOKUP(AS$3,'DSCR (LLPA)'!$M:$V,MATCH($AR15,'DSCR (LLPA)'!$M$1:$V$1,0),FALSE),IF($C$6="Multi",VLOOKUP(AS$3,'DSCR (LLPA)'!$X:$AG,MATCH($AR15,'DSCR (LLPA)'!$X$1:$AG$1,0),FALSE),"-")),"-")</f>
        <v>-</v>
      </c>
      <c r="AT15" s="56" t="str">
        <f>IFERROR(IF($C$6="SFR",VLOOKUP(AT$3,'DSCR (LLPA)'!$M:$V,MATCH($AR15,'DSCR (LLPA)'!$M$1:$V$1,0),FALSE),IF($C$6="Multi",VLOOKUP(AT$3,'DSCR (LLPA)'!$X:$AG,MATCH($AR15,'DSCR (LLPA)'!$X$1:$AG$1,0),FALSE),"-")),"-")</f>
        <v>-</v>
      </c>
      <c r="AU15" s="56" t="str">
        <f>IFERROR(IF($C$6="SFR",VLOOKUP(AU$3,'DSCR (LLPA)'!$M:$V,MATCH($AR15,'DSCR (LLPA)'!$M$1:$V$1,0),FALSE),IF($C$6="Multi",VLOOKUP(AU$3,'DSCR (LLPA)'!$X:$AG,MATCH($AR15,'DSCR (LLPA)'!$X$1:$AG$1,0),FALSE),"-")),"-")</f>
        <v>-</v>
      </c>
      <c r="AV15" s="56" t="str">
        <f>IFERROR(IF($C$6="SFR",VLOOKUP(AV$3,'DSCR (LLPA)'!$M:$V,MATCH($AR15,'DSCR (LLPA)'!$M$1:$V$1,0),FALSE),IF($C$6="Multi",VLOOKUP(AV$3,'DSCR (LLPA)'!$X:$AG,MATCH($AR15,'DSCR (LLPA)'!$X$1:$AG$1,0),FALSE),"-")),"-")</f>
        <v>-</v>
      </c>
      <c r="AW15" s="56" t="str">
        <f>IFERROR(IF($C$6="SFR",VLOOKUP(AW$3,'DSCR (LLPA)'!$M:$V,MATCH($AR15,'DSCR (LLPA)'!$M$1:$V$1,0),FALSE),IF($C$6="Multi",VLOOKUP(AW$3,'DSCR (LLPA)'!$X:$AG,MATCH($AR15,'DSCR (LLPA)'!$X$1:$AG$1,0),FALSE),"-")),"-")</f>
        <v>-</v>
      </c>
      <c r="AX15" s="56" t="str">
        <f>IFERROR(IF($C$6="SFR",VLOOKUP(AX$3,'DSCR (LLPA)'!$M:$V,MATCH($AR15,'DSCR (LLPA)'!$M$1:$V$1,0),FALSE),IF($C$6="Multi",VLOOKUP(AX$3,'DSCR (LLPA)'!$X:$AG,MATCH($AR15,'DSCR (LLPA)'!$X$1:$AG$1,0),FALSE),"-")),"-")</f>
        <v>-</v>
      </c>
      <c r="AY15" s="56" t="str">
        <f>IF($AQ15="-","-",IF($AQ15&lt;=INDEX('DSCR (Legend)'!$J$3:$L$17,MATCH($AQ15,'DSCR (Legend)'!$J$3:$J$17,1),2),INDEX('DSCR (Legend)'!$J$3:$L$17,MATCH($AQ15,'DSCR (Legend)'!$J$3:$J$17,1),3),"-"))</f>
        <v>-</v>
      </c>
      <c r="AZ15" s="56" t="str">
        <f>IFERROR(IF($C$6="SFR",VLOOKUP($AY15,'DSCR (LLPA)'!$M:$V,MATCH($AR15,'DSCR (LLPA)'!$M$1:$V$1,0),FALSE),IF($C$6="Multi",VLOOKUP($AY15,'DSCR (LLPA)'!$X:$AG,MATCH($AR15,'DSCR (LLPA)'!$X$1:$AG$1,0),FALSE),"-")),"-")</f>
        <v>-</v>
      </c>
      <c r="BA15" s="56" t="str">
        <f>IFERROR(IF($C$6="SFR",VLOOKUP(BA$3,'DSCR (LLPA)'!$M:$V,MATCH($AR15,'DSCR (LLPA)'!$M$1:$V$1,0),FALSE),IF($C$6="Multi",VLOOKUP(BA$3,'DSCR (LLPA)'!$X:$AG,MATCH($AR15,'DSCR (LLPA)'!$X$1:$AG$1,0),FALSE),"-")),"-")</f>
        <v>-</v>
      </c>
      <c r="BB15" s="67" t="str">
        <f t="shared" si="16"/>
        <v>-</v>
      </c>
      <c r="BC15" s="56" t="str">
        <f>IF($BB15="-","-",IF($C$6="SFR",VLOOKUP($C$10,'DSCR (LLPA)'!$B$36:$K$50,MATCH($AR15,'DSCR (LLPA)'!$B$36:$K$36,0),FALSE),IF($C$6="Multi",VLOOKUP($C$10,'DSCR (LLPA)'!$B$53:$K$67,MATCH($AR15,'DSCR (LLPA)'!$B$53:$K$53,0),FALSE),"-")))</f>
        <v>-</v>
      </c>
      <c r="BD15" s="56" t="str">
        <f t="shared" si="17"/>
        <v>-</v>
      </c>
      <c r="BE15" s="52" t="str">
        <f t="shared" si="18"/>
        <v>-</v>
      </c>
      <c r="BF15" s="214" t="str">
        <f t="shared" si="19"/>
        <v>-</v>
      </c>
      <c r="BG15" s="52" t="str">
        <f t="shared" si="20"/>
        <v>-</v>
      </c>
      <c r="BH15" s="52" t="str">
        <f t="shared" si="21"/>
        <v>-</v>
      </c>
      <c r="BI15" s="52">
        <f t="shared" si="22"/>
        <v>0</v>
      </c>
      <c r="BJ15" s="232" t="str">
        <f t="shared" si="23"/>
        <v>-</v>
      </c>
      <c r="BK15" s="233">
        <f t="shared" si="24"/>
        <v>101.25</v>
      </c>
      <c r="BL15" s="232" t="str">
        <f>IF(BJ15="-","-",IF((BJ15/$C$19)&lt;=INDEX('DSCR (Legend)'!$F$3:$H$14,MATCH((BJ15/$C$19),'DSCR (Legend)'!$F$3:$F$14,1),2),INDEX('DSCR (Legend)'!$F$3:$H$14,MATCH((BJ15/$C$19),'DSCR (Legend)'!$F$3:$F$14,1),3),"-"))</f>
        <v>-</v>
      </c>
      <c r="BM15" s="232" t="b">
        <f t="shared" si="25"/>
        <v>0</v>
      </c>
      <c r="BN15" s="232" t="e">
        <f t="shared" si="26"/>
        <v>#N/A</v>
      </c>
      <c r="BO15" s="232" t="str">
        <f t="shared" si="27"/>
        <v>-</v>
      </c>
      <c r="BP15" s="231" t="str">
        <f t="shared" si="28"/>
        <v>-</v>
      </c>
      <c r="BR15" s="53">
        <v>2.7499999999999997E-2</v>
      </c>
      <c r="BS15" s="53">
        <f t="shared" si="29"/>
        <v>1.0125</v>
      </c>
      <c r="BT15" s="230" t="str">
        <f t="shared" si="30"/>
        <v>-</v>
      </c>
      <c r="BU15" s="229" t="str">
        <f t="shared" si="31"/>
        <v>-</v>
      </c>
      <c r="BV15" s="216" t="e">
        <f t="shared" si="32"/>
        <v>#VALUE!</v>
      </c>
      <c r="BW15" s="216" t="e">
        <f t="shared" si="33"/>
        <v>#VALUE!</v>
      </c>
      <c r="BX15" s="51" t="e">
        <f t="shared" si="34"/>
        <v>#VALUE!</v>
      </c>
      <c r="BY15" s="215" t="e">
        <f t="shared" si="35"/>
        <v>#VALUE!</v>
      </c>
      <c r="BZ15" s="51" t="e">
        <f t="shared" si="36"/>
        <v>#VALUE!</v>
      </c>
      <c r="CA15" s="52">
        <f t="shared" si="37"/>
        <v>0</v>
      </c>
      <c r="CB15" s="52">
        <f t="shared" si="38"/>
        <v>0</v>
      </c>
      <c r="CC15" s="52">
        <f t="shared" si="39"/>
        <v>0</v>
      </c>
      <c r="CD15" s="52">
        <f t="shared" si="40"/>
        <v>0</v>
      </c>
      <c r="CE15" s="215" t="e">
        <f t="shared" si="41"/>
        <v>#VALUE!</v>
      </c>
      <c r="CF15" s="51" t="e">
        <f t="shared" si="42"/>
        <v>#VALUE!</v>
      </c>
      <c r="CG15" s="52" t="e">
        <f t="shared" si="43"/>
        <v>#VALUE!</v>
      </c>
      <c r="CH15" s="51" t="e">
        <f t="shared" si="44"/>
        <v>#VALUE!</v>
      </c>
      <c r="CI15" s="52" t="e">
        <f t="shared" si="45"/>
        <v>#VALUE!</v>
      </c>
      <c r="CJ15" s="52" t="e">
        <f t="shared" si="46"/>
        <v>#VALUE!</v>
      </c>
      <c r="CK15" s="214" t="e">
        <f t="shared" si="47"/>
        <v>#VALUE!</v>
      </c>
      <c r="CL15" s="214" t="e">
        <f t="shared" si="48"/>
        <v>#VALUE!</v>
      </c>
      <c r="CM15" s="51" t="str">
        <f t="shared" si="49"/>
        <v>-</v>
      </c>
      <c r="CN15" s="52" t="str">
        <f t="shared" si="50"/>
        <v>-</v>
      </c>
      <c r="CO15" s="214" t="str">
        <f t="shared" si="51"/>
        <v>-</v>
      </c>
      <c r="CS15" s="51" t="e">
        <f t="shared" si="55"/>
        <v>#VALUE!</v>
      </c>
      <c r="CT15" s="52" t="e">
        <f t="shared" si="52"/>
        <v>#VALUE!</v>
      </c>
      <c r="CU15" s="51" t="e">
        <f t="shared" si="53"/>
        <v>#VALUE!</v>
      </c>
      <c r="CV15" s="51" t="e">
        <f t="shared" si="54"/>
        <v>#VALUE!</v>
      </c>
    </row>
    <row r="16" spans="2:100" x14ac:dyDescent="0.25">
      <c r="B16" s="51" t="s">
        <v>1801</v>
      </c>
      <c r="C16" s="222" t="e">
        <f>30-$C$15</f>
        <v>#VALUE!</v>
      </c>
      <c r="D16" s="193" t="str">
        <f>'DSCR (Legend)'!D16</f>
        <v>800+</v>
      </c>
      <c r="E16" s="192">
        <f t="shared" si="0"/>
        <v>0.8</v>
      </c>
      <c r="F16" s="192">
        <f t="shared" si="0"/>
        <v>0.8</v>
      </c>
      <c r="G16" s="192">
        <f t="shared" si="0"/>
        <v>0.8</v>
      </c>
      <c r="H16" s="192">
        <f t="shared" si="0"/>
        <v>0.8</v>
      </c>
      <c r="I16" s="192">
        <f t="shared" si="0"/>
        <v>0.8</v>
      </c>
      <c r="J16" s="192">
        <f t="shared" si="0"/>
        <v>0.75</v>
      </c>
      <c r="N16" s="53">
        <v>2.9999999999999995E-2</v>
      </c>
      <c r="O16" s="53">
        <f t="shared" si="1"/>
        <v>1.01</v>
      </c>
      <c r="P16" s="56" t="e">
        <f t="shared" si="2"/>
        <v>#VALUE!</v>
      </c>
      <c r="Q16" s="57" t="str">
        <f t="shared" si="3"/>
        <v>-</v>
      </c>
      <c r="R16" s="57" t="str">
        <f t="shared" si="4"/>
        <v>-</v>
      </c>
      <c r="S16" s="57" t="str">
        <f>IF(OR($C$3="Purchase",$C$3="Delayed Purchase",$C$3="Refinance (Cash Out)"),"-",IF($C$3="Refinance (Rate/Term)",'DSCR (Single Asset)'!$C$22*102%,"-"))</f>
        <v>-</v>
      </c>
      <c r="T16" s="57" t="str">
        <f t="shared" si="5"/>
        <v>-</v>
      </c>
      <c r="U16" s="51" t="str">
        <f>IF(T16="-","-",IF(($T16/$C$19)&lt;=INDEX('DSCR (Legend)'!$F$3:$H$14,MATCH(($T16/$C$19),'DSCR (Legend)'!$F$3:$F$14,1),2),INDEX('DSCR (Legend)'!$F$3:$H$14,MATCH(($T16/$C$19),'DSCR (Legend)'!$F$3:$F$14,1),3),"-"))</f>
        <v>-</v>
      </c>
      <c r="V16" s="67" t="str">
        <f>IFERROR(IF($C$6="SFR",VLOOKUP(V$3,'DSCR (LLPA)'!$M:$V,MATCH($U16,'DSCR (LLPA)'!$M$1:$V$1,0),FALSE),IF($C$6="Multi",VLOOKUP(V$3,'DSCR (LLPA)'!$X:$AG,MATCH($U16,'DSCR (LLPA)'!$X$1:$AG$1,0),FALSE),"-")),"-")</f>
        <v>-</v>
      </c>
      <c r="W16" s="67" t="str">
        <f>IFERROR(IF($C$6="SFR",VLOOKUP(W$3,'DSCR (LLPA)'!$M:$V,MATCH($U16,'DSCR (LLPA)'!$M$1:$V$1,0),FALSE),IF($C$6="Multi",VLOOKUP(W$3,'DSCR (LLPA)'!$X:$AG,MATCH($U16,'DSCR (LLPA)'!$X$1:$AG$1,0),FALSE),"-")),"-")</f>
        <v>-</v>
      </c>
      <c r="X16" s="67" t="str">
        <f>IFERROR(IF($C$6="SFR",VLOOKUP(X$3,'DSCR (LLPA)'!$M:$V,MATCH($U16,'DSCR (LLPA)'!$M$1:$V$1,0),FALSE),IF($C$6="Multi",VLOOKUP(X$3,'DSCR (LLPA)'!$X:$AG,MATCH($U16,'DSCR (LLPA)'!$X$1:$AG$1,0),FALSE),"-")),"-")</f>
        <v>-</v>
      </c>
      <c r="Y16" s="67" t="str">
        <f>IFERROR(IF($C$6="SFR",VLOOKUP(Y$3,'DSCR (LLPA)'!$M:$V,MATCH($U16,'DSCR (LLPA)'!$M$1:$V$1,0),FALSE),IF($C$6="Multi",VLOOKUP(Y$3,'DSCR (LLPA)'!$X:$AG,MATCH($U16,'DSCR (LLPA)'!$X$1:$AG$1,0),FALSE),"-")),"-")</f>
        <v>-</v>
      </c>
      <c r="Z16" s="67" t="str">
        <f>IFERROR(IF($C$6="SFR",VLOOKUP(Z$3,'DSCR (LLPA)'!$M:$V,MATCH($U16,'DSCR (LLPA)'!$M$1:$V$1,0),FALSE),IF($C$6="Multi",VLOOKUP(Z$3,'DSCR (LLPA)'!$X:$AG,MATCH($U16,'DSCR (LLPA)'!$X$1:$AG$1,0),FALSE),"-")),"-")</f>
        <v>-</v>
      </c>
      <c r="AA16" s="67" t="str">
        <f>IFERROR(IF($C$6="SFR",VLOOKUP(AA$3,'DSCR (LLPA)'!$M:$V,MATCH($U16,'DSCR (LLPA)'!$M$1:$V$1,0),FALSE),IF($C$6="Multi",VLOOKUP(AA$3,'DSCR (LLPA)'!$X:$AG,MATCH($U16,'DSCR (LLPA)'!$X$1:$AG$1,0),FALSE),"-")),"-")</f>
        <v>-</v>
      </c>
      <c r="AB16" s="67" t="str">
        <f>IF($T16="-","-",IF($T16&lt;=INDEX('DSCR (Legend)'!$J$3:$L$17,MATCH($T16,'DSCR (Legend)'!$J$3:$J$17,1),2),INDEX('DSCR (Legend)'!$J$3:$L$17,MATCH($T16,'DSCR (Legend)'!$J$3:$J$17,1),3),"-"))</f>
        <v>-</v>
      </c>
      <c r="AC16" s="67" t="str">
        <f>IFERROR(IF($C$6="SFR",VLOOKUP($AB16,'DSCR (LLPA)'!$M:$V,MATCH($U16,'DSCR (LLPA)'!$M$1:$V$1,0),FALSE),IF($C$6="Multi",VLOOKUP($AB16,'DSCR (LLPA)'!$X:$AG,MATCH($U16,'DSCR (LLPA)'!$X$1:$AG$1,0),FALSE),"-")),"-")</f>
        <v>-</v>
      </c>
      <c r="AD16" s="67" t="str">
        <f>IFERROR(IF($C$6="SFR",VLOOKUP(AD$3,'DSCR (LLPA)'!$M:$V,MATCH($U16,'DSCR (LLPA)'!$M$1:$V$1,0),FALSE),IF($C$6="Multi",VLOOKUP(AD$3,'DSCR (LLPA)'!$X:$AG,MATCH($U16,'DSCR (LLPA)'!$X$1:$AG$1,0),FALSE),"-")),"-")</f>
        <v>-</v>
      </c>
      <c r="AE16" s="67" t="str">
        <f t="shared" si="6"/>
        <v>-</v>
      </c>
      <c r="AF16" s="56" t="str">
        <f>IF($AE16="-","-",IF($C$6="SFR",VLOOKUP($C$10,'DSCR (LLPA)'!$B$36:$K$50,MATCH($U16,'DSCR (LLPA)'!$B$36:$K$36,0),FALSE),IF($C$6="Multi",VLOOKUP($C$10,'DSCR (LLPA)'!$B$53:$K$67,MATCH($U16,'DSCR (LLPA)'!$B$53:$K$53,0),FALSE),"-")))</f>
        <v>-</v>
      </c>
      <c r="AG16" s="56" t="str">
        <f t="shared" si="7"/>
        <v>-</v>
      </c>
      <c r="AH16" s="52" t="str">
        <f t="shared" si="8"/>
        <v>-</v>
      </c>
      <c r="AI16" s="214" t="str">
        <f t="shared" si="9"/>
        <v>-</v>
      </c>
      <c r="AJ16" s="52" t="str">
        <f t="shared" si="10"/>
        <v>-</v>
      </c>
      <c r="AK16" s="52" t="str">
        <f t="shared" si="11"/>
        <v>-</v>
      </c>
      <c r="AL16" s="52">
        <f t="shared" si="12"/>
        <v>0</v>
      </c>
      <c r="AN16" s="53">
        <v>2.9999999999999995E-2</v>
      </c>
      <c r="AO16" s="53">
        <f t="shared" si="13"/>
        <v>1.01</v>
      </c>
      <c r="AP16" s="56" t="e">
        <f t="shared" si="14"/>
        <v>#VALUE!</v>
      </c>
      <c r="AQ16" s="57" t="str">
        <f t="shared" si="15"/>
        <v>-</v>
      </c>
      <c r="AR16" s="51" t="str">
        <f>IF(AQ16="-","-",IF((AQ16/$C$19)&lt;=INDEX('DSCR (Legend)'!$F$3:$H$14,MATCH((AQ16/$C$19),'DSCR (Legend)'!$F$3:$F$14,1),2),INDEX('DSCR (Legend)'!$F$3:$H$14,MATCH((AQ16/$C$19),'DSCR (Legend)'!$F$3:$F$14,1),3),"-"))</f>
        <v>-</v>
      </c>
      <c r="AS16" s="56" t="str">
        <f>IFERROR(IF($C$6="SFR",VLOOKUP(AS$3,'DSCR (LLPA)'!$M:$V,MATCH($AR16,'DSCR (LLPA)'!$M$1:$V$1,0),FALSE),IF($C$6="Multi",VLOOKUP(AS$3,'DSCR (LLPA)'!$X:$AG,MATCH($AR16,'DSCR (LLPA)'!$X$1:$AG$1,0),FALSE),"-")),"-")</f>
        <v>-</v>
      </c>
      <c r="AT16" s="56" t="str">
        <f>IFERROR(IF($C$6="SFR",VLOOKUP(AT$3,'DSCR (LLPA)'!$M:$V,MATCH($AR16,'DSCR (LLPA)'!$M$1:$V$1,0),FALSE),IF($C$6="Multi",VLOOKUP(AT$3,'DSCR (LLPA)'!$X:$AG,MATCH($AR16,'DSCR (LLPA)'!$X$1:$AG$1,0),FALSE),"-")),"-")</f>
        <v>-</v>
      </c>
      <c r="AU16" s="56" t="str">
        <f>IFERROR(IF($C$6="SFR",VLOOKUP(AU$3,'DSCR (LLPA)'!$M:$V,MATCH($AR16,'DSCR (LLPA)'!$M$1:$V$1,0),FALSE),IF($C$6="Multi",VLOOKUP(AU$3,'DSCR (LLPA)'!$X:$AG,MATCH($AR16,'DSCR (LLPA)'!$X$1:$AG$1,0),FALSE),"-")),"-")</f>
        <v>-</v>
      </c>
      <c r="AV16" s="56" t="str">
        <f>IFERROR(IF($C$6="SFR",VLOOKUP(AV$3,'DSCR (LLPA)'!$M:$V,MATCH($AR16,'DSCR (LLPA)'!$M$1:$V$1,0),FALSE),IF($C$6="Multi",VLOOKUP(AV$3,'DSCR (LLPA)'!$X:$AG,MATCH($AR16,'DSCR (LLPA)'!$X$1:$AG$1,0),FALSE),"-")),"-")</f>
        <v>-</v>
      </c>
      <c r="AW16" s="56" t="str">
        <f>IFERROR(IF($C$6="SFR",VLOOKUP(AW$3,'DSCR (LLPA)'!$M:$V,MATCH($AR16,'DSCR (LLPA)'!$M$1:$V$1,0),FALSE),IF($C$6="Multi",VLOOKUP(AW$3,'DSCR (LLPA)'!$X:$AG,MATCH($AR16,'DSCR (LLPA)'!$X$1:$AG$1,0),FALSE),"-")),"-")</f>
        <v>-</v>
      </c>
      <c r="AX16" s="56" t="str">
        <f>IFERROR(IF($C$6="SFR",VLOOKUP(AX$3,'DSCR (LLPA)'!$M:$V,MATCH($AR16,'DSCR (LLPA)'!$M$1:$V$1,0),FALSE),IF($C$6="Multi",VLOOKUP(AX$3,'DSCR (LLPA)'!$X:$AG,MATCH($AR16,'DSCR (LLPA)'!$X$1:$AG$1,0),FALSE),"-")),"-")</f>
        <v>-</v>
      </c>
      <c r="AY16" s="56" t="str">
        <f>IF($AQ16="-","-",IF($AQ16&lt;=INDEX('DSCR (Legend)'!$J$3:$L$17,MATCH($AQ16,'DSCR (Legend)'!$J$3:$J$17,1),2),INDEX('DSCR (Legend)'!$J$3:$L$17,MATCH($AQ16,'DSCR (Legend)'!$J$3:$J$17,1),3),"-"))</f>
        <v>-</v>
      </c>
      <c r="AZ16" s="56" t="str">
        <f>IFERROR(IF($C$6="SFR",VLOOKUP($AY16,'DSCR (LLPA)'!$M:$V,MATCH($AR16,'DSCR (LLPA)'!$M$1:$V$1,0),FALSE),IF($C$6="Multi",VLOOKUP($AY16,'DSCR (LLPA)'!$X:$AG,MATCH($AR16,'DSCR (LLPA)'!$X$1:$AG$1,0),FALSE),"-")),"-")</f>
        <v>-</v>
      </c>
      <c r="BA16" s="56" t="str">
        <f>IFERROR(IF($C$6="SFR",VLOOKUP(BA$3,'DSCR (LLPA)'!$M:$V,MATCH($AR16,'DSCR (LLPA)'!$M$1:$V$1,0),FALSE),IF($C$6="Multi",VLOOKUP(BA$3,'DSCR (LLPA)'!$X:$AG,MATCH($AR16,'DSCR (LLPA)'!$X$1:$AG$1,0),FALSE),"-")),"-")</f>
        <v>-</v>
      </c>
      <c r="BB16" s="67" t="str">
        <f t="shared" si="16"/>
        <v>-</v>
      </c>
      <c r="BC16" s="56" t="str">
        <f>IF($BB16="-","-",IF($C$6="SFR",VLOOKUP($C$10,'DSCR (LLPA)'!$B$36:$K$50,MATCH($AR16,'DSCR (LLPA)'!$B$36:$K$36,0),FALSE),IF($C$6="Multi",VLOOKUP($C$10,'DSCR (LLPA)'!$B$53:$K$67,MATCH($AR16,'DSCR (LLPA)'!$B$53:$K$53,0),FALSE),"-")))</f>
        <v>-</v>
      </c>
      <c r="BD16" s="56" t="str">
        <f t="shared" si="17"/>
        <v>-</v>
      </c>
      <c r="BE16" s="52" t="str">
        <f t="shared" si="18"/>
        <v>-</v>
      </c>
      <c r="BF16" s="214" t="str">
        <f t="shared" si="19"/>
        <v>-</v>
      </c>
      <c r="BG16" s="52" t="str">
        <f t="shared" si="20"/>
        <v>-</v>
      </c>
      <c r="BH16" s="52" t="str">
        <f t="shared" si="21"/>
        <v>-</v>
      </c>
      <c r="BI16" s="52">
        <f t="shared" si="22"/>
        <v>0</v>
      </c>
      <c r="BJ16" s="232" t="str">
        <f t="shared" si="23"/>
        <v>-</v>
      </c>
      <c r="BK16" s="233">
        <f t="shared" si="24"/>
        <v>101</v>
      </c>
      <c r="BL16" s="232" t="str">
        <f>IF(BJ16="-","-",IF((BJ16/$C$19)&lt;=INDEX('DSCR (Legend)'!$F$3:$H$14,MATCH((BJ16/$C$19),'DSCR (Legend)'!$F$3:$F$14,1),2),INDEX('DSCR (Legend)'!$F$3:$H$14,MATCH((BJ16/$C$19),'DSCR (Legend)'!$F$3:$F$14,1),3),"-"))</f>
        <v>-</v>
      </c>
      <c r="BM16" s="232" t="b">
        <f t="shared" si="25"/>
        <v>0</v>
      </c>
      <c r="BN16" s="232" t="e">
        <f t="shared" si="26"/>
        <v>#N/A</v>
      </c>
      <c r="BO16" s="232" t="str">
        <f t="shared" si="27"/>
        <v>-</v>
      </c>
      <c r="BP16" s="231" t="str">
        <f t="shared" si="28"/>
        <v>-</v>
      </c>
      <c r="BR16" s="53">
        <v>2.9999999999999995E-2</v>
      </c>
      <c r="BS16" s="53">
        <f t="shared" si="29"/>
        <v>1.01</v>
      </c>
      <c r="BT16" s="230" t="str">
        <f t="shared" si="30"/>
        <v>-</v>
      </c>
      <c r="BU16" s="229" t="str">
        <f t="shared" si="31"/>
        <v>-</v>
      </c>
      <c r="BV16" s="216" t="e">
        <f t="shared" si="32"/>
        <v>#VALUE!</v>
      </c>
      <c r="BW16" s="216" t="e">
        <f t="shared" si="33"/>
        <v>#VALUE!</v>
      </c>
      <c r="BX16" s="51" t="e">
        <f t="shared" si="34"/>
        <v>#VALUE!</v>
      </c>
      <c r="BY16" s="215" t="e">
        <f t="shared" si="35"/>
        <v>#VALUE!</v>
      </c>
      <c r="BZ16" s="51" t="e">
        <f t="shared" si="36"/>
        <v>#VALUE!</v>
      </c>
      <c r="CA16" s="52">
        <f t="shared" si="37"/>
        <v>0</v>
      </c>
      <c r="CB16" s="52">
        <f t="shared" si="38"/>
        <v>0</v>
      </c>
      <c r="CC16" s="52">
        <f t="shared" si="39"/>
        <v>0</v>
      </c>
      <c r="CD16" s="52">
        <f t="shared" si="40"/>
        <v>0</v>
      </c>
      <c r="CE16" s="215" t="e">
        <f t="shared" si="41"/>
        <v>#VALUE!</v>
      </c>
      <c r="CF16" s="51" t="e">
        <f t="shared" si="42"/>
        <v>#VALUE!</v>
      </c>
      <c r="CG16" s="52" t="e">
        <f t="shared" si="43"/>
        <v>#VALUE!</v>
      </c>
      <c r="CH16" s="51" t="e">
        <f t="shared" si="44"/>
        <v>#VALUE!</v>
      </c>
      <c r="CI16" s="52" t="e">
        <f t="shared" si="45"/>
        <v>#VALUE!</v>
      </c>
      <c r="CJ16" s="52" t="e">
        <f t="shared" si="46"/>
        <v>#VALUE!</v>
      </c>
      <c r="CK16" s="214" t="e">
        <f t="shared" si="47"/>
        <v>#VALUE!</v>
      </c>
      <c r="CL16" s="214" t="e">
        <f t="shared" si="48"/>
        <v>#VALUE!</v>
      </c>
      <c r="CM16" s="51" t="str">
        <f t="shared" si="49"/>
        <v>-</v>
      </c>
      <c r="CN16" s="52" t="str">
        <f t="shared" si="50"/>
        <v>-</v>
      </c>
      <c r="CO16" s="214" t="str">
        <f t="shared" si="51"/>
        <v>-</v>
      </c>
      <c r="CS16" s="51" t="e">
        <f t="shared" si="55"/>
        <v>#VALUE!</v>
      </c>
      <c r="CT16" s="52" t="e">
        <f t="shared" si="52"/>
        <v>#VALUE!</v>
      </c>
      <c r="CU16" s="51" t="e">
        <f t="shared" si="53"/>
        <v>#VALUE!</v>
      </c>
      <c r="CV16" s="51" t="e">
        <f t="shared" si="54"/>
        <v>#VALUE!</v>
      </c>
    </row>
    <row r="17" spans="2:100" x14ac:dyDescent="0.25">
      <c r="B17" s="51" t="s">
        <v>1800</v>
      </c>
      <c r="C17" s="222" t="e">
        <f>C16*12</f>
        <v>#VALUE!</v>
      </c>
      <c r="D17" s="193" t="str">
        <f>'DSCR (Legend)'!D17</f>
        <v>FN</v>
      </c>
      <c r="E17" s="192">
        <f t="shared" si="0"/>
        <v>0.65</v>
      </c>
      <c r="F17" s="192">
        <f t="shared" si="0"/>
        <v>0.65</v>
      </c>
      <c r="G17" s="192">
        <f t="shared" si="0"/>
        <v>0.65</v>
      </c>
      <c r="H17" s="192">
        <f t="shared" si="0"/>
        <v>0.65</v>
      </c>
      <c r="I17" s="192">
        <f t="shared" si="0"/>
        <v>0.65</v>
      </c>
      <c r="J17" s="192">
        <f t="shared" si="0"/>
        <v>0.6</v>
      </c>
      <c r="N17" s="53">
        <v>3.2499999999999994E-2</v>
      </c>
      <c r="O17" s="53">
        <f t="shared" si="1"/>
        <v>1.0075000000000001</v>
      </c>
      <c r="P17" s="56" t="e">
        <f t="shared" si="2"/>
        <v>#VALUE!</v>
      </c>
      <c r="Q17" s="57" t="str">
        <f t="shared" si="3"/>
        <v>-</v>
      </c>
      <c r="R17" s="57" t="str">
        <f t="shared" si="4"/>
        <v>-</v>
      </c>
      <c r="S17" s="57" t="str">
        <f>IF(OR($C$3="Purchase",$C$3="Delayed Purchase",$C$3="Refinance (Cash Out)"),"-",IF($C$3="Refinance (Rate/Term)",'DSCR (Single Asset)'!$C$22*102%,"-"))</f>
        <v>-</v>
      </c>
      <c r="T17" s="57" t="str">
        <f t="shared" si="5"/>
        <v>-</v>
      </c>
      <c r="U17" s="51" t="str">
        <f>IF(T17="-","-",IF(($T17/$C$19)&lt;=INDEX('DSCR (Legend)'!$F$3:$H$14,MATCH(($T17/$C$19),'DSCR (Legend)'!$F$3:$F$14,1),2),INDEX('DSCR (Legend)'!$F$3:$H$14,MATCH(($T17/$C$19),'DSCR (Legend)'!$F$3:$F$14,1),3),"-"))</f>
        <v>-</v>
      </c>
      <c r="V17" s="67" t="str">
        <f>IFERROR(IF($C$6="SFR",VLOOKUP(V$3,'DSCR (LLPA)'!$M:$V,MATCH($U17,'DSCR (LLPA)'!$M$1:$V$1,0),FALSE),IF($C$6="Multi",VLOOKUP(V$3,'DSCR (LLPA)'!$X:$AG,MATCH($U17,'DSCR (LLPA)'!$X$1:$AG$1,0),FALSE),"-")),"-")</f>
        <v>-</v>
      </c>
      <c r="W17" s="67" t="str">
        <f>IFERROR(IF($C$6="SFR",VLOOKUP(W$3,'DSCR (LLPA)'!$M:$V,MATCH($U17,'DSCR (LLPA)'!$M$1:$V$1,0),FALSE),IF($C$6="Multi",VLOOKUP(W$3,'DSCR (LLPA)'!$X:$AG,MATCH($U17,'DSCR (LLPA)'!$X$1:$AG$1,0),FALSE),"-")),"-")</f>
        <v>-</v>
      </c>
      <c r="X17" s="67" t="str">
        <f>IFERROR(IF($C$6="SFR",VLOOKUP(X$3,'DSCR (LLPA)'!$M:$V,MATCH($U17,'DSCR (LLPA)'!$M$1:$V$1,0),FALSE),IF($C$6="Multi",VLOOKUP(X$3,'DSCR (LLPA)'!$X:$AG,MATCH($U17,'DSCR (LLPA)'!$X$1:$AG$1,0),FALSE),"-")),"-")</f>
        <v>-</v>
      </c>
      <c r="Y17" s="67" t="str">
        <f>IFERROR(IF($C$6="SFR",VLOOKUP(Y$3,'DSCR (LLPA)'!$M:$V,MATCH($U17,'DSCR (LLPA)'!$M$1:$V$1,0),FALSE),IF($C$6="Multi",VLOOKUP(Y$3,'DSCR (LLPA)'!$X:$AG,MATCH($U17,'DSCR (LLPA)'!$X$1:$AG$1,0),FALSE),"-")),"-")</f>
        <v>-</v>
      </c>
      <c r="Z17" s="67" t="str">
        <f>IFERROR(IF($C$6="SFR",VLOOKUP(Z$3,'DSCR (LLPA)'!$M:$V,MATCH($U17,'DSCR (LLPA)'!$M$1:$V$1,0),FALSE),IF($C$6="Multi",VLOOKUP(Z$3,'DSCR (LLPA)'!$X:$AG,MATCH($U17,'DSCR (LLPA)'!$X$1:$AG$1,0),FALSE),"-")),"-")</f>
        <v>-</v>
      </c>
      <c r="AA17" s="67" t="str">
        <f>IFERROR(IF($C$6="SFR",VLOOKUP(AA$3,'DSCR (LLPA)'!$M:$V,MATCH($U17,'DSCR (LLPA)'!$M$1:$V$1,0),FALSE),IF($C$6="Multi",VLOOKUP(AA$3,'DSCR (LLPA)'!$X:$AG,MATCH($U17,'DSCR (LLPA)'!$X$1:$AG$1,0),FALSE),"-")),"-")</f>
        <v>-</v>
      </c>
      <c r="AB17" s="67" t="str">
        <f>IF($T17="-","-",IF($T17&lt;=INDEX('DSCR (Legend)'!$J$3:$L$17,MATCH($T17,'DSCR (Legend)'!$J$3:$J$17,1),2),INDEX('DSCR (Legend)'!$J$3:$L$17,MATCH($T17,'DSCR (Legend)'!$J$3:$J$17,1),3),"-"))</f>
        <v>-</v>
      </c>
      <c r="AC17" s="67" t="str">
        <f>IFERROR(IF($C$6="SFR",VLOOKUP($AB17,'DSCR (LLPA)'!$M:$V,MATCH($U17,'DSCR (LLPA)'!$M$1:$V$1,0),FALSE),IF($C$6="Multi",VLOOKUP($AB17,'DSCR (LLPA)'!$X:$AG,MATCH($U17,'DSCR (LLPA)'!$X$1:$AG$1,0),FALSE),"-")),"-")</f>
        <v>-</v>
      </c>
      <c r="AD17" s="67" t="str">
        <f>IFERROR(IF($C$6="SFR",VLOOKUP(AD$3,'DSCR (LLPA)'!$M:$V,MATCH($U17,'DSCR (LLPA)'!$M$1:$V$1,0),FALSE),IF($C$6="Multi",VLOOKUP(AD$3,'DSCR (LLPA)'!$X:$AG,MATCH($U17,'DSCR (LLPA)'!$X$1:$AG$1,0),FALSE),"-")),"-")</f>
        <v>-</v>
      </c>
      <c r="AE17" s="67" t="str">
        <f t="shared" si="6"/>
        <v>-</v>
      </c>
      <c r="AF17" s="56" t="str">
        <f>IF($AE17="-","-",IF($C$6="SFR",VLOOKUP($C$10,'DSCR (LLPA)'!$B$36:$K$50,MATCH($U17,'DSCR (LLPA)'!$B$36:$K$36,0),FALSE),IF($C$6="Multi",VLOOKUP($C$10,'DSCR (LLPA)'!$B$53:$K$67,MATCH($U17,'DSCR (LLPA)'!$B$53:$K$53,0),FALSE),"-")))</f>
        <v>-</v>
      </c>
      <c r="AG17" s="56" t="str">
        <f t="shared" si="7"/>
        <v>-</v>
      </c>
      <c r="AH17" s="52" t="str">
        <f t="shared" si="8"/>
        <v>-</v>
      </c>
      <c r="AI17" s="214" t="str">
        <f t="shared" si="9"/>
        <v>-</v>
      </c>
      <c r="AJ17" s="52" t="str">
        <f t="shared" si="10"/>
        <v>-</v>
      </c>
      <c r="AK17" s="52" t="str">
        <f t="shared" si="11"/>
        <v>-</v>
      </c>
      <c r="AL17" s="52">
        <f t="shared" si="12"/>
        <v>0</v>
      </c>
      <c r="AN17" s="53">
        <v>3.2499999999999994E-2</v>
      </c>
      <c r="AO17" s="53">
        <f t="shared" si="13"/>
        <v>1.0075000000000001</v>
      </c>
      <c r="AP17" s="56" t="e">
        <f t="shared" si="14"/>
        <v>#VALUE!</v>
      </c>
      <c r="AQ17" s="57" t="str">
        <f t="shared" si="15"/>
        <v>-</v>
      </c>
      <c r="AR17" s="51" t="str">
        <f>IF(AQ17="-","-",IF((AQ17/$C$19)&lt;=INDEX('DSCR (Legend)'!$F$3:$H$14,MATCH((AQ17/$C$19),'DSCR (Legend)'!$F$3:$F$14,1),2),INDEX('DSCR (Legend)'!$F$3:$H$14,MATCH((AQ17/$C$19),'DSCR (Legend)'!$F$3:$F$14,1),3),"-"))</f>
        <v>-</v>
      </c>
      <c r="AS17" s="56" t="str">
        <f>IFERROR(IF($C$6="SFR",VLOOKUP(AS$3,'DSCR (LLPA)'!$M:$V,MATCH($AR17,'DSCR (LLPA)'!$M$1:$V$1,0),FALSE),IF($C$6="Multi",VLOOKUP(AS$3,'DSCR (LLPA)'!$X:$AG,MATCH($AR17,'DSCR (LLPA)'!$X$1:$AG$1,0),FALSE),"-")),"-")</f>
        <v>-</v>
      </c>
      <c r="AT17" s="56" t="str">
        <f>IFERROR(IF($C$6="SFR",VLOOKUP(AT$3,'DSCR (LLPA)'!$M:$V,MATCH($AR17,'DSCR (LLPA)'!$M$1:$V$1,0),FALSE),IF($C$6="Multi",VLOOKUP(AT$3,'DSCR (LLPA)'!$X:$AG,MATCH($AR17,'DSCR (LLPA)'!$X$1:$AG$1,0),FALSE),"-")),"-")</f>
        <v>-</v>
      </c>
      <c r="AU17" s="56" t="str">
        <f>IFERROR(IF($C$6="SFR",VLOOKUP(AU$3,'DSCR (LLPA)'!$M:$V,MATCH($AR17,'DSCR (LLPA)'!$M$1:$V$1,0),FALSE),IF($C$6="Multi",VLOOKUP(AU$3,'DSCR (LLPA)'!$X:$AG,MATCH($AR17,'DSCR (LLPA)'!$X$1:$AG$1,0),FALSE),"-")),"-")</f>
        <v>-</v>
      </c>
      <c r="AV17" s="56" t="str">
        <f>IFERROR(IF($C$6="SFR",VLOOKUP(AV$3,'DSCR (LLPA)'!$M:$V,MATCH($AR17,'DSCR (LLPA)'!$M$1:$V$1,0),FALSE),IF($C$6="Multi",VLOOKUP(AV$3,'DSCR (LLPA)'!$X:$AG,MATCH($AR17,'DSCR (LLPA)'!$X$1:$AG$1,0),FALSE),"-")),"-")</f>
        <v>-</v>
      </c>
      <c r="AW17" s="56" t="str">
        <f>IFERROR(IF($C$6="SFR",VLOOKUP(AW$3,'DSCR (LLPA)'!$M:$V,MATCH($AR17,'DSCR (LLPA)'!$M$1:$V$1,0),FALSE),IF($C$6="Multi",VLOOKUP(AW$3,'DSCR (LLPA)'!$X:$AG,MATCH($AR17,'DSCR (LLPA)'!$X$1:$AG$1,0),FALSE),"-")),"-")</f>
        <v>-</v>
      </c>
      <c r="AX17" s="56" t="str">
        <f>IFERROR(IF($C$6="SFR",VLOOKUP(AX$3,'DSCR (LLPA)'!$M:$V,MATCH($AR17,'DSCR (LLPA)'!$M$1:$V$1,0),FALSE),IF($C$6="Multi",VLOOKUP(AX$3,'DSCR (LLPA)'!$X:$AG,MATCH($AR17,'DSCR (LLPA)'!$X$1:$AG$1,0),FALSE),"-")),"-")</f>
        <v>-</v>
      </c>
      <c r="AY17" s="56" t="str">
        <f>IF($AQ17="-","-",IF($AQ17&lt;=INDEX('DSCR (Legend)'!$J$3:$L$17,MATCH($AQ17,'DSCR (Legend)'!$J$3:$J$17,1),2),INDEX('DSCR (Legend)'!$J$3:$L$17,MATCH($AQ17,'DSCR (Legend)'!$J$3:$J$17,1),3),"-"))</f>
        <v>-</v>
      </c>
      <c r="AZ17" s="56" t="str">
        <f>IFERROR(IF($C$6="SFR",VLOOKUP($AY17,'DSCR (LLPA)'!$M:$V,MATCH($AR17,'DSCR (LLPA)'!$M$1:$V$1,0),FALSE),IF($C$6="Multi",VLOOKUP($AY17,'DSCR (LLPA)'!$X:$AG,MATCH($AR17,'DSCR (LLPA)'!$X$1:$AG$1,0),FALSE),"-")),"-")</f>
        <v>-</v>
      </c>
      <c r="BA17" s="56" t="str">
        <f>IFERROR(IF($C$6="SFR",VLOOKUP(BA$3,'DSCR (LLPA)'!$M:$V,MATCH($AR17,'DSCR (LLPA)'!$M$1:$V$1,0),FALSE),IF($C$6="Multi",VLOOKUP(BA$3,'DSCR (LLPA)'!$X:$AG,MATCH($AR17,'DSCR (LLPA)'!$X$1:$AG$1,0),FALSE),"-")),"-")</f>
        <v>-</v>
      </c>
      <c r="BB17" s="67" t="str">
        <f t="shared" si="16"/>
        <v>-</v>
      </c>
      <c r="BC17" s="56" t="str">
        <f>IF($BB17="-","-",IF($C$6="SFR",VLOOKUP($C$10,'DSCR (LLPA)'!$B$36:$K$50,MATCH($AR17,'DSCR (LLPA)'!$B$36:$K$36,0),FALSE),IF($C$6="Multi",VLOOKUP($C$10,'DSCR (LLPA)'!$B$53:$K$67,MATCH($AR17,'DSCR (LLPA)'!$B$53:$K$53,0),FALSE),"-")))</f>
        <v>-</v>
      </c>
      <c r="BD17" s="56" t="str">
        <f t="shared" si="17"/>
        <v>-</v>
      </c>
      <c r="BE17" s="52" t="str">
        <f t="shared" si="18"/>
        <v>-</v>
      </c>
      <c r="BF17" s="214" t="str">
        <f t="shared" si="19"/>
        <v>-</v>
      </c>
      <c r="BG17" s="52" t="str">
        <f t="shared" si="20"/>
        <v>-</v>
      </c>
      <c r="BH17" s="52" t="str">
        <f t="shared" si="21"/>
        <v>-</v>
      </c>
      <c r="BI17" s="52">
        <f t="shared" si="22"/>
        <v>0</v>
      </c>
      <c r="BJ17" s="232" t="str">
        <f t="shared" si="23"/>
        <v>-</v>
      </c>
      <c r="BK17" s="233">
        <f t="shared" si="24"/>
        <v>100.75</v>
      </c>
      <c r="BL17" s="232" t="str">
        <f>IF(BJ17="-","-",IF((BJ17/$C$19)&lt;=INDEX('DSCR (Legend)'!$F$3:$H$14,MATCH((BJ17/$C$19),'DSCR (Legend)'!$F$3:$F$14,1),2),INDEX('DSCR (Legend)'!$F$3:$H$14,MATCH((BJ17/$C$19),'DSCR (Legend)'!$F$3:$F$14,1),3),"-"))</f>
        <v>-</v>
      </c>
      <c r="BM17" s="232" t="b">
        <f t="shared" si="25"/>
        <v>0</v>
      </c>
      <c r="BN17" s="232" t="e">
        <f t="shared" si="26"/>
        <v>#N/A</v>
      </c>
      <c r="BO17" s="232" t="str">
        <f t="shared" si="27"/>
        <v>-</v>
      </c>
      <c r="BP17" s="231" t="str">
        <f t="shared" si="28"/>
        <v>-</v>
      </c>
      <c r="BR17" s="53">
        <v>3.2499999999999994E-2</v>
      </c>
      <c r="BS17" s="53">
        <f t="shared" si="29"/>
        <v>1.0075000000000001</v>
      </c>
      <c r="BT17" s="230" t="str">
        <f t="shared" si="30"/>
        <v>-</v>
      </c>
      <c r="BU17" s="229" t="str">
        <f t="shared" si="31"/>
        <v>-</v>
      </c>
      <c r="BV17" s="216" t="e">
        <f t="shared" si="32"/>
        <v>#VALUE!</v>
      </c>
      <c r="BW17" s="216" t="e">
        <f t="shared" si="33"/>
        <v>#VALUE!</v>
      </c>
      <c r="BX17" s="51" t="e">
        <f t="shared" si="34"/>
        <v>#VALUE!</v>
      </c>
      <c r="BY17" s="215" t="e">
        <f t="shared" si="35"/>
        <v>#VALUE!</v>
      </c>
      <c r="BZ17" s="51" t="e">
        <f t="shared" si="36"/>
        <v>#VALUE!</v>
      </c>
      <c r="CA17" s="52">
        <f t="shared" si="37"/>
        <v>0</v>
      </c>
      <c r="CB17" s="52">
        <f t="shared" si="38"/>
        <v>0</v>
      </c>
      <c r="CC17" s="52">
        <f t="shared" si="39"/>
        <v>0</v>
      </c>
      <c r="CD17" s="52">
        <f t="shared" si="40"/>
        <v>0</v>
      </c>
      <c r="CE17" s="215" t="e">
        <f t="shared" si="41"/>
        <v>#VALUE!</v>
      </c>
      <c r="CF17" s="51" t="e">
        <f t="shared" si="42"/>
        <v>#VALUE!</v>
      </c>
      <c r="CG17" s="52" t="e">
        <f t="shared" si="43"/>
        <v>#VALUE!</v>
      </c>
      <c r="CH17" s="51" t="e">
        <f t="shared" si="44"/>
        <v>#VALUE!</v>
      </c>
      <c r="CI17" s="52" t="e">
        <f t="shared" si="45"/>
        <v>#VALUE!</v>
      </c>
      <c r="CJ17" s="52" t="e">
        <f t="shared" si="46"/>
        <v>#VALUE!</v>
      </c>
      <c r="CK17" s="214" t="e">
        <f t="shared" si="47"/>
        <v>#VALUE!</v>
      </c>
      <c r="CL17" s="214" t="e">
        <f t="shared" si="48"/>
        <v>#VALUE!</v>
      </c>
      <c r="CM17" s="51" t="str">
        <f t="shared" si="49"/>
        <v>-</v>
      </c>
      <c r="CN17" s="52" t="str">
        <f t="shared" si="50"/>
        <v>-</v>
      </c>
      <c r="CO17" s="214" t="str">
        <f t="shared" si="51"/>
        <v>-</v>
      </c>
      <c r="CS17" s="51" t="e">
        <f t="shared" si="55"/>
        <v>#VALUE!</v>
      </c>
      <c r="CT17" s="52" t="e">
        <f t="shared" si="52"/>
        <v>#VALUE!</v>
      </c>
      <c r="CU17" s="51" t="e">
        <f t="shared" si="53"/>
        <v>#VALUE!</v>
      </c>
      <c r="CV17" s="51" t="e">
        <f t="shared" si="54"/>
        <v>#VALUE!</v>
      </c>
    </row>
    <row r="18" spans="2:100" x14ac:dyDescent="0.25">
      <c r="N18" s="53">
        <v>3.4999999999999996E-2</v>
      </c>
      <c r="O18" s="53">
        <f t="shared" si="1"/>
        <v>1.0050000000000001</v>
      </c>
      <c r="P18" s="56" t="e">
        <f t="shared" si="2"/>
        <v>#VALUE!</v>
      </c>
      <c r="Q18" s="57" t="str">
        <f t="shared" si="3"/>
        <v>-</v>
      </c>
      <c r="R18" s="57" t="str">
        <f t="shared" si="4"/>
        <v>-</v>
      </c>
      <c r="S18" s="57" t="str">
        <f>IF(OR($C$3="Purchase",$C$3="Delayed Purchase",$C$3="Refinance (Cash Out)"),"-",IF($C$3="Refinance (Rate/Term)",'DSCR (Single Asset)'!$C$22*102%,"-"))</f>
        <v>-</v>
      </c>
      <c r="T18" s="57" t="str">
        <f t="shared" si="5"/>
        <v>-</v>
      </c>
      <c r="U18" s="51" t="str">
        <f>IF(T18="-","-",IF(($T18/$C$19)&lt;=INDEX('DSCR (Legend)'!$F$3:$H$14,MATCH(($T18/$C$19),'DSCR (Legend)'!$F$3:$F$14,1),2),INDEX('DSCR (Legend)'!$F$3:$H$14,MATCH(($T18/$C$19),'DSCR (Legend)'!$F$3:$F$14,1),3),"-"))</f>
        <v>-</v>
      </c>
      <c r="V18" s="67" t="str">
        <f>IFERROR(IF($C$6="SFR",VLOOKUP(V$3,'DSCR (LLPA)'!$M:$V,MATCH($U18,'DSCR (LLPA)'!$M$1:$V$1,0),FALSE),IF($C$6="Multi",VLOOKUP(V$3,'DSCR (LLPA)'!$X:$AG,MATCH($U18,'DSCR (LLPA)'!$X$1:$AG$1,0),FALSE),"-")),"-")</f>
        <v>-</v>
      </c>
      <c r="W18" s="67" t="str">
        <f>IFERROR(IF($C$6="SFR",VLOOKUP(W$3,'DSCR (LLPA)'!$M:$V,MATCH($U18,'DSCR (LLPA)'!$M$1:$V$1,0),FALSE),IF($C$6="Multi",VLOOKUP(W$3,'DSCR (LLPA)'!$X:$AG,MATCH($U18,'DSCR (LLPA)'!$X$1:$AG$1,0),FALSE),"-")),"-")</f>
        <v>-</v>
      </c>
      <c r="X18" s="67" t="str">
        <f>IFERROR(IF($C$6="SFR",VLOOKUP(X$3,'DSCR (LLPA)'!$M:$V,MATCH($U18,'DSCR (LLPA)'!$M$1:$V$1,0),FALSE),IF($C$6="Multi",VLOOKUP(X$3,'DSCR (LLPA)'!$X:$AG,MATCH($U18,'DSCR (LLPA)'!$X$1:$AG$1,0),FALSE),"-")),"-")</f>
        <v>-</v>
      </c>
      <c r="Y18" s="67" t="str">
        <f>IFERROR(IF($C$6="SFR",VLOOKUP(Y$3,'DSCR (LLPA)'!$M:$V,MATCH($U18,'DSCR (LLPA)'!$M$1:$V$1,0),FALSE),IF($C$6="Multi",VLOOKUP(Y$3,'DSCR (LLPA)'!$X:$AG,MATCH($U18,'DSCR (LLPA)'!$X$1:$AG$1,0),FALSE),"-")),"-")</f>
        <v>-</v>
      </c>
      <c r="Z18" s="67" t="str">
        <f>IFERROR(IF($C$6="SFR",VLOOKUP(Z$3,'DSCR (LLPA)'!$M:$V,MATCH($U18,'DSCR (LLPA)'!$M$1:$V$1,0),FALSE),IF($C$6="Multi",VLOOKUP(Z$3,'DSCR (LLPA)'!$X:$AG,MATCH($U18,'DSCR (LLPA)'!$X$1:$AG$1,0),FALSE),"-")),"-")</f>
        <v>-</v>
      </c>
      <c r="AA18" s="67" t="str">
        <f>IFERROR(IF($C$6="SFR",VLOOKUP(AA$3,'DSCR (LLPA)'!$M:$V,MATCH($U18,'DSCR (LLPA)'!$M$1:$V$1,0),FALSE),IF($C$6="Multi",VLOOKUP(AA$3,'DSCR (LLPA)'!$X:$AG,MATCH($U18,'DSCR (LLPA)'!$X$1:$AG$1,0),FALSE),"-")),"-")</f>
        <v>-</v>
      </c>
      <c r="AB18" s="67" t="str">
        <f>IF($T18="-","-",IF($T18&lt;=INDEX('DSCR (Legend)'!$J$3:$L$17,MATCH($T18,'DSCR (Legend)'!$J$3:$J$17,1),2),INDEX('DSCR (Legend)'!$J$3:$L$17,MATCH($T18,'DSCR (Legend)'!$J$3:$J$17,1),3),"-"))</f>
        <v>-</v>
      </c>
      <c r="AC18" s="67" t="str">
        <f>IFERROR(IF($C$6="SFR",VLOOKUP($AB18,'DSCR (LLPA)'!$M:$V,MATCH($U18,'DSCR (LLPA)'!$M$1:$V$1,0),FALSE),IF($C$6="Multi",VLOOKUP($AB18,'DSCR (LLPA)'!$X:$AG,MATCH($U18,'DSCR (LLPA)'!$X$1:$AG$1,0),FALSE),"-")),"-")</f>
        <v>-</v>
      </c>
      <c r="AD18" s="67" t="str">
        <f>IFERROR(IF($C$6="SFR",VLOOKUP(AD$3,'DSCR (LLPA)'!$M:$V,MATCH($U18,'DSCR (LLPA)'!$M$1:$V$1,0),FALSE),IF($C$6="Multi",VLOOKUP(AD$3,'DSCR (LLPA)'!$X:$AG,MATCH($U18,'DSCR (LLPA)'!$X$1:$AG$1,0),FALSE),"-")),"-")</f>
        <v>-</v>
      </c>
      <c r="AE18" s="67" t="str">
        <f t="shared" si="6"/>
        <v>-</v>
      </c>
      <c r="AF18" s="56" t="str">
        <f>IF($AE18="-","-",IF($C$6="SFR",VLOOKUP($C$10,'DSCR (LLPA)'!$B$36:$K$50,MATCH($U18,'DSCR (LLPA)'!$B$36:$K$36,0),FALSE),IF($C$6="Multi",VLOOKUP($C$10,'DSCR (LLPA)'!$B$53:$K$67,MATCH($U18,'DSCR (LLPA)'!$B$53:$K$53,0),FALSE),"-")))</f>
        <v>-</v>
      </c>
      <c r="AG18" s="56" t="str">
        <f t="shared" si="7"/>
        <v>-</v>
      </c>
      <c r="AH18" s="52" t="str">
        <f t="shared" si="8"/>
        <v>-</v>
      </c>
      <c r="AI18" s="214" t="str">
        <f t="shared" si="9"/>
        <v>-</v>
      </c>
      <c r="AJ18" s="52" t="str">
        <f t="shared" si="10"/>
        <v>-</v>
      </c>
      <c r="AK18" s="52" t="str">
        <f t="shared" si="11"/>
        <v>-</v>
      </c>
      <c r="AL18" s="52">
        <f t="shared" si="12"/>
        <v>0</v>
      </c>
      <c r="AN18" s="53">
        <v>3.4999999999999996E-2</v>
      </c>
      <c r="AO18" s="53">
        <f t="shared" si="13"/>
        <v>1.0050000000000001</v>
      </c>
      <c r="AP18" s="56" t="e">
        <f t="shared" si="14"/>
        <v>#VALUE!</v>
      </c>
      <c r="AQ18" s="57" t="str">
        <f t="shared" si="15"/>
        <v>-</v>
      </c>
      <c r="AR18" s="51" t="str">
        <f>IF(AQ18="-","-",IF((AQ18/$C$19)&lt;=INDEX('DSCR (Legend)'!$F$3:$H$14,MATCH((AQ18/$C$19),'DSCR (Legend)'!$F$3:$F$14,1),2),INDEX('DSCR (Legend)'!$F$3:$H$14,MATCH((AQ18/$C$19),'DSCR (Legend)'!$F$3:$F$14,1),3),"-"))</f>
        <v>-</v>
      </c>
      <c r="AS18" s="56" t="str">
        <f>IFERROR(IF($C$6="SFR",VLOOKUP(AS$3,'DSCR (LLPA)'!$M:$V,MATCH($AR18,'DSCR (LLPA)'!$M$1:$V$1,0),FALSE),IF($C$6="Multi",VLOOKUP(AS$3,'DSCR (LLPA)'!$X:$AG,MATCH($AR18,'DSCR (LLPA)'!$X$1:$AG$1,0),FALSE),"-")),"-")</f>
        <v>-</v>
      </c>
      <c r="AT18" s="56" t="str">
        <f>IFERROR(IF($C$6="SFR",VLOOKUP(AT$3,'DSCR (LLPA)'!$M:$V,MATCH($AR18,'DSCR (LLPA)'!$M$1:$V$1,0),FALSE),IF($C$6="Multi",VLOOKUP(AT$3,'DSCR (LLPA)'!$X:$AG,MATCH($AR18,'DSCR (LLPA)'!$X$1:$AG$1,0),FALSE),"-")),"-")</f>
        <v>-</v>
      </c>
      <c r="AU18" s="56" t="str">
        <f>IFERROR(IF($C$6="SFR",VLOOKUP(AU$3,'DSCR (LLPA)'!$M:$V,MATCH($AR18,'DSCR (LLPA)'!$M$1:$V$1,0),FALSE),IF($C$6="Multi",VLOOKUP(AU$3,'DSCR (LLPA)'!$X:$AG,MATCH($AR18,'DSCR (LLPA)'!$X$1:$AG$1,0),FALSE),"-")),"-")</f>
        <v>-</v>
      </c>
      <c r="AV18" s="56" t="str">
        <f>IFERROR(IF($C$6="SFR",VLOOKUP(AV$3,'DSCR (LLPA)'!$M:$V,MATCH($AR18,'DSCR (LLPA)'!$M$1:$V$1,0),FALSE),IF($C$6="Multi",VLOOKUP(AV$3,'DSCR (LLPA)'!$X:$AG,MATCH($AR18,'DSCR (LLPA)'!$X$1:$AG$1,0),FALSE),"-")),"-")</f>
        <v>-</v>
      </c>
      <c r="AW18" s="56" t="str">
        <f>IFERROR(IF($C$6="SFR",VLOOKUP(AW$3,'DSCR (LLPA)'!$M:$V,MATCH($AR18,'DSCR (LLPA)'!$M$1:$V$1,0),FALSE),IF($C$6="Multi",VLOOKUP(AW$3,'DSCR (LLPA)'!$X:$AG,MATCH($AR18,'DSCR (LLPA)'!$X$1:$AG$1,0),FALSE),"-")),"-")</f>
        <v>-</v>
      </c>
      <c r="AX18" s="56" t="str">
        <f>IFERROR(IF($C$6="SFR",VLOOKUP(AX$3,'DSCR (LLPA)'!$M:$V,MATCH($AR18,'DSCR (LLPA)'!$M$1:$V$1,0),FALSE),IF($C$6="Multi",VLOOKUP(AX$3,'DSCR (LLPA)'!$X:$AG,MATCH($AR18,'DSCR (LLPA)'!$X$1:$AG$1,0),FALSE),"-")),"-")</f>
        <v>-</v>
      </c>
      <c r="AY18" s="56" t="str">
        <f>IF($AQ18="-","-",IF($AQ18&lt;=INDEX('DSCR (Legend)'!$J$3:$L$17,MATCH($AQ18,'DSCR (Legend)'!$J$3:$J$17,1),2),INDEX('DSCR (Legend)'!$J$3:$L$17,MATCH($AQ18,'DSCR (Legend)'!$J$3:$J$17,1),3),"-"))</f>
        <v>-</v>
      </c>
      <c r="AZ18" s="56" t="str">
        <f>IFERROR(IF($C$6="SFR",VLOOKUP($AY18,'DSCR (LLPA)'!$M:$V,MATCH($AR18,'DSCR (LLPA)'!$M$1:$V$1,0),FALSE),IF($C$6="Multi",VLOOKUP($AY18,'DSCR (LLPA)'!$X:$AG,MATCH($AR18,'DSCR (LLPA)'!$X$1:$AG$1,0),FALSE),"-")),"-")</f>
        <v>-</v>
      </c>
      <c r="BA18" s="56" t="str">
        <f>IFERROR(IF($C$6="SFR",VLOOKUP(BA$3,'DSCR (LLPA)'!$M:$V,MATCH($AR18,'DSCR (LLPA)'!$M$1:$V$1,0),FALSE),IF($C$6="Multi",VLOOKUP(BA$3,'DSCR (LLPA)'!$X:$AG,MATCH($AR18,'DSCR (LLPA)'!$X$1:$AG$1,0),FALSE),"-")),"-")</f>
        <v>-</v>
      </c>
      <c r="BB18" s="67" t="str">
        <f t="shared" si="16"/>
        <v>-</v>
      </c>
      <c r="BC18" s="56" t="str">
        <f>IF($BB18="-","-",IF($C$6="SFR",VLOOKUP($C$10,'DSCR (LLPA)'!$B$36:$K$50,MATCH($AR18,'DSCR (LLPA)'!$B$36:$K$36,0),FALSE),IF($C$6="Multi",VLOOKUP($C$10,'DSCR (LLPA)'!$B$53:$K$67,MATCH($AR18,'DSCR (LLPA)'!$B$53:$K$53,0),FALSE),"-")))</f>
        <v>-</v>
      </c>
      <c r="BD18" s="56" t="str">
        <f t="shared" si="17"/>
        <v>-</v>
      </c>
      <c r="BE18" s="52" t="str">
        <f t="shared" si="18"/>
        <v>-</v>
      </c>
      <c r="BF18" s="214" t="str">
        <f t="shared" si="19"/>
        <v>-</v>
      </c>
      <c r="BG18" s="52" t="str">
        <f t="shared" si="20"/>
        <v>-</v>
      </c>
      <c r="BH18" s="52" t="str">
        <f t="shared" si="21"/>
        <v>-</v>
      </c>
      <c r="BI18" s="52">
        <f t="shared" si="22"/>
        <v>0</v>
      </c>
      <c r="BJ18" s="232" t="str">
        <f t="shared" si="23"/>
        <v>-</v>
      </c>
      <c r="BK18" s="233">
        <f t="shared" si="24"/>
        <v>100.5</v>
      </c>
      <c r="BL18" s="232" t="str">
        <f>IF(BJ18="-","-",IF((BJ18/$C$19)&lt;=INDEX('DSCR (Legend)'!$F$3:$H$14,MATCH((BJ18/$C$19),'DSCR (Legend)'!$F$3:$F$14,1),2),INDEX('DSCR (Legend)'!$F$3:$H$14,MATCH((BJ18/$C$19),'DSCR (Legend)'!$F$3:$F$14,1),3),"-"))</f>
        <v>-</v>
      </c>
      <c r="BM18" s="232" t="b">
        <f t="shared" si="25"/>
        <v>0</v>
      </c>
      <c r="BN18" s="232" t="e">
        <f t="shared" si="26"/>
        <v>#N/A</v>
      </c>
      <c r="BO18" s="232" t="str">
        <f t="shared" si="27"/>
        <v>-</v>
      </c>
      <c r="BP18" s="231" t="str">
        <f t="shared" si="28"/>
        <v>-</v>
      </c>
      <c r="BR18" s="53">
        <v>3.4999999999999996E-2</v>
      </c>
      <c r="BS18" s="53">
        <f t="shared" si="29"/>
        <v>1.0050000000000001</v>
      </c>
      <c r="BT18" s="230" t="str">
        <f t="shared" si="30"/>
        <v>-</v>
      </c>
      <c r="BU18" s="229" t="str">
        <f t="shared" si="31"/>
        <v>-</v>
      </c>
      <c r="BV18" s="216" t="e">
        <f t="shared" si="32"/>
        <v>#VALUE!</v>
      </c>
      <c r="BW18" s="216" t="e">
        <f t="shared" si="33"/>
        <v>#VALUE!</v>
      </c>
      <c r="BX18" s="51" t="e">
        <f t="shared" si="34"/>
        <v>#VALUE!</v>
      </c>
      <c r="BY18" s="215" t="e">
        <f t="shared" si="35"/>
        <v>#VALUE!</v>
      </c>
      <c r="BZ18" s="51" t="e">
        <f t="shared" si="36"/>
        <v>#VALUE!</v>
      </c>
      <c r="CA18" s="52">
        <f t="shared" si="37"/>
        <v>0</v>
      </c>
      <c r="CB18" s="52">
        <f t="shared" si="38"/>
        <v>0</v>
      </c>
      <c r="CC18" s="52">
        <f t="shared" si="39"/>
        <v>0</v>
      </c>
      <c r="CD18" s="52">
        <f t="shared" si="40"/>
        <v>0</v>
      </c>
      <c r="CE18" s="215" t="e">
        <f t="shared" si="41"/>
        <v>#VALUE!</v>
      </c>
      <c r="CF18" s="51" t="e">
        <f t="shared" si="42"/>
        <v>#VALUE!</v>
      </c>
      <c r="CG18" s="52" t="e">
        <f t="shared" si="43"/>
        <v>#VALUE!</v>
      </c>
      <c r="CH18" s="51" t="e">
        <f t="shared" si="44"/>
        <v>#VALUE!</v>
      </c>
      <c r="CI18" s="52" t="e">
        <f t="shared" si="45"/>
        <v>#VALUE!</v>
      </c>
      <c r="CJ18" s="52" t="e">
        <f t="shared" si="46"/>
        <v>#VALUE!</v>
      </c>
      <c r="CK18" s="214" t="e">
        <f t="shared" si="47"/>
        <v>#VALUE!</v>
      </c>
      <c r="CL18" s="214" t="e">
        <f t="shared" si="48"/>
        <v>#VALUE!</v>
      </c>
      <c r="CM18" s="51" t="str">
        <f t="shared" si="49"/>
        <v>-</v>
      </c>
      <c r="CN18" s="52" t="str">
        <f t="shared" si="50"/>
        <v>-</v>
      </c>
      <c r="CO18" s="214" t="str">
        <f t="shared" si="51"/>
        <v>-</v>
      </c>
      <c r="CS18" s="51" t="e">
        <f t="shared" si="55"/>
        <v>#VALUE!</v>
      </c>
      <c r="CT18" s="52" t="e">
        <f t="shared" si="52"/>
        <v>#VALUE!</v>
      </c>
      <c r="CU18" s="51" t="e">
        <f t="shared" si="53"/>
        <v>#VALUE!</v>
      </c>
      <c r="CV18" s="51" t="e">
        <f t="shared" si="54"/>
        <v>#VALUE!</v>
      </c>
    </row>
    <row r="19" spans="2:100" x14ac:dyDescent="0.25">
      <c r="B19" s="51" t="s">
        <v>1799</v>
      </c>
      <c r="C19" s="219">
        <f>'DSCR (Single Asset)'!$C$27</f>
        <v>0</v>
      </c>
      <c r="N19" s="53">
        <v>3.7499999999999999E-2</v>
      </c>
      <c r="O19" s="53">
        <f t="shared" si="1"/>
        <v>1.0024999999999999</v>
      </c>
      <c r="P19" s="56" t="e">
        <f t="shared" si="2"/>
        <v>#VALUE!</v>
      </c>
      <c r="Q19" s="57" t="str">
        <f t="shared" si="3"/>
        <v>-</v>
      </c>
      <c r="R19" s="57" t="str">
        <f t="shared" si="4"/>
        <v>-</v>
      </c>
      <c r="S19" s="57" t="str">
        <f>IF(OR($C$3="Purchase",$C$3="Delayed Purchase",$C$3="Refinance (Cash Out)"),"-",IF($C$3="Refinance (Rate/Term)",'DSCR (Single Asset)'!$C$22*102%,"-"))</f>
        <v>-</v>
      </c>
      <c r="T19" s="57" t="str">
        <f t="shared" si="5"/>
        <v>-</v>
      </c>
      <c r="U19" s="51" t="str">
        <f>IF(T19="-","-",IF(($T19/$C$19)&lt;=INDEX('DSCR (Legend)'!$F$3:$H$14,MATCH(($T19/$C$19),'DSCR (Legend)'!$F$3:$F$14,1),2),INDEX('DSCR (Legend)'!$F$3:$H$14,MATCH(($T19/$C$19),'DSCR (Legend)'!$F$3:$F$14,1),3),"-"))</f>
        <v>-</v>
      </c>
      <c r="V19" s="67" t="str">
        <f>IFERROR(IF($C$6="SFR",VLOOKUP(V$3,'DSCR (LLPA)'!$M:$V,MATCH($U19,'DSCR (LLPA)'!$M$1:$V$1,0),FALSE),IF($C$6="Multi",VLOOKUP(V$3,'DSCR (LLPA)'!$X:$AG,MATCH($U19,'DSCR (LLPA)'!$X$1:$AG$1,0),FALSE),"-")),"-")</f>
        <v>-</v>
      </c>
      <c r="W19" s="67" t="str">
        <f>IFERROR(IF($C$6="SFR",VLOOKUP(W$3,'DSCR (LLPA)'!$M:$V,MATCH($U19,'DSCR (LLPA)'!$M$1:$V$1,0),FALSE),IF($C$6="Multi",VLOOKUP(W$3,'DSCR (LLPA)'!$X:$AG,MATCH($U19,'DSCR (LLPA)'!$X$1:$AG$1,0),FALSE),"-")),"-")</f>
        <v>-</v>
      </c>
      <c r="X19" s="67" t="str">
        <f>IFERROR(IF($C$6="SFR",VLOOKUP(X$3,'DSCR (LLPA)'!$M:$V,MATCH($U19,'DSCR (LLPA)'!$M$1:$V$1,0),FALSE),IF($C$6="Multi",VLOOKUP(X$3,'DSCR (LLPA)'!$X:$AG,MATCH($U19,'DSCR (LLPA)'!$X$1:$AG$1,0),FALSE),"-")),"-")</f>
        <v>-</v>
      </c>
      <c r="Y19" s="67" t="str">
        <f>IFERROR(IF($C$6="SFR",VLOOKUP(Y$3,'DSCR (LLPA)'!$M:$V,MATCH($U19,'DSCR (LLPA)'!$M$1:$V$1,0),FALSE),IF($C$6="Multi",VLOOKUP(Y$3,'DSCR (LLPA)'!$X:$AG,MATCH($U19,'DSCR (LLPA)'!$X$1:$AG$1,0),FALSE),"-")),"-")</f>
        <v>-</v>
      </c>
      <c r="Z19" s="67" t="str">
        <f>IFERROR(IF($C$6="SFR",VLOOKUP(Z$3,'DSCR (LLPA)'!$M:$V,MATCH($U19,'DSCR (LLPA)'!$M$1:$V$1,0),FALSE),IF($C$6="Multi",VLOOKUP(Z$3,'DSCR (LLPA)'!$X:$AG,MATCH($U19,'DSCR (LLPA)'!$X$1:$AG$1,0),FALSE),"-")),"-")</f>
        <v>-</v>
      </c>
      <c r="AA19" s="67" t="str">
        <f>IFERROR(IF($C$6="SFR",VLOOKUP(AA$3,'DSCR (LLPA)'!$M:$V,MATCH($U19,'DSCR (LLPA)'!$M$1:$V$1,0),FALSE),IF($C$6="Multi",VLOOKUP(AA$3,'DSCR (LLPA)'!$X:$AG,MATCH($U19,'DSCR (LLPA)'!$X$1:$AG$1,0),FALSE),"-")),"-")</f>
        <v>-</v>
      </c>
      <c r="AB19" s="67" t="str">
        <f>IF($T19="-","-",IF($T19&lt;=INDEX('DSCR (Legend)'!$J$3:$L$17,MATCH($T19,'DSCR (Legend)'!$J$3:$J$17,1),2),INDEX('DSCR (Legend)'!$J$3:$L$17,MATCH($T19,'DSCR (Legend)'!$J$3:$J$17,1),3),"-"))</f>
        <v>-</v>
      </c>
      <c r="AC19" s="67" t="str">
        <f>IFERROR(IF($C$6="SFR",VLOOKUP($AB19,'DSCR (LLPA)'!$M:$V,MATCH($U19,'DSCR (LLPA)'!$M$1:$V$1,0),FALSE),IF($C$6="Multi",VLOOKUP($AB19,'DSCR (LLPA)'!$X:$AG,MATCH($U19,'DSCR (LLPA)'!$X$1:$AG$1,0),FALSE),"-")),"-")</f>
        <v>-</v>
      </c>
      <c r="AD19" s="67" t="str">
        <f>IFERROR(IF($C$6="SFR",VLOOKUP(AD$3,'DSCR (LLPA)'!$M:$V,MATCH($U19,'DSCR (LLPA)'!$M$1:$V$1,0),FALSE),IF($C$6="Multi",VLOOKUP(AD$3,'DSCR (LLPA)'!$X:$AG,MATCH($U19,'DSCR (LLPA)'!$X$1:$AG$1,0),FALSE),"-")),"-")</f>
        <v>-</v>
      </c>
      <c r="AE19" s="67" t="str">
        <f t="shared" si="6"/>
        <v>-</v>
      </c>
      <c r="AF19" s="56" t="str">
        <f>IF($AE19="-","-",IF($C$6="SFR",VLOOKUP($C$10,'DSCR (LLPA)'!$B$36:$K$50,MATCH($U19,'DSCR (LLPA)'!$B$36:$K$36,0),FALSE),IF($C$6="Multi",VLOOKUP($C$10,'DSCR (LLPA)'!$B$53:$K$67,MATCH($U19,'DSCR (LLPA)'!$B$53:$K$53,0),FALSE),"-")))</f>
        <v>-</v>
      </c>
      <c r="AG19" s="56" t="str">
        <f t="shared" si="7"/>
        <v>-</v>
      </c>
      <c r="AH19" s="52" t="str">
        <f t="shared" si="8"/>
        <v>-</v>
      </c>
      <c r="AI19" s="214" t="str">
        <f t="shared" si="9"/>
        <v>-</v>
      </c>
      <c r="AJ19" s="52" t="str">
        <f t="shared" si="10"/>
        <v>-</v>
      </c>
      <c r="AK19" s="52" t="str">
        <f t="shared" si="11"/>
        <v>-</v>
      </c>
      <c r="AL19" s="52">
        <f t="shared" si="12"/>
        <v>0</v>
      </c>
      <c r="AN19" s="53">
        <v>3.7499999999999999E-2</v>
      </c>
      <c r="AO19" s="53">
        <f t="shared" si="13"/>
        <v>1.0024999999999999</v>
      </c>
      <c r="AP19" s="56" t="e">
        <f t="shared" si="14"/>
        <v>#VALUE!</v>
      </c>
      <c r="AQ19" s="57" t="str">
        <f t="shared" si="15"/>
        <v>-</v>
      </c>
      <c r="AR19" s="51" t="str">
        <f>IF(AQ19="-","-",IF((AQ19/$C$19)&lt;=INDEX('DSCR (Legend)'!$F$3:$H$14,MATCH((AQ19/$C$19),'DSCR (Legend)'!$F$3:$F$14,1),2),INDEX('DSCR (Legend)'!$F$3:$H$14,MATCH((AQ19/$C$19),'DSCR (Legend)'!$F$3:$F$14,1),3),"-"))</f>
        <v>-</v>
      </c>
      <c r="AS19" s="56" t="str">
        <f>IFERROR(IF($C$6="SFR",VLOOKUP(AS$3,'DSCR (LLPA)'!$M:$V,MATCH($AR19,'DSCR (LLPA)'!$M$1:$V$1,0),FALSE),IF($C$6="Multi",VLOOKUP(AS$3,'DSCR (LLPA)'!$X:$AG,MATCH($AR19,'DSCR (LLPA)'!$X$1:$AG$1,0),FALSE),"-")),"-")</f>
        <v>-</v>
      </c>
      <c r="AT19" s="56" t="str">
        <f>IFERROR(IF($C$6="SFR",VLOOKUP(AT$3,'DSCR (LLPA)'!$M:$V,MATCH($AR19,'DSCR (LLPA)'!$M$1:$V$1,0),FALSE),IF($C$6="Multi",VLOOKUP(AT$3,'DSCR (LLPA)'!$X:$AG,MATCH($AR19,'DSCR (LLPA)'!$X$1:$AG$1,0),FALSE),"-")),"-")</f>
        <v>-</v>
      </c>
      <c r="AU19" s="56" t="str">
        <f>IFERROR(IF($C$6="SFR",VLOOKUP(AU$3,'DSCR (LLPA)'!$M:$V,MATCH($AR19,'DSCR (LLPA)'!$M$1:$V$1,0),FALSE),IF($C$6="Multi",VLOOKUP(AU$3,'DSCR (LLPA)'!$X:$AG,MATCH($AR19,'DSCR (LLPA)'!$X$1:$AG$1,0),FALSE),"-")),"-")</f>
        <v>-</v>
      </c>
      <c r="AV19" s="56" t="str">
        <f>IFERROR(IF($C$6="SFR",VLOOKUP(AV$3,'DSCR (LLPA)'!$M:$V,MATCH($AR19,'DSCR (LLPA)'!$M$1:$V$1,0),FALSE),IF($C$6="Multi",VLOOKUP(AV$3,'DSCR (LLPA)'!$X:$AG,MATCH($AR19,'DSCR (LLPA)'!$X$1:$AG$1,0),FALSE),"-")),"-")</f>
        <v>-</v>
      </c>
      <c r="AW19" s="56" t="str">
        <f>IFERROR(IF($C$6="SFR",VLOOKUP(AW$3,'DSCR (LLPA)'!$M:$V,MATCH($AR19,'DSCR (LLPA)'!$M$1:$V$1,0),FALSE),IF($C$6="Multi",VLOOKUP(AW$3,'DSCR (LLPA)'!$X:$AG,MATCH($AR19,'DSCR (LLPA)'!$X$1:$AG$1,0),FALSE),"-")),"-")</f>
        <v>-</v>
      </c>
      <c r="AX19" s="56" t="str">
        <f>IFERROR(IF($C$6="SFR",VLOOKUP(AX$3,'DSCR (LLPA)'!$M:$V,MATCH($AR19,'DSCR (LLPA)'!$M$1:$V$1,0),FALSE),IF($C$6="Multi",VLOOKUP(AX$3,'DSCR (LLPA)'!$X:$AG,MATCH($AR19,'DSCR (LLPA)'!$X$1:$AG$1,0),FALSE),"-")),"-")</f>
        <v>-</v>
      </c>
      <c r="AY19" s="56" t="str">
        <f>IF($AQ19="-","-",IF($AQ19&lt;=INDEX('DSCR (Legend)'!$J$3:$L$17,MATCH($AQ19,'DSCR (Legend)'!$J$3:$J$17,1),2),INDEX('DSCR (Legend)'!$J$3:$L$17,MATCH($AQ19,'DSCR (Legend)'!$J$3:$J$17,1),3),"-"))</f>
        <v>-</v>
      </c>
      <c r="AZ19" s="56" t="str">
        <f>IFERROR(IF($C$6="SFR",VLOOKUP($AY19,'DSCR (LLPA)'!$M:$V,MATCH($AR19,'DSCR (LLPA)'!$M$1:$V$1,0),FALSE),IF($C$6="Multi",VLOOKUP($AY19,'DSCR (LLPA)'!$X:$AG,MATCH($AR19,'DSCR (LLPA)'!$X$1:$AG$1,0),FALSE),"-")),"-")</f>
        <v>-</v>
      </c>
      <c r="BA19" s="56" t="str">
        <f>IFERROR(IF($C$6="SFR",VLOOKUP(BA$3,'DSCR (LLPA)'!$M:$V,MATCH($AR19,'DSCR (LLPA)'!$M$1:$V$1,0),FALSE),IF($C$6="Multi",VLOOKUP(BA$3,'DSCR (LLPA)'!$X:$AG,MATCH($AR19,'DSCR (LLPA)'!$X$1:$AG$1,0),FALSE),"-")),"-")</f>
        <v>-</v>
      </c>
      <c r="BB19" s="67" t="str">
        <f t="shared" si="16"/>
        <v>-</v>
      </c>
      <c r="BC19" s="56" t="str">
        <f>IF($BB19="-","-",IF($C$6="SFR",VLOOKUP($C$10,'DSCR (LLPA)'!$B$36:$K$50,MATCH($AR19,'DSCR (LLPA)'!$B$36:$K$36,0),FALSE),IF($C$6="Multi",VLOOKUP($C$10,'DSCR (LLPA)'!$B$53:$K$67,MATCH($AR19,'DSCR (LLPA)'!$B$53:$K$53,0),FALSE),"-")))</f>
        <v>-</v>
      </c>
      <c r="BD19" s="56" t="str">
        <f t="shared" si="17"/>
        <v>-</v>
      </c>
      <c r="BE19" s="52" t="str">
        <f t="shared" si="18"/>
        <v>-</v>
      </c>
      <c r="BF19" s="214" t="str">
        <f t="shared" si="19"/>
        <v>-</v>
      </c>
      <c r="BG19" s="52" t="str">
        <f t="shared" si="20"/>
        <v>-</v>
      </c>
      <c r="BH19" s="52" t="str">
        <f t="shared" si="21"/>
        <v>-</v>
      </c>
      <c r="BI19" s="52">
        <f t="shared" si="22"/>
        <v>0</v>
      </c>
      <c r="BJ19" s="232" t="str">
        <f t="shared" si="23"/>
        <v>-</v>
      </c>
      <c r="BK19" s="233">
        <f t="shared" si="24"/>
        <v>100.25</v>
      </c>
      <c r="BL19" s="232" t="str">
        <f>IF(BJ19="-","-",IF((BJ19/$C$19)&lt;=INDEX('DSCR (Legend)'!$F$3:$H$14,MATCH((BJ19/$C$19),'DSCR (Legend)'!$F$3:$F$14,1),2),INDEX('DSCR (Legend)'!$F$3:$H$14,MATCH((BJ19/$C$19),'DSCR (Legend)'!$F$3:$F$14,1),3),"-"))</f>
        <v>-</v>
      </c>
      <c r="BM19" s="232" t="b">
        <f t="shared" si="25"/>
        <v>0</v>
      </c>
      <c r="BN19" s="232" t="e">
        <f t="shared" si="26"/>
        <v>#N/A</v>
      </c>
      <c r="BO19" s="232" t="str">
        <f t="shared" si="27"/>
        <v>-</v>
      </c>
      <c r="BP19" s="231" t="str">
        <f t="shared" si="28"/>
        <v>-</v>
      </c>
      <c r="BR19" s="53">
        <v>3.7499999999999999E-2</v>
      </c>
      <c r="BS19" s="53">
        <f t="shared" si="29"/>
        <v>1.0024999999999999</v>
      </c>
      <c r="BT19" s="230" t="str">
        <f t="shared" si="30"/>
        <v>-</v>
      </c>
      <c r="BU19" s="229" t="str">
        <f t="shared" si="31"/>
        <v>-</v>
      </c>
      <c r="BV19" s="216" t="e">
        <f t="shared" si="32"/>
        <v>#VALUE!</v>
      </c>
      <c r="BW19" s="216" t="e">
        <f t="shared" si="33"/>
        <v>#VALUE!</v>
      </c>
      <c r="BX19" s="51" t="e">
        <f t="shared" si="34"/>
        <v>#VALUE!</v>
      </c>
      <c r="BY19" s="215" t="e">
        <f t="shared" si="35"/>
        <v>#VALUE!</v>
      </c>
      <c r="BZ19" s="51" t="e">
        <f t="shared" si="36"/>
        <v>#VALUE!</v>
      </c>
      <c r="CA19" s="52">
        <f t="shared" si="37"/>
        <v>0</v>
      </c>
      <c r="CB19" s="52">
        <f t="shared" si="38"/>
        <v>0</v>
      </c>
      <c r="CC19" s="52">
        <f t="shared" si="39"/>
        <v>0</v>
      </c>
      <c r="CD19" s="52">
        <f t="shared" si="40"/>
        <v>0</v>
      </c>
      <c r="CE19" s="215" t="e">
        <f t="shared" si="41"/>
        <v>#VALUE!</v>
      </c>
      <c r="CF19" s="51" t="e">
        <f t="shared" si="42"/>
        <v>#VALUE!</v>
      </c>
      <c r="CG19" s="52" t="e">
        <f t="shared" si="43"/>
        <v>#VALUE!</v>
      </c>
      <c r="CH19" s="51" t="e">
        <f t="shared" si="44"/>
        <v>#VALUE!</v>
      </c>
      <c r="CI19" s="52" t="e">
        <f t="shared" si="45"/>
        <v>#VALUE!</v>
      </c>
      <c r="CJ19" s="52" t="e">
        <f t="shared" si="46"/>
        <v>#VALUE!</v>
      </c>
      <c r="CK19" s="214" t="e">
        <f t="shared" si="47"/>
        <v>#VALUE!</v>
      </c>
      <c r="CL19" s="214" t="e">
        <f t="shared" si="48"/>
        <v>#VALUE!</v>
      </c>
      <c r="CM19" s="51" t="str">
        <f t="shared" si="49"/>
        <v>-</v>
      </c>
      <c r="CN19" s="52" t="str">
        <f t="shared" si="50"/>
        <v>-</v>
      </c>
      <c r="CO19" s="214" t="str">
        <f t="shared" si="51"/>
        <v>-</v>
      </c>
      <c r="CS19" s="51" t="e">
        <f t="shared" si="55"/>
        <v>#VALUE!</v>
      </c>
      <c r="CT19" s="52" t="e">
        <f t="shared" si="52"/>
        <v>#VALUE!</v>
      </c>
      <c r="CU19" s="51" t="e">
        <f t="shared" si="53"/>
        <v>#VALUE!</v>
      </c>
      <c r="CV19" s="51" t="e">
        <f t="shared" si="54"/>
        <v>#VALUE!</v>
      </c>
    </row>
    <row r="20" spans="2:100" x14ac:dyDescent="0.25">
      <c r="B20" s="51" t="s">
        <v>1646</v>
      </c>
      <c r="C20" s="219">
        <f>'DSCR (Single Asset)'!$C$25</f>
        <v>0</v>
      </c>
      <c r="N20" s="53">
        <v>0.04</v>
      </c>
      <c r="O20" s="53">
        <f t="shared" si="1"/>
        <v>1</v>
      </c>
      <c r="P20" s="56" t="e">
        <f t="shared" si="2"/>
        <v>#VALUE!</v>
      </c>
      <c r="Q20" s="57" t="str">
        <f t="shared" si="3"/>
        <v>-</v>
      </c>
      <c r="R20" s="57" t="str">
        <f t="shared" si="4"/>
        <v>-</v>
      </c>
      <c r="S20" s="57" t="str">
        <f>IF(OR($C$3="Purchase",$C$3="Delayed Purchase",$C$3="Refinance (Cash Out)"),"-",IF($C$3="Refinance (Rate/Term)",'DSCR (Single Asset)'!$C$22*102%,"-"))</f>
        <v>-</v>
      </c>
      <c r="T20" s="57" t="str">
        <f t="shared" si="5"/>
        <v>-</v>
      </c>
      <c r="U20" s="51" t="str">
        <f>IF(T20="-","-",IF(($T20/$C$19)&lt;=INDEX('DSCR (Legend)'!$F$3:$H$14,MATCH(($T20/$C$19),'DSCR (Legend)'!$F$3:$F$14,1),2),INDEX('DSCR (Legend)'!$F$3:$H$14,MATCH(($T20/$C$19),'DSCR (Legend)'!$F$3:$F$14,1),3),"-"))</f>
        <v>-</v>
      </c>
      <c r="V20" s="67" t="str">
        <f>IFERROR(IF($C$6="SFR",VLOOKUP(V$3,'DSCR (LLPA)'!$M:$V,MATCH($U20,'DSCR (LLPA)'!$M$1:$V$1,0),FALSE),IF($C$6="Multi",VLOOKUP(V$3,'DSCR (LLPA)'!$X:$AG,MATCH($U20,'DSCR (LLPA)'!$X$1:$AG$1,0),FALSE),"-")),"-")</f>
        <v>-</v>
      </c>
      <c r="W20" s="67" t="str">
        <f>IFERROR(IF($C$6="SFR",VLOOKUP(W$3,'DSCR (LLPA)'!$M:$V,MATCH($U20,'DSCR (LLPA)'!$M$1:$V$1,0),FALSE),IF($C$6="Multi",VLOOKUP(W$3,'DSCR (LLPA)'!$X:$AG,MATCH($U20,'DSCR (LLPA)'!$X$1:$AG$1,0),FALSE),"-")),"-")</f>
        <v>-</v>
      </c>
      <c r="X20" s="67" t="str">
        <f>IFERROR(IF($C$6="SFR",VLOOKUP(X$3,'DSCR (LLPA)'!$M:$V,MATCH($U20,'DSCR (LLPA)'!$M$1:$V$1,0),FALSE),IF($C$6="Multi",VLOOKUP(X$3,'DSCR (LLPA)'!$X:$AG,MATCH($U20,'DSCR (LLPA)'!$X$1:$AG$1,0),FALSE),"-")),"-")</f>
        <v>-</v>
      </c>
      <c r="Y20" s="67" t="str">
        <f>IFERROR(IF($C$6="SFR",VLOOKUP(Y$3,'DSCR (LLPA)'!$M:$V,MATCH($U20,'DSCR (LLPA)'!$M$1:$V$1,0),FALSE),IF($C$6="Multi",VLOOKUP(Y$3,'DSCR (LLPA)'!$X:$AG,MATCH($U20,'DSCR (LLPA)'!$X$1:$AG$1,0),FALSE),"-")),"-")</f>
        <v>-</v>
      </c>
      <c r="Z20" s="67" t="str">
        <f>IFERROR(IF($C$6="SFR",VLOOKUP(Z$3,'DSCR (LLPA)'!$M:$V,MATCH($U20,'DSCR (LLPA)'!$M$1:$V$1,0),FALSE),IF($C$6="Multi",VLOOKUP(Z$3,'DSCR (LLPA)'!$X:$AG,MATCH($U20,'DSCR (LLPA)'!$X$1:$AG$1,0),FALSE),"-")),"-")</f>
        <v>-</v>
      </c>
      <c r="AA20" s="67" t="str">
        <f>IFERROR(IF($C$6="SFR",VLOOKUP(AA$3,'DSCR (LLPA)'!$M:$V,MATCH($U20,'DSCR (LLPA)'!$M$1:$V$1,0),FALSE),IF($C$6="Multi",VLOOKUP(AA$3,'DSCR (LLPA)'!$X:$AG,MATCH($U20,'DSCR (LLPA)'!$X$1:$AG$1,0),FALSE),"-")),"-")</f>
        <v>-</v>
      </c>
      <c r="AB20" s="67" t="str">
        <f>IF($T20="-","-",IF($T20&lt;=INDEX('DSCR (Legend)'!$J$3:$L$17,MATCH($T20,'DSCR (Legend)'!$J$3:$J$17,1),2),INDEX('DSCR (Legend)'!$J$3:$L$17,MATCH($T20,'DSCR (Legend)'!$J$3:$J$17,1),3),"-"))</f>
        <v>-</v>
      </c>
      <c r="AC20" s="67" t="str">
        <f>IFERROR(IF($C$6="SFR",VLOOKUP($AB20,'DSCR (LLPA)'!$M:$V,MATCH($U20,'DSCR (LLPA)'!$M$1:$V$1,0),FALSE),IF($C$6="Multi",VLOOKUP($AB20,'DSCR (LLPA)'!$X:$AG,MATCH($U20,'DSCR (LLPA)'!$X$1:$AG$1,0),FALSE),"-")),"-")</f>
        <v>-</v>
      </c>
      <c r="AD20" s="67" t="str">
        <f>IFERROR(IF($C$6="SFR",VLOOKUP(AD$3,'DSCR (LLPA)'!$M:$V,MATCH($U20,'DSCR (LLPA)'!$M$1:$V$1,0),FALSE),IF($C$6="Multi",VLOOKUP(AD$3,'DSCR (LLPA)'!$X:$AG,MATCH($U20,'DSCR (LLPA)'!$X$1:$AG$1,0),FALSE),"-")),"-")</f>
        <v>-</v>
      </c>
      <c r="AE20" s="67" t="str">
        <f t="shared" si="6"/>
        <v>-</v>
      </c>
      <c r="AF20" s="56" t="str">
        <f>IF($AE20="-","-",IF($C$6="SFR",VLOOKUP($C$10,'DSCR (LLPA)'!$B$36:$K$50,MATCH($U20,'DSCR (LLPA)'!$B$36:$K$36,0),FALSE),IF($C$6="Multi",VLOOKUP($C$10,'DSCR (LLPA)'!$B$53:$K$67,MATCH($U20,'DSCR (LLPA)'!$B$53:$K$53,0),FALSE),"-")))</f>
        <v>-</v>
      </c>
      <c r="AG20" s="56" t="str">
        <f t="shared" si="7"/>
        <v>-</v>
      </c>
      <c r="AH20" s="52" t="str">
        <f t="shared" si="8"/>
        <v>-</v>
      </c>
      <c r="AI20" s="214" t="str">
        <f t="shared" si="9"/>
        <v>-</v>
      </c>
      <c r="AJ20" s="52" t="str">
        <f t="shared" si="10"/>
        <v>-</v>
      </c>
      <c r="AK20" s="52" t="str">
        <f t="shared" si="11"/>
        <v>-</v>
      </c>
      <c r="AL20" s="52">
        <f t="shared" si="12"/>
        <v>0</v>
      </c>
      <c r="AN20" s="53">
        <v>0.04</v>
      </c>
      <c r="AO20" s="53">
        <f t="shared" si="13"/>
        <v>1</v>
      </c>
      <c r="AP20" s="56" t="e">
        <f t="shared" si="14"/>
        <v>#VALUE!</v>
      </c>
      <c r="AQ20" s="57" t="str">
        <f t="shared" si="15"/>
        <v>-</v>
      </c>
      <c r="AR20" s="51" t="str">
        <f>IF(AQ20="-","-",IF((AQ20/$C$19)&lt;=INDEX('DSCR (Legend)'!$F$3:$H$14,MATCH((AQ20/$C$19),'DSCR (Legend)'!$F$3:$F$14,1),2),INDEX('DSCR (Legend)'!$F$3:$H$14,MATCH((AQ20/$C$19),'DSCR (Legend)'!$F$3:$F$14,1),3),"-"))</f>
        <v>-</v>
      </c>
      <c r="AS20" s="56" t="str">
        <f>IFERROR(IF($C$6="SFR",VLOOKUP(AS$3,'DSCR (LLPA)'!$M:$V,MATCH($AR20,'DSCR (LLPA)'!$M$1:$V$1,0),FALSE),IF($C$6="Multi",VLOOKUP(AS$3,'DSCR (LLPA)'!$X:$AG,MATCH($AR20,'DSCR (LLPA)'!$X$1:$AG$1,0),FALSE),"-")),"-")</f>
        <v>-</v>
      </c>
      <c r="AT20" s="56" t="str">
        <f>IFERROR(IF($C$6="SFR",VLOOKUP(AT$3,'DSCR (LLPA)'!$M:$V,MATCH($AR20,'DSCR (LLPA)'!$M$1:$V$1,0),FALSE),IF($C$6="Multi",VLOOKUP(AT$3,'DSCR (LLPA)'!$X:$AG,MATCH($AR20,'DSCR (LLPA)'!$X$1:$AG$1,0),FALSE),"-")),"-")</f>
        <v>-</v>
      </c>
      <c r="AU20" s="56" t="str">
        <f>IFERROR(IF($C$6="SFR",VLOOKUP(AU$3,'DSCR (LLPA)'!$M:$V,MATCH($AR20,'DSCR (LLPA)'!$M$1:$V$1,0),FALSE),IF($C$6="Multi",VLOOKUP(AU$3,'DSCR (LLPA)'!$X:$AG,MATCH($AR20,'DSCR (LLPA)'!$X$1:$AG$1,0),FALSE),"-")),"-")</f>
        <v>-</v>
      </c>
      <c r="AV20" s="56" t="str">
        <f>IFERROR(IF($C$6="SFR",VLOOKUP(AV$3,'DSCR (LLPA)'!$M:$V,MATCH($AR20,'DSCR (LLPA)'!$M$1:$V$1,0),FALSE),IF($C$6="Multi",VLOOKUP(AV$3,'DSCR (LLPA)'!$X:$AG,MATCH($AR20,'DSCR (LLPA)'!$X$1:$AG$1,0),FALSE),"-")),"-")</f>
        <v>-</v>
      </c>
      <c r="AW20" s="56" t="str">
        <f>IFERROR(IF($C$6="SFR",VLOOKUP(AW$3,'DSCR (LLPA)'!$M:$V,MATCH($AR20,'DSCR (LLPA)'!$M$1:$V$1,0),FALSE),IF($C$6="Multi",VLOOKUP(AW$3,'DSCR (LLPA)'!$X:$AG,MATCH($AR20,'DSCR (LLPA)'!$X$1:$AG$1,0),FALSE),"-")),"-")</f>
        <v>-</v>
      </c>
      <c r="AX20" s="56" t="str">
        <f>IFERROR(IF($C$6="SFR",VLOOKUP(AX$3,'DSCR (LLPA)'!$M:$V,MATCH($AR20,'DSCR (LLPA)'!$M$1:$V$1,0),FALSE),IF($C$6="Multi",VLOOKUP(AX$3,'DSCR (LLPA)'!$X:$AG,MATCH($AR20,'DSCR (LLPA)'!$X$1:$AG$1,0),FALSE),"-")),"-")</f>
        <v>-</v>
      </c>
      <c r="AY20" s="56" t="str">
        <f>IF($AQ20="-","-",IF($AQ20&lt;=INDEX('DSCR (Legend)'!$J$3:$L$17,MATCH($AQ20,'DSCR (Legend)'!$J$3:$J$17,1),2),INDEX('DSCR (Legend)'!$J$3:$L$17,MATCH($AQ20,'DSCR (Legend)'!$J$3:$J$17,1),3),"-"))</f>
        <v>-</v>
      </c>
      <c r="AZ20" s="56" t="str">
        <f>IFERROR(IF($C$6="SFR",VLOOKUP($AY20,'DSCR (LLPA)'!$M:$V,MATCH($AR20,'DSCR (LLPA)'!$M$1:$V$1,0),FALSE),IF($C$6="Multi",VLOOKUP($AY20,'DSCR (LLPA)'!$X:$AG,MATCH($AR20,'DSCR (LLPA)'!$X$1:$AG$1,0),FALSE),"-")),"-")</f>
        <v>-</v>
      </c>
      <c r="BA20" s="56" t="str">
        <f>IFERROR(IF($C$6="SFR",VLOOKUP(BA$3,'DSCR (LLPA)'!$M:$V,MATCH($AR20,'DSCR (LLPA)'!$M$1:$V$1,0),FALSE),IF($C$6="Multi",VLOOKUP(BA$3,'DSCR (LLPA)'!$X:$AG,MATCH($AR20,'DSCR (LLPA)'!$X$1:$AG$1,0),FALSE),"-")),"-")</f>
        <v>-</v>
      </c>
      <c r="BB20" s="67" t="str">
        <f t="shared" si="16"/>
        <v>-</v>
      </c>
      <c r="BC20" s="56" t="str">
        <f>IF($BB20="-","-",IF($C$6="SFR",VLOOKUP($C$10,'DSCR (LLPA)'!$B$36:$K$50,MATCH($AR20,'DSCR (LLPA)'!$B$36:$K$36,0),FALSE),IF($C$6="Multi",VLOOKUP($C$10,'DSCR (LLPA)'!$B$53:$K$67,MATCH($AR20,'DSCR (LLPA)'!$B$53:$K$53,0),FALSE),"-")))</f>
        <v>-</v>
      </c>
      <c r="BD20" s="56" t="str">
        <f t="shared" si="17"/>
        <v>-</v>
      </c>
      <c r="BE20" s="52" t="str">
        <f t="shared" si="18"/>
        <v>-</v>
      </c>
      <c r="BF20" s="214" t="str">
        <f t="shared" si="19"/>
        <v>-</v>
      </c>
      <c r="BG20" s="52" t="str">
        <f t="shared" si="20"/>
        <v>-</v>
      </c>
      <c r="BH20" s="52" t="str">
        <f t="shared" si="21"/>
        <v>-</v>
      </c>
      <c r="BI20" s="52">
        <f t="shared" si="22"/>
        <v>0</v>
      </c>
      <c r="BJ20" s="232" t="str">
        <f t="shared" si="23"/>
        <v>-</v>
      </c>
      <c r="BK20" s="233">
        <f t="shared" si="24"/>
        <v>100</v>
      </c>
      <c r="BL20" s="232" t="str">
        <f>IF(BJ20="-","-",IF((BJ20/$C$19)&lt;=INDEX('DSCR (Legend)'!$F$3:$H$14,MATCH((BJ20/$C$19),'DSCR (Legend)'!$F$3:$F$14,1),2),INDEX('DSCR (Legend)'!$F$3:$H$14,MATCH((BJ20/$C$19),'DSCR (Legend)'!$F$3:$F$14,1),3),"-"))</f>
        <v>-</v>
      </c>
      <c r="BM20" s="232" t="b">
        <f t="shared" si="25"/>
        <v>0</v>
      </c>
      <c r="BN20" s="232" t="e">
        <f t="shared" si="26"/>
        <v>#N/A</v>
      </c>
      <c r="BO20" s="232" t="str">
        <f t="shared" si="27"/>
        <v>-</v>
      </c>
      <c r="BP20" s="231" t="str">
        <f t="shared" si="28"/>
        <v>-</v>
      </c>
      <c r="BR20" s="53">
        <v>0.04</v>
      </c>
      <c r="BS20" s="53">
        <f t="shared" si="29"/>
        <v>1</v>
      </c>
      <c r="BT20" s="230" t="str">
        <f t="shared" si="30"/>
        <v>-</v>
      </c>
      <c r="BU20" s="229" t="str">
        <f t="shared" si="31"/>
        <v>-</v>
      </c>
      <c r="BV20" s="216" t="e">
        <f t="shared" si="32"/>
        <v>#VALUE!</v>
      </c>
      <c r="BW20" s="216" t="e">
        <f t="shared" si="33"/>
        <v>#VALUE!</v>
      </c>
      <c r="BX20" s="51" t="e">
        <f t="shared" si="34"/>
        <v>#VALUE!</v>
      </c>
      <c r="BY20" s="215" t="e">
        <f t="shared" si="35"/>
        <v>#VALUE!</v>
      </c>
      <c r="BZ20" s="51" t="e">
        <f t="shared" si="36"/>
        <v>#VALUE!</v>
      </c>
      <c r="CA20" s="52">
        <f t="shared" si="37"/>
        <v>0</v>
      </c>
      <c r="CB20" s="52">
        <f t="shared" si="38"/>
        <v>0</v>
      </c>
      <c r="CC20" s="52">
        <f t="shared" si="39"/>
        <v>0</v>
      </c>
      <c r="CD20" s="52">
        <f t="shared" si="40"/>
        <v>0</v>
      </c>
      <c r="CE20" s="215" t="e">
        <f t="shared" si="41"/>
        <v>#VALUE!</v>
      </c>
      <c r="CF20" s="51" t="e">
        <f t="shared" si="42"/>
        <v>#VALUE!</v>
      </c>
      <c r="CG20" s="52" t="e">
        <f t="shared" si="43"/>
        <v>#VALUE!</v>
      </c>
      <c r="CH20" s="51" t="e">
        <f t="shared" si="44"/>
        <v>#VALUE!</v>
      </c>
      <c r="CI20" s="52" t="e">
        <f t="shared" si="45"/>
        <v>#VALUE!</v>
      </c>
      <c r="CJ20" s="52" t="e">
        <f t="shared" si="46"/>
        <v>#VALUE!</v>
      </c>
      <c r="CK20" s="214" t="e">
        <f t="shared" si="47"/>
        <v>#VALUE!</v>
      </c>
      <c r="CL20" s="214" t="e">
        <f t="shared" si="48"/>
        <v>#VALUE!</v>
      </c>
      <c r="CM20" s="51" t="str">
        <f t="shared" si="49"/>
        <v>-</v>
      </c>
      <c r="CN20" s="52" t="str">
        <f t="shared" si="50"/>
        <v>-</v>
      </c>
      <c r="CO20" s="214" t="str">
        <f t="shared" si="51"/>
        <v>-</v>
      </c>
      <c r="CS20" s="51" t="e">
        <f t="shared" si="55"/>
        <v>#VALUE!</v>
      </c>
      <c r="CT20" s="52" t="e">
        <f t="shared" si="52"/>
        <v>#VALUE!</v>
      </c>
      <c r="CU20" s="51" t="e">
        <f t="shared" si="53"/>
        <v>#VALUE!</v>
      </c>
      <c r="CV20" s="51" t="e">
        <f t="shared" si="54"/>
        <v>#VALUE!</v>
      </c>
    </row>
    <row r="21" spans="2:100" x14ac:dyDescent="0.25">
      <c r="B21" s="51" t="s">
        <v>1578</v>
      </c>
      <c r="C21" s="219">
        <f>'DSCR (Single Asset)'!$C$26</f>
        <v>0</v>
      </c>
      <c r="D21" s="794" t="s">
        <v>1798</v>
      </c>
      <c r="E21" s="794"/>
      <c r="F21" s="794"/>
      <c r="G21" s="794"/>
      <c r="H21" s="794"/>
      <c r="I21" s="794"/>
      <c r="J21" s="794"/>
      <c r="K21" s="794" t="s">
        <v>1797</v>
      </c>
      <c r="L21" s="794"/>
      <c r="N21" s="53"/>
      <c r="S21" s="57"/>
    </row>
    <row r="22" spans="2:100" x14ac:dyDescent="0.25">
      <c r="B22" s="51" t="s">
        <v>1573</v>
      </c>
      <c r="C22" s="219">
        <f>$C$20+$C$21</f>
        <v>0</v>
      </c>
      <c r="D22" s="195" t="s">
        <v>1698</v>
      </c>
      <c r="E22" s="195" t="s">
        <v>1697</v>
      </c>
      <c r="F22" s="195" t="s">
        <v>1696</v>
      </c>
      <c r="G22" s="195" t="s">
        <v>1695</v>
      </c>
      <c r="H22" s="195" t="s">
        <v>1694</v>
      </c>
      <c r="I22" s="195" t="s">
        <v>1693</v>
      </c>
      <c r="J22" s="195" t="s">
        <v>1692</v>
      </c>
      <c r="N22" s="214">
        <f>$A$66</f>
        <v>0</v>
      </c>
      <c r="O22" s="206">
        <f>$B$66</f>
        <v>104</v>
      </c>
      <c r="P22" s="228" t="e">
        <f>$C$66/100</f>
        <v>#VALUE!</v>
      </c>
      <c r="AN22" s="214"/>
      <c r="AO22" s="206"/>
      <c r="AP22" s="58"/>
    </row>
    <row r="23" spans="2:100" x14ac:dyDescent="0.25">
      <c r="D23" s="193" t="str">
        <f>'DSCR (Legend)'!D4</f>
        <v>&lt; 575</v>
      </c>
      <c r="E23" s="193" t="s">
        <v>2</v>
      </c>
      <c r="F23" s="193" t="s">
        <v>2</v>
      </c>
      <c r="G23" s="193" t="s">
        <v>2</v>
      </c>
      <c r="H23" s="193" t="s">
        <v>2</v>
      </c>
      <c r="I23" s="193" t="s">
        <v>2</v>
      </c>
      <c r="J23" s="193" t="s">
        <v>2</v>
      </c>
      <c r="K23" s="51" t="s">
        <v>1796</v>
      </c>
      <c r="L23" s="226" t="str">
        <f>IF('DSCR (Single Asset)'!$E$24="Quote",'DSCR (Single Asset)'!$F$25/12,IF('DSCR (Single Asset)'!$E$24="Appraisal/Lock",'DSCR (Single Asset)'!$H$25/12,"-"))</f>
        <v>-</v>
      </c>
      <c r="N23" s="51" t="s">
        <v>161</v>
      </c>
      <c r="O23" s="51" t="s">
        <v>1778</v>
      </c>
      <c r="P23" s="51" t="s">
        <v>1795</v>
      </c>
      <c r="Q23" s="51" t="s">
        <v>1794</v>
      </c>
      <c r="R23" s="51" t="s">
        <v>1793</v>
      </c>
      <c r="S23" s="51">
        <f>$C$5</f>
        <v>0</v>
      </c>
      <c r="T23" s="51">
        <f>$C$3</f>
        <v>0</v>
      </c>
      <c r="U23" s="51">
        <f>$C$12</f>
        <v>0</v>
      </c>
      <c r="V23" s="51">
        <f>$C$13</f>
        <v>0</v>
      </c>
      <c r="W23" s="51">
        <f>$C$14</f>
        <v>0</v>
      </c>
      <c r="X23" s="51">
        <f>'DSCR (Single Asset)'!$C$30</f>
        <v>0</v>
      </c>
      <c r="Y23" s="51" t="s">
        <v>1735</v>
      </c>
      <c r="Z23" s="51" t="s">
        <v>1733</v>
      </c>
      <c r="AA23" s="51">
        <f>'DSCR (Single Asset)'!$C$18</f>
        <v>0</v>
      </c>
      <c r="AB23" s="51" t="s">
        <v>1792</v>
      </c>
      <c r="AC23" s="51" t="s">
        <v>1731</v>
      </c>
      <c r="AD23" s="51" t="s">
        <v>1791</v>
      </c>
      <c r="AE23" s="51" t="s">
        <v>1760</v>
      </c>
      <c r="AF23" s="51" t="s">
        <v>1700</v>
      </c>
      <c r="AG23" s="51" t="s">
        <v>1790</v>
      </c>
      <c r="AH23" s="51" t="s">
        <v>1789</v>
      </c>
      <c r="AI23" s="51" t="s">
        <v>1788</v>
      </c>
    </row>
    <row r="24" spans="2:100" x14ac:dyDescent="0.25">
      <c r="B24" s="51" t="s">
        <v>80</v>
      </c>
      <c r="C24" s="222">
        <f>'DSCR (Single Asset)'!$C$19</f>
        <v>0</v>
      </c>
      <c r="D24" s="193" t="str">
        <f>'DSCR (Legend)'!D5</f>
        <v>575+</v>
      </c>
      <c r="E24" s="193" t="s">
        <v>2</v>
      </c>
      <c r="F24" s="193" t="s">
        <v>2</v>
      </c>
      <c r="G24" s="193" t="s">
        <v>2</v>
      </c>
      <c r="H24" s="193" t="s">
        <v>2</v>
      </c>
      <c r="I24" s="193" t="s">
        <v>2</v>
      </c>
      <c r="J24" s="193" t="s">
        <v>2</v>
      </c>
      <c r="K24" s="51" t="s">
        <v>1787</v>
      </c>
      <c r="L24" s="226" t="str">
        <f>IF('DSCR (Single Asset)'!$E$24="Quote",'DSCR (Single Asset)'!$F$27/12,IF('DSCR (Single Asset)'!$E$24="Appraisal/Lock",'DSCR (Single Asset)'!$H$27/12,"-"))</f>
        <v>-</v>
      </c>
      <c r="N24" s="53">
        <v>0</v>
      </c>
      <c r="O24" s="53">
        <f t="shared" ref="O24:O40" si="56">($O$22/100)-N24</f>
        <v>1.04</v>
      </c>
      <c r="P24" s="56" t="e">
        <f t="shared" ref="P24:P40" si="57">((O24-$P$2)/$N$2)</f>
        <v>#VALUE!</v>
      </c>
      <c r="Q24" s="57" t="str">
        <f t="shared" ref="Q24:Q40" si="58">IF(OR($T4="-",$AL4="-"),"-",MIN($T4,$AL4))</f>
        <v>-</v>
      </c>
      <c r="R24" s="51" t="str">
        <f>IF($Q24="-","-",IF(($Q24/$C$19)&lt;=INDEX('DSCR (Legend)'!$F$3:$H$14,MATCH(($Q24/$C$19),'DSCR (Legend)'!$F$3:$F$14,1),2),INDEX('DSCR (Legend)'!$F$3:$H$14,MATCH(($Q24/$C$19),'DSCR (Legend)'!$F$3:$F$14,1),3),"-"))</f>
        <v>-</v>
      </c>
      <c r="S24" s="56" t="str">
        <f>IFERROR(IF($C$6="SFR",VLOOKUP(S$23,'DSCR (LLPA)'!$M:$V,MATCH($R24,'DSCR (LLPA)'!$M$1:$V$1,0),FALSE),IF($C$6="Multi",VLOOKUP(S$23,'DSCR (LLPA)'!$X:$AG,MATCH($R24,'DSCR (LLPA)'!$X$1:$AG$1,0),FALSE),"-")),"-")</f>
        <v>-</v>
      </c>
      <c r="T24" s="56" t="str">
        <f>IFERROR(IF($C$6="SFR",VLOOKUP(T$23,'DSCR (LLPA)'!$M:$V,MATCH($R24,'DSCR (LLPA)'!$M$1:$V$1,0),FALSE),IF($C$6="Multi",VLOOKUP(T$23,'DSCR (LLPA)'!$X:$AG,MATCH($R24,'DSCR (LLPA)'!$X$1:$AG$1,0),FALSE),"-")),"-")</f>
        <v>-</v>
      </c>
      <c r="U24" s="56" t="str">
        <f>IFERROR(IF($C$6="SFR",VLOOKUP(U$23,'DSCR (LLPA)'!$M:$V,MATCH($R24,'DSCR (LLPA)'!$M$1:$V$1,0),FALSE),IF($C$6="Multi",VLOOKUP(U$23,'DSCR (LLPA)'!$X:$AG,MATCH($R24,'DSCR (LLPA)'!$X$1:$AG$1,0),FALSE),"-")),"-")</f>
        <v>-</v>
      </c>
      <c r="V24" s="56" t="str">
        <f>IFERROR(IF($C$6="SFR",VLOOKUP(V$23,'DSCR (LLPA)'!$M:$V,MATCH($R24,'DSCR (LLPA)'!$M$1:$V$1,0),FALSE),IF($C$6="Multi",VLOOKUP(V$23,'DSCR (LLPA)'!$X:$AG,MATCH($R24,'DSCR (LLPA)'!$X$1:$AG$1,0),FALSE),"-")),"-")</f>
        <v>-</v>
      </c>
      <c r="W24" s="56" t="str">
        <f>IFERROR(IF($C$6="SFR",VLOOKUP(W$23,'DSCR (LLPA)'!$M:$V,MATCH($R24,'DSCR (LLPA)'!$M$1:$V$1,0),FALSE),IF($C$6="Multi",VLOOKUP(W$23,'DSCR (LLPA)'!$X:$AG,MATCH($R24,'DSCR (LLPA)'!$X$1:$AG$1,0),FALSE),"-")),"-")</f>
        <v>-</v>
      </c>
      <c r="X24" s="56" t="str">
        <f>IFERROR(IF($C$6="SFR",VLOOKUP(X$23,'DSCR (LLPA)'!$M:$V,MATCH($R24,'DSCR (LLPA)'!$M$1:$V$1,0),FALSE),IF($C$6="Multi",VLOOKUP(X$23,'DSCR (LLPA)'!$X:$AG,MATCH($R24,'DSCR (LLPA)'!$X$1:$AG$1,0),FALSE),"-")),"-")</f>
        <v>-</v>
      </c>
      <c r="Y24" s="67" t="str">
        <f>IF($Q24="-","-",IF($Q24&lt;=INDEX('DSCR (Legend)'!$J$3:$L$17,MATCH($Q24,'DSCR (Legend)'!$J$3:$J$17,1),2),INDEX('DSCR (Legend)'!$J$3:$L$17,MATCH($Q24,'DSCR (Legend)'!$J$3:$J$17,1),3),"-"))</f>
        <v>-</v>
      </c>
      <c r="Z24" s="67" t="str">
        <f>IFERROR(IF($C$6="SFR",VLOOKUP($Y24,'DSCR (LLPA)'!$M:$V,MATCH($R24,'DSCR (LLPA)'!$M$1:$V$1,0),FALSE),IF($C$6="Multi",VLOOKUP($Y24,'DSCR (LLPA)'!$X:$AG,MATCH($R24,'DSCR (LLPA)'!$X$1:$AG$1,0),FALSE),"-")),"-")</f>
        <v>-</v>
      </c>
      <c r="AA24" s="56" t="str">
        <f>IFERROR(IF($C$6="SFR",VLOOKUP(AA$23,'DSCR (LLPA)'!$M:$V,MATCH($R24,'DSCR (LLPA)'!$M$1:$V$1,0),FALSE),IF($C$6="Multi",VLOOKUP(AA$23,'DSCR (LLPA)'!$X:$AG,MATCH($R24,'DSCR (LLPA)'!$X$1:$AG$1,0),FALSE),"-")),"-")</f>
        <v>-</v>
      </c>
      <c r="AB24" s="67" t="str">
        <f t="shared" ref="AB24:AB40" si="59">IF(OR(S24="-",T24="-",U24="-",V24="-",W24="-",X24="-",Z24="-",AA24="-"),"-",SUM(S24:X24,Z24:AA24))</f>
        <v>-</v>
      </c>
      <c r="AC24" s="56" t="str">
        <f>IF($AB24="-","-",IF($C$6="SFR",VLOOKUP($C$10,'DSCR (LLPA)'!$B$36:$K$50,MATCH($R24,'DSCR (LLPA)'!$B$36:$K$36,0),FALSE),IF($C$6="Multi",VLOOKUP($C$10,'DSCR (LLPA)'!$B$53:$K$67,MATCH($R24,'DSCR (LLPA)'!$B$53:$K$53,0),FALSE),"-")))</f>
        <v>-</v>
      </c>
      <c r="AD24" s="56" t="str">
        <f t="shared" ref="AD24:AD40" si="60">IF(OR(AB24="-",AC24="-"),"-",MAX((AC24+AB24+P24),$C$90))</f>
        <v>-</v>
      </c>
      <c r="AE24" s="52" t="str">
        <f t="shared" ref="AE24:AE40" si="61">IF($C$6="SFR",$L$12,IF($C$6="Multi",$L$31,"-"))</f>
        <v>-</v>
      </c>
      <c r="AF24" s="214" t="str">
        <f t="shared" ref="AF24:AF40" si="62">IF($C$6="SFR",$L$11,IF($C$6="Multi",$L$30,"-"))</f>
        <v>-</v>
      </c>
      <c r="AG24" s="52" t="str">
        <f t="shared" ref="AG24:AG40" si="63">IF($C$6="SFR",$L$4,IF($C$6="Multi",$L$23,"-"))</f>
        <v>-</v>
      </c>
      <c r="AH24" s="52" t="str">
        <f t="shared" ref="AH24:AH40" si="64">IF($C$6="SFR",SUM($L$5:$L$8),IF($C$6="Multi",SUM($L$24:$L$27),"-"))</f>
        <v>-</v>
      </c>
      <c r="AI24" s="52">
        <f t="shared" ref="AI24:AI40" si="65">IF($C$6="SFR",ROUNDDOWN(IF($C$14="No IO",PV(AD24/12,$C$17,-AE24),(AG24/(AF24*(AD24/12))-(AH24/(AD24/12)))),0),IF($C$6="Multi",ROUNDDOWN(IF($C$14="No IO",PV(AD24/12,$C$17,-AE24),(AE24/(AD24/12))),0),))</f>
        <v>0</v>
      </c>
      <c r="AN24" s="53"/>
      <c r="AO24" s="53"/>
      <c r="AP24" s="56"/>
      <c r="AQ24" s="57"/>
      <c r="AS24" s="56"/>
      <c r="AT24" s="56"/>
      <c r="AU24" s="56"/>
      <c r="AV24" s="56"/>
      <c r="AW24" s="56"/>
      <c r="AX24" s="56"/>
      <c r="AY24" s="67"/>
      <c r="AZ24" s="67"/>
      <c r="BA24" s="56"/>
      <c r="BB24" s="67"/>
      <c r="BC24" s="56"/>
      <c r="BD24" s="56"/>
      <c r="BE24" s="52"/>
      <c r="BF24" s="214"/>
      <c r="BG24" s="52"/>
      <c r="BH24" s="52"/>
      <c r="BI24" s="52"/>
      <c r="BJ24" s="52"/>
      <c r="BK24" s="52"/>
      <c r="BL24" s="52"/>
      <c r="BM24" s="52"/>
      <c r="BN24" s="52"/>
      <c r="BO24" s="52"/>
      <c r="BP24" s="52"/>
      <c r="BR24" s="803" t="str">
        <f>'DSCR (Single Asset)'!$K$4</f>
        <v>Max Proceeds</v>
      </c>
      <c r="BS24" s="803"/>
      <c r="BT24" s="206">
        <f>$B$66</f>
        <v>104</v>
      </c>
      <c r="BY24" s="639" t="s">
        <v>1786</v>
      </c>
      <c r="BZ24" s="639"/>
      <c r="CA24" s="639" t="s">
        <v>1785</v>
      </c>
      <c r="CB24" s="639"/>
      <c r="CC24" s="639" t="s">
        <v>1784</v>
      </c>
      <c r="CD24" s="639"/>
      <c r="CE24" s="639" t="s">
        <v>1783</v>
      </c>
      <c r="CF24" s="639"/>
      <c r="CG24" s="639"/>
      <c r="CH24" s="639"/>
      <c r="CI24" s="51" t="s">
        <v>1782</v>
      </c>
      <c r="CK24" s="639" t="s">
        <v>1700</v>
      </c>
      <c r="CL24" s="639"/>
      <c r="CM24" s="639" t="s">
        <v>1781</v>
      </c>
      <c r="CN24" s="639" t="s">
        <v>1780</v>
      </c>
      <c r="CO24" s="639" t="s">
        <v>1700</v>
      </c>
    </row>
    <row r="25" spans="2:100" x14ac:dyDescent="0.25">
      <c r="B25" s="51" t="s">
        <v>78</v>
      </c>
      <c r="C25" s="222" t="str">
        <f>'DSCR (Single Asset)'!$C$20</f>
        <v>-</v>
      </c>
      <c r="D25" s="193" t="str">
        <f>'DSCR (Legend)'!D6</f>
        <v>600+</v>
      </c>
      <c r="E25" s="193" t="s">
        <v>2</v>
      </c>
      <c r="F25" s="193" t="s">
        <v>2</v>
      </c>
      <c r="G25" s="193" t="s">
        <v>2</v>
      </c>
      <c r="H25" s="193" t="s">
        <v>2</v>
      </c>
      <c r="I25" s="193" t="s">
        <v>2</v>
      </c>
      <c r="J25" s="193" t="s">
        <v>2</v>
      </c>
      <c r="K25" s="51" t="s">
        <v>1779</v>
      </c>
      <c r="L25" s="226" t="str">
        <f>IF('DSCR (Single Asset)'!$E$24="Quote",'DSCR (Single Asset)'!$F$28/12,IF('DSCR (Single Asset)'!$E$24="Appraisal/Lock",'DSCR (Single Asset)'!$H$28/12,"-"))</f>
        <v>-</v>
      </c>
      <c r="N25" s="53">
        <v>2.5000000000000001E-3</v>
      </c>
      <c r="O25" s="53">
        <f t="shared" si="56"/>
        <v>1.0375000000000001</v>
      </c>
      <c r="P25" s="56" t="e">
        <f t="shared" si="57"/>
        <v>#VALUE!</v>
      </c>
      <c r="Q25" s="57" t="str">
        <f t="shared" si="58"/>
        <v>-</v>
      </c>
      <c r="R25" s="51" t="str">
        <f>IF($Q25="-","-",IF(($Q25/$C$19)&lt;=INDEX('DSCR (Legend)'!$F$3:$H$14,MATCH(($Q25/$C$19),'DSCR (Legend)'!$F$3:$F$14,1),2),INDEX('DSCR (Legend)'!$F$3:$H$14,MATCH(($Q25/$C$19),'DSCR (Legend)'!$F$3:$F$14,1),3),"-"))</f>
        <v>-</v>
      </c>
      <c r="S25" s="56" t="str">
        <f>IFERROR(IF($C$6="SFR",VLOOKUP(S$23,'DSCR (LLPA)'!$M:$V,MATCH($R25,'DSCR (LLPA)'!$M$1:$V$1,0),FALSE),IF($C$6="Multi",VLOOKUP(S$23,'DSCR (LLPA)'!$X:$AG,MATCH($R25,'DSCR (LLPA)'!$X$1:$AG$1,0),FALSE),"-")),"-")</f>
        <v>-</v>
      </c>
      <c r="T25" s="56" t="str">
        <f>IFERROR(IF($C$6="SFR",VLOOKUP(T$23,'DSCR (LLPA)'!$M:$V,MATCH($R25,'DSCR (LLPA)'!$M$1:$V$1,0),FALSE),IF($C$6="Multi",VLOOKUP(T$23,'DSCR (LLPA)'!$X:$AG,MATCH($R25,'DSCR (LLPA)'!$X$1:$AG$1,0),FALSE),"-")),"-")</f>
        <v>-</v>
      </c>
      <c r="U25" s="56" t="str">
        <f>IFERROR(IF($C$6="SFR",VLOOKUP(U$23,'DSCR (LLPA)'!$M:$V,MATCH($R25,'DSCR (LLPA)'!$M$1:$V$1,0),FALSE),IF($C$6="Multi",VLOOKUP(U$23,'DSCR (LLPA)'!$X:$AG,MATCH($R25,'DSCR (LLPA)'!$X$1:$AG$1,0),FALSE),"-")),"-")</f>
        <v>-</v>
      </c>
      <c r="V25" s="56" t="str">
        <f>IFERROR(IF($C$6="SFR",VLOOKUP(V$23,'DSCR (LLPA)'!$M:$V,MATCH($R25,'DSCR (LLPA)'!$M$1:$V$1,0),FALSE),IF($C$6="Multi",VLOOKUP(V$23,'DSCR (LLPA)'!$X:$AG,MATCH($R25,'DSCR (LLPA)'!$X$1:$AG$1,0),FALSE),"-")),"-")</f>
        <v>-</v>
      </c>
      <c r="W25" s="56" t="str">
        <f>IFERROR(IF($C$6="SFR",VLOOKUP(W$23,'DSCR (LLPA)'!$M:$V,MATCH($R25,'DSCR (LLPA)'!$M$1:$V$1,0),FALSE),IF($C$6="Multi",VLOOKUP(W$23,'DSCR (LLPA)'!$X:$AG,MATCH($R25,'DSCR (LLPA)'!$X$1:$AG$1,0),FALSE),"-")),"-")</f>
        <v>-</v>
      </c>
      <c r="X25" s="56" t="str">
        <f>IFERROR(IF($C$6="SFR",VLOOKUP(X$23,'DSCR (LLPA)'!$M:$V,MATCH($R25,'DSCR (LLPA)'!$M$1:$V$1,0),FALSE),IF($C$6="Multi",VLOOKUP(X$23,'DSCR (LLPA)'!$X:$AG,MATCH($R25,'DSCR (LLPA)'!$X$1:$AG$1,0),FALSE),"-")),"-")</f>
        <v>-</v>
      </c>
      <c r="Y25" s="67" t="str">
        <f>IF($Q25="-","-",IF($Q25&lt;=INDEX('DSCR (Legend)'!$J$3:$L$17,MATCH($Q25,'DSCR (Legend)'!$J$3:$J$17,1),2),INDEX('DSCR (Legend)'!$J$3:$L$17,MATCH($Q25,'DSCR (Legend)'!$J$3:$J$17,1),3),"-"))</f>
        <v>-</v>
      </c>
      <c r="Z25" s="67" t="str">
        <f>IFERROR(IF($C$6="SFR",VLOOKUP($Y25,'DSCR (LLPA)'!$M:$V,MATCH($R25,'DSCR (LLPA)'!$M$1:$V$1,0),FALSE),IF($C$6="Multi",VLOOKUP($Y25,'DSCR (LLPA)'!$X:$AG,MATCH($R25,'DSCR (LLPA)'!$X$1:$AG$1,0),FALSE),"-")),"-")</f>
        <v>-</v>
      </c>
      <c r="AA25" s="56" t="str">
        <f>IFERROR(IF($C$6="SFR",VLOOKUP(AA$23,'DSCR (LLPA)'!$M:$V,MATCH($R25,'DSCR (LLPA)'!$M$1:$V$1,0),FALSE),IF($C$6="Multi",VLOOKUP(AA$23,'DSCR (LLPA)'!$X:$AG,MATCH($R25,'DSCR (LLPA)'!$X$1:$AG$1,0),FALSE),"-")),"-")</f>
        <v>-</v>
      </c>
      <c r="AB25" s="67" t="str">
        <f t="shared" si="59"/>
        <v>-</v>
      </c>
      <c r="AC25" s="56" t="str">
        <f>IF($AB25="-","-",IF($C$6="SFR",VLOOKUP($C$10,'DSCR (LLPA)'!$B$36:$K$50,MATCH($R25,'DSCR (LLPA)'!$B$36:$K$36,0),FALSE),IF($C$6="Multi",VLOOKUP($C$10,'DSCR (LLPA)'!$B$53:$K$67,MATCH($R25,'DSCR (LLPA)'!$B$53:$K$53,0),FALSE),"-")))</f>
        <v>-</v>
      </c>
      <c r="AD25" s="56" t="str">
        <f t="shared" si="60"/>
        <v>-</v>
      </c>
      <c r="AE25" s="52" t="str">
        <f t="shared" si="61"/>
        <v>-</v>
      </c>
      <c r="AF25" s="214" t="str">
        <f t="shared" si="62"/>
        <v>-</v>
      </c>
      <c r="AG25" s="52" t="str">
        <f t="shared" si="63"/>
        <v>-</v>
      </c>
      <c r="AH25" s="52" t="str">
        <f t="shared" si="64"/>
        <v>-</v>
      </c>
      <c r="AI25" s="52">
        <f t="shared" si="65"/>
        <v>0</v>
      </c>
      <c r="AN25" s="53"/>
      <c r="AO25" s="53"/>
      <c r="AP25" s="56"/>
      <c r="AQ25" s="57"/>
      <c r="AS25" s="56"/>
      <c r="AT25" s="56"/>
      <c r="AU25" s="56"/>
      <c r="AV25" s="56"/>
      <c r="AW25" s="56"/>
      <c r="AX25" s="56"/>
      <c r="AY25" s="67"/>
      <c r="AZ25" s="67"/>
      <c r="BA25" s="56"/>
      <c r="BB25" s="67"/>
      <c r="BC25" s="56"/>
      <c r="BD25" s="56"/>
      <c r="BE25" s="52"/>
      <c r="BF25" s="225" t="s">
        <v>1640</v>
      </c>
      <c r="BG25" s="52" t="s">
        <v>1756</v>
      </c>
      <c r="BH25" s="224" t="e">
        <f t="shared" ref="BH25:BH31" si="66">VLOOKUP($B$49,$B$42:$X$64,MATCH($BG25,$B$42:$X$42,0),FALSE)</f>
        <v>#VALUE!</v>
      </c>
      <c r="BI25" s="52"/>
      <c r="BJ25" s="52"/>
      <c r="BK25" s="52"/>
      <c r="BL25" s="52"/>
      <c r="BM25" s="52"/>
      <c r="BN25" s="52"/>
      <c r="BO25" s="52"/>
      <c r="BP25" s="52"/>
      <c r="BR25" s="51" t="s">
        <v>161</v>
      </c>
      <c r="BS25" s="51" t="s">
        <v>1778</v>
      </c>
      <c r="BT25" s="51" t="str">
        <f>_xlfn.CONCAT(BR24," ","Loan")</f>
        <v>Max Proceeds Loan</v>
      </c>
      <c r="BU25" s="51" t="str">
        <f>_xlfn.CONCAT(BR24," ","Rate")</f>
        <v>Max Proceeds Rate</v>
      </c>
      <c r="BV25" s="51" t="s">
        <v>156</v>
      </c>
      <c r="BW25" s="51" t="s">
        <v>155</v>
      </c>
      <c r="BX25" s="51" t="s">
        <v>1777</v>
      </c>
      <c r="BY25" s="51" t="s">
        <v>1776</v>
      </c>
      <c r="BZ25" s="51" t="s">
        <v>1736</v>
      </c>
      <c r="CA25" s="51" t="s">
        <v>1771</v>
      </c>
      <c r="CB25" s="51" t="s">
        <v>1770</v>
      </c>
      <c r="CC25" s="51" t="s">
        <v>1771</v>
      </c>
      <c r="CD25" s="51" t="s">
        <v>1770</v>
      </c>
      <c r="CE25" s="51" t="s">
        <v>1775</v>
      </c>
      <c r="CF25" s="51" t="s">
        <v>1774</v>
      </c>
      <c r="CG25" s="51" t="s">
        <v>1773</v>
      </c>
      <c r="CH25" s="51" t="s">
        <v>1772</v>
      </c>
      <c r="CI25" s="51" t="s">
        <v>1771</v>
      </c>
      <c r="CJ25" s="51" t="s">
        <v>1770</v>
      </c>
      <c r="CK25" s="51" t="s">
        <v>1771</v>
      </c>
      <c r="CL25" s="51" t="s">
        <v>1770</v>
      </c>
      <c r="CM25" s="639"/>
      <c r="CN25" s="639"/>
      <c r="CO25" s="639"/>
      <c r="CR25" s="51" t="s">
        <v>1769</v>
      </c>
      <c r="CS25" s="51" t="s">
        <v>1768</v>
      </c>
      <c r="CT25" s="51" t="s">
        <v>161</v>
      </c>
      <c r="CU25" s="51" t="s">
        <v>140</v>
      </c>
      <c r="CV25" s="51" t="s">
        <v>1767</v>
      </c>
    </row>
    <row r="26" spans="2:100" x14ac:dyDescent="0.25">
      <c r="B26" s="51" t="s">
        <v>1766</v>
      </c>
      <c r="D26" s="193" t="str">
        <f>'DSCR (Legend)'!D7</f>
        <v>620+</v>
      </c>
      <c r="E26" s="192" t="s">
        <v>2</v>
      </c>
      <c r="F26" s="192" t="s">
        <v>2</v>
      </c>
      <c r="G26" s="192" t="s">
        <v>2</v>
      </c>
      <c r="H26" s="192" t="s">
        <v>2</v>
      </c>
      <c r="I26" s="192" t="s">
        <v>2</v>
      </c>
      <c r="J26" s="192" t="s">
        <v>2</v>
      </c>
      <c r="K26" s="51" t="s">
        <v>1765</v>
      </c>
      <c r="L26" s="226" t="str">
        <f>IF('DSCR (Single Asset)'!$E$24="Quote",'DSCR (Single Asset)'!$F$26/12,IF('DSCR (Single Asset)'!$E$24="Appraisal/Lock",'DSCR (Single Asset)'!$H$26/12,"-"))</f>
        <v>-</v>
      </c>
      <c r="N26" s="53">
        <v>5.0000000000000001E-3</v>
      </c>
      <c r="O26" s="53">
        <f t="shared" si="56"/>
        <v>1.0350000000000001</v>
      </c>
      <c r="P26" s="56" t="e">
        <f t="shared" si="57"/>
        <v>#VALUE!</v>
      </c>
      <c r="Q26" s="57" t="str">
        <f t="shared" si="58"/>
        <v>-</v>
      </c>
      <c r="R26" s="51" t="str">
        <f>IF($Q26="-","-",IF(($Q26/$C$19)&lt;=INDEX('DSCR (Legend)'!$F$3:$H$14,MATCH(($Q26/$C$19),'DSCR (Legend)'!$F$3:$F$14,1),2),INDEX('DSCR (Legend)'!$F$3:$H$14,MATCH(($Q26/$C$19),'DSCR (Legend)'!$F$3:$F$14,1),3),"-"))</f>
        <v>-</v>
      </c>
      <c r="S26" s="56" t="str">
        <f>IFERROR(IF($C$6="SFR",VLOOKUP(S$23,'DSCR (LLPA)'!$M:$V,MATCH($R26,'DSCR (LLPA)'!$M$1:$V$1,0),FALSE),IF($C$6="Multi",VLOOKUP(S$23,'DSCR (LLPA)'!$X:$AG,MATCH($R26,'DSCR (LLPA)'!$X$1:$AG$1,0),FALSE),"-")),"-")</f>
        <v>-</v>
      </c>
      <c r="T26" s="56" t="str">
        <f>IFERROR(IF($C$6="SFR",VLOOKUP(T$23,'DSCR (LLPA)'!$M:$V,MATCH($R26,'DSCR (LLPA)'!$M$1:$V$1,0),FALSE),IF($C$6="Multi",VLOOKUP(T$23,'DSCR (LLPA)'!$X:$AG,MATCH($R26,'DSCR (LLPA)'!$X$1:$AG$1,0),FALSE),"-")),"-")</f>
        <v>-</v>
      </c>
      <c r="U26" s="56" t="str">
        <f>IFERROR(IF($C$6="SFR",VLOOKUP(U$23,'DSCR (LLPA)'!$M:$V,MATCH($R26,'DSCR (LLPA)'!$M$1:$V$1,0),FALSE),IF($C$6="Multi",VLOOKUP(U$23,'DSCR (LLPA)'!$X:$AG,MATCH($R26,'DSCR (LLPA)'!$X$1:$AG$1,0),FALSE),"-")),"-")</f>
        <v>-</v>
      </c>
      <c r="V26" s="56" t="str">
        <f>IFERROR(IF($C$6="SFR",VLOOKUP(V$23,'DSCR (LLPA)'!$M:$V,MATCH($R26,'DSCR (LLPA)'!$M$1:$V$1,0),FALSE),IF($C$6="Multi",VLOOKUP(V$23,'DSCR (LLPA)'!$X:$AG,MATCH($R26,'DSCR (LLPA)'!$X$1:$AG$1,0),FALSE),"-")),"-")</f>
        <v>-</v>
      </c>
      <c r="W26" s="56" t="str">
        <f>IFERROR(IF($C$6="SFR",VLOOKUP(W$23,'DSCR (LLPA)'!$M:$V,MATCH($R26,'DSCR (LLPA)'!$M$1:$V$1,0),FALSE),IF($C$6="Multi",VLOOKUP(W$23,'DSCR (LLPA)'!$X:$AG,MATCH($R26,'DSCR (LLPA)'!$X$1:$AG$1,0),FALSE),"-")),"-")</f>
        <v>-</v>
      </c>
      <c r="X26" s="56" t="str">
        <f>IFERROR(IF($C$6="SFR",VLOOKUP(X$23,'DSCR (LLPA)'!$M:$V,MATCH($R26,'DSCR (LLPA)'!$M$1:$V$1,0),FALSE),IF($C$6="Multi",VLOOKUP(X$23,'DSCR (LLPA)'!$X:$AG,MATCH($R26,'DSCR (LLPA)'!$X$1:$AG$1,0),FALSE),"-")),"-")</f>
        <v>-</v>
      </c>
      <c r="Y26" s="67" t="str">
        <f>IF($Q26="-","-",IF($Q26&lt;=INDEX('DSCR (Legend)'!$J$3:$L$17,MATCH($Q26,'DSCR (Legend)'!$J$3:$J$17,1),2),INDEX('DSCR (Legend)'!$J$3:$L$17,MATCH($Q26,'DSCR (Legend)'!$J$3:$J$17,1),3),"-"))</f>
        <v>-</v>
      </c>
      <c r="Z26" s="67" t="str">
        <f>IFERROR(IF($C$6="SFR",VLOOKUP($Y26,'DSCR (LLPA)'!$M:$V,MATCH($R26,'DSCR (LLPA)'!$M$1:$V$1,0),FALSE),IF($C$6="Multi",VLOOKUP($Y26,'DSCR (LLPA)'!$X:$AG,MATCH($R26,'DSCR (LLPA)'!$X$1:$AG$1,0),FALSE),"-")),"-")</f>
        <v>-</v>
      </c>
      <c r="AA26" s="56" t="str">
        <f>IFERROR(IF($C$6="SFR",VLOOKUP(AA$23,'DSCR (LLPA)'!$M:$V,MATCH($R26,'DSCR (LLPA)'!$M$1:$V$1,0),FALSE),IF($C$6="Multi",VLOOKUP(AA$23,'DSCR (LLPA)'!$X:$AG,MATCH($R26,'DSCR (LLPA)'!$X$1:$AG$1,0),FALSE),"-")),"-")</f>
        <v>-</v>
      </c>
      <c r="AB26" s="67" t="str">
        <f t="shared" si="59"/>
        <v>-</v>
      </c>
      <c r="AC26" s="56" t="str">
        <f>IF($AB26="-","-",IF($C$6="SFR",VLOOKUP($C$10,'DSCR (LLPA)'!$B$36:$K$50,MATCH($R26,'DSCR (LLPA)'!$B$36:$K$36,0),FALSE),IF($C$6="Multi",VLOOKUP($C$10,'DSCR (LLPA)'!$B$53:$K$67,MATCH($R26,'DSCR (LLPA)'!$B$53:$K$53,0),FALSE),"-")))</f>
        <v>-</v>
      </c>
      <c r="AD26" s="56" t="str">
        <f t="shared" si="60"/>
        <v>-</v>
      </c>
      <c r="AE26" s="52" t="str">
        <f t="shared" si="61"/>
        <v>-</v>
      </c>
      <c r="AF26" s="214" t="str">
        <f t="shared" si="62"/>
        <v>-</v>
      </c>
      <c r="AG26" s="52" t="str">
        <f t="shared" si="63"/>
        <v>-</v>
      </c>
      <c r="AH26" s="52" t="str">
        <f t="shared" si="64"/>
        <v>-</v>
      </c>
      <c r="AI26" s="52">
        <f t="shared" si="65"/>
        <v>0</v>
      </c>
      <c r="AN26" s="53"/>
      <c r="AO26" s="53"/>
      <c r="AP26" s="56"/>
      <c r="AQ26" s="57"/>
      <c r="AS26" s="56"/>
      <c r="AT26" s="56"/>
      <c r="AU26" s="56"/>
      <c r="AV26" s="56"/>
      <c r="AW26" s="56"/>
      <c r="AX26" s="56"/>
      <c r="AY26" s="67"/>
      <c r="AZ26" s="67"/>
      <c r="BA26" s="56"/>
      <c r="BB26" s="67"/>
      <c r="BC26" s="56"/>
      <c r="BD26" s="56"/>
      <c r="BE26" s="52"/>
      <c r="BF26" s="225" t="s">
        <v>1639</v>
      </c>
      <c r="BG26" s="52" t="s">
        <v>1755</v>
      </c>
      <c r="BH26" s="224" t="e">
        <f t="shared" si="66"/>
        <v>#VALUE!</v>
      </c>
      <c r="BI26" s="52"/>
      <c r="BJ26" s="52"/>
      <c r="BK26" s="52"/>
      <c r="BL26" s="52"/>
      <c r="BM26" s="52"/>
      <c r="BN26" s="52"/>
      <c r="BO26" s="52"/>
      <c r="BP26" s="52"/>
      <c r="BR26" s="53">
        <v>0</v>
      </c>
      <c r="BS26" s="206">
        <f t="shared" ref="BS26:BS42" si="67">$BT$24-(BR26*100)</f>
        <v>104</v>
      </c>
      <c r="BT26" s="217" t="e">
        <f t="shared" ref="BT26:BT42" si="68">IF(BU26="-","-",VLOOKUP($BR$24,$BG$25:$BH$31,2,FALSE))</f>
        <v>#N/A</v>
      </c>
      <c r="BU26" s="67" t="e">
        <f t="shared" ref="BU26:BU42" si="69">VLOOKUP($BS26,$B$67:$X$83,MATCH($BU$25,$B$66:$X$66,0),FALSE)</f>
        <v>#N/A</v>
      </c>
      <c r="BV26" s="216" t="e">
        <f t="shared" ref="BV26:BV42" si="70">ROUND((BT26/$C$19)*100,1)</f>
        <v>#N/A</v>
      </c>
      <c r="BW26" s="216" t="e">
        <f t="shared" ref="BW26:BW42" si="71">IF(OR($C$3="Refinance (Rate/Term)",$C$3="Refinance (Cash Out)"),"-",ROUND((BT26/$C$22)*100,1))</f>
        <v>#N/A</v>
      </c>
      <c r="BX26" s="51" t="e">
        <f t="shared" ref="BX26:BX42" si="72">BV26&amp;" | "&amp;BW26</f>
        <v>#N/A</v>
      </c>
      <c r="BY26" s="215" t="e">
        <f t="shared" ref="BY26:BY42" si="73">PMT(BU26/12,$C$17,-BT26)</f>
        <v>#N/A</v>
      </c>
      <c r="BZ26" s="51" t="e">
        <f t="shared" ref="BZ26:BZ42" si="74">IF($C$14="No IO","-",BT26*(BU26/12))</f>
        <v>#N/A</v>
      </c>
      <c r="CA26" s="52">
        <f t="shared" ref="CA26:CA42" si="75">SUM($L$5:$L$7)</f>
        <v>0</v>
      </c>
      <c r="CB26" s="52">
        <f t="shared" ref="CB26:CB42" si="76">SUM($L$24:$L$25)</f>
        <v>0</v>
      </c>
      <c r="CC26" s="52">
        <f t="shared" ref="CC26:CC42" si="77">SUM($L$5:$L$8)</f>
        <v>0</v>
      </c>
      <c r="CD26" s="52">
        <f t="shared" ref="CD26:CD42" si="78">SUM($L$24:$L$27)</f>
        <v>0</v>
      </c>
      <c r="CE26" s="215" t="e">
        <f t="shared" ref="CE26:CE42" si="79">BY26+CA26</f>
        <v>#N/A</v>
      </c>
      <c r="CF26" s="51" t="e">
        <f t="shared" ref="CF26:CF42" si="80">IF($C$14="No IO","-",BZ26+CA26)</f>
        <v>#N/A</v>
      </c>
      <c r="CG26" s="52" t="e">
        <f t="shared" ref="CG26:CG42" si="81">+BY26+CB26</f>
        <v>#N/A</v>
      </c>
      <c r="CH26" s="51" t="e">
        <f t="shared" ref="CH26:CH42" si="82">IF($C$14="No IO","-",BZ26+CB26)</f>
        <v>#N/A</v>
      </c>
      <c r="CI26" s="52" t="e">
        <f t="shared" ref="CI26:CI42" si="83">IF($C$14="No IO",BY26+CC26,BZ26+CC26)</f>
        <v>#N/A</v>
      </c>
      <c r="CJ26" s="52" t="e">
        <f t="shared" ref="CJ26:CJ42" si="84">IF($C$14="No IO",BY26,BZ26)</f>
        <v>#N/A</v>
      </c>
      <c r="CK26" s="214" t="e">
        <f t="shared" ref="CK26:CK42" si="85">$L$4/CI26</f>
        <v>#N/A</v>
      </c>
      <c r="CL26" s="214" t="e">
        <f t="shared" ref="CL26:CL42" si="86">$L$29/CJ26</f>
        <v>#VALUE!</v>
      </c>
      <c r="CM26" s="51" t="str">
        <f t="shared" ref="CM26:CM42" si="87">IF($C$6="SFR",CF26,IF($C$6="Multi",CH26,"-"))</f>
        <v>-</v>
      </c>
      <c r="CN26" s="52" t="str">
        <f t="shared" ref="CN26:CN42" si="88">IF($C$6="SFR",CE26,IF($C$6="Multi",CG26,"-"))</f>
        <v>-</v>
      </c>
      <c r="CO26" s="214" t="str">
        <f t="shared" ref="CO26:CO42" si="89">IF($C$6="SFR",CK26,IF($C$6="Multi",CL26,"-"))</f>
        <v>-</v>
      </c>
      <c r="CR26" s="52" t="b">
        <f>IF($C$14="No IO",MAX($BY$26:$BY$42,MAX($BZ$26:$BZ$42)))</f>
        <v>0</v>
      </c>
      <c r="CS26" s="51" t="s">
        <v>2</v>
      </c>
      <c r="CT26" s="52" t="e">
        <f t="shared" ref="CT26:CT42" si="90">BT26*BR26</f>
        <v>#N/A</v>
      </c>
      <c r="CU26" s="51" t="str">
        <f t="shared" ref="CU26:CU42" si="91">IF(OR(CS26="-",CS26&lt;1),"-",CT26/CS26)</f>
        <v>-</v>
      </c>
      <c r="CV26" s="51" t="str">
        <f t="shared" ref="CV26:CV42" si="92">IF(CU26="-","-",ROUND(CU26/12,2))</f>
        <v>-</v>
      </c>
    </row>
    <row r="27" spans="2:100" x14ac:dyDescent="0.25">
      <c r="B27" s="51" t="s">
        <v>1764</v>
      </c>
      <c r="D27" s="193" t="str">
        <f>'DSCR (Legend)'!D8</f>
        <v>640+</v>
      </c>
      <c r="E27" s="192" t="s">
        <v>2</v>
      </c>
      <c r="F27" s="192" t="s">
        <v>2</v>
      </c>
      <c r="G27" s="192" t="s">
        <v>2</v>
      </c>
      <c r="H27" s="192" t="s">
        <v>2</v>
      </c>
      <c r="I27" s="192" t="s">
        <v>2</v>
      </c>
      <c r="J27" s="192" t="s">
        <v>2</v>
      </c>
      <c r="K27" s="51" t="s">
        <v>1763</v>
      </c>
      <c r="L27" s="226" t="str">
        <f>IF('DSCR (Single Asset)'!$E$24="Quote",'DSCR (Single Asset)'!$F$29/12,IF('DSCR (Single Asset)'!$E$24="Appraisal/Lock",'DSCR (Single Asset)'!$H$29/12,"-"))</f>
        <v>-</v>
      </c>
      <c r="N27" s="53">
        <v>7.4999999999999997E-3</v>
      </c>
      <c r="O27" s="53">
        <f t="shared" si="56"/>
        <v>1.0325</v>
      </c>
      <c r="P27" s="56" t="e">
        <f t="shared" si="57"/>
        <v>#VALUE!</v>
      </c>
      <c r="Q27" s="57" t="str">
        <f t="shared" si="58"/>
        <v>-</v>
      </c>
      <c r="R27" s="51" t="str">
        <f>IF($Q27="-","-",IF(($Q27/$C$19)&lt;=INDEX('DSCR (Legend)'!$F$3:$H$14,MATCH(($Q27/$C$19),'DSCR (Legend)'!$F$3:$F$14,1),2),INDEX('DSCR (Legend)'!$F$3:$H$14,MATCH(($Q27/$C$19),'DSCR (Legend)'!$F$3:$F$14,1),3),"-"))</f>
        <v>-</v>
      </c>
      <c r="S27" s="56" t="str">
        <f>IFERROR(IF($C$6="SFR",VLOOKUP(S$23,'DSCR (LLPA)'!$M:$V,MATCH($R27,'DSCR (LLPA)'!$M$1:$V$1,0),FALSE),IF($C$6="Multi",VLOOKUP(S$23,'DSCR (LLPA)'!$X:$AG,MATCH($R27,'DSCR (LLPA)'!$X$1:$AG$1,0),FALSE),"-")),"-")</f>
        <v>-</v>
      </c>
      <c r="T27" s="56" t="str">
        <f>IFERROR(IF($C$6="SFR",VLOOKUP(T$23,'DSCR (LLPA)'!$M:$V,MATCH($R27,'DSCR (LLPA)'!$M$1:$V$1,0),FALSE),IF($C$6="Multi",VLOOKUP(T$23,'DSCR (LLPA)'!$X:$AG,MATCH($R27,'DSCR (LLPA)'!$X$1:$AG$1,0),FALSE),"-")),"-")</f>
        <v>-</v>
      </c>
      <c r="U27" s="56" t="str">
        <f>IFERROR(IF($C$6="SFR",VLOOKUP(U$23,'DSCR (LLPA)'!$M:$V,MATCH($R27,'DSCR (LLPA)'!$M$1:$V$1,0),FALSE),IF($C$6="Multi",VLOOKUP(U$23,'DSCR (LLPA)'!$X:$AG,MATCH($R27,'DSCR (LLPA)'!$X$1:$AG$1,0),FALSE),"-")),"-")</f>
        <v>-</v>
      </c>
      <c r="V27" s="56" t="str">
        <f>IFERROR(IF($C$6="SFR",VLOOKUP(V$23,'DSCR (LLPA)'!$M:$V,MATCH($R27,'DSCR (LLPA)'!$M$1:$V$1,0),FALSE),IF($C$6="Multi",VLOOKUP(V$23,'DSCR (LLPA)'!$X:$AG,MATCH($R27,'DSCR (LLPA)'!$X$1:$AG$1,0),FALSE),"-")),"-")</f>
        <v>-</v>
      </c>
      <c r="W27" s="56" t="str">
        <f>IFERROR(IF($C$6="SFR",VLOOKUP(W$23,'DSCR (LLPA)'!$M:$V,MATCH($R27,'DSCR (LLPA)'!$M$1:$V$1,0),FALSE),IF($C$6="Multi",VLOOKUP(W$23,'DSCR (LLPA)'!$X:$AG,MATCH($R27,'DSCR (LLPA)'!$X$1:$AG$1,0),FALSE),"-")),"-")</f>
        <v>-</v>
      </c>
      <c r="X27" s="56" t="str">
        <f>IFERROR(IF($C$6="SFR",VLOOKUP(X$23,'DSCR (LLPA)'!$M:$V,MATCH($R27,'DSCR (LLPA)'!$M$1:$V$1,0),FALSE),IF($C$6="Multi",VLOOKUP(X$23,'DSCR (LLPA)'!$X:$AG,MATCH($R27,'DSCR (LLPA)'!$X$1:$AG$1,0),FALSE),"-")),"-")</f>
        <v>-</v>
      </c>
      <c r="Y27" s="67" t="str">
        <f>IF($Q27="-","-",IF($Q27&lt;=INDEX('DSCR (Legend)'!$J$3:$L$17,MATCH($Q27,'DSCR (Legend)'!$J$3:$J$17,1),2),INDEX('DSCR (Legend)'!$J$3:$L$17,MATCH($Q27,'DSCR (Legend)'!$J$3:$J$17,1),3),"-"))</f>
        <v>-</v>
      </c>
      <c r="Z27" s="67" t="str">
        <f>IFERROR(IF($C$6="SFR",VLOOKUP($Y27,'DSCR (LLPA)'!$M:$V,MATCH($R27,'DSCR (LLPA)'!$M$1:$V$1,0),FALSE),IF($C$6="Multi",VLOOKUP($Y27,'DSCR (LLPA)'!$X:$AG,MATCH($R27,'DSCR (LLPA)'!$X$1:$AG$1,0),FALSE),"-")),"-")</f>
        <v>-</v>
      </c>
      <c r="AA27" s="56" t="str">
        <f>IFERROR(IF($C$6="SFR",VLOOKUP(AA$23,'DSCR (LLPA)'!$M:$V,MATCH($R27,'DSCR (LLPA)'!$M$1:$V$1,0),FALSE),IF($C$6="Multi",VLOOKUP(AA$23,'DSCR (LLPA)'!$X:$AG,MATCH($R27,'DSCR (LLPA)'!$X$1:$AG$1,0),FALSE),"-")),"-")</f>
        <v>-</v>
      </c>
      <c r="AB27" s="67" t="str">
        <f t="shared" si="59"/>
        <v>-</v>
      </c>
      <c r="AC27" s="56" t="str">
        <f>IF($AB27="-","-",IF($C$6="SFR",VLOOKUP($C$10,'DSCR (LLPA)'!$B$36:$K$50,MATCH($R27,'DSCR (LLPA)'!$B$36:$K$36,0),FALSE),IF($C$6="Multi",VLOOKUP($C$10,'DSCR (LLPA)'!$B$53:$K$67,MATCH($R27,'DSCR (LLPA)'!$B$53:$K$53,0),FALSE),"-")))</f>
        <v>-</v>
      </c>
      <c r="AD27" s="56" t="str">
        <f t="shared" si="60"/>
        <v>-</v>
      </c>
      <c r="AE27" s="52" t="str">
        <f t="shared" si="61"/>
        <v>-</v>
      </c>
      <c r="AF27" s="214" t="str">
        <f t="shared" si="62"/>
        <v>-</v>
      </c>
      <c r="AG27" s="52" t="str">
        <f t="shared" si="63"/>
        <v>-</v>
      </c>
      <c r="AH27" s="52" t="str">
        <f t="shared" si="64"/>
        <v>-</v>
      </c>
      <c r="AI27" s="52">
        <f t="shared" si="65"/>
        <v>0</v>
      </c>
      <c r="AN27" s="53"/>
      <c r="AO27" s="53"/>
      <c r="AP27" s="56"/>
      <c r="AQ27" s="57"/>
      <c r="AS27" s="56"/>
      <c r="AT27" s="56"/>
      <c r="AU27" s="56"/>
      <c r="AV27" s="56"/>
      <c r="AW27" s="56"/>
      <c r="AX27" s="56"/>
      <c r="AY27" s="67"/>
      <c r="AZ27" s="67"/>
      <c r="BA27" s="56"/>
      <c r="BB27" s="67"/>
      <c r="BC27" s="56"/>
      <c r="BD27" s="56"/>
      <c r="BE27" s="52"/>
      <c r="BF27" s="225" t="s">
        <v>1638</v>
      </c>
      <c r="BG27" s="52" t="s">
        <v>1754</v>
      </c>
      <c r="BH27" s="224" t="e">
        <f t="shared" si="66"/>
        <v>#VALUE!</v>
      </c>
      <c r="BI27" s="52"/>
      <c r="BJ27" s="52"/>
      <c r="BK27" s="52"/>
      <c r="BL27" s="52"/>
      <c r="BM27" s="52"/>
      <c r="BN27" s="52"/>
      <c r="BO27" s="52"/>
      <c r="BP27" s="52"/>
      <c r="BR27" s="53">
        <v>2.5000000000000001E-3</v>
      </c>
      <c r="BS27" s="206">
        <f t="shared" si="67"/>
        <v>103.75</v>
      </c>
      <c r="BT27" s="217" t="e">
        <f t="shared" si="68"/>
        <v>#N/A</v>
      </c>
      <c r="BU27" s="67" t="e">
        <f t="shared" si="69"/>
        <v>#N/A</v>
      </c>
      <c r="BV27" s="216" t="e">
        <f t="shared" si="70"/>
        <v>#N/A</v>
      </c>
      <c r="BW27" s="216" t="e">
        <f t="shared" si="71"/>
        <v>#N/A</v>
      </c>
      <c r="BX27" s="51" t="e">
        <f t="shared" si="72"/>
        <v>#N/A</v>
      </c>
      <c r="BY27" s="215" t="e">
        <f t="shared" si="73"/>
        <v>#N/A</v>
      </c>
      <c r="BZ27" s="51" t="e">
        <f t="shared" si="74"/>
        <v>#N/A</v>
      </c>
      <c r="CA27" s="52">
        <f t="shared" si="75"/>
        <v>0</v>
      </c>
      <c r="CB27" s="52">
        <f t="shared" si="76"/>
        <v>0</v>
      </c>
      <c r="CC27" s="52">
        <f t="shared" si="77"/>
        <v>0</v>
      </c>
      <c r="CD27" s="52">
        <f t="shared" si="78"/>
        <v>0</v>
      </c>
      <c r="CE27" s="215" t="e">
        <f t="shared" si="79"/>
        <v>#N/A</v>
      </c>
      <c r="CF27" s="51" t="e">
        <f t="shared" si="80"/>
        <v>#N/A</v>
      </c>
      <c r="CG27" s="52" t="e">
        <f t="shared" si="81"/>
        <v>#N/A</v>
      </c>
      <c r="CH27" s="51" t="e">
        <f t="shared" si="82"/>
        <v>#N/A</v>
      </c>
      <c r="CI27" s="52" t="e">
        <f t="shared" si="83"/>
        <v>#N/A</v>
      </c>
      <c r="CJ27" s="52" t="e">
        <f t="shared" si="84"/>
        <v>#N/A</v>
      </c>
      <c r="CK27" s="214" t="e">
        <f t="shared" si="85"/>
        <v>#N/A</v>
      </c>
      <c r="CL27" s="214" t="e">
        <f t="shared" si="86"/>
        <v>#VALUE!</v>
      </c>
      <c r="CM27" s="51" t="str">
        <f t="shared" si="87"/>
        <v>-</v>
      </c>
      <c r="CN27" s="52" t="str">
        <f t="shared" si="88"/>
        <v>-</v>
      </c>
      <c r="CO27" s="214" t="str">
        <f t="shared" si="89"/>
        <v>-</v>
      </c>
      <c r="CS27" s="51" t="e">
        <f t="shared" ref="CS27:CS42" si="93">IF($C$14="No IO",IF(BT27&gt;BT26,"-",IF(BT27=BT26,ABS(BY27-$CR$26),"-")),IF(BT27&gt;BT26,"-",IF(BT27=BT26,ABS(BZ27-$CR$26),"-")))</f>
        <v>#N/A</v>
      </c>
      <c r="CT27" s="52" t="e">
        <f t="shared" si="90"/>
        <v>#N/A</v>
      </c>
      <c r="CU27" s="51" t="e">
        <f t="shared" si="91"/>
        <v>#N/A</v>
      </c>
      <c r="CV27" s="51" t="e">
        <f t="shared" si="92"/>
        <v>#N/A</v>
      </c>
    </row>
    <row r="28" spans="2:100" x14ac:dyDescent="0.25">
      <c r="D28" s="193" t="str">
        <f>'DSCR (Legend)'!D9</f>
        <v>660+</v>
      </c>
      <c r="E28" s="192" t="s">
        <v>2</v>
      </c>
      <c r="F28" s="192" t="s">
        <v>2</v>
      </c>
      <c r="G28" s="192" t="s">
        <v>2</v>
      </c>
      <c r="H28" s="192" t="s">
        <v>2</v>
      </c>
      <c r="I28" s="192" t="s">
        <v>2</v>
      </c>
      <c r="J28" s="192" t="s">
        <v>2</v>
      </c>
      <c r="N28" s="53">
        <v>0.01</v>
      </c>
      <c r="O28" s="53">
        <f t="shared" si="56"/>
        <v>1.03</v>
      </c>
      <c r="P28" s="56" t="e">
        <f t="shared" si="57"/>
        <v>#VALUE!</v>
      </c>
      <c r="Q28" s="57" t="str">
        <f t="shared" si="58"/>
        <v>-</v>
      </c>
      <c r="R28" s="51" t="str">
        <f>IF($Q28="-","-",IF(($Q28/$C$19)&lt;=INDEX('DSCR (Legend)'!$F$3:$H$14,MATCH(($Q28/$C$19),'DSCR (Legend)'!$F$3:$F$14,1),2),INDEX('DSCR (Legend)'!$F$3:$H$14,MATCH(($Q28/$C$19),'DSCR (Legend)'!$F$3:$F$14,1),3),"-"))</f>
        <v>-</v>
      </c>
      <c r="S28" s="56" t="str">
        <f>IFERROR(IF($C$6="SFR",VLOOKUP(S$23,'DSCR (LLPA)'!$M:$V,MATCH($R28,'DSCR (LLPA)'!$M$1:$V$1,0),FALSE),IF($C$6="Multi",VLOOKUP(S$23,'DSCR (LLPA)'!$X:$AG,MATCH($R28,'DSCR (LLPA)'!$X$1:$AG$1,0),FALSE),"-")),"-")</f>
        <v>-</v>
      </c>
      <c r="T28" s="56" t="str">
        <f>IFERROR(IF($C$6="SFR",VLOOKUP(T$23,'DSCR (LLPA)'!$M:$V,MATCH($R28,'DSCR (LLPA)'!$M$1:$V$1,0),FALSE),IF($C$6="Multi",VLOOKUP(T$23,'DSCR (LLPA)'!$X:$AG,MATCH($R28,'DSCR (LLPA)'!$X$1:$AG$1,0),FALSE),"-")),"-")</f>
        <v>-</v>
      </c>
      <c r="U28" s="56" t="str">
        <f>IFERROR(IF($C$6="SFR",VLOOKUP(U$23,'DSCR (LLPA)'!$M:$V,MATCH($R28,'DSCR (LLPA)'!$M$1:$V$1,0),FALSE),IF($C$6="Multi",VLOOKUP(U$23,'DSCR (LLPA)'!$X:$AG,MATCH($R28,'DSCR (LLPA)'!$X$1:$AG$1,0),FALSE),"-")),"-")</f>
        <v>-</v>
      </c>
      <c r="V28" s="56" t="str">
        <f>IFERROR(IF($C$6="SFR",VLOOKUP(V$23,'DSCR (LLPA)'!$M:$V,MATCH($R28,'DSCR (LLPA)'!$M$1:$V$1,0),FALSE),IF($C$6="Multi",VLOOKUP(V$23,'DSCR (LLPA)'!$X:$AG,MATCH($R28,'DSCR (LLPA)'!$X$1:$AG$1,0),FALSE),"-")),"-")</f>
        <v>-</v>
      </c>
      <c r="W28" s="56" t="str">
        <f>IFERROR(IF($C$6="SFR",VLOOKUP(W$23,'DSCR (LLPA)'!$M:$V,MATCH($R28,'DSCR (LLPA)'!$M$1:$V$1,0),FALSE),IF($C$6="Multi",VLOOKUP(W$23,'DSCR (LLPA)'!$X:$AG,MATCH($R28,'DSCR (LLPA)'!$X$1:$AG$1,0),FALSE),"-")),"-")</f>
        <v>-</v>
      </c>
      <c r="X28" s="56" t="str">
        <f>IFERROR(IF($C$6="SFR",VLOOKUP(X$23,'DSCR (LLPA)'!$M:$V,MATCH($R28,'DSCR (LLPA)'!$M$1:$V$1,0),FALSE),IF($C$6="Multi",VLOOKUP(X$23,'DSCR (LLPA)'!$X:$AG,MATCH($R28,'DSCR (LLPA)'!$X$1:$AG$1,0),FALSE),"-")),"-")</f>
        <v>-</v>
      </c>
      <c r="Y28" s="67" t="str">
        <f>IF($Q28="-","-",IF($Q28&lt;=INDEX('DSCR (Legend)'!$J$3:$L$17,MATCH($Q28,'DSCR (Legend)'!$J$3:$J$17,1),2),INDEX('DSCR (Legend)'!$J$3:$L$17,MATCH($Q28,'DSCR (Legend)'!$J$3:$J$17,1),3),"-"))</f>
        <v>-</v>
      </c>
      <c r="Z28" s="67" t="str">
        <f>IFERROR(IF($C$6="SFR",VLOOKUP($Y28,'DSCR (LLPA)'!$M:$V,MATCH($R28,'DSCR (LLPA)'!$M$1:$V$1,0),FALSE),IF($C$6="Multi",VLOOKUP($Y28,'DSCR (LLPA)'!$X:$AG,MATCH($R28,'DSCR (LLPA)'!$X$1:$AG$1,0),FALSE),"-")),"-")</f>
        <v>-</v>
      </c>
      <c r="AA28" s="56" t="str">
        <f>IFERROR(IF($C$6="SFR",VLOOKUP(AA$23,'DSCR (LLPA)'!$M:$V,MATCH($R28,'DSCR (LLPA)'!$M$1:$V$1,0),FALSE),IF($C$6="Multi",VLOOKUP(AA$23,'DSCR (LLPA)'!$X:$AG,MATCH($R28,'DSCR (LLPA)'!$X$1:$AG$1,0),FALSE),"-")),"-")</f>
        <v>-</v>
      </c>
      <c r="AB28" s="67" t="str">
        <f t="shared" si="59"/>
        <v>-</v>
      </c>
      <c r="AC28" s="56" t="str">
        <f>IF($AB28="-","-",IF($C$6="SFR",VLOOKUP($C$10,'DSCR (LLPA)'!$B$36:$K$50,MATCH($R28,'DSCR (LLPA)'!$B$36:$K$36,0),FALSE),IF($C$6="Multi",VLOOKUP($C$10,'DSCR (LLPA)'!$B$53:$K$67,MATCH($R28,'DSCR (LLPA)'!$B$53:$K$53,0),FALSE),"-")))</f>
        <v>-</v>
      </c>
      <c r="AD28" s="56" t="str">
        <f t="shared" si="60"/>
        <v>-</v>
      </c>
      <c r="AE28" s="52" t="str">
        <f t="shared" si="61"/>
        <v>-</v>
      </c>
      <c r="AF28" s="214" t="str">
        <f t="shared" si="62"/>
        <v>-</v>
      </c>
      <c r="AG28" s="52" t="str">
        <f t="shared" si="63"/>
        <v>-</v>
      </c>
      <c r="AH28" s="52" t="str">
        <f t="shared" si="64"/>
        <v>-</v>
      </c>
      <c r="AI28" s="52">
        <f t="shared" si="65"/>
        <v>0</v>
      </c>
      <c r="AN28" s="53"/>
      <c r="AO28" s="53"/>
      <c r="AP28" s="56"/>
      <c r="AQ28" s="57"/>
      <c r="AS28" s="56"/>
      <c r="AT28" s="56"/>
      <c r="AU28" s="56"/>
      <c r="AV28" s="56"/>
      <c r="AW28" s="56"/>
      <c r="AX28" s="56"/>
      <c r="AY28" s="67"/>
      <c r="AZ28" s="67"/>
      <c r="BA28" s="56"/>
      <c r="BB28" s="67"/>
      <c r="BC28" s="56"/>
      <c r="BD28" s="56"/>
      <c r="BE28" s="52"/>
      <c r="BF28" s="225" t="s">
        <v>1637</v>
      </c>
      <c r="BG28" s="52" t="s">
        <v>1753</v>
      </c>
      <c r="BH28" s="224" t="e">
        <f t="shared" si="66"/>
        <v>#VALUE!</v>
      </c>
      <c r="BI28" s="52"/>
      <c r="BJ28" s="52"/>
      <c r="BK28" s="52"/>
      <c r="BL28" s="52"/>
      <c r="BM28" s="52"/>
      <c r="BN28" s="52"/>
      <c r="BO28" s="52"/>
      <c r="BP28" s="52"/>
      <c r="BR28" s="53">
        <v>5.0000000000000001E-3</v>
      </c>
      <c r="BS28" s="206">
        <f t="shared" si="67"/>
        <v>103.5</v>
      </c>
      <c r="BT28" s="217" t="e">
        <f t="shared" si="68"/>
        <v>#N/A</v>
      </c>
      <c r="BU28" s="67" t="e">
        <f t="shared" si="69"/>
        <v>#N/A</v>
      </c>
      <c r="BV28" s="216" t="e">
        <f t="shared" si="70"/>
        <v>#N/A</v>
      </c>
      <c r="BW28" s="216" t="e">
        <f t="shared" si="71"/>
        <v>#N/A</v>
      </c>
      <c r="BX28" s="51" t="e">
        <f t="shared" si="72"/>
        <v>#N/A</v>
      </c>
      <c r="BY28" s="215" t="e">
        <f t="shared" si="73"/>
        <v>#N/A</v>
      </c>
      <c r="BZ28" s="51" t="e">
        <f t="shared" si="74"/>
        <v>#N/A</v>
      </c>
      <c r="CA28" s="52">
        <f t="shared" si="75"/>
        <v>0</v>
      </c>
      <c r="CB28" s="52">
        <f t="shared" si="76"/>
        <v>0</v>
      </c>
      <c r="CC28" s="52">
        <f t="shared" si="77"/>
        <v>0</v>
      </c>
      <c r="CD28" s="52">
        <f t="shared" si="78"/>
        <v>0</v>
      </c>
      <c r="CE28" s="215" t="e">
        <f t="shared" si="79"/>
        <v>#N/A</v>
      </c>
      <c r="CF28" s="51" t="e">
        <f t="shared" si="80"/>
        <v>#N/A</v>
      </c>
      <c r="CG28" s="52" t="e">
        <f t="shared" si="81"/>
        <v>#N/A</v>
      </c>
      <c r="CH28" s="51" t="e">
        <f t="shared" si="82"/>
        <v>#N/A</v>
      </c>
      <c r="CI28" s="52" t="e">
        <f t="shared" si="83"/>
        <v>#N/A</v>
      </c>
      <c r="CJ28" s="52" t="e">
        <f t="shared" si="84"/>
        <v>#N/A</v>
      </c>
      <c r="CK28" s="214" t="e">
        <f t="shared" si="85"/>
        <v>#N/A</v>
      </c>
      <c r="CL28" s="214" t="e">
        <f t="shared" si="86"/>
        <v>#VALUE!</v>
      </c>
      <c r="CM28" s="51" t="str">
        <f t="shared" si="87"/>
        <v>-</v>
      </c>
      <c r="CN28" s="52" t="str">
        <f t="shared" si="88"/>
        <v>-</v>
      </c>
      <c r="CO28" s="214" t="str">
        <f t="shared" si="89"/>
        <v>-</v>
      </c>
      <c r="CS28" s="51" t="e">
        <f t="shared" si="93"/>
        <v>#N/A</v>
      </c>
      <c r="CT28" s="52" t="e">
        <f t="shared" si="90"/>
        <v>#N/A</v>
      </c>
      <c r="CU28" s="51" t="e">
        <f t="shared" si="91"/>
        <v>#N/A</v>
      </c>
      <c r="CV28" s="51" t="e">
        <f t="shared" si="92"/>
        <v>#N/A</v>
      </c>
    </row>
    <row r="29" spans="2:100" x14ac:dyDescent="0.25">
      <c r="B29" s="51" t="s">
        <v>1545</v>
      </c>
      <c r="C29" s="222" t="str">
        <f>IFERROR(VLOOKUP('DSCR (Single Asset)'!$C$19,#REF!,4,FALSE),"-")</f>
        <v>-</v>
      </c>
      <c r="D29" s="193" t="str">
        <f>'DSCR (Legend)'!D10</f>
        <v>680+</v>
      </c>
      <c r="E29" s="192">
        <v>0.6</v>
      </c>
      <c r="F29" s="192">
        <v>0.6</v>
      </c>
      <c r="G29" s="192">
        <v>0.6</v>
      </c>
      <c r="H29" s="192">
        <v>0.6</v>
      </c>
      <c r="I29" s="192">
        <v>0.6</v>
      </c>
      <c r="J29" s="192">
        <v>0.55000000000000004</v>
      </c>
      <c r="K29" s="51" t="s">
        <v>1762</v>
      </c>
      <c r="L29" s="226" t="str">
        <f>IF(L23="-","-",$L$23-SUM($L$24:$L$27))</f>
        <v>-</v>
      </c>
      <c r="N29" s="53">
        <v>1.2500000000000001E-2</v>
      </c>
      <c r="O29" s="53">
        <f t="shared" si="56"/>
        <v>1.0275000000000001</v>
      </c>
      <c r="P29" s="56" t="e">
        <f t="shared" si="57"/>
        <v>#VALUE!</v>
      </c>
      <c r="Q29" s="57" t="str">
        <f t="shared" si="58"/>
        <v>-</v>
      </c>
      <c r="R29" s="51" t="str">
        <f>IF($Q29="-","-",IF(($Q29/$C$19)&lt;=INDEX('DSCR (Legend)'!$F$3:$H$14,MATCH(($Q29/$C$19),'DSCR (Legend)'!$F$3:$F$14,1),2),INDEX('DSCR (Legend)'!$F$3:$H$14,MATCH(($Q29/$C$19),'DSCR (Legend)'!$F$3:$F$14,1),3),"-"))</f>
        <v>-</v>
      </c>
      <c r="S29" s="56" t="str">
        <f>IFERROR(IF($C$6="SFR",VLOOKUP(S$23,'DSCR (LLPA)'!$M:$V,MATCH($R29,'DSCR (LLPA)'!$M$1:$V$1,0),FALSE),IF($C$6="Multi",VLOOKUP(S$23,'DSCR (LLPA)'!$X:$AG,MATCH($R29,'DSCR (LLPA)'!$X$1:$AG$1,0),FALSE),"-")),"-")</f>
        <v>-</v>
      </c>
      <c r="T29" s="56" t="str">
        <f>IFERROR(IF($C$6="SFR",VLOOKUP(T$23,'DSCR (LLPA)'!$M:$V,MATCH($R29,'DSCR (LLPA)'!$M$1:$V$1,0),FALSE),IF($C$6="Multi",VLOOKUP(T$23,'DSCR (LLPA)'!$X:$AG,MATCH($R29,'DSCR (LLPA)'!$X$1:$AG$1,0),FALSE),"-")),"-")</f>
        <v>-</v>
      </c>
      <c r="U29" s="56" t="str">
        <f>IFERROR(IF($C$6="SFR",VLOOKUP(U$23,'DSCR (LLPA)'!$M:$V,MATCH($R29,'DSCR (LLPA)'!$M$1:$V$1,0),FALSE),IF($C$6="Multi",VLOOKUP(U$23,'DSCR (LLPA)'!$X:$AG,MATCH($R29,'DSCR (LLPA)'!$X$1:$AG$1,0),FALSE),"-")),"-")</f>
        <v>-</v>
      </c>
      <c r="V29" s="56" t="str">
        <f>IFERROR(IF($C$6="SFR",VLOOKUP(V$23,'DSCR (LLPA)'!$M:$V,MATCH($R29,'DSCR (LLPA)'!$M$1:$V$1,0),FALSE),IF($C$6="Multi",VLOOKUP(V$23,'DSCR (LLPA)'!$X:$AG,MATCH($R29,'DSCR (LLPA)'!$X$1:$AG$1,0),FALSE),"-")),"-")</f>
        <v>-</v>
      </c>
      <c r="W29" s="56" t="str">
        <f>IFERROR(IF($C$6="SFR",VLOOKUP(W$23,'DSCR (LLPA)'!$M:$V,MATCH($R29,'DSCR (LLPA)'!$M$1:$V$1,0),FALSE),IF($C$6="Multi",VLOOKUP(W$23,'DSCR (LLPA)'!$X:$AG,MATCH($R29,'DSCR (LLPA)'!$X$1:$AG$1,0),FALSE),"-")),"-")</f>
        <v>-</v>
      </c>
      <c r="X29" s="56" t="str">
        <f>IFERROR(IF($C$6="SFR",VLOOKUP(X$23,'DSCR (LLPA)'!$M:$V,MATCH($R29,'DSCR (LLPA)'!$M$1:$V$1,0),FALSE),IF($C$6="Multi",VLOOKUP(X$23,'DSCR (LLPA)'!$X:$AG,MATCH($R29,'DSCR (LLPA)'!$X$1:$AG$1,0),FALSE),"-")),"-")</f>
        <v>-</v>
      </c>
      <c r="Y29" s="67" t="str">
        <f>IF($Q29="-","-",IF($Q29&lt;=INDEX('DSCR (Legend)'!$J$3:$L$17,MATCH($Q29,'DSCR (Legend)'!$J$3:$J$17,1),2),INDEX('DSCR (Legend)'!$J$3:$L$17,MATCH($Q29,'DSCR (Legend)'!$J$3:$J$17,1),3),"-"))</f>
        <v>-</v>
      </c>
      <c r="Z29" s="67" t="str">
        <f>IFERROR(IF($C$6="SFR",VLOOKUP($Y29,'DSCR (LLPA)'!$M:$V,MATCH($R29,'DSCR (LLPA)'!$M$1:$V$1,0),FALSE),IF($C$6="Multi",VLOOKUP($Y29,'DSCR (LLPA)'!$X:$AG,MATCH($R29,'DSCR (LLPA)'!$X$1:$AG$1,0),FALSE),"-")),"-")</f>
        <v>-</v>
      </c>
      <c r="AA29" s="56" t="str">
        <f>IFERROR(IF($C$6="SFR",VLOOKUP(AA$23,'DSCR (LLPA)'!$M:$V,MATCH($R29,'DSCR (LLPA)'!$M$1:$V$1,0),FALSE),IF($C$6="Multi",VLOOKUP(AA$23,'DSCR (LLPA)'!$X:$AG,MATCH($R29,'DSCR (LLPA)'!$X$1:$AG$1,0),FALSE),"-")),"-")</f>
        <v>-</v>
      </c>
      <c r="AB29" s="67" t="str">
        <f t="shared" si="59"/>
        <v>-</v>
      </c>
      <c r="AC29" s="56" t="str">
        <f>IF($AB29="-","-",IF($C$6="SFR",VLOOKUP($C$10,'DSCR (LLPA)'!$B$36:$K$50,MATCH($R29,'DSCR (LLPA)'!$B$36:$K$36,0),FALSE),IF($C$6="Multi",VLOOKUP($C$10,'DSCR (LLPA)'!$B$53:$K$67,MATCH($R29,'DSCR (LLPA)'!$B$53:$K$53,0),FALSE),"-")))</f>
        <v>-</v>
      </c>
      <c r="AD29" s="56" t="str">
        <f t="shared" si="60"/>
        <v>-</v>
      </c>
      <c r="AE29" s="52" t="str">
        <f t="shared" si="61"/>
        <v>-</v>
      </c>
      <c r="AF29" s="214" t="str">
        <f t="shared" si="62"/>
        <v>-</v>
      </c>
      <c r="AG29" s="52" t="str">
        <f t="shared" si="63"/>
        <v>-</v>
      </c>
      <c r="AH29" s="52" t="str">
        <f t="shared" si="64"/>
        <v>-</v>
      </c>
      <c r="AI29" s="52">
        <f t="shared" si="65"/>
        <v>0</v>
      </c>
      <c r="AN29" s="53"/>
      <c r="AO29" s="53"/>
      <c r="AP29" s="56"/>
      <c r="AQ29" s="57"/>
      <c r="AS29" s="56"/>
      <c r="AT29" s="56"/>
      <c r="AU29" s="56"/>
      <c r="AV29" s="56"/>
      <c r="AW29" s="56"/>
      <c r="AX29" s="56"/>
      <c r="AY29" s="67"/>
      <c r="AZ29" s="67"/>
      <c r="BA29" s="56"/>
      <c r="BB29" s="67"/>
      <c r="BC29" s="56"/>
      <c r="BD29" s="56"/>
      <c r="BE29" s="52"/>
      <c r="BF29" s="225" t="s">
        <v>1636</v>
      </c>
      <c r="BG29" s="52" t="s">
        <v>1752</v>
      </c>
      <c r="BH29" s="224" t="e">
        <f t="shared" si="66"/>
        <v>#VALUE!</v>
      </c>
      <c r="BI29" s="52"/>
      <c r="BJ29" s="52"/>
      <c r="BK29" s="52"/>
      <c r="BL29" s="52"/>
      <c r="BM29" s="52"/>
      <c r="BN29" s="52"/>
      <c r="BO29" s="52"/>
      <c r="BP29" s="52"/>
      <c r="BR29" s="53">
        <v>7.4999999999999997E-3</v>
      </c>
      <c r="BS29" s="206">
        <f t="shared" si="67"/>
        <v>103.25</v>
      </c>
      <c r="BT29" s="217" t="e">
        <f t="shared" si="68"/>
        <v>#N/A</v>
      </c>
      <c r="BU29" s="67" t="e">
        <f t="shared" si="69"/>
        <v>#N/A</v>
      </c>
      <c r="BV29" s="216" t="e">
        <f t="shared" si="70"/>
        <v>#N/A</v>
      </c>
      <c r="BW29" s="216" t="e">
        <f t="shared" si="71"/>
        <v>#N/A</v>
      </c>
      <c r="BX29" s="51" t="e">
        <f t="shared" si="72"/>
        <v>#N/A</v>
      </c>
      <c r="BY29" s="215" t="e">
        <f t="shared" si="73"/>
        <v>#N/A</v>
      </c>
      <c r="BZ29" s="51" t="e">
        <f t="shared" si="74"/>
        <v>#N/A</v>
      </c>
      <c r="CA29" s="52">
        <f t="shared" si="75"/>
        <v>0</v>
      </c>
      <c r="CB29" s="52">
        <f t="shared" si="76"/>
        <v>0</v>
      </c>
      <c r="CC29" s="52">
        <f t="shared" si="77"/>
        <v>0</v>
      </c>
      <c r="CD29" s="52">
        <f t="shared" si="78"/>
        <v>0</v>
      </c>
      <c r="CE29" s="215" t="e">
        <f t="shared" si="79"/>
        <v>#N/A</v>
      </c>
      <c r="CF29" s="51" t="e">
        <f t="shared" si="80"/>
        <v>#N/A</v>
      </c>
      <c r="CG29" s="52" t="e">
        <f t="shared" si="81"/>
        <v>#N/A</v>
      </c>
      <c r="CH29" s="51" t="e">
        <f t="shared" si="82"/>
        <v>#N/A</v>
      </c>
      <c r="CI29" s="52" t="e">
        <f t="shared" si="83"/>
        <v>#N/A</v>
      </c>
      <c r="CJ29" s="52" t="e">
        <f t="shared" si="84"/>
        <v>#N/A</v>
      </c>
      <c r="CK29" s="214" t="e">
        <f t="shared" si="85"/>
        <v>#N/A</v>
      </c>
      <c r="CL29" s="214" t="e">
        <f t="shared" si="86"/>
        <v>#VALUE!</v>
      </c>
      <c r="CM29" s="51" t="str">
        <f t="shared" si="87"/>
        <v>-</v>
      </c>
      <c r="CN29" s="52" t="str">
        <f t="shared" si="88"/>
        <v>-</v>
      </c>
      <c r="CO29" s="214" t="str">
        <f t="shared" si="89"/>
        <v>-</v>
      </c>
      <c r="CS29" s="51" t="e">
        <f t="shared" si="93"/>
        <v>#N/A</v>
      </c>
      <c r="CT29" s="52" t="e">
        <f t="shared" si="90"/>
        <v>#N/A</v>
      </c>
      <c r="CU29" s="51" t="e">
        <f t="shared" si="91"/>
        <v>#N/A</v>
      </c>
      <c r="CV29" s="51" t="e">
        <f t="shared" si="92"/>
        <v>#N/A</v>
      </c>
    </row>
    <row r="30" spans="2:100" x14ac:dyDescent="0.25">
      <c r="B30" s="51" t="s">
        <v>1631</v>
      </c>
      <c r="C30" s="219" t="e">
        <f>'DSCR (Single Asset)'!$C$28</f>
        <v>#DIV/0!</v>
      </c>
      <c r="D30" s="193" t="str">
        <f>'DSCR (Legend)'!D11</f>
        <v>700+</v>
      </c>
      <c r="E30" s="192">
        <v>0.6</v>
      </c>
      <c r="F30" s="192">
        <v>0.6</v>
      </c>
      <c r="G30" s="192">
        <v>0.6</v>
      </c>
      <c r="H30" s="192">
        <v>0.6</v>
      </c>
      <c r="I30" s="192">
        <v>0.6</v>
      </c>
      <c r="J30" s="192">
        <v>0.55000000000000004</v>
      </c>
      <c r="K30" s="193" t="s">
        <v>1761</v>
      </c>
      <c r="L30" s="227">
        <v>1.2</v>
      </c>
      <c r="N30" s="53">
        <v>1.5000000000000001E-2</v>
      </c>
      <c r="O30" s="53">
        <f t="shared" si="56"/>
        <v>1.0250000000000001</v>
      </c>
      <c r="P30" s="56" t="e">
        <f t="shared" si="57"/>
        <v>#VALUE!</v>
      </c>
      <c r="Q30" s="57" t="str">
        <f t="shared" si="58"/>
        <v>-</v>
      </c>
      <c r="R30" s="51" t="str">
        <f>IF($Q30="-","-",IF(($Q30/$C$19)&lt;=INDEX('DSCR (Legend)'!$F$3:$H$14,MATCH(($Q30/$C$19),'DSCR (Legend)'!$F$3:$F$14,1),2),INDEX('DSCR (Legend)'!$F$3:$H$14,MATCH(($Q30/$C$19),'DSCR (Legend)'!$F$3:$F$14,1),3),"-"))</f>
        <v>-</v>
      </c>
      <c r="S30" s="56" t="str">
        <f>IFERROR(IF($C$6="SFR",VLOOKUP(S$23,'DSCR (LLPA)'!$M:$V,MATCH($R30,'DSCR (LLPA)'!$M$1:$V$1,0),FALSE),IF($C$6="Multi",VLOOKUP(S$23,'DSCR (LLPA)'!$X:$AG,MATCH($R30,'DSCR (LLPA)'!$X$1:$AG$1,0),FALSE),"-")),"-")</f>
        <v>-</v>
      </c>
      <c r="T30" s="56" t="str">
        <f>IFERROR(IF($C$6="SFR",VLOOKUP(T$23,'DSCR (LLPA)'!$M:$V,MATCH($R30,'DSCR (LLPA)'!$M$1:$V$1,0),FALSE),IF($C$6="Multi",VLOOKUP(T$23,'DSCR (LLPA)'!$X:$AG,MATCH($R30,'DSCR (LLPA)'!$X$1:$AG$1,0),FALSE),"-")),"-")</f>
        <v>-</v>
      </c>
      <c r="U30" s="56" t="str">
        <f>IFERROR(IF($C$6="SFR",VLOOKUP(U$23,'DSCR (LLPA)'!$M:$V,MATCH($R30,'DSCR (LLPA)'!$M$1:$V$1,0),FALSE),IF($C$6="Multi",VLOOKUP(U$23,'DSCR (LLPA)'!$X:$AG,MATCH($R30,'DSCR (LLPA)'!$X$1:$AG$1,0),FALSE),"-")),"-")</f>
        <v>-</v>
      </c>
      <c r="V30" s="56" t="str">
        <f>IFERROR(IF($C$6="SFR",VLOOKUP(V$23,'DSCR (LLPA)'!$M:$V,MATCH($R30,'DSCR (LLPA)'!$M$1:$V$1,0),FALSE),IF($C$6="Multi",VLOOKUP(V$23,'DSCR (LLPA)'!$X:$AG,MATCH($R30,'DSCR (LLPA)'!$X$1:$AG$1,0),FALSE),"-")),"-")</f>
        <v>-</v>
      </c>
      <c r="W30" s="56" t="str">
        <f>IFERROR(IF($C$6="SFR",VLOOKUP(W$23,'DSCR (LLPA)'!$M:$V,MATCH($R30,'DSCR (LLPA)'!$M$1:$V$1,0),FALSE),IF($C$6="Multi",VLOOKUP(W$23,'DSCR (LLPA)'!$X:$AG,MATCH($R30,'DSCR (LLPA)'!$X$1:$AG$1,0),FALSE),"-")),"-")</f>
        <v>-</v>
      </c>
      <c r="X30" s="56" t="str">
        <f>IFERROR(IF($C$6="SFR",VLOOKUP(X$23,'DSCR (LLPA)'!$M:$V,MATCH($R30,'DSCR (LLPA)'!$M$1:$V$1,0),FALSE),IF($C$6="Multi",VLOOKUP(X$23,'DSCR (LLPA)'!$X:$AG,MATCH($R30,'DSCR (LLPA)'!$X$1:$AG$1,0),FALSE),"-")),"-")</f>
        <v>-</v>
      </c>
      <c r="Y30" s="67" t="str">
        <f>IF($Q30="-","-",IF($Q30&lt;=INDEX('DSCR (Legend)'!$J$3:$L$17,MATCH($Q30,'DSCR (Legend)'!$J$3:$J$17,1),2),INDEX('DSCR (Legend)'!$J$3:$L$17,MATCH($Q30,'DSCR (Legend)'!$J$3:$J$17,1),3),"-"))</f>
        <v>-</v>
      </c>
      <c r="Z30" s="67" t="str">
        <f>IFERROR(IF($C$6="SFR",VLOOKUP($Y30,'DSCR (LLPA)'!$M:$V,MATCH($R30,'DSCR (LLPA)'!$M$1:$V$1,0),FALSE),IF($C$6="Multi",VLOOKUP($Y30,'DSCR (LLPA)'!$X:$AG,MATCH($R30,'DSCR (LLPA)'!$X$1:$AG$1,0),FALSE),"-")),"-")</f>
        <v>-</v>
      </c>
      <c r="AA30" s="56" t="str">
        <f>IFERROR(IF($C$6="SFR",VLOOKUP(AA$23,'DSCR (LLPA)'!$M:$V,MATCH($R30,'DSCR (LLPA)'!$M$1:$V$1,0),FALSE),IF($C$6="Multi",VLOOKUP(AA$23,'DSCR (LLPA)'!$X:$AG,MATCH($R30,'DSCR (LLPA)'!$X$1:$AG$1,0),FALSE),"-")),"-")</f>
        <v>-</v>
      </c>
      <c r="AB30" s="67" t="str">
        <f t="shared" si="59"/>
        <v>-</v>
      </c>
      <c r="AC30" s="56" t="str">
        <f>IF($AB30="-","-",IF($C$6="SFR",VLOOKUP($C$10,'DSCR (LLPA)'!$B$36:$K$50,MATCH($R30,'DSCR (LLPA)'!$B$36:$K$36,0),FALSE),IF($C$6="Multi",VLOOKUP($C$10,'DSCR (LLPA)'!$B$53:$K$67,MATCH($R30,'DSCR (LLPA)'!$B$53:$K$53,0),FALSE),"-")))</f>
        <v>-</v>
      </c>
      <c r="AD30" s="56" t="str">
        <f t="shared" si="60"/>
        <v>-</v>
      </c>
      <c r="AE30" s="52" t="str">
        <f t="shared" si="61"/>
        <v>-</v>
      </c>
      <c r="AF30" s="214" t="str">
        <f t="shared" si="62"/>
        <v>-</v>
      </c>
      <c r="AG30" s="52" t="str">
        <f t="shared" si="63"/>
        <v>-</v>
      </c>
      <c r="AH30" s="52" t="str">
        <f t="shared" si="64"/>
        <v>-</v>
      </c>
      <c r="AI30" s="52">
        <f t="shared" si="65"/>
        <v>0</v>
      </c>
      <c r="AN30" s="53"/>
      <c r="AO30" s="53"/>
      <c r="AP30" s="56"/>
      <c r="AQ30" s="57"/>
      <c r="AS30" s="56"/>
      <c r="AT30" s="56"/>
      <c r="AU30" s="56"/>
      <c r="AV30" s="56"/>
      <c r="AW30" s="56"/>
      <c r="AX30" s="56"/>
      <c r="AY30" s="67"/>
      <c r="AZ30" s="67"/>
      <c r="BA30" s="56"/>
      <c r="BB30" s="67"/>
      <c r="BC30" s="56"/>
      <c r="BD30" s="56"/>
      <c r="BE30" s="52"/>
      <c r="BF30" s="225" t="s">
        <v>1635</v>
      </c>
      <c r="BG30" s="52" t="s">
        <v>1751</v>
      </c>
      <c r="BH30" s="224" t="e">
        <f t="shared" si="66"/>
        <v>#VALUE!</v>
      </c>
      <c r="BI30" s="52"/>
      <c r="BJ30" s="52"/>
      <c r="BK30" s="52"/>
      <c r="BL30" s="52"/>
      <c r="BM30" s="52"/>
      <c r="BN30" s="52"/>
      <c r="BO30" s="52"/>
      <c r="BP30" s="52"/>
      <c r="BR30" s="53">
        <v>0.01</v>
      </c>
      <c r="BS30" s="206">
        <f t="shared" si="67"/>
        <v>103</v>
      </c>
      <c r="BT30" s="217" t="e">
        <f t="shared" si="68"/>
        <v>#N/A</v>
      </c>
      <c r="BU30" s="67" t="e">
        <f t="shared" si="69"/>
        <v>#N/A</v>
      </c>
      <c r="BV30" s="216" t="e">
        <f t="shared" si="70"/>
        <v>#N/A</v>
      </c>
      <c r="BW30" s="216" t="e">
        <f t="shared" si="71"/>
        <v>#N/A</v>
      </c>
      <c r="BX30" s="51" t="e">
        <f t="shared" si="72"/>
        <v>#N/A</v>
      </c>
      <c r="BY30" s="215" t="e">
        <f t="shared" si="73"/>
        <v>#N/A</v>
      </c>
      <c r="BZ30" s="51" t="e">
        <f t="shared" si="74"/>
        <v>#N/A</v>
      </c>
      <c r="CA30" s="52">
        <f t="shared" si="75"/>
        <v>0</v>
      </c>
      <c r="CB30" s="52">
        <f t="shared" si="76"/>
        <v>0</v>
      </c>
      <c r="CC30" s="52">
        <f t="shared" si="77"/>
        <v>0</v>
      </c>
      <c r="CD30" s="52">
        <f t="shared" si="78"/>
        <v>0</v>
      </c>
      <c r="CE30" s="215" t="e">
        <f t="shared" si="79"/>
        <v>#N/A</v>
      </c>
      <c r="CF30" s="51" t="e">
        <f t="shared" si="80"/>
        <v>#N/A</v>
      </c>
      <c r="CG30" s="52" t="e">
        <f t="shared" si="81"/>
        <v>#N/A</v>
      </c>
      <c r="CH30" s="51" t="e">
        <f t="shared" si="82"/>
        <v>#N/A</v>
      </c>
      <c r="CI30" s="52" t="e">
        <f t="shared" si="83"/>
        <v>#N/A</v>
      </c>
      <c r="CJ30" s="52" t="e">
        <f t="shared" si="84"/>
        <v>#N/A</v>
      </c>
      <c r="CK30" s="214" t="e">
        <f t="shared" si="85"/>
        <v>#N/A</v>
      </c>
      <c r="CL30" s="214" t="e">
        <f t="shared" si="86"/>
        <v>#VALUE!</v>
      </c>
      <c r="CM30" s="51" t="str">
        <f t="shared" si="87"/>
        <v>-</v>
      </c>
      <c r="CN30" s="52" t="str">
        <f t="shared" si="88"/>
        <v>-</v>
      </c>
      <c r="CO30" s="214" t="str">
        <f t="shared" si="89"/>
        <v>-</v>
      </c>
      <c r="CS30" s="51" t="e">
        <f t="shared" si="93"/>
        <v>#N/A</v>
      </c>
      <c r="CT30" s="52" t="e">
        <f t="shared" si="90"/>
        <v>#N/A</v>
      </c>
      <c r="CU30" s="51" t="e">
        <f t="shared" si="91"/>
        <v>#N/A</v>
      </c>
      <c r="CV30" s="51" t="e">
        <f t="shared" si="92"/>
        <v>#N/A</v>
      </c>
    </row>
    <row r="31" spans="2:100" x14ac:dyDescent="0.25">
      <c r="B31" s="51" t="s">
        <v>124</v>
      </c>
      <c r="C31" s="222" t="e">
        <f>IF($C$30&lt;=INDEX('DSCR (Legend)'!$N$3:$P$10,MATCH($C$30,'DSCR (Legend)'!$N$3:$N$10,1),2),INDEX('DSCR (Legend)'!$N$3:$P$10,MATCH($C$30,'DSCR (Legend)'!$N$3:$N$10,1),3),"-")</f>
        <v>#DIV/0!</v>
      </c>
      <c r="D31" s="193" t="str">
        <f>'DSCR (Legend)'!D12</f>
        <v>720+</v>
      </c>
      <c r="E31" s="192">
        <v>0.65</v>
      </c>
      <c r="F31" s="192">
        <v>0.65</v>
      </c>
      <c r="G31" s="192">
        <v>0.65</v>
      </c>
      <c r="H31" s="192">
        <v>0.65</v>
      </c>
      <c r="I31" s="192">
        <v>0.65</v>
      </c>
      <c r="J31" s="192">
        <v>0.6</v>
      </c>
      <c r="K31" s="51" t="s">
        <v>1760</v>
      </c>
      <c r="L31" s="226" t="e">
        <f>L29/L30</f>
        <v>#VALUE!</v>
      </c>
      <c r="N31" s="53">
        <v>1.7500000000000002E-2</v>
      </c>
      <c r="O31" s="53">
        <f t="shared" si="56"/>
        <v>1.0225</v>
      </c>
      <c r="P31" s="56" t="e">
        <f t="shared" si="57"/>
        <v>#VALUE!</v>
      </c>
      <c r="Q31" s="57" t="str">
        <f t="shared" si="58"/>
        <v>-</v>
      </c>
      <c r="R31" s="51" t="str">
        <f>IF($Q31="-","-",IF(($Q31/$C$19)&lt;=INDEX('DSCR (Legend)'!$F$3:$H$14,MATCH(($Q31/$C$19),'DSCR (Legend)'!$F$3:$F$14,1),2),INDEX('DSCR (Legend)'!$F$3:$H$14,MATCH(($Q31/$C$19),'DSCR (Legend)'!$F$3:$F$14,1),3),"-"))</f>
        <v>-</v>
      </c>
      <c r="S31" s="56" t="str">
        <f>IFERROR(IF($C$6="SFR",VLOOKUP(S$23,'DSCR (LLPA)'!$M:$V,MATCH($R31,'DSCR (LLPA)'!$M$1:$V$1,0),FALSE),IF($C$6="Multi",VLOOKUP(S$23,'DSCR (LLPA)'!$X:$AG,MATCH($R31,'DSCR (LLPA)'!$X$1:$AG$1,0),FALSE),"-")),"-")</f>
        <v>-</v>
      </c>
      <c r="T31" s="56" t="str">
        <f>IFERROR(IF($C$6="SFR",VLOOKUP(T$23,'DSCR (LLPA)'!$M:$V,MATCH($R31,'DSCR (LLPA)'!$M$1:$V$1,0),FALSE),IF($C$6="Multi",VLOOKUP(T$23,'DSCR (LLPA)'!$X:$AG,MATCH($R31,'DSCR (LLPA)'!$X$1:$AG$1,0),FALSE),"-")),"-")</f>
        <v>-</v>
      </c>
      <c r="U31" s="56" t="str">
        <f>IFERROR(IF($C$6="SFR",VLOOKUP(U$23,'DSCR (LLPA)'!$M:$V,MATCH($R31,'DSCR (LLPA)'!$M$1:$V$1,0),FALSE),IF($C$6="Multi",VLOOKUP(U$23,'DSCR (LLPA)'!$X:$AG,MATCH($R31,'DSCR (LLPA)'!$X$1:$AG$1,0),FALSE),"-")),"-")</f>
        <v>-</v>
      </c>
      <c r="V31" s="56" t="str">
        <f>IFERROR(IF($C$6="SFR",VLOOKUP(V$23,'DSCR (LLPA)'!$M:$V,MATCH($R31,'DSCR (LLPA)'!$M$1:$V$1,0),FALSE),IF($C$6="Multi",VLOOKUP(V$23,'DSCR (LLPA)'!$X:$AG,MATCH($R31,'DSCR (LLPA)'!$X$1:$AG$1,0),FALSE),"-")),"-")</f>
        <v>-</v>
      </c>
      <c r="W31" s="56" t="str">
        <f>IFERROR(IF($C$6="SFR",VLOOKUP(W$23,'DSCR (LLPA)'!$M:$V,MATCH($R31,'DSCR (LLPA)'!$M$1:$V$1,0),FALSE),IF($C$6="Multi",VLOOKUP(W$23,'DSCR (LLPA)'!$X:$AG,MATCH($R31,'DSCR (LLPA)'!$X$1:$AG$1,0),FALSE),"-")),"-")</f>
        <v>-</v>
      </c>
      <c r="X31" s="56" t="str">
        <f>IFERROR(IF($C$6="SFR",VLOOKUP(X$23,'DSCR (LLPA)'!$M:$V,MATCH($R31,'DSCR (LLPA)'!$M$1:$V$1,0),FALSE),IF($C$6="Multi",VLOOKUP(X$23,'DSCR (LLPA)'!$X:$AG,MATCH($R31,'DSCR (LLPA)'!$X$1:$AG$1,0),FALSE),"-")),"-")</f>
        <v>-</v>
      </c>
      <c r="Y31" s="67" t="str">
        <f>IF($Q31="-","-",IF($Q31&lt;=INDEX('DSCR (Legend)'!$J$3:$L$17,MATCH($Q31,'DSCR (Legend)'!$J$3:$J$17,1),2),INDEX('DSCR (Legend)'!$J$3:$L$17,MATCH($Q31,'DSCR (Legend)'!$J$3:$J$17,1),3),"-"))</f>
        <v>-</v>
      </c>
      <c r="Z31" s="67" t="str">
        <f>IFERROR(IF($C$6="SFR",VLOOKUP($Y31,'DSCR (LLPA)'!$M:$V,MATCH($R31,'DSCR (LLPA)'!$M$1:$V$1,0),FALSE),IF($C$6="Multi",VLOOKUP($Y31,'DSCR (LLPA)'!$X:$AG,MATCH($R31,'DSCR (LLPA)'!$X$1:$AG$1,0),FALSE),"-")),"-")</f>
        <v>-</v>
      </c>
      <c r="AA31" s="56" t="str">
        <f>IFERROR(IF($C$6="SFR",VLOOKUP(AA$23,'DSCR (LLPA)'!$M:$V,MATCH($R31,'DSCR (LLPA)'!$M$1:$V$1,0),FALSE),IF($C$6="Multi",VLOOKUP(AA$23,'DSCR (LLPA)'!$X:$AG,MATCH($R31,'DSCR (LLPA)'!$X$1:$AG$1,0),FALSE),"-")),"-")</f>
        <v>-</v>
      </c>
      <c r="AB31" s="67" t="str">
        <f t="shared" si="59"/>
        <v>-</v>
      </c>
      <c r="AC31" s="56" t="str">
        <f>IF($AB31="-","-",IF($C$6="SFR",VLOOKUP($C$10,'DSCR (LLPA)'!$B$36:$K$50,MATCH($R31,'DSCR (LLPA)'!$B$36:$K$36,0),FALSE),IF($C$6="Multi",VLOOKUP($C$10,'DSCR (LLPA)'!$B$53:$K$67,MATCH($R31,'DSCR (LLPA)'!$B$53:$K$53,0),FALSE),"-")))</f>
        <v>-</v>
      </c>
      <c r="AD31" s="56" t="str">
        <f t="shared" si="60"/>
        <v>-</v>
      </c>
      <c r="AE31" s="52" t="str">
        <f t="shared" si="61"/>
        <v>-</v>
      </c>
      <c r="AF31" s="214" t="str">
        <f t="shared" si="62"/>
        <v>-</v>
      </c>
      <c r="AG31" s="52" t="str">
        <f t="shared" si="63"/>
        <v>-</v>
      </c>
      <c r="AH31" s="52" t="str">
        <f t="shared" si="64"/>
        <v>-</v>
      </c>
      <c r="AI31" s="52">
        <f t="shared" si="65"/>
        <v>0</v>
      </c>
      <c r="AN31" s="53"/>
      <c r="AO31" s="53"/>
      <c r="AP31" s="56"/>
      <c r="AQ31" s="57"/>
      <c r="AS31" s="56"/>
      <c r="AT31" s="56"/>
      <c r="AU31" s="56"/>
      <c r="AV31" s="56"/>
      <c r="AW31" s="56"/>
      <c r="AX31" s="56"/>
      <c r="AY31" s="67"/>
      <c r="AZ31" s="67"/>
      <c r="BA31" s="56"/>
      <c r="BB31" s="67"/>
      <c r="BC31" s="56"/>
      <c r="BD31" s="56"/>
      <c r="BE31" s="52"/>
      <c r="BF31" s="225" t="s">
        <v>1634</v>
      </c>
      <c r="BG31" s="52" t="s">
        <v>1750</v>
      </c>
      <c r="BH31" s="224" t="e">
        <f t="shared" si="66"/>
        <v>#VALUE!</v>
      </c>
      <c r="BI31" s="52"/>
      <c r="BJ31" s="52"/>
      <c r="BK31" s="52"/>
      <c r="BL31" s="52"/>
      <c r="BM31" s="52"/>
      <c r="BN31" s="52"/>
      <c r="BO31" s="52"/>
      <c r="BP31" s="52"/>
      <c r="BR31" s="53">
        <v>1.2500000000000001E-2</v>
      </c>
      <c r="BS31" s="206">
        <f t="shared" si="67"/>
        <v>102.75</v>
      </c>
      <c r="BT31" s="217" t="e">
        <f t="shared" si="68"/>
        <v>#N/A</v>
      </c>
      <c r="BU31" s="67" t="e">
        <f t="shared" si="69"/>
        <v>#N/A</v>
      </c>
      <c r="BV31" s="216" t="e">
        <f t="shared" si="70"/>
        <v>#N/A</v>
      </c>
      <c r="BW31" s="216" t="e">
        <f t="shared" si="71"/>
        <v>#N/A</v>
      </c>
      <c r="BX31" s="51" t="e">
        <f t="shared" si="72"/>
        <v>#N/A</v>
      </c>
      <c r="BY31" s="215" t="e">
        <f t="shared" si="73"/>
        <v>#N/A</v>
      </c>
      <c r="BZ31" s="51" t="e">
        <f t="shared" si="74"/>
        <v>#N/A</v>
      </c>
      <c r="CA31" s="52">
        <f t="shared" si="75"/>
        <v>0</v>
      </c>
      <c r="CB31" s="52">
        <f t="shared" si="76"/>
        <v>0</v>
      </c>
      <c r="CC31" s="52">
        <f t="shared" si="77"/>
        <v>0</v>
      </c>
      <c r="CD31" s="52">
        <f t="shared" si="78"/>
        <v>0</v>
      </c>
      <c r="CE31" s="215" t="e">
        <f t="shared" si="79"/>
        <v>#N/A</v>
      </c>
      <c r="CF31" s="51" t="e">
        <f t="shared" si="80"/>
        <v>#N/A</v>
      </c>
      <c r="CG31" s="52" t="e">
        <f t="shared" si="81"/>
        <v>#N/A</v>
      </c>
      <c r="CH31" s="51" t="e">
        <f t="shared" si="82"/>
        <v>#N/A</v>
      </c>
      <c r="CI31" s="52" t="e">
        <f t="shared" si="83"/>
        <v>#N/A</v>
      </c>
      <c r="CJ31" s="52" t="e">
        <f t="shared" si="84"/>
        <v>#N/A</v>
      </c>
      <c r="CK31" s="214" t="e">
        <f t="shared" si="85"/>
        <v>#N/A</v>
      </c>
      <c r="CL31" s="214" t="e">
        <f t="shared" si="86"/>
        <v>#VALUE!</v>
      </c>
      <c r="CM31" s="51" t="str">
        <f t="shared" si="87"/>
        <v>-</v>
      </c>
      <c r="CN31" s="52" t="str">
        <f t="shared" si="88"/>
        <v>-</v>
      </c>
      <c r="CO31" s="214" t="str">
        <f t="shared" si="89"/>
        <v>-</v>
      </c>
      <c r="CS31" s="51" t="e">
        <f t="shared" si="93"/>
        <v>#N/A</v>
      </c>
      <c r="CT31" s="52" t="e">
        <f t="shared" si="90"/>
        <v>#N/A</v>
      </c>
      <c r="CU31" s="51" t="e">
        <f t="shared" si="91"/>
        <v>#N/A</v>
      </c>
      <c r="CV31" s="51" t="e">
        <f t="shared" si="92"/>
        <v>#N/A</v>
      </c>
    </row>
    <row r="32" spans="2:100" x14ac:dyDescent="0.25">
      <c r="B32" s="51" t="s">
        <v>1759</v>
      </c>
      <c r="C32" s="223" t="str">
        <f>IFERROR(VLOOKUP(C31,'DSCR (Legend)'!$N$12:$O$19,2,FALSE),"-")</f>
        <v>-</v>
      </c>
      <c r="D32" s="193" t="str">
        <f>'DSCR (Legend)'!D13</f>
        <v>740+</v>
      </c>
      <c r="E32" s="194">
        <v>0.67500000000000004</v>
      </c>
      <c r="F32" s="194">
        <v>0.67500000000000004</v>
      </c>
      <c r="G32" s="194">
        <v>0.67500000000000004</v>
      </c>
      <c r="H32" s="194">
        <v>0.67500000000000004</v>
      </c>
      <c r="I32" s="194">
        <v>0.67500000000000004</v>
      </c>
      <c r="J32" s="194">
        <v>0.65</v>
      </c>
      <c r="N32" s="53">
        <v>0.02</v>
      </c>
      <c r="O32" s="53">
        <f t="shared" si="56"/>
        <v>1.02</v>
      </c>
      <c r="P32" s="56" t="e">
        <f t="shared" si="57"/>
        <v>#VALUE!</v>
      </c>
      <c r="Q32" s="57" t="str">
        <f t="shared" si="58"/>
        <v>-</v>
      </c>
      <c r="R32" s="51" t="str">
        <f>IF($Q32="-","-",IF(($Q32/$C$19)&lt;=INDEX('DSCR (Legend)'!$F$3:$H$14,MATCH(($Q32/$C$19),'DSCR (Legend)'!$F$3:$F$14,1),2),INDEX('DSCR (Legend)'!$F$3:$H$14,MATCH(($Q32/$C$19),'DSCR (Legend)'!$F$3:$F$14,1),3),"-"))</f>
        <v>-</v>
      </c>
      <c r="S32" s="56" t="str">
        <f>IFERROR(IF($C$6="SFR",VLOOKUP(S$23,'DSCR (LLPA)'!$M:$V,MATCH($R32,'DSCR (LLPA)'!$M$1:$V$1,0),FALSE),IF($C$6="Multi",VLOOKUP(S$23,'DSCR (LLPA)'!$X:$AG,MATCH($R32,'DSCR (LLPA)'!$X$1:$AG$1,0),FALSE),"-")),"-")</f>
        <v>-</v>
      </c>
      <c r="T32" s="56" t="str">
        <f>IFERROR(IF($C$6="SFR",VLOOKUP(T$23,'DSCR (LLPA)'!$M:$V,MATCH($R32,'DSCR (LLPA)'!$M$1:$V$1,0),FALSE),IF($C$6="Multi",VLOOKUP(T$23,'DSCR (LLPA)'!$X:$AG,MATCH($R32,'DSCR (LLPA)'!$X$1:$AG$1,0),FALSE),"-")),"-")</f>
        <v>-</v>
      </c>
      <c r="U32" s="56" t="str">
        <f>IFERROR(IF($C$6="SFR",VLOOKUP(U$23,'DSCR (LLPA)'!$M:$V,MATCH($R32,'DSCR (LLPA)'!$M$1:$V$1,0),FALSE),IF($C$6="Multi",VLOOKUP(U$23,'DSCR (LLPA)'!$X:$AG,MATCH($R32,'DSCR (LLPA)'!$X$1:$AG$1,0),FALSE),"-")),"-")</f>
        <v>-</v>
      </c>
      <c r="V32" s="56" t="str">
        <f>IFERROR(IF($C$6="SFR",VLOOKUP(V$23,'DSCR (LLPA)'!$M:$V,MATCH($R32,'DSCR (LLPA)'!$M$1:$V$1,0),FALSE),IF($C$6="Multi",VLOOKUP(V$23,'DSCR (LLPA)'!$X:$AG,MATCH($R32,'DSCR (LLPA)'!$X$1:$AG$1,0),FALSE),"-")),"-")</f>
        <v>-</v>
      </c>
      <c r="W32" s="56" t="str">
        <f>IFERROR(IF($C$6="SFR",VLOOKUP(W$23,'DSCR (LLPA)'!$M:$V,MATCH($R32,'DSCR (LLPA)'!$M$1:$V$1,0),FALSE),IF($C$6="Multi",VLOOKUP(W$23,'DSCR (LLPA)'!$X:$AG,MATCH($R32,'DSCR (LLPA)'!$X$1:$AG$1,0),FALSE),"-")),"-")</f>
        <v>-</v>
      </c>
      <c r="X32" s="56" t="str">
        <f>IFERROR(IF($C$6="SFR",VLOOKUP(X$23,'DSCR (LLPA)'!$M:$V,MATCH($R32,'DSCR (LLPA)'!$M$1:$V$1,0),FALSE),IF($C$6="Multi",VLOOKUP(X$23,'DSCR (LLPA)'!$X:$AG,MATCH($R32,'DSCR (LLPA)'!$X$1:$AG$1,0),FALSE),"-")),"-")</f>
        <v>-</v>
      </c>
      <c r="Y32" s="67" t="str">
        <f>IF($Q32="-","-",IF($Q32&lt;=INDEX('DSCR (Legend)'!$J$3:$L$17,MATCH($Q32,'DSCR (Legend)'!$J$3:$J$17,1),2),INDEX('DSCR (Legend)'!$J$3:$L$17,MATCH($Q32,'DSCR (Legend)'!$J$3:$J$17,1),3),"-"))</f>
        <v>-</v>
      </c>
      <c r="Z32" s="67" t="str">
        <f>IFERROR(IF($C$6="SFR",VLOOKUP($Y32,'DSCR (LLPA)'!$M:$V,MATCH($R32,'DSCR (LLPA)'!$M$1:$V$1,0),FALSE),IF($C$6="Multi",VLOOKUP($Y32,'DSCR (LLPA)'!$X:$AG,MATCH($R32,'DSCR (LLPA)'!$X$1:$AG$1,0),FALSE),"-")),"-")</f>
        <v>-</v>
      </c>
      <c r="AA32" s="56" t="str">
        <f>IFERROR(IF($C$6="SFR",VLOOKUP(AA$23,'DSCR (LLPA)'!$M:$V,MATCH($R32,'DSCR (LLPA)'!$M$1:$V$1,0),FALSE),IF($C$6="Multi",VLOOKUP(AA$23,'DSCR (LLPA)'!$X:$AG,MATCH($R32,'DSCR (LLPA)'!$X$1:$AG$1,0),FALSE),"-")),"-")</f>
        <v>-</v>
      </c>
      <c r="AB32" s="67" t="str">
        <f t="shared" si="59"/>
        <v>-</v>
      </c>
      <c r="AC32" s="56" t="str">
        <f>IF($AB32="-","-",IF($C$6="SFR",VLOOKUP($C$10,'DSCR (LLPA)'!$B$36:$K$50,MATCH($R32,'DSCR (LLPA)'!$B$36:$K$36,0),FALSE),IF($C$6="Multi",VLOOKUP($C$10,'DSCR (LLPA)'!$B$53:$K$67,MATCH($R32,'DSCR (LLPA)'!$B$53:$K$53,0),FALSE),"-")))</f>
        <v>-</v>
      </c>
      <c r="AD32" s="56" t="str">
        <f t="shared" si="60"/>
        <v>-</v>
      </c>
      <c r="AE32" s="52" t="str">
        <f t="shared" si="61"/>
        <v>-</v>
      </c>
      <c r="AF32" s="214" t="str">
        <f t="shared" si="62"/>
        <v>-</v>
      </c>
      <c r="AG32" s="52" t="str">
        <f t="shared" si="63"/>
        <v>-</v>
      </c>
      <c r="AH32" s="52" t="str">
        <f t="shared" si="64"/>
        <v>-</v>
      </c>
      <c r="AI32" s="52">
        <f t="shared" si="65"/>
        <v>0</v>
      </c>
      <c r="AN32" s="53"/>
      <c r="AO32" s="53"/>
      <c r="AP32" s="56"/>
      <c r="AQ32" s="57"/>
      <c r="AS32" s="56"/>
      <c r="AT32" s="56"/>
      <c r="AU32" s="56"/>
      <c r="AV32" s="56"/>
      <c r="AW32" s="56"/>
      <c r="AX32" s="56"/>
      <c r="AY32" s="67"/>
      <c r="AZ32" s="67"/>
      <c r="BA32" s="56"/>
      <c r="BB32" s="67"/>
      <c r="BC32" s="56"/>
      <c r="BD32" s="56"/>
      <c r="BE32" s="52"/>
      <c r="BF32" s="214"/>
      <c r="BG32" s="52"/>
      <c r="BH32" s="52"/>
      <c r="BI32" s="52"/>
      <c r="BJ32" s="52"/>
      <c r="BK32" s="52"/>
      <c r="BL32" s="52"/>
      <c r="BM32" s="52"/>
      <c r="BN32" s="52"/>
      <c r="BO32" s="52"/>
      <c r="BP32" s="52"/>
      <c r="BR32" s="53">
        <v>1.5000000000000001E-2</v>
      </c>
      <c r="BS32" s="206">
        <f t="shared" si="67"/>
        <v>102.5</v>
      </c>
      <c r="BT32" s="217" t="e">
        <f t="shared" si="68"/>
        <v>#N/A</v>
      </c>
      <c r="BU32" s="67" t="e">
        <f t="shared" si="69"/>
        <v>#N/A</v>
      </c>
      <c r="BV32" s="216" t="e">
        <f t="shared" si="70"/>
        <v>#N/A</v>
      </c>
      <c r="BW32" s="216" t="e">
        <f t="shared" si="71"/>
        <v>#N/A</v>
      </c>
      <c r="BX32" s="51" t="e">
        <f t="shared" si="72"/>
        <v>#N/A</v>
      </c>
      <c r="BY32" s="215" t="e">
        <f t="shared" si="73"/>
        <v>#N/A</v>
      </c>
      <c r="BZ32" s="51" t="e">
        <f t="shared" si="74"/>
        <v>#N/A</v>
      </c>
      <c r="CA32" s="52">
        <f t="shared" si="75"/>
        <v>0</v>
      </c>
      <c r="CB32" s="52">
        <f t="shared" si="76"/>
        <v>0</v>
      </c>
      <c r="CC32" s="52">
        <f t="shared" si="77"/>
        <v>0</v>
      </c>
      <c r="CD32" s="52">
        <f t="shared" si="78"/>
        <v>0</v>
      </c>
      <c r="CE32" s="215" t="e">
        <f t="shared" si="79"/>
        <v>#N/A</v>
      </c>
      <c r="CF32" s="51" t="e">
        <f t="shared" si="80"/>
        <v>#N/A</v>
      </c>
      <c r="CG32" s="52" t="e">
        <f t="shared" si="81"/>
        <v>#N/A</v>
      </c>
      <c r="CH32" s="51" t="e">
        <f t="shared" si="82"/>
        <v>#N/A</v>
      </c>
      <c r="CI32" s="52" t="e">
        <f t="shared" si="83"/>
        <v>#N/A</v>
      </c>
      <c r="CJ32" s="52" t="e">
        <f t="shared" si="84"/>
        <v>#N/A</v>
      </c>
      <c r="CK32" s="214" t="e">
        <f t="shared" si="85"/>
        <v>#N/A</v>
      </c>
      <c r="CL32" s="214" t="e">
        <f t="shared" si="86"/>
        <v>#VALUE!</v>
      </c>
      <c r="CM32" s="51" t="str">
        <f t="shared" si="87"/>
        <v>-</v>
      </c>
      <c r="CN32" s="52" t="str">
        <f t="shared" si="88"/>
        <v>-</v>
      </c>
      <c r="CO32" s="214" t="str">
        <f t="shared" si="89"/>
        <v>-</v>
      </c>
      <c r="CS32" s="51" t="e">
        <f t="shared" si="93"/>
        <v>#N/A</v>
      </c>
      <c r="CT32" s="52" t="e">
        <f t="shared" si="90"/>
        <v>#N/A</v>
      </c>
      <c r="CU32" s="51" t="e">
        <f t="shared" si="91"/>
        <v>#N/A</v>
      </c>
      <c r="CV32" s="51" t="e">
        <f t="shared" si="92"/>
        <v>#N/A</v>
      </c>
    </row>
    <row r="33" spans="2:100" x14ac:dyDescent="0.25">
      <c r="D33" s="193" t="str">
        <f>'DSCR (Legend)'!D14</f>
        <v>760+</v>
      </c>
      <c r="E33" s="194">
        <v>0.67500000000000004</v>
      </c>
      <c r="F33" s="194">
        <v>0.67500000000000004</v>
      </c>
      <c r="G33" s="194">
        <v>0.67500000000000004</v>
      </c>
      <c r="H33" s="194">
        <v>0.67500000000000004</v>
      </c>
      <c r="I33" s="194">
        <v>0.67500000000000004</v>
      </c>
      <c r="J33" s="194">
        <v>0.65</v>
      </c>
      <c r="N33" s="53">
        <v>2.2499999999999999E-2</v>
      </c>
      <c r="O33" s="53">
        <f t="shared" si="56"/>
        <v>1.0175000000000001</v>
      </c>
      <c r="P33" s="56" t="e">
        <f t="shared" si="57"/>
        <v>#VALUE!</v>
      </c>
      <c r="Q33" s="57" t="str">
        <f t="shared" si="58"/>
        <v>-</v>
      </c>
      <c r="R33" s="51" t="str">
        <f>IF($Q33="-","-",IF(($Q33/$C$19)&lt;=INDEX('DSCR (Legend)'!$F$3:$H$14,MATCH(($Q33/$C$19),'DSCR (Legend)'!$F$3:$F$14,1),2),INDEX('DSCR (Legend)'!$F$3:$H$14,MATCH(($Q33/$C$19),'DSCR (Legend)'!$F$3:$F$14,1),3),"-"))</f>
        <v>-</v>
      </c>
      <c r="S33" s="56" t="str">
        <f>IFERROR(IF($C$6="SFR",VLOOKUP(S$23,'DSCR (LLPA)'!$M:$V,MATCH($R33,'DSCR (LLPA)'!$M$1:$V$1,0),FALSE),IF($C$6="Multi",VLOOKUP(S$23,'DSCR (LLPA)'!$X:$AG,MATCH($R33,'DSCR (LLPA)'!$X$1:$AG$1,0),FALSE),"-")),"-")</f>
        <v>-</v>
      </c>
      <c r="T33" s="56" t="str">
        <f>IFERROR(IF($C$6="SFR",VLOOKUP(T$23,'DSCR (LLPA)'!$M:$V,MATCH($R33,'DSCR (LLPA)'!$M$1:$V$1,0),FALSE),IF($C$6="Multi",VLOOKUP(T$23,'DSCR (LLPA)'!$X:$AG,MATCH($R33,'DSCR (LLPA)'!$X$1:$AG$1,0),FALSE),"-")),"-")</f>
        <v>-</v>
      </c>
      <c r="U33" s="56" t="str">
        <f>IFERROR(IF($C$6="SFR",VLOOKUP(U$23,'DSCR (LLPA)'!$M:$V,MATCH($R33,'DSCR (LLPA)'!$M$1:$V$1,0),FALSE),IF($C$6="Multi",VLOOKUP(U$23,'DSCR (LLPA)'!$X:$AG,MATCH($R33,'DSCR (LLPA)'!$X$1:$AG$1,0),FALSE),"-")),"-")</f>
        <v>-</v>
      </c>
      <c r="V33" s="56" t="str">
        <f>IFERROR(IF($C$6="SFR",VLOOKUP(V$23,'DSCR (LLPA)'!$M:$V,MATCH($R33,'DSCR (LLPA)'!$M$1:$V$1,0),FALSE),IF($C$6="Multi",VLOOKUP(V$23,'DSCR (LLPA)'!$X:$AG,MATCH($R33,'DSCR (LLPA)'!$X$1:$AG$1,0),FALSE),"-")),"-")</f>
        <v>-</v>
      </c>
      <c r="W33" s="56" t="str">
        <f>IFERROR(IF($C$6="SFR",VLOOKUP(W$23,'DSCR (LLPA)'!$M:$V,MATCH($R33,'DSCR (LLPA)'!$M$1:$V$1,0),FALSE),IF($C$6="Multi",VLOOKUP(W$23,'DSCR (LLPA)'!$X:$AG,MATCH($R33,'DSCR (LLPA)'!$X$1:$AG$1,0),FALSE),"-")),"-")</f>
        <v>-</v>
      </c>
      <c r="X33" s="56" t="str">
        <f>IFERROR(IF($C$6="SFR",VLOOKUP(X$23,'DSCR (LLPA)'!$M:$V,MATCH($R33,'DSCR (LLPA)'!$M$1:$V$1,0),FALSE),IF($C$6="Multi",VLOOKUP(X$23,'DSCR (LLPA)'!$X:$AG,MATCH($R33,'DSCR (LLPA)'!$X$1:$AG$1,0),FALSE),"-")),"-")</f>
        <v>-</v>
      </c>
      <c r="Y33" s="67" t="str">
        <f>IF($Q33="-","-",IF($Q33&lt;=INDEX('DSCR (Legend)'!$J$3:$L$17,MATCH($Q33,'DSCR (Legend)'!$J$3:$J$17,1),2),INDEX('DSCR (Legend)'!$J$3:$L$17,MATCH($Q33,'DSCR (Legend)'!$J$3:$J$17,1),3),"-"))</f>
        <v>-</v>
      </c>
      <c r="Z33" s="67" t="str">
        <f>IFERROR(IF($C$6="SFR",VLOOKUP($Y33,'DSCR (LLPA)'!$M:$V,MATCH($R33,'DSCR (LLPA)'!$M$1:$V$1,0),FALSE),IF($C$6="Multi",VLOOKUP($Y33,'DSCR (LLPA)'!$X:$AG,MATCH($R33,'DSCR (LLPA)'!$X$1:$AG$1,0),FALSE),"-")),"-")</f>
        <v>-</v>
      </c>
      <c r="AA33" s="56" t="str">
        <f>IFERROR(IF($C$6="SFR",VLOOKUP(AA$23,'DSCR (LLPA)'!$M:$V,MATCH($R33,'DSCR (LLPA)'!$M$1:$V$1,0),FALSE),IF($C$6="Multi",VLOOKUP(AA$23,'DSCR (LLPA)'!$X:$AG,MATCH($R33,'DSCR (LLPA)'!$X$1:$AG$1,0),FALSE),"-")),"-")</f>
        <v>-</v>
      </c>
      <c r="AB33" s="67" t="str">
        <f t="shared" si="59"/>
        <v>-</v>
      </c>
      <c r="AC33" s="56" t="str">
        <f>IF($AB33="-","-",IF($C$6="SFR",VLOOKUP($C$10,'DSCR (LLPA)'!$B$36:$K$50,MATCH($R33,'DSCR (LLPA)'!$B$36:$K$36,0),FALSE),IF($C$6="Multi",VLOOKUP($C$10,'DSCR (LLPA)'!$B$53:$K$67,MATCH($R33,'DSCR (LLPA)'!$B$53:$K$53,0),FALSE),"-")))</f>
        <v>-</v>
      </c>
      <c r="AD33" s="56" t="str">
        <f t="shared" si="60"/>
        <v>-</v>
      </c>
      <c r="AE33" s="52" t="str">
        <f t="shared" si="61"/>
        <v>-</v>
      </c>
      <c r="AF33" s="214" t="str">
        <f t="shared" si="62"/>
        <v>-</v>
      </c>
      <c r="AG33" s="52" t="str">
        <f t="shared" si="63"/>
        <v>-</v>
      </c>
      <c r="AH33" s="52" t="str">
        <f t="shared" si="64"/>
        <v>-</v>
      </c>
      <c r="AI33" s="52">
        <f t="shared" si="65"/>
        <v>0</v>
      </c>
      <c r="AN33" s="53"/>
      <c r="AO33" s="53"/>
      <c r="AP33" s="56"/>
      <c r="AQ33" s="57"/>
      <c r="AS33" s="56"/>
      <c r="AT33" s="56"/>
      <c r="AU33" s="56"/>
      <c r="AV33" s="56"/>
      <c r="AW33" s="56"/>
      <c r="AX33" s="56"/>
      <c r="AY33" s="67"/>
      <c r="AZ33" s="67"/>
      <c r="BA33" s="56"/>
      <c r="BB33" s="67"/>
      <c r="BC33" s="56"/>
      <c r="BD33" s="56"/>
      <c r="BE33" s="52"/>
      <c r="BF33" s="214"/>
      <c r="BG33" s="52"/>
      <c r="BH33" s="52"/>
      <c r="BI33" s="52"/>
      <c r="BJ33" s="52"/>
      <c r="BK33" s="52"/>
      <c r="BL33" s="52"/>
      <c r="BM33" s="52"/>
      <c r="BN33" s="52"/>
      <c r="BO33" s="52"/>
      <c r="BP33" s="52"/>
      <c r="BR33" s="53">
        <v>1.7500000000000002E-2</v>
      </c>
      <c r="BS33" s="206">
        <f t="shared" si="67"/>
        <v>102.25</v>
      </c>
      <c r="BT33" s="217" t="e">
        <f t="shared" si="68"/>
        <v>#N/A</v>
      </c>
      <c r="BU33" s="67" t="e">
        <f t="shared" si="69"/>
        <v>#N/A</v>
      </c>
      <c r="BV33" s="216" t="e">
        <f t="shared" si="70"/>
        <v>#N/A</v>
      </c>
      <c r="BW33" s="216" t="e">
        <f t="shared" si="71"/>
        <v>#N/A</v>
      </c>
      <c r="BX33" s="51" t="e">
        <f t="shared" si="72"/>
        <v>#N/A</v>
      </c>
      <c r="BY33" s="215" t="e">
        <f t="shared" si="73"/>
        <v>#N/A</v>
      </c>
      <c r="BZ33" s="51" t="e">
        <f t="shared" si="74"/>
        <v>#N/A</v>
      </c>
      <c r="CA33" s="52">
        <f t="shared" si="75"/>
        <v>0</v>
      </c>
      <c r="CB33" s="52">
        <f t="shared" si="76"/>
        <v>0</v>
      </c>
      <c r="CC33" s="52">
        <f t="shared" si="77"/>
        <v>0</v>
      </c>
      <c r="CD33" s="52">
        <f t="shared" si="78"/>
        <v>0</v>
      </c>
      <c r="CE33" s="215" t="e">
        <f t="shared" si="79"/>
        <v>#N/A</v>
      </c>
      <c r="CF33" s="51" t="e">
        <f t="shared" si="80"/>
        <v>#N/A</v>
      </c>
      <c r="CG33" s="52" t="e">
        <f t="shared" si="81"/>
        <v>#N/A</v>
      </c>
      <c r="CH33" s="51" t="e">
        <f t="shared" si="82"/>
        <v>#N/A</v>
      </c>
      <c r="CI33" s="52" t="e">
        <f t="shared" si="83"/>
        <v>#N/A</v>
      </c>
      <c r="CJ33" s="52" t="e">
        <f t="shared" si="84"/>
        <v>#N/A</v>
      </c>
      <c r="CK33" s="214" t="e">
        <f t="shared" si="85"/>
        <v>#N/A</v>
      </c>
      <c r="CL33" s="214" t="e">
        <f t="shared" si="86"/>
        <v>#VALUE!</v>
      </c>
      <c r="CM33" s="51" t="str">
        <f t="shared" si="87"/>
        <v>-</v>
      </c>
      <c r="CN33" s="52" t="str">
        <f t="shared" si="88"/>
        <v>-</v>
      </c>
      <c r="CO33" s="214" t="str">
        <f t="shared" si="89"/>
        <v>-</v>
      </c>
      <c r="CS33" s="51" t="e">
        <f t="shared" si="93"/>
        <v>#N/A</v>
      </c>
      <c r="CT33" s="52" t="e">
        <f t="shared" si="90"/>
        <v>#N/A</v>
      </c>
      <c r="CU33" s="51" t="e">
        <f t="shared" si="91"/>
        <v>#N/A</v>
      </c>
      <c r="CV33" s="51" t="e">
        <f t="shared" si="92"/>
        <v>#N/A</v>
      </c>
    </row>
    <row r="34" spans="2:100" x14ac:dyDescent="0.25">
      <c r="B34" s="222" t="str">
        <f>$C$3&amp;" "&amp;"LTV"</f>
        <v>0 LTV</v>
      </c>
      <c r="C34" s="221" t="str">
        <f>IF($C$6="SFR",VLOOKUP($C$10,$D$3:$J$17,MATCH($B$34,$D$3:$J$3,0),FALSE),IF($C$6="Multi",VLOOKUP($C$10,$D$22:$J$36,MATCH($B$34,$D$22:$J$22,0),FALSE),"-"))</f>
        <v>-</v>
      </c>
      <c r="D34" s="193" t="str">
        <f>'DSCR (Legend)'!D15</f>
        <v>780+</v>
      </c>
      <c r="E34" s="194">
        <v>0.67500000000000004</v>
      </c>
      <c r="F34" s="194">
        <v>0.67500000000000004</v>
      </c>
      <c r="G34" s="194">
        <v>0.67500000000000004</v>
      </c>
      <c r="H34" s="194">
        <v>0.67500000000000004</v>
      </c>
      <c r="I34" s="194">
        <v>0.67500000000000004</v>
      </c>
      <c r="J34" s="194">
        <v>0.65</v>
      </c>
      <c r="N34" s="53">
        <v>2.4999999999999998E-2</v>
      </c>
      <c r="O34" s="53">
        <f t="shared" si="56"/>
        <v>1.0150000000000001</v>
      </c>
      <c r="P34" s="56" t="e">
        <f t="shared" si="57"/>
        <v>#VALUE!</v>
      </c>
      <c r="Q34" s="57" t="str">
        <f t="shared" si="58"/>
        <v>-</v>
      </c>
      <c r="R34" s="51" t="str">
        <f>IF($Q34="-","-",IF(($Q34/$C$19)&lt;=INDEX('DSCR (Legend)'!$F$3:$H$14,MATCH(($Q34/$C$19),'DSCR (Legend)'!$F$3:$F$14,1),2),INDEX('DSCR (Legend)'!$F$3:$H$14,MATCH(($Q34/$C$19),'DSCR (Legend)'!$F$3:$F$14,1),3),"-"))</f>
        <v>-</v>
      </c>
      <c r="S34" s="56" t="str">
        <f>IFERROR(IF($C$6="SFR",VLOOKUP(S$23,'DSCR (LLPA)'!$M:$V,MATCH($R34,'DSCR (LLPA)'!$M$1:$V$1,0),FALSE),IF($C$6="Multi",VLOOKUP(S$23,'DSCR (LLPA)'!$X:$AG,MATCH($R34,'DSCR (LLPA)'!$X$1:$AG$1,0),FALSE),"-")),"-")</f>
        <v>-</v>
      </c>
      <c r="T34" s="56" t="str">
        <f>IFERROR(IF($C$6="SFR",VLOOKUP(T$23,'DSCR (LLPA)'!$M:$V,MATCH($R34,'DSCR (LLPA)'!$M$1:$V$1,0),FALSE),IF($C$6="Multi",VLOOKUP(T$23,'DSCR (LLPA)'!$X:$AG,MATCH($R34,'DSCR (LLPA)'!$X$1:$AG$1,0),FALSE),"-")),"-")</f>
        <v>-</v>
      </c>
      <c r="U34" s="56" t="str">
        <f>IFERROR(IF($C$6="SFR",VLOOKUP(U$23,'DSCR (LLPA)'!$M:$V,MATCH($R34,'DSCR (LLPA)'!$M$1:$V$1,0),FALSE),IF($C$6="Multi",VLOOKUP(U$23,'DSCR (LLPA)'!$X:$AG,MATCH($R34,'DSCR (LLPA)'!$X$1:$AG$1,0),FALSE),"-")),"-")</f>
        <v>-</v>
      </c>
      <c r="V34" s="56" t="str">
        <f>IFERROR(IF($C$6="SFR",VLOOKUP(V$23,'DSCR (LLPA)'!$M:$V,MATCH($R34,'DSCR (LLPA)'!$M$1:$V$1,0),FALSE),IF($C$6="Multi",VLOOKUP(V$23,'DSCR (LLPA)'!$X:$AG,MATCH($R34,'DSCR (LLPA)'!$X$1:$AG$1,0),FALSE),"-")),"-")</f>
        <v>-</v>
      </c>
      <c r="W34" s="56" t="str">
        <f>IFERROR(IF($C$6="SFR",VLOOKUP(W$23,'DSCR (LLPA)'!$M:$V,MATCH($R34,'DSCR (LLPA)'!$M$1:$V$1,0),FALSE),IF($C$6="Multi",VLOOKUP(W$23,'DSCR (LLPA)'!$X:$AG,MATCH($R34,'DSCR (LLPA)'!$X$1:$AG$1,0),FALSE),"-")),"-")</f>
        <v>-</v>
      </c>
      <c r="X34" s="56" t="str">
        <f>IFERROR(IF($C$6="SFR",VLOOKUP(X$23,'DSCR (LLPA)'!$M:$V,MATCH($R34,'DSCR (LLPA)'!$M$1:$V$1,0),FALSE),IF($C$6="Multi",VLOOKUP(X$23,'DSCR (LLPA)'!$X:$AG,MATCH($R34,'DSCR (LLPA)'!$X$1:$AG$1,0),FALSE),"-")),"-")</f>
        <v>-</v>
      </c>
      <c r="Y34" s="67" t="str">
        <f>IF($Q34="-","-",IF($Q34&lt;=INDEX('DSCR (Legend)'!$J$3:$L$17,MATCH($Q34,'DSCR (Legend)'!$J$3:$J$17,1),2),INDEX('DSCR (Legend)'!$J$3:$L$17,MATCH($Q34,'DSCR (Legend)'!$J$3:$J$17,1),3),"-"))</f>
        <v>-</v>
      </c>
      <c r="Z34" s="67" t="str">
        <f>IFERROR(IF($C$6="SFR",VLOOKUP($Y34,'DSCR (LLPA)'!$M:$V,MATCH($R34,'DSCR (LLPA)'!$M$1:$V$1,0),FALSE),IF($C$6="Multi",VLOOKUP($Y34,'DSCR (LLPA)'!$X:$AG,MATCH($R34,'DSCR (LLPA)'!$X$1:$AG$1,0),FALSE),"-")),"-")</f>
        <v>-</v>
      </c>
      <c r="AA34" s="56" t="str">
        <f>IFERROR(IF($C$6="SFR",VLOOKUP(AA$23,'DSCR (LLPA)'!$M:$V,MATCH($R34,'DSCR (LLPA)'!$M$1:$V$1,0),FALSE),IF($C$6="Multi",VLOOKUP(AA$23,'DSCR (LLPA)'!$X:$AG,MATCH($R34,'DSCR (LLPA)'!$X$1:$AG$1,0),FALSE),"-")),"-")</f>
        <v>-</v>
      </c>
      <c r="AB34" s="67" t="str">
        <f t="shared" si="59"/>
        <v>-</v>
      </c>
      <c r="AC34" s="56" t="str">
        <f>IF($AB34="-","-",IF($C$6="SFR",VLOOKUP($C$10,'DSCR (LLPA)'!$B$36:$K$50,MATCH($R34,'DSCR (LLPA)'!$B$36:$K$36,0),FALSE),IF($C$6="Multi",VLOOKUP($C$10,'DSCR (LLPA)'!$B$53:$K$67,MATCH($R34,'DSCR (LLPA)'!$B$53:$K$53,0),FALSE),"-")))</f>
        <v>-</v>
      </c>
      <c r="AD34" s="56" t="str">
        <f t="shared" si="60"/>
        <v>-</v>
      </c>
      <c r="AE34" s="52" t="str">
        <f t="shared" si="61"/>
        <v>-</v>
      </c>
      <c r="AF34" s="214" t="str">
        <f t="shared" si="62"/>
        <v>-</v>
      </c>
      <c r="AG34" s="52" t="str">
        <f t="shared" si="63"/>
        <v>-</v>
      </c>
      <c r="AH34" s="52" t="str">
        <f t="shared" si="64"/>
        <v>-</v>
      </c>
      <c r="AI34" s="52">
        <f t="shared" si="65"/>
        <v>0</v>
      </c>
      <c r="AN34" s="53"/>
      <c r="AO34" s="53"/>
      <c r="AP34" s="56"/>
      <c r="AQ34" s="57"/>
      <c r="AS34" s="56"/>
      <c r="AT34" s="56"/>
      <c r="AU34" s="56"/>
      <c r="AV34" s="56"/>
      <c r="AW34" s="56"/>
      <c r="AX34" s="56"/>
      <c r="AY34" s="67"/>
      <c r="AZ34" s="67"/>
      <c r="BA34" s="56"/>
      <c r="BB34" s="67"/>
      <c r="BC34" s="56"/>
      <c r="BD34" s="56"/>
      <c r="BE34" s="52"/>
      <c r="BF34" s="214"/>
      <c r="BG34" s="52"/>
      <c r="BH34" s="52"/>
      <c r="BI34" s="52"/>
      <c r="BJ34" s="52"/>
      <c r="BK34" s="52"/>
      <c r="BL34" s="52"/>
      <c r="BM34" s="52"/>
      <c r="BN34" s="52"/>
      <c r="BO34" s="52"/>
      <c r="BP34" s="52"/>
      <c r="BR34" s="53">
        <v>0.02</v>
      </c>
      <c r="BS34" s="206">
        <f t="shared" si="67"/>
        <v>102</v>
      </c>
      <c r="BT34" s="217" t="e">
        <f t="shared" si="68"/>
        <v>#N/A</v>
      </c>
      <c r="BU34" s="67" t="e">
        <f t="shared" si="69"/>
        <v>#N/A</v>
      </c>
      <c r="BV34" s="216" t="e">
        <f t="shared" si="70"/>
        <v>#N/A</v>
      </c>
      <c r="BW34" s="216" t="e">
        <f t="shared" si="71"/>
        <v>#N/A</v>
      </c>
      <c r="BX34" s="51" t="e">
        <f t="shared" si="72"/>
        <v>#N/A</v>
      </c>
      <c r="BY34" s="215" t="e">
        <f t="shared" si="73"/>
        <v>#N/A</v>
      </c>
      <c r="BZ34" s="51" t="e">
        <f t="shared" si="74"/>
        <v>#N/A</v>
      </c>
      <c r="CA34" s="52">
        <f t="shared" si="75"/>
        <v>0</v>
      </c>
      <c r="CB34" s="52">
        <f t="shared" si="76"/>
        <v>0</v>
      </c>
      <c r="CC34" s="52">
        <f t="shared" si="77"/>
        <v>0</v>
      </c>
      <c r="CD34" s="52">
        <f t="shared" si="78"/>
        <v>0</v>
      </c>
      <c r="CE34" s="215" t="e">
        <f t="shared" si="79"/>
        <v>#N/A</v>
      </c>
      <c r="CF34" s="51" t="e">
        <f t="shared" si="80"/>
        <v>#N/A</v>
      </c>
      <c r="CG34" s="52" t="e">
        <f t="shared" si="81"/>
        <v>#N/A</v>
      </c>
      <c r="CH34" s="51" t="e">
        <f t="shared" si="82"/>
        <v>#N/A</v>
      </c>
      <c r="CI34" s="52" t="e">
        <f t="shared" si="83"/>
        <v>#N/A</v>
      </c>
      <c r="CJ34" s="52" t="e">
        <f t="shared" si="84"/>
        <v>#N/A</v>
      </c>
      <c r="CK34" s="214" t="e">
        <f t="shared" si="85"/>
        <v>#N/A</v>
      </c>
      <c r="CL34" s="214" t="e">
        <f t="shared" si="86"/>
        <v>#VALUE!</v>
      </c>
      <c r="CM34" s="51" t="str">
        <f t="shared" si="87"/>
        <v>-</v>
      </c>
      <c r="CN34" s="52" t="str">
        <f t="shared" si="88"/>
        <v>-</v>
      </c>
      <c r="CO34" s="214" t="str">
        <f t="shared" si="89"/>
        <v>-</v>
      </c>
      <c r="CS34" s="51" t="e">
        <f t="shared" si="93"/>
        <v>#N/A</v>
      </c>
      <c r="CT34" s="52" t="e">
        <f t="shared" si="90"/>
        <v>#N/A</v>
      </c>
      <c r="CU34" s="51" t="e">
        <f t="shared" si="91"/>
        <v>#N/A</v>
      </c>
      <c r="CV34" s="51" t="e">
        <f t="shared" si="92"/>
        <v>#N/A</v>
      </c>
    </row>
    <row r="35" spans="2:100" x14ac:dyDescent="0.25">
      <c r="B35" s="222" t="str">
        <f>$C$3&amp;" "&amp;"LTC"</f>
        <v>0 LTC</v>
      </c>
      <c r="C35" s="221" t="str">
        <f>IF($C$6="SFR",VLOOKUP($C$10,$D$3:$J$17,MATCH($B$35,$D$3:$J$3,0),FALSE),IF($C$6="Multi",VLOOKUP($C$10,$D$22:$J$36,MATCH($B$35,$D$22:$J$22,0),FALSE),"-"))</f>
        <v>-</v>
      </c>
      <c r="D35" s="193" t="str">
        <f>'DSCR (Legend)'!D16</f>
        <v>800+</v>
      </c>
      <c r="E35" s="194">
        <v>0.67500000000000004</v>
      </c>
      <c r="F35" s="194">
        <v>0.67500000000000004</v>
      </c>
      <c r="G35" s="194">
        <v>0.67500000000000004</v>
      </c>
      <c r="H35" s="194">
        <v>0.67500000000000004</v>
      </c>
      <c r="I35" s="194">
        <v>0.67500000000000004</v>
      </c>
      <c r="J35" s="194">
        <v>0.65</v>
      </c>
      <c r="N35" s="53">
        <v>2.7499999999999997E-2</v>
      </c>
      <c r="O35" s="53">
        <f t="shared" si="56"/>
        <v>1.0125</v>
      </c>
      <c r="P35" s="56" t="e">
        <f t="shared" si="57"/>
        <v>#VALUE!</v>
      </c>
      <c r="Q35" s="57" t="str">
        <f t="shared" si="58"/>
        <v>-</v>
      </c>
      <c r="R35" s="51" t="str">
        <f>IF($Q35="-","-",IF(($Q35/$C$19)&lt;=INDEX('DSCR (Legend)'!$F$3:$H$14,MATCH(($Q35/$C$19),'DSCR (Legend)'!$F$3:$F$14,1),2),INDEX('DSCR (Legend)'!$F$3:$H$14,MATCH(($Q35/$C$19),'DSCR (Legend)'!$F$3:$F$14,1),3),"-"))</f>
        <v>-</v>
      </c>
      <c r="S35" s="56" t="str">
        <f>IFERROR(IF($C$6="SFR",VLOOKUP(S$23,'DSCR (LLPA)'!$M:$V,MATCH($R35,'DSCR (LLPA)'!$M$1:$V$1,0),FALSE),IF($C$6="Multi",VLOOKUP(S$23,'DSCR (LLPA)'!$X:$AG,MATCH($R35,'DSCR (LLPA)'!$X$1:$AG$1,0),FALSE),"-")),"-")</f>
        <v>-</v>
      </c>
      <c r="T35" s="56" t="str">
        <f>IFERROR(IF($C$6="SFR",VLOOKUP(T$23,'DSCR (LLPA)'!$M:$V,MATCH($R35,'DSCR (LLPA)'!$M$1:$V$1,0),FALSE),IF($C$6="Multi",VLOOKUP(T$23,'DSCR (LLPA)'!$X:$AG,MATCH($R35,'DSCR (LLPA)'!$X$1:$AG$1,0),FALSE),"-")),"-")</f>
        <v>-</v>
      </c>
      <c r="U35" s="56" t="str">
        <f>IFERROR(IF($C$6="SFR",VLOOKUP(U$23,'DSCR (LLPA)'!$M:$V,MATCH($R35,'DSCR (LLPA)'!$M$1:$V$1,0),FALSE),IF($C$6="Multi",VLOOKUP(U$23,'DSCR (LLPA)'!$X:$AG,MATCH($R35,'DSCR (LLPA)'!$X$1:$AG$1,0),FALSE),"-")),"-")</f>
        <v>-</v>
      </c>
      <c r="V35" s="56" t="str">
        <f>IFERROR(IF($C$6="SFR",VLOOKUP(V$23,'DSCR (LLPA)'!$M:$V,MATCH($R35,'DSCR (LLPA)'!$M$1:$V$1,0),FALSE),IF($C$6="Multi",VLOOKUP(V$23,'DSCR (LLPA)'!$X:$AG,MATCH($R35,'DSCR (LLPA)'!$X$1:$AG$1,0),FALSE),"-")),"-")</f>
        <v>-</v>
      </c>
      <c r="W35" s="56" t="str">
        <f>IFERROR(IF($C$6="SFR",VLOOKUP(W$23,'DSCR (LLPA)'!$M:$V,MATCH($R35,'DSCR (LLPA)'!$M$1:$V$1,0),FALSE),IF($C$6="Multi",VLOOKUP(W$23,'DSCR (LLPA)'!$X:$AG,MATCH($R35,'DSCR (LLPA)'!$X$1:$AG$1,0),FALSE),"-")),"-")</f>
        <v>-</v>
      </c>
      <c r="X35" s="56" t="str">
        <f>IFERROR(IF($C$6="SFR",VLOOKUP(X$23,'DSCR (LLPA)'!$M:$V,MATCH($R35,'DSCR (LLPA)'!$M$1:$V$1,0),FALSE),IF($C$6="Multi",VLOOKUP(X$23,'DSCR (LLPA)'!$X:$AG,MATCH($R35,'DSCR (LLPA)'!$X$1:$AG$1,0),FALSE),"-")),"-")</f>
        <v>-</v>
      </c>
      <c r="Y35" s="67" t="str">
        <f>IF($Q35="-","-",IF($Q35&lt;=INDEX('DSCR (Legend)'!$J$3:$L$17,MATCH($Q35,'DSCR (Legend)'!$J$3:$J$17,1),2),INDEX('DSCR (Legend)'!$J$3:$L$17,MATCH($Q35,'DSCR (Legend)'!$J$3:$J$17,1),3),"-"))</f>
        <v>-</v>
      </c>
      <c r="Z35" s="67" t="str">
        <f>IFERROR(IF($C$6="SFR",VLOOKUP($Y35,'DSCR (LLPA)'!$M:$V,MATCH($R35,'DSCR (LLPA)'!$M$1:$V$1,0),FALSE),IF($C$6="Multi",VLOOKUP($Y35,'DSCR (LLPA)'!$X:$AG,MATCH($R35,'DSCR (LLPA)'!$X$1:$AG$1,0),FALSE),"-")),"-")</f>
        <v>-</v>
      </c>
      <c r="AA35" s="56" t="str">
        <f>IFERROR(IF($C$6="SFR",VLOOKUP(AA$23,'DSCR (LLPA)'!$M:$V,MATCH($R35,'DSCR (LLPA)'!$M$1:$V$1,0),FALSE),IF($C$6="Multi",VLOOKUP(AA$23,'DSCR (LLPA)'!$X:$AG,MATCH($R35,'DSCR (LLPA)'!$X$1:$AG$1,0),FALSE),"-")),"-")</f>
        <v>-</v>
      </c>
      <c r="AB35" s="67" t="str">
        <f t="shared" si="59"/>
        <v>-</v>
      </c>
      <c r="AC35" s="56" t="str">
        <f>IF($AB35="-","-",IF($C$6="SFR",VLOOKUP($C$10,'DSCR (LLPA)'!$B$36:$K$50,MATCH($R35,'DSCR (LLPA)'!$B$36:$K$36,0),FALSE),IF($C$6="Multi",VLOOKUP($C$10,'DSCR (LLPA)'!$B$53:$K$67,MATCH($R35,'DSCR (LLPA)'!$B$53:$K$53,0),FALSE),"-")))</f>
        <v>-</v>
      </c>
      <c r="AD35" s="56" t="str">
        <f t="shared" si="60"/>
        <v>-</v>
      </c>
      <c r="AE35" s="52" t="str">
        <f t="shared" si="61"/>
        <v>-</v>
      </c>
      <c r="AF35" s="214" t="str">
        <f t="shared" si="62"/>
        <v>-</v>
      </c>
      <c r="AG35" s="52" t="str">
        <f t="shared" si="63"/>
        <v>-</v>
      </c>
      <c r="AH35" s="52" t="str">
        <f t="shared" si="64"/>
        <v>-</v>
      </c>
      <c r="AI35" s="52">
        <f t="shared" si="65"/>
        <v>0</v>
      </c>
      <c r="AN35" s="53"/>
      <c r="AO35" s="53"/>
      <c r="AP35" s="56"/>
      <c r="AQ35" s="57"/>
      <c r="AS35" s="56"/>
      <c r="AT35" s="56"/>
      <c r="AU35" s="56"/>
      <c r="AV35" s="56"/>
      <c r="AW35" s="56"/>
      <c r="AX35" s="56"/>
      <c r="AY35" s="67"/>
      <c r="AZ35" s="67"/>
      <c r="BA35" s="56"/>
      <c r="BB35" s="67"/>
      <c r="BC35" s="56"/>
      <c r="BD35" s="56"/>
      <c r="BE35" s="52"/>
      <c r="BF35" s="214"/>
      <c r="BG35" s="52"/>
      <c r="BH35" s="52"/>
      <c r="BI35" s="52"/>
      <c r="BJ35" s="52"/>
      <c r="BK35" s="52"/>
      <c r="BL35" s="52"/>
      <c r="BM35" s="52"/>
      <c r="BN35" s="52"/>
      <c r="BO35" s="52"/>
      <c r="BP35" s="52"/>
      <c r="BR35" s="53">
        <v>2.2499999999999999E-2</v>
      </c>
      <c r="BS35" s="206">
        <f t="shared" si="67"/>
        <v>101.75</v>
      </c>
      <c r="BT35" s="217" t="e">
        <f t="shared" si="68"/>
        <v>#N/A</v>
      </c>
      <c r="BU35" s="67" t="e">
        <f t="shared" si="69"/>
        <v>#N/A</v>
      </c>
      <c r="BV35" s="216" t="e">
        <f t="shared" si="70"/>
        <v>#N/A</v>
      </c>
      <c r="BW35" s="216" t="e">
        <f t="shared" si="71"/>
        <v>#N/A</v>
      </c>
      <c r="BX35" s="51" t="e">
        <f t="shared" si="72"/>
        <v>#N/A</v>
      </c>
      <c r="BY35" s="215" t="e">
        <f t="shared" si="73"/>
        <v>#N/A</v>
      </c>
      <c r="BZ35" s="51" t="e">
        <f t="shared" si="74"/>
        <v>#N/A</v>
      </c>
      <c r="CA35" s="52">
        <f t="shared" si="75"/>
        <v>0</v>
      </c>
      <c r="CB35" s="52">
        <f t="shared" si="76"/>
        <v>0</v>
      </c>
      <c r="CC35" s="52">
        <f t="shared" si="77"/>
        <v>0</v>
      </c>
      <c r="CD35" s="52">
        <f t="shared" si="78"/>
        <v>0</v>
      </c>
      <c r="CE35" s="215" t="e">
        <f t="shared" si="79"/>
        <v>#N/A</v>
      </c>
      <c r="CF35" s="51" t="e">
        <f t="shared" si="80"/>
        <v>#N/A</v>
      </c>
      <c r="CG35" s="52" t="e">
        <f t="shared" si="81"/>
        <v>#N/A</v>
      </c>
      <c r="CH35" s="51" t="e">
        <f t="shared" si="82"/>
        <v>#N/A</v>
      </c>
      <c r="CI35" s="52" t="e">
        <f t="shared" si="83"/>
        <v>#N/A</v>
      </c>
      <c r="CJ35" s="52" t="e">
        <f t="shared" si="84"/>
        <v>#N/A</v>
      </c>
      <c r="CK35" s="214" t="e">
        <f t="shared" si="85"/>
        <v>#N/A</v>
      </c>
      <c r="CL35" s="214" t="e">
        <f t="shared" si="86"/>
        <v>#VALUE!</v>
      </c>
      <c r="CM35" s="51" t="str">
        <f t="shared" si="87"/>
        <v>-</v>
      </c>
      <c r="CN35" s="52" t="str">
        <f t="shared" si="88"/>
        <v>-</v>
      </c>
      <c r="CO35" s="214" t="str">
        <f t="shared" si="89"/>
        <v>-</v>
      </c>
      <c r="CS35" s="51" t="e">
        <f t="shared" si="93"/>
        <v>#N/A</v>
      </c>
      <c r="CT35" s="52" t="e">
        <f t="shared" si="90"/>
        <v>#N/A</v>
      </c>
      <c r="CU35" s="51" t="e">
        <f t="shared" si="91"/>
        <v>#N/A</v>
      </c>
      <c r="CV35" s="51" t="e">
        <f t="shared" si="92"/>
        <v>#N/A</v>
      </c>
    </row>
    <row r="36" spans="2:100" x14ac:dyDescent="0.25">
      <c r="B36" s="51" t="s">
        <v>1569</v>
      </c>
      <c r="C36" s="221">
        <f>IF($C$5="Non-Warrantable Condo",-10%,0%)</f>
        <v>0</v>
      </c>
      <c r="D36" s="193" t="str">
        <f>'DSCR (Legend)'!D17</f>
        <v>FN</v>
      </c>
      <c r="E36" s="192">
        <v>0.55000000000000004</v>
      </c>
      <c r="F36" s="192">
        <v>0.55000000000000004</v>
      </c>
      <c r="G36" s="192">
        <v>0.55000000000000004</v>
      </c>
      <c r="H36" s="192">
        <v>0.55000000000000004</v>
      </c>
      <c r="I36" s="192">
        <v>0.55000000000000004</v>
      </c>
      <c r="J36" s="192">
        <v>0.5</v>
      </c>
      <c r="N36" s="53">
        <v>2.9999999999999995E-2</v>
      </c>
      <c r="O36" s="53">
        <f t="shared" si="56"/>
        <v>1.01</v>
      </c>
      <c r="P36" s="56" t="e">
        <f t="shared" si="57"/>
        <v>#VALUE!</v>
      </c>
      <c r="Q36" s="57" t="str">
        <f t="shared" si="58"/>
        <v>-</v>
      </c>
      <c r="R36" s="51" t="str">
        <f>IF($Q36="-","-",IF(($Q36/$C$19)&lt;=INDEX('DSCR (Legend)'!$F$3:$H$14,MATCH(($Q36/$C$19),'DSCR (Legend)'!$F$3:$F$14,1),2),INDEX('DSCR (Legend)'!$F$3:$H$14,MATCH(($Q36/$C$19),'DSCR (Legend)'!$F$3:$F$14,1),3),"-"))</f>
        <v>-</v>
      </c>
      <c r="S36" s="56" t="str">
        <f>IFERROR(IF($C$6="SFR",VLOOKUP(S$23,'DSCR (LLPA)'!$M:$V,MATCH($R36,'DSCR (LLPA)'!$M$1:$V$1,0),FALSE),IF($C$6="Multi",VLOOKUP(S$23,'DSCR (LLPA)'!$X:$AG,MATCH($R36,'DSCR (LLPA)'!$X$1:$AG$1,0),FALSE),"-")),"-")</f>
        <v>-</v>
      </c>
      <c r="T36" s="56" t="str">
        <f>IFERROR(IF($C$6="SFR",VLOOKUP(T$23,'DSCR (LLPA)'!$M:$V,MATCH($R36,'DSCR (LLPA)'!$M$1:$V$1,0),FALSE),IF($C$6="Multi",VLOOKUP(T$23,'DSCR (LLPA)'!$X:$AG,MATCH($R36,'DSCR (LLPA)'!$X$1:$AG$1,0),FALSE),"-")),"-")</f>
        <v>-</v>
      </c>
      <c r="U36" s="56" t="str">
        <f>IFERROR(IF($C$6="SFR",VLOOKUP(U$23,'DSCR (LLPA)'!$M:$V,MATCH($R36,'DSCR (LLPA)'!$M$1:$V$1,0),FALSE),IF($C$6="Multi",VLOOKUP(U$23,'DSCR (LLPA)'!$X:$AG,MATCH($R36,'DSCR (LLPA)'!$X$1:$AG$1,0),FALSE),"-")),"-")</f>
        <v>-</v>
      </c>
      <c r="V36" s="56" t="str">
        <f>IFERROR(IF($C$6="SFR",VLOOKUP(V$23,'DSCR (LLPA)'!$M:$V,MATCH($R36,'DSCR (LLPA)'!$M$1:$V$1,0),FALSE),IF($C$6="Multi",VLOOKUP(V$23,'DSCR (LLPA)'!$X:$AG,MATCH($R36,'DSCR (LLPA)'!$X$1:$AG$1,0),FALSE),"-")),"-")</f>
        <v>-</v>
      </c>
      <c r="W36" s="56" t="str">
        <f>IFERROR(IF($C$6="SFR",VLOOKUP(W$23,'DSCR (LLPA)'!$M:$V,MATCH($R36,'DSCR (LLPA)'!$M$1:$V$1,0),FALSE),IF($C$6="Multi",VLOOKUP(W$23,'DSCR (LLPA)'!$X:$AG,MATCH($R36,'DSCR (LLPA)'!$X$1:$AG$1,0),FALSE),"-")),"-")</f>
        <v>-</v>
      </c>
      <c r="X36" s="56" t="str">
        <f>IFERROR(IF($C$6="SFR",VLOOKUP(X$23,'DSCR (LLPA)'!$M:$V,MATCH($R36,'DSCR (LLPA)'!$M$1:$V$1,0),FALSE),IF($C$6="Multi",VLOOKUP(X$23,'DSCR (LLPA)'!$X:$AG,MATCH($R36,'DSCR (LLPA)'!$X$1:$AG$1,0),FALSE),"-")),"-")</f>
        <v>-</v>
      </c>
      <c r="Y36" s="67" t="str">
        <f>IF($Q36="-","-",IF($Q36&lt;=INDEX('DSCR (Legend)'!$J$3:$L$17,MATCH($Q36,'DSCR (Legend)'!$J$3:$J$17,1),2),INDEX('DSCR (Legend)'!$J$3:$L$17,MATCH($Q36,'DSCR (Legend)'!$J$3:$J$17,1),3),"-"))</f>
        <v>-</v>
      </c>
      <c r="Z36" s="67" t="str">
        <f>IFERROR(IF($C$6="SFR",VLOOKUP($Y36,'DSCR (LLPA)'!$M:$V,MATCH($R36,'DSCR (LLPA)'!$M$1:$V$1,0),FALSE),IF($C$6="Multi",VLOOKUP($Y36,'DSCR (LLPA)'!$X:$AG,MATCH($R36,'DSCR (LLPA)'!$X$1:$AG$1,0),FALSE),"-")),"-")</f>
        <v>-</v>
      </c>
      <c r="AA36" s="56" t="str">
        <f>IFERROR(IF($C$6="SFR",VLOOKUP(AA$23,'DSCR (LLPA)'!$M:$V,MATCH($R36,'DSCR (LLPA)'!$M$1:$V$1,0),FALSE),IF($C$6="Multi",VLOOKUP(AA$23,'DSCR (LLPA)'!$X:$AG,MATCH($R36,'DSCR (LLPA)'!$X$1:$AG$1,0),FALSE),"-")),"-")</f>
        <v>-</v>
      </c>
      <c r="AB36" s="67" t="str">
        <f t="shared" si="59"/>
        <v>-</v>
      </c>
      <c r="AC36" s="56" t="str">
        <f>IF($AB36="-","-",IF($C$6="SFR",VLOOKUP($C$10,'DSCR (LLPA)'!$B$36:$K$50,MATCH($R36,'DSCR (LLPA)'!$B$36:$K$36,0),FALSE),IF($C$6="Multi",VLOOKUP($C$10,'DSCR (LLPA)'!$B$53:$K$67,MATCH($R36,'DSCR (LLPA)'!$B$53:$K$53,0),FALSE),"-")))</f>
        <v>-</v>
      </c>
      <c r="AD36" s="56" t="str">
        <f t="shared" si="60"/>
        <v>-</v>
      </c>
      <c r="AE36" s="52" t="str">
        <f t="shared" si="61"/>
        <v>-</v>
      </c>
      <c r="AF36" s="214" t="str">
        <f t="shared" si="62"/>
        <v>-</v>
      </c>
      <c r="AG36" s="52" t="str">
        <f t="shared" si="63"/>
        <v>-</v>
      </c>
      <c r="AH36" s="52" t="str">
        <f t="shared" si="64"/>
        <v>-</v>
      </c>
      <c r="AI36" s="52">
        <f t="shared" si="65"/>
        <v>0</v>
      </c>
      <c r="AN36" s="53"/>
      <c r="AO36" s="53"/>
      <c r="AP36" s="56"/>
      <c r="AQ36" s="57"/>
      <c r="AS36" s="56"/>
      <c r="AT36" s="56"/>
      <c r="AU36" s="56"/>
      <c r="AV36" s="56"/>
      <c r="AW36" s="56"/>
      <c r="AX36" s="56"/>
      <c r="AY36" s="67"/>
      <c r="AZ36" s="67"/>
      <c r="BA36" s="56"/>
      <c r="BB36" s="67"/>
      <c r="BC36" s="56"/>
      <c r="BD36" s="56"/>
      <c r="BE36" s="52"/>
      <c r="BF36" s="214"/>
      <c r="BG36" s="52"/>
      <c r="BH36" s="52"/>
      <c r="BI36" s="52"/>
      <c r="BJ36" s="52"/>
      <c r="BK36" s="52"/>
      <c r="BL36" s="52"/>
      <c r="BM36" s="52"/>
      <c r="BN36" s="52"/>
      <c r="BO36" s="52"/>
      <c r="BP36" s="52"/>
      <c r="BR36" s="53">
        <v>2.4999999999999998E-2</v>
      </c>
      <c r="BS36" s="206">
        <f t="shared" si="67"/>
        <v>101.5</v>
      </c>
      <c r="BT36" s="217" t="e">
        <f t="shared" si="68"/>
        <v>#N/A</v>
      </c>
      <c r="BU36" s="67" t="e">
        <f t="shared" si="69"/>
        <v>#N/A</v>
      </c>
      <c r="BV36" s="216" t="e">
        <f t="shared" si="70"/>
        <v>#N/A</v>
      </c>
      <c r="BW36" s="216" t="e">
        <f t="shared" si="71"/>
        <v>#N/A</v>
      </c>
      <c r="BX36" s="51" t="e">
        <f t="shared" si="72"/>
        <v>#N/A</v>
      </c>
      <c r="BY36" s="215" t="e">
        <f t="shared" si="73"/>
        <v>#N/A</v>
      </c>
      <c r="BZ36" s="51" t="e">
        <f t="shared" si="74"/>
        <v>#N/A</v>
      </c>
      <c r="CA36" s="52">
        <f t="shared" si="75"/>
        <v>0</v>
      </c>
      <c r="CB36" s="52">
        <f t="shared" si="76"/>
        <v>0</v>
      </c>
      <c r="CC36" s="52">
        <f t="shared" si="77"/>
        <v>0</v>
      </c>
      <c r="CD36" s="52">
        <f t="shared" si="78"/>
        <v>0</v>
      </c>
      <c r="CE36" s="215" t="e">
        <f t="shared" si="79"/>
        <v>#N/A</v>
      </c>
      <c r="CF36" s="51" t="e">
        <f t="shared" si="80"/>
        <v>#N/A</v>
      </c>
      <c r="CG36" s="52" t="e">
        <f t="shared" si="81"/>
        <v>#N/A</v>
      </c>
      <c r="CH36" s="51" t="e">
        <f t="shared" si="82"/>
        <v>#N/A</v>
      </c>
      <c r="CI36" s="52" t="e">
        <f t="shared" si="83"/>
        <v>#N/A</v>
      </c>
      <c r="CJ36" s="52" t="e">
        <f t="shared" si="84"/>
        <v>#N/A</v>
      </c>
      <c r="CK36" s="214" t="e">
        <f t="shared" si="85"/>
        <v>#N/A</v>
      </c>
      <c r="CL36" s="214" t="e">
        <f t="shared" si="86"/>
        <v>#VALUE!</v>
      </c>
      <c r="CM36" s="51" t="str">
        <f t="shared" si="87"/>
        <v>-</v>
      </c>
      <c r="CN36" s="52" t="str">
        <f t="shared" si="88"/>
        <v>-</v>
      </c>
      <c r="CO36" s="214" t="str">
        <f t="shared" si="89"/>
        <v>-</v>
      </c>
      <c r="CS36" s="51" t="e">
        <f t="shared" si="93"/>
        <v>#N/A</v>
      </c>
      <c r="CT36" s="52" t="e">
        <f t="shared" si="90"/>
        <v>#N/A</v>
      </c>
      <c r="CU36" s="51" t="e">
        <f t="shared" si="91"/>
        <v>#N/A</v>
      </c>
      <c r="CV36" s="51" t="e">
        <f t="shared" si="92"/>
        <v>#N/A</v>
      </c>
    </row>
    <row r="37" spans="2:100" x14ac:dyDescent="0.25">
      <c r="B37" s="51" t="s">
        <v>29</v>
      </c>
      <c r="C37" s="221" t="e">
        <f>$C$34+$C$36</f>
        <v>#VALUE!</v>
      </c>
      <c r="N37" s="53">
        <v>3.2499999999999994E-2</v>
      </c>
      <c r="O37" s="53">
        <f t="shared" si="56"/>
        <v>1.0075000000000001</v>
      </c>
      <c r="P37" s="56" t="e">
        <f t="shared" si="57"/>
        <v>#VALUE!</v>
      </c>
      <c r="Q37" s="57" t="str">
        <f t="shared" si="58"/>
        <v>-</v>
      </c>
      <c r="R37" s="51" t="str">
        <f>IF($Q37="-","-",IF(($Q37/$C$19)&lt;=INDEX('DSCR (Legend)'!$F$3:$H$14,MATCH(($Q37/$C$19),'DSCR (Legend)'!$F$3:$F$14,1),2),INDEX('DSCR (Legend)'!$F$3:$H$14,MATCH(($Q37/$C$19),'DSCR (Legend)'!$F$3:$F$14,1),3),"-"))</f>
        <v>-</v>
      </c>
      <c r="S37" s="56" t="str">
        <f>IFERROR(IF($C$6="SFR",VLOOKUP(S$23,'DSCR (LLPA)'!$M:$V,MATCH($R37,'DSCR (LLPA)'!$M$1:$V$1,0),FALSE),IF($C$6="Multi",VLOOKUP(S$23,'DSCR (LLPA)'!$X:$AG,MATCH($R37,'DSCR (LLPA)'!$X$1:$AG$1,0),FALSE),"-")),"-")</f>
        <v>-</v>
      </c>
      <c r="T37" s="56" t="str">
        <f>IFERROR(IF($C$6="SFR",VLOOKUP(T$23,'DSCR (LLPA)'!$M:$V,MATCH($R37,'DSCR (LLPA)'!$M$1:$V$1,0),FALSE),IF($C$6="Multi",VLOOKUP(T$23,'DSCR (LLPA)'!$X:$AG,MATCH($R37,'DSCR (LLPA)'!$X$1:$AG$1,0),FALSE),"-")),"-")</f>
        <v>-</v>
      </c>
      <c r="U37" s="56" t="str">
        <f>IFERROR(IF($C$6="SFR",VLOOKUP(U$23,'DSCR (LLPA)'!$M:$V,MATCH($R37,'DSCR (LLPA)'!$M$1:$V$1,0),FALSE),IF($C$6="Multi",VLOOKUP(U$23,'DSCR (LLPA)'!$X:$AG,MATCH($R37,'DSCR (LLPA)'!$X$1:$AG$1,0),FALSE),"-")),"-")</f>
        <v>-</v>
      </c>
      <c r="V37" s="56" t="str">
        <f>IFERROR(IF($C$6="SFR",VLOOKUP(V$23,'DSCR (LLPA)'!$M:$V,MATCH($R37,'DSCR (LLPA)'!$M$1:$V$1,0),FALSE),IF($C$6="Multi",VLOOKUP(V$23,'DSCR (LLPA)'!$X:$AG,MATCH($R37,'DSCR (LLPA)'!$X$1:$AG$1,0),FALSE),"-")),"-")</f>
        <v>-</v>
      </c>
      <c r="W37" s="56" t="str">
        <f>IFERROR(IF($C$6="SFR",VLOOKUP(W$23,'DSCR (LLPA)'!$M:$V,MATCH($R37,'DSCR (LLPA)'!$M$1:$V$1,0),FALSE),IF($C$6="Multi",VLOOKUP(W$23,'DSCR (LLPA)'!$X:$AG,MATCH($R37,'DSCR (LLPA)'!$X$1:$AG$1,0),FALSE),"-")),"-")</f>
        <v>-</v>
      </c>
      <c r="X37" s="56" t="str">
        <f>IFERROR(IF($C$6="SFR",VLOOKUP(X$23,'DSCR (LLPA)'!$M:$V,MATCH($R37,'DSCR (LLPA)'!$M$1:$V$1,0),FALSE),IF($C$6="Multi",VLOOKUP(X$23,'DSCR (LLPA)'!$X:$AG,MATCH($R37,'DSCR (LLPA)'!$X$1:$AG$1,0),FALSE),"-")),"-")</f>
        <v>-</v>
      </c>
      <c r="Y37" s="67" t="str">
        <f>IF($Q37="-","-",IF($Q37&lt;=INDEX('DSCR (Legend)'!$J$3:$L$17,MATCH($Q37,'DSCR (Legend)'!$J$3:$J$17,1),2),INDEX('DSCR (Legend)'!$J$3:$L$17,MATCH($Q37,'DSCR (Legend)'!$J$3:$J$17,1),3),"-"))</f>
        <v>-</v>
      </c>
      <c r="Z37" s="67" t="str">
        <f>IFERROR(IF($C$6="SFR",VLOOKUP($Y37,'DSCR (LLPA)'!$M:$V,MATCH($R37,'DSCR (LLPA)'!$M$1:$V$1,0),FALSE),IF($C$6="Multi",VLOOKUP($Y37,'DSCR (LLPA)'!$X:$AG,MATCH($R37,'DSCR (LLPA)'!$X$1:$AG$1,0),FALSE),"-")),"-")</f>
        <v>-</v>
      </c>
      <c r="AA37" s="56" t="str">
        <f>IFERROR(IF($C$6="SFR",VLOOKUP(AA$23,'DSCR (LLPA)'!$M:$V,MATCH($R37,'DSCR (LLPA)'!$M$1:$V$1,0),FALSE),IF($C$6="Multi",VLOOKUP(AA$23,'DSCR (LLPA)'!$X:$AG,MATCH($R37,'DSCR (LLPA)'!$X$1:$AG$1,0),FALSE),"-")),"-")</f>
        <v>-</v>
      </c>
      <c r="AB37" s="67" t="str">
        <f t="shared" si="59"/>
        <v>-</v>
      </c>
      <c r="AC37" s="56" t="str">
        <f>IF($AB37="-","-",IF($C$6="SFR",VLOOKUP($C$10,'DSCR (LLPA)'!$B$36:$K$50,MATCH($R37,'DSCR (LLPA)'!$B$36:$K$36,0),FALSE),IF($C$6="Multi",VLOOKUP($C$10,'DSCR (LLPA)'!$B$53:$K$67,MATCH($R37,'DSCR (LLPA)'!$B$53:$K$53,0),FALSE),"-")))</f>
        <v>-</v>
      </c>
      <c r="AD37" s="56" t="str">
        <f t="shared" si="60"/>
        <v>-</v>
      </c>
      <c r="AE37" s="52" t="str">
        <f t="shared" si="61"/>
        <v>-</v>
      </c>
      <c r="AF37" s="214" t="str">
        <f t="shared" si="62"/>
        <v>-</v>
      </c>
      <c r="AG37" s="52" t="str">
        <f t="shared" si="63"/>
        <v>-</v>
      </c>
      <c r="AH37" s="52" t="str">
        <f t="shared" si="64"/>
        <v>-</v>
      </c>
      <c r="AI37" s="52">
        <f t="shared" si="65"/>
        <v>0</v>
      </c>
      <c r="AN37" s="53"/>
      <c r="AO37" s="53"/>
      <c r="AP37" s="56"/>
      <c r="AQ37" s="57"/>
      <c r="AS37" s="56"/>
      <c r="AT37" s="56"/>
      <c r="AU37" s="56"/>
      <c r="AV37" s="56"/>
      <c r="AW37" s="56"/>
      <c r="AX37" s="56"/>
      <c r="AY37" s="67"/>
      <c r="AZ37" s="67"/>
      <c r="BA37" s="56"/>
      <c r="BB37" s="67"/>
      <c r="BC37" s="56"/>
      <c r="BD37" s="56"/>
      <c r="BE37" s="52"/>
      <c r="BF37" s="214"/>
      <c r="BG37" s="52"/>
      <c r="BH37" s="52"/>
      <c r="BI37" s="52"/>
      <c r="BJ37" s="52"/>
      <c r="BK37" s="52"/>
      <c r="BL37" s="52"/>
      <c r="BM37" s="52"/>
      <c r="BN37" s="52"/>
      <c r="BO37" s="52"/>
      <c r="BP37" s="52"/>
      <c r="BR37" s="53">
        <v>2.7499999999999997E-2</v>
      </c>
      <c r="BS37" s="206">
        <f t="shared" si="67"/>
        <v>101.25</v>
      </c>
      <c r="BT37" s="217" t="e">
        <f t="shared" si="68"/>
        <v>#N/A</v>
      </c>
      <c r="BU37" s="67" t="e">
        <f t="shared" si="69"/>
        <v>#N/A</v>
      </c>
      <c r="BV37" s="216" t="e">
        <f t="shared" si="70"/>
        <v>#N/A</v>
      </c>
      <c r="BW37" s="216" t="e">
        <f t="shared" si="71"/>
        <v>#N/A</v>
      </c>
      <c r="BX37" s="51" t="e">
        <f t="shared" si="72"/>
        <v>#N/A</v>
      </c>
      <c r="BY37" s="215" t="e">
        <f t="shared" si="73"/>
        <v>#N/A</v>
      </c>
      <c r="BZ37" s="51" t="e">
        <f t="shared" si="74"/>
        <v>#N/A</v>
      </c>
      <c r="CA37" s="52">
        <f t="shared" si="75"/>
        <v>0</v>
      </c>
      <c r="CB37" s="52">
        <f t="shared" si="76"/>
        <v>0</v>
      </c>
      <c r="CC37" s="52">
        <f t="shared" si="77"/>
        <v>0</v>
      </c>
      <c r="CD37" s="52">
        <f t="shared" si="78"/>
        <v>0</v>
      </c>
      <c r="CE37" s="215" t="e">
        <f t="shared" si="79"/>
        <v>#N/A</v>
      </c>
      <c r="CF37" s="51" t="e">
        <f t="shared" si="80"/>
        <v>#N/A</v>
      </c>
      <c r="CG37" s="52" t="e">
        <f t="shared" si="81"/>
        <v>#N/A</v>
      </c>
      <c r="CH37" s="51" t="e">
        <f t="shared" si="82"/>
        <v>#N/A</v>
      </c>
      <c r="CI37" s="52" t="e">
        <f t="shared" si="83"/>
        <v>#N/A</v>
      </c>
      <c r="CJ37" s="52" t="e">
        <f t="shared" si="84"/>
        <v>#N/A</v>
      </c>
      <c r="CK37" s="214" t="e">
        <f t="shared" si="85"/>
        <v>#N/A</v>
      </c>
      <c r="CL37" s="214" t="e">
        <f t="shared" si="86"/>
        <v>#VALUE!</v>
      </c>
      <c r="CM37" s="51" t="str">
        <f t="shared" si="87"/>
        <v>-</v>
      </c>
      <c r="CN37" s="52" t="str">
        <f t="shared" si="88"/>
        <v>-</v>
      </c>
      <c r="CO37" s="214" t="str">
        <f t="shared" si="89"/>
        <v>-</v>
      </c>
      <c r="CS37" s="51" t="e">
        <f t="shared" si="93"/>
        <v>#N/A</v>
      </c>
      <c r="CT37" s="52" t="e">
        <f t="shared" si="90"/>
        <v>#N/A</v>
      </c>
      <c r="CU37" s="51" t="e">
        <f t="shared" si="91"/>
        <v>#N/A</v>
      </c>
      <c r="CV37" s="51" t="e">
        <f t="shared" si="92"/>
        <v>#N/A</v>
      </c>
    </row>
    <row r="38" spans="2:100" x14ac:dyDescent="0.25">
      <c r="B38" s="51" t="s">
        <v>28</v>
      </c>
      <c r="C38" s="220" t="e">
        <f>+$C$35+$C$36</f>
        <v>#VALUE!</v>
      </c>
      <c r="N38" s="53">
        <v>3.4999999999999996E-2</v>
      </c>
      <c r="O38" s="53">
        <f t="shared" si="56"/>
        <v>1.0050000000000001</v>
      </c>
      <c r="P38" s="56" t="e">
        <f t="shared" si="57"/>
        <v>#VALUE!</v>
      </c>
      <c r="Q38" s="57" t="str">
        <f t="shared" si="58"/>
        <v>-</v>
      </c>
      <c r="R38" s="51" t="str">
        <f>IF($Q38="-","-",IF(($Q38/$C$19)&lt;=INDEX('DSCR (Legend)'!$F$3:$H$14,MATCH(($Q38/$C$19),'DSCR (Legend)'!$F$3:$F$14,1),2),INDEX('DSCR (Legend)'!$F$3:$H$14,MATCH(($Q38/$C$19),'DSCR (Legend)'!$F$3:$F$14,1),3),"-"))</f>
        <v>-</v>
      </c>
      <c r="S38" s="56" t="str">
        <f>IFERROR(IF($C$6="SFR",VLOOKUP(S$23,'DSCR (LLPA)'!$M:$V,MATCH($R38,'DSCR (LLPA)'!$M$1:$V$1,0),FALSE),IF($C$6="Multi",VLOOKUP(S$23,'DSCR (LLPA)'!$X:$AG,MATCH($R38,'DSCR (LLPA)'!$X$1:$AG$1,0),FALSE),"-")),"-")</f>
        <v>-</v>
      </c>
      <c r="T38" s="56" t="str">
        <f>IFERROR(IF($C$6="SFR",VLOOKUP(T$23,'DSCR (LLPA)'!$M:$V,MATCH($R38,'DSCR (LLPA)'!$M$1:$V$1,0),FALSE),IF($C$6="Multi",VLOOKUP(T$23,'DSCR (LLPA)'!$X:$AG,MATCH($R38,'DSCR (LLPA)'!$X$1:$AG$1,0),FALSE),"-")),"-")</f>
        <v>-</v>
      </c>
      <c r="U38" s="56" t="str">
        <f>IFERROR(IF($C$6="SFR",VLOOKUP(U$23,'DSCR (LLPA)'!$M:$V,MATCH($R38,'DSCR (LLPA)'!$M$1:$V$1,0),FALSE),IF($C$6="Multi",VLOOKUP(U$23,'DSCR (LLPA)'!$X:$AG,MATCH($R38,'DSCR (LLPA)'!$X$1:$AG$1,0),FALSE),"-")),"-")</f>
        <v>-</v>
      </c>
      <c r="V38" s="56" t="str">
        <f>IFERROR(IF($C$6="SFR",VLOOKUP(V$23,'DSCR (LLPA)'!$M:$V,MATCH($R38,'DSCR (LLPA)'!$M$1:$V$1,0),FALSE),IF($C$6="Multi",VLOOKUP(V$23,'DSCR (LLPA)'!$X:$AG,MATCH($R38,'DSCR (LLPA)'!$X$1:$AG$1,0),FALSE),"-")),"-")</f>
        <v>-</v>
      </c>
      <c r="W38" s="56" t="str">
        <f>IFERROR(IF($C$6="SFR",VLOOKUP(W$23,'DSCR (LLPA)'!$M:$V,MATCH($R38,'DSCR (LLPA)'!$M$1:$V$1,0),FALSE),IF($C$6="Multi",VLOOKUP(W$23,'DSCR (LLPA)'!$X:$AG,MATCH($R38,'DSCR (LLPA)'!$X$1:$AG$1,0),FALSE),"-")),"-")</f>
        <v>-</v>
      </c>
      <c r="X38" s="56" t="str">
        <f>IFERROR(IF($C$6="SFR",VLOOKUP(X$23,'DSCR (LLPA)'!$M:$V,MATCH($R38,'DSCR (LLPA)'!$M$1:$V$1,0),FALSE),IF($C$6="Multi",VLOOKUP(X$23,'DSCR (LLPA)'!$X:$AG,MATCH($R38,'DSCR (LLPA)'!$X$1:$AG$1,0),FALSE),"-")),"-")</f>
        <v>-</v>
      </c>
      <c r="Y38" s="67" t="str">
        <f>IF($Q38="-","-",IF($Q38&lt;=INDEX('DSCR (Legend)'!$J$3:$L$17,MATCH($Q38,'DSCR (Legend)'!$J$3:$J$17,1),2),INDEX('DSCR (Legend)'!$J$3:$L$17,MATCH($Q38,'DSCR (Legend)'!$J$3:$J$17,1),3),"-"))</f>
        <v>-</v>
      </c>
      <c r="Z38" s="67" t="str">
        <f>IFERROR(IF($C$6="SFR",VLOOKUP($Y38,'DSCR (LLPA)'!$M:$V,MATCH($R38,'DSCR (LLPA)'!$M$1:$V$1,0),FALSE),IF($C$6="Multi",VLOOKUP($Y38,'DSCR (LLPA)'!$X:$AG,MATCH($R38,'DSCR (LLPA)'!$X$1:$AG$1,0),FALSE),"-")),"-")</f>
        <v>-</v>
      </c>
      <c r="AA38" s="56" t="str">
        <f>IFERROR(IF($C$6="SFR",VLOOKUP(AA$23,'DSCR (LLPA)'!$M:$V,MATCH($R38,'DSCR (LLPA)'!$M$1:$V$1,0),FALSE),IF($C$6="Multi",VLOOKUP(AA$23,'DSCR (LLPA)'!$X:$AG,MATCH($R38,'DSCR (LLPA)'!$X$1:$AG$1,0),FALSE),"-")),"-")</f>
        <v>-</v>
      </c>
      <c r="AB38" s="67" t="str">
        <f t="shared" si="59"/>
        <v>-</v>
      </c>
      <c r="AC38" s="56" t="str">
        <f>IF($AB38="-","-",IF($C$6="SFR",VLOOKUP($C$10,'DSCR (LLPA)'!$B$36:$K$50,MATCH($R38,'DSCR (LLPA)'!$B$36:$K$36,0),FALSE),IF($C$6="Multi",VLOOKUP($C$10,'DSCR (LLPA)'!$B$53:$K$67,MATCH($R38,'DSCR (LLPA)'!$B$53:$K$53,0),FALSE),"-")))</f>
        <v>-</v>
      </c>
      <c r="AD38" s="56" t="str">
        <f t="shared" si="60"/>
        <v>-</v>
      </c>
      <c r="AE38" s="52" t="str">
        <f t="shared" si="61"/>
        <v>-</v>
      </c>
      <c r="AF38" s="214" t="str">
        <f t="shared" si="62"/>
        <v>-</v>
      </c>
      <c r="AG38" s="52" t="str">
        <f t="shared" si="63"/>
        <v>-</v>
      </c>
      <c r="AH38" s="52" t="str">
        <f t="shared" si="64"/>
        <v>-</v>
      </c>
      <c r="AI38" s="52">
        <f t="shared" si="65"/>
        <v>0</v>
      </c>
      <c r="AN38" s="53"/>
      <c r="AO38" s="53"/>
      <c r="AP38" s="56"/>
      <c r="AQ38" s="57"/>
      <c r="AS38" s="56"/>
      <c r="AT38" s="56"/>
      <c r="AU38" s="56"/>
      <c r="AV38" s="56"/>
      <c r="AW38" s="56"/>
      <c r="AX38" s="56"/>
      <c r="AY38" s="67"/>
      <c r="AZ38" s="67"/>
      <c r="BA38" s="56"/>
      <c r="BB38" s="67"/>
      <c r="BC38" s="56"/>
      <c r="BD38" s="56"/>
      <c r="BE38" s="52"/>
      <c r="BF38" s="214"/>
      <c r="BG38" s="52"/>
      <c r="BH38" s="52"/>
      <c r="BI38" s="52"/>
      <c r="BJ38" s="52"/>
      <c r="BK38" s="52"/>
      <c r="BL38" s="52"/>
      <c r="BM38" s="52"/>
      <c r="BN38" s="52"/>
      <c r="BO38" s="52"/>
      <c r="BP38" s="52"/>
      <c r="BR38" s="53">
        <v>2.9999999999999995E-2</v>
      </c>
      <c r="BS38" s="206">
        <f t="shared" si="67"/>
        <v>101</v>
      </c>
      <c r="BT38" s="217" t="e">
        <f t="shared" si="68"/>
        <v>#N/A</v>
      </c>
      <c r="BU38" s="67" t="e">
        <f t="shared" si="69"/>
        <v>#N/A</v>
      </c>
      <c r="BV38" s="216" t="e">
        <f t="shared" si="70"/>
        <v>#N/A</v>
      </c>
      <c r="BW38" s="216" t="e">
        <f t="shared" si="71"/>
        <v>#N/A</v>
      </c>
      <c r="BX38" s="51" t="e">
        <f t="shared" si="72"/>
        <v>#N/A</v>
      </c>
      <c r="BY38" s="215" t="e">
        <f t="shared" si="73"/>
        <v>#N/A</v>
      </c>
      <c r="BZ38" s="51" t="e">
        <f t="shared" si="74"/>
        <v>#N/A</v>
      </c>
      <c r="CA38" s="52">
        <f t="shared" si="75"/>
        <v>0</v>
      </c>
      <c r="CB38" s="52">
        <f t="shared" si="76"/>
        <v>0</v>
      </c>
      <c r="CC38" s="52">
        <f t="shared" si="77"/>
        <v>0</v>
      </c>
      <c r="CD38" s="52">
        <f t="shared" si="78"/>
        <v>0</v>
      </c>
      <c r="CE38" s="215" t="e">
        <f t="shared" si="79"/>
        <v>#N/A</v>
      </c>
      <c r="CF38" s="51" t="e">
        <f t="shared" si="80"/>
        <v>#N/A</v>
      </c>
      <c r="CG38" s="52" t="e">
        <f t="shared" si="81"/>
        <v>#N/A</v>
      </c>
      <c r="CH38" s="51" t="e">
        <f t="shared" si="82"/>
        <v>#N/A</v>
      </c>
      <c r="CI38" s="52" t="e">
        <f t="shared" si="83"/>
        <v>#N/A</v>
      </c>
      <c r="CJ38" s="52" t="e">
        <f t="shared" si="84"/>
        <v>#N/A</v>
      </c>
      <c r="CK38" s="214" t="e">
        <f t="shared" si="85"/>
        <v>#N/A</v>
      </c>
      <c r="CL38" s="214" t="e">
        <f t="shared" si="86"/>
        <v>#VALUE!</v>
      </c>
      <c r="CM38" s="51" t="str">
        <f t="shared" si="87"/>
        <v>-</v>
      </c>
      <c r="CN38" s="52" t="str">
        <f t="shared" si="88"/>
        <v>-</v>
      </c>
      <c r="CO38" s="214" t="str">
        <f t="shared" si="89"/>
        <v>-</v>
      </c>
      <c r="CS38" s="51" t="e">
        <f t="shared" si="93"/>
        <v>#N/A</v>
      </c>
      <c r="CT38" s="52" t="e">
        <f t="shared" si="90"/>
        <v>#N/A</v>
      </c>
      <c r="CU38" s="51" t="e">
        <f t="shared" si="91"/>
        <v>#N/A</v>
      </c>
      <c r="CV38" s="51" t="e">
        <f t="shared" si="92"/>
        <v>#N/A</v>
      </c>
    </row>
    <row r="39" spans="2:100" x14ac:dyDescent="0.25">
      <c r="B39" s="51" t="s">
        <v>62</v>
      </c>
      <c r="C39" s="219">
        <v>100000000</v>
      </c>
      <c r="N39" s="53">
        <v>3.7499999999999999E-2</v>
      </c>
      <c r="O39" s="53">
        <f t="shared" si="56"/>
        <v>1.0024999999999999</v>
      </c>
      <c r="P39" s="56" t="e">
        <f t="shared" si="57"/>
        <v>#VALUE!</v>
      </c>
      <c r="Q39" s="57" t="str">
        <f t="shared" si="58"/>
        <v>-</v>
      </c>
      <c r="R39" s="51" t="str">
        <f>IF($Q39="-","-",IF(($Q39/$C$19)&lt;=INDEX('DSCR (Legend)'!$F$3:$H$14,MATCH(($Q39/$C$19),'DSCR (Legend)'!$F$3:$F$14,1),2),INDEX('DSCR (Legend)'!$F$3:$H$14,MATCH(($Q39/$C$19),'DSCR (Legend)'!$F$3:$F$14,1),3),"-"))</f>
        <v>-</v>
      </c>
      <c r="S39" s="56" t="str">
        <f>IFERROR(IF($C$6="SFR",VLOOKUP(S$23,'DSCR (LLPA)'!$M:$V,MATCH($R39,'DSCR (LLPA)'!$M$1:$V$1,0),FALSE),IF($C$6="Multi",VLOOKUP(S$23,'DSCR (LLPA)'!$X:$AG,MATCH($R39,'DSCR (LLPA)'!$X$1:$AG$1,0),FALSE),"-")),"-")</f>
        <v>-</v>
      </c>
      <c r="T39" s="56" t="str">
        <f>IFERROR(IF($C$6="SFR",VLOOKUP(T$23,'DSCR (LLPA)'!$M:$V,MATCH($R39,'DSCR (LLPA)'!$M$1:$V$1,0),FALSE),IF($C$6="Multi",VLOOKUP(T$23,'DSCR (LLPA)'!$X:$AG,MATCH($R39,'DSCR (LLPA)'!$X$1:$AG$1,0),FALSE),"-")),"-")</f>
        <v>-</v>
      </c>
      <c r="U39" s="56" t="str">
        <f>IFERROR(IF($C$6="SFR",VLOOKUP(U$23,'DSCR (LLPA)'!$M:$V,MATCH($R39,'DSCR (LLPA)'!$M$1:$V$1,0),FALSE),IF($C$6="Multi",VLOOKUP(U$23,'DSCR (LLPA)'!$X:$AG,MATCH($R39,'DSCR (LLPA)'!$X$1:$AG$1,0),FALSE),"-")),"-")</f>
        <v>-</v>
      </c>
      <c r="V39" s="56" t="str">
        <f>IFERROR(IF($C$6="SFR",VLOOKUP(V$23,'DSCR (LLPA)'!$M:$V,MATCH($R39,'DSCR (LLPA)'!$M$1:$V$1,0),FALSE),IF($C$6="Multi",VLOOKUP(V$23,'DSCR (LLPA)'!$X:$AG,MATCH($R39,'DSCR (LLPA)'!$X$1:$AG$1,0),FALSE),"-")),"-")</f>
        <v>-</v>
      </c>
      <c r="W39" s="56" t="str">
        <f>IFERROR(IF($C$6="SFR",VLOOKUP(W$23,'DSCR (LLPA)'!$M:$V,MATCH($R39,'DSCR (LLPA)'!$M$1:$V$1,0),FALSE),IF($C$6="Multi",VLOOKUP(W$23,'DSCR (LLPA)'!$X:$AG,MATCH($R39,'DSCR (LLPA)'!$X$1:$AG$1,0),FALSE),"-")),"-")</f>
        <v>-</v>
      </c>
      <c r="X39" s="56" t="str">
        <f>IFERROR(IF($C$6="SFR",VLOOKUP(X$23,'DSCR (LLPA)'!$M:$V,MATCH($R39,'DSCR (LLPA)'!$M$1:$V$1,0),FALSE),IF($C$6="Multi",VLOOKUP(X$23,'DSCR (LLPA)'!$X:$AG,MATCH($R39,'DSCR (LLPA)'!$X$1:$AG$1,0),FALSE),"-")),"-")</f>
        <v>-</v>
      </c>
      <c r="Y39" s="67" t="str">
        <f>IF($Q39="-","-",IF($Q39&lt;=INDEX('DSCR (Legend)'!$J$3:$L$17,MATCH($Q39,'DSCR (Legend)'!$J$3:$J$17,1),2),INDEX('DSCR (Legend)'!$J$3:$L$17,MATCH($Q39,'DSCR (Legend)'!$J$3:$J$17,1),3),"-"))</f>
        <v>-</v>
      </c>
      <c r="Z39" s="67" t="str">
        <f>IFERROR(IF($C$6="SFR",VLOOKUP($Y39,'DSCR (LLPA)'!$M:$V,MATCH($R39,'DSCR (LLPA)'!$M$1:$V$1,0),FALSE),IF($C$6="Multi",VLOOKUP($Y39,'DSCR (LLPA)'!$X:$AG,MATCH($R39,'DSCR (LLPA)'!$X$1:$AG$1,0),FALSE),"-")),"-")</f>
        <v>-</v>
      </c>
      <c r="AA39" s="56" t="str">
        <f>IFERROR(IF($C$6="SFR",VLOOKUP(AA$23,'DSCR (LLPA)'!$M:$V,MATCH($R39,'DSCR (LLPA)'!$M$1:$V$1,0),FALSE),IF($C$6="Multi",VLOOKUP(AA$23,'DSCR (LLPA)'!$X:$AG,MATCH($R39,'DSCR (LLPA)'!$X$1:$AG$1,0),FALSE),"-")),"-")</f>
        <v>-</v>
      </c>
      <c r="AB39" s="67" t="str">
        <f t="shared" si="59"/>
        <v>-</v>
      </c>
      <c r="AC39" s="56" t="str">
        <f>IF($AB39="-","-",IF($C$6="SFR",VLOOKUP($C$10,'DSCR (LLPA)'!$B$36:$K$50,MATCH($R39,'DSCR (LLPA)'!$B$36:$K$36,0),FALSE),IF($C$6="Multi",VLOOKUP($C$10,'DSCR (LLPA)'!$B$53:$K$67,MATCH($R39,'DSCR (LLPA)'!$B$53:$K$53,0),FALSE),"-")))</f>
        <v>-</v>
      </c>
      <c r="AD39" s="56" t="str">
        <f t="shared" si="60"/>
        <v>-</v>
      </c>
      <c r="AE39" s="52" t="str">
        <f t="shared" si="61"/>
        <v>-</v>
      </c>
      <c r="AF39" s="214" t="str">
        <f t="shared" si="62"/>
        <v>-</v>
      </c>
      <c r="AG39" s="52" t="str">
        <f t="shared" si="63"/>
        <v>-</v>
      </c>
      <c r="AH39" s="52" t="str">
        <f t="shared" si="64"/>
        <v>-</v>
      </c>
      <c r="AI39" s="52">
        <f t="shared" si="65"/>
        <v>0</v>
      </c>
      <c r="AN39" s="53"/>
      <c r="AO39" s="53"/>
      <c r="AP39" s="56"/>
      <c r="AQ39" s="57"/>
      <c r="AS39" s="56"/>
      <c r="AT39" s="56"/>
      <c r="AU39" s="56"/>
      <c r="AV39" s="56"/>
      <c r="AW39" s="56"/>
      <c r="AX39" s="56"/>
      <c r="AY39" s="67"/>
      <c r="AZ39" s="67"/>
      <c r="BA39" s="56"/>
      <c r="BB39" s="67"/>
      <c r="BC39" s="56"/>
      <c r="BD39" s="56"/>
      <c r="BE39" s="52"/>
      <c r="BF39" s="214"/>
      <c r="BG39" s="52"/>
      <c r="BH39" s="52"/>
      <c r="BI39" s="52"/>
      <c r="BJ39" s="52"/>
      <c r="BK39" s="52"/>
      <c r="BL39" s="52"/>
      <c r="BM39" s="52"/>
      <c r="BN39" s="52"/>
      <c r="BO39" s="52"/>
      <c r="BP39" s="52"/>
      <c r="BR39" s="53">
        <v>3.2499999999999994E-2</v>
      </c>
      <c r="BS39" s="206">
        <f t="shared" si="67"/>
        <v>100.75</v>
      </c>
      <c r="BT39" s="217" t="e">
        <f t="shared" si="68"/>
        <v>#N/A</v>
      </c>
      <c r="BU39" s="67" t="e">
        <f t="shared" si="69"/>
        <v>#N/A</v>
      </c>
      <c r="BV39" s="216" t="e">
        <f t="shared" si="70"/>
        <v>#N/A</v>
      </c>
      <c r="BW39" s="216" t="e">
        <f t="shared" si="71"/>
        <v>#N/A</v>
      </c>
      <c r="BX39" s="51" t="e">
        <f t="shared" si="72"/>
        <v>#N/A</v>
      </c>
      <c r="BY39" s="215" t="e">
        <f t="shared" si="73"/>
        <v>#N/A</v>
      </c>
      <c r="BZ39" s="51" t="e">
        <f t="shared" si="74"/>
        <v>#N/A</v>
      </c>
      <c r="CA39" s="52">
        <f t="shared" si="75"/>
        <v>0</v>
      </c>
      <c r="CB39" s="52">
        <f t="shared" si="76"/>
        <v>0</v>
      </c>
      <c r="CC39" s="52">
        <f t="shared" si="77"/>
        <v>0</v>
      </c>
      <c r="CD39" s="52">
        <f t="shared" si="78"/>
        <v>0</v>
      </c>
      <c r="CE39" s="215" t="e">
        <f t="shared" si="79"/>
        <v>#N/A</v>
      </c>
      <c r="CF39" s="51" t="e">
        <f t="shared" si="80"/>
        <v>#N/A</v>
      </c>
      <c r="CG39" s="52" t="e">
        <f t="shared" si="81"/>
        <v>#N/A</v>
      </c>
      <c r="CH39" s="51" t="e">
        <f t="shared" si="82"/>
        <v>#N/A</v>
      </c>
      <c r="CI39" s="52" t="e">
        <f t="shared" si="83"/>
        <v>#N/A</v>
      </c>
      <c r="CJ39" s="52" t="e">
        <f t="shared" si="84"/>
        <v>#N/A</v>
      </c>
      <c r="CK39" s="214" t="e">
        <f t="shared" si="85"/>
        <v>#N/A</v>
      </c>
      <c r="CL39" s="214" t="e">
        <f t="shared" si="86"/>
        <v>#VALUE!</v>
      </c>
      <c r="CM39" s="51" t="str">
        <f t="shared" si="87"/>
        <v>-</v>
      </c>
      <c r="CN39" s="52" t="str">
        <f t="shared" si="88"/>
        <v>-</v>
      </c>
      <c r="CO39" s="214" t="str">
        <f t="shared" si="89"/>
        <v>-</v>
      </c>
      <c r="CS39" s="51" t="e">
        <f t="shared" si="93"/>
        <v>#N/A</v>
      </c>
      <c r="CT39" s="52" t="e">
        <f t="shared" si="90"/>
        <v>#N/A</v>
      </c>
      <c r="CU39" s="51" t="e">
        <f t="shared" si="91"/>
        <v>#N/A</v>
      </c>
      <c r="CV39" s="51" t="e">
        <f t="shared" si="92"/>
        <v>#N/A</v>
      </c>
    </row>
    <row r="40" spans="2:100" x14ac:dyDescent="0.25">
      <c r="B40" s="51" t="s">
        <v>1758</v>
      </c>
      <c r="C40" s="219" t="str">
        <f>IF($C$6="SFR",65000,IF($C$6="Multi",100000,"-"))</f>
        <v>-</v>
      </c>
      <c r="N40" s="53">
        <v>0.04</v>
      </c>
      <c r="O40" s="53">
        <f t="shared" si="56"/>
        <v>1</v>
      </c>
      <c r="P40" s="56" t="e">
        <f t="shared" si="57"/>
        <v>#VALUE!</v>
      </c>
      <c r="Q40" s="57" t="str">
        <f t="shared" si="58"/>
        <v>-</v>
      </c>
      <c r="R40" s="51" t="str">
        <f>IF($Q40="-","-",IF(($Q40/$C$19)&lt;=INDEX('DSCR (Legend)'!$F$3:$H$14,MATCH(($Q40/$C$19),'DSCR (Legend)'!$F$3:$F$14,1),2),INDEX('DSCR (Legend)'!$F$3:$H$14,MATCH(($Q40/$C$19),'DSCR (Legend)'!$F$3:$F$14,1),3),"-"))</f>
        <v>-</v>
      </c>
      <c r="S40" s="56" t="str">
        <f>IFERROR(IF($C$6="SFR",VLOOKUP(S$23,'DSCR (LLPA)'!$M:$V,MATCH($R40,'DSCR (LLPA)'!$M$1:$V$1,0),FALSE),IF($C$6="Multi",VLOOKUP(S$23,'DSCR (LLPA)'!$X:$AG,MATCH($R40,'DSCR (LLPA)'!$X$1:$AG$1,0),FALSE),"-")),"-")</f>
        <v>-</v>
      </c>
      <c r="T40" s="56" t="str">
        <f>IFERROR(IF($C$6="SFR",VLOOKUP(T$23,'DSCR (LLPA)'!$M:$V,MATCH($R40,'DSCR (LLPA)'!$M$1:$V$1,0),FALSE),IF($C$6="Multi",VLOOKUP(T$23,'DSCR (LLPA)'!$X:$AG,MATCH($R40,'DSCR (LLPA)'!$X$1:$AG$1,0),FALSE),"-")),"-")</f>
        <v>-</v>
      </c>
      <c r="U40" s="56" t="str">
        <f>IFERROR(IF($C$6="SFR",VLOOKUP(U$23,'DSCR (LLPA)'!$M:$V,MATCH($R40,'DSCR (LLPA)'!$M$1:$V$1,0),FALSE),IF($C$6="Multi",VLOOKUP(U$23,'DSCR (LLPA)'!$X:$AG,MATCH($R40,'DSCR (LLPA)'!$X$1:$AG$1,0),FALSE),"-")),"-")</f>
        <v>-</v>
      </c>
      <c r="V40" s="56" t="str">
        <f>IFERROR(IF($C$6="SFR",VLOOKUP(V$23,'DSCR (LLPA)'!$M:$V,MATCH($R40,'DSCR (LLPA)'!$M$1:$V$1,0),FALSE),IF($C$6="Multi",VLOOKUP(V$23,'DSCR (LLPA)'!$X:$AG,MATCH($R40,'DSCR (LLPA)'!$X$1:$AG$1,0),FALSE),"-")),"-")</f>
        <v>-</v>
      </c>
      <c r="W40" s="56" t="str">
        <f>IFERROR(IF($C$6="SFR",VLOOKUP(W$23,'DSCR (LLPA)'!$M:$V,MATCH($R40,'DSCR (LLPA)'!$M$1:$V$1,0),FALSE),IF($C$6="Multi",VLOOKUP(W$23,'DSCR (LLPA)'!$X:$AG,MATCH($R40,'DSCR (LLPA)'!$X$1:$AG$1,0),FALSE),"-")),"-")</f>
        <v>-</v>
      </c>
      <c r="X40" s="56" t="str">
        <f>IFERROR(IF($C$6="SFR",VLOOKUP(X$23,'DSCR (LLPA)'!$M:$V,MATCH($R40,'DSCR (LLPA)'!$M$1:$V$1,0),FALSE),IF($C$6="Multi",VLOOKUP(X$23,'DSCR (LLPA)'!$X:$AG,MATCH($R40,'DSCR (LLPA)'!$X$1:$AG$1,0),FALSE),"-")),"-")</f>
        <v>-</v>
      </c>
      <c r="Y40" s="67" t="str">
        <f>IF($Q40="-","-",IF($Q40&lt;=INDEX('DSCR (Legend)'!$J$3:$L$17,MATCH($Q40,'DSCR (Legend)'!$J$3:$J$17,1),2),INDEX('DSCR (Legend)'!$J$3:$L$17,MATCH($Q40,'DSCR (Legend)'!$J$3:$J$17,1),3),"-"))</f>
        <v>-</v>
      </c>
      <c r="Z40" s="67" t="str">
        <f>IFERROR(IF($C$6="SFR",VLOOKUP($Y40,'DSCR (LLPA)'!$M:$V,MATCH($R40,'DSCR (LLPA)'!$M$1:$V$1,0),FALSE),IF($C$6="Multi",VLOOKUP($Y40,'DSCR (LLPA)'!$X:$AG,MATCH($R40,'DSCR (LLPA)'!$X$1:$AG$1,0),FALSE),"-")),"-")</f>
        <v>-</v>
      </c>
      <c r="AA40" s="56" t="str">
        <f>IFERROR(IF($C$6="SFR",VLOOKUP(AA$23,'DSCR (LLPA)'!$M:$V,MATCH($R40,'DSCR (LLPA)'!$M$1:$V$1,0),FALSE),IF($C$6="Multi",VLOOKUP(AA$23,'DSCR (LLPA)'!$X:$AG,MATCH($R40,'DSCR (LLPA)'!$X$1:$AG$1,0),FALSE),"-")),"-")</f>
        <v>-</v>
      </c>
      <c r="AB40" s="67" t="str">
        <f t="shared" si="59"/>
        <v>-</v>
      </c>
      <c r="AC40" s="56" t="str">
        <f>IF($AB40="-","-",IF($C$6="SFR",VLOOKUP($C$10,'DSCR (LLPA)'!$B$36:$K$50,MATCH($R40,'DSCR (LLPA)'!$B$36:$K$36,0),FALSE),IF($C$6="Multi",VLOOKUP($C$10,'DSCR (LLPA)'!$B$53:$K$67,MATCH($R40,'DSCR (LLPA)'!$B$53:$K$53,0),FALSE),"-")))</f>
        <v>-</v>
      </c>
      <c r="AD40" s="56" t="str">
        <f t="shared" si="60"/>
        <v>-</v>
      </c>
      <c r="AE40" s="52" t="str">
        <f t="shared" si="61"/>
        <v>-</v>
      </c>
      <c r="AF40" s="214" t="str">
        <f t="shared" si="62"/>
        <v>-</v>
      </c>
      <c r="AG40" s="52" t="str">
        <f t="shared" si="63"/>
        <v>-</v>
      </c>
      <c r="AH40" s="52" t="str">
        <f t="shared" si="64"/>
        <v>-</v>
      </c>
      <c r="AI40" s="52">
        <f t="shared" si="65"/>
        <v>0</v>
      </c>
      <c r="AN40" s="53"/>
      <c r="AO40" s="53"/>
      <c r="AP40" s="56"/>
      <c r="AQ40" s="57"/>
      <c r="AS40" s="56"/>
      <c r="AT40" s="56"/>
      <c r="AU40" s="56"/>
      <c r="AV40" s="56"/>
      <c r="AW40" s="56"/>
      <c r="AX40" s="56"/>
      <c r="AY40" s="67"/>
      <c r="AZ40" s="67"/>
      <c r="BA40" s="56"/>
      <c r="BB40" s="67"/>
      <c r="BC40" s="56"/>
      <c r="BD40" s="56"/>
      <c r="BE40" s="52"/>
      <c r="BF40" s="214"/>
      <c r="BG40" s="52"/>
      <c r="BH40" s="52"/>
      <c r="BI40" s="52"/>
      <c r="BJ40" s="52"/>
      <c r="BK40" s="52"/>
      <c r="BL40" s="52"/>
      <c r="BM40" s="52"/>
      <c r="BN40" s="52"/>
      <c r="BO40" s="52"/>
      <c r="BP40" s="52"/>
      <c r="BR40" s="53">
        <v>3.4999999999999996E-2</v>
      </c>
      <c r="BS40" s="206">
        <f t="shared" si="67"/>
        <v>100.5</v>
      </c>
      <c r="BT40" s="217" t="e">
        <f t="shared" si="68"/>
        <v>#N/A</v>
      </c>
      <c r="BU40" s="67" t="e">
        <f t="shared" si="69"/>
        <v>#N/A</v>
      </c>
      <c r="BV40" s="216" t="e">
        <f t="shared" si="70"/>
        <v>#N/A</v>
      </c>
      <c r="BW40" s="216" t="e">
        <f t="shared" si="71"/>
        <v>#N/A</v>
      </c>
      <c r="BX40" s="51" t="e">
        <f t="shared" si="72"/>
        <v>#N/A</v>
      </c>
      <c r="BY40" s="215" t="e">
        <f t="shared" si="73"/>
        <v>#N/A</v>
      </c>
      <c r="BZ40" s="51" t="e">
        <f t="shared" si="74"/>
        <v>#N/A</v>
      </c>
      <c r="CA40" s="52">
        <f t="shared" si="75"/>
        <v>0</v>
      </c>
      <c r="CB40" s="52">
        <f t="shared" si="76"/>
        <v>0</v>
      </c>
      <c r="CC40" s="52">
        <f t="shared" si="77"/>
        <v>0</v>
      </c>
      <c r="CD40" s="52">
        <f t="shared" si="78"/>
        <v>0</v>
      </c>
      <c r="CE40" s="215" t="e">
        <f t="shared" si="79"/>
        <v>#N/A</v>
      </c>
      <c r="CF40" s="51" t="e">
        <f t="shared" si="80"/>
        <v>#N/A</v>
      </c>
      <c r="CG40" s="52" t="e">
        <f t="shared" si="81"/>
        <v>#N/A</v>
      </c>
      <c r="CH40" s="51" t="e">
        <f t="shared" si="82"/>
        <v>#N/A</v>
      </c>
      <c r="CI40" s="52" t="e">
        <f t="shared" si="83"/>
        <v>#N/A</v>
      </c>
      <c r="CJ40" s="52" t="e">
        <f t="shared" si="84"/>
        <v>#N/A</v>
      </c>
      <c r="CK40" s="214" t="e">
        <f t="shared" si="85"/>
        <v>#N/A</v>
      </c>
      <c r="CL40" s="214" t="e">
        <f t="shared" si="86"/>
        <v>#VALUE!</v>
      </c>
      <c r="CM40" s="51" t="str">
        <f t="shared" si="87"/>
        <v>-</v>
      </c>
      <c r="CN40" s="52" t="str">
        <f t="shared" si="88"/>
        <v>-</v>
      </c>
      <c r="CO40" s="214" t="str">
        <f t="shared" si="89"/>
        <v>-</v>
      </c>
      <c r="CS40" s="51" t="e">
        <f t="shared" si="93"/>
        <v>#N/A</v>
      </c>
      <c r="CT40" s="52" t="e">
        <f t="shared" si="90"/>
        <v>#N/A</v>
      </c>
      <c r="CU40" s="51" t="e">
        <f t="shared" si="91"/>
        <v>#N/A</v>
      </c>
      <c r="CV40" s="51" t="e">
        <f t="shared" si="92"/>
        <v>#N/A</v>
      </c>
    </row>
    <row r="41" spans="2:100" x14ac:dyDescent="0.25">
      <c r="BR41" s="53">
        <v>3.7499999999999999E-2</v>
      </c>
      <c r="BS41" s="206">
        <f t="shared" si="67"/>
        <v>100.25</v>
      </c>
      <c r="BT41" s="217" t="e">
        <f t="shared" si="68"/>
        <v>#N/A</v>
      </c>
      <c r="BU41" s="67" t="e">
        <f t="shared" si="69"/>
        <v>#N/A</v>
      </c>
      <c r="BV41" s="216" t="e">
        <f t="shared" si="70"/>
        <v>#N/A</v>
      </c>
      <c r="BW41" s="216" t="e">
        <f t="shared" si="71"/>
        <v>#N/A</v>
      </c>
      <c r="BX41" s="51" t="e">
        <f t="shared" si="72"/>
        <v>#N/A</v>
      </c>
      <c r="BY41" s="215" t="e">
        <f t="shared" si="73"/>
        <v>#N/A</v>
      </c>
      <c r="BZ41" s="51" t="e">
        <f t="shared" si="74"/>
        <v>#N/A</v>
      </c>
      <c r="CA41" s="52">
        <f t="shared" si="75"/>
        <v>0</v>
      </c>
      <c r="CB41" s="52">
        <f t="shared" si="76"/>
        <v>0</v>
      </c>
      <c r="CC41" s="52">
        <f t="shared" si="77"/>
        <v>0</v>
      </c>
      <c r="CD41" s="52">
        <f t="shared" si="78"/>
        <v>0</v>
      </c>
      <c r="CE41" s="215" t="e">
        <f t="shared" si="79"/>
        <v>#N/A</v>
      </c>
      <c r="CF41" s="51" t="e">
        <f t="shared" si="80"/>
        <v>#N/A</v>
      </c>
      <c r="CG41" s="52" t="e">
        <f t="shared" si="81"/>
        <v>#N/A</v>
      </c>
      <c r="CH41" s="51" t="e">
        <f t="shared" si="82"/>
        <v>#N/A</v>
      </c>
      <c r="CI41" s="52" t="e">
        <f t="shared" si="83"/>
        <v>#N/A</v>
      </c>
      <c r="CJ41" s="52" t="e">
        <f t="shared" si="84"/>
        <v>#N/A</v>
      </c>
      <c r="CK41" s="214" t="e">
        <f t="shared" si="85"/>
        <v>#N/A</v>
      </c>
      <c r="CL41" s="214" t="e">
        <f t="shared" si="86"/>
        <v>#VALUE!</v>
      </c>
      <c r="CM41" s="51" t="str">
        <f t="shared" si="87"/>
        <v>-</v>
      </c>
      <c r="CN41" s="52" t="str">
        <f t="shared" si="88"/>
        <v>-</v>
      </c>
      <c r="CO41" s="214" t="str">
        <f t="shared" si="89"/>
        <v>-</v>
      </c>
      <c r="CS41" s="51" t="e">
        <f t="shared" si="93"/>
        <v>#N/A</v>
      </c>
      <c r="CT41" s="52" t="e">
        <f t="shared" si="90"/>
        <v>#N/A</v>
      </c>
      <c r="CU41" s="51" t="e">
        <f t="shared" si="91"/>
        <v>#N/A</v>
      </c>
      <c r="CV41" s="51" t="e">
        <f t="shared" si="92"/>
        <v>#N/A</v>
      </c>
    </row>
    <row r="42" spans="2:100" x14ac:dyDescent="0.25">
      <c r="B42" s="218" t="s">
        <v>1757</v>
      </c>
      <c r="C42" s="195"/>
      <c r="D42" s="195" t="s">
        <v>1756</v>
      </c>
      <c r="E42" s="195"/>
      <c r="F42" s="195"/>
      <c r="G42" s="195" t="s">
        <v>1755</v>
      </c>
      <c r="H42" s="195"/>
      <c r="I42" s="195"/>
      <c r="J42" s="195" t="s">
        <v>1754</v>
      </c>
      <c r="K42" s="195"/>
      <c r="L42" s="195"/>
      <c r="M42" s="195" t="s">
        <v>1753</v>
      </c>
      <c r="N42" s="195"/>
      <c r="O42" s="195"/>
      <c r="P42" s="195" t="s">
        <v>1752</v>
      </c>
      <c r="Q42" s="195"/>
      <c r="R42" s="195"/>
      <c r="S42" s="195" t="s">
        <v>1751</v>
      </c>
      <c r="T42" s="195"/>
      <c r="U42" s="195"/>
      <c r="V42" s="195" t="s">
        <v>1750</v>
      </c>
      <c r="W42" s="195"/>
      <c r="X42" s="195"/>
      <c r="BR42" s="53">
        <v>0.04</v>
      </c>
      <c r="BS42" s="206">
        <f t="shared" si="67"/>
        <v>100</v>
      </c>
      <c r="BT42" s="217" t="e">
        <f t="shared" si="68"/>
        <v>#N/A</v>
      </c>
      <c r="BU42" s="67" t="e">
        <f t="shared" si="69"/>
        <v>#N/A</v>
      </c>
      <c r="BV42" s="216" t="e">
        <f t="shared" si="70"/>
        <v>#N/A</v>
      </c>
      <c r="BW42" s="216" t="e">
        <f t="shared" si="71"/>
        <v>#N/A</v>
      </c>
      <c r="BX42" s="51" t="e">
        <f t="shared" si="72"/>
        <v>#N/A</v>
      </c>
      <c r="BY42" s="215" t="e">
        <f t="shared" si="73"/>
        <v>#N/A</v>
      </c>
      <c r="BZ42" s="51" t="e">
        <f t="shared" si="74"/>
        <v>#N/A</v>
      </c>
      <c r="CA42" s="52">
        <f t="shared" si="75"/>
        <v>0</v>
      </c>
      <c r="CB42" s="52">
        <f t="shared" si="76"/>
        <v>0</v>
      </c>
      <c r="CC42" s="52">
        <f t="shared" si="77"/>
        <v>0</v>
      </c>
      <c r="CD42" s="52">
        <f t="shared" si="78"/>
        <v>0</v>
      </c>
      <c r="CE42" s="215" t="e">
        <f t="shared" si="79"/>
        <v>#N/A</v>
      </c>
      <c r="CF42" s="51" t="e">
        <f t="shared" si="80"/>
        <v>#N/A</v>
      </c>
      <c r="CG42" s="52" t="e">
        <f t="shared" si="81"/>
        <v>#N/A</v>
      </c>
      <c r="CH42" s="51" t="e">
        <f t="shared" si="82"/>
        <v>#N/A</v>
      </c>
      <c r="CI42" s="52" t="e">
        <f t="shared" si="83"/>
        <v>#N/A</v>
      </c>
      <c r="CJ42" s="52" t="e">
        <f t="shared" si="84"/>
        <v>#N/A</v>
      </c>
      <c r="CK42" s="214" t="e">
        <f t="shared" si="85"/>
        <v>#N/A</v>
      </c>
      <c r="CL42" s="214" t="e">
        <f t="shared" si="86"/>
        <v>#VALUE!</v>
      </c>
      <c r="CM42" s="51" t="str">
        <f t="shared" si="87"/>
        <v>-</v>
      </c>
      <c r="CN42" s="52" t="str">
        <f t="shared" si="88"/>
        <v>-</v>
      </c>
      <c r="CO42" s="214" t="str">
        <f t="shared" si="89"/>
        <v>-</v>
      </c>
      <c r="CS42" s="51" t="e">
        <f t="shared" si="93"/>
        <v>#N/A</v>
      </c>
      <c r="CT42" s="52" t="e">
        <f t="shared" si="90"/>
        <v>#N/A</v>
      </c>
      <c r="CU42" s="51" t="e">
        <f t="shared" si="91"/>
        <v>#N/A</v>
      </c>
      <c r="CV42" s="51" t="e">
        <f t="shared" si="92"/>
        <v>#N/A</v>
      </c>
    </row>
    <row r="43" spans="2:100" x14ac:dyDescent="0.25">
      <c r="B43" s="639" t="s">
        <v>156</v>
      </c>
      <c r="C43" s="639"/>
      <c r="D43" s="798">
        <v>0.5</v>
      </c>
      <c r="E43" s="799"/>
      <c r="F43" s="800"/>
      <c r="G43" s="798">
        <f>5%+D43</f>
        <v>0.55000000000000004</v>
      </c>
      <c r="H43" s="799"/>
      <c r="I43" s="800"/>
      <c r="J43" s="798">
        <f>5%+G43</f>
        <v>0.60000000000000009</v>
      </c>
      <c r="K43" s="799"/>
      <c r="L43" s="800"/>
      <c r="M43" s="798">
        <f>5%+J43</f>
        <v>0.65000000000000013</v>
      </c>
      <c r="N43" s="799"/>
      <c r="O43" s="800"/>
      <c r="P43" s="798">
        <f>5%+M43</f>
        <v>0.70000000000000018</v>
      </c>
      <c r="Q43" s="799"/>
      <c r="R43" s="800"/>
      <c r="S43" s="798">
        <f>5%+P43</f>
        <v>0.75000000000000022</v>
      </c>
      <c r="T43" s="799"/>
      <c r="U43" s="800"/>
      <c r="V43" s="798">
        <f>5%+S43</f>
        <v>0.80000000000000027</v>
      </c>
      <c r="W43" s="799"/>
      <c r="X43" s="800"/>
    </row>
    <row r="44" spans="2:100" x14ac:dyDescent="0.25">
      <c r="B44" s="639" t="s">
        <v>1749</v>
      </c>
      <c r="C44" s="639"/>
      <c r="D44" s="742" t="e">
        <f>IF(D43&gt;$C$37,"-",D43)</f>
        <v>#VALUE!</v>
      </c>
      <c r="E44" s="743"/>
      <c r="F44" s="744"/>
      <c r="G44" s="742" t="e">
        <f>IF(G43&gt;$C$37,"-",G43)</f>
        <v>#VALUE!</v>
      </c>
      <c r="H44" s="743"/>
      <c r="I44" s="744"/>
      <c r="J44" s="742" t="e">
        <f>IF(J43&gt;$C$37,"-",J43)</f>
        <v>#VALUE!</v>
      </c>
      <c r="K44" s="743"/>
      <c r="L44" s="744"/>
      <c r="M44" s="742" t="e">
        <f>IF(M43&gt;$C$37,"-",M43)</f>
        <v>#VALUE!</v>
      </c>
      <c r="N44" s="743"/>
      <c r="O44" s="744"/>
      <c r="P44" s="742" t="e">
        <f>IF(P43&gt;$C$37,"-",P43)</f>
        <v>#VALUE!</v>
      </c>
      <c r="Q44" s="743"/>
      <c r="R44" s="744"/>
      <c r="S44" s="742" t="e">
        <f>IF(S43&gt;$C$37,"-",S43)</f>
        <v>#VALUE!</v>
      </c>
      <c r="T44" s="743"/>
      <c r="U44" s="744"/>
      <c r="V44" s="742" t="e">
        <f>IF(V43&gt;$C$37,"-",V43)</f>
        <v>#VALUE!</v>
      </c>
      <c r="W44" s="743"/>
      <c r="X44" s="744"/>
    </row>
    <row r="45" spans="2:100" x14ac:dyDescent="0.25">
      <c r="B45" s="639" t="s">
        <v>1748</v>
      </c>
      <c r="C45" s="639"/>
      <c r="D45" s="742">
        <f>IF(OR($C$3="Refinance (Rate/Term)",$C$3="Refinance (Cash Out)"),"-",D43)</f>
        <v>0.5</v>
      </c>
      <c r="E45" s="743"/>
      <c r="F45" s="744"/>
      <c r="G45" s="742">
        <f>IF(OR($C$3="Refinance (Rate/Term)",$C$3="Refinance (Cash Out)"),"-",G43)</f>
        <v>0.55000000000000004</v>
      </c>
      <c r="H45" s="743"/>
      <c r="I45" s="744"/>
      <c r="J45" s="742">
        <f>IF(OR($C$3="Refinance (Rate/Term)",$C$3="Refinance (Cash Out)"),"-",J43)</f>
        <v>0.60000000000000009</v>
      </c>
      <c r="K45" s="743"/>
      <c r="L45" s="744"/>
      <c r="M45" s="742">
        <f>IF(OR($C$3="Refinance (Rate/Term)",$C$3="Refinance (Cash Out)"),"-",M43)</f>
        <v>0.65000000000000013</v>
      </c>
      <c r="N45" s="743"/>
      <c r="O45" s="744"/>
      <c r="P45" s="742">
        <f>IF(OR($C$3="Refinance (Rate/Term)",$C$3="Refinance (Cash Out)"),"-",P43)</f>
        <v>0.70000000000000018</v>
      </c>
      <c r="Q45" s="743"/>
      <c r="R45" s="744"/>
      <c r="S45" s="742">
        <f>IF(OR($C$3="Refinance (Rate/Term)",$C$3="Refinance (Cash Out)"),"-",S43)</f>
        <v>0.75000000000000022</v>
      </c>
      <c r="T45" s="743"/>
      <c r="U45" s="744"/>
      <c r="V45" s="742">
        <f>IF(OR($C$3="Refinance (Rate/Term)",$C$3="Refinance (Cash Out)"),"-",V43)</f>
        <v>0.80000000000000027</v>
      </c>
      <c r="W45" s="743"/>
      <c r="X45" s="744"/>
    </row>
    <row r="46" spans="2:100" x14ac:dyDescent="0.25">
      <c r="B46" s="639" t="s">
        <v>1747</v>
      </c>
      <c r="C46" s="639"/>
      <c r="D46" s="737" t="e">
        <f>IF(D44="-","-",IF(OR($C$3="Purchase",$C$3="Delayed Purchase"),MIN(D44*$C$19,D45*$C$22),IF(OR($C$3="Refinance (Rate/Term)",$C$3="Refinance (Cash Out)"),D44*$C$19,"-")))</f>
        <v>#VALUE!</v>
      </c>
      <c r="E46" s="738"/>
      <c r="F46" s="739"/>
      <c r="G46" s="737" t="e">
        <f>IF(G44="-","-",IF(OR($C$3="Purchase",$C$3="Delayed Purchase"),MIN(G44*$C$19,G45*$C$22),IF(OR($C$3="Refinance (Rate/Term)",$C$3="Refinance (Cash Out)"),G44*$C$19,"-")))</f>
        <v>#VALUE!</v>
      </c>
      <c r="H46" s="738"/>
      <c r="I46" s="739"/>
      <c r="J46" s="737" t="e">
        <f>IF(J44="-","-",IF(OR($C$3="Purchase",$C$3="Delayed Purchase"),MIN(J44*$C$19,J45*$C$22),IF(OR($C$3="Refinance (Rate/Term)",$C$3="Refinance (Cash Out)"),J44*$C$19,"-")))</f>
        <v>#VALUE!</v>
      </c>
      <c r="K46" s="738"/>
      <c r="L46" s="739"/>
      <c r="M46" s="737" t="e">
        <f>IF(M44="-","-",IF(OR($C$3="Purchase",$C$3="Delayed Purchase"),MIN(M44*$C$19,M45*$C$22),IF(OR($C$3="Refinance (Rate/Term)",$C$3="Refinance (Cash Out)"),M44*$C$19,"-")))</f>
        <v>#VALUE!</v>
      </c>
      <c r="N46" s="738"/>
      <c r="O46" s="739"/>
      <c r="P46" s="737" t="e">
        <f>IF(P44="-","-",IF(OR($C$3="Purchase",$C$3="Delayed Purchase"),MIN(P44*$C$19,P45*$C$22),IF(OR($C$3="Refinance (Rate/Term)",$C$3="Refinance (Cash Out)"),P44*$C$19,"-")))</f>
        <v>#VALUE!</v>
      </c>
      <c r="Q46" s="738"/>
      <c r="R46" s="739"/>
      <c r="S46" s="737" t="e">
        <f>IF(S44="-","-",IF(OR($C$3="Purchase",$C$3="Delayed Purchase"),MIN(S44*$C$19,S45*$C$22),IF(OR($C$3="Refinance (Rate/Term)",$C$3="Refinance (Cash Out)"),S44*$C$19,"-")))</f>
        <v>#VALUE!</v>
      </c>
      <c r="T46" s="738"/>
      <c r="U46" s="739"/>
      <c r="V46" s="737" t="e">
        <f>IF(V44="-","-",IF(OR($C$3="Purchase",$C$3="Delayed Purchase"),MIN(V44*$C$19,V45*$C$22),IF(OR($C$3="Refinance (Rate/Term)",$C$3="Refinance (Cash Out)"),V44*$C$19,"-")))</f>
        <v>#VALUE!</v>
      </c>
      <c r="W46" s="738"/>
      <c r="X46" s="739"/>
    </row>
    <row r="47" spans="2:100" x14ac:dyDescent="0.25">
      <c r="B47" s="639" t="s">
        <v>1746</v>
      </c>
      <c r="C47" s="639"/>
      <c r="D47" s="737" t="e">
        <f>IF(OR(D46&lt;$C$40,D46&gt;$C$39),"-",D46)</f>
        <v>#VALUE!</v>
      </c>
      <c r="E47" s="738"/>
      <c r="F47" s="739"/>
      <c r="G47" s="737" t="e">
        <f>IF(OR(G46&lt;$C$40,G46&gt;$C$39),"-",G46)</f>
        <v>#VALUE!</v>
      </c>
      <c r="H47" s="738"/>
      <c r="I47" s="739"/>
      <c r="J47" s="737" t="e">
        <f>IF(OR(J46&lt;$C$40,J46&gt;$C$39),"-",J46)</f>
        <v>#VALUE!</v>
      </c>
      <c r="K47" s="738"/>
      <c r="L47" s="739"/>
      <c r="M47" s="737" t="e">
        <f>IF(OR(M46&lt;$C$40,M46&gt;$C$39),"-",M46)</f>
        <v>#VALUE!</v>
      </c>
      <c r="N47" s="738"/>
      <c r="O47" s="739"/>
      <c r="P47" s="737" t="e">
        <f>IF(OR(P46&lt;$C$40,P46&gt;$C$39),"-",P46)</f>
        <v>#VALUE!</v>
      </c>
      <c r="Q47" s="738"/>
      <c r="R47" s="739"/>
      <c r="S47" s="737" t="e">
        <f>IF(OR(S46&lt;$C$40,S46&gt;$C$39),"-",S46)</f>
        <v>#VALUE!</v>
      </c>
      <c r="T47" s="738"/>
      <c r="U47" s="739"/>
      <c r="V47" s="737" t="e">
        <f>IF(OR(V46&lt;$C$40,V46&gt;$C$39),"-",V46)</f>
        <v>#VALUE!</v>
      </c>
      <c r="W47" s="738"/>
      <c r="X47" s="739"/>
    </row>
    <row r="48" spans="2:100" x14ac:dyDescent="0.25">
      <c r="B48" s="639" t="s">
        <v>1745</v>
      </c>
      <c r="C48" s="639"/>
      <c r="D48" s="737" t="str">
        <f>IF(OR($C$3="Purchase",$C$3="Delayed Purchase",$C$3="Refinance (Cash Out)"),"-",IF($C$3="Refinance (Rate/Term)",'DSCR (Single Asset)'!$C$22*102%,"-"))</f>
        <v>-</v>
      </c>
      <c r="E48" s="738"/>
      <c r="F48" s="739"/>
      <c r="G48" s="737" t="str">
        <f>IF(OR($C$3="Purchase",$C$3="Delayed Purchase",$C$3="Refinance (Cash Out)"),"-",IF($C$3="Refinance (Rate/Term)",'DSCR (Single Asset)'!$C$22*102%,"-"))</f>
        <v>-</v>
      </c>
      <c r="H48" s="738"/>
      <c r="I48" s="739"/>
      <c r="J48" s="737" t="str">
        <f>IF(OR($C$3="Purchase",$C$3="Delayed Purchase",$C$3="Refinance (Cash Out)"),"-",IF($C$3="Refinance (Rate/Term)",'DSCR (Single Asset)'!$C$22*102%,"-"))</f>
        <v>-</v>
      </c>
      <c r="K48" s="738"/>
      <c r="L48" s="739"/>
      <c r="M48" s="737" t="str">
        <f>IF(OR($C$3="Purchase",$C$3="Delayed Purchase",$C$3="Refinance (Cash Out)"),"-",IF($C$3="Refinance (Rate/Term)",'DSCR (Single Asset)'!$C$22*102%,"-"))</f>
        <v>-</v>
      </c>
      <c r="N48" s="738"/>
      <c r="O48" s="739"/>
      <c r="P48" s="737" t="str">
        <f>IF(OR($C$3="Purchase",$C$3="Delayed Purchase",$C$3="Refinance (Cash Out)"),"-",IF($C$3="Refinance (Rate/Term)",'DSCR (Single Asset)'!$C$22*102%,"-"))</f>
        <v>-</v>
      </c>
      <c r="Q48" s="738"/>
      <c r="R48" s="739"/>
      <c r="S48" s="737" t="str">
        <f>IF(OR($C$3="Purchase",$C$3="Delayed Purchase",$C$3="Refinance (Cash Out)"),"-",IF($C$3="Refinance (Rate/Term)",'DSCR (Single Asset)'!$C$22*102%,"-"))</f>
        <v>-</v>
      </c>
      <c r="T48" s="738"/>
      <c r="U48" s="739"/>
      <c r="V48" s="737" t="str">
        <f>IF(OR($C$3="Purchase",$C$3="Delayed Purchase",$C$3="Refinance (Cash Out)"),"-",IF($C$3="Refinance (Rate/Term)",'DSCR (Single Asset)'!$C$22*102%,"-"))</f>
        <v>-</v>
      </c>
      <c r="W48" s="738"/>
      <c r="X48" s="739"/>
    </row>
    <row r="49" spans="1:24" x14ac:dyDescent="0.25">
      <c r="B49" s="639" t="s">
        <v>1744</v>
      </c>
      <c r="C49" s="639"/>
      <c r="D49" s="737" t="e">
        <f>IF(D48="-",D47,IF(D47&gt;D48,"-",IF(D48&gt;D47,D47,)))</f>
        <v>#VALUE!</v>
      </c>
      <c r="E49" s="738"/>
      <c r="F49" s="739"/>
      <c r="G49" s="737" t="e">
        <f>IF(G48="-",G47,IF(G47&gt;G48,"-",IF(G48&gt;G47,G47,)))</f>
        <v>#VALUE!</v>
      </c>
      <c r="H49" s="738"/>
      <c r="I49" s="739"/>
      <c r="J49" s="737" t="e">
        <f>IF(J48="-",J47,IF(J47&gt;J48,"-",IF(J48&gt;J47,J47,)))</f>
        <v>#VALUE!</v>
      </c>
      <c r="K49" s="738"/>
      <c r="L49" s="739"/>
      <c r="M49" s="737" t="e">
        <f>IF(M48="-",M47,IF(M47&gt;M48,"-",IF(M48&gt;M47,M47,)))</f>
        <v>#VALUE!</v>
      </c>
      <c r="N49" s="738"/>
      <c r="O49" s="739"/>
      <c r="P49" s="737" t="e">
        <f>IF(P48="-",P47,IF(P47&gt;P48,"-",IF(P48&gt;P47,P47,)))</f>
        <v>#VALUE!</v>
      </c>
      <c r="Q49" s="738"/>
      <c r="R49" s="739"/>
      <c r="S49" s="737" t="e">
        <f>IF(S48="-",S47,IF(S47&gt;S48,"-",IF(S48&gt;S47,S47,)))</f>
        <v>#VALUE!</v>
      </c>
      <c r="T49" s="738"/>
      <c r="U49" s="739"/>
      <c r="V49" s="737" t="e">
        <f>IF(V48="-",V47,IF(V47&gt;V48,"-",IF(V48&gt;V47,V47,)))</f>
        <v>#VALUE!</v>
      </c>
      <c r="W49" s="738"/>
      <c r="X49" s="739"/>
    </row>
    <row r="50" spans="1:24" x14ac:dyDescent="0.25">
      <c r="B50" s="639" t="s">
        <v>1743</v>
      </c>
      <c r="C50" s="639"/>
      <c r="D50" s="742" t="e">
        <f>IF(D49="-","-",D49/$C$19)</f>
        <v>#VALUE!</v>
      </c>
      <c r="E50" s="743"/>
      <c r="F50" s="744"/>
      <c r="G50" s="742" t="e">
        <f>IF(G49="-","-",G49/$C$19)</f>
        <v>#VALUE!</v>
      </c>
      <c r="H50" s="743"/>
      <c r="I50" s="744"/>
      <c r="J50" s="742" t="e">
        <f>IF(J49="-","-",J49/$C$19)</f>
        <v>#VALUE!</v>
      </c>
      <c r="K50" s="743"/>
      <c r="L50" s="744"/>
      <c r="M50" s="742" t="e">
        <f>IF(M49="-","-",M49/$C$19)</f>
        <v>#VALUE!</v>
      </c>
      <c r="N50" s="743"/>
      <c r="O50" s="744"/>
      <c r="P50" s="742" t="e">
        <f>IF(P49="-","-",P49/$C$19)</f>
        <v>#VALUE!</v>
      </c>
      <c r="Q50" s="743"/>
      <c r="R50" s="744"/>
      <c r="S50" s="742" t="e">
        <f>IF(S49="-","-",S49/$C$19)</f>
        <v>#VALUE!</v>
      </c>
      <c r="T50" s="743"/>
      <c r="U50" s="744"/>
      <c r="V50" s="742" t="e">
        <f>IF(V49="-","-",V49/$C$19)</f>
        <v>#VALUE!</v>
      </c>
      <c r="W50" s="743"/>
      <c r="X50" s="744"/>
    </row>
    <row r="51" spans="1:24" x14ac:dyDescent="0.25">
      <c r="B51" s="639" t="s">
        <v>1742</v>
      </c>
      <c r="C51" s="639"/>
      <c r="D51" s="737" t="e">
        <f>IF(D50="-","-",IF(D50&lt;=INDEX('DSCR (Legend)'!$F$3:$H$14,MATCH(D50,'DSCR (Legend)'!$F$3:$F$14,1),2),INDEX('DSCR (Legend)'!$F$3:$H$14,MATCH(D50,'DSCR (Legend)'!$F$3:$F$14,1),3),"-"))</f>
        <v>#VALUE!</v>
      </c>
      <c r="E51" s="738"/>
      <c r="F51" s="739"/>
      <c r="G51" s="737" t="e">
        <f>IF(G50="-","-",IF(G50&lt;=INDEX('DSCR (Legend)'!$F$3:$H$14,MATCH(G50,'DSCR (Legend)'!$F$3:$F$14,1),2),INDEX('DSCR (Legend)'!$F$3:$H$14,MATCH(G50,'DSCR (Legend)'!$F$3:$F$14,1),3),"-"))</f>
        <v>#VALUE!</v>
      </c>
      <c r="H51" s="738"/>
      <c r="I51" s="739"/>
      <c r="J51" s="737" t="e">
        <f>IF(J50="-","-",IF(J50&lt;=INDEX('DSCR (Legend)'!$F$3:$H$14,MATCH(J50,'DSCR (Legend)'!$F$3:$F$14,1),2),INDEX('DSCR (Legend)'!$F$3:$H$14,MATCH(J50,'DSCR (Legend)'!$F$3:$F$14,1),3),"-"))</f>
        <v>#VALUE!</v>
      </c>
      <c r="K51" s="738"/>
      <c r="L51" s="739"/>
      <c r="M51" s="737" t="e">
        <f>IF(M50="-","-",IF(M50&lt;=INDEX('DSCR (Legend)'!$F$3:$H$14,MATCH(M50,'DSCR (Legend)'!$F$3:$F$14,1),2),INDEX('DSCR (Legend)'!$F$3:$H$14,MATCH(M50,'DSCR (Legend)'!$F$3:$F$14,1),3),"-"))</f>
        <v>#VALUE!</v>
      </c>
      <c r="N51" s="738"/>
      <c r="O51" s="739"/>
      <c r="P51" s="737" t="e">
        <f>IF(P50="-","-",IF(P50&lt;=INDEX('DSCR (Legend)'!$F$3:$H$14,MATCH(P50,'DSCR (Legend)'!$F$3:$F$14,1),2),INDEX('DSCR (Legend)'!$F$3:$H$14,MATCH(P50,'DSCR (Legend)'!$F$3:$F$14,1),3),"-"))</f>
        <v>#VALUE!</v>
      </c>
      <c r="Q51" s="738"/>
      <c r="R51" s="739"/>
      <c r="S51" s="737" t="e">
        <f>IF(S50="-","-",IF(S50&lt;=INDEX('DSCR (Legend)'!$F$3:$H$14,MATCH(S50,'DSCR (Legend)'!$F$3:$F$14,1),2),INDEX('DSCR (Legend)'!$F$3:$H$14,MATCH(S50,'DSCR (Legend)'!$F$3:$F$14,1),3),"-"))</f>
        <v>#VALUE!</v>
      </c>
      <c r="T51" s="738"/>
      <c r="U51" s="739"/>
      <c r="V51" s="737" t="e">
        <f>IF(V50="-","-",IF(V50&lt;=INDEX('DSCR (Legend)'!$F$3:$H$14,MATCH(V50,'DSCR (Legend)'!$F$3:$F$14,1),2),INDEX('DSCR (Legend)'!$F$3:$H$14,MATCH(V50,'DSCR (Legend)'!$F$3:$F$14,1),3),"-"))</f>
        <v>#VALUE!</v>
      </c>
      <c r="W51" s="738"/>
      <c r="X51" s="739"/>
    </row>
    <row r="52" spans="1:24" x14ac:dyDescent="0.25">
      <c r="B52" s="639" t="s">
        <v>1741</v>
      </c>
      <c r="C52" s="639"/>
      <c r="D52" s="62"/>
      <c r="F52" s="120"/>
      <c r="G52" s="62"/>
      <c r="I52" s="120"/>
      <c r="J52" s="62"/>
      <c r="L52" s="120"/>
      <c r="M52" s="62"/>
      <c r="O52" s="120"/>
      <c r="P52" s="62"/>
      <c r="R52" s="120"/>
      <c r="S52" s="62"/>
      <c r="U52" s="120"/>
      <c r="V52" s="62"/>
      <c r="X52" s="120"/>
    </row>
    <row r="53" spans="1:24" x14ac:dyDescent="0.25">
      <c r="A53" s="51" t="s">
        <v>1740</v>
      </c>
      <c r="B53" s="801">
        <f>$C$5</f>
        <v>0</v>
      </c>
      <c r="C53" s="801"/>
      <c r="D53" s="788" t="str">
        <f>IFERROR(IF($C$6="SFR",VLOOKUP($B$53,'DSCR (LLPA)'!$M:$V,MATCH('DSCR (Loan Calc)'!D51,'DSCR (LLPA)'!$M$1:$V$1,0),FALSE),IF($C$6="Multi",VLOOKUP($B$53,'DSCR (LLPA)'!$X:$AG,MATCH('DSCR (Loan Calc)'!D51,'DSCR (LLPA)'!$X$1:$AG$1,0),FALSE),"-")),"-")</f>
        <v>-</v>
      </c>
      <c r="E53" s="789"/>
      <c r="F53" s="790"/>
      <c r="G53" s="788" t="str">
        <f>IFERROR(IF($C$6="SFR",VLOOKUP($B$53,'DSCR (LLPA)'!$M:$V,MATCH('DSCR (Loan Calc)'!G51,'DSCR (LLPA)'!$M$1:$V$1,0),FALSE),IF($C$6="Multi",VLOOKUP($B$53,'DSCR (LLPA)'!$X:$AG,MATCH('DSCR (Loan Calc)'!G51,'DSCR (LLPA)'!$X$1:$AG$1,0),FALSE),"-")),"-")</f>
        <v>-</v>
      </c>
      <c r="H53" s="789"/>
      <c r="I53" s="790"/>
      <c r="J53" s="788" t="str">
        <f>IFERROR(IF($C$6="SFR",VLOOKUP($B$53,'DSCR (LLPA)'!$M:$V,MATCH('DSCR (Loan Calc)'!J51,'DSCR (LLPA)'!$M$1:$V$1,0),FALSE),IF($C$6="Multi",VLOOKUP($B$53,'DSCR (LLPA)'!$X:$AG,MATCH('DSCR (Loan Calc)'!J51,'DSCR (LLPA)'!$X$1:$AG$1,0),FALSE),"-")),"-")</f>
        <v>-</v>
      </c>
      <c r="K53" s="789"/>
      <c r="L53" s="790"/>
      <c r="M53" s="788" t="str">
        <f>IFERROR(IF($C$6="SFR",VLOOKUP($B$53,'DSCR (LLPA)'!$M:$V,MATCH('DSCR (Loan Calc)'!M51,'DSCR (LLPA)'!$M$1:$V$1,0),FALSE),IF($C$6="Multi",VLOOKUP($B$53,'DSCR (LLPA)'!$X:$AG,MATCH('DSCR (Loan Calc)'!M51,'DSCR (LLPA)'!$X$1:$AG$1,0),FALSE),"-")),"-")</f>
        <v>-</v>
      </c>
      <c r="N53" s="789"/>
      <c r="O53" s="790"/>
      <c r="P53" s="788" t="str">
        <f>IFERROR(IF($C$6="SFR",VLOOKUP($B$53,'DSCR (LLPA)'!$M:$V,MATCH('DSCR (Loan Calc)'!P51,'DSCR (LLPA)'!$M$1:$V$1,0),FALSE),IF($C$6="Multi",VLOOKUP($B$53,'DSCR (LLPA)'!$X:$AG,MATCH('DSCR (Loan Calc)'!P51,'DSCR (LLPA)'!$X$1:$AG$1,0),FALSE),"-")),"-")</f>
        <v>-</v>
      </c>
      <c r="Q53" s="789"/>
      <c r="R53" s="790"/>
      <c r="S53" s="788" t="str">
        <f>IFERROR(IF($C$6="SFR",VLOOKUP($B$53,'DSCR (LLPA)'!$M:$V,MATCH('DSCR (Loan Calc)'!S51,'DSCR (LLPA)'!$M$1:$V$1,0),FALSE),IF($C$6="Multi",VLOOKUP($B$53,'DSCR (LLPA)'!$X:$AG,MATCH('DSCR (Loan Calc)'!S51,'DSCR (LLPA)'!$X$1:$AG$1,0),FALSE),"-")),"-")</f>
        <v>-</v>
      </c>
      <c r="T53" s="789"/>
      <c r="U53" s="790"/>
      <c r="V53" s="788" t="str">
        <f>IFERROR(IF($C$6="SFR",VLOOKUP($B$53,'DSCR (LLPA)'!$M:$V,MATCH('DSCR (Loan Calc)'!V51,'DSCR (LLPA)'!$M$1:$V$1,0),FALSE),IF($C$6="Multi",VLOOKUP($B$53,'DSCR (LLPA)'!$X:$AG,MATCH('DSCR (Loan Calc)'!V51,'DSCR (LLPA)'!$X$1:$AG$1,0),FALSE),"-")),"-")</f>
        <v>-</v>
      </c>
      <c r="W53" s="789"/>
      <c r="X53" s="790"/>
    </row>
    <row r="54" spans="1:24" x14ac:dyDescent="0.25">
      <c r="A54" s="51" t="s">
        <v>1739</v>
      </c>
      <c r="B54" s="801">
        <f>$C$3</f>
        <v>0</v>
      </c>
      <c r="C54" s="801"/>
      <c r="D54" s="788" t="str">
        <f>IFERROR(IF($C$6="SFR",VLOOKUP($B$54,'DSCR (LLPA)'!$M:$V,MATCH('DSCR (Loan Calc)'!D51,'DSCR (LLPA)'!$M$1:$V$1,0),FALSE),IF($C$6="Multi",VLOOKUP($B$54,'DSCR (LLPA)'!$X:$AG,MATCH('DSCR (Loan Calc)'!D51,'DSCR (LLPA)'!$X$1:$AG$1,0),FALSE),"-")),"-")</f>
        <v>-</v>
      </c>
      <c r="E54" s="789"/>
      <c r="F54" s="790"/>
      <c r="G54" s="788" t="str">
        <f>IFERROR(IF($C$6="SFR",VLOOKUP($B$54,'DSCR (LLPA)'!$M:$V,MATCH('DSCR (Loan Calc)'!G51,'DSCR (LLPA)'!$M$1:$V$1,0),FALSE),IF($C$6="Multi",VLOOKUP($B$54,'DSCR (LLPA)'!$X:$AG,MATCH('DSCR (Loan Calc)'!G51,'DSCR (LLPA)'!$X$1:$AG$1,0),FALSE),"-")),"-")</f>
        <v>-</v>
      </c>
      <c r="H54" s="789"/>
      <c r="I54" s="790"/>
      <c r="J54" s="788" t="str">
        <f>IFERROR(IF($C$6="SFR",VLOOKUP($B$54,'DSCR (LLPA)'!$M:$V,MATCH('DSCR (Loan Calc)'!J51,'DSCR (LLPA)'!$M$1:$V$1,0),FALSE),IF($C$6="Multi",VLOOKUP($B$54,'DSCR (LLPA)'!$X:$AG,MATCH('DSCR (Loan Calc)'!J51,'DSCR (LLPA)'!$X$1:$AG$1,0),FALSE),"-")),"-")</f>
        <v>-</v>
      </c>
      <c r="K54" s="789"/>
      <c r="L54" s="790"/>
      <c r="M54" s="788" t="str">
        <f>IFERROR(IF($C$6="SFR",VLOOKUP($B$54,'DSCR (LLPA)'!$M:$V,MATCH('DSCR (Loan Calc)'!M51,'DSCR (LLPA)'!$M$1:$V$1,0),FALSE),IF($C$6="Multi",VLOOKUP($B$54,'DSCR (LLPA)'!$X:$AG,MATCH('DSCR (Loan Calc)'!M51,'DSCR (LLPA)'!$X$1:$AG$1,0),FALSE),"-")),"-")</f>
        <v>-</v>
      </c>
      <c r="N54" s="789"/>
      <c r="O54" s="790"/>
      <c r="P54" s="788" t="str">
        <f>IFERROR(IF($C$6="SFR",VLOOKUP($B$54,'DSCR (LLPA)'!$M:$V,MATCH('DSCR (Loan Calc)'!P51,'DSCR (LLPA)'!$M$1:$V$1,0),FALSE),IF($C$6="Multi",VLOOKUP($B$54,'DSCR (LLPA)'!$X:$AG,MATCH('DSCR (Loan Calc)'!P51,'DSCR (LLPA)'!$X$1:$AG$1,0),FALSE),"-")),"-")</f>
        <v>-</v>
      </c>
      <c r="Q54" s="789"/>
      <c r="R54" s="790"/>
      <c r="S54" s="788" t="str">
        <f>IFERROR(IF($C$6="SFR",VLOOKUP($B$54,'DSCR (LLPA)'!$M:$V,MATCH('DSCR (Loan Calc)'!S51,'DSCR (LLPA)'!$M$1:$V$1,0),FALSE),IF($C$6="Multi",VLOOKUP($B$54,'DSCR (LLPA)'!$X:$AG,MATCH('DSCR (Loan Calc)'!S51,'DSCR (LLPA)'!$X$1:$AG$1,0),FALSE),"-")),"-")</f>
        <v>-</v>
      </c>
      <c r="T54" s="789"/>
      <c r="U54" s="790"/>
      <c r="V54" s="788" t="str">
        <f>IFERROR(IF($C$6="SFR",VLOOKUP($B$54,'DSCR (LLPA)'!$M:$V,MATCH('DSCR (Loan Calc)'!V51,'DSCR (LLPA)'!$M$1:$V$1,0),FALSE),IF($C$6="Multi",VLOOKUP($B$54,'DSCR (LLPA)'!$X:$AG,MATCH('DSCR (Loan Calc)'!V51,'DSCR (LLPA)'!$X$1:$AG$1,0),FALSE),"-")),"-")</f>
        <v>-</v>
      </c>
      <c r="W54" s="789"/>
      <c r="X54" s="790"/>
    </row>
    <row r="55" spans="1:24" x14ac:dyDescent="0.25">
      <c r="A55" s="51" t="s">
        <v>119</v>
      </c>
      <c r="B55" s="801">
        <f>$C$12</f>
        <v>0</v>
      </c>
      <c r="C55" s="801"/>
      <c r="D55" s="788" t="str">
        <f>IFERROR(IF($C$6="SFR",VLOOKUP($B$55,'DSCR (LLPA)'!$M:$V,MATCH('DSCR (Loan Calc)'!D51,'DSCR (LLPA)'!$M$1:$V$1,0),FALSE),IF($C$6="Multi",VLOOKUP($B$55,'DSCR (LLPA)'!$X:$AG,MATCH('DSCR (Loan Calc)'!D51,'DSCR (LLPA)'!$X$1:$AG$1,0),FALSE),"-")),"-")</f>
        <v>-</v>
      </c>
      <c r="E55" s="789"/>
      <c r="F55" s="790"/>
      <c r="G55" s="788" t="str">
        <f>IFERROR(IF($C$6="SFR",VLOOKUP($B$55,'DSCR (LLPA)'!$M:$V,MATCH('DSCR (Loan Calc)'!G51,'DSCR (LLPA)'!$M$1:$V$1,0),FALSE),IF($C$6="Multi",VLOOKUP($B$55,'DSCR (LLPA)'!$X:$AG,MATCH('DSCR (Loan Calc)'!G51,'DSCR (LLPA)'!$X$1:$AG$1,0),FALSE),"-")),"-")</f>
        <v>-</v>
      </c>
      <c r="H55" s="789"/>
      <c r="I55" s="790"/>
      <c r="J55" s="788" t="str">
        <f>IFERROR(IF($C$6="SFR",VLOOKUP($B$55,'DSCR (LLPA)'!$M:$V,MATCH('DSCR (Loan Calc)'!J51,'DSCR (LLPA)'!$M$1:$V$1,0),FALSE),IF($C$6="Multi",VLOOKUP($B$55,'DSCR (LLPA)'!$X:$AG,MATCH('DSCR (Loan Calc)'!J51,'DSCR (LLPA)'!$X$1:$AG$1,0),FALSE),"-")),"-")</f>
        <v>-</v>
      </c>
      <c r="K55" s="789"/>
      <c r="L55" s="790"/>
      <c r="M55" s="788" t="str">
        <f>IFERROR(IF($C$6="SFR",VLOOKUP($B$55,'DSCR (LLPA)'!$M:$V,MATCH('DSCR (Loan Calc)'!M51,'DSCR (LLPA)'!$M$1:$V$1,0),FALSE),IF($C$6="Multi",VLOOKUP($B$55,'DSCR (LLPA)'!$X:$AG,MATCH('DSCR (Loan Calc)'!M51,'DSCR (LLPA)'!$X$1:$AG$1,0),FALSE),"-")),"-")</f>
        <v>-</v>
      </c>
      <c r="N55" s="789"/>
      <c r="O55" s="790"/>
      <c r="P55" s="788" t="str">
        <f>IFERROR(IF($C$6="SFR",VLOOKUP($B$55,'DSCR (LLPA)'!$M:$V,MATCH('DSCR (Loan Calc)'!P51,'DSCR (LLPA)'!$M$1:$V$1,0),FALSE),IF($C$6="Multi",VLOOKUP($B$55,'DSCR (LLPA)'!$X:$AG,MATCH('DSCR (Loan Calc)'!P51,'DSCR (LLPA)'!$X$1:$AG$1,0),FALSE),"-")),"-")</f>
        <v>-</v>
      </c>
      <c r="Q55" s="789"/>
      <c r="R55" s="790"/>
      <c r="S55" s="788" t="str">
        <f>IFERROR(IF($C$6="SFR",VLOOKUP($B$55,'DSCR (LLPA)'!$M:$V,MATCH('DSCR (Loan Calc)'!S51,'DSCR (LLPA)'!$M$1:$V$1,0),FALSE),IF($C$6="Multi",VLOOKUP($B$55,'DSCR (LLPA)'!$X:$AG,MATCH('DSCR (Loan Calc)'!S51,'DSCR (LLPA)'!$X$1:$AG$1,0),FALSE),"-")),"-")</f>
        <v>-</v>
      </c>
      <c r="T55" s="789"/>
      <c r="U55" s="790"/>
      <c r="V55" s="788" t="str">
        <f>IFERROR(IF($C$6="SFR",VLOOKUP($B$55,'DSCR (LLPA)'!$M:$V,MATCH('DSCR (Loan Calc)'!V51,'DSCR (LLPA)'!$M$1:$V$1,0),FALSE),IF($C$6="Multi",VLOOKUP($B$55,'DSCR (LLPA)'!$X:$AG,MATCH('DSCR (Loan Calc)'!V51,'DSCR (LLPA)'!$X$1:$AG$1,0),FALSE),"-")),"-")</f>
        <v>-</v>
      </c>
      <c r="W55" s="789"/>
      <c r="X55" s="790"/>
    </row>
    <row r="56" spans="1:24" x14ac:dyDescent="0.25">
      <c r="A56" s="51" t="s">
        <v>1738</v>
      </c>
      <c r="B56" s="801" t="str">
        <f>$C$29</f>
        <v>-</v>
      </c>
      <c r="C56" s="802"/>
      <c r="D56" s="788" t="str">
        <f>IFERROR(IF($C$6="SFR",VLOOKUP($B$56,'DSCR (LLPA)'!$M:$V,MATCH('DSCR (Loan Calc)'!D51,'DSCR (LLPA)'!$M$1:$V$1,0),FALSE),IF($C$6="Multi",VLOOKUP($B$56,'DSCR (LLPA)'!$X:$AG,MATCH('DSCR (Loan Calc)'!D51,'DSCR (LLPA)'!$X$1:$AG$1,0),FALSE),"-")),"-")</f>
        <v>-</v>
      </c>
      <c r="E56" s="789"/>
      <c r="F56" s="790"/>
      <c r="G56" s="788" t="str">
        <f>IFERROR(IF($C$6="SFR",VLOOKUP($B$56,'DSCR (LLPA)'!$M:$V,MATCH('DSCR (Loan Calc)'!G51,'DSCR (LLPA)'!$M$1:$V$1,0),FALSE),IF($C$6="Multi",VLOOKUP($B$56,'DSCR (LLPA)'!$X:$AG,MATCH('DSCR (Loan Calc)'!G51,'DSCR (LLPA)'!$X$1:$AG$1,0),FALSE),"-")),"-")</f>
        <v>-</v>
      </c>
      <c r="H56" s="789"/>
      <c r="I56" s="790"/>
      <c r="J56" s="788" t="str">
        <f>IFERROR(IF($C$6="SFR",VLOOKUP($B$56,'DSCR (LLPA)'!$M:$V,MATCH('DSCR (Loan Calc)'!J51,'DSCR (LLPA)'!$M$1:$V$1,0),FALSE),IF($C$6="Multi",VLOOKUP($B$56,'DSCR (LLPA)'!$X:$AG,MATCH('DSCR (Loan Calc)'!J51,'DSCR (LLPA)'!$X$1:$AG$1,0),FALSE),"-")),"-")</f>
        <v>-</v>
      </c>
      <c r="K56" s="789"/>
      <c r="L56" s="790"/>
      <c r="M56" s="788" t="str">
        <f>IFERROR(IF($C$6="SFR",VLOOKUP($B$56,'DSCR (LLPA)'!$M:$V,MATCH('DSCR (Loan Calc)'!M51,'DSCR (LLPA)'!$M$1:$V$1,0),FALSE),IF($C$6="Multi",VLOOKUP($B$56,'DSCR (LLPA)'!$X:$AG,MATCH('DSCR (Loan Calc)'!M51,'DSCR (LLPA)'!$X$1:$AG$1,0),FALSE),"-")),"-")</f>
        <v>-</v>
      </c>
      <c r="N56" s="789"/>
      <c r="O56" s="790"/>
      <c r="P56" s="788" t="str">
        <f>IFERROR(IF($C$6="SFR",VLOOKUP($B$56,'DSCR (LLPA)'!$M:$V,MATCH('DSCR (Loan Calc)'!P51,'DSCR (LLPA)'!$M$1:$V$1,0),FALSE),IF($C$6="Multi",VLOOKUP($B$56,'DSCR (LLPA)'!$X:$AG,MATCH('DSCR (Loan Calc)'!P51,'DSCR (LLPA)'!$X$1:$AG$1,0),FALSE),"-")),"-")</f>
        <v>-</v>
      </c>
      <c r="Q56" s="789"/>
      <c r="R56" s="790"/>
      <c r="S56" s="788" t="str">
        <f>IFERROR(IF($C$6="SFR",VLOOKUP($B$56,'DSCR (LLPA)'!$M:$V,MATCH('DSCR (Loan Calc)'!S51,'DSCR (LLPA)'!$M$1:$V$1,0),FALSE),IF($C$6="Multi",VLOOKUP($B$56,'DSCR (LLPA)'!$X:$AG,MATCH('DSCR (Loan Calc)'!S51,'DSCR (LLPA)'!$X$1:$AG$1,0),FALSE),"-")),"-")</f>
        <v>-</v>
      </c>
      <c r="T56" s="789"/>
      <c r="U56" s="790"/>
      <c r="V56" s="788" t="str">
        <f>IFERROR(IF($C$6="SFR",VLOOKUP($B$56,'DSCR (LLPA)'!$M:$V,MATCH('DSCR (Loan Calc)'!V51,'DSCR (LLPA)'!$M$1:$V$1,0),FALSE),IF($C$6="Multi",VLOOKUP($B$56,'DSCR (LLPA)'!$X:$AG,MATCH('DSCR (Loan Calc)'!V51,'DSCR (LLPA)'!$X$1:$AG$1,0),FALSE),"-")),"-")</f>
        <v>-</v>
      </c>
      <c r="W56" s="789"/>
      <c r="X56" s="790"/>
    </row>
    <row r="57" spans="1:24" x14ac:dyDescent="0.25">
      <c r="A57" s="51" t="s">
        <v>1737</v>
      </c>
      <c r="B57" s="801">
        <f>$C$13</f>
        <v>0</v>
      </c>
      <c r="C57" s="801"/>
      <c r="D57" s="788" t="str">
        <f>IFERROR(IF($C$6="SFR",VLOOKUP($B$57,'DSCR (LLPA)'!$M:$V,MATCH('DSCR (Loan Calc)'!D51,'DSCR (LLPA)'!$M$1:$V$1,0),FALSE),IF($C$6="Multi",VLOOKUP($B$57,'DSCR (LLPA)'!$X:$AG,MATCH('DSCR (Loan Calc)'!D51,'DSCR (LLPA)'!$X$1:$AG$1,0),FALSE),"-")),"-")</f>
        <v>-</v>
      </c>
      <c r="E57" s="789"/>
      <c r="F57" s="790"/>
      <c r="G57" s="788" t="str">
        <f>IFERROR(IF($C$6="SFR",VLOOKUP($B$57,'DSCR (LLPA)'!$M:$V,MATCH('DSCR (Loan Calc)'!G51,'DSCR (LLPA)'!$M$1:$V$1,0),FALSE),IF($C$6="Multi",VLOOKUP($B$57,'DSCR (LLPA)'!$X:$AG,MATCH('DSCR (Loan Calc)'!G51,'DSCR (LLPA)'!$X$1:$AG$1,0),FALSE),"-")),"-")</f>
        <v>-</v>
      </c>
      <c r="H57" s="789"/>
      <c r="I57" s="790"/>
      <c r="J57" s="788" t="str">
        <f>IFERROR(IF($C$6="SFR",VLOOKUP($B$57,'DSCR (LLPA)'!$M:$V,MATCH('DSCR (Loan Calc)'!J51,'DSCR (LLPA)'!$M$1:$V$1,0),FALSE),IF($C$6="Multi",VLOOKUP($B$57,'DSCR (LLPA)'!$X:$AG,MATCH('DSCR (Loan Calc)'!J51,'DSCR (LLPA)'!$X$1:$AG$1,0),FALSE),"-")),"-")</f>
        <v>-</v>
      </c>
      <c r="K57" s="789"/>
      <c r="L57" s="790"/>
      <c r="M57" s="788" t="str">
        <f>IFERROR(IF($C$6="SFR",VLOOKUP($B$57,'DSCR (LLPA)'!$M:$V,MATCH('DSCR (Loan Calc)'!M51,'DSCR (LLPA)'!$M$1:$V$1,0),FALSE),IF($C$6="Multi",VLOOKUP($B$57,'DSCR (LLPA)'!$X:$AG,MATCH('DSCR (Loan Calc)'!M51,'DSCR (LLPA)'!$X$1:$AG$1,0),FALSE),"-")),"-")</f>
        <v>-</v>
      </c>
      <c r="N57" s="789"/>
      <c r="O57" s="790"/>
      <c r="P57" s="788" t="str">
        <f>IFERROR(IF($C$6="SFR",VLOOKUP($B$57,'DSCR (LLPA)'!$M:$V,MATCH('DSCR (Loan Calc)'!P51,'DSCR (LLPA)'!$M$1:$V$1,0),FALSE),IF($C$6="Multi",VLOOKUP($B$57,'DSCR (LLPA)'!$X:$AG,MATCH('DSCR (Loan Calc)'!P51,'DSCR (LLPA)'!$X$1:$AG$1,0),FALSE),"-")),"-")</f>
        <v>-</v>
      </c>
      <c r="Q57" s="789"/>
      <c r="R57" s="790"/>
      <c r="S57" s="788" t="str">
        <f>IFERROR(IF($C$6="SFR",VLOOKUP($B$57,'DSCR (LLPA)'!$M:$V,MATCH('DSCR (Loan Calc)'!S51,'DSCR (LLPA)'!$M$1:$V$1,0),FALSE),IF($C$6="Multi",VLOOKUP($B$57,'DSCR (LLPA)'!$X:$AG,MATCH('DSCR (Loan Calc)'!S51,'DSCR (LLPA)'!$X$1:$AG$1,0),FALSE),"-")),"-")</f>
        <v>-</v>
      </c>
      <c r="T57" s="789"/>
      <c r="U57" s="790"/>
      <c r="V57" s="788" t="str">
        <f>IFERROR(IF($C$6="SFR",VLOOKUP($B$57,'DSCR (LLPA)'!$M:$V,MATCH('DSCR (Loan Calc)'!V51,'DSCR (LLPA)'!$M$1:$V$1,0),FALSE),IF($C$6="Multi",VLOOKUP($B$57,'DSCR (LLPA)'!$X:$AG,MATCH('DSCR (Loan Calc)'!V51,'DSCR (LLPA)'!$X$1:$AG$1,0),FALSE),"-")),"-")</f>
        <v>-</v>
      </c>
      <c r="W57" s="789"/>
      <c r="X57" s="790"/>
    </row>
    <row r="58" spans="1:24" x14ac:dyDescent="0.25">
      <c r="A58" s="51" t="s">
        <v>1736</v>
      </c>
      <c r="B58" s="801">
        <f>$C$14</f>
        <v>0</v>
      </c>
      <c r="C58" s="801"/>
      <c r="D58" s="788" t="str">
        <f>IFERROR(IF($C$6="SFR",VLOOKUP($B$58,'DSCR (LLPA)'!$M:$V,MATCH('DSCR (Loan Calc)'!D51,'DSCR (LLPA)'!$M$1:$V$1,0),FALSE),IF($C$6="Multi",VLOOKUP($B$58,'DSCR (LLPA)'!$X:$AG,MATCH('DSCR (Loan Calc)'!D51,'DSCR (LLPA)'!$X$1:$AG$1,0),FALSE),"-")),"-")</f>
        <v>-</v>
      </c>
      <c r="E58" s="789"/>
      <c r="F58" s="790"/>
      <c r="G58" s="788" t="str">
        <f>IFERROR(IF($C$6="SFR",VLOOKUP($B$58,'DSCR (LLPA)'!$M:$V,MATCH('DSCR (Loan Calc)'!G51,'DSCR (LLPA)'!$M$1:$V$1,0),FALSE),IF($C$6="Multi",VLOOKUP($B$58,'DSCR (LLPA)'!$X:$AG,MATCH('DSCR (Loan Calc)'!G51,'DSCR (LLPA)'!$X$1:$AG$1,0),FALSE),"-")),"-")</f>
        <v>-</v>
      </c>
      <c r="H58" s="789"/>
      <c r="I58" s="790"/>
      <c r="J58" s="788" t="str">
        <f>IFERROR(IF($C$6="SFR",VLOOKUP($B$58,'DSCR (LLPA)'!$M:$V,MATCH('DSCR (Loan Calc)'!J51,'DSCR (LLPA)'!$M$1:$V$1,0),FALSE),IF($C$6="Multi",VLOOKUP($B$58,'DSCR (LLPA)'!$X:$AG,MATCH('DSCR (Loan Calc)'!J51,'DSCR (LLPA)'!$X$1:$AG$1,0),FALSE),"-")),"-")</f>
        <v>-</v>
      </c>
      <c r="K58" s="789"/>
      <c r="L58" s="790"/>
      <c r="M58" s="788" t="str">
        <f>IFERROR(IF($C$6="SFR",VLOOKUP($B$58,'DSCR (LLPA)'!$M:$V,MATCH('DSCR (Loan Calc)'!M51,'DSCR (LLPA)'!$M$1:$V$1,0),FALSE),IF($C$6="Multi",VLOOKUP($B$58,'DSCR (LLPA)'!$X:$AG,MATCH('DSCR (Loan Calc)'!M51,'DSCR (LLPA)'!$X$1:$AG$1,0),FALSE),"-")),"-")</f>
        <v>-</v>
      </c>
      <c r="N58" s="789"/>
      <c r="O58" s="790"/>
      <c r="P58" s="788" t="str">
        <f>IFERROR(IF($C$6="SFR",VLOOKUP($B$58,'DSCR (LLPA)'!$M:$V,MATCH('DSCR (Loan Calc)'!P51,'DSCR (LLPA)'!$M$1:$V$1,0),FALSE),IF($C$6="Multi",VLOOKUP($B$58,'DSCR (LLPA)'!$X:$AG,MATCH('DSCR (Loan Calc)'!P51,'DSCR (LLPA)'!$X$1:$AG$1,0),FALSE),"-")),"-")</f>
        <v>-</v>
      </c>
      <c r="Q58" s="789"/>
      <c r="R58" s="790"/>
      <c r="S58" s="788" t="str">
        <f>IFERROR(IF($C$6="SFR",VLOOKUP($B$58,'DSCR (LLPA)'!$M:$V,MATCH('DSCR (Loan Calc)'!S51,'DSCR (LLPA)'!$M$1:$V$1,0),FALSE),IF($C$6="Multi",VLOOKUP($B$58,'DSCR (LLPA)'!$X:$AG,MATCH('DSCR (Loan Calc)'!S51,'DSCR (LLPA)'!$X$1:$AG$1,0),FALSE),"-")),"-")</f>
        <v>-</v>
      </c>
      <c r="T58" s="789"/>
      <c r="U58" s="790"/>
      <c r="V58" s="788" t="str">
        <f>IFERROR(IF($C$6="SFR",VLOOKUP($B$58,'DSCR (LLPA)'!$M:$V,MATCH('DSCR (Loan Calc)'!V51,'DSCR (LLPA)'!$M$1:$V$1,0),FALSE),IF($C$6="Multi",VLOOKUP($B$58,'DSCR (LLPA)'!$X:$AG,MATCH('DSCR (Loan Calc)'!V51,'DSCR (LLPA)'!$X$1:$AG$1,0),FALSE),"-")),"-")</f>
        <v>-</v>
      </c>
      <c r="W58" s="789"/>
      <c r="X58" s="790"/>
    </row>
    <row r="59" spans="1:24" x14ac:dyDescent="0.25">
      <c r="A59" s="51" t="s">
        <v>1707</v>
      </c>
      <c r="B59" s="801">
        <f>'DSCR (Single Asset)'!$C$30</f>
        <v>0</v>
      </c>
      <c r="C59" s="801"/>
      <c r="D59" s="788" t="str">
        <f>IFERROR(IF($C$6="SFR",VLOOKUP($B$59,'DSCR (LLPA)'!$M:$V,MATCH('DSCR (Loan Calc)'!D51,'DSCR (LLPA)'!$M$1:$V$1,0),FALSE),IF($C$6="Multi",VLOOKUP($B$59,'DSCR (LLPA)'!$X:$AG,MATCH('DSCR (Loan Calc)'!D51,'DSCR (LLPA)'!$X$1:$AG$1,0),FALSE),"-")),"-")</f>
        <v>-</v>
      </c>
      <c r="E59" s="789"/>
      <c r="F59" s="790"/>
      <c r="G59" s="788" t="str">
        <f>IFERROR(IF($C$6="SFR",VLOOKUP($B$59,'DSCR (LLPA)'!$M:$V,MATCH('DSCR (Loan Calc)'!G51,'DSCR (LLPA)'!$M$1:$V$1,0),FALSE),IF($C$6="Multi",VLOOKUP($B$59,'DSCR (LLPA)'!$X:$AG,MATCH('DSCR (Loan Calc)'!G51,'DSCR (LLPA)'!$X$1:$AG$1,0),FALSE),"-")),"-")</f>
        <v>-</v>
      </c>
      <c r="H59" s="789"/>
      <c r="I59" s="790"/>
      <c r="J59" s="788" t="str">
        <f>IFERROR(IF($C$6="SFR",VLOOKUP($B$59,'DSCR (LLPA)'!$M:$V,MATCH('DSCR (Loan Calc)'!J51,'DSCR (LLPA)'!$M$1:$V$1,0),FALSE),IF($C$6="Multi",VLOOKUP($B$59,'DSCR (LLPA)'!$X:$AG,MATCH('DSCR (Loan Calc)'!J51,'DSCR (LLPA)'!$X$1:$AG$1,0),FALSE),"-")),"-")</f>
        <v>-</v>
      </c>
      <c r="K59" s="789"/>
      <c r="L59" s="790"/>
      <c r="M59" s="788" t="str">
        <f>IFERROR(IF($C$6="SFR",VLOOKUP($B$59,'DSCR (LLPA)'!$M:$V,MATCH('DSCR (Loan Calc)'!M51,'DSCR (LLPA)'!$M$1:$V$1,0),FALSE),IF($C$6="Multi",VLOOKUP($B$59,'DSCR (LLPA)'!$X:$AG,MATCH('DSCR (Loan Calc)'!M51,'DSCR (LLPA)'!$X$1:$AG$1,0),FALSE),"-")),"-")</f>
        <v>-</v>
      </c>
      <c r="N59" s="789"/>
      <c r="O59" s="790"/>
      <c r="P59" s="788" t="str">
        <f>IFERROR(IF($C$6="SFR",VLOOKUP($B$59,'DSCR (LLPA)'!$M:$V,MATCH('DSCR (Loan Calc)'!P51,'DSCR (LLPA)'!$M$1:$V$1,0),FALSE),IF($C$6="Multi",VLOOKUP($B$59,'DSCR (LLPA)'!$X:$AG,MATCH('DSCR (Loan Calc)'!P51,'DSCR (LLPA)'!$X$1:$AG$1,0),FALSE),"-")),"-")</f>
        <v>-</v>
      </c>
      <c r="Q59" s="789"/>
      <c r="R59" s="790"/>
      <c r="S59" s="788" t="str">
        <f>IFERROR(IF($C$6="SFR",VLOOKUP($B$59,'DSCR (LLPA)'!$M:$V,MATCH('DSCR (Loan Calc)'!S51,'DSCR (LLPA)'!$M$1:$V$1,0),FALSE),IF($C$6="Multi",VLOOKUP($B$59,'DSCR (LLPA)'!$X:$AG,MATCH('DSCR (Loan Calc)'!S51,'DSCR (LLPA)'!$X$1:$AG$1,0),FALSE),"-")),"-")</f>
        <v>-</v>
      </c>
      <c r="T59" s="789"/>
      <c r="U59" s="790"/>
      <c r="V59" s="788" t="str">
        <f>IFERROR(IF($C$6="SFR",VLOOKUP($B$59,'DSCR (LLPA)'!$M:$V,MATCH('DSCR (Loan Calc)'!V51,'DSCR (LLPA)'!$M$1:$V$1,0),FALSE),IF($C$6="Multi",VLOOKUP($B$59,'DSCR (LLPA)'!$X:$AG,MATCH('DSCR (Loan Calc)'!V51,'DSCR (LLPA)'!$X$1:$AG$1,0),FALSE),"-")),"-")</f>
        <v>-</v>
      </c>
      <c r="W59" s="789"/>
      <c r="X59" s="790"/>
    </row>
    <row r="60" spans="1:24" x14ac:dyDescent="0.25">
      <c r="B60" s="639" t="s">
        <v>1735</v>
      </c>
      <c r="C60" s="639"/>
      <c r="D60" s="788" t="e">
        <f>IF(D49="-","-",IF(D49&lt;=INDEX('DSCR (Legend)'!$J$3:$L$17,MATCH(D49,'DSCR (Legend)'!$J$3:$J$17,1),2),INDEX('DSCR (Legend)'!$J$3:$L$17,MATCH(D49,'DSCR (Legend)'!$J$3:$J$17,1),3),"-"))</f>
        <v>#VALUE!</v>
      </c>
      <c r="E60" s="789"/>
      <c r="F60" s="790"/>
      <c r="G60" s="788" t="e">
        <f>IF(G49="-","-",IF(G49&lt;=INDEX('DSCR (Legend)'!$J$3:$L$17,MATCH(G49,'DSCR (Legend)'!$J$3:$J$17,1),2),INDEX('DSCR (Legend)'!$J$3:$L$17,MATCH(G49,'DSCR (Legend)'!$J$3:$J$17,1),3),"-"))</f>
        <v>#VALUE!</v>
      </c>
      <c r="H60" s="789"/>
      <c r="I60" s="790"/>
      <c r="J60" s="788" t="e">
        <f>IF(J49="-","-",IF(J49&lt;=INDEX('DSCR (Legend)'!$J$3:$L$17,MATCH(J49,'DSCR (Legend)'!$J$3:$J$17,1),2),INDEX('DSCR (Legend)'!$J$3:$L$17,MATCH(J49,'DSCR (Legend)'!$J$3:$J$17,1),3),"-"))</f>
        <v>#VALUE!</v>
      </c>
      <c r="K60" s="789"/>
      <c r="L60" s="790"/>
      <c r="M60" s="788" t="e">
        <f>IF(M49="-","-",IF(M49&lt;=INDEX('DSCR (Legend)'!$J$3:$L$17,MATCH(M49,'DSCR (Legend)'!$J$3:$J$17,1),2),INDEX('DSCR (Legend)'!$J$3:$L$17,MATCH(M49,'DSCR (Legend)'!$J$3:$J$17,1),3),"-"))</f>
        <v>#VALUE!</v>
      </c>
      <c r="N60" s="789"/>
      <c r="O60" s="790"/>
      <c r="P60" s="788" t="e">
        <f>IF(P49="-","-",IF(P49&lt;=INDEX('DSCR (Legend)'!$J$3:$L$17,MATCH(P49,'DSCR (Legend)'!$J$3:$J$17,1),2),INDEX('DSCR (Legend)'!$J$3:$L$17,MATCH(P49,'DSCR (Legend)'!$J$3:$J$17,1),3),"-"))</f>
        <v>#VALUE!</v>
      </c>
      <c r="Q60" s="789"/>
      <c r="R60" s="790"/>
      <c r="S60" s="788" t="e">
        <f>IF(S49="-","-",IF(S49&lt;=INDEX('DSCR (Legend)'!$J$3:$L$17,MATCH(S49,'DSCR (Legend)'!$J$3:$J$17,1),2),INDEX('DSCR (Legend)'!$J$3:$L$17,MATCH(S49,'DSCR (Legend)'!$J$3:$J$17,1),3),"-"))</f>
        <v>#VALUE!</v>
      </c>
      <c r="T60" s="789"/>
      <c r="U60" s="790"/>
      <c r="V60" s="788" t="e">
        <f>IF(V49="-","-",IF(V49&lt;=INDEX('DSCR (Legend)'!$J$3:$L$17,MATCH(V49,'DSCR (Legend)'!$J$3:$J$17,1),2),INDEX('DSCR (Legend)'!$J$3:$L$17,MATCH(V49,'DSCR (Legend)'!$J$3:$J$17,1),3),"-"))</f>
        <v>#VALUE!</v>
      </c>
      <c r="W60" s="789"/>
      <c r="X60" s="790"/>
    </row>
    <row r="61" spans="1:24" x14ac:dyDescent="0.25">
      <c r="A61" s="51" t="s">
        <v>1734</v>
      </c>
      <c r="B61" s="639" t="s">
        <v>1733</v>
      </c>
      <c r="C61" s="639"/>
      <c r="D61" s="788" t="str">
        <f>IFERROR(IF($C$6="SFR",VLOOKUP(D60,'DSCR (LLPA)'!$M:$V,MATCH('DSCR (Loan Calc)'!D51,'DSCR (LLPA)'!$M$1:$V$1,0),FALSE),IF($C$6="Multi",VLOOKUP(D60,'DSCR (LLPA)'!$X:$AG,MATCH('DSCR (Loan Calc)'!D51,'DSCR (LLPA)'!$X$1:$AG$1,0),FALSE),"-")),"-")</f>
        <v>-</v>
      </c>
      <c r="E61" s="789"/>
      <c r="F61" s="790"/>
      <c r="G61" s="788" t="str">
        <f>IFERROR(IF($C$6="SFR",VLOOKUP(G60,'DSCR (LLPA)'!$M:$V,MATCH('DSCR (Loan Calc)'!G51,'DSCR (LLPA)'!$M$1:$V$1,0),FALSE),IF($C$6="Multi",VLOOKUP(G60,'DSCR (LLPA)'!$X:$AG,MATCH('DSCR (Loan Calc)'!G51,'DSCR (LLPA)'!$X$1:$AG$1,0),FALSE),"-")),"-")</f>
        <v>-</v>
      </c>
      <c r="H61" s="789"/>
      <c r="I61" s="790"/>
      <c r="J61" s="788" t="str">
        <f>IFERROR(IF($C$6="SFR",VLOOKUP(J60,'DSCR (LLPA)'!$M:$V,MATCH('DSCR (Loan Calc)'!J51,'DSCR (LLPA)'!$M$1:$V$1,0),FALSE),IF($C$6="Multi",VLOOKUP(J60,'DSCR (LLPA)'!$X:$AG,MATCH('DSCR (Loan Calc)'!J51,'DSCR (LLPA)'!$X$1:$AG$1,0),FALSE),"-")),"-")</f>
        <v>-</v>
      </c>
      <c r="K61" s="789"/>
      <c r="L61" s="790"/>
      <c r="M61" s="788" t="str">
        <f>IFERROR(IF($C$6="SFR",VLOOKUP(M60,'DSCR (LLPA)'!$M:$V,MATCH('DSCR (Loan Calc)'!M51,'DSCR (LLPA)'!$M$1:$V$1,0),FALSE),IF($C$6="Multi",VLOOKUP(M60,'DSCR (LLPA)'!$X:$AG,MATCH('DSCR (Loan Calc)'!M51,'DSCR (LLPA)'!$X$1:$AG$1,0),FALSE),"-")),"-")</f>
        <v>-</v>
      </c>
      <c r="N61" s="789"/>
      <c r="O61" s="790"/>
      <c r="P61" s="788" t="str">
        <f>IFERROR(IF($C$6="SFR",VLOOKUP(P60,'DSCR (LLPA)'!$M:$V,MATCH('DSCR (Loan Calc)'!P51,'DSCR (LLPA)'!$M$1:$V$1,0),FALSE),IF($C$6="Multi",VLOOKUP(P60,'DSCR (LLPA)'!$X:$AG,MATCH('DSCR (Loan Calc)'!P51,'DSCR (LLPA)'!$X$1:$AG$1,0),FALSE),"-")),"-")</f>
        <v>-</v>
      </c>
      <c r="Q61" s="789"/>
      <c r="R61" s="790"/>
      <c r="S61" s="788" t="str">
        <f>IFERROR(IF($C$6="SFR",VLOOKUP(S60,'DSCR (LLPA)'!$M:$V,MATCH('DSCR (Loan Calc)'!S51,'DSCR (LLPA)'!$M$1:$V$1,0),FALSE),IF($C$6="Multi",VLOOKUP(S60,'DSCR (LLPA)'!$X:$AG,MATCH('DSCR (Loan Calc)'!S51,'DSCR (LLPA)'!$X$1:$AG$1,0),FALSE),"-")),"-")</f>
        <v>-</v>
      </c>
      <c r="T61" s="789"/>
      <c r="U61" s="790"/>
      <c r="V61" s="788" t="str">
        <f>IFERROR(IF($C$6="SFR",VLOOKUP(V60,'DSCR (LLPA)'!$M:$V,MATCH('DSCR (Loan Calc)'!V51,'DSCR (LLPA)'!$M$1:$V$1,0),FALSE),IF($C$6="Multi",VLOOKUP(V60,'DSCR (LLPA)'!$X:$AG,MATCH('DSCR (Loan Calc)'!V51,'DSCR (LLPA)'!$X$1:$AG$1,0),FALSE),"-")),"-")</f>
        <v>-</v>
      </c>
      <c r="W61" s="789"/>
      <c r="X61" s="790"/>
    </row>
    <row r="62" spans="1:24" x14ac:dyDescent="0.25">
      <c r="A62" s="51" t="s">
        <v>82</v>
      </c>
      <c r="B62" s="801">
        <f>'DSCR (Single Asset)'!$C$18</f>
        <v>0</v>
      </c>
      <c r="C62" s="801"/>
      <c r="D62" s="788" t="str">
        <f>IFERROR(IF($C$6="SFR",VLOOKUP($B$62,'DSCR (LLPA)'!$M:$V,MATCH('DSCR (Loan Calc)'!D51,'DSCR (LLPA)'!$M$1:$V$1,0),FALSE),IF($C$6="Multi",VLOOKUP($B$62,'DSCR (LLPA)'!$X:$AG,MATCH('DSCR (Loan Calc)'!D51,'DSCR (LLPA)'!$X$1:$AG$1,0),FALSE),"-")),"-")</f>
        <v>-</v>
      </c>
      <c r="E62" s="789"/>
      <c r="F62" s="790"/>
      <c r="G62" s="788" t="str">
        <f>IFERROR(IF($C$6="SFR",VLOOKUP($B$62,'DSCR (LLPA)'!$M:$V,MATCH('DSCR (Loan Calc)'!G51,'DSCR (LLPA)'!$M$1:$V$1,0),FALSE),IF($C$6="Multi",VLOOKUP($B$62,'DSCR (LLPA)'!$X:$AG,MATCH('DSCR (Loan Calc)'!G51,'DSCR (LLPA)'!$X$1:$AG$1,0),FALSE),"-")),"-")</f>
        <v>-</v>
      </c>
      <c r="H62" s="789"/>
      <c r="I62" s="790"/>
      <c r="J62" s="788" t="str">
        <f>IFERROR(IF($C$6="SFR",VLOOKUP($B$62,'DSCR (LLPA)'!$M:$V,MATCH('DSCR (Loan Calc)'!J51,'DSCR (LLPA)'!$M$1:$V$1,0),FALSE),IF($C$6="Multi",VLOOKUP($B$62,'DSCR (LLPA)'!$X:$AG,MATCH('DSCR (Loan Calc)'!J51,'DSCR (LLPA)'!$X$1:$AG$1,0),FALSE),"-")),"-")</f>
        <v>-</v>
      </c>
      <c r="K62" s="789"/>
      <c r="L62" s="790"/>
      <c r="M62" s="788" t="str">
        <f>IFERROR(IF($C$6="SFR",VLOOKUP($B$62,'DSCR (LLPA)'!$M:$V,MATCH('DSCR (Loan Calc)'!M51,'DSCR (LLPA)'!$M$1:$V$1,0),FALSE),IF($C$6="Multi",VLOOKUP($B$62,'DSCR (LLPA)'!$X:$AG,MATCH('DSCR (Loan Calc)'!M51,'DSCR (LLPA)'!$X$1:$AG$1,0),FALSE),"-")),"-")</f>
        <v>-</v>
      </c>
      <c r="N62" s="789"/>
      <c r="O62" s="790"/>
      <c r="P62" s="788" t="str">
        <f>IFERROR(IF($C$6="SFR",VLOOKUP($B$62,'DSCR (LLPA)'!$M:$V,MATCH('DSCR (Loan Calc)'!P51,'DSCR (LLPA)'!$M$1:$V$1,0),FALSE),IF($C$6="Multi",VLOOKUP($B$62,'DSCR (LLPA)'!$X:$AG,MATCH('DSCR (Loan Calc)'!P51,'DSCR (LLPA)'!$X$1:$AG$1,0),FALSE),"-")),"-")</f>
        <v>-</v>
      </c>
      <c r="Q62" s="789"/>
      <c r="R62" s="790"/>
      <c r="S62" s="788" t="str">
        <f>IFERROR(IF($C$6="SFR",VLOOKUP($B$62,'DSCR (LLPA)'!$M:$V,MATCH('DSCR (Loan Calc)'!S51,'DSCR (LLPA)'!$M$1:$V$1,0),FALSE),IF($C$6="Multi",VLOOKUP($B$62,'DSCR (LLPA)'!$X:$AG,MATCH('DSCR (Loan Calc)'!S51,'DSCR (LLPA)'!$X$1:$AG$1,0),FALSE),"-")),"-")</f>
        <v>-</v>
      </c>
      <c r="T62" s="789"/>
      <c r="U62" s="790"/>
      <c r="V62" s="788" t="str">
        <f>IFERROR(IF($C$6="SFR",VLOOKUP($B$62,'DSCR (LLPA)'!$M:$V,MATCH('DSCR (Loan Calc)'!V51,'DSCR (LLPA)'!$M$1:$V$1,0),FALSE),IF($C$6="Multi",VLOOKUP($B$62,'DSCR (LLPA)'!$X:$AG,MATCH('DSCR (Loan Calc)'!V51,'DSCR (LLPA)'!$X$1:$AG$1,0),FALSE),"-")),"-")</f>
        <v>-</v>
      </c>
      <c r="W62" s="789"/>
      <c r="X62" s="790"/>
    </row>
    <row r="63" spans="1:24" x14ac:dyDescent="0.25">
      <c r="B63" s="639" t="s">
        <v>1732</v>
      </c>
      <c r="C63" s="639"/>
      <c r="D63" s="791" t="str">
        <f>IF(OR(D53="-",D54="-",D55="-",D56="-",D57="-",D58="-",D59="-",D61="-",D62="-"),"-",SUM(D53:D59,D61:D62))</f>
        <v>-</v>
      </c>
      <c r="E63" s="792"/>
      <c r="F63" s="793"/>
      <c r="G63" s="791" t="str">
        <f>IF(OR(G53="-",G54="-",G55="-",G56="-",G57="-",G58="-",G59="-",G61="-",G62="-"),"-",SUM(G53:G59,G61:G62))</f>
        <v>-</v>
      </c>
      <c r="H63" s="792"/>
      <c r="I63" s="793"/>
      <c r="J63" s="791" t="str">
        <f>IF(OR(J53="-",J54="-",J55="-",J56="-",J57="-",J58="-",J59="-",J61="-",J62="-"),"-",SUM(J53:J59,J61:J62))</f>
        <v>-</v>
      </c>
      <c r="K63" s="792"/>
      <c r="L63" s="793"/>
      <c r="M63" s="791" t="str">
        <f>IF(OR(M53="-",M54="-",M55="-",M56="-",M57="-",M58="-",M59="-",M61="-",M62="-"),"-",SUM(M53:M59,M61:M62))</f>
        <v>-</v>
      </c>
      <c r="N63" s="792"/>
      <c r="O63" s="793"/>
      <c r="P63" s="791" t="str">
        <f>IF(OR(P53="-",P54="-",P55="-",P56="-",P57="-",P58="-",P59="-",P61="-",P62="-"),"-",SUM(P53:P59,P61:P62))</f>
        <v>-</v>
      </c>
      <c r="Q63" s="792"/>
      <c r="R63" s="793"/>
      <c r="S63" s="791" t="str">
        <f>IF(OR(S53="-",S54="-",S55="-",S56="-",S57="-",S58="-",S59="-",S61="-",S62="-"),"-",SUM(S53:S59,S61:S62))</f>
        <v>-</v>
      </c>
      <c r="T63" s="792"/>
      <c r="U63" s="793"/>
      <c r="V63" s="791" t="str">
        <f>IF(OR(V53="-",V54="-",V55="-",V56="-",V57="-",V58="-",V59="-",V61="-",V62="-"),"-",SUM(V53:V59,V61:V62))</f>
        <v>-</v>
      </c>
      <c r="W63" s="792"/>
      <c r="X63" s="793"/>
    </row>
    <row r="64" spans="1:24" x14ac:dyDescent="0.25">
      <c r="B64" s="639" t="s">
        <v>1731</v>
      </c>
      <c r="C64" s="639"/>
      <c r="D64" s="795" t="str">
        <f>IF(D63="-","-",IF($C$6="SFR",VLOOKUP($C$10,'DSCR (LLPA)'!$B$36:$K$50,MATCH('DSCR (Loan Calc)'!D51,'DSCR (LLPA)'!$B$36:$K$36,0),FALSE),IF($C$6="Multi",VLOOKUP($C$10,'DSCR (LLPA)'!$B$53:$K$67,MATCH('DSCR (Loan Calc)'!D51,'DSCR (LLPA)'!$B$53:$K$53,0),FALSE),"-")))</f>
        <v>-</v>
      </c>
      <c r="E64" s="796"/>
      <c r="F64" s="797"/>
      <c r="G64" s="795" t="str">
        <f>IF(G63="-","-",IF($C$6="SFR",VLOOKUP($C$10,'DSCR (LLPA)'!$B$36:$K$50,MATCH('DSCR (Loan Calc)'!G51,'DSCR (LLPA)'!$B$36:$K$36,0),FALSE),IF($C$6="Multi",VLOOKUP($C$10,'DSCR (LLPA)'!$B$53:$K$67,MATCH('DSCR (Loan Calc)'!G51,'DSCR (LLPA)'!$B$53:$K$53,0),FALSE),"-")))</f>
        <v>-</v>
      </c>
      <c r="H64" s="796"/>
      <c r="I64" s="797"/>
      <c r="J64" s="795" t="str">
        <f>IF(J63="-","-",IF($C$6="SFR",VLOOKUP($C$10,'DSCR (LLPA)'!$B$36:$K$50,MATCH('DSCR (Loan Calc)'!J51,'DSCR (LLPA)'!$B$36:$K$36,0),FALSE),IF($C$6="Multi",VLOOKUP($C$10,'DSCR (LLPA)'!$B$53:$K$67,MATCH('DSCR (Loan Calc)'!J51,'DSCR (LLPA)'!$B$53:$K$53,0),FALSE),"-")))</f>
        <v>-</v>
      </c>
      <c r="K64" s="796"/>
      <c r="L64" s="797"/>
      <c r="M64" s="795" t="str">
        <f>IF(M63="-","-",IF($C$6="SFR",VLOOKUP($C$10,'DSCR (LLPA)'!$B$36:$K$50,MATCH('DSCR (Loan Calc)'!M51,'DSCR (LLPA)'!$B$36:$K$36,0),FALSE),IF($C$6="Multi",VLOOKUP($C$10,'DSCR (LLPA)'!$B$53:$K$67,MATCH('DSCR (Loan Calc)'!M51,'DSCR (LLPA)'!$B$53:$K$53,0),FALSE),"-")))</f>
        <v>-</v>
      </c>
      <c r="N64" s="796"/>
      <c r="O64" s="797"/>
      <c r="P64" s="795" t="str">
        <f>IF(P63="-","-",IF($C$6="SFR",VLOOKUP($C$10,'DSCR (LLPA)'!$B$36:$K$50,MATCH('DSCR (Loan Calc)'!P51,'DSCR (LLPA)'!$B$36:$K$36,0),FALSE),IF($C$6="Multi",VLOOKUP($C$10,'DSCR (LLPA)'!$B$53:$K$67,MATCH('DSCR (Loan Calc)'!P51,'DSCR (LLPA)'!$B$53:$K$53,0),FALSE),"-")))</f>
        <v>-</v>
      </c>
      <c r="Q64" s="796"/>
      <c r="R64" s="797"/>
      <c r="S64" s="795" t="str">
        <f>IF(S63="-","-",IF($C$6="SFR",VLOOKUP($C$10,'DSCR (LLPA)'!$B$36:$K$50,MATCH('DSCR (Loan Calc)'!S51,'DSCR (LLPA)'!$B$36:$K$36,0),FALSE),IF($C$6="Multi",VLOOKUP($C$10,'DSCR (LLPA)'!$B$53:$K$67,MATCH('DSCR (Loan Calc)'!S51,'DSCR (LLPA)'!$B$53:$K$53,0),FALSE),"-")))</f>
        <v>-</v>
      </c>
      <c r="T64" s="796"/>
      <c r="U64" s="797"/>
      <c r="V64" s="795" t="str">
        <f>IF(V63="-","-",IF($C$6="SFR",VLOOKUP($C$10,'DSCR (LLPA)'!$B$36:$K$50,MATCH('DSCR (Loan Calc)'!V51,'DSCR (LLPA)'!$B$36:$K$36,0),FALSE),IF($C$6="Multi",VLOOKUP($C$10,'DSCR (LLPA)'!$B$53:$K$67,MATCH('DSCR (Loan Calc)'!V51,'DSCR (LLPA)'!$B$53:$K$53,0),FALSE),"-")))</f>
        <v>-</v>
      </c>
      <c r="W64" s="796"/>
      <c r="X64" s="797"/>
    </row>
    <row r="65" spans="1:24" x14ac:dyDescent="0.25">
      <c r="A65" s="210" t="s">
        <v>1730</v>
      </c>
      <c r="B65" s="209" t="s">
        <v>1729</v>
      </c>
      <c r="C65" s="208" t="s">
        <v>1728</v>
      </c>
      <c r="D65" s="210" t="s">
        <v>1714</v>
      </c>
      <c r="E65" s="209" t="s">
        <v>1727</v>
      </c>
      <c r="F65" s="208" t="s">
        <v>1725</v>
      </c>
      <c r="G65" s="210" t="s">
        <v>1714</v>
      </c>
      <c r="H65" s="209" t="s">
        <v>1727</v>
      </c>
      <c r="I65" s="208" t="s">
        <v>1723</v>
      </c>
      <c r="J65" s="210" t="s">
        <v>1714</v>
      </c>
      <c r="K65" s="209" t="s">
        <v>1727</v>
      </c>
      <c r="L65" s="208" t="s">
        <v>1721</v>
      </c>
      <c r="M65" s="210" t="s">
        <v>1714</v>
      </c>
      <c r="N65" s="209" t="s">
        <v>1727</v>
      </c>
      <c r="O65" s="208" t="s">
        <v>1719</v>
      </c>
      <c r="P65" s="210" t="s">
        <v>1714</v>
      </c>
      <c r="Q65" s="209" t="s">
        <v>1727</v>
      </c>
      <c r="R65" s="208" t="s">
        <v>1717</v>
      </c>
      <c r="S65" s="210" t="s">
        <v>1714</v>
      </c>
      <c r="T65" s="209" t="s">
        <v>1727</v>
      </c>
      <c r="U65" s="208" t="s">
        <v>1715</v>
      </c>
      <c r="V65" s="210" t="s">
        <v>1714</v>
      </c>
      <c r="W65" s="209" t="s">
        <v>1727</v>
      </c>
      <c r="X65" s="208" t="s">
        <v>1712</v>
      </c>
    </row>
    <row r="66" spans="1:24" x14ac:dyDescent="0.25">
      <c r="A66" s="213">
        <f>IF(B87="SFR",3.75,IF(B87="Multi",3.75,))</f>
        <v>0</v>
      </c>
      <c r="B66" s="212">
        <v>104</v>
      </c>
      <c r="C66" s="211" t="str">
        <f>IF($C$6="SFR",'DSCR (LLPA)'!$B$2,IF($C$6="Multi",'DSCR (LLPA)'!$B$19,"-"))</f>
        <v>-</v>
      </c>
      <c r="D66" s="210" t="s">
        <v>1714</v>
      </c>
      <c r="E66" s="209" t="s">
        <v>1726</v>
      </c>
      <c r="F66" s="208" t="s">
        <v>1725</v>
      </c>
      <c r="G66" s="210" t="s">
        <v>1714</v>
      </c>
      <c r="H66" s="209" t="s">
        <v>1724</v>
      </c>
      <c r="I66" s="208" t="s">
        <v>1723</v>
      </c>
      <c r="J66" s="210" t="s">
        <v>1714</v>
      </c>
      <c r="K66" s="209" t="s">
        <v>1722</v>
      </c>
      <c r="L66" s="208" t="s">
        <v>1721</v>
      </c>
      <c r="M66" s="210" t="s">
        <v>1714</v>
      </c>
      <c r="N66" s="209" t="s">
        <v>1720</v>
      </c>
      <c r="O66" s="208" t="s">
        <v>1719</v>
      </c>
      <c r="P66" s="210" t="s">
        <v>1714</v>
      </c>
      <c r="Q66" s="209" t="s">
        <v>1718</v>
      </c>
      <c r="R66" s="208" t="s">
        <v>1717</v>
      </c>
      <c r="S66" s="210" t="s">
        <v>1714</v>
      </c>
      <c r="T66" s="209" t="s">
        <v>1716</v>
      </c>
      <c r="U66" s="208" t="s">
        <v>1715</v>
      </c>
      <c r="V66" s="210" t="s">
        <v>1714</v>
      </c>
      <c r="W66" s="209" t="s">
        <v>1713</v>
      </c>
      <c r="X66" s="208" t="s">
        <v>1712</v>
      </c>
    </row>
    <row r="67" spans="1:24" x14ac:dyDescent="0.25">
      <c r="A67" s="207">
        <v>0</v>
      </c>
      <c r="B67" s="206">
        <f t="shared" ref="B67:B83" si="94">$B$66-A67</f>
        <v>104</v>
      </c>
      <c r="C67" s="204" t="e">
        <f t="shared" ref="C67:C83" si="95">((B67-$C$66)/$A$66)/100</f>
        <v>#VALUE!</v>
      </c>
      <c r="D67" s="205" t="str">
        <f t="shared" ref="D67:D83" si="96">IF(OR(D$63="-",D$64="-"),"-",MAX((D$63+D$64+$C67),$C$90))</f>
        <v>-</v>
      </c>
      <c r="E67" s="52" t="str">
        <f t="shared" ref="E67:E83" si="97">IF(D67="-","-",IF($C$6="SFR",IF($C$14="No IO",PV($D67/12,$C$17,-$L$12),($L$4/($L$11*($D67/12))-(SUM($L$5:$L$8)/($D67/12)))),IF($C$6="Multi",IF($C$14="No IO",PV($D67/12,$C$17,-$L$31),(($L$29/$L$30)/(D67/12))))))</f>
        <v>-</v>
      </c>
      <c r="F67" s="204" t="str">
        <f t="shared" ref="F67:F83" si="98">IF(E67="-","-",IF(E67&lt;$D$49,"-",D67))</f>
        <v>-</v>
      </c>
      <c r="G67" s="205" t="str">
        <f t="shared" ref="G67:G83" si="99">IF(OR(G$63="-",G$64="-"),"-",MAX((G$63+G$64+$C67),$C$90))</f>
        <v>-</v>
      </c>
      <c r="H67" s="52" t="str">
        <f t="shared" ref="H67:H83" si="100">IF(G67="-","-",IF($C$6="SFR",IF($C$14="No IO",PV($G67/12,$C$17,-$L$12),($L$4/($L$11*($G67/12))-(SUM($L$5:$L$8)/($G67/12)))),IF($C$6="Multi",IF($C$14="No IO",PV($G67/12,$C$17,-$L$31),(($L$29/$L$30)/(G67/12))))))</f>
        <v>-</v>
      </c>
      <c r="I67" s="204" t="str">
        <f t="shared" ref="I67:I83" si="101">IF(H67="-","-",IF(H67&lt;$G$49,"-",G67))</f>
        <v>-</v>
      </c>
      <c r="J67" s="205" t="str">
        <f t="shared" ref="J67:J83" si="102">IF(OR(J$63="-",J$64="-"),"-",MAX((J$63+J$64+$C67),$C$90))</f>
        <v>-</v>
      </c>
      <c r="K67" s="52" t="str">
        <f t="shared" ref="K67:K83" si="103">IF(J67="-","-",IF($C$6="SFR",IF($C$14="No IO",PV($J67/12,$C$17,-$L$12),($L$4/($L$11*($J67/12))-(SUM($L$5:$L$8)/($J67/12)))),IF($C$6="Multi",IF($C$14="No IO",PV($J67/12,$C$17,-$L$31),(($L$29/$L$30)/(J67/12))))))</f>
        <v>-</v>
      </c>
      <c r="L67" s="204" t="str">
        <f t="shared" ref="L67:L83" si="104">IF(K67="-","-",IF(K67&lt;$J$49,"-",J67))</f>
        <v>-</v>
      </c>
      <c r="M67" s="205" t="str">
        <f t="shared" ref="M67:M83" si="105">IF(OR(M$63="-",M$64="-"),"-",MAX((M$63+M$64+$C67),$C$90))</f>
        <v>-</v>
      </c>
      <c r="N67" s="52" t="str">
        <f t="shared" ref="N67:N83" si="106">IF(M67="-","-",IF($C$6="SFR",IF($C$14="No IO",PV($M67/12,$C$17,-$L$12),($L$4/($L$11*($M67/12))-(SUM($L$5:$L$8)/($M67/12)))),IF($C$6="Multi",IF($C$14="No IO",PV($M67/12,$C$17,-$L$31),(($L$29/$L$30)/(M67/12))))))</f>
        <v>-</v>
      </c>
      <c r="O67" s="204" t="str">
        <f t="shared" ref="O67:O83" si="107">IF(N67="-","-",IF(N67&lt;$M$49,"-",M67))</f>
        <v>-</v>
      </c>
      <c r="P67" s="205" t="str">
        <f t="shared" ref="P67:P83" si="108">IF(OR(P$63="-",P$64="-"),"-",MAX((P$63+P$64+$C67),$C$90))</f>
        <v>-</v>
      </c>
      <c r="Q67" s="52" t="str">
        <f t="shared" ref="Q67:Q83" si="109">IF(P67="-","-",IF($C$6="SFR",IF($C$14="No IO",PV($P67/12,$C$17,-$L$12),($L$4/($L$11*($P67/12))-(SUM($L$5:$L$8)/($P67/12)))),IF($C$6="Multi",IF($C$14="No IO",PV($P67/12,$C$17,-$L$31),(($L$29/$L$30)/(P67/12))))))</f>
        <v>-</v>
      </c>
      <c r="R67" s="204" t="str">
        <f t="shared" ref="R67:R83" si="110">IF(Q67="-","-",IF(Q67&lt;$P$49,"-",P67))</f>
        <v>-</v>
      </c>
      <c r="S67" s="205" t="str">
        <f t="shared" ref="S67:S83" si="111">IF(OR(S$63="-",S$64="-"),"-",MAX((S$63+S$64+$C67),$C$90))</f>
        <v>-</v>
      </c>
      <c r="T67" s="52" t="str">
        <f t="shared" ref="T67:T83" si="112">IF(S67="-","-",IF($C$6="SFR",IF($C$14="No IO",PV($S67/12,$C$17,-$L$12),($L$4/($L$11*($S67/12))-(SUM($L$5:$L$8)/($S67/12)))),IF($C$6="Multi",IF($C$14="No IO",PV($S67/12,$C$17,-$L$31),(($L$29/$L$30)/(S67/12))))))</f>
        <v>-</v>
      </c>
      <c r="U67" s="204" t="str">
        <f t="shared" ref="U67:U83" si="113">IF(T67="-","-",IF(T67&lt;$S$49,"-",S67))</f>
        <v>-</v>
      </c>
      <c r="V67" s="205" t="str">
        <f t="shared" ref="V67:V83" si="114">IF(OR(V$63="-",V$64="-"),"-",MAX((V$63+V$64+$C67),$C$90))</f>
        <v>-</v>
      </c>
      <c r="W67" s="52" t="str">
        <f t="shared" ref="W67:W83" si="115">IF(V67="-","-",IF($C$6="SFR",IF($C$14="No IO",PV($V67/12,$C$17,-$L$12),($L$4/($L$11*($V67/12))-(SUM($L$5:$L$8)/($V67/12)))),IF($C$6="Multi",IF($C$14="No IO",PV($V67/12,$C$17,-$L$31),(($L$29/$L$30)/(V67/12))))))</f>
        <v>-</v>
      </c>
      <c r="X67" s="204" t="str">
        <f t="shared" ref="X67:X83" si="116">IF(W67="-","-",IF(W67&lt;$V$49,"-",V67))</f>
        <v>-</v>
      </c>
    </row>
    <row r="68" spans="1:24" x14ac:dyDescent="0.25">
      <c r="A68" s="207">
        <v>0.25</v>
      </c>
      <c r="B68" s="206">
        <f t="shared" si="94"/>
        <v>103.75</v>
      </c>
      <c r="C68" s="204" t="e">
        <f t="shared" si="95"/>
        <v>#VALUE!</v>
      </c>
      <c r="D68" s="205" t="str">
        <f t="shared" si="96"/>
        <v>-</v>
      </c>
      <c r="E68" s="52" t="str">
        <f t="shared" si="97"/>
        <v>-</v>
      </c>
      <c r="F68" s="204" t="str">
        <f t="shared" si="98"/>
        <v>-</v>
      </c>
      <c r="G68" s="205" t="str">
        <f t="shared" si="99"/>
        <v>-</v>
      </c>
      <c r="H68" s="52" t="str">
        <f t="shared" si="100"/>
        <v>-</v>
      </c>
      <c r="I68" s="204" t="str">
        <f t="shared" si="101"/>
        <v>-</v>
      </c>
      <c r="J68" s="205" t="str">
        <f t="shared" si="102"/>
        <v>-</v>
      </c>
      <c r="K68" s="52" t="str">
        <f t="shared" si="103"/>
        <v>-</v>
      </c>
      <c r="L68" s="204" t="str">
        <f t="shared" si="104"/>
        <v>-</v>
      </c>
      <c r="M68" s="205" t="str">
        <f t="shared" si="105"/>
        <v>-</v>
      </c>
      <c r="N68" s="52" t="str">
        <f t="shared" si="106"/>
        <v>-</v>
      </c>
      <c r="O68" s="204" t="str">
        <f t="shared" si="107"/>
        <v>-</v>
      </c>
      <c r="P68" s="205" t="str">
        <f t="shared" si="108"/>
        <v>-</v>
      </c>
      <c r="Q68" s="52" t="str">
        <f t="shared" si="109"/>
        <v>-</v>
      </c>
      <c r="R68" s="204" t="str">
        <f t="shared" si="110"/>
        <v>-</v>
      </c>
      <c r="S68" s="205" t="str">
        <f t="shared" si="111"/>
        <v>-</v>
      </c>
      <c r="T68" s="52" t="str">
        <f t="shared" si="112"/>
        <v>-</v>
      </c>
      <c r="U68" s="204" t="str">
        <f t="shared" si="113"/>
        <v>-</v>
      </c>
      <c r="V68" s="205" t="str">
        <f t="shared" si="114"/>
        <v>-</v>
      </c>
      <c r="W68" s="52" t="str">
        <f t="shared" si="115"/>
        <v>-</v>
      </c>
      <c r="X68" s="204" t="str">
        <f t="shared" si="116"/>
        <v>-</v>
      </c>
    </row>
    <row r="69" spans="1:24" x14ac:dyDescent="0.25">
      <c r="A69" s="207">
        <v>0.5</v>
      </c>
      <c r="B69" s="206">
        <f t="shared" si="94"/>
        <v>103.5</v>
      </c>
      <c r="C69" s="204" t="e">
        <f t="shared" si="95"/>
        <v>#VALUE!</v>
      </c>
      <c r="D69" s="205" t="str">
        <f t="shared" si="96"/>
        <v>-</v>
      </c>
      <c r="E69" s="52" t="str">
        <f t="shared" si="97"/>
        <v>-</v>
      </c>
      <c r="F69" s="204" t="str">
        <f t="shared" si="98"/>
        <v>-</v>
      </c>
      <c r="G69" s="205" t="str">
        <f t="shared" si="99"/>
        <v>-</v>
      </c>
      <c r="H69" s="52" t="str">
        <f t="shared" si="100"/>
        <v>-</v>
      </c>
      <c r="I69" s="204" t="str">
        <f t="shared" si="101"/>
        <v>-</v>
      </c>
      <c r="J69" s="205" t="str">
        <f t="shared" si="102"/>
        <v>-</v>
      </c>
      <c r="K69" s="52" t="str">
        <f t="shared" si="103"/>
        <v>-</v>
      </c>
      <c r="L69" s="204" t="str">
        <f t="shared" si="104"/>
        <v>-</v>
      </c>
      <c r="M69" s="205" t="str">
        <f t="shared" si="105"/>
        <v>-</v>
      </c>
      <c r="N69" s="52" t="str">
        <f t="shared" si="106"/>
        <v>-</v>
      </c>
      <c r="O69" s="204" t="str">
        <f t="shared" si="107"/>
        <v>-</v>
      </c>
      <c r="P69" s="205" t="str">
        <f t="shared" si="108"/>
        <v>-</v>
      </c>
      <c r="Q69" s="52" t="str">
        <f t="shared" si="109"/>
        <v>-</v>
      </c>
      <c r="R69" s="204" t="str">
        <f t="shared" si="110"/>
        <v>-</v>
      </c>
      <c r="S69" s="205" t="str">
        <f t="shared" si="111"/>
        <v>-</v>
      </c>
      <c r="T69" s="52" t="str">
        <f t="shared" si="112"/>
        <v>-</v>
      </c>
      <c r="U69" s="204" t="str">
        <f t="shared" si="113"/>
        <v>-</v>
      </c>
      <c r="V69" s="205" t="str">
        <f t="shared" si="114"/>
        <v>-</v>
      </c>
      <c r="W69" s="52" t="str">
        <f t="shared" si="115"/>
        <v>-</v>
      </c>
      <c r="X69" s="204" t="str">
        <f t="shared" si="116"/>
        <v>-</v>
      </c>
    </row>
    <row r="70" spans="1:24" x14ac:dyDescent="0.25">
      <c r="A70" s="207">
        <v>0.75</v>
      </c>
      <c r="B70" s="206">
        <f t="shared" si="94"/>
        <v>103.25</v>
      </c>
      <c r="C70" s="204" t="e">
        <f t="shared" si="95"/>
        <v>#VALUE!</v>
      </c>
      <c r="D70" s="205" t="str">
        <f t="shared" si="96"/>
        <v>-</v>
      </c>
      <c r="E70" s="52" t="str">
        <f t="shared" si="97"/>
        <v>-</v>
      </c>
      <c r="F70" s="204" t="str">
        <f t="shared" si="98"/>
        <v>-</v>
      </c>
      <c r="G70" s="205" t="str">
        <f t="shared" si="99"/>
        <v>-</v>
      </c>
      <c r="H70" s="52" t="str">
        <f t="shared" si="100"/>
        <v>-</v>
      </c>
      <c r="I70" s="204" t="str">
        <f t="shared" si="101"/>
        <v>-</v>
      </c>
      <c r="J70" s="205" t="str">
        <f t="shared" si="102"/>
        <v>-</v>
      </c>
      <c r="K70" s="52" t="str">
        <f t="shared" si="103"/>
        <v>-</v>
      </c>
      <c r="L70" s="204" t="str">
        <f t="shared" si="104"/>
        <v>-</v>
      </c>
      <c r="M70" s="205" t="str">
        <f t="shared" si="105"/>
        <v>-</v>
      </c>
      <c r="N70" s="52" t="str">
        <f t="shared" si="106"/>
        <v>-</v>
      </c>
      <c r="O70" s="204" t="str">
        <f t="shared" si="107"/>
        <v>-</v>
      </c>
      <c r="P70" s="205" t="str">
        <f t="shared" si="108"/>
        <v>-</v>
      </c>
      <c r="Q70" s="52" t="str">
        <f t="shared" si="109"/>
        <v>-</v>
      </c>
      <c r="R70" s="204" t="str">
        <f t="shared" si="110"/>
        <v>-</v>
      </c>
      <c r="S70" s="205" t="str">
        <f t="shared" si="111"/>
        <v>-</v>
      </c>
      <c r="T70" s="52" t="str">
        <f t="shared" si="112"/>
        <v>-</v>
      </c>
      <c r="U70" s="204" t="str">
        <f t="shared" si="113"/>
        <v>-</v>
      </c>
      <c r="V70" s="205" t="str">
        <f t="shared" si="114"/>
        <v>-</v>
      </c>
      <c r="W70" s="52" t="str">
        <f t="shared" si="115"/>
        <v>-</v>
      </c>
      <c r="X70" s="204" t="str">
        <f t="shared" si="116"/>
        <v>-</v>
      </c>
    </row>
    <row r="71" spans="1:24" x14ac:dyDescent="0.25">
      <c r="A71" s="207">
        <v>1</v>
      </c>
      <c r="B71" s="206">
        <f t="shared" si="94"/>
        <v>103</v>
      </c>
      <c r="C71" s="204" t="e">
        <f t="shared" si="95"/>
        <v>#VALUE!</v>
      </c>
      <c r="D71" s="205" t="str">
        <f t="shared" si="96"/>
        <v>-</v>
      </c>
      <c r="E71" s="52" t="str">
        <f t="shared" si="97"/>
        <v>-</v>
      </c>
      <c r="F71" s="204" t="str">
        <f t="shared" si="98"/>
        <v>-</v>
      </c>
      <c r="G71" s="205" t="str">
        <f t="shared" si="99"/>
        <v>-</v>
      </c>
      <c r="H71" s="52" t="str">
        <f t="shared" si="100"/>
        <v>-</v>
      </c>
      <c r="I71" s="204" t="str">
        <f t="shared" si="101"/>
        <v>-</v>
      </c>
      <c r="J71" s="205" t="str">
        <f t="shared" si="102"/>
        <v>-</v>
      </c>
      <c r="K71" s="52" t="str">
        <f t="shared" si="103"/>
        <v>-</v>
      </c>
      <c r="L71" s="204" t="str">
        <f t="shared" si="104"/>
        <v>-</v>
      </c>
      <c r="M71" s="205" t="str">
        <f t="shared" si="105"/>
        <v>-</v>
      </c>
      <c r="N71" s="52" t="str">
        <f t="shared" si="106"/>
        <v>-</v>
      </c>
      <c r="O71" s="204" t="str">
        <f t="shared" si="107"/>
        <v>-</v>
      </c>
      <c r="P71" s="205" t="str">
        <f t="shared" si="108"/>
        <v>-</v>
      </c>
      <c r="Q71" s="52" t="str">
        <f t="shared" si="109"/>
        <v>-</v>
      </c>
      <c r="R71" s="204" t="str">
        <f t="shared" si="110"/>
        <v>-</v>
      </c>
      <c r="S71" s="205" t="str">
        <f t="shared" si="111"/>
        <v>-</v>
      </c>
      <c r="T71" s="52" t="str">
        <f t="shared" si="112"/>
        <v>-</v>
      </c>
      <c r="U71" s="204" t="str">
        <f t="shared" si="113"/>
        <v>-</v>
      </c>
      <c r="V71" s="205" t="str">
        <f t="shared" si="114"/>
        <v>-</v>
      </c>
      <c r="W71" s="52" t="str">
        <f t="shared" si="115"/>
        <v>-</v>
      </c>
      <c r="X71" s="204" t="str">
        <f t="shared" si="116"/>
        <v>-</v>
      </c>
    </row>
    <row r="72" spans="1:24" x14ac:dyDescent="0.25">
      <c r="A72" s="207">
        <v>1.25</v>
      </c>
      <c r="B72" s="206">
        <f t="shared" si="94"/>
        <v>102.75</v>
      </c>
      <c r="C72" s="204" t="e">
        <f t="shared" si="95"/>
        <v>#VALUE!</v>
      </c>
      <c r="D72" s="205" t="str">
        <f t="shared" si="96"/>
        <v>-</v>
      </c>
      <c r="E72" s="52" t="str">
        <f t="shared" si="97"/>
        <v>-</v>
      </c>
      <c r="F72" s="204" t="str">
        <f t="shared" si="98"/>
        <v>-</v>
      </c>
      <c r="G72" s="205" t="str">
        <f t="shared" si="99"/>
        <v>-</v>
      </c>
      <c r="H72" s="52" t="str">
        <f t="shared" si="100"/>
        <v>-</v>
      </c>
      <c r="I72" s="204" t="str">
        <f t="shared" si="101"/>
        <v>-</v>
      </c>
      <c r="J72" s="205" t="str">
        <f t="shared" si="102"/>
        <v>-</v>
      </c>
      <c r="K72" s="52" t="str">
        <f t="shared" si="103"/>
        <v>-</v>
      </c>
      <c r="L72" s="204" t="str">
        <f t="shared" si="104"/>
        <v>-</v>
      </c>
      <c r="M72" s="205" t="str">
        <f t="shared" si="105"/>
        <v>-</v>
      </c>
      <c r="N72" s="52" t="str">
        <f t="shared" si="106"/>
        <v>-</v>
      </c>
      <c r="O72" s="204" t="str">
        <f t="shared" si="107"/>
        <v>-</v>
      </c>
      <c r="P72" s="205" t="str">
        <f t="shared" si="108"/>
        <v>-</v>
      </c>
      <c r="Q72" s="52" t="str">
        <f t="shared" si="109"/>
        <v>-</v>
      </c>
      <c r="R72" s="204" t="str">
        <f t="shared" si="110"/>
        <v>-</v>
      </c>
      <c r="S72" s="205" t="str">
        <f t="shared" si="111"/>
        <v>-</v>
      </c>
      <c r="T72" s="52" t="str">
        <f t="shared" si="112"/>
        <v>-</v>
      </c>
      <c r="U72" s="204" t="str">
        <f t="shared" si="113"/>
        <v>-</v>
      </c>
      <c r="V72" s="205" t="str">
        <f t="shared" si="114"/>
        <v>-</v>
      </c>
      <c r="W72" s="52" t="str">
        <f t="shared" si="115"/>
        <v>-</v>
      </c>
      <c r="X72" s="204" t="str">
        <f t="shared" si="116"/>
        <v>-</v>
      </c>
    </row>
    <row r="73" spans="1:24" x14ac:dyDescent="0.25">
      <c r="A73" s="207">
        <v>1.5</v>
      </c>
      <c r="B73" s="206">
        <f t="shared" si="94"/>
        <v>102.5</v>
      </c>
      <c r="C73" s="204" t="e">
        <f t="shared" si="95"/>
        <v>#VALUE!</v>
      </c>
      <c r="D73" s="205" t="str">
        <f t="shared" si="96"/>
        <v>-</v>
      </c>
      <c r="E73" s="52" t="str">
        <f t="shared" si="97"/>
        <v>-</v>
      </c>
      <c r="F73" s="204" t="str">
        <f t="shared" si="98"/>
        <v>-</v>
      </c>
      <c r="G73" s="205" t="str">
        <f t="shared" si="99"/>
        <v>-</v>
      </c>
      <c r="H73" s="52" t="str">
        <f t="shared" si="100"/>
        <v>-</v>
      </c>
      <c r="I73" s="204" t="str">
        <f t="shared" si="101"/>
        <v>-</v>
      </c>
      <c r="J73" s="205" t="str">
        <f t="shared" si="102"/>
        <v>-</v>
      </c>
      <c r="K73" s="52" t="str">
        <f t="shared" si="103"/>
        <v>-</v>
      </c>
      <c r="L73" s="204" t="str">
        <f t="shared" si="104"/>
        <v>-</v>
      </c>
      <c r="M73" s="205" t="str">
        <f t="shared" si="105"/>
        <v>-</v>
      </c>
      <c r="N73" s="52" t="str">
        <f t="shared" si="106"/>
        <v>-</v>
      </c>
      <c r="O73" s="204" t="str">
        <f t="shared" si="107"/>
        <v>-</v>
      </c>
      <c r="P73" s="205" t="str">
        <f t="shared" si="108"/>
        <v>-</v>
      </c>
      <c r="Q73" s="52" t="str">
        <f t="shared" si="109"/>
        <v>-</v>
      </c>
      <c r="R73" s="204" t="str">
        <f t="shared" si="110"/>
        <v>-</v>
      </c>
      <c r="S73" s="205" t="str">
        <f t="shared" si="111"/>
        <v>-</v>
      </c>
      <c r="T73" s="52" t="str">
        <f t="shared" si="112"/>
        <v>-</v>
      </c>
      <c r="U73" s="204" t="str">
        <f t="shared" si="113"/>
        <v>-</v>
      </c>
      <c r="V73" s="205" t="str">
        <f t="shared" si="114"/>
        <v>-</v>
      </c>
      <c r="W73" s="52" t="str">
        <f t="shared" si="115"/>
        <v>-</v>
      </c>
      <c r="X73" s="204" t="str">
        <f t="shared" si="116"/>
        <v>-</v>
      </c>
    </row>
    <row r="74" spans="1:24" x14ac:dyDescent="0.25">
      <c r="A74" s="207">
        <v>1.75</v>
      </c>
      <c r="B74" s="206">
        <f t="shared" si="94"/>
        <v>102.25</v>
      </c>
      <c r="C74" s="204" t="e">
        <f t="shared" si="95"/>
        <v>#VALUE!</v>
      </c>
      <c r="D74" s="205" t="str">
        <f t="shared" si="96"/>
        <v>-</v>
      </c>
      <c r="E74" s="52" t="str">
        <f t="shared" si="97"/>
        <v>-</v>
      </c>
      <c r="F74" s="204" t="str">
        <f t="shared" si="98"/>
        <v>-</v>
      </c>
      <c r="G74" s="205" t="str">
        <f t="shared" si="99"/>
        <v>-</v>
      </c>
      <c r="H74" s="52" t="str">
        <f t="shared" si="100"/>
        <v>-</v>
      </c>
      <c r="I74" s="204" t="str">
        <f t="shared" si="101"/>
        <v>-</v>
      </c>
      <c r="J74" s="205" t="str">
        <f t="shared" si="102"/>
        <v>-</v>
      </c>
      <c r="K74" s="52" t="str">
        <f t="shared" si="103"/>
        <v>-</v>
      </c>
      <c r="L74" s="204" t="str">
        <f t="shared" si="104"/>
        <v>-</v>
      </c>
      <c r="M74" s="205" t="str">
        <f t="shared" si="105"/>
        <v>-</v>
      </c>
      <c r="N74" s="52" t="str">
        <f t="shared" si="106"/>
        <v>-</v>
      </c>
      <c r="O74" s="204" t="str">
        <f t="shared" si="107"/>
        <v>-</v>
      </c>
      <c r="P74" s="205" t="str">
        <f t="shared" si="108"/>
        <v>-</v>
      </c>
      <c r="Q74" s="52" t="str">
        <f t="shared" si="109"/>
        <v>-</v>
      </c>
      <c r="R74" s="204" t="str">
        <f t="shared" si="110"/>
        <v>-</v>
      </c>
      <c r="S74" s="205" t="str">
        <f t="shared" si="111"/>
        <v>-</v>
      </c>
      <c r="T74" s="52" t="str">
        <f t="shared" si="112"/>
        <v>-</v>
      </c>
      <c r="U74" s="204" t="str">
        <f t="shared" si="113"/>
        <v>-</v>
      </c>
      <c r="V74" s="205" t="str">
        <f t="shared" si="114"/>
        <v>-</v>
      </c>
      <c r="W74" s="52" t="str">
        <f t="shared" si="115"/>
        <v>-</v>
      </c>
      <c r="X74" s="204" t="str">
        <f t="shared" si="116"/>
        <v>-</v>
      </c>
    </row>
    <row r="75" spans="1:24" x14ac:dyDescent="0.25">
      <c r="A75" s="207">
        <v>2</v>
      </c>
      <c r="B75" s="206">
        <f t="shared" si="94"/>
        <v>102</v>
      </c>
      <c r="C75" s="204" t="e">
        <f t="shared" si="95"/>
        <v>#VALUE!</v>
      </c>
      <c r="D75" s="205" t="str">
        <f t="shared" si="96"/>
        <v>-</v>
      </c>
      <c r="E75" s="52" t="str">
        <f t="shared" si="97"/>
        <v>-</v>
      </c>
      <c r="F75" s="204" t="str">
        <f t="shared" si="98"/>
        <v>-</v>
      </c>
      <c r="G75" s="205" t="str">
        <f t="shared" si="99"/>
        <v>-</v>
      </c>
      <c r="H75" s="52" t="str">
        <f t="shared" si="100"/>
        <v>-</v>
      </c>
      <c r="I75" s="204" t="str">
        <f t="shared" si="101"/>
        <v>-</v>
      </c>
      <c r="J75" s="205" t="str">
        <f t="shared" si="102"/>
        <v>-</v>
      </c>
      <c r="K75" s="52" t="str">
        <f t="shared" si="103"/>
        <v>-</v>
      </c>
      <c r="L75" s="204" t="str">
        <f t="shared" si="104"/>
        <v>-</v>
      </c>
      <c r="M75" s="205" t="str">
        <f t="shared" si="105"/>
        <v>-</v>
      </c>
      <c r="N75" s="52" t="str">
        <f t="shared" si="106"/>
        <v>-</v>
      </c>
      <c r="O75" s="204" t="str">
        <f t="shared" si="107"/>
        <v>-</v>
      </c>
      <c r="P75" s="205" t="str">
        <f t="shared" si="108"/>
        <v>-</v>
      </c>
      <c r="Q75" s="52" t="str">
        <f t="shared" si="109"/>
        <v>-</v>
      </c>
      <c r="R75" s="204" t="str">
        <f t="shared" si="110"/>
        <v>-</v>
      </c>
      <c r="S75" s="205" t="str">
        <f t="shared" si="111"/>
        <v>-</v>
      </c>
      <c r="T75" s="52" t="str">
        <f t="shared" si="112"/>
        <v>-</v>
      </c>
      <c r="U75" s="204" t="str">
        <f t="shared" si="113"/>
        <v>-</v>
      </c>
      <c r="V75" s="205" t="str">
        <f t="shared" si="114"/>
        <v>-</v>
      </c>
      <c r="W75" s="52" t="str">
        <f t="shared" si="115"/>
        <v>-</v>
      </c>
      <c r="X75" s="204" t="str">
        <f t="shared" si="116"/>
        <v>-</v>
      </c>
    </row>
    <row r="76" spans="1:24" x14ac:dyDescent="0.25">
      <c r="A76" s="207">
        <v>2.25</v>
      </c>
      <c r="B76" s="206">
        <f t="shared" si="94"/>
        <v>101.75</v>
      </c>
      <c r="C76" s="204" t="e">
        <f t="shared" si="95"/>
        <v>#VALUE!</v>
      </c>
      <c r="D76" s="205" t="str">
        <f t="shared" si="96"/>
        <v>-</v>
      </c>
      <c r="E76" s="52" t="str">
        <f t="shared" si="97"/>
        <v>-</v>
      </c>
      <c r="F76" s="204" t="str">
        <f t="shared" si="98"/>
        <v>-</v>
      </c>
      <c r="G76" s="205" t="str">
        <f t="shared" si="99"/>
        <v>-</v>
      </c>
      <c r="H76" s="52" t="str">
        <f t="shared" si="100"/>
        <v>-</v>
      </c>
      <c r="I76" s="204" t="str">
        <f t="shared" si="101"/>
        <v>-</v>
      </c>
      <c r="J76" s="205" t="str">
        <f t="shared" si="102"/>
        <v>-</v>
      </c>
      <c r="K76" s="52" t="str">
        <f t="shared" si="103"/>
        <v>-</v>
      </c>
      <c r="L76" s="204" t="str">
        <f t="shared" si="104"/>
        <v>-</v>
      </c>
      <c r="M76" s="205" t="str">
        <f t="shared" si="105"/>
        <v>-</v>
      </c>
      <c r="N76" s="52" t="str">
        <f t="shared" si="106"/>
        <v>-</v>
      </c>
      <c r="O76" s="204" t="str">
        <f t="shared" si="107"/>
        <v>-</v>
      </c>
      <c r="P76" s="205" t="str">
        <f t="shared" si="108"/>
        <v>-</v>
      </c>
      <c r="Q76" s="52" t="str">
        <f t="shared" si="109"/>
        <v>-</v>
      </c>
      <c r="R76" s="204" t="str">
        <f t="shared" si="110"/>
        <v>-</v>
      </c>
      <c r="S76" s="205" t="str">
        <f t="shared" si="111"/>
        <v>-</v>
      </c>
      <c r="T76" s="52" t="str">
        <f t="shared" si="112"/>
        <v>-</v>
      </c>
      <c r="U76" s="204" t="str">
        <f t="shared" si="113"/>
        <v>-</v>
      </c>
      <c r="V76" s="205" t="str">
        <f t="shared" si="114"/>
        <v>-</v>
      </c>
      <c r="W76" s="52" t="str">
        <f t="shared" si="115"/>
        <v>-</v>
      </c>
      <c r="X76" s="204" t="str">
        <f t="shared" si="116"/>
        <v>-</v>
      </c>
    </row>
    <row r="77" spans="1:24" x14ac:dyDescent="0.25">
      <c r="A77" s="207">
        <v>2.5</v>
      </c>
      <c r="B77" s="206">
        <f t="shared" si="94"/>
        <v>101.5</v>
      </c>
      <c r="C77" s="204" t="e">
        <f t="shared" si="95"/>
        <v>#VALUE!</v>
      </c>
      <c r="D77" s="205" t="str">
        <f t="shared" si="96"/>
        <v>-</v>
      </c>
      <c r="E77" s="52" t="str">
        <f t="shared" si="97"/>
        <v>-</v>
      </c>
      <c r="F77" s="204" t="str">
        <f t="shared" si="98"/>
        <v>-</v>
      </c>
      <c r="G77" s="205" t="str">
        <f t="shared" si="99"/>
        <v>-</v>
      </c>
      <c r="H77" s="52" t="str">
        <f t="shared" si="100"/>
        <v>-</v>
      </c>
      <c r="I77" s="204" t="str">
        <f t="shared" si="101"/>
        <v>-</v>
      </c>
      <c r="J77" s="205" t="str">
        <f t="shared" si="102"/>
        <v>-</v>
      </c>
      <c r="K77" s="52" t="str">
        <f t="shared" si="103"/>
        <v>-</v>
      </c>
      <c r="L77" s="204" t="str">
        <f t="shared" si="104"/>
        <v>-</v>
      </c>
      <c r="M77" s="205" t="str">
        <f t="shared" si="105"/>
        <v>-</v>
      </c>
      <c r="N77" s="52" t="str">
        <f t="shared" si="106"/>
        <v>-</v>
      </c>
      <c r="O77" s="204" t="str">
        <f t="shared" si="107"/>
        <v>-</v>
      </c>
      <c r="P77" s="205" t="str">
        <f t="shared" si="108"/>
        <v>-</v>
      </c>
      <c r="Q77" s="52" t="str">
        <f t="shared" si="109"/>
        <v>-</v>
      </c>
      <c r="R77" s="204" t="str">
        <f t="shared" si="110"/>
        <v>-</v>
      </c>
      <c r="S77" s="205" t="str">
        <f t="shared" si="111"/>
        <v>-</v>
      </c>
      <c r="T77" s="52" t="str">
        <f t="shared" si="112"/>
        <v>-</v>
      </c>
      <c r="U77" s="204" t="str">
        <f t="shared" si="113"/>
        <v>-</v>
      </c>
      <c r="V77" s="205" t="str">
        <f t="shared" si="114"/>
        <v>-</v>
      </c>
      <c r="W77" s="52" t="str">
        <f t="shared" si="115"/>
        <v>-</v>
      </c>
      <c r="X77" s="204" t="str">
        <f t="shared" si="116"/>
        <v>-</v>
      </c>
    </row>
    <row r="78" spans="1:24" x14ac:dyDescent="0.25">
      <c r="A78" s="207">
        <v>2.75</v>
      </c>
      <c r="B78" s="206">
        <f t="shared" si="94"/>
        <v>101.25</v>
      </c>
      <c r="C78" s="204" t="e">
        <f t="shared" si="95"/>
        <v>#VALUE!</v>
      </c>
      <c r="D78" s="205" t="str">
        <f t="shared" si="96"/>
        <v>-</v>
      </c>
      <c r="E78" s="52" t="str">
        <f t="shared" si="97"/>
        <v>-</v>
      </c>
      <c r="F78" s="204" t="str">
        <f t="shared" si="98"/>
        <v>-</v>
      </c>
      <c r="G78" s="205" t="str">
        <f t="shared" si="99"/>
        <v>-</v>
      </c>
      <c r="H78" s="52" t="str">
        <f t="shared" si="100"/>
        <v>-</v>
      </c>
      <c r="I78" s="204" t="str">
        <f t="shared" si="101"/>
        <v>-</v>
      </c>
      <c r="J78" s="205" t="str">
        <f t="shared" si="102"/>
        <v>-</v>
      </c>
      <c r="K78" s="52" t="str">
        <f t="shared" si="103"/>
        <v>-</v>
      </c>
      <c r="L78" s="204" t="str">
        <f t="shared" si="104"/>
        <v>-</v>
      </c>
      <c r="M78" s="205" t="str">
        <f t="shared" si="105"/>
        <v>-</v>
      </c>
      <c r="N78" s="52" t="str">
        <f t="shared" si="106"/>
        <v>-</v>
      </c>
      <c r="O78" s="204" t="str">
        <f t="shared" si="107"/>
        <v>-</v>
      </c>
      <c r="P78" s="205" t="str">
        <f t="shared" si="108"/>
        <v>-</v>
      </c>
      <c r="Q78" s="52" t="str">
        <f t="shared" si="109"/>
        <v>-</v>
      </c>
      <c r="R78" s="204" t="str">
        <f t="shared" si="110"/>
        <v>-</v>
      </c>
      <c r="S78" s="205" t="str">
        <f t="shared" si="111"/>
        <v>-</v>
      </c>
      <c r="T78" s="52" t="str">
        <f t="shared" si="112"/>
        <v>-</v>
      </c>
      <c r="U78" s="204" t="str">
        <f t="shared" si="113"/>
        <v>-</v>
      </c>
      <c r="V78" s="205" t="str">
        <f t="shared" si="114"/>
        <v>-</v>
      </c>
      <c r="W78" s="52" t="str">
        <f t="shared" si="115"/>
        <v>-</v>
      </c>
      <c r="X78" s="204" t="str">
        <f t="shared" si="116"/>
        <v>-</v>
      </c>
    </row>
    <row r="79" spans="1:24" x14ac:dyDescent="0.25">
      <c r="A79" s="207">
        <v>3</v>
      </c>
      <c r="B79" s="206">
        <f t="shared" si="94"/>
        <v>101</v>
      </c>
      <c r="C79" s="204" t="e">
        <f t="shared" si="95"/>
        <v>#VALUE!</v>
      </c>
      <c r="D79" s="205" t="str">
        <f t="shared" si="96"/>
        <v>-</v>
      </c>
      <c r="E79" s="52" t="str">
        <f t="shared" si="97"/>
        <v>-</v>
      </c>
      <c r="F79" s="204" t="str">
        <f t="shared" si="98"/>
        <v>-</v>
      </c>
      <c r="G79" s="205" t="str">
        <f t="shared" si="99"/>
        <v>-</v>
      </c>
      <c r="H79" s="52" t="str">
        <f t="shared" si="100"/>
        <v>-</v>
      </c>
      <c r="I79" s="204" t="str">
        <f t="shared" si="101"/>
        <v>-</v>
      </c>
      <c r="J79" s="205" t="str">
        <f t="shared" si="102"/>
        <v>-</v>
      </c>
      <c r="K79" s="52" t="str">
        <f t="shared" si="103"/>
        <v>-</v>
      </c>
      <c r="L79" s="204" t="str">
        <f t="shared" si="104"/>
        <v>-</v>
      </c>
      <c r="M79" s="205" t="str">
        <f t="shared" si="105"/>
        <v>-</v>
      </c>
      <c r="N79" s="52" t="str">
        <f t="shared" si="106"/>
        <v>-</v>
      </c>
      <c r="O79" s="204" t="str">
        <f t="shared" si="107"/>
        <v>-</v>
      </c>
      <c r="P79" s="205" t="str">
        <f t="shared" si="108"/>
        <v>-</v>
      </c>
      <c r="Q79" s="52" t="str">
        <f t="shared" si="109"/>
        <v>-</v>
      </c>
      <c r="R79" s="204" t="str">
        <f t="shared" si="110"/>
        <v>-</v>
      </c>
      <c r="S79" s="205" t="str">
        <f t="shared" si="111"/>
        <v>-</v>
      </c>
      <c r="T79" s="52" t="str">
        <f t="shared" si="112"/>
        <v>-</v>
      </c>
      <c r="U79" s="204" t="str">
        <f t="shared" si="113"/>
        <v>-</v>
      </c>
      <c r="V79" s="205" t="str">
        <f t="shared" si="114"/>
        <v>-</v>
      </c>
      <c r="W79" s="52" t="str">
        <f t="shared" si="115"/>
        <v>-</v>
      </c>
      <c r="X79" s="204" t="str">
        <f t="shared" si="116"/>
        <v>-</v>
      </c>
    </row>
    <row r="80" spans="1:24" x14ac:dyDescent="0.25">
      <c r="A80" s="207">
        <v>3.25</v>
      </c>
      <c r="B80" s="206">
        <f t="shared" si="94"/>
        <v>100.75</v>
      </c>
      <c r="C80" s="204" t="e">
        <f t="shared" si="95"/>
        <v>#VALUE!</v>
      </c>
      <c r="D80" s="205" t="str">
        <f t="shared" si="96"/>
        <v>-</v>
      </c>
      <c r="E80" s="52" t="str">
        <f t="shared" si="97"/>
        <v>-</v>
      </c>
      <c r="F80" s="204" t="str">
        <f t="shared" si="98"/>
        <v>-</v>
      </c>
      <c r="G80" s="205" t="str">
        <f t="shared" si="99"/>
        <v>-</v>
      </c>
      <c r="H80" s="52" t="str">
        <f t="shared" si="100"/>
        <v>-</v>
      </c>
      <c r="I80" s="204" t="str">
        <f t="shared" si="101"/>
        <v>-</v>
      </c>
      <c r="J80" s="205" t="str">
        <f t="shared" si="102"/>
        <v>-</v>
      </c>
      <c r="K80" s="52" t="str">
        <f t="shared" si="103"/>
        <v>-</v>
      </c>
      <c r="L80" s="204" t="str">
        <f t="shared" si="104"/>
        <v>-</v>
      </c>
      <c r="M80" s="205" t="str">
        <f t="shared" si="105"/>
        <v>-</v>
      </c>
      <c r="N80" s="52" t="str">
        <f t="shared" si="106"/>
        <v>-</v>
      </c>
      <c r="O80" s="204" t="str">
        <f t="shared" si="107"/>
        <v>-</v>
      </c>
      <c r="P80" s="205" t="str">
        <f t="shared" si="108"/>
        <v>-</v>
      </c>
      <c r="Q80" s="52" t="str">
        <f t="shared" si="109"/>
        <v>-</v>
      </c>
      <c r="R80" s="204" t="str">
        <f t="shared" si="110"/>
        <v>-</v>
      </c>
      <c r="S80" s="205" t="str">
        <f t="shared" si="111"/>
        <v>-</v>
      </c>
      <c r="T80" s="52" t="str">
        <f t="shared" si="112"/>
        <v>-</v>
      </c>
      <c r="U80" s="204" t="str">
        <f t="shared" si="113"/>
        <v>-</v>
      </c>
      <c r="V80" s="205" t="str">
        <f t="shared" si="114"/>
        <v>-</v>
      </c>
      <c r="W80" s="52" t="str">
        <f t="shared" si="115"/>
        <v>-</v>
      </c>
      <c r="X80" s="204" t="str">
        <f t="shared" si="116"/>
        <v>-</v>
      </c>
    </row>
    <row r="81" spans="1:24" x14ac:dyDescent="0.25">
      <c r="A81" s="207">
        <v>3.5</v>
      </c>
      <c r="B81" s="206">
        <f t="shared" si="94"/>
        <v>100.5</v>
      </c>
      <c r="C81" s="204" t="e">
        <f t="shared" si="95"/>
        <v>#VALUE!</v>
      </c>
      <c r="D81" s="205" t="str">
        <f t="shared" si="96"/>
        <v>-</v>
      </c>
      <c r="E81" s="52" t="str">
        <f t="shared" si="97"/>
        <v>-</v>
      </c>
      <c r="F81" s="204" t="str">
        <f t="shared" si="98"/>
        <v>-</v>
      </c>
      <c r="G81" s="205" t="str">
        <f t="shared" si="99"/>
        <v>-</v>
      </c>
      <c r="H81" s="52" t="str">
        <f t="shared" si="100"/>
        <v>-</v>
      </c>
      <c r="I81" s="204" t="str">
        <f t="shared" si="101"/>
        <v>-</v>
      </c>
      <c r="J81" s="205" t="str">
        <f t="shared" si="102"/>
        <v>-</v>
      </c>
      <c r="K81" s="52" t="str">
        <f t="shared" si="103"/>
        <v>-</v>
      </c>
      <c r="L81" s="204" t="str">
        <f t="shared" si="104"/>
        <v>-</v>
      </c>
      <c r="M81" s="205" t="str">
        <f t="shared" si="105"/>
        <v>-</v>
      </c>
      <c r="N81" s="52" t="str">
        <f t="shared" si="106"/>
        <v>-</v>
      </c>
      <c r="O81" s="204" t="str">
        <f t="shared" si="107"/>
        <v>-</v>
      </c>
      <c r="P81" s="205" t="str">
        <f t="shared" si="108"/>
        <v>-</v>
      </c>
      <c r="Q81" s="52" t="str">
        <f t="shared" si="109"/>
        <v>-</v>
      </c>
      <c r="R81" s="204" t="str">
        <f t="shared" si="110"/>
        <v>-</v>
      </c>
      <c r="S81" s="205" t="str">
        <f t="shared" si="111"/>
        <v>-</v>
      </c>
      <c r="T81" s="52" t="str">
        <f t="shared" si="112"/>
        <v>-</v>
      </c>
      <c r="U81" s="204" t="str">
        <f t="shared" si="113"/>
        <v>-</v>
      </c>
      <c r="V81" s="205" t="str">
        <f t="shared" si="114"/>
        <v>-</v>
      </c>
      <c r="W81" s="52" t="str">
        <f t="shared" si="115"/>
        <v>-</v>
      </c>
      <c r="X81" s="204" t="str">
        <f t="shared" si="116"/>
        <v>-</v>
      </c>
    </row>
    <row r="82" spans="1:24" x14ac:dyDescent="0.25">
      <c r="A82" s="207">
        <v>3.75</v>
      </c>
      <c r="B82" s="206">
        <f t="shared" si="94"/>
        <v>100.25</v>
      </c>
      <c r="C82" s="204" t="e">
        <f t="shared" si="95"/>
        <v>#VALUE!</v>
      </c>
      <c r="D82" s="205" t="str">
        <f t="shared" si="96"/>
        <v>-</v>
      </c>
      <c r="E82" s="52" t="str">
        <f t="shared" si="97"/>
        <v>-</v>
      </c>
      <c r="F82" s="204" t="str">
        <f t="shared" si="98"/>
        <v>-</v>
      </c>
      <c r="G82" s="205" t="str">
        <f t="shared" si="99"/>
        <v>-</v>
      </c>
      <c r="H82" s="52" t="str">
        <f t="shared" si="100"/>
        <v>-</v>
      </c>
      <c r="I82" s="204" t="str">
        <f t="shared" si="101"/>
        <v>-</v>
      </c>
      <c r="J82" s="205" t="str">
        <f t="shared" si="102"/>
        <v>-</v>
      </c>
      <c r="K82" s="52" t="str">
        <f t="shared" si="103"/>
        <v>-</v>
      </c>
      <c r="L82" s="204" t="str">
        <f t="shared" si="104"/>
        <v>-</v>
      </c>
      <c r="M82" s="205" t="str">
        <f t="shared" si="105"/>
        <v>-</v>
      </c>
      <c r="N82" s="52" t="str">
        <f t="shared" si="106"/>
        <v>-</v>
      </c>
      <c r="O82" s="204" t="str">
        <f t="shared" si="107"/>
        <v>-</v>
      </c>
      <c r="P82" s="205" t="str">
        <f t="shared" si="108"/>
        <v>-</v>
      </c>
      <c r="Q82" s="52" t="str">
        <f t="shared" si="109"/>
        <v>-</v>
      </c>
      <c r="R82" s="204" t="str">
        <f t="shared" si="110"/>
        <v>-</v>
      </c>
      <c r="S82" s="205" t="str">
        <f t="shared" si="111"/>
        <v>-</v>
      </c>
      <c r="T82" s="52" t="str">
        <f t="shared" si="112"/>
        <v>-</v>
      </c>
      <c r="U82" s="204" t="str">
        <f t="shared" si="113"/>
        <v>-</v>
      </c>
      <c r="V82" s="205" t="str">
        <f t="shared" si="114"/>
        <v>-</v>
      </c>
      <c r="W82" s="52" t="str">
        <f t="shared" si="115"/>
        <v>-</v>
      </c>
      <c r="X82" s="204" t="str">
        <f t="shared" si="116"/>
        <v>-</v>
      </c>
    </row>
    <row r="83" spans="1:24" x14ac:dyDescent="0.25">
      <c r="A83" s="203">
        <v>4</v>
      </c>
      <c r="B83" s="202">
        <f t="shared" si="94"/>
        <v>100</v>
      </c>
      <c r="C83" s="199" t="e">
        <f t="shared" si="95"/>
        <v>#VALUE!</v>
      </c>
      <c r="D83" s="201" t="str">
        <f t="shared" si="96"/>
        <v>-</v>
      </c>
      <c r="E83" s="200" t="str">
        <f t="shared" si="97"/>
        <v>-</v>
      </c>
      <c r="F83" s="199" t="str">
        <f t="shared" si="98"/>
        <v>-</v>
      </c>
      <c r="G83" s="201" t="str">
        <f t="shared" si="99"/>
        <v>-</v>
      </c>
      <c r="H83" s="200" t="str">
        <f t="shared" si="100"/>
        <v>-</v>
      </c>
      <c r="I83" s="199" t="str">
        <f t="shared" si="101"/>
        <v>-</v>
      </c>
      <c r="J83" s="201" t="str">
        <f t="shared" si="102"/>
        <v>-</v>
      </c>
      <c r="K83" s="200" t="str">
        <f t="shared" si="103"/>
        <v>-</v>
      </c>
      <c r="L83" s="199" t="str">
        <f t="shared" si="104"/>
        <v>-</v>
      </c>
      <c r="M83" s="201" t="str">
        <f t="shared" si="105"/>
        <v>-</v>
      </c>
      <c r="N83" s="200" t="str">
        <f t="shared" si="106"/>
        <v>-</v>
      </c>
      <c r="O83" s="199" t="str">
        <f t="shared" si="107"/>
        <v>-</v>
      </c>
      <c r="P83" s="201" t="str">
        <f t="shared" si="108"/>
        <v>-</v>
      </c>
      <c r="Q83" s="200" t="str">
        <f t="shared" si="109"/>
        <v>-</v>
      </c>
      <c r="R83" s="199" t="str">
        <f t="shared" si="110"/>
        <v>-</v>
      </c>
      <c r="S83" s="201" t="str">
        <f t="shared" si="111"/>
        <v>-</v>
      </c>
      <c r="T83" s="200" t="str">
        <f t="shared" si="112"/>
        <v>-</v>
      </c>
      <c r="U83" s="199" t="str">
        <f t="shared" si="113"/>
        <v>-</v>
      </c>
      <c r="V83" s="201" t="str">
        <f t="shared" si="114"/>
        <v>-</v>
      </c>
      <c r="W83" s="200" t="str">
        <f t="shared" si="115"/>
        <v>-</v>
      </c>
      <c r="X83" s="199" t="str">
        <f t="shared" si="116"/>
        <v>-</v>
      </c>
    </row>
    <row r="86" spans="1:24" x14ac:dyDescent="0.25">
      <c r="B86" s="51" t="s">
        <v>1711</v>
      </c>
      <c r="E86" s="639" t="s">
        <v>1710</v>
      </c>
      <c r="F86" s="639"/>
      <c r="G86" s="639"/>
    </row>
    <row r="87" spans="1:24" x14ac:dyDescent="0.25">
      <c r="A87" s="51" t="s">
        <v>1709</v>
      </c>
      <c r="B87" s="51" t="str">
        <f>$C$6</f>
        <v>-</v>
      </c>
      <c r="C87" s="198">
        <f>IF(B87="SFR",5.875%,IF(B87="Multi",6.25%,))</f>
        <v>0</v>
      </c>
      <c r="E87" s="51" t="s">
        <v>156</v>
      </c>
      <c r="F87" s="58" t="e">
        <f>'DSCR (Single Asset)'!$C$38/'DSCR (Single Asset)'!$C$27</f>
        <v>#DIV/0!</v>
      </c>
      <c r="G87" s="115" t="e">
        <f>ROUND(F87*100,1)</f>
        <v>#DIV/0!</v>
      </c>
    </row>
    <row r="88" spans="1:24" x14ac:dyDescent="0.25">
      <c r="A88" s="51" t="s">
        <v>1708</v>
      </c>
      <c r="B88" s="51" t="str">
        <f>IF($C$14="No IO","FRM","Interest-Only")</f>
        <v>Interest-Only</v>
      </c>
      <c r="C88" s="198">
        <f>IF(B88="FRM",5.875%,IF(B88="Interest-Only",6.25%,))</f>
        <v>6.25E-2</v>
      </c>
      <c r="E88" s="51" t="s">
        <v>155</v>
      </c>
      <c r="F88" s="51" t="e">
        <f>IF(OR($C$3="Refinance (Rate/Term)",$C$3="Refinance (Cash Out)"),"-",'DSCR (Single Asset)'!$C$38/(SUM('DSCR (Single Asset)'!$C$25:$C$26)))</f>
        <v>#DIV/0!</v>
      </c>
      <c r="G88" s="115" t="e">
        <f>IF(F88="-","-",ROUND(F88*100,1))</f>
        <v>#DIV/0!</v>
      </c>
    </row>
    <row r="89" spans="1:24" x14ac:dyDescent="0.25">
      <c r="A89" s="51" t="s">
        <v>1707</v>
      </c>
      <c r="B89" s="51">
        <f>'DSCR (Single Asset)'!$C$30</f>
        <v>0</v>
      </c>
      <c r="C89" s="198">
        <f>IF(OR(B89="No PPP",B89="12 Months"),7.25%,5.875%)</f>
        <v>5.8749999999999997E-2</v>
      </c>
      <c r="E89" s="51" t="s">
        <v>149</v>
      </c>
      <c r="F89" s="51" t="s">
        <v>2</v>
      </c>
      <c r="G89" s="51" t="e">
        <f>_xlfn.CONCAT(G87," | ",G88)</f>
        <v>#DIV/0!</v>
      </c>
    </row>
    <row r="90" spans="1:24" x14ac:dyDescent="0.25">
      <c r="A90" s="639" t="s">
        <v>1706</v>
      </c>
      <c r="B90" s="639"/>
      <c r="C90" s="198">
        <f>MAX(C87:C89)</f>
        <v>6.25E-2</v>
      </c>
      <c r="E90" s="51" t="s">
        <v>1705</v>
      </c>
      <c r="F90" s="51">
        <f>'DSCR (Single Asset)'!$F$38</f>
        <v>0</v>
      </c>
      <c r="G90" s="51" t="str">
        <f>'DSCR (Single Asset)'!$H$38</f>
        <v>-</v>
      </c>
      <c r="I90" s="197"/>
      <c r="J90" s="197"/>
      <c r="K90" s="197"/>
      <c r="L90" s="197"/>
      <c r="M90" s="197"/>
      <c r="N90" s="197"/>
    </row>
    <row r="91" spans="1:24" x14ac:dyDescent="0.25">
      <c r="E91" s="196" t="s">
        <v>1704</v>
      </c>
      <c r="F91" s="51" t="e">
        <f>'DSCR (Single Asset)'!$F$39</f>
        <v>#VALUE!</v>
      </c>
      <c r="G91" s="51" t="str">
        <f>'DSCR (Single Asset)'!$H$39</f>
        <v>-</v>
      </c>
    </row>
    <row r="92" spans="1:24" x14ac:dyDescent="0.25">
      <c r="E92" s="56" t="s">
        <v>1703</v>
      </c>
      <c r="F92" s="639" t="str">
        <f>IF($C$6="SFR",$L$4,IF($C$6="Multi",$L$29,"-"))</f>
        <v>-</v>
      </c>
      <c r="G92" s="639"/>
    </row>
    <row r="93" spans="1:24" x14ac:dyDescent="0.25">
      <c r="E93" s="51" t="s">
        <v>1702</v>
      </c>
      <c r="F93" s="639" t="e">
        <f>IF($C$14="No IO",$F$92/$G$91,$F$92/$G$90)</f>
        <v>#VALUE!</v>
      </c>
      <c r="G93" s="639"/>
    </row>
    <row r="94" spans="1:24" x14ac:dyDescent="0.25">
      <c r="E94" s="51" t="s">
        <v>1701</v>
      </c>
      <c r="F94" s="639" t="e">
        <f>IF($C$14="No IO",$F$92/$F$91,$F$92/$F$90)</f>
        <v>#VALUE!</v>
      </c>
      <c r="G94" s="639"/>
    </row>
    <row r="96" spans="1:24" x14ac:dyDescent="0.25">
      <c r="E96" s="51" t="s">
        <v>1700</v>
      </c>
      <c r="F96" s="639" t="str">
        <f>IF($C$6="SFR",$F$93,IF($C$6="Multi",F94,"-"))</f>
        <v>-</v>
      </c>
      <c r="G96" s="639"/>
    </row>
    <row r="100" spans="4:10" x14ac:dyDescent="0.25">
      <c r="D100" s="794" t="s">
        <v>1526</v>
      </c>
      <c r="E100" s="794"/>
      <c r="F100" s="794"/>
      <c r="G100" s="794"/>
      <c r="H100" s="794"/>
      <c r="I100" s="794"/>
      <c r="J100" s="794"/>
    </row>
    <row r="101" spans="4:10" x14ac:dyDescent="0.25">
      <c r="D101" s="195" t="s">
        <v>1698</v>
      </c>
      <c r="E101" s="195" t="s">
        <v>1697</v>
      </c>
      <c r="F101" s="195" t="s">
        <v>1696</v>
      </c>
      <c r="G101" s="195" t="s">
        <v>1695</v>
      </c>
      <c r="H101" s="195" t="s">
        <v>1694</v>
      </c>
      <c r="I101" s="195" t="s">
        <v>1693</v>
      </c>
      <c r="J101" s="195" t="s">
        <v>1692</v>
      </c>
    </row>
    <row r="102" spans="4:10" x14ac:dyDescent="0.25">
      <c r="D102" s="193" t="s">
        <v>1691</v>
      </c>
      <c r="E102" s="193" t="s">
        <v>2</v>
      </c>
      <c r="F102" s="193" t="s">
        <v>2</v>
      </c>
      <c r="G102" s="193" t="s">
        <v>2</v>
      </c>
      <c r="H102" s="193" t="s">
        <v>2</v>
      </c>
      <c r="I102" s="193" t="s">
        <v>2</v>
      </c>
      <c r="J102" s="193" t="s">
        <v>2</v>
      </c>
    </row>
    <row r="103" spans="4:10" x14ac:dyDescent="0.25">
      <c r="D103" s="193" t="s">
        <v>1690</v>
      </c>
      <c r="E103" s="193" t="s">
        <v>2</v>
      </c>
      <c r="F103" s="193" t="s">
        <v>2</v>
      </c>
      <c r="G103" s="193" t="s">
        <v>2</v>
      </c>
      <c r="H103" s="193" t="s">
        <v>2</v>
      </c>
      <c r="I103" s="193" t="s">
        <v>2</v>
      </c>
      <c r="J103" s="193" t="s">
        <v>2</v>
      </c>
    </row>
    <row r="104" spans="4:10" x14ac:dyDescent="0.25">
      <c r="D104" s="193" t="s">
        <v>1689</v>
      </c>
      <c r="E104" s="193" t="s">
        <v>2</v>
      </c>
      <c r="F104" s="193" t="s">
        <v>2</v>
      </c>
      <c r="G104" s="193" t="s">
        <v>2</v>
      </c>
      <c r="H104" s="193" t="s">
        <v>2</v>
      </c>
      <c r="I104" s="193" t="s">
        <v>2</v>
      </c>
      <c r="J104" s="193" t="s">
        <v>2</v>
      </c>
    </row>
    <row r="105" spans="4:10" x14ac:dyDescent="0.25">
      <c r="D105" s="193" t="s">
        <v>1688</v>
      </c>
      <c r="E105" s="192" t="s">
        <v>2</v>
      </c>
      <c r="F105" s="192" t="s">
        <v>2</v>
      </c>
      <c r="G105" s="192" t="s">
        <v>2</v>
      </c>
      <c r="H105" s="192" t="s">
        <v>2</v>
      </c>
      <c r="I105" s="192" t="s">
        <v>2</v>
      </c>
      <c r="J105" s="192" t="s">
        <v>2</v>
      </c>
    </row>
    <row r="106" spans="4:10" x14ac:dyDescent="0.25">
      <c r="D106" s="193" t="s">
        <v>1687</v>
      </c>
      <c r="E106" s="192" t="s">
        <v>2</v>
      </c>
      <c r="F106" s="192" t="s">
        <v>2</v>
      </c>
      <c r="G106" s="192" t="s">
        <v>2</v>
      </c>
      <c r="H106" s="192" t="s">
        <v>2</v>
      </c>
      <c r="I106" s="192" t="s">
        <v>2</v>
      </c>
      <c r="J106" s="192" t="s">
        <v>2</v>
      </c>
    </row>
    <row r="107" spans="4:10" x14ac:dyDescent="0.25">
      <c r="D107" s="193" t="s">
        <v>1686</v>
      </c>
      <c r="E107" s="192">
        <v>0.6</v>
      </c>
      <c r="F107" s="192">
        <v>0.6</v>
      </c>
      <c r="G107" s="192" t="s">
        <v>2</v>
      </c>
      <c r="H107" s="192" t="s">
        <v>2</v>
      </c>
      <c r="I107" s="192" t="s">
        <v>2</v>
      </c>
      <c r="J107" s="192" t="s">
        <v>2</v>
      </c>
    </row>
    <row r="108" spans="4:10" x14ac:dyDescent="0.25">
      <c r="D108" s="193" t="s">
        <v>1476</v>
      </c>
      <c r="E108" s="192">
        <v>0.7</v>
      </c>
      <c r="F108" s="192">
        <v>0.7</v>
      </c>
      <c r="G108" s="192">
        <v>0.7</v>
      </c>
      <c r="H108" s="192">
        <v>0.7</v>
      </c>
      <c r="I108" s="192">
        <v>0.7</v>
      </c>
      <c r="J108" s="192">
        <v>0.65</v>
      </c>
    </row>
    <row r="109" spans="4:10" x14ac:dyDescent="0.25">
      <c r="D109" s="193" t="s">
        <v>1685</v>
      </c>
      <c r="E109" s="192">
        <v>0.7</v>
      </c>
      <c r="F109" s="192">
        <v>0.75</v>
      </c>
      <c r="G109" s="192">
        <v>0.7</v>
      </c>
      <c r="H109" s="192">
        <v>0.75</v>
      </c>
      <c r="I109" s="192">
        <v>0.7</v>
      </c>
      <c r="J109" s="192">
        <v>0.65</v>
      </c>
    </row>
    <row r="110" spans="4:10" x14ac:dyDescent="0.25">
      <c r="D110" s="193" t="s">
        <v>1684</v>
      </c>
      <c r="E110" s="192">
        <v>0.75</v>
      </c>
      <c r="F110" s="192">
        <v>0.75</v>
      </c>
      <c r="G110" s="192">
        <v>0.75</v>
      </c>
      <c r="H110" s="192">
        <v>0.75</v>
      </c>
      <c r="I110" s="192">
        <v>0.75</v>
      </c>
      <c r="J110" s="192">
        <v>0.7</v>
      </c>
    </row>
    <row r="111" spans="4:10" x14ac:dyDescent="0.25">
      <c r="D111" s="193" t="s">
        <v>1683</v>
      </c>
      <c r="E111" s="194">
        <v>0.8</v>
      </c>
      <c r="F111" s="194">
        <v>0.8</v>
      </c>
      <c r="G111" s="194">
        <v>0.8</v>
      </c>
      <c r="H111" s="194">
        <v>0.8</v>
      </c>
      <c r="I111" s="194">
        <v>0.8</v>
      </c>
      <c r="J111" s="194">
        <v>0.75</v>
      </c>
    </row>
    <row r="112" spans="4:10" x14ac:dyDescent="0.25">
      <c r="D112" s="193" t="s">
        <v>1682</v>
      </c>
      <c r="E112" s="194">
        <v>0.8</v>
      </c>
      <c r="F112" s="194">
        <v>0.8</v>
      </c>
      <c r="G112" s="194">
        <v>0.8</v>
      </c>
      <c r="H112" s="194">
        <v>0.8</v>
      </c>
      <c r="I112" s="194">
        <v>0.8</v>
      </c>
      <c r="J112" s="194">
        <v>0.75</v>
      </c>
    </row>
    <row r="113" spans="4:10" x14ac:dyDescent="0.25">
      <c r="D113" s="193" t="s">
        <v>1681</v>
      </c>
      <c r="E113" s="194">
        <v>0.8</v>
      </c>
      <c r="F113" s="194">
        <v>0.8</v>
      </c>
      <c r="G113" s="194">
        <v>0.8</v>
      </c>
      <c r="H113" s="194">
        <v>0.8</v>
      </c>
      <c r="I113" s="194">
        <v>0.8</v>
      </c>
      <c r="J113" s="194">
        <v>0.75</v>
      </c>
    </row>
    <row r="114" spans="4:10" x14ac:dyDescent="0.25">
      <c r="D114" s="193" t="s">
        <v>1680</v>
      </c>
      <c r="E114" s="194">
        <v>0.8</v>
      </c>
      <c r="F114" s="194">
        <v>0.8</v>
      </c>
      <c r="G114" s="194">
        <v>0.8</v>
      </c>
      <c r="H114" s="194">
        <v>0.8</v>
      </c>
      <c r="I114" s="194">
        <v>0.8</v>
      </c>
      <c r="J114" s="194">
        <v>0.75</v>
      </c>
    </row>
    <row r="115" spans="4:10" x14ac:dyDescent="0.25">
      <c r="D115" s="193" t="s">
        <v>1679</v>
      </c>
      <c r="E115" s="192">
        <v>0.65</v>
      </c>
      <c r="F115" s="192">
        <v>0.65</v>
      </c>
      <c r="G115" s="192">
        <v>0.65</v>
      </c>
      <c r="H115" s="192">
        <v>0.65</v>
      </c>
      <c r="I115" s="192">
        <v>0.65</v>
      </c>
      <c r="J115" s="192">
        <v>0.6</v>
      </c>
    </row>
    <row r="117" spans="4:10" x14ac:dyDescent="0.25">
      <c r="D117" s="794" t="s">
        <v>1699</v>
      </c>
      <c r="E117" s="794"/>
      <c r="F117" s="794"/>
      <c r="G117" s="794"/>
      <c r="H117" s="794"/>
      <c r="I117" s="794"/>
      <c r="J117" s="794"/>
    </row>
    <row r="118" spans="4:10" x14ac:dyDescent="0.25">
      <c r="D118" s="195" t="s">
        <v>1698</v>
      </c>
      <c r="E118" s="195" t="s">
        <v>1697</v>
      </c>
      <c r="F118" s="195" t="s">
        <v>1696</v>
      </c>
      <c r="G118" s="195" t="s">
        <v>1695</v>
      </c>
      <c r="H118" s="195" t="s">
        <v>1694</v>
      </c>
      <c r="I118" s="195" t="s">
        <v>1693</v>
      </c>
      <c r="J118" s="195" t="s">
        <v>1692</v>
      </c>
    </row>
    <row r="119" spans="4:10" x14ac:dyDescent="0.25">
      <c r="D119" s="193" t="s">
        <v>1691</v>
      </c>
      <c r="E119" s="193" t="str">
        <f t="shared" ref="E119:J127" si="117">IF(E102="-","-",IF($C$4="LTR",E102,IF($C$4="STR",E102-5%)))</f>
        <v>-</v>
      </c>
      <c r="F119" s="193" t="str">
        <f t="shared" si="117"/>
        <v>-</v>
      </c>
      <c r="G119" s="193" t="str">
        <f t="shared" si="117"/>
        <v>-</v>
      </c>
      <c r="H119" s="193" t="str">
        <f t="shared" si="117"/>
        <v>-</v>
      </c>
      <c r="I119" s="193" t="str">
        <f t="shared" si="117"/>
        <v>-</v>
      </c>
      <c r="J119" s="193" t="str">
        <f t="shared" si="117"/>
        <v>-</v>
      </c>
    </row>
    <row r="120" spans="4:10" x14ac:dyDescent="0.25">
      <c r="D120" s="193" t="s">
        <v>1690</v>
      </c>
      <c r="E120" s="193" t="str">
        <f t="shared" si="117"/>
        <v>-</v>
      </c>
      <c r="F120" s="193" t="str">
        <f t="shared" si="117"/>
        <v>-</v>
      </c>
      <c r="G120" s="193" t="str">
        <f t="shared" si="117"/>
        <v>-</v>
      </c>
      <c r="H120" s="193" t="str">
        <f t="shared" si="117"/>
        <v>-</v>
      </c>
      <c r="I120" s="193" t="str">
        <f t="shared" si="117"/>
        <v>-</v>
      </c>
      <c r="J120" s="193" t="str">
        <f t="shared" si="117"/>
        <v>-</v>
      </c>
    </row>
    <row r="121" spans="4:10" x14ac:dyDescent="0.25">
      <c r="D121" s="193" t="s">
        <v>1689</v>
      </c>
      <c r="E121" s="193" t="str">
        <f t="shared" si="117"/>
        <v>-</v>
      </c>
      <c r="F121" s="193" t="str">
        <f t="shared" si="117"/>
        <v>-</v>
      </c>
      <c r="G121" s="193" t="str">
        <f t="shared" si="117"/>
        <v>-</v>
      </c>
      <c r="H121" s="193" t="str">
        <f t="shared" si="117"/>
        <v>-</v>
      </c>
      <c r="I121" s="193" t="str">
        <f t="shared" si="117"/>
        <v>-</v>
      </c>
      <c r="J121" s="193" t="str">
        <f t="shared" si="117"/>
        <v>-</v>
      </c>
    </row>
    <row r="122" spans="4:10" x14ac:dyDescent="0.25">
      <c r="D122" s="193" t="s">
        <v>1688</v>
      </c>
      <c r="E122" s="192" t="str">
        <f t="shared" si="117"/>
        <v>-</v>
      </c>
      <c r="F122" s="192" t="str">
        <f t="shared" si="117"/>
        <v>-</v>
      </c>
      <c r="G122" s="192" t="str">
        <f t="shared" si="117"/>
        <v>-</v>
      </c>
      <c r="H122" s="192" t="str">
        <f t="shared" si="117"/>
        <v>-</v>
      </c>
      <c r="I122" s="192" t="str">
        <f t="shared" si="117"/>
        <v>-</v>
      </c>
      <c r="J122" s="192" t="str">
        <f t="shared" si="117"/>
        <v>-</v>
      </c>
    </row>
    <row r="123" spans="4:10" x14ac:dyDescent="0.25">
      <c r="D123" s="193" t="s">
        <v>1687</v>
      </c>
      <c r="E123" s="192" t="str">
        <f t="shared" si="117"/>
        <v>-</v>
      </c>
      <c r="F123" s="192" t="str">
        <f t="shared" si="117"/>
        <v>-</v>
      </c>
      <c r="G123" s="192" t="str">
        <f t="shared" si="117"/>
        <v>-</v>
      </c>
      <c r="H123" s="192" t="str">
        <f t="shared" si="117"/>
        <v>-</v>
      </c>
      <c r="I123" s="192" t="str">
        <f t="shared" si="117"/>
        <v>-</v>
      </c>
      <c r="J123" s="192" t="str">
        <f t="shared" si="117"/>
        <v>-</v>
      </c>
    </row>
    <row r="124" spans="4:10" x14ac:dyDescent="0.25">
      <c r="D124" s="193" t="s">
        <v>1686</v>
      </c>
      <c r="E124" s="192">
        <f t="shared" si="117"/>
        <v>0.6</v>
      </c>
      <c r="F124" s="192">
        <f t="shared" si="117"/>
        <v>0.6</v>
      </c>
      <c r="G124" s="192" t="str">
        <f t="shared" si="117"/>
        <v>-</v>
      </c>
      <c r="H124" s="192" t="str">
        <f t="shared" si="117"/>
        <v>-</v>
      </c>
      <c r="I124" s="192" t="str">
        <f t="shared" si="117"/>
        <v>-</v>
      </c>
      <c r="J124" s="192" t="str">
        <f t="shared" si="117"/>
        <v>-</v>
      </c>
    </row>
    <row r="125" spans="4:10" x14ac:dyDescent="0.25">
      <c r="D125" s="193" t="s">
        <v>1476</v>
      </c>
      <c r="E125" s="192">
        <f t="shared" si="117"/>
        <v>0.7</v>
      </c>
      <c r="F125" s="192">
        <f t="shared" si="117"/>
        <v>0.7</v>
      </c>
      <c r="G125" s="192">
        <f t="shared" si="117"/>
        <v>0.7</v>
      </c>
      <c r="H125" s="192">
        <f t="shared" si="117"/>
        <v>0.7</v>
      </c>
      <c r="I125" s="192">
        <f t="shared" si="117"/>
        <v>0.7</v>
      </c>
      <c r="J125" s="192">
        <f t="shared" si="117"/>
        <v>0.65</v>
      </c>
    </row>
    <row r="126" spans="4:10" x14ac:dyDescent="0.25">
      <c r="D126" s="193" t="s">
        <v>1685</v>
      </c>
      <c r="E126" s="192">
        <f t="shared" si="117"/>
        <v>0.7</v>
      </c>
      <c r="F126" s="192">
        <f t="shared" si="117"/>
        <v>0.75</v>
      </c>
      <c r="G126" s="192">
        <f t="shared" si="117"/>
        <v>0.7</v>
      </c>
      <c r="H126" s="192">
        <f t="shared" si="117"/>
        <v>0.75</v>
      </c>
      <c r="I126" s="192">
        <f t="shared" si="117"/>
        <v>0.7</v>
      </c>
      <c r="J126" s="192">
        <f t="shared" si="117"/>
        <v>0.65</v>
      </c>
    </row>
    <row r="127" spans="4:10" x14ac:dyDescent="0.25">
      <c r="D127" s="193" t="s">
        <v>1684</v>
      </c>
      <c r="E127" s="192">
        <f t="shared" si="117"/>
        <v>0.75</v>
      </c>
      <c r="F127" s="192">
        <f t="shared" si="117"/>
        <v>0.75</v>
      </c>
      <c r="G127" s="192">
        <f t="shared" si="117"/>
        <v>0.75</v>
      </c>
      <c r="H127" s="192">
        <f t="shared" si="117"/>
        <v>0.75</v>
      </c>
      <c r="I127" s="192">
        <f t="shared" si="117"/>
        <v>0.75</v>
      </c>
      <c r="J127" s="192">
        <f t="shared" si="117"/>
        <v>0.7</v>
      </c>
    </row>
    <row r="128" spans="4:10" x14ac:dyDescent="0.25">
      <c r="D128" s="193" t="s">
        <v>1683</v>
      </c>
      <c r="E128" s="194">
        <f t="shared" ref="E128:J131" si="118">IF(E111="-","-",IF($C$4="LTR",E111,IF($C$4="STR",E111-10%)))</f>
        <v>0.8</v>
      </c>
      <c r="F128" s="194">
        <f t="shared" si="118"/>
        <v>0.8</v>
      </c>
      <c r="G128" s="194">
        <f t="shared" si="118"/>
        <v>0.8</v>
      </c>
      <c r="H128" s="194">
        <f t="shared" si="118"/>
        <v>0.8</v>
      </c>
      <c r="I128" s="194">
        <f t="shared" si="118"/>
        <v>0.8</v>
      </c>
      <c r="J128" s="194">
        <f t="shared" si="118"/>
        <v>0.75</v>
      </c>
    </row>
    <row r="129" spans="4:10" x14ac:dyDescent="0.25">
      <c r="D129" s="193" t="s">
        <v>1682</v>
      </c>
      <c r="E129" s="194">
        <f t="shared" si="118"/>
        <v>0.8</v>
      </c>
      <c r="F129" s="194">
        <f t="shared" si="118"/>
        <v>0.8</v>
      </c>
      <c r="G129" s="194">
        <f t="shared" si="118"/>
        <v>0.8</v>
      </c>
      <c r="H129" s="194">
        <f t="shared" si="118"/>
        <v>0.8</v>
      </c>
      <c r="I129" s="194">
        <f t="shared" si="118"/>
        <v>0.8</v>
      </c>
      <c r="J129" s="194">
        <f t="shared" si="118"/>
        <v>0.75</v>
      </c>
    </row>
    <row r="130" spans="4:10" x14ac:dyDescent="0.25">
      <c r="D130" s="193" t="s">
        <v>1681</v>
      </c>
      <c r="E130" s="194">
        <f t="shared" si="118"/>
        <v>0.8</v>
      </c>
      <c r="F130" s="194">
        <f t="shared" si="118"/>
        <v>0.8</v>
      </c>
      <c r="G130" s="194">
        <f t="shared" si="118"/>
        <v>0.8</v>
      </c>
      <c r="H130" s="194">
        <f t="shared" si="118"/>
        <v>0.8</v>
      </c>
      <c r="I130" s="194">
        <f t="shared" si="118"/>
        <v>0.8</v>
      </c>
      <c r="J130" s="194">
        <f t="shared" si="118"/>
        <v>0.75</v>
      </c>
    </row>
    <row r="131" spans="4:10" x14ac:dyDescent="0.25">
      <c r="D131" s="193" t="s">
        <v>1680</v>
      </c>
      <c r="E131" s="194">
        <f t="shared" si="118"/>
        <v>0.8</v>
      </c>
      <c r="F131" s="194">
        <f t="shared" si="118"/>
        <v>0.8</v>
      </c>
      <c r="G131" s="194">
        <f t="shared" si="118"/>
        <v>0.8</v>
      </c>
      <c r="H131" s="194">
        <f t="shared" si="118"/>
        <v>0.8</v>
      </c>
      <c r="I131" s="194">
        <f t="shared" si="118"/>
        <v>0.8</v>
      </c>
      <c r="J131" s="194">
        <f t="shared" si="118"/>
        <v>0.75</v>
      </c>
    </row>
    <row r="132" spans="4:10" x14ac:dyDescent="0.25">
      <c r="D132" s="193" t="s">
        <v>1679</v>
      </c>
      <c r="E132" s="192">
        <f t="shared" ref="E132:J132" si="119">IF(E115="-","-",IF($C$4="LTR",E115,IF($C$4="STR",E115-5%)))</f>
        <v>0.65</v>
      </c>
      <c r="F132" s="192">
        <f t="shared" si="119"/>
        <v>0.65</v>
      </c>
      <c r="G132" s="192">
        <f t="shared" si="119"/>
        <v>0.65</v>
      </c>
      <c r="H132" s="192">
        <f t="shared" si="119"/>
        <v>0.65</v>
      </c>
      <c r="I132" s="192">
        <f t="shared" si="119"/>
        <v>0.65</v>
      </c>
      <c r="J132" s="192">
        <f t="shared" si="119"/>
        <v>0.6</v>
      </c>
    </row>
  </sheetData>
  <sheetProtection algorithmName="SHA-512" hashValue="MO5qFClum3r94YqVai90x5G2X4ey6V6moOyVT8qksScQXOHPlv4zxUmfQm4psoUChmgoppSp9GU3IWKwsCmygw==" saltValue="vW11oRQ6jG6dnwGX1FP/yw==" spinCount="100000" sheet="1" objects="1" scenarios="1" selectLockedCells="1" selectUnlockedCells="1"/>
  <mergeCells count="200">
    <mergeCell ref="B51:C51"/>
    <mergeCell ref="CM24:CM25"/>
    <mergeCell ref="CN24:CN25"/>
    <mergeCell ref="CO24:CO25"/>
    <mergeCell ref="E86:G86"/>
    <mergeCell ref="B2:C2"/>
    <mergeCell ref="D2:J2"/>
    <mergeCell ref="D21:J21"/>
    <mergeCell ref="B56:C56"/>
    <mergeCell ref="D56:F56"/>
    <mergeCell ref="G56:I56"/>
    <mergeCell ref="BR24:BS24"/>
    <mergeCell ref="BY24:BZ24"/>
    <mergeCell ref="CA24:CB24"/>
    <mergeCell ref="CC24:CD24"/>
    <mergeCell ref="CE24:CH24"/>
    <mergeCell ref="CK24:CL24"/>
    <mergeCell ref="G51:I51"/>
    <mergeCell ref="G53:I53"/>
    <mergeCell ref="G54:I54"/>
    <mergeCell ref="K2:L2"/>
    <mergeCell ref="K21:L21"/>
    <mergeCell ref="D47:F47"/>
    <mergeCell ref="D45:F45"/>
    <mergeCell ref="D44:F44"/>
    <mergeCell ref="D43:F43"/>
    <mergeCell ref="G49:I49"/>
    <mergeCell ref="G50:I50"/>
    <mergeCell ref="G43:I43"/>
    <mergeCell ref="G44:I44"/>
    <mergeCell ref="G45:I45"/>
    <mergeCell ref="G46:I46"/>
    <mergeCell ref="G47:I47"/>
    <mergeCell ref="G48:I48"/>
    <mergeCell ref="B50:C50"/>
    <mergeCell ref="B45:C45"/>
    <mergeCell ref="B44:C44"/>
    <mergeCell ref="B43:C43"/>
    <mergeCell ref="B49:C49"/>
    <mergeCell ref="B48:C48"/>
    <mergeCell ref="B47:C47"/>
    <mergeCell ref="D46:F46"/>
    <mergeCell ref="B64:C64"/>
    <mergeCell ref="B63:C63"/>
    <mergeCell ref="B62:C62"/>
    <mergeCell ref="B61:C61"/>
    <mergeCell ref="B60:C60"/>
    <mergeCell ref="B59:C59"/>
    <mergeCell ref="D48:F48"/>
    <mergeCell ref="D55:F55"/>
    <mergeCell ref="D54:F54"/>
    <mergeCell ref="D53:F53"/>
    <mergeCell ref="D51:F51"/>
    <mergeCell ref="D50:F50"/>
    <mergeCell ref="D49:F49"/>
    <mergeCell ref="B46:C46"/>
    <mergeCell ref="B58:C58"/>
    <mergeCell ref="B57:C57"/>
    <mergeCell ref="B55:C55"/>
    <mergeCell ref="B54:C54"/>
    <mergeCell ref="B53:C53"/>
    <mergeCell ref="B52:C52"/>
    <mergeCell ref="S58:U58"/>
    <mergeCell ref="S59:U59"/>
    <mergeCell ref="S60:U60"/>
    <mergeCell ref="S61:U61"/>
    <mergeCell ref="D64:F64"/>
    <mergeCell ref="D63:F63"/>
    <mergeCell ref="D62:F62"/>
    <mergeCell ref="J55:L55"/>
    <mergeCell ref="G55:I55"/>
    <mergeCell ref="J53:L53"/>
    <mergeCell ref="M54:O54"/>
    <mergeCell ref="M55:O55"/>
    <mergeCell ref="J56:L56"/>
    <mergeCell ref="S64:U64"/>
    <mergeCell ref="V64:X64"/>
    <mergeCell ref="V43:X43"/>
    <mergeCell ref="V44:X44"/>
    <mergeCell ref="V45:X45"/>
    <mergeCell ref="V46:X46"/>
    <mergeCell ref="V47:X47"/>
    <mergeCell ref="S62:U62"/>
    <mergeCell ref="S54:U54"/>
    <mergeCell ref="P51:R51"/>
    <mergeCell ref="S50:U50"/>
    <mergeCell ref="S43:U43"/>
    <mergeCell ref="V48:X48"/>
    <mergeCell ref="V49:X49"/>
    <mergeCell ref="V50:X50"/>
    <mergeCell ref="V51:X51"/>
    <mergeCell ref="V53:X53"/>
    <mergeCell ref="V54:X54"/>
    <mergeCell ref="P57:R57"/>
    <mergeCell ref="P56:R56"/>
    <mergeCell ref="P54:R54"/>
    <mergeCell ref="P55:R55"/>
    <mergeCell ref="P64:R64"/>
    <mergeCell ref="P61:R61"/>
    <mergeCell ref="P62:R62"/>
    <mergeCell ref="J44:L44"/>
    <mergeCell ref="J45:L45"/>
    <mergeCell ref="J46:L46"/>
    <mergeCell ref="J47:L47"/>
    <mergeCell ref="J48:L48"/>
    <mergeCell ref="J49:L49"/>
    <mergeCell ref="S48:U48"/>
    <mergeCell ref="S49:U49"/>
    <mergeCell ref="S44:U44"/>
    <mergeCell ref="S45:U45"/>
    <mergeCell ref="S46:U46"/>
    <mergeCell ref="S47:U47"/>
    <mergeCell ref="J51:L51"/>
    <mergeCell ref="S51:U51"/>
    <mergeCell ref="S53:U53"/>
    <mergeCell ref="P45:R45"/>
    <mergeCell ref="P46:R46"/>
    <mergeCell ref="P47:R47"/>
    <mergeCell ref="P48:R48"/>
    <mergeCell ref="M43:O43"/>
    <mergeCell ref="J50:L50"/>
    <mergeCell ref="P50:R50"/>
    <mergeCell ref="M49:O49"/>
    <mergeCell ref="M50:O50"/>
    <mergeCell ref="M51:O51"/>
    <mergeCell ref="M53:O53"/>
    <mergeCell ref="M47:O47"/>
    <mergeCell ref="M48:O48"/>
    <mergeCell ref="M46:O46"/>
    <mergeCell ref="P49:R49"/>
    <mergeCell ref="P43:R43"/>
    <mergeCell ref="P44:R44"/>
    <mergeCell ref="P53:R53"/>
    <mergeCell ref="M44:O44"/>
    <mergeCell ref="M45:O45"/>
    <mergeCell ref="J43:L43"/>
    <mergeCell ref="A90:B90"/>
    <mergeCell ref="M61:O61"/>
    <mergeCell ref="M62:O62"/>
    <mergeCell ref="M63:O63"/>
    <mergeCell ref="G63:I63"/>
    <mergeCell ref="J63:L63"/>
    <mergeCell ref="J64:L64"/>
    <mergeCell ref="M56:O56"/>
    <mergeCell ref="J59:L59"/>
    <mergeCell ref="J60:L60"/>
    <mergeCell ref="J57:L57"/>
    <mergeCell ref="J58:L58"/>
    <mergeCell ref="M64:O64"/>
    <mergeCell ref="M58:O58"/>
    <mergeCell ref="J62:L62"/>
    <mergeCell ref="M57:O57"/>
    <mergeCell ref="D61:F61"/>
    <mergeCell ref="D60:F60"/>
    <mergeCell ref="D59:F59"/>
    <mergeCell ref="D58:F58"/>
    <mergeCell ref="D57:F57"/>
    <mergeCell ref="M59:O59"/>
    <mergeCell ref="M60:O60"/>
    <mergeCell ref="D100:J100"/>
    <mergeCell ref="D117:J117"/>
    <mergeCell ref="F92:G92"/>
    <mergeCell ref="F93:G93"/>
    <mergeCell ref="F94:G94"/>
    <mergeCell ref="F96:G96"/>
    <mergeCell ref="G64:I64"/>
    <mergeCell ref="G57:I57"/>
    <mergeCell ref="G58:I58"/>
    <mergeCell ref="G59:I59"/>
    <mergeCell ref="G60:I60"/>
    <mergeCell ref="G61:I61"/>
    <mergeCell ref="G62:I62"/>
    <mergeCell ref="J61:L61"/>
    <mergeCell ref="CK2:CL2"/>
    <mergeCell ref="CO2:CO3"/>
    <mergeCell ref="CN2:CN3"/>
    <mergeCell ref="CM2:CM3"/>
    <mergeCell ref="BR2:BS2"/>
    <mergeCell ref="BY2:BZ2"/>
    <mergeCell ref="CA2:CB2"/>
    <mergeCell ref="CC2:CD2"/>
    <mergeCell ref="CE2:CH2"/>
    <mergeCell ref="V62:X62"/>
    <mergeCell ref="V63:X63"/>
    <mergeCell ref="J54:L54"/>
    <mergeCell ref="P63:R63"/>
    <mergeCell ref="V55:X55"/>
    <mergeCell ref="V57:X57"/>
    <mergeCell ref="V58:X58"/>
    <mergeCell ref="V59:X59"/>
    <mergeCell ref="V60:X60"/>
    <mergeCell ref="V61:X61"/>
    <mergeCell ref="V56:X56"/>
    <mergeCell ref="P59:R59"/>
    <mergeCell ref="P60:R60"/>
    <mergeCell ref="P58:R58"/>
    <mergeCell ref="S56:U56"/>
    <mergeCell ref="S63:U63"/>
    <mergeCell ref="S55:U55"/>
    <mergeCell ref="S57:U57"/>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A57F5-9ECE-453A-83A6-840815A9D995}">
  <sheetPr codeName="Sheet10">
    <tabColor rgb="FF607A96"/>
  </sheetPr>
  <dimension ref="A1:BC126"/>
  <sheetViews>
    <sheetView topLeftCell="AV1" zoomScale="70" zoomScaleNormal="70" workbookViewId="0">
      <selection sqref="A1:AU1048576"/>
    </sheetView>
  </sheetViews>
  <sheetFormatPr defaultColWidth="9.140625" defaultRowHeight="15.75" x14ac:dyDescent="0.25"/>
  <cols>
    <col min="1" max="2" width="9.140625" style="51" hidden="1" customWidth="1"/>
    <col min="3" max="11" width="11" style="51" hidden="1" customWidth="1"/>
    <col min="12" max="12" width="9.140625" style="51" hidden="1" customWidth="1"/>
    <col min="13" max="13" width="25.28515625" style="56" hidden="1" customWidth="1"/>
    <col min="14" max="22" width="12.28515625" style="56" hidden="1" customWidth="1"/>
    <col min="23" max="23" width="9.140625" style="56" hidden="1" customWidth="1"/>
    <col min="24" max="24" width="25.28515625" style="56" hidden="1" customWidth="1"/>
    <col min="25" max="31" width="10.28515625" style="56" hidden="1" customWidth="1"/>
    <col min="32" max="33" width="6.28515625" style="56" hidden="1" customWidth="1"/>
    <col min="34" max="35" width="9.140625" style="51" hidden="1" customWidth="1"/>
    <col min="36" max="45" width="10.42578125" style="51" hidden="1" customWidth="1"/>
    <col min="46" max="47" width="9.140625" style="51" hidden="1" customWidth="1"/>
    <col min="48" max="48" width="9.140625" style="51" customWidth="1"/>
    <col min="49" max="16384" width="9.140625" style="51"/>
  </cols>
  <sheetData>
    <row r="1" spans="1:55" x14ac:dyDescent="0.25">
      <c r="A1" s="806">
        <v>3</v>
      </c>
      <c r="B1" s="794" t="s">
        <v>1872</v>
      </c>
      <c r="C1" s="794"/>
      <c r="D1" s="794"/>
      <c r="E1" s="794"/>
      <c r="F1" s="794"/>
      <c r="G1" s="794"/>
      <c r="H1" s="794"/>
      <c r="I1" s="794"/>
      <c r="J1" s="794"/>
      <c r="K1" s="794"/>
      <c r="M1" s="246" t="s">
        <v>1874</v>
      </c>
      <c r="N1" s="246" t="s">
        <v>1640</v>
      </c>
      <c r="O1" s="246" t="s">
        <v>1639</v>
      </c>
      <c r="P1" s="246" t="s">
        <v>1638</v>
      </c>
      <c r="Q1" s="246" t="s">
        <v>1637</v>
      </c>
      <c r="R1" s="246" t="s">
        <v>1636</v>
      </c>
      <c r="S1" s="246" t="s">
        <v>1635</v>
      </c>
      <c r="T1" s="246" t="s">
        <v>1634</v>
      </c>
      <c r="U1" s="246" t="s">
        <v>1841</v>
      </c>
      <c r="V1" s="246" t="s">
        <v>1840</v>
      </c>
      <c r="X1" s="246" t="s">
        <v>1873</v>
      </c>
      <c r="Y1" s="246" t="s">
        <v>1640</v>
      </c>
      <c r="Z1" s="246" t="s">
        <v>1639</v>
      </c>
      <c r="AA1" s="246" t="s">
        <v>1638</v>
      </c>
      <c r="AB1" s="246" t="s">
        <v>1637</v>
      </c>
      <c r="AC1" s="246" t="s">
        <v>1636</v>
      </c>
      <c r="AD1" s="246" t="s">
        <v>1635</v>
      </c>
      <c r="AE1" s="246" t="s">
        <v>1634</v>
      </c>
      <c r="AF1" s="246" t="s">
        <v>1841</v>
      </c>
      <c r="AG1" s="246" t="s">
        <v>1840</v>
      </c>
      <c r="AJ1" s="794" t="s">
        <v>1872</v>
      </c>
      <c r="AK1" s="794"/>
      <c r="AL1" s="794"/>
      <c r="AM1" s="794"/>
      <c r="AN1" s="794"/>
      <c r="AO1" s="794"/>
      <c r="AP1" s="794"/>
      <c r="AQ1" s="794"/>
      <c r="AR1" s="794"/>
      <c r="AS1" s="794"/>
    </row>
    <row r="2" spans="1:55" x14ac:dyDescent="0.25">
      <c r="A2" s="806"/>
      <c r="B2" s="244">
        <v>104</v>
      </c>
      <c r="C2" s="195" t="s">
        <v>1640</v>
      </c>
      <c r="D2" s="195" t="s">
        <v>1639</v>
      </c>
      <c r="E2" s="195" t="s">
        <v>1638</v>
      </c>
      <c r="F2" s="195" t="s">
        <v>1637</v>
      </c>
      <c r="G2" s="195" t="s">
        <v>1636</v>
      </c>
      <c r="H2" s="195" t="s">
        <v>1635</v>
      </c>
      <c r="I2" s="195" t="s">
        <v>1634</v>
      </c>
      <c r="J2" s="195" t="s">
        <v>1841</v>
      </c>
      <c r="K2" s="195" t="s">
        <v>1840</v>
      </c>
      <c r="M2" s="804" t="s">
        <v>90</v>
      </c>
      <c r="N2" s="804"/>
      <c r="O2" s="804"/>
      <c r="P2" s="804"/>
      <c r="Q2" s="804"/>
      <c r="R2" s="804"/>
      <c r="S2" s="804"/>
      <c r="T2" s="804"/>
      <c r="U2" s="804"/>
      <c r="V2" s="804"/>
      <c r="X2" s="805" t="s">
        <v>90</v>
      </c>
      <c r="Y2" s="805"/>
      <c r="Z2" s="805"/>
      <c r="AA2" s="805"/>
      <c r="AB2" s="805"/>
      <c r="AC2" s="805"/>
      <c r="AD2" s="805"/>
      <c r="AE2" s="805"/>
      <c r="AF2" s="805"/>
      <c r="AG2" s="805"/>
      <c r="AJ2" s="244">
        <v>104</v>
      </c>
      <c r="AK2" s="195" t="s">
        <v>1640</v>
      </c>
      <c r="AL2" s="195" t="s">
        <v>1639</v>
      </c>
      <c r="AM2" s="195" t="s">
        <v>1638</v>
      </c>
      <c r="AN2" s="195" t="s">
        <v>1637</v>
      </c>
      <c r="AO2" s="195" t="s">
        <v>1636</v>
      </c>
      <c r="AP2" s="195" t="s">
        <v>1635</v>
      </c>
      <c r="AQ2" s="195" t="s">
        <v>1634</v>
      </c>
      <c r="AR2" s="195" t="s">
        <v>1841</v>
      </c>
      <c r="AS2" s="195" t="s">
        <v>1840</v>
      </c>
    </row>
    <row r="3" spans="1:55" x14ac:dyDescent="0.25">
      <c r="A3" s="193"/>
      <c r="B3" s="193" t="s">
        <v>1691</v>
      </c>
      <c r="C3" s="237" t="str">
        <f t="shared" ref="C3:C16" si="0">AK21</f>
        <v>-</v>
      </c>
      <c r="D3" s="237" t="str">
        <f t="shared" ref="D3:D16" si="1">AL21</f>
        <v>-</v>
      </c>
      <c r="E3" s="237" t="str">
        <f t="shared" ref="E3:E16" si="2">AM21</f>
        <v>-</v>
      </c>
      <c r="F3" s="237" t="str">
        <f t="shared" ref="F3:F16" si="3">AN21</f>
        <v>-</v>
      </c>
      <c r="G3" s="237" t="str">
        <f t="shared" ref="G3:G16" si="4">AO21</f>
        <v>-</v>
      </c>
      <c r="H3" s="237" t="str">
        <f t="shared" ref="H3:H16" si="5">AP21</f>
        <v>-</v>
      </c>
      <c r="I3" s="237" t="str">
        <f t="shared" ref="I3:I16" si="6">AQ21</f>
        <v>-</v>
      </c>
      <c r="J3" s="237" t="str">
        <f t="shared" ref="J3:J16" si="7">AR21</f>
        <v>-</v>
      </c>
      <c r="K3" s="237" t="str">
        <f t="shared" ref="K3:K16" si="8">AS21</f>
        <v>-</v>
      </c>
      <c r="M3" s="237" t="s">
        <v>1597</v>
      </c>
      <c r="N3" s="237">
        <v>0</v>
      </c>
      <c r="O3" s="237">
        <v>0</v>
      </c>
      <c r="P3" s="237">
        <v>0</v>
      </c>
      <c r="Q3" s="237">
        <v>0</v>
      </c>
      <c r="R3" s="237">
        <v>0</v>
      </c>
      <c r="S3" s="237">
        <v>0</v>
      </c>
      <c r="T3" s="237">
        <v>0</v>
      </c>
      <c r="U3" s="237" t="s">
        <v>2</v>
      </c>
      <c r="V3" s="237" t="s">
        <v>2</v>
      </c>
      <c r="X3" s="236" t="s">
        <v>1871</v>
      </c>
      <c r="Y3" s="236">
        <v>0</v>
      </c>
      <c r="Z3" s="236">
        <v>0</v>
      </c>
      <c r="AA3" s="236">
        <v>0</v>
      </c>
      <c r="AB3" s="236">
        <v>0</v>
      </c>
      <c r="AC3" s="236">
        <v>0</v>
      </c>
      <c r="AD3" s="236">
        <v>0</v>
      </c>
      <c r="AE3" s="236">
        <v>0</v>
      </c>
      <c r="AF3" s="236" t="s">
        <v>2</v>
      </c>
      <c r="AG3" s="236" t="s">
        <v>2</v>
      </c>
      <c r="AJ3" s="193" t="s">
        <v>1691</v>
      </c>
      <c r="AK3" s="237" t="s">
        <v>2</v>
      </c>
      <c r="AL3" s="237" t="s">
        <v>2</v>
      </c>
      <c r="AM3" s="237" t="s">
        <v>2</v>
      </c>
      <c r="AN3" s="237" t="s">
        <v>2</v>
      </c>
      <c r="AO3" s="237" t="s">
        <v>2</v>
      </c>
      <c r="AP3" s="237" t="s">
        <v>2</v>
      </c>
      <c r="AQ3" s="237" t="s">
        <v>2</v>
      </c>
      <c r="AR3" s="237" t="s">
        <v>2</v>
      </c>
      <c r="AS3" s="237" t="s">
        <v>2</v>
      </c>
    </row>
    <row r="4" spans="1:55" x14ac:dyDescent="0.25">
      <c r="A4" s="193"/>
      <c r="B4" s="193" t="s">
        <v>1690</v>
      </c>
      <c r="C4" s="237" t="str">
        <f t="shared" si="0"/>
        <v>-</v>
      </c>
      <c r="D4" s="237" t="str">
        <f t="shared" si="1"/>
        <v>-</v>
      </c>
      <c r="E4" s="237" t="str">
        <f t="shared" si="2"/>
        <v>-</v>
      </c>
      <c r="F4" s="237" t="str">
        <f t="shared" si="3"/>
        <v>-</v>
      </c>
      <c r="G4" s="237" t="str">
        <f t="shared" si="4"/>
        <v>-</v>
      </c>
      <c r="H4" s="237" t="str">
        <f t="shared" si="5"/>
        <v>-</v>
      </c>
      <c r="I4" s="237" t="str">
        <f t="shared" si="6"/>
        <v>-</v>
      </c>
      <c r="J4" s="237" t="str">
        <f t="shared" si="7"/>
        <v>-</v>
      </c>
      <c r="K4" s="237" t="str">
        <f t="shared" si="8"/>
        <v>-</v>
      </c>
      <c r="M4" s="552" t="s">
        <v>189</v>
      </c>
      <c r="N4" s="552">
        <v>0</v>
      </c>
      <c r="O4" s="552">
        <v>5.0000000000000001E-4</v>
      </c>
      <c r="P4" s="552">
        <v>7.5000000000000002E-4</v>
      </c>
      <c r="Q4" s="552">
        <v>1E-3</v>
      </c>
      <c r="R4" s="552">
        <v>1.25E-3</v>
      </c>
      <c r="S4" s="552">
        <v>1.5E-3</v>
      </c>
      <c r="T4" s="552">
        <v>1.75E-3</v>
      </c>
      <c r="U4" s="552" t="s">
        <v>2</v>
      </c>
      <c r="V4" s="552" t="s">
        <v>2</v>
      </c>
      <c r="X4" s="236" t="s">
        <v>1870</v>
      </c>
      <c r="Y4" s="236">
        <v>0</v>
      </c>
      <c r="Z4" s="236">
        <v>0</v>
      </c>
      <c r="AA4" s="236">
        <v>0</v>
      </c>
      <c r="AB4" s="236">
        <v>0</v>
      </c>
      <c r="AC4" s="236">
        <v>0</v>
      </c>
      <c r="AD4" s="236">
        <v>0</v>
      </c>
      <c r="AE4" s="236">
        <v>0</v>
      </c>
      <c r="AF4" s="236" t="s">
        <v>2</v>
      </c>
      <c r="AG4" s="236" t="s">
        <v>2</v>
      </c>
      <c r="AJ4" s="193" t="s">
        <v>1690</v>
      </c>
      <c r="AK4" s="237" t="s">
        <v>2</v>
      </c>
      <c r="AL4" s="237" t="s">
        <v>2</v>
      </c>
      <c r="AM4" s="237" t="s">
        <v>2</v>
      </c>
      <c r="AN4" s="237" t="s">
        <v>2</v>
      </c>
      <c r="AO4" s="237" t="s">
        <v>2</v>
      </c>
      <c r="AP4" s="237" t="s">
        <v>2</v>
      </c>
      <c r="AQ4" s="237" t="s">
        <v>2</v>
      </c>
      <c r="AR4" s="237" t="s">
        <v>2</v>
      </c>
      <c r="AS4" s="237" t="s">
        <v>2</v>
      </c>
      <c r="AU4" s="58"/>
    </row>
    <row r="5" spans="1:55" x14ac:dyDescent="0.25">
      <c r="A5" s="193"/>
      <c r="B5" s="193" t="s">
        <v>1689</v>
      </c>
      <c r="C5" s="237" t="str">
        <f t="shared" si="0"/>
        <v>-</v>
      </c>
      <c r="D5" s="237" t="str">
        <f t="shared" si="1"/>
        <v>-</v>
      </c>
      <c r="E5" s="237" t="str">
        <f t="shared" si="2"/>
        <v>-</v>
      </c>
      <c r="F5" s="237" t="str">
        <f t="shared" si="3"/>
        <v>-</v>
      </c>
      <c r="G5" s="237" t="str">
        <f t="shared" si="4"/>
        <v>-</v>
      </c>
      <c r="H5" s="237" t="str">
        <f t="shared" si="5"/>
        <v>-</v>
      </c>
      <c r="I5" s="237" t="str">
        <f t="shared" si="6"/>
        <v>-</v>
      </c>
      <c r="J5" s="237" t="str">
        <f t="shared" si="7"/>
        <v>-</v>
      </c>
      <c r="K5" s="237" t="str">
        <f t="shared" si="8"/>
        <v>-</v>
      </c>
      <c r="M5" s="552" t="s">
        <v>1592</v>
      </c>
      <c r="N5" s="552">
        <v>0</v>
      </c>
      <c r="O5" s="552">
        <v>2.5000000000000001E-4</v>
      </c>
      <c r="P5" s="552">
        <v>5.0000000000000001E-4</v>
      </c>
      <c r="Q5" s="552">
        <v>7.5000000000000002E-4</v>
      </c>
      <c r="R5" s="552">
        <v>1E-3</v>
      </c>
      <c r="S5" s="552">
        <v>1.5E-3</v>
      </c>
      <c r="T5" s="552">
        <v>1.75E-3</v>
      </c>
      <c r="U5" s="552" t="s">
        <v>2</v>
      </c>
      <c r="V5" s="552" t="s">
        <v>2</v>
      </c>
      <c r="X5" s="236" t="s">
        <v>1514</v>
      </c>
      <c r="Y5" s="236" t="s">
        <v>2</v>
      </c>
      <c r="Z5" s="236" t="s">
        <v>2</v>
      </c>
      <c r="AA5" s="236" t="s">
        <v>2</v>
      </c>
      <c r="AB5" s="236" t="s">
        <v>2</v>
      </c>
      <c r="AC5" s="236" t="s">
        <v>2</v>
      </c>
      <c r="AD5" s="236" t="s">
        <v>2</v>
      </c>
      <c r="AE5" s="236" t="s">
        <v>2</v>
      </c>
      <c r="AF5" s="236" t="s">
        <v>2</v>
      </c>
      <c r="AG5" s="236" t="s">
        <v>2</v>
      </c>
      <c r="AJ5" s="193" t="s">
        <v>1689</v>
      </c>
      <c r="AK5" s="237" t="s">
        <v>2</v>
      </c>
      <c r="AL5" s="237" t="s">
        <v>2</v>
      </c>
      <c r="AM5" s="237" t="s">
        <v>2</v>
      </c>
      <c r="AN5" s="237" t="s">
        <v>2</v>
      </c>
      <c r="AO5" s="237" t="s">
        <v>2</v>
      </c>
      <c r="AP5" s="237" t="s">
        <v>2</v>
      </c>
      <c r="AQ5" s="237" t="s">
        <v>2</v>
      </c>
      <c r="AR5" s="237" t="s">
        <v>2</v>
      </c>
      <c r="AS5" s="237" t="s">
        <v>2</v>
      </c>
    </row>
    <row r="6" spans="1:55" x14ac:dyDescent="0.25">
      <c r="A6" s="193"/>
      <c r="B6" s="193" t="s">
        <v>1688</v>
      </c>
      <c r="C6" s="237" t="str">
        <f t="shared" si="0"/>
        <v>-</v>
      </c>
      <c r="D6" s="237" t="str">
        <f t="shared" si="1"/>
        <v>-</v>
      </c>
      <c r="E6" s="237" t="str">
        <f t="shared" si="2"/>
        <v>-</v>
      </c>
      <c r="F6" s="237" t="str">
        <f t="shared" si="3"/>
        <v>-</v>
      </c>
      <c r="G6" s="237" t="str">
        <f t="shared" si="4"/>
        <v>-</v>
      </c>
      <c r="H6" s="237" t="str">
        <f t="shared" si="5"/>
        <v>-</v>
      </c>
      <c r="I6" s="237" t="str">
        <f t="shared" si="6"/>
        <v>-</v>
      </c>
      <c r="J6" s="237" t="str">
        <f t="shared" si="7"/>
        <v>-</v>
      </c>
      <c r="K6" s="237" t="str">
        <f t="shared" si="8"/>
        <v>-</v>
      </c>
      <c r="M6" s="237" t="s">
        <v>1869</v>
      </c>
      <c r="N6" s="237">
        <v>5.0000000000000001E-3</v>
      </c>
      <c r="O6" s="237">
        <v>5.0000000000000001E-3</v>
      </c>
      <c r="P6" s="237">
        <v>5.0000000000000001E-3</v>
      </c>
      <c r="Q6" s="237">
        <v>5.0000000000000001E-3</v>
      </c>
      <c r="R6" s="237">
        <v>5.0000000000000001E-3</v>
      </c>
      <c r="S6" s="237">
        <v>5.0000000000000001E-3</v>
      </c>
      <c r="T6" s="237">
        <v>5.0000000000000001E-3</v>
      </c>
      <c r="U6" s="237" t="s">
        <v>2</v>
      </c>
      <c r="V6" s="237" t="s">
        <v>2</v>
      </c>
      <c r="AJ6" s="193" t="s">
        <v>1688</v>
      </c>
      <c r="AK6" s="237" t="s">
        <v>2</v>
      </c>
      <c r="AL6" s="237" t="s">
        <v>2</v>
      </c>
      <c r="AM6" s="237" t="s">
        <v>2</v>
      </c>
      <c r="AN6" s="237" t="s">
        <v>2</v>
      </c>
      <c r="AO6" s="237" t="s">
        <v>2</v>
      </c>
      <c r="AP6" s="237" t="s">
        <v>2</v>
      </c>
      <c r="AQ6" s="237" t="s">
        <v>2</v>
      </c>
      <c r="AR6" s="237" t="s">
        <v>2</v>
      </c>
      <c r="AS6" s="237" t="s">
        <v>2</v>
      </c>
    </row>
    <row r="7" spans="1:55" x14ac:dyDescent="0.25">
      <c r="A7" s="193"/>
      <c r="B7" s="193" t="s">
        <v>1687</v>
      </c>
      <c r="C7" s="237" t="str">
        <f t="shared" si="0"/>
        <v>-</v>
      </c>
      <c r="D7" s="237" t="str">
        <f t="shared" si="1"/>
        <v>-</v>
      </c>
      <c r="E7" s="237" t="str">
        <f t="shared" si="2"/>
        <v>-</v>
      </c>
      <c r="F7" s="237" t="str">
        <f t="shared" si="3"/>
        <v>-</v>
      </c>
      <c r="G7" s="237" t="str">
        <f t="shared" si="4"/>
        <v>-</v>
      </c>
      <c r="H7" s="237" t="str">
        <f t="shared" si="5"/>
        <v>-</v>
      </c>
      <c r="I7" s="237" t="str">
        <f t="shared" si="6"/>
        <v>-</v>
      </c>
      <c r="J7" s="237" t="str">
        <f t="shared" si="7"/>
        <v>-</v>
      </c>
      <c r="K7" s="237" t="str">
        <f t="shared" si="8"/>
        <v>-</v>
      </c>
      <c r="M7" s="237" t="s">
        <v>1591</v>
      </c>
      <c r="N7" s="237">
        <v>0</v>
      </c>
      <c r="O7" s="237">
        <v>0</v>
      </c>
      <c r="P7" s="237">
        <v>0</v>
      </c>
      <c r="Q7" s="237">
        <v>0</v>
      </c>
      <c r="R7" s="237">
        <v>0</v>
      </c>
      <c r="S7" s="237">
        <v>0</v>
      </c>
      <c r="T7" s="237">
        <v>0</v>
      </c>
      <c r="U7" s="237" t="s">
        <v>2</v>
      </c>
      <c r="V7" s="237" t="s">
        <v>2</v>
      </c>
      <c r="AJ7" s="193" t="s">
        <v>1687</v>
      </c>
      <c r="AK7" s="237" t="s">
        <v>2</v>
      </c>
      <c r="AL7" s="237" t="s">
        <v>2</v>
      </c>
      <c r="AM7" s="237" t="s">
        <v>2</v>
      </c>
      <c r="AN7" s="237" t="s">
        <v>2</v>
      </c>
      <c r="AO7" s="237" t="s">
        <v>2</v>
      </c>
      <c r="AP7" s="237" t="s">
        <v>2</v>
      </c>
      <c r="AQ7" s="237" t="s">
        <v>2</v>
      </c>
      <c r="AR7" s="237" t="s">
        <v>2</v>
      </c>
      <c r="AS7" s="237" t="s">
        <v>2</v>
      </c>
    </row>
    <row r="8" spans="1:55" x14ac:dyDescent="0.25">
      <c r="A8" s="193"/>
      <c r="B8" s="193" t="s">
        <v>1686</v>
      </c>
      <c r="C8" s="237">
        <f t="shared" si="0"/>
        <v>8.0149999999999999E-2</v>
      </c>
      <c r="D8" s="237">
        <f t="shared" si="1"/>
        <v>8.0400000000000013E-2</v>
      </c>
      <c r="E8" s="237">
        <f t="shared" si="2"/>
        <v>8.14E-2</v>
      </c>
      <c r="F8" s="237">
        <f t="shared" si="3"/>
        <v>8.2150000000000001E-2</v>
      </c>
      <c r="G8" s="237">
        <f t="shared" si="4"/>
        <v>8.3900000000000002E-2</v>
      </c>
      <c r="H8" s="237">
        <f t="shared" si="5"/>
        <v>8.6400000000000005E-2</v>
      </c>
      <c r="I8" s="237">
        <f t="shared" si="6"/>
        <v>9.1400000000000009E-2</v>
      </c>
      <c r="J8" s="237" t="str">
        <f t="shared" si="7"/>
        <v>-</v>
      </c>
      <c r="K8" s="237" t="str">
        <f t="shared" si="8"/>
        <v>-</v>
      </c>
      <c r="M8" s="237" t="s">
        <v>1588</v>
      </c>
      <c r="N8" s="237">
        <v>0</v>
      </c>
      <c r="O8" s="237">
        <v>0</v>
      </c>
      <c r="P8" s="237">
        <v>0</v>
      </c>
      <c r="Q8" s="237">
        <v>0</v>
      </c>
      <c r="R8" s="237">
        <v>0</v>
      </c>
      <c r="S8" s="237">
        <v>0</v>
      </c>
      <c r="T8" s="237">
        <v>0</v>
      </c>
      <c r="U8" s="237" t="s">
        <v>2</v>
      </c>
      <c r="V8" s="237" t="s">
        <v>2</v>
      </c>
      <c r="AJ8" s="193" t="s">
        <v>1686</v>
      </c>
      <c r="AK8" s="237">
        <v>8.0149999999999999E-2</v>
      </c>
      <c r="AL8" s="237">
        <v>8.0400000000000013E-2</v>
      </c>
      <c r="AM8" s="237">
        <v>8.14E-2</v>
      </c>
      <c r="AN8" s="237">
        <v>8.2150000000000001E-2</v>
      </c>
      <c r="AO8" s="237">
        <v>8.3900000000000002E-2</v>
      </c>
      <c r="AP8" s="237">
        <v>8.6400000000000005E-2</v>
      </c>
      <c r="AQ8" s="237">
        <f t="shared" ref="AQ8" si="9">+AQ9+0.5%</f>
        <v>9.1400000000000009E-2</v>
      </c>
      <c r="AR8" s="237" t="s">
        <v>2</v>
      </c>
      <c r="AS8" s="237" t="s">
        <v>2</v>
      </c>
      <c r="AU8" s="56"/>
      <c r="AV8" s="56"/>
      <c r="AW8" s="56"/>
      <c r="AX8" s="56"/>
      <c r="AY8" s="56"/>
      <c r="AZ8" s="56"/>
      <c r="BA8" s="56"/>
      <c r="BB8" s="560"/>
      <c r="BC8" s="560"/>
    </row>
    <row r="9" spans="1:55" x14ac:dyDescent="0.25">
      <c r="A9" s="193"/>
      <c r="B9" s="193" t="s">
        <v>1476</v>
      </c>
      <c r="C9" s="237">
        <f t="shared" si="0"/>
        <v>7.5149999999999995E-2</v>
      </c>
      <c r="D9" s="237">
        <f t="shared" si="1"/>
        <v>7.5400000000000009E-2</v>
      </c>
      <c r="E9" s="237">
        <f t="shared" si="2"/>
        <v>7.6399999999999996E-2</v>
      </c>
      <c r="F9" s="237">
        <f t="shared" si="3"/>
        <v>7.7149999999999996E-2</v>
      </c>
      <c r="G9" s="237">
        <f t="shared" si="4"/>
        <v>7.8899999999999998E-2</v>
      </c>
      <c r="H9" s="237">
        <f t="shared" si="5"/>
        <v>8.14E-2</v>
      </c>
      <c r="I9" s="237">
        <f t="shared" si="6"/>
        <v>8.6400000000000005E-2</v>
      </c>
      <c r="J9" s="237" t="str">
        <f t="shared" si="7"/>
        <v>-</v>
      </c>
      <c r="K9" s="237" t="str">
        <f t="shared" si="8"/>
        <v>-</v>
      </c>
      <c r="M9" s="238"/>
      <c r="N9" s="238"/>
      <c r="O9" s="238"/>
      <c r="P9" s="238"/>
      <c r="Q9" s="238"/>
      <c r="R9" s="238"/>
      <c r="S9" s="238"/>
      <c r="T9" s="238"/>
      <c r="U9" s="238"/>
      <c r="V9" s="238"/>
      <c r="AJ9" s="193" t="s">
        <v>1476</v>
      </c>
      <c r="AK9" s="237">
        <v>7.5149999999999995E-2</v>
      </c>
      <c r="AL9" s="237">
        <v>7.5400000000000009E-2</v>
      </c>
      <c r="AM9" s="237">
        <v>7.6399999999999996E-2</v>
      </c>
      <c r="AN9" s="237">
        <v>7.7149999999999996E-2</v>
      </c>
      <c r="AO9" s="237">
        <v>7.8899999999999998E-2</v>
      </c>
      <c r="AP9" s="237">
        <v>8.14E-2</v>
      </c>
      <c r="AQ9" s="245">
        <f>+AP9+0.5%</f>
        <v>8.6400000000000005E-2</v>
      </c>
      <c r="AR9" s="237" t="s">
        <v>2</v>
      </c>
      <c r="AS9" s="237" t="s">
        <v>2</v>
      </c>
      <c r="AU9" s="56"/>
      <c r="AV9" s="56"/>
      <c r="AW9" s="56"/>
      <c r="AX9" s="56"/>
      <c r="AY9" s="56"/>
      <c r="AZ9" s="56"/>
      <c r="BA9" s="56"/>
      <c r="BB9" s="547"/>
    </row>
    <row r="10" spans="1:55" x14ac:dyDescent="0.25">
      <c r="A10" s="193"/>
      <c r="B10" s="193" t="s">
        <v>1685</v>
      </c>
      <c r="C10" s="237">
        <f t="shared" si="0"/>
        <v>7.4899999999999994E-2</v>
      </c>
      <c r="D10" s="237">
        <f t="shared" si="1"/>
        <v>7.4899999999999994E-2</v>
      </c>
      <c r="E10" s="237">
        <f t="shared" si="2"/>
        <v>7.5649999999999995E-2</v>
      </c>
      <c r="F10" s="237">
        <f t="shared" si="3"/>
        <v>7.6399999999999996E-2</v>
      </c>
      <c r="G10" s="237">
        <f t="shared" si="4"/>
        <v>7.7149999999999996E-2</v>
      </c>
      <c r="H10" s="237">
        <f t="shared" si="5"/>
        <v>7.8899999999999998E-2</v>
      </c>
      <c r="I10" s="237">
        <f t="shared" si="6"/>
        <v>8.3900000000000002E-2</v>
      </c>
      <c r="J10" s="237" t="str">
        <f t="shared" si="7"/>
        <v>-</v>
      </c>
      <c r="K10" s="237" t="str">
        <f t="shared" si="8"/>
        <v>-</v>
      </c>
      <c r="M10" s="238"/>
      <c r="N10" s="238"/>
      <c r="O10" s="238"/>
      <c r="P10" s="238"/>
      <c r="Q10" s="238"/>
      <c r="R10" s="238"/>
      <c r="S10" s="238"/>
      <c r="T10" s="238"/>
      <c r="U10" s="238"/>
      <c r="V10" s="238"/>
      <c r="AJ10" s="193" t="s">
        <v>1685</v>
      </c>
      <c r="AK10" s="237">
        <v>7.4899999999999994E-2</v>
      </c>
      <c r="AL10" s="237">
        <v>7.4899999999999994E-2</v>
      </c>
      <c r="AM10" s="237">
        <v>7.5649999999999995E-2</v>
      </c>
      <c r="AN10" s="237">
        <v>7.6399999999999996E-2</v>
      </c>
      <c r="AO10" s="237">
        <v>7.7149999999999996E-2</v>
      </c>
      <c r="AP10" s="237">
        <v>7.8899999999999998E-2</v>
      </c>
      <c r="AQ10" s="245">
        <f t="shared" ref="AQ10:AQ16" si="10">+AP10+0.5%</f>
        <v>8.3900000000000002E-2</v>
      </c>
      <c r="AR10" s="237" t="s">
        <v>2</v>
      </c>
      <c r="AS10" s="237" t="s">
        <v>2</v>
      </c>
      <c r="AU10" s="56"/>
      <c r="AV10" s="56"/>
      <c r="AW10" s="56"/>
      <c r="AX10" s="56"/>
      <c r="AY10" s="56"/>
      <c r="AZ10" s="56"/>
      <c r="BA10" s="56"/>
      <c r="BB10" s="547"/>
    </row>
    <row r="11" spans="1:55" x14ac:dyDescent="0.25">
      <c r="A11" s="193"/>
      <c r="B11" s="193" t="s">
        <v>1684</v>
      </c>
      <c r="C11" s="237">
        <f t="shared" si="0"/>
        <v>7.3900000000000007E-2</v>
      </c>
      <c r="D11" s="237">
        <f t="shared" si="1"/>
        <v>7.3900000000000007E-2</v>
      </c>
      <c r="E11" s="237">
        <f t="shared" si="2"/>
        <v>7.4150000000000008E-2</v>
      </c>
      <c r="F11" s="237">
        <f t="shared" si="3"/>
        <v>7.4150000000000008E-2</v>
      </c>
      <c r="G11" s="237">
        <f t="shared" si="4"/>
        <v>7.5149999999999995E-2</v>
      </c>
      <c r="H11" s="237">
        <f t="shared" si="5"/>
        <v>7.6149999999999995E-2</v>
      </c>
      <c r="I11" s="237">
        <f t="shared" si="6"/>
        <v>8.115E-2</v>
      </c>
      <c r="J11" s="237" t="str">
        <f t="shared" si="7"/>
        <v>-</v>
      </c>
      <c r="K11" s="237" t="str">
        <f t="shared" si="8"/>
        <v>-</v>
      </c>
      <c r="M11" s="804" t="s">
        <v>110</v>
      </c>
      <c r="N11" s="804"/>
      <c r="O11" s="804"/>
      <c r="P11" s="804"/>
      <c r="Q11" s="804"/>
      <c r="R11" s="804"/>
      <c r="S11" s="804"/>
      <c r="T11" s="804"/>
      <c r="U11" s="804"/>
      <c r="V11" s="804"/>
      <c r="X11" s="805" t="s">
        <v>110</v>
      </c>
      <c r="Y11" s="805"/>
      <c r="Z11" s="805"/>
      <c r="AA11" s="805"/>
      <c r="AB11" s="805"/>
      <c r="AC11" s="805"/>
      <c r="AD11" s="805"/>
      <c r="AE11" s="805"/>
      <c r="AF11" s="805"/>
      <c r="AG11" s="805"/>
      <c r="AJ11" s="193" t="s">
        <v>1684</v>
      </c>
      <c r="AK11" s="237">
        <v>7.3900000000000007E-2</v>
      </c>
      <c r="AL11" s="237">
        <v>7.3900000000000007E-2</v>
      </c>
      <c r="AM11" s="237">
        <v>7.4150000000000008E-2</v>
      </c>
      <c r="AN11" s="237">
        <v>7.4150000000000008E-2</v>
      </c>
      <c r="AO11" s="237">
        <v>7.5149999999999995E-2</v>
      </c>
      <c r="AP11" s="237">
        <v>7.6149999999999995E-2</v>
      </c>
      <c r="AQ11" s="245">
        <f t="shared" si="10"/>
        <v>8.115E-2</v>
      </c>
      <c r="AR11" s="237" t="s">
        <v>2</v>
      </c>
      <c r="AS11" s="237" t="s">
        <v>2</v>
      </c>
      <c r="AU11" s="56"/>
      <c r="AV11" s="56"/>
      <c r="AW11" s="56"/>
      <c r="AX11" s="56"/>
      <c r="AY11" s="56"/>
      <c r="AZ11" s="56"/>
      <c r="BA11" s="56"/>
      <c r="BB11" s="547"/>
    </row>
    <row r="12" spans="1:55" x14ac:dyDescent="0.25">
      <c r="A12" s="193"/>
      <c r="B12" s="193" t="s">
        <v>1683</v>
      </c>
      <c r="C12" s="237">
        <f t="shared" si="0"/>
        <v>7.2900000000000006E-2</v>
      </c>
      <c r="D12" s="237">
        <f t="shared" si="1"/>
        <v>7.3149999999999993E-2</v>
      </c>
      <c r="E12" s="237">
        <f t="shared" si="2"/>
        <v>7.3400000000000007E-2</v>
      </c>
      <c r="F12" s="237">
        <f t="shared" si="3"/>
        <v>7.3650000000000007E-2</v>
      </c>
      <c r="G12" s="237">
        <f t="shared" si="4"/>
        <v>7.3900000000000007E-2</v>
      </c>
      <c r="H12" s="237">
        <f t="shared" si="5"/>
        <v>7.4899999999999994E-2</v>
      </c>
      <c r="I12" s="237">
        <f t="shared" si="6"/>
        <v>7.9899999999999999E-2</v>
      </c>
      <c r="J12" s="237" t="str">
        <f t="shared" si="7"/>
        <v>-</v>
      </c>
      <c r="K12" s="237" t="str">
        <f t="shared" si="8"/>
        <v>-</v>
      </c>
      <c r="M12" s="237" t="s">
        <v>202</v>
      </c>
      <c r="N12" s="552">
        <v>0</v>
      </c>
      <c r="O12" s="552">
        <v>0</v>
      </c>
      <c r="P12" s="552">
        <v>0</v>
      </c>
      <c r="Q12" s="552">
        <v>0</v>
      </c>
      <c r="R12" s="552">
        <v>0</v>
      </c>
      <c r="S12" s="552">
        <v>0</v>
      </c>
      <c r="T12" s="552">
        <v>0</v>
      </c>
      <c r="U12" s="237" t="s">
        <v>2</v>
      </c>
      <c r="V12" s="237" t="s">
        <v>2</v>
      </c>
      <c r="X12" s="236" t="s">
        <v>202</v>
      </c>
      <c r="Y12" s="552">
        <v>0</v>
      </c>
      <c r="Z12" s="552">
        <v>0</v>
      </c>
      <c r="AA12" s="552">
        <v>0</v>
      </c>
      <c r="AB12" s="552">
        <v>0</v>
      </c>
      <c r="AC12" s="552">
        <v>0</v>
      </c>
      <c r="AD12" s="552">
        <v>0</v>
      </c>
      <c r="AE12" s="552">
        <v>0</v>
      </c>
      <c r="AF12" s="236" t="s">
        <v>2</v>
      </c>
      <c r="AG12" s="236" t="s">
        <v>2</v>
      </c>
      <c r="AJ12" s="193" t="s">
        <v>1683</v>
      </c>
      <c r="AK12" s="237">
        <v>7.2900000000000006E-2</v>
      </c>
      <c r="AL12" s="237">
        <v>7.3149999999999993E-2</v>
      </c>
      <c r="AM12" s="237">
        <v>7.3400000000000007E-2</v>
      </c>
      <c r="AN12" s="237">
        <v>7.3650000000000007E-2</v>
      </c>
      <c r="AO12" s="237">
        <v>7.3900000000000007E-2</v>
      </c>
      <c r="AP12" s="237">
        <v>7.4899999999999994E-2</v>
      </c>
      <c r="AQ12" s="245">
        <f t="shared" si="10"/>
        <v>7.9899999999999999E-2</v>
      </c>
      <c r="AR12" s="237" t="s">
        <v>2</v>
      </c>
      <c r="AS12" s="237" t="s">
        <v>2</v>
      </c>
      <c r="AU12" s="56"/>
      <c r="AV12" s="56"/>
      <c r="AW12" s="56"/>
      <c r="AX12" s="56"/>
      <c r="AY12" s="56"/>
      <c r="AZ12" s="56"/>
      <c r="BA12" s="56"/>
      <c r="BB12" s="547"/>
    </row>
    <row r="13" spans="1:55" x14ac:dyDescent="0.25">
      <c r="A13" s="193"/>
      <c r="B13" s="193" t="s">
        <v>1682</v>
      </c>
      <c r="C13" s="237">
        <f t="shared" si="0"/>
        <v>7.2399999999999992E-2</v>
      </c>
      <c r="D13" s="237">
        <f t="shared" si="1"/>
        <v>7.2399999999999992E-2</v>
      </c>
      <c r="E13" s="237">
        <f t="shared" si="2"/>
        <v>7.2524999999999992E-2</v>
      </c>
      <c r="F13" s="237">
        <f t="shared" si="3"/>
        <v>7.2650000000000006E-2</v>
      </c>
      <c r="G13" s="237">
        <f t="shared" si="4"/>
        <v>7.3849999999999999E-2</v>
      </c>
      <c r="H13" s="237">
        <f t="shared" si="5"/>
        <v>7.3900000000000007E-2</v>
      </c>
      <c r="I13" s="237">
        <f t="shared" si="6"/>
        <v>7.8900000000000012E-2</v>
      </c>
      <c r="J13" s="237" t="str">
        <f t="shared" si="7"/>
        <v>-</v>
      </c>
      <c r="K13" s="237" t="str">
        <f t="shared" si="8"/>
        <v>-</v>
      </c>
      <c r="M13" s="237" t="s">
        <v>200</v>
      </c>
      <c r="N13" s="552">
        <v>0</v>
      </c>
      <c r="O13" s="552">
        <v>0</v>
      </c>
      <c r="P13" s="552">
        <v>0</v>
      </c>
      <c r="Q13" s="552">
        <v>0</v>
      </c>
      <c r="R13" s="552">
        <v>0</v>
      </c>
      <c r="S13" s="552">
        <v>0</v>
      </c>
      <c r="T13" s="552">
        <v>0</v>
      </c>
      <c r="U13" s="237" t="s">
        <v>2</v>
      </c>
      <c r="V13" s="237" t="s">
        <v>2</v>
      </c>
      <c r="X13" s="236" t="s">
        <v>200</v>
      </c>
      <c r="Y13" s="552">
        <v>0</v>
      </c>
      <c r="Z13" s="552">
        <v>0</v>
      </c>
      <c r="AA13" s="552">
        <v>0</v>
      </c>
      <c r="AB13" s="552">
        <v>0</v>
      </c>
      <c r="AC13" s="552">
        <v>0</v>
      </c>
      <c r="AD13" s="552">
        <v>0</v>
      </c>
      <c r="AE13" s="552">
        <v>0</v>
      </c>
      <c r="AF13" s="236" t="s">
        <v>2</v>
      </c>
      <c r="AG13" s="236" t="s">
        <v>2</v>
      </c>
      <c r="AJ13" s="193" t="s">
        <v>1682</v>
      </c>
      <c r="AK13" s="237">
        <v>7.2399999999999992E-2</v>
      </c>
      <c r="AL13" s="237">
        <v>7.2399999999999992E-2</v>
      </c>
      <c r="AM13" s="237">
        <v>7.2524999999999992E-2</v>
      </c>
      <c r="AN13" s="237">
        <v>7.2650000000000006E-2</v>
      </c>
      <c r="AO13" s="237">
        <v>7.3849999999999999E-2</v>
      </c>
      <c r="AP13" s="237">
        <v>7.3900000000000007E-2</v>
      </c>
      <c r="AQ13" s="245">
        <f t="shared" si="10"/>
        <v>7.8900000000000012E-2</v>
      </c>
      <c r="AR13" s="237" t="s">
        <v>2</v>
      </c>
      <c r="AS13" s="237" t="s">
        <v>2</v>
      </c>
      <c r="AU13" s="56"/>
      <c r="AV13" s="56"/>
      <c r="AW13" s="56"/>
      <c r="AX13" s="56"/>
      <c r="AY13" s="56"/>
      <c r="AZ13" s="56"/>
      <c r="BA13" s="56"/>
      <c r="BB13" s="547"/>
    </row>
    <row r="14" spans="1:55" x14ac:dyDescent="0.25">
      <c r="A14" s="193"/>
      <c r="B14" s="193" t="s">
        <v>1681</v>
      </c>
      <c r="C14" s="237">
        <f t="shared" si="0"/>
        <v>7.2150000000000006E-2</v>
      </c>
      <c r="D14" s="237">
        <f t="shared" si="1"/>
        <v>7.2150000000000006E-2</v>
      </c>
      <c r="E14" s="237">
        <f t="shared" si="2"/>
        <v>7.2400000000000006E-2</v>
      </c>
      <c r="F14" s="237">
        <f t="shared" si="3"/>
        <v>7.2650000000000006E-2</v>
      </c>
      <c r="G14" s="237">
        <f t="shared" si="4"/>
        <v>7.375000000000001E-2</v>
      </c>
      <c r="H14" s="237">
        <f t="shared" si="5"/>
        <v>7.3849999999999999E-2</v>
      </c>
      <c r="I14" s="237">
        <f t="shared" si="6"/>
        <v>7.8850000000000003E-2</v>
      </c>
      <c r="J14" s="237" t="str">
        <f t="shared" si="7"/>
        <v>-</v>
      </c>
      <c r="K14" s="237" t="str">
        <f t="shared" si="8"/>
        <v>-</v>
      </c>
      <c r="M14" s="237" t="s">
        <v>3</v>
      </c>
      <c r="N14" s="552">
        <v>0</v>
      </c>
      <c r="O14" s="552">
        <v>0</v>
      </c>
      <c r="P14" s="552">
        <v>0</v>
      </c>
      <c r="Q14" s="552">
        <v>0</v>
      </c>
      <c r="R14" s="552">
        <v>0</v>
      </c>
      <c r="S14" s="552">
        <v>0</v>
      </c>
      <c r="T14" s="552">
        <v>0</v>
      </c>
      <c r="U14" s="237" t="s">
        <v>2</v>
      </c>
      <c r="V14" s="237" t="s">
        <v>2</v>
      </c>
      <c r="X14" s="236" t="s">
        <v>3</v>
      </c>
      <c r="Y14" s="552">
        <v>0</v>
      </c>
      <c r="Z14" s="552">
        <v>0</v>
      </c>
      <c r="AA14" s="552">
        <v>0</v>
      </c>
      <c r="AB14" s="552">
        <v>0</v>
      </c>
      <c r="AC14" s="552">
        <v>0</v>
      </c>
      <c r="AD14" s="552">
        <v>0</v>
      </c>
      <c r="AE14" s="552">
        <v>0</v>
      </c>
      <c r="AF14" s="236" t="s">
        <v>2</v>
      </c>
      <c r="AG14" s="236" t="s">
        <v>2</v>
      </c>
      <c r="AJ14" s="193" t="s">
        <v>1681</v>
      </c>
      <c r="AK14" s="237">
        <v>7.2150000000000006E-2</v>
      </c>
      <c r="AL14" s="237">
        <v>7.2150000000000006E-2</v>
      </c>
      <c r="AM14" s="237">
        <v>7.2400000000000006E-2</v>
      </c>
      <c r="AN14" s="237">
        <v>7.2650000000000006E-2</v>
      </c>
      <c r="AO14" s="237">
        <v>7.375000000000001E-2</v>
      </c>
      <c r="AP14" s="237">
        <v>7.3849999999999999E-2</v>
      </c>
      <c r="AQ14" s="245">
        <f t="shared" si="10"/>
        <v>7.8850000000000003E-2</v>
      </c>
      <c r="AR14" s="237" t="s">
        <v>2</v>
      </c>
      <c r="AS14" s="237" t="s">
        <v>2</v>
      </c>
      <c r="AU14" s="56"/>
      <c r="AV14" s="56"/>
      <c r="AW14" s="56"/>
      <c r="AX14" s="56"/>
      <c r="AY14" s="56"/>
      <c r="AZ14" s="56"/>
      <c r="BA14" s="56"/>
      <c r="BB14" s="547"/>
    </row>
    <row r="15" spans="1:55" x14ac:dyDescent="0.25">
      <c r="A15" s="193"/>
      <c r="B15" s="193" t="s">
        <v>1680</v>
      </c>
      <c r="C15" s="237">
        <f t="shared" si="0"/>
        <v>7.1650000000000005E-2</v>
      </c>
      <c r="D15" s="237">
        <f t="shared" si="1"/>
        <v>7.1650000000000005E-2</v>
      </c>
      <c r="E15" s="237">
        <f t="shared" si="2"/>
        <v>7.1900000000000006E-2</v>
      </c>
      <c r="F15" s="237">
        <f t="shared" si="3"/>
        <v>7.2650000000000006E-2</v>
      </c>
      <c r="G15" s="237">
        <f t="shared" si="4"/>
        <v>7.3649999999999993E-2</v>
      </c>
      <c r="H15" s="237">
        <f t="shared" si="5"/>
        <v>7.375000000000001E-2</v>
      </c>
      <c r="I15" s="237">
        <f t="shared" si="6"/>
        <v>7.8750000000000014E-2</v>
      </c>
      <c r="J15" s="237" t="str">
        <f t="shared" si="7"/>
        <v>-</v>
      </c>
      <c r="K15" s="237" t="str">
        <f t="shared" si="8"/>
        <v>-</v>
      </c>
      <c r="M15" s="237" t="s">
        <v>274</v>
      </c>
      <c r="N15" s="552">
        <v>0</v>
      </c>
      <c r="O15" s="552">
        <v>2.5000000000000001E-4</v>
      </c>
      <c r="P15" s="552">
        <v>5.0000000000000001E-4</v>
      </c>
      <c r="Q15" s="552">
        <v>7.5000000000000002E-4</v>
      </c>
      <c r="R15" s="552">
        <v>1E-3</v>
      </c>
      <c r="S15" s="552">
        <v>3.7499999999999999E-3</v>
      </c>
      <c r="T15" s="552">
        <v>0.01</v>
      </c>
      <c r="U15" s="237" t="s">
        <v>2</v>
      </c>
      <c r="V15" s="237" t="s">
        <v>2</v>
      </c>
      <c r="X15" s="236" t="s">
        <v>274</v>
      </c>
      <c r="Y15" s="552">
        <v>0</v>
      </c>
      <c r="Z15" s="552">
        <v>2.5000000000000001E-4</v>
      </c>
      <c r="AA15" s="552">
        <v>5.0000000000000001E-4</v>
      </c>
      <c r="AB15" s="552">
        <v>7.5000000000000002E-4</v>
      </c>
      <c r="AC15" s="552">
        <v>1E-3</v>
      </c>
      <c r="AD15" s="552">
        <v>3.7499999999999999E-3</v>
      </c>
      <c r="AE15" s="552">
        <v>0.01</v>
      </c>
      <c r="AF15" s="236" t="s">
        <v>2</v>
      </c>
      <c r="AG15" s="236" t="s">
        <v>2</v>
      </c>
      <c r="AJ15" s="193" t="s">
        <v>1680</v>
      </c>
      <c r="AK15" s="237">
        <v>7.1650000000000005E-2</v>
      </c>
      <c r="AL15" s="237">
        <v>7.1650000000000005E-2</v>
      </c>
      <c r="AM15" s="237">
        <v>7.1900000000000006E-2</v>
      </c>
      <c r="AN15" s="237">
        <v>7.2650000000000006E-2</v>
      </c>
      <c r="AO15" s="237">
        <v>7.3649999999999993E-2</v>
      </c>
      <c r="AP15" s="237">
        <v>7.375000000000001E-2</v>
      </c>
      <c r="AQ15" s="245">
        <f t="shared" si="10"/>
        <v>7.8750000000000014E-2</v>
      </c>
      <c r="AR15" s="237" t="s">
        <v>2</v>
      </c>
      <c r="AS15" s="237" t="s">
        <v>2</v>
      </c>
      <c r="AU15" s="56"/>
      <c r="AV15" s="56"/>
      <c r="AW15" s="56"/>
      <c r="AX15" s="56"/>
      <c r="AY15" s="56"/>
      <c r="AZ15" s="56"/>
      <c r="BA15" s="56"/>
      <c r="BB15" s="547"/>
    </row>
    <row r="16" spans="1:55" x14ac:dyDescent="0.25">
      <c r="A16" s="193"/>
      <c r="B16" s="193" t="s">
        <v>1679</v>
      </c>
      <c r="C16" s="237">
        <f t="shared" si="0"/>
        <v>7.7649999999999997E-2</v>
      </c>
      <c r="D16" s="237">
        <f t="shared" si="1"/>
        <v>7.7899999999999997E-2</v>
      </c>
      <c r="E16" s="237">
        <f t="shared" si="2"/>
        <v>7.8149999999999997E-2</v>
      </c>
      <c r="F16" s="237">
        <f t="shared" si="3"/>
        <v>7.8149999999999997E-2</v>
      </c>
      <c r="G16" s="237">
        <f t="shared" si="4"/>
        <v>7.8399999999999997E-2</v>
      </c>
      <c r="H16" s="237">
        <f t="shared" si="5"/>
        <v>7.8649999999999998E-2</v>
      </c>
      <c r="I16" s="237">
        <f t="shared" si="6"/>
        <v>8.3650000000000002E-2</v>
      </c>
      <c r="J16" s="237" t="str">
        <f t="shared" si="7"/>
        <v>-</v>
      </c>
      <c r="K16" s="237" t="str">
        <f t="shared" si="8"/>
        <v>-</v>
      </c>
      <c r="M16" s="238"/>
      <c r="N16" s="238"/>
      <c r="O16" s="238"/>
      <c r="P16" s="238"/>
      <c r="Q16" s="238"/>
      <c r="R16" s="238"/>
      <c r="S16" s="238"/>
      <c r="T16" s="238"/>
      <c r="U16" s="238"/>
      <c r="V16" s="238"/>
      <c r="AJ16" s="193" t="s">
        <v>1679</v>
      </c>
      <c r="AK16" s="237">
        <v>7.7649999999999997E-2</v>
      </c>
      <c r="AL16" s="237">
        <v>7.7899999999999997E-2</v>
      </c>
      <c r="AM16" s="237">
        <v>7.8149999999999997E-2</v>
      </c>
      <c r="AN16" s="237">
        <v>7.8149999999999997E-2</v>
      </c>
      <c r="AO16" s="237">
        <v>7.8399999999999997E-2</v>
      </c>
      <c r="AP16" s="237">
        <v>7.8649999999999998E-2</v>
      </c>
      <c r="AQ16" s="245">
        <f t="shared" si="10"/>
        <v>8.3650000000000002E-2</v>
      </c>
      <c r="AR16" s="237" t="s">
        <v>2</v>
      </c>
      <c r="AS16" s="237" t="s">
        <v>2</v>
      </c>
      <c r="AU16" s="56"/>
      <c r="AV16" s="56"/>
      <c r="AW16" s="56"/>
      <c r="AX16" s="56"/>
      <c r="AY16" s="56"/>
      <c r="AZ16" s="56"/>
      <c r="BA16" s="56"/>
      <c r="BB16" s="547"/>
    </row>
    <row r="17" spans="1:45" x14ac:dyDescent="0.25">
      <c r="M17" s="238"/>
      <c r="N17" s="238"/>
      <c r="O17" s="238"/>
      <c r="P17" s="238"/>
      <c r="Q17" s="238"/>
      <c r="R17" s="238"/>
      <c r="S17" s="238"/>
      <c r="T17" s="238"/>
      <c r="U17" s="238"/>
      <c r="V17" s="238"/>
    </row>
    <row r="18" spans="1:45" x14ac:dyDescent="0.25">
      <c r="A18" s="806">
        <v>3</v>
      </c>
      <c r="B18" s="794" t="s">
        <v>1868</v>
      </c>
      <c r="C18" s="794"/>
      <c r="D18" s="794"/>
      <c r="E18" s="794"/>
      <c r="F18" s="794"/>
      <c r="G18" s="794"/>
      <c r="H18" s="794"/>
      <c r="I18" s="794"/>
      <c r="J18" s="794"/>
      <c r="K18" s="794"/>
      <c r="M18" s="804" t="s">
        <v>106</v>
      </c>
      <c r="N18" s="804"/>
      <c r="O18" s="804"/>
      <c r="P18" s="804"/>
      <c r="Q18" s="804"/>
      <c r="R18" s="804"/>
      <c r="S18" s="804"/>
      <c r="T18" s="804"/>
      <c r="U18" s="804"/>
      <c r="V18" s="804"/>
      <c r="X18" s="805" t="s">
        <v>106</v>
      </c>
      <c r="Y18" s="805"/>
      <c r="Z18" s="805"/>
      <c r="AA18" s="805"/>
      <c r="AB18" s="805"/>
      <c r="AC18" s="805"/>
      <c r="AD18" s="805"/>
      <c r="AE18" s="805"/>
      <c r="AF18" s="805"/>
      <c r="AG18" s="805"/>
    </row>
    <row r="19" spans="1:45" x14ac:dyDescent="0.25">
      <c r="A19" s="806"/>
      <c r="B19" s="244">
        <v>103.5</v>
      </c>
      <c r="C19" s="195" t="s">
        <v>1640</v>
      </c>
      <c r="D19" s="195" t="s">
        <v>1639</v>
      </c>
      <c r="E19" s="195" t="s">
        <v>1638</v>
      </c>
      <c r="F19" s="195" t="s">
        <v>1637</v>
      </c>
      <c r="G19" s="195" t="s">
        <v>1636</v>
      </c>
      <c r="H19" s="195" t="s">
        <v>1635</v>
      </c>
      <c r="I19" s="195" t="s">
        <v>1634</v>
      </c>
      <c r="J19" s="195" t="s">
        <v>1841</v>
      </c>
      <c r="K19" s="195" t="s">
        <v>1840</v>
      </c>
      <c r="M19" s="237" t="s">
        <v>1867</v>
      </c>
      <c r="N19" s="237" t="s">
        <v>2</v>
      </c>
      <c r="O19" s="237" t="s">
        <v>2</v>
      </c>
      <c r="P19" s="237" t="s">
        <v>2</v>
      </c>
      <c r="Q19" s="237" t="s">
        <v>2</v>
      </c>
      <c r="R19" s="237" t="s">
        <v>2</v>
      </c>
      <c r="S19" s="237" t="s">
        <v>2</v>
      </c>
      <c r="T19" s="237" t="s">
        <v>2</v>
      </c>
      <c r="U19" s="237" t="s">
        <v>2</v>
      </c>
      <c r="V19" s="237" t="s">
        <v>2</v>
      </c>
      <c r="X19" s="236" t="s">
        <v>1867</v>
      </c>
      <c r="Y19" s="236" t="s">
        <v>2</v>
      </c>
      <c r="Z19" s="236" t="s">
        <v>2</v>
      </c>
      <c r="AA19" s="236" t="s">
        <v>2</v>
      </c>
      <c r="AB19" s="236" t="s">
        <v>2</v>
      </c>
      <c r="AC19" s="236" t="s">
        <v>2</v>
      </c>
      <c r="AD19" s="236" t="s">
        <v>2</v>
      </c>
      <c r="AE19" s="236" t="s">
        <v>2</v>
      </c>
      <c r="AF19" s="236" t="s">
        <v>2</v>
      </c>
      <c r="AG19" s="236" t="s">
        <v>2</v>
      </c>
      <c r="AJ19" s="794" t="s">
        <v>1866</v>
      </c>
      <c r="AK19" s="794"/>
      <c r="AL19" s="794"/>
      <c r="AM19" s="794"/>
      <c r="AN19" s="794"/>
      <c r="AO19" s="794"/>
      <c r="AP19" s="794"/>
      <c r="AQ19" s="794"/>
      <c r="AR19" s="794"/>
      <c r="AS19" s="794"/>
    </row>
    <row r="20" spans="1:45" x14ac:dyDescent="0.25">
      <c r="B20" s="193" t="s">
        <v>1691</v>
      </c>
      <c r="C20" s="552" t="str">
        <f>IF(C3="-","-",C3+0.8%)</f>
        <v>-</v>
      </c>
      <c r="D20" s="552" t="str">
        <f t="shared" ref="D20:K20" si="11">IF(D3="-","-",D3+0.8%)</f>
        <v>-</v>
      </c>
      <c r="E20" s="552" t="str">
        <f t="shared" si="11"/>
        <v>-</v>
      </c>
      <c r="F20" s="552" t="str">
        <f t="shared" si="11"/>
        <v>-</v>
      </c>
      <c r="G20" s="552" t="str">
        <f t="shared" si="11"/>
        <v>-</v>
      </c>
      <c r="H20" s="552" t="str">
        <f t="shared" si="11"/>
        <v>-</v>
      </c>
      <c r="I20" s="552" t="str">
        <f t="shared" si="11"/>
        <v>-</v>
      </c>
      <c r="J20" s="552" t="str">
        <f t="shared" si="11"/>
        <v>-</v>
      </c>
      <c r="K20" s="552" t="str">
        <f t="shared" si="11"/>
        <v>-</v>
      </c>
      <c r="M20" s="237" t="s">
        <v>1865</v>
      </c>
      <c r="N20" s="237" t="s">
        <v>2</v>
      </c>
      <c r="O20" s="237" t="s">
        <v>2</v>
      </c>
      <c r="P20" s="237" t="s">
        <v>2</v>
      </c>
      <c r="Q20" s="237" t="s">
        <v>2</v>
      </c>
      <c r="R20" s="237" t="s">
        <v>2</v>
      </c>
      <c r="S20" s="237" t="s">
        <v>2</v>
      </c>
      <c r="T20" s="237" t="s">
        <v>2</v>
      </c>
      <c r="U20" s="237" t="s">
        <v>2</v>
      </c>
      <c r="V20" s="237" t="s">
        <v>2</v>
      </c>
      <c r="X20" s="236" t="s">
        <v>1865</v>
      </c>
      <c r="Y20" s="236" t="s">
        <v>2</v>
      </c>
      <c r="Z20" s="236" t="s">
        <v>2</v>
      </c>
      <c r="AA20" s="236" t="s">
        <v>2</v>
      </c>
      <c r="AB20" s="236" t="s">
        <v>2</v>
      </c>
      <c r="AC20" s="236" t="s">
        <v>2</v>
      </c>
      <c r="AD20" s="236" t="s">
        <v>2</v>
      </c>
      <c r="AE20" s="236" t="s">
        <v>2</v>
      </c>
      <c r="AF20" s="236" t="s">
        <v>2</v>
      </c>
      <c r="AG20" s="236" t="s">
        <v>2</v>
      </c>
      <c r="AJ20" s="244">
        <v>104</v>
      </c>
      <c r="AK20" s="195" t="s">
        <v>1640</v>
      </c>
      <c r="AL20" s="195" t="s">
        <v>1639</v>
      </c>
      <c r="AM20" s="195" t="s">
        <v>1638</v>
      </c>
      <c r="AN20" s="195" t="s">
        <v>1637</v>
      </c>
      <c r="AO20" s="195" t="s">
        <v>1636</v>
      </c>
      <c r="AP20" s="195" t="s">
        <v>1635</v>
      </c>
      <c r="AQ20" s="195" t="s">
        <v>1634</v>
      </c>
      <c r="AR20" s="195" t="s">
        <v>1841</v>
      </c>
      <c r="AS20" s="195" t="s">
        <v>1840</v>
      </c>
    </row>
    <row r="21" spans="1:45" x14ac:dyDescent="0.25">
      <c r="B21" s="193" t="s">
        <v>1690</v>
      </c>
      <c r="C21" s="552" t="str">
        <f t="shared" ref="C21:K21" si="12">IF(C4="-","-",C4+0.8%)</f>
        <v>-</v>
      </c>
      <c r="D21" s="552" t="str">
        <f t="shared" si="12"/>
        <v>-</v>
      </c>
      <c r="E21" s="552" t="str">
        <f t="shared" si="12"/>
        <v>-</v>
      </c>
      <c r="F21" s="552" t="str">
        <f t="shared" si="12"/>
        <v>-</v>
      </c>
      <c r="G21" s="552" t="str">
        <f t="shared" si="12"/>
        <v>-</v>
      </c>
      <c r="H21" s="552" t="str">
        <f t="shared" si="12"/>
        <v>-</v>
      </c>
      <c r="I21" s="552" t="str">
        <f t="shared" si="12"/>
        <v>-</v>
      </c>
      <c r="J21" s="552" t="str">
        <f t="shared" si="12"/>
        <v>-</v>
      </c>
      <c r="K21" s="552" t="str">
        <f t="shared" si="12"/>
        <v>-</v>
      </c>
      <c r="M21" s="237" t="s">
        <v>1864</v>
      </c>
      <c r="N21" s="237" t="s">
        <v>2</v>
      </c>
      <c r="O21" s="237" t="s">
        <v>2</v>
      </c>
      <c r="P21" s="237" t="s">
        <v>2</v>
      </c>
      <c r="Q21" s="237" t="s">
        <v>2</v>
      </c>
      <c r="R21" s="237" t="s">
        <v>2</v>
      </c>
      <c r="S21" s="237" t="s">
        <v>2</v>
      </c>
      <c r="T21" s="237" t="s">
        <v>2</v>
      </c>
      <c r="U21" s="237" t="s">
        <v>2</v>
      </c>
      <c r="V21" s="237" t="s">
        <v>2</v>
      </c>
      <c r="X21" s="236" t="s">
        <v>1864</v>
      </c>
      <c r="Y21" s="236" t="s">
        <v>2</v>
      </c>
      <c r="Z21" s="236" t="s">
        <v>2</v>
      </c>
      <c r="AA21" s="236" t="s">
        <v>2</v>
      </c>
      <c r="AB21" s="236" t="s">
        <v>2</v>
      </c>
      <c r="AC21" s="236" t="s">
        <v>2</v>
      </c>
      <c r="AD21" s="236" t="s">
        <v>2</v>
      </c>
      <c r="AE21" s="236" t="s">
        <v>2</v>
      </c>
      <c r="AF21" s="236" t="s">
        <v>2</v>
      </c>
      <c r="AG21" s="236" t="s">
        <v>2</v>
      </c>
      <c r="AJ21" s="193" t="s">
        <v>1691</v>
      </c>
      <c r="AK21" s="237" t="str">
        <f>IF(AK3="-","-",IF('DSCR (Single Asset)'!$F$19="STR",AK3+0.15%,AK3+0%))</f>
        <v>-</v>
      </c>
      <c r="AL21" s="237" t="str">
        <f>IF(AL3="-","-",IF('DSCR (Single Asset)'!$F$19="STR",AL3+0.15%,AL3+0%))</f>
        <v>-</v>
      </c>
      <c r="AM21" s="237" t="str">
        <f>IF(AM3="-","-",IF('DSCR (Single Asset)'!$F$19="STR",AM3+0.15%,AM3+0%))</f>
        <v>-</v>
      </c>
      <c r="AN21" s="237" t="str">
        <f>IF(AN3="-","-",IF('DSCR (Single Asset)'!$F$19="STR",AN3+0.15%,AN3+0%))</f>
        <v>-</v>
      </c>
      <c r="AO21" s="237" t="str">
        <f>IF(AO3="-","-",IF('DSCR (Single Asset)'!$F$19="STR",AO3+0.15%,AO3+0%))</f>
        <v>-</v>
      </c>
      <c r="AP21" s="237" t="str">
        <f>IF(AP3="-","-",IF('DSCR (Single Asset)'!$F$19="STR",AP3+0.15%,AP3+0%))</f>
        <v>-</v>
      </c>
      <c r="AQ21" s="237" t="str">
        <f>IF(AQ3="-","-",IF('DSCR (Single Asset)'!$F$19="STR",AQ3+0.15%,AQ3+0%))</f>
        <v>-</v>
      </c>
      <c r="AR21" s="237" t="str">
        <f>IF(AR3="-","-",IF('DSCR (Single Asset)'!$F$19="STR",AR3+0.15%,AR3+0%))</f>
        <v>-</v>
      </c>
      <c r="AS21" s="237" t="str">
        <f>IF(AS3="-","-",IF('DSCR (Single Asset)'!$F$19="STR",AS3+0.15%,AS3+0%))</f>
        <v>-</v>
      </c>
    </row>
    <row r="22" spans="1:45" x14ac:dyDescent="0.25">
      <c r="B22" s="193" t="s">
        <v>1689</v>
      </c>
      <c r="C22" s="552" t="str">
        <f t="shared" ref="C22:K22" si="13">IF(C5="-","-",C5+0.8%)</f>
        <v>-</v>
      </c>
      <c r="D22" s="552" t="str">
        <f t="shared" si="13"/>
        <v>-</v>
      </c>
      <c r="E22" s="552" t="str">
        <f t="shared" si="13"/>
        <v>-</v>
      </c>
      <c r="F22" s="552" t="str">
        <f t="shared" si="13"/>
        <v>-</v>
      </c>
      <c r="G22" s="552" t="str">
        <f t="shared" si="13"/>
        <v>-</v>
      </c>
      <c r="H22" s="552" t="str">
        <f t="shared" si="13"/>
        <v>-</v>
      </c>
      <c r="I22" s="552" t="str">
        <f t="shared" si="13"/>
        <v>-</v>
      </c>
      <c r="J22" s="552" t="str">
        <f t="shared" si="13"/>
        <v>-</v>
      </c>
      <c r="K22" s="552" t="str">
        <f t="shared" si="13"/>
        <v>-</v>
      </c>
      <c r="M22" s="237" t="s">
        <v>1863</v>
      </c>
      <c r="N22" s="237">
        <v>0</v>
      </c>
      <c r="O22" s="237">
        <v>0</v>
      </c>
      <c r="P22" s="237">
        <v>0</v>
      </c>
      <c r="Q22" s="237">
        <v>0</v>
      </c>
      <c r="R22" s="237">
        <v>0</v>
      </c>
      <c r="S22" s="237">
        <v>0</v>
      </c>
      <c r="T22" s="237">
        <v>0</v>
      </c>
      <c r="U22" s="237" t="s">
        <v>2</v>
      </c>
      <c r="V22" s="237" t="s">
        <v>2</v>
      </c>
      <c r="X22" s="236" t="s">
        <v>1863</v>
      </c>
      <c r="Y22" s="236">
        <v>0</v>
      </c>
      <c r="Z22" s="236">
        <v>0</v>
      </c>
      <c r="AA22" s="236">
        <v>0</v>
      </c>
      <c r="AB22" s="236">
        <v>0</v>
      </c>
      <c r="AC22" s="236">
        <v>0</v>
      </c>
      <c r="AD22" s="236">
        <v>0</v>
      </c>
      <c r="AE22" s="236">
        <v>0</v>
      </c>
      <c r="AF22" s="236" t="s">
        <v>2</v>
      </c>
      <c r="AG22" s="236" t="s">
        <v>2</v>
      </c>
      <c r="AJ22" s="193" t="s">
        <v>1690</v>
      </c>
      <c r="AK22" s="237" t="str">
        <f>IF(AK4="-","-",IF('DSCR (Single Asset)'!$F$19="STR",AK4+0.15%,AK4+0%))</f>
        <v>-</v>
      </c>
      <c r="AL22" s="237" t="str">
        <f>IF(AL4="-","-",IF('DSCR (Single Asset)'!$F$19="STR",AL4+0.15%,AL4+0%))</f>
        <v>-</v>
      </c>
      <c r="AM22" s="237" t="str">
        <f>IF(AM4="-","-",IF('DSCR (Single Asset)'!$F$19="STR",AM4+0.15%,AM4+0%))</f>
        <v>-</v>
      </c>
      <c r="AN22" s="237" t="str">
        <f>IF(AN4="-","-",IF('DSCR (Single Asset)'!$F$19="STR",AN4+0.15%,AN4+0%))</f>
        <v>-</v>
      </c>
      <c r="AO22" s="237" t="str">
        <f>IF(AO4="-","-",IF('DSCR (Single Asset)'!$F$19="STR",AO4+0.15%,AO4+0%))</f>
        <v>-</v>
      </c>
      <c r="AP22" s="237" t="str">
        <f>IF(AP4="-","-",IF('DSCR (Single Asset)'!$F$19="STR",AP4+0.15%,AP4+0%))</f>
        <v>-</v>
      </c>
      <c r="AQ22" s="237" t="str">
        <f>IF(AQ4="-","-",IF('DSCR (Single Asset)'!$F$19="STR",AQ4+0.15%,AQ4+0%))</f>
        <v>-</v>
      </c>
      <c r="AR22" s="237" t="str">
        <f>IF(AR4="-","-",IF('DSCR (Single Asset)'!$F$19="STR",AR4+0.15%,AR4+0%))</f>
        <v>-</v>
      </c>
      <c r="AS22" s="237" t="str">
        <f>IF(AS4="-","-",IF('DSCR (Single Asset)'!$F$19="STR",AS4+0.15%,AS4+0%))</f>
        <v>-</v>
      </c>
    </row>
    <row r="23" spans="1:45" x14ac:dyDescent="0.25">
      <c r="B23" s="193" t="s">
        <v>1688</v>
      </c>
      <c r="C23" s="552" t="str">
        <f t="shared" ref="C23:K23" si="14">IF(C6="-","-",C6+0.8%)</f>
        <v>-</v>
      </c>
      <c r="D23" s="552" t="str">
        <f t="shared" si="14"/>
        <v>-</v>
      </c>
      <c r="E23" s="552" t="str">
        <f t="shared" si="14"/>
        <v>-</v>
      </c>
      <c r="F23" s="552" t="str">
        <f t="shared" si="14"/>
        <v>-</v>
      </c>
      <c r="G23" s="552" t="str">
        <f t="shared" si="14"/>
        <v>-</v>
      </c>
      <c r="H23" s="552" t="str">
        <f t="shared" si="14"/>
        <v>-</v>
      </c>
      <c r="I23" s="552" t="str">
        <f t="shared" si="14"/>
        <v>-</v>
      </c>
      <c r="J23" s="552" t="str">
        <f t="shared" si="14"/>
        <v>-</v>
      </c>
      <c r="K23" s="552" t="str">
        <f t="shared" si="14"/>
        <v>-</v>
      </c>
      <c r="M23" s="237" t="s">
        <v>1862</v>
      </c>
      <c r="N23" s="237" t="s">
        <v>2</v>
      </c>
      <c r="O23" s="237" t="s">
        <v>2</v>
      </c>
      <c r="P23" s="237" t="s">
        <v>2</v>
      </c>
      <c r="Q23" s="237" t="s">
        <v>2</v>
      </c>
      <c r="R23" s="237" t="s">
        <v>2</v>
      </c>
      <c r="S23" s="237" t="s">
        <v>2</v>
      </c>
      <c r="T23" s="237" t="s">
        <v>2</v>
      </c>
      <c r="U23" s="237" t="s">
        <v>2</v>
      </c>
      <c r="V23" s="237" t="s">
        <v>2</v>
      </c>
      <c r="X23" s="236" t="s">
        <v>1862</v>
      </c>
      <c r="Y23" s="236" t="s">
        <v>2</v>
      </c>
      <c r="Z23" s="236" t="s">
        <v>2</v>
      </c>
      <c r="AA23" s="236" t="s">
        <v>2</v>
      </c>
      <c r="AB23" s="236" t="s">
        <v>2</v>
      </c>
      <c r="AC23" s="236" t="s">
        <v>2</v>
      </c>
      <c r="AD23" s="236" t="s">
        <v>2</v>
      </c>
      <c r="AE23" s="236" t="s">
        <v>2</v>
      </c>
      <c r="AF23" s="236" t="s">
        <v>2</v>
      </c>
      <c r="AG23" s="236" t="s">
        <v>2</v>
      </c>
      <c r="AJ23" s="193" t="s">
        <v>1689</v>
      </c>
      <c r="AK23" s="237" t="str">
        <f>IF(AK5="-","-",IF('DSCR (Single Asset)'!$F$19="STR",AK5+0.15%,AK5+0%))</f>
        <v>-</v>
      </c>
      <c r="AL23" s="237" t="str">
        <f>IF(AL5="-","-",IF('DSCR (Single Asset)'!$F$19="STR",AL5+0.15%,AL5+0%))</f>
        <v>-</v>
      </c>
      <c r="AM23" s="237" t="str">
        <f>IF(AM5="-","-",IF('DSCR (Single Asset)'!$F$19="STR",AM5+0.15%,AM5+0%))</f>
        <v>-</v>
      </c>
      <c r="AN23" s="237" t="str">
        <f>IF(AN5="-","-",IF('DSCR (Single Asset)'!$F$19="STR",AN5+0.15%,AN5+0%))</f>
        <v>-</v>
      </c>
      <c r="AO23" s="237" t="str">
        <f>IF(AO5="-","-",IF('DSCR (Single Asset)'!$F$19="STR",AO5+0.15%,AO5+0%))</f>
        <v>-</v>
      </c>
      <c r="AP23" s="237" t="str">
        <f>IF(AP5="-","-",IF('DSCR (Single Asset)'!$F$19="STR",AP5+0.15%,AP5+0%))</f>
        <v>-</v>
      </c>
      <c r="AQ23" s="237" t="str">
        <f>IF(AQ5="-","-",IF('DSCR (Single Asset)'!$F$19="STR",AQ5+0.15%,AQ5+0%))</f>
        <v>-</v>
      </c>
      <c r="AR23" s="237" t="str">
        <f>IF(AR5="-","-",IF('DSCR (Single Asset)'!$F$19="STR",AR5+0.15%,AR5+0%))</f>
        <v>-</v>
      </c>
      <c r="AS23" s="237" t="str">
        <f>IF(AS5="-","-",IF('DSCR (Single Asset)'!$F$19="STR",AS5+0.15%,AS5+0%))</f>
        <v>-</v>
      </c>
    </row>
    <row r="24" spans="1:45" x14ac:dyDescent="0.25">
      <c r="B24" s="193" t="s">
        <v>1687</v>
      </c>
      <c r="C24" s="552" t="str">
        <f t="shared" ref="C24:K24" si="15">IF(C7="-","-",C7+0.8%)</f>
        <v>-</v>
      </c>
      <c r="D24" s="552" t="str">
        <f t="shared" si="15"/>
        <v>-</v>
      </c>
      <c r="E24" s="552" t="str">
        <f t="shared" si="15"/>
        <v>-</v>
      </c>
      <c r="F24" s="552" t="str">
        <f t="shared" si="15"/>
        <v>-</v>
      </c>
      <c r="G24" s="552" t="str">
        <f t="shared" si="15"/>
        <v>-</v>
      </c>
      <c r="H24" s="552" t="str">
        <f t="shared" si="15"/>
        <v>-</v>
      </c>
      <c r="I24" s="552" t="str">
        <f t="shared" si="15"/>
        <v>-</v>
      </c>
      <c r="J24" s="552" t="str">
        <f t="shared" si="15"/>
        <v>-</v>
      </c>
      <c r="K24" s="552" t="str">
        <f t="shared" si="15"/>
        <v>-</v>
      </c>
      <c r="M24" s="238"/>
      <c r="N24" s="238"/>
      <c r="O24" s="238"/>
      <c r="P24" s="238"/>
      <c r="Q24" s="238"/>
      <c r="R24" s="238"/>
      <c r="S24" s="238"/>
      <c r="T24" s="238"/>
      <c r="U24" s="238"/>
      <c r="V24" s="238"/>
      <c r="AJ24" s="193" t="s">
        <v>1688</v>
      </c>
      <c r="AK24" s="237" t="str">
        <f>IF(AK6="-","-",IF('DSCR (Single Asset)'!$F$19="STR",AK6+0.15%,AK6+0%))</f>
        <v>-</v>
      </c>
      <c r="AL24" s="237" t="str">
        <f>IF(AL6="-","-",IF('DSCR (Single Asset)'!$F$19="STR",AL6+0.15%,AL6+0%))</f>
        <v>-</v>
      </c>
      <c r="AM24" s="237" t="str">
        <f>IF(AM6="-","-",IF('DSCR (Single Asset)'!$F$19="STR",AM6+0.15%,AM6+0%))</f>
        <v>-</v>
      </c>
      <c r="AN24" s="237" t="str">
        <f>IF(AN6="-","-",IF('DSCR (Single Asset)'!$F$19="STR",AN6+0.15%,AN6+0%))</f>
        <v>-</v>
      </c>
      <c r="AO24" s="237" t="str">
        <f>IF(AO6="-","-",IF('DSCR (Single Asset)'!$F$19="STR",AO6+0.15%,AO6+0%))</f>
        <v>-</v>
      </c>
      <c r="AP24" s="237" t="str">
        <f>IF(AP6="-","-",IF('DSCR (Single Asset)'!$F$19="STR",AP6+0.15%,AP6+0%))</f>
        <v>-</v>
      </c>
      <c r="AQ24" s="237" t="str">
        <f>IF(AQ6="-","-",IF('DSCR (Single Asset)'!$F$19="STR",AQ6+0.15%,AQ6+0%))</f>
        <v>-</v>
      </c>
      <c r="AR24" s="237" t="str">
        <f>IF(AR6="-","-",IF('DSCR (Single Asset)'!$F$19="STR",AR6+0.15%,AR6+0%))</f>
        <v>-</v>
      </c>
      <c r="AS24" s="237" t="str">
        <f>IF(AS6="-","-",IF('DSCR (Single Asset)'!$F$19="STR",AS6+0.15%,AS6+0%))</f>
        <v>-</v>
      </c>
    </row>
    <row r="25" spans="1:45" x14ac:dyDescent="0.25">
      <c r="B25" s="193" t="s">
        <v>1686</v>
      </c>
      <c r="C25" s="552">
        <f t="shared" ref="C25:K25" si="16">IF(C8="-","-",C8+0.8%)</f>
        <v>8.8150000000000006E-2</v>
      </c>
      <c r="D25" s="552">
        <f t="shared" si="16"/>
        <v>8.8400000000000006E-2</v>
      </c>
      <c r="E25" s="552">
        <f t="shared" si="16"/>
        <v>8.9400000000000007E-2</v>
      </c>
      <c r="F25" s="552">
        <f t="shared" si="16"/>
        <v>9.0150000000000008E-2</v>
      </c>
      <c r="G25" s="552">
        <f t="shared" si="16"/>
        <v>9.1900000000000009E-2</v>
      </c>
      <c r="H25" s="552">
        <f t="shared" si="16"/>
        <v>9.4400000000000012E-2</v>
      </c>
      <c r="I25" s="552">
        <f t="shared" si="16"/>
        <v>9.9400000000000016E-2</v>
      </c>
      <c r="J25" s="552" t="str">
        <f t="shared" si="16"/>
        <v>-</v>
      </c>
      <c r="K25" s="552" t="str">
        <f t="shared" si="16"/>
        <v>-</v>
      </c>
      <c r="M25" s="238"/>
      <c r="N25" s="238"/>
      <c r="O25" s="238"/>
      <c r="P25" s="238"/>
      <c r="Q25" s="238"/>
      <c r="R25" s="238"/>
      <c r="S25" s="238"/>
      <c r="T25" s="238"/>
      <c r="U25" s="238"/>
      <c r="V25" s="238"/>
      <c r="AJ25" s="193" t="s">
        <v>1687</v>
      </c>
      <c r="AK25" s="237" t="str">
        <f>IF(AK7="-","-",IF('DSCR (Single Asset)'!$F$19="STR",AK7+0.15%,AK7+0%))</f>
        <v>-</v>
      </c>
      <c r="AL25" s="237" t="str">
        <f>IF(AL7="-","-",IF('DSCR (Single Asset)'!$F$19="STR",AL7+0.15%,AL7+0%))</f>
        <v>-</v>
      </c>
      <c r="AM25" s="237" t="str">
        <f>IF(AM7="-","-",IF('DSCR (Single Asset)'!$F$19="STR",AM7+0.15%,AM7+0%))</f>
        <v>-</v>
      </c>
      <c r="AN25" s="237" t="str">
        <f>IF(AN7="-","-",IF('DSCR (Single Asset)'!$F$19="STR",AN7+0.15%,AN7+0%))</f>
        <v>-</v>
      </c>
      <c r="AO25" s="237" t="str">
        <f>IF(AO7="-","-",IF('DSCR (Single Asset)'!$F$19="STR",AO7+0.15%,AO7+0%))</f>
        <v>-</v>
      </c>
      <c r="AP25" s="237" t="str">
        <f>IF(AP7="-","-",IF('DSCR (Single Asset)'!$F$19="STR",AP7+0.15%,AP7+0%))</f>
        <v>-</v>
      </c>
      <c r="AQ25" s="237" t="str">
        <f>IF(AQ7="-","-",IF('DSCR (Single Asset)'!$F$19="STR",AQ7+0.15%,AQ7+0%))</f>
        <v>-</v>
      </c>
      <c r="AR25" s="237" t="str">
        <f>IF(AR7="-","-",IF('DSCR (Single Asset)'!$F$19="STR",AR7+0.15%,AR7+0%))</f>
        <v>-</v>
      </c>
      <c r="AS25" s="237" t="str">
        <f>IF(AS7="-","-",IF('DSCR (Single Asset)'!$F$19="STR",AS7+0.15%,AS7+0%))</f>
        <v>-</v>
      </c>
    </row>
    <row r="26" spans="1:45" x14ac:dyDescent="0.25">
      <c r="B26" s="193" t="s">
        <v>1476</v>
      </c>
      <c r="C26" s="552">
        <f t="shared" ref="C26:K26" si="17">IF(C9="-","-",C9+0.8%)</f>
        <v>8.3150000000000002E-2</v>
      </c>
      <c r="D26" s="552">
        <f t="shared" si="17"/>
        <v>8.3400000000000002E-2</v>
      </c>
      <c r="E26" s="552">
        <f t="shared" si="17"/>
        <v>8.4400000000000003E-2</v>
      </c>
      <c r="F26" s="552">
        <f t="shared" si="17"/>
        <v>8.5150000000000003E-2</v>
      </c>
      <c r="G26" s="552">
        <f t="shared" si="17"/>
        <v>8.6900000000000005E-2</v>
      </c>
      <c r="H26" s="552">
        <f t="shared" si="17"/>
        <v>8.9400000000000007E-2</v>
      </c>
      <c r="I26" s="552">
        <f t="shared" si="17"/>
        <v>9.4400000000000012E-2</v>
      </c>
      <c r="J26" s="552" t="str">
        <f t="shared" si="17"/>
        <v>-</v>
      </c>
      <c r="K26" s="552" t="str">
        <f t="shared" si="17"/>
        <v>-</v>
      </c>
      <c r="M26" s="804" t="s">
        <v>1861</v>
      </c>
      <c r="N26" s="804"/>
      <c r="O26" s="804"/>
      <c r="P26" s="804"/>
      <c r="Q26" s="804"/>
      <c r="R26" s="804"/>
      <c r="S26" s="804"/>
      <c r="T26" s="804"/>
      <c r="U26" s="804"/>
      <c r="V26" s="804"/>
      <c r="X26" s="805" t="s">
        <v>1861</v>
      </c>
      <c r="Y26" s="805"/>
      <c r="Z26" s="805"/>
      <c r="AA26" s="805"/>
      <c r="AB26" s="805"/>
      <c r="AC26" s="805"/>
      <c r="AD26" s="805"/>
      <c r="AE26" s="805"/>
      <c r="AF26" s="805"/>
      <c r="AG26" s="805"/>
      <c r="AJ26" s="193" t="s">
        <v>1686</v>
      </c>
      <c r="AK26" s="237">
        <f>IF(AK8="-","-",IF('DSCR (Single Asset)'!$F$19="STR",AK8+0.15%,AK8+0%))</f>
        <v>8.0149999999999999E-2</v>
      </c>
      <c r="AL26" s="237">
        <f>IF(AL8="-","-",IF('DSCR (Single Asset)'!$F$19="STR",AL8+0.15%,AL8+0%))</f>
        <v>8.0400000000000013E-2</v>
      </c>
      <c r="AM26" s="237">
        <f>IF(AM8="-","-",IF('DSCR (Single Asset)'!$F$19="STR",AM8+0.15%,AM8+0%))</f>
        <v>8.14E-2</v>
      </c>
      <c r="AN26" s="237">
        <f>IF(AN8="-","-",IF('DSCR (Single Asset)'!$F$19="STR",AN8+0.15%,AN8+0%))</f>
        <v>8.2150000000000001E-2</v>
      </c>
      <c r="AO26" s="237">
        <f>IF(AO8="-","-",IF('DSCR (Single Asset)'!$F$19="STR",AO8+0.15%,AO8+0%))</f>
        <v>8.3900000000000002E-2</v>
      </c>
      <c r="AP26" s="237">
        <f>IF(AP8="-","-",IF('DSCR (Single Asset)'!$F$19="STR",AP8+0.15%,AP8+0%))</f>
        <v>8.6400000000000005E-2</v>
      </c>
      <c r="AQ26" s="237">
        <f>IF(AQ8="-","-",IF('DSCR (Single Asset)'!$F$19="STR",AQ8+0.15%,AQ8+0%))</f>
        <v>9.1400000000000009E-2</v>
      </c>
      <c r="AR26" s="237" t="str">
        <f>IF(AR8="-","-",IF('DSCR (Single Asset)'!$F$19="STR",AR8+0.15%,AR8+0%))</f>
        <v>-</v>
      </c>
      <c r="AS26" s="237" t="str">
        <f>IF(AS8="-","-",IF('DSCR (Single Asset)'!$F$19="STR",AS8+0.15%,AS8+0%))</f>
        <v>-</v>
      </c>
    </row>
    <row r="27" spans="1:45" x14ac:dyDescent="0.25">
      <c r="B27" s="193" t="s">
        <v>1685</v>
      </c>
      <c r="C27" s="552">
        <f t="shared" ref="C27:K27" si="18">IF(C10="-","-",C10+0.8%)</f>
        <v>8.2900000000000001E-2</v>
      </c>
      <c r="D27" s="552">
        <f t="shared" si="18"/>
        <v>8.2900000000000001E-2</v>
      </c>
      <c r="E27" s="552">
        <f t="shared" si="18"/>
        <v>8.3650000000000002E-2</v>
      </c>
      <c r="F27" s="552">
        <f t="shared" si="18"/>
        <v>8.4400000000000003E-2</v>
      </c>
      <c r="G27" s="552">
        <f t="shared" si="18"/>
        <v>8.5150000000000003E-2</v>
      </c>
      <c r="H27" s="552">
        <f t="shared" si="18"/>
        <v>8.6900000000000005E-2</v>
      </c>
      <c r="I27" s="552">
        <f t="shared" si="18"/>
        <v>9.1900000000000009E-2</v>
      </c>
      <c r="J27" s="552" t="str">
        <f t="shared" si="18"/>
        <v>-</v>
      </c>
      <c r="K27" s="552" t="str">
        <f t="shared" si="18"/>
        <v>-</v>
      </c>
      <c r="M27" s="237" t="s">
        <v>1860</v>
      </c>
      <c r="N27" s="237">
        <v>0</v>
      </c>
      <c r="O27" s="237">
        <v>0</v>
      </c>
      <c r="P27" s="237">
        <v>0</v>
      </c>
      <c r="Q27" s="237">
        <v>0</v>
      </c>
      <c r="R27" s="237">
        <v>0</v>
      </c>
      <c r="S27" s="237">
        <v>0</v>
      </c>
      <c r="T27" s="237">
        <v>0</v>
      </c>
      <c r="U27" s="237" t="s">
        <v>2</v>
      </c>
      <c r="V27" s="237" t="s">
        <v>2</v>
      </c>
      <c r="X27" s="236" t="s">
        <v>1860</v>
      </c>
      <c r="Y27" s="236">
        <v>0</v>
      </c>
      <c r="Z27" s="236">
        <v>0</v>
      </c>
      <c r="AA27" s="236">
        <v>0</v>
      </c>
      <c r="AB27" s="236">
        <v>0</v>
      </c>
      <c r="AC27" s="236">
        <v>0</v>
      </c>
      <c r="AD27" s="236">
        <v>0</v>
      </c>
      <c r="AE27" s="236">
        <v>0</v>
      </c>
      <c r="AF27" s="236"/>
      <c r="AG27" s="236"/>
      <c r="AJ27" s="193" t="s">
        <v>1476</v>
      </c>
      <c r="AK27" s="237">
        <f>IF(AK9="-","-",IF('DSCR (Single Asset)'!$F$19="STR",AK9+0.15%,AK9+0%))</f>
        <v>7.5149999999999995E-2</v>
      </c>
      <c r="AL27" s="237">
        <f>IF(AL9="-","-",IF('DSCR (Single Asset)'!$F$19="STR",AL9+0.15%,AL9+0%))</f>
        <v>7.5400000000000009E-2</v>
      </c>
      <c r="AM27" s="237">
        <f>IF(AM9="-","-",IF('DSCR (Single Asset)'!$F$19="STR",AM9+0.15%,AM9+0%))</f>
        <v>7.6399999999999996E-2</v>
      </c>
      <c r="AN27" s="237">
        <f>IF(AN9="-","-",IF('DSCR (Single Asset)'!$F$19="STR",AN9+0.15%,AN9+0%))</f>
        <v>7.7149999999999996E-2</v>
      </c>
      <c r="AO27" s="237">
        <f>IF(AO9="-","-",IF('DSCR (Single Asset)'!$F$19="STR",AO9+0.15%,AO9+0%))</f>
        <v>7.8899999999999998E-2</v>
      </c>
      <c r="AP27" s="237">
        <f>IF(AP9="-","-",IF('DSCR (Single Asset)'!$F$19="STR",AP9+0.15%,AP9+0%))</f>
        <v>8.14E-2</v>
      </c>
      <c r="AQ27" s="237">
        <f>IF(AQ9="-","-",IF('DSCR (Single Asset)'!$F$19="STR",AQ9+0.15%,AQ9+0%))</f>
        <v>8.6400000000000005E-2</v>
      </c>
      <c r="AR27" s="237" t="str">
        <f>IF(AR9="-","-",IF('DSCR (Single Asset)'!$F$19="STR",AR9+0.15%,AR9+0%))</f>
        <v>-</v>
      </c>
      <c r="AS27" s="237" t="str">
        <f>IF(AS9="-","-",IF('DSCR (Single Asset)'!$F$19="STR",AS9+0.15%,AS9+0%))</f>
        <v>-</v>
      </c>
    </row>
    <row r="28" spans="1:45" x14ac:dyDescent="0.25">
      <c r="B28" s="193" t="s">
        <v>1684</v>
      </c>
      <c r="C28" s="552">
        <f t="shared" ref="C28:K28" si="19">IF(C11="-","-",C11+0.8%)</f>
        <v>8.1900000000000001E-2</v>
      </c>
      <c r="D28" s="552">
        <f t="shared" si="19"/>
        <v>8.1900000000000001E-2</v>
      </c>
      <c r="E28" s="552">
        <f t="shared" si="19"/>
        <v>8.2150000000000001E-2</v>
      </c>
      <c r="F28" s="552">
        <f t="shared" si="19"/>
        <v>8.2150000000000001E-2</v>
      </c>
      <c r="G28" s="552">
        <f t="shared" si="19"/>
        <v>8.3150000000000002E-2</v>
      </c>
      <c r="H28" s="552">
        <f t="shared" si="19"/>
        <v>8.4150000000000003E-2</v>
      </c>
      <c r="I28" s="552">
        <f t="shared" si="19"/>
        <v>8.9150000000000007E-2</v>
      </c>
      <c r="J28" s="552" t="str">
        <f t="shared" si="19"/>
        <v>-</v>
      </c>
      <c r="K28" s="552" t="str">
        <f t="shared" si="19"/>
        <v>-</v>
      </c>
      <c r="M28" s="237" t="s">
        <v>1859</v>
      </c>
      <c r="N28" s="237" t="s">
        <v>2</v>
      </c>
      <c r="O28" s="237" t="s">
        <v>2</v>
      </c>
      <c r="P28" s="237" t="s">
        <v>2</v>
      </c>
      <c r="Q28" s="237" t="s">
        <v>2</v>
      </c>
      <c r="R28" s="237" t="s">
        <v>2</v>
      </c>
      <c r="S28" s="237" t="s">
        <v>2</v>
      </c>
      <c r="T28" s="237" t="s">
        <v>2</v>
      </c>
      <c r="U28" s="237" t="s">
        <v>2</v>
      </c>
      <c r="V28" s="237" t="s">
        <v>2</v>
      </c>
      <c r="X28" s="236" t="s">
        <v>1859</v>
      </c>
      <c r="Y28" s="236" t="s">
        <v>2</v>
      </c>
      <c r="Z28" s="236" t="s">
        <v>2</v>
      </c>
      <c r="AA28" s="236" t="s">
        <v>2</v>
      </c>
      <c r="AB28" s="236" t="s">
        <v>2</v>
      </c>
      <c r="AC28" s="236" t="s">
        <v>2</v>
      </c>
      <c r="AD28" s="236" t="s">
        <v>2</v>
      </c>
      <c r="AE28" s="236" t="s">
        <v>2</v>
      </c>
      <c r="AF28" s="236"/>
      <c r="AG28" s="236"/>
      <c r="AJ28" s="193" t="s">
        <v>1685</v>
      </c>
      <c r="AK28" s="237">
        <f>IF(AK10="-","-",IF('DSCR (Single Asset)'!$F$19="STR",AK10+0.15%,AK10+0%))</f>
        <v>7.4899999999999994E-2</v>
      </c>
      <c r="AL28" s="237">
        <f>IF(AL10="-","-",IF('DSCR (Single Asset)'!$F$19="STR",AL10+0.15%,AL10+0%))</f>
        <v>7.4899999999999994E-2</v>
      </c>
      <c r="AM28" s="237">
        <f>IF(AM10="-","-",IF('DSCR (Single Asset)'!$F$19="STR",AM10+0.15%,AM10+0%))</f>
        <v>7.5649999999999995E-2</v>
      </c>
      <c r="AN28" s="237">
        <f>IF(AN10="-","-",IF('DSCR (Single Asset)'!$F$19="STR",AN10+0.15%,AN10+0%))</f>
        <v>7.6399999999999996E-2</v>
      </c>
      <c r="AO28" s="237">
        <f>IF(AO10="-","-",IF('DSCR (Single Asset)'!$F$19="STR",AO10+0.15%,AO10+0%))</f>
        <v>7.7149999999999996E-2</v>
      </c>
      <c r="AP28" s="237">
        <f>IF(AP10="-","-",IF('DSCR (Single Asset)'!$F$19="STR",AP10+0.15%,AP10+0%))</f>
        <v>7.8899999999999998E-2</v>
      </c>
      <c r="AQ28" s="237">
        <f>IF(AQ10="-","-",IF('DSCR (Single Asset)'!$F$19="STR",AQ10+0.15%,AQ10+0%))</f>
        <v>8.3900000000000002E-2</v>
      </c>
      <c r="AR28" s="237" t="str">
        <f>IF(AR10="-","-",IF('DSCR (Single Asset)'!$F$19="STR",AR10+0.15%,AR10+0%))</f>
        <v>-</v>
      </c>
      <c r="AS28" s="237" t="str">
        <f>IF(AS10="-","-",IF('DSCR (Single Asset)'!$F$19="STR",AS10+0.15%,AS10+0%))</f>
        <v>-</v>
      </c>
    </row>
    <row r="29" spans="1:45" x14ac:dyDescent="0.25">
      <c r="B29" s="193" t="s">
        <v>1683</v>
      </c>
      <c r="C29" s="552">
        <f t="shared" ref="C29:K29" si="20">IF(C12="-","-",C12+0.8%)</f>
        <v>8.09E-2</v>
      </c>
      <c r="D29" s="552">
        <f t="shared" si="20"/>
        <v>8.115E-2</v>
      </c>
      <c r="E29" s="552">
        <f t="shared" si="20"/>
        <v>8.14E-2</v>
      </c>
      <c r="F29" s="552">
        <f t="shared" si="20"/>
        <v>8.165E-2</v>
      </c>
      <c r="G29" s="552">
        <f t="shared" si="20"/>
        <v>8.1900000000000001E-2</v>
      </c>
      <c r="H29" s="552">
        <f t="shared" si="20"/>
        <v>8.2900000000000001E-2</v>
      </c>
      <c r="I29" s="552">
        <f t="shared" si="20"/>
        <v>8.7900000000000006E-2</v>
      </c>
      <c r="J29" s="552" t="str">
        <f t="shared" si="20"/>
        <v>-</v>
      </c>
      <c r="K29" s="552" t="str">
        <f t="shared" si="20"/>
        <v>-</v>
      </c>
      <c r="M29" s="552" t="s">
        <v>1858</v>
      </c>
      <c r="N29" s="552">
        <v>-1E-3</v>
      </c>
      <c r="O29" s="552">
        <v>-1E-3</v>
      </c>
      <c r="P29" s="552">
        <v>-1E-3</v>
      </c>
      <c r="Q29" s="552">
        <v>-1E-3</v>
      </c>
      <c r="R29" s="552">
        <v>-1E-3</v>
      </c>
      <c r="S29" s="552">
        <v>-1E-3</v>
      </c>
      <c r="T29" s="552">
        <v>-1E-3</v>
      </c>
      <c r="U29" s="552" t="s">
        <v>2</v>
      </c>
      <c r="V29" s="552" t="s">
        <v>2</v>
      </c>
      <c r="X29" s="236" t="s">
        <v>1858</v>
      </c>
      <c r="Y29" s="552">
        <v>-1E-3</v>
      </c>
      <c r="Z29" s="552">
        <v>-1E-3</v>
      </c>
      <c r="AA29" s="552">
        <v>-1E-3</v>
      </c>
      <c r="AB29" s="552">
        <v>-1E-3</v>
      </c>
      <c r="AC29" s="552">
        <v>-1E-3</v>
      </c>
      <c r="AD29" s="552">
        <v>-1E-3</v>
      </c>
      <c r="AE29" s="552">
        <v>-1E-3</v>
      </c>
      <c r="AF29" s="236"/>
      <c r="AG29" s="236"/>
      <c r="AJ29" s="193" t="s">
        <v>1684</v>
      </c>
      <c r="AK29" s="237">
        <f>IF(AK11="-","-",IF('DSCR (Single Asset)'!$F$19="STR",AK11+0.15%,AK11+0%))</f>
        <v>7.3900000000000007E-2</v>
      </c>
      <c r="AL29" s="237">
        <f>IF(AL11="-","-",IF('DSCR (Single Asset)'!$F$19="STR",AL11+0.15%,AL11+0%))</f>
        <v>7.3900000000000007E-2</v>
      </c>
      <c r="AM29" s="237">
        <f>IF(AM11="-","-",IF('DSCR (Single Asset)'!$F$19="STR",AM11+0.15%,AM11+0%))</f>
        <v>7.4150000000000008E-2</v>
      </c>
      <c r="AN29" s="237">
        <f>IF(AN11="-","-",IF('DSCR (Single Asset)'!$F$19="STR",AN11+0.15%,AN11+0%))</f>
        <v>7.4150000000000008E-2</v>
      </c>
      <c r="AO29" s="237">
        <f>IF(AO11="-","-",IF('DSCR (Single Asset)'!$F$19="STR",AO11+0.15%,AO11+0%))</f>
        <v>7.5149999999999995E-2</v>
      </c>
      <c r="AP29" s="237">
        <f>IF(AP11="-","-",IF('DSCR (Single Asset)'!$F$19="STR",AP11+0.15%,AP11+0%))</f>
        <v>7.6149999999999995E-2</v>
      </c>
      <c r="AQ29" s="237">
        <f>IF(AQ11="-","-",IF('DSCR (Single Asset)'!$F$19="STR",AQ11+0.15%,AQ11+0%))</f>
        <v>8.115E-2</v>
      </c>
      <c r="AR29" s="237" t="str">
        <f>IF(AR11="-","-",IF('DSCR (Single Asset)'!$F$19="STR",AR11+0.15%,AR11+0%))</f>
        <v>-</v>
      </c>
      <c r="AS29" s="237" t="str">
        <f>IF(AS11="-","-",IF('DSCR (Single Asset)'!$F$19="STR",AS11+0.15%,AS11+0%))</f>
        <v>-</v>
      </c>
    </row>
    <row r="30" spans="1:45" x14ac:dyDescent="0.25">
      <c r="B30" s="193" t="s">
        <v>1682</v>
      </c>
      <c r="C30" s="552">
        <f t="shared" ref="C30:K30" si="21">IF(C13="-","-",C13+0.8%)</f>
        <v>8.0399999999999999E-2</v>
      </c>
      <c r="D30" s="552">
        <f t="shared" si="21"/>
        <v>8.0399999999999999E-2</v>
      </c>
      <c r="E30" s="552">
        <f t="shared" si="21"/>
        <v>8.0524999999999985E-2</v>
      </c>
      <c r="F30" s="552">
        <f t="shared" si="21"/>
        <v>8.0649999999999999E-2</v>
      </c>
      <c r="G30" s="552">
        <f t="shared" si="21"/>
        <v>8.1850000000000006E-2</v>
      </c>
      <c r="H30" s="552">
        <f t="shared" si="21"/>
        <v>8.1900000000000001E-2</v>
      </c>
      <c r="I30" s="552">
        <f t="shared" si="21"/>
        <v>8.6900000000000005E-2</v>
      </c>
      <c r="J30" s="552" t="str">
        <f t="shared" si="21"/>
        <v>-</v>
      </c>
      <c r="K30" s="552" t="str">
        <f t="shared" si="21"/>
        <v>-</v>
      </c>
      <c r="M30" s="552" t="s">
        <v>1857</v>
      </c>
      <c r="N30" s="552">
        <v>-5.0000000000000001E-4</v>
      </c>
      <c r="O30" s="552">
        <v>-5.0000000000000001E-4</v>
      </c>
      <c r="P30" s="552">
        <v>-5.0000000000000001E-4</v>
      </c>
      <c r="Q30" s="552">
        <v>-5.0000000000000001E-4</v>
      </c>
      <c r="R30" s="552">
        <v>-5.0000000000000001E-4</v>
      </c>
      <c r="S30" s="552">
        <v>-5.0000000000000001E-4</v>
      </c>
      <c r="T30" s="552">
        <v>-5.0000000000000001E-4</v>
      </c>
      <c r="U30" s="552" t="s">
        <v>2</v>
      </c>
      <c r="V30" s="552" t="s">
        <v>2</v>
      </c>
      <c r="X30" s="236" t="s">
        <v>1857</v>
      </c>
      <c r="Y30" s="552">
        <v>-5.0000000000000001E-4</v>
      </c>
      <c r="Z30" s="552">
        <v>-5.0000000000000001E-4</v>
      </c>
      <c r="AA30" s="552">
        <v>-5.0000000000000001E-4</v>
      </c>
      <c r="AB30" s="552">
        <v>-5.0000000000000001E-4</v>
      </c>
      <c r="AC30" s="552">
        <v>-5.0000000000000001E-4</v>
      </c>
      <c r="AD30" s="552">
        <v>-5.0000000000000001E-4</v>
      </c>
      <c r="AE30" s="552">
        <v>-5.0000000000000001E-4</v>
      </c>
      <c r="AF30" s="236"/>
      <c r="AG30" s="236"/>
      <c r="AJ30" s="193" t="s">
        <v>1683</v>
      </c>
      <c r="AK30" s="237">
        <f>IF(AK12="-","-",IF('DSCR (Single Asset)'!$F$19="STR",AK12+0.15%,AK12+0%))</f>
        <v>7.2900000000000006E-2</v>
      </c>
      <c r="AL30" s="237">
        <f>IF(AL12="-","-",IF('DSCR (Single Asset)'!$F$19="STR",AL12+0.15%,AL12+0%))</f>
        <v>7.3149999999999993E-2</v>
      </c>
      <c r="AM30" s="237">
        <f>IF(AM12="-","-",IF('DSCR (Single Asset)'!$F$19="STR",AM12+0.15%,AM12+0%))</f>
        <v>7.3400000000000007E-2</v>
      </c>
      <c r="AN30" s="237">
        <f>IF(AN12="-","-",IF('DSCR (Single Asset)'!$F$19="STR",AN12+0.15%,AN12+0%))</f>
        <v>7.3650000000000007E-2</v>
      </c>
      <c r="AO30" s="237">
        <f>IF(AO12="-","-",IF('DSCR (Single Asset)'!$F$19="STR",AO12+0.15%,AO12+0%))</f>
        <v>7.3900000000000007E-2</v>
      </c>
      <c r="AP30" s="237">
        <f>IF(AP12="-","-",IF('DSCR (Single Asset)'!$F$19="STR",AP12+0.15%,AP12+0%))</f>
        <v>7.4899999999999994E-2</v>
      </c>
      <c r="AQ30" s="237">
        <f>IF(AQ12="-","-",IF('DSCR (Single Asset)'!$F$19="STR",AQ12+0.15%,AQ12+0%))</f>
        <v>7.9899999999999999E-2</v>
      </c>
      <c r="AR30" s="237" t="str">
        <f>IF(AR12="-","-",IF('DSCR (Single Asset)'!$F$19="STR",AR12+0.15%,AR12+0%))</f>
        <v>-</v>
      </c>
      <c r="AS30" s="237" t="str">
        <f>IF(AS12="-","-",IF('DSCR (Single Asset)'!$F$19="STR",AS12+0.15%,AS12+0%))</f>
        <v>-</v>
      </c>
    </row>
    <row r="31" spans="1:45" x14ac:dyDescent="0.25">
      <c r="B31" s="193" t="s">
        <v>1681</v>
      </c>
      <c r="C31" s="552">
        <f t="shared" ref="C31:K31" si="22">IF(C14="-","-",C14+0.8%)</f>
        <v>8.0149999999999999E-2</v>
      </c>
      <c r="D31" s="552">
        <f t="shared" si="22"/>
        <v>8.0149999999999999E-2</v>
      </c>
      <c r="E31" s="552">
        <f t="shared" si="22"/>
        <v>8.0399999999999999E-2</v>
      </c>
      <c r="F31" s="552">
        <f t="shared" si="22"/>
        <v>8.0649999999999999E-2</v>
      </c>
      <c r="G31" s="552">
        <f t="shared" si="22"/>
        <v>8.1750000000000017E-2</v>
      </c>
      <c r="H31" s="552">
        <f t="shared" si="22"/>
        <v>8.1850000000000006E-2</v>
      </c>
      <c r="I31" s="552">
        <f t="shared" si="22"/>
        <v>8.6850000000000011E-2</v>
      </c>
      <c r="J31" s="552" t="str">
        <f t="shared" si="22"/>
        <v>-</v>
      </c>
      <c r="K31" s="552" t="str">
        <f t="shared" si="22"/>
        <v>-</v>
      </c>
      <c r="M31" s="552" t="s">
        <v>1856</v>
      </c>
      <c r="N31" s="552">
        <v>0</v>
      </c>
      <c r="O31" s="552">
        <v>0</v>
      </c>
      <c r="P31" s="552">
        <v>0</v>
      </c>
      <c r="Q31" s="552">
        <v>0</v>
      </c>
      <c r="R31" s="552">
        <v>0</v>
      </c>
      <c r="S31" s="552">
        <v>0</v>
      </c>
      <c r="T31" s="552">
        <v>0</v>
      </c>
      <c r="U31" s="552" t="s">
        <v>2</v>
      </c>
      <c r="V31" s="552" t="s">
        <v>2</v>
      </c>
      <c r="X31" s="236" t="s">
        <v>1856</v>
      </c>
      <c r="Y31" s="552">
        <v>0</v>
      </c>
      <c r="Z31" s="552">
        <v>0</v>
      </c>
      <c r="AA31" s="552">
        <v>0</v>
      </c>
      <c r="AB31" s="552">
        <v>0</v>
      </c>
      <c r="AC31" s="552">
        <v>0</v>
      </c>
      <c r="AD31" s="552">
        <v>0</v>
      </c>
      <c r="AE31" s="552">
        <v>0</v>
      </c>
      <c r="AF31" s="236"/>
      <c r="AG31" s="236"/>
      <c r="AJ31" s="193" t="s">
        <v>1682</v>
      </c>
      <c r="AK31" s="237">
        <f>IF(AK13="-","-",IF('DSCR (Single Asset)'!$F$19="STR",AK13+0.15%,AK13+0%))</f>
        <v>7.2399999999999992E-2</v>
      </c>
      <c r="AL31" s="237">
        <f>IF(AL13="-","-",IF('DSCR (Single Asset)'!$F$19="STR",AL13+0.15%,AL13+0%))</f>
        <v>7.2399999999999992E-2</v>
      </c>
      <c r="AM31" s="237">
        <f>IF(AM13="-","-",IF('DSCR (Single Asset)'!$F$19="STR",AM13+0.15%,AM13+0%))</f>
        <v>7.2524999999999992E-2</v>
      </c>
      <c r="AN31" s="237">
        <f>IF(AN13="-","-",IF('DSCR (Single Asset)'!$F$19="STR",AN13+0.15%,AN13+0%))</f>
        <v>7.2650000000000006E-2</v>
      </c>
      <c r="AO31" s="237">
        <f>IF(AO13="-","-",IF('DSCR (Single Asset)'!$F$19="STR",AO13+0.15%,AO13+0%))</f>
        <v>7.3849999999999999E-2</v>
      </c>
      <c r="AP31" s="237">
        <f>IF(AP13="-","-",IF('DSCR (Single Asset)'!$F$19="STR",AP13+0.15%,AP13+0%))</f>
        <v>7.3900000000000007E-2</v>
      </c>
      <c r="AQ31" s="237">
        <f>IF(AQ13="-","-",IF('DSCR (Single Asset)'!$F$19="STR",AQ13+0.15%,AQ13+0%))</f>
        <v>7.8900000000000012E-2</v>
      </c>
      <c r="AR31" s="237" t="str">
        <f>IF(AR13="-","-",IF('DSCR (Single Asset)'!$F$19="STR",AR13+0.15%,AR13+0%))</f>
        <v>-</v>
      </c>
      <c r="AS31" s="237" t="str">
        <f>IF(AS13="-","-",IF('DSCR (Single Asset)'!$F$19="STR",AS13+0.15%,AS13+0%))</f>
        <v>-</v>
      </c>
    </row>
    <row r="32" spans="1:45" x14ac:dyDescent="0.25">
      <c r="B32" s="193" t="s">
        <v>1680</v>
      </c>
      <c r="C32" s="552">
        <f t="shared" ref="C32:K32" si="23">IF(C15="-","-",C15+0.8%)</f>
        <v>7.9649999999999999E-2</v>
      </c>
      <c r="D32" s="552">
        <f t="shared" si="23"/>
        <v>7.9649999999999999E-2</v>
      </c>
      <c r="E32" s="552">
        <f t="shared" si="23"/>
        <v>7.9899999999999999E-2</v>
      </c>
      <c r="F32" s="552">
        <f t="shared" si="23"/>
        <v>8.0649999999999999E-2</v>
      </c>
      <c r="G32" s="552">
        <f t="shared" si="23"/>
        <v>8.165E-2</v>
      </c>
      <c r="H32" s="552">
        <f t="shared" si="23"/>
        <v>8.1750000000000017E-2</v>
      </c>
      <c r="I32" s="552">
        <f t="shared" si="23"/>
        <v>8.6750000000000022E-2</v>
      </c>
      <c r="J32" s="552" t="str">
        <f t="shared" si="23"/>
        <v>-</v>
      </c>
      <c r="K32" s="552" t="str">
        <f t="shared" si="23"/>
        <v>-</v>
      </c>
      <c r="M32" s="238"/>
      <c r="N32" s="238"/>
      <c r="O32" s="238"/>
      <c r="P32" s="238"/>
      <c r="Q32" s="238"/>
      <c r="R32" s="238"/>
      <c r="S32" s="238"/>
      <c r="T32" s="238"/>
      <c r="U32" s="238"/>
      <c r="V32" s="238"/>
      <c r="AJ32" s="193" t="s">
        <v>1681</v>
      </c>
      <c r="AK32" s="237">
        <f>IF(AK14="-","-",IF('DSCR (Single Asset)'!$F$19="STR",AK14+0.15%,AK14+0%))</f>
        <v>7.2150000000000006E-2</v>
      </c>
      <c r="AL32" s="237">
        <f>IF(AL14="-","-",IF('DSCR (Single Asset)'!$F$19="STR",AL14+0.15%,AL14+0%))</f>
        <v>7.2150000000000006E-2</v>
      </c>
      <c r="AM32" s="237">
        <f>IF(AM14="-","-",IF('DSCR (Single Asset)'!$F$19="STR",AM14+0.15%,AM14+0%))</f>
        <v>7.2400000000000006E-2</v>
      </c>
      <c r="AN32" s="237">
        <f>IF(AN14="-","-",IF('DSCR (Single Asset)'!$F$19="STR",AN14+0.15%,AN14+0%))</f>
        <v>7.2650000000000006E-2</v>
      </c>
      <c r="AO32" s="237">
        <f>IF(AO14="-","-",IF('DSCR (Single Asset)'!$F$19="STR",AO14+0.15%,AO14+0%))</f>
        <v>7.375000000000001E-2</v>
      </c>
      <c r="AP32" s="237">
        <f>IF(AP14="-","-",IF('DSCR (Single Asset)'!$F$19="STR",AP14+0.15%,AP14+0%))</f>
        <v>7.3849999999999999E-2</v>
      </c>
      <c r="AQ32" s="237">
        <f>IF(AQ14="-","-",IF('DSCR (Single Asset)'!$F$19="STR",AQ14+0.15%,AQ14+0%))</f>
        <v>7.8850000000000003E-2</v>
      </c>
      <c r="AR32" s="237" t="str">
        <f>IF(AR14="-","-",IF('DSCR (Single Asset)'!$F$19="STR",AR14+0.15%,AR14+0%))</f>
        <v>-</v>
      </c>
      <c r="AS32" s="237" t="str">
        <f>IF(AS14="-","-",IF('DSCR (Single Asset)'!$F$19="STR",AS14+0.15%,AS14+0%))</f>
        <v>-</v>
      </c>
    </row>
    <row r="33" spans="1:45" x14ac:dyDescent="0.25">
      <c r="B33" s="193" t="s">
        <v>1679</v>
      </c>
      <c r="C33" s="552">
        <f t="shared" ref="C33:K33" si="24">IF(C16="-","-",C16+0.8%)</f>
        <v>8.5650000000000004E-2</v>
      </c>
      <c r="D33" s="552">
        <f t="shared" si="24"/>
        <v>8.5900000000000004E-2</v>
      </c>
      <c r="E33" s="552">
        <f t="shared" si="24"/>
        <v>8.6150000000000004E-2</v>
      </c>
      <c r="F33" s="552">
        <f t="shared" si="24"/>
        <v>8.6150000000000004E-2</v>
      </c>
      <c r="G33" s="552">
        <f t="shared" si="24"/>
        <v>8.6400000000000005E-2</v>
      </c>
      <c r="H33" s="552">
        <f t="shared" si="24"/>
        <v>8.6650000000000005E-2</v>
      </c>
      <c r="I33" s="552">
        <f t="shared" si="24"/>
        <v>9.1650000000000009E-2</v>
      </c>
      <c r="J33" s="552" t="str">
        <f t="shared" si="24"/>
        <v>-</v>
      </c>
      <c r="K33" s="552" t="str">
        <f t="shared" si="24"/>
        <v>-</v>
      </c>
      <c r="M33" s="238"/>
      <c r="N33" s="238"/>
      <c r="O33" s="238"/>
      <c r="P33" s="238"/>
      <c r="Q33" s="238"/>
      <c r="R33" s="238"/>
      <c r="S33" s="238"/>
      <c r="T33" s="238"/>
      <c r="U33" s="238"/>
      <c r="V33" s="238"/>
      <c r="AJ33" s="193" t="s">
        <v>1680</v>
      </c>
      <c r="AK33" s="237">
        <f>IF(AK15="-","-",IF('DSCR (Single Asset)'!$F$19="STR",AK15+0.15%,AK15+0%))</f>
        <v>7.1650000000000005E-2</v>
      </c>
      <c r="AL33" s="237">
        <f>IF(AL15="-","-",IF('DSCR (Single Asset)'!$F$19="STR",AL15+0.15%,AL15+0%))</f>
        <v>7.1650000000000005E-2</v>
      </c>
      <c r="AM33" s="237">
        <f>IF(AM15="-","-",IF('DSCR (Single Asset)'!$F$19="STR",AM15+0.15%,AM15+0%))</f>
        <v>7.1900000000000006E-2</v>
      </c>
      <c r="AN33" s="237">
        <f>IF(AN15="-","-",IF('DSCR (Single Asset)'!$F$19="STR",AN15+0.15%,AN15+0%))</f>
        <v>7.2650000000000006E-2</v>
      </c>
      <c r="AO33" s="237">
        <f>IF(AO15="-","-",IF('DSCR (Single Asset)'!$F$19="STR",AO15+0.15%,AO15+0%))</f>
        <v>7.3649999999999993E-2</v>
      </c>
      <c r="AP33" s="237">
        <f>IF(AP15="-","-",IF('DSCR (Single Asset)'!$F$19="STR",AP15+0.15%,AP15+0%))</f>
        <v>7.375000000000001E-2</v>
      </c>
      <c r="AQ33" s="237">
        <f>IF(AQ15="-","-",IF('DSCR (Single Asset)'!$F$19="STR",AQ15+0.15%,AQ15+0%))</f>
        <v>7.8750000000000014E-2</v>
      </c>
      <c r="AR33" s="237" t="str">
        <f>IF(AR15="-","-",IF('DSCR (Single Asset)'!$F$19="STR",AR15+0.15%,AR15+0%))</f>
        <v>-</v>
      </c>
      <c r="AS33" s="237" t="str">
        <f>IF(AS15="-","-",IF('DSCR (Single Asset)'!$F$19="STR",AS15+0.15%,AS15+0%))</f>
        <v>-</v>
      </c>
    </row>
    <row r="34" spans="1:45" x14ac:dyDescent="0.25">
      <c r="M34" s="804" t="s">
        <v>1855</v>
      </c>
      <c r="N34" s="804"/>
      <c r="O34" s="804"/>
      <c r="P34" s="804"/>
      <c r="Q34" s="804"/>
      <c r="R34" s="804"/>
      <c r="S34" s="804"/>
      <c r="T34" s="804"/>
      <c r="U34" s="804"/>
      <c r="V34" s="804"/>
      <c r="X34" s="805" t="s">
        <v>1855</v>
      </c>
      <c r="Y34" s="805"/>
      <c r="Z34" s="805"/>
      <c r="AA34" s="805"/>
      <c r="AB34" s="805"/>
      <c r="AC34" s="805"/>
      <c r="AD34" s="805"/>
      <c r="AE34" s="805"/>
      <c r="AF34" s="805"/>
      <c r="AG34" s="805"/>
      <c r="AJ34" s="193" t="s">
        <v>1679</v>
      </c>
      <c r="AK34" s="237">
        <f>IF(AK16="-","-",IF('DSCR (Single Asset)'!$F$19="STR",AK16+0.15%,AK16+0%))</f>
        <v>7.7649999999999997E-2</v>
      </c>
      <c r="AL34" s="237">
        <f>IF(AL16="-","-",IF('DSCR (Single Asset)'!$F$19="STR",AL16+0.15%,AL16+0%))</f>
        <v>7.7899999999999997E-2</v>
      </c>
      <c r="AM34" s="237">
        <f>IF(AM16="-","-",IF('DSCR (Single Asset)'!$F$19="STR",AM16+0.15%,AM16+0%))</f>
        <v>7.8149999999999997E-2</v>
      </c>
      <c r="AN34" s="237">
        <f>IF(AN16="-","-",IF('DSCR (Single Asset)'!$F$19="STR",AN16+0.15%,AN16+0%))</f>
        <v>7.8149999999999997E-2</v>
      </c>
      <c r="AO34" s="237">
        <f>IF(AO16="-","-",IF('DSCR (Single Asset)'!$F$19="STR",AO16+0.15%,AO16+0%))</f>
        <v>7.8399999999999997E-2</v>
      </c>
      <c r="AP34" s="237">
        <f>IF(AP16="-","-",IF('DSCR (Single Asset)'!$F$19="STR",AP16+0.15%,AP16+0%))</f>
        <v>7.8649999999999998E-2</v>
      </c>
      <c r="AQ34" s="237">
        <f>IF(AQ16="-","-",IF('DSCR (Single Asset)'!$F$19="STR",AQ16+0.15%,AQ16+0%))</f>
        <v>8.3650000000000002E-2</v>
      </c>
      <c r="AR34" s="237" t="str">
        <f>IF(AR16="-","-",IF('DSCR (Single Asset)'!$F$19="STR",AR16+0.15%,AR16+0%))</f>
        <v>-</v>
      </c>
      <c r="AS34" s="237" t="str">
        <f>IF(AS16="-","-",IF('DSCR (Single Asset)'!$F$19="STR",AS16+0.15%,AS16+0%))</f>
        <v>-</v>
      </c>
    </row>
    <row r="35" spans="1:45" x14ac:dyDescent="0.25">
      <c r="A35" s="809">
        <f>'DSCR (Single Asset)'!$C$9</f>
        <v>0</v>
      </c>
      <c r="B35" s="794" t="s">
        <v>1854</v>
      </c>
      <c r="C35" s="794"/>
      <c r="D35" s="794"/>
      <c r="E35" s="794"/>
      <c r="F35" s="794"/>
      <c r="G35" s="794"/>
      <c r="H35" s="794"/>
      <c r="I35" s="794"/>
      <c r="J35" s="794"/>
      <c r="K35" s="794"/>
      <c r="M35" s="237" t="s">
        <v>1853</v>
      </c>
      <c r="N35" s="552">
        <v>0</v>
      </c>
      <c r="O35" s="552">
        <v>0</v>
      </c>
      <c r="P35" s="552">
        <v>0</v>
      </c>
      <c r="Q35" s="552">
        <v>0</v>
      </c>
      <c r="R35" s="552">
        <v>0</v>
      </c>
      <c r="S35" s="552">
        <v>0</v>
      </c>
      <c r="T35" s="552">
        <v>0</v>
      </c>
      <c r="U35" s="237" t="s">
        <v>2</v>
      </c>
      <c r="V35" s="237" t="s">
        <v>2</v>
      </c>
      <c r="X35" s="236" t="s">
        <v>1853</v>
      </c>
      <c r="Y35" s="552">
        <v>0</v>
      </c>
      <c r="Z35" s="552">
        <v>0</v>
      </c>
      <c r="AA35" s="552">
        <v>0</v>
      </c>
      <c r="AB35" s="552">
        <v>0</v>
      </c>
      <c r="AC35" s="552">
        <v>0</v>
      </c>
      <c r="AD35" s="552">
        <v>0</v>
      </c>
      <c r="AE35" s="552">
        <v>0</v>
      </c>
      <c r="AF35" s="236"/>
      <c r="AG35" s="236"/>
    </row>
    <row r="36" spans="1:45" x14ac:dyDescent="0.25">
      <c r="A36" s="810"/>
      <c r="B36" s="243">
        <v>104</v>
      </c>
      <c r="C36" s="195" t="s">
        <v>1640</v>
      </c>
      <c r="D36" s="195" t="s">
        <v>1639</v>
      </c>
      <c r="E36" s="195" t="s">
        <v>1638</v>
      </c>
      <c r="F36" s="195" t="s">
        <v>1637</v>
      </c>
      <c r="G36" s="195" t="s">
        <v>1636</v>
      </c>
      <c r="H36" s="195" t="s">
        <v>1635</v>
      </c>
      <c r="I36" s="195" t="s">
        <v>1634</v>
      </c>
      <c r="J36" s="195" t="s">
        <v>1841</v>
      </c>
      <c r="K36" s="195" t="s">
        <v>1840</v>
      </c>
      <c r="M36" s="237" t="s">
        <v>1852</v>
      </c>
      <c r="N36" s="552">
        <v>2.5000000000000001E-3</v>
      </c>
      <c r="O36" s="552">
        <v>2.5000000000000001E-3</v>
      </c>
      <c r="P36" s="552">
        <v>2.5000000000000001E-3</v>
      </c>
      <c r="Q36" s="552">
        <v>2.5000000000000001E-3</v>
      </c>
      <c r="R36" s="552">
        <v>2.5000000000000001E-3</v>
      </c>
      <c r="S36" s="552">
        <v>2.5000000000000001E-3</v>
      </c>
      <c r="T36" s="552">
        <v>2.5000000000000001E-3</v>
      </c>
      <c r="U36" s="237" t="s">
        <v>2</v>
      </c>
      <c r="V36" s="237" t="s">
        <v>2</v>
      </c>
      <c r="X36" s="236" t="s">
        <v>1852</v>
      </c>
      <c r="Y36" s="552">
        <v>2.5000000000000001E-3</v>
      </c>
      <c r="Z36" s="552">
        <v>2.5000000000000001E-3</v>
      </c>
      <c r="AA36" s="552">
        <v>2.5000000000000001E-3</v>
      </c>
      <c r="AB36" s="552">
        <v>2.5000000000000001E-3</v>
      </c>
      <c r="AC36" s="552">
        <v>2.5000000000000001E-3</v>
      </c>
      <c r="AD36" s="552">
        <v>2.5000000000000001E-3</v>
      </c>
      <c r="AE36" s="552">
        <v>2.5000000000000001E-3</v>
      </c>
      <c r="AF36" s="236"/>
      <c r="AG36" s="236"/>
    </row>
    <row r="37" spans="1:45" x14ac:dyDescent="0.25">
      <c r="B37" s="239" t="s">
        <v>1691</v>
      </c>
      <c r="C37" s="241" t="str">
        <f t="shared" ref="C37:K37" si="25">IF(C3="-","-",C3+($A$35/$A$1))</f>
        <v>-</v>
      </c>
      <c r="D37" s="241" t="str">
        <f t="shared" si="25"/>
        <v>-</v>
      </c>
      <c r="E37" s="241" t="str">
        <f t="shared" si="25"/>
        <v>-</v>
      </c>
      <c r="F37" s="241" t="str">
        <f t="shared" si="25"/>
        <v>-</v>
      </c>
      <c r="G37" s="241" t="str">
        <f t="shared" si="25"/>
        <v>-</v>
      </c>
      <c r="H37" s="241" t="str">
        <f t="shared" si="25"/>
        <v>-</v>
      </c>
      <c r="I37" s="241" t="str">
        <f t="shared" si="25"/>
        <v>-</v>
      </c>
      <c r="J37" s="241" t="str">
        <f t="shared" si="25"/>
        <v>-</v>
      </c>
      <c r="K37" s="241" t="str">
        <f t="shared" si="25"/>
        <v>-</v>
      </c>
      <c r="M37" s="237" t="s">
        <v>1851</v>
      </c>
      <c r="N37" s="552">
        <v>2E-3</v>
      </c>
      <c r="O37" s="552">
        <v>2E-3</v>
      </c>
      <c r="P37" s="552">
        <v>2E-3</v>
      </c>
      <c r="Q37" s="552">
        <v>2E-3</v>
      </c>
      <c r="R37" s="552">
        <v>2E-3</v>
      </c>
      <c r="S37" s="552">
        <v>2E-3</v>
      </c>
      <c r="T37" s="552">
        <v>2E-3</v>
      </c>
      <c r="U37" s="237" t="s">
        <v>2</v>
      </c>
      <c r="V37" s="237" t="s">
        <v>2</v>
      </c>
      <c r="X37" s="236" t="s">
        <v>1851</v>
      </c>
      <c r="Y37" s="552">
        <v>2E-3</v>
      </c>
      <c r="Z37" s="552">
        <v>2E-3</v>
      </c>
      <c r="AA37" s="552">
        <v>2E-3</v>
      </c>
      <c r="AB37" s="552">
        <v>2E-3</v>
      </c>
      <c r="AC37" s="552">
        <v>2E-3</v>
      </c>
      <c r="AD37" s="552">
        <v>2E-3</v>
      </c>
      <c r="AE37" s="552">
        <v>2E-3</v>
      </c>
      <c r="AF37" s="236"/>
      <c r="AG37" s="236"/>
    </row>
    <row r="38" spans="1:45" x14ac:dyDescent="0.25">
      <c r="B38" s="239" t="s">
        <v>1690</v>
      </c>
      <c r="C38" s="241" t="str">
        <f t="shared" ref="C38:K38" si="26">IF(C4="-","-",C4+($A$35/$A$1))</f>
        <v>-</v>
      </c>
      <c r="D38" s="241" t="str">
        <f t="shared" si="26"/>
        <v>-</v>
      </c>
      <c r="E38" s="241" t="str">
        <f t="shared" si="26"/>
        <v>-</v>
      </c>
      <c r="F38" s="241" t="str">
        <f t="shared" si="26"/>
        <v>-</v>
      </c>
      <c r="G38" s="241" t="str">
        <f t="shared" si="26"/>
        <v>-</v>
      </c>
      <c r="H38" s="241" t="str">
        <f t="shared" si="26"/>
        <v>-</v>
      </c>
      <c r="I38" s="241" t="str">
        <f t="shared" si="26"/>
        <v>-</v>
      </c>
      <c r="J38" s="241" t="str">
        <f t="shared" si="26"/>
        <v>-</v>
      </c>
      <c r="K38" s="241" t="str">
        <f t="shared" si="26"/>
        <v>-</v>
      </c>
      <c r="M38" s="237" t="s">
        <v>1850</v>
      </c>
      <c r="N38" s="552">
        <v>1.5E-3</v>
      </c>
      <c r="O38" s="552">
        <v>1.5E-3</v>
      </c>
      <c r="P38" s="552">
        <v>1.5E-3</v>
      </c>
      <c r="Q38" s="552">
        <v>1.5E-3</v>
      </c>
      <c r="R38" s="552">
        <v>1.5E-3</v>
      </c>
      <c r="S38" s="552">
        <v>1.5E-3</v>
      </c>
      <c r="T38" s="552">
        <v>1.5E-3</v>
      </c>
      <c r="U38" s="237" t="s">
        <v>2</v>
      </c>
      <c r="V38" s="237" t="s">
        <v>2</v>
      </c>
      <c r="X38" s="236" t="s">
        <v>1850</v>
      </c>
      <c r="Y38" s="552">
        <v>1.5E-3</v>
      </c>
      <c r="Z38" s="552">
        <v>1.5E-3</v>
      </c>
      <c r="AA38" s="552">
        <v>1.5E-3</v>
      </c>
      <c r="AB38" s="552">
        <v>1.5E-3</v>
      </c>
      <c r="AC38" s="552">
        <v>1.5E-3</v>
      </c>
      <c r="AD38" s="552">
        <v>1.5E-3</v>
      </c>
      <c r="AE38" s="552">
        <v>1.5E-3</v>
      </c>
      <c r="AF38" s="236"/>
      <c r="AG38" s="236"/>
    </row>
    <row r="39" spans="1:45" x14ac:dyDescent="0.25">
      <c r="B39" s="239" t="s">
        <v>1689</v>
      </c>
      <c r="C39" s="241" t="str">
        <f t="shared" ref="C39:K39" si="27">IF(C5="-","-",C5+($A$35/$A$1))</f>
        <v>-</v>
      </c>
      <c r="D39" s="241" t="str">
        <f t="shared" si="27"/>
        <v>-</v>
      </c>
      <c r="E39" s="241" t="str">
        <f t="shared" si="27"/>
        <v>-</v>
      </c>
      <c r="F39" s="241" t="str">
        <f t="shared" si="27"/>
        <v>-</v>
      </c>
      <c r="G39" s="241" t="str">
        <f t="shared" si="27"/>
        <v>-</v>
      </c>
      <c r="H39" s="241" t="str">
        <f t="shared" si="27"/>
        <v>-</v>
      </c>
      <c r="I39" s="241" t="str">
        <f t="shared" si="27"/>
        <v>-</v>
      </c>
      <c r="J39" s="241" t="str">
        <f t="shared" si="27"/>
        <v>-</v>
      </c>
      <c r="K39" s="241" t="str">
        <f t="shared" si="27"/>
        <v>-</v>
      </c>
      <c r="M39" s="238"/>
      <c r="N39" s="242"/>
      <c r="O39" s="242"/>
      <c r="P39" s="242"/>
      <c r="Q39" s="242"/>
      <c r="R39" s="242"/>
      <c r="S39" s="242"/>
      <c r="T39" s="242"/>
      <c r="U39" s="242"/>
      <c r="V39" s="242"/>
    </row>
    <row r="40" spans="1:45" x14ac:dyDescent="0.25">
      <c r="B40" s="239" t="s">
        <v>1688</v>
      </c>
      <c r="C40" s="241" t="str">
        <f t="shared" ref="C40:K40" si="28">IF(C6="-","-",C6+($A$35/$A$1))</f>
        <v>-</v>
      </c>
      <c r="D40" s="241" t="str">
        <f t="shared" si="28"/>
        <v>-</v>
      </c>
      <c r="E40" s="241" t="str">
        <f t="shared" si="28"/>
        <v>-</v>
      </c>
      <c r="F40" s="241" t="str">
        <f t="shared" si="28"/>
        <v>-</v>
      </c>
      <c r="G40" s="241" t="str">
        <f t="shared" si="28"/>
        <v>-</v>
      </c>
      <c r="H40" s="241" t="str">
        <f t="shared" si="28"/>
        <v>-</v>
      </c>
      <c r="I40" s="241" t="str">
        <f t="shared" si="28"/>
        <v>-</v>
      </c>
      <c r="J40" s="241" t="str">
        <f t="shared" si="28"/>
        <v>-</v>
      </c>
      <c r="K40" s="241" t="str">
        <f t="shared" si="28"/>
        <v>-</v>
      </c>
      <c r="M40" s="238"/>
      <c r="N40" s="238"/>
      <c r="O40" s="238"/>
      <c r="P40" s="238"/>
      <c r="Q40" s="238"/>
      <c r="R40" s="238"/>
      <c r="S40" s="238"/>
      <c r="T40" s="238"/>
      <c r="U40" s="238"/>
      <c r="V40" s="238"/>
    </row>
    <row r="41" spans="1:45" x14ac:dyDescent="0.25">
      <c r="B41" s="239" t="s">
        <v>1687</v>
      </c>
      <c r="C41" s="241" t="str">
        <f t="shared" ref="C41:K41" si="29">IF(C7="-","-",C7+($A$35/$A$1))</f>
        <v>-</v>
      </c>
      <c r="D41" s="241" t="str">
        <f t="shared" si="29"/>
        <v>-</v>
      </c>
      <c r="E41" s="241" t="str">
        <f t="shared" si="29"/>
        <v>-</v>
      </c>
      <c r="F41" s="241" t="str">
        <f t="shared" si="29"/>
        <v>-</v>
      </c>
      <c r="G41" s="241" t="str">
        <f t="shared" si="29"/>
        <v>-</v>
      </c>
      <c r="H41" s="241" t="str">
        <f t="shared" si="29"/>
        <v>-</v>
      </c>
      <c r="I41" s="241" t="str">
        <f t="shared" si="29"/>
        <v>-</v>
      </c>
      <c r="J41" s="241" t="str">
        <f t="shared" si="29"/>
        <v>-</v>
      </c>
      <c r="K41" s="241" t="str">
        <f t="shared" si="29"/>
        <v>-</v>
      </c>
      <c r="M41" s="804" t="s">
        <v>1849</v>
      </c>
      <c r="N41" s="804"/>
      <c r="O41" s="804"/>
      <c r="P41" s="804"/>
      <c r="Q41" s="804"/>
      <c r="R41" s="804"/>
      <c r="S41" s="804"/>
      <c r="T41" s="804"/>
      <c r="U41" s="804"/>
      <c r="V41" s="804"/>
      <c r="X41" s="805" t="s">
        <v>1849</v>
      </c>
      <c r="Y41" s="805"/>
      <c r="Z41" s="805"/>
      <c r="AA41" s="805"/>
      <c r="AB41" s="805"/>
      <c r="AC41" s="805"/>
      <c r="AD41" s="805"/>
      <c r="AE41" s="805"/>
      <c r="AF41" s="805"/>
      <c r="AG41" s="805"/>
    </row>
    <row r="42" spans="1:45" x14ac:dyDescent="0.25">
      <c r="B42" s="239" t="s">
        <v>1686</v>
      </c>
      <c r="C42" s="241">
        <f t="shared" ref="C42:K42" si="30">IF(C8="-","-",C8+($A$35/$A$1))</f>
        <v>8.0149999999999999E-2</v>
      </c>
      <c r="D42" s="241">
        <f t="shared" si="30"/>
        <v>8.0400000000000013E-2</v>
      </c>
      <c r="E42" s="241">
        <f t="shared" si="30"/>
        <v>8.14E-2</v>
      </c>
      <c r="F42" s="241">
        <f t="shared" si="30"/>
        <v>8.2150000000000001E-2</v>
      </c>
      <c r="G42" s="241">
        <f t="shared" si="30"/>
        <v>8.3900000000000002E-2</v>
      </c>
      <c r="H42" s="241">
        <f t="shared" si="30"/>
        <v>8.6400000000000005E-2</v>
      </c>
      <c r="I42" s="241">
        <f t="shared" si="30"/>
        <v>9.1400000000000009E-2</v>
      </c>
      <c r="J42" s="241" t="str">
        <f t="shared" si="30"/>
        <v>-</v>
      </c>
      <c r="K42" s="241" t="str">
        <f t="shared" si="30"/>
        <v>-</v>
      </c>
      <c r="M42" s="552" t="s">
        <v>1848</v>
      </c>
      <c r="N42" s="552">
        <v>0</v>
      </c>
      <c r="O42" s="552">
        <v>0</v>
      </c>
      <c r="P42" s="552">
        <v>0</v>
      </c>
      <c r="Q42" s="552">
        <v>0</v>
      </c>
      <c r="R42" s="552">
        <v>0</v>
      </c>
      <c r="S42" s="552">
        <v>0</v>
      </c>
      <c r="T42" s="552">
        <v>0</v>
      </c>
      <c r="U42" s="552" t="s">
        <v>2</v>
      </c>
      <c r="V42" s="552" t="s">
        <v>2</v>
      </c>
      <c r="X42" s="552" t="s">
        <v>1848</v>
      </c>
      <c r="Y42" s="552">
        <v>0</v>
      </c>
      <c r="Z42" s="552">
        <v>0</v>
      </c>
      <c r="AA42" s="552">
        <v>0</v>
      </c>
      <c r="AB42" s="552">
        <v>0</v>
      </c>
      <c r="AC42" s="552">
        <v>0</v>
      </c>
      <c r="AD42" s="552">
        <v>0</v>
      </c>
      <c r="AE42" s="552">
        <v>0</v>
      </c>
      <c r="AF42" s="552" t="s">
        <v>2</v>
      </c>
      <c r="AG42" s="552" t="s">
        <v>2</v>
      </c>
    </row>
    <row r="43" spans="1:45" x14ac:dyDescent="0.25">
      <c r="B43" s="239" t="s">
        <v>1476</v>
      </c>
      <c r="C43" s="241">
        <f t="shared" ref="C43:K43" si="31">IF(C9="-","-",C9+($A$35/$A$1))</f>
        <v>7.5149999999999995E-2</v>
      </c>
      <c r="D43" s="241">
        <f t="shared" si="31"/>
        <v>7.5400000000000009E-2</v>
      </c>
      <c r="E43" s="241">
        <f t="shared" si="31"/>
        <v>7.6399999999999996E-2</v>
      </c>
      <c r="F43" s="241">
        <f t="shared" si="31"/>
        <v>7.7149999999999996E-2</v>
      </c>
      <c r="G43" s="241">
        <f t="shared" si="31"/>
        <v>7.8899999999999998E-2</v>
      </c>
      <c r="H43" s="241">
        <f t="shared" si="31"/>
        <v>8.14E-2</v>
      </c>
      <c r="I43" s="241">
        <f t="shared" si="31"/>
        <v>8.6400000000000005E-2</v>
      </c>
      <c r="J43" s="241" t="str">
        <f t="shared" si="31"/>
        <v>-</v>
      </c>
      <c r="K43" s="241" t="str">
        <f t="shared" si="31"/>
        <v>-</v>
      </c>
      <c r="M43" s="552" t="s">
        <v>1847</v>
      </c>
      <c r="N43" s="552">
        <v>5.0000000000000001E-4</v>
      </c>
      <c r="O43" s="552">
        <v>5.0000000000000001E-4</v>
      </c>
      <c r="P43" s="552">
        <v>5.0000000000000001E-4</v>
      </c>
      <c r="Q43" s="552">
        <v>5.0000000000000001E-4</v>
      </c>
      <c r="R43" s="552">
        <v>5.0000000000000001E-4</v>
      </c>
      <c r="S43" s="552">
        <v>5.0000000000000001E-4</v>
      </c>
      <c r="T43" s="552">
        <v>5.0000000000000001E-4</v>
      </c>
      <c r="U43" s="552" t="s">
        <v>2</v>
      </c>
      <c r="V43" s="552" t="s">
        <v>2</v>
      </c>
      <c r="X43" s="552" t="s">
        <v>1847</v>
      </c>
      <c r="Y43" s="552">
        <v>5.0000000000000001E-4</v>
      </c>
      <c r="Z43" s="552">
        <v>5.0000000000000001E-4</v>
      </c>
      <c r="AA43" s="552">
        <v>5.0000000000000001E-4</v>
      </c>
      <c r="AB43" s="552">
        <v>5.0000000000000001E-4</v>
      </c>
      <c r="AC43" s="552">
        <v>5.0000000000000001E-4</v>
      </c>
      <c r="AD43" s="552">
        <v>5.0000000000000001E-4</v>
      </c>
      <c r="AE43" s="552">
        <v>5.0000000000000001E-4</v>
      </c>
      <c r="AF43" s="552" t="s">
        <v>2</v>
      </c>
      <c r="AG43" s="552" t="s">
        <v>2</v>
      </c>
    </row>
    <row r="44" spans="1:45" x14ac:dyDescent="0.25">
      <c r="B44" s="239" t="s">
        <v>1685</v>
      </c>
      <c r="C44" s="241">
        <f t="shared" ref="C44:K44" si="32">IF(C10="-","-",C10+($A$35/$A$1))</f>
        <v>7.4899999999999994E-2</v>
      </c>
      <c r="D44" s="241">
        <f t="shared" si="32"/>
        <v>7.4899999999999994E-2</v>
      </c>
      <c r="E44" s="241">
        <f t="shared" si="32"/>
        <v>7.5649999999999995E-2</v>
      </c>
      <c r="F44" s="241">
        <f t="shared" si="32"/>
        <v>7.6399999999999996E-2</v>
      </c>
      <c r="G44" s="241">
        <f t="shared" si="32"/>
        <v>7.7149999999999996E-2</v>
      </c>
      <c r="H44" s="241">
        <f t="shared" si="32"/>
        <v>7.8899999999999998E-2</v>
      </c>
      <c r="I44" s="241">
        <f t="shared" si="32"/>
        <v>8.3900000000000002E-2</v>
      </c>
      <c r="J44" s="241" t="str">
        <f t="shared" si="32"/>
        <v>-</v>
      </c>
      <c r="K44" s="241" t="str">
        <f t="shared" si="32"/>
        <v>-</v>
      </c>
      <c r="M44" s="552" t="s">
        <v>1846</v>
      </c>
      <c r="N44" s="552">
        <v>1E-3</v>
      </c>
      <c r="O44" s="552">
        <v>1E-3</v>
      </c>
      <c r="P44" s="552">
        <v>1E-3</v>
      </c>
      <c r="Q44" s="552">
        <v>1E-3</v>
      </c>
      <c r="R44" s="552">
        <v>1E-3</v>
      </c>
      <c r="S44" s="552">
        <v>1E-3</v>
      </c>
      <c r="T44" s="552">
        <v>1E-3</v>
      </c>
      <c r="U44" s="552" t="s">
        <v>2</v>
      </c>
      <c r="V44" s="552" t="s">
        <v>2</v>
      </c>
      <c r="X44" s="552" t="s">
        <v>1846</v>
      </c>
      <c r="Y44" s="552">
        <v>1E-3</v>
      </c>
      <c r="Z44" s="552">
        <v>1E-3</v>
      </c>
      <c r="AA44" s="552">
        <v>1E-3</v>
      </c>
      <c r="AB44" s="552">
        <v>1E-3</v>
      </c>
      <c r="AC44" s="552">
        <v>1E-3</v>
      </c>
      <c r="AD44" s="552">
        <v>1E-3</v>
      </c>
      <c r="AE44" s="552">
        <v>1E-3</v>
      </c>
      <c r="AF44" s="552" t="s">
        <v>2</v>
      </c>
      <c r="AG44" s="552" t="s">
        <v>2</v>
      </c>
    </row>
    <row r="45" spans="1:45" x14ac:dyDescent="0.25">
      <c r="B45" s="239" t="s">
        <v>1684</v>
      </c>
      <c r="C45" s="241">
        <f t="shared" ref="C45:K45" si="33">IF(C11="-","-",C11+($A$35/$A$1))</f>
        <v>7.3900000000000007E-2</v>
      </c>
      <c r="D45" s="241">
        <f t="shared" si="33"/>
        <v>7.3900000000000007E-2</v>
      </c>
      <c r="E45" s="241">
        <f t="shared" si="33"/>
        <v>7.4150000000000008E-2</v>
      </c>
      <c r="F45" s="241">
        <f t="shared" si="33"/>
        <v>7.4150000000000008E-2</v>
      </c>
      <c r="G45" s="241">
        <f t="shared" si="33"/>
        <v>7.5149999999999995E-2</v>
      </c>
      <c r="H45" s="241">
        <f t="shared" si="33"/>
        <v>7.6149999999999995E-2</v>
      </c>
      <c r="I45" s="241">
        <f t="shared" si="33"/>
        <v>8.115E-2</v>
      </c>
      <c r="J45" s="241" t="str">
        <f t="shared" si="33"/>
        <v>-</v>
      </c>
      <c r="K45" s="241" t="str">
        <f t="shared" si="33"/>
        <v>-</v>
      </c>
      <c r="M45" s="552" t="s">
        <v>275</v>
      </c>
      <c r="N45" s="552">
        <v>1.25E-3</v>
      </c>
      <c r="O45" s="552">
        <v>1.25E-3</v>
      </c>
      <c r="P45" s="552">
        <v>1.25E-3</v>
      </c>
      <c r="Q45" s="552">
        <v>1.25E-3</v>
      </c>
      <c r="R45" s="552">
        <v>1.25E-3</v>
      </c>
      <c r="S45" s="552">
        <v>1.25E-3</v>
      </c>
      <c r="T45" s="552">
        <v>1.25E-3</v>
      </c>
      <c r="U45" s="552" t="s">
        <v>2</v>
      </c>
      <c r="V45" s="552" t="s">
        <v>2</v>
      </c>
      <c r="X45" s="552" t="s">
        <v>275</v>
      </c>
      <c r="Y45" s="552">
        <v>1.25E-3</v>
      </c>
      <c r="Z45" s="552">
        <v>1.25E-3</v>
      </c>
      <c r="AA45" s="552">
        <v>1.25E-3</v>
      </c>
      <c r="AB45" s="552">
        <v>1.25E-3</v>
      </c>
      <c r="AC45" s="552">
        <v>1.25E-3</v>
      </c>
      <c r="AD45" s="552">
        <v>1.25E-3</v>
      </c>
      <c r="AE45" s="552">
        <v>1.25E-3</v>
      </c>
      <c r="AF45" s="552" t="s">
        <v>2</v>
      </c>
      <c r="AG45" s="552" t="s">
        <v>2</v>
      </c>
    </row>
    <row r="46" spans="1:45" x14ac:dyDescent="0.25">
      <c r="B46" s="239" t="s">
        <v>1683</v>
      </c>
      <c r="C46" s="241">
        <f t="shared" ref="C46:K46" si="34">IF(C12="-","-",C12+($A$35/$A$1))</f>
        <v>7.2900000000000006E-2</v>
      </c>
      <c r="D46" s="241">
        <f t="shared" si="34"/>
        <v>7.3149999999999993E-2</v>
      </c>
      <c r="E46" s="241">
        <f t="shared" si="34"/>
        <v>7.3400000000000007E-2</v>
      </c>
      <c r="F46" s="241">
        <f t="shared" si="34"/>
        <v>7.3650000000000007E-2</v>
      </c>
      <c r="G46" s="241">
        <f t="shared" si="34"/>
        <v>7.3900000000000007E-2</v>
      </c>
      <c r="H46" s="241">
        <f t="shared" si="34"/>
        <v>7.4899999999999994E-2</v>
      </c>
      <c r="I46" s="241">
        <f t="shared" si="34"/>
        <v>7.9899999999999999E-2</v>
      </c>
      <c r="J46" s="241" t="str">
        <f t="shared" si="34"/>
        <v>-</v>
      </c>
      <c r="K46" s="241" t="str">
        <f t="shared" si="34"/>
        <v>-</v>
      </c>
      <c r="M46" s="552" t="s">
        <v>285</v>
      </c>
      <c r="N46" s="552">
        <v>2.2499999999999998E-3</v>
      </c>
      <c r="O46" s="552">
        <v>2.2499999999999998E-3</v>
      </c>
      <c r="P46" s="552">
        <v>2.2499999999999998E-3</v>
      </c>
      <c r="Q46" s="552">
        <v>2.2499999999999998E-3</v>
      </c>
      <c r="R46" s="552">
        <v>2.2499999999999998E-3</v>
      </c>
      <c r="S46" s="552">
        <v>2.2499999999999998E-3</v>
      </c>
      <c r="T46" s="552">
        <v>2.2499999999999998E-3</v>
      </c>
      <c r="U46" s="552" t="s">
        <v>2</v>
      </c>
      <c r="V46" s="552" t="s">
        <v>2</v>
      </c>
      <c r="X46" s="552" t="s">
        <v>285</v>
      </c>
      <c r="Y46" s="552">
        <v>2.2499999999999998E-3</v>
      </c>
      <c r="Z46" s="552">
        <v>2.2499999999999998E-3</v>
      </c>
      <c r="AA46" s="552">
        <v>2.2499999999999998E-3</v>
      </c>
      <c r="AB46" s="552">
        <v>2.2499999999999998E-3</v>
      </c>
      <c r="AC46" s="552">
        <v>2.2499999999999998E-3</v>
      </c>
      <c r="AD46" s="552">
        <v>2.2499999999999998E-3</v>
      </c>
      <c r="AE46" s="552">
        <v>2.2499999999999998E-3</v>
      </c>
      <c r="AF46" s="552" t="s">
        <v>2</v>
      </c>
      <c r="AG46" s="552" t="s">
        <v>2</v>
      </c>
    </row>
    <row r="47" spans="1:45" x14ac:dyDescent="0.25">
      <c r="B47" s="239" t="s">
        <v>1682</v>
      </c>
      <c r="C47" s="241">
        <f t="shared" ref="C47:K47" si="35">IF(C13="-","-",C13+($A$35/$A$1))</f>
        <v>7.2399999999999992E-2</v>
      </c>
      <c r="D47" s="241">
        <f t="shared" si="35"/>
        <v>7.2399999999999992E-2</v>
      </c>
      <c r="E47" s="241">
        <f t="shared" si="35"/>
        <v>7.2524999999999992E-2</v>
      </c>
      <c r="F47" s="241">
        <f t="shared" si="35"/>
        <v>7.2650000000000006E-2</v>
      </c>
      <c r="G47" s="241">
        <f t="shared" si="35"/>
        <v>7.3849999999999999E-2</v>
      </c>
      <c r="H47" s="241">
        <f t="shared" si="35"/>
        <v>7.3900000000000007E-2</v>
      </c>
      <c r="I47" s="241">
        <f t="shared" si="35"/>
        <v>7.8900000000000012E-2</v>
      </c>
      <c r="J47" s="241" t="str">
        <f t="shared" si="35"/>
        <v>-</v>
      </c>
      <c r="K47" s="241" t="str">
        <f t="shared" si="35"/>
        <v>-</v>
      </c>
      <c r="M47" s="552" t="s">
        <v>1845</v>
      </c>
      <c r="N47" s="552">
        <v>3.2499999999999999E-3</v>
      </c>
      <c r="O47" s="552">
        <v>3.2499999999999999E-3</v>
      </c>
      <c r="P47" s="552">
        <v>3.2499999999999999E-3</v>
      </c>
      <c r="Q47" s="552">
        <v>3.2499999999999999E-3</v>
      </c>
      <c r="R47" s="552">
        <v>3.2499999999999999E-3</v>
      </c>
      <c r="S47" s="552">
        <v>3.2499999999999999E-3</v>
      </c>
      <c r="T47" s="552">
        <v>3.2499999999999999E-3</v>
      </c>
      <c r="U47" s="552" t="s">
        <v>2</v>
      </c>
      <c r="V47" s="552" t="s">
        <v>2</v>
      </c>
      <c r="X47" s="552" t="s">
        <v>1845</v>
      </c>
      <c r="Y47" s="552">
        <v>3.2499999999999999E-3</v>
      </c>
      <c r="Z47" s="552">
        <v>3.2499999999999999E-3</v>
      </c>
      <c r="AA47" s="552">
        <v>3.2499999999999999E-3</v>
      </c>
      <c r="AB47" s="552">
        <v>3.2499999999999999E-3</v>
      </c>
      <c r="AC47" s="552">
        <v>3.2499999999999999E-3</v>
      </c>
      <c r="AD47" s="552">
        <v>3.2499999999999999E-3</v>
      </c>
      <c r="AE47" s="552">
        <v>3.2499999999999999E-3</v>
      </c>
      <c r="AF47" s="552" t="s">
        <v>2</v>
      </c>
      <c r="AG47" s="552" t="s">
        <v>2</v>
      </c>
    </row>
    <row r="48" spans="1:45" x14ac:dyDescent="0.25">
      <c r="B48" s="239" t="s">
        <v>1681</v>
      </c>
      <c r="C48" s="241">
        <f t="shared" ref="C48:K48" si="36">IF(C14="-","-",C14+($A$35/$A$1))</f>
        <v>7.2150000000000006E-2</v>
      </c>
      <c r="D48" s="241">
        <f t="shared" si="36"/>
        <v>7.2150000000000006E-2</v>
      </c>
      <c r="E48" s="241">
        <f t="shared" si="36"/>
        <v>7.2400000000000006E-2</v>
      </c>
      <c r="F48" s="241">
        <f t="shared" si="36"/>
        <v>7.2650000000000006E-2</v>
      </c>
      <c r="G48" s="241">
        <f t="shared" si="36"/>
        <v>7.375000000000001E-2</v>
      </c>
      <c r="H48" s="241">
        <f t="shared" si="36"/>
        <v>7.3849999999999999E-2</v>
      </c>
      <c r="I48" s="241">
        <f t="shared" si="36"/>
        <v>7.8850000000000003E-2</v>
      </c>
      <c r="J48" s="241" t="str">
        <f t="shared" si="36"/>
        <v>-</v>
      </c>
      <c r="K48" s="241" t="str">
        <f t="shared" si="36"/>
        <v>-</v>
      </c>
      <c r="M48" s="549" t="s">
        <v>1887</v>
      </c>
      <c r="N48" s="552">
        <v>-1.25E-3</v>
      </c>
      <c r="O48" s="552">
        <v>-1.25E-3</v>
      </c>
      <c r="P48" s="552">
        <v>-1.25E-3</v>
      </c>
      <c r="Q48" s="552">
        <v>-1.25E-3</v>
      </c>
      <c r="R48" s="552">
        <v>-1.25E-3</v>
      </c>
      <c r="S48" s="552">
        <v>-1.25E-3</v>
      </c>
      <c r="T48" s="552">
        <v>-1.25E-3</v>
      </c>
      <c r="U48" s="552" t="s">
        <v>2</v>
      </c>
      <c r="V48" s="552" t="s">
        <v>2</v>
      </c>
      <c r="X48" s="549" t="s">
        <v>1887</v>
      </c>
      <c r="Y48" s="552">
        <v>-1.25E-3</v>
      </c>
      <c r="Z48" s="552">
        <v>-1.25E-3</v>
      </c>
      <c r="AA48" s="552">
        <v>-1.25E-3</v>
      </c>
      <c r="AB48" s="552">
        <v>-1.25E-3</v>
      </c>
      <c r="AC48" s="552">
        <v>-1.25E-3</v>
      </c>
      <c r="AD48" s="552">
        <v>-1.25E-3</v>
      </c>
      <c r="AE48" s="552">
        <v>-1.25E-3</v>
      </c>
      <c r="AF48" s="552" t="s">
        <v>2</v>
      </c>
      <c r="AG48" s="552" t="s">
        <v>2</v>
      </c>
    </row>
    <row r="49" spans="1:33" x14ac:dyDescent="0.25">
      <c r="B49" s="239" t="s">
        <v>1680</v>
      </c>
      <c r="C49" s="241">
        <f t="shared" ref="C49:K49" si="37">IF(C15="-","-",C15+($A$35/$A$1))</f>
        <v>7.1650000000000005E-2</v>
      </c>
      <c r="D49" s="241">
        <f t="shared" si="37"/>
        <v>7.1650000000000005E-2</v>
      </c>
      <c r="E49" s="241">
        <f t="shared" si="37"/>
        <v>7.1900000000000006E-2</v>
      </c>
      <c r="F49" s="241">
        <f t="shared" si="37"/>
        <v>7.2650000000000006E-2</v>
      </c>
      <c r="G49" s="241">
        <f t="shared" si="37"/>
        <v>7.3649999999999993E-2</v>
      </c>
      <c r="H49" s="241">
        <f t="shared" si="37"/>
        <v>7.375000000000001E-2</v>
      </c>
      <c r="I49" s="241">
        <f t="shared" si="37"/>
        <v>7.8750000000000014E-2</v>
      </c>
      <c r="J49" s="241" t="str">
        <f t="shared" si="37"/>
        <v>-</v>
      </c>
      <c r="K49" s="241" t="str">
        <f t="shared" si="37"/>
        <v>-</v>
      </c>
      <c r="M49" s="238"/>
      <c r="N49" s="238"/>
      <c r="O49" s="238"/>
      <c r="P49" s="238"/>
      <c r="Q49" s="238"/>
      <c r="R49" s="238"/>
      <c r="S49" s="238"/>
      <c r="T49" s="238"/>
      <c r="U49" s="238"/>
      <c r="V49" s="238"/>
    </row>
    <row r="50" spans="1:33" x14ac:dyDescent="0.25">
      <c r="B50" s="239" t="s">
        <v>1679</v>
      </c>
      <c r="C50" s="241">
        <f t="shared" ref="C50:K50" si="38">IF(C16="-","-",C16+($A$35/$A$1))</f>
        <v>7.7649999999999997E-2</v>
      </c>
      <c r="D50" s="241">
        <f t="shared" si="38"/>
        <v>7.7899999999999997E-2</v>
      </c>
      <c r="E50" s="241">
        <f t="shared" si="38"/>
        <v>7.8149999999999997E-2</v>
      </c>
      <c r="F50" s="241">
        <f t="shared" si="38"/>
        <v>7.8149999999999997E-2</v>
      </c>
      <c r="G50" s="241">
        <f t="shared" si="38"/>
        <v>7.8399999999999997E-2</v>
      </c>
      <c r="H50" s="241">
        <f t="shared" si="38"/>
        <v>7.8649999999999998E-2</v>
      </c>
      <c r="I50" s="241">
        <f t="shared" si="38"/>
        <v>8.3650000000000002E-2</v>
      </c>
      <c r="J50" s="241" t="str">
        <f t="shared" si="38"/>
        <v>-</v>
      </c>
      <c r="K50" s="241" t="str">
        <f t="shared" si="38"/>
        <v>-</v>
      </c>
      <c r="M50" s="804" t="s">
        <v>1641</v>
      </c>
      <c r="N50" s="804"/>
      <c r="O50" s="804"/>
      <c r="P50" s="804"/>
      <c r="Q50" s="804"/>
      <c r="R50" s="804"/>
      <c r="S50" s="804"/>
      <c r="T50" s="804"/>
      <c r="U50" s="804"/>
      <c r="V50" s="804"/>
      <c r="X50" s="805" t="s">
        <v>1641</v>
      </c>
      <c r="Y50" s="805"/>
      <c r="Z50" s="805"/>
      <c r="AA50" s="805"/>
      <c r="AB50" s="805"/>
      <c r="AC50" s="805"/>
      <c r="AD50" s="805"/>
      <c r="AE50" s="805"/>
      <c r="AF50" s="805"/>
      <c r="AG50" s="805"/>
    </row>
    <row r="51" spans="1:33" x14ac:dyDescent="0.25">
      <c r="M51" s="237" t="s">
        <v>1844</v>
      </c>
      <c r="N51" s="237" t="s">
        <v>2</v>
      </c>
      <c r="O51" s="237" t="s">
        <v>2</v>
      </c>
      <c r="P51" s="237" t="s">
        <v>2</v>
      </c>
      <c r="Q51" s="237" t="s">
        <v>2</v>
      </c>
      <c r="R51" s="237" t="s">
        <v>2</v>
      </c>
      <c r="S51" s="237" t="s">
        <v>2</v>
      </c>
      <c r="T51" s="237" t="s">
        <v>2</v>
      </c>
      <c r="U51" s="237" t="s">
        <v>2</v>
      </c>
      <c r="V51" s="237" t="s">
        <v>2</v>
      </c>
      <c r="X51" s="236" t="s">
        <v>1844</v>
      </c>
      <c r="Y51" s="236" t="s">
        <v>2</v>
      </c>
      <c r="Z51" s="236" t="s">
        <v>2</v>
      </c>
      <c r="AA51" s="236" t="s">
        <v>2</v>
      </c>
      <c r="AB51" s="236" t="s">
        <v>2</v>
      </c>
      <c r="AC51" s="236" t="s">
        <v>2</v>
      </c>
      <c r="AD51" s="236" t="s">
        <v>2</v>
      </c>
      <c r="AE51" s="236" t="s">
        <v>2</v>
      </c>
      <c r="AF51" s="236" t="s">
        <v>2</v>
      </c>
      <c r="AG51" s="236" t="s">
        <v>2</v>
      </c>
    </row>
    <row r="52" spans="1:33" x14ac:dyDescent="0.25">
      <c r="A52" s="807">
        <f>'DSCR (Single Asset)'!$C$9</f>
        <v>0</v>
      </c>
      <c r="B52" s="794" t="s">
        <v>1843</v>
      </c>
      <c r="C52" s="794"/>
      <c r="D52" s="794"/>
      <c r="E52" s="794"/>
      <c r="F52" s="794"/>
      <c r="G52" s="794"/>
      <c r="H52" s="794"/>
      <c r="I52" s="794"/>
      <c r="J52" s="794"/>
      <c r="K52" s="794"/>
      <c r="M52" s="237" t="s">
        <v>1842</v>
      </c>
      <c r="N52" s="237">
        <v>3.2499999999999999E-3</v>
      </c>
      <c r="O52" s="237">
        <v>3.2499999999999999E-3</v>
      </c>
      <c r="P52" s="237">
        <v>3.2499999999999999E-3</v>
      </c>
      <c r="Q52" s="237">
        <v>3.5000000000000001E-3</v>
      </c>
      <c r="R52" s="237">
        <v>3.5000000000000001E-3</v>
      </c>
      <c r="S52" s="237">
        <v>3.8500000000000001E-3</v>
      </c>
      <c r="T52" s="237">
        <v>3.8500000000000001E-3</v>
      </c>
      <c r="U52" s="237" t="s">
        <v>2</v>
      </c>
      <c r="V52" s="237" t="s">
        <v>2</v>
      </c>
      <c r="X52" s="236" t="s">
        <v>1842</v>
      </c>
      <c r="Y52" s="236">
        <v>0</v>
      </c>
      <c r="Z52" s="236">
        <v>0</v>
      </c>
      <c r="AA52" s="236">
        <v>0</v>
      </c>
      <c r="AB52" s="236">
        <v>0</v>
      </c>
      <c r="AC52" s="236">
        <v>0</v>
      </c>
      <c r="AD52" s="236">
        <v>0</v>
      </c>
      <c r="AE52" s="236">
        <v>0</v>
      </c>
      <c r="AF52" s="236" t="s">
        <v>2</v>
      </c>
      <c r="AG52" s="236" t="s">
        <v>2</v>
      </c>
    </row>
    <row r="53" spans="1:33" x14ac:dyDescent="0.25">
      <c r="A53" s="808"/>
      <c r="B53" s="240">
        <v>103.5</v>
      </c>
      <c r="C53" s="195" t="s">
        <v>1640</v>
      </c>
      <c r="D53" s="195" t="s">
        <v>1639</v>
      </c>
      <c r="E53" s="195" t="s">
        <v>1638</v>
      </c>
      <c r="F53" s="195" t="s">
        <v>1637</v>
      </c>
      <c r="G53" s="195" t="s">
        <v>1636</v>
      </c>
      <c r="H53" s="195" t="s">
        <v>1635</v>
      </c>
      <c r="I53" s="195" t="s">
        <v>1634</v>
      </c>
      <c r="J53" s="195" t="s">
        <v>1841</v>
      </c>
      <c r="K53" s="195" t="s">
        <v>1840</v>
      </c>
      <c r="M53" s="237" t="s">
        <v>1839</v>
      </c>
      <c r="N53" s="237">
        <v>1.5E-3</v>
      </c>
      <c r="O53" s="237">
        <v>1.5E-3</v>
      </c>
      <c r="P53" s="237">
        <v>1.5E-3</v>
      </c>
      <c r="Q53" s="237">
        <v>1.5E-3</v>
      </c>
      <c r="R53" s="237">
        <v>1.5E-3</v>
      </c>
      <c r="S53" s="237">
        <v>2E-3</v>
      </c>
      <c r="T53" s="237">
        <v>2E-3</v>
      </c>
      <c r="U53" s="237" t="s">
        <v>2</v>
      </c>
      <c r="V53" s="237" t="s">
        <v>2</v>
      </c>
      <c r="X53" s="236" t="s">
        <v>1839</v>
      </c>
      <c r="Y53" s="236">
        <v>0</v>
      </c>
      <c r="Z53" s="236">
        <v>0</v>
      </c>
      <c r="AA53" s="236">
        <v>0</v>
      </c>
      <c r="AB53" s="236">
        <v>0</v>
      </c>
      <c r="AC53" s="236">
        <v>0</v>
      </c>
      <c r="AD53" s="236">
        <v>0</v>
      </c>
      <c r="AE53" s="236">
        <v>0</v>
      </c>
      <c r="AF53" s="236" t="s">
        <v>2</v>
      </c>
      <c r="AG53" s="236" t="s">
        <v>2</v>
      </c>
    </row>
    <row r="54" spans="1:33" x14ac:dyDescent="0.25">
      <c r="B54" s="239" t="s">
        <v>1691</v>
      </c>
      <c r="C54" s="198" t="str">
        <f t="shared" ref="C54:K54" si="39">IF(C20="-","-",C20+($A$52/$A$18))</f>
        <v>-</v>
      </c>
      <c r="D54" s="198" t="str">
        <f t="shared" si="39"/>
        <v>-</v>
      </c>
      <c r="E54" s="198" t="str">
        <f t="shared" si="39"/>
        <v>-</v>
      </c>
      <c r="F54" s="198" t="str">
        <f t="shared" si="39"/>
        <v>-</v>
      </c>
      <c r="G54" s="198" t="str">
        <f t="shared" si="39"/>
        <v>-</v>
      </c>
      <c r="H54" s="198" t="str">
        <f t="shared" si="39"/>
        <v>-</v>
      </c>
      <c r="I54" s="198" t="str">
        <f t="shared" si="39"/>
        <v>-</v>
      </c>
      <c r="J54" s="198" t="str">
        <f t="shared" si="39"/>
        <v>-</v>
      </c>
      <c r="K54" s="198" t="str">
        <f t="shared" si="39"/>
        <v>-</v>
      </c>
      <c r="M54" s="237" t="s">
        <v>1838</v>
      </c>
      <c r="N54" s="237">
        <v>0</v>
      </c>
      <c r="O54" s="237">
        <v>0</v>
      </c>
      <c r="P54" s="237">
        <v>0</v>
      </c>
      <c r="Q54" s="237">
        <v>0</v>
      </c>
      <c r="R54" s="237">
        <v>0</v>
      </c>
      <c r="S54" s="237">
        <v>0</v>
      </c>
      <c r="T54" s="237">
        <v>0</v>
      </c>
      <c r="U54" s="237" t="s">
        <v>2</v>
      </c>
      <c r="V54" s="237" t="s">
        <v>2</v>
      </c>
      <c r="X54" s="236" t="s">
        <v>1838</v>
      </c>
      <c r="Y54" s="236">
        <v>0</v>
      </c>
      <c r="Z54" s="236">
        <v>0</v>
      </c>
      <c r="AA54" s="236">
        <v>0</v>
      </c>
      <c r="AB54" s="236">
        <v>0</v>
      </c>
      <c r="AC54" s="236">
        <v>0</v>
      </c>
      <c r="AD54" s="236">
        <v>0</v>
      </c>
      <c r="AE54" s="236">
        <v>0</v>
      </c>
      <c r="AF54" s="236" t="s">
        <v>2</v>
      </c>
      <c r="AG54" s="236" t="s">
        <v>2</v>
      </c>
    </row>
    <row r="55" spans="1:33" x14ac:dyDescent="0.25">
      <c r="B55" s="239" t="s">
        <v>1690</v>
      </c>
      <c r="C55" s="198" t="str">
        <f t="shared" ref="C55:K55" si="40">IF(C21="-","-",C21+($A$52/$A$18))</f>
        <v>-</v>
      </c>
      <c r="D55" s="198" t="str">
        <f t="shared" si="40"/>
        <v>-</v>
      </c>
      <c r="E55" s="198" t="str">
        <f t="shared" si="40"/>
        <v>-</v>
      </c>
      <c r="F55" s="198" t="str">
        <f t="shared" si="40"/>
        <v>-</v>
      </c>
      <c r="G55" s="198" t="str">
        <f t="shared" si="40"/>
        <v>-</v>
      </c>
      <c r="H55" s="198" t="str">
        <f t="shared" si="40"/>
        <v>-</v>
      </c>
      <c r="I55" s="198" t="str">
        <f t="shared" si="40"/>
        <v>-</v>
      </c>
      <c r="J55" s="198" t="str">
        <f t="shared" si="40"/>
        <v>-</v>
      </c>
      <c r="K55" s="198" t="str">
        <f t="shared" si="40"/>
        <v>-</v>
      </c>
      <c r="M55" s="237" t="s">
        <v>1837</v>
      </c>
      <c r="N55" s="237">
        <v>0</v>
      </c>
      <c r="O55" s="237">
        <v>0</v>
      </c>
      <c r="P55" s="237">
        <v>0</v>
      </c>
      <c r="Q55" s="237">
        <v>0</v>
      </c>
      <c r="R55" s="237">
        <v>0</v>
      </c>
      <c r="S55" s="237">
        <v>0</v>
      </c>
      <c r="T55" s="237">
        <v>0</v>
      </c>
      <c r="U55" s="237" t="s">
        <v>2</v>
      </c>
      <c r="V55" s="237" t="s">
        <v>2</v>
      </c>
      <c r="X55" s="236" t="s">
        <v>1837</v>
      </c>
      <c r="Y55" s="236">
        <v>0</v>
      </c>
      <c r="Z55" s="236">
        <v>0</v>
      </c>
      <c r="AA55" s="236">
        <v>0</v>
      </c>
      <c r="AB55" s="236">
        <v>0</v>
      </c>
      <c r="AC55" s="236">
        <v>0</v>
      </c>
      <c r="AD55" s="236">
        <v>0</v>
      </c>
      <c r="AE55" s="236">
        <v>0</v>
      </c>
      <c r="AF55" s="236" t="s">
        <v>2</v>
      </c>
      <c r="AG55" s="236" t="s">
        <v>2</v>
      </c>
    </row>
    <row r="56" spans="1:33" x14ac:dyDescent="0.25">
      <c r="B56" s="239" t="s">
        <v>1689</v>
      </c>
      <c r="C56" s="198" t="str">
        <f t="shared" ref="C56:K56" si="41">IF(C22="-","-",C22+($A$52/$A$18))</f>
        <v>-</v>
      </c>
      <c r="D56" s="198" t="str">
        <f t="shared" si="41"/>
        <v>-</v>
      </c>
      <c r="E56" s="198" t="str">
        <f t="shared" si="41"/>
        <v>-</v>
      </c>
      <c r="F56" s="198" t="str">
        <f t="shared" si="41"/>
        <v>-</v>
      </c>
      <c r="G56" s="198" t="str">
        <f t="shared" si="41"/>
        <v>-</v>
      </c>
      <c r="H56" s="198" t="str">
        <f t="shared" si="41"/>
        <v>-</v>
      </c>
      <c r="I56" s="198" t="str">
        <f t="shared" si="41"/>
        <v>-</v>
      </c>
      <c r="J56" s="198" t="str">
        <f t="shared" si="41"/>
        <v>-</v>
      </c>
      <c r="K56" s="198" t="str">
        <f t="shared" si="41"/>
        <v>-</v>
      </c>
      <c r="M56" s="237" t="s">
        <v>1836</v>
      </c>
      <c r="N56" s="237">
        <v>0</v>
      </c>
      <c r="O56" s="237">
        <v>0</v>
      </c>
      <c r="P56" s="237">
        <v>0</v>
      </c>
      <c r="Q56" s="237">
        <v>0</v>
      </c>
      <c r="R56" s="237">
        <v>0</v>
      </c>
      <c r="S56" s="237">
        <v>0</v>
      </c>
      <c r="T56" s="237">
        <v>0</v>
      </c>
      <c r="U56" s="237" t="s">
        <v>2</v>
      </c>
      <c r="V56" s="237" t="s">
        <v>2</v>
      </c>
      <c r="X56" s="236" t="s">
        <v>1836</v>
      </c>
      <c r="Y56" s="236">
        <v>0</v>
      </c>
      <c r="Z56" s="236">
        <v>0</v>
      </c>
      <c r="AA56" s="236">
        <v>0</v>
      </c>
      <c r="AB56" s="236">
        <v>0</v>
      </c>
      <c r="AC56" s="236">
        <v>0</v>
      </c>
      <c r="AD56" s="236">
        <v>0</v>
      </c>
      <c r="AE56" s="236">
        <v>0</v>
      </c>
      <c r="AF56" s="236" t="s">
        <v>2</v>
      </c>
      <c r="AG56" s="236" t="s">
        <v>2</v>
      </c>
    </row>
    <row r="57" spans="1:33" x14ac:dyDescent="0.25">
      <c r="B57" s="239" t="s">
        <v>1688</v>
      </c>
      <c r="C57" s="198" t="str">
        <f t="shared" ref="C57:K57" si="42">IF(C23="-","-",C23+($A$52/$A$18))</f>
        <v>-</v>
      </c>
      <c r="D57" s="198" t="str">
        <f t="shared" si="42"/>
        <v>-</v>
      </c>
      <c r="E57" s="198" t="str">
        <f t="shared" si="42"/>
        <v>-</v>
      </c>
      <c r="F57" s="198" t="str">
        <f t="shared" si="42"/>
        <v>-</v>
      </c>
      <c r="G57" s="198" t="str">
        <f t="shared" si="42"/>
        <v>-</v>
      </c>
      <c r="H57" s="198" t="str">
        <f t="shared" si="42"/>
        <v>-</v>
      </c>
      <c r="I57" s="198" t="str">
        <f t="shared" si="42"/>
        <v>-</v>
      </c>
      <c r="J57" s="198" t="str">
        <f t="shared" si="42"/>
        <v>-</v>
      </c>
      <c r="K57" s="198" t="str">
        <f t="shared" si="42"/>
        <v>-</v>
      </c>
      <c r="M57" s="237" t="s">
        <v>1835</v>
      </c>
      <c r="N57" s="237">
        <v>0</v>
      </c>
      <c r="O57" s="237">
        <v>0</v>
      </c>
      <c r="P57" s="237">
        <v>0</v>
      </c>
      <c r="Q57" s="237">
        <v>0</v>
      </c>
      <c r="R57" s="237">
        <v>0</v>
      </c>
      <c r="S57" s="237">
        <v>0</v>
      </c>
      <c r="T57" s="237">
        <v>0</v>
      </c>
      <c r="U57" s="237" t="s">
        <v>2</v>
      </c>
      <c r="V57" s="237" t="s">
        <v>2</v>
      </c>
      <c r="X57" s="236" t="s">
        <v>1835</v>
      </c>
      <c r="Y57" s="236">
        <v>0</v>
      </c>
      <c r="Z57" s="236">
        <v>0</v>
      </c>
      <c r="AA57" s="236">
        <v>0</v>
      </c>
      <c r="AB57" s="236">
        <v>0</v>
      </c>
      <c r="AC57" s="236">
        <v>0</v>
      </c>
      <c r="AD57" s="236">
        <v>0</v>
      </c>
      <c r="AE57" s="236">
        <v>0</v>
      </c>
      <c r="AF57" s="236" t="s">
        <v>2</v>
      </c>
      <c r="AG57" s="236" t="s">
        <v>2</v>
      </c>
    </row>
    <row r="58" spans="1:33" x14ac:dyDescent="0.25">
      <c r="B58" s="239" t="s">
        <v>1687</v>
      </c>
      <c r="C58" s="198" t="str">
        <f t="shared" ref="C58:K58" si="43">IF(C24="-","-",C24+($A$52/$A$18))</f>
        <v>-</v>
      </c>
      <c r="D58" s="198" t="str">
        <f t="shared" si="43"/>
        <v>-</v>
      </c>
      <c r="E58" s="198" t="str">
        <f t="shared" si="43"/>
        <v>-</v>
      </c>
      <c r="F58" s="198" t="str">
        <f t="shared" si="43"/>
        <v>-</v>
      </c>
      <c r="G58" s="198" t="str">
        <f t="shared" si="43"/>
        <v>-</v>
      </c>
      <c r="H58" s="198" t="str">
        <f t="shared" si="43"/>
        <v>-</v>
      </c>
      <c r="I58" s="198" t="str">
        <f t="shared" si="43"/>
        <v>-</v>
      </c>
      <c r="J58" s="198" t="str">
        <f t="shared" si="43"/>
        <v>-</v>
      </c>
      <c r="K58" s="198" t="str">
        <f t="shared" si="43"/>
        <v>-</v>
      </c>
      <c r="M58" s="237" t="s">
        <v>1834</v>
      </c>
      <c r="N58" s="237">
        <v>0</v>
      </c>
      <c r="O58" s="237">
        <v>0</v>
      </c>
      <c r="P58" s="237">
        <v>0</v>
      </c>
      <c r="Q58" s="237">
        <v>0</v>
      </c>
      <c r="R58" s="237">
        <v>0</v>
      </c>
      <c r="S58" s="237">
        <v>0</v>
      </c>
      <c r="T58" s="237">
        <v>0</v>
      </c>
      <c r="U58" s="237" t="s">
        <v>2</v>
      </c>
      <c r="V58" s="237" t="s">
        <v>2</v>
      </c>
      <c r="X58" s="236" t="s">
        <v>1834</v>
      </c>
      <c r="Y58" s="236">
        <v>0</v>
      </c>
      <c r="Z58" s="236">
        <v>0</v>
      </c>
      <c r="AA58" s="236">
        <v>0</v>
      </c>
      <c r="AB58" s="236">
        <v>0</v>
      </c>
      <c r="AC58" s="236">
        <v>0</v>
      </c>
      <c r="AD58" s="236">
        <v>0</v>
      </c>
      <c r="AE58" s="236">
        <v>0</v>
      </c>
      <c r="AF58" s="236" t="s">
        <v>2</v>
      </c>
      <c r="AG58" s="236" t="s">
        <v>2</v>
      </c>
    </row>
    <row r="59" spans="1:33" x14ac:dyDescent="0.25">
      <c r="B59" s="239" t="s">
        <v>1686</v>
      </c>
      <c r="C59" s="198">
        <f t="shared" ref="C59:K59" si="44">IF(C25="-","-",C25+($A$52/$A$18))</f>
        <v>8.8150000000000006E-2</v>
      </c>
      <c r="D59" s="198">
        <f t="shared" si="44"/>
        <v>8.8400000000000006E-2</v>
      </c>
      <c r="E59" s="198">
        <f t="shared" si="44"/>
        <v>8.9400000000000007E-2</v>
      </c>
      <c r="F59" s="198">
        <f t="shared" si="44"/>
        <v>9.0150000000000008E-2</v>
      </c>
      <c r="G59" s="198">
        <f t="shared" si="44"/>
        <v>9.1900000000000009E-2</v>
      </c>
      <c r="H59" s="198">
        <f t="shared" si="44"/>
        <v>9.4400000000000012E-2</v>
      </c>
      <c r="I59" s="198">
        <f t="shared" si="44"/>
        <v>9.9400000000000016E-2</v>
      </c>
      <c r="J59" s="198" t="str">
        <f t="shared" si="44"/>
        <v>-</v>
      </c>
      <c r="K59" s="198" t="str">
        <f t="shared" si="44"/>
        <v>-</v>
      </c>
      <c r="M59" s="237" t="s">
        <v>1833</v>
      </c>
      <c r="N59" s="237">
        <v>0</v>
      </c>
      <c r="O59" s="237">
        <v>0</v>
      </c>
      <c r="P59" s="237">
        <v>0</v>
      </c>
      <c r="Q59" s="237">
        <v>0</v>
      </c>
      <c r="R59" s="237">
        <v>0</v>
      </c>
      <c r="S59" s="237">
        <v>0</v>
      </c>
      <c r="T59" s="237">
        <v>0</v>
      </c>
      <c r="U59" s="237" t="s">
        <v>2</v>
      </c>
      <c r="V59" s="237" t="s">
        <v>2</v>
      </c>
      <c r="X59" s="236" t="s">
        <v>1833</v>
      </c>
      <c r="Y59" s="236">
        <v>0</v>
      </c>
      <c r="Z59" s="236">
        <v>0</v>
      </c>
      <c r="AA59" s="236">
        <v>0</v>
      </c>
      <c r="AB59" s="236">
        <v>0</v>
      </c>
      <c r="AC59" s="236">
        <v>0</v>
      </c>
      <c r="AD59" s="236">
        <v>0</v>
      </c>
      <c r="AE59" s="236">
        <v>0</v>
      </c>
      <c r="AF59" s="236" t="s">
        <v>2</v>
      </c>
      <c r="AG59" s="236" t="s">
        <v>2</v>
      </c>
    </row>
    <row r="60" spans="1:33" x14ac:dyDescent="0.25">
      <c r="B60" s="239" t="s">
        <v>1476</v>
      </c>
      <c r="C60" s="198">
        <f t="shared" ref="C60:K60" si="45">IF(C26="-","-",C26+($A$52/$A$18))</f>
        <v>8.3150000000000002E-2</v>
      </c>
      <c r="D60" s="198">
        <f t="shared" si="45"/>
        <v>8.3400000000000002E-2</v>
      </c>
      <c r="E60" s="198">
        <f t="shared" si="45"/>
        <v>8.4400000000000003E-2</v>
      </c>
      <c r="F60" s="198">
        <f t="shared" si="45"/>
        <v>8.5150000000000003E-2</v>
      </c>
      <c r="G60" s="198">
        <f t="shared" si="45"/>
        <v>8.6900000000000005E-2</v>
      </c>
      <c r="H60" s="198">
        <f t="shared" si="45"/>
        <v>8.9400000000000007E-2</v>
      </c>
      <c r="I60" s="198">
        <f t="shared" si="45"/>
        <v>9.4400000000000012E-2</v>
      </c>
      <c r="J60" s="198" t="str">
        <f t="shared" si="45"/>
        <v>-</v>
      </c>
      <c r="K60" s="198" t="str">
        <f t="shared" si="45"/>
        <v>-</v>
      </c>
      <c r="M60" s="237" t="s">
        <v>1832</v>
      </c>
      <c r="N60" s="237">
        <v>0</v>
      </c>
      <c r="O60" s="237">
        <v>0</v>
      </c>
      <c r="P60" s="237">
        <v>0</v>
      </c>
      <c r="Q60" s="237">
        <v>0</v>
      </c>
      <c r="R60" s="237">
        <v>0</v>
      </c>
      <c r="S60" s="237">
        <v>0</v>
      </c>
      <c r="T60" s="237">
        <v>0</v>
      </c>
      <c r="U60" s="237" t="s">
        <v>2</v>
      </c>
      <c r="V60" s="237" t="s">
        <v>2</v>
      </c>
      <c r="X60" s="236" t="s">
        <v>1832</v>
      </c>
      <c r="Y60" s="236">
        <v>0</v>
      </c>
      <c r="Z60" s="236">
        <v>0</v>
      </c>
      <c r="AA60" s="236">
        <v>0</v>
      </c>
      <c r="AB60" s="236">
        <v>0</v>
      </c>
      <c r="AC60" s="236">
        <v>0</v>
      </c>
      <c r="AD60" s="236">
        <v>0</v>
      </c>
      <c r="AE60" s="236">
        <v>0</v>
      </c>
      <c r="AF60" s="236" t="s">
        <v>2</v>
      </c>
      <c r="AG60" s="236" t="s">
        <v>2</v>
      </c>
    </row>
    <row r="61" spans="1:33" x14ac:dyDescent="0.25">
      <c r="B61" s="239" t="s">
        <v>1685</v>
      </c>
      <c r="C61" s="198">
        <f t="shared" ref="C61:K61" si="46">IF(C27="-","-",C27+($A$52/$A$18))</f>
        <v>8.2900000000000001E-2</v>
      </c>
      <c r="D61" s="198">
        <f t="shared" si="46"/>
        <v>8.2900000000000001E-2</v>
      </c>
      <c r="E61" s="198">
        <f t="shared" si="46"/>
        <v>8.3650000000000002E-2</v>
      </c>
      <c r="F61" s="198">
        <f t="shared" si="46"/>
        <v>8.4400000000000003E-2</v>
      </c>
      <c r="G61" s="198">
        <f t="shared" si="46"/>
        <v>8.5150000000000003E-2</v>
      </c>
      <c r="H61" s="198">
        <f t="shared" si="46"/>
        <v>8.6900000000000005E-2</v>
      </c>
      <c r="I61" s="198">
        <f t="shared" si="46"/>
        <v>9.1900000000000009E-2</v>
      </c>
      <c r="J61" s="198" t="str">
        <f t="shared" si="46"/>
        <v>-</v>
      </c>
      <c r="K61" s="198" t="str">
        <f t="shared" si="46"/>
        <v>-</v>
      </c>
      <c r="M61" s="237" t="s">
        <v>1831</v>
      </c>
      <c r="N61" s="237">
        <v>0</v>
      </c>
      <c r="O61" s="237">
        <v>0</v>
      </c>
      <c r="P61" s="237">
        <v>0</v>
      </c>
      <c r="Q61" s="237">
        <v>0</v>
      </c>
      <c r="R61" s="237">
        <v>0</v>
      </c>
      <c r="S61" s="237">
        <v>0</v>
      </c>
      <c r="T61" s="237">
        <v>0</v>
      </c>
      <c r="U61" s="237" t="s">
        <v>2</v>
      </c>
      <c r="V61" s="237" t="s">
        <v>2</v>
      </c>
      <c r="X61" s="236" t="s">
        <v>1831</v>
      </c>
      <c r="Y61" s="236">
        <v>0</v>
      </c>
      <c r="Z61" s="236">
        <v>0</v>
      </c>
      <c r="AA61" s="236">
        <v>0</v>
      </c>
      <c r="AB61" s="236">
        <v>0</v>
      </c>
      <c r="AC61" s="236">
        <v>0</v>
      </c>
      <c r="AD61" s="236">
        <v>0</v>
      </c>
      <c r="AE61" s="236">
        <v>0</v>
      </c>
      <c r="AF61" s="236" t="s">
        <v>2</v>
      </c>
      <c r="AG61" s="236" t="s">
        <v>2</v>
      </c>
    </row>
    <row r="62" spans="1:33" x14ac:dyDescent="0.25">
      <c r="B62" s="239" t="s">
        <v>1684</v>
      </c>
      <c r="C62" s="198">
        <f t="shared" ref="C62:K62" si="47">IF(C28="-","-",C28+($A$52/$A$18))</f>
        <v>8.1900000000000001E-2</v>
      </c>
      <c r="D62" s="198">
        <f t="shared" si="47"/>
        <v>8.1900000000000001E-2</v>
      </c>
      <c r="E62" s="198">
        <f t="shared" si="47"/>
        <v>8.2150000000000001E-2</v>
      </c>
      <c r="F62" s="198">
        <f t="shared" si="47"/>
        <v>8.2150000000000001E-2</v>
      </c>
      <c r="G62" s="198">
        <f t="shared" si="47"/>
        <v>8.3150000000000002E-2</v>
      </c>
      <c r="H62" s="198">
        <f t="shared" si="47"/>
        <v>8.4150000000000003E-2</v>
      </c>
      <c r="I62" s="198">
        <f t="shared" si="47"/>
        <v>8.9150000000000007E-2</v>
      </c>
      <c r="J62" s="198" t="str">
        <f t="shared" si="47"/>
        <v>-</v>
      </c>
      <c r="K62" s="198" t="str">
        <f t="shared" si="47"/>
        <v>-</v>
      </c>
      <c r="M62" s="237" t="s">
        <v>1830</v>
      </c>
      <c r="N62" s="237">
        <v>0</v>
      </c>
      <c r="O62" s="237">
        <v>0</v>
      </c>
      <c r="P62" s="237">
        <v>0</v>
      </c>
      <c r="Q62" s="237">
        <v>0</v>
      </c>
      <c r="R62" s="237">
        <v>0</v>
      </c>
      <c r="S62" s="237">
        <v>0</v>
      </c>
      <c r="T62" s="237">
        <v>0</v>
      </c>
      <c r="U62" s="237" t="s">
        <v>2</v>
      </c>
      <c r="V62" s="237" t="s">
        <v>2</v>
      </c>
      <c r="X62" s="236" t="s">
        <v>1830</v>
      </c>
      <c r="Y62" s="236">
        <v>0</v>
      </c>
      <c r="Z62" s="236">
        <v>0</v>
      </c>
      <c r="AA62" s="236">
        <v>0</v>
      </c>
      <c r="AB62" s="236">
        <v>0</v>
      </c>
      <c r="AC62" s="236">
        <v>0</v>
      </c>
      <c r="AD62" s="236">
        <v>0</v>
      </c>
      <c r="AE62" s="236">
        <v>0</v>
      </c>
      <c r="AF62" s="236" t="s">
        <v>2</v>
      </c>
      <c r="AG62" s="236" t="s">
        <v>2</v>
      </c>
    </row>
    <row r="63" spans="1:33" x14ac:dyDescent="0.25">
      <c r="B63" s="239" t="s">
        <v>1683</v>
      </c>
      <c r="C63" s="198">
        <f t="shared" ref="C63:K63" si="48">IF(C29="-","-",C29+($A$52/$A$18))</f>
        <v>8.09E-2</v>
      </c>
      <c r="D63" s="198">
        <f t="shared" si="48"/>
        <v>8.115E-2</v>
      </c>
      <c r="E63" s="198">
        <f t="shared" si="48"/>
        <v>8.14E-2</v>
      </c>
      <c r="F63" s="198">
        <f t="shared" si="48"/>
        <v>8.165E-2</v>
      </c>
      <c r="G63" s="198">
        <f t="shared" si="48"/>
        <v>8.1900000000000001E-2</v>
      </c>
      <c r="H63" s="198">
        <f t="shared" si="48"/>
        <v>8.2900000000000001E-2</v>
      </c>
      <c r="I63" s="198">
        <f t="shared" si="48"/>
        <v>8.7900000000000006E-2</v>
      </c>
      <c r="J63" s="198" t="str">
        <f t="shared" si="48"/>
        <v>-</v>
      </c>
      <c r="K63" s="198" t="str">
        <f t="shared" si="48"/>
        <v>-</v>
      </c>
      <c r="M63" s="237" t="s">
        <v>1829</v>
      </c>
      <c r="N63" s="237">
        <v>0</v>
      </c>
      <c r="O63" s="237">
        <v>0</v>
      </c>
      <c r="P63" s="237">
        <v>0</v>
      </c>
      <c r="Q63" s="237">
        <v>0</v>
      </c>
      <c r="R63" s="237">
        <v>0</v>
      </c>
      <c r="S63" s="237">
        <v>0</v>
      </c>
      <c r="T63" s="237">
        <v>0</v>
      </c>
      <c r="U63" s="237" t="s">
        <v>2</v>
      </c>
      <c r="V63" s="237" t="s">
        <v>2</v>
      </c>
      <c r="X63" s="236" t="s">
        <v>1829</v>
      </c>
      <c r="Y63" s="236">
        <v>0</v>
      </c>
      <c r="Z63" s="236">
        <v>0</v>
      </c>
      <c r="AA63" s="236">
        <v>0</v>
      </c>
      <c r="AB63" s="236">
        <v>0</v>
      </c>
      <c r="AC63" s="236">
        <v>0</v>
      </c>
      <c r="AD63" s="236">
        <v>0</v>
      </c>
      <c r="AE63" s="236">
        <v>0</v>
      </c>
      <c r="AF63" s="236" t="s">
        <v>2</v>
      </c>
      <c r="AG63" s="236" t="s">
        <v>2</v>
      </c>
    </row>
    <row r="64" spans="1:33" x14ac:dyDescent="0.25">
      <c r="B64" s="239" t="s">
        <v>1682</v>
      </c>
      <c r="C64" s="198">
        <f t="shared" ref="C64:K64" si="49">IF(C30="-","-",C30+($A$52/$A$18))</f>
        <v>8.0399999999999999E-2</v>
      </c>
      <c r="D64" s="198">
        <f t="shared" si="49"/>
        <v>8.0399999999999999E-2</v>
      </c>
      <c r="E64" s="198">
        <f t="shared" si="49"/>
        <v>8.0524999999999985E-2</v>
      </c>
      <c r="F64" s="198">
        <f t="shared" si="49"/>
        <v>8.0649999999999999E-2</v>
      </c>
      <c r="G64" s="198">
        <f t="shared" si="49"/>
        <v>8.1850000000000006E-2</v>
      </c>
      <c r="H64" s="198">
        <f t="shared" si="49"/>
        <v>8.1900000000000001E-2</v>
      </c>
      <c r="I64" s="198">
        <f t="shared" si="49"/>
        <v>8.6900000000000005E-2</v>
      </c>
      <c r="J64" s="198" t="str">
        <f t="shared" si="49"/>
        <v>-</v>
      </c>
      <c r="K64" s="198" t="str">
        <f t="shared" si="49"/>
        <v>-</v>
      </c>
      <c r="M64" s="237" t="s">
        <v>1828</v>
      </c>
      <c r="N64" s="237">
        <v>0</v>
      </c>
      <c r="O64" s="237">
        <v>0</v>
      </c>
      <c r="P64" s="237">
        <v>0</v>
      </c>
      <c r="Q64" s="237">
        <v>0</v>
      </c>
      <c r="R64" s="237">
        <v>0</v>
      </c>
      <c r="S64" s="237">
        <v>0</v>
      </c>
      <c r="T64" s="237">
        <v>0</v>
      </c>
      <c r="U64" s="237" t="s">
        <v>2</v>
      </c>
      <c r="V64" s="237" t="s">
        <v>2</v>
      </c>
      <c r="X64" s="236" t="s">
        <v>1828</v>
      </c>
      <c r="Y64" s="236">
        <v>0</v>
      </c>
      <c r="Z64" s="236">
        <v>0</v>
      </c>
      <c r="AA64" s="236">
        <v>0</v>
      </c>
      <c r="AB64" s="236">
        <v>0</v>
      </c>
      <c r="AC64" s="236">
        <v>0</v>
      </c>
      <c r="AD64" s="236">
        <v>0</v>
      </c>
      <c r="AE64" s="236">
        <v>0</v>
      </c>
      <c r="AF64" s="236" t="s">
        <v>2</v>
      </c>
      <c r="AG64" s="236" t="s">
        <v>2</v>
      </c>
    </row>
    <row r="65" spans="2:33" x14ac:dyDescent="0.25">
      <c r="B65" s="239" t="s">
        <v>1681</v>
      </c>
      <c r="C65" s="198">
        <f t="shared" ref="C65:K65" si="50">IF(C31="-","-",C31+($A$52/$A$18))</f>
        <v>8.0149999999999999E-2</v>
      </c>
      <c r="D65" s="198">
        <f t="shared" si="50"/>
        <v>8.0149999999999999E-2</v>
      </c>
      <c r="E65" s="198">
        <f t="shared" si="50"/>
        <v>8.0399999999999999E-2</v>
      </c>
      <c r="F65" s="198">
        <f t="shared" si="50"/>
        <v>8.0649999999999999E-2</v>
      </c>
      <c r="G65" s="198">
        <f t="shared" si="50"/>
        <v>8.1750000000000017E-2</v>
      </c>
      <c r="H65" s="198">
        <f t="shared" si="50"/>
        <v>8.1850000000000006E-2</v>
      </c>
      <c r="I65" s="198">
        <f t="shared" si="50"/>
        <v>8.6850000000000011E-2</v>
      </c>
      <c r="J65" s="198" t="str">
        <f t="shared" si="50"/>
        <v>-</v>
      </c>
      <c r="K65" s="198" t="str">
        <f t="shared" si="50"/>
        <v>-</v>
      </c>
      <c r="M65" s="238"/>
      <c r="N65" s="238"/>
      <c r="O65" s="238"/>
      <c r="P65" s="238"/>
      <c r="Q65" s="238"/>
      <c r="R65" s="238"/>
      <c r="S65" s="238"/>
      <c r="T65" s="238"/>
      <c r="U65" s="238"/>
      <c r="V65" s="238"/>
    </row>
    <row r="66" spans="2:33" x14ac:dyDescent="0.25">
      <c r="B66" s="239" t="s">
        <v>1680</v>
      </c>
      <c r="C66" s="198">
        <f t="shared" ref="C66:K66" si="51">IF(C32="-","-",C32+($A$52/$A$18))</f>
        <v>7.9649999999999999E-2</v>
      </c>
      <c r="D66" s="198">
        <f t="shared" si="51"/>
        <v>7.9649999999999999E-2</v>
      </c>
      <c r="E66" s="198">
        <f t="shared" si="51"/>
        <v>7.9899999999999999E-2</v>
      </c>
      <c r="F66" s="198">
        <f t="shared" si="51"/>
        <v>8.0649999999999999E-2</v>
      </c>
      <c r="G66" s="198">
        <f t="shared" si="51"/>
        <v>8.165E-2</v>
      </c>
      <c r="H66" s="198">
        <f t="shared" si="51"/>
        <v>8.1750000000000017E-2</v>
      </c>
      <c r="I66" s="198">
        <f t="shared" si="51"/>
        <v>8.6750000000000022E-2</v>
      </c>
      <c r="J66" s="198" t="str">
        <f t="shared" si="51"/>
        <v>-</v>
      </c>
      <c r="K66" s="198" t="str">
        <f t="shared" si="51"/>
        <v>-</v>
      </c>
      <c r="M66" s="238"/>
      <c r="N66" s="238"/>
      <c r="O66" s="238"/>
      <c r="P66" s="238"/>
      <c r="Q66" s="238"/>
      <c r="R66" s="238"/>
      <c r="S66" s="238"/>
      <c r="T66" s="238"/>
      <c r="U66" s="238"/>
      <c r="V66" s="238"/>
    </row>
    <row r="67" spans="2:33" x14ac:dyDescent="0.25">
      <c r="B67" s="239" t="s">
        <v>1679</v>
      </c>
      <c r="C67" s="198">
        <f t="shared" ref="C67:K67" si="52">IF(C33="-","-",C33+($A$52/$A$18))</f>
        <v>8.5650000000000004E-2</v>
      </c>
      <c r="D67" s="198">
        <f t="shared" si="52"/>
        <v>8.5900000000000004E-2</v>
      </c>
      <c r="E67" s="198">
        <f t="shared" si="52"/>
        <v>8.6150000000000004E-2</v>
      </c>
      <c r="F67" s="198">
        <f t="shared" si="52"/>
        <v>8.6150000000000004E-2</v>
      </c>
      <c r="G67" s="198">
        <f t="shared" si="52"/>
        <v>8.6400000000000005E-2</v>
      </c>
      <c r="H67" s="198">
        <f t="shared" si="52"/>
        <v>8.6650000000000005E-2</v>
      </c>
      <c r="I67" s="198">
        <f t="shared" si="52"/>
        <v>9.1650000000000009E-2</v>
      </c>
      <c r="J67" s="198" t="str">
        <f t="shared" si="52"/>
        <v>-</v>
      </c>
      <c r="K67" s="198" t="str">
        <f t="shared" si="52"/>
        <v>-</v>
      </c>
      <c r="M67" s="804" t="s">
        <v>1827</v>
      </c>
      <c r="N67" s="804"/>
      <c r="O67" s="804"/>
      <c r="P67" s="804"/>
      <c r="Q67" s="804"/>
      <c r="R67" s="804"/>
      <c r="S67" s="804"/>
      <c r="T67" s="804"/>
      <c r="U67" s="804"/>
      <c r="V67" s="804"/>
      <c r="X67" s="805" t="s">
        <v>1827</v>
      </c>
      <c r="Y67" s="805"/>
      <c r="Z67" s="805"/>
      <c r="AA67" s="805"/>
      <c r="AB67" s="805"/>
      <c r="AC67" s="805"/>
      <c r="AD67" s="805"/>
      <c r="AE67" s="805"/>
      <c r="AF67" s="805"/>
      <c r="AG67" s="805"/>
    </row>
    <row r="68" spans="2:33" x14ac:dyDescent="0.25">
      <c r="M68" s="237" t="s">
        <v>1826</v>
      </c>
      <c r="N68" s="237">
        <v>0</v>
      </c>
      <c r="O68" s="237">
        <v>0</v>
      </c>
      <c r="P68" s="237">
        <v>0</v>
      </c>
      <c r="Q68" s="237">
        <v>0</v>
      </c>
      <c r="R68" s="237">
        <v>0</v>
      </c>
      <c r="S68" s="237">
        <v>0</v>
      </c>
      <c r="T68" s="237">
        <v>0</v>
      </c>
      <c r="U68" s="237" t="s">
        <v>2</v>
      </c>
      <c r="V68" s="237" t="s">
        <v>2</v>
      </c>
      <c r="X68" s="236" t="s">
        <v>1826</v>
      </c>
      <c r="Y68" s="236">
        <v>0</v>
      </c>
      <c r="Z68" s="236">
        <v>0</v>
      </c>
      <c r="AA68" s="236">
        <v>0</v>
      </c>
      <c r="AB68" s="236">
        <v>0</v>
      </c>
      <c r="AC68" s="236">
        <v>0</v>
      </c>
      <c r="AD68" s="236">
        <v>0</v>
      </c>
      <c r="AE68" s="236">
        <v>0</v>
      </c>
      <c r="AF68" s="236" t="s">
        <v>2</v>
      </c>
      <c r="AG68" s="236" t="s">
        <v>2</v>
      </c>
    </row>
    <row r="69" spans="2:33" x14ac:dyDescent="0.25">
      <c r="M69" s="237" t="s">
        <v>1825</v>
      </c>
      <c r="N69" s="237">
        <v>0</v>
      </c>
      <c r="O69" s="237">
        <v>0</v>
      </c>
      <c r="P69" s="237">
        <v>0</v>
      </c>
      <c r="Q69" s="237">
        <v>0</v>
      </c>
      <c r="R69" s="237">
        <v>0</v>
      </c>
      <c r="S69" s="237">
        <v>0</v>
      </c>
      <c r="T69" s="237">
        <v>0</v>
      </c>
      <c r="U69" s="237" t="s">
        <v>2</v>
      </c>
      <c r="V69" s="237" t="s">
        <v>2</v>
      </c>
      <c r="X69" s="236" t="s">
        <v>1825</v>
      </c>
      <c r="Y69" s="236">
        <v>0</v>
      </c>
      <c r="Z69" s="236">
        <v>0</v>
      </c>
      <c r="AA69" s="236">
        <v>0</v>
      </c>
      <c r="AB69" s="236">
        <v>0</v>
      </c>
      <c r="AC69" s="236">
        <v>0</v>
      </c>
      <c r="AD69" s="236">
        <v>0</v>
      </c>
      <c r="AE69" s="236">
        <v>0</v>
      </c>
      <c r="AF69" s="236" t="s">
        <v>2</v>
      </c>
      <c r="AG69" s="236" t="s">
        <v>2</v>
      </c>
    </row>
    <row r="70" spans="2:33" x14ac:dyDescent="0.25">
      <c r="M70" s="237" t="s">
        <v>1824</v>
      </c>
      <c r="N70" s="237">
        <v>0</v>
      </c>
      <c r="O70" s="237">
        <v>0</v>
      </c>
      <c r="P70" s="237">
        <v>0</v>
      </c>
      <c r="Q70" s="237">
        <v>0</v>
      </c>
      <c r="R70" s="237">
        <v>0</v>
      </c>
      <c r="S70" s="237">
        <v>0</v>
      </c>
      <c r="T70" s="237">
        <v>0</v>
      </c>
      <c r="U70" s="237" t="s">
        <v>2</v>
      </c>
      <c r="V70" s="237" t="s">
        <v>2</v>
      </c>
      <c r="X70" s="236" t="s">
        <v>1824</v>
      </c>
      <c r="Y70" s="236">
        <v>0</v>
      </c>
      <c r="Z70" s="236">
        <v>0</v>
      </c>
      <c r="AA70" s="236">
        <v>0</v>
      </c>
      <c r="AB70" s="236">
        <v>0</v>
      </c>
      <c r="AC70" s="236">
        <v>0</v>
      </c>
      <c r="AD70" s="236">
        <v>0</v>
      </c>
      <c r="AE70" s="236">
        <v>0</v>
      </c>
      <c r="AF70" s="236" t="s">
        <v>2</v>
      </c>
      <c r="AG70" s="236" t="s">
        <v>2</v>
      </c>
    </row>
    <row r="71" spans="2:33" x14ac:dyDescent="0.25">
      <c r="M71" s="237" t="s">
        <v>1823</v>
      </c>
      <c r="N71" s="237">
        <v>0</v>
      </c>
      <c r="O71" s="237">
        <v>0</v>
      </c>
      <c r="P71" s="237">
        <v>0</v>
      </c>
      <c r="Q71" s="237">
        <v>0</v>
      </c>
      <c r="R71" s="237">
        <v>0</v>
      </c>
      <c r="S71" s="237">
        <v>0</v>
      </c>
      <c r="T71" s="237">
        <v>0</v>
      </c>
      <c r="U71" s="237" t="s">
        <v>2</v>
      </c>
      <c r="V71" s="237" t="s">
        <v>2</v>
      </c>
      <c r="X71" s="236" t="s">
        <v>1823</v>
      </c>
      <c r="Y71" s="236">
        <v>0</v>
      </c>
      <c r="Z71" s="236">
        <v>0</v>
      </c>
      <c r="AA71" s="236">
        <v>0</v>
      </c>
      <c r="AB71" s="236">
        <v>0</v>
      </c>
      <c r="AC71" s="236">
        <v>0</v>
      </c>
      <c r="AD71" s="236">
        <v>0</v>
      </c>
      <c r="AE71" s="236">
        <v>0</v>
      </c>
      <c r="AF71" s="236" t="s">
        <v>2</v>
      </c>
      <c r="AG71" s="236" t="s">
        <v>2</v>
      </c>
    </row>
    <row r="72" spans="2:33" x14ac:dyDescent="0.25">
      <c r="M72" s="237" t="s">
        <v>2</v>
      </c>
      <c r="N72" s="237">
        <v>0</v>
      </c>
      <c r="O72" s="237">
        <v>0</v>
      </c>
      <c r="P72" s="237">
        <v>0</v>
      </c>
      <c r="Q72" s="237">
        <v>0</v>
      </c>
      <c r="R72" s="237">
        <v>0</v>
      </c>
      <c r="S72" s="237">
        <v>0</v>
      </c>
      <c r="T72" s="237">
        <v>0</v>
      </c>
      <c r="U72" s="237" t="s">
        <v>2</v>
      </c>
      <c r="V72" s="237" t="s">
        <v>2</v>
      </c>
      <c r="X72" s="236" t="s">
        <v>2</v>
      </c>
      <c r="Y72" s="236">
        <v>0</v>
      </c>
      <c r="Z72" s="236">
        <v>0</v>
      </c>
      <c r="AA72" s="236">
        <v>0</v>
      </c>
      <c r="AB72" s="236">
        <v>0</v>
      </c>
      <c r="AC72" s="236">
        <v>0</v>
      </c>
      <c r="AD72" s="236">
        <v>0</v>
      </c>
      <c r="AE72" s="236">
        <v>0</v>
      </c>
      <c r="AF72" s="236" t="s">
        <v>2</v>
      </c>
      <c r="AG72" s="236" t="s">
        <v>2</v>
      </c>
    </row>
    <row r="73" spans="2:33" x14ac:dyDescent="0.25">
      <c r="M73" s="238"/>
      <c r="N73" s="238"/>
      <c r="O73" s="238"/>
      <c r="P73" s="238"/>
      <c r="Q73" s="238"/>
      <c r="R73" s="238"/>
      <c r="S73" s="238"/>
      <c r="T73" s="238"/>
      <c r="U73" s="238"/>
      <c r="V73" s="238"/>
    </row>
    <row r="74" spans="2:33" x14ac:dyDescent="0.25">
      <c r="M74" s="238"/>
      <c r="N74" s="238"/>
      <c r="O74" s="238"/>
      <c r="P74" s="238"/>
      <c r="Q74" s="238"/>
      <c r="R74" s="238"/>
      <c r="S74" s="238"/>
      <c r="T74" s="238"/>
      <c r="U74" s="238"/>
      <c r="V74" s="238"/>
    </row>
    <row r="75" spans="2:33" x14ac:dyDescent="0.25">
      <c r="M75" s="804" t="s">
        <v>82</v>
      </c>
      <c r="N75" s="804"/>
      <c r="O75" s="804"/>
      <c r="P75" s="804"/>
      <c r="Q75" s="804"/>
      <c r="R75" s="804"/>
      <c r="S75" s="804"/>
      <c r="T75" s="804"/>
      <c r="U75" s="804"/>
      <c r="V75" s="804"/>
      <c r="X75" s="805" t="s">
        <v>82</v>
      </c>
      <c r="Y75" s="805"/>
      <c r="Z75" s="805"/>
      <c r="AA75" s="805"/>
      <c r="AB75" s="805"/>
      <c r="AC75" s="805"/>
      <c r="AD75" s="805"/>
      <c r="AE75" s="805"/>
      <c r="AF75" s="805"/>
      <c r="AG75" s="805"/>
    </row>
    <row r="76" spans="2:33" x14ac:dyDescent="0.25">
      <c r="M76" s="237" t="s">
        <v>286</v>
      </c>
      <c r="N76" s="237">
        <v>0</v>
      </c>
      <c r="O76" s="237">
        <v>0</v>
      </c>
      <c r="P76" s="237">
        <v>0</v>
      </c>
      <c r="Q76" s="237">
        <v>0</v>
      </c>
      <c r="R76" s="237">
        <v>0</v>
      </c>
      <c r="S76" s="237">
        <v>0</v>
      </c>
      <c r="T76" s="237">
        <v>0</v>
      </c>
      <c r="U76" s="237" t="s">
        <v>2</v>
      </c>
      <c r="V76" s="237" t="s">
        <v>2</v>
      </c>
      <c r="X76" s="236" t="s">
        <v>286</v>
      </c>
      <c r="Y76" s="236">
        <v>0</v>
      </c>
      <c r="Z76" s="236">
        <v>0</v>
      </c>
      <c r="AA76" s="236">
        <v>0</v>
      </c>
      <c r="AB76" s="236">
        <v>0</v>
      </c>
      <c r="AC76" s="236">
        <v>0</v>
      </c>
      <c r="AD76" s="236">
        <v>0</v>
      </c>
      <c r="AE76" s="236">
        <v>0</v>
      </c>
      <c r="AF76" s="236" t="s">
        <v>2</v>
      </c>
      <c r="AG76" s="236" t="s">
        <v>2</v>
      </c>
    </row>
    <row r="77" spans="2:33" x14ac:dyDescent="0.25">
      <c r="M77" s="237" t="s">
        <v>281</v>
      </c>
      <c r="N77" s="237">
        <v>0</v>
      </c>
      <c r="O77" s="237">
        <v>0</v>
      </c>
      <c r="P77" s="237">
        <v>0</v>
      </c>
      <c r="Q77" s="237">
        <v>0</v>
      </c>
      <c r="R77" s="237">
        <v>0</v>
      </c>
      <c r="S77" s="237">
        <v>0</v>
      </c>
      <c r="T77" s="237">
        <v>0</v>
      </c>
      <c r="U77" s="237" t="s">
        <v>2</v>
      </c>
      <c r="V77" s="237" t="s">
        <v>2</v>
      </c>
      <c r="X77" s="236" t="s">
        <v>281</v>
      </c>
      <c r="Y77" s="236">
        <v>0</v>
      </c>
      <c r="Z77" s="236">
        <v>0</v>
      </c>
      <c r="AA77" s="236">
        <v>0</v>
      </c>
      <c r="AB77" s="236">
        <v>0</v>
      </c>
      <c r="AC77" s="236">
        <v>0</v>
      </c>
      <c r="AD77" s="236">
        <v>0</v>
      </c>
      <c r="AE77" s="236">
        <v>0</v>
      </c>
      <c r="AF77" s="236" t="s">
        <v>2</v>
      </c>
      <c r="AG77" s="236" t="s">
        <v>2</v>
      </c>
    </row>
    <row r="78" spans="2:33" x14ac:dyDescent="0.25">
      <c r="M78" s="237" t="s">
        <v>276</v>
      </c>
      <c r="N78" s="237">
        <v>0</v>
      </c>
      <c r="O78" s="237">
        <v>0</v>
      </c>
      <c r="P78" s="237">
        <v>0</v>
      </c>
      <c r="Q78" s="237">
        <v>0</v>
      </c>
      <c r="R78" s="237">
        <v>0</v>
      </c>
      <c r="S78" s="237">
        <v>0</v>
      </c>
      <c r="T78" s="237">
        <v>0</v>
      </c>
      <c r="U78" s="237" t="s">
        <v>2</v>
      </c>
      <c r="V78" s="237" t="s">
        <v>2</v>
      </c>
      <c r="X78" s="236" t="s">
        <v>276</v>
      </c>
      <c r="Y78" s="236">
        <v>0</v>
      </c>
      <c r="Z78" s="236">
        <v>0</v>
      </c>
      <c r="AA78" s="236">
        <v>0</v>
      </c>
      <c r="AB78" s="236">
        <v>0</v>
      </c>
      <c r="AC78" s="236">
        <v>0</v>
      </c>
      <c r="AD78" s="236">
        <v>0</v>
      </c>
      <c r="AE78" s="236">
        <v>0</v>
      </c>
      <c r="AF78" s="236" t="s">
        <v>2</v>
      </c>
      <c r="AG78" s="236" t="s">
        <v>2</v>
      </c>
    </row>
    <row r="79" spans="2:33" x14ac:dyDescent="0.25">
      <c r="M79" s="237" t="s">
        <v>273</v>
      </c>
      <c r="N79" s="237">
        <v>0</v>
      </c>
      <c r="O79" s="237">
        <v>0</v>
      </c>
      <c r="P79" s="237">
        <v>0</v>
      </c>
      <c r="Q79" s="237">
        <v>0</v>
      </c>
      <c r="R79" s="237">
        <v>0</v>
      </c>
      <c r="S79" s="237">
        <v>0</v>
      </c>
      <c r="T79" s="237">
        <v>0</v>
      </c>
      <c r="U79" s="237" t="s">
        <v>2</v>
      </c>
      <c r="V79" s="237" t="s">
        <v>2</v>
      </c>
      <c r="X79" s="236" t="s">
        <v>273</v>
      </c>
      <c r="Y79" s="236">
        <v>0</v>
      </c>
      <c r="Z79" s="236">
        <v>0</v>
      </c>
      <c r="AA79" s="236">
        <v>0</v>
      </c>
      <c r="AB79" s="236">
        <v>0</v>
      </c>
      <c r="AC79" s="236">
        <v>0</v>
      </c>
      <c r="AD79" s="236">
        <v>0</v>
      </c>
      <c r="AE79" s="236">
        <v>0</v>
      </c>
      <c r="AF79" s="236" t="s">
        <v>2</v>
      </c>
      <c r="AG79" s="236" t="s">
        <v>2</v>
      </c>
    </row>
    <row r="80" spans="2:33" x14ac:dyDescent="0.25">
      <c r="M80" s="237" t="s">
        <v>272</v>
      </c>
      <c r="N80" s="237">
        <v>0</v>
      </c>
      <c r="O80" s="237">
        <v>0</v>
      </c>
      <c r="P80" s="237">
        <v>0</v>
      </c>
      <c r="Q80" s="237">
        <v>0</v>
      </c>
      <c r="R80" s="237">
        <v>0</v>
      </c>
      <c r="S80" s="237">
        <v>0</v>
      </c>
      <c r="T80" s="237">
        <v>0</v>
      </c>
      <c r="U80" s="237" t="s">
        <v>2</v>
      </c>
      <c r="V80" s="237" t="s">
        <v>2</v>
      </c>
      <c r="X80" s="236" t="s">
        <v>272</v>
      </c>
      <c r="Y80" s="236">
        <v>0</v>
      </c>
      <c r="Z80" s="236">
        <v>0</v>
      </c>
      <c r="AA80" s="236">
        <v>0</v>
      </c>
      <c r="AB80" s="236">
        <v>0</v>
      </c>
      <c r="AC80" s="236">
        <v>0</v>
      </c>
      <c r="AD80" s="236">
        <v>0</v>
      </c>
      <c r="AE80" s="236">
        <v>0</v>
      </c>
      <c r="AF80" s="236" t="s">
        <v>2</v>
      </c>
      <c r="AG80" s="236" t="s">
        <v>2</v>
      </c>
    </row>
    <row r="81" spans="13:33" x14ac:dyDescent="0.25">
      <c r="M81" s="237" t="s">
        <v>271</v>
      </c>
      <c r="N81" s="237">
        <v>0</v>
      </c>
      <c r="O81" s="237">
        <v>0</v>
      </c>
      <c r="P81" s="237">
        <v>0</v>
      </c>
      <c r="Q81" s="237">
        <v>0</v>
      </c>
      <c r="R81" s="237">
        <v>0</v>
      </c>
      <c r="S81" s="237">
        <v>0</v>
      </c>
      <c r="T81" s="237">
        <v>0</v>
      </c>
      <c r="U81" s="237" t="s">
        <v>2</v>
      </c>
      <c r="V81" s="237" t="s">
        <v>2</v>
      </c>
      <c r="X81" s="236" t="s">
        <v>271</v>
      </c>
      <c r="Y81" s="236">
        <v>0</v>
      </c>
      <c r="Z81" s="236">
        <v>0</v>
      </c>
      <c r="AA81" s="236">
        <v>0</v>
      </c>
      <c r="AB81" s="236">
        <v>0</v>
      </c>
      <c r="AC81" s="236">
        <v>0</v>
      </c>
      <c r="AD81" s="236">
        <v>0</v>
      </c>
      <c r="AE81" s="236">
        <v>0</v>
      </c>
      <c r="AF81" s="236" t="s">
        <v>2</v>
      </c>
      <c r="AG81" s="236" t="s">
        <v>2</v>
      </c>
    </row>
    <row r="82" spans="13:33" x14ac:dyDescent="0.25">
      <c r="M82" s="237" t="s">
        <v>270</v>
      </c>
      <c r="N82" s="237">
        <v>0</v>
      </c>
      <c r="O82" s="237">
        <v>0</v>
      </c>
      <c r="P82" s="237">
        <v>0</v>
      </c>
      <c r="Q82" s="237">
        <v>0</v>
      </c>
      <c r="R82" s="237">
        <v>0</v>
      </c>
      <c r="S82" s="237">
        <v>0</v>
      </c>
      <c r="T82" s="237">
        <v>0</v>
      </c>
      <c r="U82" s="237" t="s">
        <v>2</v>
      </c>
      <c r="V82" s="237" t="s">
        <v>2</v>
      </c>
      <c r="X82" s="236" t="s">
        <v>270</v>
      </c>
      <c r="Y82" s="236">
        <v>0</v>
      </c>
      <c r="Z82" s="236">
        <v>0</v>
      </c>
      <c r="AA82" s="236">
        <v>0</v>
      </c>
      <c r="AB82" s="236">
        <v>0</v>
      </c>
      <c r="AC82" s="236">
        <v>0</v>
      </c>
      <c r="AD82" s="236">
        <v>0</v>
      </c>
      <c r="AE82" s="236">
        <v>0</v>
      </c>
      <c r="AF82" s="236" t="s">
        <v>2</v>
      </c>
      <c r="AG82" s="236" t="s">
        <v>2</v>
      </c>
    </row>
    <row r="83" spans="13:33" x14ac:dyDescent="0.25">
      <c r="M83" s="237" t="s">
        <v>269</v>
      </c>
      <c r="N83" s="237">
        <v>0</v>
      </c>
      <c r="O83" s="237">
        <v>0</v>
      </c>
      <c r="P83" s="237">
        <v>0</v>
      </c>
      <c r="Q83" s="237">
        <v>0</v>
      </c>
      <c r="R83" s="237">
        <v>0</v>
      </c>
      <c r="S83" s="237">
        <v>0</v>
      </c>
      <c r="T83" s="237">
        <v>0</v>
      </c>
      <c r="U83" s="237" t="s">
        <v>2</v>
      </c>
      <c r="V83" s="237" t="s">
        <v>2</v>
      </c>
      <c r="X83" s="236" t="s">
        <v>269</v>
      </c>
      <c r="Y83" s="236">
        <v>0</v>
      </c>
      <c r="Z83" s="236">
        <v>0</v>
      </c>
      <c r="AA83" s="236">
        <v>0</v>
      </c>
      <c r="AB83" s="236">
        <v>0</v>
      </c>
      <c r="AC83" s="236">
        <v>0</v>
      </c>
      <c r="AD83" s="236">
        <v>0</v>
      </c>
      <c r="AE83" s="236">
        <v>0</v>
      </c>
      <c r="AF83" s="236" t="s">
        <v>2</v>
      </c>
      <c r="AG83" s="236" t="s">
        <v>2</v>
      </c>
    </row>
    <row r="84" spans="13:33" x14ac:dyDescent="0.25">
      <c r="M84" s="237" t="s">
        <v>268</v>
      </c>
      <c r="N84" s="237">
        <v>0</v>
      </c>
      <c r="O84" s="237">
        <v>0</v>
      </c>
      <c r="P84" s="237">
        <v>0</v>
      </c>
      <c r="Q84" s="237">
        <v>0</v>
      </c>
      <c r="R84" s="237">
        <v>0</v>
      </c>
      <c r="S84" s="237">
        <v>0</v>
      </c>
      <c r="T84" s="237">
        <v>0</v>
      </c>
      <c r="U84" s="237" t="s">
        <v>2</v>
      </c>
      <c r="V84" s="237" t="s">
        <v>2</v>
      </c>
      <c r="X84" s="236" t="s">
        <v>268</v>
      </c>
      <c r="Y84" s="236">
        <v>0</v>
      </c>
      <c r="Z84" s="236">
        <v>0</v>
      </c>
      <c r="AA84" s="236">
        <v>0</v>
      </c>
      <c r="AB84" s="236">
        <v>0</v>
      </c>
      <c r="AC84" s="236">
        <v>0</v>
      </c>
      <c r="AD84" s="236">
        <v>0</v>
      </c>
      <c r="AE84" s="236">
        <v>0</v>
      </c>
      <c r="AF84" s="236" t="s">
        <v>2</v>
      </c>
      <c r="AG84" s="236" t="s">
        <v>2</v>
      </c>
    </row>
    <row r="85" spans="13:33" x14ac:dyDescent="0.25">
      <c r="M85" s="237" t="s">
        <v>267</v>
      </c>
      <c r="N85" s="237">
        <v>0</v>
      </c>
      <c r="O85" s="237">
        <v>0</v>
      </c>
      <c r="P85" s="237">
        <v>0</v>
      </c>
      <c r="Q85" s="237">
        <v>0</v>
      </c>
      <c r="R85" s="237">
        <v>0</v>
      </c>
      <c r="S85" s="237">
        <v>0</v>
      </c>
      <c r="T85" s="237">
        <v>0</v>
      </c>
      <c r="U85" s="237" t="s">
        <v>2</v>
      </c>
      <c r="V85" s="237" t="s">
        <v>2</v>
      </c>
      <c r="X85" s="236" t="s">
        <v>267</v>
      </c>
      <c r="Y85" s="236">
        <v>0</v>
      </c>
      <c r="Z85" s="236">
        <v>0</v>
      </c>
      <c r="AA85" s="236">
        <v>0</v>
      </c>
      <c r="AB85" s="236">
        <v>0</v>
      </c>
      <c r="AC85" s="236">
        <v>0</v>
      </c>
      <c r="AD85" s="236">
        <v>0</v>
      </c>
      <c r="AE85" s="236">
        <v>0</v>
      </c>
      <c r="AF85" s="236" t="s">
        <v>2</v>
      </c>
      <c r="AG85" s="236" t="s">
        <v>2</v>
      </c>
    </row>
    <row r="86" spans="13:33" x14ac:dyDescent="0.25">
      <c r="M86" s="237" t="s">
        <v>266</v>
      </c>
      <c r="N86" s="237">
        <v>0</v>
      </c>
      <c r="O86" s="237">
        <v>0</v>
      </c>
      <c r="P86" s="237">
        <v>0</v>
      </c>
      <c r="Q86" s="237">
        <v>0</v>
      </c>
      <c r="R86" s="237">
        <v>0</v>
      </c>
      <c r="S86" s="237">
        <v>0</v>
      </c>
      <c r="T86" s="237">
        <v>0</v>
      </c>
      <c r="U86" s="237" t="s">
        <v>2</v>
      </c>
      <c r="V86" s="237" t="s">
        <v>2</v>
      </c>
      <c r="X86" s="236" t="s">
        <v>266</v>
      </c>
      <c r="Y86" s="236">
        <v>0</v>
      </c>
      <c r="Z86" s="236">
        <v>0</v>
      </c>
      <c r="AA86" s="236">
        <v>0</v>
      </c>
      <c r="AB86" s="236">
        <v>0</v>
      </c>
      <c r="AC86" s="236">
        <v>0</v>
      </c>
      <c r="AD86" s="236">
        <v>0</v>
      </c>
      <c r="AE86" s="236">
        <v>0</v>
      </c>
      <c r="AF86" s="236" t="s">
        <v>2</v>
      </c>
      <c r="AG86" s="236" t="s">
        <v>2</v>
      </c>
    </row>
    <row r="87" spans="13:33" x14ac:dyDescent="0.25">
      <c r="M87" s="237" t="s">
        <v>265</v>
      </c>
      <c r="N87" s="237">
        <v>0</v>
      </c>
      <c r="O87" s="237">
        <v>0</v>
      </c>
      <c r="P87" s="237">
        <v>0</v>
      </c>
      <c r="Q87" s="237">
        <v>0</v>
      </c>
      <c r="R87" s="237">
        <v>0</v>
      </c>
      <c r="S87" s="237">
        <v>0</v>
      </c>
      <c r="T87" s="237">
        <v>0</v>
      </c>
      <c r="U87" s="237" t="s">
        <v>2</v>
      </c>
      <c r="V87" s="237" t="s">
        <v>2</v>
      </c>
      <c r="X87" s="236" t="s">
        <v>265</v>
      </c>
      <c r="Y87" s="236">
        <v>0</v>
      </c>
      <c r="Z87" s="236">
        <v>0</v>
      </c>
      <c r="AA87" s="236">
        <v>0</v>
      </c>
      <c r="AB87" s="236">
        <v>0</v>
      </c>
      <c r="AC87" s="236">
        <v>0</v>
      </c>
      <c r="AD87" s="236">
        <v>0</v>
      </c>
      <c r="AE87" s="236">
        <v>0</v>
      </c>
      <c r="AF87" s="236" t="s">
        <v>2</v>
      </c>
      <c r="AG87" s="236" t="s">
        <v>2</v>
      </c>
    </row>
    <row r="88" spans="13:33" x14ac:dyDescent="0.25">
      <c r="M88" s="237" t="s">
        <v>145</v>
      </c>
      <c r="N88" s="237">
        <v>0</v>
      </c>
      <c r="O88" s="237">
        <v>0</v>
      </c>
      <c r="P88" s="237">
        <v>0</v>
      </c>
      <c r="Q88" s="237">
        <v>0</v>
      </c>
      <c r="R88" s="237">
        <v>0</v>
      </c>
      <c r="S88" s="237">
        <v>0</v>
      </c>
      <c r="T88" s="237">
        <v>0</v>
      </c>
      <c r="U88" s="237" t="s">
        <v>2</v>
      </c>
      <c r="V88" s="237" t="s">
        <v>2</v>
      </c>
      <c r="X88" s="236" t="s">
        <v>145</v>
      </c>
      <c r="Y88" s="236">
        <v>0</v>
      </c>
      <c r="Z88" s="236">
        <v>0</v>
      </c>
      <c r="AA88" s="236">
        <v>0</v>
      </c>
      <c r="AB88" s="236">
        <v>0</v>
      </c>
      <c r="AC88" s="236">
        <v>0</v>
      </c>
      <c r="AD88" s="236">
        <v>0</v>
      </c>
      <c r="AE88" s="236">
        <v>0</v>
      </c>
      <c r="AF88" s="236" t="s">
        <v>2</v>
      </c>
      <c r="AG88" s="236" t="s">
        <v>2</v>
      </c>
    </row>
    <row r="89" spans="13:33" x14ac:dyDescent="0.25">
      <c r="M89" s="237" t="s">
        <v>264</v>
      </c>
      <c r="N89" s="237">
        <v>0</v>
      </c>
      <c r="O89" s="237">
        <v>0</v>
      </c>
      <c r="P89" s="237">
        <v>0</v>
      </c>
      <c r="Q89" s="237">
        <v>0</v>
      </c>
      <c r="R89" s="237">
        <v>0</v>
      </c>
      <c r="S89" s="237">
        <v>0</v>
      </c>
      <c r="T89" s="237">
        <v>0</v>
      </c>
      <c r="U89" s="237" t="s">
        <v>2</v>
      </c>
      <c r="V89" s="237" t="s">
        <v>2</v>
      </c>
      <c r="X89" s="236" t="s">
        <v>264</v>
      </c>
      <c r="Y89" s="236">
        <v>0</v>
      </c>
      <c r="Z89" s="236">
        <v>0</v>
      </c>
      <c r="AA89" s="236">
        <v>0</v>
      </c>
      <c r="AB89" s="236">
        <v>0</v>
      </c>
      <c r="AC89" s="236">
        <v>0</v>
      </c>
      <c r="AD89" s="236">
        <v>0</v>
      </c>
      <c r="AE89" s="236">
        <v>0</v>
      </c>
      <c r="AF89" s="236" t="s">
        <v>2</v>
      </c>
      <c r="AG89" s="236" t="s">
        <v>2</v>
      </c>
    </row>
    <row r="90" spans="13:33" x14ac:dyDescent="0.25">
      <c r="M90" s="237" t="s">
        <v>263</v>
      </c>
      <c r="N90" s="237">
        <v>0</v>
      </c>
      <c r="O90" s="237">
        <v>0</v>
      </c>
      <c r="P90" s="237">
        <v>0</v>
      </c>
      <c r="Q90" s="237">
        <v>0</v>
      </c>
      <c r="R90" s="237">
        <v>0</v>
      </c>
      <c r="S90" s="237">
        <v>0</v>
      </c>
      <c r="T90" s="237">
        <v>0</v>
      </c>
      <c r="U90" s="237" t="s">
        <v>2</v>
      </c>
      <c r="V90" s="237" t="s">
        <v>2</v>
      </c>
      <c r="X90" s="236" t="s">
        <v>263</v>
      </c>
      <c r="Y90" s="236">
        <v>0</v>
      </c>
      <c r="Z90" s="236">
        <v>0</v>
      </c>
      <c r="AA90" s="236">
        <v>0</v>
      </c>
      <c r="AB90" s="236">
        <v>0</v>
      </c>
      <c r="AC90" s="236">
        <v>0</v>
      </c>
      <c r="AD90" s="236">
        <v>0</v>
      </c>
      <c r="AE90" s="236">
        <v>0</v>
      </c>
      <c r="AF90" s="236" t="s">
        <v>2</v>
      </c>
      <c r="AG90" s="236" t="s">
        <v>2</v>
      </c>
    </row>
    <row r="91" spans="13:33" x14ac:dyDescent="0.25">
      <c r="M91" s="237" t="s">
        <v>262</v>
      </c>
      <c r="N91" s="237">
        <v>0</v>
      </c>
      <c r="O91" s="237">
        <v>0</v>
      </c>
      <c r="P91" s="237">
        <v>0</v>
      </c>
      <c r="Q91" s="237">
        <v>0</v>
      </c>
      <c r="R91" s="237">
        <v>0</v>
      </c>
      <c r="S91" s="237">
        <v>0</v>
      </c>
      <c r="T91" s="237">
        <v>0</v>
      </c>
      <c r="U91" s="237" t="s">
        <v>2</v>
      </c>
      <c r="V91" s="237" t="s">
        <v>2</v>
      </c>
      <c r="X91" s="236" t="s">
        <v>262</v>
      </c>
      <c r="Y91" s="236">
        <v>0</v>
      </c>
      <c r="Z91" s="236">
        <v>0</v>
      </c>
      <c r="AA91" s="236">
        <v>0</v>
      </c>
      <c r="AB91" s="236">
        <v>0</v>
      </c>
      <c r="AC91" s="236">
        <v>0</v>
      </c>
      <c r="AD91" s="236">
        <v>0</v>
      </c>
      <c r="AE91" s="236">
        <v>0</v>
      </c>
      <c r="AF91" s="236" t="s">
        <v>2</v>
      </c>
      <c r="AG91" s="236" t="s">
        <v>2</v>
      </c>
    </row>
    <row r="92" spans="13:33" x14ac:dyDescent="0.25">
      <c r="M92" s="237" t="s">
        <v>261</v>
      </c>
      <c r="N92" s="237">
        <v>0</v>
      </c>
      <c r="O92" s="237">
        <v>0</v>
      </c>
      <c r="P92" s="237">
        <v>0</v>
      </c>
      <c r="Q92" s="237">
        <v>0</v>
      </c>
      <c r="R92" s="237">
        <v>0</v>
      </c>
      <c r="S92" s="237">
        <v>0</v>
      </c>
      <c r="T92" s="237">
        <v>0</v>
      </c>
      <c r="U92" s="237" t="s">
        <v>2</v>
      </c>
      <c r="V92" s="237" t="s">
        <v>2</v>
      </c>
      <c r="X92" s="236" t="s">
        <v>261</v>
      </c>
      <c r="Y92" s="236">
        <v>0</v>
      </c>
      <c r="Z92" s="236">
        <v>0</v>
      </c>
      <c r="AA92" s="236">
        <v>0</v>
      </c>
      <c r="AB92" s="236">
        <v>0</v>
      </c>
      <c r="AC92" s="236">
        <v>0</v>
      </c>
      <c r="AD92" s="236">
        <v>0</v>
      </c>
      <c r="AE92" s="236">
        <v>0</v>
      </c>
      <c r="AF92" s="236" t="s">
        <v>2</v>
      </c>
      <c r="AG92" s="236" t="s">
        <v>2</v>
      </c>
    </row>
    <row r="93" spans="13:33" x14ac:dyDescent="0.25">
      <c r="M93" s="237" t="s">
        <v>260</v>
      </c>
      <c r="N93" s="237">
        <v>0</v>
      </c>
      <c r="O93" s="237">
        <v>0</v>
      </c>
      <c r="P93" s="237">
        <v>0</v>
      </c>
      <c r="Q93" s="237">
        <v>0</v>
      </c>
      <c r="R93" s="237">
        <v>0</v>
      </c>
      <c r="S93" s="237">
        <v>0</v>
      </c>
      <c r="T93" s="237">
        <v>0</v>
      </c>
      <c r="U93" s="237" t="s">
        <v>2</v>
      </c>
      <c r="V93" s="237" t="s">
        <v>2</v>
      </c>
      <c r="X93" s="236" t="s">
        <v>260</v>
      </c>
      <c r="Y93" s="236">
        <v>0</v>
      </c>
      <c r="Z93" s="236">
        <v>0</v>
      </c>
      <c r="AA93" s="236">
        <v>0</v>
      </c>
      <c r="AB93" s="236">
        <v>0</v>
      </c>
      <c r="AC93" s="236">
        <v>0</v>
      </c>
      <c r="AD93" s="236">
        <v>0</v>
      </c>
      <c r="AE93" s="236">
        <v>0</v>
      </c>
      <c r="AF93" s="236" t="s">
        <v>2</v>
      </c>
      <c r="AG93" s="236" t="s">
        <v>2</v>
      </c>
    </row>
    <row r="94" spans="13:33" x14ac:dyDescent="0.25">
      <c r="M94" s="237" t="s">
        <v>259</v>
      </c>
      <c r="N94" s="237">
        <v>0</v>
      </c>
      <c r="O94" s="237">
        <v>0</v>
      </c>
      <c r="P94" s="237">
        <v>0</v>
      </c>
      <c r="Q94" s="237">
        <v>0</v>
      </c>
      <c r="R94" s="237">
        <v>0</v>
      </c>
      <c r="S94" s="237">
        <v>0</v>
      </c>
      <c r="T94" s="237">
        <v>0</v>
      </c>
      <c r="U94" s="237" t="s">
        <v>2</v>
      </c>
      <c r="V94" s="237" t="s">
        <v>2</v>
      </c>
      <c r="X94" s="236" t="s">
        <v>259</v>
      </c>
      <c r="Y94" s="236">
        <v>0</v>
      </c>
      <c r="Z94" s="236">
        <v>0</v>
      </c>
      <c r="AA94" s="236">
        <v>0</v>
      </c>
      <c r="AB94" s="236">
        <v>0</v>
      </c>
      <c r="AC94" s="236">
        <v>0</v>
      </c>
      <c r="AD94" s="236">
        <v>0</v>
      </c>
      <c r="AE94" s="236">
        <v>0</v>
      </c>
      <c r="AF94" s="236" t="s">
        <v>2</v>
      </c>
      <c r="AG94" s="236" t="s">
        <v>2</v>
      </c>
    </row>
    <row r="95" spans="13:33" x14ac:dyDescent="0.25">
      <c r="M95" s="237" t="s">
        <v>258</v>
      </c>
      <c r="N95" s="237">
        <v>0</v>
      </c>
      <c r="O95" s="237">
        <v>0</v>
      </c>
      <c r="P95" s="237">
        <v>0</v>
      </c>
      <c r="Q95" s="237">
        <v>0</v>
      </c>
      <c r="R95" s="237">
        <v>0</v>
      </c>
      <c r="S95" s="237">
        <v>0</v>
      </c>
      <c r="T95" s="237">
        <v>0</v>
      </c>
      <c r="U95" s="237" t="s">
        <v>2</v>
      </c>
      <c r="V95" s="237" t="s">
        <v>2</v>
      </c>
      <c r="X95" s="236" t="s">
        <v>258</v>
      </c>
      <c r="Y95" s="236">
        <v>0</v>
      </c>
      <c r="Z95" s="236">
        <v>0</v>
      </c>
      <c r="AA95" s="236">
        <v>0</v>
      </c>
      <c r="AB95" s="236">
        <v>0</v>
      </c>
      <c r="AC95" s="236">
        <v>0</v>
      </c>
      <c r="AD95" s="236">
        <v>0</v>
      </c>
      <c r="AE95" s="236">
        <v>0</v>
      </c>
      <c r="AF95" s="236" t="s">
        <v>2</v>
      </c>
      <c r="AG95" s="236" t="s">
        <v>2</v>
      </c>
    </row>
    <row r="96" spans="13:33" x14ac:dyDescent="0.25">
      <c r="M96" s="237" t="s">
        <v>257</v>
      </c>
      <c r="N96" s="237">
        <v>0</v>
      </c>
      <c r="O96" s="237">
        <v>0</v>
      </c>
      <c r="P96" s="237">
        <v>0</v>
      </c>
      <c r="Q96" s="237">
        <v>0</v>
      </c>
      <c r="R96" s="237">
        <v>0</v>
      </c>
      <c r="S96" s="237">
        <v>0</v>
      </c>
      <c r="T96" s="237">
        <v>0</v>
      </c>
      <c r="U96" s="237" t="s">
        <v>2</v>
      </c>
      <c r="V96" s="237" t="s">
        <v>2</v>
      </c>
      <c r="X96" s="236" t="s">
        <v>257</v>
      </c>
      <c r="Y96" s="236">
        <v>0</v>
      </c>
      <c r="Z96" s="236">
        <v>0</v>
      </c>
      <c r="AA96" s="236">
        <v>0</v>
      </c>
      <c r="AB96" s="236">
        <v>0</v>
      </c>
      <c r="AC96" s="236">
        <v>0</v>
      </c>
      <c r="AD96" s="236">
        <v>0</v>
      </c>
      <c r="AE96" s="236">
        <v>0</v>
      </c>
      <c r="AF96" s="236" t="s">
        <v>2</v>
      </c>
      <c r="AG96" s="236" t="s">
        <v>2</v>
      </c>
    </row>
    <row r="97" spans="13:33" x14ac:dyDescent="0.25">
      <c r="M97" s="237" t="s">
        <v>256</v>
      </c>
      <c r="N97" s="237">
        <v>0</v>
      </c>
      <c r="O97" s="237">
        <v>0</v>
      </c>
      <c r="P97" s="237">
        <v>0</v>
      </c>
      <c r="Q97" s="237">
        <v>0</v>
      </c>
      <c r="R97" s="237">
        <v>0</v>
      </c>
      <c r="S97" s="237">
        <v>0</v>
      </c>
      <c r="T97" s="237">
        <v>0</v>
      </c>
      <c r="U97" s="237" t="s">
        <v>2</v>
      </c>
      <c r="V97" s="237" t="s">
        <v>2</v>
      </c>
      <c r="X97" s="236" t="s">
        <v>256</v>
      </c>
      <c r="Y97" s="236">
        <v>0</v>
      </c>
      <c r="Z97" s="236">
        <v>0</v>
      </c>
      <c r="AA97" s="236">
        <v>0</v>
      </c>
      <c r="AB97" s="236">
        <v>0</v>
      </c>
      <c r="AC97" s="236">
        <v>0</v>
      </c>
      <c r="AD97" s="236">
        <v>0</v>
      </c>
      <c r="AE97" s="236">
        <v>0</v>
      </c>
      <c r="AF97" s="236" t="s">
        <v>2</v>
      </c>
      <c r="AG97" s="236" t="s">
        <v>2</v>
      </c>
    </row>
    <row r="98" spans="13:33" x14ac:dyDescent="0.25">
      <c r="M98" s="237" t="s">
        <v>255</v>
      </c>
      <c r="N98" s="237">
        <v>0</v>
      </c>
      <c r="O98" s="237">
        <v>0</v>
      </c>
      <c r="P98" s="237">
        <v>0</v>
      </c>
      <c r="Q98" s="237">
        <v>0</v>
      </c>
      <c r="R98" s="237">
        <v>0</v>
      </c>
      <c r="S98" s="237">
        <v>0</v>
      </c>
      <c r="T98" s="237">
        <v>0</v>
      </c>
      <c r="U98" s="237" t="s">
        <v>2</v>
      </c>
      <c r="V98" s="237" t="s">
        <v>2</v>
      </c>
      <c r="X98" s="236" t="s">
        <v>255</v>
      </c>
      <c r="Y98" s="236">
        <v>0</v>
      </c>
      <c r="Z98" s="236">
        <v>0</v>
      </c>
      <c r="AA98" s="236">
        <v>0</v>
      </c>
      <c r="AB98" s="236">
        <v>0</v>
      </c>
      <c r="AC98" s="236">
        <v>0</v>
      </c>
      <c r="AD98" s="236">
        <v>0</v>
      </c>
      <c r="AE98" s="236">
        <v>0</v>
      </c>
      <c r="AF98" s="236" t="s">
        <v>2</v>
      </c>
      <c r="AG98" s="236" t="s">
        <v>2</v>
      </c>
    </row>
    <row r="99" spans="13:33" x14ac:dyDescent="0.25">
      <c r="M99" s="237" t="s">
        <v>254</v>
      </c>
      <c r="N99" s="237">
        <v>0</v>
      </c>
      <c r="O99" s="237">
        <v>0</v>
      </c>
      <c r="P99" s="237">
        <v>0</v>
      </c>
      <c r="Q99" s="237">
        <v>0</v>
      </c>
      <c r="R99" s="237">
        <v>0</v>
      </c>
      <c r="S99" s="237">
        <v>0</v>
      </c>
      <c r="T99" s="237">
        <v>0</v>
      </c>
      <c r="U99" s="237" t="s">
        <v>2</v>
      </c>
      <c r="V99" s="237" t="s">
        <v>2</v>
      </c>
      <c r="X99" s="236" t="s">
        <v>254</v>
      </c>
      <c r="Y99" s="236">
        <v>0</v>
      </c>
      <c r="Z99" s="236">
        <v>0</v>
      </c>
      <c r="AA99" s="236">
        <v>0</v>
      </c>
      <c r="AB99" s="236">
        <v>0</v>
      </c>
      <c r="AC99" s="236">
        <v>0</v>
      </c>
      <c r="AD99" s="236">
        <v>0</v>
      </c>
      <c r="AE99" s="236">
        <v>0</v>
      </c>
      <c r="AF99" s="236" t="s">
        <v>2</v>
      </c>
      <c r="AG99" s="236" t="s">
        <v>2</v>
      </c>
    </row>
    <row r="100" spans="13:33" x14ac:dyDescent="0.25">
      <c r="M100" s="237" t="s">
        <v>253</v>
      </c>
      <c r="N100" s="237">
        <v>0</v>
      </c>
      <c r="O100" s="237">
        <v>0</v>
      </c>
      <c r="P100" s="237">
        <v>0</v>
      </c>
      <c r="Q100" s="237">
        <v>0</v>
      </c>
      <c r="R100" s="237">
        <v>0</v>
      </c>
      <c r="S100" s="237">
        <v>0</v>
      </c>
      <c r="T100" s="237">
        <v>0</v>
      </c>
      <c r="U100" s="237" t="s">
        <v>2</v>
      </c>
      <c r="V100" s="237" t="s">
        <v>2</v>
      </c>
      <c r="X100" s="236" t="s">
        <v>253</v>
      </c>
      <c r="Y100" s="236">
        <v>0</v>
      </c>
      <c r="Z100" s="236">
        <v>0</v>
      </c>
      <c r="AA100" s="236">
        <v>0</v>
      </c>
      <c r="AB100" s="236">
        <v>0</v>
      </c>
      <c r="AC100" s="236">
        <v>0</v>
      </c>
      <c r="AD100" s="236">
        <v>0</v>
      </c>
      <c r="AE100" s="236">
        <v>0</v>
      </c>
      <c r="AF100" s="236" t="s">
        <v>2</v>
      </c>
      <c r="AG100" s="236" t="s">
        <v>2</v>
      </c>
    </row>
    <row r="101" spans="13:33" x14ac:dyDescent="0.25">
      <c r="M101" s="237" t="s">
        <v>252</v>
      </c>
      <c r="N101" s="237">
        <v>0</v>
      </c>
      <c r="O101" s="237">
        <v>0</v>
      </c>
      <c r="P101" s="237">
        <v>0</v>
      </c>
      <c r="Q101" s="237">
        <v>0</v>
      </c>
      <c r="R101" s="237">
        <v>0</v>
      </c>
      <c r="S101" s="237">
        <v>0</v>
      </c>
      <c r="T101" s="237">
        <v>0</v>
      </c>
      <c r="U101" s="237" t="s">
        <v>2</v>
      </c>
      <c r="V101" s="237" t="s">
        <v>2</v>
      </c>
      <c r="X101" s="236" t="s">
        <v>252</v>
      </c>
      <c r="Y101" s="236">
        <v>0</v>
      </c>
      <c r="Z101" s="236">
        <v>0</v>
      </c>
      <c r="AA101" s="236">
        <v>0</v>
      </c>
      <c r="AB101" s="236">
        <v>0</v>
      </c>
      <c r="AC101" s="236">
        <v>0</v>
      </c>
      <c r="AD101" s="236">
        <v>0</v>
      </c>
      <c r="AE101" s="236">
        <v>0</v>
      </c>
      <c r="AF101" s="236" t="s">
        <v>2</v>
      </c>
      <c r="AG101" s="236" t="s">
        <v>2</v>
      </c>
    </row>
    <row r="102" spans="13:33" x14ac:dyDescent="0.25">
      <c r="M102" s="237" t="s">
        <v>251</v>
      </c>
      <c r="N102" s="237">
        <v>0</v>
      </c>
      <c r="O102" s="237">
        <v>0</v>
      </c>
      <c r="P102" s="237">
        <v>0</v>
      </c>
      <c r="Q102" s="237">
        <v>0</v>
      </c>
      <c r="R102" s="237">
        <v>0</v>
      </c>
      <c r="S102" s="237">
        <v>0</v>
      </c>
      <c r="T102" s="237">
        <v>0</v>
      </c>
      <c r="U102" s="237" t="s">
        <v>2</v>
      </c>
      <c r="V102" s="237" t="s">
        <v>2</v>
      </c>
      <c r="X102" s="236" t="s">
        <v>251</v>
      </c>
      <c r="Y102" s="236">
        <v>0</v>
      </c>
      <c r="Z102" s="236">
        <v>0</v>
      </c>
      <c r="AA102" s="236">
        <v>0</v>
      </c>
      <c r="AB102" s="236">
        <v>0</v>
      </c>
      <c r="AC102" s="236">
        <v>0</v>
      </c>
      <c r="AD102" s="236">
        <v>0</v>
      </c>
      <c r="AE102" s="236">
        <v>0</v>
      </c>
      <c r="AF102" s="236" t="s">
        <v>2</v>
      </c>
      <c r="AG102" s="236" t="s">
        <v>2</v>
      </c>
    </row>
    <row r="103" spans="13:33" x14ac:dyDescent="0.25">
      <c r="M103" s="237" t="s">
        <v>250</v>
      </c>
      <c r="N103" s="237">
        <v>0</v>
      </c>
      <c r="O103" s="237">
        <v>0</v>
      </c>
      <c r="P103" s="237">
        <v>0</v>
      </c>
      <c r="Q103" s="237">
        <v>0</v>
      </c>
      <c r="R103" s="237">
        <v>0</v>
      </c>
      <c r="S103" s="237">
        <v>0</v>
      </c>
      <c r="T103" s="237">
        <v>0</v>
      </c>
      <c r="U103" s="237" t="s">
        <v>2</v>
      </c>
      <c r="V103" s="237" t="s">
        <v>2</v>
      </c>
      <c r="X103" s="236" t="s">
        <v>250</v>
      </c>
      <c r="Y103" s="236">
        <v>0</v>
      </c>
      <c r="Z103" s="236">
        <v>0</v>
      </c>
      <c r="AA103" s="236">
        <v>0</v>
      </c>
      <c r="AB103" s="236">
        <v>0</v>
      </c>
      <c r="AC103" s="236">
        <v>0</v>
      </c>
      <c r="AD103" s="236">
        <v>0</v>
      </c>
      <c r="AE103" s="236">
        <v>0</v>
      </c>
      <c r="AF103" s="236" t="s">
        <v>2</v>
      </c>
      <c r="AG103" s="236" t="s">
        <v>2</v>
      </c>
    </row>
    <row r="104" spans="13:33" x14ac:dyDescent="0.25">
      <c r="M104" s="237" t="s">
        <v>249</v>
      </c>
      <c r="N104" s="237">
        <v>0</v>
      </c>
      <c r="O104" s="237">
        <v>0</v>
      </c>
      <c r="P104" s="237">
        <v>0</v>
      </c>
      <c r="Q104" s="237">
        <v>0</v>
      </c>
      <c r="R104" s="237">
        <v>0</v>
      </c>
      <c r="S104" s="237">
        <v>0</v>
      </c>
      <c r="T104" s="237">
        <v>0</v>
      </c>
      <c r="U104" s="237" t="s">
        <v>2</v>
      </c>
      <c r="V104" s="237" t="s">
        <v>2</v>
      </c>
      <c r="X104" s="236" t="s">
        <v>249</v>
      </c>
      <c r="Y104" s="236">
        <v>0</v>
      </c>
      <c r="Z104" s="236">
        <v>0</v>
      </c>
      <c r="AA104" s="236">
        <v>0</v>
      </c>
      <c r="AB104" s="236">
        <v>0</v>
      </c>
      <c r="AC104" s="236">
        <v>0</v>
      </c>
      <c r="AD104" s="236">
        <v>0</v>
      </c>
      <c r="AE104" s="236">
        <v>0</v>
      </c>
      <c r="AF104" s="236" t="s">
        <v>2</v>
      </c>
      <c r="AG104" s="236" t="s">
        <v>2</v>
      </c>
    </row>
    <row r="105" spans="13:33" x14ac:dyDescent="0.25">
      <c r="M105" s="237" t="s">
        <v>248</v>
      </c>
      <c r="N105" s="237">
        <v>0</v>
      </c>
      <c r="O105" s="237">
        <v>0</v>
      </c>
      <c r="P105" s="237">
        <v>0</v>
      </c>
      <c r="Q105" s="237">
        <v>0</v>
      </c>
      <c r="R105" s="237">
        <v>0</v>
      </c>
      <c r="S105" s="237">
        <v>0</v>
      </c>
      <c r="T105" s="237">
        <v>0</v>
      </c>
      <c r="U105" s="237" t="s">
        <v>2</v>
      </c>
      <c r="V105" s="237" t="s">
        <v>2</v>
      </c>
      <c r="X105" s="236" t="s">
        <v>248</v>
      </c>
      <c r="Y105" s="236">
        <v>0</v>
      </c>
      <c r="Z105" s="236">
        <v>0</v>
      </c>
      <c r="AA105" s="236">
        <v>0</v>
      </c>
      <c r="AB105" s="236">
        <v>0</v>
      </c>
      <c r="AC105" s="236">
        <v>0</v>
      </c>
      <c r="AD105" s="236">
        <v>0</v>
      </c>
      <c r="AE105" s="236">
        <v>0</v>
      </c>
      <c r="AF105" s="236" t="s">
        <v>2</v>
      </c>
      <c r="AG105" s="236" t="s">
        <v>2</v>
      </c>
    </row>
    <row r="106" spans="13:33" x14ac:dyDescent="0.25">
      <c r="M106" s="237" t="s">
        <v>247</v>
      </c>
      <c r="N106" s="237">
        <v>0</v>
      </c>
      <c r="O106" s="237">
        <v>0</v>
      </c>
      <c r="P106" s="237">
        <v>0</v>
      </c>
      <c r="Q106" s="237">
        <v>0</v>
      </c>
      <c r="R106" s="237">
        <v>0</v>
      </c>
      <c r="S106" s="237">
        <v>0</v>
      </c>
      <c r="T106" s="237">
        <v>0</v>
      </c>
      <c r="U106" s="237" t="s">
        <v>2</v>
      </c>
      <c r="V106" s="237" t="s">
        <v>2</v>
      </c>
      <c r="X106" s="236" t="s">
        <v>247</v>
      </c>
      <c r="Y106" s="236">
        <v>0</v>
      </c>
      <c r="Z106" s="236">
        <v>0</v>
      </c>
      <c r="AA106" s="236">
        <v>0</v>
      </c>
      <c r="AB106" s="236">
        <v>0</v>
      </c>
      <c r="AC106" s="236">
        <v>0</v>
      </c>
      <c r="AD106" s="236">
        <v>0</v>
      </c>
      <c r="AE106" s="236">
        <v>0</v>
      </c>
      <c r="AF106" s="236" t="s">
        <v>2</v>
      </c>
      <c r="AG106" s="236" t="s">
        <v>2</v>
      </c>
    </row>
    <row r="107" spans="13:33" x14ac:dyDescent="0.25">
      <c r="M107" s="237" t="s">
        <v>246</v>
      </c>
      <c r="N107" s="237">
        <v>0</v>
      </c>
      <c r="O107" s="237">
        <v>0</v>
      </c>
      <c r="P107" s="237">
        <v>0</v>
      </c>
      <c r="Q107" s="237">
        <v>0</v>
      </c>
      <c r="R107" s="237">
        <v>0</v>
      </c>
      <c r="S107" s="237">
        <v>0</v>
      </c>
      <c r="T107" s="237">
        <v>0</v>
      </c>
      <c r="U107" s="237" t="s">
        <v>2</v>
      </c>
      <c r="V107" s="237" t="s">
        <v>2</v>
      </c>
      <c r="X107" s="236" t="s">
        <v>246</v>
      </c>
      <c r="Y107" s="236">
        <v>0</v>
      </c>
      <c r="Z107" s="236">
        <v>0</v>
      </c>
      <c r="AA107" s="236">
        <v>0</v>
      </c>
      <c r="AB107" s="236">
        <v>0</v>
      </c>
      <c r="AC107" s="236">
        <v>0</v>
      </c>
      <c r="AD107" s="236">
        <v>0</v>
      </c>
      <c r="AE107" s="236">
        <v>0</v>
      </c>
      <c r="AF107" s="236" t="s">
        <v>2</v>
      </c>
      <c r="AG107" s="236" t="s">
        <v>2</v>
      </c>
    </row>
    <row r="108" spans="13:33" x14ac:dyDescent="0.25">
      <c r="M108" s="237" t="s">
        <v>245</v>
      </c>
      <c r="N108" s="237">
        <v>0</v>
      </c>
      <c r="O108" s="237">
        <v>0</v>
      </c>
      <c r="P108" s="237">
        <v>0</v>
      </c>
      <c r="Q108" s="237">
        <v>0</v>
      </c>
      <c r="R108" s="237">
        <v>0</v>
      </c>
      <c r="S108" s="237">
        <v>0</v>
      </c>
      <c r="T108" s="237">
        <v>0</v>
      </c>
      <c r="U108" s="237" t="s">
        <v>2</v>
      </c>
      <c r="V108" s="237" t="s">
        <v>2</v>
      </c>
      <c r="X108" s="236" t="s">
        <v>245</v>
      </c>
      <c r="Y108" s="236">
        <v>0</v>
      </c>
      <c r="Z108" s="236">
        <v>0</v>
      </c>
      <c r="AA108" s="236">
        <v>0</v>
      </c>
      <c r="AB108" s="236">
        <v>0</v>
      </c>
      <c r="AC108" s="236">
        <v>0</v>
      </c>
      <c r="AD108" s="236">
        <v>0</v>
      </c>
      <c r="AE108" s="236">
        <v>0</v>
      </c>
      <c r="AF108" s="236" t="s">
        <v>2</v>
      </c>
      <c r="AG108" s="236" t="s">
        <v>2</v>
      </c>
    </row>
    <row r="109" spans="13:33" x14ac:dyDescent="0.25">
      <c r="M109" s="237" t="s">
        <v>244</v>
      </c>
      <c r="N109" s="237">
        <v>0</v>
      </c>
      <c r="O109" s="237">
        <v>0</v>
      </c>
      <c r="P109" s="237">
        <v>0</v>
      </c>
      <c r="Q109" s="237">
        <v>0</v>
      </c>
      <c r="R109" s="237">
        <v>0</v>
      </c>
      <c r="S109" s="237">
        <v>0</v>
      </c>
      <c r="T109" s="237">
        <v>0</v>
      </c>
      <c r="U109" s="237" t="s">
        <v>2</v>
      </c>
      <c r="V109" s="237" t="s">
        <v>2</v>
      </c>
      <c r="X109" s="236" t="s">
        <v>244</v>
      </c>
      <c r="Y109" s="236">
        <v>0</v>
      </c>
      <c r="Z109" s="236">
        <v>0</v>
      </c>
      <c r="AA109" s="236">
        <v>0</v>
      </c>
      <c r="AB109" s="236">
        <v>0</v>
      </c>
      <c r="AC109" s="236">
        <v>0</v>
      </c>
      <c r="AD109" s="236">
        <v>0</v>
      </c>
      <c r="AE109" s="236">
        <v>0</v>
      </c>
      <c r="AF109" s="236" t="s">
        <v>2</v>
      </c>
      <c r="AG109" s="236" t="s">
        <v>2</v>
      </c>
    </row>
    <row r="110" spans="13:33" x14ac:dyDescent="0.25">
      <c r="M110" s="237" t="s">
        <v>243</v>
      </c>
      <c r="N110" s="237">
        <v>0</v>
      </c>
      <c r="O110" s="237">
        <v>0</v>
      </c>
      <c r="P110" s="237">
        <v>0</v>
      </c>
      <c r="Q110" s="237">
        <v>0</v>
      </c>
      <c r="R110" s="237">
        <v>0</v>
      </c>
      <c r="S110" s="237">
        <v>0</v>
      </c>
      <c r="T110" s="237">
        <v>0</v>
      </c>
      <c r="U110" s="237" t="s">
        <v>2</v>
      </c>
      <c r="V110" s="237" t="s">
        <v>2</v>
      </c>
      <c r="X110" s="236" t="s">
        <v>243</v>
      </c>
      <c r="Y110" s="236">
        <v>0</v>
      </c>
      <c r="Z110" s="236">
        <v>0</v>
      </c>
      <c r="AA110" s="236">
        <v>0</v>
      </c>
      <c r="AB110" s="236">
        <v>0</v>
      </c>
      <c r="AC110" s="236">
        <v>0</v>
      </c>
      <c r="AD110" s="236">
        <v>0</v>
      </c>
      <c r="AE110" s="236">
        <v>0</v>
      </c>
      <c r="AF110" s="236" t="s">
        <v>2</v>
      </c>
      <c r="AG110" s="236" t="s">
        <v>2</v>
      </c>
    </row>
    <row r="111" spans="13:33" x14ac:dyDescent="0.25">
      <c r="M111" s="237" t="s">
        <v>242</v>
      </c>
      <c r="N111" s="237">
        <v>0</v>
      </c>
      <c r="O111" s="237">
        <v>0</v>
      </c>
      <c r="P111" s="237">
        <v>0</v>
      </c>
      <c r="Q111" s="237">
        <v>0</v>
      </c>
      <c r="R111" s="237">
        <v>0</v>
      </c>
      <c r="S111" s="237">
        <v>0</v>
      </c>
      <c r="T111" s="237">
        <v>0</v>
      </c>
      <c r="U111" s="237" t="s">
        <v>2</v>
      </c>
      <c r="V111" s="237" t="s">
        <v>2</v>
      </c>
      <c r="X111" s="236" t="s">
        <v>242</v>
      </c>
      <c r="Y111" s="236">
        <v>0</v>
      </c>
      <c r="Z111" s="236">
        <v>0</v>
      </c>
      <c r="AA111" s="236">
        <v>0</v>
      </c>
      <c r="AB111" s="236">
        <v>0</v>
      </c>
      <c r="AC111" s="236">
        <v>0</v>
      </c>
      <c r="AD111" s="236">
        <v>0</v>
      </c>
      <c r="AE111" s="236">
        <v>0</v>
      </c>
      <c r="AF111" s="236" t="s">
        <v>2</v>
      </c>
      <c r="AG111" s="236" t="s">
        <v>2</v>
      </c>
    </row>
    <row r="112" spans="13:33" x14ac:dyDescent="0.25">
      <c r="M112" s="237" t="s">
        <v>241</v>
      </c>
      <c r="N112" s="237">
        <v>0</v>
      </c>
      <c r="O112" s="237">
        <v>0</v>
      </c>
      <c r="P112" s="237">
        <v>0</v>
      </c>
      <c r="Q112" s="237">
        <v>0</v>
      </c>
      <c r="R112" s="237">
        <v>0</v>
      </c>
      <c r="S112" s="237">
        <v>0</v>
      </c>
      <c r="T112" s="237">
        <v>0</v>
      </c>
      <c r="U112" s="237" t="s">
        <v>2</v>
      </c>
      <c r="V112" s="237" t="s">
        <v>2</v>
      </c>
      <c r="X112" s="236" t="s">
        <v>241</v>
      </c>
      <c r="Y112" s="236">
        <v>0</v>
      </c>
      <c r="Z112" s="236">
        <v>0</v>
      </c>
      <c r="AA112" s="236">
        <v>0</v>
      </c>
      <c r="AB112" s="236">
        <v>0</v>
      </c>
      <c r="AC112" s="236">
        <v>0</v>
      </c>
      <c r="AD112" s="236">
        <v>0</v>
      </c>
      <c r="AE112" s="236">
        <v>0</v>
      </c>
      <c r="AF112" s="236" t="s">
        <v>2</v>
      </c>
      <c r="AG112" s="236" t="s">
        <v>2</v>
      </c>
    </row>
    <row r="113" spans="13:33" x14ac:dyDescent="0.25">
      <c r="M113" s="237" t="s">
        <v>240</v>
      </c>
      <c r="N113" s="237">
        <v>0</v>
      </c>
      <c r="O113" s="237">
        <v>0</v>
      </c>
      <c r="P113" s="237">
        <v>0</v>
      </c>
      <c r="Q113" s="237">
        <v>0</v>
      </c>
      <c r="R113" s="237">
        <v>0</v>
      </c>
      <c r="S113" s="237">
        <v>0</v>
      </c>
      <c r="T113" s="237">
        <v>0</v>
      </c>
      <c r="U113" s="237" t="s">
        <v>2</v>
      </c>
      <c r="V113" s="237" t="s">
        <v>2</v>
      </c>
      <c r="X113" s="236" t="s">
        <v>240</v>
      </c>
      <c r="Y113" s="236">
        <v>0</v>
      </c>
      <c r="Z113" s="236">
        <v>0</v>
      </c>
      <c r="AA113" s="236">
        <v>0</v>
      </c>
      <c r="AB113" s="236">
        <v>0</v>
      </c>
      <c r="AC113" s="236">
        <v>0</v>
      </c>
      <c r="AD113" s="236">
        <v>0</v>
      </c>
      <c r="AE113" s="236">
        <v>0</v>
      </c>
      <c r="AF113" s="236" t="s">
        <v>2</v>
      </c>
      <c r="AG113" s="236" t="s">
        <v>2</v>
      </c>
    </row>
    <row r="114" spans="13:33" x14ac:dyDescent="0.25">
      <c r="M114" s="237" t="s">
        <v>239</v>
      </c>
      <c r="N114" s="237">
        <v>0</v>
      </c>
      <c r="O114" s="237">
        <v>0</v>
      </c>
      <c r="P114" s="237">
        <v>0</v>
      </c>
      <c r="Q114" s="237">
        <v>0</v>
      </c>
      <c r="R114" s="237">
        <v>0</v>
      </c>
      <c r="S114" s="237">
        <v>0</v>
      </c>
      <c r="T114" s="237">
        <v>0</v>
      </c>
      <c r="U114" s="237" t="s">
        <v>2</v>
      </c>
      <c r="V114" s="237" t="s">
        <v>2</v>
      </c>
      <c r="X114" s="236" t="s">
        <v>239</v>
      </c>
      <c r="Y114" s="236">
        <v>0</v>
      </c>
      <c r="Z114" s="236">
        <v>0</v>
      </c>
      <c r="AA114" s="236">
        <v>0</v>
      </c>
      <c r="AB114" s="236">
        <v>0</v>
      </c>
      <c r="AC114" s="236">
        <v>0</v>
      </c>
      <c r="AD114" s="236">
        <v>0</v>
      </c>
      <c r="AE114" s="236">
        <v>0</v>
      </c>
      <c r="AF114" s="236" t="s">
        <v>2</v>
      </c>
      <c r="AG114" s="236" t="s">
        <v>2</v>
      </c>
    </row>
    <row r="115" spans="13:33" x14ac:dyDescent="0.25">
      <c r="M115" s="237" t="s">
        <v>238</v>
      </c>
      <c r="N115" s="237">
        <v>0</v>
      </c>
      <c r="O115" s="237">
        <v>0</v>
      </c>
      <c r="P115" s="237">
        <v>0</v>
      </c>
      <c r="Q115" s="237">
        <v>0</v>
      </c>
      <c r="R115" s="237">
        <v>0</v>
      </c>
      <c r="S115" s="237">
        <v>0</v>
      </c>
      <c r="T115" s="237">
        <v>0</v>
      </c>
      <c r="U115" s="237" t="s">
        <v>2</v>
      </c>
      <c r="V115" s="237" t="s">
        <v>2</v>
      </c>
      <c r="X115" s="236" t="s">
        <v>238</v>
      </c>
      <c r="Y115" s="236">
        <v>0</v>
      </c>
      <c r="Z115" s="236">
        <v>0</v>
      </c>
      <c r="AA115" s="236">
        <v>0</v>
      </c>
      <c r="AB115" s="236">
        <v>0</v>
      </c>
      <c r="AC115" s="236">
        <v>0</v>
      </c>
      <c r="AD115" s="236">
        <v>0</v>
      </c>
      <c r="AE115" s="236">
        <v>0</v>
      </c>
      <c r="AF115" s="236" t="s">
        <v>2</v>
      </c>
      <c r="AG115" s="236" t="s">
        <v>2</v>
      </c>
    </row>
    <row r="116" spans="13:33" x14ac:dyDescent="0.25">
      <c r="M116" s="237" t="s">
        <v>237</v>
      </c>
      <c r="N116" s="237">
        <v>0</v>
      </c>
      <c r="O116" s="237">
        <v>0</v>
      </c>
      <c r="P116" s="237">
        <v>0</v>
      </c>
      <c r="Q116" s="237">
        <v>0</v>
      </c>
      <c r="R116" s="237">
        <v>0</v>
      </c>
      <c r="S116" s="237">
        <v>0</v>
      </c>
      <c r="T116" s="237">
        <v>0</v>
      </c>
      <c r="U116" s="237" t="s">
        <v>2</v>
      </c>
      <c r="V116" s="237" t="s">
        <v>2</v>
      </c>
      <c r="X116" s="236" t="s">
        <v>237</v>
      </c>
      <c r="Y116" s="236">
        <v>0</v>
      </c>
      <c r="Z116" s="236">
        <v>0</v>
      </c>
      <c r="AA116" s="236">
        <v>0</v>
      </c>
      <c r="AB116" s="236">
        <v>0</v>
      </c>
      <c r="AC116" s="236">
        <v>0</v>
      </c>
      <c r="AD116" s="236">
        <v>0</v>
      </c>
      <c r="AE116" s="236">
        <v>0</v>
      </c>
      <c r="AF116" s="236" t="s">
        <v>2</v>
      </c>
      <c r="AG116" s="236" t="s">
        <v>2</v>
      </c>
    </row>
    <row r="117" spans="13:33" x14ac:dyDescent="0.25">
      <c r="M117" s="237" t="s">
        <v>236</v>
      </c>
      <c r="N117" s="237">
        <v>0</v>
      </c>
      <c r="O117" s="237">
        <v>0</v>
      </c>
      <c r="P117" s="237">
        <v>0</v>
      </c>
      <c r="Q117" s="237">
        <v>0</v>
      </c>
      <c r="R117" s="237">
        <v>0</v>
      </c>
      <c r="S117" s="237">
        <v>0</v>
      </c>
      <c r="T117" s="237">
        <v>0</v>
      </c>
      <c r="U117" s="237" t="s">
        <v>2</v>
      </c>
      <c r="V117" s="237" t="s">
        <v>2</v>
      </c>
      <c r="X117" s="236" t="s">
        <v>236</v>
      </c>
      <c r="Y117" s="236">
        <v>0</v>
      </c>
      <c r="Z117" s="236">
        <v>0</v>
      </c>
      <c r="AA117" s="236">
        <v>0</v>
      </c>
      <c r="AB117" s="236">
        <v>0</v>
      </c>
      <c r="AC117" s="236">
        <v>0</v>
      </c>
      <c r="AD117" s="236">
        <v>0</v>
      </c>
      <c r="AE117" s="236">
        <v>0</v>
      </c>
      <c r="AF117" s="236" t="s">
        <v>2</v>
      </c>
      <c r="AG117" s="236" t="s">
        <v>2</v>
      </c>
    </row>
    <row r="118" spans="13:33" x14ac:dyDescent="0.25">
      <c r="M118" s="237" t="s">
        <v>235</v>
      </c>
      <c r="N118" s="237">
        <v>0</v>
      </c>
      <c r="O118" s="237">
        <v>0</v>
      </c>
      <c r="P118" s="237">
        <v>0</v>
      </c>
      <c r="Q118" s="237">
        <v>0</v>
      </c>
      <c r="R118" s="237">
        <v>0</v>
      </c>
      <c r="S118" s="237">
        <v>0</v>
      </c>
      <c r="T118" s="237">
        <v>0</v>
      </c>
      <c r="U118" s="237" t="s">
        <v>2</v>
      </c>
      <c r="V118" s="237" t="s">
        <v>2</v>
      </c>
      <c r="X118" s="236" t="s">
        <v>235</v>
      </c>
      <c r="Y118" s="236">
        <v>0</v>
      </c>
      <c r="Z118" s="236">
        <v>0</v>
      </c>
      <c r="AA118" s="236">
        <v>0</v>
      </c>
      <c r="AB118" s="236">
        <v>0</v>
      </c>
      <c r="AC118" s="236">
        <v>0</v>
      </c>
      <c r="AD118" s="236">
        <v>0</v>
      </c>
      <c r="AE118" s="236">
        <v>0</v>
      </c>
      <c r="AF118" s="236" t="s">
        <v>2</v>
      </c>
      <c r="AG118" s="236" t="s">
        <v>2</v>
      </c>
    </row>
    <row r="119" spans="13:33" x14ac:dyDescent="0.25">
      <c r="M119" s="237" t="s">
        <v>234</v>
      </c>
      <c r="N119" s="237">
        <v>0</v>
      </c>
      <c r="O119" s="237">
        <v>0</v>
      </c>
      <c r="P119" s="237">
        <v>0</v>
      </c>
      <c r="Q119" s="237">
        <v>0</v>
      </c>
      <c r="R119" s="237">
        <v>0</v>
      </c>
      <c r="S119" s="237">
        <v>0</v>
      </c>
      <c r="T119" s="237">
        <v>0</v>
      </c>
      <c r="U119" s="237" t="s">
        <v>2</v>
      </c>
      <c r="V119" s="237" t="s">
        <v>2</v>
      </c>
      <c r="X119" s="236" t="s">
        <v>234</v>
      </c>
      <c r="Y119" s="236">
        <v>0</v>
      </c>
      <c r="Z119" s="236">
        <v>0</v>
      </c>
      <c r="AA119" s="236">
        <v>0</v>
      </c>
      <c r="AB119" s="236">
        <v>0</v>
      </c>
      <c r="AC119" s="236">
        <v>0</v>
      </c>
      <c r="AD119" s="236">
        <v>0</v>
      </c>
      <c r="AE119" s="236">
        <v>0</v>
      </c>
      <c r="AF119" s="236" t="s">
        <v>2</v>
      </c>
      <c r="AG119" s="236" t="s">
        <v>2</v>
      </c>
    </row>
    <row r="120" spans="13:33" x14ac:dyDescent="0.25">
      <c r="M120" s="237" t="s">
        <v>233</v>
      </c>
      <c r="N120" s="237">
        <v>0</v>
      </c>
      <c r="O120" s="237">
        <v>0</v>
      </c>
      <c r="P120" s="237">
        <v>0</v>
      </c>
      <c r="Q120" s="237">
        <v>0</v>
      </c>
      <c r="R120" s="237">
        <v>0</v>
      </c>
      <c r="S120" s="237">
        <v>0</v>
      </c>
      <c r="T120" s="237">
        <v>0</v>
      </c>
      <c r="U120" s="237" t="s">
        <v>2</v>
      </c>
      <c r="V120" s="237" t="s">
        <v>2</v>
      </c>
      <c r="X120" s="236" t="s">
        <v>233</v>
      </c>
      <c r="Y120" s="236">
        <v>0</v>
      </c>
      <c r="Z120" s="236">
        <v>0</v>
      </c>
      <c r="AA120" s="236">
        <v>0</v>
      </c>
      <c r="AB120" s="236">
        <v>0</v>
      </c>
      <c r="AC120" s="236">
        <v>0</v>
      </c>
      <c r="AD120" s="236">
        <v>0</v>
      </c>
      <c r="AE120" s="236">
        <v>0</v>
      </c>
      <c r="AF120" s="236" t="s">
        <v>2</v>
      </c>
      <c r="AG120" s="236" t="s">
        <v>2</v>
      </c>
    </row>
    <row r="121" spans="13:33" x14ac:dyDescent="0.25">
      <c r="M121" s="237" t="s">
        <v>232</v>
      </c>
      <c r="N121" s="237">
        <v>0</v>
      </c>
      <c r="O121" s="237">
        <v>0</v>
      </c>
      <c r="P121" s="237">
        <v>0</v>
      </c>
      <c r="Q121" s="237">
        <v>0</v>
      </c>
      <c r="R121" s="237">
        <v>0</v>
      </c>
      <c r="S121" s="237">
        <v>0</v>
      </c>
      <c r="T121" s="237">
        <v>0</v>
      </c>
      <c r="U121" s="237" t="s">
        <v>2</v>
      </c>
      <c r="V121" s="237" t="s">
        <v>2</v>
      </c>
      <c r="X121" s="236" t="s">
        <v>232</v>
      </c>
      <c r="Y121" s="236">
        <v>0</v>
      </c>
      <c r="Z121" s="236">
        <v>0</v>
      </c>
      <c r="AA121" s="236">
        <v>0</v>
      </c>
      <c r="AB121" s="236">
        <v>0</v>
      </c>
      <c r="AC121" s="236">
        <v>0</v>
      </c>
      <c r="AD121" s="236">
        <v>0</v>
      </c>
      <c r="AE121" s="236">
        <v>0</v>
      </c>
      <c r="AF121" s="236" t="s">
        <v>2</v>
      </c>
      <c r="AG121" s="236" t="s">
        <v>2</v>
      </c>
    </row>
    <row r="122" spans="13:33" x14ac:dyDescent="0.25">
      <c r="M122" s="237" t="s">
        <v>231</v>
      </c>
      <c r="N122" s="237">
        <v>0</v>
      </c>
      <c r="O122" s="237">
        <v>0</v>
      </c>
      <c r="P122" s="237">
        <v>0</v>
      </c>
      <c r="Q122" s="237">
        <v>0</v>
      </c>
      <c r="R122" s="237">
        <v>0</v>
      </c>
      <c r="S122" s="237">
        <v>0</v>
      </c>
      <c r="T122" s="237">
        <v>0</v>
      </c>
      <c r="U122" s="237" t="s">
        <v>2</v>
      </c>
      <c r="V122" s="237" t="s">
        <v>2</v>
      </c>
      <c r="X122" s="236" t="s">
        <v>231</v>
      </c>
      <c r="Y122" s="236">
        <v>0</v>
      </c>
      <c r="Z122" s="236">
        <v>0</v>
      </c>
      <c r="AA122" s="236">
        <v>0</v>
      </c>
      <c r="AB122" s="236">
        <v>0</v>
      </c>
      <c r="AC122" s="236">
        <v>0</v>
      </c>
      <c r="AD122" s="236">
        <v>0</v>
      </c>
      <c r="AE122" s="236">
        <v>0</v>
      </c>
      <c r="AF122" s="236" t="s">
        <v>2</v>
      </c>
      <c r="AG122" s="236" t="s">
        <v>2</v>
      </c>
    </row>
    <row r="123" spans="13:33" x14ac:dyDescent="0.25">
      <c r="M123" s="237" t="s">
        <v>230</v>
      </c>
      <c r="N123" s="237">
        <v>0</v>
      </c>
      <c r="O123" s="237">
        <v>0</v>
      </c>
      <c r="P123" s="237">
        <v>0</v>
      </c>
      <c r="Q123" s="237">
        <v>0</v>
      </c>
      <c r="R123" s="237">
        <v>0</v>
      </c>
      <c r="S123" s="237">
        <v>0</v>
      </c>
      <c r="T123" s="237">
        <v>0</v>
      </c>
      <c r="U123" s="237" t="s">
        <v>2</v>
      </c>
      <c r="V123" s="237" t="s">
        <v>2</v>
      </c>
      <c r="X123" s="236" t="s">
        <v>230</v>
      </c>
      <c r="Y123" s="236">
        <v>0</v>
      </c>
      <c r="Z123" s="236">
        <v>0</v>
      </c>
      <c r="AA123" s="236">
        <v>0</v>
      </c>
      <c r="AB123" s="236">
        <v>0</v>
      </c>
      <c r="AC123" s="236">
        <v>0</v>
      </c>
      <c r="AD123" s="236">
        <v>0</v>
      </c>
      <c r="AE123" s="236">
        <v>0</v>
      </c>
      <c r="AF123" s="236" t="s">
        <v>2</v>
      </c>
      <c r="AG123" s="236" t="s">
        <v>2</v>
      </c>
    </row>
    <row r="124" spans="13:33" x14ac:dyDescent="0.25">
      <c r="M124" s="237" t="s">
        <v>229</v>
      </c>
      <c r="N124" s="237">
        <v>0</v>
      </c>
      <c r="O124" s="237">
        <v>0</v>
      </c>
      <c r="P124" s="237">
        <v>0</v>
      </c>
      <c r="Q124" s="237">
        <v>0</v>
      </c>
      <c r="R124" s="237">
        <v>0</v>
      </c>
      <c r="S124" s="237">
        <v>0</v>
      </c>
      <c r="T124" s="237">
        <v>0</v>
      </c>
      <c r="U124" s="237" t="s">
        <v>2</v>
      </c>
      <c r="V124" s="237" t="s">
        <v>2</v>
      </c>
      <c r="X124" s="236" t="s">
        <v>229</v>
      </c>
      <c r="Y124" s="236">
        <v>0</v>
      </c>
      <c r="Z124" s="236">
        <v>0</v>
      </c>
      <c r="AA124" s="236">
        <v>0</v>
      </c>
      <c r="AB124" s="236">
        <v>0</v>
      </c>
      <c r="AC124" s="236">
        <v>0</v>
      </c>
      <c r="AD124" s="236">
        <v>0</v>
      </c>
      <c r="AE124" s="236">
        <v>0</v>
      </c>
      <c r="AF124" s="236" t="s">
        <v>2</v>
      </c>
      <c r="AG124" s="236" t="s">
        <v>2</v>
      </c>
    </row>
    <row r="125" spans="13:33" x14ac:dyDescent="0.25">
      <c r="M125" s="237" t="s">
        <v>228</v>
      </c>
      <c r="N125" s="237">
        <v>0</v>
      </c>
      <c r="O125" s="237">
        <v>0</v>
      </c>
      <c r="P125" s="237">
        <v>0</v>
      </c>
      <c r="Q125" s="237">
        <v>0</v>
      </c>
      <c r="R125" s="237">
        <v>0</v>
      </c>
      <c r="S125" s="237">
        <v>0</v>
      </c>
      <c r="T125" s="237">
        <v>0</v>
      </c>
      <c r="U125" s="237" t="s">
        <v>2</v>
      </c>
      <c r="V125" s="237" t="s">
        <v>2</v>
      </c>
      <c r="X125" s="236" t="s">
        <v>228</v>
      </c>
      <c r="Y125" s="236">
        <v>0</v>
      </c>
      <c r="Z125" s="236">
        <v>0</v>
      </c>
      <c r="AA125" s="236">
        <v>0</v>
      </c>
      <c r="AB125" s="236">
        <v>0</v>
      </c>
      <c r="AC125" s="236">
        <v>0</v>
      </c>
      <c r="AD125" s="236">
        <v>0</v>
      </c>
      <c r="AE125" s="236">
        <v>0</v>
      </c>
      <c r="AF125" s="236" t="s">
        <v>2</v>
      </c>
      <c r="AG125" s="236" t="s">
        <v>2</v>
      </c>
    </row>
    <row r="126" spans="13:33" x14ac:dyDescent="0.25">
      <c r="M126" s="237" t="s">
        <v>227</v>
      </c>
      <c r="N126" s="237">
        <v>0</v>
      </c>
      <c r="O126" s="237">
        <v>0</v>
      </c>
      <c r="P126" s="237">
        <v>0</v>
      </c>
      <c r="Q126" s="237">
        <v>0</v>
      </c>
      <c r="R126" s="237">
        <v>0</v>
      </c>
      <c r="S126" s="237">
        <v>0</v>
      </c>
      <c r="T126" s="237">
        <v>0</v>
      </c>
      <c r="U126" s="237" t="s">
        <v>2</v>
      </c>
      <c r="V126" s="237" t="s">
        <v>2</v>
      </c>
      <c r="X126" s="236" t="s">
        <v>227</v>
      </c>
      <c r="Y126" s="236">
        <v>0</v>
      </c>
      <c r="Z126" s="236">
        <v>0</v>
      </c>
      <c r="AA126" s="236">
        <v>0</v>
      </c>
      <c r="AB126" s="236">
        <v>0</v>
      </c>
      <c r="AC126" s="236">
        <v>0</v>
      </c>
      <c r="AD126" s="236">
        <v>0</v>
      </c>
      <c r="AE126" s="236">
        <v>0</v>
      </c>
      <c r="AF126" s="236" t="s">
        <v>2</v>
      </c>
      <c r="AG126" s="236" t="s">
        <v>2</v>
      </c>
    </row>
  </sheetData>
  <sheetProtection algorithmName="SHA-512" hashValue="pXvHUL57icFBgRZoIhp6dfXiLzBCZ6dcXlva+goUXEjBfWI3usKUZ0DloWEYj566JqRK3Z4jZP4mgxIxlPnaHg==" saltValue="45dIlLRd81r/BpqzxY7VCw==" spinCount="100000" sheet="1" selectLockedCells="1" selectUnlockedCells="1"/>
  <mergeCells count="28">
    <mergeCell ref="M75:V75"/>
    <mergeCell ref="X75:AG75"/>
    <mergeCell ref="B35:K35"/>
    <mergeCell ref="M26:V26"/>
    <mergeCell ref="M34:V34"/>
    <mergeCell ref="M41:V41"/>
    <mergeCell ref="X26:AG26"/>
    <mergeCell ref="X34:AG34"/>
    <mergeCell ref="X41:AG41"/>
    <mergeCell ref="X67:AG67"/>
    <mergeCell ref="M67:V67"/>
    <mergeCell ref="M50:V50"/>
    <mergeCell ref="X50:AG50"/>
    <mergeCell ref="B52:K52"/>
    <mergeCell ref="A18:A19"/>
    <mergeCell ref="A52:A53"/>
    <mergeCell ref="M18:V18"/>
    <mergeCell ref="X18:AG18"/>
    <mergeCell ref="B1:K1"/>
    <mergeCell ref="B18:K18"/>
    <mergeCell ref="A35:A36"/>
    <mergeCell ref="A1:A2"/>
    <mergeCell ref="AJ1:AS1"/>
    <mergeCell ref="AJ19:AS19"/>
    <mergeCell ref="M2:V2"/>
    <mergeCell ref="M11:V11"/>
    <mergeCell ref="X11:AG11"/>
    <mergeCell ref="X2:AG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94D71-61A9-4162-BD21-9DA3C3032A17}">
  <sheetPr codeName="Sheet15">
    <tabColor rgb="FF607A96"/>
  </sheetPr>
  <dimension ref="A1:BJ52"/>
  <sheetViews>
    <sheetView topLeftCell="BK1" zoomScale="70" zoomScaleNormal="70" workbookViewId="0">
      <selection sqref="A1:BJ1048576"/>
    </sheetView>
  </sheetViews>
  <sheetFormatPr defaultColWidth="9.140625" defaultRowHeight="15.75" x14ac:dyDescent="0.25"/>
  <cols>
    <col min="1" max="5" width="9.140625" style="51" hidden="1" customWidth="1"/>
    <col min="6" max="8" width="11.85546875" style="51" hidden="1" customWidth="1"/>
    <col min="9" max="9" width="9.140625" style="51" hidden="1" customWidth="1"/>
    <col min="10" max="12" width="17.85546875" style="51" hidden="1" customWidth="1"/>
    <col min="13" max="13" width="9.140625" style="51" hidden="1" customWidth="1"/>
    <col min="14" max="16" width="17.85546875" style="51" hidden="1" customWidth="1"/>
    <col min="17" max="17" width="24" style="51" hidden="1" customWidth="1"/>
    <col min="18" max="18" width="21.5703125" style="51" hidden="1" customWidth="1"/>
    <col min="19" max="19" width="25.28515625" style="51" hidden="1" customWidth="1"/>
    <col min="20" max="20" width="23.140625" style="51" hidden="1" customWidth="1"/>
    <col min="21" max="21" width="13.140625" style="51" hidden="1" customWidth="1"/>
    <col min="22" max="22" width="9.140625" style="51" hidden="1" customWidth="1"/>
    <col min="23" max="23" width="11.5703125" style="51" hidden="1" customWidth="1"/>
    <col min="24" max="24" width="12.42578125" style="51" hidden="1" customWidth="1"/>
    <col min="25" max="25" width="17.140625" style="51" hidden="1" customWidth="1"/>
    <col min="26" max="26" width="18.42578125" style="51" hidden="1" customWidth="1"/>
    <col min="27" max="28" width="14.85546875" style="51" hidden="1" customWidth="1"/>
    <col min="29" max="30" width="11.7109375" style="51" hidden="1" customWidth="1"/>
    <col min="31" max="31" width="15.140625" style="51" hidden="1" customWidth="1"/>
    <col min="32" max="32" width="33.5703125" style="51" hidden="1" customWidth="1"/>
    <col min="33" max="33" width="21" style="51" hidden="1" customWidth="1"/>
    <col min="34" max="34" width="9.140625" style="51" hidden="1" customWidth="1"/>
    <col min="35" max="35" width="15.7109375" style="51" hidden="1" customWidth="1"/>
    <col min="36" max="36" width="11.5703125" style="51" hidden="1" customWidth="1"/>
    <col min="37" max="37" width="13.42578125" style="51" hidden="1" customWidth="1"/>
    <col min="38" max="38" width="9.140625" style="51" hidden="1" customWidth="1"/>
    <col min="39" max="39" width="24.42578125" style="51" hidden="1" customWidth="1"/>
    <col min="40" max="40" width="21.5703125" style="51" hidden="1" customWidth="1"/>
    <col min="41" max="41" width="17.140625" style="51" hidden="1" customWidth="1"/>
    <col min="42" max="42" width="13.85546875" style="51" hidden="1" customWidth="1"/>
    <col min="43" max="43" width="19.140625" style="51" hidden="1" customWidth="1"/>
    <col min="44" max="44" width="18.28515625" style="51" hidden="1" customWidth="1"/>
    <col min="45" max="45" width="19.140625" style="51" hidden="1" customWidth="1"/>
    <col min="46" max="46" width="9.140625" style="51" hidden="1" customWidth="1"/>
    <col min="47" max="47" width="16.42578125" style="51" hidden="1" customWidth="1"/>
    <col min="48" max="48" width="9.140625" style="51" hidden="1" customWidth="1"/>
    <col min="49" max="49" width="16.42578125" style="51" hidden="1" customWidth="1"/>
    <col min="50" max="50" width="18.28515625" style="51" hidden="1" customWidth="1"/>
    <col min="51" max="51" width="9.140625" style="51" hidden="1" customWidth="1"/>
    <col min="52" max="52" width="17.140625" style="51" hidden="1" customWidth="1"/>
    <col min="53" max="53" width="9.140625" style="51" hidden="1" customWidth="1"/>
    <col min="54" max="60" width="15.5703125" style="51" hidden="1" customWidth="1"/>
    <col min="61" max="61" width="17.140625" style="51" hidden="1" customWidth="1"/>
    <col min="62" max="62" width="9.140625" style="51" hidden="1" customWidth="1"/>
    <col min="63" max="69" width="9.140625" style="51" customWidth="1"/>
    <col min="70" max="16384" width="9.140625" style="51"/>
  </cols>
  <sheetData>
    <row r="1" spans="2:61" x14ac:dyDescent="0.25">
      <c r="Q1" s="248"/>
      <c r="R1" s="248"/>
      <c r="S1" s="248"/>
      <c r="T1" s="248"/>
      <c r="U1" s="248"/>
      <c r="V1" s="248"/>
      <c r="W1" s="248" t="s">
        <v>1923</v>
      </c>
      <c r="X1" s="248" t="s">
        <v>1922</v>
      </c>
      <c r="Y1" s="248" t="s">
        <v>1921</v>
      </c>
      <c r="Z1" s="248" t="s">
        <v>1920</v>
      </c>
      <c r="AA1" s="248" t="s">
        <v>1919</v>
      </c>
      <c r="AB1" s="248" t="s">
        <v>1918</v>
      </c>
      <c r="AC1" s="248" t="s">
        <v>1917</v>
      </c>
      <c r="AD1" s="248" t="s">
        <v>1916</v>
      </c>
      <c r="AE1" s="811" t="s">
        <v>1915</v>
      </c>
      <c r="AF1" s="811"/>
      <c r="AG1" s="811" t="s">
        <v>1855</v>
      </c>
      <c r="AH1" s="811"/>
      <c r="AI1" s="248" t="s">
        <v>1914</v>
      </c>
      <c r="AJ1" s="248" t="s">
        <v>1913</v>
      </c>
      <c r="AK1" s="248" t="s">
        <v>1912</v>
      </c>
      <c r="AL1" s="247"/>
      <c r="AM1" s="51" t="s">
        <v>292</v>
      </c>
      <c r="AN1" s="51" t="s">
        <v>291</v>
      </c>
      <c r="AO1" s="51" t="s">
        <v>119</v>
      </c>
      <c r="AP1" s="51" t="s">
        <v>290</v>
      </c>
      <c r="AQ1" s="51" t="s">
        <v>143</v>
      </c>
      <c r="AR1" s="51" t="s">
        <v>289</v>
      </c>
      <c r="AS1" s="51" t="s">
        <v>288</v>
      </c>
      <c r="AT1" s="247"/>
      <c r="AU1" s="51" t="s">
        <v>1597</v>
      </c>
      <c r="AV1" s="51" t="s">
        <v>1538</v>
      </c>
      <c r="AW1" s="51" t="s">
        <v>1911</v>
      </c>
      <c r="AX1" s="51" t="s">
        <v>139</v>
      </c>
      <c r="AY1" s="247"/>
      <c r="AZ1" s="51" t="s">
        <v>1707</v>
      </c>
      <c r="BA1" s="553" t="e">
        <f>'DSCR (Single Asset)'!$D$30</f>
        <v>#N/A</v>
      </c>
      <c r="BB1" s="550" t="s">
        <v>23602</v>
      </c>
      <c r="BC1" s="550" t="s">
        <v>23603</v>
      </c>
      <c r="BD1" s="550" t="s">
        <v>23604</v>
      </c>
      <c r="BE1" s="550" t="s">
        <v>23605</v>
      </c>
      <c r="BF1" s="550" t="s">
        <v>23606</v>
      </c>
      <c r="BG1" s="550" t="s">
        <v>1446</v>
      </c>
      <c r="BH1" s="550" t="s">
        <v>23607</v>
      </c>
      <c r="BI1" s="51" t="s">
        <v>1991</v>
      </c>
    </row>
    <row r="2" spans="2:61" x14ac:dyDescent="0.25">
      <c r="B2" s="639" t="s">
        <v>1910</v>
      </c>
      <c r="C2" s="639"/>
      <c r="D2" s="639"/>
      <c r="F2" s="639" t="s">
        <v>188</v>
      </c>
      <c r="G2" s="639"/>
      <c r="H2" s="639"/>
      <c r="J2" s="639" t="s">
        <v>1909</v>
      </c>
      <c r="K2" s="639"/>
      <c r="L2" s="639"/>
      <c r="N2" s="639" t="s">
        <v>1908</v>
      </c>
      <c r="O2" s="639"/>
      <c r="P2" s="639"/>
      <c r="Q2" s="51" t="s">
        <v>1756</v>
      </c>
      <c r="R2" s="51" t="s">
        <v>287</v>
      </c>
      <c r="S2" s="51" t="s">
        <v>1597</v>
      </c>
      <c r="T2" s="51" t="s">
        <v>202</v>
      </c>
      <c r="U2" s="51" t="s">
        <v>1907</v>
      </c>
      <c r="V2" s="51" t="s">
        <v>286</v>
      </c>
      <c r="W2" s="548" t="s">
        <v>1887</v>
      </c>
      <c r="X2" s="548" t="s">
        <v>1887</v>
      </c>
      <c r="Y2" s="51" t="s">
        <v>1863</v>
      </c>
      <c r="Z2" s="51" t="s">
        <v>1863</v>
      </c>
      <c r="AA2" s="51" t="s">
        <v>1860</v>
      </c>
      <c r="AB2" s="51" t="s">
        <v>1860</v>
      </c>
      <c r="AC2" s="51" t="s">
        <v>1853</v>
      </c>
      <c r="AD2" s="51" t="s">
        <v>1853</v>
      </c>
      <c r="AE2" s="51" t="s">
        <v>1906</v>
      </c>
      <c r="AF2" s="51" t="s">
        <v>1905</v>
      </c>
      <c r="AG2" s="51" t="s">
        <v>1853</v>
      </c>
      <c r="AH2" s="51">
        <v>0</v>
      </c>
      <c r="AI2" s="51" t="s">
        <v>1904</v>
      </c>
      <c r="AJ2" s="67">
        <v>0</v>
      </c>
      <c r="AK2" s="53">
        <v>0</v>
      </c>
      <c r="AL2" s="247"/>
      <c r="AM2" s="51" t="s">
        <v>191</v>
      </c>
      <c r="AN2" s="51" t="s">
        <v>177</v>
      </c>
      <c r="AO2" s="51" t="s">
        <v>285</v>
      </c>
      <c r="AP2" s="51" t="s">
        <v>284</v>
      </c>
      <c r="AQ2" s="51" t="s">
        <v>136</v>
      </c>
      <c r="AR2" s="51" t="s">
        <v>138</v>
      </c>
      <c r="AS2" s="51" t="s">
        <v>283</v>
      </c>
      <c r="AT2" s="247"/>
      <c r="AU2" s="51" t="s">
        <v>1595</v>
      </c>
      <c r="AV2" s="51" t="s">
        <v>1594</v>
      </c>
      <c r="AW2" s="51" t="s">
        <v>1903</v>
      </c>
      <c r="AX2" s="51" t="s">
        <v>138</v>
      </c>
      <c r="AY2" s="247"/>
      <c r="AZ2" s="548" t="s">
        <v>1887</v>
      </c>
      <c r="BA2" s="51" t="s">
        <v>23602</v>
      </c>
      <c r="BB2" s="551">
        <v>0</v>
      </c>
      <c r="BC2" s="56">
        <v>0</v>
      </c>
      <c r="BD2" s="56">
        <v>0</v>
      </c>
      <c r="BE2" s="56">
        <v>0</v>
      </c>
      <c r="BF2" s="56">
        <v>0</v>
      </c>
      <c r="BG2" s="56">
        <v>0</v>
      </c>
      <c r="BH2" s="56">
        <v>0</v>
      </c>
      <c r="BI2" s="56" t="e">
        <f>IF($BA$1=$BB$1,BB2,IF($BA$1=$BC$1,BC2,IF($BA$1=$BD$1,BD2,IF($BA$1=$BE$1,BE2,IF($BA$1=$BF$1,BF2,IF($BA$1=$BG$1,BG2,IF($BA$1=$BH$1,BH2,)))))))</f>
        <v>#N/A</v>
      </c>
    </row>
    <row r="3" spans="2:61" x14ac:dyDescent="0.25">
      <c r="B3" s="51" t="s">
        <v>1902</v>
      </c>
      <c r="C3" s="51" t="s">
        <v>915</v>
      </c>
      <c r="D3" s="51" t="s">
        <v>1901</v>
      </c>
      <c r="F3" s="51" t="s">
        <v>1902</v>
      </c>
      <c r="G3" s="51" t="s">
        <v>915</v>
      </c>
      <c r="H3" s="51" t="s">
        <v>1901</v>
      </c>
      <c r="J3" s="51" t="s">
        <v>1902</v>
      </c>
      <c r="K3" s="51" t="s">
        <v>915</v>
      </c>
      <c r="L3" s="51" t="s">
        <v>1901</v>
      </c>
      <c r="N3" s="51" t="s">
        <v>1902</v>
      </c>
      <c r="O3" s="51" t="s">
        <v>915</v>
      </c>
      <c r="P3" s="51" t="s">
        <v>1901</v>
      </c>
      <c r="Q3" s="51" t="s">
        <v>1755</v>
      </c>
      <c r="R3" s="51" t="s">
        <v>282</v>
      </c>
      <c r="S3" s="51" t="s">
        <v>189</v>
      </c>
      <c r="T3" s="51" t="s">
        <v>200</v>
      </c>
      <c r="U3" s="51" t="s">
        <v>1900</v>
      </c>
      <c r="V3" s="51" t="s">
        <v>281</v>
      </c>
      <c r="W3" s="51" t="s">
        <v>1848</v>
      </c>
      <c r="X3" s="548" t="s">
        <v>1848</v>
      </c>
      <c r="AA3" s="51" t="s">
        <v>1858</v>
      </c>
      <c r="AB3" s="51" t="s">
        <v>1858</v>
      </c>
      <c r="AC3" s="51" t="s">
        <v>1852</v>
      </c>
      <c r="AD3" s="51" t="s">
        <v>1852</v>
      </c>
      <c r="AE3" s="51" t="s">
        <v>1899</v>
      </c>
      <c r="AF3" s="51" t="s">
        <v>1898</v>
      </c>
      <c r="AG3" s="51" t="s">
        <v>1897</v>
      </c>
      <c r="AH3" s="51">
        <v>3</v>
      </c>
      <c r="AJ3" s="67">
        <v>1.25E-3</v>
      </c>
      <c r="AK3" s="53"/>
      <c r="AL3" s="247"/>
      <c r="AM3" s="51" t="s">
        <v>189</v>
      </c>
      <c r="AN3" s="51" t="s">
        <v>174</v>
      </c>
      <c r="AO3" s="51" t="s">
        <v>280</v>
      </c>
      <c r="AP3" s="51" t="s">
        <v>279</v>
      </c>
      <c r="AQ3" s="51" t="s">
        <v>133</v>
      </c>
      <c r="AR3" s="51" t="s">
        <v>139</v>
      </c>
      <c r="AS3" s="51" t="s">
        <v>278</v>
      </c>
      <c r="AT3" s="247"/>
      <c r="AU3" s="51" t="s">
        <v>1592</v>
      </c>
      <c r="AY3" s="247"/>
      <c r="AZ3" s="548" t="s">
        <v>1848</v>
      </c>
      <c r="BA3" s="51" t="s">
        <v>23603</v>
      </c>
      <c r="BB3" s="56">
        <v>1.25E-3</v>
      </c>
      <c r="BC3" s="56">
        <v>1.25E-3</v>
      </c>
      <c r="BD3" s="56">
        <v>1.25E-3</v>
      </c>
      <c r="BE3" s="56">
        <v>1.25E-3</v>
      </c>
      <c r="BF3" s="56">
        <v>1.25E-3</v>
      </c>
      <c r="BG3" s="56">
        <v>1.25E-3</v>
      </c>
      <c r="BH3" s="56" t="s">
        <v>2</v>
      </c>
      <c r="BI3" s="56" t="e">
        <f t="shared" ref="BI3:BI14" si="0">IF($BA$1=$BB$1,BB3,IF($BA$1=$BC$1,BC3,IF($BA$1=$BD$1,BD3,IF($BA$1=$BE$1,BE3,IF($BA$1=$BF$1,BF3,IF($BA$1=$BG$1,BG3,IF($BA$1=$BH$1,BH3,)))))))</f>
        <v>#N/A</v>
      </c>
    </row>
    <row r="4" spans="2:61" x14ac:dyDescent="0.25">
      <c r="B4" s="51">
        <v>0</v>
      </c>
      <c r="C4" s="51">
        <v>574</v>
      </c>
      <c r="D4" s="51" t="s">
        <v>1691</v>
      </c>
      <c r="F4" s="71">
        <v>0</v>
      </c>
      <c r="G4" s="71">
        <v>0.5</v>
      </c>
      <c r="H4" s="51" t="s">
        <v>1640</v>
      </c>
      <c r="J4" s="57">
        <v>0</v>
      </c>
      <c r="K4" s="57">
        <v>50000</v>
      </c>
      <c r="L4" s="51" t="s">
        <v>1844</v>
      </c>
      <c r="N4" s="57">
        <v>0</v>
      </c>
      <c r="O4" s="57">
        <v>35000</v>
      </c>
      <c r="P4" s="51" t="s">
        <v>1880</v>
      </c>
      <c r="Q4" s="51" t="s">
        <v>1754</v>
      </c>
      <c r="R4" s="51" t="s">
        <v>277</v>
      </c>
      <c r="S4" s="51" t="s">
        <v>1592</v>
      </c>
      <c r="T4" s="51" t="s">
        <v>3</v>
      </c>
      <c r="U4" s="51" t="s">
        <v>1896</v>
      </c>
      <c r="V4" s="51" t="s">
        <v>276</v>
      </c>
      <c r="W4" s="51" t="s">
        <v>1847</v>
      </c>
      <c r="X4" s="548" t="s">
        <v>1847</v>
      </c>
      <c r="AA4" s="51" t="s">
        <v>1857</v>
      </c>
      <c r="AB4" s="51" t="s">
        <v>1857</v>
      </c>
      <c r="AC4" s="51" t="s">
        <v>1851</v>
      </c>
      <c r="AD4" s="51" t="s">
        <v>1851</v>
      </c>
      <c r="AE4" s="51" t="s">
        <v>1848</v>
      </c>
      <c r="AF4" s="51" t="s">
        <v>1875</v>
      </c>
      <c r="AG4" s="51" t="s">
        <v>1852</v>
      </c>
      <c r="AH4" s="51">
        <v>5</v>
      </c>
      <c r="AJ4" s="67">
        <v>2.5000000000000001E-3</v>
      </c>
      <c r="AK4" s="53"/>
      <c r="AL4" s="247"/>
      <c r="AM4" s="51" t="s">
        <v>182</v>
      </c>
      <c r="AN4" s="51" t="s">
        <v>172</v>
      </c>
      <c r="AO4" s="51" t="s">
        <v>275</v>
      </c>
      <c r="AQ4" s="51" t="s">
        <v>130</v>
      </c>
      <c r="AT4" s="247"/>
      <c r="AU4" s="51" t="s">
        <v>1591</v>
      </c>
      <c r="AY4" s="247"/>
      <c r="AZ4" s="548" t="s">
        <v>1847</v>
      </c>
      <c r="BA4" s="51" t="s">
        <v>23604</v>
      </c>
      <c r="BB4" s="56">
        <v>2.5000000000000001E-3</v>
      </c>
      <c r="BC4" s="56">
        <v>2.5000000000000001E-3</v>
      </c>
      <c r="BD4" s="56">
        <v>2.5000000000000001E-3</v>
      </c>
      <c r="BE4" s="56">
        <v>2.5000000000000001E-3</v>
      </c>
      <c r="BF4" s="56">
        <v>2.5000000000000001E-3</v>
      </c>
      <c r="BG4" s="56">
        <v>2.5000000000000001E-3</v>
      </c>
      <c r="BH4" s="56" t="s">
        <v>2</v>
      </c>
      <c r="BI4" s="56" t="e">
        <f t="shared" si="0"/>
        <v>#N/A</v>
      </c>
    </row>
    <row r="5" spans="2:61" x14ac:dyDescent="0.25">
      <c r="B5" s="51">
        <v>575</v>
      </c>
      <c r="C5" s="51">
        <v>599</v>
      </c>
      <c r="D5" s="51" t="s">
        <v>1690</v>
      </c>
      <c r="F5" s="70">
        <f t="shared" ref="F5:F14" si="1">+G4+0.00000001%</f>
        <v>0.50000000010000001</v>
      </c>
      <c r="G5" s="71">
        <f t="shared" ref="G5:G14" si="2">+G4+5%</f>
        <v>0.55000000000000004</v>
      </c>
      <c r="H5" s="51" t="s">
        <v>1639</v>
      </c>
      <c r="J5" s="57">
        <f t="shared" ref="J5:J17" si="3">+K4+0.0000000000001</f>
        <v>50000</v>
      </c>
      <c r="K5" s="57">
        <f>+K4+25000</f>
        <v>75000</v>
      </c>
      <c r="L5" s="51" t="s">
        <v>1842</v>
      </c>
      <c r="N5" s="57">
        <f t="shared" ref="N5:N10" si="4">+O4+0.0000000001</f>
        <v>35000.000000000102</v>
      </c>
      <c r="O5" s="57">
        <v>50000</v>
      </c>
      <c r="P5" s="51" t="s">
        <v>1844</v>
      </c>
      <c r="Q5" s="51" t="s">
        <v>1753</v>
      </c>
      <c r="S5" s="51" t="s">
        <v>1869</v>
      </c>
      <c r="T5" s="51" t="s">
        <v>274</v>
      </c>
      <c r="U5" s="51" t="s">
        <v>1895</v>
      </c>
      <c r="V5" s="51" t="s">
        <v>273</v>
      </c>
      <c r="W5" s="51" t="s">
        <v>1846</v>
      </c>
      <c r="X5" s="548" t="s">
        <v>1846</v>
      </c>
      <c r="AA5" s="51" t="s">
        <v>1856</v>
      </c>
      <c r="AB5" s="51" t="s">
        <v>1856</v>
      </c>
      <c r="AC5" s="51" t="s">
        <v>1850</v>
      </c>
      <c r="AD5" s="51" t="s">
        <v>1850</v>
      </c>
      <c r="AE5" s="51" t="s">
        <v>1847</v>
      </c>
      <c r="AF5" s="51" t="s">
        <v>1894</v>
      </c>
      <c r="AG5" s="51" t="s">
        <v>1851</v>
      </c>
      <c r="AH5" s="51">
        <v>7</v>
      </c>
      <c r="AJ5" s="67">
        <v>3.7499999999999999E-3</v>
      </c>
      <c r="AK5" s="53"/>
      <c r="AL5" s="247"/>
      <c r="AM5" s="51" t="s">
        <v>179</v>
      </c>
      <c r="AN5" s="51" t="s">
        <v>170</v>
      </c>
      <c r="AQ5" s="51" t="s">
        <v>128</v>
      </c>
      <c r="AT5" s="247"/>
      <c r="AU5" s="51" t="s">
        <v>1650</v>
      </c>
      <c r="AY5" s="247"/>
      <c r="AZ5" s="548" t="s">
        <v>1846</v>
      </c>
      <c r="BA5" s="51" t="s">
        <v>23605</v>
      </c>
      <c r="BB5" s="56">
        <v>3.7499999999999999E-3</v>
      </c>
      <c r="BC5" s="56">
        <v>3.7499999999999999E-3</v>
      </c>
      <c r="BD5" s="56">
        <v>3.7499999999999999E-3</v>
      </c>
      <c r="BE5" s="56">
        <v>3.7499999999999999E-3</v>
      </c>
      <c r="BF5" s="56">
        <v>2.5000000000000001E-3</v>
      </c>
      <c r="BG5" s="56" t="s">
        <v>2</v>
      </c>
      <c r="BH5" s="56" t="s">
        <v>2</v>
      </c>
      <c r="BI5" s="56" t="e">
        <f t="shared" si="0"/>
        <v>#N/A</v>
      </c>
    </row>
    <row r="6" spans="2:61" x14ac:dyDescent="0.25">
      <c r="B6" s="51">
        <v>600</v>
      </c>
      <c r="C6" s="51">
        <v>619</v>
      </c>
      <c r="D6" s="51" t="s">
        <v>1689</v>
      </c>
      <c r="F6" s="70">
        <f t="shared" si="1"/>
        <v>0.55000000010000005</v>
      </c>
      <c r="G6" s="71">
        <f t="shared" si="2"/>
        <v>0.60000000000000009</v>
      </c>
      <c r="H6" s="51" t="s">
        <v>1638</v>
      </c>
      <c r="J6" s="57">
        <f t="shared" si="3"/>
        <v>75000</v>
      </c>
      <c r="K6" s="57">
        <f>+K5+25000</f>
        <v>100000</v>
      </c>
      <c r="L6" s="51" t="s">
        <v>1839</v>
      </c>
      <c r="N6" s="57">
        <f t="shared" si="4"/>
        <v>50000.000000000102</v>
      </c>
      <c r="O6" s="57">
        <v>75000</v>
      </c>
      <c r="P6" s="51" t="s">
        <v>1842</v>
      </c>
      <c r="Q6" s="51" t="s">
        <v>1752</v>
      </c>
      <c r="S6" s="51" t="s">
        <v>1591</v>
      </c>
      <c r="V6" s="51" t="s">
        <v>272</v>
      </c>
      <c r="W6" s="51" t="s">
        <v>275</v>
      </c>
      <c r="X6" s="548" t="s">
        <v>275</v>
      </c>
      <c r="AE6" s="51" t="s">
        <v>1846</v>
      </c>
      <c r="AF6" s="51" t="s">
        <v>1893</v>
      </c>
      <c r="AG6" s="51" t="s">
        <v>1850</v>
      </c>
      <c r="AH6" s="51">
        <v>10</v>
      </c>
      <c r="AJ6" s="67">
        <v>5.0000000000000001E-3</v>
      </c>
      <c r="AK6" s="53"/>
      <c r="AL6" s="247"/>
      <c r="AQ6" s="51" t="s">
        <v>125</v>
      </c>
      <c r="AT6" s="247"/>
      <c r="AU6" s="51" t="s">
        <v>1892</v>
      </c>
      <c r="AY6" s="247"/>
      <c r="AZ6" s="548" t="s">
        <v>275</v>
      </c>
      <c r="BA6" s="51" t="s">
        <v>23606</v>
      </c>
      <c r="BB6" s="56">
        <v>5.0000000000000001E-3</v>
      </c>
      <c r="BC6" s="56">
        <v>5.0000000000000001E-3</v>
      </c>
      <c r="BD6" s="56">
        <v>5.0000000000000001E-3</v>
      </c>
      <c r="BE6" s="56">
        <v>5.0000000000000001E-3</v>
      </c>
      <c r="BF6" s="56" t="s">
        <v>2</v>
      </c>
      <c r="BG6" s="56" t="s">
        <v>2</v>
      </c>
      <c r="BH6" s="56" t="s">
        <v>2</v>
      </c>
      <c r="BI6" s="56" t="e">
        <f t="shared" si="0"/>
        <v>#N/A</v>
      </c>
    </row>
    <row r="7" spans="2:61" x14ac:dyDescent="0.25">
      <c r="B7" s="51">
        <v>620</v>
      </c>
      <c r="C7" s="51">
        <v>639</v>
      </c>
      <c r="D7" s="51" t="s">
        <v>1688</v>
      </c>
      <c r="F7" s="70">
        <f t="shared" si="1"/>
        <v>0.6000000001000001</v>
      </c>
      <c r="G7" s="71">
        <f t="shared" si="2"/>
        <v>0.65000000000000013</v>
      </c>
      <c r="H7" s="51" t="s">
        <v>1637</v>
      </c>
      <c r="J7" s="57">
        <f t="shared" si="3"/>
        <v>100000</v>
      </c>
      <c r="K7" s="57">
        <f>+K6+25000</f>
        <v>125000</v>
      </c>
      <c r="L7" s="51" t="s">
        <v>1838</v>
      </c>
      <c r="N7" s="57">
        <f t="shared" si="4"/>
        <v>75000.000000000102</v>
      </c>
      <c r="O7" s="57">
        <v>100000</v>
      </c>
      <c r="P7" s="51" t="s">
        <v>1839</v>
      </c>
      <c r="Q7" s="51" t="s">
        <v>1751</v>
      </c>
      <c r="S7" s="51" t="s">
        <v>1588</v>
      </c>
      <c r="V7" s="51" t="s">
        <v>271</v>
      </c>
      <c r="W7" s="51" t="s">
        <v>285</v>
      </c>
      <c r="X7" s="548" t="s">
        <v>285</v>
      </c>
      <c r="AE7" s="51" t="s">
        <v>275</v>
      </c>
      <c r="AF7" s="51" t="s">
        <v>1891</v>
      </c>
      <c r="AJ7" s="67">
        <v>6.2500000000000003E-3</v>
      </c>
      <c r="AK7" s="53"/>
      <c r="AL7" s="247"/>
      <c r="AQ7" s="51" t="s">
        <v>122</v>
      </c>
      <c r="AT7" s="247"/>
      <c r="AU7" s="51" t="s">
        <v>1588</v>
      </c>
      <c r="AY7" s="247"/>
      <c r="AZ7" s="548" t="s">
        <v>285</v>
      </c>
      <c r="BA7" s="51" t="s">
        <v>1446</v>
      </c>
      <c r="BB7" s="56">
        <v>6.2500000000000003E-3</v>
      </c>
      <c r="BC7" s="56">
        <v>6.2500000000000003E-3</v>
      </c>
      <c r="BD7" s="56">
        <v>6.2500000000000003E-3</v>
      </c>
      <c r="BE7" s="56">
        <v>6.2500000000000003E-3</v>
      </c>
      <c r="BF7" s="56" t="s">
        <v>2</v>
      </c>
      <c r="BG7" s="56" t="s">
        <v>2</v>
      </c>
      <c r="BH7" s="56" t="s">
        <v>2</v>
      </c>
      <c r="BI7" s="56" t="e">
        <f t="shared" si="0"/>
        <v>#N/A</v>
      </c>
    </row>
    <row r="8" spans="2:61" x14ac:dyDescent="0.25">
      <c r="B8" s="51">
        <v>640</v>
      </c>
      <c r="C8" s="51">
        <v>659</v>
      </c>
      <c r="D8" s="51" t="s">
        <v>1687</v>
      </c>
      <c r="F8" s="70">
        <f t="shared" si="1"/>
        <v>0.65000000010000014</v>
      </c>
      <c r="G8" s="71">
        <f t="shared" si="2"/>
        <v>0.70000000000000018</v>
      </c>
      <c r="H8" s="51" t="s">
        <v>1636</v>
      </c>
      <c r="J8" s="57">
        <f t="shared" si="3"/>
        <v>125000</v>
      </c>
      <c r="K8" s="57">
        <f>+K7+25000</f>
        <v>150000</v>
      </c>
      <c r="L8" s="51" t="s">
        <v>1837</v>
      </c>
      <c r="N8" s="57">
        <f t="shared" si="4"/>
        <v>100000.0000000001</v>
      </c>
      <c r="O8" s="57">
        <v>150000</v>
      </c>
      <c r="P8" s="51" t="s">
        <v>1837</v>
      </c>
      <c r="Q8" s="51" t="s">
        <v>1750</v>
      </c>
      <c r="S8" s="51" t="s">
        <v>1871</v>
      </c>
      <c r="V8" s="51" t="s">
        <v>270</v>
      </c>
      <c r="W8" s="51" t="s">
        <v>1845</v>
      </c>
      <c r="X8" s="548" t="s">
        <v>1845</v>
      </c>
      <c r="AE8" s="51" t="s">
        <v>285</v>
      </c>
      <c r="AF8" s="55">
        <v>0.01</v>
      </c>
      <c r="AJ8" s="67">
        <v>7.5000000000000006E-3</v>
      </c>
      <c r="AK8" s="53"/>
      <c r="AL8" s="247"/>
      <c r="AQ8" s="51" t="s">
        <v>117</v>
      </c>
      <c r="AT8" s="247"/>
      <c r="AU8" s="51" t="s">
        <v>1890</v>
      </c>
      <c r="AY8" s="247"/>
      <c r="AZ8" s="548" t="s">
        <v>1845</v>
      </c>
      <c r="BA8" s="51" t="s">
        <v>23607</v>
      </c>
      <c r="BB8" s="56">
        <v>7.5000000000000006E-3</v>
      </c>
      <c r="BC8" s="56">
        <v>7.5000000000000006E-3</v>
      </c>
      <c r="BD8" s="56">
        <v>7.5000000000000006E-3</v>
      </c>
      <c r="BE8" s="56">
        <v>7.5000000000000006E-3</v>
      </c>
      <c r="BF8" s="56" t="s">
        <v>2</v>
      </c>
      <c r="BG8" s="56" t="s">
        <v>2</v>
      </c>
      <c r="BH8" s="56" t="s">
        <v>2</v>
      </c>
      <c r="BI8" s="56" t="e">
        <f t="shared" si="0"/>
        <v>#N/A</v>
      </c>
    </row>
    <row r="9" spans="2:61" x14ac:dyDescent="0.25">
      <c r="B9" s="51">
        <v>660</v>
      </c>
      <c r="C9" s="51">
        <v>679</v>
      </c>
      <c r="D9" s="51" t="s">
        <v>1686</v>
      </c>
      <c r="F9" s="70">
        <f t="shared" si="1"/>
        <v>0.70000000010000019</v>
      </c>
      <c r="G9" s="71">
        <f t="shared" si="2"/>
        <v>0.75000000000000022</v>
      </c>
      <c r="H9" s="51" t="s">
        <v>1635</v>
      </c>
      <c r="J9" s="57">
        <f t="shared" si="3"/>
        <v>150000</v>
      </c>
      <c r="K9" s="57">
        <v>250000</v>
      </c>
      <c r="L9" s="51" t="s">
        <v>1836</v>
      </c>
      <c r="N9" s="57">
        <f t="shared" si="4"/>
        <v>150000.00000000009</v>
      </c>
      <c r="O9" s="57">
        <v>250000</v>
      </c>
      <c r="P9" s="51" t="s">
        <v>1836</v>
      </c>
      <c r="Q9" s="51" t="s">
        <v>1675</v>
      </c>
      <c r="S9" s="51" t="s">
        <v>1870</v>
      </c>
      <c r="V9" s="51" t="s">
        <v>269</v>
      </c>
      <c r="AE9" s="51" t="s">
        <v>1845</v>
      </c>
      <c r="AF9" s="55">
        <v>0</v>
      </c>
      <c r="AJ9" s="67">
        <v>8.7500000000000008E-3</v>
      </c>
      <c r="AK9" s="53"/>
      <c r="AL9" s="247"/>
      <c r="AT9" s="247"/>
      <c r="AY9" s="247"/>
      <c r="BB9" s="56">
        <v>8.7500000000000008E-3</v>
      </c>
      <c r="BC9" s="56">
        <v>8.7500000000000008E-3</v>
      </c>
      <c r="BD9" s="56">
        <v>8.7500000000000008E-3</v>
      </c>
      <c r="BE9" s="56">
        <v>8.7500000000000008E-3</v>
      </c>
      <c r="BF9" s="56" t="s">
        <v>2</v>
      </c>
      <c r="BG9" s="56" t="s">
        <v>2</v>
      </c>
      <c r="BH9" s="56" t="s">
        <v>2</v>
      </c>
      <c r="BI9" s="56" t="e">
        <f t="shared" si="0"/>
        <v>#N/A</v>
      </c>
    </row>
    <row r="10" spans="2:61" x14ac:dyDescent="0.25">
      <c r="B10" s="51">
        <v>680</v>
      </c>
      <c r="C10" s="51">
        <v>699</v>
      </c>
      <c r="D10" s="51" t="s">
        <v>1476</v>
      </c>
      <c r="F10" s="70">
        <f t="shared" si="1"/>
        <v>0.75000000010000023</v>
      </c>
      <c r="G10" s="71">
        <f t="shared" si="2"/>
        <v>0.80000000000000027</v>
      </c>
      <c r="H10" s="51" t="s">
        <v>1634</v>
      </c>
      <c r="J10" s="57">
        <f t="shared" si="3"/>
        <v>250000</v>
      </c>
      <c r="K10" s="57">
        <v>500000</v>
      </c>
      <c r="L10" s="51" t="s">
        <v>1835</v>
      </c>
      <c r="N10" s="57">
        <f t="shared" si="4"/>
        <v>250000.00000000009</v>
      </c>
      <c r="O10" s="57">
        <v>100000000</v>
      </c>
      <c r="P10" s="51" t="s">
        <v>1828</v>
      </c>
      <c r="V10" s="51" t="s">
        <v>268</v>
      </c>
      <c r="AE10" s="51" t="s">
        <v>1889</v>
      </c>
      <c r="AF10" s="51" t="s">
        <v>1888</v>
      </c>
      <c r="AJ10" s="67">
        <v>0.01</v>
      </c>
      <c r="AK10" s="53"/>
      <c r="AL10" s="247"/>
      <c r="AT10" s="247"/>
      <c r="AY10" s="247"/>
      <c r="BB10" s="56">
        <v>0.01</v>
      </c>
      <c r="BC10" s="56">
        <v>0.01</v>
      </c>
      <c r="BD10" s="56">
        <v>0.01</v>
      </c>
      <c r="BE10" s="56">
        <v>0.01</v>
      </c>
      <c r="BF10" s="56" t="s">
        <v>2</v>
      </c>
      <c r="BG10" s="56" t="s">
        <v>2</v>
      </c>
      <c r="BH10" s="56" t="s">
        <v>2</v>
      </c>
      <c r="BI10" s="56" t="e">
        <f t="shared" si="0"/>
        <v>#N/A</v>
      </c>
    </row>
    <row r="11" spans="2:61" x14ac:dyDescent="0.25">
      <c r="B11" s="51">
        <v>700</v>
      </c>
      <c r="C11" s="51">
        <v>719</v>
      </c>
      <c r="D11" s="51" t="s">
        <v>1685</v>
      </c>
      <c r="F11" s="70">
        <f t="shared" si="1"/>
        <v>0.80000000010000027</v>
      </c>
      <c r="G11" s="71">
        <f t="shared" si="2"/>
        <v>0.85000000000000031</v>
      </c>
      <c r="H11" s="51" t="s">
        <v>1841</v>
      </c>
      <c r="J11" s="57">
        <f t="shared" si="3"/>
        <v>500000</v>
      </c>
      <c r="K11" s="57">
        <v>750000</v>
      </c>
      <c r="L11" s="51" t="s">
        <v>1834</v>
      </c>
      <c r="N11" s="57"/>
      <c r="V11" s="51" t="s">
        <v>267</v>
      </c>
      <c r="AE11" s="51" t="s">
        <v>1887</v>
      </c>
      <c r="AF11" s="51" t="s">
        <v>1886</v>
      </c>
      <c r="AJ11" s="67">
        <v>1.125E-2</v>
      </c>
      <c r="AK11" s="53"/>
      <c r="AL11" s="247"/>
      <c r="AT11" s="247"/>
      <c r="AY11" s="247"/>
      <c r="BB11" s="56">
        <v>1.125E-2</v>
      </c>
      <c r="BC11" s="56">
        <v>1.125E-2</v>
      </c>
      <c r="BD11" s="56">
        <v>1.125E-2</v>
      </c>
      <c r="BE11" s="56" t="s">
        <v>2</v>
      </c>
      <c r="BF11" s="56" t="s">
        <v>2</v>
      </c>
      <c r="BG11" s="56" t="s">
        <v>2</v>
      </c>
      <c r="BH11" s="56" t="s">
        <v>2</v>
      </c>
      <c r="BI11" s="56" t="e">
        <f t="shared" si="0"/>
        <v>#N/A</v>
      </c>
    </row>
    <row r="12" spans="2:61" x14ac:dyDescent="0.25">
      <c r="B12" s="51">
        <v>720</v>
      </c>
      <c r="C12" s="51">
        <v>739</v>
      </c>
      <c r="D12" s="51" t="s">
        <v>1684</v>
      </c>
      <c r="F12" s="70">
        <f t="shared" si="1"/>
        <v>0.85000000010000032</v>
      </c>
      <c r="G12" s="71">
        <f t="shared" si="2"/>
        <v>0.90000000000000036</v>
      </c>
      <c r="H12" s="51" t="s">
        <v>1840</v>
      </c>
      <c r="J12" s="57">
        <f t="shared" si="3"/>
        <v>750000</v>
      </c>
      <c r="K12" s="57">
        <v>1000000</v>
      </c>
      <c r="L12" s="51" t="s">
        <v>1833</v>
      </c>
      <c r="N12" s="57" t="s">
        <v>1885</v>
      </c>
      <c r="O12" s="51" t="s">
        <v>1884</v>
      </c>
      <c r="V12" s="51" t="s">
        <v>266</v>
      </c>
      <c r="AE12" s="51" t="s">
        <v>1883</v>
      </c>
      <c r="AF12" s="51" t="s">
        <v>1882</v>
      </c>
      <c r="AJ12" s="67">
        <v>1.2499999999999999E-2</v>
      </c>
      <c r="AK12" s="53"/>
      <c r="AL12" s="247"/>
      <c r="AT12" s="247"/>
      <c r="AY12" s="247"/>
      <c r="BB12" s="56">
        <v>1.2499999999999999E-2</v>
      </c>
      <c r="BC12" s="56">
        <v>1.2499999999999999E-2</v>
      </c>
      <c r="BD12" s="56">
        <v>1.2499999999999999E-2</v>
      </c>
      <c r="BE12" s="56" t="s">
        <v>2</v>
      </c>
      <c r="BF12" s="56" t="s">
        <v>2</v>
      </c>
      <c r="BG12" s="56" t="s">
        <v>2</v>
      </c>
      <c r="BH12" s="56" t="s">
        <v>2</v>
      </c>
      <c r="BI12" s="56" t="e">
        <f t="shared" si="0"/>
        <v>#N/A</v>
      </c>
    </row>
    <row r="13" spans="2:61" x14ac:dyDescent="0.25">
      <c r="B13" s="51">
        <v>740</v>
      </c>
      <c r="C13" s="51">
        <v>759</v>
      </c>
      <c r="D13" s="51" t="s">
        <v>1683</v>
      </c>
      <c r="F13" s="70">
        <f t="shared" si="1"/>
        <v>0.90000000010000036</v>
      </c>
      <c r="G13" s="71">
        <f t="shared" si="2"/>
        <v>0.9500000000000004</v>
      </c>
      <c r="H13" s="51" t="s">
        <v>1881</v>
      </c>
      <c r="J13" s="57">
        <f t="shared" si="3"/>
        <v>1000000</v>
      </c>
      <c r="K13" s="57">
        <v>1250000</v>
      </c>
      <c r="L13" s="51" t="s">
        <v>1832</v>
      </c>
      <c r="N13" s="57" t="s">
        <v>1880</v>
      </c>
      <c r="O13" s="55">
        <v>0.45</v>
      </c>
      <c r="V13" s="51" t="s">
        <v>265</v>
      </c>
      <c r="AE13" s="51" t="s">
        <v>1879</v>
      </c>
      <c r="AF13" s="51" t="s">
        <v>1878</v>
      </c>
      <c r="AJ13" s="67">
        <v>1.3749999999999998E-2</v>
      </c>
      <c r="AK13" s="53"/>
      <c r="AL13" s="247"/>
      <c r="AT13" s="247"/>
      <c r="AY13" s="247"/>
      <c r="BB13" s="56">
        <v>1.3749999999999998E-2</v>
      </c>
      <c r="BC13" s="56">
        <v>1.3749999999999998E-2</v>
      </c>
      <c r="BD13" s="56" t="s">
        <v>2</v>
      </c>
      <c r="BE13" s="56" t="s">
        <v>2</v>
      </c>
      <c r="BF13" s="56" t="s">
        <v>2</v>
      </c>
      <c r="BG13" s="56" t="s">
        <v>2</v>
      </c>
      <c r="BH13" s="56" t="s">
        <v>2</v>
      </c>
      <c r="BI13" s="56" t="e">
        <f t="shared" si="0"/>
        <v>#N/A</v>
      </c>
    </row>
    <row r="14" spans="2:61" x14ac:dyDescent="0.25">
      <c r="B14" s="51">
        <v>760</v>
      </c>
      <c r="C14" s="51">
        <v>779</v>
      </c>
      <c r="D14" s="51" t="s">
        <v>1682</v>
      </c>
      <c r="F14" s="70">
        <f t="shared" si="1"/>
        <v>0.95000000010000041</v>
      </c>
      <c r="G14" s="71">
        <f t="shared" si="2"/>
        <v>1.0000000000000004</v>
      </c>
      <c r="H14" s="51" t="s">
        <v>1877</v>
      </c>
      <c r="J14" s="57">
        <f t="shared" si="3"/>
        <v>1250000</v>
      </c>
      <c r="K14" s="57">
        <v>1500000</v>
      </c>
      <c r="L14" s="51" t="s">
        <v>1831</v>
      </c>
      <c r="N14" s="57" t="s">
        <v>1844</v>
      </c>
      <c r="O14" s="55">
        <v>0.4</v>
      </c>
      <c r="V14" s="51" t="s">
        <v>145</v>
      </c>
      <c r="AE14" s="51" t="s">
        <v>1876</v>
      </c>
      <c r="AF14" s="51" t="s">
        <v>1875</v>
      </c>
      <c r="AJ14" s="67">
        <v>1.4999999999999998E-2</v>
      </c>
      <c r="AK14" s="53"/>
      <c r="AL14" s="247"/>
      <c r="AT14" s="247"/>
      <c r="AY14" s="247"/>
      <c r="BB14" s="56">
        <v>1.4999999999999998E-2</v>
      </c>
      <c r="BC14" s="56">
        <v>1.4999999999999998E-2</v>
      </c>
      <c r="BD14" s="56" t="s">
        <v>2</v>
      </c>
      <c r="BE14" s="56" t="s">
        <v>2</v>
      </c>
      <c r="BF14" s="56" t="s">
        <v>2</v>
      </c>
      <c r="BG14" s="56" t="s">
        <v>2</v>
      </c>
      <c r="BH14" s="56" t="s">
        <v>2</v>
      </c>
      <c r="BI14" s="56" t="e">
        <f t="shared" si="0"/>
        <v>#N/A</v>
      </c>
    </row>
    <row r="15" spans="2:61" x14ac:dyDescent="0.25">
      <c r="B15" s="51">
        <v>780</v>
      </c>
      <c r="C15" s="51">
        <v>799</v>
      </c>
      <c r="D15" s="51" t="s">
        <v>1681</v>
      </c>
      <c r="F15" s="70"/>
      <c r="G15" s="71"/>
      <c r="J15" s="57">
        <f t="shared" si="3"/>
        <v>1500000</v>
      </c>
      <c r="K15" s="57">
        <v>1750000</v>
      </c>
      <c r="L15" s="51" t="s">
        <v>1830</v>
      </c>
      <c r="N15" s="57" t="s">
        <v>1842</v>
      </c>
      <c r="O15" s="55">
        <v>0.35</v>
      </c>
      <c r="V15" s="51" t="s">
        <v>264</v>
      </c>
      <c r="AJ15" s="67"/>
      <c r="AK15" s="53"/>
      <c r="AL15" s="247"/>
      <c r="AT15" s="247"/>
      <c r="AY15" s="247"/>
      <c r="BB15" s="56"/>
    </row>
    <row r="16" spans="2:61" x14ac:dyDescent="0.25">
      <c r="B16" s="51">
        <v>800</v>
      </c>
      <c r="C16" s="51">
        <v>1000</v>
      </c>
      <c r="D16" s="51" t="s">
        <v>1680</v>
      </c>
      <c r="F16" s="70"/>
      <c r="G16" s="71"/>
      <c r="J16" s="57">
        <f t="shared" si="3"/>
        <v>1750000</v>
      </c>
      <c r="K16" s="57">
        <v>2000000</v>
      </c>
      <c r="L16" s="51" t="s">
        <v>1829</v>
      </c>
      <c r="N16" s="57" t="s">
        <v>1839</v>
      </c>
      <c r="O16" s="55">
        <v>0.3</v>
      </c>
      <c r="V16" s="51" t="s">
        <v>263</v>
      </c>
      <c r="AJ16" s="67"/>
      <c r="AK16" s="53"/>
      <c r="AL16" s="247"/>
      <c r="AT16" s="247"/>
      <c r="AY16" s="247"/>
      <c r="BB16" s="56"/>
    </row>
    <row r="17" spans="4:54" x14ac:dyDescent="0.25">
      <c r="D17" s="51" t="s">
        <v>1679</v>
      </c>
      <c r="J17" s="57">
        <f t="shared" si="3"/>
        <v>2000000</v>
      </c>
      <c r="K17" s="57">
        <v>100000000</v>
      </c>
      <c r="L17" s="51" t="s">
        <v>1828</v>
      </c>
      <c r="N17" s="57" t="s">
        <v>1837</v>
      </c>
      <c r="O17" s="55">
        <v>0.25</v>
      </c>
      <c r="V17" s="51" t="s">
        <v>262</v>
      </c>
      <c r="AJ17" s="67"/>
      <c r="AK17" s="53"/>
      <c r="AL17" s="247"/>
      <c r="AT17" s="247"/>
      <c r="AY17" s="247"/>
      <c r="BB17" s="56"/>
    </row>
    <row r="18" spans="4:54" x14ac:dyDescent="0.25">
      <c r="J18" s="57"/>
      <c r="K18" s="57"/>
      <c r="N18" s="51" t="s">
        <v>1836</v>
      </c>
      <c r="O18" s="55">
        <v>0.2</v>
      </c>
      <c r="V18" s="51" t="s">
        <v>261</v>
      </c>
      <c r="AJ18" s="67"/>
      <c r="AK18" s="53"/>
      <c r="AL18" s="247"/>
      <c r="AT18" s="247"/>
      <c r="AY18" s="247"/>
      <c r="BB18" s="56"/>
    </row>
    <row r="19" spans="4:54" x14ac:dyDescent="0.25">
      <c r="J19" s="57"/>
      <c r="K19" s="57"/>
      <c r="N19" s="51" t="s">
        <v>1828</v>
      </c>
      <c r="O19" s="55">
        <v>0.15</v>
      </c>
      <c r="V19" s="51" t="s">
        <v>260</v>
      </c>
      <c r="AJ19" s="67"/>
      <c r="AK19" s="53"/>
      <c r="AL19" s="247"/>
      <c r="AT19" s="247"/>
      <c r="AY19" s="247"/>
      <c r="BB19" s="56"/>
    </row>
    <row r="20" spans="4:54" x14ac:dyDescent="0.25">
      <c r="J20" s="57"/>
      <c r="K20" s="57"/>
      <c r="V20" s="51" t="s">
        <v>259</v>
      </c>
      <c r="AJ20" s="67"/>
      <c r="AK20" s="53"/>
      <c r="AL20" s="247"/>
      <c r="AT20" s="247"/>
      <c r="AY20" s="247"/>
    </row>
    <row r="21" spans="4:54" x14ac:dyDescent="0.25">
      <c r="J21" s="57"/>
      <c r="K21" s="57"/>
      <c r="V21" s="51" t="s">
        <v>258</v>
      </c>
      <c r="AJ21" s="67"/>
      <c r="AK21" s="53"/>
      <c r="AL21" s="247"/>
      <c r="AT21" s="247"/>
      <c r="AY21" s="247"/>
    </row>
    <row r="22" spans="4:54" x14ac:dyDescent="0.25">
      <c r="J22" s="57"/>
      <c r="K22" s="57"/>
      <c r="V22" s="51" t="s">
        <v>257</v>
      </c>
      <c r="AJ22" s="67"/>
      <c r="AK22" s="53"/>
      <c r="AL22" s="247"/>
      <c r="AT22" s="247"/>
      <c r="AY22" s="247"/>
    </row>
    <row r="23" spans="4:54" x14ac:dyDescent="0.25">
      <c r="J23" s="57"/>
      <c r="K23" s="57"/>
      <c r="V23" s="51" t="s">
        <v>256</v>
      </c>
      <c r="AJ23" s="67"/>
      <c r="AK23" s="53"/>
      <c r="AL23" s="247"/>
      <c r="AT23" s="247"/>
      <c r="AY23" s="247"/>
    </row>
    <row r="24" spans="4:54" x14ac:dyDescent="0.25">
      <c r="J24" s="57"/>
      <c r="K24" s="57"/>
      <c r="V24" s="51" t="s">
        <v>255</v>
      </c>
      <c r="AJ24" s="67"/>
      <c r="AK24" s="53"/>
      <c r="AL24" s="247"/>
      <c r="AT24" s="247"/>
      <c r="AY24" s="247"/>
    </row>
    <row r="25" spans="4:54" x14ac:dyDescent="0.25">
      <c r="J25" s="57"/>
      <c r="K25" s="57"/>
      <c r="V25" s="51" t="s">
        <v>254</v>
      </c>
      <c r="AJ25" s="67"/>
      <c r="AK25" s="53"/>
      <c r="AL25" s="247"/>
      <c r="AT25" s="247"/>
      <c r="AY25" s="247"/>
    </row>
    <row r="26" spans="4:54" x14ac:dyDescent="0.25">
      <c r="J26" s="57"/>
      <c r="K26" s="57"/>
      <c r="V26" s="51" t="s">
        <v>253</v>
      </c>
      <c r="AJ26" s="67"/>
      <c r="AK26" s="53"/>
      <c r="AL26" s="247"/>
      <c r="AT26" s="247"/>
      <c r="AY26" s="247"/>
    </row>
    <row r="27" spans="4:54" x14ac:dyDescent="0.25">
      <c r="J27" s="57"/>
      <c r="K27" s="57"/>
      <c r="V27" s="51" t="s">
        <v>252</v>
      </c>
      <c r="AJ27" s="67"/>
      <c r="AL27" s="247"/>
      <c r="AT27" s="247"/>
      <c r="AY27" s="247"/>
    </row>
    <row r="28" spans="4:54" x14ac:dyDescent="0.25">
      <c r="J28" s="57"/>
      <c r="K28" s="57"/>
      <c r="V28" s="51" t="s">
        <v>251</v>
      </c>
      <c r="AL28" s="247"/>
      <c r="AT28" s="247"/>
      <c r="AY28" s="247"/>
    </row>
    <row r="29" spans="4:54" x14ac:dyDescent="0.25">
      <c r="J29" s="57"/>
      <c r="K29" s="57"/>
      <c r="V29" s="51" t="s">
        <v>250</v>
      </c>
      <c r="AL29" s="247"/>
      <c r="AT29" s="247"/>
      <c r="AY29" s="247"/>
    </row>
    <row r="30" spans="4:54" x14ac:dyDescent="0.25">
      <c r="J30" s="57"/>
      <c r="K30" s="57"/>
      <c r="V30" s="51" t="s">
        <v>249</v>
      </c>
      <c r="AL30" s="247"/>
      <c r="AT30" s="247"/>
      <c r="AY30" s="247"/>
    </row>
    <row r="31" spans="4:54" x14ac:dyDescent="0.25">
      <c r="J31" s="57"/>
      <c r="K31" s="57"/>
      <c r="V31" s="51" t="s">
        <v>248</v>
      </c>
      <c r="AL31" s="247"/>
      <c r="AT31" s="247"/>
      <c r="AY31" s="247"/>
    </row>
    <row r="32" spans="4:54" x14ac:dyDescent="0.25">
      <c r="J32" s="57"/>
      <c r="K32" s="57"/>
      <c r="V32" s="51" t="s">
        <v>247</v>
      </c>
      <c r="AL32" s="247"/>
      <c r="AT32" s="247"/>
      <c r="AY32" s="247"/>
    </row>
    <row r="33" spans="10:51" x14ac:dyDescent="0.25">
      <c r="J33" s="57"/>
      <c r="K33" s="57"/>
      <c r="V33" s="51" t="s">
        <v>246</v>
      </c>
      <c r="AL33" s="247"/>
      <c r="AT33" s="247"/>
      <c r="AY33" s="247"/>
    </row>
    <row r="34" spans="10:51" x14ac:dyDescent="0.25">
      <c r="J34" s="57"/>
      <c r="K34" s="57"/>
      <c r="V34" s="51" t="s">
        <v>245</v>
      </c>
      <c r="AL34" s="247"/>
      <c r="AT34" s="247"/>
      <c r="AY34" s="247"/>
    </row>
    <row r="35" spans="10:51" x14ac:dyDescent="0.25">
      <c r="J35" s="57"/>
      <c r="K35" s="57"/>
      <c r="V35" s="51" t="s">
        <v>244</v>
      </c>
      <c r="AL35" s="247"/>
      <c r="AT35" s="247"/>
      <c r="AY35" s="247"/>
    </row>
    <row r="36" spans="10:51" x14ac:dyDescent="0.25">
      <c r="J36" s="57"/>
      <c r="K36" s="57"/>
      <c r="V36" s="51" t="s">
        <v>243</v>
      </c>
      <c r="AL36" s="247"/>
      <c r="AT36" s="247"/>
      <c r="AY36" s="247"/>
    </row>
    <row r="37" spans="10:51" x14ac:dyDescent="0.25">
      <c r="J37" s="57"/>
      <c r="K37" s="57"/>
      <c r="V37" s="51" t="s">
        <v>242</v>
      </c>
      <c r="AL37" s="247"/>
      <c r="AT37" s="247"/>
      <c r="AY37" s="247"/>
    </row>
    <row r="38" spans="10:51" x14ac:dyDescent="0.25">
      <c r="J38" s="57"/>
      <c r="K38" s="57"/>
      <c r="V38" s="51" t="s">
        <v>241</v>
      </c>
      <c r="AL38" s="247"/>
      <c r="AT38" s="247"/>
      <c r="AY38" s="247"/>
    </row>
    <row r="39" spans="10:51" x14ac:dyDescent="0.25">
      <c r="J39" s="57"/>
      <c r="K39" s="57"/>
      <c r="V39" s="51" t="s">
        <v>240</v>
      </c>
    </row>
    <row r="40" spans="10:51" x14ac:dyDescent="0.25">
      <c r="J40" s="57"/>
      <c r="K40" s="57"/>
      <c r="V40" s="51" t="s">
        <v>239</v>
      </c>
    </row>
    <row r="41" spans="10:51" x14ac:dyDescent="0.25">
      <c r="J41" s="57"/>
      <c r="K41" s="57"/>
      <c r="V41" s="51" t="s">
        <v>238</v>
      </c>
    </row>
    <row r="42" spans="10:51" x14ac:dyDescent="0.25">
      <c r="J42" s="57"/>
      <c r="K42" s="57"/>
      <c r="V42" s="51" t="s">
        <v>237</v>
      </c>
    </row>
    <row r="43" spans="10:51" x14ac:dyDescent="0.25">
      <c r="J43" s="57"/>
      <c r="K43" s="57"/>
      <c r="V43" s="51" t="s">
        <v>236</v>
      </c>
    </row>
    <row r="44" spans="10:51" x14ac:dyDescent="0.25">
      <c r="J44" s="57"/>
      <c r="K44" s="57"/>
      <c r="V44" s="51" t="s">
        <v>235</v>
      </c>
    </row>
    <row r="45" spans="10:51" x14ac:dyDescent="0.25">
      <c r="J45" s="57"/>
      <c r="K45" s="57"/>
      <c r="V45" s="51" t="s">
        <v>234</v>
      </c>
    </row>
    <row r="46" spans="10:51" x14ac:dyDescent="0.25">
      <c r="V46" s="51" t="s">
        <v>233</v>
      </c>
    </row>
    <row r="47" spans="10:51" x14ac:dyDescent="0.25">
      <c r="V47" s="51" t="s">
        <v>232</v>
      </c>
    </row>
    <row r="48" spans="10:51" x14ac:dyDescent="0.25">
      <c r="V48" s="51" t="s">
        <v>231</v>
      </c>
    </row>
    <row r="49" spans="22:22" x14ac:dyDescent="0.25">
      <c r="V49" s="51" t="s">
        <v>230</v>
      </c>
    </row>
    <row r="50" spans="22:22" x14ac:dyDescent="0.25">
      <c r="V50" s="51" t="s">
        <v>229</v>
      </c>
    </row>
    <row r="51" spans="22:22" x14ac:dyDescent="0.25">
      <c r="V51" s="51" t="s">
        <v>228</v>
      </c>
    </row>
    <row r="52" spans="22:22" x14ac:dyDescent="0.25">
      <c r="V52" s="51" t="s">
        <v>227</v>
      </c>
    </row>
  </sheetData>
  <sheetProtection algorithmName="SHA-512" hashValue="vewNVUn27bYqNS9y2achmYp0K739iKSgUSlA/nsYW1V79EebA+e6TEHaH6Iz23Qxu1+2MgtDlmAGKu9AH7SbOw==" saltValue="NNaUXQ5BGxy8soowiHVGtw==" spinCount="100000" sheet="1" selectLockedCells="1" selectUnlockedCells="1"/>
  <mergeCells count="6">
    <mergeCell ref="AG1:AH1"/>
    <mergeCell ref="B2:D2"/>
    <mergeCell ref="F2:H2"/>
    <mergeCell ref="J2:L2"/>
    <mergeCell ref="N2:P2"/>
    <mergeCell ref="AE1:AF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61E58-300A-48F0-A9E5-8BEF951BD403}">
  <sheetPr codeName="Sheet3">
    <tabColor rgb="FF7D93AB"/>
    <pageSetUpPr fitToPage="1"/>
  </sheetPr>
  <dimension ref="A1:BJ56"/>
  <sheetViews>
    <sheetView showGridLines="0" zoomScale="70" zoomScaleNormal="70" workbookViewId="0">
      <selection activeCell="G37" sqref="G37"/>
    </sheetView>
  </sheetViews>
  <sheetFormatPr defaultColWidth="17.42578125" defaultRowHeight="15.75" x14ac:dyDescent="0.25"/>
  <cols>
    <col min="1" max="1" width="7.85546875" style="51" customWidth="1"/>
    <col min="2" max="2" width="29.7109375" style="51" bestFit="1" customWidth="1"/>
    <col min="3" max="3" width="21.42578125" style="51" customWidth="1"/>
    <col min="4" max="4" width="17.42578125" style="51"/>
    <col min="5" max="5" width="17.42578125" style="51" customWidth="1"/>
    <col min="6" max="28" width="17.42578125" style="51"/>
    <col min="29" max="33" width="17.42578125" style="51" hidden="1" customWidth="1"/>
    <col min="34" max="34" width="17.42578125" style="51"/>
    <col min="35" max="37" width="17.42578125" style="51" hidden="1" customWidth="1"/>
    <col min="38" max="38" width="17.42578125" style="51"/>
    <col min="39" max="43" width="17.42578125" style="51" hidden="1" customWidth="1"/>
    <col min="44" max="44" width="17.42578125" style="51"/>
    <col min="45" max="46" width="17.42578125" style="51" customWidth="1"/>
    <col min="47" max="49" width="17.42578125" style="51" hidden="1" customWidth="1"/>
    <col min="50" max="50" width="0" style="51" hidden="1" customWidth="1"/>
    <col min="51" max="51" width="17.42578125" style="51" customWidth="1"/>
    <col min="52" max="52" width="17.42578125" style="51"/>
    <col min="53" max="58" width="17.42578125" style="51" hidden="1" customWidth="1"/>
    <col min="59" max="16384" width="17.42578125" style="51"/>
  </cols>
  <sheetData>
    <row r="1" spans="1:44" ht="20.25" customHeight="1" x14ac:dyDescent="0.25">
      <c r="A1" s="627" t="s">
        <v>1959</v>
      </c>
      <c r="B1" s="627"/>
      <c r="C1" s="812">
        <f>GUC!$C$1</f>
        <v>45086</v>
      </c>
      <c r="D1" s="627"/>
    </row>
    <row r="2" spans="1:44" ht="20.25" customHeight="1" x14ac:dyDescent="0.25">
      <c r="A2" s="627"/>
      <c r="B2" s="627"/>
      <c r="C2" s="628"/>
      <c r="D2" s="628"/>
    </row>
    <row r="3" spans="1:44" x14ac:dyDescent="0.25">
      <c r="B3" s="731" t="s">
        <v>114</v>
      </c>
      <c r="C3" s="729"/>
      <c r="D3" s="730"/>
      <c r="F3" s="544" t="s">
        <v>1675</v>
      </c>
      <c r="G3" s="714" t="s">
        <v>1452</v>
      </c>
      <c r="H3" s="714"/>
      <c r="I3" s="714"/>
      <c r="J3" s="714"/>
      <c r="K3" s="714"/>
      <c r="L3" s="714"/>
      <c r="M3" s="715"/>
      <c r="O3" s="713" t="s">
        <v>1644</v>
      </c>
      <c r="P3" s="714"/>
      <c r="Q3" s="714"/>
      <c r="R3" s="714"/>
      <c r="S3" s="714"/>
      <c r="T3" s="714"/>
      <c r="U3" s="714"/>
      <c r="V3" s="715"/>
      <c r="AC3" s="53"/>
    </row>
    <row r="4" spans="1:44" x14ac:dyDescent="0.25">
      <c r="B4" s="334" t="s">
        <v>1668</v>
      </c>
      <c r="C4" s="839"/>
      <c r="D4" s="839"/>
      <c r="F4" s="846" t="s">
        <v>1632</v>
      </c>
      <c r="G4" s="848" t="s">
        <v>1641</v>
      </c>
      <c r="H4" s="848" t="s">
        <v>1674</v>
      </c>
      <c r="I4" s="848" t="s">
        <v>1673</v>
      </c>
      <c r="J4" s="848" t="s">
        <v>1958</v>
      </c>
      <c r="K4" s="848" t="s">
        <v>1704</v>
      </c>
      <c r="L4" s="848" t="s">
        <v>1700</v>
      </c>
      <c r="M4" s="850" t="s">
        <v>1957</v>
      </c>
      <c r="O4" s="218" t="s">
        <v>1641</v>
      </c>
      <c r="P4" s="195" t="s">
        <v>1640</v>
      </c>
      <c r="Q4" s="195" t="s">
        <v>1639</v>
      </c>
      <c r="R4" s="195" t="s">
        <v>1638</v>
      </c>
      <c r="S4" s="195" t="s">
        <v>1637</v>
      </c>
      <c r="T4" s="195" t="s">
        <v>1636</v>
      </c>
      <c r="U4" s="195" t="s">
        <v>1635</v>
      </c>
      <c r="V4" s="337" t="s">
        <v>1634</v>
      </c>
      <c r="AH4" s="53"/>
    </row>
    <row r="5" spans="1:44" x14ac:dyDescent="0.25">
      <c r="B5" s="334" t="s">
        <v>1666</v>
      </c>
      <c r="C5" s="845">
        <f ca="1">TODAY()</f>
        <v>45086</v>
      </c>
      <c r="D5" s="845"/>
      <c r="F5" s="847"/>
      <c r="G5" s="849"/>
      <c r="H5" s="849"/>
      <c r="I5" s="849"/>
      <c r="J5" s="849"/>
      <c r="K5" s="849"/>
      <c r="L5" s="849"/>
      <c r="M5" s="851"/>
      <c r="O5" s="66" t="s">
        <v>1632</v>
      </c>
      <c r="P5" s="336" t="e">
        <f>'DSCR (Port Loan)'!L27</f>
        <v>#N/A</v>
      </c>
      <c r="Q5" s="336" t="e">
        <f>'DSCR (Port Loan)'!M27</f>
        <v>#N/A</v>
      </c>
      <c r="R5" s="336" t="e">
        <f>'DSCR (Port Loan)'!N27</f>
        <v>#N/A</v>
      </c>
      <c r="S5" s="336" t="e">
        <f>'DSCR (Port Loan)'!O27</f>
        <v>#N/A</v>
      </c>
      <c r="T5" s="336" t="e">
        <f>'DSCR (Port Loan)'!P27</f>
        <v>#N/A</v>
      </c>
      <c r="U5" s="336" t="e">
        <f>'DSCR (Port Loan)'!Q27</f>
        <v>#N/A</v>
      </c>
      <c r="V5" s="336" t="e">
        <f>'DSCR (Port Loan)'!R27</f>
        <v>#N/A</v>
      </c>
    </row>
    <row r="6" spans="1:44" x14ac:dyDescent="0.25">
      <c r="B6" s="334" t="s">
        <v>110</v>
      </c>
      <c r="C6" s="839"/>
      <c r="D6" s="839"/>
      <c r="F6" s="53">
        <f>IF($C$10="No PPP",1.5%,IF($C$10="12 Months",1%,IF($C$10="24 Months",0.5%,0%)))</f>
        <v>0</v>
      </c>
      <c r="G6" s="57" t="str">
        <f>'DSCR (Port Loan)'!L7</f>
        <v>-</v>
      </c>
      <c r="H6" s="335" t="str">
        <f>'DSCR (Port Loan)'!M7</f>
        <v>-</v>
      </c>
      <c r="I6" s="51" t="e">
        <f>'DSCR (Port Loan)'!N7</f>
        <v>#VALUE!</v>
      </c>
      <c r="J6" s="52" t="e">
        <f>'DSCR (Port Loan)'!O7</f>
        <v>#VALUE!</v>
      </c>
      <c r="K6" s="52" t="e">
        <f>'DSCR (Port Loan)'!P7</f>
        <v>#VALUE!</v>
      </c>
      <c r="L6" s="214" t="e">
        <f>'DSCR (Port Loan)'!Q7</f>
        <v>#VALUE!</v>
      </c>
      <c r="M6" s="214" t="str">
        <f>'DSCR (Port Loan)'!R7</f>
        <v>-</v>
      </c>
      <c r="O6" s="332">
        <f>IF($C$10="No PPP",1.5%,IF($C$10="12 Months",1%,IF($C$10="24 Months",0.5%,0%)))</f>
        <v>0</v>
      </c>
      <c r="P6" s="335" t="str">
        <f>'DSCR (Port Loan)'!L28</f>
        <v>-</v>
      </c>
      <c r="Q6" s="335" t="str">
        <f>'DSCR (Port Loan)'!M28</f>
        <v>-</v>
      </c>
      <c r="R6" s="335" t="str">
        <f>'DSCR (Port Loan)'!N28</f>
        <v>-</v>
      </c>
      <c r="S6" s="335" t="str">
        <f>'DSCR (Port Loan)'!O28</f>
        <v>-</v>
      </c>
      <c r="T6" s="335" t="str">
        <f>'DSCR (Port Loan)'!P28</f>
        <v>-</v>
      </c>
      <c r="U6" s="335" t="str">
        <f>'DSCR (Port Loan)'!Q28</f>
        <v>-</v>
      </c>
      <c r="V6" s="335" t="str">
        <f>'DSCR (Port Loan)'!R28</f>
        <v>-</v>
      </c>
      <c r="AJ6" s="52"/>
      <c r="AK6" s="52"/>
      <c r="AL6" s="52"/>
      <c r="AM6" s="52"/>
      <c r="AN6" s="52"/>
      <c r="AO6" s="52"/>
      <c r="AP6" s="52"/>
      <c r="AQ6" s="52"/>
      <c r="AR6" s="52"/>
    </row>
    <row r="7" spans="1:44" x14ac:dyDescent="0.25">
      <c r="B7" s="334" t="s">
        <v>1664</v>
      </c>
      <c r="C7" s="844"/>
      <c r="D7" s="844"/>
      <c r="F7" s="53">
        <f>+F6+0.25%</f>
        <v>2.5000000000000001E-3</v>
      </c>
      <c r="G7" s="57" t="str">
        <f>'DSCR (Port Loan)'!L8</f>
        <v>-</v>
      </c>
      <c r="H7" s="335" t="str">
        <f>'DSCR (Port Loan)'!M8</f>
        <v>-</v>
      </c>
      <c r="I7" s="51" t="e">
        <f>'DSCR (Port Loan)'!N8</f>
        <v>#VALUE!</v>
      </c>
      <c r="J7" s="52" t="e">
        <f>'DSCR (Port Loan)'!O8</f>
        <v>#VALUE!</v>
      </c>
      <c r="K7" s="52" t="e">
        <f>'DSCR (Port Loan)'!P8</f>
        <v>#VALUE!</v>
      </c>
      <c r="L7" s="214" t="e">
        <f>'DSCR (Port Loan)'!Q8</f>
        <v>#VALUE!</v>
      </c>
      <c r="M7" s="214" t="e">
        <f>'DSCR (Port Loan)'!R8</f>
        <v>#VALUE!</v>
      </c>
      <c r="O7" s="332">
        <f>+O6+0.25%</f>
        <v>2.5000000000000001E-3</v>
      </c>
      <c r="P7" s="335" t="str">
        <f>'DSCR (Port Loan)'!L29</f>
        <v>-</v>
      </c>
      <c r="Q7" s="335" t="str">
        <f>'DSCR (Port Loan)'!M29</f>
        <v>-</v>
      </c>
      <c r="R7" s="335" t="str">
        <f>'DSCR (Port Loan)'!N29</f>
        <v>-</v>
      </c>
      <c r="S7" s="335" t="str">
        <f>'DSCR (Port Loan)'!O29</f>
        <v>-</v>
      </c>
      <c r="T7" s="335" t="str">
        <f>'DSCR (Port Loan)'!P29</f>
        <v>-</v>
      </c>
      <c r="U7" s="335" t="str">
        <f>'DSCR (Port Loan)'!Q29</f>
        <v>-</v>
      </c>
      <c r="V7" s="335" t="str">
        <f>'DSCR (Port Loan)'!R29</f>
        <v>-</v>
      </c>
    </row>
    <row r="8" spans="1:44" x14ac:dyDescent="0.25">
      <c r="B8" s="334" t="s">
        <v>107</v>
      </c>
      <c r="C8" s="839"/>
      <c r="D8" s="839"/>
      <c r="F8" s="53">
        <f t="shared" ref="F8:F22" si="0">+F7+0.25%</f>
        <v>5.0000000000000001E-3</v>
      </c>
      <c r="G8" s="57" t="str">
        <f>'DSCR (Port Loan)'!L9</f>
        <v>-</v>
      </c>
      <c r="H8" s="335" t="str">
        <f>'DSCR (Port Loan)'!M9</f>
        <v>-</v>
      </c>
      <c r="I8" s="51" t="e">
        <f>'DSCR (Port Loan)'!N9</f>
        <v>#VALUE!</v>
      </c>
      <c r="J8" s="52" t="e">
        <f>'DSCR (Port Loan)'!O9</f>
        <v>#VALUE!</v>
      </c>
      <c r="K8" s="52" t="e">
        <f>'DSCR (Port Loan)'!P9</f>
        <v>#VALUE!</v>
      </c>
      <c r="L8" s="214" t="e">
        <f>'DSCR (Port Loan)'!Q9</f>
        <v>#VALUE!</v>
      </c>
      <c r="M8" s="214" t="e">
        <f>'DSCR (Port Loan)'!R9</f>
        <v>#VALUE!</v>
      </c>
      <c r="O8" s="332">
        <f t="shared" ref="O8:O22" si="1">+O7+0.25%</f>
        <v>5.0000000000000001E-3</v>
      </c>
      <c r="P8" s="335" t="str">
        <f>'DSCR (Port Loan)'!L30</f>
        <v>-</v>
      </c>
      <c r="Q8" s="335" t="str">
        <f>'DSCR (Port Loan)'!M30</f>
        <v>-</v>
      </c>
      <c r="R8" s="335" t="str">
        <f>'DSCR (Port Loan)'!N30</f>
        <v>-</v>
      </c>
      <c r="S8" s="335" t="str">
        <f>'DSCR (Port Loan)'!O30</f>
        <v>-</v>
      </c>
      <c r="T8" s="335" t="str">
        <f>'DSCR (Port Loan)'!P30</f>
        <v>-</v>
      </c>
      <c r="U8" s="335" t="str">
        <f>'DSCR (Port Loan)'!Q30</f>
        <v>-</v>
      </c>
      <c r="V8" s="335" t="str">
        <f>'DSCR (Port Loan)'!R30</f>
        <v>-</v>
      </c>
    </row>
    <row r="9" spans="1:44" x14ac:dyDescent="0.25">
      <c r="B9" s="334" t="s">
        <v>1659</v>
      </c>
      <c r="C9" s="839"/>
      <c r="D9" s="839"/>
      <c r="F9" s="53">
        <f t="shared" si="0"/>
        <v>7.4999999999999997E-3</v>
      </c>
      <c r="G9" s="57" t="str">
        <f>'DSCR (Port Loan)'!L10</f>
        <v>-</v>
      </c>
      <c r="H9" s="335" t="str">
        <f>'DSCR (Port Loan)'!M10</f>
        <v>-</v>
      </c>
      <c r="I9" s="51" t="e">
        <f>'DSCR (Port Loan)'!N10</f>
        <v>#VALUE!</v>
      </c>
      <c r="J9" s="52" t="e">
        <f>'DSCR (Port Loan)'!O10</f>
        <v>#VALUE!</v>
      </c>
      <c r="K9" s="52" t="e">
        <f>'DSCR (Port Loan)'!P10</f>
        <v>#VALUE!</v>
      </c>
      <c r="L9" s="214" t="e">
        <f>'DSCR (Port Loan)'!Q10</f>
        <v>#VALUE!</v>
      </c>
      <c r="M9" s="214" t="e">
        <f>'DSCR (Port Loan)'!R10</f>
        <v>#VALUE!</v>
      </c>
      <c r="O9" s="332">
        <f t="shared" si="1"/>
        <v>7.4999999999999997E-3</v>
      </c>
      <c r="P9" s="335" t="str">
        <f>'DSCR (Port Loan)'!L31</f>
        <v>-</v>
      </c>
      <c r="Q9" s="335" t="str">
        <f>'DSCR (Port Loan)'!M31</f>
        <v>-</v>
      </c>
      <c r="R9" s="335" t="str">
        <f>'DSCR (Port Loan)'!N31</f>
        <v>-</v>
      </c>
      <c r="S9" s="335" t="str">
        <f>'DSCR (Port Loan)'!O31</f>
        <v>-</v>
      </c>
      <c r="T9" s="335" t="str">
        <f>'DSCR (Port Loan)'!P31</f>
        <v>-</v>
      </c>
      <c r="U9" s="335" t="str">
        <f>'DSCR (Port Loan)'!Q31</f>
        <v>-</v>
      </c>
      <c r="V9" s="335" t="str">
        <f>'DSCR (Port Loan)'!R31</f>
        <v>-</v>
      </c>
    </row>
    <row r="10" spans="1:44" x14ac:dyDescent="0.25">
      <c r="B10" s="334" t="s">
        <v>1707</v>
      </c>
      <c r="C10" s="839"/>
      <c r="D10" s="839"/>
      <c r="E10" s="554" t="e">
        <f>VLOOKUP($C$10,'DSCR (Port Legend)'!$AZ$1:$BA$8,2,FALSE)</f>
        <v>#N/A</v>
      </c>
      <c r="F10" s="53">
        <f t="shared" si="0"/>
        <v>0.01</v>
      </c>
      <c r="G10" s="57" t="str">
        <f>'DSCR (Port Loan)'!L11</f>
        <v>-</v>
      </c>
      <c r="H10" s="335" t="str">
        <f>'DSCR (Port Loan)'!M11</f>
        <v>-</v>
      </c>
      <c r="I10" s="51" t="e">
        <f>'DSCR (Port Loan)'!N11</f>
        <v>#VALUE!</v>
      </c>
      <c r="J10" s="52" t="e">
        <f>'DSCR (Port Loan)'!O11</f>
        <v>#VALUE!</v>
      </c>
      <c r="K10" s="52" t="e">
        <f>'DSCR (Port Loan)'!P11</f>
        <v>#VALUE!</v>
      </c>
      <c r="L10" s="214" t="e">
        <f>'DSCR (Port Loan)'!Q11</f>
        <v>#VALUE!</v>
      </c>
      <c r="M10" s="214" t="e">
        <f>'DSCR (Port Loan)'!R11</f>
        <v>#VALUE!</v>
      </c>
      <c r="O10" s="332">
        <f t="shared" si="1"/>
        <v>0.01</v>
      </c>
      <c r="P10" s="335" t="str">
        <f>'DSCR (Port Loan)'!L32</f>
        <v>-</v>
      </c>
      <c r="Q10" s="335" t="str">
        <f>'DSCR (Port Loan)'!M32</f>
        <v>-</v>
      </c>
      <c r="R10" s="335" t="str">
        <f>'DSCR (Port Loan)'!N32</f>
        <v>-</v>
      </c>
      <c r="S10" s="335" t="str">
        <f>'DSCR (Port Loan)'!O32</f>
        <v>-</v>
      </c>
      <c r="T10" s="335" t="str">
        <f>'DSCR (Port Loan)'!P32</f>
        <v>-</v>
      </c>
      <c r="U10" s="335" t="str">
        <f>'DSCR (Port Loan)'!Q32</f>
        <v>-</v>
      </c>
      <c r="V10" s="335" t="str">
        <f>'DSCR (Port Loan)'!R32</f>
        <v>-</v>
      </c>
    </row>
    <row r="11" spans="1:44" x14ac:dyDescent="0.25">
      <c r="B11" s="334" t="s">
        <v>106</v>
      </c>
      <c r="C11" s="839"/>
      <c r="D11" s="839"/>
      <c r="F11" s="53">
        <f t="shared" si="0"/>
        <v>1.2500000000000001E-2</v>
      </c>
      <c r="G11" s="57" t="str">
        <f>'DSCR (Port Loan)'!L12</f>
        <v>-</v>
      </c>
      <c r="H11" s="335" t="str">
        <f>'DSCR (Port Loan)'!M12</f>
        <v>-</v>
      </c>
      <c r="I11" s="51" t="e">
        <f>'DSCR (Port Loan)'!N12</f>
        <v>#VALUE!</v>
      </c>
      <c r="J11" s="52" t="e">
        <f>'DSCR (Port Loan)'!O12</f>
        <v>#VALUE!</v>
      </c>
      <c r="K11" s="52" t="e">
        <f>'DSCR (Port Loan)'!P12</f>
        <v>#VALUE!</v>
      </c>
      <c r="L11" s="214" t="e">
        <f>'DSCR (Port Loan)'!Q12</f>
        <v>#VALUE!</v>
      </c>
      <c r="M11" s="214" t="e">
        <f>'DSCR (Port Loan)'!R12</f>
        <v>#VALUE!</v>
      </c>
      <c r="O11" s="332">
        <f t="shared" si="1"/>
        <v>1.2500000000000001E-2</v>
      </c>
      <c r="P11" s="335" t="str">
        <f>'DSCR (Port Loan)'!L33</f>
        <v>-</v>
      </c>
      <c r="Q11" s="335" t="str">
        <f>'DSCR (Port Loan)'!M33</f>
        <v>-</v>
      </c>
      <c r="R11" s="335" t="str">
        <f>'DSCR (Port Loan)'!N33</f>
        <v>-</v>
      </c>
      <c r="S11" s="335" t="str">
        <f>'DSCR (Port Loan)'!O33</f>
        <v>-</v>
      </c>
      <c r="T11" s="335" t="str">
        <f>'DSCR (Port Loan)'!P33</f>
        <v>-</v>
      </c>
      <c r="U11" s="335" t="str">
        <f>'DSCR (Port Loan)'!Q33</f>
        <v>-</v>
      </c>
      <c r="V11" s="335" t="str">
        <f>'DSCR (Port Loan)'!R33</f>
        <v>-</v>
      </c>
    </row>
    <row r="12" spans="1:44" x14ac:dyDescent="0.25">
      <c r="B12" s="334" t="s">
        <v>1624</v>
      </c>
      <c r="C12" s="839"/>
      <c r="D12" s="839"/>
      <c r="F12" s="53">
        <f t="shared" si="0"/>
        <v>1.5000000000000001E-2</v>
      </c>
      <c r="G12" s="57" t="str">
        <f>'DSCR (Port Loan)'!L13</f>
        <v>-</v>
      </c>
      <c r="H12" s="335" t="str">
        <f>'DSCR (Port Loan)'!M13</f>
        <v>-</v>
      </c>
      <c r="I12" s="51" t="e">
        <f>'DSCR (Port Loan)'!N13</f>
        <v>#VALUE!</v>
      </c>
      <c r="J12" s="52" t="e">
        <f>'DSCR (Port Loan)'!O13</f>
        <v>#VALUE!</v>
      </c>
      <c r="K12" s="52" t="e">
        <f>'DSCR (Port Loan)'!P13</f>
        <v>#VALUE!</v>
      </c>
      <c r="L12" s="214" t="e">
        <f>'DSCR (Port Loan)'!Q13</f>
        <v>#VALUE!</v>
      </c>
      <c r="M12" s="214" t="e">
        <f>'DSCR (Port Loan)'!R13</f>
        <v>#VALUE!</v>
      </c>
      <c r="O12" s="332">
        <f t="shared" si="1"/>
        <v>1.5000000000000001E-2</v>
      </c>
      <c r="P12" s="335" t="str">
        <f>'DSCR (Port Loan)'!L34</f>
        <v>-</v>
      </c>
      <c r="Q12" s="335" t="str">
        <f>'DSCR (Port Loan)'!M34</f>
        <v>-</v>
      </c>
      <c r="R12" s="335" t="str">
        <f>'DSCR (Port Loan)'!N34</f>
        <v>-</v>
      </c>
      <c r="S12" s="335" t="str">
        <f>'DSCR (Port Loan)'!O34</f>
        <v>-</v>
      </c>
      <c r="T12" s="335" t="str">
        <f>'DSCR (Port Loan)'!P34</f>
        <v>-</v>
      </c>
      <c r="U12" s="335" t="str">
        <f>'DSCR (Port Loan)'!Q34</f>
        <v>-</v>
      </c>
      <c r="V12" s="335" t="str">
        <f>'DSCR (Port Loan)'!R34</f>
        <v>-</v>
      </c>
    </row>
    <row r="13" spans="1:44" x14ac:dyDescent="0.25">
      <c r="B13" s="334" t="s">
        <v>1623</v>
      </c>
      <c r="C13" s="839"/>
      <c r="D13" s="839"/>
      <c r="F13" s="53">
        <f t="shared" si="0"/>
        <v>1.7500000000000002E-2</v>
      </c>
      <c r="G13" s="57" t="str">
        <f>'DSCR (Port Loan)'!L14</f>
        <v>-</v>
      </c>
      <c r="H13" s="335" t="str">
        <f>'DSCR (Port Loan)'!M14</f>
        <v>-</v>
      </c>
      <c r="I13" s="51" t="e">
        <f>'DSCR (Port Loan)'!N14</f>
        <v>#VALUE!</v>
      </c>
      <c r="J13" s="52" t="e">
        <f>'DSCR (Port Loan)'!O14</f>
        <v>#VALUE!</v>
      </c>
      <c r="K13" s="52" t="e">
        <f>'DSCR (Port Loan)'!P14</f>
        <v>#VALUE!</v>
      </c>
      <c r="L13" s="214" t="e">
        <f>'DSCR (Port Loan)'!Q14</f>
        <v>#VALUE!</v>
      </c>
      <c r="M13" s="214" t="e">
        <f>'DSCR (Port Loan)'!R14</f>
        <v>#VALUE!</v>
      </c>
      <c r="O13" s="332">
        <f t="shared" si="1"/>
        <v>1.7500000000000002E-2</v>
      </c>
      <c r="P13" s="335" t="str">
        <f>'DSCR (Port Loan)'!L35</f>
        <v>-</v>
      </c>
      <c r="Q13" s="335" t="str">
        <f>'DSCR (Port Loan)'!M35</f>
        <v>-</v>
      </c>
      <c r="R13" s="335" t="str">
        <f>'DSCR (Port Loan)'!N35</f>
        <v>-</v>
      </c>
      <c r="S13" s="335" t="str">
        <f>'DSCR (Port Loan)'!O35</f>
        <v>-</v>
      </c>
      <c r="T13" s="335" t="str">
        <f>'DSCR (Port Loan)'!P35</f>
        <v>-</v>
      </c>
      <c r="U13" s="335" t="str">
        <f>'DSCR (Port Loan)'!Q35</f>
        <v>-</v>
      </c>
      <c r="V13" s="335" t="str">
        <f>'DSCR (Port Loan)'!R35</f>
        <v>-</v>
      </c>
    </row>
    <row r="14" spans="1:44" x14ac:dyDescent="0.25">
      <c r="F14" s="53">
        <f t="shared" si="0"/>
        <v>0.02</v>
      </c>
      <c r="G14" s="57" t="str">
        <f>'DSCR (Port Loan)'!L15</f>
        <v>-</v>
      </c>
      <c r="H14" s="335" t="str">
        <f>'DSCR (Port Loan)'!M15</f>
        <v>-</v>
      </c>
      <c r="I14" s="51" t="e">
        <f>'DSCR (Port Loan)'!N15</f>
        <v>#VALUE!</v>
      </c>
      <c r="J14" s="52" t="e">
        <f>'DSCR (Port Loan)'!O15</f>
        <v>#VALUE!</v>
      </c>
      <c r="K14" s="52" t="e">
        <f>'DSCR (Port Loan)'!P15</f>
        <v>#VALUE!</v>
      </c>
      <c r="L14" s="214" t="e">
        <f>'DSCR (Port Loan)'!Q15</f>
        <v>#VALUE!</v>
      </c>
      <c r="M14" s="214" t="e">
        <f>'DSCR (Port Loan)'!R15</f>
        <v>#VALUE!</v>
      </c>
      <c r="O14" s="332">
        <f t="shared" si="1"/>
        <v>0.02</v>
      </c>
      <c r="P14" s="335" t="str">
        <f>'DSCR (Port Loan)'!L36</f>
        <v>-</v>
      </c>
      <c r="Q14" s="335" t="str">
        <f>'DSCR (Port Loan)'!M36</f>
        <v>-</v>
      </c>
      <c r="R14" s="335" t="str">
        <f>'DSCR (Port Loan)'!N36</f>
        <v>-</v>
      </c>
      <c r="S14" s="335" t="str">
        <f>'DSCR (Port Loan)'!O36</f>
        <v>-</v>
      </c>
      <c r="T14" s="335" t="str">
        <f>'DSCR (Port Loan)'!P36</f>
        <v>-</v>
      </c>
      <c r="U14" s="335" t="str">
        <f>'DSCR (Port Loan)'!Q36</f>
        <v>-</v>
      </c>
      <c r="V14" s="335" t="str">
        <f>'DSCR (Port Loan)'!R36</f>
        <v>-</v>
      </c>
    </row>
    <row r="15" spans="1:44" x14ac:dyDescent="0.25">
      <c r="B15" s="731" t="s">
        <v>1956</v>
      </c>
      <c r="C15" s="729"/>
      <c r="D15" s="730"/>
      <c r="F15" s="53">
        <f t="shared" si="0"/>
        <v>2.2499999999999999E-2</v>
      </c>
      <c r="G15" s="57" t="str">
        <f>'DSCR (Port Loan)'!L16</f>
        <v>-</v>
      </c>
      <c r="H15" s="335" t="str">
        <f>'DSCR (Port Loan)'!M16</f>
        <v>-</v>
      </c>
      <c r="I15" s="51" t="e">
        <f>'DSCR (Port Loan)'!N16</f>
        <v>#VALUE!</v>
      </c>
      <c r="J15" s="52" t="e">
        <f>'DSCR (Port Loan)'!O16</f>
        <v>#VALUE!</v>
      </c>
      <c r="K15" s="52" t="e">
        <f>'DSCR (Port Loan)'!P16</f>
        <v>#VALUE!</v>
      </c>
      <c r="L15" s="214" t="e">
        <f>'DSCR (Port Loan)'!Q16</f>
        <v>#VALUE!</v>
      </c>
      <c r="M15" s="214" t="e">
        <f>'DSCR (Port Loan)'!R16</f>
        <v>#VALUE!</v>
      </c>
      <c r="O15" s="332">
        <f t="shared" si="1"/>
        <v>2.2499999999999999E-2</v>
      </c>
      <c r="P15" s="335" t="str">
        <f>'DSCR (Port Loan)'!L37</f>
        <v>-</v>
      </c>
      <c r="Q15" s="335" t="str">
        <f>'DSCR (Port Loan)'!M37</f>
        <v>-</v>
      </c>
      <c r="R15" s="335" t="str">
        <f>'DSCR (Port Loan)'!N37</f>
        <v>-</v>
      </c>
      <c r="S15" s="335" t="str">
        <f>'DSCR (Port Loan)'!O37</f>
        <v>-</v>
      </c>
      <c r="T15" s="335" t="str">
        <f>'DSCR (Port Loan)'!P37</f>
        <v>-</v>
      </c>
      <c r="U15" s="335" t="str">
        <f>'DSCR (Port Loan)'!Q37</f>
        <v>-</v>
      </c>
      <c r="V15" s="335" t="str">
        <f>'DSCR (Port Loan)'!R37</f>
        <v>-</v>
      </c>
    </row>
    <row r="16" spans="1:44" x14ac:dyDescent="0.25">
      <c r="B16" s="334" t="s">
        <v>1620</v>
      </c>
      <c r="C16" s="841"/>
      <c r="D16" s="841"/>
      <c r="F16" s="53">
        <f t="shared" si="0"/>
        <v>2.4999999999999998E-2</v>
      </c>
      <c r="G16" s="57" t="str">
        <f>'DSCR (Port Loan)'!L17</f>
        <v>-</v>
      </c>
      <c r="H16" s="335" t="str">
        <f>'DSCR (Port Loan)'!M17</f>
        <v>-</v>
      </c>
      <c r="I16" s="51" t="e">
        <f>'DSCR (Port Loan)'!N17</f>
        <v>#VALUE!</v>
      </c>
      <c r="J16" s="52" t="e">
        <f>'DSCR (Port Loan)'!O17</f>
        <v>#VALUE!</v>
      </c>
      <c r="K16" s="52" t="e">
        <f>'DSCR (Port Loan)'!P17</f>
        <v>#VALUE!</v>
      </c>
      <c r="L16" s="214" t="e">
        <f>'DSCR (Port Loan)'!Q17</f>
        <v>#VALUE!</v>
      </c>
      <c r="M16" s="214" t="e">
        <f>'DSCR (Port Loan)'!R17</f>
        <v>#VALUE!</v>
      </c>
      <c r="O16" s="332">
        <f t="shared" si="1"/>
        <v>2.4999999999999998E-2</v>
      </c>
      <c r="P16" s="335" t="str">
        <f>'DSCR (Port Loan)'!L38</f>
        <v>-</v>
      </c>
      <c r="Q16" s="335" t="str">
        <f>'DSCR (Port Loan)'!M38</f>
        <v>-</v>
      </c>
      <c r="R16" s="335" t="str">
        <f>'DSCR (Port Loan)'!N38</f>
        <v>-</v>
      </c>
      <c r="S16" s="335" t="str">
        <f>'DSCR (Port Loan)'!O38</f>
        <v>-</v>
      </c>
      <c r="T16" s="335" t="str">
        <f>'DSCR (Port Loan)'!P38</f>
        <v>-</v>
      </c>
      <c r="U16" s="335" t="str">
        <f>'DSCR (Port Loan)'!Q38</f>
        <v>-</v>
      </c>
      <c r="V16" s="335" t="str">
        <f>'DSCR (Port Loan)'!R38</f>
        <v>-</v>
      </c>
    </row>
    <row r="17" spans="1:62" x14ac:dyDescent="0.25">
      <c r="B17" s="334" t="s">
        <v>109</v>
      </c>
      <c r="C17" s="842"/>
      <c r="D17" s="842"/>
      <c r="F17" s="53">
        <f t="shared" si="0"/>
        <v>2.7499999999999997E-2</v>
      </c>
      <c r="G17" s="57" t="str">
        <f>'DSCR (Port Loan)'!L18</f>
        <v>-</v>
      </c>
      <c r="H17" s="335" t="str">
        <f>'DSCR (Port Loan)'!M18</f>
        <v>-</v>
      </c>
      <c r="I17" s="51" t="e">
        <f>'DSCR (Port Loan)'!N18</f>
        <v>#VALUE!</v>
      </c>
      <c r="J17" s="52" t="e">
        <f>'DSCR (Port Loan)'!O18</f>
        <v>#VALUE!</v>
      </c>
      <c r="K17" s="52" t="e">
        <f>'DSCR (Port Loan)'!P18</f>
        <v>#VALUE!</v>
      </c>
      <c r="L17" s="214" t="e">
        <f>'DSCR (Port Loan)'!Q18</f>
        <v>#VALUE!</v>
      </c>
      <c r="M17" s="214" t="e">
        <f>'DSCR (Port Loan)'!R18</f>
        <v>#VALUE!</v>
      </c>
      <c r="O17" s="332">
        <f t="shared" si="1"/>
        <v>2.7499999999999997E-2</v>
      </c>
      <c r="P17" s="335" t="str">
        <f>'DSCR (Port Loan)'!L39</f>
        <v>-</v>
      </c>
      <c r="Q17" s="335" t="str">
        <f>'DSCR (Port Loan)'!M39</f>
        <v>-</v>
      </c>
      <c r="R17" s="335" t="str">
        <f>'DSCR (Port Loan)'!N39</f>
        <v>-</v>
      </c>
      <c r="S17" s="335" t="str">
        <f>'DSCR (Port Loan)'!O39</f>
        <v>-</v>
      </c>
      <c r="T17" s="335" t="str">
        <f>'DSCR (Port Loan)'!P39</f>
        <v>-</v>
      </c>
      <c r="U17" s="335" t="str">
        <f>'DSCR (Port Loan)'!Q39</f>
        <v>-</v>
      </c>
      <c r="V17" s="335" t="str">
        <f>'DSCR (Port Loan)'!R39</f>
        <v>-</v>
      </c>
    </row>
    <row r="18" spans="1:62" x14ac:dyDescent="0.25">
      <c r="B18" s="334" t="s">
        <v>1613</v>
      </c>
      <c r="C18" s="843"/>
      <c r="D18" s="843"/>
      <c r="F18" s="53">
        <f t="shared" si="0"/>
        <v>2.9999999999999995E-2</v>
      </c>
      <c r="G18" s="57" t="str">
        <f>'DSCR (Port Loan)'!L19</f>
        <v>-</v>
      </c>
      <c r="H18" s="335" t="str">
        <f>'DSCR (Port Loan)'!M19</f>
        <v>-</v>
      </c>
      <c r="I18" s="51" t="e">
        <f>'DSCR (Port Loan)'!N19</f>
        <v>#VALUE!</v>
      </c>
      <c r="J18" s="52" t="e">
        <f>'DSCR (Port Loan)'!O19</f>
        <v>#VALUE!</v>
      </c>
      <c r="K18" s="52" t="e">
        <f>'DSCR (Port Loan)'!P19</f>
        <v>#VALUE!</v>
      </c>
      <c r="L18" s="214" t="e">
        <f>'DSCR (Port Loan)'!Q19</f>
        <v>#VALUE!</v>
      </c>
      <c r="M18" s="214" t="e">
        <f>'DSCR (Port Loan)'!R19</f>
        <v>#VALUE!</v>
      </c>
      <c r="O18" s="332">
        <f t="shared" si="1"/>
        <v>2.9999999999999995E-2</v>
      </c>
      <c r="P18" s="335" t="str">
        <f>'DSCR (Port Loan)'!L40</f>
        <v>-</v>
      </c>
      <c r="Q18" s="335" t="str">
        <f>'DSCR (Port Loan)'!M40</f>
        <v>-</v>
      </c>
      <c r="R18" s="335" t="str">
        <f>'DSCR (Port Loan)'!N40</f>
        <v>-</v>
      </c>
      <c r="S18" s="335" t="str">
        <f>'DSCR (Port Loan)'!O40</f>
        <v>-</v>
      </c>
      <c r="T18" s="335" t="str">
        <f>'DSCR (Port Loan)'!P40</f>
        <v>-</v>
      </c>
      <c r="U18" s="335" t="str">
        <f>'DSCR (Port Loan)'!Q40</f>
        <v>-</v>
      </c>
      <c r="V18" s="335" t="str">
        <f>'DSCR (Port Loan)'!R40</f>
        <v>-</v>
      </c>
    </row>
    <row r="19" spans="1:62" x14ac:dyDescent="0.25">
      <c r="B19" s="334" t="s">
        <v>1955</v>
      </c>
      <c r="C19" s="842"/>
      <c r="D19" s="842"/>
      <c r="F19" s="53">
        <f t="shared" si="0"/>
        <v>3.2499999999999994E-2</v>
      </c>
      <c r="G19" s="57" t="str">
        <f>'DSCR (Port Loan)'!L20</f>
        <v>-</v>
      </c>
      <c r="H19" s="335" t="str">
        <f>'DSCR (Port Loan)'!M20</f>
        <v>-</v>
      </c>
      <c r="I19" s="51" t="e">
        <f>'DSCR (Port Loan)'!N20</f>
        <v>#VALUE!</v>
      </c>
      <c r="J19" s="52" t="e">
        <f>'DSCR (Port Loan)'!O20</f>
        <v>#VALUE!</v>
      </c>
      <c r="K19" s="52" t="e">
        <f>'DSCR (Port Loan)'!P20</f>
        <v>#VALUE!</v>
      </c>
      <c r="L19" s="214" t="e">
        <f>'DSCR (Port Loan)'!Q20</f>
        <v>#VALUE!</v>
      </c>
      <c r="M19" s="214" t="e">
        <f>'DSCR (Port Loan)'!R20</f>
        <v>#VALUE!</v>
      </c>
      <c r="O19" s="332">
        <f t="shared" si="1"/>
        <v>3.2499999999999994E-2</v>
      </c>
      <c r="P19" s="335" t="str">
        <f>'DSCR (Port Loan)'!L41</f>
        <v>-</v>
      </c>
      <c r="Q19" s="335" t="str">
        <f>'DSCR (Port Loan)'!M41</f>
        <v>-</v>
      </c>
      <c r="R19" s="335" t="str">
        <f>'DSCR (Port Loan)'!N41</f>
        <v>-</v>
      </c>
      <c r="S19" s="335" t="str">
        <f>'DSCR (Port Loan)'!O41</f>
        <v>-</v>
      </c>
      <c r="T19" s="335" t="str">
        <f>'DSCR (Port Loan)'!P41</f>
        <v>-</v>
      </c>
      <c r="U19" s="335" t="str">
        <f>'DSCR (Port Loan)'!Q41</f>
        <v>-</v>
      </c>
      <c r="V19" s="335" t="str">
        <f>'DSCR (Port Loan)'!R41</f>
        <v>-</v>
      </c>
    </row>
    <row r="20" spans="1:62" x14ac:dyDescent="0.25">
      <c r="B20" s="334" t="s">
        <v>1954</v>
      </c>
      <c r="C20" s="840">
        <f>'DSCR (Port Loan)'!$H$38</f>
        <v>0</v>
      </c>
      <c r="D20" s="840"/>
      <c r="F20" s="53">
        <f t="shared" si="0"/>
        <v>3.4999999999999996E-2</v>
      </c>
      <c r="G20" s="57" t="str">
        <f>'DSCR (Port Loan)'!L21</f>
        <v>-</v>
      </c>
      <c r="H20" s="335" t="str">
        <f>'DSCR (Port Loan)'!M21</f>
        <v>-</v>
      </c>
      <c r="I20" s="51" t="e">
        <f>'DSCR (Port Loan)'!N21</f>
        <v>#VALUE!</v>
      </c>
      <c r="J20" s="52" t="e">
        <f>'DSCR (Port Loan)'!O21</f>
        <v>#VALUE!</v>
      </c>
      <c r="K20" s="52" t="e">
        <f>'DSCR (Port Loan)'!P21</f>
        <v>#VALUE!</v>
      </c>
      <c r="L20" s="214" t="e">
        <f>'DSCR (Port Loan)'!Q21</f>
        <v>#VALUE!</v>
      </c>
      <c r="M20" s="214" t="e">
        <f>'DSCR (Port Loan)'!R21</f>
        <v>#VALUE!</v>
      </c>
      <c r="O20" s="332">
        <f t="shared" si="1"/>
        <v>3.4999999999999996E-2</v>
      </c>
      <c r="P20" s="335" t="str">
        <f>'DSCR (Port Loan)'!L42</f>
        <v>-</v>
      </c>
      <c r="Q20" s="335" t="str">
        <f>'DSCR (Port Loan)'!M42</f>
        <v>-</v>
      </c>
      <c r="R20" s="335" t="str">
        <f>'DSCR (Port Loan)'!N42</f>
        <v>-</v>
      </c>
      <c r="S20" s="335" t="str">
        <f>'DSCR (Port Loan)'!O42</f>
        <v>-</v>
      </c>
      <c r="T20" s="335" t="str">
        <f>'DSCR (Port Loan)'!P42</f>
        <v>-</v>
      </c>
      <c r="U20" s="335" t="str">
        <f>'DSCR (Port Loan)'!Q42</f>
        <v>-</v>
      </c>
      <c r="V20" s="335" t="str">
        <f>'DSCR (Port Loan)'!R42</f>
        <v>-</v>
      </c>
    </row>
    <row r="21" spans="1:62" x14ac:dyDescent="0.25">
      <c r="B21" s="334" t="s">
        <v>1953</v>
      </c>
      <c r="C21" s="840" t="e">
        <f>'DSCR (Port Loan)'!$H$39</f>
        <v>#VALUE!</v>
      </c>
      <c r="D21" s="840"/>
      <c r="F21" s="53">
        <f t="shared" si="0"/>
        <v>3.7499999999999999E-2</v>
      </c>
      <c r="G21" s="57" t="str">
        <f>'DSCR (Port Loan)'!L22</f>
        <v>-</v>
      </c>
      <c r="H21" s="335" t="str">
        <f>'DSCR (Port Loan)'!M22</f>
        <v>-</v>
      </c>
      <c r="I21" s="51" t="e">
        <f>'DSCR (Port Loan)'!N22</f>
        <v>#VALUE!</v>
      </c>
      <c r="J21" s="52" t="e">
        <f>'DSCR (Port Loan)'!O22</f>
        <v>#VALUE!</v>
      </c>
      <c r="K21" s="52" t="e">
        <f>'DSCR (Port Loan)'!P22</f>
        <v>#VALUE!</v>
      </c>
      <c r="L21" s="214" t="e">
        <f>'DSCR (Port Loan)'!Q22</f>
        <v>#VALUE!</v>
      </c>
      <c r="M21" s="214" t="e">
        <f>'DSCR (Port Loan)'!R22</f>
        <v>#VALUE!</v>
      </c>
      <c r="O21" s="332">
        <f t="shared" si="1"/>
        <v>3.7499999999999999E-2</v>
      </c>
      <c r="P21" s="335" t="str">
        <f>'DSCR (Port Loan)'!L43</f>
        <v>-</v>
      </c>
      <c r="Q21" s="335" t="str">
        <f>'DSCR (Port Loan)'!M43</f>
        <v>-</v>
      </c>
      <c r="R21" s="335" t="str">
        <f>'DSCR (Port Loan)'!N43</f>
        <v>-</v>
      </c>
      <c r="S21" s="335" t="str">
        <f>'DSCR (Port Loan)'!O43</f>
        <v>-</v>
      </c>
      <c r="T21" s="335" t="str">
        <f>'DSCR (Port Loan)'!P43</f>
        <v>-</v>
      </c>
      <c r="U21" s="335" t="str">
        <f>'DSCR (Port Loan)'!Q43</f>
        <v>-</v>
      </c>
      <c r="V21" s="335" t="str">
        <f>'DSCR (Port Loan)'!R43</f>
        <v>-</v>
      </c>
    </row>
    <row r="22" spans="1:62" x14ac:dyDescent="0.25">
      <c r="B22" s="334" t="s">
        <v>1952</v>
      </c>
      <c r="C22" s="840">
        <f>'DSCR (Port Loan)'!$F$40+'DSCR (Port Loan)'!$H$40</f>
        <v>0</v>
      </c>
      <c r="D22" s="840"/>
      <c r="F22" s="53">
        <f t="shared" si="0"/>
        <v>0.04</v>
      </c>
      <c r="G22" s="57" t="str">
        <f>'DSCR (Port Loan)'!L23</f>
        <v>-</v>
      </c>
      <c r="H22" s="335" t="str">
        <f>'DSCR (Port Loan)'!M23</f>
        <v>-</v>
      </c>
      <c r="I22" s="51" t="e">
        <f>'DSCR (Port Loan)'!N23</f>
        <v>#VALUE!</v>
      </c>
      <c r="J22" s="52" t="e">
        <f>'DSCR (Port Loan)'!O23</f>
        <v>#VALUE!</v>
      </c>
      <c r="K22" s="52" t="e">
        <f>'DSCR (Port Loan)'!P23</f>
        <v>#VALUE!</v>
      </c>
      <c r="L22" s="214" t="e">
        <f>'DSCR (Port Loan)'!Q23</f>
        <v>#VALUE!</v>
      </c>
      <c r="M22" s="214" t="e">
        <f>'DSCR (Port Loan)'!R23</f>
        <v>#VALUE!</v>
      </c>
      <c r="O22" s="332">
        <f t="shared" si="1"/>
        <v>0.04</v>
      </c>
      <c r="P22" s="335" t="str">
        <f>'DSCR (Port Loan)'!L44</f>
        <v>-</v>
      </c>
      <c r="Q22" s="335" t="str">
        <f>'DSCR (Port Loan)'!M44</f>
        <v>-</v>
      </c>
      <c r="R22" s="335" t="str">
        <f>'DSCR (Port Loan)'!N44</f>
        <v>-</v>
      </c>
      <c r="S22" s="335" t="str">
        <f>'DSCR (Port Loan)'!O44</f>
        <v>-</v>
      </c>
      <c r="T22" s="335" t="str">
        <f>'DSCR (Port Loan)'!P44</f>
        <v>-</v>
      </c>
      <c r="U22" s="335" t="str">
        <f>'DSCR (Port Loan)'!Q44</f>
        <v>-</v>
      </c>
      <c r="V22" s="335" t="str">
        <f>'DSCR (Port Loan)'!R44</f>
        <v>-</v>
      </c>
    </row>
    <row r="23" spans="1:62" x14ac:dyDescent="0.25">
      <c r="B23" s="334" t="s">
        <v>1951</v>
      </c>
      <c r="C23" s="840">
        <f>'DSCR (Port Loan)'!$F$41</f>
        <v>0</v>
      </c>
      <c r="D23" s="840"/>
      <c r="F23" s="53"/>
      <c r="G23" s="57"/>
      <c r="H23" s="333"/>
      <c r="J23" s="52"/>
      <c r="K23" s="52"/>
      <c r="L23" s="214"/>
      <c r="M23" s="214"/>
      <c r="O23" s="332"/>
      <c r="P23" s="333"/>
      <c r="Q23" s="333"/>
      <c r="R23" s="333"/>
      <c r="S23" s="333"/>
      <c r="T23" s="333"/>
      <c r="U23" s="333"/>
      <c r="V23" s="333"/>
    </row>
    <row r="24" spans="1:62" x14ac:dyDescent="0.25">
      <c r="B24" s="334" t="s">
        <v>1950</v>
      </c>
      <c r="C24" s="840">
        <f>'DSCR (Port Loan)'!$F$42</f>
        <v>0</v>
      </c>
      <c r="D24" s="840"/>
      <c r="F24" s="53"/>
      <c r="G24" s="57"/>
      <c r="H24" s="333"/>
      <c r="J24" s="52"/>
      <c r="K24" s="52"/>
      <c r="L24" s="214"/>
      <c r="M24" s="214"/>
      <c r="O24" s="332"/>
      <c r="P24" s="333"/>
      <c r="Q24" s="333"/>
      <c r="R24" s="333"/>
      <c r="S24" s="333"/>
      <c r="T24" s="333"/>
      <c r="U24" s="333"/>
      <c r="V24" s="333"/>
    </row>
    <row r="25" spans="1:62" x14ac:dyDescent="0.25">
      <c r="B25" s="334" t="s">
        <v>1949</v>
      </c>
      <c r="C25" s="840">
        <f>'DSCR (Port Loan)'!$F$43</f>
        <v>0</v>
      </c>
      <c r="D25" s="840"/>
      <c r="F25" s="53"/>
      <c r="G25" s="57"/>
      <c r="H25" s="333"/>
      <c r="J25" s="52"/>
      <c r="K25" s="52"/>
      <c r="L25" s="214"/>
      <c r="M25" s="214"/>
      <c r="O25" s="332"/>
      <c r="P25" s="333"/>
      <c r="Q25" s="333"/>
      <c r="R25" s="333"/>
      <c r="S25" s="333"/>
      <c r="T25" s="333"/>
      <c r="U25" s="333"/>
      <c r="V25" s="333"/>
    </row>
    <row r="26" spans="1:62" x14ac:dyDescent="0.25">
      <c r="F26" s="332"/>
      <c r="O26" s="332"/>
    </row>
    <row r="27" spans="1:62" x14ac:dyDescent="0.25">
      <c r="B27" s="713" t="s">
        <v>1948</v>
      </c>
      <c r="C27" s="714"/>
      <c r="D27" s="714"/>
      <c r="E27" s="714"/>
      <c r="F27" s="714"/>
      <c r="G27" s="715"/>
      <c r="H27" s="713" t="s">
        <v>1642</v>
      </c>
      <c r="I27" s="714"/>
      <c r="J27" s="714"/>
      <c r="K27" s="715"/>
      <c r="L27" s="713" t="s">
        <v>1947</v>
      </c>
      <c r="M27" s="714"/>
      <c r="N27" s="714"/>
      <c r="O27" s="714"/>
      <c r="P27" s="715"/>
      <c r="Q27" s="713" t="s">
        <v>1946</v>
      </c>
      <c r="R27" s="714"/>
      <c r="S27" s="715"/>
      <c r="T27" s="713" t="s">
        <v>1945</v>
      </c>
      <c r="U27" s="714"/>
      <c r="V27" s="715"/>
      <c r="W27" s="713" t="s">
        <v>1944</v>
      </c>
      <c r="X27" s="714"/>
      <c r="Y27" s="715"/>
      <c r="Z27" s="713" t="s">
        <v>1943</v>
      </c>
      <c r="AA27" s="714"/>
      <c r="AB27" s="715"/>
      <c r="AC27" s="330"/>
      <c r="AD27" s="330"/>
      <c r="AE27" s="330"/>
      <c r="AF27" s="330"/>
      <c r="AG27" s="330"/>
      <c r="AH27" s="827" t="s">
        <v>1942</v>
      </c>
      <c r="AI27" s="331"/>
      <c r="AJ27" s="331"/>
      <c r="AK27" s="331"/>
      <c r="AL27" s="831" t="s">
        <v>1941</v>
      </c>
      <c r="AM27" s="331"/>
      <c r="AN27" s="331"/>
      <c r="AO27" s="331"/>
      <c r="AP27" s="331"/>
      <c r="AQ27" s="331"/>
      <c r="AR27" s="831" t="s">
        <v>1700</v>
      </c>
      <c r="AS27" s="831" t="s">
        <v>29</v>
      </c>
      <c r="AT27" s="831" t="s">
        <v>28</v>
      </c>
      <c r="AU27" s="331"/>
      <c r="AV27" s="331"/>
      <c r="AW27" s="831" t="s">
        <v>1940</v>
      </c>
      <c r="AX27" s="833" t="s">
        <v>1939</v>
      </c>
      <c r="AY27" s="833" t="s">
        <v>1939</v>
      </c>
      <c r="AZ27" s="835" t="s">
        <v>1938</v>
      </c>
      <c r="BA27" s="825" t="s">
        <v>1927</v>
      </c>
      <c r="BB27" s="825" t="s">
        <v>1926</v>
      </c>
      <c r="BC27" s="825" t="s">
        <v>1937</v>
      </c>
      <c r="BD27" s="825" t="s">
        <v>1936</v>
      </c>
      <c r="BE27" s="825" t="s">
        <v>1704</v>
      </c>
      <c r="BF27" s="825" t="s">
        <v>1935</v>
      </c>
      <c r="BG27" s="825" t="s">
        <v>1700</v>
      </c>
      <c r="BH27" s="825" t="s">
        <v>156</v>
      </c>
      <c r="BI27" s="825" t="s">
        <v>155</v>
      </c>
      <c r="BJ27" s="813" t="s">
        <v>1934</v>
      </c>
    </row>
    <row r="28" spans="1:62" x14ac:dyDescent="0.25">
      <c r="B28" s="66" t="s">
        <v>90</v>
      </c>
      <c r="C28" s="65" t="s">
        <v>88</v>
      </c>
      <c r="D28" s="65" t="s">
        <v>85</v>
      </c>
      <c r="E28" s="65" t="s">
        <v>82</v>
      </c>
      <c r="F28" s="65" t="s">
        <v>1577</v>
      </c>
      <c r="G28" s="156" t="s">
        <v>92</v>
      </c>
      <c r="H28" s="66" t="s">
        <v>17</v>
      </c>
      <c r="I28" s="65" t="s">
        <v>1933</v>
      </c>
      <c r="J28" s="65" t="s">
        <v>1932</v>
      </c>
      <c r="K28" s="156" t="s">
        <v>1931</v>
      </c>
      <c r="L28" s="66" t="s">
        <v>1930</v>
      </c>
      <c r="M28" s="65" t="s">
        <v>1646</v>
      </c>
      <c r="N28" s="65" t="s">
        <v>1649</v>
      </c>
      <c r="O28" s="65" t="s">
        <v>1929</v>
      </c>
      <c r="P28" s="156" t="s">
        <v>66</v>
      </c>
      <c r="Q28" s="66" t="s">
        <v>1663</v>
      </c>
      <c r="R28" s="65" t="s">
        <v>1506</v>
      </c>
      <c r="S28" s="156" t="s">
        <v>1505</v>
      </c>
      <c r="T28" s="66" t="s">
        <v>1663</v>
      </c>
      <c r="U28" s="65" t="s">
        <v>1506</v>
      </c>
      <c r="V28" s="156" t="s">
        <v>1505</v>
      </c>
      <c r="W28" s="66" t="s">
        <v>1663</v>
      </c>
      <c r="X28" s="65" t="s">
        <v>1506</v>
      </c>
      <c r="Y28" s="156" t="s">
        <v>1505</v>
      </c>
      <c r="Z28" s="66" t="s">
        <v>1663</v>
      </c>
      <c r="AA28" s="65" t="s">
        <v>1506</v>
      </c>
      <c r="AB28" s="156" t="s">
        <v>1505</v>
      </c>
      <c r="AC28" s="330">
        <v>1</v>
      </c>
      <c r="AD28" s="330">
        <v>2</v>
      </c>
      <c r="AE28" s="330">
        <v>3</v>
      </c>
      <c r="AF28" s="330">
        <v>4</v>
      </c>
      <c r="AG28" s="330" t="s">
        <v>37</v>
      </c>
      <c r="AH28" s="828"/>
      <c r="AI28" s="329" t="s">
        <v>1928</v>
      </c>
      <c r="AJ28" s="329" t="s">
        <v>118</v>
      </c>
      <c r="AK28" s="329" t="s">
        <v>1674</v>
      </c>
      <c r="AL28" s="832"/>
      <c r="AM28" s="329" t="s">
        <v>1927</v>
      </c>
      <c r="AN28" s="329" t="s">
        <v>1926</v>
      </c>
      <c r="AO28" s="329" t="s">
        <v>1705</v>
      </c>
      <c r="AP28" s="329" t="s">
        <v>1704</v>
      </c>
      <c r="AQ28" s="329" t="s">
        <v>1782</v>
      </c>
      <c r="AR28" s="832"/>
      <c r="AS28" s="832"/>
      <c r="AT28" s="832"/>
      <c r="AU28" s="329" t="s">
        <v>1819</v>
      </c>
      <c r="AV28" s="329" t="s">
        <v>1925</v>
      </c>
      <c r="AW28" s="832"/>
      <c r="AX28" s="834"/>
      <c r="AY28" s="834"/>
      <c r="AZ28" s="836"/>
      <c r="BA28" s="826"/>
      <c r="BB28" s="826"/>
      <c r="BC28" s="826"/>
      <c r="BD28" s="826"/>
      <c r="BE28" s="826"/>
      <c r="BF28" s="826"/>
      <c r="BG28" s="826"/>
      <c r="BH28" s="826"/>
      <c r="BI28" s="826"/>
      <c r="BJ28" s="814"/>
    </row>
    <row r="29" spans="1:62" x14ac:dyDescent="0.25">
      <c r="A29" s="51" t="s">
        <v>1924</v>
      </c>
      <c r="B29" s="324" t="s">
        <v>2</v>
      </c>
      <c r="C29" s="320" t="s">
        <v>2</v>
      </c>
      <c r="D29" s="320" t="s">
        <v>2</v>
      </c>
      <c r="E29" s="320" t="s">
        <v>2</v>
      </c>
      <c r="F29" s="320" t="s">
        <v>2</v>
      </c>
      <c r="G29" s="328" t="s">
        <v>2</v>
      </c>
      <c r="H29" s="327">
        <f t="shared" ref="H29:M29" si="2">SUM(H$31:H$55)</f>
        <v>0</v>
      </c>
      <c r="I29" s="326">
        <f t="shared" si="2"/>
        <v>0</v>
      </c>
      <c r="J29" s="326">
        <f t="shared" si="2"/>
        <v>0</v>
      </c>
      <c r="K29" s="325">
        <f t="shared" si="2"/>
        <v>0</v>
      </c>
      <c r="L29" s="321">
        <f t="shared" si="2"/>
        <v>0</v>
      </c>
      <c r="M29" s="322">
        <f t="shared" si="2"/>
        <v>0</v>
      </c>
      <c r="N29" s="320" t="s">
        <v>2</v>
      </c>
      <c r="O29" s="322">
        <f>SUM(O$31:O$55)</f>
        <v>0</v>
      </c>
      <c r="P29" s="323">
        <f>SUM(P$31:P$55)</f>
        <v>0</v>
      </c>
      <c r="Q29" s="324" t="s">
        <v>2</v>
      </c>
      <c r="R29" s="322">
        <f>SUM(R$31:R$55)</f>
        <v>0</v>
      </c>
      <c r="S29" s="323">
        <f>SUM(S$31:S$55)</f>
        <v>0</v>
      </c>
      <c r="T29" s="324" t="s">
        <v>2</v>
      </c>
      <c r="U29" s="322">
        <f>SUM(U$31:U$55)</f>
        <v>0</v>
      </c>
      <c r="V29" s="323">
        <f>SUM(V$31:V$55)</f>
        <v>0</v>
      </c>
      <c r="W29" s="324" t="s">
        <v>2</v>
      </c>
      <c r="X29" s="322">
        <f>SUM(X$31:X$55)</f>
        <v>0</v>
      </c>
      <c r="Y29" s="323">
        <f>SUM(Y$31:Y$55)</f>
        <v>0</v>
      </c>
      <c r="Z29" s="324" t="s">
        <v>2</v>
      </c>
      <c r="AA29" s="322">
        <f>SUM(AA$31:AA$55)</f>
        <v>0</v>
      </c>
      <c r="AB29" s="323">
        <f>SUM(AB$31:AB$55)</f>
        <v>0</v>
      </c>
      <c r="AC29" s="312">
        <f>SUM($AC31:$AC56)</f>
        <v>0</v>
      </c>
      <c r="AD29" s="312">
        <f>SUM($AD31:$AD56)</f>
        <v>0</v>
      </c>
      <c r="AE29" s="312">
        <f>SUM($AE31:$AE56)</f>
        <v>0</v>
      </c>
      <c r="AF29" s="312">
        <f>SUM($AF31:$AF56)</f>
        <v>0</v>
      </c>
      <c r="AG29" s="312">
        <f>SUM(AG31:AG56)</f>
        <v>0</v>
      </c>
      <c r="AH29" s="815">
        <f>'DSCR (Port Loan)'!$F$21</f>
        <v>1.2</v>
      </c>
      <c r="AI29" s="322"/>
      <c r="AJ29" s="322"/>
      <c r="AK29" s="322"/>
      <c r="AL29" s="322">
        <f>$C$16</f>
        <v>0</v>
      </c>
      <c r="AM29" s="322"/>
      <c r="AN29" s="322"/>
      <c r="AO29" s="322"/>
      <c r="AP29" s="322"/>
      <c r="AQ29" s="322" t="e">
        <f>SUM(AQ31:AQ55)</f>
        <v>#VALUE!</v>
      </c>
      <c r="AR29" s="817" t="e">
        <f>$AG$29/$AQ$29</f>
        <v>#VALUE!</v>
      </c>
      <c r="AS29" s="819" t="e">
        <f>IF($B31="Non-Warrantable Condo",'DSCR (Port Calc)'!$C$37-10%,'DSCR (Port Calc)'!$C$37)</f>
        <v>#N/A</v>
      </c>
      <c r="AT29" s="819" t="e">
        <f>IF($B31="Non-Warrantable Condo",'DSCR (Port Calc)'!$C$38-10%,'DSCR (Port Calc)'!$C$38)</f>
        <v>#N/A</v>
      </c>
      <c r="AU29" s="322"/>
      <c r="AV29" s="322"/>
      <c r="AW29" s="322">
        <f>SUM(AW31:AW55)</f>
        <v>0</v>
      </c>
      <c r="AX29" s="821" t="s">
        <v>2</v>
      </c>
      <c r="AY29" s="823" t="s">
        <v>2</v>
      </c>
      <c r="AZ29" s="321">
        <f>SUM(AZ31:AZ55)</f>
        <v>0</v>
      </c>
      <c r="BA29" s="320"/>
      <c r="BB29" s="320"/>
      <c r="BC29" s="320"/>
      <c r="BD29" s="320"/>
      <c r="BE29" s="320"/>
      <c r="BF29" s="320"/>
      <c r="BG29" s="817" t="e">
        <f>SUMPRODUCT(BG31:BG55,AZ31:AZ55)/AZ29</f>
        <v>#DIV/0!</v>
      </c>
      <c r="BH29" s="819" t="str">
        <f>IFERROR(SUMPRODUCT(BH31:BH55,AZ31:AZ55)/AZ29,"-")</f>
        <v>-</v>
      </c>
      <c r="BI29" s="829" t="str">
        <f>IF(OR($C$6="Refinance (Rate/Term)",$C$6="Refinance (Cash Out)"),"-",IFERROR(SUMPRODUCT(BI31:BI55,AZ31:AZ55)/AZ29,"-"))</f>
        <v>-</v>
      </c>
      <c r="BJ29" s="837">
        <v>1.2</v>
      </c>
    </row>
    <row r="30" spans="1:62" x14ac:dyDescent="0.25">
      <c r="A30" s="51" t="s">
        <v>1924</v>
      </c>
      <c r="B30" s="314" t="s">
        <v>2</v>
      </c>
      <c r="C30" s="308" t="s">
        <v>2</v>
      </c>
      <c r="D30" s="308" t="s">
        <v>2</v>
      </c>
      <c r="E30" s="308" t="s">
        <v>2</v>
      </c>
      <c r="F30" s="308" t="s">
        <v>2</v>
      </c>
      <c r="G30" s="319" t="s">
        <v>2</v>
      </c>
      <c r="H30" s="318" t="e">
        <f t="shared" ref="H30:M30" si="3">AVERAGE(H$31:H$55)</f>
        <v>#DIV/0!</v>
      </c>
      <c r="I30" s="317" t="e">
        <f t="shared" si="3"/>
        <v>#DIV/0!</v>
      </c>
      <c r="J30" s="317" t="e">
        <f t="shared" si="3"/>
        <v>#DIV/0!</v>
      </c>
      <c r="K30" s="316" t="e">
        <f t="shared" si="3"/>
        <v>#DIV/0!</v>
      </c>
      <c r="L30" s="315" t="e">
        <f t="shared" si="3"/>
        <v>#DIV/0!</v>
      </c>
      <c r="M30" s="311" t="e">
        <f t="shared" si="3"/>
        <v>#DIV/0!</v>
      </c>
      <c r="N30" s="308" t="s">
        <v>2</v>
      </c>
      <c r="O30" s="311" t="e">
        <f>AVERAGE(O$31:O$55)</f>
        <v>#DIV/0!</v>
      </c>
      <c r="P30" s="313" t="e">
        <f>AVERAGE(P$31:P$55)</f>
        <v>#DIV/0!</v>
      </c>
      <c r="Q30" s="314" t="s">
        <v>2</v>
      </c>
      <c r="R30" s="311" t="e">
        <f>AVERAGE(R$31:R$55)</f>
        <v>#DIV/0!</v>
      </c>
      <c r="S30" s="313" t="e">
        <f>AVERAGE(S$31:S$55)</f>
        <v>#DIV/0!</v>
      </c>
      <c r="T30" s="314" t="s">
        <v>2</v>
      </c>
      <c r="U30" s="311" t="e">
        <f>AVERAGE(U$31:U$55)</f>
        <v>#DIV/0!</v>
      </c>
      <c r="V30" s="313" t="e">
        <f>AVERAGE(V$31:V$55)</f>
        <v>#DIV/0!</v>
      </c>
      <c r="W30" s="314" t="s">
        <v>2</v>
      </c>
      <c r="X30" s="311" t="e">
        <f>AVERAGE(X$31:X$55)</f>
        <v>#DIV/0!</v>
      </c>
      <c r="Y30" s="313" t="e">
        <f>AVERAGE(Y$31:Y$55)</f>
        <v>#DIV/0!</v>
      </c>
      <c r="Z30" s="314" t="s">
        <v>2</v>
      </c>
      <c r="AA30" s="311" t="e">
        <f>AVERAGE(AA$31:AA$55)</f>
        <v>#DIV/0!</v>
      </c>
      <c r="AB30" s="313" t="e">
        <f>AVERAGE(AB$31:AB$55)</f>
        <v>#DIV/0!</v>
      </c>
      <c r="AC30" s="312" t="s">
        <v>2</v>
      </c>
      <c r="AD30" s="312" t="s">
        <v>2</v>
      </c>
      <c r="AE30" s="312" t="s">
        <v>2</v>
      </c>
      <c r="AF30" s="312" t="s">
        <v>2</v>
      </c>
      <c r="AG30" s="312" t="s">
        <v>2</v>
      </c>
      <c r="AH30" s="816"/>
      <c r="AI30" s="311"/>
      <c r="AJ30" s="311"/>
      <c r="AK30" s="311"/>
      <c r="AL30" s="310" t="e">
        <f>$AL$29/$P$29</f>
        <v>#DIV/0!</v>
      </c>
      <c r="AM30" s="311"/>
      <c r="AN30" s="311"/>
      <c r="AO30" s="311"/>
      <c r="AP30" s="311"/>
      <c r="AQ30" s="311"/>
      <c r="AR30" s="818"/>
      <c r="AS30" s="820"/>
      <c r="AT30" s="820"/>
      <c r="AU30" s="311"/>
      <c r="AV30" s="311"/>
      <c r="AW30" s="310" t="e">
        <f>AW29/P29</f>
        <v>#DIV/0!</v>
      </c>
      <c r="AX30" s="822"/>
      <c r="AY30" s="824"/>
      <c r="AZ30" s="309" t="e">
        <f>AZ29/P29</f>
        <v>#DIV/0!</v>
      </c>
      <c r="BA30" s="308"/>
      <c r="BB30" s="308"/>
      <c r="BC30" s="308"/>
      <c r="BD30" s="308"/>
      <c r="BE30" s="308"/>
      <c r="BF30" s="308"/>
      <c r="BG30" s="818"/>
      <c r="BH30" s="820"/>
      <c r="BI30" s="830"/>
      <c r="BJ30" s="838"/>
    </row>
    <row r="31" spans="1:62" x14ac:dyDescent="0.25">
      <c r="A31" s="51">
        <v>1</v>
      </c>
      <c r="B31" s="271"/>
      <c r="C31" s="272"/>
      <c r="D31" s="272"/>
      <c r="E31" s="272"/>
      <c r="F31" s="272"/>
      <c r="G31" s="276"/>
      <c r="H31" s="275"/>
      <c r="I31" s="274"/>
      <c r="J31" s="274"/>
      <c r="K31" s="273"/>
      <c r="L31" s="267"/>
      <c r="M31" s="270"/>
      <c r="N31" s="272"/>
      <c r="O31" s="270"/>
      <c r="P31" s="269"/>
      <c r="Q31" s="271"/>
      <c r="R31" s="270"/>
      <c r="S31" s="269"/>
      <c r="T31" s="271"/>
      <c r="U31" s="270"/>
      <c r="V31" s="269"/>
      <c r="W31" s="271"/>
      <c r="X31" s="270"/>
      <c r="Y31" s="269"/>
      <c r="Z31" s="271"/>
      <c r="AA31" s="270"/>
      <c r="AB31" s="269"/>
      <c r="AC31" s="57" t="str">
        <f>IF(Q31="Leased (LTR)",MIN(R31,S31),IF(Q31="Leased (STR)",MIN(R31*80%,S31),IF(OR(Q31="Vacant (LTR)",Q31="Vacant (STR)"),S31,"-")))</f>
        <v>-</v>
      </c>
      <c r="AD31" s="57" t="str">
        <f>IF(T31="Leased (LTR)",MIN(U31,V31),IF(T31="Leased (STR)",MIN(U31*80%,V31),IF(OR(T31="Vacant (LTR)",T31="Vacant (STR)"),V31,"-")))</f>
        <v>-</v>
      </c>
      <c r="AE31" s="57" t="str">
        <f>IF(W31="Leased (LTR)",MIN(X31,Y31),IF(W31="Leased (STR)",MIN(X31*80%,Y31),IF(OR(W31="Vacant (LTR)",W31="Vacant (STR)"),Y31,"-")))</f>
        <v>-</v>
      </c>
      <c r="AF31" s="57" t="str">
        <f>IF(Z31="Leased (LTR)",MIN(AA31,AB31),IF(Z31="Leased (STR)",MIN(AA31*80%,AB31),IF(OR(Z31="Vacant (LTR)",Z31="Vacant (STR)"),AB31,"-")))</f>
        <v>-</v>
      </c>
      <c r="AG31" s="57">
        <f t="shared" ref="AG31:AG55" si="4">SUM(AC31:AF31)</f>
        <v>0</v>
      </c>
      <c r="AH31" s="307">
        <f t="shared" ref="AH31:AH55" si="5">$AH$29</f>
        <v>1.2</v>
      </c>
      <c r="AI31" s="299">
        <f t="shared" ref="AI31:AI55" si="6">(AG31/AH31)-AJ31</f>
        <v>0</v>
      </c>
      <c r="AJ31" s="299">
        <f t="shared" ref="AJ31:AJ55" si="7">SUM(H31:K31)/12</f>
        <v>0</v>
      </c>
      <c r="AK31" s="304">
        <f t="shared" ref="AK31:AK55" si="8">$C$18</f>
        <v>0</v>
      </c>
      <c r="AL31" s="306" t="str">
        <f t="shared" ref="AL31:AL55" si="9">IFERROR($AL$30*P31,"-")</f>
        <v>-</v>
      </c>
      <c r="AM31" s="305" t="e">
        <f>PMT(AK31/12,'DSCR (Port Calc)'!$C$17,-AL31)</f>
        <v>#VALUE!</v>
      </c>
      <c r="AN31" s="304" t="str">
        <f>IF(OR($C$13="5Y IO",$C$13="7Y IO",$C$13="10Y IO"),AL31*(AK31/12),"-")</f>
        <v>-</v>
      </c>
      <c r="AO31" s="304" t="e">
        <f t="shared" ref="AO31:AO55" si="10">IF($C$13="No IO","-",AN31+AJ31)</f>
        <v>#VALUE!</v>
      </c>
      <c r="AP31" s="303" t="str">
        <f t="shared" ref="AP31:AP55" si="11">IF($C$13="No IO",AM31+AJ31,"-")</f>
        <v>-</v>
      </c>
      <c r="AQ31" s="303" t="e">
        <f t="shared" ref="AQ31:AQ55" si="12">IF($C$13="No IO",AP31,AO31)</f>
        <v>#VALUE!</v>
      </c>
      <c r="AR31" s="302" t="str">
        <f t="shared" ref="AR31:AR55" si="13">IFERROR(AG31/AQ31,"-")</f>
        <v>-</v>
      </c>
      <c r="AS31" s="297" t="str">
        <f>IF(AR31="-","-",IF($B31="Non-Warrantable Condo",'DSCR (Port Calc)'!$C$37-10%,'DSCR (Port Calc)'!$C$37))</f>
        <v>-</v>
      </c>
      <c r="AT31" s="297" t="str">
        <f>IF(AR31="-","-",IF($B31="Non-Warrantable Condo",'DSCR (Port Calc)'!$C$38-10%,'DSCR (Port Calc)'!$C$38))</f>
        <v>-</v>
      </c>
      <c r="AU31" s="160" t="str">
        <f t="shared" ref="AU31:AU55" si="14">IF(OR($C$6="Purchase",$C$6="Delayed Purchase"),MIN($AS31*$P31,$AT31*($M31+$O31)),IF(OR($C$6="Refinance (Rate/Term)",$C$6="Refinance (Cash Out)"),$AS31*$P31,"-"))</f>
        <v>-</v>
      </c>
      <c r="AV31" s="160" t="str">
        <f t="shared" ref="AV31:AV55" si="15">IF(OR($C$6="Purchase",$C$6="Delayed Purchase",$C$6="Refinance (Cash Out)"),"-",IF($C$6="Refinance (Rate/Term)",$L31*102%,"-"))</f>
        <v>-</v>
      </c>
      <c r="AW31" s="160" t="str">
        <f t="shared" ref="AW31:AW55" si="16">IF($C$6="Refinance (Rate/Term)",MIN($AU31:$AV31),$AU31)</f>
        <v>-</v>
      </c>
      <c r="AX31" s="160" t="str">
        <f t="shared" ref="AX31:AX55" si="17">IFERROR(IF(AY31&gt;AL31,"-",AY31),"-")</f>
        <v>-</v>
      </c>
      <c r="AY31" s="142" t="e">
        <f>ROUNDDOWN(IF($C$13="No IO",PV(AK31/12,'DSCR (Port Calc)'!$C$17,-'DSCR (Portfolio)'!AI31),(AG31/(AH31*(AK31/12))-(AJ31/(AK31/12)))),0)</f>
        <v>#DIV/0!</v>
      </c>
      <c r="AZ31" s="301"/>
      <c r="BA31" s="300" t="e">
        <f>PMT(AK31/12,'DSCR (Port Calc)'!$C$17,-AZ31)</f>
        <v>#VALUE!</v>
      </c>
      <c r="BB31" s="113" t="str">
        <f t="shared" ref="BB31:BB55" si="18">IF(OR($C$13="5Y IO",$C$13="10Y IO"),AZ31*(AK31/12),"-")</f>
        <v>-</v>
      </c>
      <c r="BC31" s="299">
        <f t="shared" ref="BC31:BC55" si="19">AJ31</f>
        <v>0</v>
      </c>
      <c r="BD31" s="113" t="e">
        <f t="shared" ref="BD31:BD55" si="20">IF($C$13="No IO","-",BB31+AJ31)</f>
        <v>#VALUE!</v>
      </c>
      <c r="BE31" s="113" t="str">
        <f t="shared" ref="BE31:BE55" si="21">IF($C$13="No IO",BA31+AJ31,"-")</f>
        <v>-</v>
      </c>
      <c r="BF31" s="113" t="e">
        <f t="shared" ref="BF31:BF55" si="22">IF($C$13="No IO",BE31,BD31)</f>
        <v>#VALUE!</v>
      </c>
      <c r="BG31" s="298" t="str">
        <f t="shared" ref="BG31:BG55" si="23">IFERROR(AG31/BF31,"-")</f>
        <v>-</v>
      </c>
      <c r="BH31" s="297" t="str">
        <f t="shared" ref="BH31:BH55" si="24">IFERROR(AZ31/P31,"-")</f>
        <v>-</v>
      </c>
      <c r="BI31" s="296" t="str">
        <f t="shared" ref="BI31:BI55" si="25">IF(OR($C$6="Refinance (Rate/Term)",$C$6="Refinance (Cash Out)"),"-",IFERROR(AZ31/(M31+O31),"-"))</f>
        <v>-</v>
      </c>
      <c r="BJ31" s="295">
        <f t="shared" ref="BJ31:BJ55" si="26">IF(BJ29="NA","NA",$BJ$29*AZ31)</f>
        <v>0</v>
      </c>
    </row>
    <row r="32" spans="1:62" x14ac:dyDescent="0.25">
      <c r="A32" s="51">
        <v>2</v>
      </c>
      <c r="B32" s="289"/>
      <c r="C32" s="290"/>
      <c r="D32" s="290"/>
      <c r="E32" s="290"/>
      <c r="F32" s="290"/>
      <c r="G32" s="294"/>
      <c r="H32" s="293"/>
      <c r="I32" s="292"/>
      <c r="J32" s="292"/>
      <c r="K32" s="291"/>
      <c r="L32" s="283"/>
      <c r="M32" s="288"/>
      <c r="N32" s="290"/>
      <c r="O32" s="288"/>
      <c r="P32" s="287"/>
      <c r="Q32" s="289"/>
      <c r="R32" s="288"/>
      <c r="S32" s="287"/>
      <c r="T32" s="289"/>
      <c r="U32" s="288"/>
      <c r="V32" s="287"/>
      <c r="W32" s="289"/>
      <c r="X32" s="288"/>
      <c r="Y32" s="287"/>
      <c r="Z32" s="289"/>
      <c r="AA32" s="288"/>
      <c r="AB32" s="287"/>
      <c r="AC32" s="285" t="str">
        <f t="shared" ref="AC32:AC55" si="27">IF(Q32="Leased (LTR)",MIN(R32,S32),IF(Q32="Leased (STR)",MIN(R32*80%,S32),IF(OR(Q32="Vacant (LTR)",Q32="Vacant (STR)"),S32,"-")))</f>
        <v>-</v>
      </c>
      <c r="AD32" s="285" t="str">
        <f t="shared" ref="AD32:AD55" si="28">IF(T32="Leased (LTR)",MIN(U32,V32),IF(T32="Leased (STR)",MIN(U32*80%,V32),IF(OR(T32="Vacant (LTR)",T32="Vacant (STR)"),V32,"-")))</f>
        <v>-</v>
      </c>
      <c r="AE32" s="285" t="str">
        <f t="shared" ref="AE32:AE55" si="29">IF(W32="Leased (LTR)",MIN(X32,Y32),IF(W32="Leased (STR)",MIN(X32*80%,Y32),IF(OR(W32="Vacant (LTR)",W32="Vacant (STR)"),Y32,"-")))</f>
        <v>-</v>
      </c>
      <c r="AF32" s="285" t="str">
        <f t="shared" ref="AF32:AF55" si="30">IF(Z32="Leased (LTR)",MIN(AA32,AB32),IF(Z32="Leased (STR)",MIN(AA32*80%,AB32),IF(OR(Z32="Vacant (LTR)",Z32="Vacant (STR)"),AB32,"-")))</f>
        <v>-</v>
      </c>
      <c r="AG32" s="285">
        <f t="shared" si="4"/>
        <v>0</v>
      </c>
      <c r="AH32" s="286">
        <f t="shared" si="5"/>
        <v>1.2</v>
      </c>
      <c r="AI32" s="285">
        <f t="shared" si="6"/>
        <v>0</v>
      </c>
      <c r="AJ32" s="285">
        <f t="shared" si="7"/>
        <v>0</v>
      </c>
      <c r="AK32" s="285">
        <f t="shared" si="8"/>
        <v>0</v>
      </c>
      <c r="AL32" s="285" t="str">
        <f t="shared" si="9"/>
        <v>-</v>
      </c>
      <c r="AM32" s="285" t="e">
        <f>PMT(AK32/12,'DSCR (Port Calc)'!$C$17,-AL32)</f>
        <v>#VALUE!</v>
      </c>
      <c r="AN32" s="285" t="str">
        <f t="shared" ref="AN32:AN55" si="31">IF(OR($C$13="5Y IO",$C$13="7Y IO",$C$13="10Y IO"),AL32*(AK32/12),"-")</f>
        <v>-</v>
      </c>
      <c r="AO32" s="285" t="e">
        <f t="shared" si="10"/>
        <v>#VALUE!</v>
      </c>
      <c r="AP32" s="285" t="str">
        <f t="shared" si="11"/>
        <v>-</v>
      </c>
      <c r="AQ32" s="285" t="e">
        <f t="shared" si="12"/>
        <v>#VALUE!</v>
      </c>
      <c r="AR32" s="280" t="str">
        <f t="shared" si="13"/>
        <v>-</v>
      </c>
      <c r="AS32" s="279" t="str">
        <f>IF(AR32="-","-",IF($B32="Non-Warrantable Condo",'DSCR (Port Calc)'!$C$37-10%,'DSCR (Port Calc)'!$C$37))</f>
        <v>-</v>
      </c>
      <c r="AT32" s="279" t="str">
        <f>IF(AR32="-","-",IF($B32="Non-Warrantable Condo",'DSCR (Port Calc)'!$C$38-10%,'DSCR (Port Calc)'!$C$38))</f>
        <v>-</v>
      </c>
      <c r="AU32" s="285" t="str">
        <f t="shared" si="14"/>
        <v>-</v>
      </c>
      <c r="AV32" s="285" t="str">
        <f t="shared" si="15"/>
        <v>-</v>
      </c>
      <c r="AW32" s="285" t="str">
        <f t="shared" si="16"/>
        <v>-</v>
      </c>
      <c r="AX32" s="285" t="str">
        <f t="shared" si="17"/>
        <v>-</v>
      </c>
      <c r="AY32" s="284" t="e">
        <f>ROUNDDOWN(IF($C$13="No IO",PV(AK32/12,'DSCR (Port Calc)'!$C$17,-'DSCR (Portfolio)'!AI32),(AG32/(AH32*(AK32/12))-(AJ32/(AK32/12)))),0)</f>
        <v>#DIV/0!</v>
      </c>
      <c r="AZ32" s="283"/>
      <c r="BA32" s="282" t="e">
        <f>PMT(AK32/12,'DSCR (Port Calc)'!$C$17,-AZ32)</f>
        <v>#VALUE!</v>
      </c>
      <c r="BB32" s="281" t="str">
        <f t="shared" si="18"/>
        <v>-</v>
      </c>
      <c r="BC32" s="281">
        <f t="shared" si="19"/>
        <v>0</v>
      </c>
      <c r="BD32" s="281" t="e">
        <f t="shared" si="20"/>
        <v>#VALUE!</v>
      </c>
      <c r="BE32" s="281" t="str">
        <f t="shared" si="21"/>
        <v>-</v>
      </c>
      <c r="BF32" s="281" t="e">
        <f t="shared" si="22"/>
        <v>#VALUE!</v>
      </c>
      <c r="BG32" s="280" t="str">
        <f t="shared" si="23"/>
        <v>-</v>
      </c>
      <c r="BH32" s="279" t="str">
        <f t="shared" si="24"/>
        <v>-</v>
      </c>
      <c r="BI32" s="278" t="str">
        <f t="shared" si="25"/>
        <v>-</v>
      </c>
      <c r="BJ32" s="277">
        <f t="shared" si="26"/>
        <v>0</v>
      </c>
    </row>
    <row r="33" spans="1:62" x14ac:dyDescent="0.25">
      <c r="A33" s="51">
        <v>3</v>
      </c>
      <c r="B33" s="271"/>
      <c r="C33" s="272"/>
      <c r="D33" s="272"/>
      <c r="E33" s="272"/>
      <c r="F33" s="272"/>
      <c r="G33" s="276"/>
      <c r="H33" s="275"/>
      <c r="I33" s="274"/>
      <c r="J33" s="274"/>
      <c r="K33" s="273"/>
      <c r="L33" s="267"/>
      <c r="M33" s="270"/>
      <c r="N33" s="272"/>
      <c r="O33" s="270"/>
      <c r="P33" s="269"/>
      <c r="Q33" s="271"/>
      <c r="R33" s="270"/>
      <c r="S33" s="269"/>
      <c r="T33" s="271"/>
      <c r="U33" s="270"/>
      <c r="V33" s="269"/>
      <c r="W33" s="271"/>
      <c r="X33" s="270"/>
      <c r="Y33" s="269"/>
      <c r="Z33" s="271"/>
      <c r="AA33" s="270"/>
      <c r="AB33" s="269"/>
      <c r="AC33" s="57" t="str">
        <f t="shared" si="27"/>
        <v>-</v>
      </c>
      <c r="AD33" s="57" t="str">
        <f t="shared" si="28"/>
        <v>-</v>
      </c>
      <c r="AE33" s="57" t="str">
        <f t="shared" si="29"/>
        <v>-</v>
      </c>
      <c r="AF33" s="57" t="str">
        <f t="shared" si="30"/>
        <v>-</v>
      </c>
      <c r="AG33" s="57">
        <f t="shared" si="4"/>
        <v>0</v>
      </c>
      <c r="AH33" s="268">
        <f t="shared" si="5"/>
        <v>1.2</v>
      </c>
      <c r="AI33" s="57">
        <f t="shared" si="6"/>
        <v>0</v>
      </c>
      <c r="AJ33" s="57">
        <f t="shared" si="7"/>
        <v>0</v>
      </c>
      <c r="AK33" s="57">
        <f t="shared" si="8"/>
        <v>0</v>
      </c>
      <c r="AL33" s="57" t="str">
        <f t="shared" si="9"/>
        <v>-</v>
      </c>
      <c r="AM33" s="57" t="e">
        <f>PMT(AK33/12,'DSCR (Port Calc)'!$C$17,-AL33)</f>
        <v>#VALUE!</v>
      </c>
      <c r="AN33" s="57" t="str">
        <f t="shared" si="31"/>
        <v>-</v>
      </c>
      <c r="AO33" s="57" t="e">
        <f t="shared" si="10"/>
        <v>#VALUE!</v>
      </c>
      <c r="AP33" s="57" t="str">
        <f t="shared" si="11"/>
        <v>-</v>
      </c>
      <c r="AQ33" s="57" t="e">
        <f t="shared" si="12"/>
        <v>#VALUE!</v>
      </c>
      <c r="AR33" s="214" t="str">
        <f t="shared" si="13"/>
        <v>-</v>
      </c>
      <c r="AS33" s="266" t="str">
        <f>IF(AR33="-","-",IF($B33="Non-Warrantable Condo",'DSCR (Port Calc)'!$C$37-10%,'DSCR (Port Calc)'!$C$37))</f>
        <v>-</v>
      </c>
      <c r="AT33" s="266" t="str">
        <f>IF(AR33="-","-",IF($B33="Non-Warrantable Condo",'DSCR (Port Calc)'!$C$38-10%,'DSCR (Port Calc)'!$C$38))</f>
        <v>-</v>
      </c>
      <c r="AU33" s="57" t="str">
        <f t="shared" si="14"/>
        <v>-</v>
      </c>
      <c r="AV33" s="57" t="str">
        <f t="shared" si="15"/>
        <v>-</v>
      </c>
      <c r="AW33" s="57" t="str">
        <f t="shared" si="16"/>
        <v>-</v>
      </c>
      <c r="AX33" s="57" t="str">
        <f t="shared" si="17"/>
        <v>-</v>
      </c>
      <c r="AY33" s="139" t="e">
        <f>ROUNDDOWN(IF($C$13="No IO",PV(AK33/12,'DSCR (Port Calc)'!$C$17,-'DSCR (Portfolio)'!AI33),(AG33/(AH33*(AK33/12))-(AJ33/(AK33/12)))),0)</f>
        <v>#DIV/0!</v>
      </c>
      <c r="AZ33" s="267"/>
      <c r="BA33" s="215" t="e">
        <f>PMT(AK33/12,'DSCR (Port Calc)'!$C$17,-AZ33)</f>
        <v>#VALUE!</v>
      </c>
      <c r="BB33" s="51" t="str">
        <f t="shared" si="18"/>
        <v>-</v>
      </c>
      <c r="BC33" s="51">
        <f t="shared" si="19"/>
        <v>0</v>
      </c>
      <c r="BD33" s="51" t="e">
        <f t="shared" si="20"/>
        <v>#VALUE!</v>
      </c>
      <c r="BE33" s="51" t="str">
        <f t="shared" si="21"/>
        <v>-</v>
      </c>
      <c r="BF33" s="51" t="e">
        <f t="shared" si="22"/>
        <v>#VALUE!</v>
      </c>
      <c r="BG33" s="214" t="str">
        <f t="shared" si="23"/>
        <v>-</v>
      </c>
      <c r="BH33" s="266" t="str">
        <f t="shared" si="24"/>
        <v>-</v>
      </c>
      <c r="BI33" s="71" t="str">
        <f t="shared" si="25"/>
        <v>-</v>
      </c>
      <c r="BJ33" s="265">
        <f t="shared" si="26"/>
        <v>0</v>
      </c>
    </row>
    <row r="34" spans="1:62" x14ac:dyDescent="0.25">
      <c r="A34" s="51">
        <v>4</v>
      </c>
      <c r="B34" s="289"/>
      <c r="C34" s="290"/>
      <c r="D34" s="290"/>
      <c r="E34" s="290"/>
      <c r="F34" s="290"/>
      <c r="G34" s="294"/>
      <c r="H34" s="293"/>
      <c r="I34" s="292"/>
      <c r="J34" s="292"/>
      <c r="K34" s="291"/>
      <c r="L34" s="283"/>
      <c r="M34" s="288"/>
      <c r="N34" s="290"/>
      <c r="O34" s="288"/>
      <c r="P34" s="287"/>
      <c r="Q34" s="289"/>
      <c r="R34" s="288"/>
      <c r="S34" s="287"/>
      <c r="T34" s="289"/>
      <c r="U34" s="288"/>
      <c r="V34" s="287"/>
      <c r="W34" s="289"/>
      <c r="X34" s="288"/>
      <c r="Y34" s="287"/>
      <c r="Z34" s="289"/>
      <c r="AA34" s="288"/>
      <c r="AB34" s="287"/>
      <c r="AC34" s="285" t="str">
        <f t="shared" si="27"/>
        <v>-</v>
      </c>
      <c r="AD34" s="285" t="str">
        <f t="shared" si="28"/>
        <v>-</v>
      </c>
      <c r="AE34" s="285" t="str">
        <f t="shared" si="29"/>
        <v>-</v>
      </c>
      <c r="AF34" s="285" t="str">
        <f t="shared" si="30"/>
        <v>-</v>
      </c>
      <c r="AG34" s="285">
        <f t="shared" si="4"/>
        <v>0</v>
      </c>
      <c r="AH34" s="286">
        <f t="shared" si="5"/>
        <v>1.2</v>
      </c>
      <c r="AI34" s="285">
        <f t="shared" si="6"/>
        <v>0</v>
      </c>
      <c r="AJ34" s="285">
        <f t="shared" si="7"/>
        <v>0</v>
      </c>
      <c r="AK34" s="285">
        <f t="shared" si="8"/>
        <v>0</v>
      </c>
      <c r="AL34" s="285" t="str">
        <f t="shared" si="9"/>
        <v>-</v>
      </c>
      <c r="AM34" s="285" t="e">
        <f>PMT(AK34/12,'DSCR (Port Calc)'!$C$17,-AL34)</f>
        <v>#VALUE!</v>
      </c>
      <c r="AN34" s="285" t="str">
        <f t="shared" si="31"/>
        <v>-</v>
      </c>
      <c r="AO34" s="285" t="e">
        <f t="shared" si="10"/>
        <v>#VALUE!</v>
      </c>
      <c r="AP34" s="285" t="str">
        <f t="shared" si="11"/>
        <v>-</v>
      </c>
      <c r="AQ34" s="285" t="e">
        <f t="shared" si="12"/>
        <v>#VALUE!</v>
      </c>
      <c r="AR34" s="280" t="str">
        <f t="shared" si="13"/>
        <v>-</v>
      </c>
      <c r="AS34" s="279" t="str">
        <f>IF(AR34="-","-",IF($B34="Non-Warrantable Condo",'DSCR (Port Calc)'!$C$37-10%,'DSCR (Port Calc)'!$C$37))</f>
        <v>-</v>
      </c>
      <c r="AT34" s="279" t="str">
        <f>IF(AR34="-","-",IF($B34="Non-Warrantable Condo",'DSCR (Port Calc)'!$C$38-10%,'DSCR (Port Calc)'!$C$38))</f>
        <v>-</v>
      </c>
      <c r="AU34" s="285" t="str">
        <f t="shared" si="14"/>
        <v>-</v>
      </c>
      <c r="AV34" s="285" t="str">
        <f t="shared" si="15"/>
        <v>-</v>
      </c>
      <c r="AW34" s="285" t="str">
        <f t="shared" si="16"/>
        <v>-</v>
      </c>
      <c r="AX34" s="285" t="str">
        <f t="shared" si="17"/>
        <v>-</v>
      </c>
      <c r="AY34" s="284" t="e">
        <f>ROUNDDOWN(IF($C$13="No IO",PV(AK34/12,'DSCR (Port Calc)'!$C$17,-'DSCR (Portfolio)'!AI34),(AG34/(AH34*(AK34/12))-(AJ34/(AK34/12)))),0)</f>
        <v>#DIV/0!</v>
      </c>
      <c r="AZ34" s="283"/>
      <c r="BA34" s="282" t="e">
        <f>PMT(AK34/12,'DSCR (Port Calc)'!$C$17,-AZ34)</f>
        <v>#VALUE!</v>
      </c>
      <c r="BB34" s="281" t="str">
        <f t="shared" si="18"/>
        <v>-</v>
      </c>
      <c r="BC34" s="281">
        <f t="shared" si="19"/>
        <v>0</v>
      </c>
      <c r="BD34" s="281" t="e">
        <f t="shared" si="20"/>
        <v>#VALUE!</v>
      </c>
      <c r="BE34" s="281" t="str">
        <f t="shared" si="21"/>
        <v>-</v>
      </c>
      <c r="BF34" s="281" t="e">
        <f t="shared" si="22"/>
        <v>#VALUE!</v>
      </c>
      <c r="BG34" s="280" t="str">
        <f t="shared" si="23"/>
        <v>-</v>
      </c>
      <c r="BH34" s="279" t="str">
        <f t="shared" si="24"/>
        <v>-</v>
      </c>
      <c r="BI34" s="278" t="str">
        <f t="shared" si="25"/>
        <v>-</v>
      </c>
      <c r="BJ34" s="277">
        <f t="shared" si="26"/>
        <v>0</v>
      </c>
    </row>
    <row r="35" spans="1:62" x14ac:dyDescent="0.25">
      <c r="A35" s="51">
        <v>5</v>
      </c>
      <c r="B35" s="271"/>
      <c r="C35" s="272"/>
      <c r="D35" s="272"/>
      <c r="E35" s="272"/>
      <c r="F35" s="272"/>
      <c r="G35" s="276"/>
      <c r="H35" s="275"/>
      <c r="I35" s="274"/>
      <c r="J35" s="274"/>
      <c r="K35" s="273"/>
      <c r="L35" s="267"/>
      <c r="M35" s="270"/>
      <c r="N35" s="272"/>
      <c r="O35" s="270"/>
      <c r="P35" s="269"/>
      <c r="Q35" s="271"/>
      <c r="R35" s="270"/>
      <c r="S35" s="269"/>
      <c r="T35" s="271"/>
      <c r="U35" s="270"/>
      <c r="V35" s="269"/>
      <c r="W35" s="271"/>
      <c r="X35" s="270"/>
      <c r="Y35" s="269"/>
      <c r="Z35" s="271"/>
      <c r="AA35" s="270"/>
      <c r="AB35" s="269"/>
      <c r="AC35" s="57" t="str">
        <f t="shared" si="27"/>
        <v>-</v>
      </c>
      <c r="AD35" s="57" t="str">
        <f t="shared" si="28"/>
        <v>-</v>
      </c>
      <c r="AE35" s="57" t="str">
        <f t="shared" si="29"/>
        <v>-</v>
      </c>
      <c r="AF35" s="57" t="str">
        <f t="shared" si="30"/>
        <v>-</v>
      </c>
      <c r="AG35" s="57">
        <f t="shared" si="4"/>
        <v>0</v>
      </c>
      <c r="AH35" s="268">
        <f t="shared" si="5"/>
        <v>1.2</v>
      </c>
      <c r="AI35" s="57">
        <f t="shared" si="6"/>
        <v>0</v>
      </c>
      <c r="AJ35" s="57">
        <f t="shared" si="7"/>
        <v>0</v>
      </c>
      <c r="AK35" s="57">
        <f t="shared" si="8"/>
        <v>0</v>
      </c>
      <c r="AL35" s="57" t="str">
        <f t="shared" si="9"/>
        <v>-</v>
      </c>
      <c r="AM35" s="57" t="e">
        <f>PMT(AK35/12,'DSCR (Port Calc)'!$C$17,-AL35)</f>
        <v>#VALUE!</v>
      </c>
      <c r="AN35" s="57" t="str">
        <f t="shared" si="31"/>
        <v>-</v>
      </c>
      <c r="AO35" s="57" t="e">
        <f t="shared" si="10"/>
        <v>#VALUE!</v>
      </c>
      <c r="AP35" s="57" t="str">
        <f t="shared" si="11"/>
        <v>-</v>
      </c>
      <c r="AQ35" s="57" t="e">
        <f t="shared" si="12"/>
        <v>#VALUE!</v>
      </c>
      <c r="AR35" s="214" t="str">
        <f t="shared" si="13"/>
        <v>-</v>
      </c>
      <c r="AS35" s="266" t="str">
        <f>IF(AR35="-","-",IF($B35="Non-Warrantable Condo",'DSCR (Port Calc)'!$C$37-10%,'DSCR (Port Calc)'!$C$37))</f>
        <v>-</v>
      </c>
      <c r="AT35" s="266" t="str">
        <f>IF(AR35="-","-",IF($B35="Non-Warrantable Condo",'DSCR (Port Calc)'!$C$38-10%,'DSCR (Port Calc)'!$C$38))</f>
        <v>-</v>
      </c>
      <c r="AU35" s="57" t="str">
        <f t="shared" si="14"/>
        <v>-</v>
      </c>
      <c r="AV35" s="57" t="str">
        <f t="shared" si="15"/>
        <v>-</v>
      </c>
      <c r="AW35" s="57" t="str">
        <f t="shared" si="16"/>
        <v>-</v>
      </c>
      <c r="AX35" s="57" t="str">
        <f t="shared" si="17"/>
        <v>-</v>
      </c>
      <c r="AY35" s="139" t="e">
        <f>ROUNDDOWN(IF($C$13="No IO",PV(AK35/12,'DSCR (Port Calc)'!$C$17,-'DSCR (Portfolio)'!AI35),(AG35/(AH35*(AK35/12))-(AJ35/(AK35/12)))),0)</f>
        <v>#DIV/0!</v>
      </c>
      <c r="AZ35" s="267"/>
      <c r="BA35" s="215" t="e">
        <f>PMT(AK35/12,'DSCR (Port Calc)'!$C$17,-AZ35)</f>
        <v>#VALUE!</v>
      </c>
      <c r="BB35" s="51" t="str">
        <f t="shared" si="18"/>
        <v>-</v>
      </c>
      <c r="BC35" s="51">
        <f t="shared" si="19"/>
        <v>0</v>
      </c>
      <c r="BD35" s="51" t="e">
        <f t="shared" si="20"/>
        <v>#VALUE!</v>
      </c>
      <c r="BE35" s="51" t="str">
        <f t="shared" si="21"/>
        <v>-</v>
      </c>
      <c r="BF35" s="51" t="e">
        <f t="shared" si="22"/>
        <v>#VALUE!</v>
      </c>
      <c r="BG35" s="214" t="str">
        <f t="shared" si="23"/>
        <v>-</v>
      </c>
      <c r="BH35" s="266" t="str">
        <f t="shared" si="24"/>
        <v>-</v>
      </c>
      <c r="BI35" s="71" t="str">
        <f t="shared" si="25"/>
        <v>-</v>
      </c>
      <c r="BJ35" s="265">
        <f t="shared" si="26"/>
        <v>0</v>
      </c>
    </row>
    <row r="36" spans="1:62" x14ac:dyDescent="0.25">
      <c r="A36" s="51">
        <v>6</v>
      </c>
      <c r="B36" s="289"/>
      <c r="C36" s="290"/>
      <c r="D36" s="290"/>
      <c r="E36" s="290"/>
      <c r="F36" s="290"/>
      <c r="G36" s="294"/>
      <c r="H36" s="293"/>
      <c r="I36" s="292"/>
      <c r="J36" s="292"/>
      <c r="K36" s="291"/>
      <c r="L36" s="283"/>
      <c r="M36" s="288"/>
      <c r="N36" s="290"/>
      <c r="O36" s="288"/>
      <c r="P36" s="287"/>
      <c r="Q36" s="289"/>
      <c r="R36" s="288"/>
      <c r="S36" s="287"/>
      <c r="T36" s="289"/>
      <c r="U36" s="288"/>
      <c r="V36" s="287"/>
      <c r="W36" s="289"/>
      <c r="X36" s="288"/>
      <c r="Y36" s="287"/>
      <c r="Z36" s="289"/>
      <c r="AA36" s="288"/>
      <c r="AB36" s="287"/>
      <c r="AC36" s="285" t="str">
        <f t="shared" si="27"/>
        <v>-</v>
      </c>
      <c r="AD36" s="285" t="str">
        <f t="shared" si="28"/>
        <v>-</v>
      </c>
      <c r="AE36" s="285" t="str">
        <f t="shared" si="29"/>
        <v>-</v>
      </c>
      <c r="AF36" s="285" t="str">
        <f t="shared" si="30"/>
        <v>-</v>
      </c>
      <c r="AG36" s="285">
        <f t="shared" si="4"/>
        <v>0</v>
      </c>
      <c r="AH36" s="286">
        <f t="shared" si="5"/>
        <v>1.2</v>
      </c>
      <c r="AI36" s="285">
        <f t="shared" si="6"/>
        <v>0</v>
      </c>
      <c r="AJ36" s="285">
        <f t="shared" si="7"/>
        <v>0</v>
      </c>
      <c r="AK36" s="285">
        <f t="shared" si="8"/>
        <v>0</v>
      </c>
      <c r="AL36" s="285" t="str">
        <f t="shared" si="9"/>
        <v>-</v>
      </c>
      <c r="AM36" s="285" t="e">
        <f>PMT(AK36/12,'DSCR (Port Calc)'!$C$17,-AL36)</f>
        <v>#VALUE!</v>
      </c>
      <c r="AN36" s="285" t="str">
        <f t="shared" si="31"/>
        <v>-</v>
      </c>
      <c r="AO36" s="285" t="e">
        <f t="shared" si="10"/>
        <v>#VALUE!</v>
      </c>
      <c r="AP36" s="285" t="str">
        <f t="shared" si="11"/>
        <v>-</v>
      </c>
      <c r="AQ36" s="285" t="e">
        <f t="shared" si="12"/>
        <v>#VALUE!</v>
      </c>
      <c r="AR36" s="280" t="str">
        <f t="shared" si="13"/>
        <v>-</v>
      </c>
      <c r="AS36" s="279" t="str">
        <f>IF(AR36="-","-",IF($B36="Non-Warrantable Condo",'DSCR (Port Calc)'!$C$37-10%,'DSCR (Port Calc)'!$C$37))</f>
        <v>-</v>
      </c>
      <c r="AT36" s="279" t="str">
        <f>IF(AR36="-","-",IF($B36="Non-Warrantable Condo",'DSCR (Port Calc)'!$C$38-10%,'DSCR (Port Calc)'!$C$38))</f>
        <v>-</v>
      </c>
      <c r="AU36" s="285" t="str">
        <f t="shared" si="14"/>
        <v>-</v>
      </c>
      <c r="AV36" s="285" t="str">
        <f t="shared" si="15"/>
        <v>-</v>
      </c>
      <c r="AW36" s="285" t="str">
        <f t="shared" si="16"/>
        <v>-</v>
      </c>
      <c r="AX36" s="285" t="str">
        <f t="shared" si="17"/>
        <v>-</v>
      </c>
      <c r="AY36" s="284" t="e">
        <f>ROUNDDOWN(IF($C$13="No IO",PV(AK36/12,'DSCR (Port Calc)'!$C$17,-'DSCR (Portfolio)'!AI36),(AG36/(AH36*(AK36/12))-(AJ36/(AK36/12)))),0)</f>
        <v>#DIV/0!</v>
      </c>
      <c r="AZ36" s="283"/>
      <c r="BA36" s="282" t="e">
        <f>PMT(AK36/12,'DSCR (Port Calc)'!$C$17,-AZ36)</f>
        <v>#VALUE!</v>
      </c>
      <c r="BB36" s="281" t="str">
        <f t="shared" si="18"/>
        <v>-</v>
      </c>
      <c r="BC36" s="281">
        <f t="shared" si="19"/>
        <v>0</v>
      </c>
      <c r="BD36" s="281" t="e">
        <f t="shared" si="20"/>
        <v>#VALUE!</v>
      </c>
      <c r="BE36" s="281" t="str">
        <f t="shared" si="21"/>
        <v>-</v>
      </c>
      <c r="BF36" s="281" t="e">
        <f t="shared" si="22"/>
        <v>#VALUE!</v>
      </c>
      <c r="BG36" s="280" t="str">
        <f t="shared" si="23"/>
        <v>-</v>
      </c>
      <c r="BH36" s="279" t="str">
        <f t="shared" si="24"/>
        <v>-</v>
      </c>
      <c r="BI36" s="278" t="str">
        <f t="shared" si="25"/>
        <v>-</v>
      </c>
      <c r="BJ36" s="277">
        <f t="shared" si="26"/>
        <v>0</v>
      </c>
    </row>
    <row r="37" spans="1:62" x14ac:dyDescent="0.25">
      <c r="A37" s="51">
        <v>7</v>
      </c>
      <c r="B37" s="271"/>
      <c r="C37" s="272"/>
      <c r="D37" s="272"/>
      <c r="E37" s="272"/>
      <c r="F37" s="272"/>
      <c r="G37" s="276"/>
      <c r="H37" s="275"/>
      <c r="I37" s="274"/>
      <c r="J37" s="274"/>
      <c r="K37" s="273"/>
      <c r="L37" s="267"/>
      <c r="M37" s="270"/>
      <c r="N37" s="272"/>
      <c r="O37" s="270"/>
      <c r="P37" s="269"/>
      <c r="Q37" s="271"/>
      <c r="R37" s="270"/>
      <c r="S37" s="269"/>
      <c r="T37" s="271"/>
      <c r="U37" s="270"/>
      <c r="V37" s="269"/>
      <c r="W37" s="271"/>
      <c r="X37" s="270"/>
      <c r="Y37" s="269"/>
      <c r="Z37" s="271"/>
      <c r="AA37" s="270"/>
      <c r="AB37" s="269"/>
      <c r="AC37" s="57" t="str">
        <f t="shared" si="27"/>
        <v>-</v>
      </c>
      <c r="AD37" s="57" t="str">
        <f t="shared" si="28"/>
        <v>-</v>
      </c>
      <c r="AE37" s="57" t="str">
        <f t="shared" si="29"/>
        <v>-</v>
      </c>
      <c r="AF37" s="57" t="str">
        <f t="shared" si="30"/>
        <v>-</v>
      </c>
      <c r="AG37" s="57">
        <f t="shared" si="4"/>
        <v>0</v>
      </c>
      <c r="AH37" s="268">
        <f t="shared" si="5"/>
        <v>1.2</v>
      </c>
      <c r="AI37" s="57">
        <f t="shared" si="6"/>
        <v>0</v>
      </c>
      <c r="AJ37" s="57">
        <f t="shared" si="7"/>
        <v>0</v>
      </c>
      <c r="AK37" s="57">
        <f t="shared" si="8"/>
        <v>0</v>
      </c>
      <c r="AL37" s="57" t="str">
        <f t="shared" si="9"/>
        <v>-</v>
      </c>
      <c r="AM37" s="57" t="e">
        <f>PMT(AK37/12,'DSCR (Port Calc)'!$C$17,-AL37)</f>
        <v>#VALUE!</v>
      </c>
      <c r="AN37" s="57" t="str">
        <f t="shared" si="31"/>
        <v>-</v>
      </c>
      <c r="AO37" s="57" t="e">
        <f t="shared" si="10"/>
        <v>#VALUE!</v>
      </c>
      <c r="AP37" s="57" t="str">
        <f t="shared" si="11"/>
        <v>-</v>
      </c>
      <c r="AQ37" s="57" t="e">
        <f t="shared" si="12"/>
        <v>#VALUE!</v>
      </c>
      <c r="AR37" s="214" t="str">
        <f t="shared" si="13"/>
        <v>-</v>
      </c>
      <c r="AS37" s="266" t="str">
        <f>IF(AR37="-","-",IF($B37="Non-Warrantable Condo",'DSCR (Port Calc)'!$C$37-10%,'DSCR (Port Calc)'!$C$37))</f>
        <v>-</v>
      </c>
      <c r="AT37" s="266" t="str">
        <f>IF(AR37="-","-",IF($B37="Non-Warrantable Condo",'DSCR (Port Calc)'!$C$38-10%,'DSCR (Port Calc)'!$C$38))</f>
        <v>-</v>
      </c>
      <c r="AU37" s="57" t="str">
        <f t="shared" si="14"/>
        <v>-</v>
      </c>
      <c r="AV37" s="57" t="str">
        <f t="shared" si="15"/>
        <v>-</v>
      </c>
      <c r="AW37" s="57" t="str">
        <f t="shared" si="16"/>
        <v>-</v>
      </c>
      <c r="AX37" s="57" t="str">
        <f t="shared" si="17"/>
        <v>-</v>
      </c>
      <c r="AY37" s="139" t="e">
        <f>ROUNDDOWN(IF($C$13="No IO",PV(AK37/12,'DSCR (Port Calc)'!$C$17,-'DSCR (Portfolio)'!AI37),(AG37/(AH37*(AK37/12))-(AJ37/(AK37/12)))),0)</f>
        <v>#DIV/0!</v>
      </c>
      <c r="AZ37" s="267"/>
      <c r="BA37" s="215" t="e">
        <f>PMT(AK37/12,'DSCR (Port Calc)'!$C$17,-AZ37)</f>
        <v>#VALUE!</v>
      </c>
      <c r="BB37" s="51" t="str">
        <f t="shared" si="18"/>
        <v>-</v>
      </c>
      <c r="BC37" s="51">
        <f t="shared" si="19"/>
        <v>0</v>
      </c>
      <c r="BD37" s="51" t="e">
        <f t="shared" si="20"/>
        <v>#VALUE!</v>
      </c>
      <c r="BE37" s="51" t="str">
        <f t="shared" si="21"/>
        <v>-</v>
      </c>
      <c r="BF37" s="51" t="e">
        <f t="shared" si="22"/>
        <v>#VALUE!</v>
      </c>
      <c r="BG37" s="214" t="str">
        <f t="shared" si="23"/>
        <v>-</v>
      </c>
      <c r="BH37" s="266" t="str">
        <f t="shared" si="24"/>
        <v>-</v>
      </c>
      <c r="BI37" s="71" t="str">
        <f t="shared" si="25"/>
        <v>-</v>
      </c>
      <c r="BJ37" s="265">
        <f t="shared" si="26"/>
        <v>0</v>
      </c>
    </row>
    <row r="38" spans="1:62" x14ac:dyDescent="0.25">
      <c r="A38" s="51">
        <v>8</v>
      </c>
      <c r="B38" s="289"/>
      <c r="C38" s="290"/>
      <c r="D38" s="290"/>
      <c r="E38" s="290"/>
      <c r="F38" s="290"/>
      <c r="G38" s="294"/>
      <c r="H38" s="293"/>
      <c r="I38" s="292"/>
      <c r="J38" s="292"/>
      <c r="K38" s="291"/>
      <c r="L38" s="283"/>
      <c r="M38" s="288"/>
      <c r="N38" s="290"/>
      <c r="O38" s="288"/>
      <c r="P38" s="287"/>
      <c r="Q38" s="289"/>
      <c r="R38" s="288"/>
      <c r="S38" s="287"/>
      <c r="T38" s="289"/>
      <c r="U38" s="288"/>
      <c r="V38" s="287"/>
      <c r="W38" s="289"/>
      <c r="X38" s="288"/>
      <c r="Y38" s="287"/>
      <c r="Z38" s="289"/>
      <c r="AA38" s="288"/>
      <c r="AB38" s="287"/>
      <c r="AC38" s="285" t="str">
        <f t="shared" si="27"/>
        <v>-</v>
      </c>
      <c r="AD38" s="285" t="str">
        <f t="shared" si="28"/>
        <v>-</v>
      </c>
      <c r="AE38" s="285" t="str">
        <f t="shared" si="29"/>
        <v>-</v>
      </c>
      <c r="AF38" s="285" t="str">
        <f t="shared" si="30"/>
        <v>-</v>
      </c>
      <c r="AG38" s="285">
        <f t="shared" si="4"/>
        <v>0</v>
      </c>
      <c r="AH38" s="286">
        <f t="shared" si="5"/>
        <v>1.2</v>
      </c>
      <c r="AI38" s="285">
        <f t="shared" si="6"/>
        <v>0</v>
      </c>
      <c r="AJ38" s="285">
        <f t="shared" si="7"/>
        <v>0</v>
      </c>
      <c r="AK38" s="285">
        <f t="shared" si="8"/>
        <v>0</v>
      </c>
      <c r="AL38" s="285" t="str">
        <f t="shared" si="9"/>
        <v>-</v>
      </c>
      <c r="AM38" s="285" t="e">
        <f>PMT(AK38/12,'DSCR (Port Calc)'!$C$17,-AL38)</f>
        <v>#VALUE!</v>
      </c>
      <c r="AN38" s="285" t="str">
        <f t="shared" si="31"/>
        <v>-</v>
      </c>
      <c r="AO38" s="285" t="e">
        <f t="shared" si="10"/>
        <v>#VALUE!</v>
      </c>
      <c r="AP38" s="285" t="str">
        <f t="shared" si="11"/>
        <v>-</v>
      </c>
      <c r="AQ38" s="285" t="e">
        <f t="shared" si="12"/>
        <v>#VALUE!</v>
      </c>
      <c r="AR38" s="280" t="str">
        <f t="shared" si="13"/>
        <v>-</v>
      </c>
      <c r="AS38" s="279" t="str">
        <f>IF(AR38="-","-",IF($B38="Non-Warrantable Condo",'DSCR (Port Calc)'!$C$37-10%,'DSCR (Port Calc)'!$C$37))</f>
        <v>-</v>
      </c>
      <c r="AT38" s="279" t="str">
        <f>IF(AR38="-","-",IF($B38="Non-Warrantable Condo",'DSCR (Port Calc)'!$C$38-10%,'DSCR (Port Calc)'!$C$38))</f>
        <v>-</v>
      </c>
      <c r="AU38" s="285" t="str">
        <f t="shared" si="14"/>
        <v>-</v>
      </c>
      <c r="AV38" s="285" t="str">
        <f t="shared" si="15"/>
        <v>-</v>
      </c>
      <c r="AW38" s="285" t="str">
        <f t="shared" si="16"/>
        <v>-</v>
      </c>
      <c r="AX38" s="285" t="str">
        <f t="shared" si="17"/>
        <v>-</v>
      </c>
      <c r="AY38" s="284" t="e">
        <f>ROUNDDOWN(IF($C$13="No IO",PV(AK38/12,'DSCR (Port Calc)'!$C$17,-'DSCR (Portfolio)'!AI38),(AG38/(AH38*(AK38/12))-(AJ38/(AK38/12)))),0)</f>
        <v>#DIV/0!</v>
      </c>
      <c r="AZ38" s="283"/>
      <c r="BA38" s="282" t="e">
        <f>PMT(AK38/12,'DSCR (Port Calc)'!$C$17,-AZ38)</f>
        <v>#VALUE!</v>
      </c>
      <c r="BB38" s="281" t="str">
        <f t="shared" si="18"/>
        <v>-</v>
      </c>
      <c r="BC38" s="281">
        <f t="shared" si="19"/>
        <v>0</v>
      </c>
      <c r="BD38" s="281" t="e">
        <f t="shared" si="20"/>
        <v>#VALUE!</v>
      </c>
      <c r="BE38" s="281" t="str">
        <f t="shared" si="21"/>
        <v>-</v>
      </c>
      <c r="BF38" s="281" t="e">
        <f t="shared" si="22"/>
        <v>#VALUE!</v>
      </c>
      <c r="BG38" s="280" t="str">
        <f t="shared" si="23"/>
        <v>-</v>
      </c>
      <c r="BH38" s="279" t="str">
        <f t="shared" si="24"/>
        <v>-</v>
      </c>
      <c r="BI38" s="278" t="str">
        <f t="shared" si="25"/>
        <v>-</v>
      </c>
      <c r="BJ38" s="277">
        <f t="shared" si="26"/>
        <v>0</v>
      </c>
    </row>
    <row r="39" spans="1:62" x14ac:dyDescent="0.25">
      <c r="A39" s="51">
        <v>9</v>
      </c>
      <c r="B39" s="271"/>
      <c r="C39" s="272"/>
      <c r="D39" s="272"/>
      <c r="E39" s="272"/>
      <c r="F39" s="272"/>
      <c r="G39" s="276"/>
      <c r="H39" s="275"/>
      <c r="I39" s="274"/>
      <c r="J39" s="274"/>
      <c r="K39" s="273"/>
      <c r="L39" s="267"/>
      <c r="M39" s="270"/>
      <c r="N39" s="272"/>
      <c r="O39" s="270"/>
      <c r="P39" s="269"/>
      <c r="Q39" s="271"/>
      <c r="R39" s="270"/>
      <c r="S39" s="269"/>
      <c r="T39" s="271"/>
      <c r="U39" s="270"/>
      <c r="V39" s="269"/>
      <c r="W39" s="271"/>
      <c r="X39" s="270"/>
      <c r="Y39" s="269"/>
      <c r="Z39" s="271"/>
      <c r="AA39" s="270"/>
      <c r="AB39" s="269"/>
      <c r="AC39" s="57" t="str">
        <f t="shared" si="27"/>
        <v>-</v>
      </c>
      <c r="AD39" s="57" t="str">
        <f t="shared" si="28"/>
        <v>-</v>
      </c>
      <c r="AE39" s="57" t="str">
        <f t="shared" si="29"/>
        <v>-</v>
      </c>
      <c r="AF39" s="57" t="str">
        <f t="shared" si="30"/>
        <v>-</v>
      </c>
      <c r="AG39" s="57">
        <f t="shared" si="4"/>
        <v>0</v>
      </c>
      <c r="AH39" s="268">
        <f t="shared" si="5"/>
        <v>1.2</v>
      </c>
      <c r="AI39" s="57">
        <f t="shared" si="6"/>
        <v>0</v>
      </c>
      <c r="AJ39" s="57">
        <f t="shared" si="7"/>
        <v>0</v>
      </c>
      <c r="AK39" s="57">
        <f t="shared" si="8"/>
        <v>0</v>
      </c>
      <c r="AL39" s="57" t="str">
        <f t="shared" si="9"/>
        <v>-</v>
      </c>
      <c r="AM39" s="57" t="e">
        <f>PMT(AK39/12,'DSCR (Port Calc)'!$C$17,-AL39)</f>
        <v>#VALUE!</v>
      </c>
      <c r="AN39" s="57" t="str">
        <f t="shared" si="31"/>
        <v>-</v>
      </c>
      <c r="AO39" s="57" t="e">
        <f t="shared" si="10"/>
        <v>#VALUE!</v>
      </c>
      <c r="AP39" s="57" t="str">
        <f t="shared" si="11"/>
        <v>-</v>
      </c>
      <c r="AQ39" s="57" t="e">
        <f t="shared" si="12"/>
        <v>#VALUE!</v>
      </c>
      <c r="AR39" s="214" t="str">
        <f t="shared" si="13"/>
        <v>-</v>
      </c>
      <c r="AS39" s="266" t="str">
        <f>IF(AR39="-","-",IF($B39="Non-Warrantable Condo",'DSCR (Port Calc)'!$C$37-10%,'DSCR (Port Calc)'!$C$37))</f>
        <v>-</v>
      </c>
      <c r="AT39" s="266" t="str">
        <f>IF(AR39="-","-",IF($B39="Non-Warrantable Condo",'DSCR (Port Calc)'!$C$38-10%,'DSCR (Port Calc)'!$C$38))</f>
        <v>-</v>
      </c>
      <c r="AU39" s="57" t="str">
        <f t="shared" si="14"/>
        <v>-</v>
      </c>
      <c r="AV39" s="57" t="str">
        <f t="shared" si="15"/>
        <v>-</v>
      </c>
      <c r="AW39" s="57" t="str">
        <f t="shared" si="16"/>
        <v>-</v>
      </c>
      <c r="AX39" s="57" t="str">
        <f t="shared" si="17"/>
        <v>-</v>
      </c>
      <c r="AY39" s="139" t="e">
        <f>ROUNDDOWN(IF($C$13="No IO",PV(AK39/12,'DSCR (Port Calc)'!$C$17,-'DSCR (Portfolio)'!AI39),(AG39/(AH39*(AK39/12))-(AJ39/(AK39/12)))),0)</f>
        <v>#DIV/0!</v>
      </c>
      <c r="AZ39" s="267"/>
      <c r="BA39" s="215" t="e">
        <f>PMT(AK39/12,'DSCR (Port Calc)'!$C$17,-AZ39)</f>
        <v>#VALUE!</v>
      </c>
      <c r="BB39" s="51" t="str">
        <f t="shared" si="18"/>
        <v>-</v>
      </c>
      <c r="BC39" s="51">
        <f t="shared" si="19"/>
        <v>0</v>
      </c>
      <c r="BD39" s="51" t="e">
        <f t="shared" si="20"/>
        <v>#VALUE!</v>
      </c>
      <c r="BE39" s="51" t="str">
        <f t="shared" si="21"/>
        <v>-</v>
      </c>
      <c r="BF39" s="51" t="e">
        <f t="shared" si="22"/>
        <v>#VALUE!</v>
      </c>
      <c r="BG39" s="214" t="str">
        <f t="shared" si="23"/>
        <v>-</v>
      </c>
      <c r="BH39" s="266" t="str">
        <f t="shared" si="24"/>
        <v>-</v>
      </c>
      <c r="BI39" s="71" t="str">
        <f t="shared" si="25"/>
        <v>-</v>
      </c>
      <c r="BJ39" s="265">
        <f t="shared" si="26"/>
        <v>0</v>
      </c>
    </row>
    <row r="40" spans="1:62" x14ac:dyDescent="0.25">
      <c r="A40" s="51">
        <v>10</v>
      </c>
      <c r="B40" s="289"/>
      <c r="C40" s="290"/>
      <c r="D40" s="290"/>
      <c r="E40" s="290"/>
      <c r="F40" s="290"/>
      <c r="G40" s="294"/>
      <c r="H40" s="293"/>
      <c r="I40" s="292"/>
      <c r="J40" s="292"/>
      <c r="K40" s="291"/>
      <c r="L40" s="283"/>
      <c r="M40" s="288"/>
      <c r="N40" s="290"/>
      <c r="O40" s="288"/>
      <c r="P40" s="287"/>
      <c r="Q40" s="289"/>
      <c r="R40" s="288"/>
      <c r="S40" s="287"/>
      <c r="T40" s="289"/>
      <c r="U40" s="288"/>
      <c r="V40" s="287"/>
      <c r="W40" s="289"/>
      <c r="X40" s="288"/>
      <c r="Y40" s="287"/>
      <c r="Z40" s="289"/>
      <c r="AA40" s="288"/>
      <c r="AB40" s="287"/>
      <c r="AC40" s="285" t="str">
        <f t="shared" si="27"/>
        <v>-</v>
      </c>
      <c r="AD40" s="285" t="str">
        <f t="shared" si="28"/>
        <v>-</v>
      </c>
      <c r="AE40" s="285" t="str">
        <f t="shared" si="29"/>
        <v>-</v>
      </c>
      <c r="AF40" s="285" t="str">
        <f t="shared" si="30"/>
        <v>-</v>
      </c>
      <c r="AG40" s="285">
        <f t="shared" si="4"/>
        <v>0</v>
      </c>
      <c r="AH40" s="286">
        <f t="shared" si="5"/>
        <v>1.2</v>
      </c>
      <c r="AI40" s="285">
        <f t="shared" si="6"/>
        <v>0</v>
      </c>
      <c r="AJ40" s="285">
        <f t="shared" si="7"/>
        <v>0</v>
      </c>
      <c r="AK40" s="285">
        <f t="shared" si="8"/>
        <v>0</v>
      </c>
      <c r="AL40" s="285" t="str">
        <f t="shared" si="9"/>
        <v>-</v>
      </c>
      <c r="AM40" s="285" t="e">
        <f>PMT(AK40/12,'DSCR (Port Calc)'!$C$17,-AL40)</f>
        <v>#VALUE!</v>
      </c>
      <c r="AN40" s="285" t="str">
        <f t="shared" si="31"/>
        <v>-</v>
      </c>
      <c r="AO40" s="285" t="e">
        <f t="shared" si="10"/>
        <v>#VALUE!</v>
      </c>
      <c r="AP40" s="285" t="str">
        <f t="shared" si="11"/>
        <v>-</v>
      </c>
      <c r="AQ40" s="285" t="e">
        <f t="shared" si="12"/>
        <v>#VALUE!</v>
      </c>
      <c r="AR40" s="280" t="str">
        <f t="shared" si="13"/>
        <v>-</v>
      </c>
      <c r="AS40" s="279" t="str">
        <f>IF(AR40="-","-",IF($B40="Non-Warrantable Condo",'DSCR (Port Calc)'!$C$37-10%,'DSCR (Port Calc)'!$C$37))</f>
        <v>-</v>
      </c>
      <c r="AT40" s="279" t="str">
        <f>IF(AR40="-","-",IF($B40="Non-Warrantable Condo",'DSCR (Port Calc)'!$C$38-10%,'DSCR (Port Calc)'!$C$38))</f>
        <v>-</v>
      </c>
      <c r="AU40" s="285" t="str">
        <f t="shared" si="14"/>
        <v>-</v>
      </c>
      <c r="AV40" s="285" t="str">
        <f t="shared" si="15"/>
        <v>-</v>
      </c>
      <c r="AW40" s="285" t="str">
        <f t="shared" si="16"/>
        <v>-</v>
      </c>
      <c r="AX40" s="285" t="str">
        <f t="shared" si="17"/>
        <v>-</v>
      </c>
      <c r="AY40" s="284" t="e">
        <f>ROUNDDOWN(IF($C$13="No IO",PV(AK40/12,'DSCR (Port Calc)'!$C$17,-'DSCR (Portfolio)'!AI40),(AG40/(AH40*(AK40/12))-(AJ40/(AK40/12)))),0)</f>
        <v>#DIV/0!</v>
      </c>
      <c r="AZ40" s="283"/>
      <c r="BA40" s="282" t="e">
        <f>PMT(AK40/12,'DSCR (Port Calc)'!$C$17,-AZ40)</f>
        <v>#VALUE!</v>
      </c>
      <c r="BB40" s="281" t="str">
        <f t="shared" si="18"/>
        <v>-</v>
      </c>
      <c r="BC40" s="281">
        <f t="shared" si="19"/>
        <v>0</v>
      </c>
      <c r="BD40" s="281" t="e">
        <f t="shared" si="20"/>
        <v>#VALUE!</v>
      </c>
      <c r="BE40" s="281" t="str">
        <f t="shared" si="21"/>
        <v>-</v>
      </c>
      <c r="BF40" s="281" t="e">
        <f t="shared" si="22"/>
        <v>#VALUE!</v>
      </c>
      <c r="BG40" s="280" t="str">
        <f t="shared" si="23"/>
        <v>-</v>
      </c>
      <c r="BH40" s="279" t="str">
        <f t="shared" si="24"/>
        <v>-</v>
      </c>
      <c r="BI40" s="278" t="str">
        <f t="shared" si="25"/>
        <v>-</v>
      </c>
      <c r="BJ40" s="277">
        <f t="shared" si="26"/>
        <v>0</v>
      </c>
    </row>
    <row r="41" spans="1:62" x14ac:dyDescent="0.25">
      <c r="A41" s="51">
        <v>11</v>
      </c>
      <c r="B41" s="271"/>
      <c r="C41" s="272"/>
      <c r="D41" s="272"/>
      <c r="E41" s="272"/>
      <c r="F41" s="272"/>
      <c r="G41" s="276"/>
      <c r="H41" s="275"/>
      <c r="I41" s="274"/>
      <c r="J41" s="274"/>
      <c r="K41" s="273"/>
      <c r="L41" s="267"/>
      <c r="M41" s="270"/>
      <c r="N41" s="272"/>
      <c r="O41" s="270"/>
      <c r="P41" s="269"/>
      <c r="Q41" s="271"/>
      <c r="R41" s="270"/>
      <c r="S41" s="269"/>
      <c r="T41" s="271"/>
      <c r="U41" s="270"/>
      <c r="V41" s="269"/>
      <c r="W41" s="271"/>
      <c r="X41" s="270"/>
      <c r="Y41" s="269"/>
      <c r="Z41" s="271"/>
      <c r="AA41" s="270"/>
      <c r="AB41" s="269"/>
      <c r="AC41" s="57" t="str">
        <f t="shared" si="27"/>
        <v>-</v>
      </c>
      <c r="AD41" s="57" t="str">
        <f t="shared" si="28"/>
        <v>-</v>
      </c>
      <c r="AE41" s="57" t="str">
        <f t="shared" si="29"/>
        <v>-</v>
      </c>
      <c r="AF41" s="57" t="str">
        <f t="shared" si="30"/>
        <v>-</v>
      </c>
      <c r="AG41" s="57">
        <f t="shared" si="4"/>
        <v>0</v>
      </c>
      <c r="AH41" s="268">
        <f t="shared" si="5"/>
        <v>1.2</v>
      </c>
      <c r="AI41" s="57">
        <f t="shared" si="6"/>
        <v>0</v>
      </c>
      <c r="AJ41" s="57">
        <f t="shared" si="7"/>
        <v>0</v>
      </c>
      <c r="AK41" s="57">
        <f t="shared" si="8"/>
        <v>0</v>
      </c>
      <c r="AL41" s="57" t="str">
        <f t="shared" si="9"/>
        <v>-</v>
      </c>
      <c r="AM41" s="57" t="e">
        <f>PMT(AK41/12,'DSCR (Port Calc)'!$C$17,-AL41)</f>
        <v>#VALUE!</v>
      </c>
      <c r="AN41" s="57" t="str">
        <f t="shared" si="31"/>
        <v>-</v>
      </c>
      <c r="AO41" s="57" t="e">
        <f t="shared" si="10"/>
        <v>#VALUE!</v>
      </c>
      <c r="AP41" s="57" t="str">
        <f t="shared" si="11"/>
        <v>-</v>
      </c>
      <c r="AQ41" s="57" t="e">
        <f t="shared" si="12"/>
        <v>#VALUE!</v>
      </c>
      <c r="AR41" s="214" t="str">
        <f t="shared" si="13"/>
        <v>-</v>
      </c>
      <c r="AS41" s="266" t="str">
        <f>IF(AR41="-","-",IF($B41="Non-Warrantable Condo",'DSCR (Port Calc)'!$C$37-10%,'DSCR (Port Calc)'!$C$37))</f>
        <v>-</v>
      </c>
      <c r="AT41" s="266" t="str">
        <f>IF(AR41="-","-",IF($B41="Non-Warrantable Condo",'DSCR (Port Calc)'!$C$38-10%,'DSCR (Port Calc)'!$C$38))</f>
        <v>-</v>
      </c>
      <c r="AU41" s="57" t="str">
        <f t="shared" si="14"/>
        <v>-</v>
      </c>
      <c r="AV41" s="57" t="str">
        <f t="shared" si="15"/>
        <v>-</v>
      </c>
      <c r="AW41" s="57" t="str">
        <f t="shared" si="16"/>
        <v>-</v>
      </c>
      <c r="AX41" s="57" t="str">
        <f t="shared" si="17"/>
        <v>-</v>
      </c>
      <c r="AY41" s="139" t="e">
        <f>ROUNDDOWN(IF($C$13="No IO",PV(AK41/12,'DSCR (Port Calc)'!$C$17,-'DSCR (Portfolio)'!AI41),(AG41/(AH41*(AK41/12))-(AJ41/(AK41/12)))),0)</f>
        <v>#DIV/0!</v>
      </c>
      <c r="AZ41" s="267"/>
      <c r="BA41" s="215" t="e">
        <f>PMT(AK41/12,'DSCR (Port Calc)'!$C$17,-AZ41)</f>
        <v>#VALUE!</v>
      </c>
      <c r="BB41" s="51" t="str">
        <f t="shared" si="18"/>
        <v>-</v>
      </c>
      <c r="BC41" s="51">
        <f t="shared" si="19"/>
        <v>0</v>
      </c>
      <c r="BD41" s="51" t="e">
        <f t="shared" si="20"/>
        <v>#VALUE!</v>
      </c>
      <c r="BE41" s="51" t="str">
        <f t="shared" si="21"/>
        <v>-</v>
      </c>
      <c r="BF41" s="51" t="e">
        <f t="shared" si="22"/>
        <v>#VALUE!</v>
      </c>
      <c r="BG41" s="214" t="str">
        <f t="shared" si="23"/>
        <v>-</v>
      </c>
      <c r="BH41" s="266" t="str">
        <f t="shared" si="24"/>
        <v>-</v>
      </c>
      <c r="BI41" s="71" t="str">
        <f t="shared" si="25"/>
        <v>-</v>
      </c>
      <c r="BJ41" s="265">
        <f t="shared" si="26"/>
        <v>0</v>
      </c>
    </row>
    <row r="42" spans="1:62" x14ac:dyDescent="0.25">
      <c r="A42" s="51">
        <v>12</v>
      </c>
      <c r="B42" s="289"/>
      <c r="C42" s="290"/>
      <c r="D42" s="290"/>
      <c r="E42" s="290"/>
      <c r="F42" s="290"/>
      <c r="G42" s="294"/>
      <c r="H42" s="293"/>
      <c r="I42" s="292"/>
      <c r="J42" s="292"/>
      <c r="K42" s="291"/>
      <c r="L42" s="283"/>
      <c r="M42" s="288"/>
      <c r="N42" s="290"/>
      <c r="O42" s="288"/>
      <c r="P42" s="287"/>
      <c r="Q42" s="289"/>
      <c r="R42" s="288"/>
      <c r="S42" s="287"/>
      <c r="T42" s="289"/>
      <c r="U42" s="288"/>
      <c r="V42" s="287"/>
      <c r="W42" s="289"/>
      <c r="X42" s="288"/>
      <c r="Y42" s="287"/>
      <c r="Z42" s="289"/>
      <c r="AA42" s="288"/>
      <c r="AB42" s="287"/>
      <c r="AC42" s="285" t="str">
        <f t="shared" si="27"/>
        <v>-</v>
      </c>
      <c r="AD42" s="285" t="str">
        <f t="shared" si="28"/>
        <v>-</v>
      </c>
      <c r="AE42" s="285" t="str">
        <f t="shared" si="29"/>
        <v>-</v>
      </c>
      <c r="AF42" s="285" t="str">
        <f t="shared" si="30"/>
        <v>-</v>
      </c>
      <c r="AG42" s="285">
        <f t="shared" si="4"/>
        <v>0</v>
      </c>
      <c r="AH42" s="286">
        <f t="shared" si="5"/>
        <v>1.2</v>
      </c>
      <c r="AI42" s="285">
        <f t="shared" si="6"/>
        <v>0</v>
      </c>
      <c r="AJ42" s="285">
        <f t="shared" si="7"/>
        <v>0</v>
      </c>
      <c r="AK42" s="285">
        <f t="shared" si="8"/>
        <v>0</v>
      </c>
      <c r="AL42" s="285" t="str">
        <f t="shared" si="9"/>
        <v>-</v>
      </c>
      <c r="AM42" s="285" t="e">
        <f>PMT(AK42/12,'DSCR (Port Calc)'!$C$17,-AL42)</f>
        <v>#VALUE!</v>
      </c>
      <c r="AN42" s="285" t="str">
        <f t="shared" si="31"/>
        <v>-</v>
      </c>
      <c r="AO42" s="285" t="e">
        <f t="shared" si="10"/>
        <v>#VALUE!</v>
      </c>
      <c r="AP42" s="285" t="str">
        <f t="shared" si="11"/>
        <v>-</v>
      </c>
      <c r="AQ42" s="285" t="e">
        <f t="shared" si="12"/>
        <v>#VALUE!</v>
      </c>
      <c r="AR42" s="280" t="str">
        <f t="shared" si="13"/>
        <v>-</v>
      </c>
      <c r="AS42" s="279" t="str">
        <f>IF(AR42="-","-",IF($B42="Non-Warrantable Condo",'DSCR (Port Calc)'!$C$37-10%,'DSCR (Port Calc)'!$C$37))</f>
        <v>-</v>
      </c>
      <c r="AT42" s="279" t="str">
        <f>IF(AR42="-","-",IF($B42="Non-Warrantable Condo",'DSCR (Port Calc)'!$C$38-10%,'DSCR (Port Calc)'!$C$38))</f>
        <v>-</v>
      </c>
      <c r="AU42" s="285" t="str">
        <f t="shared" si="14"/>
        <v>-</v>
      </c>
      <c r="AV42" s="285" t="str">
        <f t="shared" si="15"/>
        <v>-</v>
      </c>
      <c r="AW42" s="285" t="str">
        <f t="shared" si="16"/>
        <v>-</v>
      </c>
      <c r="AX42" s="285" t="str">
        <f t="shared" si="17"/>
        <v>-</v>
      </c>
      <c r="AY42" s="284" t="e">
        <f>ROUNDDOWN(IF($C$13="No IO",PV(AK42/12,'DSCR (Port Calc)'!$C$17,-'DSCR (Portfolio)'!AI42),(AG42/(AH42*(AK42/12))-(AJ42/(AK42/12)))),0)</f>
        <v>#DIV/0!</v>
      </c>
      <c r="AZ42" s="283"/>
      <c r="BA42" s="282" t="e">
        <f>PMT(AK42/12,'DSCR (Port Calc)'!$C$17,-AZ42)</f>
        <v>#VALUE!</v>
      </c>
      <c r="BB42" s="281" t="str">
        <f t="shared" si="18"/>
        <v>-</v>
      </c>
      <c r="BC42" s="281">
        <f t="shared" si="19"/>
        <v>0</v>
      </c>
      <c r="BD42" s="281" t="e">
        <f t="shared" si="20"/>
        <v>#VALUE!</v>
      </c>
      <c r="BE42" s="281" t="str">
        <f t="shared" si="21"/>
        <v>-</v>
      </c>
      <c r="BF42" s="281" t="e">
        <f t="shared" si="22"/>
        <v>#VALUE!</v>
      </c>
      <c r="BG42" s="280" t="str">
        <f t="shared" si="23"/>
        <v>-</v>
      </c>
      <c r="BH42" s="279" t="str">
        <f t="shared" si="24"/>
        <v>-</v>
      </c>
      <c r="BI42" s="278" t="str">
        <f t="shared" si="25"/>
        <v>-</v>
      </c>
      <c r="BJ42" s="277">
        <f t="shared" si="26"/>
        <v>0</v>
      </c>
    </row>
    <row r="43" spans="1:62" x14ac:dyDescent="0.25">
      <c r="A43" s="51">
        <v>13</v>
      </c>
      <c r="B43" s="271"/>
      <c r="C43" s="272"/>
      <c r="D43" s="272"/>
      <c r="E43" s="272"/>
      <c r="F43" s="272"/>
      <c r="G43" s="276"/>
      <c r="H43" s="275"/>
      <c r="I43" s="274"/>
      <c r="J43" s="274"/>
      <c r="K43" s="273"/>
      <c r="L43" s="267"/>
      <c r="M43" s="270"/>
      <c r="N43" s="272"/>
      <c r="O43" s="270"/>
      <c r="P43" s="269"/>
      <c r="Q43" s="271"/>
      <c r="R43" s="270"/>
      <c r="S43" s="269"/>
      <c r="T43" s="271"/>
      <c r="U43" s="270"/>
      <c r="V43" s="269"/>
      <c r="W43" s="271"/>
      <c r="X43" s="270"/>
      <c r="Y43" s="269"/>
      <c r="Z43" s="271"/>
      <c r="AA43" s="270"/>
      <c r="AB43" s="269"/>
      <c r="AC43" s="57" t="str">
        <f t="shared" si="27"/>
        <v>-</v>
      </c>
      <c r="AD43" s="57" t="str">
        <f t="shared" si="28"/>
        <v>-</v>
      </c>
      <c r="AE43" s="57" t="str">
        <f t="shared" si="29"/>
        <v>-</v>
      </c>
      <c r="AF43" s="57" t="str">
        <f t="shared" si="30"/>
        <v>-</v>
      </c>
      <c r="AG43" s="57">
        <f t="shared" si="4"/>
        <v>0</v>
      </c>
      <c r="AH43" s="268">
        <f t="shared" si="5"/>
        <v>1.2</v>
      </c>
      <c r="AI43" s="57">
        <f t="shared" si="6"/>
        <v>0</v>
      </c>
      <c r="AJ43" s="57">
        <f t="shared" si="7"/>
        <v>0</v>
      </c>
      <c r="AK43" s="57">
        <f t="shared" si="8"/>
        <v>0</v>
      </c>
      <c r="AL43" s="57" t="str">
        <f t="shared" si="9"/>
        <v>-</v>
      </c>
      <c r="AM43" s="57" t="e">
        <f>PMT(AK43/12,'DSCR (Port Calc)'!$C$17,-AL43)</f>
        <v>#VALUE!</v>
      </c>
      <c r="AN43" s="57" t="str">
        <f t="shared" si="31"/>
        <v>-</v>
      </c>
      <c r="AO43" s="57" t="e">
        <f t="shared" si="10"/>
        <v>#VALUE!</v>
      </c>
      <c r="AP43" s="57" t="str">
        <f t="shared" si="11"/>
        <v>-</v>
      </c>
      <c r="AQ43" s="57" t="e">
        <f t="shared" si="12"/>
        <v>#VALUE!</v>
      </c>
      <c r="AR43" s="214" t="str">
        <f t="shared" si="13"/>
        <v>-</v>
      </c>
      <c r="AS43" s="266" t="str">
        <f>IF(AR43="-","-",IF($B43="Non-Warrantable Condo",'DSCR (Port Calc)'!$C$37-10%,'DSCR (Port Calc)'!$C$37))</f>
        <v>-</v>
      </c>
      <c r="AT43" s="266" t="str">
        <f>IF(AR43="-","-",IF($B43="Non-Warrantable Condo",'DSCR (Port Calc)'!$C$38-10%,'DSCR (Port Calc)'!$C$38))</f>
        <v>-</v>
      </c>
      <c r="AU43" s="57" t="str">
        <f t="shared" si="14"/>
        <v>-</v>
      </c>
      <c r="AV43" s="57" t="str">
        <f t="shared" si="15"/>
        <v>-</v>
      </c>
      <c r="AW43" s="57" t="str">
        <f t="shared" si="16"/>
        <v>-</v>
      </c>
      <c r="AX43" s="57" t="str">
        <f t="shared" si="17"/>
        <v>-</v>
      </c>
      <c r="AY43" s="139" t="e">
        <f>ROUNDDOWN(IF($C$13="No IO",PV(AK43/12,'DSCR (Port Calc)'!$C$17,-'DSCR (Portfolio)'!AI43),(AG43/(AH43*(AK43/12))-(AJ43/(AK43/12)))),0)</f>
        <v>#DIV/0!</v>
      </c>
      <c r="AZ43" s="267"/>
      <c r="BA43" s="215" t="e">
        <f>PMT(AK43/12,'DSCR (Port Calc)'!$C$17,-AZ43)</f>
        <v>#VALUE!</v>
      </c>
      <c r="BB43" s="51" t="str">
        <f t="shared" si="18"/>
        <v>-</v>
      </c>
      <c r="BC43" s="51">
        <f t="shared" si="19"/>
        <v>0</v>
      </c>
      <c r="BD43" s="51" t="e">
        <f t="shared" si="20"/>
        <v>#VALUE!</v>
      </c>
      <c r="BE43" s="51" t="str">
        <f t="shared" si="21"/>
        <v>-</v>
      </c>
      <c r="BF43" s="51" t="e">
        <f t="shared" si="22"/>
        <v>#VALUE!</v>
      </c>
      <c r="BG43" s="214" t="str">
        <f t="shared" si="23"/>
        <v>-</v>
      </c>
      <c r="BH43" s="266" t="str">
        <f t="shared" si="24"/>
        <v>-</v>
      </c>
      <c r="BI43" s="71" t="str">
        <f t="shared" si="25"/>
        <v>-</v>
      </c>
      <c r="BJ43" s="265">
        <f t="shared" si="26"/>
        <v>0</v>
      </c>
    </row>
    <row r="44" spans="1:62" x14ac:dyDescent="0.25">
      <c r="A44" s="51">
        <v>14</v>
      </c>
      <c r="B44" s="289"/>
      <c r="C44" s="290"/>
      <c r="D44" s="290"/>
      <c r="E44" s="290"/>
      <c r="F44" s="290"/>
      <c r="G44" s="294"/>
      <c r="H44" s="293"/>
      <c r="I44" s="292"/>
      <c r="J44" s="292"/>
      <c r="K44" s="291"/>
      <c r="L44" s="283"/>
      <c r="M44" s="288"/>
      <c r="N44" s="290"/>
      <c r="O44" s="288"/>
      <c r="P44" s="287"/>
      <c r="Q44" s="289"/>
      <c r="R44" s="288"/>
      <c r="S44" s="287"/>
      <c r="T44" s="289"/>
      <c r="U44" s="288"/>
      <c r="V44" s="287"/>
      <c r="W44" s="289"/>
      <c r="X44" s="288"/>
      <c r="Y44" s="287"/>
      <c r="Z44" s="289"/>
      <c r="AA44" s="288"/>
      <c r="AB44" s="287"/>
      <c r="AC44" s="285" t="str">
        <f t="shared" si="27"/>
        <v>-</v>
      </c>
      <c r="AD44" s="285" t="str">
        <f t="shared" si="28"/>
        <v>-</v>
      </c>
      <c r="AE44" s="285" t="str">
        <f t="shared" si="29"/>
        <v>-</v>
      </c>
      <c r="AF44" s="285" t="str">
        <f t="shared" si="30"/>
        <v>-</v>
      </c>
      <c r="AG44" s="285">
        <f t="shared" si="4"/>
        <v>0</v>
      </c>
      <c r="AH44" s="286">
        <f t="shared" si="5"/>
        <v>1.2</v>
      </c>
      <c r="AI44" s="285">
        <f t="shared" si="6"/>
        <v>0</v>
      </c>
      <c r="AJ44" s="285">
        <f t="shared" si="7"/>
        <v>0</v>
      </c>
      <c r="AK44" s="285">
        <f t="shared" si="8"/>
        <v>0</v>
      </c>
      <c r="AL44" s="285" t="str">
        <f t="shared" si="9"/>
        <v>-</v>
      </c>
      <c r="AM44" s="285" t="e">
        <f>PMT(AK44/12,'DSCR (Port Calc)'!$C$17,-AL44)</f>
        <v>#VALUE!</v>
      </c>
      <c r="AN44" s="285" t="str">
        <f t="shared" si="31"/>
        <v>-</v>
      </c>
      <c r="AO44" s="285" t="e">
        <f t="shared" si="10"/>
        <v>#VALUE!</v>
      </c>
      <c r="AP44" s="285" t="str">
        <f t="shared" si="11"/>
        <v>-</v>
      </c>
      <c r="AQ44" s="285" t="e">
        <f t="shared" si="12"/>
        <v>#VALUE!</v>
      </c>
      <c r="AR44" s="280" t="str">
        <f t="shared" si="13"/>
        <v>-</v>
      </c>
      <c r="AS44" s="279" t="str">
        <f>IF(AR44="-","-",IF($B44="Non-Warrantable Condo",'DSCR (Port Calc)'!$C$37-10%,'DSCR (Port Calc)'!$C$37))</f>
        <v>-</v>
      </c>
      <c r="AT44" s="279" t="str">
        <f>IF(AR44="-","-",IF($B44="Non-Warrantable Condo",'DSCR (Port Calc)'!$C$38-10%,'DSCR (Port Calc)'!$C$38))</f>
        <v>-</v>
      </c>
      <c r="AU44" s="285" t="str">
        <f t="shared" si="14"/>
        <v>-</v>
      </c>
      <c r="AV44" s="285" t="str">
        <f t="shared" si="15"/>
        <v>-</v>
      </c>
      <c r="AW44" s="285" t="str">
        <f t="shared" si="16"/>
        <v>-</v>
      </c>
      <c r="AX44" s="285" t="str">
        <f t="shared" si="17"/>
        <v>-</v>
      </c>
      <c r="AY44" s="284" t="e">
        <f>ROUNDDOWN(IF($C$13="No IO",PV(AK44/12,'DSCR (Port Calc)'!$C$17,-'DSCR (Portfolio)'!AI44),(AG44/(AH44*(AK44/12))-(AJ44/(AK44/12)))),0)</f>
        <v>#DIV/0!</v>
      </c>
      <c r="AZ44" s="283"/>
      <c r="BA44" s="282" t="e">
        <f>PMT(AK44/12,'DSCR (Port Calc)'!$C$17,-AZ44)</f>
        <v>#VALUE!</v>
      </c>
      <c r="BB44" s="281" t="str">
        <f t="shared" si="18"/>
        <v>-</v>
      </c>
      <c r="BC44" s="281">
        <f t="shared" si="19"/>
        <v>0</v>
      </c>
      <c r="BD44" s="281" t="e">
        <f t="shared" si="20"/>
        <v>#VALUE!</v>
      </c>
      <c r="BE44" s="281" t="str">
        <f t="shared" si="21"/>
        <v>-</v>
      </c>
      <c r="BF44" s="281" t="e">
        <f t="shared" si="22"/>
        <v>#VALUE!</v>
      </c>
      <c r="BG44" s="280" t="str">
        <f t="shared" si="23"/>
        <v>-</v>
      </c>
      <c r="BH44" s="279" t="str">
        <f t="shared" si="24"/>
        <v>-</v>
      </c>
      <c r="BI44" s="278" t="str">
        <f t="shared" si="25"/>
        <v>-</v>
      </c>
      <c r="BJ44" s="277">
        <f t="shared" si="26"/>
        <v>0</v>
      </c>
    </row>
    <row r="45" spans="1:62" x14ac:dyDescent="0.25">
      <c r="A45" s="51">
        <v>15</v>
      </c>
      <c r="B45" s="271"/>
      <c r="C45" s="272"/>
      <c r="D45" s="272"/>
      <c r="E45" s="272"/>
      <c r="F45" s="272"/>
      <c r="G45" s="276"/>
      <c r="H45" s="275"/>
      <c r="I45" s="274"/>
      <c r="J45" s="274"/>
      <c r="K45" s="273"/>
      <c r="L45" s="267"/>
      <c r="M45" s="270"/>
      <c r="N45" s="272"/>
      <c r="O45" s="270"/>
      <c r="P45" s="269"/>
      <c r="Q45" s="271"/>
      <c r="R45" s="270"/>
      <c r="S45" s="269"/>
      <c r="T45" s="271"/>
      <c r="U45" s="270"/>
      <c r="V45" s="269"/>
      <c r="W45" s="271"/>
      <c r="X45" s="270"/>
      <c r="Y45" s="269"/>
      <c r="Z45" s="271"/>
      <c r="AA45" s="270"/>
      <c r="AB45" s="269"/>
      <c r="AC45" s="57" t="str">
        <f t="shared" si="27"/>
        <v>-</v>
      </c>
      <c r="AD45" s="57" t="str">
        <f t="shared" si="28"/>
        <v>-</v>
      </c>
      <c r="AE45" s="57" t="str">
        <f t="shared" si="29"/>
        <v>-</v>
      </c>
      <c r="AF45" s="57" t="str">
        <f t="shared" si="30"/>
        <v>-</v>
      </c>
      <c r="AG45" s="57">
        <f t="shared" si="4"/>
        <v>0</v>
      </c>
      <c r="AH45" s="268">
        <f t="shared" si="5"/>
        <v>1.2</v>
      </c>
      <c r="AI45" s="57">
        <f t="shared" si="6"/>
        <v>0</v>
      </c>
      <c r="AJ45" s="57">
        <f t="shared" si="7"/>
        <v>0</v>
      </c>
      <c r="AK45" s="57">
        <f t="shared" si="8"/>
        <v>0</v>
      </c>
      <c r="AL45" s="57" t="str">
        <f t="shared" si="9"/>
        <v>-</v>
      </c>
      <c r="AM45" s="57" t="e">
        <f>PMT(AK45/12,'DSCR (Port Calc)'!$C$17,-AL45)</f>
        <v>#VALUE!</v>
      </c>
      <c r="AN45" s="57" t="str">
        <f t="shared" si="31"/>
        <v>-</v>
      </c>
      <c r="AO45" s="57" t="e">
        <f t="shared" si="10"/>
        <v>#VALUE!</v>
      </c>
      <c r="AP45" s="57" t="str">
        <f t="shared" si="11"/>
        <v>-</v>
      </c>
      <c r="AQ45" s="57" t="e">
        <f t="shared" si="12"/>
        <v>#VALUE!</v>
      </c>
      <c r="AR45" s="214" t="str">
        <f t="shared" si="13"/>
        <v>-</v>
      </c>
      <c r="AS45" s="266" t="str">
        <f>IF(AR45="-","-",IF($B45="Non-Warrantable Condo",'DSCR (Port Calc)'!$C$37-10%,'DSCR (Port Calc)'!$C$37))</f>
        <v>-</v>
      </c>
      <c r="AT45" s="266" t="str">
        <f>IF(AR45="-","-",IF($B45="Non-Warrantable Condo",'DSCR (Port Calc)'!$C$38-10%,'DSCR (Port Calc)'!$C$38))</f>
        <v>-</v>
      </c>
      <c r="AU45" s="57" t="str">
        <f t="shared" si="14"/>
        <v>-</v>
      </c>
      <c r="AV45" s="57" t="str">
        <f t="shared" si="15"/>
        <v>-</v>
      </c>
      <c r="AW45" s="57" t="str">
        <f t="shared" si="16"/>
        <v>-</v>
      </c>
      <c r="AX45" s="57" t="str">
        <f t="shared" si="17"/>
        <v>-</v>
      </c>
      <c r="AY45" s="139" t="e">
        <f>ROUNDDOWN(IF($C$13="No IO",PV(AK45/12,'DSCR (Port Calc)'!$C$17,-'DSCR (Portfolio)'!AI45),(AG45/(AH45*(AK45/12))-(AJ45/(AK45/12)))),0)</f>
        <v>#DIV/0!</v>
      </c>
      <c r="AZ45" s="267"/>
      <c r="BA45" s="215" t="e">
        <f>PMT(AK45/12,'DSCR (Port Calc)'!$C$17,-AZ45)</f>
        <v>#VALUE!</v>
      </c>
      <c r="BB45" s="51" t="str">
        <f t="shared" si="18"/>
        <v>-</v>
      </c>
      <c r="BC45" s="51">
        <f t="shared" si="19"/>
        <v>0</v>
      </c>
      <c r="BD45" s="51" t="e">
        <f t="shared" si="20"/>
        <v>#VALUE!</v>
      </c>
      <c r="BE45" s="51" t="str">
        <f t="shared" si="21"/>
        <v>-</v>
      </c>
      <c r="BF45" s="51" t="e">
        <f t="shared" si="22"/>
        <v>#VALUE!</v>
      </c>
      <c r="BG45" s="214" t="str">
        <f t="shared" si="23"/>
        <v>-</v>
      </c>
      <c r="BH45" s="266" t="str">
        <f t="shared" si="24"/>
        <v>-</v>
      </c>
      <c r="BI45" s="71" t="str">
        <f t="shared" si="25"/>
        <v>-</v>
      </c>
      <c r="BJ45" s="265">
        <f t="shared" si="26"/>
        <v>0</v>
      </c>
    </row>
    <row r="46" spans="1:62" x14ac:dyDescent="0.25">
      <c r="A46" s="51">
        <v>16</v>
      </c>
      <c r="B46" s="289"/>
      <c r="C46" s="290"/>
      <c r="D46" s="290"/>
      <c r="E46" s="290"/>
      <c r="F46" s="290"/>
      <c r="G46" s="294"/>
      <c r="H46" s="293"/>
      <c r="I46" s="292"/>
      <c r="J46" s="292"/>
      <c r="K46" s="291"/>
      <c r="L46" s="283"/>
      <c r="M46" s="288"/>
      <c r="N46" s="290"/>
      <c r="O46" s="288"/>
      <c r="P46" s="287"/>
      <c r="Q46" s="289"/>
      <c r="R46" s="288"/>
      <c r="S46" s="287"/>
      <c r="T46" s="289"/>
      <c r="U46" s="288"/>
      <c r="V46" s="287"/>
      <c r="W46" s="289"/>
      <c r="X46" s="288"/>
      <c r="Y46" s="287"/>
      <c r="Z46" s="289"/>
      <c r="AA46" s="288"/>
      <c r="AB46" s="287"/>
      <c r="AC46" s="285" t="str">
        <f t="shared" si="27"/>
        <v>-</v>
      </c>
      <c r="AD46" s="285" t="str">
        <f t="shared" si="28"/>
        <v>-</v>
      </c>
      <c r="AE46" s="285" t="str">
        <f t="shared" si="29"/>
        <v>-</v>
      </c>
      <c r="AF46" s="285" t="str">
        <f t="shared" si="30"/>
        <v>-</v>
      </c>
      <c r="AG46" s="285">
        <f t="shared" si="4"/>
        <v>0</v>
      </c>
      <c r="AH46" s="286">
        <f t="shared" si="5"/>
        <v>1.2</v>
      </c>
      <c r="AI46" s="285">
        <f t="shared" si="6"/>
        <v>0</v>
      </c>
      <c r="AJ46" s="285">
        <f t="shared" si="7"/>
        <v>0</v>
      </c>
      <c r="AK46" s="285">
        <f t="shared" si="8"/>
        <v>0</v>
      </c>
      <c r="AL46" s="285" t="str">
        <f t="shared" si="9"/>
        <v>-</v>
      </c>
      <c r="AM46" s="285" t="e">
        <f>PMT(AK46/12,'DSCR (Port Calc)'!$C$17,-AL46)</f>
        <v>#VALUE!</v>
      </c>
      <c r="AN46" s="285" t="str">
        <f t="shared" si="31"/>
        <v>-</v>
      </c>
      <c r="AO46" s="285" t="e">
        <f t="shared" si="10"/>
        <v>#VALUE!</v>
      </c>
      <c r="AP46" s="285" t="str">
        <f t="shared" si="11"/>
        <v>-</v>
      </c>
      <c r="AQ46" s="285" t="e">
        <f t="shared" si="12"/>
        <v>#VALUE!</v>
      </c>
      <c r="AR46" s="280" t="str">
        <f t="shared" si="13"/>
        <v>-</v>
      </c>
      <c r="AS46" s="279" t="str">
        <f>IF(AR46="-","-",IF($B46="Non-Warrantable Condo",'DSCR (Port Calc)'!$C$37-10%,'DSCR (Port Calc)'!$C$37))</f>
        <v>-</v>
      </c>
      <c r="AT46" s="279" t="str">
        <f>IF(AR46="-","-",IF($B46="Non-Warrantable Condo",'DSCR (Port Calc)'!$C$38-10%,'DSCR (Port Calc)'!$C$38))</f>
        <v>-</v>
      </c>
      <c r="AU46" s="285" t="str">
        <f t="shared" si="14"/>
        <v>-</v>
      </c>
      <c r="AV46" s="285" t="str">
        <f t="shared" si="15"/>
        <v>-</v>
      </c>
      <c r="AW46" s="285" t="str">
        <f t="shared" si="16"/>
        <v>-</v>
      </c>
      <c r="AX46" s="285" t="str">
        <f t="shared" si="17"/>
        <v>-</v>
      </c>
      <c r="AY46" s="284" t="e">
        <f>ROUNDDOWN(IF($C$13="No IO",PV(AK46/12,'DSCR (Port Calc)'!$C$17,-'DSCR (Portfolio)'!AI46),(AG46/(AH46*(AK46/12))-(AJ46/(AK46/12)))),0)</f>
        <v>#DIV/0!</v>
      </c>
      <c r="AZ46" s="283"/>
      <c r="BA46" s="282" t="e">
        <f>PMT(AK46/12,'DSCR (Port Calc)'!$C$17,-AZ46)</f>
        <v>#VALUE!</v>
      </c>
      <c r="BB46" s="281" t="str">
        <f t="shared" si="18"/>
        <v>-</v>
      </c>
      <c r="BC46" s="281">
        <f t="shared" si="19"/>
        <v>0</v>
      </c>
      <c r="BD46" s="281" t="e">
        <f t="shared" si="20"/>
        <v>#VALUE!</v>
      </c>
      <c r="BE46" s="281" t="str">
        <f t="shared" si="21"/>
        <v>-</v>
      </c>
      <c r="BF46" s="281" t="e">
        <f t="shared" si="22"/>
        <v>#VALUE!</v>
      </c>
      <c r="BG46" s="280" t="str">
        <f t="shared" si="23"/>
        <v>-</v>
      </c>
      <c r="BH46" s="279" t="str">
        <f t="shared" si="24"/>
        <v>-</v>
      </c>
      <c r="BI46" s="278" t="str">
        <f t="shared" si="25"/>
        <v>-</v>
      </c>
      <c r="BJ46" s="277">
        <f t="shared" si="26"/>
        <v>0</v>
      </c>
    </row>
    <row r="47" spans="1:62" x14ac:dyDescent="0.25">
      <c r="A47" s="51">
        <v>17</v>
      </c>
      <c r="B47" s="271"/>
      <c r="C47" s="272"/>
      <c r="D47" s="272"/>
      <c r="E47" s="272"/>
      <c r="F47" s="272"/>
      <c r="G47" s="276"/>
      <c r="H47" s="275"/>
      <c r="I47" s="274"/>
      <c r="J47" s="274"/>
      <c r="K47" s="273"/>
      <c r="L47" s="267"/>
      <c r="M47" s="270"/>
      <c r="N47" s="272"/>
      <c r="O47" s="270"/>
      <c r="P47" s="269"/>
      <c r="Q47" s="271"/>
      <c r="R47" s="270"/>
      <c r="S47" s="269"/>
      <c r="T47" s="271"/>
      <c r="U47" s="270"/>
      <c r="V47" s="269"/>
      <c r="W47" s="271"/>
      <c r="X47" s="270"/>
      <c r="Y47" s="269"/>
      <c r="Z47" s="271"/>
      <c r="AA47" s="270"/>
      <c r="AB47" s="269"/>
      <c r="AC47" s="57" t="str">
        <f t="shared" si="27"/>
        <v>-</v>
      </c>
      <c r="AD47" s="57" t="str">
        <f t="shared" si="28"/>
        <v>-</v>
      </c>
      <c r="AE47" s="57" t="str">
        <f t="shared" si="29"/>
        <v>-</v>
      </c>
      <c r="AF47" s="57" t="str">
        <f t="shared" si="30"/>
        <v>-</v>
      </c>
      <c r="AG47" s="57">
        <f t="shared" si="4"/>
        <v>0</v>
      </c>
      <c r="AH47" s="268">
        <f t="shared" si="5"/>
        <v>1.2</v>
      </c>
      <c r="AI47" s="57">
        <f t="shared" si="6"/>
        <v>0</v>
      </c>
      <c r="AJ47" s="57">
        <f t="shared" si="7"/>
        <v>0</v>
      </c>
      <c r="AK47" s="57">
        <f t="shared" si="8"/>
        <v>0</v>
      </c>
      <c r="AL47" s="57" t="str">
        <f t="shared" si="9"/>
        <v>-</v>
      </c>
      <c r="AM47" s="57" t="e">
        <f>PMT(AK47/12,'DSCR (Port Calc)'!$C$17,-AL47)</f>
        <v>#VALUE!</v>
      </c>
      <c r="AN47" s="57" t="str">
        <f t="shared" si="31"/>
        <v>-</v>
      </c>
      <c r="AO47" s="57" t="e">
        <f t="shared" si="10"/>
        <v>#VALUE!</v>
      </c>
      <c r="AP47" s="57" t="str">
        <f t="shared" si="11"/>
        <v>-</v>
      </c>
      <c r="AQ47" s="57" t="e">
        <f t="shared" si="12"/>
        <v>#VALUE!</v>
      </c>
      <c r="AR47" s="214" t="str">
        <f t="shared" si="13"/>
        <v>-</v>
      </c>
      <c r="AS47" s="266" t="str">
        <f>IF(AR47="-","-",IF($B47="Non-Warrantable Condo",'DSCR (Port Calc)'!$C$37-10%,'DSCR (Port Calc)'!$C$37))</f>
        <v>-</v>
      </c>
      <c r="AT47" s="266" t="str">
        <f>IF(AR47="-","-",IF($B47="Non-Warrantable Condo",'DSCR (Port Calc)'!$C$38-10%,'DSCR (Port Calc)'!$C$38))</f>
        <v>-</v>
      </c>
      <c r="AU47" s="57" t="str">
        <f t="shared" si="14"/>
        <v>-</v>
      </c>
      <c r="AV47" s="57" t="str">
        <f t="shared" si="15"/>
        <v>-</v>
      </c>
      <c r="AW47" s="57" t="str">
        <f t="shared" si="16"/>
        <v>-</v>
      </c>
      <c r="AX47" s="57" t="str">
        <f t="shared" si="17"/>
        <v>-</v>
      </c>
      <c r="AY47" s="139" t="e">
        <f>ROUNDDOWN(IF($C$13="No IO",PV(AK47/12,'DSCR (Port Calc)'!$C$17,-'DSCR (Portfolio)'!AI47),(AG47/(AH47*(AK47/12))-(AJ47/(AK47/12)))),0)</f>
        <v>#DIV/0!</v>
      </c>
      <c r="AZ47" s="267"/>
      <c r="BA47" s="215" t="e">
        <f>PMT(AK47/12,'DSCR (Port Calc)'!$C$17,-AZ47)</f>
        <v>#VALUE!</v>
      </c>
      <c r="BB47" s="51" t="str">
        <f t="shared" si="18"/>
        <v>-</v>
      </c>
      <c r="BC47" s="51">
        <f t="shared" si="19"/>
        <v>0</v>
      </c>
      <c r="BD47" s="51" t="e">
        <f t="shared" si="20"/>
        <v>#VALUE!</v>
      </c>
      <c r="BE47" s="51" t="str">
        <f t="shared" si="21"/>
        <v>-</v>
      </c>
      <c r="BF47" s="51" t="e">
        <f t="shared" si="22"/>
        <v>#VALUE!</v>
      </c>
      <c r="BG47" s="214" t="str">
        <f t="shared" si="23"/>
        <v>-</v>
      </c>
      <c r="BH47" s="266" t="str">
        <f t="shared" si="24"/>
        <v>-</v>
      </c>
      <c r="BI47" s="71" t="str">
        <f t="shared" si="25"/>
        <v>-</v>
      </c>
      <c r="BJ47" s="265">
        <f t="shared" si="26"/>
        <v>0</v>
      </c>
    </row>
    <row r="48" spans="1:62" x14ac:dyDescent="0.25">
      <c r="A48" s="51">
        <v>18</v>
      </c>
      <c r="B48" s="289"/>
      <c r="C48" s="290"/>
      <c r="D48" s="290"/>
      <c r="E48" s="290"/>
      <c r="F48" s="290"/>
      <c r="G48" s="294"/>
      <c r="H48" s="293"/>
      <c r="I48" s="292"/>
      <c r="J48" s="292"/>
      <c r="K48" s="291"/>
      <c r="L48" s="283"/>
      <c r="M48" s="288"/>
      <c r="N48" s="290"/>
      <c r="O48" s="288"/>
      <c r="P48" s="287"/>
      <c r="Q48" s="289"/>
      <c r="R48" s="288"/>
      <c r="S48" s="287"/>
      <c r="T48" s="289"/>
      <c r="U48" s="288"/>
      <c r="V48" s="287"/>
      <c r="W48" s="289"/>
      <c r="X48" s="288"/>
      <c r="Y48" s="287"/>
      <c r="Z48" s="289"/>
      <c r="AA48" s="288"/>
      <c r="AB48" s="287"/>
      <c r="AC48" s="285" t="str">
        <f t="shared" si="27"/>
        <v>-</v>
      </c>
      <c r="AD48" s="285" t="str">
        <f t="shared" si="28"/>
        <v>-</v>
      </c>
      <c r="AE48" s="285" t="str">
        <f t="shared" si="29"/>
        <v>-</v>
      </c>
      <c r="AF48" s="285" t="str">
        <f t="shared" si="30"/>
        <v>-</v>
      </c>
      <c r="AG48" s="285">
        <f t="shared" si="4"/>
        <v>0</v>
      </c>
      <c r="AH48" s="286">
        <f t="shared" si="5"/>
        <v>1.2</v>
      </c>
      <c r="AI48" s="285">
        <f t="shared" si="6"/>
        <v>0</v>
      </c>
      <c r="AJ48" s="285">
        <f t="shared" si="7"/>
        <v>0</v>
      </c>
      <c r="AK48" s="285">
        <f t="shared" si="8"/>
        <v>0</v>
      </c>
      <c r="AL48" s="285" t="str">
        <f t="shared" si="9"/>
        <v>-</v>
      </c>
      <c r="AM48" s="285" t="e">
        <f>PMT(AK48/12,'DSCR (Port Calc)'!$C$17,-AL48)</f>
        <v>#VALUE!</v>
      </c>
      <c r="AN48" s="285" t="str">
        <f t="shared" si="31"/>
        <v>-</v>
      </c>
      <c r="AO48" s="285" t="e">
        <f t="shared" si="10"/>
        <v>#VALUE!</v>
      </c>
      <c r="AP48" s="285" t="str">
        <f t="shared" si="11"/>
        <v>-</v>
      </c>
      <c r="AQ48" s="285" t="e">
        <f t="shared" si="12"/>
        <v>#VALUE!</v>
      </c>
      <c r="AR48" s="280" t="str">
        <f t="shared" si="13"/>
        <v>-</v>
      </c>
      <c r="AS48" s="279" t="str">
        <f>IF(AR48="-","-",IF($B48="Non-Warrantable Condo",'DSCR (Port Calc)'!$C$37-10%,'DSCR (Port Calc)'!$C$37))</f>
        <v>-</v>
      </c>
      <c r="AT48" s="279" t="str">
        <f>IF(AR48="-","-",IF($B48="Non-Warrantable Condo",'DSCR (Port Calc)'!$C$38-10%,'DSCR (Port Calc)'!$C$38))</f>
        <v>-</v>
      </c>
      <c r="AU48" s="285" t="str">
        <f t="shared" si="14"/>
        <v>-</v>
      </c>
      <c r="AV48" s="285" t="str">
        <f t="shared" si="15"/>
        <v>-</v>
      </c>
      <c r="AW48" s="285" t="str">
        <f t="shared" si="16"/>
        <v>-</v>
      </c>
      <c r="AX48" s="285" t="str">
        <f t="shared" si="17"/>
        <v>-</v>
      </c>
      <c r="AY48" s="284" t="e">
        <f>ROUNDDOWN(IF($C$13="No IO",PV(AK48/12,'DSCR (Port Calc)'!$C$17,-'DSCR (Portfolio)'!AI48),(AG48/(AH48*(AK48/12))-(AJ48/(AK48/12)))),0)</f>
        <v>#DIV/0!</v>
      </c>
      <c r="AZ48" s="283"/>
      <c r="BA48" s="282" t="e">
        <f>PMT(AK48/12,'DSCR (Port Calc)'!$C$17,-AZ48)</f>
        <v>#VALUE!</v>
      </c>
      <c r="BB48" s="281" t="str">
        <f t="shared" si="18"/>
        <v>-</v>
      </c>
      <c r="BC48" s="281">
        <f t="shared" si="19"/>
        <v>0</v>
      </c>
      <c r="BD48" s="281" t="e">
        <f t="shared" si="20"/>
        <v>#VALUE!</v>
      </c>
      <c r="BE48" s="281" t="str">
        <f t="shared" si="21"/>
        <v>-</v>
      </c>
      <c r="BF48" s="281" t="e">
        <f t="shared" si="22"/>
        <v>#VALUE!</v>
      </c>
      <c r="BG48" s="280" t="str">
        <f t="shared" si="23"/>
        <v>-</v>
      </c>
      <c r="BH48" s="279" t="str">
        <f t="shared" si="24"/>
        <v>-</v>
      </c>
      <c r="BI48" s="278" t="str">
        <f t="shared" si="25"/>
        <v>-</v>
      </c>
      <c r="BJ48" s="277">
        <f t="shared" si="26"/>
        <v>0</v>
      </c>
    </row>
    <row r="49" spans="1:62" x14ac:dyDescent="0.25">
      <c r="A49" s="51">
        <v>19</v>
      </c>
      <c r="B49" s="271"/>
      <c r="C49" s="272"/>
      <c r="D49" s="272"/>
      <c r="E49" s="272"/>
      <c r="F49" s="272"/>
      <c r="G49" s="276"/>
      <c r="H49" s="275"/>
      <c r="I49" s="274"/>
      <c r="J49" s="274"/>
      <c r="K49" s="273"/>
      <c r="L49" s="267"/>
      <c r="M49" s="270"/>
      <c r="N49" s="272"/>
      <c r="O49" s="270"/>
      <c r="P49" s="269"/>
      <c r="Q49" s="271"/>
      <c r="R49" s="270"/>
      <c r="S49" s="269"/>
      <c r="T49" s="271"/>
      <c r="U49" s="270"/>
      <c r="V49" s="269"/>
      <c r="W49" s="271"/>
      <c r="X49" s="270"/>
      <c r="Y49" s="269"/>
      <c r="Z49" s="271"/>
      <c r="AA49" s="270"/>
      <c r="AB49" s="269"/>
      <c r="AC49" s="57" t="str">
        <f t="shared" si="27"/>
        <v>-</v>
      </c>
      <c r="AD49" s="57" t="str">
        <f t="shared" si="28"/>
        <v>-</v>
      </c>
      <c r="AE49" s="57" t="str">
        <f t="shared" si="29"/>
        <v>-</v>
      </c>
      <c r="AF49" s="57" t="str">
        <f t="shared" si="30"/>
        <v>-</v>
      </c>
      <c r="AG49" s="57">
        <f t="shared" si="4"/>
        <v>0</v>
      </c>
      <c r="AH49" s="268">
        <f t="shared" si="5"/>
        <v>1.2</v>
      </c>
      <c r="AI49" s="57">
        <f t="shared" si="6"/>
        <v>0</v>
      </c>
      <c r="AJ49" s="57">
        <f t="shared" si="7"/>
        <v>0</v>
      </c>
      <c r="AK49" s="57">
        <f t="shared" si="8"/>
        <v>0</v>
      </c>
      <c r="AL49" s="57" t="str">
        <f t="shared" si="9"/>
        <v>-</v>
      </c>
      <c r="AM49" s="57" t="e">
        <f>PMT(AK49/12,'DSCR (Port Calc)'!$C$17,-AL49)</f>
        <v>#VALUE!</v>
      </c>
      <c r="AN49" s="57" t="str">
        <f t="shared" si="31"/>
        <v>-</v>
      </c>
      <c r="AO49" s="57" t="e">
        <f t="shared" si="10"/>
        <v>#VALUE!</v>
      </c>
      <c r="AP49" s="57" t="str">
        <f t="shared" si="11"/>
        <v>-</v>
      </c>
      <c r="AQ49" s="57" t="e">
        <f t="shared" si="12"/>
        <v>#VALUE!</v>
      </c>
      <c r="AR49" s="214" t="str">
        <f t="shared" si="13"/>
        <v>-</v>
      </c>
      <c r="AS49" s="266" t="str">
        <f>IF(AR49="-","-",IF($B49="Non-Warrantable Condo",'DSCR (Port Calc)'!$C$37-10%,'DSCR (Port Calc)'!$C$37))</f>
        <v>-</v>
      </c>
      <c r="AT49" s="266" t="str">
        <f>IF(AR49="-","-",IF($B49="Non-Warrantable Condo",'DSCR (Port Calc)'!$C$38-10%,'DSCR (Port Calc)'!$C$38))</f>
        <v>-</v>
      </c>
      <c r="AU49" s="57" t="str">
        <f t="shared" si="14"/>
        <v>-</v>
      </c>
      <c r="AV49" s="57" t="str">
        <f t="shared" si="15"/>
        <v>-</v>
      </c>
      <c r="AW49" s="57" t="str">
        <f t="shared" si="16"/>
        <v>-</v>
      </c>
      <c r="AX49" s="57" t="str">
        <f t="shared" si="17"/>
        <v>-</v>
      </c>
      <c r="AY49" s="139" t="e">
        <f>ROUNDDOWN(IF($C$13="No IO",PV(AK49/12,'DSCR (Port Calc)'!$C$17,-'DSCR (Portfolio)'!AI49),(AG49/(AH49*(AK49/12))-(AJ49/(AK49/12)))),0)</f>
        <v>#DIV/0!</v>
      </c>
      <c r="AZ49" s="267"/>
      <c r="BA49" s="215" t="e">
        <f>PMT(AK49/12,'DSCR (Port Calc)'!$C$17,-AZ49)</f>
        <v>#VALUE!</v>
      </c>
      <c r="BB49" s="51" t="str">
        <f t="shared" si="18"/>
        <v>-</v>
      </c>
      <c r="BC49" s="51">
        <f t="shared" si="19"/>
        <v>0</v>
      </c>
      <c r="BD49" s="51" t="e">
        <f t="shared" si="20"/>
        <v>#VALUE!</v>
      </c>
      <c r="BE49" s="51" t="str">
        <f t="shared" si="21"/>
        <v>-</v>
      </c>
      <c r="BF49" s="51" t="e">
        <f t="shared" si="22"/>
        <v>#VALUE!</v>
      </c>
      <c r="BG49" s="214" t="str">
        <f t="shared" si="23"/>
        <v>-</v>
      </c>
      <c r="BH49" s="266" t="str">
        <f t="shared" si="24"/>
        <v>-</v>
      </c>
      <c r="BI49" s="71" t="str">
        <f t="shared" si="25"/>
        <v>-</v>
      </c>
      <c r="BJ49" s="265">
        <f t="shared" si="26"/>
        <v>0</v>
      </c>
    </row>
    <row r="50" spans="1:62" x14ac:dyDescent="0.25">
      <c r="A50" s="51">
        <v>20</v>
      </c>
      <c r="B50" s="289"/>
      <c r="C50" s="290"/>
      <c r="D50" s="290"/>
      <c r="E50" s="290"/>
      <c r="F50" s="290"/>
      <c r="G50" s="294"/>
      <c r="H50" s="293"/>
      <c r="I50" s="292"/>
      <c r="J50" s="292"/>
      <c r="K50" s="291"/>
      <c r="L50" s="283"/>
      <c r="M50" s="288"/>
      <c r="N50" s="290"/>
      <c r="O50" s="288"/>
      <c r="P50" s="287"/>
      <c r="Q50" s="289"/>
      <c r="R50" s="288"/>
      <c r="S50" s="287"/>
      <c r="T50" s="289"/>
      <c r="U50" s="288"/>
      <c r="V50" s="287"/>
      <c r="W50" s="289"/>
      <c r="X50" s="288"/>
      <c r="Y50" s="287"/>
      <c r="Z50" s="289"/>
      <c r="AA50" s="288"/>
      <c r="AB50" s="287"/>
      <c r="AC50" s="285" t="str">
        <f t="shared" si="27"/>
        <v>-</v>
      </c>
      <c r="AD50" s="285" t="str">
        <f t="shared" si="28"/>
        <v>-</v>
      </c>
      <c r="AE50" s="285" t="str">
        <f t="shared" si="29"/>
        <v>-</v>
      </c>
      <c r="AF50" s="285" t="str">
        <f t="shared" si="30"/>
        <v>-</v>
      </c>
      <c r="AG50" s="285">
        <f t="shared" si="4"/>
        <v>0</v>
      </c>
      <c r="AH50" s="286">
        <f t="shared" si="5"/>
        <v>1.2</v>
      </c>
      <c r="AI50" s="285">
        <f t="shared" si="6"/>
        <v>0</v>
      </c>
      <c r="AJ50" s="285">
        <f t="shared" si="7"/>
        <v>0</v>
      </c>
      <c r="AK50" s="285">
        <f t="shared" si="8"/>
        <v>0</v>
      </c>
      <c r="AL50" s="285" t="str">
        <f t="shared" si="9"/>
        <v>-</v>
      </c>
      <c r="AM50" s="285" t="e">
        <f>PMT(AK50/12,'DSCR (Port Calc)'!$C$17,-AL50)</f>
        <v>#VALUE!</v>
      </c>
      <c r="AN50" s="285" t="str">
        <f t="shared" si="31"/>
        <v>-</v>
      </c>
      <c r="AO50" s="285" t="e">
        <f t="shared" si="10"/>
        <v>#VALUE!</v>
      </c>
      <c r="AP50" s="285" t="str">
        <f t="shared" si="11"/>
        <v>-</v>
      </c>
      <c r="AQ50" s="285" t="e">
        <f t="shared" si="12"/>
        <v>#VALUE!</v>
      </c>
      <c r="AR50" s="280" t="str">
        <f t="shared" si="13"/>
        <v>-</v>
      </c>
      <c r="AS50" s="279" t="str">
        <f>IF(AR50="-","-",IF($B50="Non-Warrantable Condo",'DSCR (Port Calc)'!$C$37-10%,'DSCR (Port Calc)'!$C$37))</f>
        <v>-</v>
      </c>
      <c r="AT50" s="279" t="str">
        <f>IF(AR50="-","-",IF($B50="Non-Warrantable Condo",'DSCR (Port Calc)'!$C$38-10%,'DSCR (Port Calc)'!$C$38))</f>
        <v>-</v>
      </c>
      <c r="AU50" s="285" t="str">
        <f t="shared" si="14"/>
        <v>-</v>
      </c>
      <c r="AV50" s="285" t="str">
        <f t="shared" si="15"/>
        <v>-</v>
      </c>
      <c r="AW50" s="285" t="str">
        <f t="shared" si="16"/>
        <v>-</v>
      </c>
      <c r="AX50" s="285" t="str">
        <f t="shared" si="17"/>
        <v>-</v>
      </c>
      <c r="AY50" s="284" t="e">
        <f>ROUNDDOWN(IF($C$13="No IO",PV(AK50/12,'DSCR (Port Calc)'!$C$17,-'DSCR (Portfolio)'!AI50),(AG50/(AH50*(AK50/12))-(AJ50/(AK50/12)))),0)</f>
        <v>#DIV/0!</v>
      </c>
      <c r="AZ50" s="283"/>
      <c r="BA50" s="282" t="e">
        <f>PMT(AK50/12,'DSCR (Port Calc)'!$C$17,-AZ50)</f>
        <v>#VALUE!</v>
      </c>
      <c r="BB50" s="281" t="str">
        <f t="shared" si="18"/>
        <v>-</v>
      </c>
      <c r="BC50" s="281">
        <f t="shared" si="19"/>
        <v>0</v>
      </c>
      <c r="BD50" s="281" t="e">
        <f t="shared" si="20"/>
        <v>#VALUE!</v>
      </c>
      <c r="BE50" s="281" t="str">
        <f t="shared" si="21"/>
        <v>-</v>
      </c>
      <c r="BF50" s="281" t="e">
        <f t="shared" si="22"/>
        <v>#VALUE!</v>
      </c>
      <c r="BG50" s="280" t="str">
        <f t="shared" si="23"/>
        <v>-</v>
      </c>
      <c r="BH50" s="279" t="str">
        <f t="shared" si="24"/>
        <v>-</v>
      </c>
      <c r="BI50" s="278" t="str">
        <f t="shared" si="25"/>
        <v>-</v>
      </c>
      <c r="BJ50" s="277">
        <f t="shared" si="26"/>
        <v>0</v>
      </c>
    </row>
    <row r="51" spans="1:62" x14ac:dyDescent="0.25">
      <c r="A51" s="51">
        <v>21</v>
      </c>
      <c r="B51" s="271"/>
      <c r="C51" s="272"/>
      <c r="D51" s="272"/>
      <c r="E51" s="272"/>
      <c r="F51" s="272"/>
      <c r="G51" s="276"/>
      <c r="H51" s="275"/>
      <c r="I51" s="274"/>
      <c r="J51" s="274"/>
      <c r="K51" s="273"/>
      <c r="L51" s="267"/>
      <c r="M51" s="270"/>
      <c r="N51" s="272"/>
      <c r="O51" s="270"/>
      <c r="P51" s="269"/>
      <c r="Q51" s="271"/>
      <c r="R51" s="270"/>
      <c r="S51" s="269"/>
      <c r="T51" s="271"/>
      <c r="U51" s="270"/>
      <c r="V51" s="269"/>
      <c r="W51" s="271"/>
      <c r="X51" s="270"/>
      <c r="Y51" s="269"/>
      <c r="Z51" s="271"/>
      <c r="AA51" s="270"/>
      <c r="AB51" s="269"/>
      <c r="AC51" s="57" t="str">
        <f t="shared" si="27"/>
        <v>-</v>
      </c>
      <c r="AD51" s="57" t="str">
        <f t="shared" si="28"/>
        <v>-</v>
      </c>
      <c r="AE51" s="57" t="str">
        <f t="shared" si="29"/>
        <v>-</v>
      </c>
      <c r="AF51" s="57" t="str">
        <f t="shared" si="30"/>
        <v>-</v>
      </c>
      <c r="AG51" s="57">
        <f t="shared" si="4"/>
        <v>0</v>
      </c>
      <c r="AH51" s="268">
        <f t="shared" si="5"/>
        <v>1.2</v>
      </c>
      <c r="AI51" s="57">
        <f t="shared" si="6"/>
        <v>0</v>
      </c>
      <c r="AJ51" s="57">
        <f t="shared" si="7"/>
        <v>0</v>
      </c>
      <c r="AK51" s="57">
        <f t="shared" si="8"/>
        <v>0</v>
      </c>
      <c r="AL51" s="57" t="str">
        <f t="shared" si="9"/>
        <v>-</v>
      </c>
      <c r="AM51" s="57" t="e">
        <f>PMT(AK51/12,'DSCR (Port Calc)'!$C$17,-AL51)</f>
        <v>#VALUE!</v>
      </c>
      <c r="AN51" s="57" t="str">
        <f t="shared" si="31"/>
        <v>-</v>
      </c>
      <c r="AO51" s="57" t="e">
        <f t="shared" si="10"/>
        <v>#VALUE!</v>
      </c>
      <c r="AP51" s="57" t="str">
        <f t="shared" si="11"/>
        <v>-</v>
      </c>
      <c r="AQ51" s="57" t="e">
        <f t="shared" si="12"/>
        <v>#VALUE!</v>
      </c>
      <c r="AR51" s="214" t="str">
        <f t="shared" si="13"/>
        <v>-</v>
      </c>
      <c r="AS51" s="266" t="str">
        <f>IF(AR51="-","-",IF($B51="Non-Warrantable Condo",'DSCR (Port Calc)'!$C$37-10%,'DSCR (Port Calc)'!$C$37))</f>
        <v>-</v>
      </c>
      <c r="AT51" s="266" t="str">
        <f>IF(AR51="-","-",IF($B51="Non-Warrantable Condo",'DSCR (Port Calc)'!$C$38-10%,'DSCR (Port Calc)'!$C$38))</f>
        <v>-</v>
      </c>
      <c r="AU51" s="57" t="str">
        <f t="shared" si="14"/>
        <v>-</v>
      </c>
      <c r="AV51" s="57" t="str">
        <f t="shared" si="15"/>
        <v>-</v>
      </c>
      <c r="AW51" s="57" t="str">
        <f t="shared" si="16"/>
        <v>-</v>
      </c>
      <c r="AX51" s="57" t="str">
        <f t="shared" si="17"/>
        <v>-</v>
      </c>
      <c r="AY51" s="139" t="e">
        <f>ROUNDDOWN(IF($C$13="No IO",PV(AK51/12,'DSCR (Port Calc)'!$C$17,-'DSCR (Portfolio)'!AI51),(AG51/(AH51*(AK51/12))-(AJ51/(AK51/12)))),0)</f>
        <v>#DIV/0!</v>
      </c>
      <c r="AZ51" s="267"/>
      <c r="BA51" s="215" t="e">
        <f>PMT(AK51/12,'DSCR (Port Calc)'!$C$17,-AZ51)</f>
        <v>#VALUE!</v>
      </c>
      <c r="BB51" s="51" t="str">
        <f t="shared" si="18"/>
        <v>-</v>
      </c>
      <c r="BC51" s="51">
        <f t="shared" si="19"/>
        <v>0</v>
      </c>
      <c r="BD51" s="51" t="e">
        <f t="shared" si="20"/>
        <v>#VALUE!</v>
      </c>
      <c r="BE51" s="51" t="str">
        <f t="shared" si="21"/>
        <v>-</v>
      </c>
      <c r="BF51" s="51" t="e">
        <f t="shared" si="22"/>
        <v>#VALUE!</v>
      </c>
      <c r="BG51" s="214" t="str">
        <f t="shared" si="23"/>
        <v>-</v>
      </c>
      <c r="BH51" s="266" t="str">
        <f t="shared" si="24"/>
        <v>-</v>
      </c>
      <c r="BI51" s="71" t="str">
        <f t="shared" si="25"/>
        <v>-</v>
      </c>
      <c r="BJ51" s="265">
        <f t="shared" si="26"/>
        <v>0</v>
      </c>
    </row>
    <row r="52" spans="1:62" x14ac:dyDescent="0.25">
      <c r="A52" s="51">
        <v>22</v>
      </c>
      <c r="B52" s="289"/>
      <c r="C52" s="290"/>
      <c r="D52" s="290"/>
      <c r="E52" s="290"/>
      <c r="F52" s="290"/>
      <c r="G52" s="294"/>
      <c r="H52" s="293"/>
      <c r="I52" s="292"/>
      <c r="J52" s="292"/>
      <c r="K52" s="291"/>
      <c r="L52" s="283"/>
      <c r="M52" s="288"/>
      <c r="N52" s="290"/>
      <c r="O52" s="288"/>
      <c r="P52" s="287"/>
      <c r="Q52" s="289"/>
      <c r="R52" s="288"/>
      <c r="S52" s="287"/>
      <c r="T52" s="289"/>
      <c r="U52" s="288"/>
      <c r="V52" s="287"/>
      <c r="W52" s="289"/>
      <c r="X52" s="288"/>
      <c r="Y52" s="287"/>
      <c r="Z52" s="289"/>
      <c r="AA52" s="288"/>
      <c r="AB52" s="287"/>
      <c r="AC52" s="285" t="str">
        <f t="shared" si="27"/>
        <v>-</v>
      </c>
      <c r="AD52" s="285" t="str">
        <f t="shared" si="28"/>
        <v>-</v>
      </c>
      <c r="AE52" s="285" t="str">
        <f t="shared" si="29"/>
        <v>-</v>
      </c>
      <c r="AF52" s="285" t="str">
        <f t="shared" si="30"/>
        <v>-</v>
      </c>
      <c r="AG52" s="285">
        <f t="shared" si="4"/>
        <v>0</v>
      </c>
      <c r="AH52" s="286">
        <f t="shared" si="5"/>
        <v>1.2</v>
      </c>
      <c r="AI52" s="285">
        <f t="shared" si="6"/>
        <v>0</v>
      </c>
      <c r="AJ52" s="285">
        <f t="shared" si="7"/>
        <v>0</v>
      </c>
      <c r="AK52" s="285">
        <f t="shared" si="8"/>
        <v>0</v>
      </c>
      <c r="AL52" s="285" t="str">
        <f t="shared" si="9"/>
        <v>-</v>
      </c>
      <c r="AM52" s="285" t="e">
        <f>PMT(AK52/12,'DSCR (Port Calc)'!$C$17,-AL52)</f>
        <v>#VALUE!</v>
      </c>
      <c r="AN52" s="285" t="str">
        <f t="shared" si="31"/>
        <v>-</v>
      </c>
      <c r="AO52" s="285" t="e">
        <f t="shared" si="10"/>
        <v>#VALUE!</v>
      </c>
      <c r="AP52" s="285" t="str">
        <f t="shared" si="11"/>
        <v>-</v>
      </c>
      <c r="AQ52" s="285" t="e">
        <f t="shared" si="12"/>
        <v>#VALUE!</v>
      </c>
      <c r="AR52" s="280" t="str">
        <f t="shared" si="13"/>
        <v>-</v>
      </c>
      <c r="AS52" s="279" t="str">
        <f>IF(AR52="-","-",IF($B52="Non-Warrantable Condo",'DSCR (Port Calc)'!$C$37-10%,'DSCR (Port Calc)'!$C$37))</f>
        <v>-</v>
      </c>
      <c r="AT52" s="279" t="str">
        <f>IF(AR52="-","-",IF($B52="Non-Warrantable Condo",'DSCR (Port Calc)'!$C$38-10%,'DSCR (Port Calc)'!$C$38))</f>
        <v>-</v>
      </c>
      <c r="AU52" s="285" t="str">
        <f t="shared" si="14"/>
        <v>-</v>
      </c>
      <c r="AV52" s="285" t="str">
        <f t="shared" si="15"/>
        <v>-</v>
      </c>
      <c r="AW52" s="285" t="str">
        <f t="shared" si="16"/>
        <v>-</v>
      </c>
      <c r="AX52" s="285" t="str">
        <f t="shared" si="17"/>
        <v>-</v>
      </c>
      <c r="AY52" s="284" t="e">
        <f>ROUNDDOWN(IF($C$13="No IO",PV(AK52/12,'DSCR (Port Calc)'!$C$17,-'DSCR (Portfolio)'!AI52),(AG52/(AH52*(AK52/12))-(AJ52/(AK52/12)))),0)</f>
        <v>#DIV/0!</v>
      </c>
      <c r="AZ52" s="283"/>
      <c r="BA52" s="282" t="e">
        <f>PMT(AK52/12,'DSCR (Port Calc)'!$C$17,-AZ52)</f>
        <v>#VALUE!</v>
      </c>
      <c r="BB52" s="281" t="str">
        <f t="shared" si="18"/>
        <v>-</v>
      </c>
      <c r="BC52" s="281">
        <f t="shared" si="19"/>
        <v>0</v>
      </c>
      <c r="BD52" s="281" t="e">
        <f t="shared" si="20"/>
        <v>#VALUE!</v>
      </c>
      <c r="BE52" s="281" t="str">
        <f t="shared" si="21"/>
        <v>-</v>
      </c>
      <c r="BF52" s="281" t="e">
        <f t="shared" si="22"/>
        <v>#VALUE!</v>
      </c>
      <c r="BG52" s="280" t="str">
        <f t="shared" si="23"/>
        <v>-</v>
      </c>
      <c r="BH52" s="279" t="str">
        <f t="shared" si="24"/>
        <v>-</v>
      </c>
      <c r="BI52" s="278" t="str">
        <f t="shared" si="25"/>
        <v>-</v>
      </c>
      <c r="BJ52" s="277">
        <f t="shared" si="26"/>
        <v>0</v>
      </c>
    </row>
    <row r="53" spans="1:62" x14ac:dyDescent="0.25">
      <c r="A53" s="51">
        <v>23</v>
      </c>
      <c r="B53" s="271"/>
      <c r="C53" s="272"/>
      <c r="D53" s="272"/>
      <c r="E53" s="272"/>
      <c r="F53" s="272"/>
      <c r="G53" s="276"/>
      <c r="H53" s="275"/>
      <c r="I53" s="274"/>
      <c r="J53" s="274"/>
      <c r="K53" s="273"/>
      <c r="L53" s="267"/>
      <c r="M53" s="270"/>
      <c r="N53" s="272"/>
      <c r="O53" s="270"/>
      <c r="P53" s="269"/>
      <c r="Q53" s="271"/>
      <c r="R53" s="270"/>
      <c r="S53" s="269"/>
      <c r="T53" s="271"/>
      <c r="U53" s="270"/>
      <c r="V53" s="269"/>
      <c r="W53" s="271"/>
      <c r="X53" s="270"/>
      <c r="Y53" s="269"/>
      <c r="Z53" s="271"/>
      <c r="AA53" s="270"/>
      <c r="AB53" s="269"/>
      <c r="AC53" s="57" t="str">
        <f t="shared" si="27"/>
        <v>-</v>
      </c>
      <c r="AD53" s="57" t="str">
        <f t="shared" si="28"/>
        <v>-</v>
      </c>
      <c r="AE53" s="57" t="str">
        <f t="shared" si="29"/>
        <v>-</v>
      </c>
      <c r="AF53" s="57" t="str">
        <f t="shared" si="30"/>
        <v>-</v>
      </c>
      <c r="AG53" s="57">
        <f t="shared" si="4"/>
        <v>0</v>
      </c>
      <c r="AH53" s="268">
        <f t="shared" si="5"/>
        <v>1.2</v>
      </c>
      <c r="AI53" s="57">
        <f t="shared" si="6"/>
        <v>0</v>
      </c>
      <c r="AJ53" s="57">
        <f t="shared" si="7"/>
        <v>0</v>
      </c>
      <c r="AK53" s="57">
        <f t="shared" si="8"/>
        <v>0</v>
      </c>
      <c r="AL53" s="57" t="str">
        <f t="shared" si="9"/>
        <v>-</v>
      </c>
      <c r="AM53" s="57" t="e">
        <f>PMT(AK53/12,'DSCR (Port Calc)'!$C$17,-AL53)</f>
        <v>#VALUE!</v>
      </c>
      <c r="AN53" s="57" t="str">
        <f t="shared" si="31"/>
        <v>-</v>
      </c>
      <c r="AO53" s="57" t="e">
        <f t="shared" si="10"/>
        <v>#VALUE!</v>
      </c>
      <c r="AP53" s="57" t="str">
        <f t="shared" si="11"/>
        <v>-</v>
      </c>
      <c r="AQ53" s="57" t="e">
        <f t="shared" si="12"/>
        <v>#VALUE!</v>
      </c>
      <c r="AR53" s="214" t="str">
        <f t="shared" si="13"/>
        <v>-</v>
      </c>
      <c r="AS53" s="266" t="str">
        <f>IF(AR53="-","-",IF($B53="Non-Warrantable Condo",'DSCR (Port Calc)'!$C$37-10%,'DSCR (Port Calc)'!$C$37))</f>
        <v>-</v>
      </c>
      <c r="AT53" s="266" t="str">
        <f>IF(AR53="-","-",IF($B53="Non-Warrantable Condo",'DSCR (Port Calc)'!$C$38-10%,'DSCR (Port Calc)'!$C$38))</f>
        <v>-</v>
      </c>
      <c r="AU53" s="57" t="str">
        <f t="shared" si="14"/>
        <v>-</v>
      </c>
      <c r="AV53" s="57" t="str">
        <f t="shared" si="15"/>
        <v>-</v>
      </c>
      <c r="AW53" s="57" t="str">
        <f t="shared" si="16"/>
        <v>-</v>
      </c>
      <c r="AX53" s="57" t="str">
        <f t="shared" si="17"/>
        <v>-</v>
      </c>
      <c r="AY53" s="139" t="e">
        <f>ROUNDDOWN(IF($C$13="No IO",PV(AK53/12,'DSCR (Port Calc)'!$C$17,-'DSCR (Portfolio)'!AI53),(AG53/(AH53*(AK53/12))-(AJ53/(AK53/12)))),0)</f>
        <v>#DIV/0!</v>
      </c>
      <c r="AZ53" s="267"/>
      <c r="BA53" s="215" t="e">
        <f>PMT(AK53/12,'DSCR (Port Calc)'!$C$17,-AZ53)</f>
        <v>#VALUE!</v>
      </c>
      <c r="BB53" s="51" t="str">
        <f t="shared" si="18"/>
        <v>-</v>
      </c>
      <c r="BC53" s="51">
        <f t="shared" si="19"/>
        <v>0</v>
      </c>
      <c r="BD53" s="51" t="e">
        <f t="shared" si="20"/>
        <v>#VALUE!</v>
      </c>
      <c r="BE53" s="51" t="str">
        <f t="shared" si="21"/>
        <v>-</v>
      </c>
      <c r="BF53" s="51" t="e">
        <f t="shared" si="22"/>
        <v>#VALUE!</v>
      </c>
      <c r="BG53" s="214" t="str">
        <f t="shared" si="23"/>
        <v>-</v>
      </c>
      <c r="BH53" s="266" t="str">
        <f t="shared" si="24"/>
        <v>-</v>
      </c>
      <c r="BI53" s="71" t="str">
        <f t="shared" si="25"/>
        <v>-</v>
      </c>
      <c r="BJ53" s="265">
        <f t="shared" si="26"/>
        <v>0</v>
      </c>
    </row>
    <row r="54" spans="1:62" x14ac:dyDescent="0.25">
      <c r="A54" s="51">
        <v>24</v>
      </c>
      <c r="B54" s="289"/>
      <c r="C54" s="290"/>
      <c r="D54" s="290"/>
      <c r="E54" s="290"/>
      <c r="F54" s="290"/>
      <c r="G54" s="294"/>
      <c r="H54" s="293"/>
      <c r="I54" s="292"/>
      <c r="J54" s="292"/>
      <c r="K54" s="291"/>
      <c r="L54" s="283"/>
      <c r="M54" s="288"/>
      <c r="N54" s="290"/>
      <c r="O54" s="288"/>
      <c r="P54" s="287"/>
      <c r="Q54" s="289"/>
      <c r="R54" s="288"/>
      <c r="S54" s="287"/>
      <c r="T54" s="289"/>
      <c r="U54" s="288"/>
      <c r="V54" s="287"/>
      <c r="W54" s="289"/>
      <c r="X54" s="288"/>
      <c r="Y54" s="287"/>
      <c r="Z54" s="289"/>
      <c r="AA54" s="288"/>
      <c r="AB54" s="287"/>
      <c r="AC54" s="285" t="str">
        <f t="shared" si="27"/>
        <v>-</v>
      </c>
      <c r="AD54" s="285" t="str">
        <f t="shared" si="28"/>
        <v>-</v>
      </c>
      <c r="AE54" s="285" t="str">
        <f t="shared" si="29"/>
        <v>-</v>
      </c>
      <c r="AF54" s="285" t="str">
        <f t="shared" si="30"/>
        <v>-</v>
      </c>
      <c r="AG54" s="285">
        <f t="shared" si="4"/>
        <v>0</v>
      </c>
      <c r="AH54" s="286">
        <f t="shared" si="5"/>
        <v>1.2</v>
      </c>
      <c r="AI54" s="285">
        <f t="shared" si="6"/>
        <v>0</v>
      </c>
      <c r="AJ54" s="285">
        <f t="shared" si="7"/>
        <v>0</v>
      </c>
      <c r="AK54" s="285">
        <f t="shared" si="8"/>
        <v>0</v>
      </c>
      <c r="AL54" s="285" t="str">
        <f t="shared" si="9"/>
        <v>-</v>
      </c>
      <c r="AM54" s="285" t="e">
        <f>PMT(AK54/12,'DSCR (Port Calc)'!$C$17,-AL54)</f>
        <v>#VALUE!</v>
      </c>
      <c r="AN54" s="285" t="str">
        <f t="shared" si="31"/>
        <v>-</v>
      </c>
      <c r="AO54" s="285" t="e">
        <f t="shared" si="10"/>
        <v>#VALUE!</v>
      </c>
      <c r="AP54" s="285" t="str">
        <f t="shared" si="11"/>
        <v>-</v>
      </c>
      <c r="AQ54" s="285" t="e">
        <f t="shared" si="12"/>
        <v>#VALUE!</v>
      </c>
      <c r="AR54" s="280" t="str">
        <f t="shared" si="13"/>
        <v>-</v>
      </c>
      <c r="AS54" s="279" t="str">
        <f>IF(AR54="-","-",IF($B54="Non-Warrantable Condo",'DSCR (Port Calc)'!$C$37-10%,'DSCR (Port Calc)'!$C$37))</f>
        <v>-</v>
      </c>
      <c r="AT54" s="279" t="str">
        <f>IF(AR54="-","-",IF($B54="Non-Warrantable Condo",'DSCR (Port Calc)'!$C$38-10%,'DSCR (Port Calc)'!$C$38))</f>
        <v>-</v>
      </c>
      <c r="AU54" s="285" t="str">
        <f t="shared" si="14"/>
        <v>-</v>
      </c>
      <c r="AV54" s="285" t="str">
        <f t="shared" si="15"/>
        <v>-</v>
      </c>
      <c r="AW54" s="285" t="str">
        <f t="shared" si="16"/>
        <v>-</v>
      </c>
      <c r="AX54" s="285" t="str">
        <f t="shared" si="17"/>
        <v>-</v>
      </c>
      <c r="AY54" s="284" t="e">
        <f>ROUNDDOWN(IF($C$13="No IO",PV(AK54/12,'DSCR (Port Calc)'!$C$17,-'DSCR (Portfolio)'!AI54),(AG54/(AH54*(AK54/12))-(AJ54/(AK54/12)))),0)</f>
        <v>#DIV/0!</v>
      </c>
      <c r="AZ54" s="283"/>
      <c r="BA54" s="282" t="e">
        <f>PMT(AK54/12,'DSCR (Port Calc)'!$C$17,-AZ54)</f>
        <v>#VALUE!</v>
      </c>
      <c r="BB54" s="281" t="str">
        <f t="shared" si="18"/>
        <v>-</v>
      </c>
      <c r="BC54" s="281">
        <f t="shared" si="19"/>
        <v>0</v>
      </c>
      <c r="BD54" s="281" t="e">
        <f t="shared" si="20"/>
        <v>#VALUE!</v>
      </c>
      <c r="BE54" s="281" t="str">
        <f t="shared" si="21"/>
        <v>-</v>
      </c>
      <c r="BF54" s="281" t="e">
        <f t="shared" si="22"/>
        <v>#VALUE!</v>
      </c>
      <c r="BG54" s="280" t="str">
        <f t="shared" si="23"/>
        <v>-</v>
      </c>
      <c r="BH54" s="279" t="str">
        <f t="shared" si="24"/>
        <v>-</v>
      </c>
      <c r="BI54" s="278" t="str">
        <f t="shared" si="25"/>
        <v>-</v>
      </c>
      <c r="BJ54" s="277">
        <f t="shared" si="26"/>
        <v>0</v>
      </c>
    </row>
    <row r="55" spans="1:62" x14ac:dyDescent="0.25">
      <c r="A55" s="51">
        <v>25</v>
      </c>
      <c r="B55" s="271"/>
      <c r="C55" s="272"/>
      <c r="D55" s="272"/>
      <c r="E55" s="272"/>
      <c r="F55" s="272"/>
      <c r="G55" s="276"/>
      <c r="H55" s="275"/>
      <c r="I55" s="274"/>
      <c r="J55" s="274"/>
      <c r="K55" s="273"/>
      <c r="L55" s="267"/>
      <c r="M55" s="270"/>
      <c r="N55" s="272"/>
      <c r="O55" s="270"/>
      <c r="P55" s="269"/>
      <c r="Q55" s="271"/>
      <c r="R55" s="270"/>
      <c r="S55" s="269"/>
      <c r="T55" s="271"/>
      <c r="U55" s="270"/>
      <c r="V55" s="269"/>
      <c r="W55" s="271"/>
      <c r="X55" s="270"/>
      <c r="Y55" s="269"/>
      <c r="Z55" s="271"/>
      <c r="AA55" s="270"/>
      <c r="AB55" s="269"/>
      <c r="AC55" s="57" t="str">
        <f t="shared" si="27"/>
        <v>-</v>
      </c>
      <c r="AD55" s="57" t="str">
        <f t="shared" si="28"/>
        <v>-</v>
      </c>
      <c r="AE55" s="57" t="str">
        <f t="shared" si="29"/>
        <v>-</v>
      </c>
      <c r="AF55" s="57" t="str">
        <f t="shared" si="30"/>
        <v>-</v>
      </c>
      <c r="AG55" s="57">
        <f t="shared" si="4"/>
        <v>0</v>
      </c>
      <c r="AH55" s="268">
        <f t="shared" si="5"/>
        <v>1.2</v>
      </c>
      <c r="AI55" s="57">
        <f t="shared" si="6"/>
        <v>0</v>
      </c>
      <c r="AJ55" s="57">
        <f t="shared" si="7"/>
        <v>0</v>
      </c>
      <c r="AK55" s="57">
        <f t="shared" si="8"/>
        <v>0</v>
      </c>
      <c r="AL55" s="57" t="str">
        <f t="shared" si="9"/>
        <v>-</v>
      </c>
      <c r="AM55" s="57" t="e">
        <f>PMT(AK55/12,'DSCR (Port Calc)'!$C$17,-AL55)</f>
        <v>#VALUE!</v>
      </c>
      <c r="AN55" s="57" t="str">
        <f t="shared" si="31"/>
        <v>-</v>
      </c>
      <c r="AO55" s="57" t="e">
        <f t="shared" si="10"/>
        <v>#VALUE!</v>
      </c>
      <c r="AP55" s="57" t="str">
        <f t="shared" si="11"/>
        <v>-</v>
      </c>
      <c r="AQ55" s="57" t="e">
        <f t="shared" si="12"/>
        <v>#VALUE!</v>
      </c>
      <c r="AR55" s="214" t="str">
        <f t="shared" si="13"/>
        <v>-</v>
      </c>
      <c r="AS55" s="266" t="str">
        <f>IF(AR55="-","-",IF($B55="Non-Warrantable Condo",'DSCR (Port Calc)'!$C$37-10%,'DSCR (Port Calc)'!$C$37))</f>
        <v>-</v>
      </c>
      <c r="AT55" s="266" t="str">
        <f>IF(AR55="-","-",IF($B55="Non-Warrantable Condo",'DSCR (Port Calc)'!$C$38-10%,'DSCR (Port Calc)'!$C$38))</f>
        <v>-</v>
      </c>
      <c r="AU55" s="57" t="str">
        <f t="shared" si="14"/>
        <v>-</v>
      </c>
      <c r="AV55" s="57" t="str">
        <f t="shared" si="15"/>
        <v>-</v>
      </c>
      <c r="AW55" s="57" t="str">
        <f t="shared" si="16"/>
        <v>-</v>
      </c>
      <c r="AX55" s="57" t="str">
        <f t="shared" si="17"/>
        <v>-</v>
      </c>
      <c r="AY55" s="139" t="e">
        <f>ROUNDDOWN(IF($C$13="No IO",PV(AK55/12,'DSCR (Port Calc)'!$C$17,-'DSCR (Portfolio)'!AI55),(AG55/(AH55*(AK55/12))-(AJ55/(AK55/12)))),0)</f>
        <v>#DIV/0!</v>
      </c>
      <c r="AZ55" s="267"/>
      <c r="BA55" s="215" t="e">
        <f>PMT(AK55/12,'DSCR (Port Calc)'!$C$17,-AZ55)</f>
        <v>#VALUE!</v>
      </c>
      <c r="BB55" s="51" t="str">
        <f t="shared" si="18"/>
        <v>-</v>
      </c>
      <c r="BC55" s="51">
        <f t="shared" si="19"/>
        <v>0</v>
      </c>
      <c r="BD55" s="51" t="e">
        <f t="shared" si="20"/>
        <v>#VALUE!</v>
      </c>
      <c r="BE55" s="51" t="str">
        <f t="shared" si="21"/>
        <v>-</v>
      </c>
      <c r="BF55" s="51" t="e">
        <f t="shared" si="22"/>
        <v>#VALUE!</v>
      </c>
      <c r="BG55" s="214" t="str">
        <f t="shared" si="23"/>
        <v>-</v>
      </c>
      <c r="BH55" s="266" t="str">
        <f t="shared" si="24"/>
        <v>-</v>
      </c>
      <c r="BI55" s="71" t="str">
        <f t="shared" si="25"/>
        <v>-</v>
      </c>
      <c r="BJ55" s="265">
        <f t="shared" si="26"/>
        <v>0</v>
      </c>
    </row>
    <row r="56" spans="1:62" x14ac:dyDescent="0.25">
      <c r="A56" s="51" t="s">
        <v>1924</v>
      </c>
      <c r="B56" s="258" t="s">
        <v>1924</v>
      </c>
      <c r="C56" s="259" t="s">
        <v>1924</v>
      </c>
      <c r="D56" s="259" t="s">
        <v>1924</v>
      </c>
      <c r="E56" s="259" t="s">
        <v>1924</v>
      </c>
      <c r="F56" s="259" t="s">
        <v>1924</v>
      </c>
      <c r="G56" s="264" t="s">
        <v>1924</v>
      </c>
      <c r="H56" s="263" t="s">
        <v>1924</v>
      </c>
      <c r="I56" s="262" t="s">
        <v>1924</v>
      </c>
      <c r="J56" s="262" t="s">
        <v>1924</v>
      </c>
      <c r="K56" s="261" t="s">
        <v>1924</v>
      </c>
      <c r="L56" s="260" t="s">
        <v>1924</v>
      </c>
      <c r="M56" s="257" t="s">
        <v>1924</v>
      </c>
      <c r="N56" s="259" t="s">
        <v>1924</v>
      </c>
      <c r="O56" s="257" t="s">
        <v>1924</v>
      </c>
      <c r="P56" s="256" t="s">
        <v>1924</v>
      </c>
      <c r="Q56" s="258" t="s">
        <v>1924</v>
      </c>
      <c r="R56" s="257" t="s">
        <v>1924</v>
      </c>
      <c r="S56" s="256" t="s">
        <v>1924</v>
      </c>
      <c r="T56" s="258" t="s">
        <v>1924</v>
      </c>
      <c r="U56" s="257" t="s">
        <v>1924</v>
      </c>
      <c r="V56" s="256" t="s">
        <v>1924</v>
      </c>
      <c r="W56" s="258" t="s">
        <v>1924</v>
      </c>
      <c r="X56" s="257" t="s">
        <v>1924</v>
      </c>
      <c r="Y56" s="256" t="s">
        <v>1924</v>
      </c>
      <c r="Z56" s="258" t="s">
        <v>1924</v>
      </c>
      <c r="AA56" s="257" t="s">
        <v>1924</v>
      </c>
      <c r="AB56" s="256" t="s">
        <v>1924</v>
      </c>
      <c r="AC56" s="57" t="s">
        <v>1924</v>
      </c>
      <c r="AD56" s="57" t="s">
        <v>1924</v>
      </c>
      <c r="AE56" s="57" t="s">
        <v>1924</v>
      </c>
      <c r="AF56" s="57" t="s">
        <v>1924</v>
      </c>
      <c r="AG56" s="57" t="s">
        <v>1924</v>
      </c>
      <c r="AH56" s="255" t="s">
        <v>1924</v>
      </c>
      <c r="AI56" s="252" t="s">
        <v>1924</v>
      </c>
      <c r="AJ56" s="252" t="s">
        <v>1924</v>
      </c>
      <c r="AK56" s="252" t="s">
        <v>1924</v>
      </c>
      <c r="AL56" s="252" t="s">
        <v>1924</v>
      </c>
      <c r="AM56" s="252" t="s">
        <v>1924</v>
      </c>
      <c r="AN56" s="252" t="s">
        <v>1924</v>
      </c>
      <c r="AO56" s="252" t="s">
        <v>1924</v>
      </c>
      <c r="AP56" s="252" t="s">
        <v>1924</v>
      </c>
      <c r="AQ56" s="252" t="s">
        <v>1924</v>
      </c>
      <c r="AR56" s="252" t="s">
        <v>1924</v>
      </c>
      <c r="AS56" s="250" t="s">
        <v>1924</v>
      </c>
      <c r="AT56" s="250" t="s">
        <v>1924</v>
      </c>
      <c r="AU56" s="252" t="s">
        <v>1924</v>
      </c>
      <c r="AV56" s="252" t="s">
        <v>1924</v>
      </c>
      <c r="AW56" s="252" t="s">
        <v>1924</v>
      </c>
      <c r="AX56" s="252" t="s">
        <v>1924</v>
      </c>
      <c r="AY56" s="254" t="s">
        <v>1924</v>
      </c>
      <c r="AZ56" s="253" t="s">
        <v>1924</v>
      </c>
      <c r="BA56" s="252" t="s">
        <v>1924</v>
      </c>
      <c r="BB56" s="252" t="s">
        <v>1924</v>
      </c>
      <c r="BC56" s="252" t="s">
        <v>1924</v>
      </c>
      <c r="BD56" s="252" t="s">
        <v>1924</v>
      </c>
      <c r="BE56" s="252" t="s">
        <v>1924</v>
      </c>
      <c r="BF56" s="252" t="s">
        <v>1924</v>
      </c>
      <c r="BG56" s="251" t="s">
        <v>1924</v>
      </c>
      <c r="BH56" s="250" t="s">
        <v>1924</v>
      </c>
      <c r="BI56" s="250" t="s">
        <v>1924</v>
      </c>
      <c r="BJ56" s="249" t="s">
        <v>1924</v>
      </c>
    </row>
  </sheetData>
  <sheetProtection algorithmName="SHA-512" hashValue="6yCmFc5vbwlaPKTmhMwpuOwEZmlSwdwUSW3WqL2KJa28o8bqE1PuI1g7ut63AJJUX1gotzSdAYgkBnUzYGYaFg==" saltValue="tPOpc++wy3jTlyU0me0bIA==" spinCount="100000" sheet="1" formatCells="0" selectLockedCells="1"/>
  <mergeCells count="70">
    <mergeCell ref="B3:D3"/>
    <mergeCell ref="C5:D5"/>
    <mergeCell ref="C6:D6"/>
    <mergeCell ref="G3:M3"/>
    <mergeCell ref="O3:V3"/>
    <mergeCell ref="C4:D4"/>
    <mergeCell ref="F4:F5"/>
    <mergeCell ref="G4:G5"/>
    <mergeCell ref="H4:H5"/>
    <mergeCell ref="I4:I5"/>
    <mergeCell ref="J4:J5"/>
    <mergeCell ref="K4:K5"/>
    <mergeCell ref="L4:L5"/>
    <mergeCell ref="M4:M5"/>
    <mergeCell ref="C7:D7"/>
    <mergeCell ref="C8:D8"/>
    <mergeCell ref="C9:D9"/>
    <mergeCell ref="C10:D10"/>
    <mergeCell ref="C11:D11"/>
    <mergeCell ref="AL27:AL28"/>
    <mergeCell ref="AR27:AR28"/>
    <mergeCell ref="AS27:AS28"/>
    <mergeCell ref="AT27:AT28"/>
    <mergeCell ref="C12:D12"/>
    <mergeCell ref="B27:G27"/>
    <mergeCell ref="B15:D15"/>
    <mergeCell ref="C16:D16"/>
    <mergeCell ref="C17:D17"/>
    <mergeCell ref="C18:D18"/>
    <mergeCell ref="C19:D19"/>
    <mergeCell ref="C20:D20"/>
    <mergeCell ref="C21:D21"/>
    <mergeCell ref="H27:K27"/>
    <mergeCell ref="L27:P27"/>
    <mergeCell ref="Q27:S27"/>
    <mergeCell ref="T27:V27"/>
    <mergeCell ref="W27:Y27"/>
    <mergeCell ref="C13:D13"/>
    <mergeCell ref="C22:D22"/>
    <mergeCell ref="C23:D23"/>
    <mergeCell ref="C24:D24"/>
    <mergeCell ref="C25:D25"/>
    <mergeCell ref="AW27:AW28"/>
    <mergeCell ref="AX27:AX28"/>
    <mergeCell ref="AY27:AY28"/>
    <mergeCell ref="AZ27:AZ28"/>
    <mergeCell ref="BJ29:BJ30"/>
    <mergeCell ref="BE27:BE28"/>
    <mergeCell ref="BF27:BF28"/>
    <mergeCell ref="BG27:BG28"/>
    <mergeCell ref="BH27:BH28"/>
    <mergeCell ref="BI27:BI28"/>
    <mergeCell ref="BB27:BB28"/>
    <mergeCell ref="BA27:BA28"/>
    <mergeCell ref="A1:B2"/>
    <mergeCell ref="C1:D2"/>
    <mergeCell ref="BJ27:BJ28"/>
    <mergeCell ref="AH29:AH30"/>
    <mergeCell ref="AR29:AR30"/>
    <mergeCell ref="AS29:AS30"/>
    <mergeCell ref="AT29:AT30"/>
    <mergeCell ref="AX29:AX30"/>
    <mergeCell ref="AY29:AY30"/>
    <mergeCell ref="BC27:BC28"/>
    <mergeCell ref="Z27:AB27"/>
    <mergeCell ref="AH27:AH28"/>
    <mergeCell ref="BG29:BG30"/>
    <mergeCell ref="BH29:BH30"/>
    <mergeCell ref="BI29:BI30"/>
    <mergeCell ref="BD27:BD28"/>
  </mergeCells>
  <conditionalFormatting sqref="P30">
    <cfRule type="expression" dxfId="27" priority="8">
      <formula>AND($P$30&gt;0,$P$30&lt;100000)</formula>
    </cfRule>
  </conditionalFormatting>
  <conditionalFormatting sqref="P31">
    <cfRule type="expression" dxfId="26" priority="7">
      <formula>AND(P31&gt;0,P31&lt;75000)</formula>
    </cfRule>
  </conditionalFormatting>
  <conditionalFormatting sqref="P32:P55">
    <cfRule type="expression" dxfId="25" priority="6">
      <formula>AND(P32&gt;0,P32&lt;75000)</formula>
    </cfRule>
  </conditionalFormatting>
  <conditionalFormatting sqref="AR31:AR56">
    <cfRule type="cellIs" dxfId="24" priority="5" operator="lessThan">
      <formula>1</formula>
    </cfRule>
  </conditionalFormatting>
  <conditionalFormatting sqref="AZ31:AZ55">
    <cfRule type="expression" dxfId="23" priority="4">
      <formula>AND(AZ31&gt;0,AZ31&lt;55000)</formula>
    </cfRule>
  </conditionalFormatting>
  <conditionalFormatting sqref="BG31:BG55">
    <cfRule type="expression" dxfId="22" priority="3">
      <formula>BG31&lt;AH31</formula>
    </cfRule>
  </conditionalFormatting>
  <conditionalFormatting sqref="BH31 BH32:BI55">
    <cfRule type="expression" dxfId="21" priority="2">
      <formula>BH31&gt;AS31</formula>
    </cfRule>
  </conditionalFormatting>
  <conditionalFormatting sqref="BI31">
    <cfRule type="expression" dxfId="20" priority="1">
      <formula>BI31&gt;AT31</formula>
    </cfRule>
  </conditionalFormatting>
  <pageMargins left="0.7" right="0.7" top="0.75" bottom="0.75" header="0.3" footer="0.3"/>
  <pageSetup scale="11"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CopPasDSCRport">
                <anchor moveWithCells="1" sizeWithCells="1">
                  <from>
                    <xdr:col>22</xdr:col>
                    <xdr:colOff>847725</xdr:colOff>
                    <xdr:row>7</xdr:row>
                    <xdr:rowOff>66675</xdr:rowOff>
                  </from>
                  <to>
                    <xdr:col>26</xdr:col>
                    <xdr:colOff>419100</xdr:colOff>
                    <xdr:row>17</xdr:row>
                    <xdr:rowOff>57150</xdr:rowOff>
                  </to>
                </anchor>
              </controlPr>
            </control>
          </mc:Choice>
        </mc:AlternateContent>
        <mc:AlternateContent xmlns:mc="http://schemas.openxmlformats.org/markup-compatibility/2006">
          <mc:Choice Requires="x14">
            <control shapeId="5124" r:id="rId5" name="Button 4">
              <controlPr defaultSize="0" print="0" autoFill="0" autoPict="0" macro="[0]!CopPasPortLAs">
                <anchor moveWithCells="1" sizeWithCells="1">
                  <from>
                    <xdr:col>45</xdr:col>
                    <xdr:colOff>657225</xdr:colOff>
                    <xdr:row>16</xdr:row>
                    <xdr:rowOff>38100</xdr:rowOff>
                  </from>
                  <to>
                    <xdr:col>58</xdr:col>
                    <xdr:colOff>914400</xdr:colOff>
                    <xdr:row>23</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510CE613-B75E-43B7-BC32-243D6C7A4B32}">
          <x14:formula1>
            <xm:f>'DSCR (Port Legend)'!$T$2:$T$5</xm:f>
          </x14:formula1>
          <xm:sqref>C6:D6</xm:sqref>
        </x14:dataValidation>
        <x14:dataValidation type="list" allowBlank="1" showInputMessage="1" showErrorMessage="1" xr:uid="{5442CE5E-5C36-418A-994F-7BF66F5A472A}">
          <x14:formula1>
            <xm:f>'DSCR (Port Legend)'!$R$2:$R$4</xm:f>
          </x14:formula1>
          <xm:sqref>C8:D8</xm:sqref>
        </x14:dataValidation>
        <x14:dataValidation type="list" allowBlank="1" showInputMessage="1" showErrorMessage="1" promptTitle="Rebate" prompt="Please select PPP option before selecting rebate!" xr:uid="{CD6C4DED-22F2-4EAA-923A-6FA2F5823088}">
          <x14:formula1>
            <xm:f>'DSCR (Port Legend)'!$BI$2:$BI$14</xm:f>
          </x14:formula1>
          <xm:sqref>C7:D7</xm:sqref>
        </x14:dataValidation>
        <x14:dataValidation type="list" allowBlank="1" showInputMessage="1" showErrorMessage="1" xr:uid="{204B58D2-6C92-42F3-93FE-5E3CF8B53BE5}">
          <x14:formula1>
            <xm:f>'DSCR (Port Legend)'!$W$2:$W$8</xm:f>
          </x14:formula1>
          <xm:sqref>C10:D10</xm:sqref>
        </x14:dataValidation>
        <x14:dataValidation type="list" allowBlank="1" showInputMessage="1" showErrorMessage="1" xr:uid="{0E35D8A6-2C38-4ADE-AF02-69D43B9D9685}">
          <x14:formula1>
            <xm:f>'DSCR (Port Legend)'!$Y$2</xm:f>
          </x14:formula1>
          <xm:sqref>C11:D11</xm:sqref>
        </x14:dataValidation>
        <x14:dataValidation type="list" allowBlank="1" showInputMessage="1" showErrorMessage="1" xr:uid="{0D2616EF-96C2-4BD6-8519-D244DA49BE91}">
          <x14:formula1>
            <xm:f>'DSCR (Port Legend)'!$AA$2:$AA$5</xm:f>
          </x14:formula1>
          <xm:sqref>C12:D12</xm:sqref>
        </x14:dataValidation>
        <x14:dataValidation type="list" allowBlank="1" showInputMessage="1" showErrorMessage="1" xr:uid="{A5E17C1E-F982-4E83-9090-D5A37E1F8996}">
          <x14:formula1>
            <xm:f>'DSCR (Port Legend)'!$AC$2:$AC$5</xm:f>
          </x14:formula1>
          <xm:sqref>C13:D13</xm:sqref>
        </x14:dataValidation>
        <x14:dataValidation type="list" allowBlank="1" showInputMessage="1" showErrorMessage="1" xr:uid="{3B356990-C8D5-4C68-966A-9DFFA87AC2F3}">
          <x14:formula1>
            <xm:f>'DSCR (Port Legend)'!$Q$2:$Q$9</xm:f>
          </x14:formula1>
          <xm:sqref>F3</xm:sqref>
        </x14:dataValidation>
        <x14:dataValidation type="list" allowBlank="1" showInputMessage="1" showErrorMessage="1" xr:uid="{ADED93F6-F953-4C6F-AD09-00E51A656598}">
          <x14:formula1>
            <xm:f>'DSCR (Port Legend)'!$U$2:$U$3</xm:f>
          </x14:formula1>
          <xm:sqref>Q31:Q55 T31:T55 W31:W55 Z31:Z55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46F37-D86A-4A50-AA55-36CDAF75BF23}">
  <sheetPr codeName="Sheet8">
    <tabColor rgb="FF7D93AB"/>
    <pageSetUpPr fitToPage="1"/>
  </sheetPr>
  <dimension ref="A1:T62"/>
  <sheetViews>
    <sheetView showGridLines="0" topLeftCell="T1" zoomScale="70" zoomScaleNormal="70" workbookViewId="0">
      <selection activeCell="T1" sqref="T1"/>
    </sheetView>
  </sheetViews>
  <sheetFormatPr defaultColWidth="9.140625" defaultRowHeight="18" customHeight="1" x14ac:dyDescent="0.25"/>
  <cols>
    <col min="1" max="1" width="3.42578125" style="169" hidden="1" customWidth="1"/>
    <col min="2" max="3" width="34.28515625" style="1" hidden="1" customWidth="1"/>
    <col min="4" max="4" width="3.42578125" style="1" hidden="1" customWidth="1"/>
    <col min="5" max="5" width="36.5703125" style="1" hidden="1" customWidth="1"/>
    <col min="6" max="9" width="18.7109375" style="1" hidden="1" customWidth="1"/>
    <col min="10" max="10" width="3.28515625" style="169" hidden="1" customWidth="1"/>
    <col min="11" max="18" width="20.42578125" style="1" hidden="1" customWidth="1"/>
    <col min="19" max="19" width="9.140625" style="1" hidden="1" customWidth="1"/>
    <col min="20" max="20" width="9.140625" style="1" customWidth="1"/>
    <col min="21" max="16384" width="9.140625" style="1"/>
  </cols>
  <sheetData>
    <row r="1" spans="1:18" ht="16.5" customHeight="1" x14ac:dyDescent="0.25">
      <c r="B1" s="627" t="s">
        <v>1678</v>
      </c>
      <c r="C1" s="629">
        <v>44958</v>
      </c>
    </row>
    <row r="2" spans="1:18" ht="16.5" customHeight="1" x14ac:dyDescent="0.25">
      <c r="A2" s="50"/>
      <c r="B2" s="627"/>
      <c r="C2" s="768"/>
      <c r="H2" s="853" t="s">
        <v>1677</v>
      </c>
      <c r="I2" s="853"/>
    </row>
    <row r="3" spans="1:18" ht="16.5" customHeight="1" x14ac:dyDescent="0.25">
      <c r="A3" s="50"/>
      <c r="B3" s="628"/>
      <c r="C3" s="769"/>
    </row>
    <row r="4" spans="1:18" s="4" customFormat="1" ht="16.5" customHeight="1" x14ac:dyDescent="0.25">
      <c r="A4" s="47"/>
      <c r="B4" s="579" t="s">
        <v>1676</v>
      </c>
      <c r="C4" s="621"/>
      <c r="D4" s="621"/>
      <c r="E4" s="621"/>
      <c r="F4" s="621"/>
      <c r="G4" s="621"/>
      <c r="H4" s="621"/>
      <c r="I4" s="580"/>
      <c r="J4" s="47"/>
      <c r="K4" s="191" t="str">
        <f>'DSCR (Portfolio)'!$F$3</f>
        <v>Max Proceeds</v>
      </c>
      <c r="L4" s="571" t="s">
        <v>1452</v>
      </c>
      <c r="M4" s="571"/>
      <c r="N4" s="571"/>
      <c r="O4" s="571"/>
      <c r="P4" s="571"/>
      <c r="Q4" s="571"/>
      <c r="R4" s="572"/>
    </row>
    <row r="5" spans="1:18" s="4" customFormat="1" ht="16.5" customHeight="1" x14ac:dyDescent="0.25">
      <c r="A5" s="47"/>
      <c r="J5" s="47"/>
      <c r="K5" s="783" t="s">
        <v>1632</v>
      </c>
      <c r="L5" s="773" t="s">
        <v>1641</v>
      </c>
      <c r="M5" s="773" t="s">
        <v>1674</v>
      </c>
      <c r="N5" s="773" t="s">
        <v>1673</v>
      </c>
      <c r="O5" s="773" t="s">
        <v>1672</v>
      </c>
      <c r="P5" s="773" t="s">
        <v>1671</v>
      </c>
      <c r="Q5" s="773" t="s">
        <v>1670</v>
      </c>
      <c r="R5" s="771" t="s">
        <v>1669</v>
      </c>
    </row>
    <row r="6" spans="1:18" s="4" customFormat="1" ht="16.5" customHeight="1" x14ac:dyDescent="0.25">
      <c r="A6" s="47"/>
      <c r="B6" s="343" t="s">
        <v>1668</v>
      </c>
      <c r="C6" s="348"/>
      <c r="E6" s="579" t="s">
        <v>1667</v>
      </c>
      <c r="F6" s="621"/>
      <c r="G6" s="621"/>
      <c r="H6" s="621"/>
      <c r="I6" s="580"/>
      <c r="J6" s="47"/>
      <c r="K6" s="784"/>
      <c r="L6" s="774"/>
      <c r="M6" s="774"/>
      <c r="N6" s="774"/>
      <c r="O6" s="774"/>
      <c r="P6" s="774"/>
      <c r="Q6" s="774"/>
      <c r="R6" s="772"/>
    </row>
    <row r="7" spans="1:18" s="4" customFormat="1" ht="16.5" customHeight="1" x14ac:dyDescent="0.25">
      <c r="A7" s="47"/>
      <c r="B7" s="343" t="s">
        <v>1666</v>
      </c>
      <c r="C7" s="353">
        <f ca="1">TODAY()</f>
        <v>45086</v>
      </c>
      <c r="J7" s="47"/>
      <c r="K7" s="45">
        <v>0</v>
      </c>
      <c r="L7" s="185" t="str">
        <f>IF($K$4="Max Proceeds",'DSCR (Port Calc)'!$BT4,'DSCR (Port Calc)'!$BT26)</f>
        <v>-</v>
      </c>
      <c r="M7" s="174" t="str">
        <f>IF($K$4="Max Proceeds",'DSCR (Port Calc)'!$BU4,'DSCR (Port Calc)'!$BU26)</f>
        <v>-</v>
      </c>
      <c r="N7" s="4" t="e">
        <f>IF($K$4="Max Proceeds",'DSCR (Port Calc)'!$BX4,'DSCR (Port Calc)'!$BX26)</f>
        <v>#VALUE!</v>
      </c>
      <c r="O7" s="184" t="e">
        <f>IF($K$4="Max Proceeds",'DSCR (Port Calc)'!$CM4,'DSCR (Port Calc)'!$CM26)</f>
        <v>#VALUE!</v>
      </c>
      <c r="P7" s="184" t="e">
        <f>IF($K$4="Max Proceeds",'DSCR (Port Calc)'!$CN4,'DSCR (Port Calc)'!$CN26)</f>
        <v>#VALUE!</v>
      </c>
      <c r="Q7" s="183" t="e">
        <f>IF($K$4="Max Proceeds",'DSCR (Port Calc)'!$CO4,'DSCR (Port Calc)'!$CO26)</f>
        <v>#VALUE!</v>
      </c>
      <c r="R7" s="183" t="str">
        <f>IF($K$4="Max Proceeds",'DSCR (Port Calc)'!$CV4,'DSCR (Port Calc)'!$CV26)</f>
        <v>-</v>
      </c>
    </row>
    <row r="8" spans="1:18" s="4" customFormat="1" ht="16.5" customHeight="1" x14ac:dyDescent="0.25">
      <c r="A8" s="47"/>
      <c r="B8" s="11" t="s">
        <v>110</v>
      </c>
      <c r="C8" s="341">
        <f>'DSCR (Portfolio)'!$C$6</f>
        <v>0</v>
      </c>
      <c r="E8" s="570" t="s">
        <v>1665</v>
      </c>
      <c r="F8" s="571"/>
      <c r="G8" s="571"/>
      <c r="H8" s="571"/>
      <c r="I8" s="572"/>
      <c r="J8" s="47"/>
      <c r="K8" s="45">
        <v>2.5000000000000001E-3</v>
      </c>
      <c r="L8" s="185" t="str">
        <f>IF($K$4="Max Proceeds",'DSCR (Port Calc)'!$BT5,'DSCR (Port Calc)'!$BT27)</f>
        <v>-</v>
      </c>
      <c r="M8" s="174" t="str">
        <f>IF($K$4="Max Proceeds",'DSCR (Port Calc)'!$BU5,'DSCR (Port Calc)'!$BU27)</f>
        <v>-</v>
      </c>
      <c r="N8" s="4" t="e">
        <f>IF($K$4="Max Proceeds",'DSCR (Port Calc)'!$BX5,'DSCR (Port Calc)'!$BX27)</f>
        <v>#VALUE!</v>
      </c>
      <c r="O8" s="184" t="e">
        <f>IF($K$4="Max Proceeds",'DSCR (Port Calc)'!$CM5,'DSCR (Port Calc)'!$CM27)</f>
        <v>#VALUE!</v>
      </c>
      <c r="P8" s="184" t="e">
        <f>IF($K$4="Max Proceeds",'DSCR (Port Calc)'!$CN5,'DSCR (Port Calc)'!$CN27)</f>
        <v>#VALUE!</v>
      </c>
      <c r="Q8" s="183" t="e">
        <f>IF($K$4="Max Proceeds",'DSCR (Port Calc)'!$CO5,'DSCR (Port Calc)'!$CO27)</f>
        <v>#VALUE!</v>
      </c>
      <c r="R8" s="183" t="e">
        <f>IF($K$4="Max Proceeds",'DSCR (Port Calc)'!$CV5,'DSCR (Port Calc)'!$CV27)</f>
        <v>#VALUE!</v>
      </c>
    </row>
    <row r="9" spans="1:18" s="4" customFormat="1" ht="16.5" customHeight="1" x14ac:dyDescent="0.25">
      <c r="A9" s="47" t="str">
        <f>'DSCR (Port Calc)'!$C$6&amp;"Rebate"</f>
        <v>SFRRebate</v>
      </c>
      <c r="B9" s="11" t="s">
        <v>1664</v>
      </c>
      <c r="C9" s="352">
        <f>'DSCR (Portfolio)'!$C$7</f>
        <v>0</v>
      </c>
      <c r="E9" s="180" t="s">
        <v>1508</v>
      </c>
      <c r="F9" s="188" t="s">
        <v>1663</v>
      </c>
      <c r="G9" s="188" t="s">
        <v>1662</v>
      </c>
      <c r="H9" s="188" t="s">
        <v>1661</v>
      </c>
      <c r="I9" s="187" t="s">
        <v>1660</v>
      </c>
      <c r="J9" s="47"/>
      <c r="K9" s="45">
        <v>5.0000000000000001E-3</v>
      </c>
      <c r="L9" s="185" t="str">
        <f>IF($K$4="Max Proceeds",'DSCR (Port Calc)'!$BT6,'DSCR (Port Calc)'!$BT28)</f>
        <v>-</v>
      </c>
      <c r="M9" s="174" t="str">
        <f>IF($K$4="Max Proceeds",'DSCR (Port Calc)'!$BU6,'DSCR (Port Calc)'!$BU28)</f>
        <v>-</v>
      </c>
      <c r="N9" s="4" t="e">
        <f>IF($K$4="Max Proceeds",'DSCR (Port Calc)'!$BX6,'DSCR (Port Calc)'!$BX28)</f>
        <v>#VALUE!</v>
      </c>
      <c r="O9" s="184" t="e">
        <f>IF($K$4="Max Proceeds",'DSCR (Port Calc)'!$CM6,'DSCR (Port Calc)'!$CM28)</f>
        <v>#VALUE!</v>
      </c>
      <c r="P9" s="184" t="e">
        <f>IF($K$4="Max Proceeds",'DSCR (Port Calc)'!$CN6,'DSCR (Port Calc)'!$CN28)</f>
        <v>#VALUE!</v>
      </c>
      <c r="Q9" s="183" t="e">
        <f>IF($K$4="Max Proceeds",'DSCR (Port Calc)'!$CO6,'DSCR (Port Calc)'!$CO28)</f>
        <v>#VALUE!</v>
      </c>
      <c r="R9" s="183" t="e">
        <f>IF($K$4="Max Proceeds",'DSCR (Port Calc)'!$CV6,'DSCR (Port Calc)'!$CV28)</f>
        <v>#VALUE!</v>
      </c>
    </row>
    <row r="10" spans="1:18" s="4" customFormat="1" ht="16.5" customHeight="1" x14ac:dyDescent="0.25">
      <c r="A10" s="47"/>
      <c r="B10" s="11"/>
      <c r="E10" s="11">
        <v>1</v>
      </c>
      <c r="F10" s="348"/>
      <c r="G10" s="351"/>
      <c r="H10" s="351"/>
      <c r="I10" s="349">
        <f>'DSCR (Portfolio)'!$AC$29</f>
        <v>0</v>
      </c>
      <c r="J10" s="47">
        <f>IF(OR(F10="Leased (LTR)",F10="Leased (STR)"),1,0)</f>
        <v>0</v>
      </c>
      <c r="K10" s="45">
        <v>7.4999999999999997E-3</v>
      </c>
      <c r="L10" s="185" t="str">
        <f>IF($K$4="Max Proceeds",'DSCR (Port Calc)'!$BT7,'DSCR (Port Calc)'!$BT29)</f>
        <v>-</v>
      </c>
      <c r="M10" s="174" t="str">
        <f>IF($K$4="Max Proceeds",'DSCR (Port Calc)'!$BU7,'DSCR (Port Calc)'!$BU29)</f>
        <v>-</v>
      </c>
      <c r="N10" s="4" t="e">
        <f>IF($K$4="Max Proceeds",'DSCR (Port Calc)'!$BX7,'DSCR (Port Calc)'!$BX29)</f>
        <v>#VALUE!</v>
      </c>
      <c r="O10" s="184" t="e">
        <f>IF($K$4="Max Proceeds",'DSCR (Port Calc)'!$CM7,'DSCR (Port Calc)'!$CM29)</f>
        <v>#VALUE!</v>
      </c>
      <c r="P10" s="184" t="e">
        <f>IF($K$4="Max Proceeds",'DSCR (Port Calc)'!$CN7,'DSCR (Port Calc)'!$CN29)</f>
        <v>#VALUE!</v>
      </c>
      <c r="Q10" s="183" t="e">
        <f>IF($K$4="Max Proceeds",'DSCR (Port Calc)'!$CO7,'DSCR (Port Calc)'!$CO29)</f>
        <v>#VALUE!</v>
      </c>
      <c r="R10" s="183" t="e">
        <f>IF($K$4="Max Proceeds",'DSCR (Port Calc)'!$CV7,'DSCR (Port Calc)'!$CV29)</f>
        <v>#VALUE!</v>
      </c>
    </row>
    <row r="11" spans="1:18" s="4" customFormat="1" ht="16.5" customHeight="1" x14ac:dyDescent="0.25">
      <c r="A11" s="47"/>
      <c r="B11" s="11" t="s">
        <v>107</v>
      </c>
      <c r="C11" s="341">
        <f>'DSCR (Portfolio)'!$C$8</f>
        <v>0</v>
      </c>
      <c r="E11" s="11">
        <v>2</v>
      </c>
      <c r="F11" s="348"/>
      <c r="G11" s="351"/>
      <c r="H11" s="351"/>
      <c r="I11" s="349">
        <f>'DSCR (Portfolio)'!$AD$29</f>
        <v>0</v>
      </c>
      <c r="J11" s="47">
        <f>IF(OR(F11="Leased (LTR)",F11="Leased (STR)"),1,0)</f>
        <v>0</v>
      </c>
      <c r="K11" s="45">
        <v>0.01</v>
      </c>
      <c r="L11" s="185" t="str">
        <f>IF($K$4="Max Proceeds",'DSCR (Port Calc)'!$BT8,'DSCR (Port Calc)'!$BT30)</f>
        <v>-</v>
      </c>
      <c r="M11" s="174" t="str">
        <f>IF($K$4="Max Proceeds",'DSCR (Port Calc)'!$BU8,'DSCR (Port Calc)'!$BU30)</f>
        <v>-</v>
      </c>
      <c r="N11" s="4" t="e">
        <f>IF($K$4="Max Proceeds",'DSCR (Port Calc)'!$BX8,'DSCR (Port Calc)'!$BX30)</f>
        <v>#VALUE!</v>
      </c>
      <c r="O11" s="184" t="e">
        <f>IF($K$4="Max Proceeds",'DSCR (Port Calc)'!$CM8,'DSCR (Port Calc)'!$CM30)</f>
        <v>#VALUE!</v>
      </c>
      <c r="P11" s="184" t="e">
        <f>IF($K$4="Max Proceeds",'DSCR (Port Calc)'!$CN8,'DSCR (Port Calc)'!$CN30)</f>
        <v>#VALUE!</v>
      </c>
      <c r="Q11" s="183" t="e">
        <f>IF($K$4="Max Proceeds",'DSCR (Port Calc)'!$CO8,'DSCR (Port Calc)'!$CO30)</f>
        <v>#VALUE!</v>
      </c>
      <c r="R11" s="183" t="e">
        <f>IF($K$4="Max Proceeds",'DSCR (Port Calc)'!$CV8,'DSCR (Port Calc)'!$CV30)</f>
        <v>#VALUE!</v>
      </c>
    </row>
    <row r="12" spans="1:18" s="4" customFormat="1" ht="16.5" customHeight="1" x14ac:dyDescent="0.25">
      <c r="A12" s="47"/>
      <c r="B12" s="11" t="s">
        <v>1659</v>
      </c>
      <c r="C12" s="341">
        <f>'DSCR (Portfolio)'!$C$9</f>
        <v>0</v>
      </c>
      <c r="E12" s="11">
        <v>3</v>
      </c>
      <c r="F12" s="348"/>
      <c r="G12" s="351"/>
      <c r="H12" s="351"/>
      <c r="I12" s="349">
        <f>'DSCR (Portfolio)'!$AE$29</f>
        <v>0</v>
      </c>
      <c r="J12" s="47">
        <f>IF(OR(F12="Leased (LTR)",F12="Leased (STR)"),1,0)</f>
        <v>0</v>
      </c>
      <c r="K12" s="45">
        <v>1.2500000000000001E-2</v>
      </c>
      <c r="L12" s="185" t="str">
        <f>IF($K$4="Max Proceeds",'DSCR (Port Calc)'!$BT9,'DSCR (Port Calc)'!$BT31)</f>
        <v>-</v>
      </c>
      <c r="M12" s="174" t="str">
        <f>IF($K$4="Max Proceeds",'DSCR (Port Calc)'!$BU9,'DSCR (Port Calc)'!$BU31)</f>
        <v>-</v>
      </c>
      <c r="N12" s="4" t="e">
        <f>IF($K$4="Max Proceeds",'DSCR (Port Calc)'!$BX9,'DSCR (Port Calc)'!$BX31)</f>
        <v>#VALUE!</v>
      </c>
      <c r="O12" s="184" t="e">
        <f>IF($K$4="Max Proceeds",'DSCR (Port Calc)'!$CM9,'DSCR (Port Calc)'!$CM31)</f>
        <v>#VALUE!</v>
      </c>
      <c r="P12" s="184" t="e">
        <f>IF($K$4="Max Proceeds",'DSCR (Port Calc)'!$CN9,'DSCR (Port Calc)'!$CN31)</f>
        <v>#VALUE!</v>
      </c>
      <c r="Q12" s="183" t="e">
        <f>IF($K$4="Max Proceeds",'DSCR (Port Calc)'!$CO9,'DSCR (Port Calc)'!$CO31)</f>
        <v>#VALUE!</v>
      </c>
      <c r="R12" s="183" t="e">
        <f>IF($K$4="Max Proceeds",'DSCR (Port Calc)'!$CV9,'DSCR (Port Calc)'!$CV31)</f>
        <v>#VALUE!</v>
      </c>
    </row>
    <row r="13" spans="1:18" s="4" customFormat="1" ht="16.5" customHeight="1" x14ac:dyDescent="0.25">
      <c r="A13" s="47"/>
      <c r="B13" s="11"/>
      <c r="E13" s="11">
        <v>4</v>
      </c>
      <c r="F13" s="348"/>
      <c r="G13" s="351"/>
      <c r="H13" s="351"/>
      <c r="I13" s="349">
        <f>'DSCR (Portfolio)'!$AF$29</f>
        <v>0</v>
      </c>
      <c r="J13" s="47">
        <f>IF(OR(F13="Leased (LTR)",F13="Leased (STR)"),1,0)</f>
        <v>0</v>
      </c>
      <c r="K13" s="45">
        <v>1.5000000000000001E-2</v>
      </c>
      <c r="L13" s="185" t="str">
        <f>IF($K$4="Max Proceeds",'DSCR (Port Calc)'!$BT10,'DSCR (Port Calc)'!$BT32)</f>
        <v>-</v>
      </c>
      <c r="M13" s="174" t="str">
        <f>IF($K$4="Max Proceeds",'DSCR (Port Calc)'!$BU10,'DSCR (Port Calc)'!$BU32)</f>
        <v>-</v>
      </c>
      <c r="N13" s="4" t="e">
        <f>IF($K$4="Max Proceeds",'DSCR (Port Calc)'!$BX10,'DSCR (Port Calc)'!$BX32)</f>
        <v>#VALUE!</v>
      </c>
      <c r="O13" s="184" t="e">
        <f>IF($K$4="Max Proceeds",'DSCR (Port Calc)'!$CM10,'DSCR (Port Calc)'!$CM32)</f>
        <v>#VALUE!</v>
      </c>
      <c r="P13" s="184" t="e">
        <f>IF($K$4="Max Proceeds",'DSCR (Port Calc)'!$CN10,'DSCR (Port Calc)'!$CN32)</f>
        <v>#VALUE!</v>
      </c>
      <c r="Q13" s="183" t="e">
        <f>IF($K$4="Max Proceeds",'DSCR (Port Calc)'!$CO10,'DSCR (Port Calc)'!$CO32)</f>
        <v>#VALUE!</v>
      </c>
      <c r="R13" s="183" t="e">
        <f>IF($K$4="Max Proceeds",'DSCR (Port Calc)'!$CV10,'DSCR (Port Calc)'!$CV32)</f>
        <v>#VALUE!</v>
      </c>
    </row>
    <row r="14" spans="1:18" s="4" customFormat="1" ht="16.5" customHeight="1" x14ac:dyDescent="0.25">
      <c r="A14" s="47"/>
      <c r="B14" s="346" t="s">
        <v>90</v>
      </c>
      <c r="C14" s="345" t="s">
        <v>1597</v>
      </c>
      <c r="E14" s="11" t="s">
        <v>1658</v>
      </c>
      <c r="F14" s="342" t="s">
        <v>2</v>
      </c>
      <c r="G14" s="350">
        <f>SUM(G10:G13)</f>
        <v>0</v>
      </c>
      <c r="H14" s="350">
        <f>SUM(H10:H13)</f>
        <v>0</v>
      </c>
      <c r="I14" s="349">
        <f>SUM(I10:I13)</f>
        <v>0</v>
      </c>
      <c r="J14" s="47">
        <f>$C$15-SUM($J$10:$J$13)</f>
        <v>1</v>
      </c>
      <c r="K14" s="45">
        <v>1.7500000000000002E-2</v>
      </c>
      <c r="L14" s="185" t="str">
        <f>IF($K$4="Max Proceeds",'DSCR (Port Calc)'!$BT11,'DSCR (Port Calc)'!$BT33)</f>
        <v>-</v>
      </c>
      <c r="M14" s="174" t="str">
        <f>IF($K$4="Max Proceeds",'DSCR (Port Calc)'!$BU11,'DSCR (Port Calc)'!$BU33)</f>
        <v>-</v>
      </c>
      <c r="N14" s="4" t="e">
        <f>IF($K$4="Max Proceeds",'DSCR (Port Calc)'!$BX11,'DSCR (Port Calc)'!$BX33)</f>
        <v>#VALUE!</v>
      </c>
      <c r="O14" s="184" t="e">
        <f>IF($K$4="Max Proceeds",'DSCR (Port Calc)'!$CM11,'DSCR (Port Calc)'!$CM33)</f>
        <v>#VALUE!</v>
      </c>
      <c r="P14" s="184" t="e">
        <f>IF($K$4="Max Proceeds",'DSCR (Port Calc)'!$CN11,'DSCR (Port Calc)'!$CN33)</f>
        <v>#VALUE!</v>
      </c>
      <c r="Q14" s="183" t="e">
        <f>IF($K$4="Max Proceeds",'DSCR (Port Calc)'!$CO11,'DSCR (Port Calc)'!$CO33)</f>
        <v>#VALUE!</v>
      </c>
      <c r="R14" s="183" t="e">
        <f>IF($K$4="Max Proceeds",'DSCR (Port Calc)'!$CV11,'DSCR (Port Calc)'!$CV33)</f>
        <v>#VALUE!</v>
      </c>
    </row>
    <row r="15" spans="1:18" s="4" customFormat="1" ht="16.5" customHeight="1" x14ac:dyDescent="0.25">
      <c r="A15" s="47"/>
      <c r="B15" s="346" t="s">
        <v>92</v>
      </c>
      <c r="C15" s="345">
        <v>1</v>
      </c>
      <c r="G15" s="185"/>
      <c r="H15" s="185"/>
      <c r="I15" s="185"/>
      <c r="J15" s="47"/>
      <c r="K15" s="45">
        <v>0.02</v>
      </c>
      <c r="L15" s="185" t="str">
        <f>IF($K$4="Max Proceeds",'DSCR (Port Calc)'!$BT12,'DSCR (Port Calc)'!$BT34)</f>
        <v>-</v>
      </c>
      <c r="M15" s="174" t="str">
        <f>IF($K$4="Max Proceeds",'DSCR (Port Calc)'!$BU12,'DSCR (Port Calc)'!$BU34)</f>
        <v>-</v>
      </c>
      <c r="N15" s="4" t="e">
        <f>IF($K$4="Max Proceeds",'DSCR (Port Calc)'!$BX12,'DSCR (Port Calc)'!$BX34)</f>
        <v>#VALUE!</v>
      </c>
      <c r="O15" s="184" t="e">
        <f>IF($K$4="Max Proceeds",'DSCR (Port Calc)'!$CM12,'DSCR (Port Calc)'!$CM34)</f>
        <v>#VALUE!</v>
      </c>
      <c r="P15" s="184" t="e">
        <f>IF($K$4="Max Proceeds",'DSCR (Port Calc)'!$CN12,'DSCR (Port Calc)'!$CN34)</f>
        <v>#VALUE!</v>
      </c>
      <c r="Q15" s="183" t="e">
        <f>IF($K$4="Max Proceeds",'DSCR (Port Calc)'!$CO12,'DSCR (Port Calc)'!$CO34)</f>
        <v>#VALUE!</v>
      </c>
      <c r="R15" s="183" t="e">
        <f>IF($K$4="Max Proceeds",'DSCR (Port Calc)'!$CV12,'DSCR (Port Calc)'!$CV34)</f>
        <v>#VALUE!</v>
      </c>
    </row>
    <row r="16" spans="1:18" s="4" customFormat="1" ht="16.5" customHeight="1" x14ac:dyDescent="0.25">
      <c r="A16" s="47"/>
      <c r="B16" s="343" t="s">
        <v>1657</v>
      </c>
      <c r="C16" s="348"/>
      <c r="E16" s="608" t="s">
        <v>1642</v>
      </c>
      <c r="F16" s="31" t="s">
        <v>1492</v>
      </c>
      <c r="G16" s="186" t="s">
        <v>1491</v>
      </c>
      <c r="H16" s="186" t="s">
        <v>1490</v>
      </c>
      <c r="I16" s="186" t="s">
        <v>1489</v>
      </c>
      <c r="J16" s="47"/>
      <c r="K16" s="45">
        <v>2.2499999999999999E-2</v>
      </c>
      <c r="L16" s="185" t="str">
        <f>IF($K$4="Max Proceeds",'DSCR (Port Calc)'!$BT13,'DSCR (Port Calc)'!$BT35)</f>
        <v>-</v>
      </c>
      <c r="M16" s="174" t="str">
        <f>IF($K$4="Max Proceeds",'DSCR (Port Calc)'!$BU13,'DSCR (Port Calc)'!$BU35)</f>
        <v>-</v>
      </c>
      <c r="N16" s="4" t="e">
        <f>IF($K$4="Max Proceeds",'DSCR (Port Calc)'!$BX13,'DSCR (Port Calc)'!$BX35)</f>
        <v>#VALUE!</v>
      </c>
      <c r="O16" s="184" t="e">
        <f>IF($K$4="Max Proceeds",'DSCR (Port Calc)'!$CM13,'DSCR (Port Calc)'!$CM35)</f>
        <v>#VALUE!</v>
      </c>
      <c r="P16" s="184" t="e">
        <f>IF($K$4="Max Proceeds",'DSCR (Port Calc)'!$CN13,'DSCR (Port Calc)'!$CN35)</f>
        <v>#VALUE!</v>
      </c>
      <c r="Q16" s="183" t="e">
        <f>IF($K$4="Max Proceeds",'DSCR (Port Calc)'!$CO13,'DSCR (Port Calc)'!$CO35)</f>
        <v>#VALUE!</v>
      </c>
      <c r="R16" s="183" t="e">
        <f>IF($K$4="Max Proceeds",'DSCR (Port Calc)'!$CV13,'DSCR (Port Calc)'!$CV35)</f>
        <v>#VALUE!</v>
      </c>
    </row>
    <row r="17" spans="1:18" s="4" customFormat="1" ht="16.5" customHeight="1" x14ac:dyDescent="0.25">
      <c r="A17" s="47"/>
      <c r="B17" s="343" t="s">
        <v>1656</v>
      </c>
      <c r="C17" s="348"/>
      <c r="E17" s="608"/>
      <c r="F17" s="347">
        <f>'DSCR (Portfolio)'!$H$29</f>
        <v>0</v>
      </c>
      <c r="G17" s="347">
        <f>'DSCR (Portfolio)'!$I$29</f>
        <v>0</v>
      </c>
      <c r="H17" s="347">
        <f>'DSCR (Portfolio)'!$J$29</f>
        <v>0</v>
      </c>
      <c r="I17" s="347">
        <f>'DSCR (Portfolio)'!$K$29</f>
        <v>0</v>
      </c>
      <c r="J17" s="47"/>
      <c r="K17" s="45">
        <v>2.4999999999999998E-2</v>
      </c>
      <c r="L17" s="185" t="str">
        <f>IF($K$4="Max Proceeds",'DSCR (Port Calc)'!$BT14,'DSCR (Port Calc)'!$BT36)</f>
        <v>-</v>
      </c>
      <c r="M17" s="174" t="str">
        <f>IF($K$4="Max Proceeds",'DSCR (Port Calc)'!$BU14,'DSCR (Port Calc)'!$BU36)</f>
        <v>-</v>
      </c>
      <c r="N17" s="4" t="e">
        <f>IF($K$4="Max Proceeds",'DSCR (Port Calc)'!$BX14,'DSCR (Port Calc)'!$BX36)</f>
        <v>#VALUE!</v>
      </c>
      <c r="O17" s="184" t="e">
        <f>IF($K$4="Max Proceeds",'DSCR (Port Calc)'!$CM14,'DSCR (Port Calc)'!$CM36)</f>
        <v>#VALUE!</v>
      </c>
      <c r="P17" s="184" t="e">
        <f>IF($K$4="Max Proceeds",'DSCR (Port Calc)'!$CN14,'DSCR (Port Calc)'!$CN36)</f>
        <v>#VALUE!</v>
      </c>
      <c r="Q17" s="183" t="e">
        <f>IF($K$4="Max Proceeds",'DSCR (Port Calc)'!$CO14,'DSCR (Port Calc)'!$CO36)</f>
        <v>#VALUE!</v>
      </c>
      <c r="R17" s="183" t="e">
        <f>IF($K$4="Max Proceeds",'DSCR (Port Calc)'!$CV14,'DSCR (Port Calc)'!$CV36)</f>
        <v>#VALUE!</v>
      </c>
    </row>
    <row r="18" spans="1:18" s="4" customFormat="1" ht="16.5" customHeight="1" x14ac:dyDescent="0.25">
      <c r="A18" s="47"/>
      <c r="B18" s="346" t="s">
        <v>1655</v>
      </c>
      <c r="C18" s="345" t="s">
        <v>250</v>
      </c>
      <c r="G18" s="185"/>
      <c r="H18" s="185"/>
      <c r="I18" s="185"/>
      <c r="J18" s="47"/>
      <c r="K18" s="45">
        <v>2.7499999999999997E-2</v>
      </c>
      <c r="L18" s="185" t="str">
        <f>IF($K$4="Max Proceeds",'DSCR (Port Calc)'!$BT15,'DSCR (Port Calc)'!$BT37)</f>
        <v>-</v>
      </c>
      <c r="M18" s="174" t="str">
        <f>IF($K$4="Max Proceeds",'DSCR (Port Calc)'!$BU15,'DSCR (Port Calc)'!$BU37)</f>
        <v>-</v>
      </c>
      <c r="N18" s="4" t="e">
        <f>IF($K$4="Max Proceeds",'DSCR (Port Calc)'!$BX15,'DSCR (Port Calc)'!$BX37)</f>
        <v>#VALUE!</v>
      </c>
      <c r="O18" s="184" t="e">
        <f>IF($K$4="Max Proceeds",'DSCR (Port Calc)'!$CM15,'DSCR (Port Calc)'!$CM37)</f>
        <v>#VALUE!</v>
      </c>
      <c r="P18" s="184" t="e">
        <f>IF($K$4="Max Proceeds",'DSCR (Port Calc)'!$CN15,'DSCR (Port Calc)'!$CN37)</f>
        <v>#VALUE!</v>
      </c>
      <c r="Q18" s="183" t="e">
        <f>IF($K$4="Max Proceeds",'DSCR (Port Calc)'!$CO15,'DSCR (Port Calc)'!$CO37)</f>
        <v>#VALUE!</v>
      </c>
      <c r="R18" s="183" t="e">
        <f>IF($K$4="Max Proceeds",'DSCR (Port Calc)'!$CV15,'DSCR (Port Calc)'!$CV37)</f>
        <v>#VALUE!</v>
      </c>
    </row>
    <row r="19" spans="1:18" s="4" customFormat="1" ht="16.5" customHeight="1" x14ac:dyDescent="0.25">
      <c r="A19" s="47"/>
      <c r="B19" s="346" t="s">
        <v>1654</v>
      </c>
      <c r="C19" s="345">
        <v>28209</v>
      </c>
      <c r="E19" s="608" t="s">
        <v>1653</v>
      </c>
      <c r="F19" s="852" t="s">
        <v>1960</v>
      </c>
      <c r="G19" s="852"/>
      <c r="H19" s="593" t="str">
        <f>IF(AND(OR(C8="Purchase",C8="Delayed Purchase"),C15=1),"Leased-UW",IF(AND(C15=1,OR(C8="Refinance (Rate/Term)",C8="Refinance (Cash Out)"),J14=1),"Vacant-UW",IF(AND(OR(C15=2,C15=3),J14&gt;1),"Vacant-UW",IF(AND(C15=4,J14&gt;2),"Vacant-UW","Leased-UW"))))</f>
        <v>Leased-UW</v>
      </c>
      <c r="I19" s="593"/>
      <c r="J19" s="47"/>
      <c r="K19" s="45">
        <v>2.9999999999999995E-2</v>
      </c>
      <c r="L19" s="185" t="str">
        <f>IF($K$4="Max Proceeds",'DSCR (Port Calc)'!$BT16,'DSCR (Port Calc)'!$BT38)</f>
        <v>-</v>
      </c>
      <c r="M19" s="174" t="str">
        <f>IF($K$4="Max Proceeds",'DSCR (Port Calc)'!$BU16,'DSCR (Port Calc)'!$BU38)</f>
        <v>-</v>
      </c>
      <c r="N19" s="4" t="e">
        <f>IF($K$4="Max Proceeds",'DSCR (Port Calc)'!$BX16,'DSCR (Port Calc)'!$BX38)</f>
        <v>#VALUE!</v>
      </c>
      <c r="O19" s="184" t="e">
        <f>IF($K$4="Max Proceeds",'DSCR (Port Calc)'!$CM16,'DSCR (Port Calc)'!$CM38)</f>
        <v>#VALUE!</v>
      </c>
      <c r="P19" s="184" t="e">
        <f>IF($K$4="Max Proceeds",'DSCR (Port Calc)'!$CN16,'DSCR (Port Calc)'!$CN38)</f>
        <v>#VALUE!</v>
      </c>
      <c r="Q19" s="183" t="e">
        <f>IF($K$4="Max Proceeds",'DSCR (Port Calc)'!$CO16,'DSCR (Port Calc)'!$CO38)</f>
        <v>#VALUE!</v>
      </c>
      <c r="R19" s="183" t="e">
        <f>IF($K$4="Max Proceeds",'DSCR (Port Calc)'!$CV16,'DSCR (Port Calc)'!$CV38)</f>
        <v>#VALUE!</v>
      </c>
    </row>
    <row r="20" spans="1:18" s="4" customFormat="1" ht="16.5" customHeight="1" x14ac:dyDescent="0.25">
      <c r="A20" s="47"/>
      <c r="B20" s="343" t="s">
        <v>1652</v>
      </c>
      <c r="C20" s="342" t="str">
        <f>IFERROR(VLOOKUP(C19,#REF!,4,FALSE),"-")</f>
        <v>-</v>
      </c>
      <c r="E20" s="608"/>
      <c r="F20" s="852"/>
      <c r="G20" s="852"/>
      <c r="H20" s="593"/>
      <c r="I20" s="593"/>
      <c r="J20" s="47"/>
      <c r="K20" s="45">
        <v>3.2499999999999994E-2</v>
      </c>
      <c r="L20" s="185" t="str">
        <f>IF($K$4="Max Proceeds",'DSCR (Port Calc)'!$BT17,'DSCR (Port Calc)'!$BT39)</f>
        <v>-</v>
      </c>
      <c r="M20" s="174" t="str">
        <f>IF($K$4="Max Proceeds",'DSCR (Port Calc)'!$BU17,'DSCR (Port Calc)'!$BU39)</f>
        <v>-</v>
      </c>
      <c r="N20" s="4" t="e">
        <f>IF($K$4="Max Proceeds",'DSCR (Port Calc)'!$BX17,'DSCR (Port Calc)'!$BX39)</f>
        <v>#VALUE!</v>
      </c>
      <c r="O20" s="184" t="e">
        <f>IF($K$4="Max Proceeds",'DSCR (Port Calc)'!$CM17,'DSCR (Port Calc)'!$CM39)</f>
        <v>#VALUE!</v>
      </c>
      <c r="P20" s="184" t="e">
        <f>IF($K$4="Max Proceeds",'DSCR (Port Calc)'!$CN17,'DSCR (Port Calc)'!$CN39)</f>
        <v>#VALUE!</v>
      </c>
      <c r="Q20" s="183" t="e">
        <f>IF($K$4="Max Proceeds",'DSCR (Port Calc)'!$CO17,'DSCR (Port Calc)'!$CO39)</f>
        <v>#VALUE!</v>
      </c>
      <c r="R20" s="183" t="e">
        <f>IF($K$4="Max Proceeds",'DSCR (Port Calc)'!$CV17,'DSCR (Port Calc)'!$CV39)</f>
        <v>#VALUE!</v>
      </c>
    </row>
    <row r="21" spans="1:18" s="4" customFormat="1" ht="16.5" customHeight="1" x14ac:dyDescent="0.25">
      <c r="A21" s="47"/>
      <c r="B21" s="11"/>
      <c r="E21" s="11" t="s">
        <v>1625</v>
      </c>
      <c r="F21" s="781">
        <f>IF(AND($C$11="Foreign National",$C$12=""),1.1,IF($C$12&lt;720,1.2,1.1))</f>
        <v>1.2</v>
      </c>
      <c r="G21" s="781"/>
      <c r="H21" s="781"/>
      <c r="I21" s="781"/>
      <c r="J21" s="47"/>
      <c r="K21" s="45">
        <v>3.4999999999999996E-2</v>
      </c>
      <c r="L21" s="185" t="str">
        <f>IF($K$4="Max Proceeds",'DSCR (Port Calc)'!$BT18,'DSCR (Port Calc)'!$BT40)</f>
        <v>-</v>
      </c>
      <c r="M21" s="174" t="str">
        <f>IF($K$4="Max Proceeds",'DSCR (Port Calc)'!$BU18,'DSCR (Port Calc)'!$BU40)</f>
        <v>-</v>
      </c>
      <c r="N21" s="4" t="e">
        <f>IF($K$4="Max Proceeds",'DSCR (Port Calc)'!$BX18,'DSCR (Port Calc)'!$BX40)</f>
        <v>#VALUE!</v>
      </c>
      <c r="O21" s="184" t="e">
        <f>IF($K$4="Max Proceeds",'DSCR (Port Calc)'!$CM18,'DSCR (Port Calc)'!$CM40)</f>
        <v>#VALUE!</v>
      </c>
      <c r="P21" s="184" t="e">
        <f>IF($K$4="Max Proceeds",'DSCR (Port Calc)'!$CN18,'DSCR (Port Calc)'!$CN40)</f>
        <v>#VALUE!</v>
      </c>
      <c r="Q21" s="183" t="e">
        <f>IF($K$4="Max Proceeds",'DSCR (Port Calc)'!$CO18,'DSCR (Port Calc)'!$CO40)</f>
        <v>#VALUE!</v>
      </c>
      <c r="R21" s="183" t="e">
        <f>IF($K$4="Max Proceeds",'DSCR (Port Calc)'!$CV18,'DSCR (Port Calc)'!$CV40)</f>
        <v>#VALUE!</v>
      </c>
    </row>
    <row r="22" spans="1:18" s="4" customFormat="1" ht="16.5" customHeight="1" x14ac:dyDescent="0.25">
      <c r="A22" s="47"/>
      <c r="B22" s="11" t="s">
        <v>1651</v>
      </c>
      <c r="C22" s="340">
        <f>'DSCR (Portfolio)'!$L$29</f>
        <v>0</v>
      </c>
      <c r="F22" s="183"/>
      <c r="G22" s="183"/>
      <c r="H22" s="183"/>
      <c r="I22" s="183"/>
      <c r="J22" s="47"/>
      <c r="K22" s="45">
        <v>3.7499999999999999E-2</v>
      </c>
      <c r="L22" s="185" t="str">
        <f>IF($K$4="Max Proceeds",'DSCR (Port Calc)'!$BT19,'DSCR (Port Calc)'!$BT41)</f>
        <v>-</v>
      </c>
      <c r="M22" s="174" t="str">
        <f>IF($K$4="Max Proceeds",'DSCR (Port Calc)'!$BU19,'DSCR (Port Calc)'!$BU41)</f>
        <v>-</v>
      </c>
      <c r="N22" s="4" t="e">
        <f>IF($K$4="Max Proceeds",'DSCR (Port Calc)'!$BX19,'DSCR (Port Calc)'!$BX41)</f>
        <v>#VALUE!</v>
      </c>
      <c r="O22" s="184" t="e">
        <f>IF($K$4="Max Proceeds",'DSCR (Port Calc)'!$CM19,'DSCR (Port Calc)'!$CM41)</f>
        <v>#VALUE!</v>
      </c>
      <c r="P22" s="184" t="e">
        <f>IF($K$4="Max Proceeds",'DSCR (Port Calc)'!$CN19,'DSCR (Port Calc)'!$CN41)</f>
        <v>#VALUE!</v>
      </c>
      <c r="Q22" s="183" t="e">
        <f>IF($K$4="Max Proceeds",'DSCR (Port Calc)'!$CO19,'DSCR (Port Calc)'!$CO41)</f>
        <v>#VALUE!</v>
      </c>
      <c r="R22" s="183" t="e">
        <f>IF($K$4="Max Proceeds",'DSCR (Port Calc)'!$CV19,'DSCR (Port Calc)'!$CV41)</f>
        <v>#VALUE!</v>
      </c>
    </row>
    <row r="23" spans="1:18" s="4" customFormat="1" ht="16.5" customHeight="1" x14ac:dyDescent="0.25">
      <c r="A23" s="47"/>
      <c r="B23" s="11"/>
      <c r="E23" s="570" t="s">
        <v>1650</v>
      </c>
      <c r="F23" s="571"/>
      <c r="G23" s="571"/>
      <c r="H23" s="571"/>
      <c r="I23" s="572"/>
      <c r="J23" s="47"/>
      <c r="K23" s="45">
        <v>0.04</v>
      </c>
      <c r="L23" s="185" t="str">
        <f>IF($K$4="Max Proceeds",'DSCR (Port Calc)'!$BT20,'DSCR (Port Calc)'!$BT42)</f>
        <v>-</v>
      </c>
      <c r="M23" s="174" t="str">
        <f>IF($K$4="Max Proceeds",'DSCR (Port Calc)'!$BU20,'DSCR (Port Calc)'!$BU42)</f>
        <v>-</v>
      </c>
      <c r="N23" s="4" t="e">
        <f>IF($K$4="Max Proceeds",'DSCR (Port Calc)'!$BX20,'DSCR (Port Calc)'!$BX42)</f>
        <v>#VALUE!</v>
      </c>
      <c r="O23" s="184" t="e">
        <f>IF($K$4="Max Proceeds",'DSCR (Port Calc)'!$CM20,'DSCR (Port Calc)'!$CM42)</f>
        <v>#VALUE!</v>
      </c>
      <c r="P23" s="184" t="e">
        <f>IF($K$4="Max Proceeds",'DSCR (Port Calc)'!$CN20,'DSCR (Port Calc)'!$CN42)</f>
        <v>#VALUE!</v>
      </c>
      <c r="Q23" s="183" t="e">
        <f>IF($K$4="Max Proceeds",'DSCR (Port Calc)'!$CO20,'DSCR (Port Calc)'!$CO42)</f>
        <v>#VALUE!</v>
      </c>
      <c r="R23" s="183" t="e">
        <f>IF($K$4="Max Proceeds",'DSCR (Port Calc)'!$CV20,'DSCR (Port Calc)'!$CV42)</f>
        <v>#VALUE!</v>
      </c>
    </row>
    <row r="24" spans="1:18" s="4" customFormat="1" ht="16.5" customHeight="1" x14ac:dyDescent="0.25">
      <c r="A24" s="47"/>
      <c r="B24" s="343" t="s">
        <v>1649</v>
      </c>
      <c r="C24" s="344"/>
      <c r="E24" s="181"/>
      <c r="F24" s="574" t="s">
        <v>1648</v>
      </c>
      <c r="G24" s="574"/>
      <c r="H24" s="574" t="s">
        <v>1647</v>
      </c>
      <c r="I24" s="575"/>
      <c r="J24" s="47"/>
    </row>
    <row r="25" spans="1:18" s="4" customFormat="1" ht="16.5" customHeight="1" x14ac:dyDescent="0.25">
      <c r="A25" s="47"/>
      <c r="B25" s="11" t="s">
        <v>1646</v>
      </c>
      <c r="C25" s="340">
        <f>'DSCR (Portfolio)'!$M$29</f>
        <v>0</v>
      </c>
      <c r="E25" s="11" t="s">
        <v>1645</v>
      </c>
      <c r="F25" s="625"/>
      <c r="G25" s="625"/>
      <c r="H25" s="576"/>
      <c r="I25" s="576"/>
      <c r="J25" s="47"/>
      <c r="K25" s="570" t="s">
        <v>1644</v>
      </c>
      <c r="L25" s="571"/>
      <c r="M25" s="571"/>
      <c r="N25" s="571"/>
      <c r="O25" s="571"/>
      <c r="P25" s="571"/>
      <c r="Q25" s="571"/>
      <c r="R25" s="572"/>
    </row>
    <row r="26" spans="1:18" s="4" customFormat="1" ht="16.5" customHeight="1" x14ac:dyDescent="0.25">
      <c r="A26" s="47"/>
      <c r="B26" s="11" t="s">
        <v>1643</v>
      </c>
      <c r="C26" s="340">
        <f>'DSCR (Portfolio)'!$O$29</f>
        <v>0</v>
      </c>
      <c r="E26" s="11" t="s">
        <v>1642</v>
      </c>
      <c r="F26" s="568">
        <f>$F$25*'DSCR (Port Calc)'!$C$32</f>
        <v>0</v>
      </c>
      <c r="G26" s="568"/>
      <c r="H26" s="576"/>
      <c r="I26" s="576"/>
      <c r="J26" s="47"/>
      <c r="K26" s="32" t="s">
        <v>1641</v>
      </c>
      <c r="L26" s="31" t="s">
        <v>1640</v>
      </c>
      <c r="M26" s="31" t="s">
        <v>1639</v>
      </c>
      <c r="N26" s="31" t="s">
        <v>1638</v>
      </c>
      <c r="O26" s="31" t="s">
        <v>1637</v>
      </c>
      <c r="P26" s="31" t="s">
        <v>1636</v>
      </c>
      <c r="Q26" s="31" t="s">
        <v>1635</v>
      </c>
      <c r="R26" s="33" t="s">
        <v>1634</v>
      </c>
    </row>
    <row r="27" spans="1:18" s="4" customFormat="1" ht="16.5" customHeight="1" x14ac:dyDescent="0.25">
      <c r="A27" s="47"/>
      <c r="B27" s="11" t="s">
        <v>66</v>
      </c>
      <c r="C27" s="340">
        <f>'DSCR (Portfolio)'!$P$29</f>
        <v>0</v>
      </c>
      <c r="E27" s="11" t="s">
        <v>1633</v>
      </c>
      <c r="F27" s="625"/>
      <c r="G27" s="625"/>
      <c r="H27" s="576"/>
      <c r="I27" s="576"/>
      <c r="J27" s="47"/>
      <c r="K27" s="180" t="s">
        <v>1632</v>
      </c>
      <c r="L27" s="179" t="e">
        <f>'DSCR (Port Calc)'!$D$49</f>
        <v>#N/A</v>
      </c>
      <c r="M27" s="179" t="e">
        <f>'DSCR (Port Calc)'!$G$49</f>
        <v>#N/A</v>
      </c>
      <c r="N27" s="179" t="e">
        <f>'DSCR (Port Calc)'!$J$49</f>
        <v>#N/A</v>
      </c>
      <c r="O27" s="179" t="e">
        <f>'DSCR (Port Calc)'!$M$49</f>
        <v>#N/A</v>
      </c>
      <c r="P27" s="179" t="e">
        <f>'DSCR (Port Calc)'!$P$49</f>
        <v>#N/A</v>
      </c>
      <c r="Q27" s="179" t="e">
        <f>'DSCR (Port Calc)'!$S$49</f>
        <v>#N/A</v>
      </c>
      <c r="R27" s="178" t="e">
        <f>'DSCR (Port Calc)'!$V$49</f>
        <v>#N/A</v>
      </c>
    </row>
    <row r="28" spans="1:18" s="4" customFormat="1" ht="16.5" customHeight="1" x14ac:dyDescent="0.25">
      <c r="A28" s="47"/>
      <c r="B28" s="11" t="s">
        <v>1631</v>
      </c>
      <c r="C28" s="37">
        <f>$C$27/$C$15</f>
        <v>0</v>
      </c>
      <c r="E28" s="11" t="s">
        <v>1630</v>
      </c>
      <c r="F28" s="625"/>
      <c r="G28" s="625"/>
      <c r="H28" s="576"/>
      <c r="I28" s="576"/>
      <c r="J28" s="47"/>
      <c r="K28" s="45">
        <v>0</v>
      </c>
      <c r="L28" s="174" t="str">
        <f>'DSCR (Port Calc)'!$F67</f>
        <v>-</v>
      </c>
      <c r="M28" s="174" t="str">
        <f>'DSCR (Port Calc)'!$I67</f>
        <v>-</v>
      </c>
      <c r="N28" s="174" t="str">
        <f>'DSCR (Port Calc)'!$L67</f>
        <v>-</v>
      </c>
      <c r="O28" s="174" t="str">
        <f>'DSCR (Port Calc)'!$O67</f>
        <v>-</v>
      </c>
      <c r="P28" s="174" t="str">
        <f>'DSCR (Port Calc)'!$R67</f>
        <v>-</v>
      </c>
      <c r="Q28" s="174" t="str">
        <f>'DSCR (Port Calc)'!$U67</f>
        <v>-</v>
      </c>
      <c r="R28" s="174" t="str">
        <f>'DSCR (Port Calc)'!$X67</f>
        <v>-</v>
      </c>
    </row>
    <row r="29" spans="1:18" s="4" customFormat="1" ht="16.5" customHeight="1" x14ac:dyDescent="0.25">
      <c r="A29" s="47"/>
      <c r="B29" s="11"/>
      <c r="E29" s="11" t="s">
        <v>1629</v>
      </c>
      <c r="F29" s="586">
        <f>500*$C$15</f>
        <v>500</v>
      </c>
      <c r="G29" s="586"/>
      <c r="H29" s="586">
        <f>500*$C$15</f>
        <v>500</v>
      </c>
      <c r="I29" s="586"/>
      <c r="J29" s="47"/>
      <c r="K29" s="45">
        <v>2.5000000000000001E-3</v>
      </c>
      <c r="L29" s="174" t="str">
        <f>'DSCR (Port Calc)'!$F68</f>
        <v>-</v>
      </c>
      <c r="M29" s="174" t="str">
        <f>'DSCR (Port Calc)'!$I68</f>
        <v>-</v>
      </c>
      <c r="N29" s="174" t="str">
        <f>'DSCR (Port Calc)'!$L68</f>
        <v>-</v>
      </c>
      <c r="O29" s="174" t="str">
        <f>'DSCR (Port Calc)'!$O68</f>
        <v>-</v>
      </c>
      <c r="P29" s="174" t="str">
        <f>'DSCR (Port Calc)'!$R68</f>
        <v>-</v>
      </c>
      <c r="Q29" s="174" t="str">
        <f>'DSCR (Port Calc)'!$U68</f>
        <v>-</v>
      </c>
      <c r="R29" s="174" t="str">
        <f>'DSCR (Port Calc)'!$X68</f>
        <v>-</v>
      </c>
    </row>
    <row r="30" spans="1:18" s="4" customFormat="1" ht="16.5" customHeight="1" x14ac:dyDescent="0.25">
      <c r="A30" s="47" t="str">
        <f>'DSCR (Port Calc)'!$C$6&amp;"PPP"</f>
        <v>SFRPPP</v>
      </c>
      <c r="B30" s="11" t="s">
        <v>1628</v>
      </c>
      <c r="C30" s="341">
        <f>'DSCR (Portfolio)'!$C$10</f>
        <v>0</v>
      </c>
      <c r="E30" s="11" t="s">
        <v>1627</v>
      </c>
      <c r="F30" s="586">
        <f>$F$25-SUM($F$26:$G$29)</f>
        <v>-500</v>
      </c>
      <c r="G30" s="586"/>
      <c r="H30" s="586">
        <f>$H$25-SUM($H$26:$I$29)</f>
        <v>-500</v>
      </c>
      <c r="I30" s="586"/>
      <c r="J30" s="47"/>
      <c r="K30" s="45">
        <v>5.0000000000000001E-3</v>
      </c>
      <c r="L30" s="174" t="str">
        <f>'DSCR (Port Calc)'!$F69</f>
        <v>-</v>
      </c>
      <c r="M30" s="174" t="str">
        <f>'DSCR (Port Calc)'!$I69</f>
        <v>-</v>
      </c>
      <c r="N30" s="174" t="str">
        <f>'DSCR (Port Calc)'!$L69</f>
        <v>-</v>
      </c>
      <c r="O30" s="174" t="str">
        <f>'DSCR (Port Calc)'!$O69</f>
        <v>-</v>
      </c>
      <c r="P30" s="174" t="str">
        <f>'DSCR (Port Calc)'!$R69</f>
        <v>-</v>
      </c>
      <c r="Q30" s="174" t="str">
        <f>'DSCR (Port Calc)'!$U69</f>
        <v>-</v>
      </c>
      <c r="R30" s="174" t="str">
        <f>'DSCR (Port Calc)'!$X69</f>
        <v>-</v>
      </c>
    </row>
    <row r="31" spans="1:18" s="4" customFormat="1" ht="16.5" customHeight="1" x14ac:dyDescent="0.25">
      <c r="A31" s="47"/>
      <c r="B31" s="343" t="s">
        <v>1626</v>
      </c>
      <c r="C31" s="342" t="str">
        <f>IFERROR(VLOOKUP(C30,'DSCR (Port Legend)'!$AE$1:$AF$9,2,FALSE),"-")</f>
        <v>-</v>
      </c>
      <c r="J31" s="47"/>
      <c r="K31" s="45">
        <v>7.4999999999999997E-3</v>
      </c>
      <c r="L31" s="174" t="str">
        <f>'DSCR (Port Calc)'!$F70</f>
        <v>-</v>
      </c>
      <c r="M31" s="174" t="str">
        <f>'DSCR (Port Calc)'!$I70</f>
        <v>-</v>
      </c>
      <c r="N31" s="174" t="str">
        <f>'DSCR (Port Calc)'!$L70</f>
        <v>-</v>
      </c>
      <c r="O31" s="174" t="str">
        <f>'DSCR (Port Calc)'!$O70</f>
        <v>-</v>
      </c>
      <c r="P31" s="174" t="str">
        <f>'DSCR (Port Calc)'!$R70</f>
        <v>-</v>
      </c>
      <c r="Q31" s="174" t="str">
        <f>'DSCR (Port Calc)'!$U70</f>
        <v>-</v>
      </c>
      <c r="R31" s="174" t="str">
        <f>'DSCR (Port Calc)'!$X70</f>
        <v>-</v>
      </c>
    </row>
    <row r="32" spans="1:18" s="4" customFormat="1" ht="16.5" customHeight="1" x14ac:dyDescent="0.25">
      <c r="A32" s="47" t="str">
        <f>'DSCR (Port Calc)'!$C$6&amp;"Term"</f>
        <v>SFRTerm</v>
      </c>
      <c r="B32" s="11" t="s">
        <v>106</v>
      </c>
      <c r="C32" s="341">
        <f>'DSCR (Portfolio)'!$C$11</f>
        <v>0</v>
      </c>
      <c r="E32" s="608" t="s">
        <v>1625</v>
      </c>
      <c r="F32" s="781">
        <f>'DSCR (Port Calc)'!$L$30</f>
        <v>1.2</v>
      </c>
      <c r="G32" s="781"/>
      <c r="H32" s="781"/>
      <c r="I32" s="781"/>
      <c r="J32" s="47"/>
      <c r="K32" s="45">
        <v>0.01</v>
      </c>
      <c r="L32" s="174" t="str">
        <f>'DSCR (Port Calc)'!$F71</f>
        <v>-</v>
      </c>
      <c r="M32" s="174" t="str">
        <f>'DSCR (Port Calc)'!$I71</f>
        <v>-</v>
      </c>
      <c r="N32" s="174" t="str">
        <f>'DSCR (Port Calc)'!$L71</f>
        <v>-</v>
      </c>
      <c r="O32" s="174" t="str">
        <f>'DSCR (Port Calc)'!$O71</f>
        <v>-</v>
      </c>
      <c r="P32" s="174" t="str">
        <f>'DSCR (Port Calc)'!$R71</f>
        <v>-</v>
      </c>
      <c r="Q32" s="174" t="str">
        <f>'DSCR (Port Calc)'!$U71</f>
        <v>-</v>
      </c>
      <c r="R32" s="174" t="str">
        <f>'DSCR (Port Calc)'!$X71</f>
        <v>-</v>
      </c>
    </row>
    <row r="33" spans="1:20" s="4" customFormat="1" ht="16.5" customHeight="1" x14ac:dyDescent="0.25">
      <c r="A33" s="47" t="str">
        <f>'DSCR (Port Calc)'!$C$6&amp;"Amort"</f>
        <v>SFRAmort</v>
      </c>
      <c r="B33" s="11" t="s">
        <v>1624</v>
      </c>
      <c r="C33" s="341">
        <f>'DSCR (Portfolio)'!$C$12</f>
        <v>0</v>
      </c>
      <c r="E33" s="608"/>
      <c r="F33" s="781"/>
      <c r="G33" s="781"/>
      <c r="H33" s="781"/>
      <c r="I33" s="781"/>
      <c r="J33" s="47"/>
      <c r="K33" s="45">
        <v>1.2500000000000001E-2</v>
      </c>
      <c r="L33" s="174" t="str">
        <f>'DSCR (Port Calc)'!$F72</f>
        <v>-</v>
      </c>
      <c r="M33" s="174" t="str">
        <f>'DSCR (Port Calc)'!$I72</f>
        <v>-</v>
      </c>
      <c r="N33" s="174" t="str">
        <f>'DSCR (Port Calc)'!$L72</f>
        <v>-</v>
      </c>
      <c r="O33" s="174" t="str">
        <f>'DSCR (Port Calc)'!$O72</f>
        <v>-</v>
      </c>
      <c r="P33" s="174" t="str">
        <f>'DSCR (Port Calc)'!$R72</f>
        <v>-</v>
      </c>
      <c r="Q33" s="174" t="str">
        <f>'DSCR (Port Calc)'!$U72</f>
        <v>-</v>
      </c>
      <c r="R33" s="174" t="str">
        <f>'DSCR (Port Calc)'!$X72</f>
        <v>-</v>
      </c>
    </row>
    <row r="34" spans="1:20" s="4" customFormat="1" ht="16.5" customHeight="1" x14ac:dyDescent="0.25">
      <c r="A34" s="47" t="str">
        <f>'DSCR (Port Calc)'!$C$6&amp;"IO"</f>
        <v>SFRIO</v>
      </c>
      <c r="B34" s="11" t="s">
        <v>1623</v>
      </c>
      <c r="C34" s="341">
        <f>'DSCR (Portfolio)'!$C$13</f>
        <v>0</v>
      </c>
      <c r="E34" s="11" t="s">
        <v>1622</v>
      </c>
      <c r="F34" s="786"/>
      <c r="G34" s="786"/>
      <c r="H34" s="787">
        <f>($C$15-$F$34)/$C$15</f>
        <v>1</v>
      </c>
      <c r="I34" s="787"/>
      <c r="J34" s="47"/>
      <c r="K34" s="45">
        <v>1.5000000000000001E-2</v>
      </c>
      <c r="L34" s="174" t="str">
        <f>'DSCR (Port Calc)'!$F73</f>
        <v>-</v>
      </c>
      <c r="M34" s="174" t="str">
        <f>'DSCR (Port Calc)'!$I73</f>
        <v>-</v>
      </c>
      <c r="N34" s="174" t="str">
        <f>'DSCR (Port Calc)'!$L73</f>
        <v>-</v>
      </c>
      <c r="O34" s="174" t="str">
        <f>'DSCR (Port Calc)'!$O73</f>
        <v>-</v>
      </c>
      <c r="P34" s="174" t="str">
        <f>'DSCR (Port Calc)'!$R73</f>
        <v>-</v>
      </c>
      <c r="Q34" s="174" t="str">
        <f>'DSCR (Port Calc)'!$U73</f>
        <v>-</v>
      </c>
      <c r="R34" s="174" t="str">
        <f>'DSCR (Port Calc)'!$X73</f>
        <v>-</v>
      </c>
    </row>
    <row r="35" spans="1:20" s="4" customFormat="1" ht="16.5" customHeight="1" x14ac:dyDescent="0.25">
      <c r="A35" s="47"/>
      <c r="J35" s="47"/>
      <c r="K35" s="45">
        <v>1.7500000000000002E-2</v>
      </c>
      <c r="L35" s="174" t="str">
        <f>'DSCR (Port Calc)'!$F74</f>
        <v>-</v>
      </c>
      <c r="M35" s="174" t="str">
        <f>'DSCR (Port Calc)'!$I74</f>
        <v>-</v>
      </c>
      <c r="N35" s="174" t="str">
        <f>'DSCR (Port Calc)'!$L74</f>
        <v>-</v>
      </c>
      <c r="O35" s="174" t="str">
        <f>'DSCR (Port Calc)'!$O74</f>
        <v>-</v>
      </c>
      <c r="P35" s="174" t="str">
        <f>'DSCR (Port Calc)'!$R74</f>
        <v>-</v>
      </c>
      <c r="Q35" s="174" t="str">
        <f>'DSCR (Port Calc)'!$U74</f>
        <v>-</v>
      </c>
      <c r="R35" s="174" t="str">
        <f>'DSCR (Port Calc)'!$X74</f>
        <v>-</v>
      </c>
    </row>
    <row r="36" spans="1:20" s="4" customFormat="1" ht="16.5" customHeight="1" x14ac:dyDescent="0.25">
      <c r="A36" s="47"/>
      <c r="B36" s="579" t="s">
        <v>1621</v>
      </c>
      <c r="C36" s="621"/>
      <c r="D36" s="621"/>
      <c r="E36" s="621"/>
      <c r="F36" s="621"/>
      <c r="G36" s="621"/>
      <c r="H36" s="621"/>
      <c r="I36" s="580"/>
      <c r="J36" s="47"/>
      <c r="K36" s="45">
        <v>0.02</v>
      </c>
      <c r="L36" s="174" t="str">
        <f>'DSCR (Port Calc)'!$F75</f>
        <v>-</v>
      </c>
      <c r="M36" s="174" t="str">
        <f>'DSCR (Port Calc)'!$I75</f>
        <v>-</v>
      </c>
      <c r="N36" s="174" t="str">
        <f>'DSCR (Port Calc)'!$L75</f>
        <v>-</v>
      </c>
      <c r="O36" s="174" t="str">
        <f>'DSCR (Port Calc)'!$O75</f>
        <v>-</v>
      </c>
      <c r="P36" s="174" t="str">
        <f>'DSCR (Port Calc)'!$R75</f>
        <v>-</v>
      </c>
      <c r="Q36" s="174" t="str">
        <f>'DSCR (Port Calc)'!$U75</f>
        <v>-</v>
      </c>
      <c r="R36" s="174" t="str">
        <f>'DSCR (Port Calc)'!$X75</f>
        <v>-</v>
      </c>
    </row>
    <row r="37" spans="1:20" s="4" customFormat="1" ht="16.5" customHeight="1" x14ac:dyDescent="0.25">
      <c r="A37" s="47"/>
      <c r="J37" s="47"/>
      <c r="K37" s="45">
        <v>2.2499999999999999E-2</v>
      </c>
      <c r="L37" s="174" t="str">
        <f>'DSCR (Port Calc)'!$F76</f>
        <v>-</v>
      </c>
      <c r="M37" s="174" t="str">
        <f>'DSCR (Port Calc)'!$I76</f>
        <v>-</v>
      </c>
      <c r="N37" s="174" t="str">
        <f>'DSCR (Port Calc)'!$L76</f>
        <v>-</v>
      </c>
      <c r="O37" s="174" t="str">
        <f>'DSCR (Port Calc)'!$O76</f>
        <v>-</v>
      </c>
      <c r="P37" s="174" t="str">
        <f>'DSCR (Port Calc)'!$R76</f>
        <v>-</v>
      </c>
      <c r="Q37" s="174" t="str">
        <f>'DSCR (Port Calc)'!$U76</f>
        <v>-</v>
      </c>
      <c r="R37" s="174" t="str">
        <f>'DSCR (Port Calc)'!$X76</f>
        <v>-</v>
      </c>
    </row>
    <row r="38" spans="1:20" s="4" customFormat="1" ht="16.5" customHeight="1" x14ac:dyDescent="0.25">
      <c r="A38" s="47"/>
      <c r="B38" s="11" t="s">
        <v>1620</v>
      </c>
      <c r="C38" s="340">
        <f>'DSCR (Portfolio)'!$C$16</f>
        <v>0</v>
      </c>
      <c r="E38" s="11" t="s">
        <v>1619</v>
      </c>
      <c r="F38" s="568">
        <f>IF($C$34="No IO","-",$C$38*($C$42/12))</f>
        <v>0</v>
      </c>
      <c r="G38" s="568"/>
      <c r="H38" s="568">
        <f>IF($C$34="No IO","-",IF('DSCR (Port Calc)'!$C$6="SFR",$F$38+((SUM($F$17:$I$17)/12)),IF('DSCR (Port Calc)'!$C$6="Multi",$F$38+((SUM($F$27:$G$28)/12)),"-")))</f>
        <v>0</v>
      </c>
      <c r="I38" s="568"/>
      <c r="J38" s="47"/>
      <c r="K38" s="45">
        <v>2.4999999999999998E-2</v>
      </c>
      <c r="L38" s="174" t="str">
        <f>'DSCR (Port Calc)'!$F77</f>
        <v>-</v>
      </c>
      <c r="M38" s="174" t="str">
        <f>'DSCR (Port Calc)'!$I77</f>
        <v>-</v>
      </c>
      <c r="N38" s="174" t="str">
        <f>'DSCR (Port Calc)'!$L77</f>
        <v>-</v>
      </c>
      <c r="O38" s="174" t="str">
        <f>'DSCR (Port Calc)'!$O77</f>
        <v>-</v>
      </c>
      <c r="P38" s="174" t="str">
        <f>'DSCR (Port Calc)'!$R77</f>
        <v>-</v>
      </c>
      <c r="Q38" s="174" t="str">
        <f>'DSCR (Port Calc)'!$U77</f>
        <v>-</v>
      </c>
      <c r="R38" s="174" t="str">
        <f>'DSCR (Port Calc)'!$X77</f>
        <v>-</v>
      </c>
    </row>
    <row r="39" spans="1:20" s="4" customFormat="1" ht="16.5" customHeight="1" x14ac:dyDescent="0.25">
      <c r="A39" s="47"/>
      <c r="B39" s="11" t="s">
        <v>1618</v>
      </c>
      <c r="C39" s="36" t="e">
        <f>'DSCR (Port Calc)'!$G$89</f>
        <v>#DIV/0!</v>
      </c>
      <c r="E39" s="11" t="s">
        <v>1617</v>
      </c>
      <c r="F39" s="568" t="e">
        <f>ROUND(PMT($C$42/12,'DSCR (Port Calc)'!$C$17,-$C$38),2)</f>
        <v>#VALUE!</v>
      </c>
      <c r="G39" s="568"/>
      <c r="H39" s="568" t="e">
        <f>IF('DSCR (Port Calc)'!$C$6="SFR",$F$39+((SUM($F$17:$I$17)/12)),IF('DSCR (Port Calc)'!$C$6="Multi",$F$39+((SUM($F$27:$G$28)/12)),"-"))</f>
        <v>#VALUE!</v>
      </c>
      <c r="I39" s="568"/>
      <c r="J39" s="47"/>
      <c r="K39" s="45">
        <v>2.7499999999999997E-2</v>
      </c>
      <c r="L39" s="174" t="str">
        <f>'DSCR (Port Calc)'!$F78</f>
        <v>-</v>
      </c>
      <c r="M39" s="174" t="str">
        <f>'DSCR (Port Calc)'!$I78</f>
        <v>-</v>
      </c>
      <c r="N39" s="174" t="str">
        <f>'DSCR (Port Calc)'!$L78</f>
        <v>-</v>
      </c>
      <c r="O39" s="174" t="str">
        <f>'DSCR (Port Calc)'!$O78</f>
        <v>-</v>
      </c>
      <c r="P39" s="174" t="str">
        <f>'DSCR (Port Calc)'!$R78</f>
        <v>-</v>
      </c>
      <c r="Q39" s="174" t="str">
        <f>'DSCR (Port Calc)'!$U78</f>
        <v>-</v>
      </c>
      <c r="R39" s="174" t="str">
        <f>'DSCR (Port Calc)'!$X78</f>
        <v>-</v>
      </c>
    </row>
    <row r="40" spans="1:20" s="4" customFormat="1" ht="16.5" customHeight="1" x14ac:dyDescent="0.25">
      <c r="A40" s="47"/>
      <c r="B40" s="11" t="s">
        <v>1616</v>
      </c>
      <c r="C40" s="177">
        <f>$C$9</f>
        <v>0</v>
      </c>
      <c r="E40" s="11" t="s">
        <v>1615</v>
      </c>
      <c r="F40" s="568">
        <f>IF($C$8="Purchase",$C$25-$C$38,IF(AND($C$8="Refinance (Rate/Term)",$C$38&lt;$C$22),$C$22-$C$38,0))</f>
        <v>0</v>
      </c>
      <c r="G40" s="568"/>
      <c r="H40" s="568">
        <f>IFERROR($C$38*($C$43+1%),0)</f>
        <v>0</v>
      </c>
      <c r="I40" s="568"/>
      <c r="J40" s="47"/>
      <c r="K40" s="45">
        <v>2.9999999999999995E-2</v>
      </c>
      <c r="L40" s="174" t="str">
        <f>'DSCR (Port Calc)'!$F79</f>
        <v>-</v>
      </c>
      <c r="M40" s="174" t="str">
        <f>'DSCR (Port Calc)'!$I79</f>
        <v>-</v>
      </c>
      <c r="N40" s="174" t="str">
        <f>'DSCR (Port Calc)'!$L79</f>
        <v>-</v>
      </c>
      <c r="O40" s="174" t="str">
        <f>'DSCR (Port Calc)'!$O79</f>
        <v>-</v>
      </c>
      <c r="P40" s="174" t="str">
        <f>'DSCR (Port Calc)'!$R79</f>
        <v>-</v>
      </c>
      <c r="Q40" s="174" t="str">
        <f>'DSCR (Port Calc)'!$U79</f>
        <v>-</v>
      </c>
      <c r="R40" s="174" t="str">
        <f>'DSCR (Port Calc)'!$X79</f>
        <v>-</v>
      </c>
    </row>
    <row r="41" spans="1:20" s="4" customFormat="1" ht="16.5" customHeight="1" x14ac:dyDescent="0.25">
      <c r="A41" s="47"/>
      <c r="B41" s="11" t="s">
        <v>109</v>
      </c>
      <c r="C41" s="338">
        <f>'DSCR (Portfolio)'!$C$17</f>
        <v>0</v>
      </c>
      <c r="E41" s="11" t="s">
        <v>1614</v>
      </c>
      <c r="F41" s="586">
        <f>IF($C$11="Foreign National",IF(AND('DSCR (Port Calc)'!$C$6="SFR",$C$34="No IO"),$H$39*12,IF('DSCR (Port Calc)'!$C$6="SFR",$H$38*12,IF('DSCR (Port Calc)'!$C$6="Multi",5%*$C$38,"-"))),IF(AND('DSCR (Port Calc)'!$C$6="SFR",$C$34="No IO"),$H$39*9,IF('DSCR (Port Calc)'!$C$6="SFR",$H$38*9,IF('DSCR (Port Calc)'!$C$6="Multi",5%*$C$38,"-"))))</f>
        <v>0</v>
      </c>
      <c r="G41" s="586"/>
      <c r="H41" s="586"/>
      <c r="I41" s="586"/>
      <c r="J41" s="47"/>
      <c r="K41" s="45">
        <v>3.2499999999999994E-2</v>
      </c>
      <c r="L41" s="174" t="str">
        <f>'DSCR (Port Calc)'!$F80</f>
        <v>-</v>
      </c>
      <c r="M41" s="174" t="str">
        <f>'DSCR (Port Calc)'!$I80</f>
        <v>-</v>
      </c>
      <c r="N41" s="174" t="str">
        <f>'DSCR (Port Calc)'!$L80</f>
        <v>-</v>
      </c>
      <c r="O41" s="174" t="str">
        <f>'DSCR (Port Calc)'!$O80</f>
        <v>-</v>
      </c>
      <c r="P41" s="174" t="str">
        <f>'DSCR (Port Calc)'!$R80</f>
        <v>-</v>
      </c>
      <c r="Q41" s="174" t="str">
        <f>'DSCR (Port Calc)'!$U80</f>
        <v>-</v>
      </c>
      <c r="R41" s="174" t="str">
        <f>'DSCR (Port Calc)'!$X80</f>
        <v>-</v>
      </c>
    </row>
    <row r="42" spans="1:20" s="4" customFormat="1" ht="16.5" customHeight="1" x14ac:dyDescent="0.25">
      <c r="A42" s="47"/>
      <c r="B42" s="11" t="s">
        <v>1613</v>
      </c>
      <c r="C42" s="339">
        <f>'DSCR (Portfolio)'!$C$18</f>
        <v>0</v>
      </c>
      <c r="E42" s="11" t="s">
        <v>1612</v>
      </c>
      <c r="F42" s="586">
        <f>IF('DSCR (Port Calc)'!$C$6="SFR",85%*SUM($F$17:$H$17),IF('DSCR (Port Calc)'!$C$6="Multi",85%*SUM($F$27:$G$28),"-"))</f>
        <v>0</v>
      </c>
      <c r="G42" s="586"/>
      <c r="H42" s="586"/>
      <c r="I42" s="586"/>
      <c r="J42" s="47"/>
      <c r="K42" s="45">
        <v>3.4999999999999996E-2</v>
      </c>
      <c r="L42" s="174" t="str">
        <f>'DSCR (Port Calc)'!$F81</f>
        <v>-</v>
      </c>
      <c r="M42" s="174" t="str">
        <f>'DSCR (Port Calc)'!$I81</f>
        <v>-</v>
      </c>
      <c r="N42" s="174" t="str">
        <f>'DSCR (Port Calc)'!$L81</f>
        <v>-</v>
      </c>
      <c r="O42" s="174" t="str">
        <f>'DSCR (Port Calc)'!$O81</f>
        <v>-</v>
      </c>
      <c r="P42" s="174" t="str">
        <f>'DSCR (Port Calc)'!$R81</f>
        <v>-</v>
      </c>
      <c r="Q42" s="174" t="str">
        <f>'DSCR (Port Calc)'!$U81</f>
        <v>-</v>
      </c>
      <c r="R42" s="174" t="str">
        <f>'DSCR (Port Calc)'!$X81</f>
        <v>-</v>
      </c>
    </row>
    <row r="43" spans="1:20" s="4" customFormat="1" ht="16.5" customHeight="1" x14ac:dyDescent="0.25">
      <c r="A43" s="47"/>
      <c r="B43" s="11" t="s">
        <v>1611</v>
      </c>
      <c r="C43" s="338">
        <f>'DSCR (Portfolio)'!$C$19</f>
        <v>0</v>
      </c>
      <c r="E43" s="11" t="s">
        <v>1610</v>
      </c>
      <c r="F43" s="586">
        <f>SUM($F$40,$H$40,$F$41,$F$42)</f>
        <v>0</v>
      </c>
      <c r="G43" s="586"/>
      <c r="H43" s="586"/>
      <c r="I43" s="586"/>
      <c r="J43" s="47"/>
      <c r="K43" s="45">
        <v>3.7499999999999999E-2</v>
      </c>
      <c r="L43" s="174" t="str">
        <f>'DSCR (Port Calc)'!$F82</f>
        <v>-</v>
      </c>
      <c r="M43" s="174" t="str">
        <f>'DSCR (Port Calc)'!$I82</f>
        <v>-</v>
      </c>
      <c r="N43" s="174" t="str">
        <f>'DSCR (Port Calc)'!$L82</f>
        <v>-</v>
      </c>
      <c r="O43" s="174" t="str">
        <f>'DSCR (Port Calc)'!$O82</f>
        <v>-</v>
      </c>
      <c r="P43" s="174" t="str">
        <f>'DSCR (Port Calc)'!$R82</f>
        <v>-</v>
      </c>
      <c r="Q43" s="174" t="str">
        <f>'DSCR (Port Calc)'!$U82</f>
        <v>-</v>
      </c>
      <c r="R43" s="174" t="str">
        <f>'DSCR (Port Calc)'!$X82</f>
        <v>-</v>
      </c>
    </row>
    <row r="44" spans="1:20" s="4" customFormat="1" ht="16.5" customHeight="1" x14ac:dyDescent="0.25">
      <c r="A44" s="47"/>
      <c r="B44" s="11" t="s">
        <v>1609</v>
      </c>
      <c r="C44" s="36" t="str">
        <f>$C$31</f>
        <v>-</v>
      </c>
      <c r="E44" s="11" t="s">
        <v>1608</v>
      </c>
      <c r="F44" s="593" t="e">
        <f>'DSCR (Port Calc)'!$G$89</f>
        <v>#DIV/0!</v>
      </c>
      <c r="G44" s="593"/>
      <c r="H44" s="781" t="e">
        <f>'DSCR (Port Calc)'!$F$96</f>
        <v>#DIV/0!</v>
      </c>
      <c r="I44" s="781"/>
      <c r="J44" s="47"/>
      <c r="K44" s="45">
        <v>0.04</v>
      </c>
      <c r="L44" s="174" t="str">
        <f>'DSCR (Port Calc)'!$F83</f>
        <v>-</v>
      </c>
      <c r="M44" s="174" t="str">
        <f>'DSCR (Port Calc)'!$I83</f>
        <v>-</v>
      </c>
      <c r="N44" s="174" t="str">
        <f>'DSCR (Port Calc)'!$L83</f>
        <v>-</v>
      </c>
      <c r="O44" s="174" t="str">
        <f>'DSCR (Port Calc)'!$O83</f>
        <v>-</v>
      </c>
      <c r="P44" s="174" t="str">
        <f>'DSCR (Port Calc)'!$R83</f>
        <v>-</v>
      </c>
      <c r="Q44" s="174" t="str">
        <f>'DSCR (Port Calc)'!$U83</f>
        <v>-</v>
      </c>
      <c r="R44" s="174" t="str">
        <f>'DSCR (Port Calc)'!$X83</f>
        <v>-</v>
      </c>
    </row>
    <row r="45" spans="1:20" s="4" customFormat="1" ht="16.5" customHeight="1" x14ac:dyDescent="0.25">
      <c r="A45" s="47"/>
      <c r="J45" s="47"/>
    </row>
    <row r="46" spans="1:20" s="4" customFormat="1" ht="16.5" customHeight="1" x14ac:dyDescent="0.25">
      <c r="A46" s="47"/>
      <c r="B46" s="579" t="s">
        <v>1607</v>
      </c>
      <c r="C46" s="621"/>
      <c r="D46" s="621"/>
      <c r="E46" s="621"/>
      <c r="F46" s="621"/>
      <c r="G46" s="621"/>
      <c r="H46" s="621"/>
      <c r="I46" s="580"/>
      <c r="J46" s="47"/>
      <c r="K46" s="579" t="s">
        <v>1606</v>
      </c>
      <c r="L46" s="621"/>
      <c r="M46" s="621"/>
      <c r="N46" s="621"/>
      <c r="O46" s="621"/>
      <c r="P46" s="621"/>
      <c r="Q46" s="621"/>
      <c r="R46" s="580"/>
    </row>
    <row r="47" spans="1:20" s="4" customFormat="1" ht="16.5" customHeight="1" x14ac:dyDescent="0.25">
      <c r="A47" s="47"/>
      <c r="B47" s="775"/>
      <c r="C47" s="776"/>
      <c r="D47" s="776"/>
      <c r="E47" s="776"/>
      <c r="F47" s="776"/>
      <c r="G47" s="776"/>
      <c r="H47" s="776"/>
      <c r="I47" s="777"/>
      <c r="J47" s="47"/>
      <c r="K47" s="770" t="s">
        <v>1605</v>
      </c>
      <c r="L47" s="770"/>
      <c r="M47" s="770"/>
      <c r="N47" s="770"/>
      <c r="O47" s="770"/>
      <c r="P47" s="770"/>
      <c r="Q47" s="770"/>
      <c r="R47" s="770"/>
      <c r="S47" s="173"/>
      <c r="T47" s="173"/>
    </row>
    <row r="48" spans="1:20" s="4" customFormat="1" ht="16.5" customHeight="1" x14ac:dyDescent="0.25">
      <c r="A48" s="47"/>
      <c r="B48" s="775"/>
      <c r="C48" s="776"/>
      <c r="D48" s="776"/>
      <c r="E48" s="776"/>
      <c r="F48" s="776"/>
      <c r="G48" s="776"/>
      <c r="H48" s="776"/>
      <c r="I48" s="777"/>
      <c r="J48" s="47"/>
      <c r="K48" s="770"/>
      <c r="L48" s="770"/>
      <c r="M48" s="770"/>
      <c r="N48" s="770"/>
      <c r="O48" s="770"/>
      <c r="P48" s="770"/>
      <c r="Q48" s="770"/>
      <c r="R48" s="770"/>
      <c r="S48" s="173"/>
      <c r="T48" s="173"/>
    </row>
    <row r="49" spans="1:20" s="4" customFormat="1" ht="16.5" customHeight="1" x14ac:dyDescent="0.25">
      <c r="A49" s="47"/>
      <c r="B49" s="775"/>
      <c r="C49" s="776"/>
      <c r="D49" s="776"/>
      <c r="E49" s="776"/>
      <c r="F49" s="776"/>
      <c r="G49" s="776"/>
      <c r="H49" s="776"/>
      <c r="I49" s="777"/>
      <c r="J49" s="47"/>
      <c r="K49" s="785" t="s">
        <v>1604</v>
      </c>
      <c r="L49" s="785"/>
      <c r="M49" s="785"/>
      <c r="N49" s="785"/>
      <c r="O49" s="785"/>
      <c r="P49" s="785"/>
      <c r="Q49" s="785"/>
      <c r="R49" s="785"/>
      <c r="S49" s="172"/>
      <c r="T49" s="172"/>
    </row>
    <row r="50" spans="1:20" s="4" customFormat="1" ht="16.5" customHeight="1" x14ac:dyDescent="0.25">
      <c r="A50" s="47"/>
      <c r="B50" s="775"/>
      <c r="C50" s="776"/>
      <c r="D50" s="776"/>
      <c r="E50" s="776"/>
      <c r="F50" s="776"/>
      <c r="G50" s="776"/>
      <c r="H50" s="776"/>
      <c r="I50" s="777"/>
      <c r="J50" s="47"/>
      <c r="K50" s="770" t="s">
        <v>1603</v>
      </c>
      <c r="L50" s="770"/>
      <c r="M50" s="770"/>
      <c r="N50" s="770"/>
      <c r="O50" s="770"/>
      <c r="P50" s="770"/>
      <c r="Q50" s="770"/>
      <c r="R50" s="770"/>
      <c r="S50" s="173"/>
      <c r="T50" s="173"/>
    </row>
    <row r="51" spans="1:20" s="4" customFormat="1" ht="16.5" customHeight="1" x14ac:dyDescent="0.25">
      <c r="A51" s="47"/>
      <c r="B51" s="775"/>
      <c r="C51" s="776"/>
      <c r="D51" s="776"/>
      <c r="E51" s="776"/>
      <c r="F51" s="776"/>
      <c r="G51" s="776"/>
      <c r="H51" s="776"/>
      <c r="I51" s="777"/>
      <c r="J51" s="47"/>
      <c r="K51" s="770"/>
      <c r="L51" s="770"/>
      <c r="M51" s="770"/>
      <c r="N51" s="770"/>
      <c r="O51" s="770"/>
      <c r="P51" s="770"/>
      <c r="Q51" s="770"/>
      <c r="R51" s="770"/>
      <c r="S51" s="173"/>
      <c r="T51" s="173"/>
    </row>
    <row r="52" spans="1:20" s="4" customFormat="1" ht="16.5" customHeight="1" x14ac:dyDescent="0.25">
      <c r="A52" s="47"/>
      <c r="B52" s="775"/>
      <c r="C52" s="776"/>
      <c r="D52" s="776"/>
      <c r="E52" s="776"/>
      <c r="F52" s="776"/>
      <c r="G52" s="776"/>
      <c r="H52" s="776"/>
      <c r="I52" s="777"/>
      <c r="J52" s="47"/>
      <c r="K52" s="770"/>
      <c r="L52" s="770"/>
      <c r="M52" s="770"/>
      <c r="N52" s="770"/>
      <c r="O52" s="770"/>
      <c r="P52" s="770"/>
      <c r="Q52" s="770"/>
      <c r="R52" s="770"/>
      <c r="S52" s="172"/>
      <c r="T52" s="172"/>
    </row>
    <row r="53" spans="1:20" s="4" customFormat="1" ht="16.5" customHeight="1" x14ac:dyDescent="0.25">
      <c r="A53" s="47"/>
      <c r="B53" s="775"/>
      <c r="C53" s="776"/>
      <c r="D53" s="776"/>
      <c r="E53" s="776"/>
      <c r="F53" s="776"/>
      <c r="G53" s="776"/>
      <c r="H53" s="776"/>
      <c r="I53" s="777"/>
      <c r="J53" s="47"/>
      <c r="K53" s="770"/>
      <c r="L53" s="770"/>
      <c r="M53" s="770"/>
      <c r="N53" s="770"/>
      <c r="O53" s="770"/>
      <c r="P53" s="770"/>
      <c r="Q53" s="770"/>
      <c r="R53" s="770"/>
      <c r="S53" s="173"/>
      <c r="T53" s="173"/>
    </row>
    <row r="54" spans="1:20" s="4" customFormat="1" ht="16.5" customHeight="1" x14ac:dyDescent="0.25">
      <c r="A54" s="47"/>
      <c r="B54" s="775"/>
      <c r="C54" s="776"/>
      <c r="D54" s="776"/>
      <c r="E54" s="776"/>
      <c r="F54" s="776"/>
      <c r="G54" s="776"/>
      <c r="H54" s="776"/>
      <c r="I54" s="777"/>
      <c r="J54" s="47"/>
      <c r="K54" s="770" t="s">
        <v>1602</v>
      </c>
      <c r="L54" s="770"/>
      <c r="M54" s="770"/>
      <c r="N54" s="770"/>
      <c r="O54" s="770"/>
      <c r="P54" s="770"/>
      <c r="Q54" s="770"/>
      <c r="R54" s="770"/>
      <c r="S54" s="173"/>
      <c r="T54" s="173"/>
    </row>
    <row r="55" spans="1:20" s="4" customFormat="1" ht="16.5" customHeight="1" x14ac:dyDescent="0.25">
      <c r="A55" s="47"/>
      <c r="B55" s="775"/>
      <c r="C55" s="776"/>
      <c r="D55" s="776"/>
      <c r="E55" s="776"/>
      <c r="F55" s="776"/>
      <c r="G55" s="776"/>
      <c r="H55" s="776"/>
      <c r="I55" s="777"/>
      <c r="J55" s="47"/>
      <c r="K55" s="770"/>
      <c r="L55" s="770"/>
      <c r="M55" s="770"/>
      <c r="N55" s="770"/>
      <c r="O55" s="770"/>
      <c r="P55" s="770"/>
      <c r="Q55" s="770"/>
      <c r="R55" s="770"/>
      <c r="S55" s="172"/>
      <c r="T55" s="172"/>
    </row>
    <row r="56" spans="1:20" s="4" customFormat="1" ht="16.5" customHeight="1" x14ac:dyDescent="0.25">
      <c r="A56" s="47"/>
      <c r="B56" s="775"/>
      <c r="C56" s="776"/>
      <c r="D56" s="776"/>
      <c r="E56" s="776"/>
      <c r="F56" s="776"/>
      <c r="G56" s="776"/>
      <c r="H56" s="776"/>
      <c r="I56" s="777"/>
      <c r="J56" s="47"/>
      <c r="K56" s="770"/>
      <c r="L56" s="770"/>
      <c r="M56" s="770"/>
      <c r="N56" s="770"/>
      <c r="O56" s="770"/>
      <c r="P56" s="770"/>
      <c r="Q56" s="770"/>
      <c r="R56" s="770"/>
      <c r="S56" s="171"/>
      <c r="T56" s="171"/>
    </row>
    <row r="57" spans="1:20" s="4" customFormat="1" ht="16.5" customHeight="1" x14ac:dyDescent="0.25">
      <c r="A57" s="47"/>
      <c r="B57" s="775"/>
      <c r="C57" s="776"/>
      <c r="D57" s="776"/>
      <c r="E57" s="776"/>
      <c r="F57" s="776"/>
      <c r="G57" s="776"/>
      <c r="H57" s="776"/>
      <c r="I57" s="777"/>
      <c r="J57" s="47"/>
      <c r="K57" s="770" t="s">
        <v>1601</v>
      </c>
      <c r="L57" s="770"/>
      <c r="M57" s="770"/>
      <c r="N57" s="770"/>
      <c r="O57" s="770"/>
      <c r="P57" s="770"/>
      <c r="Q57" s="770"/>
      <c r="R57" s="770"/>
      <c r="S57" s="171"/>
      <c r="T57" s="171"/>
    </row>
    <row r="58" spans="1:20" s="4" customFormat="1" ht="16.5" customHeight="1" x14ac:dyDescent="0.25">
      <c r="A58" s="47"/>
      <c r="B58" s="775"/>
      <c r="C58" s="776"/>
      <c r="D58" s="776"/>
      <c r="E58" s="776"/>
      <c r="F58" s="776"/>
      <c r="G58" s="776"/>
      <c r="H58" s="776"/>
      <c r="I58" s="777"/>
      <c r="J58" s="47"/>
      <c r="K58" s="770"/>
      <c r="L58" s="770"/>
      <c r="M58" s="770"/>
      <c r="N58" s="770"/>
      <c r="O58" s="770"/>
      <c r="P58" s="770"/>
      <c r="Q58" s="770"/>
      <c r="R58" s="770"/>
      <c r="S58" s="171"/>
      <c r="T58" s="171"/>
    </row>
    <row r="59" spans="1:20" s="4" customFormat="1" ht="16.5" customHeight="1" x14ac:dyDescent="0.25">
      <c r="A59" s="47"/>
      <c r="B59" s="775"/>
      <c r="C59" s="776"/>
      <c r="D59" s="776"/>
      <c r="E59" s="776"/>
      <c r="F59" s="776"/>
      <c r="G59" s="776"/>
      <c r="H59" s="776"/>
      <c r="I59" s="777"/>
      <c r="J59" s="47"/>
      <c r="K59" s="782" t="s">
        <v>1600</v>
      </c>
      <c r="L59" s="782"/>
      <c r="M59" s="782"/>
      <c r="N59" s="782"/>
      <c r="O59" s="782"/>
      <c r="P59" s="782"/>
      <c r="Q59" s="782"/>
      <c r="R59" s="782"/>
    </row>
    <row r="60" spans="1:20" s="4" customFormat="1" ht="16.5" customHeight="1" x14ac:dyDescent="0.25">
      <c r="A60" s="47"/>
      <c r="B60" s="775"/>
      <c r="C60" s="776"/>
      <c r="D60" s="776"/>
      <c r="E60" s="776"/>
      <c r="F60" s="776"/>
      <c r="G60" s="776"/>
      <c r="H60" s="776"/>
      <c r="I60" s="777"/>
      <c r="J60" s="47"/>
      <c r="K60" s="782"/>
      <c r="L60" s="782"/>
      <c r="M60" s="782"/>
      <c r="N60" s="782"/>
      <c r="O60" s="782"/>
      <c r="P60" s="782"/>
      <c r="Q60" s="782"/>
      <c r="R60" s="782"/>
    </row>
    <row r="61" spans="1:20" s="4" customFormat="1" ht="16.5" customHeight="1" x14ac:dyDescent="0.25">
      <c r="A61" s="47"/>
      <c r="B61" s="775"/>
      <c r="C61" s="776"/>
      <c r="D61" s="776"/>
      <c r="E61" s="776"/>
      <c r="F61" s="776"/>
      <c r="G61" s="776"/>
      <c r="H61" s="776"/>
      <c r="I61" s="777"/>
      <c r="J61" s="47"/>
      <c r="K61" s="782"/>
      <c r="L61" s="782"/>
      <c r="M61" s="782"/>
      <c r="N61" s="782"/>
      <c r="O61" s="782"/>
      <c r="P61" s="782"/>
      <c r="Q61" s="782"/>
      <c r="R61" s="782"/>
    </row>
    <row r="62" spans="1:20" s="4" customFormat="1" ht="16.5" customHeight="1" x14ac:dyDescent="0.25">
      <c r="A62" s="47"/>
      <c r="B62" s="778"/>
      <c r="C62" s="779"/>
      <c r="D62" s="779"/>
      <c r="E62" s="779"/>
      <c r="F62" s="779"/>
      <c r="G62" s="779"/>
      <c r="H62" s="779"/>
      <c r="I62" s="780"/>
      <c r="J62" s="47"/>
      <c r="K62" s="170" t="s">
        <v>1599</v>
      </c>
    </row>
  </sheetData>
  <sheetProtection algorithmName="SHA-512" hashValue="RfYg4ItHGpixWr2s1eDI+CXRGSPDf4Xz0fHI201dcCYzh6X/PlROcObyJsAiindnhhe7UEeXIT1BExD4MK6Leg==" saltValue="O+syr+G4gvnUJmKUg+NbOA==" spinCount="100000" sheet="1" objects="1" scenarios="1" selectLockedCells="1" selectUnlockedCells="1"/>
  <mergeCells count="61">
    <mergeCell ref="L4:R4"/>
    <mergeCell ref="K5:K6"/>
    <mergeCell ref="L5:L6"/>
    <mergeCell ref="M5:M6"/>
    <mergeCell ref="N5:N6"/>
    <mergeCell ref="O5:O6"/>
    <mergeCell ref="Q5:Q6"/>
    <mergeCell ref="B1:B3"/>
    <mergeCell ref="C1:C3"/>
    <mergeCell ref="H2:I2"/>
    <mergeCell ref="B4:I4"/>
    <mergeCell ref="E6:I6"/>
    <mergeCell ref="K25:R25"/>
    <mergeCell ref="R5:R6"/>
    <mergeCell ref="F24:G24"/>
    <mergeCell ref="H24:I24"/>
    <mergeCell ref="F25:G25"/>
    <mergeCell ref="P5:P6"/>
    <mergeCell ref="F19:G20"/>
    <mergeCell ref="H19:I20"/>
    <mergeCell ref="F21:I21"/>
    <mergeCell ref="E23:I23"/>
    <mergeCell ref="H25:I25"/>
    <mergeCell ref="E19:E20"/>
    <mergeCell ref="E16:E17"/>
    <mergeCell ref="E8:I8"/>
    <mergeCell ref="F29:G29"/>
    <mergeCell ref="H29:I29"/>
    <mergeCell ref="F30:G30"/>
    <mergeCell ref="H30:I30"/>
    <mergeCell ref="F26:G26"/>
    <mergeCell ref="H26:I26"/>
    <mergeCell ref="F28:G28"/>
    <mergeCell ref="H28:I28"/>
    <mergeCell ref="F27:G27"/>
    <mergeCell ref="H27:I27"/>
    <mergeCell ref="E32:E33"/>
    <mergeCell ref="F32:I33"/>
    <mergeCell ref="F34:G34"/>
    <mergeCell ref="H34:I34"/>
    <mergeCell ref="B36:I36"/>
    <mergeCell ref="F42:I42"/>
    <mergeCell ref="F38:G38"/>
    <mergeCell ref="H38:I38"/>
    <mergeCell ref="F39:G39"/>
    <mergeCell ref="H39:I39"/>
    <mergeCell ref="F40:G40"/>
    <mergeCell ref="H40:I40"/>
    <mergeCell ref="F41:I41"/>
    <mergeCell ref="K54:R56"/>
    <mergeCell ref="K57:R58"/>
    <mergeCell ref="K59:R61"/>
    <mergeCell ref="F43:I43"/>
    <mergeCell ref="F44:G44"/>
    <mergeCell ref="H44:I44"/>
    <mergeCell ref="B46:I46"/>
    <mergeCell ref="K46:R46"/>
    <mergeCell ref="B47:I62"/>
    <mergeCell ref="K47:R48"/>
    <mergeCell ref="K49:R49"/>
    <mergeCell ref="K50:R53"/>
  </mergeCells>
  <conditionalFormatting sqref="C12">
    <cfRule type="expression" dxfId="19" priority="18">
      <formula>AND($C$12&lt;680,$C$12&gt;0)</formula>
    </cfRule>
  </conditionalFormatting>
  <conditionalFormatting sqref="C32">
    <cfRule type="expression" dxfId="18" priority="17">
      <formula>AND($C$32="FRM",OR($C$14="Multifamily (8+)",$C$14="Mixed-Use"))</formula>
    </cfRule>
  </conditionalFormatting>
  <conditionalFormatting sqref="K7:R14 K28:R35">
    <cfRule type="expression" dxfId="17" priority="14">
      <formula>$C$30="12 Months"</formula>
    </cfRule>
    <cfRule type="expression" dxfId="16" priority="15">
      <formula>$C$30="No PPP"</formula>
    </cfRule>
  </conditionalFormatting>
  <conditionalFormatting sqref="K7:R10 K28:R31">
    <cfRule type="expression" dxfId="15" priority="13">
      <formula>$C$30="24 Months"</formula>
    </cfRule>
  </conditionalFormatting>
  <conditionalFormatting sqref="F30:G30">
    <cfRule type="expression" dxfId="14" priority="4">
      <formula>$E$24="Quote"</formula>
    </cfRule>
  </conditionalFormatting>
  <conditionalFormatting sqref="H30:I30">
    <cfRule type="expression" dxfId="13" priority="3">
      <formula>$E$24="Appraisal/Lock"</formula>
    </cfRule>
  </conditionalFormatting>
  <pageMargins left="0.25" right="0.25" top="0.75" bottom="0.75" header="0.3" footer="0.3"/>
  <pageSetup scale="37"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7" id="{648FEB7A-CE1A-4F62-8DFE-FBEA238272B2}">
            <xm:f>'DSCR (Port Calc)'!$C$6="Multi"</xm:f>
            <x14:dxf>
              <font>
                <color theme="1"/>
              </font>
              <fill>
                <patternFill>
                  <bgColor theme="1"/>
                </patternFill>
              </fill>
              <border>
                <left style="thin">
                  <color auto="1"/>
                </left>
                <right style="thin">
                  <color auto="1"/>
                </right>
                <top style="thin">
                  <color auto="1"/>
                </top>
                <bottom style="thin">
                  <color auto="1"/>
                </bottom>
                <vertical/>
                <horizontal/>
              </border>
            </x14:dxf>
          </x14:cfRule>
          <xm:sqref>E8:I18 E21:I21 E19:F19 H19</xm:sqref>
        </x14:conditionalFormatting>
        <x14:conditionalFormatting xmlns:xm="http://schemas.microsoft.com/office/excel/2006/main">
          <x14:cfRule type="expression" priority="2" id="{36501A98-99E8-4779-A59F-E9D2B54C69F4}">
            <xm:f>'DSCR (Port Calc)'!$C$6="SFR"</xm:f>
            <x14:dxf>
              <font>
                <color theme="1"/>
              </font>
              <fill>
                <patternFill>
                  <bgColor theme="1"/>
                </patternFill>
              </fill>
              <border>
                <left style="thin">
                  <color auto="1"/>
                </left>
                <right style="thin">
                  <color auto="1"/>
                </right>
                <top style="thin">
                  <color auto="1"/>
                </top>
                <bottom style="thin">
                  <color auto="1"/>
                </bottom>
                <vertical/>
                <horizontal/>
              </border>
            </x14:dxf>
          </x14:cfRule>
          <xm:sqref>E23:I31 E34:I34 E32:F32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5F11EEF-8E0D-490A-9E9C-41CC662CFD25}">
          <x14:formula1>
            <xm:f>'DSCR (Port Legend)'!$Q$2:$Q$9</xm:f>
          </x14:formula1>
          <xm:sqref>K4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8E98-DC6D-4A16-BF9A-58A0B75A9927}">
  <sheetPr codeName="Sheet11">
    <tabColor rgb="FF7D93AB"/>
  </sheetPr>
  <dimension ref="A1:CZ132"/>
  <sheetViews>
    <sheetView topLeftCell="DA1" zoomScale="60" zoomScaleNormal="60" workbookViewId="0">
      <selection activeCell="A36" sqref="A1:CZ1048576"/>
    </sheetView>
  </sheetViews>
  <sheetFormatPr defaultColWidth="9" defaultRowHeight="15.75" x14ac:dyDescent="0.25"/>
  <cols>
    <col min="1" max="1" width="11.28515625" style="51" hidden="1" customWidth="1"/>
    <col min="2" max="2" width="30.140625" style="51" hidden="1" customWidth="1"/>
    <col min="3" max="3" width="28.42578125" style="51" hidden="1" customWidth="1"/>
    <col min="4" max="21" width="26.140625" style="51" hidden="1" customWidth="1"/>
    <col min="22" max="31" width="26" style="51" hidden="1" customWidth="1"/>
    <col min="32" max="32" width="22.42578125" style="51" hidden="1" customWidth="1"/>
    <col min="33" max="33" width="19.42578125" style="51" hidden="1" customWidth="1"/>
    <col min="34" max="34" width="18.140625" style="51" hidden="1" customWidth="1"/>
    <col min="35" max="35" width="20.42578125" style="51" hidden="1" customWidth="1"/>
    <col min="36" max="36" width="16.140625" style="51" hidden="1" customWidth="1"/>
    <col min="37" max="37" width="17.140625" style="51" hidden="1" customWidth="1"/>
    <col min="38" max="38" width="19.5703125" style="51" hidden="1" customWidth="1"/>
    <col min="39" max="39" width="9" style="51" hidden="1" customWidth="1"/>
    <col min="40" max="42" width="15.28515625" style="51" hidden="1" customWidth="1"/>
    <col min="43" max="68" width="24.28515625" style="51" hidden="1" customWidth="1"/>
    <col min="69" max="69" width="9" style="51" hidden="1" customWidth="1"/>
    <col min="70" max="71" width="18.42578125" style="51" hidden="1" customWidth="1"/>
    <col min="72" max="72" width="21.140625" style="51" hidden="1" customWidth="1"/>
    <col min="73" max="73" width="20" style="51" hidden="1" customWidth="1"/>
    <col min="74" max="74" width="9.7109375" style="51" hidden="1" customWidth="1"/>
    <col min="75" max="75" width="9" style="51" hidden="1" customWidth="1"/>
    <col min="76" max="76" width="10.28515625" style="51" hidden="1" customWidth="1"/>
    <col min="77" max="77" width="14.140625" style="51" hidden="1" customWidth="1"/>
    <col min="78" max="78" width="16" style="51" hidden="1" customWidth="1"/>
    <col min="79" max="80" width="13.28515625" style="51" hidden="1" customWidth="1"/>
    <col min="81" max="82" width="15.140625" style="51" hidden="1" customWidth="1"/>
    <col min="83" max="86" width="17.42578125" style="51" hidden="1" customWidth="1"/>
    <col min="87" max="90" width="14.7109375" style="51" hidden="1" customWidth="1"/>
    <col min="91" max="93" width="21.28515625" style="51" hidden="1" customWidth="1"/>
    <col min="94" max="95" width="9" style="51" hidden="1" customWidth="1"/>
    <col min="96" max="100" width="16.5703125" style="51" hidden="1" customWidth="1"/>
    <col min="101" max="104" width="9" style="51" hidden="1" customWidth="1"/>
    <col min="105" max="113" width="9" style="51" customWidth="1"/>
    <col min="114" max="16384" width="9" style="51"/>
  </cols>
  <sheetData>
    <row r="1" spans="2:100" x14ac:dyDescent="0.25">
      <c r="N1" s="51" t="s">
        <v>1822</v>
      </c>
    </row>
    <row r="2" spans="2:100" x14ac:dyDescent="0.25">
      <c r="B2" s="794" t="s">
        <v>1821</v>
      </c>
      <c r="C2" s="794"/>
      <c r="D2" s="794" t="s">
        <v>1526</v>
      </c>
      <c r="E2" s="794"/>
      <c r="F2" s="794"/>
      <c r="G2" s="794"/>
      <c r="H2" s="794"/>
      <c r="I2" s="794"/>
      <c r="J2" s="794"/>
      <c r="K2" s="794" t="s">
        <v>1820</v>
      </c>
      <c r="L2" s="794"/>
      <c r="N2" s="214">
        <f>$A$66</f>
        <v>3.75</v>
      </c>
      <c r="O2" s="206">
        <f>$B$66</f>
        <v>104</v>
      </c>
      <c r="P2" s="228">
        <f>$C$66/100</f>
        <v>1.04</v>
      </c>
      <c r="Q2" s="71"/>
      <c r="R2" s="71"/>
      <c r="V2" s="51" t="s">
        <v>1569</v>
      </c>
      <c r="AN2" s="214">
        <f>$A$66</f>
        <v>3.75</v>
      </c>
      <c r="AO2" s="206">
        <f>$B$66</f>
        <v>104</v>
      </c>
      <c r="AP2" s="228">
        <f>$C$66/100</f>
        <v>1.04</v>
      </c>
      <c r="BR2" s="639" t="s">
        <v>1675</v>
      </c>
      <c r="BS2" s="639"/>
      <c r="BT2" s="206">
        <f>$B$66</f>
        <v>104</v>
      </c>
      <c r="BY2" s="639" t="s">
        <v>1786</v>
      </c>
      <c r="BZ2" s="639"/>
      <c r="CA2" s="639" t="s">
        <v>1785</v>
      </c>
      <c r="CB2" s="639"/>
      <c r="CC2" s="639" t="s">
        <v>1784</v>
      </c>
      <c r="CD2" s="639"/>
      <c r="CE2" s="639" t="s">
        <v>1783</v>
      </c>
      <c r="CF2" s="639"/>
      <c r="CG2" s="639"/>
      <c r="CH2" s="639"/>
      <c r="CI2" s="51" t="s">
        <v>1782</v>
      </c>
      <c r="CK2" s="639" t="s">
        <v>1700</v>
      </c>
      <c r="CL2" s="639"/>
      <c r="CM2" s="639" t="s">
        <v>1781</v>
      </c>
      <c r="CN2" s="639" t="s">
        <v>1780</v>
      </c>
      <c r="CO2" s="639" t="s">
        <v>1700</v>
      </c>
    </row>
    <row r="3" spans="2:100" x14ac:dyDescent="0.25">
      <c r="B3" s="51" t="s">
        <v>110</v>
      </c>
      <c r="C3" s="222">
        <f>'DSCR (Port Loan)'!$C$8</f>
        <v>0</v>
      </c>
      <c r="D3" s="195" t="s">
        <v>1698</v>
      </c>
      <c r="E3" s="195" t="s">
        <v>1697</v>
      </c>
      <c r="F3" s="195" t="s">
        <v>1696</v>
      </c>
      <c r="G3" s="195" t="s">
        <v>1695</v>
      </c>
      <c r="H3" s="195" t="s">
        <v>1694</v>
      </c>
      <c r="I3" s="195" t="s">
        <v>1693</v>
      </c>
      <c r="J3" s="195" t="s">
        <v>1692</v>
      </c>
      <c r="N3" s="51" t="s">
        <v>161</v>
      </c>
      <c r="O3" s="51" t="s">
        <v>1778</v>
      </c>
      <c r="P3" s="51" t="s">
        <v>1795</v>
      </c>
      <c r="Q3" s="51" t="s">
        <v>1819</v>
      </c>
      <c r="R3" s="51" t="s">
        <v>1818</v>
      </c>
      <c r="S3" s="51" t="s">
        <v>1817</v>
      </c>
      <c r="T3" s="51" t="s">
        <v>1816</v>
      </c>
      <c r="U3" s="51" t="s">
        <v>1742</v>
      </c>
      <c r="V3" s="51" t="str">
        <f>$C$5</f>
        <v>Detached SFR</v>
      </c>
      <c r="W3" s="51">
        <f>$C$3</f>
        <v>0</v>
      </c>
      <c r="X3" s="51">
        <f>$C$12</f>
        <v>0</v>
      </c>
      <c r="Y3" s="51">
        <f>$C$13</f>
        <v>0</v>
      </c>
      <c r="Z3" s="51">
        <f>$C$14</f>
        <v>0</v>
      </c>
      <c r="AA3" s="51">
        <f>'DSCR (Port Loan)'!$C$30</f>
        <v>0</v>
      </c>
      <c r="AB3" s="51" t="s">
        <v>1735</v>
      </c>
      <c r="AC3" s="51" t="s">
        <v>1733</v>
      </c>
      <c r="AD3" s="51" t="str">
        <f>'DSCR (Port Loan)'!$C$18</f>
        <v>NC</v>
      </c>
      <c r="AE3" s="51" t="s">
        <v>1792</v>
      </c>
      <c r="AF3" s="51" t="s">
        <v>1731</v>
      </c>
      <c r="AG3" s="51" t="s">
        <v>1791</v>
      </c>
      <c r="AH3" s="51" t="s">
        <v>1760</v>
      </c>
      <c r="AI3" s="51" t="s">
        <v>1700</v>
      </c>
      <c r="AJ3" s="51" t="s">
        <v>1790</v>
      </c>
      <c r="AK3" s="51" t="s">
        <v>1789</v>
      </c>
      <c r="AL3" s="51" t="s">
        <v>1788</v>
      </c>
      <c r="AN3" s="51" t="s">
        <v>161</v>
      </c>
      <c r="AO3" s="51" t="s">
        <v>1778</v>
      </c>
      <c r="AP3" s="51" t="s">
        <v>1795</v>
      </c>
      <c r="AQ3" s="51" t="s">
        <v>1815</v>
      </c>
      <c r="AR3" s="51" t="s">
        <v>1793</v>
      </c>
      <c r="AS3" s="51" t="str">
        <f>$C$5</f>
        <v>Detached SFR</v>
      </c>
      <c r="AT3" s="51">
        <f>$C$3</f>
        <v>0</v>
      </c>
      <c r="AU3" s="51">
        <f>$C$12</f>
        <v>0</v>
      </c>
      <c r="AV3" s="51">
        <f>$C$13</f>
        <v>0</v>
      </c>
      <c r="AW3" s="51">
        <f>$C$14</f>
        <v>0</v>
      </c>
      <c r="AX3" s="51">
        <f>'DSCR (Port Loan)'!$C$30</f>
        <v>0</v>
      </c>
      <c r="AY3" s="51" t="s">
        <v>1735</v>
      </c>
      <c r="AZ3" s="51" t="s">
        <v>1733</v>
      </c>
      <c r="BA3" s="51" t="str">
        <f>'DSCR (Port Loan)'!$C$18</f>
        <v>NC</v>
      </c>
      <c r="BB3" s="51" t="s">
        <v>1792</v>
      </c>
      <c r="BC3" s="51" t="s">
        <v>1731</v>
      </c>
      <c r="BD3" s="51" t="s">
        <v>1791</v>
      </c>
      <c r="BE3" s="51" t="s">
        <v>1760</v>
      </c>
      <c r="BF3" s="51" t="s">
        <v>1700</v>
      </c>
      <c r="BG3" s="51" t="s">
        <v>1790</v>
      </c>
      <c r="BH3" s="51" t="s">
        <v>1789</v>
      </c>
      <c r="BI3" s="51" t="s">
        <v>1788</v>
      </c>
      <c r="BJ3" s="235" t="s">
        <v>1814</v>
      </c>
      <c r="BK3" s="235" t="s">
        <v>1778</v>
      </c>
      <c r="BL3" s="235" t="s">
        <v>1742</v>
      </c>
      <c r="BM3" s="235" t="s">
        <v>1813</v>
      </c>
      <c r="BN3" s="235" t="s">
        <v>1812</v>
      </c>
      <c r="BO3" s="235" t="s">
        <v>1539</v>
      </c>
      <c r="BP3" s="235" t="s">
        <v>1811</v>
      </c>
      <c r="BR3" s="51" t="s">
        <v>161</v>
      </c>
      <c r="BS3" s="51" t="s">
        <v>1778</v>
      </c>
      <c r="BT3" s="51" t="s">
        <v>62</v>
      </c>
      <c r="BU3" s="51" t="s">
        <v>1674</v>
      </c>
      <c r="BV3" s="51" t="s">
        <v>156</v>
      </c>
      <c r="BW3" s="51" t="s">
        <v>155</v>
      </c>
      <c r="BX3" s="51" t="s">
        <v>1777</v>
      </c>
      <c r="BY3" s="51" t="s">
        <v>1776</v>
      </c>
      <c r="BZ3" s="51" t="s">
        <v>1736</v>
      </c>
      <c r="CA3" s="51" t="s">
        <v>1771</v>
      </c>
      <c r="CB3" s="51" t="s">
        <v>1770</v>
      </c>
      <c r="CC3" s="51" t="s">
        <v>1771</v>
      </c>
      <c r="CD3" s="51" t="s">
        <v>1770</v>
      </c>
      <c r="CE3" s="51" t="s">
        <v>1775</v>
      </c>
      <c r="CF3" s="51" t="s">
        <v>1774</v>
      </c>
      <c r="CG3" s="51" t="s">
        <v>1773</v>
      </c>
      <c r="CH3" s="51" t="s">
        <v>1772</v>
      </c>
      <c r="CI3" s="51" t="s">
        <v>1771</v>
      </c>
      <c r="CJ3" s="51" t="s">
        <v>1770</v>
      </c>
      <c r="CK3" s="51" t="s">
        <v>1771</v>
      </c>
      <c r="CL3" s="51" t="s">
        <v>1770</v>
      </c>
      <c r="CM3" s="639"/>
      <c r="CN3" s="639"/>
      <c r="CO3" s="639"/>
      <c r="CR3" s="51" t="s">
        <v>1769</v>
      </c>
      <c r="CS3" s="51" t="s">
        <v>1768</v>
      </c>
      <c r="CT3" s="51" t="s">
        <v>161</v>
      </c>
      <c r="CU3" s="51" t="s">
        <v>140</v>
      </c>
      <c r="CV3" s="51" t="s">
        <v>1767</v>
      </c>
    </row>
    <row r="4" spans="2:100" x14ac:dyDescent="0.25">
      <c r="B4" s="51" t="s">
        <v>1810</v>
      </c>
      <c r="C4" s="222" t="str">
        <f>'DSCR (Port Loan)'!$F$19</f>
        <v>LTR</v>
      </c>
      <c r="D4" s="193" t="str">
        <f>'DSCR (Port Legend)'!D4</f>
        <v>&lt; 575</v>
      </c>
      <c r="E4" s="192" t="str">
        <f t="shared" ref="E4:J17" si="0">E119</f>
        <v>-</v>
      </c>
      <c r="F4" s="192" t="str">
        <f t="shared" si="0"/>
        <v>-</v>
      </c>
      <c r="G4" s="192" t="str">
        <f t="shared" si="0"/>
        <v>-</v>
      </c>
      <c r="H4" s="192" t="str">
        <f t="shared" si="0"/>
        <v>-</v>
      </c>
      <c r="I4" s="192" t="str">
        <f t="shared" si="0"/>
        <v>-</v>
      </c>
      <c r="J4" s="192" t="str">
        <f t="shared" si="0"/>
        <v>-</v>
      </c>
      <c r="K4" s="51" t="s">
        <v>1796</v>
      </c>
      <c r="L4" s="226">
        <f>'DSCR (Port Loan)'!$I$14</f>
        <v>0</v>
      </c>
      <c r="N4" s="53">
        <v>0</v>
      </c>
      <c r="O4" s="53">
        <f t="shared" ref="O4:O20" si="1">($O$2/100)-N4</f>
        <v>1.04</v>
      </c>
      <c r="P4" s="56">
        <f t="shared" ref="P4:P20" si="2">((O4-$P$2)/$N$2)</f>
        <v>0</v>
      </c>
      <c r="Q4" s="57" t="str">
        <f t="shared" ref="Q4:Q20" si="3">IF(OR($C$3="Purchase",$C$3="Delayed Purchase"),MIN($C$37*$C$19,$C$38*$C$22),IF(OR($C$3="Refinance (Rate/Term)",$C$3="Refinance (Cash Out)"),$C$37*$C$19,"-"))</f>
        <v>-</v>
      </c>
      <c r="R4" s="57" t="str">
        <f t="shared" ref="R4:R20" si="4">IF(OR(Q4&lt;$C$40,Q4&gt;$C$39),"-",Q4)</f>
        <v>-</v>
      </c>
      <c r="S4" s="57" t="str">
        <f>IF(OR($C$3="Purchase",$C$3="Delayed Purchase",$C$3="Refinance (Cash Out)"),"-",IF($C$3="Refinance (Rate/Term)",'DSCR (Port Loan)'!$C$22*102%,"-"))</f>
        <v>-</v>
      </c>
      <c r="T4" s="57" t="str">
        <f t="shared" ref="T4:T20" si="5">IF($C$3="Refinance (Rate/Term)",MIN(R4:S4),R4)</f>
        <v>-</v>
      </c>
      <c r="U4" s="51" t="str">
        <f>IF(T4="-","-",IF(($T4/$C$19)&lt;=INDEX('DSCR (Port Legend)'!$F$3:$H$14,MATCH(($T4/$C$19),'DSCR (Port Legend)'!$F$3:$F$14,1),2),INDEX('DSCR (Port Legend)'!$F$3:$H$14,MATCH(($T4/$C$19),'DSCR (Port Legend)'!$F$3:$F$14,1),3),"-"))</f>
        <v>-</v>
      </c>
      <c r="V4" s="67" t="str">
        <f>IFERROR(IF($C$6="SFR",VLOOKUP(V$3,'DSCR (Port LLPA)'!$M:$V,MATCH($U4,'DSCR (Port LLPA)'!$M$1:$V$1,0),FALSE),IF($C$6="Multi",VLOOKUP(V$3,'DSCR (Port LLPA)'!$X:$AG,MATCH($U4,'DSCR (Port LLPA)'!$X$1:$AG$1,0),FALSE),"-")),"-")</f>
        <v>-</v>
      </c>
      <c r="W4" s="67" t="str">
        <f>IFERROR(IF($C$6="SFR",VLOOKUP(W$3,'DSCR (Port LLPA)'!$M:$V,MATCH($U4,'DSCR (Port LLPA)'!$M$1:$V$1,0),FALSE),IF($C$6="Multi",VLOOKUP(W$3,'DSCR (Port LLPA)'!$X:$AG,MATCH($U4,'DSCR (Port LLPA)'!$X$1:$AG$1,0),FALSE),"-")),"-")</f>
        <v>-</v>
      </c>
      <c r="X4" s="67" t="str">
        <f>IFERROR(IF($C$6="SFR",VLOOKUP(X$3,'DSCR (Port LLPA)'!$M:$V,MATCH($U4,'DSCR (Port LLPA)'!$M$1:$V$1,0),FALSE),IF($C$6="Multi",VLOOKUP(X$3,'DSCR (Port LLPA)'!$X:$AG,MATCH($U4,'DSCR (Port LLPA)'!$X$1:$AG$1,0),FALSE),"-")),"-")</f>
        <v>-</v>
      </c>
      <c r="Y4" s="67" t="str">
        <f>IFERROR(IF($C$6="SFR",VLOOKUP(Y$3,'DSCR (Port LLPA)'!$M:$V,MATCH($U4,'DSCR (Port LLPA)'!$M$1:$V$1,0),FALSE),IF($C$6="Multi",VLOOKUP(Y$3,'DSCR (Port LLPA)'!$X:$AG,MATCH($U4,'DSCR (Port LLPA)'!$X$1:$AG$1,0),FALSE),"-")),"-")</f>
        <v>-</v>
      </c>
      <c r="Z4" s="67" t="str">
        <f>IFERROR(IF($C$6="SFR",VLOOKUP(Z$3,'DSCR (Port LLPA)'!$M:$V,MATCH($U4,'DSCR (Port LLPA)'!$M$1:$V$1,0),FALSE),IF($C$6="Multi",VLOOKUP(Z$3,'DSCR (Port LLPA)'!$X:$AG,MATCH($U4,'DSCR (Port LLPA)'!$X$1:$AG$1,0),FALSE),"-")),"-")</f>
        <v>-</v>
      </c>
      <c r="AA4" s="67" t="str">
        <f>IFERROR(IF($C$6="SFR",VLOOKUP(AA$3,'DSCR (Port LLPA)'!$M:$V,MATCH($U4,'DSCR (Port LLPA)'!$M$1:$V$1,0),FALSE),IF($C$6="Multi",VLOOKUP(AA$3,'DSCR (Port LLPA)'!$X:$AG,MATCH($U4,'DSCR (Port LLPA)'!$X$1:$AG$1,0),FALSE),"-")),"-")</f>
        <v>-</v>
      </c>
      <c r="AB4" s="67" t="str">
        <f>IF($T4="-","-",IF($T4&lt;=INDEX('DSCR (Port Legend)'!$J$3:$L$17,MATCH($T4,'DSCR (Port Legend)'!$J$3:$J$17,1),2),INDEX('DSCR (Port Legend)'!$J$3:$L$17,MATCH($T4,'DSCR (Port Legend)'!$J$3:$J$17,1),3),"-"))</f>
        <v>-</v>
      </c>
      <c r="AC4" s="67" t="str">
        <f>IFERROR(IF($C$6="SFR",VLOOKUP($AB4,'DSCR (Port LLPA)'!$M:$V,MATCH($U4,'DSCR (Port LLPA)'!$M$1:$V$1,0),FALSE),IF($C$6="Multi",VLOOKUP($AB4,'DSCR (Port LLPA)'!$X:$AG,MATCH($U4,'DSCR (Port LLPA)'!$X$1:$AG$1,0),FALSE),"-")),"-")</f>
        <v>-</v>
      </c>
      <c r="AD4" s="67" t="str">
        <f>IFERROR(IF($C$6="SFR",VLOOKUP(AD$3,'DSCR (Port LLPA)'!$M:$V,MATCH($U4,'DSCR (Port LLPA)'!$M$1:$V$1,0),FALSE),IF($C$6="Multi",VLOOKUP(AD$3,'DSCR (Port LLPA)'!$X:$AG,MATCH($U4,'DSCR (Port LLPA)'!$X$1:$AG$1,0),FALSE),"-")),"-")</f>
        <v>-</v>
      </c>
      <c r="AE4" s="67" t="str">
        <f t="shared" ref="AE4:AE20" si="6">IF(OR(V4="-",W4="-",X4="-",Y4="-",Z4="-",AA4="-",AC4="-",AD4="-"),"-",SUM(V4:AA4,AC4:AD4))</f>
        <v>-</v>
      </c>
      <c r="AF4" s="56" t="str">
        <f>IF($AE4="-","-",IF($C$6="SFR",VLOOKUP($C$10,'DSCR (Port LLPA)'!$B$36:$K$50,MATCH($U4,'DSCR (Port LLPA)'!$B$36:$K$36,0),FALSE),IF($C$6="Multi",VLOOKUP($C$10,'DSCR (Port LLPA)'!$B$53:$K$67,MATCH($U4,'DSCR (Port LLPA)'!$B$53:$K$53,0),FALSE),"-")))</f>
        <v>-</v>
      </c>
      <c r="AG4" s="56" t="str">
        <f t="shared" ref="AG4:AG20" si="7">IF(OR(AE4="-",AF4="-"),"-",MAX((AF4+AE4+P4),$C$90))</f>
        <v>-</v>
      </c>
      <c r="AH4" s="52">
        <f t="shared" ref="AH4:AH20" si="8">IF($C$6="SFR",$L$12,IF($C$6="Multi",$L$31,"-"))</f>
        <v>0</v>
      </c>
      <c r="AI4" s="214">
        <f t="shared" ref="AI4:AI20" si="9">IF($C$6="SFR",$L$11,IF($C$6="Multi",$L$30,"-"))</f>
        <v>1.2</v>
      </c>
      <c r="AJ4" s="52">
        <f t="shared" ref="AJ4:AJ20" si="10">IF($C$6="SFR",$L$4,IF($C$6="Multi",$L$23,"-"))</f>
        <v>0</v>
      </c>
      <c r="AK4" s="52">
        <f t="shared" ref="AK4:AK20" si="11">IF($C$6="SFR",SUM($L$5:$L$8),IF($C$6="Multi",SUM($L$24:$L$27),"-"))</f>
        <v>0</v>
      </c>
      <c r="AL4" s="52" t="e">
        <f t="shared" ref="AL4:AL20" si="12">IF($C$6="SFR",ROUNDDOWN(IF($C$14="No IO",PV(AG4/12,$C$17,-AH4),(AJ4/(AI4*(AG4/12))-(AK4/(AG4/12)))),0),IF($C$6="Multi",ROUNDDOWN(IF($C$14="No IO",PV(AG4/12,$C$17,-AH4),(AH4/(AG4/12))),0),))</f>
        <v>#VALUE!</v>
      </c>
      <c r="AN4" s="53">
        <v>0</v>
      </c>
      <c r="AO4" s="53">
        <f t="shared" ref="AO4:AO20" si="13">($AO$2/100)-AN4</f>
        <v>1.04</v>
      </c>
      <c r="AP4" s="56">
        <f t="shared" ref="AP4:AP20" si="14">((AO4-$P$2)/$N$2)</f>
        <v>0</v>
      </c>
      <c r="AQ4" s="57" t="e">
        <f t="shared" ref="AQ4:AQ20" si="15">IF(OR($T4="-",$AI24="-"),"-",MIN($T4,$AI24))</f>
        <v>#VALUE!</v>
      </c>
      <c r="AR4" s="51" t="e">
        <f>IF(AQ4="-","-",IF((AQ4/$C$19)&lt;=INDEX('DSCR (Port Legend)'!$F$3:$H$14,MATCH((AQ4/$C$19),'DSCR (Port Legend)'!$F$3:$F$14,1),2),INDEX('DSCR (Port Legend)'!$F$3:$H$14,MATCH((AQ4/$C$19),'DSCR (Port Legend)'!$F$3:$F$14,1),3),"-"))</f>
        <v>#VALUE!</v>
      </c>
      <c r="AS4" s="56" t="str">
        <f>IFERROR(IF($C$6="SFR",VLOOKUP(AS$3,'DSCR (Port LLPA)'!$M:$V,MATCH($AR4,'DSCR (Port LLPA)'!$M$1:$V$1,0),FALSE),IF($C$6="Multi",VLOOKUP(AS$3,'DSCR (Port LLPA)'!$X:$AG,MATCH($AR4,'DSCR (Port LLPA)'!$X$1:$AG$1,0),FALSE),"-")),"-")</f>
        <v>-</v>
      </c>
      <c r="AT4" s="56" t="str">
        <f>IFERROR(IF($C$6="SFR",VLOOKUP(AT$3,'DSCR (Port LLPA)'!$M:$V,MATCH($AR4,'DSCR (Port LLPA)'!$M$1:$V$1,0),FALSE),IF($C$6="Multi",VLOOKUP(AT$3,'DSCR (Port LLPA)'!$X:$AG,MATCH($AR4,'DSCR (Port LLPA)'!$X$1:$AG$1,0),FALSE),"-")),"-")</f>
        <v>-</v>
      </c>
      <c r="AU4" s="56" t="str">
        <f>IFERROR(IF($C$6="SFR",VLOOKUP(AU$3,'DSCR (Port LLPA)'!$M:$V,MATCH($AR4,'DSCR (Port LLPA)'!$M$1:$V$1,0),FALSE),IF($C$6="Multi",VLOOKUP(AU$3,'DSCR (Port LLPA)'!$X:$AG,MATCH($AR4,'DSCR (Port LLPA)'!$X$1:$AG$1,0),FALSE),"-")),"-")</f>
        <v>-</v>
      </c>
      <c r="AV4" s="56" t="str">
        <f>IFERROR(IF($C$6="SFR",VLOOKUP(AV$3,'DSCR (Port LLPA)'!$M:$V,MATCH($AR4,'DSCR (Port LLPA)'!$M$1:$V$1,0),FALSE),IF($C$6="Multi",VLOOKUP(AV$3,'DSCR (Port LLPA)'!$X:$AG,MATCH($AR4,'DSCR (Port LLPA)'!$X$1:$AG$1,0),FALSE),"-")),"-")</f>
        <v>-</v>
      </c>
      <c r="AW4" s="56" t="str">
        <f>IFERROR(IF($C$6="SFR",VLOOKUP(AW$3,'DSCR (Port LLPA)'!$M:$V,MATCH($AR4,'DSCR (Port LLPA)'!$M$1:$V$1,0),FALSE),IF($C$6="Multi",VLOOKUP(AW$3,'DSCR (Port LLPA)'!$X:$AG,MATCH($AR4,'DSCR (Port LLPA)'!$X$1:$AG$1,0),FALSE),"-")),"-")</f>
        <v>-</v>
      </c>
      <c r="AX4" s="56" t="str">
        <f>IFERROR(IF($C$6="SFR",VLOOKUP(AX$3,'DSCR (Port LLPA)'!$M:$V,MATCH($AR4,'DSCR (Port LLPA)'!$M$1:$V$1,0),FALSE),IF($C$6="Multi",VLOOKUP(AX$3,'DSCR (Port LLPA)'!$X:$AG,MATCH($AR4,'DSCR (Port LLPA)'!$X$1:$AG$1,0),FALSE),"-")),"-")</f>
        <v>-</v>
      </c>
      <c r="AY4" s="56" t="e">
        <f>IF($AQ4="-","-",IF($AQ4&lt;=INDEX('DSCR (Port Legend)'!$J$3:$L$17,MATCH($AQ4,'DSCR (Port Legend)'!$J$3:$J$17,1),2),INDEX('DSCR (Port Legend)'!$J$3:$L$17,MATCH($AQ4,'DSCR (Port Legend)'!$J$3:$J$17,1),3),"-"))</f>
        <v>#VALUE!</v>
      </c>
      <c r="AZ4" s="56" t="str">
        <f>IFERROR(IF($C$6="SFR",VLOOKUP($AY4,'DSCR (Port LLPA)'!$M:$V,MATCH($AR4,'DSCR (Port LLPA)'!$M$1:$V$1,0),FALSE),IF($C$6="Multi",VLOOKUP($AY4,'DSCR (Port LLPA)'!$X:$AG,MATCH($AR4,'DSCR (Port LLPA)'!$X$1:$AG$1,0),FALSE),"-")),"-")</f>
        <v>-</v>
      </c>
      <c r="BA4" s="56" t="str">
        <f>IFERROR(IF($C$6="SFR",VLOOKUP(BA$3,'DSCR (Port LLPA)'!$M:$V,MATCH($AR4,'DSCR (Port LLPA)'!$M$1:$V$1,0),FALSE),IF($C$6="Multi",VLOOKUP(BA$3,'DSCR (Port LLPA)'!$X:$AG,MATCH($AR4,'DSCR (Port LLPA)'!$X$1:$AG$1,0),FALSE),"-")),"-")</f>
        <v>-</v>
      </c>
      <c r="BB4" s="67" t="str">
        <f t="shared" ref="BB4:BB20" si="16">IF(OR(AS4="-",AT4="-",AU4="-",AV4="-",AW4="-",AX4="-",AZ4="-",BA4="-"),"-",SUM(AS4:AX4,AZ4:BA4))</f>
        <v>-</v>
      </c>
      <c r="BC4" s="56" t="str">
        <f>IF($BB4="-","-",IF($C$6="SFR",VLOOKUP($C$10,'DSCR (Port LLPA)'!$B$36:$K$50,MATCH($AR4,'DSCR (Port LLPA)'!$B$36:$K$36,0),FALSE),IF($C$6="Multi",VLOOKUP($C$10,'DSCR (Port LLPA)'!$B$53:$K$67,MATCH($AR4,'DSCR (Port LLPA)'!$B$53:$K$53,0),FALSE),"-")))</f>
        <v>-</v>
      </c>
      <c r="BD4" s="56" t="str">
        <f t="shared" ref="BD4:BD20" si="17">IF(OR(BB4="-",BC4="-"),"-",MAX((BC4+BB4+AP4),$C$90))</f>
        <v>-</v>
      </c>
      <c r="BE4" s="52">
        <f t="shared" ref="BE4:BE20" si="18">IF($C$6="SFR",$L$12,IF($C$6="Multi",$L$31,"-"))</f>
        <v>0</v>
      </c>
      <c r="BF4" s="214">
        <f t="shared" ref="BF4:BF20" si="19">IF($C$6="SFR",$L$11,IF($C$6="Multi",$L$30,"-"))</f>
        <v>1.2</v>
      </c>
      <c r="BG4" s="52">
        <f t="shared" ref="BG4:BG20" si="20">IF($C$6="SFR",$L$4,IF($C$6="Multi",$L$23,"-"))</f>
        <v>0</v>
      </c>
      <c r="BH4" s="52">
        <f t="shared" ref="BH4:BH20" si="21">IF($C$6="SFR",SUM($L$5:$L$8),IF($C$6="Multi",SUM($L$24:$L$27),"-"))</f>
        <v>0</v>
      </c>
      <c r="BI4" s="52" t="e">
        <f t="shared" ref="BI4:BI20" si="22">IF($C$6="SFR",ROUNDDOWN(IF($C$14="No IO",PV(BD4/12,$C$17,-BE4),(BG4/(BF4*(BD4/12))-(BH4/(BD4/12)))),0),IF($C$6="Multi",ROUNDDOWN(IF($C$14="No IO",PV(BD4/12,$C$17,-BE4),(BE4/(BD4/12))),0),))</f>
        <v>#VALUE!</v>
      </c>
      <c r="BJ4" s="232" t="e">
        <f t="shared" ref="BJ4:BJ20" si="23">IF(OR($T4="-",BI4="-"),"-",MIN($T4,BI4))</f>
        <v>#VALUE!</v>
      </c>
      <c r="BK4" s="233">
        <f t="shared" ref="BK4:BK20" si="24">BS26</f>
        <v>104</v>
      </c>
      <c r="BL4" s="232" t="e">
        <f>IF(BJ4="-","-",IF((BJ4/$C$19)&lt;=INDEX('DSCR (Port Legend)'!$F$3:$H$14,MATCH((BJ4/$C$19),'DSCR (Port Legend)'!$F$3:$F$14,1),2),INDEX('DSCR (Port Legend)'!$F$3:$H$14,MATCH((BJ4/$C$19),'DSCR (Port Legend)'!$F$3:$F$14,1),3),"-"))</f>
        <v>#VALUE!</v>
      </c>
      <c r="BM4" s="232" t="e">
        <f t="shared" ref="BM4:BM20" si="25">BL4&lt;AR4</f>
        <v>#VALUE!</v>
      </c>
      <c r="BN4" s="232" t="e">
        <f t="shared" ref="BN4:BN20" si="26">_xlfn.CONCAT(VLOOKUP(BL4,$BF$25:$BH$31,2,FALSE)," ","Rate")</f>
        <v>#VALUE!</v>
      </c>
      <c r="BO4" s="232" t="str">
        <f t="shared" ref="BO4:BO20" si="27">IFERROR(IF(BM4,VLOOKUP(BL4,$BF$25:$BH$31,3,FALSE),BJ4),"-")</f>
        <v>-</v>
      </c>
      <c r="BP4" s="231" t="str">
        <f t="shared" ref="BP4:BP20" si="28">IFERROR(IF(BM4,VLOOKUP(BK4,$B$67:$X$83,MATCH(BN4,$B$66:$X$66,0),FALSE),BD4),"-")</f>
        <v>-</v>
      </c>
      <c r="BR4" s="53">
        <v>0</v>
      </c>
      <c r="BS4" s="53">
        <f t="shared" ref="BS4:BS20" si="29">($BT$2/100)-BR4</f>
        <v>1.04</v>
      </c>
      <c r="BT4" s="230" t="str">
        <f t="shared" ref="BT4:BT20" si="30">IF(OR($T4="-",BO4="-"),"-",MIN($T4,BO4))</f>
        <v>-</v>
      </c>
      <c r="BU4" s="229" t="str">
        <f t="shared" ref="BU4:BU20" si="31">BP4</f>
        <v>-</v>
      </c>
      <c r="BV4" s="216" t="e">
        <f t="shared" ref="BV4:BV20" si="32">ROUND((BT4/$C$19)*100,1)</f>
        <v>#VALUE!</v>
      </c>
      <c r="BW4" s="216" t="e">
        <f t="shared" ref="BW4:BW20" si="33">IF(OR($C$3="Refinance (Rate/Term)",$C$3="Refinance (Cash Out)"),"-",ROUND((BT4/$C$22)*100,1))</f>
        <v>#VALUE!</v>
      </c>
      <c r="BX4" s="51" t="e">
        <f t="shared" ref="BX4:BX20" si="34">BV4&amp;" | "&amp;BW4</f>
        <v>#VALUE!</v>
      </c>
      <c r="BY4" s="215" t="e">
        <f t="shared" ref="BY4:BY20" si="35">PMT(BU4/12,$C$17,-BT4)</f>
        <v>#VALUE!</v>
      </c>
      <c r="BZ4" s="51" t="e">
        <f t="shared" ref="BZ4:BZ20" si="36">IF($C$14="No IO","-",BT4*(BU4/12))</f>
        <v>#VALUE!</v>
      </c>
      <c r="CA4" s="52">
        <f t="shared" ref="CA4:CA20" si="37">SUM($L$5:$L$7)</f>
        <v>0</v>
      </c>
      <c r="CB4" s="52">
        <f t="shared" ref="CB4:CB20" si="38">SUM($L$24:$L$25)</f>
        <v>0</v>
      </c>
      <c r="CC4" s="52">
        <f t="shared" ref="CC4:CC20" si="39">SUM($L$5:$L$8)</f>
        <v>0</v>
      </c>
      <c r="CD4" s="52">
        <f t="shared" ref="CD4:CD20" si="40">SUM($L$24:$L$27)</f>
        <v>0</v>
      </c>
      <c r="CE4" s="215" t="e">
        <f t="shared" ref="CE4:CE20" si="41">BY4+CA4</f>
        <v>#VALUE!</v>
      </c>
      <c r="CF4" s="51" t="e">
        <f t="shared" ref="CF4:CF20" si="42">IF($C$14="No IO","-",BZ4+CA4)</f>
        <v>#VALUE!</v>
      </c>
      <c r="CG4" s="52" t="e">
        <f t="shared" ref="CG4:CG20" si="43">+BY4+CB4</f>
        <v>#VALUE!</v>
      </c>
      <c r="CH4" s="51" t="e">
        <f t="shared" ref="CH4:CH20" si="44">IF($C$14="No IO","-",BZ4+CB4)</f>
        <v>#VALUE!</v>
      </c>
      <c r="CI4" s="52" t="e">
        <f t="shared" ref="CI4:CI20" si="45">IF($C$14="No IO",BY4+CC4,BZ4+CC4)</f>
        <v>#VALUE!</v>
      </c>
      <c r="CJ4" s="52" t="e">
        <f t="shared" ref="CJ4:CJ20" si="46">IF($C$14="No IO",BY4,BZ4)</f>
        <v>#VALUE!</v>
      </c>
      <c r="CK4" s="214" t="e">
        <f t="shared" ref="CK4:CK20" si="47">$L$4/CI4</f>
        <v>#VALUE!</v>
      </c>
      <c r="CL4" s="214" t="e">
        <f t="shared" ref="CL4:CL20" si="48">$L$29/CJ4</f>
        <v>#VALUE!</v>
      </c>
      <c r="CM4" s="51" t="e">
        <f t="shared" ref="CM4:CM20" si="49">IF($C$6="SFR",CF4,IF($C$6="Multi",CH4,"-"))</f>
        <v>#VALUE!</v>
      </c>
      <c r="CN4" s="52" t="e">
        <f t="shared" ref="CN4:CN20" si="50">IF($C$6="SFR",CE4,IF($C$6="Multi",CG4,"-"))</f>
        <v>#VALUE!</v>
      </c>
      <c r="CO4" s="214" t="e">
        <f t="shared" ref="CO4:CO20" si="51">IF($C$6="SFR",CK4,IF($C$6="Multi",CL4,"-"))</f>
        <v>#VALUE!</v>
      </c>
      <c r="CR4" s="52" t="b">
        <f>IF($C$14="No IO",MAX($BY$4:$BY$20,MAX($BZ$4:$BZ$20)))</f>
        <v>0</v>
      </c>
      <c r="CS4" s="51" t="s">
        <v>2</v>
      </c>
      <c r="CT4" s="52" t="e">
        <f t="shared" ref="CT4:CT20" si="52">BT4*BR4</f>
        <v>#VALUE!</v>
      </c>
      <c r="CU4" s="51" t="str">
        <f t="shared" ref="CU4:CU20" si="53">IF(OR(CS4="-",CS4&lt;1),"-",CT4/CS4)</f>
        <v>-</v>
      </c>
      <c r="CV4" s="51" t="str">
        <f t="shared" ref="CV4:CV20" si="54">IF(CU4="-","-",ROUND(CU4/12,2))</f>
        <v>-</v>
      </c>
    </row>
    <row r="5" spans="2:100" x14ac:dyDescent="0.25">
      <c r="B5" s="51" t="s">
        <v>90</v>
      </c>
      <c r="C5" s="222" t="str">
        <f>'DSCR (Port Loan)'!$C$14</f>
        <v>Detached SFR</v>
      </c>
      <c r="D5" s="193" t="str">
        <f>'DSCR (Port Legend)'!D5</f>
        <v>575+</v>
      </c>
      <c r="E5" s="192" t="str">
        <f t="shared" si="0"/>
        <v>-</v>
      </c>
      <c r="F5" s="192" t="str">
        <f t="shared" si="0"/>
        <v>-</v>
      </c>
      <c r="G5" s="192" t="str">
        <f t="shared" si="0"/>
        <v>-</v>
      </c>
      <c r="H5" s="192" t="str">
        <f t="shared" si="0"/>
        <v>-</v>
      </c>
      <c r="I5" s="192" t="str">
        <f t="shared" si="0"/>
        <v>-</v>
      </c>
      <c r="J5" s="192" t="str">
        <f t="shared" si="0"/>
        <v>-</v>
      </c>
      <c r="K5" s="51" t="s">
        <v>1787</v>
      </c>
      <c r="L5" s="226">
        <f>'DSCR (Port Loan)'!$F$17/12</f>
        <v>0</v>
      </c>
      <c r="N5" s="53">
        <v>2.5000000000000001E-3</v>
      </c>
      <c r="O5" s="53">
        <f t="shared" si="1"/>
        <v>1.0375000000000001</v>
      </c>
      <c r="P5" s="56">
        <f t="shared" si="2"/>
        <v>-6.6666666666665244E-4</v>
      </c>
      <c r="Q5" s="57" t="str">
        <f t="shared" si="3"/>
        <v>-</v>
      </c>
      <c r="R5" s="57" t="str">
        <f t="shared" si="4"/>
        <v>-</v>
      </c>
      <c r="S5" s="57" t="str">
        <f>IF(OR($C$3="Purchase",$C$3="Delayed Purchase",$C$3="Refinance (Cash Out)"),"-",IF($C$3="Refinance (Rate/Term)",'DSCR (Port Loan)'!$C$22*102%,"-"))</f>
        <v>-</v>
      </c>
      <c r="T5" s="57" t="str">
        <f t="shared" si="5"/>
        <v>-</v>
      </c>
      <c r="U5" s="51" t="str">
        <f>IF(T5="-","-",IF(($T5/$C$19)&lt;=INDEX('DSCR (Port Legend)'!$F$3:$H$14,MATCH(($T5/$C$19),'DSCR (Port Legend)'!$F$3:$F$14,1),2),INDEX('DSCR (Port Legend)'!$F$3:$H$14,MATCH(($T5/$C$19),'DSCR (Port Legend)'!$F$3:$F$14,1),3),"-"))</f>
        <v>-</v>
      </c>
      <c r="V5" s="67" t="str">
        <f>IFERROR(IF($C$6="SFR",VLOOKUP(V$3,'DSCR (Port LLPA)'!$M:$V,MATCH($U5,'DSCR (Port LLPA)'!$M$1:$V$1,0),FALSE),IF($C$6="Multi",VLOOKUP(V$3,'DSCR (Port LLPA)'!$X:$AG,MATCH($U5,'DSCR (Port LLPA)'!$X$1:$AG$1,0),FALSE),"-")),"-")</f>
        <v>-</v>
      </c>
      <c r="W5" s="67" t="str">
        <f>IFERROR(IF($C$6="SFR",VLOOKUP(W$3,'DSCR (Port LLPA)'!$M:$V,MATCH($U5,'DSCR (Port LLPA)'!$M$1:$V$1,0),FALSE),IF($C$6="Multi",VLOOKUP(W$3,'DSCR (Port LLPA)'!$X:$AG,MATCH($U5,'DSCR (Port LLPA)'!$X$1:$AG$1,0),FALSE),"-")),"-")</f>
        <v>-</v>
      </c>
      <c r="X5" s="67" t="str">
        <f>IFERROR(IF($C$6="SFR",VLOOKUP(X$3,'DSCR (Port LLPA)'!$M:$V,MATCH($U5,'DSCR (Port LLPA)'!$M$1:$V$1,0),FALSE),IF($C$6="Multi",VLOOKUP(X$3,'DSCR (Port LLPA)'!$X:$AG,MATCH($U5,'DSCR (Port LLPA)'!$X$1:$AG$1,0),FALSE),"-")),"-")</f>
        <v>-</v>
      </c>
      <c r="Y5" s="67" t="str">
        <f>IFERROR(IF($C$6="SFR",VLOOKUP(Y$3,'DSCR (Port LLPA)'!$M:$V,MATCH($U5,'DSCR (Port LLPA)'!$M$1:$V$1,0),FALSE),IF($C$6="Multi",VLOOKUP(Y$3,'DSCR (Port LLPA)'!$X:$AG,MATCH($U5,'DSCR (Port LLPA)'!$X$1:$AG$1,0),FALSE),"-")),"-")</f>
        <v>-</v>
      </c>
      <c r="Z5" s="67" t="str">
        <f>IFERROR(IF($C$6="SFR",VLOOKUP(Z$3,'DSCR (Port LLPA)'!$M:$V,MATCH($U5,'DSCR (Port LLPA)'!$M$1:$V$1,0),FALSE),IF($C$6="Multi",VLOOKUP(Z$3,'DSCR (Port LLPA)'!$X:$AG,MATCH($U5,'DSCR (Port LLPA)'!$X$1:$AG$1,0),FALSE),"-")),"-")</f>
        <v>-</v>
      </c>
      <c r="AA5" s="67" t="str">
        <f>IFERROR(IF($C$6="SFR",VLOOKUP(AA$3,'DSCR (Port LLPA)'!$M:$V,MATCH($U5,'DSCR (Port LLPA)'!$M$1:$V$1,0),FALSE),IF($C$6="Multi",VLOOKUP(AA$3,'DSCR (Port LLPA)'!$X:$AG,MATCH($U5,'DSCR (Port LLPA)'!$X$1:$AG$1,0),FALSE),"-")),"-")</f>
        <v>-</v>
      </c>
      <c r="AB5" s="67" t="str">
        <f>IF($T5="-","-",IF($T5&lt;=INDEX('DSCR (Port Legend)'!$J$3:$L$17,MATCH($T5,'DSCR (Port Legend)'!$J$3:$J$17,1),2),INDEX('DSCR (Port Legend)'!$J$3:$L$17,MATCH($T5,'DSCR (Port Legend)'!$J$3:$J$17,1),3),"-"))</f>
        <v>-</v>
      </c>
      <c r="AC5" s="67" t="str">
        <f>IFERROR(IF($C$6="SFR",VLOOKUP($AB5,'DSCR (Port LLPA)'!$M:$V,MATCH($U5,'DSCR (Port LLPA)'!$M$1:$V$1,0),FALSE),IF($C$6="Multi",VLOOKUP($AB5,'DSCR (Port LLPA)'!$X:$AG,MATCH($U5,'DSCR (Port LLPA)'!$X$1:$AG$1,0),FALSE),"-")),"-")</f>
        <v>-</v>
      </c>
      <c r="AD5" s="67" t="str">
        <f>IFERROR(IF($C$6="SFR",VLOOKUP(AD$3,'DSCR (Port LLPA)'!$M:$V,MATCH($U5,'DSCR (Port LLPA)'!$M$1:$V$1,0),FALSE),IF($C$6="Multi",VLOOKUP(AD$3,'DSCR (Port LLPA)'!$X:$AG,MATCH($U5,'DSCR (Port LLPA)'!$X$1:$AG$1,0),FALSE),"-")),"-")</f>
        <v>-</v>
      </c>
      <c r="AE5" s="67" t="str">
        <f t="shared" si="6"/>
        <v>-</v>
      </c>
      <c r="AF5" s="56" t="str">
        <f>IF($AE5="-","-",IF($C$6="SFR",VLOOKUP($C$10,'DSCR (Port LLPA)'!$B$36:$K$50,MATCH($U5,'DSCR (Port LLPA)'!$B$36:$K$36,0),FALSE),IF($C$6="Multi",VLOOKUP($C$10,'DSCR (Port LLPA)'!$B$53:$K$67,MATCH($U5,'DSCR (Port LLPA)'!$B$53:$K$53,0),FALSE),"-")))</f>
        <v>-</v>
      </c>
      <c r="AG5" s="56" t="str">
        <f t="shared" si="7"/>
        <v>-</v>
      </c>
      <c r="AH5" s="52">
        <f t="shared" si="8"/>
        <v>0</v>
      </c>
      <c r="AI5" s="214">
        <f t="shared" si="9"/>
        <v>1.2</v>
      </c>
      <c r="AJ5" s="52">
        <f t="shared" si="10"/>
        <v>0</v>
      </c>
      <c r="AK5" s="52">
        <f t="shared" si="11"/>
        <v>0</v>
      </c>
      <c r="AL5" s="52" t="e">
        <f t="shared" si="12"/>
        <v>#VALUE!</v>
      </c>
      <c r="AN5" s="53">
        <v>2.5000000000000001E-3</v>
      </c>
      <c r="AO5" s="53">
        <f t="shared" si="13"/>
        <v>1.0375000000000001</v>
      </c>
      <c r="AP5" s="56">
        <f t="shared" si="14"/>
        <v>-6.6666666666665244E-4</v>
      </c>
      <c r="AQ5" s="57" t="e">
        <f t="shared" si="15"/>
        <v>#VALUE!</v>
      </c>
      <c r="AR5" s="51" t="e">
        <f>IF(AQ5="-","-",IF((AQ5/$C$19)&lt;=INDEX('DSCR (Port Legend)'!$F$3:$H$14,MATCH((AQ5/$C$19),'DSCR (Port Legend)'!$F$3:$F$14,1),2),INDEX('DSCR (Port Legend)'!$F$3:$H$14,MATCH((AQ5/$C$19),'DSCR (Port Legend)'!$F$3:$F$14,1),3),"-"))</f>
        <v>#VALUE!</v>
      </c>
      <c r="AS5" s="56" t="str">
        <f>IFERROR(IF($C$6="SFR",VLOOKUP(AS$3,'DSCR (Port LLPA)'!$M:$V,MATCH($AR5,'DSCR (Port LLPA)'!$M$1:$V$1,0),FALSE),IF($C$6="Multi",VLOOKUP(AS$3,'DSCR (Port LLPA)'!$X:$AG,MATCH($AR5,'DSCR (Port LLPA)'!$X$1:$AG$1,0),FALSE),"-")),"-")</f>
        <v>-</v>
      </c>
      <c r="AT5" s="56" t="str">
        <f>IFERROR(IF($C$6="SFR",VLOOKUP(AT$3,'DSCR (Port LLPA)'!$M:$V,MATCH($AR5,'DSCR (Port LLPA)'!$M$1:$V$1,0),FALSE),IF($C$6="Multi",VLOOKUP(AT$3,'DSCR (Port LLPA)'!$X:$AG,MATCH($AR5,'DSCR (Port LLPA)'!$X$1:$AG$1,0),FALSE),"-")),"-")</f>
        <v>-</v>
      </c>
      <c r="AU5" s="56" t="str">
        <f>IFERROR(IF($C$6="SFR",VLOOKUP(AU$3,'DSCR (Port LLPA)'!$M:$V,MATCH($AR5,'DSCR (Port LLPA)'!$M$1:$V$1,0),FALSE),IF($C$6="Multi",VLOOKUP(AU$3,'DSCR (Port LLPA)'!$X:$AG,MATCH($AR5,'DSCR (Port LLPA)'!$X$1:$AG$1,0),FALSE),"-")),"-")</f>
        <v>-</v>
      </c>
      <c r="AV5" s="56" t="str">
        <f>IFERROR(IF($C$6="SFR",VLOOKUP(AV$3,'DSCR (Port LLPA)'!$M:$V,MATCH($AR5,'DSCR (Port LLPA)'!$M$1:$V$1,0),FALSE),IF($C$6="Multi",VLOOKUP(AV$3,'DSCR (Port LLPA)'!$X:$AG,MATCH($AR5,'DSCR (Port LLPA)'!$X$1:$AG$1,0),FALSE),"-")),"-")</f>
        <v>-</v>
      </c>
      <c r="AW5" s="56" t="str">
        <f>IFERROR(IF($C$6="SFR",VLOOKUP(AW$3,'DSCR (Port LLPA)'!$M:$V,MATCH($AR5,'DSCR (Port LLPA)'!$M$1:$V$1,0),FALSE),IF($C$6="Multi",VLOOKUP(AW$3,'DSCR (Port LLPA)'!$X:$AG,MATCH($AR5,'DSCR (Port LLPA)'!$X$1:$AG$1,0),FALSE),"-")),"-")</f>
        <v>-</v>
      </c>
      <c r="AX5" s="56" t="str">
        <f>IFERROR(IF($C$6="SFR",VLOOKUP(AX$3,'DSCR (Port LLPA)'!$M:$V,MATCH($AR5,'DSCR (Port LLPA)'!$M$1:$V$1,0),FALSE),IF($C$6="Multi",VLOOKUP(AX$3,'DSCR (Port LLPA)'!$X:$AG,MATCH($AR5,'DSCR (Port LLPA)'!$X$1:$AG$1,0),FALSE),"-")),"-")</f>
        <v>-</v>
      </c>
      <c r="AY5" s="56" t="e">
        <f>IF($AQ5="-","-",IF($AQ5&lt;=INDEX('DSCR (Port Legend)'!$J$3:$L$17,MATCH($AQ5,'DSCR (Port Legend)'!$J$3:$J$17,1),2),INDEX('DSCR (Port Legend)'!$J$3:$L$17,MATCH($AQ5,'DSCR (Port Legend)'!$J$3:$J$17,1),3),"-"))</f>
        <v>#VALUE!</v>
      </c>
      <c r="AZ5" s="56" t="str">
        <f>IFERROR(IF($C$6="SFR",VLOOKUP($AY5,'DSCR (Port LLPA)'!$M:$V,MATCH($AR5,'DSCR (Port LLPA)'!$M$1:$V$1,0),FALSE),IF($C$6="Multi",VLOOKUP($AY5,'DSCR (Port LLPA)'!$X:$AG,MATCH($AR5,'DSCR (Port LLPA)'!$X$1:$AG$1,0),FALSE),"-")),"-")</f>
        <v>-</v>
      </c>
      <c r="BA5" s="56" t="str">
        <f>IFERROR(IF($C$6="SFR",VLOOKUP(BA$3,'DSCR (Port LLPA)'!$M:$V,MATCH($AR5,'DSCR (Port LLPA)'!$M$1:$V$1,0),FALSE),IF($C$6="Multi",VLOOKUP(BA$3,'DSCR (Port LLPA)'!$X:$AG,MATCH($AR5,'DSCR (Port LLPA)'!$X$1:$AG$1,0),FALSE),"-")),"-")</f>
        <v>-</v>
      </c>
      <c r="BB5" s="67" t="str">
        <f t="shared" si="16"/>
        <v>-</v>
      </c>
      <c r="BC5" s="56" t="str">
        <f>IF($BB5="-","-",IF($C$6="SFR",VLOOKUP($C$10,'DSCR (Port LLPA)'!$B$36:$K$50,MATCH($AR5,'DSCR (Port LLPA)'!$B$36:$K$36,0),FALSE),IF($C$6="Multi",VLOOKUP($C$10,'DSCR (Port LLPA)'!$B$53:$K$67,MATCH($AR5,'DSCR (Port LLPA)'!$B$53:$K$53,0),FALSE),"-")))</f>
        <v>-</v>
      </c>
      <c r="BD5" s="56" t="str">
        <f t="shared" si="17"/>
        <v>-</v>
      </c>
      <c r="BE5" s="52">
        <f t="shared" si="18"/>
        <v>0</v>
      </c>
      <c r="BF5" s="214">
        <f t="shared" si="19"/>
        <v>1.2</v>
      </c>
      <c r="BG5" s="52">
        <f t="shared" si="20"/>
        <v>0</v>
      </c>
      <c r="BH5" s="52">
        <f t="shared" si="21"/>
        <v>0</v>
      </c>
      <c r="BI5" s="52" t="e">
        <f t="shared" si="22"/>
        <v>#VALUE!</v>
      </c>
      <c r="BJ5" s="232" t="e">
        <f t="shared" si="23"/>
        <v>#VALUE!</v>
      </c>
      <c r="BK5" s="233">
        <f t="shared" si="24"/>
        <v>103.75</v>
      </c>
      <c r="BL5" s="232" t="e">
        <f>IF(BJ5="-","-",IF((BJ5/$C$19)&lt;=INDEX('DSCR (Port Legend)'!$F$3:$H$14,MATCH((BJ5/$C$19),'DSCR (Port Legend)'!$F$3:$F$14,1),2),INDEX('DSCR (Port Legend)'!$F$3:$H$14,MATCH((BJ5/$C$19),'DSCR (Port Legend)'!$F$3:$F$14,1),3),"-"))</f>
        <v>#VALUE!</v>
      </c>
      <c r="BM5" s="232" t="e">
        <f t="shared" si="25"/>
        <v>#VALUE!</v>
      </c>
      <c r="BN5" s="232" t="e">
        <f t="shared" si="26"/>
        <v>#VALUE!</v>
      </c>
      <c r="BO5" s="232" t="str">
        <f t="shared" si="27"/>
        <v>-</v>
      </c>
      <c r="BP5" s="231" t="str">
        <f t="shared" si="28"/>
        <v>-</v>
      </c>
      <c r="BR5" s="53">
        <v>2.5000000000000001E-3</v>
      </c>
      <c r="BS5" s="53">
        <f t="shared" si="29"/>
        <v>1.0375000000000001</v>
      </c>
      <c r="BT5" s="230" t="str">
        <f t="shared" si="30"/>
        <v>-</v>
      </c>
      <c r="BU5" s="229" t="str">
        <f t="shared" si="31"/>
        <v>-</v>
      </c>
      <c r="BV5" s="216" t="e">
        <f t="shared" si="32"/>
        <v>#VALUE!</v>
      </c>
      <c r="BW5" s="216" t="e">
        <f t="shared" si="33"/>
        <v>#VALUE!</v>
      </c>
      <c r="BX5" s="51" t="e">
        <f t="shared" si="34"/>
        <v>#VALUE!</v>
      </c>
      <c r="BY5" s="215" t="e">
        <f t="shared" si="35"/>
        <v>#VALUE!</v>
      </c>
      <c r="BZ5" s="51" t="e">
        <f t="shared" si="36"/>
        <v>#VALUE!</v>
      </c>
      <c r="CA5" s="52">
        <f t="shared" si="37"/>
        <v>0</v>
      </c>
      <c r="CB5" s="52">
        <f t="shared" si="38"/>
        <v>0</v>
      </c>
      <c r="CC5" s="52">
        <f t="shared" si="39"/>
        <v>0</v>
      </c>
      <c r="CD5" s="52">
        <f t="shared" si="40"/>
        <v>0</v>
      </c>
      <c r="CE5" s="215" t="e">
        <f t="shared" si="41"/>
        <v>#VALUE!</v>
      </c>
      <c r="CF5" s="51" t="e">
        <f t="shared" si="42"/>
        <v>#VALUE!</v>
      </c>
      <c r="CG5" s="52" t="e">
        <f t="shared" si="43"/>
        <v>#VALUE!</v>
      </c>
      <c r="CH5" s="51" t="e">
        <f t="shared" si="44"/>
        <v>#VALUE!</v>
      </c>
      <c r="CI5" s="52" t="e">
        <f t="shared" si="45"/>
        <v>#VALUE!</v>
      </c>
      <c r="CJ5" s="52" t="e">
        <f t="shared" si="46"/>
        <v>#VALUE!</v>
      </c>
      <c r="CK5" s="214" t="e">
        <f t="shared" si="47"/>
        <v>#VALUE!</v>
      </c>
      <c r="CL5" s="214" t="e">
        <f t="shared" si="48"/>
        <v>#VALUE!</v>
      </c>
      <c r="CM5" s="51" t="e">
        <f t="shared" si="49"/>
        <v>#VALUE!</v>
      </c>
      <c r="CN5" s="52" t="e">
        <f t="shared" si="50"/>
        <v>#VALUE!</v>
      </c>
      <c r="CO5" s="214" t="e">
        <f t="shared" si="51"/>
        <v>#VALUE!</v>
      </c>
      <c r="CS5" s="51" t="e">
        <f t="shared" ref="CS5:CS20" si="55">IF($C$14="No IO",IF(BT5&gt;BT4,"-",IF(BT5=BT4,ABS(BY5-$CR$4),"-")),IF(BT5&gt;BT4,"-",IF(BT5=BT4,ABS(BZ5-$CR$4),"-")))</f>
        <v>#VALUE!</v>
      </c>
      <c r="CT5" s="52" t="e">
        <f t="shared" si="52"/>
        <v>#VALUE!</v>
      </c>
      <c r="CU5" s="51" t="e">
        <f t="shared" si="53"/>
        <v>#VALUE!</v>
      </c>
      <c r="CV5" s="51" t="e">
        <f t="shared" si="54"/>
        <v>#VALUE!</v>
      </c>
    </row>
    <row r="6" spans="2:100" x14ac:dyDescent="0.25">
      <c r="B6" s="51" t="s">
        <v>1809</v>
      </c>
      <c r="C6" s="222" t="str">
        <f>IF(OR($C$5="Detached SFR",$C$5="2-4 Unit Residential",$C$5="Condominium",$C$5="Non-Warrantable Condo",$C$5="Townhome",$C$5="PUD"),"SFR",IF(OR($C$5="Multifamily (5-9 Unit)",$C$5="Multifamily (10+ Unit)",$C$5="Mixed-Use"),"Multi","-"))</f>
        <v>SFR</v>
      </c>
      <c r="D6" s="193" t="str">
        <f>'DSCR (Port Legend)'!D6</f>
        <v>600+</v>
      </c>
      <c r="E6" s="192" t="str">
        <f t="shared" si="0"/>
        <v>-</v>
      </c>
      <c r="F6" s="192" t="str">
        <f t="shared" si="0"/>
        <v>-</v>
      </c>
      <c r="G6" s="192" t="str">
        <f t="shared" si="0"/>
        <v>-</v>
      </c>
      <c r="H6" s="192" t="str">
        <f t="shared" si="0"/>
        <v>-</v>
      </c>
      <c r="I6" s="192" t="str">
        <f t="shared" si="0"/>
        <v>-</v>
      </c>
      <c r="J6" s="192" t="str">
        <f t="shared" si="0"/>
        <v>-</v>
      </c>
      <c r="K6" s="51" t="s">
        <v>1808</v>
      </c>
      <c r="L6" s="226">
        <f>'DSCR (Port Loan)'!$G$17/12</f>
        <v>0</v>
      </c>
      <c r="N6" s="53">
        <v>5.0000000000000001E-3</v>
      </c>
      <c r="O6" s="53">
        <f t="shared" si="1"/>
        <v>1.0350000000000001</v>
      </c>
      <c r="P6" s="56">
        <f t="shared" si="2"/>
        <v>-1.3333333333333049E-3</v>
      </c>
      <c r="Q6" s="57" t="str">
        <f t="shared" si="3"/>
        <v>-</v>
      </c>
      <c r="R6" s="57" t="str">
        <f t="shared" si="4"/>
        <v>-</v>
      </c>
      <c r="S6" s="57" t="str">
        <f>IF(OR($C$3="Purchase",$C$3="Delayed Purchase",$C$3="Refinance (Cash Out)"),"-",IF($C$3="Refinance (Rate/Term)",'DSCR (Port Loan)'!$C$22*102%,"-"))</f>
        <v>-</v>
      </c>
      <c r="T6" s="57" t="str">
        <f t="shared" si="5"/>
        <v>-</v>
      </c>
      <c r="U6" s="51" t="str">
        <f>IF(T6="-","-",IF(($T6/$C$19)&lt;=INDEX('DSCR (Port Legend)'!$F$3:$H$14,MATCH(($T6/$C$19),'DSCR (Port Legend)'!$F$3:$F$14,1),2),INDEX('DSCR (Port Legend)'!$F$3:$H$14,MATCH(($T6/$C$19),'DSCR (Port Legend)'!$F$3:$F$14,1),3),"-"))</f>
        <v>-</v>
      </c>
      <c r="V6" s="67" t="str">
        <f>IFERROR(IF($C$6="SFR",VLOOKUP(V$3,'DSCR (Port LLPA)'!$M:$V,MATCH($U6,'DSCR (Port LLPA)'!$M$1:$V$1,0),FALSE),IF($C$6="Multi",VLOOKUP(V$3,'DSCR (Port LLPA)'!$X:$AG,MATCH($U6,'DSCR (Port LLPA)'!$X$1:$AG$1,0),FALSE),"-")),"-")</f>
        <v>-</v>
      </c>
      <c r="W6" s="67" t="str">
        <f>IFERROR(IF($C$6="SFR",VLOOKUP(W$3,'DSCR (Port LLPA)'!$M:$V,MATCH($U6,'DSCR (Port LLPA)'!$M$1:$V$1,0),FALSE),IF($C$6="Multi",VLOOKUP(W$3,'DSCR (Port LLPA)'!$X:$AG,MATCH($U6,'DSCR (Port LLPA)'!$X$1:$AG$1,0),FALSE),"-")),"-")</f>
        <v>-</v>
      </c>
      <c r="X6" s="67" t="str">
        <f>IFERROR(IF($C$6="SFR",VLOOKUP(X$3,'DSCR (Port LLPA)'!$M:$V,MATCH($U6,'DSCR (Port LLPA)'!$M$1:$V$1,0),FALSE),IF($C$6="Multi",VLOOKUP(X$3,'DSCR (Port LLPA)'!$X:$AG,MATCH($U6,'DSCR (Port LLPA)'!$X$1:$AG$1,0),FALSE),"-")),"-")</f>
        <v>-</v>
      </c>
      <c r="Y6" s="67" t="str">
        <f>IFERROR(IF($C$6="SFR",VLOOKUP(Y$3,'DSCR (Port LLPA)'!$M:$V,MATCH($U6,'DSCR (Port LLPA)'!$M$1:$V$1,0),FALSE),IF($C$6="Multi",VLOOKUP(Y$3,'DSCR (Port LLPA)'!$X:$AG,MATCH($U6,'DSCR (Port LLPA)'!$X$1:$AG$1,0),FALSE),"-")),"-")</f>
        <v>-</v>
      </c>
      <c r="Z6" s="67" t="str">
        <f>IFERROR(IF($C$6="SFR",VLOOKUP(Z$3,'DSCR (Port LLPA)'!$M:$V,MATCH($U6,'DSCR (Port LLPA)'!$M$1:$V$1,0),FALSE),IF($C$6="Multi",VLOOKUP(Z$3,'DSCR (Port LLPA)'!$X:$AG,MATCH($U6,'DSCR (Port LLPA)'!$X$1:$AG$1,0),FALSE),"-")),"-")</f>
        <v>-</v>
      </c>
      <c r="AA6" s="67" t="str">
        <f>IFERROR(IF($C$6="SFR",VLOOKUP(AA$3,'DSCR (Port LLPA)'!$M:$V,MATCH($U6,'DSCR (Port LLPA)'!$M$1:$V$1,0),FALSE),IF($C$6="Multi",VLOOKUP(AA$3,'DSCR (Port LLPA)'!$X:$AG,MATCH($U6,'DSCR (Port LLPA)'!$X$1:$AG$1,0),FALSE),"-")),"-")</f>
        <v>-</v>
      </c>
      <c r="AB6" s="67" t="str">
        <f>IF($T6="-","-",IF($T6&lt;=INDEX('DSCR (Port Legend)'!$J$3:$L$17,MATCH($T6,'DSCR (Port Legend)'!$J$3:$J$17,1),2),INDEX('DSCR (Port Legend)'!$J$3:$L$17,MATCH($T6,'DSCR (Port Legend)'!$J$3:$J$17,1),3),"-"))</f>
        <v>-</v>
      </c>
      <c r="AC6" s="67" t="str">
        <f>IFERROR(IF($C$6="SFR",VLOOKUP($AB6,'DSCR (Port LLPA)'!$M:$V,MATCH($U6,'DSCR (Port LLPA)'!$M$1:$V$1,0),FALSE),IF($C$6="Multi",VLOOKUP($AB6,'DSCR (Port LLPA)'!$X:$AG,MATCH($U6,'DSCR (Port LLPA)'!$X$1:$AG$1,0),FALSE),"-")),"-")</f>
        <v>-</v>
      </c>
      <c r="AD6" s="67" t="str">
        <f>IFERROR(IF($C$6="SFR",VLOOKUP(AD$3,'DSCR (Port LLPA)'!$M:$V,MATCH($U6,'DSCR (Port LLPA)'!$M$1:$V$1,0),FALSE),IF($C$6="Multi",VLOOKUP(AD$3,'DSCR (Port LLPA)'!$X:$AG,MATCH($U6,'DSCR (Port LLPA)'!$X$1:$AG$1,0),FALSE),"-")),"-")</f>
        <v>-</v>
      </c>
      <c r="AE6" s="67" t="str">
        <f t="shared" si="6"/>
        <v>-</v>
      </c>
      <c r="AF6" s="56" t="str">
        <f>IF($AE6="-","-",IF($C$6="SFR",VLOOKUP($C$10,'DSCR (Port LLPA)'!$B$36:$K$50,MATCH($U6,'DSCR (Port LLPA)'!$B$36:$K$36,0),FALSE),IF($C$6="Multi",VLOOKUP($C$10,'DSCR (Port LLPA)'!$B$53:$K$67,MATCH($U6,'DSCR (Port LLPA)'!$B$53:$K$53,0),FALSE),"-")))</f>
        <v>-</v>
      </c>
      <c r="AG6" s="56" t="str">
        <f t="shared" si="7"/>
        <v>-</v>
      </c>
      <c r="AH6" s="52">
        <f t="shared" si="8"/>
        <v>0</v>
      </c>
      <c r="AI6" s="214">
        <f t="shared" si="9"/>
        <v>1.2</v>
      </c>
      <c r="AJ6" s="52">
        <f t="shared" si="10"/>
        <v>0</v>
      </c>
      <c r="AK6" s="52">
        <f t="shared" si="11"/>
        <v>0</v>
      </c>
      <c r="AL6" s="52" t="e">
        <f t="shared" si="12"/>
        <v>#VALUE!</v>
      </c>
      <c r="AN6" s="53">
        <v>5.0000000000000001E-3</v>
      </c>
      <c r="AO6" s="53">
        <f t="shared" si="13"/>
        <v>1.0350000000000001</v>
      </c>
      <c r="AP6" s="56">
        <f t="shared" si="14"/>
        <v>-1.3333333333333049E-3</v>
      </c>
      <c r="AQ6" s="57" t="e">
        <f t="shared" si="15"/>
        <v>#VALUE!</v>
      </c>
      <c r="AR6" s="51" t="e">
        <f>IF(AQ6="-","-",IF((AQ6/$C$19)&lt;=INDEX('DSCR (Port Legend)'!$F$3:$H$14,MATCH((AQ6/$C$19),'DSCR (Port Legend)'!$F$3:$F$14,1),2),INDEX('DSCR (Port Legend)'!$F$3:$H$14,MATCH((AQ6/$C$19),'DSCR (Port Legend)'!$F$3:$F$14,1),3),"-"))</f>
        <v>#VALUE!</v>
      </c>
      <c r="AS6" s="56" t="str">
        <f>IFERROR(IF($C$6="SFR",VLOOKUP(AS$3,'DSCR (Port LLPA)'!$M:$V,MATCH($AR6,'DSCR (Port LLPA)'!$M$1:$V$1,0),FALSE),IF($C$6="Multi",VLOOKUP(AS$3,'DSCR (Port LLPA)'!$X:$AG,MATCH($AR6,'DSCR (Port LLPA)'!$X$1:$AG$1,0),FALSE),"-")),"-")</f>
        <v>-</v>
      </c>
      <c r="AT6" s="56" t="str">
        <f>IFERROR(IF($C$6="SFR",VLOOKUP(AT$3,'DSCR (Port LLPA)'!$M:$V,MATCH($AR6,'DSCR (Port LLPA)'!$M$1:$V$1,0),FALSE),IF($C$6="Multi",VLOOKUP(AT$3,'DSCR (Port LLPA)'!$X:$AG,MATCH($AR6,'DSCR (Port LLPA)'!$X$1:$AG$1,0),FALSE),"-")),"-")</f>
        <v>-</v>
      </c>
      <c r="AU6" s="56" t="str">
        <f>IFERROR(IF($C$6="SFR",VLOOKUP(AU$3,'DSCR (Port LLPA)'!$M:$V,MATCH($AR6,'DSCR (Port LLPA)'!$M$1:$V$1,0),FALSE),IF($C$6="Multi",VLOOKUP(AU$3,'DSCR (Port LLPA)'!$X:$AG,MATCH($AR6,'DSCR (Port LLPA)'!$X$1:$AG$1,0),FALSE),"-")),"-")</f>
        <v>-</v>
      </c>
      <c r="AV6" s="56" t="str">
        <f>IFERROR(IF($C$6="SFR",VLOOKUP(AV$3,'DSCR (Port LLPA)'!$M:$V,MATCH($AR6,'DSCR (Port LLPA)'!$M$1:$V$1,0),FALSE),IF($C$6="Multi",VLOOKUP(AV$3,'DSCR (Port LLPA)'!$X:$AG,MATCH($AR6,'DSCR (Port LLPA)'!$X$1:$AG$1,0),FALSE),"-")),"-")</f>
        <v>-</v>
      </c>
      <c r="AW6" s="56" t="str">
        <f>IFERROR(IF($C$6="SFR",VLOOKUP(AW$3,'DSCR (Port LLPA)'!$M:$V,MATCH($AR6,'DSCR (Port LLPA)'!$M$1:$V$1,0),FALSE),IF($C$6="Multi",VLOOKUP(AW$3,'DSCR (Port LLPA)'!$X:$AG,MATCH($AR6,'DSCR (Port LLPA)'!$X$1:$AG$1,0),FALSE),"-")),"-")</f>
        <v>-</v>
      </c>
      <c r="AX6" s="56" t="str">
        <f>IFERROR(IF($C$6="SFR",VLOOKUP(AX$3,'DSCR (Port LLPA)'!$M:$V,MATCH($AR6,'DSCR (Port LLPA)'!$M$1:$V$1,0),FALSE),IF($C$6="Multi",VLOOKUP(AX$3,'DSCR (Port LLPA)'!$X:$AG,MATCH($AR6,'DSCR (Port LLPA)'!$X$1:$AG$1,0),FALSE),"-")),"-")</f>
        <v>-</v>
      </c>
      <c r="AY6" s="56" t="e">
        <f>IF($AQ6="-","-",IF($AQ6&lt;=INDEX('DSCR (Port Legend)'!$J$3:$L$17,MATCH($AQ6,'DSCR (Port Legend)'!$J$3:$J$17,1),2),INDEX('DSCR (Port Legend)'!$J$3:$L$17,MATCH($AQ6,'DSCR (Port Legend)'!$J$3:$J$17,1),3),"-"))</f>
        <v>#VALUE!</v>
      </c>
      <c r="AZ6" s="56" t="str">
        <f>IFERROR(IF($C$6="SFR",VLOOKUP($AY6,'DSCR (Port LLPA)'!$M:$V,MATCH($AR6,'DSCR (Port LLPA)'!$M$1:$V$1,0),FALSE),IF($C$6="Multi",VLOOKUP($AY6,'DSCR (Port LLPA)'!$X:$AG,MATCH($AR6,'DSCR (Port LLPA)'!$X$1:$AG$1,0),FALSE),"-")),"-")</f>
        <v>-</v>
      </c>
      <c r="BA6" s="56" t="str">
        <f>IFERROR(IF($C$6="SFR",VLOOKUP(BA$3,'DSCR (Port LLPA)'!$M:$V,MATCH($AR6,'DSCR (Port LLPA)'!$M$1:$V$1,0),FALSE),IF($C$6="Multi",VLOOKUP(BA$3,'DSCR (Port LLPA)'!$X:$AG,MATCH($AR6,'DSCR (Port LLPA)'!$X$1:$AG$1,0),FALSE),"-")),"-")</f>
        <v>-</v>
      </c>
      <c r="BB6" s="67" t="str">
        <f t="shared" si="16"/>
        <v>-</v>
      </c>
      <c r="BC6" s="56" t="str">
        <f>IF($BB6="-","-",IF($C$6="SFR",VLOOKUP($C$10,'DSCR (Port LLPA)'!$B$36:$K$50,MATCH($AR6,'DSCR (Port LLPA)'!$B$36:$K$36,0),FALSE),IF($C$6="Multi",VLOOKUP($C$10,'DSCR (Port LLPA)'!$B$53:$K$67,MATCH($AR6,'DSCR (Port LLPA)'!$B$53:$K$53,0),FALSE),"-")))</f>
        <v>-</v>
      </c>
      <c r="BD6" s="56" t="str">
        <f t="shared" si="17"/>
        <v>-</v>
      </c>
      <c r="BE6" s="52">
        <f t="shared" si="18"/>
        <v>0</v>
      </c>
      <c r="BF6" s="214">
        <f t="shared" si="19"/>
        <v>1.2</v>
      </c>
      <c r="BG6" s="52">
        <f t="shared" si="20"/>
        <v>0</v>
      </c>
      <c r="BH6" s="52">
        <f t="shared" si="21"/>
        <v>0</v>
      </c>
      <c r="BI6" s="52" t="e">
        <f t="shared" si="22"/>
        <v>#VALUE!</v>
      </c>
      <c r="BJ6" s="232" t="e">
        <f t="shared" si="23"/>
        <v>#VALUE!</v>
      </c>
      <c r="BK6" s="233">
        <f t="shared" si="24"/>
        <v>103.5</v>
      </c>
      <c r="BL6" s="232" t="e">
        <f>IF(BJ6="-","-",IF((BJ6/$C$19)&lt;=INDEX('DSCR (Port Legend)'!$F$3:$H$14,MATCH((BJ6/$C$19),'DSCR (Port Legend)'!$F$3:$F$14,1),2),INDEX('DSCR (Port Legend)'!$F$3:$H$14,MATCH((BJ6/$C$19),'DSCR (Port Legend)'!$F$3:$F$14,1),3),"-"))</f>
        <v>#VALUE!</v>
      </c>
      <c r="BM6" s="232" t="e">
        <f t="shared" si="25"/>
        <v>#VALUE!</v>
      </c>
      <c r="BN6" s="232" t="e">
        <f t="shared" si="26"/>
        <v>#VALUE!</v>
      </c>
      <c r="BO6" s="232" t="str">
        <f t="shared" si="27"/>
        <v>-</v>
      </c>
      <c r="BP6" s="231" t="str">
        <f t="shared" si="28"/>
        <v>-</v>
      </c>
      <c r="BR6" s="53">
        <v>5.0000000000000001E-3</v>
      </c>
      <c r="BS6" s="53">
        <f t="shared" si="29"/>
        <v>1.0350000000000001</v>
      </c>
      <c r="BT6" s="230" t="str">
        <f t="shared" si="30"/>
        <v>-</v>
      </c>
      <c r="BU6" s="229" t="str">
        <f t="shared" si="31"/>
        <v>-</v>
      </c>
      <c r="BV6" s="216" t="e">
        <f t="shared" si="32"/>
        <v>#VALUE!</v>
      </c>
      <c r="BW6" s="216" t="e">
        <f t="shared" si="33"/>
        <v>#VALUE!</v>
      </c>
      <c r="BX6" s="51" t="e">
        <f t="shared" si="34"/>
        <v>#VALUE!</v>
      </c>
      <c r="BY6" s="215" t="e">
        <f t="shared" si="35"/>
        <v>#VALUE!</v>
      </c>
      <c r="BZ6" s="51" t="e">
        <f t="shared" si="36"/>
        <v>#VALUE!</v>
      </c>
      <c r="CA6" s="52">
        <f t="shared" si="37"/>
        <v>0</v>
      </c>
      <c r="CB6" s="52">
        <f t="shared" si="38"/>
        <v>0</v>
      </c>
      <c r="CC6" s="52">
        <f t="shared" si="39"/>
        <v>0</v>
      </c>
      <c r="CD6" s="52">
        <f t="shared" si="40"/>
        <v>0</v>
      </c>
      <c r="CE6" s="215" t="e">
        <f t="shared" si="41"/>
        <v>#VALUE!</v>
      </c>
      <c r="CF6" s="51" t="e">
        <f t="shared" si="42"/>
        <v>#VALUE!</v>
      </c>
      <c r="CG6" s="52" t="e">
        <f t="shared" si="43"/>
        <v>#VALUE!</v>
      </c>
      <c r="CH6" s="51" t="e">
        <f t="shared" si="44"/>
        <v>#VALUE!</v>
      </c>
      <c r="CI6" s="52" t="e">
        <f t="shared" si="45"/>
        <v>#VALUE!</v>
      </c>
      <c r="CJ6" s="52" t="e">
        <f t="shared" si="46"/>
        <v>#VALUE!</v>
      </c>
      <c r="CK6" s="214" t="e">
        <f t="shared" si="47"/>
        <v>#VALUE!</v>
      </c>
      <c r="CL6" s="214" t="e">
        <f t="shared" si="48"/>
        <v>#VALUE!</v>
      </c>
      <c r="CM6" s="51" t="e">
        <f t="shared" si="49"/>
        <v>#VALUE!</v>
      </c>
      <c r="CN6" s="52" t="e">
        <f t="shared" si="50"/>
        <v>#VALUE!</v>
      </c>
      <c r="CO6" s="214" t="e">
        <f t="shared" si="51"/>
        <v>#VALUE!</v>
      </c>
      <c r="CS6" s="51" t="e">
        <f t="shared" si="55"/>
        <v>#VALUE!</v>
      </c>
      <c r="CT6" s="52" t="e">
        <f t="shared" si="52"/>
        <v>#VALUE!</v>
      </c>
      <c r="CU6" s="51" t="e">
        <f t="shared" si="53"/>
        <v>#VALUE!</v>
      </c>
      <c r="CV6" s="51" t="e">
        <f t="shared" si="54"/>
        <v>#VALUE!</v>
      </c>
    </row>
    <row r="7" spans="2:100" x14ac:dyDescent="0.25">
      <c r="D7" s="193" t="str">
        <f>'DSCR (Port Legend)'!D7</f>
        <v>620+</v>
      </c>
      <c r="E7" s="192" t="str">
        <f t="shared" si="0"/>
        <v>-</v>
      </c>
      <c r="F7" s="192" t="str">
        <f t="shared" si="0"/>
        <v>-</v>
      </c>
      <c r="G7" s="192" t="str">
        <f t="shared" si="0"/>
        <v>-</v>
      </c>
      <c r="H7" s="192" t="str">
        <f t="shared" si="0"/>
        <v>-</v>
      </c>
      <c r="I7" s="192" t="str">
        <f t="shared" si="0"/>
        <v>-</v>
      </c>
      <c r="J7" s="192" t="str">
        <f t="shared" si="0"/>
        <v>-</v>
      </c>
      <c r="K7" s="51" t="s">
        <v>1807</v>
      </c>
      <c r="L7" s="226">
        <f>'DSCR (Port Loan)'!$H$17/12</f>
        <v>0</v>
      </c>
      <c r="N7" s="53">
        <v>7.4999999999999997E-3</v>
      </c>
      <c r="O7" s="53">
        <f t="shared" si="1"/>
        <v>1.0325</v>
      </c>
      <c r="P7" s="56">
        <f t="shared" si="2"/>
        <v>-2.0000000000000165E-3</v>
      </c>
      <c r="Q7" s="57" t="str">
        <f t="shared" si="3"/>
        <v>-</v>
      </c>
      <c r="R7" s="57" t="str">
        <f t="shared" si="4"/>
        <v>-</v>
      </c>
      <c r="S7" s="57" t="str">
        <f>IF(OR($C$3="Purchase",$C$3="Delayed Purchase",$C$3="Refinance (Cash Out)"),"-",IF($C$3="Refinance (Rate/Term)",'DSCR (Port Loan)'!$C$22*102%,"-"))</f>
        <v>-</v>
      </c>
      <c r="T7" s="57" t="str">
        <f t="shared" si="5"/>
        <v>-</v>
      </c>
      <c r="U7" s="51" t="str">
        <f>IF(T7="-","-",IF(($T7/$C$19)&lt;=INDEX('DSCR (Port Legend)'!$F$3:$H$14,MATCH(($T7/$C$19),'DSCR (Port Legend)'!$F$3:$F$14,1),2),INDEX('DSCR (Port Legend)'!$F$3:$H$14,MATCH(($T7/$C$19),'DSCR (Port Legend)'!$F$3:$F$14,1),3),"-"))</f>
        <v>-</v>
      </c>
      <c r="V7" s="67" t="str">
        <f>IFERROR(IF($C$6="SFR",VLOOKUP(V$3,'DSCR (Port LLPA)'!$M:$V,MATCH($U7,'DSCR (Port LLPA)'!$M$1:$V$1,0),FALSE),IF($C$6="Multi",VLOOKUP(V$3,'DSCR (Port LLPA)'!$X:$AG,MATCH($U7,'DSCR (Port LLPA)'!$X$1:$AG$1,0),FALSE),"-")),"-")</f>
        <v>-</v>
      </c>
      <c r="W7" s="67" t="str">
        <f>IFERROR(IF($C$6="SFR",VLOOKUP(W$3,'DSCR (Port LLPA)'!$M:$V,MATCH($U7,'DSCR (Port LLPA)'!$M$1:$V$1,0),FALSE),IF($C$6="Multi",VLOOKUP(W$3,'DSCR (Port LLPA)'!$X:$AG,MATCH($U7,'DSCR (Port LLPA)'!$X$1:$AG$1,0),FALSE),"-")),"-")</f>
        <v>-</v>
      </c>
      <c r="X7" s="67" t="str">
        <f>IFERROR(IF($C$6="SFR",VLOOKUP(X$3,'DSCR (Port LLPA)'!$M:$V,MATCH($U7,'DSCR (Port LLPA)'!$M$1:$V$1,0),FALSE),IF($C$6="Multi",VLOOKUP(X$3,'DSCR (Port LLPA)'!$X:$AG,MATCH($U7,'DSCR (Port LLPA)'!$X$1:$AG$1,0),FALSE),"-")),"-")</f>
        <v>-</v>
      </c>
      <c r="Y7" s="67" t="str">
        <f>IFERROR(IF($C$6="SFR",VLOOKUP(Y$3,'DSCR (Port LLPA)'!$M:$V,MATCH($U7,'DSCR (Port LLPA)'!$M$1:$V$1,0),FALSE),IF($C$6="Multi",VLOOKUP(Y$3,'DSCR (Port LLPA)'!$X:$AG,MATCH($U7,'DSCR (Port LLPA)'!$X$1:$AG$1,0),FALSE),"-")),"-")</f>
        <v>-</v>
      </c>
      <c r="Z7" s="67" t="str">
        <f>IFERROR(IF($C$6="SFR",VLOOKUP(Z$3,'DSCR (Port LLPA)'!$M:$V,MATCH($U7,'DSCR (Port LLPA)'!$M$1:$V$1,0),FALSE),IF($C$6="Multi",VLOOKUP(Z$3,'DSCR (Port LLPA)'!$X:$AG,MATCH($U7,'DSCR (Port LLPA)'!$X$1:$AG$1,0),FALSE),"-")),"-")</f>
        <v>-</v>
      </c>
      <c r="AA7" s="67" t="str">
        <f>IFERROR(IF($C$6="SFR",VLOOKUP(AA$3,'DSCR (Port LLPA)'!$M:$V,MATCH($U7,'DSCR (Port LLPA)'!$M$1:$V$1,0),FALSE),IF($C$6="Multi",VLOOKUP(AA$3,'DSCR (Port LLPA)'!$X:$AG,MATCH($U7,'DSCR (Port LLPA)'!$X$1:$AG$1,0),FALSE),"-")),"-")</f>
        <v>-</v>
      </c>
      <c r="AB7" s="67" t="str">
        <f>IF($T7="-","-",IF($T7&lt;=INDEX('DSCR (Port Legend)'!$J$3:$L$17,MATCH($T7,'DSCR (Port Legend)'!$J$3:$J$17,1),2),INDEX('DSCR (Port Legend)'!$J$3:$L$17,MATCH($T7,'DSCR (Port Legend)'!$J$3:$J$17,1),3),"-"))</f>
        <v>-</v>
      </c>
      <c r="AC7" s="67" t="str">
        <f>IFERROR(IF($C$6="SFR",VLOOKUP($AB7,'DSCR (Port LLPA)'!$M:$V,MATCH($U7,'DSCR (Port LLPA)'!$M$1:$V$1,0),FALSE),IF($C$6="Multi",VLOOKUP($AB7,'DSCR (Port LLPA)'!$X:$AG,MATCH($U7,'DSCR (Port LLPA)'!$X$1:$AG$1,0),FALSE),"-")),"-")</f>
        <v>-</v>
      </c>
      <c r="AD7" s="67" t="str">
        <f>IFERROR(IF($C$6="SFR",VLOOKUP(AD$3,'DSCR (Port LLPA)'!$M:$V,MATCH($U7,'DSCR (Port LLPA)'!$M$1:$V$1,0),FALSE),IF($C$6="Multi",VLOOKUP(AD$3,'DSCR (Port LLPA)'!$X:$AG,MATCH($U7,'DSCR (Port LLPA)'!$X$1:$AG$1,0),FALSE),"-")),"-")</f>
        <v>-</v>
      </c>
      <c r="AE7" s="67" t="str">
        <f t="shared" si="6"/>
        <v>-</v>
      </c>
      <c r="AF7" s="56" t="str">
        <f>IF($AE7="-","-",IF($C$6="SFR",VLOOKUP($C$10,'DSCR (Port LLPA)'!$B$36:$K$50,MATCH($U7,'DSCR (Port LLPA)'!$B$36:$K$36,0),FALSE),IF($C$6="Multi",VLOOKUP($C$10,'DSCR (Port LLPA)'!$B$53:$K$67,MATCH($U7,'DSCR (Port LLPA)'!$B$53:$K$53,0),FALSE),"-")))</f>
        <v>-</v>
      </c>
      <c r="AG7" s="56" t="str">
        <f t="shared" si="7"/>
        <v>-</v>
      </c>
      <c r="AH7" s="52">
        <f t="shared" si="8"/>
        <v>0</v>
      </c>
      <c r="AI7" s="214">
        <f t="shared" si="9"/>
        <v>1.2</v>
      </c>
      <c r="AJ7" s="52">
        <f t="shared" si="10"/>
        <v>0</v>
      </c>
      <c r="AK7" s="52">
        <f t="shared" si="11"/>
        <v>0</v>
      </c>
      <c r="AL7" s="52" t="e">
        <f t="shared" si="12"/>
        <v>#VALUE!</v>
      </c>
      <c r="AN7" s="53">
        <v>7.4999999999999997E-3</v>
      </c>
      <c r="AO7" s="53">
        <f t="shared" si="13"/>
        <v>1.0325</v>
      </c>
      <c r="AP7" s="56">
        <f t="shared" si="14"/>
        <v>-2.0000000000000165E-3</v>
      </c>
      <c r="AQ7" s="57" t="e">
        <f t="shared" si="15"/>
        <v>#VALUE!</v>
      </c>
      <c r="AR7" s="51" t="e">
        <f>IF(AQ7="-","-",IF((AQ7/$C$19)&lt;=INDEX('DSCR (Port Legend)'!$F$3:$H$14,MATCH((AQ7/$C$19),'DSCR (Port Legend)'!$F$3:$F$14,1),2),INDEX('DSCR (Port Legend)'!$F$3:$H$14,MATCH((AQ7/$C$19),'DSCR (Port Legend)'!$F$3:$F$14,1),3),"-"))</f>
        <v>#VALUE!</v>
      </c>
      <c r="AS7" s="56" t="str">
        <f>IFERROR(IF($C$6="SFR",VLOOKUP(AS$3,'DSCR (Port LLPA)'!$M:$V,MATCH($AR7,'DSCR (Port LLPA)'!$M$1:$V$1,0),FALSE),IF($C$6="Multi",VLOOKUP(AS$3,'DSCR (Port LLPA)'!$X:$AG,MATCH($AR7,'DSCR (Port LLPA)'!$X$1:$AG$1,0),FALSE),"-")),"-")</f>
        <v>-</v>
      </c>
      <c r="AT7" s="56" t="str">
        <f>IFERROR(IF($C$6="SFR",VLOOKUP(AT$3,'DSCR (Port LLPA)'!$M:$V,MATCH($AR7,'DSCR (Port LLPA)'!$M$1:$V$1,0),FALSE),IF($C$6="Multi",VLOOKUP(AT$3,'DSCR (Port LLPA)'!$X:$AG,MATCH($AR7,'DSCR (Port LLPA)'!$X$1:$AG$1,0),FALSE),"-")),"-")</f>
        <v>-</v>
      </c>
      <c r="AU7" s="56" t="str">
        <f>IFERROR(IF($C$6="SFR",VLOOKUP(AU$3,'DSCR (Port LLPA)'!$M:$V,MATCH($AR7,'DSCR (Port LLPA)'!$M$1:$V$1,0),FALSE),IF($C$6="Multi",VLOOKUP(AU$3,'DSCR (Port LLPA)'!$X:$AG,MATCH($AR7,'DSCR (Port LLPA)'!$X$1:$AG$1,0),FALSE),"-")),"-")</f>
        <v>-</v>
      </c>
      <c r="AV7" s="56" t="str">
        <f>IFERROR(IF($C$6="SFR",VLOOKUP(AV$3,'DSCR (Port LLPA)'!$M:$V,MATCH($AR7,'DSCR (Port LLPA)'!$M$1:$V$1,0),FALSE),IF($C$6="Multi",VLOOKUP(AV$3,'DSCR (Port LLPA)'!$X:$AG,MATCH($AR7,'DSCR (Port LLPA)'!$X$1:$AG$1,0),FALSE),"-")),"-")</f>
        <v>-</v>
      </c>
      <c r="AW7" s="56" t="str">
        <f>IFERROR(IF($C$6="SFR",VLOOKUP(AW$3,'DSCR (Port LLPA)'!$M:$V,MATCH($AR7,'DSCR (Port LLPA)'!$M$1:$V$1,0),FALSE),IF($C$6="Multi",VLOOKUP(AW$3,'DSCR (Port LLPA)'!$X:$AG,MATCH($AR7,'DSCR (Port LLPA)'!$X$1:$AG$1,0),FALSE),"-")),"-")</f>
        <v>-</v>
      </c>
      <c r="AX7" s="56" t="str">
        <f>IFERROR(IF($C$6="SFR",VLOOKUP(AX$3,'DSCR (Port LLPA)'!$M:$V,MATCH($AR7,'DSCR (Port LLPA)'!$M$1:$V$1,0),FALSE),IF($C$6="Multi",VLOOKUP(AX$3,'DSCR (Port LLPA)'!$X:$AG,MATCH($AR7,'DSCR (Port LLPA)'!$X$1:$AG$1,0),FALSE),"-")),"-")</f>
        <v>-</v>
      </c>
      <c r="AY7" s="56" t="e">
        <f>IF($AQ7="-","-",IF($AQ7&lt;=INDEX('DSCR (Port Legend)'!$J$3:$L$17,MATCH($AQ7,'DSCR (Port Legend)'!$J$3:$J$17,1),2),INDEX('DSCR (Port Legend)'!$J$3:$L$17,MATCH($AQ7,'DSCR (Port Legend)'!$J$3:$J$17,1),3),"-"))</f>
        <v>#VALUE!</v>
      </c>
      <c r="AZ7" s="56" t="str">
        <f>IFERROR(IF($C$6="SFR",VLOOKUP($AY7,'DSCR (Port LLPA)'!$M:$V,MATCH($AR7,'DSCR (Port LLPA)'!$M$1:$V$1,0),FALSE),IF($C$6="Multi",VLOOKUP($AY7,'DSCR (Port LLPA)'!$X:$AG,MATCH($AR7,'DSCR (Port LLPA)'!$X$1:$AG$1,0),FALSE),"-")),"-")</f>
        <v>-</v>
      </c>
      <c r="BA7" s="56" t="str">
        <f>IFERROR(IF($C$6="SFR",VLOOKUP(BA$3,'DSCR (Port LLPA)'!$M:$V,MATCH($AR7,'DSCR (Port LLPA)'!$M$1:$V$1,0),FALSE),IF($C$6="Multi",VLOOKUP(BA$3,'DSCR (Port LLPA)'!$X:$AG,MATCH($AR7,'DSCR (Port LLPA)'!$X$1:$AG$1,0),FALSE),"-")),"-")</f>
        <v>-</v>
      </c>
      <c r="BB7" s="67" t="str">
        <f t="shared" si="16"/>
        <v>-</v>
      </c>
      <c r="BC7" s="56" t="str">
        <f>IF($BB7="-","-",IF($C$6="SFR",VLOOKUP($C$10,'DSCR (Port LLPA)'!$B$36:$K$50,MATCH($AR7,'DSCR (Port LLPA)'!$B$36:$K$36,0),FALSE),IF($C$6="Multi",VLOOKUP($C$10,'DSCR (Port LLPA)'!$B$53:$K$67,MATCH($AR7,'DSCR (Port LLPA)'!$B$53:$K$53,0),FALSE),"-")))</f>
        <v>-</v>
      </c>
      <c r="BD7" s="56" t="str">
        <f t="shared" si="17"/>
        <v>-</v>
      </c>
      <c r="BE7" s="52">
        <f t="shared" si="18"/>
        <v>0</v>
      </c>
      <c r="BF7" s="214">
        <f t="shared" si="19"/>
        <v>1.2</v>
      </c>
      <c r="BG7" s="52">
        <f t="shared" si="20"/>
        <v>0</v>
      </c>
      <c r="BH7" s="52">
        <f t="shared" si="21"/>
        <v>0</v>
      </c>
      <c r="BI7" s="52" t="e">
        <f t="shared" si="22"/>
        <v>#VALUE!</v>
      </c>
      <c r="BJ7" s="232" t="e">
        <f t="shared" si="23"/>
        <v>#VALUE!</v>
      </c>
      <c r="BK7" s="233">
        <f t="shared" si="24"/>
        <v>103.25</v>
      </c>
      <c r="BL7" s="232" t="e">
        <f>IF(BJ7="-","-",IF((BJ7/$C$19)&lt;=INDEX('DSCR (Port Legend)'!$F$3:$H$14,MATCH((BJ7/$C$19),'DSCR (Port Legend)'!$F$3:$F$14,1),2),INDEX('DSCR (Port Legend)'!$F$3:$H$14,MATCH((BJ7/$C$19),'DSCR (Port Legend)'!$F$3:$F$14,1),3),"-"))</f>
        <v>#VALUE!</v>
      </c>
      <c r="BM7" s="232" t="e">
        <f t="shared" si="25"/>
        <v>#VALUE!</v>
      </c>
      <c r="BN7" s="232" t="e">
        <f t="shared" si="26"/>
        <v>#VALUE!</v>
      </c>
      <c r="BO7" s="232" t="str">
        <f t="shared" si="27"/>
        <v>-</v>
      </c>
      <c r="BP7" s="231" t="str">
        <f t="shared" si="28"/>
        <v>-</v>
      </c>
      <c r="BR7" s="53">
        <v>7.4999999999999997E-3</v>
      </c>
      <c r="BS7" s="53">
        <f t="shared" si="29"/>
        <v>1.0325</v>
      </c>
      <c r="BT7" s="230" t="str">
        <f t="shared" si="30"/>
        <v>-</v>
      </c>
      <c r="BU7" s="229" t="str">
        <f t="shared" si="31"/>
        <v>-</v>
      </c>
      <c r="BV7" s="216" t="e">
        <f t="shared" si="32"/>
        <v>#VALUE!</v>
      </c>
      <c r="BW7" s="216" t="e">
        <f t="shared" si="33"/>
        <v>#VALUE!</v>
      </c>
      <c r="BX7" s="51" t="e">
        <f t="shared" si="34"/>
        <v>#VALUE!</v>
      </c>
      <c r="BY7" s="215" t="e">
        <f t="shared" si="35"/>
        <v>#VALUE!</v>
      </c>
      <c r="BZ7" s="51" t="e">
        <f t="shared" si="36"/>
        <v>#VALUE!</v>
      </c>
      <c r="CA7" s="52">
        <f t="shared" si="37"/>
        <v>0</v>
      </c>
      <c r="CB7" s="52">
        <f t="shared" si="38"/>
        <v>0</v>
      </c>
      <c r="CC7" s="52">
        <f t="shared" si="39"/>
        <v>0</v>
      </c>
      <c r="CD7" s="52">
        <f t="shared" si="40"/>
        <v>0</v>
      </c>
      <c r="CE7" s="215" t="e">
        <f t="shared" si="41"/>
        <v>#VALUE!</v>
      </c>
      <c r="CF7" s="51" t="e">
        <f t="shared" si="42"/>
        <v>#VALUE!</v>
      </c>
      <c r="CG7" s="52" t="e">
        <f t="shared" si="43"/>
        <v>#VALUE!</v>
      </c>
      <c r="CH7" s="51" t="e">
        <f t="shared" si="44"/>
        <v>#VALUE!</v>
      </c>
      <c r="CI7" s="52" t="e">
        <f t="shared" si="45"/>
        <v>#VALUE!</v>
      </c>
      <c r="CJ7" s="52" t="e">
        <f t="shared" si="46"/>
        <v>#VALUE!</v>
      </c>
      <c r="CK7" s="214" t="e">
        <f t="shared" si="47"/>
        <v>#VALUE!</v>
      </c>
      <c r="CL7" s="214" t="e">
        <f t="shared" si="48"/>
        <v>#VALUE!</v>
      </c>
      <c r="CM7" s="51" t="e">
        <f t="shared" si="49"/>
        <v>#VALUE!</v>
      </c>
      <c r="CN7" s="52" t="e">
        <f t="shared" si="50"/>
        <v>#VALUE!</v>
      </c>
      <c r="CO7" s="214" t="e">
        <f t="shared" si="51"/>
        <v>#VALUE!</v>
      </c>
      <c r="CS7" s="51" t="e">
        <f t="shared" si="55"/>
        <v>#VALUE!</v>
      </c>
      <c r="CT7" s="52" t="e">
        <f t="shared" si="52"/>
        <v>#VALUE!</v>
      </c>
      <c r="CU7" s="51" t="e">
        <f t="shared" si="53"/>
        <v>#VALUE!</v>
      </c>
      <c r="CV7" s="51" t="e">
        <f t="shared" si="54"/>
        <v>#VALUE!</v>
      </c>
    </row>
    <row r="8" spans="2:100" x14ac:dyDescent="0.25">
      <c r="B8" s="51" t="s">
        <v>107</v>
      </c>
      <c r="C8" s="222">
        <f>'DSCR (Port Loan)'!$C$11</f>
        <v>0</v>
      </c>
      <c r="D8" s="193" t="str">
        <f>'DSCR (Port Legend)'!D8</f>
        <v>640+</v>
      </c>
      <c r="E8" s="192" t="str">
        <f t="shared" si="0"/>
        <v>-</v>
      </c>
      <c r="F8" s="192" t="str">
        <f t="shared" si="0"/>
        <v>-</v>
      </c>
      <c r="G8" s="192" t="str">
        <f t="shared" si="0"/>
        <v>-</v>
      </c>
      <c r="H8" s="192" t="str">
        <f t="shared" si="0"/>
        <v>-</v>
      </c>
      <c r="I8" s="192" t="str">
        <f t="shared" si="0"/>
        <v>-</v>
      </c>
      <c r="J8" s="192" t="str">
        <f t="shared" si="0"/>
        <v>-</v>
      </c>
      <c r="K8" s="51" t="s">
        <v>1806</v>
      </c>
      <c r="L8" s="226">
        <f>'DSCR (Port Loan)'!$I$17/12</f>
        <v>0</v>
      </c>
      <c r="N8" s="53">
        <v>0.01</v>
      </c>
      <c r="O8" s="53">
        <f t="shared" si="1"/>
        <v>1.03</v>
      </c>
      <c r="P8" s="56">
        <f t="shared" si="2"/>
        <v>-2.6666666666666692E-3</v>
      </c>
      <c r="Q8" s="57" t="str">
        <f t="shared" si="3"/>
        <v>-</v>
      </c>
      <c r="R8" s="57" t="str">
        <f t="shared" si="4"/>
        <v>-</v>
      </c>
      <c r="S8" s="57" t="str">
        <f>IF(OR($C$3="Purchase",$C$3="Delayed Purchase",$C$3="Refinance (Cash Out)"),"-",IF($C$3="Refinance (Rate/Term)",'DSCR (Port Loan)'!$C$22*102%,"-"))</f>
        <v>-</v>
      </c>
      <c r="T8" s="57" t="str">
        <f t="shared" si="5"/>
        <v>-</v>
      </c>
      <c r="U8" s="51" t="str">
        <f>IF(T8="-","-",IF(($T8/$C$19)&lt;=INDEX('DSCR (Port Legend)'!$F$3:$H$14,MATCH(($T8/$C$19),'DSCR (Port Legend)'!$F$3:$F$14,1),2),INDEX('DSCR (Port Legend)'!$F$3:$H$14,MATCH(($T8/$C$19),'DSCR (Port Legend)'!$F$3:$F$14,1),3),"-"))</f>
        <v>-</v>
      </c>
      <c r="V8" s="67" t="str">
        <f>IFERROR(IF($C$6="SFR",VLOOKUP(V$3,'DSCR (Port LLPA)'!$M:$V,MATCH($U8,'DSCR (Port LLPA)'!$M$1:$V$1,0),FALSE),IF($C$6="Multi",VLOOKUP(V$3,'DSCR (Port LLPA)'!$X:$AG,MATCH($U8,'DSCR (Port LLPA)'!$X$1:$AG$1,0),FALSE),"-")),"-")</f>
        <v>-</v>
      </c>
      <c r="W8" s="67" t="str">
        <f>IFERROR(IF($C$6="SFR",VLOOKUP(W$3,'DSCR (Port LLPA)'!$M:$V,MATCH($U8,'DSCR (Port LLPA)'!$M$1:$V$1,0),FALSE),IF($C$6="Multi",VLOOKUP(W$3,'DSCR (Port LLPA)'!$X:$AG,MATCH($U8,'DSCR (Port LLPA)'!$X$1:$AG$1,0),FALSE),"-")),"-")</f>
        <v>-</v>
      </c>
      <c r="X8" s="67" t="str">
        <f>IFERROR(IF($C$6="SFR",VLOOKUP(X$3,'DSCR (Port LLPA)'!$M:$V,MATCH($U8,'DSCR (Port LLPA)'!$M$1:$V$1,0),FALSE),IF($C$6="Multi",VLOOKUP(X$3,'DSCR (Port LLPA)'!$X:$AG,MATCH($U8,'DSCR (Port LLPA)'!$X$1:$AG$1,0),FALSE),"-")),"-")</f>
        <v>-</v>
      </c>
      <c r="Y8" s="67" t="str">
        <f>IFERROR(IF($C$6="SFR",VLOOKUP(Y$3,'DSCR (Port LLPA)'!$M:$V,MATCH($U8,'DSCR (Port LLPA)'!$M$1:$V$1,0),FALSE),IF($C$6="Multi",VLOOKUP(Y$3,'DSCR (Port LLPA)'!$X:$AG,MATCH($U8,'DSCR (Port LLPA)'!$X$1:$AG$1,0),FALSE),"-")),"-")</f>
        <v>-</v>
      </c>
      <c r="Z8" s="67" t="str">
        <f>IFERROR(IF($C$6="SFR",VLOOKUP(Z$3,'DSCR (Port LLPA)'!$M:$V,MATCH($U8,'DSCR (Port LLPA)'!$M$1:$V$1,0),FALSE),IF($C$6="Multi",VLOOKUP(Z$3,'DSCR (Port LLPA)'!$X:$AG,MATCH($U8,'DSCR (Port LLPA)'!$X$1:$AG$1,0),FALSE),"-")),"-")</f>
        <v>-</v>
      </c>
      <c r="AA8" s="67" t="str">
        <f>IFERROR(IF($C$6="SFR",VLOOKUP(AA$3,'DSCR (Port LLPA)'!$M:$V,MATCH($U8,'DSCR (Port LLPA)'!$M$1:$V$1,0),FALSE),IF($C$6="Multi",VLOOKUP(AA$3,'DSCR (Port LLPA)'!$X:$AG,MATCH($U8,'DSCR (Port LLPA)'!$X$1:$AG$1,0),FALSE),"-")),"-")</f>
        <v>-</v>
      </c>
      <c r="AB8" s="67" t="str">
        <f>IF($T8="-","-",IF($T8&lt;=INDEX('DSCR (Port Legend)'!$J$3:$L$17,MATCH($T8,'DSCR (Port Legend)'!$J$3:$J$17,1),2),INDEX('DSCR (Port Legend)'!$J$3:$L$17,MATCH($T8,'DSCR (Port Legend)'!$J$3:$J$17,1),3),"-"))</f>
        <v>-</v>
      </c>
      <c r="AC8" s="67" t="str">
        <f>IFERROR(IF($C$6="SFR",VLOOKUP($AB8,'DSCR (Port LLPA)'!$M:$V,MATCH($U8,'DSCR (Port LLPA)'!$M$1:$V$1,0),FALSE),IF($C$6="Multi",VLOOKUP($AB8,'DSCR (Port LLPA)'!$X:$AG,MATCH($U8,'DSCR (Port LLPA)'!$X$1:$AG$1,0),FALSE),"-")),"-")</f>
        <v>-</v>
      </c>
      <c r="AD8" s="67" t="str">
        <f>IFERROR(IF($C$6="SFR",VLOOKUP(AD$3,'DSCR (Port LLPA)'!$M:$V,MATCH($U8,'DSCR (Port LLPA)'!$M$1:$V$1,0),FALSE),IF($C$6="Multi",VLOOKUP(AD$3,'DSCR (Port LLPA)'!$X:$AG,MATCH($U8,'DSCR (Port LLPA)'!$X$1:$AG$1,0),FALSE),"-")),"-")</f>
        <v>-</v>
      </c>
      <c r="AE8" s="67" t="str">
        <f t="shared" si="6"/>
        <v>-</v>
      </c>
      <c r="AF8" s="56" t="str">
        <f>IF($AE8="-","-",IF($C$6="SFR",VLOOKUP($C$10,'DSCR (Port LLPA)'!$B$36:$K$50,MATCH($U8,'DSCR (Port LLPA)'!$B$36:$K$36,0),FALSE),IF($C$6="Multi",VLOOKUP($C$10,'DSCR (Port LLPA)'!$B$53:$K$67,MATCH($U8,'DSCR (Port LLPA)'!$B$53:$K$53,0),FALSE),"-")))</f>
        <v>-</v>
      </c>
      <c r="AG8" s="56" t="str">
        <f t="shared" si="7"/>
        <v>-</v>
      </c>
      <c r="AH8" s="52">
        <f t="shared" si="8"/>
        <v>0</v>
      </c>
      <c r="AI8" s="214">
        <f t="shared" si="9"/>
        <v>1.2</v>
      </c>
      <c r="AJ8" s="52">
        <f t="shared" si="10"/>
        <v>0</v>
      </c>
      <c r="AK8" s="52">
        <f t="shared" si="11"/>
        <v>0</v>
      </c>
      <c r="AL8" s="52" t="e">
        <f t="shared" si="12"/>
        <v>#VALUE!</v>
      </c>
      <c r="AN8" s="53">
        <v>0.01</v>
      </c>
      <c r="AO8" s="53">
        <f t="shared" si="13"/>
        <v>1.03</v>
      </c>
      <c r="AP8" s="56">
        <f t="shared" si="14"/>
        <v>-2.6666666666666692E-3</v>
      </c>
      <c r="AQ8" s="57" t="e">
        <f t="shared" si="15"/>
        <v>#VALUE!</v>
      </c>
      <c r="AR8" s="51" t="e">
        <f>IF(AQ8="-","-",IF((AQ8/$C$19)&lt;=INDEX('DSCR (Port Legend)'!$F$3:$H$14,MATCH((AQ8/$C$19),'DSCR (Port Legend)'!$F$3:$F$14,1),2),INDEX('DSCR (Port Legend)'!$F$3:$H$14,MATCH((AQ8/$C$19),'DSCR (Port Legend)'!$F$3:$F$14,1),3),"-"))</f>
        <v>#VALUE!</v>
      </c>
      <c r="AS8" s="56" t="str">
        <f>IFERROR(IF($C$6="SFR",VLOOKUP(AS$3,'DSCR (Port LLPA)'!$M:$V,MATCH($AR8,'DSCR (Port LLPA)'!$M$1:$V$1,0),FALSE),IF($C$6="Multi",VLOOKUP(AS$3,'DSCR (Port LLPA)'!$X:$AG,MATCH($AR8,'DSCR (Port LLPA)'!$X$1:$AG$1,0),FALSE),"-")),"-")</f>
        <v>-</v>
      </c>
      <c r="AT8" s="56" t="str">
        <f>IFERROR(IF($C$6="SFR",VLOOKUP(AT$3,'DSCR (Port LLPA)'!$M:$V,MATCH($AR8,'DSCR (Port LLPA)'!$M$1:$V$1,0),FALSE),IF($C$6="Multi",VLOOKUP(AT$3,'DSCR (Port LLPA)'!$X:$AG,MATCH($AR8,'DSCR (Port LLPA)'!$X$1:$AG$1,0),FALSE),"-")),"-")</f>
        <v>-</v>
      </c>
      <c r="AU8" s="56" t="str">
        <f>IFERROR(IF($C$6="SFR",VLOOKUP(AU$3,'DSCR (Port LLPA)'!$M:$V,MATCH($AR8,'DSCR (Port LLPA)'!$M$1:$V$1,0),FALSE),IF($C$6="Multi",VLOOKUP(AU$3,'DSCR (Port LLPA)'!$X:$AG,MATCH($AR8,'DSCR (Port LLPA)'!$X$1:$AG$1,0),FALSE),"-")),"-")</f>
        <v>-</v>
      </c>
      <c r="AV8" s="56" t="str">
        <f>IFERROR(IF($C$6="SFR",VLOOKUP(AV$3,'DSCR (Port LLPA)'!$M:$V,MATCH($AR8,'DSCR (Port LLPA)'!$M$1:$V$1,0),FALSE),IF($C$6="Multi",VLOOKUP(AV$3,'DSCR (Port LLPA)'!$X:$AG,MATCH($AR8,'DSCR (Port LLPA)'!$X$1:$AG$1,0),FALSE),"-")),"-")</f>
        <v>-</v>
      </c>
      <c r="AW8" s="56" t="str">
        <f>IFERROR(IF($C$6="SFR",VLOOKUP(AW$3,'DSCR (Port LLPA)'!$M:$V,MATCH($AR8,'DSCR (Port LLPA)'!$M$1:$V$1,0),FALSE),IF($C$6="Multi",VLOOKUP(AW$3,'DSCR (Port LLPA)'!$X:$AG,MATCH($AR8,'DSCR (Port LLPA)'!$X$1:$AG$1,0),FALSE),"-")),"-")</f>
        <v>-</v>
      </c>
      <c r="AX8" s="56" t="str">
        <f>IFERROR(IF($C$6="SFR",VLOOKUP(AX$3,'DSCR (Port LLPA)'!$M:$V,MATCH($AR8,'DSCR (Port LLPA)'!$M$1:$V$1,0),FALSE),IF($C$6="Multi",VLOOKUP(AX$3,'DSCR (Port LLPA)'!$X:$AG,MATCH($AR8,'DSCR (Port LLPA)'!$X$1:$AG$1,0),FALSE),"-")),"-")</f>
        <v>-</v>
      </c>
      <c r="AY8" s="56" t="e">
        <f>IF($AQ8="-","-",IF($AQ8&lt;=INDEX('DSCR (Port Legend)'!$J$3:$L$17,MATCH($AQ8,'DSCR (Port Legend)'!$J$3:$J$17,1),2),INDEX('DSCR (Port Legend)'!$J$3:$L$17,MATCH($AQ8,'DSCR (Port Legend)'!$J$3:$J$17,1),3),"-"))</f>
        <v>#VALUE!</v>
      </c>
      <c r="AZ8" s="56" t="str">
        <f>IFERROR(IF($C$6="SFR",VLOOKUP($AY8,'DSCR (Port LLPA)'!$M:$V,MATCH($AR8,'DSCR (Port LLPA)'!$M$1:$V$1,0),FALSE),IF($C$6="Multi",VLOOKUP($AY8,'DSCR (Port LLPA)'!$X:$AG,MATCH($AR8,'DSCR (Port LLPA)'!$X$1:$AG$1,0),FALSE),"-")),"-")</f>
        <v>-</v>
      </c>
      <c r="BA8" s="56" t="str">
        <f>IFERROR(IF($C$6="SFR",VLOOKUP(BA$3,'DSCR (Port LLPA)'!$M:$V,MATCH($AR8,'DSCR (Port LLPA)'!$M$1:$V$1,0),FALSE),IF($C$6="Multi",VLOOKUP(BA$3,'DSCR (Port LLPA)'!$X:$AG,MATCH($AR8,'DSCR (Port LLPA)'!$X$1:$AG$1,0),FALSE),"-")),"-")</f>
        <v>-</v>
      </c>
      <c r="BB8" s="67" t="str">
        <f t="shared" si="16"/>
        <v>-</v>
      </c>
      <c r="BC8" s="56" t="str">
        <f>IF($BB8="-","-",IF($C$6="SFR",VLOOKUP($C$10,'DSCR (Port LLPA)'!$B$36:$K$50,MATCH($AR8,'DSCR (Port LLPA)'!$B$36:$K$36,0),FALSE),IF($C$6="Multi",VLOOKUP($C$10,'DSCR (Port LLPA)'!$B$53:$K$67,MATCH($AR8,'DSCR (Port LLPA)'!$B$53:$K$53,0),FALSE),"-")))</f>
        <v>-</v>
      </c>
      <c r="BD8" s="56" t="str">
        <f t="shared" si="17"/>
        <v>-</v>
      </c>
      <c r="BE8" s="52">
        <f t="shared" si="18"/>
        <v>0</v>
      </c>
      <c r="BF8" s="214">
        <f t="shared" si="19"/>
        <v>1.2</v>
      </c>
      <c r="BG8" s="52">
        <f t="shared" si="20"/>
        <v>0</v>
      </c>
      <c r="BH8" s="52">
        <f t="shared" si="21"/>
        <v>0</v>
      </c>
      <c r="BI8" s="52" t="e">
        <f t="shared" si="22"/>
        <v>#VALUE!</v>
      </c>
      <c r="BJ8" s="232" t="e">
        <f t="shared" si="23"/>
        <v>#VALUE!</v>
      </c>
      <c r="BK8" s="233">
        <f t="shared" si="24"/>
        <v>103</v>
      </c>
      <c r="BL8" s="232" t="e">
        <f>IF(BJ8="-","-",IF((BJ8/$C$19)&lt;=INDEX('DSCR (Port Legend)'!$F$3:$H$14,MATCH((BJ8/$C$19),'DSCR (Port Legend)'!$F$3:$F$14,1),2),INDEX('DSCR (Port Legend)'!$F$3:$H$14,MATCH((BJ8/$C$19),'DSCR (Port Legend)'!$F$3:$F$14,1),3),"-"))</f>
        <v>#VALUE!</v>
      </c>
      <c r="BM8" s="232" t="e">
        <f t="shared" si="25"/>
        <v>#VALUE!</v>
      </c>
      <c r="BN8" s="232" t="e">
        <f t="shared" si="26"/>
        <v>#VALUE!</v>
      </c>
      <c r="BO8" s="232" t="str">
        <f t="shared" si="27"/>
        <v>-</v>
      </c>
      <c r="BP8" s="231" t="str">
        <f t="shared" si="28"/>
        <v>-</v>
      </c>
      <c r="BR8" s="53">
        <v>0.01</v>
      </c>
      <c r="BS8" s="53">
        <f t="shared" si="29"/>
        <v>1.03</v>
      </c>
      <c r="BT8" s="230" t="str">
        <f t="shared" si="30"/>
        <v>-</v>
      </c>
      <c r="BU8" s="229" t="str">
        <f t="shared" si="31"/>
        <v>-</v>
      </c>
      <c r="BV8" s="216" t="e">
        <f t="shared" si="32"/>
        <v>#VALUE!</v>
      </c>
      <c r="BW8" s="216" t="e">
        <f t="shared" si="33"/>
        <v>#VALUE!</v>
      </c>
      <c r="BX8" s="51" t="e">
        <f t="shared" si="34"/>
        <v>#VALUE!</v>
      </c>
      <c r="BY8" s="215" t="e">
        <f t="shared" si="35"/>
        <v>#VALUE!</v>
      </c>
      <c r="BZ8" s="51" t="e">
        <f t="shared" si="36"/>
        <v>#VALUE!</v>
      </c>
      <c r="CA8" s="52">
        <f t="shared" si="37"/>
        <v>0</v>
      </c>
      <c r="CB8" s="52">
        <f t="shared" si="38"/>
        <v>0</v>
      </c>
      <c r="CC8" s="52">
        <f t="shared" si="39"/>
        <v>0</v>
      </c>
      <c r="CD8" s="52">
        <f t="shared" si="40"/>
        <v>0</v>
      </c>
      <c r="CE8" s="215" t="e">
        <f t="shared" si="41"/>
        <v>#VALUE!</v>
      </c>
      <c r="CF8" s="51" t="e">
        <f t="shared" si="42"/>
        <v>#VALUE!</v>
      </c>
      <c r="CG8" s="52" t="e">
        <f t="shared" si="43"/>
        <v>#VALUE!</v>
      </c>
      <c r="CH8" s="51" t="e">
        <f t="shared" si="44"/>
        <v>#VALUE!</v>
      </c>
      <c r="CI8" s="52" t="e">
        <f t="shared" si="45"/>
        <v>#VALUE!</v>
      </c>
      <c r="CJ8" s="52" t="e">
        <f t="shared" si="46"/>
        <v>#VALUE!</v>
      </c>
      <c r="CK8" s="214" t="e">
        <f t="shared" si="47"/>
        <v>#VALUE!</v>
      </c>
      <c r="CL8" s="214" t="e">
        <f t="shared" si="48"/>
        <v>#VALUE!</v>
      </c>
      <c r="CM8" s="51" t="e">
        <f t="shared" si="49"/>
        <v>#VALUE!</v>
      </c>
      <c r="CN8" s="52" t="e">
        <f t="shared" si="50"/>
        <v>#VALUE!</v>
      </c>
      <c r="CO8" s="214" t="e">
        <f t="shared" si="51"/>
        <v>#VALUE!</v>
      </c>
      <c r="CS8" s="51" t="e">
        <f t="shared" si="55"/>
        <v>#VALUE!</v>
      </c>
      <c r="CT8" s="52" t="e">
        <f t="shared" si="52"/>
        <v>#VALUE!</v>
      </c>
      <c r="CU8" s="51" t="e">
        <f t="shared" si="53"/>
        <v>#VALUE!</v>
      </c>
      <c r="CV8" s="51" t="e">
        <f t="shared" si="54"/>
        <v>#VALUE!</v>
      </c>
    </row>
    <row r="9" spans="2:100" x14ac:dyDescent="0.25">
      <c r="B9" s="51" t="s">
        <v>1805</v>
      </c>
      <c r="C9" s="222">
        <f>'DSCR (Port Loan)'!$C$12</f>
        <v>0</v>
      </c>
      <c r="D9" s="193" t="str">
        <f>'DSCR (Port Legend)'!D9</f>
        <v>660+</v>
      </c>
      <c r="E9" s="192">
        <f t="shared" si="0"/>
        <v>0.65</v>
      </c>
      <c r="F9" s="192">
        <f t="shared" si="0"/>
        <v>0.65</v>
      </c>
      <c r="G9" s="192">
        <f t="shared" si="0"/>
        <v>0.65</v>
      </c>
      <c r="H9" s="192">
        <f t="shared" si="0"/>
        <v>0.65</v>
      </c>
      <c r="I9" s="192">
        <f t="shared" si="0"/>
        <v>0.65</v>
      </c>
      <c r="J9" s="192">
        <f t="shared" si="0"/>
        <v>0.6</v>
      </c>
      <c r="N9" s="53">
        <v>1.2500000000000001E-2</v>
      </c>
      <c r="O9" s="53">
        <f t="shared" si="1"/>
        <v>1.0275000000000001</v>
      </c>
      <c r="P9" s="56">
        <f t="shared" si="2"/>
        <v>-3.3333333333333214E-3</v>
      </c>
      <c r="Q9" s="57" t="str">
        <f t="shared" si="3"/>
        <v>-</v>
      </c>
      <c r="R9" s="57" t="str">
        <f t="shared" si="4"/>
        <v>-</v>
      </c>
      <c r="S9" s="57" t="str">
        <f>IF(OR($C$3="Purchase",$C$3="Delayed Purchase",$C$3="Refinance (Cash Out)"),"-",IF($C$3="Refinance (Rate/Term)",'DSCR (Port Loan)'!$C$22*102%,"-"))</f>
        <v>-</v>
      </c>
      <c r="T9" s="57" t="str">
        <f t="shared" si="5"/>
        <v>-</v>
      </c>
      <c r="U9" s="51" t="str">
        <f>IF(T9="-","-",IF(($T9/$C$19)&lt;=INDEX('DSCR (Port Legend)'!$F$3:$H$14,MATCH(($T9/$C$19),'DSCR (Port Legend)'!$F$3:$F$14,1),2),INDEX('DSCR (Port Legend)'!$F$3:$H$14,MATCH(($T9/$C$19),'DSCR (Port Legend)'!$F$3:$F$14,1),3),"-"))</f>
        <v>-</v>
      </c>
      <c r="V9" s="67" t="str">
        <f>IFERROR(IF($C$6="SFR",VLOOKUP(V$3,'DSCR (Port LLPA)'!$M:$V,MATCH($U9,'DSCR (Port LLPA)'!$M$1:$V$1,0),FALSE),IF($C$6="Multi",VLOOKUP(V$3,'DSCR (Port LLPA)'!$X:$AG,MATCH($U9,'DSCR (Port LLPA)'!$X$1:$AG$1,0),FALSE),"-")),"-")</f>
        <v>-</v>
      </c>
      <c r="W9" s="67" t="str">
        <f>IFERROR(IF($C$6="SFR",VLOOKUP(W$3,'DSCR (Port LLPA)'!$M:$V,MATCH($U9,'DSCR (Port LLPA)'!$M$1:$V$1,0),FALSE),IF($C$6="Multi",VLOOKUP(W$3,'DSCR (Port LLPA)'!$X:$AG,MATCH($U9,'DSCR (Port LLPA)'!$X$1:$AG$1,0),FALSE),"-")),"-")</f>
        <v>-</v>
      </c>
      <c r="X9" s="67" t="str">
        <f>IFERROR(IF($C$6="SFR",VLOOKUP(X$3,'DSCR (Port LLPA)'!$M:$V,MATCH($U9,'DSCR (Port LLPA)'!$M$1:$V$1,0),FALSE),IF($C$6="Multi",VLOOKUP(X$3,'DSCR (Port LLPA)'!$X:$AG,MATCH($U9,'DSCR (Port LLPA)'!$X$1:$AG$1,0),FALSE),"-")),"-")</f>
        <v>-</v>
      </c>
      <c r="Y9" s="67" t="str">
        <f>IFERROR(IF($C$6="SFR",VLOOKUP(Y$3,'DSCR (Port LLPA)'!$M:$V,MATCH($U9,'DSCR (Port LLPA)'!$M$1:$V$1,0),FALSE),IF($C$6="Multi",VLOOKUP(Y$3,'DSCR (Port LLPA)'!$X:$AG,MATCH($U9,'DSCR (Port LLPA)'!$X$1:$AG$1,0),FALSE),"-")),"-")</f>
        <v>-</v>
      </c>
      <c r="Z9" s="67" t="str">
        <f>IFERROR(IF($C$6="SFR",VLOOKUP(Z$3,'DSCR (Port LLPA)'!$M:$V,MATCH($U9,'DSCR (Port LLPA)'!$M$1:$V$1,0),FALSE),IF($C$6="Multi",VLOOKUP(Z$3,'DSCR (Port LLPA)'!$X:$AG,MATCH($U9,'DSCR (Port LLPA)'!$X$1:$AG$1,0),FALSE),"-")),"-")</f>
        <v>-</v>
      </c>
      <c r="AA9" s="67" t="str">
        <f>IFERROR(IF($C$6="SFR",VLOOKUP(AA$3,'DSCR (Port LLPA)'!$M:$V,MATCH($U9,'DSCR (Port LLPA)'!$M$1:$V$1,0),FALSE),IF($C$6="Multi",VLOOKUP(AA$3,'DSCR (Port LLPA)'!$X:$AG,MATCH($U9,'DSCR (Port LLPA)'!$X$1:$AG$1,0),FALSE),"-")),"-")</f>
        <v>-</v>
      </c>
      <c r="AB9" s="67" t="str">
        <f>IF($T9="-","-",IF($T9&lt;=INDEX('DSCR (Port Legend)'!$J$3:$L$17,MATCH($T9,'DSCR (Port Legend)'!$J$3:$J$17,1),2),INDEX('DSCR (Port Legend)'!$J$3:$L$17,MATCH($T9,'DSCR (Port Legend)'!$J$3:$J$17,1),3),"-"))</f>
        <v>-</v>
      </c>
      <c r="AC9" s="67" t="str">
        <f>IFERROR(IF($C$6="SFR",VLOOKUP($AB9,'DSCR (Port LLPA)'!$M:$V,MATCH($U9,'DSCR (Port LLPA)'!$M$1:$V$1,0),FALSE),IF($C$6="Multi",VLOOKUP($AB9,'DSCR (Port LLPA)'!$X:$AG,MATCH($U9,'DSCR (Port LLPA)'!$X$1:$AG$1,0),FALSE),"-")),"-")</f>
        <v>-</v>
      </c>
      <c r="AD9" s="67" t="str">
        <f>IFERROR(IF($C$6="SFR",VLOOKUP(AD$3,'DSCR (Port LLPA)'!$M:$V,MATCH($U9,'DSCR (Port LLPA)'!$M$1:$V$1,0),FALSE),IF($C$6="Multi",VLOOKUP(AD$3,'DSCR (Port LLPA)'!$X:$AG,MATCH($U9,'DSCR (Port LLPA)'!$X$1:$AG$1,0),FALSE),"-")),"-")</f>
        <v>-</v>
      </c>
      <c r="AE9" s="67" t="str">
        <f t="shared" si="6"/>
        <v>-</v>
      </c>
      <c r="AF9" s="56" t="str">
        <f>IF($AE9="-","-",IF($C$6="SFR",VLOOKUP($C$10,'DSCR (Port LLPA)'!$B$36:$K$50,MATCH($U9,'DSCR (Port LLPA)'!$B$36:$K$36,0),FALSE),IF($C$6="Multi",VLOOKUP($C$10,'DSCR (Port LLPA)'!$B$53:$K$67,MATCH($U9,'DSCR (Port LLPA)'!$B$53:$K$53,0),FALSE),"-")))</f>
        <v>-</v>
      </c>
      <c r="AG9" s="56" t="str">
        <f t="shared" si="7"/>
        <v>-</v>
      </c>
      <c r="AH9" s="52">
        <f t="shared" si="8"/>
        <v>0</v>
      </c>
      <c r="AI9" s="214">
        <f t="shared" si="9"/>
        <v>1.2</v>
      </c>
      <c r="AJ9" s="52">
        <f t="shared" si="10"/>
        <v>0</v>
      </c>
      <c r="AK9" s="52">
        <f t="shared" si="11"/>
        <v>0</v>
      </c>
      <c r="AL9" s="52" t="e">
        <f t="shared" si="12"/>
        <v>#VALUE!</v>
      </c>
      <c r="AN9" s="53">
        <v>1.2500000000000001E-2</v>
      </c>
      <c r="AO9" s="53">
        <f t="shared" si="13"/>
        <v>1.0275000000000001</v>
      </c>
      <c r="AP9" s="56">
        <f t="shared" si="14"/>
        <v>-3.3333333333333214E-3</v>
      </c>
      <c r="AQ9" s="57" t="e">
        <f t="shared" si="15"/>
        <v>#VALUE!</v>
      </c>
      <c r="AR9" s="51" t="e">
        <f>IF(AQ9="-","-",IF((AQ9/$C$19)&lt;=INDEX('DSCR (Port Legend)'!$F$3:$H$14,MATCH((AQ9/$C$19),'DSCR (Port Legend)'!$F$3:$F$14,1),2),INDEX('DSCR (Port Legend)'!$F$3:$H$14,MATCH((AQ9/$C$19),'DSCR (Port Legend)'!$F$3:$F$14,1),3),"-"))</f>
        <v>#VALUE!</v>
      </c>
      <c r="AS9" s="56" t="str">
        <f>IFERROR(IF($C$6="SFR",VLOOKUP(AS$3,'DSCR (Port LLPA)'!$M:$V,MATCH($AR9,'DSCR (Port LLPA)'!$M$1:$V$1,0),FALSE),IF($C$6="Multi",VLOOKUP(AS$3,'DSCR (Port LLPA)'!$X:$AG,MATCH($AR9,'DSCR (Port LLPA)'!$X$1:$AG$1,0),FALSE),"-")),"-")</f>
        <v>-</v>
      </c>
      <c r="AT9" s="56" t="str">
        <f>IFERROR(IF($C$6="SFR",VLOOKUP(AT$3,'DSCR (Port LLPA)'!$M:$V,MATCH($AR9,'DSCR (Port LLPA)'!$M$1:$V$1,0),FALSE),IF($C$6="Multi",VLOOKUP(AT$3,'DSCR (Port LLPA)'!$X:$AG,MATCH($AR9,'DSCR (Port LLPA)'!$X$1:$AG$1,0),FALSE),"-")),"-")</f>
        <v>-</v>
      </c>
      <c r="AU9" s="56" t="str">
        <f>IFERROR(IF($C$6="SFR",VLOOKUP(AU$3,'DSCR (Port LLPA)'!$M:$V,MATCH($AR9,'DSCR (Port LLPA)'!$M$1:$V$1,0),FALSE),IF($C$6="Multi",VLOOKUP(AU$3,'DSCR (Port LLPA)'!$X:$AG,MATCH($AR9,'DSCR (Port LLPA)'!$X$1:$AG$1,0),FALSE),"-")),"-")</f>
        <v>-</v>
      </c>
      <c r="AV9" s="56" t="str">
        <f>IFERROR(IF($C$6="SFR",VLOOKUP(AV$3,'DSCR (Port LLPA)'!$M:$V,MATCH($AR9,'DSCR (Port LLPA)'!$M$1:$V$1,0),FALSE),IF($C$6="Multi",VLOOKUP(AV$3,'DSCR (Port LLPA)'!$X:$AG,MATCH($AR9,'DSCR (Port LLPA)'!$X$1:$AG$1,0),FALSE),"-")),"-")</f>
        <v>-</v>
      </c>
      <c r="AW9" s="56" t="str">
        <f>IFERROR(IF($C$6="SFR",VLOOKUP(AW$3,'DSCR (Port LLPA)'!$M:$V,MATCH($AR9,'DSCR (Port LLPA)'!$M$1:$V$1,0),FALSE),IF($C$6="Multi",VLOOKUP(AW$3,'DSCR (Port LLPA)'!$X:$AG,MATCH($AR9,'DSCR (Port LLPA)'!$X$1:$AG$1,0),FALSE),"-")),"-")</f>
        <v>-</v>
      </c>
      <c r="AX9" s="56" t="str">
        <f>IFERROR(IF($C$6="SFR",VLOOKUP(AX$3,'DSCR (Port LLPA)'!$M:$V,MATCH($AR9,'DSCR (Port LLPA)'!$M$1:$V$1,0),FALSE),IF($C$6="Multi",VLOOKUP(AX$3,'DSCR (Port LLPA)'!$X:$AG,MATCH($AR9,'DSCR (Port LLPA)'!$X$1:$AG$1,0),FALSE),"-")),"-")</f>
        <v>-</v>
      </c>
      <c r="AY9" s="56" t="e">
        <f>IF($AQ9="-","-",IF($AQ9&lt;=INDEX('DSCR (Port Legend)'!$J$3:$L$17,MATCH($AQ9,'DSCR (Port Legend)'!$J$3:$J$17,1),2),INDEX('DSCR (Port Legend)'!$J$3:$L$17,MATCH($AQ9,'DSCR (Port Legend)'!$J$3:$J$17,1),3),"-"))</f>
        <v>#VALUE!</v>
      </c>
      <c r="AZ9" s="56" t="str">
        <f>IFERROR(IF($C$6="SFR",VLOOKUP($AY9,'DSCR (Port LLPA)'!$M:$V,MATCH($AR9,'DSCR (Port LLPA)'!$M$1:$V$1,0),FALSE),IF($C$6="Multi",VLOOKUP($AY9,'DSCR (Port LLPA)'!$X:$AG,MATCH($AR9,'DSCR (Port LLPA)'!$X$1:$AG$1,0),FALSE),"-")),"-")</f>
        <v>-</v>
      </c>
      <c r="BA9" s="56" t="str">
        <f>IFERROR(IF($C$6="SFR",VLOOKUP(BA$3,'DSCR (Port LLPA)'!$M:$V,MATCH($AR9,'DSCR (Port LLPA)'!$M$1:$V$1,0),FALSE),IF($C$6="Multi",VLOOKUP(BA$3,'DSCR (Port LLPA)'!$X:$AG,MATCH($AR9,'DSCR (Port LLPA)'!$X$1:$AG$1,0),FALSE),"-")),"-")</f>
        <v>-</v>
      </c>
      <c r="BB9" s="67" t="str">
        <f t="shared" si="16"/>
        <v>-</v>
      </c>
      <c r="BC9" s="56" t="str">
        <f>IF($BB9="-","-",IF($C$6="SFR",VLOOKUP($C$10,'DSCR (Port LLPA)'!$B$36:$K$50,MATCH($AR9,'DSCR (Port LLPA)'!$B$36:$K$36,0),FALSE),IF($C$6="Multi",VLOOKUP($C$10,'DSCR (Port LLPA)'!$B$53:$K$67,MATCH($AR9,'DSCR (Port LLPA)'!$B$53:$K$53,0),FALSE),"-")))</f>
        <v>-</v>
      </c>
      <c r="BD9" s="56" t="str">
        <f t="shared" si="17"/>
        <v>-</v>
      </c>
      <c r="BE9" s="52">
        <f t="shared" si="18"/>
        <v>0</v>
      </c>
      <c r="BF9" s="214">
        <f t="shared" si="19"/>
        <v>1.2</v>
      </c>
      <c r="BG9" s="52">
        <f t="shared" si="20"/>
        <v>0</v>
      </c>
      <c r="BH9" s="52">
        <f t="shared" si="21"/>
        <v>0</v>
      </c>
      <c r="BI9" s="52" t="e">
        <f t="shared" si="22"/>
        <v>#VALUE!</v>
      </c>
      <c r="BJ9" s="232" t="e">
        <f t="shared" si="23"/>
        <v>#VALUE!</v>
      </c>
      <c r="BK9" s="233">
        <f t="shared" si="24"/>
        <v>102.75</v>
      </c>
      <c r="BL9" s="232" t="e">
        <f>IF(BJ9="-","-",IF((BJ9/$C$19)&lt;=INDEX('DSCR (Port Legend)'!$F$3:$H$14,MATCH((BJ9/$C$19),'DSCR (Port Legend)'!$F$3:$F$14,1),2),INDEX('DSCR (Port Legend)'!$F$3:$H$14,MATCH((BJ9/$C$19),'DSCR (Port Legend)'!$F$3:$F$14,1),3),"-"))</f>
        <v>#VALUE!</v>
      </c>
      <c r="BM9" s="232" t="e">
        <f t="shared" si="25"/>
        <v>#VALUE!</v>
      </c>
      <c r="BN9" s="232" t="e">
        <f t="shared" si="26"/>
        <v>#VALUE!</v>
      </c>
      <c r="BO9" s="232" t="str">
        <f t="shared" si="27"/>
        <v>-</v>
      </c>
      <c r="BP9" s="231" t="str">
        <f t="shared" si="28"/>
        <v>-</v>
      </c>
      <c r="BR9" s="53">
        <v>1.2500000000000001E-2</v>
      </c>
      <c r="BS9" s="53">
        <f t="shared" si="29"/>
        <v>1.0275000000000001</v>
      </c>
      <c r="BT9" s="230" t="str">
        <f t="shared" si="30"/>
        <v>-</v>
      </c>
      <c r="BU9" s="229" t="str">
        <f t="shared" si="31"/>
        <v>-</v>
      </c>
      <c r="BV9" s="216" t="e">
        <f t="shared" si="32"/>
        <v>#VALUE!</v>
      </c>
      <c r="BW9" s="216" t="e">
        <f t="shared" si="33"/>
        <v>#VALUE!</v>
      </c>
      <c r="BX9" s="51" t="e">
        <f t="shared" si="34"/>
        <v>#VALUE!</v>
      </c>
      <c r="BY9" s="215" t="e">
        <f t="shared" si="35"/>
        <v>#VALUE!</v>
      </c>
      <c r="BZ9" s="51" t="e">
        <f t="shared" si="36"/>
        <v>#VALUE!</v>
      </c>
      <c r="CA9" s="52">
        <f t="shared" si="37"/>
        <v>0</v>
      </c>
      <c r="CB9" s="52">
        <f t="shared" si="38"/>
        <v>0</v>
      </c>
      <c r="CC9" s="52">
        <f t="shared" si="39"/>
        <v>0</v>
      </c>
      <c r="CD9" s="52">
        <f t="shared" si="40"/>
        <v>0</v>
      </c>
      <c r="CE9" s="215" t="e">
        <f t="shared" si="41"/>
        <v>#VALUE!</v>
      </c>
      <c r="CF9" s="51" t="e">
        <f t="shared" si="42"/>
        <v>#VALUE!</v>
      </c>
      <c r="CG9" s="52" t="e">
        <f t="shared" si="43"/>
        <v>#VALUE!</v>
      </c>
      <c r="CH9" s="51" t="e">
        <f t="shared" si="44"/>
        <v>#VALUE!</v>
      </c>
      <c r="CI9" s="52" t="e">
        <f t="shared" si="45"/>
        <v>#VALUE!</v>
      </c>
      <c r="CJ9" s="52" t="e">
        <f t="shared" si="46"/>
        <v>#VALUE!</v>
      </c>
      <c r="CK9" s="214" t="e">
        <f t="shared" si="47"/>
        <v>#VALUE!</v>
      </c>
      <c r="CL9" s="214" t="e">
        <f t="shared" si="48"/>
        <v>#VALUE!</v>
      </c>
      <c r="CM9" s="51" t="e">
        <f t="shared" si="49"/>
        <v>#VALUE!</v>
      </c>
      <c r="CN9" s="52" t="e">
        <f t="shared" si="50"/>
        <v>#VALUE!</v>
      </c>
      <c r="CO9" s="214" t="e">
        <f t="shared" si="51"/>
        <v>#VALUE!</v>
      </c>
      <c r="CS9" s="51" t="e">
        <f t="shared" si="55"/>
        <v>#VALUE!</v>
      </c>
      <c r="CT9" s="52" t="e">
        <f t="shared" si="52"/>
        <v>#VALUE!</v>
      </c>
      <c r="CU9" s="51" t="e">
        <f t="shared" si="53"/>
        <v>#VALUE!</v>
      </c>
      <c r="CV9" s="51" t="e">
        <f t="shared" si="54"/>
        <v>#VALUE!</v>
      </c>
    </row>
    <row r="10" spans="2:100" x14ac:dyDescent="0.25">
      <c r="B10" s="51" t="s">
        <v>1698</v>
      </c>
      <c r="C10" s="222" t="str">
        <f>IF(OR($C$8="Foreign National",$C$9=""),"FN",IF($C$9&lt;=INDEX('DSCR (Port Legend)'!$B$3:$D$16,MATCH($C$9,'DSCR (Port Legend)'!$B$3:$B$16,1),2),INDEX('DSCR (Port Legend)'!$B$3:$D$16,MATCH($C$9,'DSCR (Port Legend)'!$B$3:$B$16,1),3),"-"))</f>
        <v>&lt; 575</v>
      </c>
      <c r="D10" s="193" t="str">
        <f>'DSCR (Port Legend)'!D10</f>
        <v>680+</v>
      </c>
      <c r="E10" s="192">
        <f t="shared" si="0"/>
        <v>0.7</v>
      </c>
      <c r="F10" s="192">
        <f t="shared" si="0"/>
        <v>0.7</v>
      </c>
      <c r="G10" s="192">
        <f t="shared" si="0"/>
        <v>0.7</v>
      </c>
      <c r="H10" s="192">
        <f t="shared" si="0"/>
        <v>0.7</v>
      </c>
      <c r="I10" s="192">
        <f t="shared" si="0"/>
        <v>0.7</v>
      </c>
      <c r="J10" s="192">
        <f t="shared" si="0"/>
        <v>0.65</v>
      </c>
      <c r="K10" s="51" t="s">
        <v>1762</v>
      </c>
      <c r="L10" s="226">
        <f>$L$4-SUM($L$5:$L$8)</f>
        <v>0</v>
      </c>
      <c r="N10" s="53">
        <v>1.5000000000000001E-2</v>
      </c>
      <c r="O10" s="53">
        <f t="shared" si="1"/>
        <v>1.0250000000000001</v>
      </c>
      <c r="P10" s="56">
        <f t="shared" si="2"/>
        <v>-3.9999999999999741E-3</v>
      </c>
      <c r="Q10" s="57" t="str">
        <f t="shared" si="3"/>
        <v>-</v>
      </c>
      <c r="R10" s="57" t="str">
        <f t="shared" si="4"/>
        <v>-</v>
      </c>
      <c r="S10" s="57" t="str">
        <f>IF(OR($C$3="Purchase",$C$3="Delayed Purchase",$C$3="Refinance (Cash Out)"),"-",IF($C$3="Refinance (Rate/Term)",'DSCR (Port Loan)'!$C$22*102%,"-"))</f>
        <v>-</v>
      </c>
      <c r="T10" s="57" t="str">
        <f t="shared" si="5"/>
        <v>-</v>
      </c>
      <c r="U10" s="51" t="str">
        <f>IF(T10="-","-",IF(($T10/$C$19)&lt;=INDEX('DSCR (Port Legend)'!$F$3:$H$14,MATCH(($T10/$C$19),'DSCR (Port Legend)'!$F$3:$F$14,1),2),INDEX('DSCR (Port Legend)'!$F$3:$H$14,MATCH(($T10/$C$19),'DSCR (Port Legend)'!$F$3:$F$14,1),3),"-"))</f>
        <v>-</v>
      </c>
      <c r="V10" s="67" t="str">
        <f>IFERROR(IF($C$6="SFR",VLOOKUP(V$3,'DSCR (Port LLPA)'!$M:$V,MATCH($U10,'DSCR (Port LLPA)'!$M$1:$V$1,0),FALSE),IF($C$6="Multi",VLOOKUP(V$3,'DSCR (Port LLPA)'!$X:$AG,MATCH($U10,'DSCR (Port LLPA)'!$X$1:$AG$1,0),FALSE),"-")),"-")</f>
        <v>-</v>
      </c>
      <c r="W10" s="67" t="str">
        <f>IFERROR(IF($C$6="SFR",VLOOKUP(W$3,'DSCR (Port LLPA)'!$M:$V,MATCH($U10,'DSCR (Port LLPA)'!$M$1:$V$1,0),FALSE),IF($C$6="Multi",VLOOKUP(W$3,'DSCR (Port LLPA)'!$X:$AG,MATCH($U10,'DSCR (Port LLPA)'!$X$1:$AG$1,0),FALSE),"-")),"-")</f>
        <v>-</v>
      </c>
      <c r="X10" s="67" t="str">
        <f>IFERROR(IF($C$6="SFR",VLOOKUP(X$3,'DSCR (Port LLPA)'!$M:$V,MATCH($U10,'DSCR (Port LLPA)'!$M$1:$V$1,0),FALSE),IF($C$6="Multi",VLOOKUP(X$3,'DSCR (Port LLPA)'!$X:$AG,MATCH($U10,'DSCR (Port LLPA)'!$X$1:$AG$1,0),FALSE),"-")),"-")</f>
        <v>-</v>
      </c>
      <c r="Y10" s="67" t="str">
        <f>IFERROR(IF($C$6="SFR",VLOOKUP(Y$3,'DSCR (Port LLPA)'!$M:$V,MATCH($U10,'DSCR (Port LLPA)'!$M$1:$V$1,0),FALSE),IF($C$6="Multi",VLOOKUP(Y$3,'DSCR (Port LLPA)'!$X:$AG,MATCH($U10,'DSCR (Port LLPA)'!$X$1:$AG$1,0),FALSE),"-")),"-")</f>
        <v>-</v>
      </c>
      <c r="Z10" s="67" t="str">
        <f>IFERROR(IF($C$6="SFR",VLOOKUP(Z$3,'DSCR (Port LLPA)'!$M:$V,MATCH($U10,'DSCR (Port LLPA)'!$M$1:$V$1,0),FALSE),IF($C$6="Multi",VLOOKUP(Z$3,'DSCR (Port LLPA)'!$X:$AG,MATCH($U10,'DSCR (Port LLPA)'!$X$1:$AG$1,0),FALSE),"-")),"-")</f>
        <v>-</v>
      </c>
      <c r="AA10" s="67" t="str">
        <f>IFERROR(IF($C$6="SFR",VLOOKUP(AA$3,'DSCR (Port LLPA)'!$M:$V,MATCH($U10,'DSCR (Port LLPA)'!$M$1:$V$1,0),FALSE),IF($C$6="Multi",VLOOKUP(AA$3,'DSCR (Port LLPA)'!$X:$AG,MATCH($U10,'DSCR (Port LLPA)'!$X$1:$AG$1,0),FALSE),"-")),"-")</f>
        <v>-</v>
      </c>
      <c r="AB10" s="67" t="str">
        <f>IF($T10="-","-",IF($T10&lt;=INDEX('DSCR (Port Legend)'!$J$3:$L$17,MATCH($T10,'DSCR (Port Legend)'!$J$3:$J$17,1),2),INDEX('DSCR (Port Legend)'!$J$3:$L$17,MATCH($T10,'DSCR (Port Legend)'!$J$3:$J$17,1),3),"-"))</f>
        <v>-</v>
      </c>
      <c r="AC10" s="67" t="str">
        <f>IFERROR(IF($C$6="SFR",VLOOKUP($AB10,'DSCR (Port LLPA)'!$M:$V,MATCH($U10,'DSCR (Port LLPA)'!$M$1:$V$1,0),FALSE),IF($C$6="Multi",VLOOKUP($AB10,'DSCR (Port LLPA)'!$X:$AG,MATCH($U10,'DSCR (Port LLPA)'!$X$1:$AG$1,0),FALSE),"-")),"-")</f>
        <v>-</v>
      </c>
      <c r="AD10" s="67" t="str">
        <f>IFERROR(IF($C$6="SFR",VLOOKUP(AD$3,'DSCR (Port LLPA)'!$M:$V,MATCH($U10,'DSCR (Port LLPA)'!$M$1:$V$1,0),FALSE),IF($C$6="Multi",VLOOKUP(AD$3,'DSCR (Port LLPA)'!$X:$AG,MATCH($U10,'DSCR (Port LLPA)'!$X$1:$AG$1,0),FALSE),"-")),"-")</f>
        <v>-</v>
      </c>
      <c r="AE10" s="67" t="str">
        <f t="shared" si="6"/>
        <v>-</v>
      </c>
      <c r="AF10" s="56" t="str">
        <f>IF($AE10="-","-",IF($C$6="SFR",VLOOKUP($C$10,'DSCR (Port LLPA)'!$B$36:$K$50,MATCH($U10,'DSCR (Port LLPA)'!$B$36:$K$36,0),FALSE),IF($C$6="Multi",VLOOKUP($C$10,'DSCR (Port LLPA)'!$B$53:$K$67,MATCH($U10,'DSCR (Port LLPA)'!$B$53:$K$53,0),FALSE),"-")))</f>
        <v>-</v>
      </c>
      <c r="AG10" s="56" t="str">
        <f t="shared" si="7"/>
        <v>-</v>
      </c>
      <c r="AH10" s="52">
        <f t="shared" si="8"/>
        <v>0</v>
      </c>
      <c r="AI10" s="214">
        <f t="shared" si="9"/>
        <v>1.2</v>
      </c>
      <c r="AJ10" s="52">
        <f t="shared" si="10"/>
        <v>0</v>
      </c>
      <c r="AK10" s="52">
        <f t="shared" si="11"/>
        <v>0</v>
      </c>
      <c r="AL10" s="52" t="e">
        <f t="shared" si="12"/>
        <v>#VALUE!</v>
      </c>
      <c r="AN10" s="53">
        <v>1.5000000000000001E-2</v>
      </c>
      <c r="AO10" s="53">
        <f t="shared" si="13"/>
        <v>1.0250000000000001</v>
      </c>
      <c r="AP10" s="56">
        <f t="shared" si="14"/>
        <v>-3.9999999999999741E-3</v>
      </c>
      <c r="AQ10" s="57" t="e">
        <f t="shared" si="15"/>
        <v>#VALUE!</v>
      </c>
      <c r="AR10" s="51" t="e">
        <f>IF(AQ10="-","-",IF((AQ10/$C$19)&lt;=INDEX('DSCR (Port Legend)'!$F$3:$H$14,MATCH((AQ10/$C$19),'DSCR (Port Legend)'!$F$3:$F$14,1),2),INDEX('DSCR (Port Legend)'!$F$3:$H$14,MATCH((AQ10/$C$19),'DSCR (Port Legend)'!$F$3:$F$14,1),3),"-"))</f>
        <v>#VALUE!</v>
      </c>
      <c r="AS10" s="56" t="str">
        <f>IFERROR(IF($C$6="SFR",VLOOKUP(AS$3,'DSCR (Port LLPA)'!$M:$V,MATCH($AR10,'DSCR (Port LLPA)'!$M$1:$V$1,0),FALSE),IF($C$6="Multi",VLOOKUP(AS$3,'DSCR (Port LLPA)'!$X:$AG,MATCH($AR10,'DSCR (Port LLPA)'!$X$1:$AG$1,0),FALSE),"-")),"-")</f>
        <v>-</v>
      </c>
      <c r="AT10" s="56" t="str">
        <f>IFERROR(IF($C$6="SFR",VLOOKUP(AT$3,'DSCR (Port LLPA)'!$M:$V,MATCH($AR10,'DSCR (Port LLPA)'!$M$1:$V$1,0),FALSE),IF($C$6="Multi",VLOOKUP(AT$3,'DSCR (Port LLPA)'!$X:$AG,MATCH($AR10,'DSCR (Port LLPA)'!$X$1:$AG$1,0),FALSE),"-")),"-")</f>
        <v>-</v>
      </c>
      <c r="AU10" s="56" t="str">
        <f>IFERROR(IF($C$6="SFR",VLOOKUP(AU$3,'DSCR (Port LLPA)'!$M:$V,MATCH($AR10,'DSCR (Port LLPA)'!$M$1:$V$1,0),FALSE),IF($C$6="Multi",VLOOKUP(AU$3,'DSCR (Port LLPA)'!$X:$AG,MATCH($AR10,'DSCR (Port LLPA)'!$X$1:$AG$1,0),FALSE),"-")),"-")</f>
        <v>-</v>
      </c>
      <c r="AV10" s="56" t="str">
        <f>IFERROR(IF($C$6="SFR",VLOOKUP(AV$3,'DSCR (Port LLPA)'!$M:$V,MATCH($AR10,'DSCR (Port LLPA)'!$M$1:$V$1,0),FALSE),IF($C$6="Multi",VLOOKUP(AV$3,'DSCR (Port LLPA)'!$X:$AG,MATCH($AR10,'DSCR (Port LLPA)'!$X$1:$AG$1,0),FALSE),"-")),"-")</f>
        <v>-</v>
      </c>
      <c r="AW10" s="56" t="str">
        <f>IFERROR(IF($C$6="SFR",VLOOKUP(AW$3,'DSCR (Port LLPA)'!$M:$V,MATCH($AR10,'DSCR (Port LLPA)'!$M$1:$V$1,0),FALSE),IF($C$6="Multi",VLOOKUP(AW$3,'DSCR (Port LLPA)'!$X:$AG,MATCH($AR10,'DSCR (Port LLPA)'!$X$1:$AG$1,0),FALSE),"-")),"-")</f>
        <v>-</v>
      </c>
      <c r="AX10" s="56" t="str">
        <f>IFERROR(IF($C$6="SFR",VLOOKUP(AX$3,'DSCR (Port LLPA)'!$M:$V,MATCH($AR10,'DSCR (Port LLPA)'!$M$1:$V$1,0),FALSE),IF($C$6="Multi",VLOOKUP(AX$3,'DSCR (Port LLPA)'!$X:$AG,MATCH($AR10,'DSCR (Port LLPA)'!$X$1:$AG$1,0),FALSE),"-")),"-")</f>
        <v>-</v>
      </c>
      <c r="AY10" s="56" t="e">
        <f>IF($AQ10="-","-",IF($AQ10&lt;=INDEX('DSCR (Port Legend)'!$J$3:$L$17,MATCH($AQ10,'DSCR (Port Legend)'!$J$3:$J$17,1),2),INDEX('DSCR (Port Legend)'!$J$3:$L$17,MATCH($AQ10,'DSCR (Port Legend)'!$J$3:$J$17,1),3),"-"))</f>
        <v>#VALUE!</v>
      </c>
      <c r="AZ10" s="56" t="str">
        <f>IFERROR(IF($C$6="SFR",VLOOKUP($AY10,'DSCR (Port LLPA)'!$M:$V,MATCH($AR10,'DSCR (Port LLPA)'!$M$1:$V$1,0),FALSE),IF($C$6="Multi",VLOOKUP($AY10,'DSCR (Port LLPA)'!$X:$AG,MATCH($AR10,'DSCR (Port LLPA)'!$X$1:$AG$1,0),FALSE),"-")),"-")</f>
        <v>-</v>
      </c>
      <c r="BA10" s="56" t="str">
        <f>IFERROR(IF($C$6="SFR",VLOOKUP(BA$3,'DSCR (Port LLPA)'!$M:$V,MATCH($AR10,'DSCR (Port LLPA)'!$M$1:$V$1,0),FALSE),IF($C$6="Multi",VLOOKUP(BA$3,'DSCR (Port LLPA)'!$X:$AG,MATCH($AR10,'DSCR (Port LLPA)'!$X$1:$AG$1,0),FALSE),"-")),"-")</f>
        <v>-</v>
      </c>
      <c r="BB10" s="67" t="str">
        <f t="shared" si="16"/>
        <v>-</v>
      </c>
      <c r="BC10" s="56" t="str">
        <f>IF($BB10="-","-",IF($C$6="SFR",VLOOKUP($C$10,'DSCR (Port LLPA)'!$B$36:$K$50,MATCH($AR10,'DSCR (Port LLPA)'!$B$36:$K$36,0),FALSE),IF($C$6="Multi",VLOOKUP($C$10,'DSCR (Port LLPA)'!$B$53:$K$67,MATCH($AR10,'DSCR (Port LLPA)'!$B$53:$K$53,0),FALSE),"-")))</f>
        <v>-</v>
      </c>
      <c r="BD10" s="56" t="str">
        <f t="shared" si="17"/>
        <v>-</v>
      </c>
      <c r="BE10" s="52">
        <f t="shared" si="18"/>
        <v>0</v>
      </c>
      <c r="BF10" s="214">
        <f t="shared" si="19"/>
        <v>1.2</v>
      </c>
      <c r="BG10" s="52">
        <f t="shared" si="20"/>
        <v>0</v>
      </c>
      <c r="BH10" s="52">
        <f t="shared" si="21"/>
        <v>0</v>
      </c>
      <c r="BI10" s="52" t="e">
        <f t="shared" si="22"/>
        <v>#VALUE!</v>
      </c>
      <c r="BJ10" s="232" t="e">
        <f t="shared" si="23"/>
        <v>#VALUE!</v>
      </c>
      <c r="BK10" s="233">
        <f t="shared" si="24"/>
        <v>102.5</v>
      </c>
      <c r="BL10" s="232" t="e">
        <f>IF(BJ10="-","-",IF((BJ10/$C$19)&lt;=INDEX('DSCR (Port Legend)'!$F$3:$H$14,MATCH((BJ10/$C$19),'DSCR (Port Legend)'!$F$3:$F$14,1),2),INDEX('DSCR (Port Legend)'!$F$3:$H$14,MATCH((BJ10/$C$19),'DSCR (Port Legend)'!$F$3:$F$14,1),3),"-"))</f>
        <v>#VALUE!</v>
      </c>
      <c r="BM10" s="232" t="e">
        <f t="shared" si="25"/>
        <v>#VALUE!</v>
      </c>
      <c r="BN10" s="232" t="e">
        <f t="shared" si="26"/>
        <v>#VALUE!</v>
      </c>
      <c r="BO10" s="232" t="str">
        <f t="shared" si="27"/>
        <v>-</v>
      </c>
      <c r="BP10" s="231" t="str">
        <f t="shared" si="28"/>
        <v>-</v>
      </c>
      <c r="BR10" s="53">
        <v>1.5000000000000001E-2</v>
      </c>
      <c r="BS10" s="53">
        <f t="shared" si="29"/>
        <v>1.0250000000000001</v>
      </c>
      <c r="BT10" s="230" t="str">
        <f t="shared" si="30"/>
        <v>-</v>
      </c>
      <c r="BU10" s="229" t="str">
        <f t="shared" si="31"/>
        <v>-</v>
      </c>
      <c r="BV10" s="216" t="e">
        <f t="shared" si="32"/>
        <v>#VALUE!</v>
      </c>
      <c r="BW10" s="216" t="e">
        <f t="shared" si="33"/>
        <v>#VALUE!</v>
      </c>
      <c r="BX10" s="51" t="e">
        <f t="shared" si="34"/>
        <v>#VALUE!</v>
      </c>
      <c r="BY10" s="215" t="e">
        <f t="shared" si="35"/>
        <v>#VALUE!</v>
      </c>
      <c r="BZ10" s="51" t="e">
        <f t="shared" si="36"/>
        <v>#VALUE!</v>
      </c>
      <c r="CA10" s="52">
        <f t="shared" si="37"/>
        <v>0</v>
      </c>
      <c r="CB10" s="52">
        <f t="shared" si="38"/>
        <v>0</v>
      </c>
      <c r="CC10" s="52">
        <f t="shared" si="39"/>
        <v>0</v>
      </c>
      <c r="CD10" s="52">
        <f t="shared" si="40"/>
        <v>0</v>
      </c>
      <c r="CE10" s="215" t="e">
        <f t="shared" si="41"/>
        <v>#VALUE!</v>
      </c>
      <c r="CF10" s="51" t="e">
        <f t="shared" si="42"/>
        <v>#VALUE!</v>
      </c>
      <c r="CG10" s="52" t="e">
        <f t="shared" si="43"/>
        <v>#VALUE!</v>
      </c>
      <c r="CH10" s="51" t="e">
        <f t="shared" si="44"/>
        <v>#VALUE!</v>
      </c>
      <c r="CI10" s="52" t="e">
        <f t="shared" si="45"/>
        <v>#VALUE!</v>
      </c>
      <c r="CJ10" s="52" t="e">
        <f t="shared" si="46"/>
        <v>#VALUE!</v>
      </c>
      <c r="CK10" s="214" t="e">
        <f t="shared" si="47"/>
        <v>#VALUE!</v>
      </c>
      <c r="CL10" s="214" t="e">
        <f t="shared" si="48"/>
        <v>#VALUE!</v>
      </c>
      <c r="CM10" s="51" t="e">
        <f t="shared" si="49"/>
        <v>#VALUE!</v>
      </c>
      <c r="CN10" s="52" t="e">
        <f t="shared" si="50"/>
        <v>#VALUE!</v>
      </c>
      <c r="CO10" s="214" t="e">
        <f t="shared" si="51"/>
        <v>#VALUE!</v>
      </c>
      <c r="CS10" s="51" t="e">
        <f t="shared" si="55"/>
        <v>#VALUE!</v>
      </c>
      <c r="CT10" s="52" t="e">
        <f t="shared" si="52"/>
        <v>#VALUE!</v>
      </c>
      <c r="CU10" s="51" t="e">
        <f t="shared" si="53"/>
        <v>#VALUE!</v>
      </c>
      <c r="CV10" s="51" t="e">
        <f t="shared" si="54"/>
        <v>#VALUE!</v>
      </c>
    </row>
    <row r="11" spans="2:100" x14ac:dyDescent="0.25">
      <c r="D11" s="193" t="str">
        <f>'DSCR (Port Legend)'!D11</f>
        <v>700+</v>
      </c>
      <c r="E11" s="192">
        <f t="shared" si="0"/>
        <v>0.7</v>
      </c>
      <c r="F11" s="192">
        <f t="shared" si="0"/>
        <v>0.75</v>
      </c>
      <c r="G11" s="192">
        <f t="shared" si="0"/>
        <v>0.7</v>
      </c>
      <c r="H11" s="192">
        <f t="shared" si="0"/>
        <v>0.75</v>
      </c>
      <c r="I11" s="192">
        <f t="shared" si="0"/>
        <v>0.7</v>
      </c>
      <c r="J11" s="192">
        <f t="shared" si="0"/>
        <v>0.65</v>
      </c>
      <c r="K11" s="51" t="s">
        <v>1761</v>
      </c>
      <c r="L11" s="234">
        <f>'DSCR (Port Loan)'!$F$21</f>
        <v>1.2</v>
      </c>
      <c r="N11" s="53">
        <v>1.7500000000000002E-2</v>
      </c>
      <c r="O11" s="53">
        <f t="shared" si="1"/>
        <v>1.0225</v>
      </c>
      <c r="P11" s="56">
        <f t="shared" si="2"/>
        <v>-4.6666666666666853E-3</v>
      </c>
      <c r="Q11" s="57" t="str">
        <f t="shared" si="3"/>
        <v>-</v>
      </c>
      <c r="R11" s="57" t="str">
        <f t="shared" si="4"/>
        <v>-</v>
      </c>
      <c r="S11" s="57" t="str">
        <f>IF(OR($C$3="Purchase",$C$3="Delayed Purchase",$C$3="Refinance (Cash Out)"),"-",IF($C$3="Refinance (Rate/Term)",'DSCR (Port Loan)'!$C$22*102%,"-"))</f>
        <v>-</v>
      </c>
      <c r="T11" s="57" t="str">
        <f t="shared" si="5"/>
        <v>-</v>
      </c>
      <c r="U11" s="51" t="str">
        <f>IF(T11="-","-",IF(($T11/$C$19)&lt;=INDEX('DSCR (Port Legend)'!$F$3:$H$14,MATCH(($T11/$C$19),'DSCR (Port Legend)'!$F$3:$F$14,1),2),INDEX('DSCR (Port Legend)'!$F$3:$H$14,MATCH(($T11/$C$19),'DSCR (Port Legend)'!$F$3:$F$14,1),3),"-"))</f>
        <v>-</v>
      </c>
      <c r="V11" s="67" t="str">
        <f>IFERROR(IF($C$6="SFR",VLOOKUP(V$3,'DSCR (Port LLPA)'!$M:$V,MATCH($U11,'DSCR (Port LLPA)'!$M$1:$V$1,0),FALSE),IF($C$6="Multi",VLOOKUP(V$3,'DSCR (Port LLPA)'!$X:$AG,MATCH($U11,'DSCR (Port LLPA)'!$X$1:$AG$1,0),FALSE),"-")),"-")</f>
        <v>-</v>
      </c>
      <c r="W11" s="67" t="str">
        <f>IFERROR(IF($C$6="SFR",VLOOKUP(W$3,'DSCR (Port LLPA)'!$M:$V,MATCH($U11,'DSCR (Port LLPA)'!$M$1:$V$1,0),FALSE),IF($C$6="Multi",VLOOKUP(W$3,'DSCR (Port LLPA)'!$X:$AG,MATCH($U11,'DSCR (Port LLPA)'!$X$1:$AG$1,0),FALSE),"-")),"-")</f>
        <v>-</v>
      </c>
      <c r="X11" s="67" t="str">
        <f>IFERROR(IF($C$6="SFR",VLOOKUP(X$3,'DSCR (Port LLPA)'!$M:$V,MATCH($U11,'DSCR (Port LLPA)'!$M$1:$V$1,0),FALSE),IF($C$6="Multi",VLOOKUP(X$3,'DSCR (Port LLPA)'!$X:$AG,MATCH($U11,'DSCR (Port LLPA)'!$X$1:$AG$1,0),FALSE),"-")),"-")</f>
        <v>-</v>
      </c>
      <c r="Y11" s="67" t="str">
        <f>IFERROR(IF($C$6="SFR",VLOOKUP(Y$3,'DSCR (Port LLPA)'!$M:$V,MATCH($U11,'DSCR (Port LLPA)'!$M$1:$V$1,0),FALSE),IF($C$6="Multi",VLOOKUP(Y$3,'DSCR (Port LLPA)'!$X:$AG,MATCH($U11,'DSCR (Port LLPA)'!$X$1:$AG$1,0),FALSE),"-")),"-")</f>
        <v>-</v>
      </c>
      <c r="Z11" s="67" t="str">
        <f>IFERROR(IF($C$6="SFR",VLOOKUP(Z$3,'DSCR (Port LLPA)'!$M:$V,MATCH($U11,'DSCR (Port LLPA)'!$M$1:$V$1,0),FALSE),IF($C$6="Multi",VLOOKUP(Z$3,'DSCR (Port LLPA)'!$X:$AG,MATCH($U11,'DSCR (Port LLPA)'!$X$1:$AG$1,0),FALSE),"-")),"-")</f>
        <v>-</v>
      </c>
      <c r="AA11" s="67" t="str">
        <f>IFERROR(IF($C$6="SFR",VLOOKUP(AA$3,'DSCR (Port LLPA)'!$M:$V,MATCH($U11,'DSCR (Port LLPA)'!$M$1:$V$1,0),FALSE),IF($C$6="Multi",VLOOKUP(AA$3,'DSCR (Port LLPA)'!$X:$AG,MATCH($U11,'DSCR (Port LLPA)'!$X$1:$AG$1,0),FALSE),"-")),"-")</f>
        <v>-</v>
      </c>
      <c r="AB11" s="67" t="str">
        <f>IF($T11="-","-",IF($T11&lt;=INDEX('DSCR (Port Legend)'!$J$3:$L$17,MATCH($T11,'DSCR (Port Legend)'!$J$3:$J$17,1),2),INDEX('DSCR (Port Legend)'!$J$3:$L$17,MATCH($T11,'DSCR (Port Legend)'!$J$3:$J$17,1),3),"-"))</f>
        <v>-</v>
      </c>
      <c r="AC11" s="67" t="str">
        <f>IFERROR(IF($C$6="SFR",VLOOKUP($AB11,'DSCR (Port LLPA)'!$M:$V,MATCH($U11,'DSCR (Port LLPA)'!$M$1:$V$1,0),FALSE),IF($C$6="Multi",VLOOKUP($AB11,'DSCR (Port LLPA)'!$X:$AG,MATCH($U11,'DSCR (Port LLPA)'!$X$1:$AG$1,0),FALSE),"-")),"-")</f>
        <v>-</v>
      </c>
      <c r="AD11" s="67" t="str">
        <f>IFERROR(IF($C$6="SFR",VLOOKUP(AD$3,'DSCR (Port LLPA)'!$M:$V,MATCH($U11,'DSCR (Port LLPA)'!$M$1:$V$1,0),FALSE),IF($C$6="Multi",VLOOKUP(AD$3,'DSCR (Port LLPA)'!$X:$AG,MATCH($U11,'DSCR (Port LLPA)'!$X$1:$AG$1,0),FALSE),"-")),"-")</f>
        <v>-</v>
      </c>
      <c r="AE11" s="67" t="str">
        <f t="shared" si="6"/>
        <v>-</v>
      </c>
      <c r="AF11" s="56" t="str">
        <f>IF($AE11="-","-",IF($C$6="SFR",VLOOKUP($C$10,'DSCR (Port LLPA)'!$B$36:$K$50,MATCH($U11,'DSCR (Port LLPA)'!$B$36:$K$36,0),FALSE),IF($C$6="Multi",VLOOKUP($C$10,'DSCR (Port LLPA)'!$B$53:$K$67,MATCH($U11,'DSCR (Port LLPA)'!$B$53:$K$53,0),FALSE),"-")))</f>
        <v>-</v>
      </c>
      <c r="AG11" s="56" t="str">
        <f t="shared" si="7"/>
        <v>-</v>
      </c>
      <c r="AH11" s="52">
        <f t="shared" si="8"/>
        <v>0</v>
      </c>
      <c r="AI11" s="214">
        <f t="shared" si="9"/>
        <v>1.2</v>
      </c>
      <c r="AJ11" s="52">
        <f t="shared" si="10"/>
        <v>0</v>
      </c>
      <c r="AK11" s="52">
        <f t="shared" si="11"/>
        <v>0</v>
      </c>
      <c r="AL11" s="52" t="e">
        <f t="shared" si="12"/>
        <v>#VALUE!</v>
      </c>
      <c r="AN11" s="53">
        <v>1.7500000000000002E-2</v>
      </c>
      <c r="AO11" s="53">
        <f t="shared" si="13"/>
        <v>1.0225</v>
      </c>
      <c r="AP11" s="56">
        <f t="shared" si="14"/>
        <v>-4.6666666666666853E-3</v>
      </c>
      <c r="AQ11" s="57" t="e">
        <f t="shared" si="15"/>
        <v>#VALUE!</v>
      </c>
      <c r="AR11" s="51" t="e">
        <f>IF(AQ11="-","-",IF((AQ11/$C$19)&lt;=INDEX('DSCR (Port Legend)'!$F$3:$H$14,MATCH((AQ11/$C$19),'DSCR (Port Legend)'!$F$3:$F$14,1),2),INDEX('DSCR (Port Legend)'!$F$3:$H$14,MATCH((AQ11/$C$19),'DSCR (Port Legend)'!$F$3:$F$14,1),3),"-"))</f>
        <v>#VALUE!</v>
      </c>
      <c r="AS11" s="56" t="str">
        <f>IFERROR(IF($C$6="SFR",VLOOKUP(AS$3,'DSCR (Port LLPA)'!$M:$V,MATCH($AR11,'DSCR (Port LLPA)'!$M$1:$V$1,0),FALSE),IF($C$6="Multi",VLOOKUP(AS$3,'DSCR (Port LLPA)'!$X:$AG,MATCH($AR11,'DSCR (Port LLPA)'!$X$1:$AG$1,0),FALSE),"-")),"-")</f>
        <v>-</v>
      </c>
      <c r="AT11" s="56" t="str">
        <f>IFERROR(IF($C$6="SFR",VLOOKUP(AT$3,'DSCR (Port LLPA)'!$M:$V,MATCH($AR11,'DSCR (Port LLPA)'!$M$1:$V$1,0),FALSE),IF($C$6="Multi",VLOOKUP(AT$3,'DSCR (Port LLPA)'!$X:$AG,MATCH($AR11,'DSCR (Port LLPA)'!$X$1:$AG$1,0),FALSE),"-")),"-")</f>
        <v>-</v>
      </c>
      <c r="AU11" s="56" t="str">
        <f>IFERROR(IF($C$6="SFR",VLOOKUP(AU$3,'DSCR (Port LLPA)'!$M:$V,MATCH($AR11,'DSCR (Port LLPA)'!$M$1:$V$1,0),FALSE),IF($C$6="Multi",VLOOKUP(AU$3,'DSCR (Port LLPA)'!$X:$AG,MATCH($AR11,'DSCR (Port LLPA)'!$X$1:$AG$1,0),FALSE),"-")),"-")</f>
        <v>-</v>
      </c>
      <c r="AV11" s="56" t="str">
        <f>IFERROR(IF($C$6="SFR",VLOOKUP(AV$3,'DSCR (Port LLPA)'!$M:$V,MATCH($AR11,'DSCR (Port LLPA)'!$M$1:$V$1,0),FALSE),IF($C$6="Multi",VLOOKUP(AV$3,'DSCR (Port LLPA)'!$X:$AG,MATCH($AR11,'DSCR (Port LLPA)'!$X$1:$AG$1,0),FALSE),"-")),"-")</f>
        <v>-</v>
      </c>
      <c r="AW11" s="56" t="str">
        <f>IFERROR(IF($C$6="SFR",VLOOKUP(AW$3,'DSCR (Port LLPA)'!$M:$V,MATCH($AR11,'DSCR (Port LLPA)'!$M$1:$V$1,0),FALSE),IF($C$6="Multi",VLOOKUP(AW$3,'DSCR (Port LLPA)'!$X:$AG,MATCH($AR11,'DSCR (Port LLPA)'!$X$1:$AG$1,0),FALSE),"-")),"-")</f>
        <v>-</v>
      </c>
      <c r="AX11" s="56" t="str">
        <f>IFERROR(IF($C$6="SFR",VLOOKUP(AX$3,'DSCR (Port LLPA)'!$M:$V,MATCH($AR11,'DSCR (Port LLPA)'!$M$1:$V$1,0),FALSE),IF($C$6="Multi",VLOOKUP(AX$3,'DSCR (Port LLPA)'!$X:$AG,MATCH($AR11,'DSCR (Port LLPA)'!$X$1:$AG$1,0),FALSE),"-")),"-")</f>
        <v>-</v>
      </c>
      <c r="AY11" s="56" t="e">
        <f>IF($AQ11="-","-",IF($AQ11&lt;=INDEX('DSCR (Port Legend)'!$J$3:$L$17,MATCH($AQ11,'DSCR (Port Legend)'!$J$3:$J$17,1),2),INDEX('DSCR (Port Legend)'!$J$3:$L$17,MATCH($AQ11,'DSCR (Port Legend)'!$J$3:$J$17,1),3),"-"))</f>
        <v>#VALUE!</v>
      </c>
      <c r="AZ11" s="56" t="str">
        <f>IFERROR(IF($C$6="SFR",VLOOKUP($AY11,'DSCR (Port LLPA)'!$M:$V,MATCH($AR11,'DSCR (Port LLPA)'!$M$1:$V$1,0),FALSE),IF($C$6="Multi",VLOOKUP($AY11,'DSCR (Port LLPA)'!$X:$AG,MATCH($AR11,'DSCR (Port LLPA)'!$X$1:$AG$1,0),FALSE),"-")),"-")</f>
        <v>-</v>
      </c>
      <c r="BA11" s="56" t="str">
        <f>IFERROR(IF($C$6="SFR",VLOOKUP(BA$3,'DSCR (Port LLPA)'!$M:$V,MATCH($AR11,'DSCR (Port LLPA)'!$M$1:$V$1,0),FALSE),IF($C$6="Multi",VLOOKUP(BA$3,'DSCR (Port LLPA)'!$X:$AG,MATCH($AR11,'DSCR (Port LLPA)'!$X$1:$AG$1,0),FALSE),"-")),"-")</f>
        <v>-</v>
      </c>
      <c r="BB11" s="67" t="str">
        <f t="shared" si="16"/>
        <v>-</v>
      </c>
      <c r="BC11" s="56" t="str">
        <f>IF($BB11="-","-",IF($C$6="SFR",VLOOKUP($C$10,'DSCR (Port LLPA)'!$B$36:$K$50,MATCH($AR11,'DSCR (Port LLPA)'!$B$36:$K$36,0),FALSE),IF($C$6="Multi",VLOOKUP($C$10,'DSCR (Port LLPA)'!$B$53:$K$67,MATCH($AR11,'DSCR (Port LLPA)'!$B$53:$K$53,0),FALSE),"-")))</f>
        <v>-</v>
      </c>
      <c r="BD11" s="56" t="str">
        <f t="shared" si="17"/>
        <v>-</v>
      </c>
      <c r="BE11" s="52">
        <f t="shared" si="18"/>
        <v>0</v>
      </c>
      <c r="BF11" s="214">
        <f t="shared" si="19"/>
        <v>1.2</v>
      </c>
      <c r="BG11" s="52">
        <f t="shared" si="20"/>
        <v>0</v>
      </c>
      <c r="BH11" s="52">
        <f t="shared" si="21"/>
        <v>0</v>
      </c>
      <c r="BI11" s="52" t="e">
        <f t="shared" si="22"/>
        <v>#VALUE!</v>
      </c>
      <c r="BJ11" s="232" t="e">
        <f t="shared" si="23"/>
        <v>#VALUE!</v>
      </c>
      <c r="BK11" s="233">
        <f t="shared" si="24"/>
        <v>102.25</v>
      </c>
      <c r="BL11" s="232" t="e">
        <f>IF(BJ11="-","-",IF((BJ11/$C$19)&lt;=INDEX('DSCR (Port Legend)'!$F$3:$H$14,MATCH((BJ11/$C$19),'DSCR (Port Legend)'!$F$3:$F$14,1),2),INDEX('DSCR (Port Legend)'!$F$3:$H$14,MATCH((BJ11/$C$19),'DSCR (Port Legend)'!$F$3:$F$14,1),3),"-"))</f>
        <v>#VALUE!</v>
      </c>
      <c r="BM11" s="232" t="e">
        <f t="shared" si="25"/>
        <v>#VALUE!</v>
      </c>
      <c r="BN11" s="232" t="e">
        <f t="shared" si="26"/>
        <v>#VALUE!</v>
      </c>
      <c r="BO11" s="232" t="str">
        <f t="shared" si="27"/>
        <v>-</v>
      </c>
      <c r="BP11" s="231" t="str">
        <f t="shared" si="28"/>
        <v>-</v>
      </c>
      <c r="BR11" s="53">
        <v>1.7500000000000002E-2</v>
      </c>
      <c r="BS11" s="53">
        <f t="shared" si="29"/>
        <v>1.0225</v>
      </c>
      <c r="BT11" s="230" t="str">
        <f t="shared" si="30"/>
        <v>-</v>
      </c>
      <c r="BU11" s="229" t="str">
        <f t="shared" si="31"/>
        <v>-</v>
      </c>
      <c r="BV11" s="216" t="e">
        <f t="shared" si="32"/>
        <v>#VALUE!</v>
      </c>
      <c r="BW11" s="216" t="e">
        <f t="shared" si="33"/>
        <v>#VALUE!</v>
      </c>
      <c r="BX11" s="51" t="e">
        <f t="shared" si="34"/>
        <v>#VALUE!</v>
      </c>
      <c r="BY11" s="215" t="e">
        <f t="shared" si="35"/>
        <v>#VALUE!</v>
      </c>
      <c r="BZ11" s="51" t="e">
        <f t="shared" si="36"/>
        <v>#VALUE!</v>
      </c>
      <c r="CA11" s="52">
        <f t="shared" si="37"/>
        <v>0</v>
      </c>
      <c r="CB11" s="52">
        <f t="shared" si="38"/>
        <v>0</v>
      </c>
      <c r="CC11" s="52">
        <f t="shared" si="39"/>
        <v>0</v>
      </c>
      <c r="CD11" s="52">
        <f t="shared" si="40"/>
        <v>0</v>
      </c>
      <c r="CE11" s="215" t="e">
        <f t="shared" si="41"/>
        <v>#VALUE!</v>
      </c>
      <c r="CF11" s="51" t="e">
        <f t="shared" si="42"/>
        <v>#VALUE!</v>
      </c>
      <c r="CG11" s="52" t="e">
        <f t="shared" si="43"/>
        <v>#VALUE!</v>
      </c>
      <c r="CH11" s="51" t="e">
        <f t="shared" si="44"/>
        <v>#VALUE!</v>
      </c>
      <c r="CI11" s="52" t="e">
        <f t="shared" si="45"/>
        <v>#VALUE!</v>
      </c>
      <c r="CJ11" s="52" t="e">
        <f t="shared" si="46"/>
        <v>#VALUE!</v>
      </c>
      <c r="CK11" s="214" t="e">
        <f t="shared" si="47"/>
        <v>#VALUE!</v>
      </c>
      <c r="CL11" s="214" t="e">
        <f t="shared" si="48"/>
        <v>#VALUE!</v>
      </c>
      <c r="CM11" s="51" t="e">
        <f t="shared" si="49"/>
        <v>#VALUE!</v>
      </c>
      <c r="CN11" s="52" t="e">
        <f t="shared" si="50"/>
        <v>#VALUE!</v>
      </c>
      <c r="CO11" s="214" t="e">
        <f t="shared" si="51"/>
        <v>#VALUE!</v>
      </c>
      <c r="CS11" s="51" t="e">
        <f t="shared" si="55"/>
        <v>#VALUE!</v>
      </c>
      <c r="CT11" s="52" t="e">
        <f t="shared" si="52"/>
        <v>#VALUE!</v>
      </c>
      <c r="CU11" s="51" t="e">
        <f t="shared" si="53"/>
        <v>#VALUE!</v>
      </c>
      <c r="CV11" s="51" t="e">
        <f t="shared" si="54"/>
        <v>#VALUE!</v>
      </c>
    </row>
    <row r="12" spans="2:100" x14ac:dyDescent="0.25">
      <c r="B12" s="51" t="s">
        <v>106</v>
      </c>
      <c r="C12" s="222">
        <f>'DSCR (Port Loan)'!$C$32</f>
        <v>0</v>
      </c>
      <c r="D12" s="193" t="str">
        <f>'DSCR (Port Legend)'!D12</f>
        <v>720+</v>
      </c>
      <c r="E12" s="192">
        <f t="shared" si="0"/>
        <v>0.75</v>
      </c>
      <c r="F12" s="192">
        <f t="shared" si="0"/>
        <v>0.75</v>
      </c>
      <c r="G12" s="192">
        <f t="shared" si="0"/>
        <v>0.75</v>
      </c>
      <c r="H12" s="192">
        <f t="shared" si="0"/>
        <v>0.75</v>
      </c>
      <c r="I12" s="192">
        <f t="shared" si="0"/>
        <v>0.75</v>
      </c>
      <c r="J12" s="192">
        <f t="shared" si="0"/>
        <v>0.7</v>
      </c>
      <c r="K12" s="51" t="s">
        <v>1760</v>
      </c>
      <c r="L12" s="226">
        <f>($L$4/$L$11)-(SUM($L$5:$L$8))</f>
        <v>0</v>
      </c>
      <c r="N12" s="53">
        <v>0.02</v>
      </c>
      <c r="O12" s="53">
        <f t="shared" si="1"/>
        <v>1.02</v>
      </c>
      <c r="P12" s="56">
        <f t="shared" si="2"/>
        <v>-5.3333333333333384E-3</v>
      </c>
      <c r="Q12" s="57" t="str">
        <f t="shared" si="3"/>
        <v>-</v>
      </c>
      <c r="R12" s="57" t="str">
        <f t="shared" si="4"/>
        <v>-</v>
      </c>
      <c r="S12" s="57" t="str">
        <f>IF(OR($C$3="Purchase",$C$3="Delayed Purchase",$C$3="Refinance (Cash Out)"),"-",IF($C$3="Refinance (Rate/Term)",'DSCR (Port Loan)'!$C$22*102%,"-"))</f>
        <v>-</v>
      </c>
      <c r="T12" s="57" t="str">
        <f t="shared" si="5"/>
        <v>-</v>
      </c>
      <c r="U12" s="51" t="str">
        <f>IF(T12="-","-",IF(($T12/$C$19)&lt;=INDEX('DSCR (Port Legend)'!$F$3:$H$14,MATCH(($T12/$C$19),'DSCR (Port Legend)'!$F$3:$F$14,1),2),INDEX('DSCR (Port Legend)'!$F$3:$H$14,MATCH(($T12/$C$19),'DSCR (Port Legend)'!$F$3:$F$14,1),3),"-"))</f>
        <v>-</v>
      </c>
      <c r="V12" s="67" t="str">
        <f>IFERROR(IF($C$6="SFR",VLOOKUP(V$3,'DSCR (Port LLPA)'!$M:$V,MATCH($U12,'DSCR (Port LLPA)'!$M$1:$V$1,0),FALSE),IF($C$6="Multi",VLOOKUP(V$3,'DSCR (Port LLPA)'!$X:$AG,MATCH($U12,'DSCR (Port LLPA)'!$X$1:$AG$1,0),FALSE),"-")),"-")</f>
        <v>-</v>
      </c>
      <c r="W12" s="67" t="str">
        <f>IFERROR(IF($C$6="SFR",VLOOKUP(W$3,'DSCR (Port LLPA)'!$M:$V,MATCH($U12,'DSCR (Port LLPA)'!$M$1:$V$1,0),FALSE),IF($C$6="Multi",VLOOKUP(W$3,'DSCR (Port LLPA)'!$X:$AG,MATCH($U12,'DSCR (Port LLPA)'!$X$1:$AG$1,0),FALSE),"-")),"-")</f>
        <v>-</v>
      </c>
      <c r="X12" s="67" t="str">
        <f>IFERROR(IF($C$6="SFR",VLOOKUP(X$3,'DSCR (Port LLPA)'!$M:$V,MATCH($U12,'DSCR (Port LLPA)'!$M$1:$V$1,0),FALSE),IF($C$6="Multi",VLOOKUP(X$3,'DSCR (Port LLPA)'!$X:$AG,MATCH($U12,'DSCR (Port LLPA)'!$X$1:$AG$1,0),FALSE),"-")),"-")</f>
        <v>-</v>
      </c>
      <c r="Y12" s="67" t="str">
        <f>IFERROR(IF($C$6="SFR",VLOOKUP(Y$3,'DSCR (Port LLPA)'!$M:$V,MATCH($U12,'DSCR (Port LLPA)'!$M$1:$V$1,0),FALSE),IF($C$6="Multi",VLOOKUP(Y$3,'DSCR (Port LLPA)'!$X:$AG,MATCH($U12,'DSCR (Port LLPA)'!$X$1:$AG$1,0),FALSE),"-")),"-")</f>
        <v>-</v>
      </c>
      <c r="Z12" s="67" t="str">
        <f>IFERROR(IF($C$6="SFR",VLOOKUP(Z$3,'DSCR (Port LLPA)'!$M:$V,MATCH($U12,'DSCR (Port LLPA)'!$M$1:$V$1,0),FALSE),IF($C$6="Multi",VLOOKUP(Z$3,'DSCR (Port LLPA)'!$X:$AG,MATCH($U12,'DSCR (Port LLPA)'!$X$1:$AG$1,0),FALSE),"-")),"-")</f>
        <v>-</v>
      </c>
      <c r="AA12" s="67" t="str">
        <f>IFERROR(IF($C$6="SFR",VLOOKUP(AA$3,'DSCR (Port LLPA)'!$M:$V,MATCH($U12,'DSCR (Port LLPA)'!$M$1:$V$1,0),FALSE),IF($C$6="Multi",VLOOKUP(AA$3,'DSCR (Port LLPA)'!$X:$AG,MATCH($U12,'DSCR (Port LLPA)'!$X$1:$AG$1,0),FALSE),"-")),"-")</f>
        <v>-</v>
      </c>
      <c r="AB12" s="67" t="str">
        <f>IF($T12="-","-",IF($T12&lt;=INDEX('DSCR (Port Legend)'!$J$3:$L$17,MATCH($T12,'DSCR (Port Legend)'!$J$3:$J$17,1),2),INDEX('DSCR (Port Legend)'!$J$3:$L$17,MATCH($T12,'DSCR (Port Legend)'!$J$3:$J$17,1),3),"-"))</f>
        <v>-</v>
      </c>
      <c r="AC12" s="67" t="str">
        <f>IFERROR(IF($C$6="SFR",VLOOKUP($AB12,'DSCR (Port LLPA)'!$M:$V,MATCH($U12,'DSCR (Port LLPA)'!$M$1:$V$1,0),FALSE),IF($C$6="Multi",VLOOKUP($AB12,'DSCR (Port LLPA)'!$X:$AG,MATCH($U12,'DSCR (Port LLPA)'!$X$1:$AG$1,0),FALSE),"-")),"-")</f>
        <v>-</v>
      </c>
      <c r="AD12" s="67" t="str">
        <f>IFERROR(IF($C$6="SFR",VLOOKUP(AD$3,'DSCR (Port LLPA)'!$M:$V,MATCH($U12,'DSCR (Port LLPA)'!$M$1:$V$1,0),FALSE),IF($C$6="Multi",VLOOKUP(AD$3,'DSCR (Port LLPA)'!$X:$AG,MATCH($U12,'DSCR (Port LLPA)'!$X$1:$AG$1,0),FALSE),"-")),"-")</f>
        <v>-</v>
      </c>
      <c r="AE12" s="67" t="str">
        <f t="shared" si="6"/>
        <v>-</v>
      </c>
      <c r="AF12" s="56" t="str">
        <f>IF($AE12="-","-",IF($C$6="SFR",VLOOKUP($C$10,'DSCR (Port LLPA)'!$B$36:$K$50,MATCH($U12,'DSCR (Port LLPA)'!$B$36:$K$36,0),FALSE),IF($C$6="Multi",VLOOKUP($C$10,'DSCR (Port LLPA)'!$B$53:$K$67,MATCH($U12,'DSCR (Port LLPA)'!$B$53:$K$53,0),FALSE),"-")))</f>
        <v>-</v>
      </c>
      <c r="AG12" s="56" t="str">
        <f t="shared" si="7"/>
        <v>-</v>
      </c>
      <c r="AH12" s="52">
        <f t="shared" si="8"/>
        <v>0</v>
      </c>
      <c r="AI12" s="214">
        <f t="shared" si="9"/>
        <v>1.2</v>
      </c>
      <c r="AJ12" s="52">
        <f t="shared" si="10"/>
        <v>0</v>
      </c>
      <c r="AK12" s="52">
        <f t="shared" si="11"/>
        <v>0</v>
      </c>
      <c r="AL12" s="52" t="e">
        <f t="shared" si="12"/>
        <v>#VALUE!</v>
      </c>
      <c r="AN12" s="53">
        <v>0.02</v>
      </c>
      <c r="AO12" s="53">
        <f t="shared" si="13"/>
        <v>1.02</v>
      </c>
      <c r="AP12" s="56">
        <f t="shared" si="14"/>
        <v>-5.3333333333333384E-3</v>
      </c>
      <c r="AQ12" s="57" t="e">
        <f t="shared" si="15"/>
        <v>#VALUE!</v>
      </c>
      <c r="AR12" s="51" t="e">
        <f>IF(AQ12="-","-",IF((AQ12/$C$19)&lt;=INDEX('DSCR (Port Legend)'!$F$3:$H$14,MATCH((AQ12/$C$19),'DSCR (Port Legend)'!$F$3:$F$14,1),2),INDEX('DSCR (Port Legend)'!$F$3:$H$14,MATCH((AQ12/$C$19),'DSCR (Port Legend)'!$F$3:$F$14,1),3),"-"))</f>
        <v>#VALUE!</v>
      </c>
      <c r="AS12" s="56" t="str">
        <f>IFERROR(IF($C$6="SFR",VLOOKUP(AS$3,'DSCR (Port LLPA)'!$M:$V,MATCH($AR12,'DSCR (Port LLPA)'!$M$1:$V$1,0),FALSE),IF($C$6="Multi",VLOOKUP(AS$3,'DSCR (Port LLPA)'!$X:$AG,MATCH($AR12,'DSCR (Port LLPA)'!$X$1:$AG$1,0),FALSE),"-")),"-")</f>
        <v>-</v>
      </c>
      <c r="AT12" s="56" t="str">
        <f>IFERROR(IF($C$6="SFR",VLOOKUP(AT$3,'DSCR (Port LLPA)'!$M:$V,MATCH($AR12,'DSCR (Port LLPA)'!$M$1:$V$1,0),FALSE),IF($C$6="Multi",VLOOKUP(AT$3,'DSCR (Port LLPA)'!$X:$AG,MATCH($AR12,'DSCR (Port LLPA)'!$X$1:$AG$1,0),FALSE),"-")),"-")</f>
        <v>-</v>
      </c>
      <c r="AU12" s="56" t="str">
        <f>IFERROR(IF($C$6="SFR",VLOOKUP(AU$3,'DSCR (Port LLPA)'!$M:$V,MATCH($AR12,'DSCR (Port LLPA)'!$M$1:$V$1,0),FALSE),IF($C$6="Multi",VLOOKUP(AU$3,'DSCR (Port LLPA)'!$X:$AG,MATCH($AR12,'DSCR (Port LLPA)'!$X$1:$AG$1,0),FALSE),"-")),"-")</f>
        <v>-</v>
      </c>
      <c r="AV12" s="56" t="str">
        <f>IFERROR(IF($C$6="SFR",VLOOKUP(AV$3,'DSCR (Port LLPA)'!$M:$V,MATCH($AR12,'DSCR (Port LLPA)'!$M$1:$V$1,0),FALSE),IF($C$6="Multi",VLOOKUP(AV$3,'DSCR (Port LLPA)'!$X:$AG,MATCH($AR12,'DSCR (Port LLPA)'!$X$1:$AG$1,0),FALSE),"-")),"-")</f>
        <v>-</v>
      </c>
      <c r="AW12" s="56" t="str">
        <f>IFERROR(IF($C$6="SFR",VLOOKUP(AW$3,'DSCR (Port LLPA)'!$M:$V,MATCH($AR12,'DSCR (Port LLPA)'!$M$1:$V$1,0),FALSE),IF($C$6="Multi",VLOOKUP(AW$3,'DSCR (Port LLPA)'!$X:$AG,MATCH($AR12,'DSCR (Port LLPA)'!$X$1:$AG$1,0),FALSE),"-")),"-")</f>
        <v>-</v>
      </c>
      <c r="AX12" s="56" t="str">
        <f>IFERROR(IF($C$6="SFR",VLOOKUP(AX$3,'DSCR (Port LLPA)'!$M:$V,MATCH($AR12,'DSCR (Port LLPA)'!$M$1:$V$1,0),FALSE),IF($C$6="Multi",VLOOKUP(AX$3,'DSCR (Port LLPA)'!$X:$AG,MATCH($AR12,'DSCR (Port LLPA)'!$X$1:$AG$1,0),FALSE),"-")),"-")</f>
        <v>-</v>
      </c>
      <c r="AY12" s="56" t="e">
        <f>IF($AQ12="-","-",IF($AQ12&lt;=INDEX('DSCR (Port Legend)'!$J$3:$L$17,MATCH($AQ12,'DSCR (Port Legend)'!$J$3:$J$17,1),2),INDEX('DSCR (Port Legend)'!$J$3:$L$17,MATCH($AQ12,'DSCR (Port Legend)'!$J$3:$J$17,1),3),"-"))</f>
        <v>#VALUE!</v>
      </c>
      <c r="AZ12" s="56" t="str">
        <f>IFERROR(IF($C$6="SFR",VLOOKUP($AY12,'DSCR (Port LLPA)'!$M:$V,MATCH($AR12,'DSCR (Port LLPA)'!$M$1:$V$1,0),FALSE),IF($C$6="Multi",VLOOKUP($AY12,'DSCR (Port LLPA)'!$X:$AG,MATCH($AR12,'DSCR (Port LLPA)'!$X$1:$AG$1,0),FALSE),"-")),"-")</f>
        <v>-</v>
      </c>
      <c r="BA12" s="56" t="str">
        <f>IFERROR(IF($C$6="SFR",VLOOKUP(BA$3,'DSCR (Port LLPA)'!$M:$V,MATCH($AR12,'DSCR (Port LLPA)'!$M$1:$V$1,0),FALSE),IF($C$6="Multi",VLOOKUP(BA$3,'DSCR (Port LLPA)'!$X:$AG,MATCH($AR12,'DSCR (Port LLPA)'!$X$1:$AG$1,0),FALSE),"-")),"-")</f>
        <v>-</v>
      </c>
      <c r="BB12" s="67" t="str">
        <f t="shared" si="16"/>
        <v>-</v>
      </c>
      <c r="BC12" s="56" t="str">
        <f>IF($BB12="-","-",IF($C$6="SFR",VLOOKUP($C$10,'DSCR (Port LLPA)'!$B$36:$K$50,MATCH($AR12,'DSCR (Port LLPA)'!$B$36:$K$36,0),FALSE),IF($C$6="Multi",VLOOKUP($C$10,'DSCR (Port LLPA)'!$B$53:$K$67,MATCH($AR12,'DSCR (Port LLPA)'!$B$53:$K$53,0),FALSE),"-")))</f>
        <v>-</v>
      </c>
      <c r="BD12" s="56" t="str">
        <f t="shared" si="17"/>
        <v>-</v>
      </c>
      <c r="BE12" s="52">
        <f t="shared" si="18"/>
        <v>0</v>
      </c>
      <c r="BF12" s="214">
        <f t="shared" si="19"/>
        <v>1.2</v>
      </c>
      <c r="BG12" s="52">
        <f t="shared" si="20"/>
        <v>0</v>
      </c>
      <c r="BH12" s="52">
        <f t="shared" si="21"/>
        <v>0</v>
      </c>
      <c r="BI12" s="52" t="e">
        <f t="shared" si="22"/>
        <v>#VALUE!</v>
      </c>
      <c r="BJ12" s="232" t="e">
        <f t="shared" si="23"/>
        <v>#VALUE!</v>
      </c>
      <c r="BK12" s="233">
        <f t="shared" si="24"/>
        <v>102</v>
      </c>
      <c r="BL12" s="232" t="e">
        <f>IF(BJ12="-","-",IF((BJ12/$C$19)&lt;=INDEX('DSCR (Port Legend)'!$F$3:$H$14,MATCH((BJ12/$C$19),'DSCR (Port Legend)'!$F$3:$F$14,1),2),INDEX('DSCR (Port Legend)'!$F$3:$H$14,MATCH((BJ12/$C$19),'DSCR (Port Legend)'!$F$3:$F$14,1),3),"-"))</f>
        <v>#VALUE!</v>
      </c>
      <c r="BM12" s="232" t="e">
        <f t="shared" si="25"/>
        <v>#VALUE!</v>
      </c>
      <c r="BN12" s="232" t="e">
        <f t="shared" si="26"/>
        <v>#VALUE!</v>
      </c>
      <c r="BO12" s="232" t="str">
        <f t="shared" si="27"/>
        <v>-</v>
      </c>
      <c r="BP12" s="231" t="str">
        <f t="shared" si="28"/>
        <v>-</v>
      </c>
      <c r="BR12" s="53">
        <v>0.02</v>
      </c>
      <c r="BS12" s="53">
        <f t="shared" si="29"/>
        <v>1.02</v>
      </c>
      <c r="BT12" s="230" t="str">
        <f t="shared" si="30"/>
        <v>-</v>
      </c>
      <c r="BU12" s="229" t="str">
        <f t="shared" si="31"/>
        <v>-</v>
      </c>
      <c r="BV12" s="216" t="e">
        <f t="shared" si="32"/>
        <v>#VALUE!</v>
      </c>
      <c r="BW12" s="216" t="e">
        <f t="shared" si="33"/>
        <v>#VALUE!</v>
      </c>
      <c r="BX12" s="51" t="e">
        <f t="shared" si="34"/>
        <v>#VALUE!</v>
      </c>
      <c r="BY12" s="215" t="e">
        <f t="shared" si="35"/>
        <v>#VALUE!</v>
      </c>
      <c r="BZ12" s="51" t="e">
        <f t="shared" si="36"/>
        <v>#VALUE!</v>
      </c>
      <c r="CA12" s="52">
        <f t="shared" si="37"/>
        <v>0</v>
      </c>
      <c r="CB12" s="52">
        <f t="shared" si="38"/>
        <v>0</v>
      </c>
      <c r="CC12" s="52">
        <f t="shared" si="39"/>
        <v>0</v>
      </c>
      <c r="CD12" s="52">
        <f t="shared" si="40"/>
        <v>0</v>
      </c>
      <c r="CE12" s="215" t="e">
        <f t="shared" si="41"/>
        <v>#VALUE!</v>
      </c>
      <c r="CF12" s="51" t="e">
        <f t="shared" si="42"/>
        <v>#VALUE!</v>
      </c>
      <c r="CG12" s="52" t="e">
        <f t="shared" si="43"/>
        <v>#VALUE!</v>
      </c>
      <c r="CH12" s="51" t="e">
        <f t="shared" si="44"/>
        <v>#VALUE!</v>
      </c>
      <c r="CI12" s="52" t="e">
        <f t="shared" si="45"/>
        <v>#VALUE!</v>
      </c>
      <c r="CJ12" s="52" t="e">
        <f t="shared" si="46"/>
        <v>#VALUE!</v>
      </c>
      <c r="CK12" s="214" t="e">
        <f t="shared" si="47"/>
        <v>#VALUE!</v>
      </c>
      <c r="CL12" s="214" t="e">
        <f t="shared" si="48"/>
        <v>#VALUE!</v>
      </c>
      <c r="CM12" s="51" t="e">
        <f t="shared" si="49"/>
        <v>#VALUE!</v>
      </c>
      <c r="CN12" s="52" t="e">
        <f t="shared" si="50"/>
        <v>#VALUE!</v>
      </c>
      <c r="CO12" s="214" t="e">
        <f t="shared" si="51"/>
        <v>#VALUE!</v>
      </c>
      <c r="CS12" s="51" t="e">
        <f t="shared" si="55"/>
        <v>#VALUE!</v>
      </c>
      <c r="CT12" s="52" t="e">
        <f t="shared" si="52"/>
        <v>#VALUE!</v>
      </c>
      <c r="CU12" s="51" t="e">
        <f t="shared" si="53"/>
        <v>#VALUE!</v>
      </c>
      <c r="CV12" s="51" t="e">
        <f t="shared" si="54"/>
        <v>#VALUE!</v>
      </c>
    </row>
    <row r="13" spans="2:100" x14ac:dyDescent="0.25">
      <c r="B13" s="51" t="s">
        <v>1804</v>
      </c>
      <c r="C13" s="222">
        <f>'DSCR (Port Loan)'!$C$33</f>
        <v>0</v>
      </c>
      <c r="D13" s="193" t="str">
        <f>'DSCR (Port Legend)'!D13</f>
        <v>740+</v>
      </c>
      <c r="E13" s="192">
        <f t="shared" si="0"/>
        <v>0.8</v>
      </c>
      <c r="F13" s="192">
        <f t="shared" si="0"/>
        <v>0.8</v>
      </c>
      <c r="G13" s="192">
        <f t="shared" si="0"/>
        <v>0.8</v>
      </c>
      <c r="H13" s="192">
        <f t="shared" si="0"/>
        <v>0.8</v>
      </c>
      <c r="I13" s="192">
        <f t="shared" si="0"/>
        <v>0.8</v>
      </c>
      <c r="J13" s="192">
        <f t="shared" si="0"/>
        <v>0.75</v>
      </c>
      <c r="N13" s="53">
        <v>2.2499999999999999E-2</v>
      </c>
      <c r="O13" s="53">
        <f t="shared" si="1"/>
        <v>1.0175000000000001</v>
      </c>
      <c r="P13" s="56">
        <f t="shared" si="2"/>
        <v>-5.9999999999999906E-3</v>
      </c>
      <c r="Q13" s="57" t="str">
        <f t="shared" si="3"/>
        <v>-</v>
      </c>
      <c r="R13" s="57" t="str">
        <f t="shared" si="4"/>
        <v>-</v>
      </c>
      <c r="S13" s="57" t="str">
        <f>IF(OR($C$3="Purchase",$C$3="Delayed Purchase",$C$3="Refinance (Cash Out)"),"-",IF($C$3="Refinance (Rate/Term)",'DSCR (Port Loan)'!$C$22*102%,"-"))</f>
        <v>-</v>
      </c>
      <c r="T13" s="57" t="str">
        <f t="shared" si="5"/>
        <v>-</v>
      </c>
      <c r="U13" s="51" t="str">
        <f>IF(T13="-","-",IF(($T13/$C$19)&lt;=INDEX('DSCR (Port Legend)'!$F$3:$H$14,MATCH(($T13/$C$19),'DSCR (Port Legend)'!$F$3:$F$14,1),2),INDEX('DSCR (Port Legend)'!$F$3:$H$14,MATCH(($T13/$C$19),'DSCR (Port Legend)'!$F$3:$F$14,1),3),"-"))</f>
        <v>-</v>
      </c>
      <c r="V13" s="67" t="str">
        <f>IFERROR(IF($C$6="SFR",VLOOKUP(V$3,'DSCR (Port LLPA)'!$M:$V,MATCH($U13,'DSCR (Port LLPA)'!$M$1:$V$1,0),FALSE),IF($C$6="Multi",VLOOKUP(V$3,'DSCR (Port LLPA)'!$X:$AG,MATCH($U13,'DSCR (Port LLPA)'!$X$1:$AG$1,0),FALSE),"-")),"-")</f>
        <v>-</v>
      </c>
      <c r="W13" s="67" t="str">
        <f>IFERROR(IF($C$6="SFR",VLOOKUP(W$3,'DSCR (Port LLPA)'!$M:$V,MATCH($U13,'DSCR (Port LLPA)'!$M$1:$V$1,0),FALSE),IF($C$6="Multi",VLOOKUP(W$3,'DSCR (Port LLPA)'!$X:$AG,MATCH($U13,'DSCR (Port LLPA)'!$X$1:$AG$1,0),FALSE),"-")),"-")</f>
        <v>-</v>
      </c>
      <c r="X13" s="67" t="str">
        <f>IFERROR(IF($C$6="SFR",VLOOKUP(X$3,'DSCR (Port LLPA)'!$M:$V,MATCH($U13,'DSCR (Port LLPA)'!$M$1:$V$1,0),FALSE),IF($C$6="Multi",VLOOKUP(X$3,'DSCR (Port LLPA)'!$X:$AG,MATCH($U13,'DSCR (Port LLPA)'!$X$1:$AG$1,0),FALSE),"-")),"-")</f>
        <v>-</v>
      </c>
      <c r="Y13" s="67" t="str">
        <f>IFERROR(IF($C$6="SFR",VLOOKUP(Y$3,'DSCR (Port LLPA)'!$M:$V,MATCH($U13,'DSCR (Port LLPA)'!$M$1:$V$1,0),FALSE),IF($C$6="Multi",VLOOKUP(Y$3,'DSCR (Port LLPA)'!$X:$AG,MATCH($U13,'DSCR (Port LLPA)'!$X$1:$AG$1,0),FALSE),"-")),"-")</f>
        <v>-</v>
      </c>
      <c r="Z13" s="67" t="str">
        <f>IFERROR(IF($C$6="SFR",VLOOKUP(Z$3,'DSCR (Port LLPA)'!$M:$V,MATCH($U13,'DSCR (Port LLPA)'!$M$1:$V$1,0),FALSE),IF($C$6="Multi",VLOOKUP(Z$3,'DSCR (Port LLPA)'!$X:$AG,MATCH($U13,'DSCR (Port LLPA)'!$X$1:$AG$1,0),FALSE),"-")),"-")</f>
        <v>-</v>
      </c>
      <c r="AA13" s="67" t="str">
        <f>IFERROR(IF($C$6="SFR",VLOOKUP(AA$3,'DSCR (Port LLPA)'!$M:$V,MATCH($U13,'DSCR (Port LLPA)'!$M$1:$V$1,0),FALSE),IF($C$6="Multi",VLOOKUP(AA$3,'DSCR (Port LLPA)'!$X:$AG,MATCH($U13,'DSCR (Port LLPA)'!$X$1:$AG$1,0),FALSE),"-")),"-")</f>
        <v>-</v>
      </c>
      <c r="AB13" s="67" t="str">
        <f>IF($T13="-","-",IF($T13&lt;=INDEX('DSCR (Port Legend)'!$J$3:$L$17,MATCH($T13,'DSCR (Port Legend)'!$J$3:$J$17,1),2),INDEX('DSCR (Port Legend)'!$J$3:$L$17,MATCH($T13,'DSCR (Port Legend)'!$J$3:$J$17,1),3),"-"))</f>
        <v>-</v>
      </c>
      <c r="AC13" s="67" t="str">
        <f>IFERROR(IF($C$6="SFR",VLOOKUP($AB13,'DSCR (Port LLPA)'!$M:$V,MATCH($U13,'DSCR (Port LLPA)'!$M$1:$V$1,0),FALSE),IF($C$6="Multi",VLOOKUP($AB13,'DSCR (Port LLPA)'!$X:$AG,MATCH($U13,'DSCR (Port LLPA)'!$X$1:$AG$1,0),FALSE),"-")),"-")</f>
        <v>-</v>
      </c>
      <c r="AD13" s="67" t="str">
        <f>IFERROR(IF($C$6="SFR",VLOOKUP(AD$3,'DSCR (Port LLPA)'!$M:$V,MATCH($U13,'DSCR (Port LLPA)'!$M$1:$V$1,0),FALSE),IF($C$6="Multi",VLOOKUP(AD$3,'DSCR (Port LLPA)'!$X:$AG,MATCH($U13,'DSCR (Port LLPA)'!$X$1:$AG$1,0),FALSE),"-")),"-")</f>
        <v>-</v>
      </c>
      <c r="AE13" s="67" t="str">
        <f t="shared" si="6"/>
        <v>-</v>
      </c>
      <c r="AF13" s="56" t="str">
        <f>IF($AE13="-","-",IF($C$6="SFR",VLOOKUP($C$10,'DSCR (Port LLPA)'!$B$36:$K$50,MATCH($U13,'DSCR (Port LLPA)'!$B$36:$K$36,0),FALSE),IF($C$6="Multi",VLOOKUP($C$10,'DSCR (Port LLPA)'!$B$53:$K$67,MATCH($U13,'DSCR (Port LLPA)'!$B$53:$K$53,0),FALSE),"-")))</f>
        <v>-</v>
      </c>
      <c r="AG13" s="56" t="str">
        <f t="shared" si="7"/>
        <v>-</v>
      </c>
      <c r="AH13" s="52">
        <f t="shared" si="8"/>
        <v>0</v>
      </c>
      <c r="AI13" s="214">
        <f t="shared" si="9"/>
        <v>1.2</v>
      </c>
      <c r="AJ13" s="52">
        <f t="shared" si="10"/>
        <v>0</v>
      </c>
      <c r="AK13" s="52">
        <f t="shared" si="11"/>
        <v>0</v>
      </c>
      <c r="AL13" s="52" t="e">
        <f t="shared" si="12"/>
        <v>#VALUE!</v>
      </c>
      <c r="AN13" s="53">
        <v>2.2499999999999999E-2</v>
      </c>
      <c r="AO13" s="53">
        <f t="shared" si="13"/>
        <v>1.0175000000000001</v>
      </c>
      <c r="AP13" s="56">
        <f t="shared" si="14"/>
        <v>-5.9999999999999906E-3</v>
      </c>
      <c r="AQ13" s="57" t="e">
        <f t="shared" si="15"/>
        <v>#VALUE!</v>
      </c>
      <c r="AR13" s="51" t="e">
        <f>IF(AQ13="-","-",IF((AQ13/$C$19)&lt;=INDEX('DSCR (Port Legend)'!$F$3:$H$14,MATCH((AQ13/$C$19),'DSCR (Port Legend)'!$F$3:$F$14,1),2),INDEX('DSCR (Port Legend)'!$F$3:$H$14,MATCH((AQ13/$C$19),'DSCR (Port Legend)'!$F$3:$F$14,1),3),"-"))</f>
        <v>#VALUE!</v>
      </c>
      <c r="AS13" s="56" t="str">
        <f>IFERROR(IF($C$6="SFR",VLOOKUP(AS$3,'DSCR (Port LLPA)'!$M:$V,MATCH($AR13,'DSCR (Port LLPA)'!$M$1:$V$1,0),FALSE),IF($C$6="Multi",VLOOKUP(AS$3,'DSCR (Port LLPA)'!$X:$AG,MATCH($AR13,'DSCR (Port LLPA)'!$X$1:$AG$1,0),FALSE),"-")),"-")</f>
        <v>-</v>
      </c>
      <c r="AT13" s="56" t="str">
        <f>IFERROR(IF($C$6="SFR",VLOOKUP(AT$3,'DSCR (Port LLPA)'!$M:$V,MATCH($AR13,'DSCR (Port LLPA)'!$M$1:$V$1,0),FALSE),IF($C$6="Multi",VLOOKUP(AT$3,'DSCR (Port LLPA)'!$X:$AG,MATCH($AR13,'DSCR (Port LLPA)'!$X$1:$AG$1,0),FALSE),"-")),"-")</f>
        <v>-</v>
      </c>
      <c r="AU13" s="56" t="str">
        <f>IFERROR(IF($C$6="SFR",VLOOKUP(AU$3,'DSCR (Port LLPA)'!$M:$V,MATCH($AR13,'DSCR (Port LLPA)'!$M$1:$V$1,0),FALSE),IF($C$6="Multi",VLOOKUP(AU$3,'DSCR (Port LLPA)'!$X:$AG,MATCH($AR13,'DSCR (Port LLPA)'!$X$1:$AG$1,0),FALSE),"-")),"-")</f>
        <v>-</v>
      </c>
      <c r="AV13" s="56" t="str">
        <f>IFERROR(IF($C$6="SFR",VLOOKUP(AV$3,'DSCR (Port LLPA)'!$M:$V,MATCH($AR13,'DSCR (Port LLPA)'!$M$1:$V$1,0),FALSE),IF($C$6="Multi",VLOOKUP(AV$3,'DSCR (Port LLPA)'!$X:$AG,MATCH($AR13,'DSCR (Port LLPA)'!$X$1:$AG$1,0),FALSE),"-")),"-")</f>
        <v>-</v>
      </c>
      <c r="AW13" s="56" t="str">
        <f>IFERROR(IF($C$6="SFR",VLOOKUP(AW$3,'DSCR (Port LLPA)'!$M:$V,MATCH($AR13,'DSCR (Port LLPA)'!$M$1:$V$1,0),FALSE),IF($C$6="Multi",VLOOKUP(AW$3,'DSCR (Port LLPA)'!$X:$AG,MATCH($AR13,'DSCR (Port LLPA)'!$X$1:$AG$1,0),FALSE),"-")),"-")</f>
        <v>-</v>
      </c>
      <c r="AX13" s="56" t="str">
        <f>IFERROR(IF($C$6="SFR",VLOOKUP(AX$3,'DSCR (Port LLPA)'!$M:$V,MATCH($AR13,'DSCR (Port LLPA)'!$M$1:$V$1,0),FALSE),IF($C$6="Multi",VLOOKUP(AX$3,'DSCR (Port LLPA)'!$X:$AG,MATCH($AR13,'DSCR (Port LLPA)'!$X$1:$AG$1,0),FALSE),"-")),"-")</f>
        <v>-</v>
      </c>
      <c r="AY13" s="56" t="e">
        <f>IF($AQ13="-","-",IF($AQ13&lt;=INDEX('DSCR (Port Legend)'!$J$3:$L$17,MATCH($AQ13,'DSCR (Port Legend)'!$J$3:$J$17,1),2),INDEX('DSCR (Port Legend)'!$J$3:$L$17,MATCH($AQ13,'DSCR (Port Legend)'!$J$3:$J$17,1),3),"-"))</f>
        <v>#VALUE!</v>
      </c>
      <c r="AZ13" s="56" t="str">
        <f>IFERROR(IF($C$6="SFR",VLOOKUP($AY13,'DSCR (Port LLPA)'!$M:$V,MATCH($AR13,'DSCR (Port LLPA)'!$M$1:$V$1,0),FALSE),IF($C$6="Multi",VLOOKUP($AY13,'DSCR (Port LLPA)'!$X:$AG,MATCH($AR13,'DSCR (Port LLPA)'!$X$1:$AG$1,0),FALSE),"-")),"-")</f>
        <v>-</v>
      </c>
      <c r="BA13" s="56" t="str">
        <f>IFERROR(IF($C$6="SFR",VLOOKUP(BA$3,'DSCR (Port LLPA)'!$M:$V,MATCH($AR13,'DSCR (Port LLPA)'!$M$1:$V$1,0),FALSE),IF($C$6="Multi",VLOOKUP(BA$3,'DSCR (Port LLPA)'!$X:$AG,MATCH($AR13,'DSCR (Port LLPA)'!$X$1:$AG$1,0),FALSE),"-")),"-")</f>
        <v>-</v>
      </c>
      <c r="BB13" s="67" t="str">
        <f t="shared" si="16"/>
        <v>-</v>
      </c>
      <c r="BC13" s="56" t="str">
        <f>IF($BB13="-","-",IF($C$6="SFR",VLOOKUP($C$10,'DSCR (Port LLPA)'!$B$36:$K$50,MATCH($AR13,'DSCR (Port LLPA)'!$B$36:$K$36,0),FALSE),IF($C$6="Multi",VLOOKUP($C$10,'DSCR (Port LLPA)'!$B$53:$K$67,MATCH($AR13,'DSCR (Port LLPA)'!$B$53:$K$53,0),FALSE),"-")))</f>
        <v>-</v>
      </c>
      <c r="BD13" s="56" t="str">
        <f t="shared" si="17"/>
        <v>-</v>
      </c>
      <c r="BE13" s="52">
        <f t="shared" si="18"/>
        <v>0</v>
      </c>
      <c r="BF13" s="214">
        <f t="shared" si="19"/>
        <v>1.2</v>
      </c>
      <c r="BG13" s="52">
        <f t="shared" si="20"/>
        <v>0</v>
      </c>
      <c r="BH13" s="52">
        <f t="shared" si="21"/>
        <v>0</v>
      </c>
      <c r="BI13" s="52" t="e">
        <f t="shared" si="22"/>
        <v>#VALUE!</v>
      </c>
      <c r="BJ13" s="232" t="e">
        <f t="shared" si="23"/>
        <v>#VALUE!</v>
      </c>
      <c r="BK13" s="233">
        <f t="shared" si="24"/>
        <v>101.75</v>
      </c>
      <c r="BL13" s="232" t="e">
        <f>IF(BJ13="-","-",IF((BJ13/$C$19)&lt;=INDEX('DSCR (Port Legend)'!$F$3:$H$14,MATCH((BJ13/$C$19),'DSCR (Port Legend)'!$F$3:$F$14,1),2),INDEX('DSCR (Port Legend)'!$F$3:$H$14,MATCH((BJ13/$C$19),'DSCR (Port Legend)'!$F$3:$F$14,1),3),"-"))</f>
        <v>#VALUE!</v>
      </c>
      <c r="BM13" s="232" t="e">
        <f t="shared" si="25"/>
        <v>#VALUE!</v>
      </c>
      <c r="BN13" s="232" t="e">
        <f t="shared" si="26"/>
        <v>#VALUE!</v>
      </c>
      <c r="BO13" s="232" t="str">
        <f t="shared" si="27"/>
        <v>-</v>
      </c>
      <c r="BP13" s="231" t="str">
        <f t="shared" si="28"/>
        <v>-</v>
      </c>
      <c r="BR13" s="53">
        <v>2.2499999999999999E-2</v>
      </c>
      <c r="BS13" s="53">
        <f t="shared" si="29"/>
        <v>1.0175000000000001</v>
      </c>
      <c r="BT13" s="230" t="str">
        <f t="shared" si="30"/>
        <v>-</v>
      </c>
      <c r="BU13" s="229" t="str">
        <f t="shared" si="31"/>
        <v>-</v>
      </c>
      <c r="BV13" s="216" t="e">
        <f t="shared" si="32"/>
        <v>#VALUE!</v>
      </c>
      <c r="BW13" s="216" t="e">
        <f t="shared" si="33"/>
        <v>#VALUE!</v>
      </c>
      <c r="BX13" s="51" t="e">
        <f t="shared" si="34"/>
        <v>#VALUE!</v>
      </c>
      <c r="BY13" s="215" t="e">
        <f t="shared" si="35"/>
        <v>#VALUE!</v>
      </c>
      <c r="BZ13" s="51" t="e">
        <f t="shared" si="36"/>
        <v>#VALUE!</v>
      </c>
      <c r="CA13" s="52">
        <f t="shared" si="37"/>
        <v>0</v>
      </c>
      <c r="CB13" s="52">
        <f t="shared" si="38"/>
        <v>0</v>
      </c>
      <c r="CC13" s="52">
        <f t="shared" si="39"/>
        <v>0</v>
      </c>
      <c r="CD13" s="52">
        <f t="shared" si="40"/>
        <v>0</v>
      </c>
      <c r="CE13" s="215" t="e">
        <f t="shared" si="41"/>
        <v>#VALUE!</v>
      </c>
      <c r="CF13" s="51" t="e">
        <f t="shared" si="42"/>
        <v>#VALUE!</v>
      </c>
      <c r="CG13" s="52" t="e">
        <f t="shared" si="43"/>
        <v>#VALUE!</v>
      </c>
      <c r="CH13" s="51" t="e">
        <f t="shared" si="44"/>
        <v>#VALUE!</v>
      </c>
      <c r="CI13" s="52" t="e">
        <f t="shared" si="45"/>
        <v>#VALUE!</v>
      </c>
      <c r="CJ13" s="52" t="e">
        <f t="shared" si="46"/>
        <v>#VALUE!</v>
      </c>
      <c r="CK13" s="214" t="e">
        <f t="shared" si="47"/>
        <v>#VALUE!</v>
      </c>
      <c r="CL13" s="214" t="e">
        <f t="shared" si="48"/>
        <v>#VALUE!</v>
      </c>
      <c r="CM13" s="51" t="e">
        <f t="shared" si="49"/>
        <v>#VALUE!</v>
      </c>
      <c r="CN13" s="52" t="e">
        <f t="shared" si="50"/>
        <v>#VALUE!</v>
      </c>
      <c r="CO13" s="214" t="e">
        <f t="shared" si="51"/>
        <v>#VALUE!</v>
      </c>
      <c r="CS13" s="51" t="e">
        <f t="shared" si="55"/>
        <v>#VALUE!</v>
      </c>
      <c r="CT13" s="52" t="e">
        <f t="shared" si="52"/>
        <v>#VALUE!</v>
      </c>
      <c r="CU13" s="51" t="e">
        <f t="shared" si="53"/>
        <v>#VALUE!</v>
      </c>
      <c r="CV13" s="51" t="e">
        <f t="shared" si="54"/>
        <v>#VALUE!</v>
      </c>
    </row>
    <row r="14" spans="2:100" x14ac:dyDescent="0.25">
      <c r="B14" s="51" t="s">
        <v>1803</v>
      </c>
      <c r="C14" s="222">
        <f>'DSCR (Port Loan)'!$C$34</f>
        <v>0</v>
      </c>
      <c r="D14" s="193" t="str">
        <f>'DSCR (Port Legend)'!D14</f>
        <v>760+</v>
      </c>
      <c r="E14" s="192">
        <f t="shared" si="0"/>
        <v>0.8</v>
      </c>
      <c r="F14" s="192">
        <f t="shared" si="0"/>
        <v>0.8</v>
      </c>
      <c r="G14" s="192">
        <f t="shared" si="0"/>
        <v>0.8</v>
      </c>
      <c r="H14" s="192">
        <f t="shared" si="0"/>
        <v>0.8</v>
      </c>
      <c r="I14" s="192">
        <f t="shared" si="0"/>
        <v>0.8</v>
      </c>
      <c r="J14" s="192">
        <f t="shared" si="0"/>
        <v>0.75</v>
      </c>
      <c r="N14" s="53">
        <v>2.4999999999999998E-2</v>
      </c>
      <c r="O14" s="53">
        <f t="shared" si="1"/>
        <v>1.0150000000000001</v>
      </c>
      <c r="P14" s="56">
        <f t="shared" si="2"/>
        <v>-6.6666666666666428E-3</v>
      </c>
      <c r="Q14" s="57" t="str">
        <f t="shared" si="3"/>
        <v>-</v>
      </c>
      <c r="R14" s="57" t="str">
        <f t="shared" si="4"/>
        <v>-</v>
      </c>
      <c r="S14" s="57" t="str">
        <f>IF(OR($C$3="Purchase",$C$3="Delayed Purchase",$C$3="Refinance (Cash Out)"),"-",IF($C$3="Refinance (Rate/Term)",'DSCR (Port Loan)'!$C$22*102%,"-"))</f>
        <v>-</v>
      </c>
      <c r="T14" s="57" t="str">
        <f t="shared" si="5"/>
        <v>-</v>
      </c>
      <c r="U14" s="51" t="str">
        <f>IF(T14="-","-",IF(($T14/$C$19)&lt;=INDEX('DSCR (Port Legend)'!$F$3:$H$14,MATCH(($T14/$C$19),'DSCR (Port Legend)'!$F$3:$F$14,1),2),INDEX('DSCR (Port Legend)'!$F$3:$H$14,MATCH(($T14/$C$19),'DSCR (Port Legend)'!$F$3:$F$14,1),3),"-"))</f>
        <v>-</v>
      </c>
      <c r="V14" s="67" t="str">
        <f>IFERROR(IF($C$6="SFR",VLOOKUP(V$3,'DSCR (Port LLPA)'!$M:$V,MATCH($U14,'DSCR (Port LLPA)'!$M$1:$V$1,0),FALSE),IF($C$6="Multi",VLOOKUP(V$3,'DSCR (Port LLPA)'!$X:$AG,MATCH($U14,'DSCR (Port LLPA)'!$X$1:$AG$1,0),FALSE),"-")),"-")</f>
        <v>-</v>
      </c>
      <c r="W14" s="67" t="str">
        <f>IFERROR(IF($C$6="SFR",VLOOKUP(W$3,'DSCR (Port LLPA)'!$M:$V,MATCH($U14,'DSCR (Port LLPA)'!$M$1:$V$1,0),FALSE),IF($C$6="Multi",VLOOKUP(W$3,'DSCR (Port LLPA)'!$X:$AG,MATCH($U14,'DSCR (Port LLPA)'!$X$1:$AG$1,0),FALSE),"-")),"-")</f>
        <v>-</v>
      </c>
      <c r="X14" s="67" t="str">
        <f>IFERROR(IF($C$6="SFR",VLOOKUP(X$3,'DSCR (Port LLPA)'!$M:$V,MATCH($U14,'DSCR (Port LLPA)'!$M$1:$V$1,0),FALSE),IF($C$6="Multi",VLOOKUP(X$3,'DSCR (Port LLPA)'!$X:$AG,MATCH($U14,'DSCR (Port LLPA)'!$X$1:$AG$1,0),FALSE),"-")),"-")</f>
        <v>-</v>
      </c>
      <c r="Y14" s="67" t="str">
        <f>IFERROR(IF($C$6="SFR",VLOOKUP(Y$3,'DSCR (Port LLPA)'!$M:$V,MATCH($U14,'DSCR (Port LLPA)'!$M$1:$V$1,0),FALSE),IF($C$6="Multi",VLOOKUP(Y$3,'DSCR (Port LLPA)'!$X:$AG,MATCH($U14,'DSCR (Port LLPA)'!$X$1:$AG$1,0),FALSE),"-")),"-")</f>
        <v>-</v>
      </c>
      <c r="Z14" s="67" t="str">
        <f>IFERROR(IF($C$6="SFR",VLOOKUP(Z$3,'DSCR (Port LLPA)'!$M:$V,MATCH($U14,'DSCR (Port LLPA)'!$M$1:$V$1,0),FALSE),IF($C$6="Multi",VLOOKUP(Z$3,'DSCR (Port LLPA)'!$X:$AG,MATCH($U14,'DSCR (Port LLPA)'!$X$1:$AG$1,0),FALSE),"-")),"-")</f>
        <v>-</v>
      </c>
      <c r="AA14" s="67" t="str">
        <f>IFERROR(IF($C$6="SFR",VLOOKUP(AA$3,'DSCR (Port LLPA)'!$M:$V,MATCH($U14,'DSCR (Port LLPA)'!$M$1:$V$1,0),FALSE),IF($C$6="Multi",VLOOKUP(AA$3,'DSCR (Port LLPA)'!$X:$AG,MATCH($U14,'DSCR (Port LLPA)'!$X$1:$AG$1,0),FALSE),"-")),"-")</f>
        <v>-</v>
      </c>
      <c r="AB14" s="67" t="str">
        <f>IF($T14="-","-",IF($T14&lt;=INDEX('DSCR (Port Legend)'!$J$3:$L$17,MATCH($T14,'DSCR (Port Legend)'!$J$3:$J$17,1),2),INDEX('DSCR (Port Legend)'!$J$3:$L$17,MATCH($T14,'DSCR (Port Legend)'!$J$3:$J$17,1),3),"-"))</f>
        <v>-</v>
      </c>
      <c r="AC14" s="67" t="str">
        <f>IFERROR(IF($C$6="SFR",VLOOKUP($AB14,'DSCR (Port LLPA)'!$M:$V,MATCH($U14,'DSCR (Port LLPA)'!$M$1:$V$1,0),FALSE),IF($C$6="Multi",VLOOKUP($AB14,'DSCR (Port LLPA)'!$X:$AG,MATCH($U14,'DSCR (Port LLPA)'!$X$1:$AG$1,0),FALSE),"-")),"-")</f>
        <v>-</v>
      </c>
      <c r="AD14" s="67" t="str">
        <f>IFERROR(IF($C$6="SFR",VLOOKUP(AD$3,'DSCR (Port LLPA)'!$M:$V,MATCH($U14,'DSCR (Port LLPA)'!$M$1:$V$1,0),FALSE),IF($C$6="Multi",VLOOKUP(AD$3,'DSCR (Port LLPA)'!$X:$AG,MATCH($U14,'DSCR (Port LLPA)'!$X$1:$AG$1,0),FALSE),"-")),"-")</f>
        <v>-</v>
      </c>
      <c r="AE14" s="67" t="str">
        <f t="shared" si="6"/>
        <v>-</v>
      </c>
      <c r="AF14" s="56" t="str">
        <f>IF($AE14="-","-",IF($C$6="SFR",VLOOKUP($C$10,'DSCR (Port LLPA)'!$B$36:$K$50,MATCH($U14,'DSCR (Port LLPA)'!$B$36:$K$36,0),FALSE),IF($C$6="Multi",VLOOKUP($C$10,'DSCR (Port LLPA)'!$B$53:$K$67,MATCH($U14,'DSCR (Port LLPA)'!$B$53:$K$53,0),FALSE),"-")))</f>
        <v>-</v>
      </c>
      <c r="AG14" s="56" t="str">
        <f t="shared" si="7"/>
        <v>-</v>
      </c>
      <c r="AH14" s="52">
        <f t="shared" si="8"/>
        <v>0</v>
      </c>
      <c r="AI14" s="214">
        <f t="shared" si="9"/>
        <v>1.2</v>
      </c>
      <c r="AJ14" s="52">
        <f t="shared" si="10"/>
        <v>0</v>
      </c>
      <c r="AK14" s="52">
        <f t="shared" si="11"/>
        <v>0</v>
      </c>
      <c r="AL14" s="52" t="e">
        <f t="shared" si="12"/>
        <v>#VALUE!</v>
      </c>
      <c r="AN14" s="53">
        <v>2.4999999999999998E-2</v>
      </c>
      <c r="AO14" s="53">
        <f t="shared" si="13"/>
        <v>1.0150000000000001</v>
      </c>
      <c r="AP14" s="56">
        <f t="shared" si="14"/>
        <v>-6.6666666666666428E-3</v>
      </c>
      <c r="AQ14" s="57" t="e">
        <f t="shared" si="15"/>
        <v>#VALUE!</v>
      </c>
      <c r="AR14" s="51" t="e">
        <f>IF(AQ14="-","-",IF((AQ14/$C$19)&lt;=INDEX('DSCR (Port Legend)'!$F$3:$H$14,MATCH((AQ14/$C$19),'DSCR (Port Legend)'!$F$3:$F$14,1),2),INDEX('DSCR (Port Legend)'!$F$3:$H$14,MATCH((AQ14/$C$19),'DSCR (Port Legend)'!$F$3:$F$14,1),3),"-"))</f>
        <v>#VALUE!</v>
      </c>
      <c r="AS14" s="56" t="str">
        <f>IFERROR(IF($C$6="SFR",VLOOKUP(AS$3,'DSCR (Port LLPA)'!$M:$V,MATCH($AR14,'DSCR (Port LLPA)'!$M$1:$V$1,0),FALSE),IF($C$6="Multi",VLOOKUP(AS$3,'DSCR (Port LLPA)'!$X:$AG,MATCH($AR14,'DSCR (Port LLPA)'!$X$1:$AG$1,0),FALSE),"-")),"-")</f>
        <v>-</v>
      </c>
      <c r="AT14" s="56" t="str">
        <f>IFERROR(IF($C$6="SFR",VLOOKUP(AT$3,'DSCR (Port LLPA)'!$M:$V,MATCH($AR14,'DSCR (Port LLPA)'!$M$1:$V$1,0),FALSE),IF($C$6="Multi",VLOOKUP(AT$3,'DSCR (Port LLPA)'!$X:$AG,MATCH($AR14,'DSCR (Port LLPA)'!$X$1:$AG$1,0),FALSE),"-")),"-")</f>
        <v>-</v>
      </c>
      <c r="AU14" s="56" t="str">
        <f>IFERROR(IF($C$6="SFR",VLOOKUP(AU$3,'DSCR (Port LLPA)'!$M:$V,MATCH($AR14,'DSCR (Port LLPA)'!$M$1:$V$1,0),FALSE),IF($C$6="Multi",VLOOKUP(AU$3,'DSCR (Port LLPA)'!$X:$AG,MATCH($AR14,'DSCR (Port LLPA)'!$X$1:$AG$1,0),FALSE),"-")),"-")</f>
        <v>-</v>
      </c>
      <c r="AV14" s="56" t="str">
        <f>IFERROR(IF($C$6="SFR",VLOOKUP(AV$3,'DSCR (Port LLPA)'!$M:$V,MATCH($AR14,'DSCR (Port LLPA)'!$M$1:$V$1,0),FALSE),IF($C$6="Multi",VLOOKUP(AV$3,'DSCR (Port LLPA)'!$X:$AG,MATCH($AR14,'DSCR (Port LLPA)'!$X$1:$AG$1,0),FALSE),"-")),"-")</f>
        <v>-</v>
      </c>
      <c r="AW14" s="56" t="str">
        <f>IFERROR(IF($C$6="SFR",VLOOKUP(AW$3,'DSCR (Port LLPA)'!$M:$V,MATCH($AR14,'DSCR (Port LLPA)'!$M$1:$V$1,0),FALSE),IF($C$6="Multi",VLOOKUP(AW$3,'DSCR (Port LLPA)'!$X:$AG,MATCH($AR14,'DSCR (Port LLPA)'!$X$1:$AG$1,0),FALSE),"-")),"-")</f>
        <v>-</v>
      </c>
      <c r="AX14" s="56" t="str">
        <f>IFERROR(IF($C$6="SFR",VLOOKUP(AX$3,'DSCR (Port LLPA)'!$M:$V,MATCH($AR14,'DSCR (Port LLPA)'!$M$1:$V$1,0),FALSE),IF($C$6="Multi",VLOOKUP(AX$3,'DSCR (Port LLPA)'!$X:$AG,MATCH($AR14,'DSCR (Port LLPA)'!$X$1:$AG$1,0),FALSE),"-")),"-")</f>
        <v>-</v>
      </c>
      <c r="AY14" s="56" t="e">
        <f>IF($AQ14="-","-",IF($AQ14&lt;=INDEX('DSCR (Port Legend)'!$J$3:$L$17,MATCH($AQ14,'DSCR (Port Legend)'!$J$3:$J$17,1),2),INDEX('DSCR (Port Legend)'!$J$3:$L$17,MATCH($AQ14,'DSCR (Port Legend)'!$J$3:$J$17,1),3),"-"))</f>
        <v>#VALUE!</v>
      </c>
      <c r="AZ14" s="56" t="str">
        <f>IFERROR(IF($C$6="SFR",VLOOKUP($AY14,'DSCR (Port LLPA)'!$M:$V,MATCH($AR14,'DSCR (Port LLPA)'!$M$1:$V$1,0),FALSE),IF($C$6="Multi",VLOOKUP($AY14,'DSCR (Port LLPA)'!$X:$AG,MATCH($AR14,'DSCR (Port LLPA)'!$X$1:$AG$1,0),FALSE),"-")),"-")</f>
        <v>-</v>
      </c>
      <c r="BA14" s="56" t="str">
        <f>IFERROR(IF($C$6="SFR",VLOOKUP(BA$3,'DSCR (Port LLPA)'!$M:$V,MATCH($AR14,'DSCR (Port LLPA)'!$M$1:$V$1,0),FALSE),IF($C$6="Multi",VLOOKUP(BA$3,'DSCR (Port LLPA)'!$X:$AG,MATCH($AR14,'DSCR (Port LLPA)'!$X$1:$AG$1,0),FALSE),"-")),"-")</f>
        <v>-</v>
      </c>
      <c r="BB14" s="67" t="str">
        <f t="shared" si="16"/>
        <v>-</v>
      </c>
      <c r="BC14" s="56" t="str">
        <f>IF($BB14="-","-",IF($C$6="SFR",VLOOKUP($C$10,'DSCR (Port LLPA)'!$B$36:$K$50,MATCH($AR14,'DSCR (Port LLPA)'!$B$36:$K$36,0),FALSE),IF($C$6="Multi",VLOOKUP($C$10,'DSCR (Port LLPA)'!$B$53:$K$67,MATCH($AR14,'DSCR (Port LLPA)'!$B$53:$K$53,0),FALSE),"-")))</f>
        <v>-</v>
      </c>
      <c r="BD14" s="56" t="str">
        <f t="shared" si="17"/>
        <v>-</v>
      </c>
      <c r="BE14" s="52">
        <f t="shared" si="18"/>
        <v>0</v>
      </c>
      <c r="BF14" s="214">
        <f t="shared" si="19"/>
        <v>1.2</v>
      </c>
      <c r="BG14" s="52">
        <f t="shared" si="20"/>
        <v>0</v>
      </c>
      <c r="BH14" s="52">
        <f t="shared" si="21"/>
        <v>0</v>
      </c>
      <c r="BI14" s="52" t="e">
        <f t="shared" si="22"/>
        <v>#VALUE!</v>
      </c>
      <c r="BJ14" s="232" t="e">
        <f t="shared" si="23"/>
        <v>#VALUE!</v>
      </c>
      <c r="BK14" s="233">
        <f t="shared" si="24"/>
        <v>101.5</v>
      </c>
      <c r="BL14" s="232" t="e">
        <f>IF(BJ14="-","-",IF((BJ14/$C$19)&lt;=INDEX('DSCR (Port Legend)'!$F$3:$H$14,MATCH((BJ14/$C$19),'DSCR (Port Legend)'!$F$3:$F$14,1),2),INDEX('DSCR (Port Legend)'!$F$3:$H$14,MATCH((BJ14/$C$19),'DSCR (Port Legend)'!$F$3:$F$14,1),3),"-"))</f>
        <v>#VALUE!</v>
      </c>
      <c r="BM14" s="232" t="e">
        <f t="shared" si="25"/>
        <v>#VALUE!</v>
      </c>
      <c r="BN14" s="232" t="e">
        <f t="shared" si="26"/>
        <v>#VALUE!</v>
      </c>
      <c r="BO14" s="232" t="str">
        <f t="shared" si="27"/>
        <v>-</v>
      </c>
      <c r="BP14" s="231" t="str">
        <f t="shared" si="28"/>
        <v>-</v>
      </c>
      <c r="BR14" s="53">
        <v>2.4999999999999998E-2</v>
      </c>
      <c r="BS14" s="53">
        <f t="shared" si="29"/>
        <v>1.0150000000000001</v>
      </c>
      <c r="BT14" s="230" t="str">
        <f t="shared" si="30"/>
        <v>-</v>
      </c>
      <c r="BU14" s="229" t="str">
        <f t="shared" si="31"/>
        <v>-</v>
      </c>
      <c r="BV14" s="216" t="e">
        <f t="shared" si="32"/>
        <v>#VALUE!</v>
      </c>
      <c r="BW14" s="216" t="e">
        <f t="shared" si="33"/>
        <v>#VALUE!</v>
      </c>
      <c r="BX14" s="51" t="e">
        <f t="shared" si="34"/>
        <v>#VALUE!</v>
      </c>
      <c r="BY14" s="215" t="e">
        <f t="shared" si="35"/>
        <v>#VALUE!</v>
      </c>
      <c r="BZ14" s="51" t="e">
        <f t="shared" si="36"/>
        <v>#VALUE!</v>
      </c>
      <c r="CA14" s="52">
        <f t="shared" si="37"/>
        <v>0</v>
      </c>
      <c r="CB14" s="52">
        <f t="shared" si="38"/>
        <v>0</v>
      </c>
      <c r="CC14" s="52">
        <f t="shared" si="39"/>
        <v>0</v>
      </c>
      <c r="CD14" s="52">
        <f t="shared" si="40"/>
        <v>0</v>
      </c>
      <c r="CE14" s="215" t="e">
        <f t="shared" si="41"/>
        <v>#VALUE!</v>
      </c>
      <c r="CF14" s="51" t="e">
        <f t="shared" si="42"/>
        <v>#VALUE!</v>
      </c>
      <c r="CG14" s="52" t="e">
        <f t="shared" si="43"/>
        <v>#VALUE!</v>
      </c>
      <c r="CH14" s="51" t="e">
        <f t="shared" si="44"/>
        <v>#VALUE!</v>
      </c>
      <c r="CI14" s="52" t="e">
        <f t="shared" si="45"/>
        <v>#VALUE!</v>
      </c>
      <c r="CJ14" s="52" t="e">
        <f t="shared" si="46"/>
        <v>#VALUE!</v>
      </c>
      <c r="CK14" s="214" t="e">
        <f t="shared" si="47"/>
        <v>#VALUE!</v>
      </c>
      <c r="CL14" s="214" t="e">
        <f t="shared" si="48"/>
        <v>#VALUE!</v>
      </c>
      <c r="CM14" s="51" t="e">
        <f t="shared" si="49"/>
        <v>#VALUE!</v>
      </c>
      <c r="CN14" s="52" t="e">
        <f t="shared" si="50"/>
        <v>#VALUE!</v>
      </c>
      <c r="CO14" s="214" t="e">
        <f t="shared" si="51"/>
        <v>#VALUE!</v>
      </c>
      <c r="CS14" s="51" t="e">
        <f t="shared" si="55"/>
        <v>#VALUE!</v>
      </c>
      <c r="CT14" s="52" t="e">
        <f t="shared" si="52"/>
        <v>#VALUE!</v>
      </c>
      <c r="CU14" s="51" t="e">
        <f t="shared" si="53"/>
        <v>#VALUE!</v>
      </c>
      <c r="CV14" s="51" t="e">
        <f t="shared" si="54"/>
        <v>#VALUE!</v>
      </c>
    </row>
    <row r="15" spans="2:100" x14ac:dyDescent="0.25">
      <c r="B15" s="51" t="s">
        <v>1802</v>
      </c>
      <c r="C15" s="222" t="str">
        <f>IFERROR(VLOOKUP($C$14,'DSCR (Port Legend)'!$AG$1:$AH$6,2,FALSE),"-")</f>
        <v>-</v>
      </c>
      <c r="D15" s="193" t="str">
        <f>'DSCR (Port Legend)'!D15</f>
        <v>780+</v>
      </c>
      <c r="E15" s="192">
        <f t="shared" si="0"/>
        <v>0.8</v>
      </c>
      <c r="F15" s="192">
        <f t="shared" si="0"/>
        <v>0.8</v>
      </c>
      <c r="G15" s="192">
        <f t="shared" si="0"/>
        <v>0.8</v>
      </c>
      <c r="H15" s="192">
        <f t="shared" si="0"/>
        <v>0.8</v>
      </c>
      <c r="I15" s="192">
        <f t="shared" si="0"/>
        <v>0.8</v>
      </c>
      <c r="J15" s="192">
        <f t="shared" si="0"/>
        <v>0.75</v>
      </c>
      <c r="N15" s="53">
        <v>2.7499999999999997E-2</v>
      </c>
      <c r="O15" s="53">
        <f t="shared" si="1"/>
        <v>1.0125</v>
      </c>
      <c r="P15" s="56">
        <f t="shared" si="2"/>
        <v>-7.3333333333333549E-3</v>
      </c>
      <c r="Q15" s="57" t="str">
        <f t="shared" si="3"/>
        <v>-</v>
      </c>
      <c r="R15" s="57" t="str">
        <f t="shared" si="4"/>
        <v>-</v>
      </c>
      <c r="S15" s="57" t="str">
        <f>IF(OR($C$3="Purchase",$C$3="Delayed Purchase",$C$3="Refinance (Cash Out)"),"-",IF($C$3="Refinance (Rate/Term)",'DSCR (Port Loan)'!$C$22*102%,"-"))</f>
        <v>-</v>
      </c>
      <c r="T15" s="57" t="str">
        <f t="shared" si="5"/>
        <v>-</v>
      </c>
      <c r="U15" s="51" t="str">
        <f>IF(T15="-","-",IF(($T15/$C$19)&lt;=INDEX('DSCR (Port Legend)'!$F$3:$H$14,MATCH(($T15/$C$19),'DSCR (Port Legend)'!$F$3:$F$14,1),2),INDEX('DSCR (Port Legend)'!$F$3:$H$14,MATCH(($T15/$C$19),'DSCR (Port Legend)'!$F$3:$F$14,1),3),"-"))</f>
        <v>-</v>
      </c>
      <c r="V15" s="67" t="str">
        <f>IFERROR(IF($C$6="SFR",VLOOKUP(V$3,'DSCR (Port LLPA)'!$M:$V,MATCH($U15,'DSCR (Port LLPA)'!$M$1:$V$1,0),FALSE),IF($C$6="Multi",VLOOKUP(V$3,'DSCR (Port LLPA)'!$X:$AG,MATCH($U15,'DSCR (Port LLPA)'!$X$1:$AG$1,0),FALSE),"-")),"-")</f>
        <v>-</v>
      </c>
      <c r="W15" s="67" t="str">
        <f>IFERROR(IF($C$6="SFR",VLOOKUP(W$3,'DSCR (Port LLPA)'!$M:$V,MATCH($U15,'DSCR (Port LLPA)'!$M$1:$V$1,0),FALSE),IF($C$6="Multi",VLOOKUP(W$3,'DSCR (Port LLPA)'!$X:$AG,MATCH($U15,'DSCR (Port LLPA)'!$X$1:$AG$1,0),FALSE),"-")),"-")</f>
        <v>-</v>
      </c>
      <c r="X15" s="67" t="str">
        <f>IFERROR(IF($C$6="SFR",VLOOKUP(X$3,'DSCR (Port LLPA)'!$M:$V,MATCH($U15,'DSCR (Port LLPA)'!$M$1:$V$1,0),FALSE),IF($C$6="Multi",VLOOKUP(X$3,'DSCR (Port LLPA)'!$X:$AG,MATCH($U15,'DSCR (Port LLPA)'!$X$1:$AG$1,0),FALSE),"-")),"-")</f>
        <v>-</v>
      </c>
      <c r="Y15" s="67" t="str">
        <f>IFERROR(IF($C$6="SFR",VLOOKUP(Y$3,'DSCR (Port LLPA)'!$M:$V,MATCH($U15,'DSCR (Port LLPA)'!$M$1:$V$1,0),FALSE),IF($C$6="Multi",VLOOKUP(Y$3,'DSCR (Port LLPA)'!$X:$AG,MATCH($U15,'DSCR (Port LLPA)'!$X$1:$AG$1,0),FALSE),"-")),"-")</f>
        <v>-</v>
      </c>
      <c r="Z15" s="67" t="str">
        <f>IFERROR(IF($C$6="SFR",VLOOKUP(Z$3,'DSCR (Port LLPA)'!$M:$V,MATCH($U15,'DSCR (Port LLPA)'!$M$1:$V$1,0),FALSE),IF($C$6="Multi",VLOOKUP(Z$3,'DSCR (Port LLPA)'!$X:$AG,MATCH($U15,'DSCR (Port LLPA)'!$X$1:$AG$1,0),FALSE),"-")),"-")</f>
        <v>-</v>
      </c>
      <c r="AA15" s="67" t="str">
        <f>IFERROR(IF($C$6="SFR",VLOOKUP(AA$3,'DSCR (Port LLPA)'!$M:$V,MATCH($U15,'DSCR (Port LLPA)'!$M$1:$V$1,0),FALSE),IF($C$6="Multi",VLOOKUP(AA$3,'DSCR (Port LLPA)'!$X:$AG,MATCH($U15,'DSCR (Port LLPA)'!$X$1:$AG$1,0),FALSE),"-")),"-")</f>
        <v>-</v>
      </c>
      <c r="AB15" s="67" t="str">
        <f>IF($T15="-","-",IF($T15&lt;=INDEX('DSCR (Port Legend)'!$J$3:$L$17,MATCH($T15,'DSCR (Port Legend)'!$J$3:$J$17,1),2),INDEX('DSCR (Port Legend)'!$J$3:$L$17,MATCH($T15,'DSCR (Port Legend)'!$J$3:$J$17,1),3),"-"))</f>
        <v>-</v>
      </c>
      <c r="AC15" s="67" t="str">
        <f>IFERROR(IF($C$6="SFR",VLOOKUP($AB15,'DSCR (Port LLPA)'!$M:$V,MATCH($U15,'DSCR (Port LLPA)'!$M$1:$V$1,0),FALSE),IF($C$6="Multi",VLOOKUP($AB15,'DSCR (Port LLPA)'!$X:$AG,MATCH($U15,'DSCR (Port LLPA)'!$X$1:$AG$1,0),FALSE),"-")),"-")</f>
        <v>-</v>
      </c>
      <c r="AD15" s="67" t="str">
        <f>IFERROR(IF($C$6="SFR",VLOOKUP(AD$3,'DSCR (Port LLPA)'!$M:$V,MATCH($U15,'DSCR (Port LLPA)'!$M$1:$V$1,0),FALSE),IF($C$6="Multi",VLOOKUP(AD$3,'DSCR (Port LLPA)'!$X:$AG,MATCH($U15,'DSCR (Port LLPA)'!$X$1:$AG$1,0),FALSE),"-")),"-")</f>
        <v>-</v>
      </c>
      <c r="AE15" s="67" t="str">
        <f t="shared" si="6"/>
        <v>-</v>
      </c>
      <c r="AF15" s="56" t="str">
        <f>IF($AE15="-","-",IF($C$6="SFR",VLOOKUP($C$10,'DSCR (Port LLPA)'!$B$36:$K$50,MATCH($U15,'DSCR (Port LLPA)'!$B$36:$K$36,0),FALSE),IF($C$6="Multi",VLOOKUP($C$10,'DSCR (Port LLPA)'!$B$53:$K$67,MATCH($U15,'DSCR (Port LLPA)'!$B$53:$K$53,0),FALSE),"-")))</f>
        <v>-</v>
      </c>
      <c r="AG15" s="56" t="str">
        <f t="shared" si="7"/>
        <v>-</v>
      </c>
      <c r="AH15" s="52">
        <f t="shared" si="8"/>
        <v>0</v>
      </c>
      <c r="AI15" s="214">
        <f t="shared" si="9"/>
        <v>1.2</v>
      </c>
      <c r="AJ15" s="52">
        <f t="shared" si="10"/>
        <v>0</v>
      </c>
      <c r="AK15" s="52">
        <f t="shared" si="11"/>
        <v>0</v>
      </c>
      <c r="AL15" s="52" t="e">
        <f t="shared" si="12"/>
        <v>#VALUE!</v>
      </c>
      <c r="AN15" s="53">
        <v>2.7499999999999997E-2</v>
      </c>
      <c r="AO15" s="53">
        <f t="shared" si="13"/>
        <v>1.0125</v>
      </c>
      <c r="AP15" s="56">
        <f t="shared" si="14"/>
        <v>-7.3333333333333549E-3</v>
      </c>
      <c r="AQ15" s="57" t="e">
        <f t="shared" si="15"/>
        <v>#VALUE!</v>
      </c>
      <c r="AR15" s="51" t="e">
        <f>IF(AQ15="-","-",IF((AQ15/$C$19)&lt;=INDEX('DSCR (Port Legend)'!$F$3:$H$14,MATCH((AQ15/$C$19),'DSCR (Port Legend)'!$F$3:$F$14,1),2),INDEX('DSCR (Port Legend)'!$F$3:$H$14,MATCH((AQ15/$C$19),'DSCR (Port Legend)'!$F$3:$F$14,1),3),"-"))</f>
        <v>#VALUE!</v>
      </c>
      <c r="AS15" s="56" t="str">
        <f>IFERROR(IF($C$6="SFR",VLOOKUP(AS$3,'DSCR (Port LLPA)'!$M:$V,MATCH($AR15,'DSCR (Port LLPA)'!$M$1:$V$1,0),FALSE),IF($C$6="Multi",VLOOKUP(AS$3,'DSCR (Port LLPA)'!$X:$AG,MATCH($AR15,'DSCR (Port LLPA)'!$X$1:$AG$1,0),FALSE),"-")),"-")</f>
        <v>-</v>
      </c>
      <c r="AT15" s="56" t="str">
        <f>IFERROR(IF($C$6="SFR",VLOOKUP(AT$3,'DSCR (Port LLPA)'!$M:$V,MATCH($AR15,'DSCR (Port LLPA)'!$M$1:$V$1,0),FALSE),IF($C$6="Multi",VLOOKUP(AT$3,'DSCR (Port LLPA)'!$X:$AG,MATCH($AR15,'DSCR (Port LLPA)'!$X$1:$AG$1,0),FALSE),"-")),"-")</f>
        <v>-</v>
      </c>
      <c r="AU15" s="56" t="str">
        <f>IFERROR(IF($C$6="SFR",VLOOKUP(AU$3,'DSCR (Port LLPA)'!$M:$V,MATCH($AR15,'DSCR (Port LLPA)'!$M$1:$V$1,0),FALSE),IF($C$6="Multi",VLOOKUP(AU$3,'DSCR (Port LLPA)'!$X:$AG,MATCH($AR15,'DSCR (Port LLPA)'!$X$1:$AG$1,0),FALSE),"-")),"-")</f>
        <v>-</v>
      </c>
      <c r="AV15" s="56" t="str">
        <f>IFERROR(IF($C$6="SFR",VLOOKUP(AV$3,'DSCR (Port LLPA)'!$M:$V,MATCH($AR15,'DSCR (Port LLPA)'!$M$1:$V$1,0),FALSE),IF($C$6="Multi",VLOOKUP(AV$3,'DSCR (Port LLPA)'!$X:$AG,MATCH($AR15,'DSCR (Port LLPA)'!$X$1:$AG$1,0),FALSE),"-")),"-")</f>
        <v>-</v>
      </c>
      <c r="AW15" s="56" t="str">
        <f>IFERROR(IF($C$6="SFR",VLOOKUP(AW$3,'DSCR (Port LLPA)'!$M:$V,MATCH($AR15,'DSCR (Port LLPA)'!$M$1:$V$1,0),FALSE),IF($C$6="Multi",VLOOKUP(AW$3,'DSCR (Port LLPA)'!$X:$AG,MATCH($AR15,'DSCR (Port LLPA)'!$X$1:$AG$1,0),FALSE),"-")),"-")</f>
        <v>-</v>
      </c>
      <c r="AX15" s="56" t="str">
        <f>IFERROR(IF($C$6="SFR",VLOOKUP(AX$3,'DSCR (Port LLPA)'!$M:$V,MATCH($AR15,'DSCR (Port LLPA)'!$M$1:$V$1,0),FALSE),IF($C$6="Multi",VLOOKUP(AX$3,'DSCR (Port LLPA)'!$X:$AG,MATCH($AR15,'DSCR (Port LLPA)'!$X$1:$AG$1,0),FALSE),"-")),"-")</f>
        <v>-</v>
      </c>
      <c r="AY15" s="56" t="e">
        <f>IF($AQ15="-","-",IF($AQ15&lt;=INDEX('DSCR (Port Legend)'!$J$3:$L$17,MATCH($AQ15,'DSCR (Port Legend)'!$J$3:$J$17,1),2),INDEX('DSCR (Port Legend)'!$J$3:$L$17,MATCH($AQ15,'DSCR (Port Legend)'!$J$3:$J$17,1),3),"-"))</f>
        <v>#VALUE!</v>
      </c>
      <c r="AZ15" s="56" t="str">
        <f>IFERROR(IF($C$6="SFR",VLOOKUP($AY15,'DSCR (Port LLPA)'!$M:$V,MATCH($AR15,'DSCR (Port LLPA)'!$M$1:$V$1,0),FALSE),IF($C$6="Multi",VLOOKUP($AY15,'DSCR (Port LLPA)'!$X:$AG,MATCH($AR15,'DSCR (Port LLPA)'!$X$1:$AG$1,0),FALSE),"-")),"-")</f>
        <v>-</v>
      </c>
      <c r="BA15" s="56" t="str">
        <f>IFERROR(IF($C$6="SFR",VLOOKUP(BA$3,'DSCR (Port LLPA)'!$M:$V,MATCH($AR15,'DSCR (Port LLPA)'!$M$1:$V$1,0),FALSE),IF($C$6="Multi",VLOOKUP(BA$3,'DSCR (Port LLPA)'!$X:$AG,MATCH($AR15,'DSCR (Port LLPA)'!$X$1:$AG$1,0),FALSE),"-")),"-")</f>
        <v>-</v>
      </c>
      <c r="BB15" s="67" t="str">
        <f t="shared" si="16"/>
        <v>-</v>
      </c>
      <c r="BC15" s="56" t="str">
        <f>IF($BB15="-","-",IF($C$6="SFR",VLOOKUP($C$10,'DSCR (Port LLPA)'!$B$36:$K$50,MATCH($AR15,'DSCR (Port LLPA)'!$B$36:$K$36,0),FALSE),IF($C$6="Multi",VLOOKUP($C$10,'DSCR (Port LLPA)'!$B$53:$K$67,MATCH($AR15,'DSCR (Port LLPA)'!$B$53:$K$53,0),FALSE),"-")))</f>
        <v>-</v>
      </c>
      <c r="BD15" s="56" t="str">
        <f t="shared" si="17"/>
        <v>-</v>
      </c>
      <c r="BE15" s="52">
        <f t="shared" si="18"/>
        <v>0</v>
      </c>
      <c r="BF15" s="214">
        <f t="shared" si="19"/>
        <v>1.2</v>
      </c>
      <c r="BG15" s="52">
        <f t="shared" si="20"/>
        <v>0</v>
      </c>
      <c r="BH15" s="52">
        <f t="shared" si="21"/>
        <v>0</v>
      </c>
      <c r="BI15" s="52" t="e">
        <f t="shared" si="22"/>
        <v>#VALUE!</v>
      </c>
      <c r="BJ15" s="232" t="e">
        <f t="shared" si="23"/>
        <v>#VALUE!</v>
      </c>
      <c r="BK15" s="233">
        <f t="shared" si="24"/>
        <v>101.25</v>
      </c>
      <c r="BL15" s="232" t="e">
        <f>IF(BJ15="-","-",IF((BJ15/$C$19)&lt;=INDEX('DSCR (Port Legend)'!$F$3:$H$14,MATCH((BJ15/$C$19),'DSCR (Port Legend)'!$F$3:$F$14,1),2),INDEX('DSCR (Port Legend)'!$F$3:$H$14,MATCH((BJ15/$C$19),'DSCR (Port Legend)'!$F$3:$F$14,1),3),"-"))</f>
        <v>#VALUE!</v>
      </c>
      <c r="BM15" s="232" t="e">
        <f t="shared" si="25"/>
        <v>#VALUE!</v>
      </c>
      <c r="BN15" s="232" t="e">
        <f t="shared" si="26"/>
        <v>#VALUE!</v>
      </c>
      <c r="BO15" s="232" t="str">
        <f t="shared" si="27"/>
        <v>-</v>
      </c>
      <c r="BP15" s="231" t="str">
        <f t="shared" si="28"/>
        <v>-</v>
      </c>
      <c r="BR15" s="53">
        <v>2.7499999999999997E-2</v>
      </c>
      <c r="BS15" s="53">
        <f t="shared" si="29"/>
        <v>1.0125</v>
      </c>
      <c r="BT15" s="230" t="str">
        <f t="shared" si="30"/>
        <v>-</v>
      </c>
      <c r="BU15" s="229" t="str">
        <f t="shared" si="31"/>
        <v>-</v>
      </c>
      <c r="BV15" s="216" t="e">
        <f t="shared" si="32"/>
        <v>#VALUE!</v>
      </c>
      <c r="BW15" s="216" t="e">
        <f t="shared" si="33"/>
        <v>#VALUE!</v>
      </c>
      <c r="BX15" s="51" t="e">
        <f t="shared" si="34"/>
        <v>#VALUE!</v>
      </c>
      <c r="BY15" s="215" t="e">
        <f t="shared" si="35"/>
        <v>#VALUE!</v>
      </c>
      <c r="BZ15" s="51" t="e">
        <f t="shared" si="36"/>
        <v>#VALUE!</v>
      </c>
      <c r="CA15" s="52">
        <f t="shared" si="37"/>
        <v>0</v>
      </c>
      <c r="CB15" s="52">
        <f t="shared" si="38"/>
        <v>0</v>
      </c>
      <c r="CC15" s="52">
        <f t="shared" si="39"/>
        <v>0</v>
      </c>
      <c r="CD15" s="52">
        <f t="shared" si="40"/>
        <v>0</v>
      </c>
      <c r="CE15" s="215" t="e">
        <f t="shared" si="41"/>
        <v>#VALUE!</v>
      </c>
      <c r="CF15" s="51" t="e">
        <f t="shared" si="42"/>
        <v>#VALUE!</v>
      </c>
      <c r="CG15" s="52" t="e">
        <f t="shared" si="43"/>
        <v>#VALUE!</v>
      </c>
      <c r="CH15" s="51" t="e">
        <f t="shared" si="44"/>
        <v>#VALUE!</v>
      </c>
      <c r="CI15" s="52" t="e">
        <f t="shared" si="45"/>
        <v>#VALUE!</v>
      </c>
      <c r="CJ15" s="52" t="e">
        <f t="shared" si="46"/>
        <v>#VALUE!</v>
      </c>
      <c r="CK15" s="214" t="e">
        <f t="shared" si="47"/>
        <v>#VALUE!</v>
      </c>
      <c r="CL15" s="214" t="e">
        <f t="shared" si="48"/>
        <v>#VALUE!</v>
      </c>
      <c r="CM15" s="51" t="e">
        <f t="shared" si="49"/>
        <v>#VALUE!</v>
      </c>
      <c r="CN15" s="52" t="e">
        <f t="shared" si="50"/>
        <v>#VALUE!</v>
      </c>
      <c r="CO15" s="214" t="e">
        <f t="shared" si="51"/>
        <v>#VALUE!</v>
      </c>
      <c r="CS15" s="51" t="e">
        <f t="shared" si="55"/>
        <v>#VALUE!</v>
      </c>
      <c r="CT15" s="52" t="e">
        <f t="shared" si="52"/>
        <v>#VALUE!</v>
      </c>
      <c r="CU15" s="51" t="e">
        <f t="shared" si="53"/>
        <v>#VALUE!</v>
      </c>
      <c r="CV15" s="51" t="e">
        <f t="shared" si="54"/>
        <v>#VALUE!</v>
      </c>
    </row>
    <row r="16" spans="2:100" x14ac:dyDescent="0.25">
      <c r="B16" s="51" t="s">
        <v>1801</v>
      </c>
      <c r="C16" s="222" t="e">
        <f>30-$C$15</f>
        <v>#VALUE!</v>
      </c>
      <c r="D16" s="193" t="str">
        <f>'DSCR (Port Legend)'!D16</f>
        <v>800+</v>
      </c>
      <c r="E16" s="192">
        <f t="shared" si="0"/>
        <v>0.8</v>
      </c>
      <c r="F16" s="192">
        <f t="shared" si="0"/>
        <v>0.8</v>
      </c>
      <c r="G16" s="192">
        <f t="shared" si="0"/>
        <v>0.8</v>
      </c>
      <c r="H16" s="192">
        <f t="shared" si="0"/>
        <v>0.8</v>
      </c>
      <c r="I16" s="192">
        <f t="shared" si="0"/>
        <v>0.8</v>
      </c>
      <c r="J16" s="192">
        <f t="shared" si="0"/>
        <v>0.75</v>
      </c>
      <c r="N16" s="53">
        <v>2.9999999999999995E-2</v>
      </c>
      <c r="O16" s="53">
        <f t="shared" si="1"/>
        <v>1.01</v>
      </c>
      <c r="P16" s="56">
        <f t="shared" si="2"/>
        <v>-8.0000000000000071E-3</v>
      </c>
      <c r="Q16" s="57" t="str">
        <f t="shared" si="3"/>
        <v>-</v>
      </c>
      <c r="R16" s="57" t="str">
        <f t="shared" si="4"/>
        <v>-</v>
      </c>
      <c r="S16" s="57" t="str">
        <f>IF(OR($C$3="Purchase",$C$3="Delayed Purchase",$C$3="Refinance (Cash Out)"),"-",IF($C$3="Refinance (Rate/Term)",'DSCR (Port Loan)'!$C$22*102%,"-"))</f>
        <v>-</v>
      </c>
      <c r="T16" s="57" t="str">
        <f t="shared" si="5"/>
        <v>-</v>
      </c>
      <c r="U16" s="51" t="str">
        <f>IF(T16="-","-",IF(($T16/$C$19)&lt;=INDEX('DSCR (Port Legend)'!$F$3:$H$14,MATCH(($T16/$C$19),'DSCR (Port Legend)'!$F$3:$F$14,1),2),INDEX('DSCR (Port Legend)'!$F$3:$H$14,MATCH(($T16/$C$19),'DSCR (Port Legend)'!$F$3:$F$14,1),3),"-"))</f>
        <v>-</v>
      </c>
      <c r="V16" s="67" t="str">
        <f>IFERROR(IF($C$6="SFR",VLOOKUP(V$3,'DSCR (Port LLPA)'!$M:$V,MATCH($U16,'DSCR (Port LLPA)'!$M$1:$V$1,0),FALSE),IF($C$6="Multi",VLOOKUP(V$3,'DSCR (Port LLPA)'!$X:$AG,MATCH($U16,'DSCR (Port LLPA)'!$X$1:$AG$1,0),FALSE),"-")),"-")</f>
        <v>-</v>
      </c>
      <c r="W16" s="67" t="str">
        <f>IFERROR(IF($C$6="SFR",VLOOKUP(W$3,'DSCR (Port LLPA)'!$M:$V,MATCH($U16,'DSCR (Port LLPA)'!$M$1:$V$1,0),FALSE),IF($C$6="Multi",VLOOKUP(W$3,'DSCR (Port LLPA)'!$X:$AG,MATCH($U16,'DSCR (Port LLPA)'!$X$1:$AG$1,0),FALSE),"-")),"-")</f>
        <v>-</v>
      </c>
      <c r="X16" s="67" t="str">
        <f>IFERROR(IF($C$6="SFR",VLOOKUP(X$3,'DSCR (Port LLPA)'!$M:$V,MATCH($U16,'DSCR (Port LLPA)'!$M$1:$V$1,0),FALSE),IF($C$6="Multi",VLOOKUP(X$3,'DSCR (Port LLPA)'!$X:$AG,MATCH($U16,'DSCR (Port LLPA)'!$X$1:$AG$1,0),FALSE),"-")),"-")</f>
        <v>-</v>
      </c>
      <c r="Y16" s="67" t="str">
        <f>IFERROR(IF($C$6="SFR",VLOOKUP(Y$3,'DSCR (Port LLPA)'!$M:$V,MATCH($U16,'DSCR (Port LLPA)'!$M$1:$V$1,0),FALSE),IF($C$6="Multi",VLOOKUP(Y$3,'DSCR (Port LLPA)'!$X:$AG,MATCH($U16,'DSCR (Port LLPA)'!$X$1:$AG$1,0),FALSE),"-")),"-")</f>
        <v>-</v>
      </c>
      <c r="Z16" s="67" t="str">
        <f>IFERROR(IF($C$6="SFR",VLOOKUP(Z$3,'DSCR (Port LLPA)'!$M:$V,MATCH($U16,'DSCR (Port LLPA)'!$M$1:$V$1,0),FALSE),IF($C$6="Multi",VLOOKUP(Z$3,'DSCR (Port LLPA)'!$X:$AG,MATCH($U16,'DSCR (Port LLPA)'!$X$1:$AG$1,0),FALSE),"-")),"-")</f>
        <v>-</v>
      </c>
      <c r="AA16" s="67" t="str">
        <f>IFERROR(IF($C$6="SFR",VLOOKUP(AA$3,'DSCR (Port LLPA)'!$M:$V,MATCH($U16,'DSCR (Port LLPA)'!$M$1:$V$1,0),FALSE),IF($C$6="Multi",VLOOKUP(AA$3,'DSCR (Port LLPA)'!$X:$AG,MATCH($U16,'DSCR (Port LLPA)'!$X$1:$AG$1,0),FALSE),"-")),"-")</f>
        <v>-</v>
      </c>
      <c r="AB16" s="67" t="str">
        <f>IF($T16="-","-",IF($T16&lt;=INDEX('DSCR (Port Legend)'!$J$3:$L$17,MATCH($T16,'DSCR (Port Legend)'!$J$3:$J$17,1),2),INDEX('DSCR (Port Legend)'!$J$3:$L$17,MATCH($T16,'DSCR (Port Legend)'!$J$3:$J$17,1),3),"-"))</f>
        <v>-</v>
      </c>
      <c r="AC16" s="67" t="str">
        <f>IFERROR(IF($C$6="SFR",VLOOKUP($AB16,'DSCR (Port LLPA)'!$M:$V,MATCH($U16,'DSCR (Port LLPA)'!$M$1:$V$1,0),FALSE),IF($C$6="Multi",VLOOKUP($AB16,'DSCR (Port LLPA)'!$X:$AG,MATCH($U16,'DSCR (Port LLPA)'!$X$1:$AG$1,0),FALSE),"-")),"-")</f>
        <v>-</v>
      </c>
      <c r="AD16" s="67" t="str">
        <f>IFERROR(IF($C$6="SFR",VLOOKUP(AD$3,'DSCR (Port LLPA)'!$M:$V,MATCH($U16,'DSCR (Port LLPA)'!$M$1:$V$1,0),FALSE),IF($C$6="Multi",VLOOKUP(AD$3,'DSCR (Port LLPA)'!$X:$AG,MATCH($U16,'DSCR (Port LLPA)'!$X$1:$AG$1,0),FALSE),"-")),"-")</f>
        <v>-</v>
      </c>
      <c r="AE16" s="67" t="str">
        <f t="shared" si="6"/>
        <v>-</v>
      </c>
      <c r="AF16" s="56" t="str">
        <f>IF($AE16="-","-",IF($C$6="SFR",VLOOKUP($C$10,'DSCR (Port LLPA)'!$B$36:$K$50,MATCH($U16,'DSCR (Port LLPA)'!$B$36:$K$36,0),FALSE),IF($C$6="Multi",VLOOKUP($C$10,'DSCR (Port LLPA)'!$B$53:$K$67,MATCH($U16,'DSCR (Port LLPA)'!$B$53:$K$53,0),FALSE),"-")))</f>
        <v>-</v>
      </c>
      <c r="AG16" s="56" t="str">
        <f t="shared" si="7"/>
        <v>-</v>
      </c>
      <c r="AH16" s="52">
        <f t="shared" si="8"/>
        <v>0</v>
      </c>
      <c r="AI16" s="214">
        <f t="shared" si="9"/>
        <v>1.2</v>
      </c>
      <c r="AJ16" s="52">
        <f t="shared" si="10"/>
        <v>0</v>
      </c>
      <c r="AK16" s="52">
        <f t="shared" si="11"/>
        <v>0</v>
      </c>
      <c r="AL16" s="52" t="e">
        <f t="shared" si="12"/>
        <v>#VALUE!</v>
      </c>
      <c r="AN16" s="53">
        <v>2.9999999999999995E-2</v>
      </c>
      <c r="AO16" s="53">
        <f t="shared" si="13"/>
        <v>1.01</v>
      </c>
      <c r="AP16" s="56">
        <f t="shared" si="14"/>
        <v>-8.0000000000000071E-3</v>
      </c>
      <c r="AQ16" s="57" t="e">
        <f t="shared" si="15"/>
        <v>#VALUE!</v>
      </c>
      <c r="AR16" s="51" t="e">
        <f>IF(AQ16="-","-",IF((AQ16/$C$19)&lt;=INDEX('DSCR (Port Legend)'!$F$3:$H$14,MATCH((AQ16/$C$19),'DSCR (Port Legend)'!$F$3:$F$14,1),2),INDEX('DSCR (Port Legend)'!$F$3:$H$14,MATCH((AQ16/$C$19),'DSCR (Port Legend)'!$F$3:$F$14,1),3),"-"))</f>
        <v>#VALUE!</v>
      </c>
      <c r="AS16" s="56" t="str">
        <f>IFERROR(IF($C$6="SFR",VLOOKUP(AS$3,'DSCR (Port LLPA)'!$M:$V,MATCH($AR16,'DSCR (Port LLPA)'!$M$1:$V$1,0),FALSE),IF($C$6="Multi",VLOOKUP(AS$3,'DSCR (Port LLPA)'!$X:$AG,MATCH($AR16,'DSCR (Port LLPA)'!$X$1:$AG$1,0),FALSE),"-")),"-")</f>
        <v>-</v>
      </c>
      <c r="AT16" s="56" t="str">
        <f>IFERROR(IF($C$6="SFR",VLOOKUP(AT$3,'DSCR (Port LLPA)'!$M:$V,MATCH($AR16,'DSCR (Port LLPA)'!$M$1:$V$1,0),FALSE),IF($C$6="Multi",VLOOKUP(AT$3,'DSCR (Port LLPA)'!$X:$AG,MATCH($AR16,'DSCR (Port LLPA)'!$X$1:$AG$1,0),FALSE),"-")),"-")</f>
        <v>-</v>
      </c>
      <c r="AU16" s="56" t="str">
        <f>IFERROR(IF($C$6="SFR",VLOOKUP(AU$3,'DSCR (Port LLPA)'!$M:$V,MATCH($AR16,'DSCR (Port LLPA)'!$M$1:$V$1,0),FALSE),IF($C$6="Multi",VLOOKUP(AU$3,'DSCR (Port LLPA)'!$X:$AG,MATCH($AR16,'DSCR (Port LLPA)'!$X$1:$AG$1,0),FALSE),"-")),"-")</f>
        <v>-</v>
      </c>
      <c r="AV16" s="56" t="str">
        <f>IFERROR(IF($C$6="SFR",VLOOKUP(AV$3,'DSCR (Port LLPA)'!$M:$V,MATCH($AR16,'DSCR (Port LLPA)'!$M$1:$V$1,0),FALSE),IF($C$6="Multi",VLOOKUP(AV$3,'DSCR (Port LLPA)'!$X:$AG,MATCH($AR16,'DSCR (Port LLPA)'!$X$1:$AG$1,0),FALSE),"-")),"-")</f>
        <v>-</v>
      </c>
      <c r="AW16" s="56" t="str">
        <f>IFERROR(IF($C$6="SFR",VLOOKUP(AW$3,'DSCR (Port LLPA)'!$M:$V,MATCH($AR16,'DSCR (Port LLPA)'!$M$1:$V$1,0),FALSE),IF($C$6="Multi",VLOOKUP(AW$3,'DSCR (Port LLPA)'!$X:$AG,MATCH($AR16,'DSCR (Port LLPA)'!$X$1:$AG$1,0),FALSE),"-")),"-")</f>
        <v>-</v>
      </c>
      <c r="AX16" s="56" t="str">
        <f>IFERROR(IF($C$6="SFR",VLOOKUP(AX$3,'DSCR (Port LLPA)'!$M:$V,MATCH($AR16,'DSCR (Port LLPA)'!$M$1:$V$1,0),FALSE),IF($C$6="Multi",VLOOKUP(AX$3,'DSCR (Port LLPA)'!$X:$AG,MATCH($AR16,'DSCR (Port LLPA)'!$X$1:$AG$1,0),FALSE),"-")),"-")</f>
        <v>-</v>
      </c>
      <c r="AY16" s="56" t="e">
        <f>IF($AQ16="-","-",IF($AQ16&lt;=INDEX('DSCR (Port Legend)'!$J$3:$L$17,MATCH($AQ16,'DSCR (Port Legend)'!$J$3:$J$17,1),2),INDEX('DSCR (Port Legend)'!$J$3:$L$17,MATCH($AQ16,'DSCR (Port Legend)'!$J$3:$J$17,1),3),"-"))</f>
        <v>#VALUE!</v>
      </c>
      <c r="AZ16" s="56" t="str">
        <f>IFERROR(IF($C$6="SFR",VLOOKUP($AY16,'DSCR (Port LLPA)'!$M:$V,MATCH($AR16,'DSCR (Port LLPA)'!$M$1:$V$1,0),FALSE),IF($C$6="Multi",VLOOKUP($AY16,'DSCR (Port LLPA)'!$X:$AG,MATCH($AR16,'DSCR (Port LLPA)'!$X$1:$AG$1,0),FALSE),"-")),"-")</f>
        <v>-</v>
      </c>
      <c r="BA16" s="56" t="str">
        <f>IFERROR(IF($C$6="SFR",VLOOKUP(BA$3,'DSCR (Port LLPA)'!$M:$V,MATCH($AR16,'DSCR (Port LLPA)'!$M$1:$V$1,0),FALSE),IF($C$6="Multi",VLOOKUP(BA$3,'DSCR (Port LLPA)'!$X:$AG,MATCH($AR16,'DSCR (Port LLPA)'!$X$1:$AG$1,0),FALSE),"-")),"-")</f>
        <v>-</v>
      </c>
      <c r="BB16" s="67" t="str">
        <f t="shared" si="16"/>
        <v>-</v>
      </c>
      <c r="BC16" s="56" t="str">
        <f>IF($BB16="-","-",IF($C$6="SFR",VLOOKUP($C$10,'DSCR (Port LLPA)'!$B$36:$K$50,MATCH($AR16,'DSCR (Port LLPA)'!$B$36:$K$36,0),FALSE),IF($C$6="Multi",VLOOKUP($C$10,'DSCR (Port LLPA)'!$B$53:$K$67,MATCH($AR16,'DSCR (Port LLPA)'!$B$53:$K$53,0),FALSE),"-")))</f>
        <v>-</v>
      </c>
      <c r="BD16" s="56" t="str">
        <f t="shared" si="17"/>
        <v>-</v>
      </c>
      <c r="BE16" s="52">
        <f t="shared" si="18"/>
        <v>0</v>
      </c>
      <c r="BF16" s="214">
        <f t="shared" si="19"/>
        <v>1.2</v>
      </c>
      <c r="BG16" s="52">
        <f t="shared" si="20"/>
        <v>0</v>
      </c>
      <c r="BH16" s="52">
        <f t="shared" si="21"/>
        <v>0</v>
      </c>
      <c r="BI16" s="52" t="e">
        <f t="shared" si="22"/>
        <v>#VALUE!</v>
      </c>
      <c r="BJ16" s="232" t="e">
        <f t="shared" si="23"/>
        <v>#VALUE!</v>
      </c>
      <c r="BK16" s="233">
        <f t="shared" si="24"/>
        <v>101</v>
      </c>
      <c r="BL16" s="232" t="e">
        <f>IF(BJ16="-","-",IF((BJ16/$C$19)&lt;=INDEX('DSCR (Port Legend)'!$F$3:$H$14,MATCH((BJ16/$C$19),'DSCR (Port Legend)'!$F$3:$F$14,1),2),INDEX('DSCR (Port Legend)'!$F$3:$H$14,MATCH((BJ16/$C$19),'DSCR (Port Legend)'!$F$3:$F$14,1),3),"-"))</f>
        <v>#VALUE!</v>
      </c>
      <c r="BM16" s="232" t="e">
        <f t="shared" si="25"/>
        <v>#VALUE!</v>
      </c>
      <c r="BN16" s="232" t="e">
        <f t="shared" si="26"/>
        <v>#VALUE!</v>
      </c>
      <c r="BO16" s="232" t="str">
        <f t="shared" si="27"/>
        <v>-</v>
      </c>
      <c r="BP16" s="231" t="str">
        <f t="shared" si="28"/>
        <v>-</v>
      </c>
      <c r="BR16" s="53">
        <v>2.9999999999999995E-2</v>
      </c>
      <c r="BS16" s="53">
        <f t="shared" si="29"/>
        <v>1.01</v>
      </c>
      <c r="BT16" s="230" t="str">
        <f t="shared" si="30"/>
        <v>-</v>
      </c>
      <c r="BU16" s="229" t="str">
        <f t="shared" si="31"/>
        <v>-</v>
      </c>
      <c r="BV16" s="216" t="e">
        <f t="shared" si="32"/>
        <v>#VALUE!</v>
      </c>
      <c r="BW16" s="216" t="e">
        <f t="shared" si="33"/>
        <v>#VALUE!</v>
      </c>
      <c r="BX16" s="51" t="e">
        <f t="shared" si="34"/>
        <v>#VALUE!</v>
      </c>
      <c r="BY16" s="215" t="e">
        <f t="shared" si="35"/>
        <v>#VALUE!</v>
      </c>
      <c r="BZ16" s="51" t="e">
        <f t="shared" si="36"/>
        <v>#VALUE!</v>
      </c>
      <c r="CA16" s="52">
        <f t="shared" si="37"/>
        <v>0</v>
      </c>
      <c r="CB16" s="52">
        <f t="shared" si="38"/>
        <v>0</v>
      </c>
      <c r="CC16" s="52">
        <f t="shared" si="39"/>
        <v>0</v>
      </c>
      <c r="CD16" s="52">
        <f t="shared" si="40"/>
        <v>0</v>
      </c>
      <c r="CE16" s="215" t="e">
        <f t="shared" si="41"/>
        <v>#VALUE!</v>
      </c>
      <c r="CF16" s="51" t="e">
        <f t="shared" si="42"/>
        <v>#VALUE!</v>
      </c>
      <c r="CG16" s="52" t="e">
        <f t="shared" si="43"/>
        <v>#VALUE!</v>
      </c>
      <c r="CH16" s="51" t="e">
        <f t="shared" si="44"/>
        <v>#VALUE!</v>
      </c>
      <c r="CI16" s="52" t="e">
        <f t="shared" si="45"/>
        <v>#VALUE!</v>
      </c>
      <c r="CJ16" s="52" t="e">
        <f t="shared" si="46"/>
        <v>#VALUE!</v>
      </c>
      <c r="CK16" s="214" t="e">
        <f t="shared" si="47"/>
        <v>#VALUE!</v>
      </c>
      <c r="CL16" s="214" t="e">
        <f t="shared" si="48"/>
        <v>#VALUE!</v>
      </c>
      <c r="CM16" s="51" t="e">
        <f t="shared" si="49"/>
        <v>#VALUE!</v>
      </c>
      <c r="CN16" s="52" t="e">
        <f t="shared" si="50"/>
        <v>#VALUE!</v>
      </c>
      <c r="CO16" s="214" t="e">
        <f t="shared" si="51"/>
        <v>#VALUE!</v>
      </c>
      <c r="CS16" s="51" t="e">
        <f t="shared" si="55"/>
        <v>#VALUE!</v>
      </c>
      <c r="CT16" s="52" t="e">
        <f t="shared" si="52"/>
        <v>#VALUE!</v>
      </c>
      <c r="CU16" s="51" t="e">
        <f t="shared" si="53"/>
        <v>#VALUE!</v>
      </c>
      <c r="CV16" s="51" t="e">
        <f t="shared" si="54"/>
        <v>#VALUE!</v>
      </c>
    </row>
    <row r="17" spans="2:100" x14ac:dyDescent="0.25">
      <c r="B17" s="51" t="s">
        <v>1800</v>
      </c>
      <c r="C17" s="222" t="e">
        <f>C16*12</f>
        <v>#VALUE!</v>
      </c>
      <c r="D17" s="193" t="str">
        <f>'DSCR (Port Legend)'!D17</f>
        <v>FN</v>
      </c>
      <c r="E17" s="192">
        <f t="shared" si="0"/>
        <v>0.65</v>
      </c>
      <c r="F17" s="192">
        <f t="shared" si="0"/>
        <v>0.65</v>
      </c>
      <c r="G17" s="192">
        <f t="shared" si="0"/>
        <v>0.65</v>
      </c>
      <c r="H17" s="192">
        <f t="shared" si="0"/>
        <v>0.65</v>
      </c>
      <c r="I17" s="192">
        <f t="shared" si="0"/>
        <v>0.65</v>
      </c>
      <c r="J17" s="192">
        <f t="shared" si="0"/>
        <v>0.6</v>
      </c>
      <c r="N17" s="53">
        <v>3.2499999999999994E-2</v>
      </c>
      <c r="O17" s="53">
        <f t="shared" si="1"/>
        <v>1.0075000000000001</v>
      </c>
      <c r="P17" s="56">
        <f t="shared" si="2"/>
        <v>-8.6666666666666593E-3</v>
      </c>
      <c r="Q17" s="57" t="str">
        <f t="shared" si="3"/>
        <v>-</v>
      </c>
      <c r="R17" s="57" t="str">
        <f t="shared" si="4"/>
        <v>-</v>
      </c>
      <c r="S17" s="57" t="str">
        <f>IF(OR($C$3="Purchase",$C$3="Delayed Purchase",$C$3="Refinance (Cash Out)"),"-",IF($C$3="Refinance (Rate/Term)",'DSCR (Port Loan)'!$C$22*102%,"-"))</f>
        <v>-</v>
      </c>
      <c r="T17" s="57" t="str">
        <f t="shared" si="5"/>
        <v>-</v>
      </c>
      <c r="U17" s="51" t="str">
        <f>IF(T17="-","-",IF(($T17/$C$19)&lt;=INDEX('DSCR (Port Legend)'!$F$3:$H$14,MATCH(($T17/$C$19),'DSCR (Port Legend)'!$F$3:$F$14,1),2),INDEX('DSCR (Port Legend)'!$F$3:$H$14,MATCH(($T17/$C$19),'DSCR (Port Legend)'!$F$3:$F$14,1),3),"-"))</f>
        <v>-</v>
      </c>
      <c r="V17" s="67" t="str">
        <f>IFERROR(IF($C$6="SFR",VLOOKUP(V$3,'DSCR (Port LLPA)'!$M:$V,MATCH($U17,'DSCR (Port LLPA)'!$M$1:$V$1,0),FALSE),IF($C$6="Multi",VLOOKUP(V$3,'DSCR (Port LLPA)'!$X:$AG,MATCH($U17,'DSCR (Port LLPA)'!$X$1:$AG$1,0),FALSE),"-")),"-")</f>
        <v>-</v>
      </c>
      <c r="W17" s="67" t="str">
        <f>IFERROR(IF($C$6="SFR",VLOOKUP(W$3,'DSCR (Port LLPA)'!$M:$V,MATCH($U17,'DSCR (Port LLPA)'!$M$1:$V$1,0),FALSE),IF($C$6="Multi",VLOOKUP(W$3,'DSCR (Port LLPA)'!$X:$AG,MATCH($U17,'DSCR (Port LLPA)'!$X$1:$AG$1,0),FALSE),"-")),"-")</f>
        <v>-</v>
      </c>
      <c r="X17" s="67" t="str">
        <f>IFERROR(IF($C$6="SFR",VLOOKUP(X$3,'DSCR (Port LLPA)'!$M:$V,MATCH($U17,'DSCR (Port LLPA)'!$M$1:$V$1,0),FALSE),IF($C$6="Multi",VLOOKUP(X$3,'DSCR (Port LLPA)'!$X:$AG,MATCH($U17,'DSCR (Port LLPA)'!$X$1:$AG$1,0),FALSE),"-")),"-")</f>
        <v>-</v>
      </c>
      <c r="Y17" s="67" t="str">
        <f>IFERROR(IF($C$6="SFR",VLOOKUP(Y$3,'DSCR (Port LLPA)'!$M:$V,MATCH($U17,'DSCR (Port LLPA)'!$M$1:$V$1,0),FALSE),IF($C$6="Multi",VLOOKUP(Y$3,'DSCR (Port LLPA)'!$X:$AG,MATCH($U17,'DSCR (Port LLPA)'!$X$1:$AG$1,0),FALSE),"-")),"-")</f>
        <v>-</v>
      </c>
      <c r="Z17" s="67" t="str">
        <f>IFERROR(IF($C$6="SFR",VLOOKUP(Z$3,'DSCR (Port LLPA)'!$M:$V,MATCH($U17,'DSCR (Port LLPA)'!$M$1:$V$1,0),FALSE),IF($C$6="Multi",VLOOKUP(Z$3,'DSCR (Port LLPA)'!$X:$AG,MATCH($U17,'DSCR (Port LLPA)'!$X$1:$AG$1,0),FALSE),"-")),"-")</f>
        <v>-</v>
      </c>
      <c r="AA17" s="67" t="str">
        <f>IFERROR(IF($C$6="SFR",VLOOKUP(AA$3,'DSCR (Port LLPA)'!$M:$V,MATCH($U17,'DSCR (Port LLPA)'!$M$1:$V$1,0),FALSE),IF($C$6="Multi",VLOOKUP(AA$3,'DSCR (Port LLPA)'!$X:$AG,MATCH($U17,'DSCR (Port LLPA)'!$X$1:$AG$1,0),FALSE),"-")),"-")</f>
        <v>-</v>
      </c>
      <c r="AB17" s="67" t="str">
        <f>IF($T17="-","-",IF($T17&lt;=INDEX('DSCR (Port Legend)'!$J$3:$L$17,MATCH($T17,'DSCR (Port Legend)'!$J$3:$J$17,1),2),INDEX('DSCR (Port Legend)'!$J$3:$L$17,MATCH($T17,'DSCR (Port Legend)'!$J$3:$J$17,1),3),"-"))</f>
        <v>-</v>
      </c>
      <c r="AC17" s="67" t="str">
        <f>IFERROR(IF($C$6="SFR",VLOOKUP($AB17,'DSCR (Port LLPA)'!$M:$V,MATCH($U17,'DSCR (Port LLPA)'!$M$1:$V$1,0),FALSE),IF($C$6="Multi",VLOOKUP($AB17,'DSCR (Port LLPA)'!$X:$AG,MATCH($U17,'DSCR (Port LLPA)'!$X$1:$AG$1,0),FALSE),"-")),"-")</f>
        <v>-</v>
      </c>
      <c r="AD17" s="67" t="str">
        <f>IFERROR(IF($C$6="SFR",VLOOKUP(AD$3,'DSCR (Port LLPA)'!$M:$V,MATCH($U17,'DSCR (Port LLPA)'!$M$1:$V$1,0),FALSE),IF($C$6="Multi",VLOOKUP(AD$3,'DSCR (Port LLPA)'!$X:$AG,MATCH($U17,'DSCR (Port LLPA)'!$X$1:$AG$1,0),FALSE),"-")),"-")</f>
        <v>-</v>
      </c>
      <c r="AE17" s="67" t="str">
        <f t="shared" si="6"/>
        <v>-</v>
      </c>
      <c r="AF17" s="56" t="str">
        <f>IF($AE17="-","-",IF($C$6="SFR",VLOOKUP($C$10,'DSCR (Port LLPA)'!$B$36:$K$50,MATCH($U17,'DSCR (Port LLPA)'!$B$36:$K$36,0),FALSE),IF($C$6="Multi",VLOOKUP($C$10,'DSCR (Port LLPA)'!$B$53:$K$67,MATCH($U17,'DSCR (Port LLPA)'!$B$53:$K$53,0),FALSE),"-")))</f>
        <v>-</v>
      </c>
      <c r="AG17" s="56" t="str">
        <f t="shared" si="7"/>
        <v>-</v>
      </c>
      <c r="AH17" s="52">
        <f t="shared" si="8"/>
        <v>0</v>
      </c>
      <c r="AI17" s="214">
        <f t="shared" si="9"/>
        <v>1.2</v>
      </c>
      <c r="AJ17" s="52">
        <f t="shared" si="10"/>
        <v>0</v>
      </c>
      <c r="AK17" s="52">
        <f t="shared" si="11"/>
        <v>0</v>
      </c>
      <c r="AL17" s="52" t="e">
        <f t="shared" si="12"/>
        <v>#VALUE!</v>
      </c>
      <c r="AN17" s="53">
        <v>3.2499999999999994E-2</v>
      </c>
      <c r="AO17" s="53">
        <f t="shared" si="13"/>
        <v>1.0075000000000001</v>
      </c>
      <c r="AP17" s="56">
        <f t="shared" si="14"/>
        <v>-8.6666666666666593E-3</v>
      </c>
      <c r="AQ17" s="57" t="e">
        <f t="shared" si="15"/>
        <v>#VALUE!</v>
      </c>
      <c r="AR17" s="51" t="e">
        <f>IF(AQ17="-","-",IF((AQ17/$C$19)&lt;=INDEX('DSCR (Port Legend)'!$F$3:$H$14,MATCH((AQ17/$C$19),'DSCR (Port Legend)'!$F$3:$F$14,1),2),INDEX('DSCR (Port Legend)'!$F$3:$H$14,MATCH((AQ17/$C$19),'DSCR (Port Legend)'!$F$3:$F$14,1),3),"-"))</f>
        <v>#VALUE!</v>
      </c>
      <c r="AS17" s="56" t="str">
        <f>IFERROR(IF($C$6="SFR",VLOOKUP(AS$3,'DSCR (Port LLPA)'!$M:$V,MATCH($AR17,'DSCR (Port LLPA)'!$M$1:$V$1,0),FALSE),IF($C$6="Multi",VLOOKUP(AS$3,'DSCR (Port LLPA)'!$X:$AG,MATCH($AR17,'DSCR (Port LLPA)'!$X$1:$AG$1,0),FALSE),"-")),"-")</f>
        <v>-</v>
      </c>
      <c r="AT17" s="56" t="str">
        <f>IFERROR(IF($C$6="SFR",VLOOKUP(AT$3,'DSCR (Port LLPA)'!$M:$V,MATCH($AR17,'DSCR (Port LLPA)'!$M$1:$V$1,0),FALSE),IF($C$6="Multi",VLOOKUP(AT$3,'DSCR (Port LLPA)'!$X:$AG,MATCH($AR17,'DSCR (Port LLPA)'!$X$1:$AG$1,0),FALSE),"-")),"-")</f>
        <v>-</v>
      </c>
      <c r="AU17" s="56" t="str">
        <f>IFERROR(IF($C$6="SFR",VLOOKUP(AU$3,'DSCR (Port LLPA)'!$M:$V,MATCH($AR17,'DSCR (Port LLPA)'!$M$1:$V$1,0),FALSE),IF($C$6="Multi",VLOOKUP(AU$3,'DSCR (Port LLPA)'!$X:$AG,MATCH($AR17,'DSCR (Port LLPA)'!$X$1:$AG$1,0),FALSE),"-")),"-")</f>
        <v>-</v>
      </c>
      <c r="AV17" s="56" t="str">
        <f>IFERROR(IF($C$6="SFR",VLOOKUP(AV$3,'DSCR (Port LLPA)'!$M:$V,MATCH($AR17,'DSCR (Port LLPA)'!$M$1:$V$1,0),FALSE),IF($C$6="Multi",VLOOKUP(AV$3,'DSCR (Port LLPA)'!$X:$AG,MATCH($AR17,'DSCR (Port LLPA)'!$X$1:$AG$1,0),FALSE),"-")),"-")</f>
        <v>-</v>
      </c>
      <c r="AW17" s="56" t="str">
        <f>IFERROR(IF($C$6="SFR",VLOOKUP(AW$3,'DSCR (Port LLPA)'!$M:$V,MATCH($AR17,'DSCR (Port LLPA)'!$M$1:$V$1,0),FALSE),IF($C$6="Multi",VLOOKUP(AW$3,'DSCR (Port LLPA)'!$X:$AG,MATCH($AR17,'DSCR (Port LLPA)'!$X$1:$AG$1,0),FALSE),"-")),"-")</f>
        <v>-</v>
      </c>
      <c r="AX17" s="56" t="str">
        <f>IFERROR(IF($C$6="SFR",VLOOKUP(AX$3,'DSCR (Port LLPA)'!$M:$V,MATCH($AR17,'DSCR (Port LLPA)'!$M$1:$V$1,0),FALSE),IF($C$6="Multi",VLOOKUP(AX$3,'DSCR (Port LLPA)'!$X:$AG,MATCH($AR17,'DSCR (Port LLPA)'!$X$1:$AG$1,0),FALSE),"-")),"-")</f>
        <v>-</v>
      </c>
      <c r="AY17" s="56" t="e">
        <f>IF($AQ17="-","-",IF($AQ17&lt;=INDEX('DSCR (Port Legend)'!$J$3:$L$17,MATCH($AQ17,'DSCR (Port Legend)'!$J$3:$J$17,1),2),INDEX('DSCR (Port Legend)'!$J$3:$L$17,MATCH($AQ17,'DSCR (Port Legend)'!$J$3:$J$17,1),3),"-"))</f>
        <v>#VALUE!</v>
      </c>
      <c r="AZ17" s="56" t="str">
        <f>IFERROR(IF($C$6="SFR",VLOOKUP($AY17,'DSCR (Port LLPA)'!$M:$V,MATCH($AR17,'DSCR (Port LLPA)'!$M$1:$V$1,0),FALSE),IF($C$6="Multi",VLOOKUP($AY17,'DSCR (Port LLPA)'!$X:$AG,MATCH($AR17,'DSCR (Port LLPA)'!$X$1:$AG$1,0),FALSE),"-")),"-")</f>
        <v>-</v>
      </c>
      <c r="BA17" s="56" t="str">
        <f>IFERROR(IF($C$6="SFR",VLOOKUP(BA$3,'DSCR (Port LLPA)'!$M:$V,MATCH($AR17,'DSCR (Port LLPA)'!$M$1:$V$1,0),FALSE),IF($C$6="Multi",VLOOKUP(BA$3,'DSCR (Port LLPA)'!$X:$AG,MATCH($AR17,'DSCR (Port LLPA)'!$X$1:$AG$1,0),FALSE),"-")),"-")</f>
        <v>-</v>
      </c>
      <c r="BB17" s="67" t="str">
        <f t="shared" si="16"/>
        <v>-</v>
      </c>
      <c r="BC17" s="56" t="str">
        <f>IF($BB17="-","-",IF($C$6="SFR",VLOOKUP($C$10,'DSCR (Port LLPA)'!$B$36:$K$50,MATCH($AR17,'DSCR (Port LLPA)'!$B$36:$K$36,0),FALSE),IF($C$6="Multi",VLOOKUP($C$10,'DSCR (Port LLPA)'!$B$53:$K$67,MATCH($AR17,'DSCR (Port LLPA)'!$B$53:$K$53,0),FALSE),"-")))</f>
        <v>-</v>
      </c>
      <c r="BD17" s="56" t="str">
        <f t="shared" si="17"/>
        <v>-</v>
      </c>
      <c r="BE17" s="52">
        <f t="shared" si="18"/>
        <v>0</v>
      </c>
      <c r="BF17" s="214">
        <f t="shared" si="19"/>
        <v>1.2</v>
      </c>
      <c r="BG17" s="52">
        <f t="shared" si="20"/>
        <v>0</v>
      </c>
      <c r="BH17" s="52">
        <f t="shared" si="21"/>
        <v>0</v>
      </c>
      <c r="BI17" s="52" t="e">
        <f t="shared" si="22"/>
        <v>#VALUE!</v>
      </c>
      <c r="BJ17" s="232" t="e">
        <f t="shared" si="23"/>
        <v>#VALUE!</v>
      </c>
      <c r="BK17" s="233">
        <f t="shared" si="24"/>
        <v>100.75</v>
      </c>
      <c r="BL17" s="232" t="e">
        <f>IF(BJ17="-","-",IF((BJ17/$C$19)&lt;=INDEX('DSCR (Port Legend)'!$F$3:$H$14,MATCH((BJ17/$C$19),'DSCR (Port Legend)'!$F$3:$F$14,1),2),INDEX('DSCR (Port Legend)'!$F$3:$H$14,MATCH((BJ17/$C$19),'DSCR (Port Legend)'!$F$3:$F$14,1),3),"-"))</f>
        <v>#VALUE!</v>
      </c>
      <c r="BM17" s="232" t="e">
        <f t="shared" si="25"/>
        <v>#VALUE!</v>
      </c>
      <c r="BN17" s="232" t="e">
        <f t="shared" si="26"/>
        <v>#VALUE!</v>
      </c>
      <c r="BO17" s="232" t="str">
        <f t="shared" si="27"/>
        <v>-</v>
      </c>
      <c r="BP17" s="231" t="str">
        <f t="shared" si="28"/>
        <v>-</v>
      </c>
      <c r="BR17" s="53">
        <v>3.2499999999999994E-2</v>
      </c>
      <c r="BS17" s="53">
        <f t="shared" si="29"/>
        <v>1.0075000000000001</v>
      </c>
      <c r="BT17" s="230" t="str">
        <f t="shared" si="30"/>
        <v>-</v>
      </c>
      <c r="BU17" s="229" t="str">
        <f t="shared" si="31"/>
        <v>-</v>
      </c>
      <c r="BV17" s="216" t="e">
        <f t="shared" si="32"/>
        <v>#VALUE!</v>
      </c>
      <c r="BW17" s="216" t="e">
        <f t="shared" si="33"/>
        <v>#VALUE!</v>
      </c>
      <c r="BX17" s="51" t="e">
        <f t="shared" si="34"/>
        <v>#VALUE!</v>
      </c>
      <c r="BY17" s="215" t="e">
        <f t="shared" si="35"/>
        <v>#VALUE!</v>
      </c>
      <c r="BZ17" s="51" t="e">
        <f t="shared" si="36"/>
        <v>#VALUE!</v>
      </c>
      <c r="CA17" s="52">
        <f t="shared" si="37"/>
        <v>0</v>
      </c>
      <c r="CB17" s="52">
        <f t="shared" si="38"/>
        <v>0</v>
      </c>
      <c r="CC17" s="52">
        <f t="shared" si="39"/>
        <v>0</v>
      </c>
      <c r="CD17" s="52">
        <f t="shared" si="40"/>
        <v>0</v>
      </c>
      <c r="CE17" s="215" t="e">
        <f t="shared" si="41"/>
        <v>#VALUE!</v>
      </c>
      <c r="CF17" s="51" t="e">
        <f t="shared" si="42"/>
        <v>#VALUE!</v>
      </c>
      <c r="CG17" s="52" t="e">
        <f t="shared" si="43"/>
        <v>#VALUE!</v>
      </c>
      <c r="CH17" s="51" t="e">
        <f t="shared" si="44"/>
        <v>#VALUE!</v>
      </c>
      <c r="CI17" s="52" t="e">
        <f t="shared" si="45"/>
        <v>#VALUE!</v>
      </c>
      <c r="CJ17" s="52" t="e">
        <f t="shared" si="46"/>
        <v>#VALUE!</v>
      </c>
      <c r="CK17" s="214" t="e">
        <f t="shared" si="47"/>
        <v>#VALUE!</v>
      </c>
      <c r="CL17" s="214" t="e">
        <f t="shared" si="48"/>
        <v>#VALUE!</v>
      </c>
      <c r="CM17" s="51" t="e">
        <f t="shared" si="49"/>
        <v>#VALUE!</v>
      </c>
      <c r="CN17" s="52" t="e">
        <f t="shared" si="50"/>
        <v>#VALUE!</v>
      </c>
      <c r="CO17" s="214" t="e">
        <f t="shared" si="51"/>
        <v>#VALUE!</v>
      </c>
      <c r="CS17" s="51" t="e">
        <f t="shared" si="55"/>
        <v>#VALUE!</v>
      </c>
      <c r="CT17" s="52" t="e">
        <f t="shared" si="52"/>
        <v>#VALUE!</v>
      </c>
      <c r="CU17" s="51" t="e">
        <f t="shared" si="53"/>
        <v>#VALUE!</v>
      </c>
      <c r="CV17" s="51" t="e">
        <f t="shared" si="54"/>
        <v>#VALUE!</v>
      </c>
    </row>
    <row r="18" spans="2:100" x14ac:dyDescent="0.25">
      <c r="N18" s="53">
        <v>3.4999999999999996E-2</v>
      </c>
      <c r="O18" s="53">
        <f t="shared" si="1"/>
        <v>1.0050000000000001</v>
      </c>
      <c r="P18" s="56">
        <f t="shared" si="2"/>
        <v>-9.3333333333333116E-3</v>
      </c>
      <c r="Q18" s="57" t="str">
        <f t="shared" si="3"/>
        <v>-</v>
      </c>
      <c r="R18" s="57" t="str">
        <f t="shared" si="4"/>
        <v>-</v>
      </c>
      <c r="S18" s="57" t="str">
        <f>IF(OR($C$3="Purchase",$C$3="Delayed Purchase",$C$3="Refinance (Cash Out)"),"-",IF($C$3="Refinance (Rate/Term)",'DSCR (Port Loan)'!$C$22*102%,"-"))</f>
        <v>-</v>
      </c>
      <c r="T18" s="57" t="str">
        <f t="shared" si="5"/>
        <v>-</v>
      </c>
      <c r="U18" s="51" t="str">
        <f>IF(T18="-","-",IF(($T18/$C$19)&lt;=INDEX('DSCR (Port Legend)'!$F$3:$H$14,MATCH(($T18/$C$19),'DSCR (Port Legend)'!$F$3:$F$14,1),2),INDEX('DSCR (Port Legend)'!$F$3:$H$14,MATCH(($T18/$C$19),'DSCR (Port Legend)'!$F$3:$F$14,1),3),"-"))</f>
        <v>-</v>
      </c>
      <c r="V18" s="67" t="str">
        <f>IFERROR(IF($C$6="SFR",VLOOKUP(V$3,'DSCR (Port LLPA)'!$M:$V,MATCH($U18,'DSCR (Port LLPA)'!$M$1:$V$1,0),FALSE),IF($C$6="Multi",VLOOKUP(V$3,'DSCR (Port LLPA)'!$X:$AG,MATCH($U18,'DSCR (Port LLPA)'!$X$1:$AG$1,0),FALSE),"-")),"-")</f>
        <v>-</v>
      </c>
      <c r="W18" s="67" t="str">
        <f>IFERROR(IF($C$6="SFR",VLOOKUP(W$3,'DSCR (Port LLPA)'!$M:$V,MATCH($U18,'DSCR (Port LLPA)'!$M$1:$V$1,0),FALSE),IF($C$6="Multi",VLOOKUP(W$3,'DSCR (Port LLPA)'!$X:$AG,MATCH($U18,'DSCR (Port LLPA)'!$X$1:$AG$1,0),FALSE),"-")),"-")</f>
        <v>-</v>
      </c>
      <c r="X18" s="67" t="str">
        <f>IFERROR(IF($C$6="SFR",VLOOKUP(X$3,'DSCR (Port LLPA)'!$M:$V,MATCH($U18,'DSCR (Port LLPA)'!$M$1:$V$1,0),FALSE),IF($C$6="Multi",VLOOKUP(X$3,'DSCR (Port LLPA)'!$X:$AG,MATCH($U18,'DSCR (Port LLPA)'!$X$1:$AG$1,0),FALSE),"-")),"-")</f>
        <v>-</v>
      </c>
      <c r="Y18" s="67" t="str">
        <f>IFERROR(IF($C$6="SFR",VLOOKUP(Y$3,'DSCR (Port LLPA)'!$M:$V,MATCH($U18,'DSCR (Port LLPA)'!$M$1:$V$1,0),FALSE),IF($C$6="Multi",VLOOKUP(Y$3,'DSCR (Port LLPA)'!$X:$AG,MATCH($U18,'DSCR (Port LLPA)'!$X$1:$AG$1,0),FALSE),"-")),"-")</f>
        <v>-</v>
      </c>
      <c r="Z18" s="67" t="str">
        <f>IFERROR(IF($C$6="SFR",VLOOKUP(Z$3,'DSCR (Port LLPA)'!$M:$V,MATCH($U18,'DSCR (Port LLPA)'!$M$1:$V$1,0),FALSE),IF($C$6="Multi",VLOOKUP(Z$3,'DSCR (Port LLPA)'!$X:$AG,MATCH($U18,'DSCR (Port LLPA)'!$X$1:$AG$1,0),FALSE),"-")),"-")</f>
        <v>-</v>
      </c>
      <c r="AA18" s="67" t="str">
        <f>IFERROR(IF($C$6="SFR",VLOOKUP(AA$3,'DSCR (Port LLPA)'!$M:$V,MATCH($U18,'DSCR (Port LLPA)'!$M$1:$V$1,0),FALSE),IF($C$6="Multi",VLOOKUP(AA$3,'DSCR (Port LLPA)'!$X:$AG,MATCH($U18,'DSCR (Port LLPA)'!$X$1:$AG$1,0),FALSE),"-")),"-")</f>
        <v>-</v>
      </c>
      <c r="AB18" s="67" t="str">
        <f>IF($T18="-","-",IF($T18&lt;=INDEX('DSCR (Port Legend)'!$J$3:$L$17,MATCH($T18,'DSCR (Port Legend)'!$J$3:$J$17,1),2),INDEX('DSCR (Port Legend)'!$J$3:$L$17,MATCH($T18,'DSCR (Port Legend)'!$J$3:$J$17,1),3),"-"))</f>
        <v>-</v>
      </c>
      <c r="AC18" s="67" t="str">
        <f>IFERROR(IF($C$6="SFR",VLOOKUP($AB18,'DSCR (Port LLPA)'!$M:$V,MATCH($U18,'DSCR (Port LLPA)'!$M$1:$V$1,0),FALSE),IF($C$6="Multi",VLOOKUP($AB18,'DSCR (Port LLPA)'!$X:$AG,MATCH($U18,'DSCR (Port LLPA)'!$X$1:$AG$1,0),FALSE),"-")),"-")</f>
        <v>-</v>
      </c>
      <c r="AD18" s="67" t="str">
        <f>IFERROR(IF($C$6="SFR",VLOOKUP(AD$3,'DSCR (Port LLPA)'!$M:$V,MATCH($U18,'DSCR (Port LLPA)'!$M$1:$V$1,0),FALSE),IF($C$6="Multi",VLOOKUP(AD$3,'DSCR (Port LLPA)'!$X:$AG,MATCH($U18,'DSCR (Port LLPA)'!$X$1:$AG$1,0),FALSE),"-")),"-")</f>
        <v>-</v>
      </c>
      <c r="AE18" s="67" t="str">
        <f t="shared" si="6"/>
        <v>-</v>
      </c>
      <c r="AF18" s="56" t="str">
        <f>IF($AE18="-","-",IF($C$6="SFR",VLOOKUP($C$10,'DSCR (Port LLPA)'!$B$36:$K$50,MATCH($U18,'DSCR (Port LLPA)'!$B$36:$K$36,0),FALSE),IF($C$6="Multi",VLOOKUP($C$10,'DSCR (Port LLPA)'!$B$53:$K$67,MATCH($U18,'DSCR (Port LLPA)'!$B$53:$K$53,0),FALSE),"-")))</f>
        <v>-</v>
      </c>
      <c r="AG18" s="56" t="str">
        <f t="shared" si="7"/>
        <v>-</v>
      </c>
      <c r="AH18" s="52">
        <f t="shared" si="8"/>
        <v>0</v>
      </c>
      <c r="AI18" s="214">
        <f t="shared" si="9"/>
        <v>1.2</v>
      </c>
      <c r="AJ18" s="52">
        <f t="shared" si="10"/>
        <v>0</v>
      </c>
      <c r="AK18" s="52">
        <f t="shared" si="11"/>
        <v>0</v>
      </c>
      <c r="AL18" s="52" t="e">
        <f t="shared" si="12"/>
        <v>#VALUE!</v>
      </c>
      <c r="AN18" s="53">
        <v>3.4999999999999996E-2</v>
      </c>
      <c r="AO18" s="53">
        <f t="shared" si="13"/>
        <v>1.0050000000000001</v>
      </c>
      <c r="AP18" s="56">
        <f t="shared" si="14"/>
        <v>-9.3333333333333116E-3</v>
      </c>
      <c r="AQ18" s="57" t="e">
        <f t="shared" si="15"/>
        <v>#VALUE!</v>
      </c>
      <c r="AR18" s="51" t="e">
        <f>IF(AQ18="-","-",IF((AQ18/$C$19)&lt;=INDEX('DSCR (Port Legend)'!$F$3:$H$14,MATCH((AQ18/$C$19),'DSCR (Port Legend)'!$F$3:$F$14,1),2),INDEX('DSCR (Port Legend)'!$F$3:$H$14,MATCH((AQ18/$C$19),'DSCR (Port Legend)'!$F$3:$F$14,1),3),"-"))</f>
        <v>#VALUE!</v>
      </c>
      <c r="AS18" s="56" t="str">
        <f>IFERROR(IF($C$6="SFR",VLOOKUP(AS$3,'DSCR (Port LLPA)'!$M:$V,MATCH($AR18,'DSCR (Port LLPA)'!$M$1:$V$1,0),FALSE),IF($C$6="Multi",VLOOKUP(AS$3,'DSCR (Port LLPA)'!$X:$AG,MATCH($AR18,'DSCR (Port LLPA)'!$X$1:$AG$1,0),FALSE),"-")),"-")</f>
        <v>-</v>
      </c>
      <c r="AT18" s="56" t="str">
        <f>IFERROR(IF($C$6="SFR",VLOOKUP(AT$3,'DSCR (Port LLPA)'!$M:$V,MATCH($AR18,'DSCR (Port LLPA)'!$M$1:$V$1,0),FALSE),IF($C$6="Multi",VLOOKUP(AT$3,'DSCR (Port LLPA)'!$X:$AG,MATCH($AR18,'DSCR (Port LLPA)'!$X$1:$AG$1,0),FALSE),"-")),"-")</f>
        <v>-</v>
      </c>
      <c r="AU18" s="56" t="str">
        <f>IFERROR(IF($C$6="SFR",VLOOKUP(AU$3,'DSCR (Port LLPA)'!$M:$V,MATCH($AR18,'DSCR (Port LLPA)'!$M$1:$V$1,0),FALSE),IF($C$6="Multi",VLOOKUP(AU$3,'DSCR (Port LLPA)'!$X:$AG,MATCH($AR18,'DSCR (Port LLPA)'!$X$1:$AG$1,0),FALSE),"-")),"-")</f>
        <v>-</v>
      </c>
      <c r="AV18" s="56" t="str">
        <f>IFERROR(IF($C$6="SFR",VLOOKUP(AV$3,'DSCR (Port LLPA)'!$M:$V,MATCH($AR18,'DSCR (Port LLPA)'!$M$1:$V$1,0),FALSE),IF($C$6="Multi",VLOOKUP(AV$3,'DSCR (Port LLPA)'!$X:$AG,MATCH($AR18,'DSCR (Port LLPA)'!$X$1:$AG$1,0),FALSE),"-")),"-")</f>
        <v>-</v>
      </c>
      <c r="AW18" s="56" t="str">
        <f>IFERROR(IF($C$6="SFR",VLOOKUP(AW$3,'DSCR (Port LLPA)'!$M:$V,MATCH($AR18,'DSCR (Port LLPA)'!$M$1:$V$1,0),FALSE),IF($C$6="Multi",VLOOKUP(AW$3,'DSCR (Port LLPA)'!$X:$AG,MATCH($AR18,'DSCR (Port LLPA)'!$X$1:$AG$1,0),FALSE),"-")),"-")</f>
        <v>-</v>
      </c>
      <c r="AX18" s="56" t="str">
        <f>IFERROR(IF($C$6="SFR",VLOOKUP(AX$3,'DSCR (Port LLPA)'!$M:$V,MATCH($AR18,'DSCR (Port LLPA)'!$M$1:$V$1,0),FALSE),IF($C$6="Multi",VLOOKUP(AX$3,'DSCR (Port LLPA)'!$X:$AG,MATCH($AR18,'DSCR (Port LLPA)'!$X$1:$AG$1,0),FALSE),"-")),"-")</f>
        <v>-</v>
      </c>
      <c r="AY18" s="56" t="e">
        <f>IF($AQ18="-","-",IF($AQ18&lt;=INDEX('DSCR (Port Legend)'!$J$3:$L$17,MATCH($AQ18,'DSCR (Port Legend)'!$J$3:$J$17,1),2),INDEX('DSCR (Port Legend)'!$J$3:$L$17,MATCH($AQ18,'DSCR (Port Legend)'!$J$3:$J$17,1),3),"-"))</f>
        <v>#VALUE!</v>
      </c>
      <c r="AZ18" s="56" t="str">
        <f>IFERROR(IF($C$6="SFR",VLOOKUP($AY18,'DSCR (Port LLPA)'!$M:$V,MATCH($AR18,'DSCR (Port LLPA)'!$M$1:$V$1,0),FALSE),IF($C$6="Multi",VLOOKUP($AY18,'DSCR (Port LLPA)'!$X:$AG,MATCH($AR18,'DSCR (Port LLPA)'!$X$1:$AG$1,0),FALSE),"-")),"-")</f>
        <v>-</v>
      </c>
      <c r="BA18" s="56" t="str">
        <f>IFERROR(IF($C$6="SFR",VLOOKUP(BA$3,'DSCR (Port LLPA)'!$M:$V,MATCH($AR18,'DSCR (Port LLPA)'!$M$1:$V$1,0),FALSE),IF($C$6="Multi",VLOOKUP(BA$3,'DSCR (Port LLPA)'!$X:$AG,MATCH($AR18,'DSCR (Port LLPA)'!$X$1:$AG$1,0),FALSE),"-")),"-")</f>
        <v>-</v>
      </c>
      <c r="BB18" s="67" t="str">
        <f t="shared" si="16"/>
        <v>-</v>
      </c>
      <c r="BC18" s="56" t="str">
        <f>IF($BB18="-","-",IF($C$6="SFR",VLOOKUP($C$10,'DSCR (Port LLPA)'!$B$36:$K$50,MATCH($AR18,'DSCR (Port LLPA)'!$B$36:$K$36,0),FALSE),IF($C$6="Multi",VLOOKUP($C$10,'DSCR (Port LLPA)'!$B$53:$K$67,MATCH($AR18,'DSCR (Port LLPA)'!$B$53:$K$53,0),FALSE),"-")))</f>
        <v>-</v>
      </c>
      <c r="BD18" s="56" t="str">
        <f t="shared" si="17"/>
        <v>-</v>
      </c>
      <c r="BE18" s="52">
        <f t="shared" si="18"/>
        <v>0</v>
      </c>
      <c r="BF18" s="214">
        <f t="shared" si="19"/>
        <v>1.2</v>
      </c>
      <c r="BG18" s="52">
        <f t="shared" si="20"/>
        <v>0</v>
      </c>
      <c r="BH18" s="52">
        <f t="shared" si="21"/>
        <v>0</v>
      </c>
      <c r="BI18" s="52" t="e">
        <f t="shared" si="22"/>
        <v>#VALUE!</v>
      </c>
      <c r="BJ18" s="232" t="e">
        <f t="shared" si="23"/>
        <v>#VALUE!</v>
      </c>
      <c r="BK18" s="233">
        <f t="shared" si="24"/>
        <v>100.5</v>
      </c>
      <c r="BL18" s="232" t="e">
        <f>IF(BJ18="-","-",IF((BJ18/$C$19)&lt;=INDEX('DSCR (Port Legend)'!$F$3:$H$14,MATCH((BJ18/$C$19),'DSCR (Port Legend)'!$F$3:$F$14,1),2),INDEX('DSCR (Port Legend)'!$F$3:$H$14,MATCH((BJ18/$C$19),'DSCR (Port Legend)'!$F$3:$F$14,1),3),"-"))</f>
        <v>#VALUE!</v>
      </c>
      <c r="BM18" s="232" t="e">
        <f t="shared" si="25"/>
        <v>#VALUE!</v>
      </c>
      <c r="BN18" s="232" t="e">
        <f t="shared" si="26"/>
        <v>#VALUE!</v>
      </c>
      <c r="BO18" s="232" t="str">
        <f t="shared" si="27"/>
        <v>-</v>
      </c>
      <c r="BP18" s="231" t="str">
        <f t="shared" si="28"/>
        <v>-</v>
      </c>
      <c r="BR18" s="53">
        <v>3.4999999999999996E-2</v>
      </c>
      <c r="BS18" s="53">
        <f t="shared" si="29"/>
        <v>1.0050000000000001</v>
      </c>
      <c r="BT18" s="230" t="str">
        <f t="shared" si="30"/>
        <v>-</v>
      </c>
      <c r="BU18" s="229" t="str">
        <f t="shared" si="31"/>
        <v>-</v>
      </c>
      <c r="BV18" s="216" t="e">
        <f t="shared" si="32"/>
        <v>#VALUE!</v>
      </c>
      <c r="BW18" s="216" t="e">
        <f t="shared" si="33"/>
        <v>#VALUE!</v>
      </c>
      <c r="BX18" s="51" t="e">
        <f t="shared" si="34"/>
        <v>#VALUE!</v>
      </c>
      <c r="BY18" s="215" t="e">
        <f t="shared" si="35"/>
        <v>#VALUE!</v>
      </c>
      <c r="BZ18" s="51" t="e">
        <f t="shared" si="36"/>
        <v>#VALUE!</v>
      </c>
      <c r="CA18" s="52">
        <f t="shared" si="37"/>
        <v>0</v>
      </c>
      <c r="CB18" s="52">
        <f t="shared" si="38"/>
        <v>0</v>
      </c>
      <c r="CC18" s="52">
        <f t="shared" si="39"/>
        <v>0</v>
      </c>
      <c r="CD18" s="52">
        <f t="shared" si="40"/>
        <v>0</v>
      </c>
      <c r="CE18" s="215" t="e">
        <f t="shared" si="41"/>
        <v>#VALUE!</v>
      </c>
      <c r="CF18" s="51" t="e">
        <f t="shared" si="42"/>
        <v>#VALUE!</v>
      </c>
      <c r="CG18" s="52" t="e">
        <f t="shared" si="43"/>
        <v>#VALUE!</v>
      </c>
      <c r="CH18" s="51" t="e">
        <f t="shared" si="44"/>
        <v>#VALUE!</v>
      </c>
      <c r="CI18" s="52" t="e">
        <f t="shared" si="45"/>
        <v>#VALUE!</v>
      </c>
      <c r="CJ18" s="52" t="e">
        <f t="shared" si="46"/>
        <v>#VALUE!</v>
      </c>
      <c r="CK18" s="214" t="e">
        <f t="shared" si="47"/>
        <v>#VALUE!</v>
      </c>
      <c r="CL18" s="214" t="e">
        <f t="shared" si="48"/>
        <v>#VALUE!</v>
      </c>
      <c r="CM18" s="51" t="e">
        <f t="shared" si="49"/>
        <v>#VALUE!</v>
      </c>
      <c r="CN18" s="52" t="e">
        <f t="shared" si="50"/>
        <v>#VALUE!</v>
      </c>
      <c r="CO18" s="214" t="e">
        <f t="shared" si="51"/>
        <v>#VALUE!</v>
      </c>
      <c r="CS18" s="51" t="e">
        <f t="shared" si="55"/>
        <v>#VALUE!</v>
      </c>
      <c r="CT18" s="52" t="e">
        <f t="shared" si="52"/>
        <v>#VALUE!</v>
      </c>
      <c r="CU18" s="51" t="e">
        <f t="shared" si="53"/>
        <v>#VALUE!</v>
      </c>
      <c r="CV18" s="51" t="e">
        <f t="shared" si="54"/>
        <v>#VALUE!</v>
      </c>
    </row>
    <row r="19" spans="2:100" x14ac:dyDescent="0.25">
      <c r="B19" s="51" t="s">
        <v>1799</v>
      </c>
      <c r="C19" s="219">
        <f>'DSCR (Port Loan)'!$C$27</f>
        <v>0</v>
      </c>
      <c r="N19" s="53">
        <v>3.7499999999999999E-2</v>
      </c>
      <c r="O19" s="53">
        <f t="shared" si="1"/>
        <v>1.0024999999999999</v>
      </c>
      <c r="P19" s="56">
        <f t="shared" si="2"/>
        <v>-1.0000000000000024E-2</v>
      </c>
      <c r="Q19" s="57" t="str">
        <f t="shared" si="3"/>
        <v>-</v>
      </c>
      <c r="R19" s="57" t="str">
        <f t="shared" si="4"/>
        <v>-</v>
      </c>
      <c r="S19" s="57" t="str">
        <f>IF(OR($C$3="Purchase",$C$3="Delayed Purchase",$C$3="Refinance (Cash Out)"),"-",IF($C$3="Refinance (Rate/Term)",'DSCR (Port Loan)'!$C$22*102%,"-"))</f>
        <v>-</v>
      </c>
      <c r="T19" s="57" t="str">
        <f t="shared" si="5"/>
        <v>-</v>
      </c>
      <c r="U19" s="51" t="str">
        <f>IF(T19="-","-",IF(($T19/$C$19)&lt;=INDEX('DSCR (Port Legend)'!$F$3:$H$14,MATCH(($T19/$C$19),'DSCR (Port Legend)'!$F$3:$F$14,1),2),INDEX('DSCR (Port Legend)'!$F$3:$H$14,MATCH(($T19/$C$19),'DSCR (Port Legend)'!$F$3:$F$14,1),3),"-"))</f>
        <v>-</v>
      </c>
      <c r="V19" s="67" t="str">
        <f>IFERROR(IF($C$6="SFR",VLOOKUP(V$3,'DSCR (Port LLPA)'!$M:$V,MATCH($U19,'DSCR (Port LLPA)'!$M$1:$V$1,0),FALSE),IF($C$6="Multi",VLOOKUP(V$3,'DSCR (Port LLPA)'!$X:$AG,MATCH($U19,'DSCR (Port LLPA)'!$X$1:$AG$1,0),FALSE),"-")),"-")</f>
        <v>-</v>
      </c>
      <c r="W19" s="67" t="str">
        <f>IFERROR(IF($C$6="SFR",VLOOKUP(W$3,'DSCR (Port LLPA)'!$M:$V,MATCH($U19,'DSCR (Port LLPA)'!$M$1:$V$1,0),FALSE),IF($C$6="Multi",VLOOKUP(W$3,'DSCR (Port LLPA)'!$X:$AG,MATCH($U19,'DSCR (Port LLPA)'!$X$1:$AG$1,0),FALSE),"-")),"-")</f>
        <v>-</v>
      </c>
      <c r="X19" s="67" t="str">
        <f>IFERROR(IF($C$6="SFR",VLOOKUP(X$3,'DSCR (Port LLPA)'!$M:$V,MATCH($U19,'DSCR (Port LLPA)'!$M$1:$V$1,0),FALSE),IF($C$6="Multi",VLOOKUP(X$3,'DSCR (Port LLPA)'!$X:$AG,MATCH($U19,'DSCR (Port LLPA)'!$X$1:$AG$1,0),FALSE),"-")),"-")</f>
        <v>-</v>
      </c>
      <c r="Y19" s="67" t="str">
        <f>IFERROR(IF($C$6="SFR",VLOOKUP(Y$3,'DSCR (Port LLPA)'!$M:$V,MATCH($U19,'DSCR (Port LLPA)'!$M$1:$V$1,0),FALSE),IF($C$6="Multi",VLOOKUP(Y$3,'DSCR (Port LLPA)'!$X:$AG,MATCH($U19,'DSCR (Port LLPA)'!$X$1:$AG$1,0),FALSE),"-")),"-")</f>
        <v>-</v>
      </c>
      <c r="Z19" s="67" t="str">
        <f>IFERROR(IF($C$6="SFR",VLOOKUP(Z$3,'DSCR (Port LLPA)'!$M:$V,MATCH($U19,'DSCR (Port LLPA)'!$M$1:$V$1,0),FALSE),IF($C$6="Multi",VLOOKUP(Z$3,'DSCR (Port LLPA)'!$X:$AG,MATCH($U19,'DSCR (Port LLPA)'!$X$1:$AG$1,0),FALSE),"-")),"-")</f>
        <v>-</v>
      </c>
      <c r="AA19" s="67" t="str">
        <f>IFERROR(IF($C$6="SFR",VLOOKUP(AA$3,'DSCR (Port LLPA)'!$M:$V,MATCH($U19,'DSCR (Port LLPA)'!$M$1:$V$1,0),FALSE),IF($C$6="Multi",VLOOKUP(AA$3,'DSCR (Port LLPA)'!$X:$AG,MATCH($U19,'DSCR (Port LLPA)'!$X$1:$AG$1,0),FALSE),"-")),"-")</f>
        <v>-</v>
      </c>
      <c r="AB19" s="67" t="str">
        <f>IF($T19="-","-",IF($T19&lt;=INDEX('DSCR (Port Legend)'!$J$3:$L$17,MATCH($T19,'DSCR (Port Legend)'!$J$3:$J$17,1),2),INDEX('DSCR (Port Legend)'!$J$3:$L$17,MATCH($T19,'DSCR (Port Legend)'!$J$3:$J$17,1),3),"-"))</f>
        <v>-</v>
      </c>
      <c r="AC19" s="67" t="str">
        <f>IFERROR(IF($C$6="SFR",VLOOKUP($AB19,'DSCR (Port LLPA)'!$M:$V,MATCH($U19,'DSCR (Port LLPA)'!$M$1:$V$1,0),FALSE),IF($C$6="Multi",VLOOKUP($AB19,'DSCR (Port LLPA)'!$X:$AG,MATCH($U19,'DSCR (Port LLPA)'!$X$1:$AG$1,0),FALSE),"-")),"-")</f>
        <v>-</v>
      </c>
      <c r="AD19" s="67" t="str">
        <f>IFERROR(IF($C$6="SFR",VLOOKUP(AD$3,'DSCR (Port LLPA)'!$M:$V,MATCH($U19,'DSCR (Port LLPA)'!$M$1:$V$1,0),FALSE),IF($C$6="Multi",VLOOKUP(AD$3,'DSCR (Port LLPA)'!$X:$AG,MATCH($U19,'DSCR (Port LLPA)'!$X$1:$AG$1,0),FALSE),"-")),"-")</f>
        <v>-</v>
      </c>
      <c r="AE19" s="67" t="str">
        <f t="shared" si="6"/>
        <v>-</v>
      </c>
      <c r="AF19" s="56" t="str">
        <f>IF($AE19="-","-",IF($C$6="SFR",VLOOKUP($C$10,'DSCR (Port LLPA)'!$B$36:$K$50,MATCH($U19,'DSCR (Port LLPA)'!$B$36:$K$36,0),FALSE),IF($C$6="Multi",VLOOKUP($C$10,'DSCR (Port LLPA)'!$B$53:$K$67,MATCH($U19,'DSCR (Port LLPA)'!$B$53:$K$53,0),FALSE),"-")))</f>
        <v>-</v>
      </c>
      <c r="AG19" s="56" t="str">
        <f t="shared" si="7"/>
        <v>-</v>
      </c>
      <c r="AH19" s="52">
        <f t="shared" si="8"/>
        <v>0</v>
      </c>
      <c r="AI19" s="214">
        <f t="shared" si="9"/>
        <v>1.2</v>
      </c>
      <c r="AJ19" s="52">
        <f t="shared" si="10"/>
        <v>0</v>
      </c>
      <c r="AK19" s="52">
        <f t="shared" si="11"/>
        <v>0</v>
      </c>
      <c r="AL19" s="52" t="e">
        <f t="shared" si="12"/>
        <v>#VALUE!</v>
      </c>
      <c r="AN19" s="53">
        <v>3.7499999999999999E-2</v>
      </c>
      <c r="AO19" s="53">
        <f t="shared" si="13"/>
        <v>1.0024999999999999</v>
      </c>
      <c r="AP19" s="56">
        <f t="shared" si="14"/>
        <v>-1.0000000000000024E-2</v>
      </c>
      <c r="AQ19" s="57" t="e">
        <f t="shared" si="15"/>
        <v>#VALUE!</v>
      </c>
      <c r="AR19" s="51" t="e">
        <f>IF(AQ19="-","-",IF((AQ19/$C$19)&lt;=INDEX('DSCR (Port Legend)'!$F$3:$H$14,MATCH((AQ19/$C$19),'DSCR (Port Legend)'!$F$3:$F$14,1),2),INDEX('DSCR (Port Legend)'!$F$3:$H$14,MATCH((AQ19/$C$19),'DSCR (Port Legend)'!$F$3:$F$14,1),3),"-"))</f>
        <v>#VALUE!</v>
      </c>
      <c r="AS19" s="56" t="str">
        <f>IFERROR(IF($C$6="SFR",VLOOKUP(AS$3,'DSCR (Port LLPA)'!$M:$V,MATCH($AR19,'DSCR (Port LLPA)'!$M$1:$V$1,0),FALSE),IF($C$6="Multi",VLOOKUP(AS$3,'DSCR (Port LLPA)'!$X:$AG,MATCH($AR19,'DSCR (Port LLPA)'!$X$1:$AG$1,0),FALSE),"-")),"-")</f>
        <v>-</v>
      </c>
      <c r="AT19" s="56" t="str">
        <f>IFERROR(IF($C$6="SFR",VLOOKUP(AT$3,'DSCR (Port LLPA)'!$M:$V,MATCH($AR19,'DSCR (Port LLPA)'!$M$1:$V$1,0),FALSE),IF($C$6="Multi",VLOOKUP(AT$3,'DSCR (Port LLPA)'!$X:$AG,MATCH($AR19,'DSCR (Port LLPA)'!$X$1:$AG$1,0),FALSE),"-")),"-")</f>
        <v>-</v>
      </c>
      <c r="AU19" s="56" t="str">
        <f>IFERROR(IF($C$6="SFR",VLOOKUP(AU$3,'DSCR (Port LLPA)'!$M:$V,MATCH($AR19,'DSCR (Port LLPA)'!$M$1:$V$1,0),FALSE),IF($C$6="Multi",VLOOKUP(AU$3,'DSCR (Port LLPA)'!$X:$AG,MATCH($AR19,'DSCR (Port LLPA)'!$X$1:$AG$1,0),FALSE),"-")),"-")</f>
        <v>-</v>
      </c>
      <c r="AV19" s="56" t="str">
        <f>IFERROR(IF($C$6="SFR",VLOOKUP(AV$3,'DSCR (Port LLPA)'!$M:$V,MATCH($AR19,'DSCR (Port LLPA)'!$M$1:$V$1,0),FALSE),IF($C$6="Multi",VLOOKUP(AV$3,'DSCR (Port LLPA)'!$X:$AG,MATCH($AR19,'DSCR (Port LLPA)'!$X$1:$AG$1,0),FALSE),"-")),"-")</f>
        <v>-</v>
      </c>
      <c r="AW19" s="56" t="str">
        <f>IFERROR(IF($C$6="SFR",VLOOKUP(AW$3,'DSCR (Port LLPA)'!$M:$V,MATCH($AR19,'DSCR (Port LLPA)'!$M$1:$V$1,0),FALSE),IF($C$6="Multi",VLOOKUP(AW$3,'DSCR (Port LLPA)'!$X:$AG,MATCH($AR19,'DSCR (Port LLPA)'!$X$1:$AG$1,0),FALSE),"-")),"-")</f>
        <v>-</v>
      </c>
      <c r="AX19" s="56" t="str">
        <f>IFERROR(IF($C$6="SFR",VLOOKUP(AX$3,'DSCR (Port LLPA)'!$M:$V,MATCH($AR19,'DSCR (Port LLPA)'!$M$1:$V$1,0),FALSE),IF($C$6="Multi",VLOOKUP(AX$3,'DSCR (Port LLPA)'!$X:$AG,MATCH($AR19,'DSCR (Port LLPA)'!$X$1:$AG$1,0),FALSE),"-")),"-")</f>
        <v>-</v>
      </c>
      <c r="AY19" s="56" t="e">
        <f>IF($AQ19="-","-",IF($AQ19&lt;=INDEX('DSCR (Port Legend)'!$J$3:$L$17,MATCH($AQ19,'DSCR (Port Legend)'!$J$3:$J$17,1),2),INDEX('DSCR (Port Legend)'!$J$3:$L$17,MATCH($AQ19,'DSCR (Port Legend)'!$J$3:$J$17,1),3),"-"))</f>
        <v>#VALUE!</v>
      </c>
      <c r="AZ19" s="56" t="str">
        <f>IFERROR(IF($C$6="SFR",VLOOKUP($AY19,'DSCR (Port LLPA)'!$M:$V,MATCH($AR19,'DSCR (Port LLPA)'!$M$1:$V$1,0),FALSE),IF($C$6="Multi",VLOOKUP($AY19,'DSCR (Port LLPA)'!$X:$AG,MATCH($AR19,'DSCR (Port LLPA)'!$X$1:$AG$1,0),FALSE),"-")),"-")</f>
        <v>-</v>
      </c>
      <c r="BA19" s="56" t="str">
        <f>IFERROR(IF($C$6="SFR",VLOOKUP(BA$3,'DSCR (Port LLPA)'!$M:$V,MATCH($AR19,'DSCR (Port LLPA)'!$M$1:$V$1,0),FALSE),IF($C$6="Multi",VLOOKUP(BA$3,'DSCR (Port LLPA)'!$X:$AG,MATCH($AR19,'DSCR (Port LLPA)'!$X$1:$AG$1,0),FALSE),"-")),"-")</f>
        <v>-</v>
      </c>
      <c r="BB19" s="67" t="str">
        <f t="shared" si="16"/>
        <v>-</v>
      </c>
      <c r="BC19" s="56" t="str">
        <f>IF($BB19="-","-",IF($C$6="SFR",VLOOKUP($C$10,'DSCR (Port LLPA)'!$B$36:$K$50,MATCH($AR19,'DSCR (Port LLPA)'!$B$36:$K$36,0),FALSE),IF($C$6="Multi",VLOOKUP($C$10,'DSCR (Port LLPA)'!$B$53:$K$67,MATCH($AR19,'DSCR (Port LLPA)'!$B$53:$K$53,0),FALSE),"-")))</f>
        <v>-</v>
      </c>
      <c r="BD19" s="56" t="str">
        <f t="shared" si="17"/>
        <v>-</v>
      </c>
      <c r="BE19" s="52">
        <f t="shared" si="18"/>
        <v>0</v>
      </c>
      <c r="BF19" s="214">
        <f t="shared" si="19"/>
        <v>1.2</v>
      </c>
      <c r="BG19" s="52">
        <f t="shared" si="20"/>
        <v>0</v>
      </c>
      <c r="BH19" s="52">
        <f t="shared" si="21"/>
        <v>0</v>
      </c>
      <c r="BI19" s="52" t="e">
        <f t="shared" si="22"/>
        <v>#VALUE!</v>
      </c>
      <c r="BJ19" s="232" t="e">
        <f t="shared" si="23"/>
        <v>#VALUE!</v>
      </c>
      <c r="BK19" s="233">
        <f t="shared" si="24"/>
        <v>100.25</v>
      </c>
      <c r="BL19" s="232" t="e">
        <f>IF(BJ19="-","-",IF((BJ19/$C$19)&lt;=INDEX('DSCR (Port Legend)'!$F$3:$H$14,MATCH((BJ19/$C$19),'DSCR (Port Legend)'!$F$3:$F$14,1),2),INDEX('DSCR (Port Legend)'!$F$3:$H$14,MATCH((BJ19/$C$19),'DSCR (Port Legend)'!$F$3:$F$14,1),3),"-"))</f>
        <v>#VALUE!</v>
      </c>
      <c r="BM19" s="232" t="e">
        <f t="shared" si="25"/>
        <v>#VALUE!</v>
      </c>
      <c r="BN19" s="232" t="e">
        <f t="shared" si="26"/>
        <v>#VALUE!</v>
      </c>
      <c r="BO19" s="232" t="str">
        <f t="shared" si="27"/>
        <v>-</v>
      </c>
      <c r="BP19" s="231" t="str">
        <f t="shared" si="28"/>
        <v>-</v>
      </c>
      <c r="BR19" s="53">
        <v>3.7499999999999999E-2</v>
      </c>
      <c r="BS19" s="53">
        <f t="shared" si="29"/>
        <v>1.0024999999999999</v>
      </c>
      <c r="BT19" s="230" t="str">
        <f t="shared" si="30"/>
        <v>-</v>
      </c>
      <c r="BU19" s="229" t="str">
        <f t="shared" si="31"/>
        <v>-</v>
      </c>
      <c r="BV19" s="216" t="e">
        <f t="shared" si="32"/>
        <v>#VALUE!</v>
      </c>
      <c r="BW19" s="216" t="e">
        <f t="shared" si="33"/>
        <v>#VALUE!</v>
      </c>
      <c r="BX19" s="51" t="e">
        <f t="shared" si="34"/>
        <v>#VALUE!</v>
      </c>
      <c r="BY19" s="215" t="e">
        <f t="shared" si="35"/>
        <v>#VALUE!</v>
      </c>
      <c r="BZ19" s="51" t="e">
        <f t="shared" si="36"/>
        <v>#VALUE!</v>
      </c>
      <c r="CA19" s="52">
        <f t="shared" si="37"/>
        <v>0</v>
      </c>
      <c r="CB19" s="52">
        <f t="shared" si="38"/>
        <v>0</v>
      </c>
      <c r="CC19" s="52">
        <f t="shared" si="39"/>
        <v>0</v>
      </c>
      <c r="CD19" s="52">
        <f t="shared" si="40"/>
        <v>0</v>
      </c>
      <c r="CE19" s="215" t="e">
        <f t="shared" si="41"/>
        <v>#VALUE!</v>
      </c>
      <c r="CF19" s="51" t="e">
        <f t="shared" si="42"/>
        <v>#VALUE!</v>
      </c>
      <c r="CG19" s="52" t="e">
        <f t="shared" si="43"/>
        <v>#VALUE!</v>
      </c>
      <c r="CH19" s="51" t="e">
        <f t="shared" si="44"/>
        <v>#VALUE!</v>
      </c>
      <c r="CI19" s="52" t="e">
        <f t="shared" si="45"/>
        <v>#VALUE!</v>
      </c>
      <c r="CJ19" s="52" t="e">
        <f t="shared" si="46"/>
        <v>#VALUE!</v>
      </c>
      <c r="CK19" s="214" t="e">
        <f t="shared" si="47"/>
        <v>#VALUE!</v>
      </c>
      <c r="CL19" s="214" t="e">
        <f t="shared" si="48"/>
        <v>#VALUE!</v>
      </c>
      <c r="CM19" s="51" t="e">
        <f t="shared" si="49"/>
        <v>#VALUE!</v>
      </c>
      <c r="CN19" s="52" t="e">
        <f t="shared" si="50"/>
        <v>#VALUE!</v>
      </c>
      <c r="CO19" s="214" t="e">
        <f t="shared" si="51"/>
        <v>#VALUE!</v>
      </c>
      <c r="CS19" s="51" t="e">
        <f t="shared" si="55"/>
        <v>#VALUE!</v>
      </c>
      <c r="CT19" s="52" t="e">
        <f t="shared" si="52"/>
        <v>#VALUE!</v>
      </c>
      <c r="CU19" s="51" t="e">
        <f t="shared" si="53"/>
        <v>#VALUE!</v>
      </c>
      <c r="CV19" s="51" t="e">
        <f t="shared" si="54"/>
        <v>#VALUE!</v>
      </c>
    </row>
    <row r="20" spans="2:100" x14ac:dyDescent="0.25">
      <c r="B20" s="51" t="s">
        <v>1646</v>
      </c>
      <c r="C20" s="219">
        <f>'DSCR (Port Loan)'!$C$25</f>
        <v>0</v>
      </c>
      <c r="N20" s="53">
        <v>0.04</v>
      </c>
      <c r="O20" s="53">
        <f t="shared" si="1"/>
        <v>1</v>
      </c>
      <c r="P20" s="56">
        <f t="shared" si="2"/>
        <v>-1.0666666666666677E-2</v>
      </c>
      <c r="Q20" s="57" t="str">
        <f t="shared" si="3"/>
        <v>-</v>
      </c>
      <c r="R20" s="57" t="str">
        <f t="shared" si="4"/>
        <v>-</v>
      </c>
      <c r="S20" s="57" t="str">
        <f>IF(OR($C$3="Purchase",$C$3="Delayed Purchase",$C$3="Refinance (Cash Out)"),"-",IF($C$3="Refinance (Rate/Term)",'DSCR (Port Loan)'!$C$22*102%,"-"))</f>
        <v>-</v>
      </c>
      <c r="T20" s="57" t="str">
        <f t="shared" si="5"/>
        <v>-</v>
      </c>
      <c r="U20" s="51" t="str">
        <f>IF(T20="-","-",IF(($T20/$C$19)&lt;=INDEX('DSCR (Port Legend)'!$F$3:$H$14,MATCH(($T20/$C$19),'DSCR (Port Legend)'!$F$3:$F$14,1),2),INDEX('DSCR (Port Legend)'!$F$3:$H$14,MATCH(($T20/$C$19),'DSCR (Port Legend)'!$F$3:$F$14,1),3),"-"))</f>
        <v>-</v>
      </c>
      <c r="V20" s="67" t="str">
        <f>IFERROR(IF($C$6="SFR",VLOOKUP(V$3,'DSCR (Port LLPA)'!$M:$V,MATCH($U20,'DSCR (Port LLPA)'!$M$1:$V$1,0),FALSE),IF($C$6="Multi",VLOOKUP(V$3,'DSCR (Port LLPA)'!$X:$AG,MATCH($U20,'DSCR (Port LLPA)'!$X$1:$AG$1,0),FALSE),"-")),"-")</f>
        <v>-</v>
      </c>
      <c r="W20" s="67" t="str">
        <f>IFERROR(IF($C$6="SFR",VLOOKUP(W$3,'DSCR (Port LLPA)'!$M:$V,MATCH($U20,'DSCR (Port LLPA)'!$M$1:$V$1,0),FALSE),IF($C$6="Multi",VLOOKUP(W$3,'DSCR (Port LLPA)'!$X:$AG,MATCH($U20,'DSCR (Port LLPA)'!$X$1:$AG$1,0),FALSE),"-")),"-")</f>
        <v>-</v>
      </c>
      <c r="X20" s="67" t="str">
        <f>IFERROR(IF($C$6="SFR",VLOOKUP(X$3,'DSCR (Port LLPA)'!$M:$V,MATCH($U20,'DSCR (Port LLPA)'!$M$1:$V$1,0),FALSE),IF($C$6="Multi",VLOOKUP(X$3,'DSCR (Port LLPA)'!$X:$AG,MATCH($U20,'DSCR (Port LLPA)'!$X$1:$AG$1,0),FALSE),"-")),"-")</f>
        <v>-</v>
      </c>
      <c r="Y20" s="67" t="str">
        <f>IFERROR(IF($C$6="SFR",VLOOKUP(Y$3,'DSCR (Port LLPA)'!$M:$V,MATCH($U20,'DSCR (Port LLPA)'!$M$1:$V$1,0),FALSE),IF($C$6="Multi",VLOOKUP(Y$3,'DSCR (Port LLPA)'!$X:$AG,MATCH($U20,'DSCR (Port LLPA)'!$X$1:$AG$1,0),FALSE),"-")),"-")</f>
        <v>-</v>
      </c>
      <c r="Z20" s="67" t="str">
        <f>IFERROR(IF($C$6="SFR",VLOOKUP(Z$3,'DSCR (Port LLPA)'!$M:$V,MATCH($U20,'DSCR (Port LLPA)'!$M$1:$V$1,0),FALSE),IF($C$6="Multi",VLOOKUP(Z$3,'DSCR (Port LLPA)'!$X:$AG,MATCH($U20,'DSCR (Port LLPA)'!$X$1:$AG$1,0),FALSE),"-")),"-")</f>
        <v>-</v>
      </c>
      <c r="AA20" s="67" t="str">
        <f>IFERROR(IF($C$6="SFR",VLOOKUP(AA$3,'DSCR (Port LLPA)'!$M:$V,MATCH($U20,'DSCR (Port LLPA)'!$M$1:$V$1,0),FALSE),IF($C$6="Multi",VLOOKUP(AA$3,'DSCR (Port LLPA)'!$X:$AG,MATCH($U20,'DSCR (Port LLPA)'!$X$1:$AG$1,0),FALSE),"-")),"-")</f>
        <v>-</v>
      </c>
      <c r="AB20" s="67" t="str">
        <f>IF($T20="-","-",IF($T20&lt;=INDEX('DSCR (Port Legend)'!$J$3:$L$17,MATCH($T20,'DSCR (Port Legend)'!$J$3:$J$17,1),2),INDEX('DSCR (Port Legend)'!$J$3:$L$17,MATCH($T20,'DSCR (Port Legend)'!$J$3:$J$17,1),3),"-"))</f>
        <v>-</v>
      </c>
      <c r="AC20" s="67" t="str">
        <f>IFERROR(IF($C$6="SFR",VLOOKUP($AB20,'DSCR (Port LLPA)'!$M:$V,MATCH($U20,'DSCR (Port LLPA)'!$M$1:$V$1,0),FALSE),IF($C$6="Multi",VLOOKUP($AB20,'DSCR (Port LLPA)'!$X:$AG,MATCH($U20,'DSCR (Port LLPA)'!$X$1:$AG$1,0),FALSE),"-")),"-")</f>
        <v>-</v>
      </c>
      <c r="AD20" s="67" t="str">
        <f>IFERROR(IF($C$6="SFR",VLOOKUP(AD$3,'DSCR (Port LLPA)'!$M:$V,MATCH($U20,'DSCR (Port LLPA)'!$M$1:$V$1,0),FALSE),IF($C$6="Multi",VLOOKUP(AD$3,'DSCR (Port LLPA)'!$X:$AG,MATCH($U20,'DSCR (Port LLPA)'!$X$1:$AG$1,0),FALSE),"-")),"-")</f>
        <v>-</v>
      </c>
      <c r="AE20" s="67" t="str">
        <f t="shared" si="6"/>
        <v>-</v>
      </c>
      <c r="AF20" s="56" t="str">
        <f>IF($AE20="-","-",IF($C$6="SFR",VLOOKUP($C$10,'DSCR (Port LLPA)'!$B$36:$K$50,MATCH($U20,'DSCR (Port LLPA)'!$B$36:$K$36,0),FALSE),IF($C$6="Multi",VLOOKUP($C$10,'DSCR (Port LLPA)'!$B$53:$K$67,MATCH($U20,'DSCR (Port LLPA)'!$B$53:$K$53,0),FALSE),"-")))</f>
        <v>-</v>
      </c>
      <c r="AG20" s="56" t="str">
        <f t="shared" si="7"/>
        <v>-</v>
      </c>
      <c r="AH20" s="52">
        <f t="shared" si="8"/>
        <v>0</v>
      </c>
      <c r="AI20" s="214">
        <f t="shared" si="9"/>
        <v>1.2</v>
      </c>
      <c r="AJ20" s="52">
        <f t="shared" si="10"/>
        <v>0</v>
      </c>
      <c r="AK20" s="52">
        <f t="shared" si="11"/>
        <v>0</v>
      </c>
      <c r="AL20" s="52" t="e">
        <f t="shared" si="12"/>
        <v>#VALUE!</v>
      </c>
      <c r="AN20" s="53">
        <v>0.04</v>
      </c>
      <c r="AO20" s="53">
        <f t="shared" si="13"/>
        <v>1</v>
      </c>
      <c r="AP20" s="56">
        <f t="shared" si="14"/>
        <v>-1.0666666666666677E-2</v>
      </c>
      <c r="AQ20" s="57" t="e">
        <f t="shared" si="15"/>
        <v>#VALUE!</v>
      </c>
      <c r="AR20" s="51" t="e">
        <f>IF(AQ20="-","-",IF((AQ20/$C$19)&lt;=INDEX('DSCR (Port Legend)'!$F$3:$H$14,MATCH((AQ20/$C$19),'DSCR (Port Legend)'!$F$3:$F$14,1),2),INDEX('DSCR (Port Legend)'!$F$3:$H$14,MATCH((AQ20/$C$19),'DSCR (Port Legend)'!$F$3:$F$14,1),3),"-"))</f>
        <v>#VALUE!</v>
      </c>
      <c r="AS20" s="56" t="str">
        <f>IFERROR(IF($C$6="SFR",VLOOKUP(AS$3,'DSCR (Port LLPA)'!$M:$V,MATCH($AR20,'DSCR (Port LLPA)'!$M$1:$V$1,0),FALSE),IF($C$6="Multi",VLOOKUP(AS$3,'DSCR (Port LLPA)'!$X:$AG,MATCH($AR20,'DSCR (Port LLPA)'!$X$1:$AG$1,0),FALSE),"-")),"-")</f>
        <v>-</v>
      </c>
      <c r="AT20" s="56" t="str">
        <f>IFERROR(IF($C$6="SFR",VLOOKUP(AT$3,'DSCR (Port LLPA)'!$M:$V,MATCH($AR20,'DSCR (Port LLPA)'!$M$1:$V$1,0),FALSE),IF($C$6="Multi",VLOOKUP(AT$3,'DSCR (Port LLPA)'!$X:$AG,MATCH($AR20,'DSCR (Port LLPA)'!$X$1:$AG$1,0),FALSE),"-")),"-")</f>
        <v>-</v>
      </c>
      <c r="AU20" s="56" t="str">
        <f>IFERROR(IF($C$6="SFR",VLOOKUP(AU$3,'DSCR (Port LLPA)'!$M:$V,MATCH($AR20,'DSCR (Port LLPA)'!$M$1:$V$1,0),FALSE),IF($C$6="Multi",VLOOKUP(AU$3,'DSCR (Port LLPA)'!$X:$AG,MATCH($AR20,'DSCR (Port LLPA)'!$X$1:$AG$1,0),FALSE),"-")),"-")</f>
        <v>-</v>
      </c>
      <c r="AV20" s="56" t="str">
        <f>IFERROR(IF($C$6="SFR",VLOOKUP(AV$3,'DSCR (Port LLPA)'!$M:$V,MATCH($AR20,'DSCR (Port LLPA)'!$M$1:$V$1,0),FALSE),IF($C$6="Multi",VLOOKUP(AV$3,'DSCR (Port LLPA)'!$X:$AG,MATCH($AR20,'DSCR (Port LLPA)'!$X$1:$AG$1,0),FALSE),"-")),"-")</f>
        <v>-</v>
      </c>
      <c r="AW20" s="56" t="str">
        <f>IFERROR(IF($C$6="SFR",VLOOKUP(AW$3,'DSCR (Port LLPA)'!$M:$V,MATCH($AR20,'DSCR (Port LLPA)'!$M$1:$V$1,0),FALSE),IF($C$6="Multi",VLOOKUP(AW$3,'DSCR (Port LLPA)'!$X:$AG,MATCH($AR20,'DSCR (Port LLPA)'!$X$1:$AG$1,0),FALSE),"-")),"-")</f>
        <v>-</v>
      </c>
      <c r="AX20" s="56" t="str">
        <f>IFERROR(IF($C$6="SFR",VLOOKUP(AX$3,'DSCR (Port LLPA)'!$M:$V,MATCH($AR20,'DSCR (Port LLPA)'!$M$1:$V$1,0),FALSE),IF($C$6="Multi",VLOOKUP(AX$3,'DSCR (Port LLPA)'!$X:$AG,MATCH($AR20,'DSCR (Port LLPA)'!$X$1:$AG$1,0),FALSE),"-")),"-")</f>
        <v>-</v>
      </c>
      <c r="AY20" s="56" t="e">
        <f>IF($AQ20="-","-",IF($AQ20&lt;=INDEX('DSCR (Port Legend)'!$J$3:$L$17,MATCH($AQ20,'DSCR (Port Legend)'!$J$3:$J$17,1),2),INDEX('DSCR (Port Legend)'!$J$3:$L$17,MATCH($AQ20,'DSCR (Port Legend)'!$J$3:$J$17,1),3),"-"))</f>
        <v>#VALUE!</v>
      </c>
      <c r="AZ20" s="56" t="str">
        <f>IFERROR(IF($C$6="SFR",VLOOKUP($AY20,'DSCR (Port LLPA)'!$M:$V,MATCH($AR20,'DSCR (Port LLPA)'!$M$1:$V$1,0),FALSE),IF($C$6="Multi",VLOOKUP($AY20,'DSCR (Port LLPA)'!$X:$AG,MATCH($AR20,'DSCR (Port LLPA)'!$X$1:$AG$1,0),FALSE),"-")),"-")</f>
        <v>-</v>
      </c>
      <c r="BA20" s="56" t="str">
        <f>IFERROR(IF($C$6="SFR",VLOOKUP(BA$3,'DSCR (Port LLPA)'!$M:$V,MATCH($AR20,'DSCR (Port LLPA)'!$M$1:$V$1,0),FALSE),IF($C$6="Multi",VLOOKUP(BA$3,'DSCR (Port LLPA)'!$X:$AG,MATCH($AR20,'DSCR (Port LLPA)'!$X$1:$AG$1,0),FALSE),"-")),"-")</f>
        <v>-</v>
      </c>
      <c r="BB20" s="67" t="str">
        <f t="shared" si="16"/>
        <v>-</v>
      </c>
      <c r="BC20" s="56" t="str">
        <f>IF($BB20="-","-",IF($C$6="SFR",VLOOKUP($C$10,'DSCR (Port LLPA)'!$B$36:$K$50,MATCH($AR20,'DSCR (Port LLPA)'!$B$36:$K$36,0),FALSE),IF($C$6="Multi",VLOOKUP($C$10,'DSCR (Port LLPA)'!$B$53:$K$67,MATCH($AR20,'DSCR (Port LLPA)'!$B$53:$K$53,0),FALSE),"-")))</f>
        <v>-</v>
      </c>
      <c r="BD20" s="56" t="str">
        <f t="shared" si="17"/>
        <v>-</v>
      </c>
      <c r="BE20" s="52">
        <f t="shared" si="18"/>
        <v>0</v>
      </c>
      <c r="BF20" s="214">
        <f t="shared" si="19"/>
        <v>1.2</v>
      </c>
      <c r="BG20" s="52">
        <f t="shared" si="20"/>
        <v>0</v>
      </c>
      <c r="BH20" s="52">
        <f t="shared" si="21"/>
        <v>0</v>
      </c>
      <c r="BI20" s="52" t="e">
        <f t="shared" si="22"/>
        <v>#VALUE!</v>
      </c>
      <c r="BJ20" s="232" t="e">
        <f t="shared" si="23"/>
        <v>#VALUE!</v>
      </c>
      <c r="BK20" s="233">
        <f t="shared" si="24"/>
        <v>100</v>
      </c>
      <c r="BL20" s="232" t="e">
        <f>IF(BJ20="-","-",IF((BJ20/$C$19)&lt;=INDEX('DSCR (Port Legend)'!$F$3:$H$14,MATCH((BJ20/$C$19),'DSCR (Port Legend)'!$F$3:$F$14,1),2),INDEX('DSCR (Port Legend)'!$F$3:$H$14,MATCH((BJ20/$C$19),'DSCR (Port Legend)'!$F$3:$F$14,1),3),"-"))</f>
        <v>#VALUE!</v>
      </c>
      <c r="BM20" s="232" t="e">
        <f t="shared" si="25"/>
        <v>#VALUE!</v>
      </c>
      <c r="BN20" s="232" t="e">
        <f t="shared" si="26"/>
        <v>#VALUE!</v>
      </c>
      <c r="BO20" s="232" t="str">
        <f t="shared" si="27"/>
        <v>-</v>
      </c>
      <c r="BP20" s="231" t="str">
        <f t="shared" si="28"/>
        <v>-</v>
      </c>
      <c r="BR20" s="53">
        <v>0.04</v>
      </c>
      <c r="BS20" s="53">
        <f t="shared" si="29"/>
        <v>1</v>
      </c>
      <c r="BT20" s="230" t="str">
        <f t="shared" si="30"/>
        <v>-</v>
      </c>
      <c r="BU20" s="229" t="str">
        <f t="shared" si="31"/>
        <v>-</v>
      </c>
      <c r="BV20" s="216" t="e">
        <f t="shared" si="32"/>
        <v>#VALUE!</v>
      </c>
      <c r="BW20" s="216" t="e">
        <f t="shared" si="33"/>
        <v>#VALUE!</v>
      </c>
      <c r="BX20" s="51" t="e">
        <f t="shared" si="34"/>
        <v>#VALUE!</v>
      </c>
      <c r="BY20" s="215" t="e">
        <f t="shared" si="35"/>
        <v>#VALUE!</v>
      </c>
      <c r="BZ20" s="51" t="e">
        <f t="shared" si="36"/>
        <v>#VALUE!</v>
      </c>
      <c r="CA20" s="52">
        <f t="shared" si="37"/>
        <v>0</v>
      </c>
      <c r="CB20" s="52">
        <f t="shared" si="38"/>
        <v>0</v>
      </c>
      <c r="CC20" s="52">
        <f t="shared" si="39"/>
        <v>0</v>
      </c>
      <c r="CD20" s="52">
        <f t="shared" si="40"/>
        <v>0</v>
      </c>
      <c r="CE20" s="215" t="e">
        <f t="shared" si="41"/>
        <v>#VALUE!</v>
      </c>
      <c r="CF20" s="51" t="e">
        <f t="shared" si="42"/>
        <v>#VALUE!</v>
      </c>
      <c r="CG20" s="52" t="e">
        <f t="shared" si="43"/>
        <v>#VALUE!</v>
      </c>
      <c r="CH20" s="51" t="e">
        <f t="shared" si="44"/>
        <v>#VALUE!</v>
      </c>
      <c r="CI20" s="52" t="e">
        <f t="shared" si="45"/>
        <v>#VALUE!</v>
      </c>
      <c r="CJ20" s="52" t="e">
        <f t="shared" si="46"/>
        <v>#VALUE!</v>
      </c>
      <c r="CK20" s="214" t="e">
        <f t="shared" si="47"/>
        <v>#VALUE!</v>
      </c>
      <c r="CL20" s="214" t="e">
        <f t="shared" si="48"/>
        <v>#VALUE!</v>
      </c>
      <c r="CM20" s="51" t="e">
        <f t="shared" si="49"/>
        <v>#VALUE!</v>
      </c>
      <c r="CN20" s="52" t="e">
        <f t="shared" si="50"/>
        <v>#VALUE!</v>
      </c>
      <c r="CO20" s="214" t="e">
        <f t="shared" si="51"/>
        <v>#VALUE!</v>
      </c>
      <c r="CS20" s="51" t="e">
        <f t="shared" si="55"/>
        <v>#VALUE!</v>
      </c>
      <c r="CT20" s="52" t="e">
        <f t="shared" si="52"/>
        <v>#VALUE!</v>
      </c>
      <c r="CU20" s="51" t="e">
        <f t="shared" si="53"/>
        <v>#VALUE!</v>
      </c>
      <c r="CV20" s="51" t="e">
        <f t="shared" si="54"/>
        <v>#VALUE!</v>
      </c>
    </row>
    <row r="21" spans="2:100" x14ac:dyDescent="0.25">
      <c r="B21" s="51" t="s">
        <v>1578</v>
      </c>
      <c r="C21" s="219">
        <f>'DSCR (Port Loan)'!$C$26</f>
        <v>0</v>
      </c>
      <c r="D21" s="794" t="s">
        <v>1798</v>
      </c>
      <c r="E21" s="794"/>
      <c r="F21" s="794"/>
      <c r="G21" s="794"/>
      <c r="H21" s="794"/>
      <c r="I21" s="794"/>
      <c r="J21" s="794"/>
      <c r="K21" s="794" t="s">
        <v>1797</v>
      </c>
      <c r="L21" s="794"/>
      <c r="N21" s="53"/>
      <c r="S21" s="57"/>
    </row>
    <row r="22" spans="2:100" x14ac:dyDescent="0.25">
      <c r="B22" s="51" t="s">
        <v>1573</v>
      </c>
      <c r="C22" s="219">
        <f>$C$20+$C$21</f>
        <v>0</v>
      </c>
      <c r="D22" s="195" t="s">
        <v>1698</v>
      </c>
      <c r="E22" s="195" t="s">
        <v>1697</v>
      </c>
      <c r="F22" s="195" t="s">
        <v>1696</v>
      </c>
      <c r="G22" s="195" t="s">
        <v>1695</v>
      </c>
      <c r="H22" s="195" t="s">
        <v>1694</v>
      </c>
      <c r="I22" s="195" t="s">
        <v>1693</v>
      </c>
      <c r="J22" s="195" t="s">
        <v>1692</v>
      </c>
      <c r="N22" s="214">
        <f>$A$66</f>
        <v>3.75</v>
      </c>
      <c r="O22" s="206">
        <f>$B$66</f>
        <v>104</v>
      </c>
      <c r="P22" s="228">
        <f>$C$66/100</f>
        <v>1.04</v>
      </c>
      <c r="AN22" s="214"/>
      <c r="AO22" s="206"/>
      <c r="AP22" s="58"/>
    </row>
    <row r="23" spans="2:100" x14ac:dyDescent="0.25">
      <c r="D23" s="193" t="str">
        <f>'DSCR (Port Legend)'!D4</f>
        <v>&lt; 575</v>
      </c>
      <c r="E23" s="193" t="s">
        <v>2</v>
      </c>
      <c r="F23" s="193" t="s">
        <v>2</v>
      </c>
      <c r="G23" s="193" t="s">
        <v>2</v>
      </c>
      <c r="H23" s="193" t="s">
        <v>2</v>
      </c>
      <c r="I23" s="193" t="s">
        <v>2</v>
      </c>
      <c r="J23" s="193" t="s">
        <v>2</v>
      </c>
      <c r="K23" s="51" t="s">
        <v>1796</v>
      </c>
      <c r="L23" s="226" t="str">
        <f>IF('DSCR (Port Loan)'!$E$24="Quote",'DSCR (Port Loan)'!$F$25/12,IF('DSCR (Port Loan)'!$E$24="Appraisal/Lock",'DSCR (Port Loan)'!$H$25/12,"-"))</f>
        <v>-</v>
      </c>
      <c r="N23" s="51" t="s">
        <v>161</v>
      </c>
      <c r="O23" s="51" t="s">
        <v>1778</v>
      </c>
      <c r="P23" s="51" t="s">
        <v>1795</v>
      </c>
      <c r="Q23" s="51" t="s">
        <v>1794</v>
      </c>
      <c r="R23" s="51" t="s">
        <v>1793</v>
      </c>
      <c r="S23" s="51" t="str">
        <f>$C$5</f>
        <v>Detached SFR</v>
      </c>
      <c r="T23" s="51">
        <f>$C$3</f>
        <v>0</v>
      </c>
      <c r="U23" s="51">
        <f>$C$12</f>
        <v>0</v>
      </c>
      <c r="V23" s="51">
        <f>$C$13</f>
        <v>0</v>
      </c>
      <c r="W23" s="51">
        <f>$C$14</f>
        <v>0</v>
      </c>
      <c r="X23" s="51">
        <f>'DSCR (Port Loan)'!$C$30</f>
        <v>0</v>
      </c>
      <c r="Y23" s="51" t="s">
        <v>1735</v>
      </c>
      <c r="Z23" s="51" t="s">
        <v>1733</v>
      </c>
      <c r="AA23" s="51" t="str">
        <f>'DSCR (Port Loan)'!$C$18</f>
        <v>NC</v>
      </c>
      <c r="AB23" s="51" t="s">
        <v>1792</v>
      </c>
      <c r="AC23" s="51" t="s">
        <v>1731</v>
      </c>
      <c r="AD23" s="51" t="s">
        <v>1791</v>
      </c>
      <c r="AE23" s="51" t="s">
        <v>1760</v>
      </c>
      <c r="AF23" s="51" t="s">
        <v>1700</v>
      </c>
      <c r="AG23" s="51" t="s">
        <v>1790</v>
      </c>
      <c r="AH23" s="51" t="s">
        <v>1789</v>
      </c>
      <c r="AI23" s="51" t="s">
        <v>1788</v>
      </c>
    </row>
    <row r="24" spans="2:100" x14ac:dyDescent="0.25">
      <c r="B24" s="51" t="s">
        <v>80</v>
      </c>
      <c r="C24" s="222">
        <f>'DSCR (Port Loan)'!$C$19</f>
        <v>28209</v>
      </c>
      <c r="D24" s="193" t="str">
        <f>'DSCR (Port Legend)'!D5</f>
        <v>575+</v>
      </c>
      <c r="E24" s="193" t="s">
        <v>2</v>
      </c>
      <c r="F24" s="193" t="s">
        <v>2</v>
      </c>
      <c r="G24" s="193" t="s">
        <v>2</v>
      </c>
      <c r="H24" s="193" t="s">
        <v>2</v>
      </c>
      <c r="I24" s="193" t="s">
        <v>2</v>
      </c>
      <c r="J24" s="193" t="s">
        <v>2</v>
      </c>
      <c r="K24" s="51" t="s">
        <v>1787</v>
      </c>
      <c r="L24" s="226" t="str">
        <f>IF('DSCR (Port Loan)'!$E$24="Quote",'DSCR (Port Loan)'!$F$27/12,IF('DSCR (Port Loan)'!$E$24="Appraisal/Lock",'DSCR (Port Loan)'!$H$27/12,"-"))</f>
        <v>-</v>
      </c>
      <c r="N24" s="53">
        <v>0</v>
      </c>
      <c r="O24" s="53">
        <f t="shared" ref="O24:O40" si="56">($O$22/100)-N24</f>
        <v>1.04</v>
      </c>
      <c r="P24" s="56">
        <f t="shared" ref="P24:P40" si="57">((O24-$P$2)/$N$2)</f>
        <v>0</v>
      </c>
      <c r="Q24" s="57" t="e">
        <f t="shared" ref="Q24:Q40" si="58">IF(OR($T4="-",$AL4="-"),"-",MIN($T4,$AL4))</f>
        <v>#VALUE!</v>
      </c>
      <c r="R24" s="51" t="e">
        <f>IF($Q24="-","-",IF(($Q24/$C$19)&lt;=INDEX('DSCR (Port Legend)'!$F$3:$H$14,MATCH(($Q24/$C$19),'DSCR (Port Legend)'!$F$3:$F$14,1),2),INDEX('DSCR (Port Legend)'!$F$3:$H$14,MATCH(($Q24/$C$19),'DSCR (Port Legend)'!$F$3:$F$14,1),3),"-"))</f>
        <v>#VALUE!</v>
      </c>
      <c r="S24" s="56" t="str">
        <f>IFERROR(IF($C$6="SFR",VLOOKUP(S$23,'DSCR (Port LLPA)'!$M:$V,MATCH($R24,'DSCR (Port LLPA)'!$M$1:$V$1,0),FALSE),IF($C$6="Multi",VLOOKUP(S$23,'DSCR (Port LLPA)'!$X:$AG,MATCH($R24,'DSCR (Port LLPA)'!$X$1:$AG$1,0),FALSE),"-")),"-")</f>
        <v>-</v>
      </c>
      <c r="T24" s="56" t="str">
        <f>IFERROR(IF($C$6="SFR",VLOOKUP(T$23,'DSCR (Port LLPA)'!$M:$V,MATCH($R24,'DSCR (Port LLPA)'!$M$1:$V$1,0),FALSE),IF($C$6="Multi",VLOOKUP(T$23,'DSCR (Port LLPA)'!$X:$AG,MATCH($R24,'DSCR (Port LLPA)'!$X$1:$AG$1,0),FALSE),"-")),"-")</f>
        <v>-</v>
      </c>
      <c r="U24" s="56" t="str">
        <f>IFERROR(IF($C$6="SFR",VLOOKUP(U$23,'DSCR (Port LLPA)'!$M:$V,MATCH($R24,'DSCR (Port LLPA)'!$M$1:$V$1,0),FALSE),IF($C$6="Multi",VLOOKUP(U$23,'DSCR (Port LLPA)'!$X:$AG,MATCH($R24,'DSCR (Port LLPA)'!$X$1:$AG$1,0),FALSE),"-")),"-")</f>
        <v>-</v>
      </c>
      <c r="V24" s="56" t="str">
        <f>IFERROR(IF($C$6="SFR",VLOOKUP(V$23,'DSCR (Port LLPA)'!$M:$V,MATCH($R24,'DSCR (Port LLPA)'!$M$1:$V$1,0),FALSE),IF($C$6="Multi",VLOOKUP(V$23,'DSCR (Port LLPA)'!$X:$AG,MATCH($R24,'DSCR (Port LLPA)'!$X$1:$AG$1,0),FALSE),"-")),"-")</f>
        <v>-</v>
      </c>
      <c r="W24" s="56" t="str">
        <f>IFERROR(IF($C$6="SFR",VLOOKUP(W$23,'DSCR (Port LLPA)'!$M:$V,MATCH($R24,'DSCR (Port LLPA)'!$M$1:$V$1,0),FALSE),IF($C$6="Multi",VLOOKUP(W$23,'DSCR (Port LLPA)'!$X:$AG,MATCH($R24,'DSCR (Port LLPA)'!$X$1:$AG$1,0),FALSE),"-")),"-")</f>
        <v>-</v>
      </c>
      <c r="X24" s="56" t="str">
        <f>IFERROR(IF($C$6="SFR",VLOOKUP(X$23,'DSCR (Port LLPA)'!$M:$V,MATCH($R24,'DSCR (Port LLPA)'!$M$1:$V$1,0),FALSE),IF($C$6="Multi",VLOOKUP(X$23,'DSCR (Port LLPA)'!$X:$AG,MATCH($R24,'DSCR (Port LLPA)'!$X$1:$AG$1,0),FALSE),"-")),"-")</f>
        <v>-</v>
      </c>
      <c r="Y24" s="67" t="e">
        <f>IF($Q24="-","-",IF($Q24&lt;=INDEX('DSCR (Port Legend)'!$J$3:$L$17,MATCH($Q24,'DSCR (Port Legend)'!$J$3:$J$17,1),2),INDEX('DSCR (Port Legend)'!$J$3:$L$17,MATCH($Q24,'DSCR (Port Legend)'!$J$3:$J$17,1),3),"-"))</f>
        <v>#VALUE!</v>
      </c>
      <c r="Z24" s="67" t="str">
        <f>IFERROR(IF($C$6="SFR",VLOOKUP($Y24,'DSCR (Port LLPA)'!$M:$V,MATCH($R24,'DSCR (Port LLPA)'!$M$1:$V$1,0),FALSE),IF($C$6="Multi",VLOOKUP($Y24,'DSCR (Port LLPA)'!$X:$AG,MATCH($R24,'DSCR (Port LLPA)'!$X$1:$AG$1,0),FALSE),"-")),"-")</f>
        <v>-</v>
      </c>
      <c r="AA24" s="56" t="str">
        <f>IFERROR(IF($C$6="SFR",VLOOKUP(AA$23,'DSCR (Port LLPA)'!$M:$V,MATCH($R24,'DSCR (Port LLPA)'!$M$1:$V$1,0),FALSE),IF($C$6="Multi",VLOOKUP(AA$23,'DSCR (Port LLPA)'!$X:$AG,MATCH($R24,'DSCR (Port LLPA)'!$X$1:$AG$1,0),FALSE),"-")),"-")</f>
        <v>-</v>
      </c>
      <c r="AB24" s="67" t="str">
        <f t="shared" ref="AB24:AB40" si="59">IF(OR(S24="-",T24="-",U24="-",V24="-",W24="-",X24="-",Z24="-",AA24="-"),"-",SUM(S24:X24,Z24:AA24))</f>
        <v>-</v>
      </c>
      <c r="AC24" s="56" t="str">
        <f>IF($AB24="-","-",IF($C$6="SFR",VLOOKUP($C$10,'DSCR (Port LLPA)'!$B$36:$K$50,MATCH($R24,'DSCR (Port LLPA)'!$B$36:$K$36,0),FALSE),IF($C$6="Multi",VLOOKUP($C$10,'DSCR (Port LLPA)'!$B$53:$K$67,MATCH($R24,'DSCR (Port LLPA)'!$B$53:$K$53,0),FALSE),"-")))</f>
        <v>-</v>
      </c>
      <c r="AD24" s="56" t="str">
        <f t="shared" ref="AD24:AD40" si="60">IF(OR(AB24="-",AC24="-"),"-",MAX((AC24+AB24+P24),$C$90))</f>
        <v>-</v>
      </c>
      <c r="AE24" s="52">
        <f t="shared" ref="AE24:AE40" si="61">IF($C$6="SFR",$L$12,IF($C$6="Multi",$L$31,"-"))</f>
        <v>0</v>
      </c>
      <c r="AF24" s="214">
        <f t="shared" ref="AF24:AF40" si="62">IF($C$6="SFR",$L$11,IF($C$6="Multi",$L$30,"-"))</f>
        <v>1.2</v>
      </c>
      <c r="AG24" s="52">
        <f t="shared" ref="AG24:AG40" si="63">IF($C$6="SFR",$L$4,IF($C$6="Multi",$L$23,"-"))</f>
        <v>0</v>
      </c>
      <c r="AH24" s="52">
        <f t="shared" ref="AH24:AH40" si="64">IF($C$6="SFR",SUM($L$5:$L$8),IF($C$6="Multi",SUM($L$24:$L$27),"-"))</f>
        <v>0</v>
      </c>
      <c r="AI24" s="52" t="e">
        <f t="shared" ref="AI24:AI40" si="65">IF($C$6="SFR",ROUNDDOWN(IF($C$14="No IO",PV(AD24/12,$C$17,-AE24),(AG24/(AF24*(AD24/12))-(AH24/(AD24/12)))),0),IF($C$6="Multi",ROUNDDOWN(IF($C$14="No IO",PV(AD24/12,$C$17,-AE24),(AE24/(AD24/12))),0),))</f>
        <v>#VALUE!</v>
      </c>
      <c r="AN24" s="53"/>
      <c r="AO24" s="53"/>
      <c r="AP24" s="56"/>
      <c r="AQ24" s="57"/>
      <c r="AS24" s="56"/>
      <c r="AT24" s="56"/>
      <c r="AU24" s="56"/>
      <c r="AV24" s="56"/>
      <c r="AW24" s="56"/>
      <c r="AX24" s="56"/>
      <c r="AY24" s="67"/>
      <c r="AZ24" s="67"/>
      <c r="BA24" s="56"/>
      <c r="BB24" s="67"/>
      <c r="BC24" s="56"/>
      <c r="BD24" s="56"/>
      <c r="BE24" s="52"/>
      <c r="BF24" s="214"/>
      <c r="BG24" s="52"/>
      <c r="BH24" s="52"/>
      <c r="BI24" s="52"/>
      <c r="BJ24" s="52"/>
      <c r="BK24" s="52"/>
      <c r="BL24" s="52"/>
      <c r="BM24" s="52"/>
      <c r="BN24" s="52"/>
      <c r="BO24" s="52"/>
      <c r="BP24" s="52"/>
      <c r="BR24" s="803" t="str">
        <f>'DSCR (Port Loan)'!$K$4</f>
        <v>Max Proceeds</v>
      </c>
      <c r="BS24" s="803"/>
      <c r="BT24" s="206">
        <f>$B$66</f>
        <v>104</v>
      </c>
      <c r="BY24" s="639" t="s">
        <v>1786</v>
      </c>
      <c r="BZ24" s="639"/>
      <c r="CA24" s="639" t="s">
        <v>1785</v>
      </c>
      <c r="CB24" s="639"/>
      <c r="CC24" s="639" t="s">
        <v>1784</v>
      </c>
      <c r="CD24" s="639"/>
      <c r="CE24" s="639" t="s">
        <v>1783</v>
      </c>
      <c r="CF24" s="639"/>
      <c r="CG24" s="639"/>
      <c r="CH24" s="639"/>
      <c r="CI24" s="51" t="s">
        <v>1782</v>
      </c>
      <c r="CK24" s="639" t="s">
        <v>1700</v>
      </c>
      <c r="CL24" s="639"/>
      <c r="CM24" s="639" t="s">
        <v>1781</v>
      </c>
      <c r="CN24" s="639" t="s">
        <v>1780</v>
      </c>
      <c r="CO24" s="639" t="s">
        <v>1700</v>
      </c>
    </row>
    <row r="25" spans="2:100" x14ac:dyDescent="0.25">
      <c r="B25" s="51" t="s">
        <v>78</v>
      </c>
      <c r="C25" s="222" t="str">
        <f>'DSCR (Port Loan)'!$C$20</f>
        <v>-</v>
      </c>
      <c r="D25" s="193" t="str">
        <f>'DSCR (Port Legend)'!D6</f>
        <v>600+</v>
      </c>
      <c r="E25" s="193" t="s">
        <v>2</v>
      </c>
      <c r="F25" s="193" t="s">
        <v>2</v>
      </c>
      <c r="G25" s="193" t="s">
        <v>2</v>
      </c>
      <c r="H25" s="193" t="s">
        <v>2</v>
      </c>
      <c r="I25" s="193" t="s">
        <v>2</v>
      </c>
      <c r="J25" s="193" t="s">
        <v>2</v>
      </c>
      <c r="K25" s="51" t="s">
        <v>1779</v>
      </c>
      <c r="L25" s="226" t="str">
        <f>IF('DSCR (Port Loan)'!$E$24="Quote",'DSCR (Port Loan)'!$F$28/12,IF('DSCR (Port Loan)'!$E$24="Appraisal/Lock",'DSCR (Port Loan)'!$H$28/12,"-"))</f>
        <v>-</v>
      </c>
      <c r="N25" s="53">
        <v>2.5000000000000001E-3</v>
      </c>
      <c r="O25" s="53">
        <f t="shared" si="56"/>
        <v>1.0375000000000001</v>
      </c>
      <c r="P25" s="56">
        <f t="shared" si="57"/>
        <v>-6.6666666666665244E-4</v>
      </c>
      <c r="Q25" s="57" t="e">
        <f t="shared" si="58"/>
        <v>#VALUE!</v>
      </c>
      <c r="R25" s="51" t="e">
        <f>IF($Q25="-","-",IF(($Q25/$C$19)&lt;=INDEX('DSCR (Port Legend)'!$F$3:$H$14,MATCH(($Q25/$C$19),'DSCR (Port Legend)'!$F$3:$F$14,1),2),INDEX('DSCR (Port Legend)'!$F$3:$H$14,MATCH(($Q25/$C$19),'DSCR (Port Legend)'!$F$3:$F$14,1),3),"-"))</f>
        <v>#VALUE!</v>
      </c>
      <c r="S25" s="56" t="str">
        <f>IFERROR(IF($C$6="SFR",VLOOKUP(S$23,'DSCR (Port LLPA)'!$M:$V,MATCH($R25,'DSCR (Port LLPA)'!$M$1:$V$1,0),FALSE),IF($C$6="Multi",VLOOKUP(S$23,'DSCR (Port LLPA)'!$X:$AG,MATCH($R25,'DSCR (Port LLPA)'!$X$1:$AG$1,0),FALSE),"-")),"-")</f>
        <v>-</v>
      </c>
      <c r="T25" s="56" t="str">
        <f>IFERROR(IF($C$6="SFR",VLOOKUP(T$23,'DSCR (Port LLPA)'!$M:$V,MATCH($R25,'DSCR (Port LLPA)'!$M$1:$V$1,0),FALSE),IF($C$6="Multi",VLOOKUP(T$23,'DSCR (Port LLPA)'!$X:$AG,MATCH($R25,'DSCR (Port LLPA)'!$X$1:$AG$1,0),FALSE),"-")),"-")</f>
        <v>-</v>
      </c>
      <c r="U25" s="56" t="str">
        <f>IFERROR(IF($C$6="SFR",VLOOKUP(U$23,'DSCR (Port LLPA)'!$M:$V,MATCH($R25,'DSCR (Port LLPA)'!$M$1:$V$1,0),FALSE),IF($C$6="Multi",VLOOKUP(U$23,'DSCR (Port LLPA)'!$X:$AG,MATCH($R25,'DSCR (Port LLPA)'!$X$1:$AG$1,0),FALSE),"-")),"-")</f>
        <v>-</v>
      </c>
      <c r="V25" s="56" t="str">
        <f>IFERROR(IF($C$6="SFR",VLOOKUP(V$23,'DSCR (Port LLPA)'!$M:$V,MATCH($R25,'DSCR (Port LLPA)'!$M$1:$V$1,0),FALSE),IF($C$6="Multi",VLOOKUP(V$23,'DSCR (Port LLPA)'!$X:$AG,MATCH($R25,'DSCR (Port LLPA)'!$X$1:$AG$1,0),FALSE),"-")),"-")</f>
        <v>-</v>
      </c>
      <c r="W25" s="56" t="str">
        <f>IFERROR(IF($C$6="SFR",VLOOKUP(W$23,'DSCR (Port LLPA)'!$M:$V,MATCH($R25,'DSCR (Port LLPA)'!$M$1:$V$1,0),FALSE),IF($C$6="Multi",VLOOKUP(W$23,'DSCR (Port LLPA)'!$X:$AG,MATCH($R25,'DSCR (Port LLPA)'!$X$1:$AG$1,0),FALSE),"-")),"-")</f>
        <v>-</v>
      </c>
      <c r="X25" s="56" t="str">
        <f>IFERROR(IF($C$6="SFR",VLOOKUP(X$23,'DSCR (Port LLPA)'!$M:$V,MATCH($R25,'DSCR (Port LLPA)'!$M$1:$V$1,0),FALSE),IF($C$6="Multi",VLOOKUP(X$23,'DSCR (Port LLPA)'!$X:$AG,MATCH($R25,'DSCR (Port LLPA)'!$X$1:$AG$1,0),FALSE),"-")),"-")</f>
        <v>-</v>
      </c>
      <c r="Y25" s="67" t="e">
        <f>IF($Q25="-","-",IF($Q25&lt;=INDEX('DSCR (Port Legend)'!$J$3:$L$17,MATCH($Q25,'DSCR (Port Legend)'!$J$3:$J$17,1),2),INDEX('DSCR (Port Legend)'!$J$3:$L$17,MATCH($Q25,'DSCR (Port Legend)'!$J$3:$J$17,1),3),"-"))</f>
        <v>#VALUE!</v>
      </c>
      <c r="Z25" s="67" t="str">
        <f>IFERROR(IF($C$6="SFR",VLOOKUP($Y25,'DSCR (Port LLPA)'!$M:$V,MATCH($R25,'DSCR (Port LLPA)'!$M$1:$V$1,0),FALSE),IF($C$6="Multi",VLOOKUP($Y25,'DSCR (Port LLPA)'!$X:$AG,MATCH($R25,'DSCR (Port LLPA)'!$X$1:$AG$1,0),FALSE),"-")),"-")</f>
        <v>-</v>
      </c>
      <c r="AA25" s="56" t="str">
        <f>IFERROR(IF($C$6="SFR",VLOOKUP(AA$23,'DSCR (Port LLPA)'!$M:$V,MATCH($R25,'DSCR (Port LLPA)'!$M$1:$V$1,0),FALSE),IF($C$6="Multi",VLOOKUP(AA$23,'DSCR (Port LLPA)'!$X:$AG,MATCH($R25,'DSCR (Port LLPA)'!$X$1:$AG$1,0),FALSE),"-")),"-")</f>
        <v>-</v>
      </c>
      <c r="AB25" s="67" t="str">
        <f t="shared" si="59"/>
        <v>-</v>
      </c>
      <c r="AC25" s="56" t="str">
        <f>IF($AB25="-","-",IF($C$6="SFR",VLOOKUP($C$10,'DSCR (Port LLPA)'!$B$36:$K$50,MATCH($R25,'DSCR (Port LLPA)'!$B$36:$K$36,0),FALSE),IF($C$6="Multi",VLOOKUP($C$10,'DSCR (Port LLPA)'!$B$53:$K$67,MATCH($R25,'DSCR (Port LLPA)'!$B$53:$K$53,0),FALSE),"-")))</f>
        <v>-</v>
      </c>
      <c r="AD25" s="56" t="str">
        <f t="shared" si="60"/>
        <v>-</v>
      </c>
      <c r="AE25" s="52">
        <f t="shared" si="61"/>
        <v>0</v>
      </c>
      <c r="AF25" s="214">
        <f t="shared" si="62"/>
        <v>1.2</v>
      </c>
      <c r="AG25" s="52">
        <f t="shared" si="63"/>
        <v>0</v>
      </c>
      <c r="AH25" s="52">
        <f t="shared" si="64"/>
        <v>0</v>
      </c>
      <c r="AI25" s="52" t="e">
        <f t="shared" si="65"/>
        <v>#VALUE!</v>
      </c>
      <c r="AN25" s="53"/>
      <c r="AO25" s="53"/>
      <c r="AP25" s="56"/>
      <c r="AQ25" s="57"/>
      <c r="AS25" s="56"/>
      <c r="AT25" s="56"/>
      <c r="AU25" s="56"/>
      <c r="AV25" s="56"/>
      <c r="AW25" s="56"/>
      <c r="AX25" s="56"/>
      <c r="AY25" s="67"/>
      <c r="AZ25" s="67"/>
      <c r="BA25" s="56"/>
      <c r="BB25" s="67"/>
      <c r="BC25" s="56"/>
      <c r="BD25" s="56"/>
      <c r="BE25" s="52"/>
      <c r="BF25" s="225" t="s">
        <v>1640</v>
      </c>
      <c r="BG25" s="52" t="s">
        <v>1756</v>
      </c>
      <c r="BH25" s="224" t="e">
        <f t="shared" ref="BH25:BH31" si="66">VLOOKUP($B$49,$B$42:$X$64,MATCH($BG25,$B$42:$X$42,0),FALSE)</f>
        <v>#N/A</v>
      </c>
      <c r="BI25" s="52"/>
      <c r="BJ25" s="52"/>
      <c r="BK25" s="52"/>
      <c r="BL25" s="52"/>
      <c r="BM25" s="52"/>
      <c r="BN25" s="52"/>
      <c r="BO25" s="52"/>
      <c r="BP25" s="52"/>
      <c r="BR25" s="51" t="s">
        <v>161</v>
      </c>
      <c r="BS25" s="51" t="s">
        <v>1778</v>
      </c>
      <c r="BT25" s="51" t="str">
        <f>_xlfn.CONCAT(BR24," ","Loan")</f>
        <v>Max Proceeds Loan</v>
      </c>
      <c r="BU25" s="51" t="str">
        <f>_xlfn.CONCAT(BR24," ","Rate")</f>
        <v>Max Proceeds Rate</v>
      </c>
      <c r="BV25" s="51" t="s">
        <v>156</v>
      </c>
      <c r="BW25" s="51" t="s">
        <v>155</v>
      </c>
      <c r="BX25" s="51" t="s">
        <v>1777</v>
      </c>
      <c r="BY25" s="51" t="s">
        <v>1776</v>
      </c>
      <c r="BZ25" s="51" t="s">
        <v>1736</v>
      </c>
      <c r="CA25" s="51" t="s">
        <v>1771</v>
      </c>
      <c r="CB25" s="51" t="s">
        <v>1770</v>
      </c>
      <c r="CC25" s="51" t="s">
        <v>1771</v>
      </c>
      <c r="CD25" s="51" t="s">
        <v>1770</v>
      </c>
      <c r="CE25" s="51" t="s">
        <v>1775</v>
      </c>
      <c r="CF25" s="51" t="s">
        <v>1774</v>
      </c>
      <c r="CG25" s="51" t="s">
        <v>1773</v>
      </c>
      <c r="CH25" s="51" t="s">
        <v>1772</v>
      </c>
      <c r="CI25" s="51" t="s">
        <v>1771</v>
      </c>
      <c r="CJ25" s="51" t="s">
        <v>1770</v>
      </c>
      <c r="CK25" s="51" t="s">
        <v>1771</v>
      </c>
      <c r="CL25" s="51" t="s">
        <v>1770</v>
      </c>
      <c r="CM25" s="639"/>
      <c r="CN25" s="639"/>
      <c r="CO25" s="639"/>
      <c r="CR25" s="51" t="s">
        <v>1769</v>
      </c>
      <c r="CS25" s="51" t="s">
        <v>1768</v>
      </c>
      <c r="CT25" s="51" t="s">
        <v>161</v>
      </c>
      <c r="CU25" s="51" t="s">
        <v>140</v>
      </c>
      <c r="CV25" s="51" t="s">
        <v>1767</v>
      </c>
    </row>
    <row r="26" spans="2:100" x14ac:dyDescent="0.25">
      <c r="B26" s="51" t="s">
        <v>1766</v>
      </c>
      <c r="D26" s="193" t="str">
        <f>'DSCR (Port Legend)'!D7</f>
        <v>620+</v>
      </c>
      <c r="E26" s="192" t="s">
        <v>2</v>
      </c>
      <c r="F26" s="192" t="s">
        <v>2</v>
      </c>
      <c r="G26" s="192" t="s">
        <v>2</v>
      </c>
      <c r="H26" s="192" t="s">
        <v>2</v>
      </c>
      <c r="I26" s="192" t="s">
        <v>2</v>
      </c>
      <c r="J26" s="192" t="s">
        <v>2</v>
      </c>
      <c r="K26" s="51" t="s">
        <v>1765</v>
      </c>
      <c r="L26" s="226" t="str">
        <f>IF('DSCR (Port Loan)'!$E$24="Quote",'DSCR (Port Loan)'!$F$26/12,IF('DSCR (Port Loan)'!$E$24="Appraisal/Lock",'DSCR (Port Loan)'!$H$26/12,"-"))</f>
        <v>-</v>
      </c>
      <c r="N26" s="53">
        <v>5.0000000000000001E-3</v>
      </c>
      <c r="O26" s="53">
        <f t="shared" si="56"/>
        <v>1.0350000000000001</v>
      </c>
      <c r="P26" s="56">
        <f t="shared" si="57"/>
        <v>-1.3333333333333049E-3</v>
      </c>
      <c r="Q26" s="57" t="e">
        <f t="shared" si="58"/>
        <v>#VALUE!</v>
      </c>
      <c r="R26" s="51" t="e">
        <f>IF($Q26="-","-",IF(($Q26/$C$19)&lt;=INDEX('DSCR (Port Legend)'!$F$3:$H$14,MATCH(($Q26/$C$19),'DSCR (Port Legend)'!$F$3:$F$14,1),2),INDEX('DSCR (Port Legend)'!$F$3:$H$14,MATCH(($Q26/$C$19),'DSCR (Port Legend)'!$F$3:$F$14,1),3),"-"))</f>
        <v>#VALUE!</v>
      </c>
      <c r="S26" s="56" t="str">
        <f>IFERROR(IF($C$6="SFR",VLOOKUP(S$23,'DSCR (Port LLPA)'!$M:$V,MATCH($R26,'DSCR (Port LLPA)'!$M$1:$V$1,0),FALSE),IF($C$6="Multi",VLOOKUP(S$23,'DSCR (Port LLPA)'!$X:$AG,MATCH($R26,'DSCR (Port LLPA)'!$X$1:$AG$1,0),FALSE),"-")),"-")</f>
        <v>-</v>
      </c>
      <c r="T26" s="56" t="str">
        <f>IFERROR(IF($C$6="SFR",VLOOKUP(T$23,'DSCR (Port LLPA)'!$M:$V,MATCH($R26,'DSCR (Port LLPA)'!$M$1:$V$1,0),FALSE),IF($C$6="Multi",VLOOKUP(T$23,'DSCR (Port LLPA)'!$X:$AG,MATCH($R26,'DSCR (Port LLPA)'!$X$1:$AG$1,0),FALSE),"-")),"-")</f>
        <v>-</v>
      </c>
      <c r="U26" s="56" t="str">
        <f>IFERROR(IF($C$6="SFR",VLOOKUP(U$23,'DSCR (Port LLPA)'!$M:$V,MATCH($R26,'DSCR (Port LLPA)'!$M$1:$V$1,0),FALSE),IF($C$6="Multi",VLOOKUP(U$23,'DSCR (Port LLPA)'!$X:$AG,MATCH($R26,'DSCR (Port LLPA)'!$X$1:$AG$1,0),FALSE),"-")),"-")</f>
        <v>-</v>
      </c>
      <c r="V26" s="56" t="str">
        <f>IFERROR(IF($C$6="SFR",VLOOKUP(V$23,'DSCR (Port LLPA)'!$M:$V,MATCH($R26,'DSCR (Port LLPA)'!$M$1:$V$1,0),FALSE),IF($C$6="Multi",VLOOKUP(V$23,'DSCR (Port LLPA)'!$X:$AG,MATCH($R26,'DSCR (Port LLPA)'!$X$1:$AG$1,0),FALSE),"-")),"-")</f>
        <v>-</v>
      </c>
      <c r="W26" s="56" t="str">
        <f>IFERROR(IF($C$6="SFR",VLOOKUP(W$23,'DSCR (Port LLPA)'!$M:$V,MATCH($R26,'DSCR (Port LLPA)'!$M$1:$V$1,0),FALSE),IF($C$6="Multi",VLOOKUP(W$23,'DSCR (Port LLPA)'!$X:$AG,MATCH($R26,'DSCR (Port LLPA)'!$X$1:$AG$1,0),FALSE),"-")),"-")</f>
        <v>-</v>
      </c>
      <c r="X26" s="56" t="str">
        <f>IFERROR(IF($C$6="SFR",VLOOKUP(X$23,'DSCR (Port LLPA)'!$M:$V,MATCH($R26,'DSCR (Port LLPA)'!$M$1:$V$1,0),FALSE),IF($C$6="Multi",VLOOKUP(X$23,'DSCR (Port LLPA)'!$X:$AG,MATCH($R26,'DSCR (Port LLPA)'!$X$1:$AG$1,0),FALSE),"-")),"-")</f>
        <v>-</v>
      </c>
      <c r="Y26" s="67" t="e">
        <f>IF($Q26="-","-",IF($Q26&lt;=INDEX('DSCR (Port Legend)'!$J$3:$L$17,MATCH($Q26,'DSCR (Port Legend)'!$J$3:$J$17,1),2),INDEX('DSCR (Port Legend)'!$J$3:$L$17,MATCH($Q26,'DSCR (Port Legend)'!$J$3:$J$17,1),3),"-"))</f>
        <v>#VALUE!</v>
      </c>
      <c r="Z26" s="67" t="str">
        <f>IFERROR(IF($C$6="SFR",VLOOKUP($Y26,'DSCR (Port LLPA)'!$M:$V,MATCH($R26,'DSCR (Port LLPA)'!$M$1:$V$1,0),FALSE),IF($C$6="Multi",VLOOKUP($Y26,'DSCR (Port LLPA)'!$X:$AG,MATCH($R26,'DSCR (Port LLPA)'!$X$1:$AG$1,0),FALSE),"-")),"-")</f>
        <v>-</v>
      </c>
      <c r="AA26" s="56" t="str">
        <f>IFERROR(IF($C$6="SFR",VLOOKUP(AA$23,'DSCR (Port LLPA)'!$M:$V,MATCH($R26,'DSCR (Port LLPA)'!$M$1:$V$1,0),FALSE),IF($C$6="Multi",VLOOKUP(AA$23,'DSCR (Port LLPA)'!$X:$AG,MATCH($R26,'DSCR (Port LLPA)'!$X$1:$AG$1,0),FALSE),"-")),"-")</f>
        <v>-</v>
      </c>
      <c r="AB26" s="67" t="str">
        <f t="shared" si="59"/>
        <v>-</v>
      </c>
      <c r="AC26" s="56" t="str">
        <f>IF($AB26="-","-",IF($C$6="SFR",VLOOKUP($C$10,'DSCR (Port LLPA)'!$B$36:$K$50,MATCH($R26,'DSCR (Port LLPA)'!$B$36:$K$36,0),FALSE),IF($C$6="Multi",VLOOKUP($C$10,'DSCR (Port LLPA)'!$B$53:$K$67,MATCH($R26,'DSCR (Port LLPA)'!$B$53:$K$53,0),FALSE),"-")))</f>
        <v>-</v>
      </c>
      <c r="AD26" s="56" t="str">
        <f t="shared" si="60"/>
        <v>-</v>
      </c>
      <c r="AE26" s="52">
        <f t="shared" si="61"/>
        <v>0</v>
      </c>
      <c r="AF26" s="214">
        <f t="shared" si="62"/>
        <v>1.2</v>
      </c>
      <c r="AG26" s="52">
        <f t="shared" si="63"/>
        <v>0</v>
      </c>
      <c r="AH26" s="52">
        <f t="shared" si="64"/>
        <v>0</v>
      </c>
      <c r="AI26" s="52" t="e">
        <f t="shared" si="65"/>
        <v>#VALUE!</v>
      </c>
      <c r="AN26" s="53"/>
      <c r="AO26" s="53"/>
      <c r="AP26" s="56"/>
      <c r="AQ26" s="57"/>
      <c r="AS26" s="56"/>
      <c r="AT26" s="56"/>
      <c r="AU26" s="56"/>
      <c r="AV26" s="56"/>
      <c r="AW26" s="56"/>
      <c r="AX26" s="56"/>
      <c r="AY26" s="67"/>
      <c r="AZ26" s="67"/>
      <c r="BA26" s="56"/>
      <c r="BB26" s="67"/>
      <c r="BC26" s="56"/>
      <c r="BD26" s="56"/>
      <c r="BE26" s="52"/>
      <c r="BF26" s="225" t="s">
        <v>1639</v>
      </c>
      <c r="BG26" s="52" t="s">
        <v>1755</v>
      </c>
      <c r="BH26" s="224" t="e">
        <f t="shared" si="66"/>
        <v>#N/A</v>
      </c>
      <c r="BI26" s="52"/>
      <c r="BJ26" s="52"/>
      <c r="BK26" s="52"/>
      <c r="BL26" s="52"/>
      <c r="BM26" s="52"/>
      <c r="BN26" s="52"/>
      <c r="BO26" s="52"/>
      <c r="BP26" s="52"/>
      <c r="BR26" s="53">
        <v>0</v>
      </c>
      <c r="BS26" s="206">
        <f t="shared" ref="BS26:BS42" si="67">$BT$24-(BR26*100)</f>
        <v>104</v>
      </c>
      <c r="BT26" s="217" t="e">
        <f t="shared" ref="BT26:BT42" si="68">IF(BU26="-","-",VLOOKUP($BR$24,$BG$25:$BH$31,2,FALSE))</f>
        <v>#N/A</v>
      </c>
      <c r="BU26" s="67" t="e">
        <f t="shared" ref="BU26:BU42" si="69">VLOOKUP($BS26,$B$67:$X$83,MATCH($BU$25,$B$66:$X$66,0),FALSE)</f>
        <v>#N/A</v>
      </c>
      <c r="BV26" s="216" t="e">
        <f t="shared" ref="BV26:BV42" si="70">ROUND((BT26/$C$19)*100,1)</f>
        <v>#N/A</v>
      </c>
      <c r="BW26" s="216" t="e">
        <f t="shared" ref="BW26:BW42" si="71">IF(OR($C$3="Refinance (Rate/Term)",$C$3="Refinance (Cash Out)"),"-",ROUND((BT26/$C$22)*100,1))</f>
        <v>#N/A</v>
      </c>
      <c r="BX26" s="51" t="e">
        <f t="shared" ref="BX26:BX42" si="72">BV26&amp;" | "&amp;BW26</f>
        <v>#N/A</v>
      </c>
      <c r="BY26" s="215" t="e">
        <f t="shared" ref="BY26:BY42" si="73">PMT(BU26/12,$C$17,-BT26)</f>
        <v>#N/A</v>
      </c>
      <c r="BZ26" s="51" t="e">
        <f t="shared" ref="BZ26:BZ42" si="74">IF($C$14="No IO","-",BT26*(BU26/12))</f>
        <v>#N/A</v>
      </c>
      <c r="CA26" s="52">
        <f t="shared" ref="CA26:CA42" si="75">SUM($L$5:$L$7)</f>
        <v>0</v>
      </c>
      <c r="CB26" s="52">
        <f t="shared" ref="CB26:CB42" si="76">SUM($L$24:$L$25)</f>
        <v>0</v>
      </c>
      <c r="CC26" s="52">
        <f t="shared" ref="CC26:CC42" si="77">SUM($L$5:$L$8)</f>
        <v>0</v>
      </c>
      <c r="CD26" s="52">
        <f t="shared" ref="CD26:CD42" si="78">SUM($L$24:$L$27)</f>
        <v>0</v>
      </c>
      <c r="CE26" s="215" t="e">
        <f t="shared" ref="CE26:CE42" si="79">BY26+CA26</f>
        <v>#N/A</v>
      </c>
      <c r="CF26" s="51" t="e">
        <f t="shared" ref="CF26:CF42" si="80">IF($C$14="No IO","-",BZ26+CA26)</f>
        <v>#N/A</v>
      </c>
      <c r="CG26" s="52" t="e">
        <f t="shared" ref="CG26:CG42" si="81">+BY26+CB26</f>
        <v>#N/A</v>
      </c>
      <c r="CH26" s="51" t="e">
        <f t="shared" ref="CH26:CH42" si="82">IF($C$14="No IO","-",BZ26+CB26)</f>
        <v>#N/A</v>
      </c>
      <c r="CI26" s="52" t="e">
        <f t="shared" ref="CI26:CI42" si="83">IF($C$14="No IO",BY26+CC26,BZ26+CC26)</f>
        <v>#N/A</v>
      </c>
      <c r="CJ26" s="52" t="e">
        <f t="shared" ref="CJ26:CJ42" si="84">IF($C$14="No IO",BY26,BZ26)</f>
        <v>#N/A</v>
      </c>
      <c r="CK26" s="214" t="e">
        <f t="shared" ref="CK26:CK42" si="85">$L$4/CI26</f>
        <v>#N/A</v>
      </c>
      <c r="CL26" s="214" t="e">
        <f t="shared" ref="CL26:CL42" si="86">$L$29/CJ26</f>
        <v>#VALUE!</v>
      </c>
      <c r="CM26" s="51" t="e">
        <f t="shared" ref="CM26:CM42" si="87">IF($C$6="SFR",CF26,IF($C$6="Multi",CH26,"-"))</f>
        <v>#N/A</v>
      </c>
      <c r="CN26" s="52" t="e">
        <f t="shared" ref="CN26:CN42" si="88">IF($C$6="SFR",CE26,IF($C$6="Multi",CG26,"-"))</f>
        <v>#N/A</v>
      </c>
      <c r="CO26" s="214" t="e">
        <f t="shared" ref="CO26:CO42" si="89">IF($C$6="SFR",CK26,IF($C$6="Multi",CL26,"-"))</f>
        <v>#N/A</v>
      </c>
      <c r="CR26" s="52" t="b">
        <f>IF($C$14="No IO",MAX($BY$26:$BY$42,MAX($BZ$26:$BZ$42)))</f>
        <v>0</v>
      </c>
      <c r="CS26" s="51" t="s">
        <v>2</v>
      </c>
      <c r="CT26" s="52" t="e">
        <f t="shared" ref="CT26:CT42" si="90">BT26*BR26</f>
        <v>#N/A</v>
      </c>
      <c r="CU26" s="51" t="str">
        <f t="shared" ref="CU26:CU42" si="91">IF(OR(CS26="-",CS26&lt;1),"-",CT26/CS26)</f>
        <v>-</v>
      </c>
      <c r="CV26" s="51" t="str">
        <f t="shared" ref="CV26:CV42" si="92">IF(CU26="-","-",ROUND(CU26/12,2))</f>
        <v>-</v>
      </c>
    </row>
    <row r="27" spans="2:100" x14ac:dyDescent="0.25">
      <c r="B27" s="51" t="s">
        <v>1764</v>
      </c>
      <c r="D27" s="193" t="str">
        <f>'DSCR (Port Legend)'!D8</f>
        <v>640+</v>
      </c>
      <c r="E27" s="192" t="s">
        <v>2</v>
      </c>
      <c r="F27" s="192" t="s">
        <v>2</v>
      </c>
      <c r="G27" s="192" t="s">
        <v>2</v>
      </c>
      <c r="H27" s="192" t="s">
        <v>2</v>
      </c>
      <c r="I27" s="192" t="s">
        <v>2</v>
      </c>
      <c r="J27" s="192" t="s">
        <v>2</v>
      </c>
      <c r="K27" s="51" t="s">
        <v>1763</v>
      </c>
      <c r="L27" s="226" t="str">
        <f>IF('DSCR (Port Loan)'!$E$24="Quote",'DSCR (Port Loan)'!$F$29/12,IF('DSCR (Port Loan)'!$E$24="Appraisal/Lock",'DSCR (Port Loan)'!$H$29/12,"-"))</f>
        <v>-</v>
      </c>
      <c r="N27" s="53">
        <v>7.4999999999999997E-3</v>
      </c>
      <c r="O27" s="53">
        <f t="shared" si="56"/>
        <v>1.0325</v>
      </c>
      <c r="P27" s="56">
        <f t="shared" si="57"/>
        <v>-2.0000000000000165E-3</v>
      </c>
      <c r="Q27" s="57" t="e">
        <f t="shared" si="58"/>
        <v>#VALUE!</v>
      </c>
      <c r="R27" s="51" t="e">
        <f>IF($Q27="-","-",IF(($Q27/$C$19)&lt;=INDEX('DSCR (Port Legend)'!$F$3:$H$14,MATCH(($Q27/$C$19),'DSCR (Port Legend)'!$F$3:$F$14,1),2),INDEX('DSCR (Port Legend)'!$F$3:$H$14,MATCH(($Q27/$C$19),'DSCR (Port Legend)'!$F$3:$F$14,1),3),"-"))</f>
        <v>#VALUE!</v>
      </c>
      <c r="S27" s="56" t="str">
        <f>IFERROR(IF($C$6="SFR",VLOOKUP(S$23,'DSCR (Port LLPA)'!$M:$V,MATCH($R27,'DSCR (Port LLPA)'!$M$1:$V$1,0),FALSE),IF($C$6="Multi",VLOOKUP(S$23,'DSCR (Port LLPA)'!$X:$AG,MATCH($R27,'DSCR (Port LLPA)'!$X$1:$AG$1,0),FALSE),"-")),"-")</f>
        <v>-</v>
      </c>
      <c r="T27" s="56" t="str">
        <f>IFERROR(IF($C$6="SFR",VLOOKUP(T$23,'DSCR (Port LLPA)'!$M:$V,MATCH($R27,'DSCR (Port LLPA)'!$M$1:$V$1,0),FALSE),IF($C$6="Multi",VLOOKUP(T$23,'DSCR (Port LLPA)'!$X:$AG,MATCH($R27,'DSCR (Port LLPA)'!$X$1:$AG$1,0),FALSE),"-")),"-")</f>
        <v>-</v>
      </c>
      <c r="U27" s="56" t="str">
        <f>IFERROR(IF($C$6="SFR",VLOOKUP(U$23,'DSCR (Port LLPA)'!$M:$V,MATCH($R27,'DSCR (Port LLPA)'!$M$1:$V$1,0),FALSE),IF($C$6="Multi",VLOOKUP(U$23,'DSCR (Port LLPA)'!$X:$AG,MATCH($R27,'DSCR (Port LLPA)'!$X$1:$AG$1,0),FALSE),"-")),"-")</f>
        <v>-</v>
      </c>
      <c r="V27" s="56" t="str">
        <f>IFERROR(IF($C$6="SFR",VLOOKUP(V$23,'DSCR (Port LLPA)'!$M:$V,MATCH($R27,'DSCR (Port LLPA)'!$M$1:$V$1,0),FALSE),IF($C$6="Multi",VLOOKUP(V$23,'DSCR (Port LLPA)'!$X:$AG,MATCH($R27,'DSCR (Port LLPA)'!$X$1:$AG$1,0),FALSE),"-")),"-")</f>
        <v>-</v>
      </c>
      <c r="W27" s="56" t="str">
        <f>IFERROR(IF($C$6="SFR",VLOOKUP(W$23,'DSCR (Port LLPA)'!$M:$V,MATCH($R27,'DSCR (Port LLPA)'!$M$1:$V$1,0),FALSE),IF($C$6="Multi",VLOOKUP(W$23,'DSCR (Port LLPA)'!$X:$AG,MATCH($R27,'DSCR (Port LLPA)'!$X$1:$AG$1,0),FALSE),"-")),"-")</f>
        <v>-</v>
      </c>
      <c r="X27" s="56" t="str">
        <f>IFERROR(IF($C$6="SFR",VLOOKUP(X$23,'DSCR (Port LLPA)'!$M:$V,MATCH($R27,'DSCR (Port LLPA)'!$M$1:$V$1,0),FALSE),IF($C$6="Multi",VLOOKUP(X$23,'DSCR (Port LLPA)'!$X:$AG,MATCH($R27,'DSCR (Port LLPA)'!$X$1:$AG$1,0),FALSE),"-")),"-")</f>
        <v>-</v>
      </c>
      <c r="Y27" s="67" t="e">
        <f>IF($Q27="-","-",IF($Q27&lt;=INDEX('DSCR (Port Legend)'!$J$3:$L$17,MATCH($Q27,'DSCR (Port Legend)'!$J$3:$J$17,1),2),INDEX('DSCR (Port Legend)'!$J$3:$L$17,MATCH($Q27,'DSCR (Port Legend)'!$J$3:$J$17,1),3),"-"))</f>
        <v>#VALUE!</v>
      </c>
      <c r="Z27" s="67" t="str">
        <f>IFERROR(IF($C$6="SFR",VLOOKUP($Y27,'DSCR (Port LLPA)'!$M:$V,MATCH($R27,'DSCR (Port LLPA)'!$M$1:$V$1,0),FALSE),IF($C$6="Multi",VLOOKUP($Y27,'DSCR (Port LLPA)'!$X:$AG,MATCH($R27,'DSCR (Port LLPA)'!$X$1:$AG$1,0),FALSE),"-")),"-")</f>
        <v>-</v>
      </c>
      <c r="AA27" s="56" t="str">
        <f>IFERROR(IF($C$6="SFR",VLOOKUP(AA$23,'DSCR (Port LLPA)'!$M:$V,MATCH($R27,'DSCR (Port LLPA)'!$M$1:$V$1,0),FALSE),IF($C$6="Multi",VLOOKUP(AA$23,'DSCR (Port LLPA)'!$X:$AG,MATCH($R27,'DSCR (Port LLPA)'!$X$1:$AG$1,0),FALSE),"-")),"-")</f>
        <v>-</v>
      </c>
      <c r="AB27" s="67" t="str">
        <f t="shared" si="59"/>
        <v>-</v>
      </c>
      <c r="AC27" s="56" t="str">
        <f>IF($AB27="-","-",IF($C$6="SFR",VLOOKUP($C$10,'DSCR (Port LLPA)'!$B$36:$K$50,MATCH($R27,'DSCR (Port LLPA)'!$B$36:$K$36,0),FALSE),IF($C$6="Multi",VLOOKUP($C$10,'DSCR (Port LLPA)'!$B$53:$K$67,MATCH($R27,'DSCR (Port LLPA)'!$B$53:$K$53,0),FALSE),"-")))</f>
        <v>-</v>
      </c>
      <c r="AD27" s="56" t="str">
        <f t="shared" si="60"/>
        <v>-</v>
      </c>
      <c r="AE27" s="52">
        <f t="shared" si="61"/>
        <v>0</v>
      </c>
      <c r="AF27" s="214">
        <f t="shared" si="62"/>
        <v>1.2</v>
      </c>
      <c r="AG27" s="52">
        <f t="shared" si="63"/>
        <v>0</v>
      </c>
      <c r="AH27" s="52">
        <f t="shared" si="64"/>
        <v>0</v>
      </c>
      <c r="AI27" s="52" t="e">
        <f t="shared" si="65"/>
        <v>#VALUE!</v>
      </c>
      <c r="AN27" s="53"/>
      <c r="AO27" s="53"/>
      <c r="AP27" s="56"/>
      <c r="AQ27" s="57"/>
      <c r="AS27" s="56"/>
      <c r="AT27" s="56"/>
      <c r="AU27" s="56"/>
      <c r="AV27" s="56"/>
      <c r="AW27" s="56"/>
      <c r="AX27" s="56"/>
      <c r="AY27" s="67"/>
      <c r="AZ27" s="67"/>
      <c r="BA27" s="56"/>
      <c r="BB27" s="67"/>
      <c r="BC27" s="56"/>
      <c r="BD27" s="56"/>
      <c r="BE27" s="52"/>
      <c r="BF27" s="225" t="s">
        <v>1638</v>
      </c>
      <c r="BG27" s="52" t="s">
        <v>1754</v>
      </c>
      <c r="BH27" s="224" t="e">
        <f t="shared" si="66"/>
        <v>#N/A</v>
      </c>
      <c r="BI27" s="52"/>
      <c r="BJ27" s="52"/>
      <c r="BK27" s="52"/>
      <c r="BL27" s="52"/>
      <c r="BM27" s="52"/>
      <c r="BN27" s="52"/>
      <c r="BO27" s="52"/>
      <c r="BP27" s="52"/>
      <c r="BR27" s="53">
        <v>2.5000000000000001E-3</v>
      </c>
      <c r="BS27" s="206">
        <f t="shared" si="67"/>
        <v>103.75</v>
      </c>
      <c r="BT27" s="217" t="e">
        <f t="shared" si="68"/>
        <v>#N/A</v>
      </c>
      <c r="BU27" s="67" t="e">
        <f t="shared" si="69"/>
        <v>#N/A</v>
      </c>
      <c r="BV27" s="216" t="e">
        <f t="shared" si="70"/>
        <v>#N/A</v>
      </c>
      <c r="BW27" s="216" t="e">
        <f t="shared" si="71"/>
        <v>#N/A</v>
      </c>
      <c r="BX27" s="51" t="e">
        <f t="shared" si="72"/>
        <v>#N/A</v>
      </c>
      <c r="BY27" s="215" t="e">
        <f t="shared" si="73"/>
        <v>#N/A</v>
      </c>
      <c r="BZ27" s="51" t="e">
        <f t="shared" si="74"/>
        <v>#N/A</v>
      </c>
      <c r="CA27" s="52">
        <f t="shared" si="75"/>
        <v>0</v>
      </c>
      <c r="CB27" s="52">
        <f t="shared" si="76"/>
        <v>0</v>
      </c>
      <c r="CC27" s="52">
        <f t="shared" si="77"/>
        <v>0</v>
      </c>
      <c r="CD27" s="52">
        <f t="shared" si="78"/>
        <v>0</v>
      </c>
      <c r="CE27" s="215" t="e">
        <f t="shared" si="79"/>
        <v>#N/A</v>
      </c>
      <c r="CF27" s="51" t="e">
        <f t="shared" si="80"/>
        <v>#N/A</v>
      </c>
      <c r="CG27" s="52" t="e">
        <f t="shared" si="81"/>
        <v>#N/A</v>
      </c>
      <c r="CH27" s="51" t="e">
        <f t="shared" si="82"/>
        <v>#N/A</v>
      </c>
      <c r="CI27" s="52" t="e">
        <f t="shared" si="83"/>
        <v>#N/A</v>
      </c>
      <c r="CJ27" s="52" t="e">
        <f t="shared" si="84"/>
        <v>#N/A</v>
      </c>
      <c r="CK27" s="214" t="e">
        <f t="shared" si="85"/>
        <v>#N/A</v>
      </c>
      <c r="CL27" s="214" t="e">
        <f t="shared" si="86"/>
        <v>#VALUE!</v>
      </c>
      <c r="CM27" s="51" t="e">
        <f t="shared" si="87"/>
        <v>#N/A</v>
      </c>
      <c r="CN27" s="52" t="e">
        <f t="shared" si="88"/>
        <v>#N/A</v>
      </c>
      <c r="CO27" s="214" t="e">
        <f t="shared" si="89"/>
        <v>#N/A</v>
      </c>
      <c r="CS27" s="51" t="e">
        <f t="shared" ref="CS27:CS42" si="93">IF($C$14="No IO",IF(BT27&gt;BT26,"-",IF(BT27=BT26,ABS(BY27-$CR$26),"-")),IF(BT27&gt;BT26,"-",IF(BT27=BT26,ABS(BZ27-$CR$26),"-")))</f>
        <v>#N/A</v>
      </c>
      <c r="CT27" s="52" t="e">
        <f t="shared" si="90"/>
        <v>#N/A</v>
      </c>
      <c r="CU27" s="51" t="e">
        <f t="shared" si="91"/>
        <v>#N/A</v>
      </c>
      <c r="CV27" s="51" t="e">
        <f t="shared" si="92"/>
        <v>#N/A</v>
      </c>
    </row>
    <row r="28" spans="2:100" x14ac:dyDescent="0.25">
      <c r="D28" s="193" t="str">
        <f>'DSCR (Port Legend)'!D9</f>
        <v>660+</v>
      </c>
      <c r="E28" s="192" t="s">
        <v>2</v>
      </c>
      <c r="F28" s="192" t="s">
        <v>2</v>
      </c>
      <c r="G28" s="192" t="s">
        <v>2</v>
      </c>
      <c r="H28" s="192" t="s">
        <v>2</v>
      </c>
      <c r="I28" s="192" t="s">
        <v>2</v>
      </c>
      <c r="J28" s="192" t="s">
        <v>2</v>
      </c>
      <c r="N28" s="53">
        <v>0.01</v>
      </c>
      <c r="O28" s="53">
        <f t="shared" si="56"/>
        <v>1.03</v>
      </c>
      <c r="P28" s="56">
        <f t="shared" si="57"/>
        <v>-2.6666666666666692E-3</v>
      </c>
      <c r="Q28" s="57" t="e">
        <f t="shared" si="58"/>
        <v>#VALUE!</v>
      </c>
      <c r="R28" s="51" t="e">
        <f>IF($Q28="-","-",IF(($Q28/$C$19)&lt;=INDEX('DSCR (Port Legend)'!$F$3:$H$14,MATCH(($Q28/$C$19),'DSCR (Port Legend)'!$F$3:$F$14,1),2),INDEX('DSCR (Port Legend)'!$F$3:$H$14,MATCH(($Q28/$C$19),'DSCR (Port Legend)'!$F$3:$F$14,1),3),"-"))</f>
        <v>#VALUE!</v>
      </c>
      <c r="S28" s="56" t="str">
        <f>IFERROR(IF($C$6="SFR",VLOOKUP(S$23,'DSCR (Port LLPA)'!$M:$V,MATCH($R28,'DSCR (Port LLPA)'!$M$1:$V$1,0),FALSE),IF($C$6="Multi",VLOOKUP(S$23,'DSCR (Port LLPA)'!$X:$AG,MATCH($R28,'DSCR (Port LLPA)'!$X$1:$AG$1,0),FALSE),"-")),"-")</f>
        <v>-</v>
      </c>
      <c r="T28" s="56" t="str">
        <f>IFERROR(IF($C$6="SFR",VLOOKUP(T$23,'DSCR (Port LLPA)'!$M:$V,MATCH($R28,'DSCR (Port LLPA)'!$M$1:$V$1,0),FALSE),IF($C$6="Multi",VLOOKUP(T$23,'DSCR (Port LLPA)'!$X:$AG,MATCH($R28,'DSCR (Port LLPA)'!$X$1:$AG$1,0),FALSE),"-")),"-")</f>
        <v>-</v>
      </c>
      <c r="U28" s="56" t="str">
        <f>IFERROR(IF($C$6="SFR",VLOOKUP(U$23,'DSCR (Port LLPA)'!$M:$V,MATCH($R28,'DSCR (Port LLPA)'!$M$1:$V$1,0),FALSE),IF($C$6="Multi",VLOOKUP(U$23,'DSCR (Port LLPA)'!$X:$AG,MATCH($R28,'DSCR (Port LLPA)'!$X$1:$AG$1,0),FALSE),"-")),"-")</f>
        <v>-</v>
      </c>
      <c r="V28" s="56" t="str">
        <f>IFERROR(IF($C$6="SFR",VLOOKUP(V$23,'DSCR (Port LLPA)'!$M:$V,MATCH($R28,'DSCR (Port LLPA)'!$M$1:$V$1,0),FALSE),IF($C$6="Multi",VLOOKUP(V$23,'DSCR (Port LLPA)'!$X:$AG,MATCH($R28,'DSCR (Port LLPA)'!$X$1:$AG$1,0),FALSE),"-")),"-")</f>
        <v>-</v>
      </c>
      <c r="W28" s="56" t="str">
        <f>IFERROR(IF($C$6="SFR",VLOOKUP(W$23,'DSCR (Port LLPA)'!$M:$V,MATCH($R28,'DSCR (Port LLPA)'!$M$1:$V$1,0),FALSE),IF($C$6="Multi",VLOOKUP(W$23,'DSCR (Port LLPA)'!$X:$AG,MATCH($R28,'DSCR (Port LLPA)'!$X$1:$AG$1,0),FALSE),"-")),"-")</f>
        <v>-</v>
      </c>
      <c r="X28" s="56" t="str">
        <f>IFERROR(IF($C$6="SFR",VLOOKUP(X$23,'DSCR (Port LLPA)'!$M:$V,MATCH($R28,'DSCR (Port LLPA)'!$M$1:$V$1,0),FALSE),IF($C$6="Multi",VLOOKUP(X$23,'DSCR (Port LLPA)'!$X:$AG,MATCH($R28,'DSCR (Port LLPA)'!$X$1:$AG$1,0),FALSE),"-")),"-")</f>
        <v>-</v>
      </c>
      <c r="Y28" s="67" t="e">
        <f>IF($Q28="-","-",IF($Q28&lt;=INDEX('DSCR (Port Legend)'!$J$3:$L$17,MATCH($Q28,'DSCR (Port Legend)'!$J$3:$J$17,1),2),INDEX('DSCR (Port Legend)'!$J$3:$L$17,MATCH($Q28,'DSCR (Port Legend)'!$J$3:$J$17,1),3),"-"))</f>
        <v>#VALUE!</v>
      </c>
      <c r="Z28" s="67" t="str">
        <f>IFERROR(IF($C$6="SFR",VLOOKUP($Y28,'DSCR (Port LLPA)'!$M:$V,MATCH($R28,'DSCR (Port LLPA)'!$M$1:$V$1,0),FALSE),IF($C$6="Multi",VLOOKUP($Y28,'DSCR (Port LLPA)'!$X:$AG,MATCH($R28,'DSCR (Port LLPA)'!$X$1:$AG$1,0),FALSE),"-")),"-")</f>
        <v>-</v>
      </c>
      <c r="AA28" s="56" t="str">
        <f>IFERROR(IF($C$6="SFR",VLOOKUP(AA$23,'DSCR (Port LLPA)'!$M:$V,MATCH($R28,'DSCR (Port LLPA)'!$M$1:$V$1,0),FALSE),IF($C$6="Multi",VLOOKUP(AA$23,'DSCR (Port LLPA)'!$X:$AG,MATCH($R28,'DSCR (Port LLPA)'!$X$1:$AG$1,0),FALSE),"-")),"-")</f>
        <v>-</v>
      </c>
      <c r="AB28" s="67" t="str">
        <f t="shared" si="59"/>
        <v>-</v>
      </c>
      <c r="AC28" s="56" t="str">
        <f>IF($AB28="-","-",IF($C$6="SFR",VLOOKUP($C$10,'DSCR (Port LLPA)'!$B$36:$K$50,MATCH($R28,'DSCR (Port LLPA)'!$B$36:$K$36,0),FALSE),IF($C$6="Multi",VLOOKUP($C$10,'DSCR (Port LLPA)'!$B$53:$K$67,MATCH($R28,'DSCR (Port LLPA)'!$B$53:$K$53,0),FALSE),"-")))</f>
        <v>-</v>
      </c>
      <c r="AD28" s="56" t="str">
        <f t="shared" si="60"/>
        <v>-</v>
      </c>
      <c r="AE28" s="52">
        <f t="shared" si="61"/>
        <v>0</v>
      </c>
      <c r="AF28" s="214">
        <f t="shared" si="62"/>
        <v>1.2</v>
      </c>
      <c r="AG28" s="52">
        <f t="shared" si="63"/>
        <v>0</v>
      </c>
      <c r="AH28" s="52">
        <f t="shared" si="64"/>
        <v>0</v>
      </c>
      <c r="AI28" s="52" t="e">
        <f t="shared" si="65"/>
        <v>#VALUE!</v>
      </c>
      <c r="AN28" s="53"/>
      <c r="AO28" s="53"/>
      <c r="AP28" s="56"/>
      <c r="AQ28" s="57"/>
      <c r="AS28" s="56"/>
      <c r="AT28" s="56"/>
      <c r="AU28" s="56"/>
      <c r="AV28" s="56"/>
      <c r="AW28" s="56"/>
      <c r="AX28" s="56"/>
      <c r="AY28" s="67"/>
      <c r="AZ28" s="67"/>
      <c r="BA28" s="56"/>
      <c r="BB28" s="67"/>
      <c r="BC28" s="56"/>
      <c r="BD28" s="56"/>
      <c r="BE28" s="52"/>
      <c r="BF28" s="225" t="s">
        <v>1637</v>
      </c>
      <c r="BG28" s="52" t="s">
        <v>1753</v>
      </c>
      <c r="BH28" s="224" t="e">
        <f t="shared" si="66"/>
        <v>#N/A</v>
      </c>
      <c r="BI28" s="52"/>
      <c r="BJ28" s="52"/>
      <c r="BK28" s="52"/>
      <c r="BL28" s="52"/>
      <c r="BM28" s="52"/>
      <c r="BN28" s="52"/>
      <c r="BO28" s="52"/>
      <c r="BP28" s="52"/>
      <c r="BR28" s="53">
        <v>5.0000000000000001E-3</v>
      </c>
      <c r="BS28" s="206">
        <f t="shared" si="67"/>
        <v>103.5</v>
      </c>
      <c r="BT28" s="217" t="e">
        <f t="shared" si="68"/>
        <v>#N/A</v>
      </c>
      <c r="BU28" s="67" t="e">
        <f t="shared" si="69"/>
        <v>#N/A</v>
      </c>
      <c r="BV28" s="216" t="e">
        <f t="shared" si="70"/>
        <v>#N/A</v>
      </c>
      <c r="BW28" s="216" t="e">
        <f t="shared" si="71"/>
        <v>#N/A</v>
      </c>
      <c r="BX28" s="51" t="e">
        <f t="shared" si="72"/>
        <v>#N/A</v>
      </c>
      <c r="BY28" s="215" t="e">
        <f t="shared" si="73"/>
        <v>#N/A</v>
      </c>
      <c r="BZ28" s="51" t="e">
        <f t="shared" si="74"/>
        <v>#N/A</v>
      </c>
      <c r="CA28" s="52">
        <f t="shared" si="75"/>
        <v>0</v>
      </c>
      <c r="CB28" s="52">
        <f t="shared" si="76"/>
        <v>0</v>
      </c>
      <c r="CC28" s="52">
        <f t="shared" si="77"/>
        <v>0</v>
      </c>
      <c r="CD28" s="52">
        <f t="shared" si="78"/>
        <v>0</v>
      </c>
      <c r="CE28" s="215" t="e">
        <f t="shared" si="79"/>
        <v>#N/A</v>
      </c>
      <c r="CF28" s="51" t="e">
        <f t="shared" si="80"/>
        <v>#N/A</v>
      </c>
      <c r="CG28" s="52" t="e">
        <f t="shared" si="81"/>
        <v>#N/A</v>
      </c>
      <c r="CH28" s="51" t="e">
        <f t="shared" si="82"/>
        <v>#N/A</v>
      </c>
      <c r="CI28" s="52" t="e">
        <f t="shared" si="83"/>
        <v>#N/A</v>
      </c>
      <c r="CJ28" s="52" t="e">
        <f t="shared" si="84"/>
        <v>#N/A</v>
      </c>
      <c r="CK28" s="214" t="e">
        <f t="shared" si="85"/>
        <v>#N/A</v>
      </c>
      <c r="CL28" s="214" t="e">
        <f t="shared" si="86"/>
        <v>#VALUE!</v>
      </c>
      <c r="CM28" s="51" t="e">
        <f t="shared" si="87"/>
        <v>#N/A</v>
      </c>
      <c r="CN28" s="52" t="e">
        <f t="shared" si="88"/>
        <v>#N/A</v>
      </c>
      <c r="CO28" s="214" t="e">
        <f t="shared" si="89"/>
        <v>#N/A</v>
      </c>
      <c r="CS28" s="51" t="e">
        <f t="shared" si="93"/>
        <v>#N/A</v>
      </c>
      <c r="CT28" s="52" t="e">
        <f t="shared" si="90"/>
        <v>#N/A</v>
      </c>
      <c r="CU28" s="51" t="e">
        <f t="shared" si="91"/>
        <v>#N/A</v>
      </c>
      <c r="CV28" s="51" t="e">
        <f t="shared" si="92"/>
        <v>#N/A</v>
      </c>
    </row>
    <row r="29" spans="2:100" x14ac:dyDescent="0.25">
      <c r="B29" s="51" t="s">
        <v>1545</v>
      </c>
      <c r="C29" s="222" t="str">
        <f>IFERROR(VLOOKUP('DSCR (Port Loan)'!$C$19,#REF!,4,FALSE),"-")</f>
        <v>-</v>
      </c>
      <c r="D29" s="193" t="str">
        <f>'DSCR (Port Legend)'!D10</f>
        <v>680+</v>
      </c>
      <c r="E29" s="192">
        <v>0.6</v>
      </c>
      <c r="F29" s="192">
        <v>0.6</v>
      </c>
      <c r="G29" s="192">
        <v>0.6</v>
      </c>
      <c r="H29" s="192">
        <v>0.6</v>
      </c>
      <c r="I29" s="192">
        <v>0.6</v>
      </c>
      <c r="J29" s="192">
        <v>0.55000000000000004</v>
      </c>
      <c r="K29" s="51" t="s">
        <v>1762</v>
      </c>
      <c r="L29" s="226" t="str">
        <f>IF(L23="-","-",$L$23-SUM($L$24:$L$27))</f>
        <v>-</v>
      </c>
      <c r="N29" s="53">
        <v>1.2500000000000001E-2</v>
      </c>
      <c r="O29" s="53">
        <f t="shared" si="56"/>
        <v>1.0275000000000001</v>
      </c>
      <c r="P29" s="56">
        <f t="shared" si="57"/>
        <v>-3.3333333333333214E-3</v>
      </c>
      <c r="Q29" s="57" t="e">
        <f t="shared" si="58"/>
        <v>#VALUE!</v>
      </c>
      <c r="R29" s="51" t="e">
        <f>IF($Q29="-","-",IF(($Q29/$C$19)&lt;=INDEX('DSCR (Port Legend)'!$F$3:$H$14,MATCH(($Q29/$C$19),'DSCR (Port Legend)'!$F$3:$F$14,1),2),INDEX('DSCR (Port Legend)'!$F$3:$H$14,MATCH(($Q29/$C$19),'DSCR (Port Legend)'!$F$3:$F$14,1),3),"-"))</f>
        <v>#VALUE!</v>
      </c>
      <c r="S29" s="56" t="str">
        <f>IFERROR(IF($C$6="SFR",VLOOKUP(S$23,'DSCR (Port LLPA)'!$M:$V,MATCH($R29,'DSCR (Port LLPA)'!$M$1:$V$1,0),FALSE),IF($C$6="Multi",VLOOKUP(S$23,'DSCR (Port LLPA)'!$X:$AG,MATCH($R29,'DSCR (Port LLPA)'!$X$1:$AG$1,0),FALSE),"-")),"-")</f>
        <v>-</v>
      </c>
      <c r="T29" s="56" t="str">
        <f>IFERROR(IF($C$6="SFR",VLOOKUP(T$23,'DSCR (Port LLPA)'!$M:$V,MATCH($R29,'DSCR (Port LLPA)'!$M$1:$V$1,0),FALSE),IF($C$6="Multi",VLOOKUP(T$23,'DSCR (Port LLPA)'!$X:$AG,MATCH($R29,'DSCR (Port LLPA)'!$X$1:$AG$1,0),FALSE),"-")),"-")</f>
        <v>-</v>
      </c>
      <c r="U29" s="56" t="str">
        <f>IFERROR(IF($C$6="SFR",VLOOKUP(U$23,'DSCR (Port LLPA)'!$M:$V,MATCH($R29,'DSCR (Port LLPA)'!$M$1:$V$1,0),FALSE),IF($C$6="Multi",VLOOKUP(U$23,'DSCR (Port LLPA)'!$X:$AG,MATCH($R29,'DSCR (Port LLPA)'!$X$1:$AG$1,0),FALSE),"-")),"-")</f>
        <v>-</v>
      </c>
      <c r="V29" s="56" t="str">
        <f>IFERROR(IF($C$6="SFR",VLOOKUP(V$23,'DSCR (Port LLPA)'!$M:$V,MATCH($R29,'DSCR (Port LLPA)'!$M$1:$V$1,0),FALSE),IF($C$6="Multi",VLOOKUP(V$23,'DSCR (Port LLPA)'!$X:$AG,MATCH($R29,'DSCR (Port LLPA)'!$X$1:$AG$1,0),FALSE),"-")),"-")</f>
        <v>-</v>
      </c>
      <c r="W29" s="56" t="str">
        <f>IFERROR(IF($C$6="SFR",VLOOKUP(W$23,'DSCR (Port LLPA)'!$M:$V,MATCH($R29,'DSCR (Port LLPA)'!$M$1:$V$1,0),FALSE),IF($C$6="Multi",VLOOKUP(W$23,'DSCR (Port LLPA)'!$X:$AG,MATCH($R29,'DSCR (Port LLPA)'!$X$1:$AG$1,0),FALSE),"-")),"-")</f>
        <v>-</v>
      </c>
      <c r="X29" s="56" t="str">
        <f>IFERROR(IF($C$6="SFR",VLOOKUP(X$23,'DSCR (Port LLPA)'!$M:$V,MATCH($R29,'DSCR (Port LLPA)'!$M$1:$V$1,0),FALSE),IF($C$6="Multi",VLOOKUP(X$23,'DSCR (Port LLPA)'!$X:$AG,MATCH($R29,'DSCR (Port LLPA)'!$X$1:$AG$1,0),FALSE),"-")),"-")</f>
        <v>-</v>
      </c>
      <c r="Y29" s="67" t="e">
        <f>IF($Q29="-","-",IF($Q29&lt;=INDEX('DSCR (Port Legend)'!$J$3:$L$17,MATCH($Q29,'DSCR (Port Legend)'!$J$3:$J$17,1),2),INDEX('DSCR (Port Legend)'!$J$3:$L$17,MATCH($Q29,'DSCR (Port Legend)'!$J$3:$J$17,1),3),"-"))</f>
        <v>#VALUE!</v>
      </c>
      <c r="Z29" s="67" t="str">
        <f>IFERROR(IF($C$6="SFR",VLOOKUP($Y29,'DSCR (Port LLPA)'!$M:$V,MATCH($R29,'DSCR (Port LLPA)'!$M$1:$V$1,0),FALSE),IF($C$6="Multi",VLOOKUP($Y29,'DSCR (Port LLPA)'!$X:$AG,MATCH($R29,'DSCR (Port LLPA)'!$X$1:$AG$1,0),FALSE),"-")),"-")</f>
        <v>-</v>
      </c>
      <c r="AA29" s="56" t="str">
        <f>IFERROR(IF($C$6="SFR",VLOOKUP(AA$23,'DSCR (Port LLPA)'!$M:$V,MATCH($R29,'DSCR (Port LLPA)'!$M$1:$V$1,0),FALSE),IF($C$6="Multi",VLOOKUP(AA$23,'DSCR (Port LLPA)'!$X:$AG,MATCH($R29,'DSCR (Port LLPA)'!$X$1:$AG$1,0),FALSE),"-")),"-")</f>
        <v>-</v>
      </c>
      <c r="AB29" s="67" t="str">
        <f t="shared" si="59"/>
        <v>-</v>
      </c>
      <c r="AC29" s="56" t="str">
        <f>IF($AB29="-","-",IF($C$6="SFR",VLOOKUP($C$10,'DSCR (Port LLPA)'!$B$36:$K$50,MATCH($R29,'DSCR (Port LLPA)'!$B$36:$K$36,0),FALSE),IF($C$6="Multi",VLOOKUP($C$10,'DSCR (Port LLPA)'!$B$53:$K$67,MATCH($R29,'DSCR (Port LLPA)'!$B$53:$K$53,0),FALSE),"-")))</f>
        <v>-</v>
      </c>
      <c r="AD29" s="56" t="str">
        <f t="shared" si="60"/>
        <v>-</v>
      </c>
      <c r="AE29" s="52">
        <f t="shared" si="61"/>
        <v>0</v>
      </c>
      <c r="AF29" s="214">
        <f t="shared" si="62"/>
        <v>1.2</v>
      </c>
      <c r="AG29" s="52">
        <f t="shared" si="63"/>
        <v>0</v>
      </c>
      <c r="AH29" s="52">
        <f t="shared" si="64"/>
        <v>0</v>
      </c>
      <c r="AI29" s="52" t="e">
        <f t="shared" si="65"/>
        <v>#VALUE!</v>
      </c>
      <c r="AN29" s="53"/>
      <c r="AO29" s="53"/>
      <c r="AP29" s="56"/>
      <c r="AQ29" s="57"/>
      <c r="AS29" s="56"/>
      <c r="AT29" s="56"/>
      <c r="AU29" s="56"/>
      <c r="AV29" s="56"/>
      <c r="AW29" s="56"/>
      <c r="AX29" s="56"/>
      <c r="AY29" s="67"/>
      <c r="AZ29" s="67"/>
      <c r="BA29" s="56"/>
      <c r="BB29" s="67"/>
      <c r="BC29" s="56"/>
      <c r="BD29" s="56"/>
      <c r="BE29" s="52"/>
      <c r="BF29" s="225" t="s">
        <v>1636</v>
      </c>
      <c r="BG29" s="52" t="s">
        <v>1752</v>
      </c>
      <c r="BH29" s="224" t="e">
        <f t="shared" si="66"/>
        <v>#N/A</v>
      </c>
      <c r="BI29" s="52"/>
      <c r="BJ29" s="52"/>
      <c r="BK29" s="52"/>
      <c r="BL29" s="52"/>
      <c r="BM29" s="52"/>
      <c r="BN29" s="52"/>
      <c r="BO29" s="52"/>
      <c r="BP29" s="52"/>
      <c r="BR29" s="53">
        <v>7.4999999999999997E-3</v>
      </c>
      <c r="BS29" s="206">
        <f t="shared" si="67"/>
        <v>103.25</v>
      </c>
      <c r="BT29" s="217" t="e">
        <f t="shared" si="68"/>
        <v>#N/A</v>
      </c>
      <c r="BU29" s="67" t="e">
        <f t="shared" si="69"/>
        <v>#N/A</v>
      </c>
      <c r="BV29" s="216" t="e">
        <f t="shared" si="70"/>
        <v>#N/A</v>
      </c>
      <c r="BW29" s="216" t="e">
        <f t="shared" si="71"/>
        <v>#N/A</v>
      </c>
      <c r="BX29" s="51" t="e">
        <f t="shared" si="72"/>
        <v>#N/A</v>
      </c>
      <c r="BY29" s="215" t="e">
        <f t="shared" si="73"/>
        <v>#N/A</v>
      </c>
      <c r="BZ29" s="51" t="e">
        <f t="shared" si="74"/>
        <v>#N/A</v>
      </c>
      <c r="CA29" s="52">
        <f t="shared" si="75"/>
        <v>0</v>
      </c>
      <c r="CB29" s="52">
        <f t="shared" si="76"/>
        <v>0</v>
      </c>
      <c r="CC29" s="52">
        <f t="shared" si="77"/>
        <v>0</v>
      </c>
      <c r="CD29" s="52">
        <f t="shared" si="78"/>
        <v>0</v>
      </c>
      <c r="CE29" s="215" t="e">
        <f t="shared" si="79"/>
        <v>#N/A</v>
      </c>
      <c r="CF29" s="51" t="e">
        <f t="shared" si="80"/>
        <v>#N/A</v>
      </c>
      <c r="CG29" s="52" t="e">
        <f t="shared" si="81"/>
        <v>#N/A</v>
      </c>
      <c r="CH29" s="51" t="e">
        <f t="shared" si="82"/>
        <v>#N/A</v>
      </c>
      <c r="CI29" s="52" t="e">
        <f t="shared" si="83"/>
        <v>#N/A</v>
      </c>
      <c r="CJ29" s="52" t="e">
        <f t="shared" si="84"/>
        <v>#N/A</v>
      </c>
      <c r="CK29" s="214" t="e">
        <f t="shared" si="85"/>
        <v>#N/A</v>
      </c>
      <c r="CL29" s="214" t="e">
        <f t="shared" si="86"/>
        <v>#VALUE!</v>
      </c>
      <c r="CM29" s="51" t="e">
        <f t="shared" si="87"/>
        <v>#N/A</v>
      </c>
      <c r="CN29" s="52" t="e">
        <f t="shared" si="88"/>
        <v>#N/A</v>
      </c>
      <c r="CO29" s="214" t="e">
        <f t="shared" si="89"/>
        <v>#N/A</v>
      </c>
      <c r="CS29" s="51" t="e">
        <f t="shared" si="93"/>
        <v>#N/A</v>
      </c>
      <c r="CT29" s="52" t="e">
        <f t="shared" si="90"/>
        <v>#N/A</v>
      </c>
      <c r="CU29" s="51" t="e">
        <f t="shared" si="91"/>
        <v>#N/A</v>
      </c>
      <c r="CV29" s="51" t="e">
        <f t="shared" si="92"/>
        <v>#N/A</v>
      </c>
    </row>
    <row r="30" spans="2:100" x14ac:dyDescent="0.25">
      <c r="B30" s="51" t="s">
        <v>1631</v>
      </c>
      <c r="C30" s="219">
        <f>'DSCR (Port Loan)'!$C$28</f>
        <v>0</v>
      </c>
      <c r="D30" s="193" t="str">
        <f>'DSCR (Port Legend)'!D11</f>
        <v>700+</v>
      </c>
      <c r="E30" s="192">
        <v>0.6</v>
      </c>
      <c r="F30" s="192">
        <v>0.6</v>
      </c>
      <c r="G30" s="192">
        <v>0.6</v>
      </c>
      <c r="H30" s="192">
        <v>0.6</v>
      </c>
      <c r="I30" s="192">
        <v>0.6</v>
      </c>
      <c r="J30" s="192">
        <v>0.55000000000000004</v>
      </c>
      <c r="K30" s="193" t="s">
        <v>1761</v>
      </c>
      <c r="L30" s="227">
        <v>1.2</v>
      </c>
      <c r="N30" s="53">
        <v>1.5000000000000001E-2</v>
      </c>
      <c r="O30" s="53">
        <f t="shared" si="56"/>
        <v>1.0250000000000001</v>
      </c>
      <c r="P30" s="56">
        <f t="shared" si="57"/>
        <v>-3.9999999999999741E-3</v>
      </c>
      <c r="Q30" s="57" t="e">
        <f t="shared" si="58"/>
        <v>#VALUE!</v>
      </c>
      <c r="R30" s="51" t="e">
        <f>IF($Q30="-","-",IF(($Q30/$C$19)&lt;=INDEX('DSCR (Port Legend)'!$F$3:$H$14,MATCH(($Q30/$C$19),'DSCR (Port Legend)'!$F$3:$F$14,1),2),INDEX('DSCR (Port Legend)'!$F$3:$H$14,MATCH(($Q30/$C$19),'DSCR (Port Legend)'!$F$3:$F$14,1),3),"-"))</f>
        <v>#VALUE!</v>
      </c>
      <c r="S30" s="56" t="str">
        <f>IFERROR(IF($C$6="SFR",VLOOKUP(S$23,'DSCR (Port LLPA)'!$M:$V,MATCH($R30,'DSCR (Port LLPA)'!$M$1:$V$1,0),FALSE),IF($C$6="Multi",VLOOKUP(S$23,'DSCR (Port LLPA)'!$X:$AG,MATCH($R30,'DSCR (Port LLPA)'!$X$1:$AG$1,0),FALSE),"-")),"-")</f>
        <v>-</v>
      </c>
      <c r="T30" s="56" t="str">
        <f>IFERROR(IF($C$6="SFR",VLOOKUP(T$23,'DSCR (Port LLPA)'!$M:$V,MATCH($R30,'DSCR (Port LLPA)'!$M$1:$V$1,0),FALSE),IF($C$6="Multi",VLOOKUP(T$23,'DSCR (Port LLPA)'!$X:$AG,MATCH($R30,'DSCR (Port LLPA)'!$X$1:$AG$1,0),FALSE),"-")),"-")</f>
        <v>-</v>
      </c>
      <c r="U30" s="56" t="str">
        <f>IFERROR(IF($C$6="SFR",VLOOKUP(U$23,'DSCR (Port LLPA)'!$M:$V,MATCH($R30,'DSCR (Port LLPA)'!$M$1:$V$1,0),FALSE),IF($C$6="Multi",VLOOKUP(U$23,'DSCR (Port LLPA)'!$X:$AG,MATCH($R30,'DSCR (Port LLPA)'!$X$1:$AG$1,0),FALSE),"-")),"-")</f>
        <v>-</v>
      </c>
      <c r="V30" s="56" t="str">
        <f>IFERROR(IF($C$6="SFR",VLOOKUP(V$23,'DSCR (Port LLPA)'!$M:$V,MATCH($R30,'DSCR (Port LLPA)'!$M$1:$V$1,0),FALSE),IF($C$6="Multi",VLOOKUP(V$23,'DSCR (Port LLPA)'!$X:$AG,MATCH($R30,'DSCR (Port LLPA)'!$X$1:$AG$1,0),FALSE),"-")),"-")</f>
        <v>-</v>
      </c>
      <c r="W30" s="56" t="str">
        <f>IFERROR(IF($C$6="SFR",VLOOKUP(W$23,'DSCR (Port LLPA)'!$M:$V,MATCH($R30,'DSCR (Port LLPA)'!$M$1:$V$1,0),FALSE),IF($C$6="Multi",VLOOKUP(W$23,'DSCR (Port LLPA)'!$X:$AG,MATCH($R30,'DSCR (Port LLPA)'!$X$1:$AG$1,0),FALSE),"-")),"-")</f>
        <v>-</v>
      </c>
      <c r="X30" s="56" t="str">
        <f>IFERROR(IF($C$6="SFR",VLOOKUP(X$23,'DSCR (Port LLPA)'!$M:$V,MATCH($R30,'DSCR (Port LLPA)'!$M$1:$V$1,0),FALSE),IF($C$6="Multi",VLOOKUP(X$23,'DSCR (Port LLPA)'!$X:$AG,MATCH($R30,'DSCR (Port LLPA)'!$X$1:$AG$1,0),FALSE),"-")),"-")</f>
        <v>-</v>
      </c>
      <c r="Y30" s="67" t="e">
        <f>IF($Q30="-","-",IF($Q30&lt;=INDEX('DSCR (Port Legend)'!$J$3:$L$17,MATCH($Q30,'DSCR (Port Legend)'!$J$3:$J$17,1),2),INDEX('DSCR (Port Legend)'!$J$3:$L$17,MATCH($Q30,'DSCR (Port Legend)'!$J$3:$J$17,1),3),"-"))</f>
        <v>#VALUE!</v>
      </c>
      <c r="Z30" s="67" t="str">
        <f>IFERROR(IF($C$6="SFR",VLOOKUP($Y30,'DSCR (Port LLPA)'!$M:$V,MATCH($R30,'DSCR (Port LLPA)'!$M$1:$V$1,0),FALSE),IF($C$6="Multi",VLOOKUP($Y30,'DSCR (Port LLPA)'!$X:$AG,MATCH($R30,'DSCR (Port LLPA)'!$X$1:$AG$1,0),FALSE),"-")),"-")</f>
        <v>-</v>
      </c>
      <c r="AA30" s="56" t="str">
        <f>IFERROR(IF($C$6="SFR",VLOOKUP(AA$23,'DSCR (Port LLPA)'!$M:$V,MATCH($R30,'DSCR (Port LLPA)'!$M$1:$V$1,0),FALSE),IF($C$6="Multi",VLOOKUP(AA$23,'DSCR (Port LLPA)'!$X:$AG,MATCH($R30,'DSCR (Port LLPA)'!$X$1:$AG$1,0),FALSE),"-")),"-")</f>
        <v>-</v>
      </c>
      <c r="AB30" s="67" t="str">
        <f t="shared" si="59"/>
        <v>-</v>
      </c>
      <c r="AC30" s="56" t="str">
        <f>IF($AB30="-","-",IF($C$6="SFR",VLOOKUP($C$10,'DSCR (Port LLPA)'!$B$36:$K$50,MATCH($R30,'DSCR (Port LLPA)'!$B$36:$K$36,0),FALSE),IF($C$6="Multi",VLOOKUP($C$10,'DSCR (Port LLPA)'!$B$53:$K$67,MATCH($R30,'DSCR (Port LLPA)'!$B$53:$K$53,0),FALSE),"-")))</f>
        <v>-</v>
      </c>
      <c r="AD30" s="56" t="str">
        <f t="shared" si="60"/>
        <v>-</v>
      </c>
      <c r="AE30" s="52">
        <f t="shared" si="61"/>
        <v>0</v>
      </c>
      <c r="AF30" s="214">
        <f t="shared" si="62"/>
        <v>1.2</v>
      </c>
      <c r="AG30" s="52">
        <f t="shared" si="63"/>
        <v>0</v>
      </c>
      <c r="AH30" s="52">
        <f t="shared" si="64"/>
        <v>0</v>
      </c>
      <c r="AI30" s="52" t="e">
        <f t="shared" si="65"/>
        <v>#VALUE!</v>
      </c>
      <c r="AN30" s="53"/>
      <c r="AO30" s="53"/>
      <c r="AP30" s="56"/>
      <c r="AQ30" s="57"/>
      <c r="AS30" s="56"/>
      <c r="AT30" s="56"/>
      <c r="AU30" s="56"/>
      <c r="AV30" s="56"/>
      <c r="AW30" s="56"/>
      <c r="AX30" s="56"/>
      <c r="AY30" s="67"/>
      <c r="AZ30" s="67"/>
      <c r="BA30" s="56"/>
      <c r="BB30" s="67"/>
      <c r="BC30" s="56"/>
      <c r="BD30" s="56"/>
      <c r="BE30" s="52"/>
      <c r="BF30" s="225" t="s">
        <v>1635</v>
      </c>
      <c r="BG30" s="52" t="s">
        <v>1751</v>
      </c>
      <c r="BH30" s="224" t="e">
        <f t="shared" si="66"/>
        <v>#N/A</v>
      </c>
      <c r="BI30" s="52"/>
      <c r="BJ30" s="52"/>
      <c r="BK30" s="52"/>
      <c r="BL30" s="52"/>
      <c r="BM30" s="52"/>
      <c r="BN30" s="52"/>
      <c r="BO30" s="52"/>
      <c r="BP30" s="52"/>
      <c r="BR30" s="53">
        <v>0.01</v>
      </c>
      <c r="BS30" s="206">
        <f t="shared" si="67"/>
        <v>103</v>
      </c>
      <c r="BT30" s="217" t="e">
        <f t="shared" si="68"/>
        <v>#N/A</v>
      </c>
      <c r="BU30" s="67" t="e">
        <f t="shared" si="69"/>
        <v>#N/A</v>
      </c>
      <c r="BV30" s="216" t="e">
        <f t="shared" si="70"/>
        <v>#N/A</v>
      </c>
      <c r="BW30" s="216" t="e">
        <f t="shared" si="71"/>
        <v>#N/A</v>
      </c>
      <c r="BX30" s="51" t="e">
        <f t="shared" si="72"/>
        <v>#N/A</v>
      </c>
      <c r="BY30" s="215" t="e">
        <f t="shared" si="73"/>
        <v>#N/A</v>
      </c>
      <c r="BZ30" s="51" t="e">
        <f t="shared" si="74"/>
        <v>#N/A</v>
      </c>
      <c r="CA30" s="52">
        <f t="shared" si="75"/>
        <v>0</v>
      </c>
      <c r="CB30" s="52">
        <f t="shared" si="76"/>
        <v>0</v>
      </c>
      <c r="CC30" s="52">
        <f t="shared" si="77"/>
        <v>0</v>
      </c>
      <c r="CD30" s="52">
        <f t="shared" si="78"/>
        <v>0</v>
      </c>
      <c r="CE30" s="215" t="e">
        <f t="shared" si="79"/>
        <v>#N/A</v>
      </c>
      <c r="CF30" s="51" t="e">
        <f t="shared" si="80"/>
        <v>#N/A</v>
      </c>
      <c r="CG30" s="52" t="e">
        <f t="shared" si="81"/>
        <v>#N/A</v>
      </c>
      <c r="CH30" s="51" t="e">
        <f t="shared" si="82"/>
        <v>#N/A</v>
      </c>
      <c r="CI30" s="52" t="e">
        <f t="shared" si="83"/>
        <v>#N/A</v>
      </c>
      <c r="CJ30" s="52" t="e">
        <f t="shared" si="84"/>
        <v>#N/A</v>
      </c>
      <c r="CK30" s="214" t="e">
        <f t="shared" si="85"/>
        <v>#N/A</v>
      </c>
      <c r="CL30" s="214" t="e">
        <f t="shared" si="86"/>
        <v>#VALUE!</v>
      </c>
      <c r="CM30" s="51" t="e">
        <f t="shared" si="87"/>
        <v>#N/A</v>
      </c>
      <c r="CN30" s="52" t="e">
        <f t="shared" si="88"/>
        <v>#N/A</v>
      </c>
      <c r="CO30" s="214" t="e">
        <f t="shared" si="89"/>
        <v>#N/A</v>
      </c>
      <c r="CS30" s="51" t="e">
        <f t="shared" si="93"/>
        <v>#N/A</v>
      </c>
      <c r="CT30" s="52" t="e">
        <f t="shared" si="90"/>
        <v>#N/A</v>
      </c>
      <c r="CU30" s="51" t="e">
        <f t="shared" si="91"/>
        <v>#N/A</v>
      </c>
      <c r="CV30" s="51" t="e">
        <f t="shared" si="92"/>
        <v>#N/A</v>
      </c>
    </row>
    <row r="31" spans="2:100" x14ac:dyDescent="0.25">
      <c r="B31" s="51" t="s">
        <v>124</v>
      </c>
      <c r="C31" s="222" t="str">
        <f>IF($C$30&lt;=INDEX('DSCR (Port Legend)'!$N$3:$P$10,MATCH($C$30,'DSCR (Port Legend)'!$N$3:$N$10,1),2),INDEX('DSCR (Port Legend)'!$N$3:$P$10,MATCH($C$30,'DSCR (Port Legend)'!$N$3:$N$10,1),3),"-")</f>
        <v>&lt;= $35,000</v>
      </c>
      <c r="D31" s="193" t="str">
        <f>'DSCR (Port Legend)'!D12</f>
        <v>720+</v>
      </c>
      <c r="E31" s="192">
        <v>0.65</v>
      </c>
      <c r="F31" s="192">
        <v>0.65</v>
      </c>
      <c r="G31" s="192">
        <v>0.65</v>
      </c>
      <c r="H31" s="192">
        <v>0.65</v>
      </c>
      <c r="I31" s="192">
        <v>0.65</v>
      </c>
      <c r="J31" s="192">
        <v>0.6</v>
      </c>
      <c r="K31" s="51" t="s">
        <v>1760</v>
      </c>
      <c r="L31" s="226" t="e">
        <f>L29/L30</f>
        <v>#VALUE!</v>
      </c>
      <c r="N31" s="53">
        <v>1.7500000000000002E-2</v>
      </c>
      <c r="O31" s="53">
        <f t="shared" si="56"/>
        <v>1.0225</v>
      </c>
      <c r="P31" s="56">
        <f t="shared" si="57"/>
        <v>-4.6666666666666853E-3</v>
      </c>
      <c r="Q31" s="57" t="e">
        <f t="shared" si="58"/>
        <v>#VALUE!</v>
      </c>
      <c r="R31" s="51" t="e">
        <f>IF($Q31="-","-",IF(($Q31/$C$19)&lt;=INDEX('DSCR (Port Legend)'!$F$3:$H$14,MATCH(($Q31/$C$19),'DSCR (Port Legend)'!$F$3:$F$14,1),2),INDEX('DSCR (Port Legend)'!$F$3:$H$14,MATCH(($Q31/$C$19),'DSCR (Port Legend)'!$F$3:$F$14,1),3),"-"))</f>
        <v>#VALUE!</v>
      </c>
      <c r="S31" s="56" t="str">
        <f>IFERROR(IF($C$6="SFR",VLOOKUP(S$23,'DSCR (Port LLPA)'!$M:$V,MATCH($R31,'DSCR (Port LLPA)'!$M$1:$V$1,0),FALSE),IF($C$6="Multi",VLOOKUP(S$23,'DSCR (Port LLPA)'!$X:$AG,MATCH($R31,'DSCR (Port LLPA)'!$X$1:$AG$1,0),FALSE),"-")),"-")</f>
        <v>-</v>
      </c>
      <c r="T31" s="56" t="str">
        <f>IFERROR(IF($C$6="SFR",VLOOKUP(T$23,'DSCR (Port LLPA)'!$M:$V,MATCH($R31,'DSCR (Port LLPA)'!$M$1:$V$1,0),FALSE),IF($C$6="Multi",VLOOKUP(T$23,'DSCR (Port LLPA)'!$X:$AG,MATCH($R31,'DSCR (Port LLPA)'!$X$1:$AG$1,0),FALSE),"-")),"-")</f>
        <v>-</v>
      </c>
      <c r="U31" s="56" t="str">
        <f>IFERROR(IF($C$6="SFR",VLOOKUP(U$23,'DSCR (Port LLPA)'!$M:$V,MATCH($R31,'DSCR (Port LLPA)'!$M$1:$V$1,0),FALSE),IF($C$6="Multi",VLOOKUP(U$23,'DSCR (Port LLPA)'!$X:$AG,MATCH($R31,'DSCR (Port LLPA)'!$X$1:$AG$1,0),FALSE),"-")),"-")</f>
        <v>-</v>
      </c>
      <c r="V31" s="56" t="str">
        <f>IFERROR(IF($C$6="SFR",VLOOKUP(V$23,'DSCR (Port LLPA)'!$M:$V,MATCH($R31,'DSCR (Port LLPA)'!$M$1:$V$1,0),FALSE),IF($C$6="Multi",VLOOKUP(V$23,'DSCR (Port LLPA)'!$X:$AG,MATCH($R31,'DSCR (Port LLPA)'!$X$1:$AG$1,0),FALSE),"-")),"-")</f>
        <v>-</v>
      </c>
      <c r="W31" s="56" t="str">
        <f>IFERROR(IF($C$6="SFR",VLOOKUP(W$23,'DSCR (Port LLPA)'!$M:$V,MATCH($R31,'DSCR (Port LLPA)'!$M$1:$V$1,0),FALSE),IF($C$6="Multi",VLOOKUP(W$23,'DSCR (Port LLPA)'!$X:$AG,MATCH($R31,'DSCR (Port LLPA)'!$X$1:$AG$1,0),FALSE),"-")),"-")</f>
        <v>-</v>
      </c>
      <c r="X31" s="56" t="str">
        <f>IFERROR(IF($C$6="SFR",VLOOKUP(X$23,'DSCR (Port LLPA)'!$M:$V,MATCH($R31,'DSCR (Port LLPA)'!$M$1:$V$1,0),FALSE),IF($C$6="Multi",VLOOKUP(X$23,'DSCR (Port LLPA)'!$X:$AG,MATCH($R31,'DSCR (Port LLPA)'!$X$1:$AG$1,0),FALSE),"-")),"-")</f>
        <v>-</v>
      </c>
      <c r="Y31" s="67" t="e">
        <f>IF($Q31="-","-",IF($Q31&lt;=INDEX('DSCR (Port Legend)'!$J$3:$L$17,MATCH($Q31,'DSCR (Port Legend)'!$J$3:$J$17,1),2),INDEX('DSCR (Port Legend)'!$J$3:$L$17,MATCH($Q31,'DSCR (Port Legend)'!$J$3:$J$17,1),3),"-"))</f>
        <v>#VALUE!</v>
      </c>
      <c r="Z31" s="67" t="str">
        <f>IFERROR(IF($C$6="SFR",VLOOKUP($Y31,'DSCR (Port LLPA)'!$M:$V,MATCH($R31,'DSCR (Port LLPA)'!$M$1:$V$1,0),FALSE),IF($C$6="Multi",VLOOKUP($Y31,'DSCR (Port LLPA)'!$X:$AG,MATCH($R31,'DSCR (Port LLPA)'!$X$1:$AG$1,0),FALSE),"-")),"-")</f>
        <v>-</v>
      </c>
      <c r="AA31" s="56" t="str">
        <f>IFERROR(IF($C$6="SFR",VLOOKUP(AA$23,'DSCR (Port LLPA)'!$M:$V,MATCH($R31,'DSCR (Port LLPA)'!$M$1:$V$1,0),FALSE),IF($C$6="Multi",VLOOKUP(AA$23,'DSCR (Port LLPA)'!$X:$AG,MATCH($R31,'DSCR (Port LLPA)'!$X$1:$AG$1,0),FALSE),"-")),"-")</f>
        <v>-</v>
      </c>
      <c r="AB31" s="67" t="str">
        <f t="shared" si="59"/>
        <v>-</v>
      </c>
      <c r="AC31" s="56" t="str">
        <f>IF($AB31="-","-",IF($C$6="SFR",VLOOKUP($C$10,'DSCR (Port LLPA)'!$B$36:$K$50,MATCH($R31,'DSCR (Port LLPA)'!$B$36:$K$36,0),FALSE),IF($C$6="Multi",VLOOKUP($C$10,'DSCR (Port LLPA)'!$B$53:$K$67,MATCH($R31,'DSCR (Port LLPA)'!$B$53:$K$53,0),FALSE),"-")))</f>
        <v>-</v>
      </c>
      <c r="AD31" s="56" t="str">
        <f t="shared" si="60"/>
        <v>-</v>
      </c>
      <c r="AE31" s="52">
        <f t="shared" si="61"/>
        <v>0</v>
      </c>
      <c r="AF31" s="214">
        <f t="shared" si="62"/>
        <v>1.2</v>
      </c>
      <c r="AG31" s="52">
        <f t="shared" si="63"/>
        <v>0</v>
      </c>
      <c r="AH31" s="52">
        <f t="shared" si="64"/>
        <v>0</v>
      </c>
      <c r="AI31" s="52" t="e">
        <f t="shared" si="65"/>
        <v>#VALUE!</v>
      </c>
      <c r="AN31" s="53"/>
      <c r="AO31" s="53"/>
      <c r="AP31" s="56"/>
      <c r="AQ31" s="57"/>
      <c r="AS31" s="56"/>
      <c r="AT31" s="56"/>
      <c r="AU31" s="56"/>
      <c r="AV31" s="56"/>
      <c r="AW31" s="56"/>
      <c r="AX31" s="56"/>
      <c r="AY31" s="67"/>
      <c r="AZ31" s="67"/>
      <c r="BA31" s="56"/>
      <c r="BB31" s="67"/>
      <c r="BC31" s="56"/>
      <c r="BD31" s="56"/>
      <c r="BE31" s="52"/>
      <c r="BF31" s="225" t="s">
        <v>1634</v>
      </c>
      <c r="BG31" s="52" t="s">
        <v>1750</v>
      </c>
      <c r="BH31" s="224" t="e">
        <f t="shared" si="66"/>
        <v>#N/A</v>
      </c>
      <c r="BI31" s="52"/>
      <c r="BJ31" s="52"/>
      <c r="BK31" s="52"/>
      <c r="BL31" s="52"/>
      <c r="BM31" s="52"/>
      <c r="BN31" s="52"/>
      <c r="BO31" s="52"/>
      <c r="BP31" s="52"/>
      <c r="BR31" s="53">
        <v>1.2500000000000001E-2</v>
      </c>
      <c r="BS31" s="206">
        <f t="shared" si="67"/>
        <v>102.75</v>
      </c>
      <c r="BT31" s="217" t="e">
        <f t="shared" si="68"/>
        <v>#N/A</v>
      </c>
      <c r="BU31" s="67" t="e">
        <f t="shared" si="69"/>
        <v>#N/A</v>
      </c>
      <c r="BV31" s="216" t="e">
        <f t="shared" si="70"/>
        <v>#N/A</v>
      </c>
      <c r="BW31" s="216" t="e">
        <f t="shared" si="71"/>
        <v>#N/A</v>
      </c>
      <c r="BX31" s="51" t="e">
        <f t="shared" si="72"/>
        <v>#N/A</v>
      </c>
      <c r="BY31" s="215" t="e">
        <f t="shared" si="73"/>
        <v>#N/A</v>
      </c>
      <c r="BZ31" s="51" t="e">
        <f t="shared" si="74"/>
        <v>#N/A</v>
      </c>
      <c r="CA31" s="52">
        <f t="shared" si="75"/>
        <v>0</v>
      </c>
      <c r="CB31" s="52">
        <f t="shared" si="76"/>
        <v>0</v>
      </c>
      <c r="CC31" s="52">
        <f t="shared" si="77"/>
        <v>0</v>
      </c>
      <c r="CD31" s="52">
        <f t="shared" si="78"/>
        <v>0</v>
      </c>
      <c r="CE31" s="215" t="e">
        <f t="shared" si="79"/>
        <v>#N/A</v>
      </c>
      <c r="CF31" s="51" t="e">
        <f t="shared" si="80"/>
        <v>#N/A</v>
      </c>
      <c r="CG31" s="52" t="e">
        <f t="shared" si="81"/>
        <v>#N/A</v>
      </c>
      <c r="CH31" s="51" t="e">
        <f t="shared" si="82"/>
        <v>#N/A</v>
      </c>
      <c r="CI31" s="52" t="e">
        <f t="shared" si="83"/>
        <v>#N/A</v>
      </c>
      <c r="CJ31" s="52" t="e">
        <f t="shared" si="84"/>
        <v>#N/A</v>
      </c>
      <c r="CK31" s="214" t="e">
        <f t="shared" si="85"/>
        <v>#N/A</v>
      </c>
      <c r="CL31" s="214" t="e">
        <f t="shared" si="86"/>
        <v>#VALUE!</v>
      </c>
      <c r="CM31" s="51" t="e">
        <f t="shared" si="87"/>
        <v>#N/A</v>
      </c>
      <c r="CN31" s="52" t="e">
        <f t="shared" si="88"/>
        <v>#N/A</v>
      </c>
      <c r="CO31" s="214" t="e">
        <f t="shared" si="89"/>
        <v>#N/A</v>
      </c>
      <c r="CS31" s="51" t="e">
        <f t="shared" si="93"/>
        <v>#N/A</v>
      </c>
      <c r="CT31" s="52" t="e">
        <f t="shared" si="90"/>
        <v>#N/A</v>
      </c>
      <c r="CU31" s="51" t="e">
        <f t="shared" si="91"/>
        <v>#N/A</v>
      </c>
      <c r="CV31" s="51" t="e">
        <f t="shared" si="92"/>
        <v>#N/A</v>
      </c>
    </row>
    <row r="32" spans="2:100" x14ac:dyDescent="0.25">
      <c r="B32" s="51" t="s">
        <v>1759</v>
      </c>
      <c r="C32" s="223">
        <f>IFERROR(VLOOKUP(C31,'DSCR (Port Legend)'!$N$12:$O$19,2,FALSE),"-")</f>
        <v>0.45</v>
      </c>
      <c r="D32" s="193" t="str">
        <f>'DSCR (Port Legend)'!D13</f>
        <v>740+</v>
      </c>
      <c r="E32" s="192">
        <v>0.65</v>
      </c>
      <c r="F32" s="192">
        <v>0.65</v>
      </c>
      <c r="G32" s="192">
        <v>0.65</v>
      </c>
      <c r="H32" s="192">
        <v>0.65</v>
      </c>
      <c r="I32" s="192">
        <v>0.65</v>
      </c>
      <c r="J32" s="192">
        <v>0.6</v>
      </c>
      <c r="N32" s="53">
        <v>0.02</v>
      </c>
      <c r="O32" s="53">
        <f t="shared" si="56"/>
        <v>1.02</v>
      </c>
      <c r="P32" s="56">
        <f t="shared" si="57"/>
        <v>-5.3333333333333384E-3</v>
      </c>
      <c r="Q32" s="57" t="e">
        <f t="shared" si="58"/>
        <v>#VALUE!</v>
      </c>
      <c r="R32" s="51" t="e">
        <f>IF($Q32="-","-",IF(($Q32/$C$19)&lt;=INDEX('DSCR (Port Legend)'!$F$3:$H$14,MATCH(($Q32/$C$19),'DSCR (Port Legend)'!$F$3:$F$14,1),2),INDEX('DSCR (Port Legend)'!$F$3:$H$14,MATCH(($Q32/$C$19),'DSCR (Port Legend)'!$F$3:$F$14,1),3),"-"))</f>
        <v>#VALUE!</v>
      </c>
      <c r="S32" s="56" t="str">
        <f>IFERROR(IF($C$6="SFR",VLOOKUP(S$23,'DSCR (Port LLPA)'!$M:$V,MATCH($R32,'DSCR (Port LLPA)'!$M$1:$V$1,0),FALSE),IF($C$6="Multi",VLOOKUP(S$23,'DSCR (Port LLPA)'!$X:$AG,MATCH($R32,'DSCR (Port LLPA)'!$X$1:$AG$1,0),FALSE),"-")),"-")</f>
        <v>-</v>
      </c>
      <c r="T32" s="56" t="str">
        <f>IFERROR(IF($C$6="SFR",VLOOKUP(T$23,'DSCR (Port LLPA)'!$M:$V,MATCH($R32,'DSCR (Port LLPA)'!$M$1:$V$1,0),FALSE),IF($C$6="Multi",VLOOKUP(T$23,'DSCR (Port LLPA)'!$X:$AG,MATCH($R32,'DSCR (Port LLPA)'!$X$1:$AG$1,0),FALSE),"-")),"-")</f>
        <v>-</v>
      </c>
      <c r="U32" s="56" t="str">
        <f>IFERROR(IF($C$6="SFR",VLOOKUP(U$23,'DSCR (Port LLPA)'!$M:$V,MATCH($R32,'DSCR (Port LLPA)'!$M$1:$V$1,0),FALSE),IF($C$6="Multi",VLOOKUP(U$23,'DSCR (Port LLPA)'!$X:$AG,MATCH($R32,'DSCR (Port LLPA)'!$X$1:$AG$1,0),FALSE),"-")),"-")</f>
        <v>-</v>
      </c>
      <c r="V32" s="56" t="str">
        <f>IFERROR(IF($C$6="SFR",VLOOKUP(V$23,'DSCR (Port LLPA)'!$M:$V,MATCH($R32,'DSCR (Port LLPA)'!$M$1:$V$1,0),FALSE),IF($C$6="Multi",VLOOKUP(V$23,'DSCR (Port LLPA)'!$X:$AG,MATCH($R32,'DSCR (Port LLPA)'!$X$1:$AG$1,0),FALSE),"-")),"-")</f>
        <v>-</v>
      </c>
      <c r="W32" s="56" t="str">
        <f>IFERROR(IF($C$6="SFR",VLOOKUP(W$23,'DSCR (Port LLPA)'!$M:$V,MATCH($R32,'DSCR (Port LLPA)'!$M$1:$V$1,0),FALSE),IF($C$6="Multi",VLOOKUP(W$23,'DSCR (Port LLPA)'!$X:$AG,MATCH($R32,'DSCR (Port LLPA)'!$X$1:$AG$1,0),FALSE),"-")),"-")</f>
        <v>-</v>
      </c>
      <c r="X32" s="56" t="str">
        <f>IFERROR(IF($C$6="SFR",VLOOKUP(X$23,'DSCR (Port LLPA)'!$M:$V,MATCH($R32,'DSCR (Port LLPA)'!$M$1:$V$1,0),FALSE),IF($C$6="Multi",VLOOKUP(X$23,'DSCR (Port LLPA)'!$X:$AG,MATCH($R32,'DSCR (Port LLPA)'!$X$1:$AG$1,0),FALSE),"-")),"-")</f>
        <v>-</v>
      </c>
      <c r="Y32" s="67" t="e">
        <f>IF($Q32="-","-",IF($Q32&lt;=INDEX('DSCR (Port Legend)'!$J$3:$L$17,MATCH($Q32,'DSCR (Port Legend)'!$J$3:$J$17,1),2),INDEX('DSCR (Port Legend)'!$J$3:$L$17,MATCH($Q32,'DSCR (Port Legend)'!$J$3:$J$17,1),3),"-"))</f>
        <v>#VALUE!</v>
      </c>
      <c r="Z32" s="67" t="str">
        <f>IFERROR(IF($C$6="SFR",VLOOKUP($Y32,'DSCR (Port LLPA)'!$M:$V,MATCH($R32,'DSCR (Port LLPA)'!$M$1:$V$1,0),FALSE),IF($C$6="Multi",VLOOKUP($Y32,'DSCR (Port LLPA)'!$X:$AG,MATCH($R32,'DSCR (Port LLPA)'!$X$1:$AG$1,0),FALSE),"-")),"-")</f>
        <v>-</v>
      </c>
      <c r="AA32" s="56" t="str">
        <f>IFERROR(IF($C$6="SFR",VLOOKUP(AA$23,'DSCR (Port LLPA)'!$M:$V,MATCH($R32,'DSCR (Port LLPA)'!$M$1:$V$1,0),FALSE),IF($C$6="Multi",VLOOKUP(AA$23,'DSCR (Port LLPA)'!$X:$AG,MATCH($R32,'DSCR (Port LLPA)'!$X$1:$AG$1,0),FALSE),"-")),"-")</f>
        <v>-</v>
      </c>
      <c r="AB32" s="67" t="str">
        <f t="shared" si="59"/>
        <v>-</v>
      </c>
      <c r="AC32" s="56" t="str">
        <f>IF($AB32="-","-",IF($C$6="SFR",VLOOKUP($C$10,'DSCR (Port LLPA)'!$B$36:$K$50,MATCH($R32,'DSCR (Port LLPA)'!$B$36:$K$36,0),FALSE),IF($C$6="Multi",VLOOKUP($C$10,'DSCR (Port LLPA)'!$B$53:$K$67,MATCH($R32,'DSCR (Port LLPA)'!$B$53:$K$53,0),FALSE),"-")))</f>
        <v>-</v>
      </c>
      <c r="AD32" s="56" t="str">
        <f t="shared" si="60"/>
        <v>-</v>
      </c>
      <c r="AE32" s="52">
        <f t="shared" si="61"/>
        <v>0</v>
      </c>
      <c r="AF32" s="214">
        <f t="shared" si="62"/>
        <v>1.2</v>
      </c>
      <c r="AG32" s="52">
        <f t="shared" si="63"/>
        <v>0</v>
      </c>
      <c r="AH32" s="52">
        <f t="shared" si="64"/>
        <v>0</v>
      </c>
      <c r="AI32" s="52" t="e">
        <f t="shared" si="65"/>
        <v>#VALUE!</v>
      </c>
      <c r="AN32" s="53"/>
      <c r="AO32" s="53"/>
      <c r="AP32" s="56"/>
      <c r="AQ32" s="57"/>
      <c r="AS32" s="56"/>
      <c r="AT32" s="56"/>
      <c r="AU32" s="56"/>
      <c r="AV32" s="56"/>
      <c r="AW32" s="56"/>
      <c r="AX32" s="56"/>
      <c r="AY32" s="67"/>
      <c r="AZ32" s="67"/>
      <c r="BA32" s="56"/>
      <c r="BB32" s="67"/>
      <c r="BC32" s="56"/>
      <c r="BD32" s="56"/>
      <c r="BE32" s="52"/>
      <c r="BF32" s="214"/>
      <c r="BG32" s="52"/>
      <c r="BH32" s="52"/>
      <c r="BI32" s="52"/>
      <c r="BJ32" s="52"/>
      <c r="BK32" s="52"/>
      <c r="BL32" s="52"/>
      <c r="BM32" s="52"/>
      <c r="BN32" s="52"/>
      <c r="BO32" s="52"/>
      <c r="BP32" s="52"/>
      <c r="BR32" s="53">
        <v>1.5000000000000001E-2</v>
      </c>
      <c r="BS32" s="206">
        <f t="shared" si="67"/>
        <v>102.5</v>
      </c>
      <c r="BT32" s="217" t="e">
        <f t="shared" si="68"/>
        <v>#N/A</v>
      </c>
      <c r="BU32" s="67" t="e">
        <f t="shared" si="69"/>
        <v>#N/A</v>
      </c>
      <c r="BV32" s="216" t="e">
        <f t="shared" si="70"/>
        <v>#N/A</v>
      </c>
      <c r="BW32" s="216" t="e">
        <f t="shared" si="71"/>
        <v>#N/A</v>
      </c>
      <c r="BX32" s="51" t="e">
        <f t="shared" si="72"/>
        <v>#N/A</v>
      </c>
      <c r="BY32" s="215" t="e">
        <f t="shared" si="73"/>
        <v>#N/A</v>
      </c>
      <c r="BZ32" s="51" t="e">
        <f t="shared" si="74"/>
        <v>#N/A</v>
      </c>
      <c r="CA32" s="52">
        <f t="shared" si="75"/>
        <v>0</v>
      </c>
      <c r="CB32" s="52">
        <f t="shared" si="76"/>
        <v>0</v>
      </c>
      <c r="CC32" s="52">
        <f t="shared" si="77"/>
        <v>0</v>
      </c>
      <c r="CD32" s="52">
        <f t="shared" si="78"/>
        <v>0</v>
      </c>
      <c r="CE32" s="215" t="e">
        <f t="shared" si="79"/>
        <v>#N/A</v>
      </c>
      <c r="CF32" s="51" t="e">
        <f t="shared" si="80"/>
        <v>#N/A</v>
      </c>
      <c r="CG32" s="52" t="e">
        <f t="shared" si="81"/>
        <v>#N/A</v>
      </c>
      <c r="CH32" s="51" t="e">
        <f t="shared" si="82"/>
        <v>#N/A</v>
      </c>
      <c r="CI32" s="52" t="e">
        <f t="shared" si="83"/>
        <v>#N/A</v>
      </c>
      <c r="CJ32" s="52" t="e">
        <f t="shared" si="84"/>
        <v>#N/A</v>
      </c>
      <c r="CK32" s="214" t="e">
        <f t="shared" si="85"/>
        <v>#N/A</v>
      </c>
      <c r="CL32" s="214" t="e">
        <f t="shared" si="86"/>
        <v>#VALUE!</v>
      </c>
      <c r="CM32" s="51" t="e">
        <f t="shared" si="87"/>
        <v>#N/A</v>
      </c>
      <c r="CN32" s="52" t="e">
        <f t="shared" si="88"/>
        <v>#N/A</v>
      </c>
      <c r="CO32" s="214" t="e">
        <f t="shared" si="89"/>
        <v>#N/A</v>
      </c>
      <c r="CS32" s="51" t="e">
        <f t="shared" si="93"/>
        <v>#N/A</v>
      </c>
      <c r="CT32" s="52" t="e">
        <f t="shared" si="90"/>
        <v>#N/A</v>
      </c>
      <c r="CU32" s="51" t="e">
        <f t="shared" si="91"/>
        <v>#N/A</v>
      </c>
      <c r="CV32" s="51" t="e">
        <f t="shared" si="92"/>
        <v>#N/A</v>
      </c>
    </row>
    <row r="33" spans="2:100" x14ac:dyDescent="0.25">
      <c r="D33" s="193" t="str">
        <f>'DSCR (Port Legend)'!D14</f>
        <v>760+</v>
      </c>
      <c r="E33" s="192">
        <v>0.65</v>
      </c>
      <c r="F33" s="192">
        <v>0.65</v>
      </c>
      <c r="G33" s="192">
        <v>0.65</v>
      </c>
      <c r="H33" s="192">
        <v>0.65</v>
      </c>
      <c r="I33" s="192">
        <v>0.65</v>
      </c>
      <c r="J33" s="192">
        <v>0.6</v>
      </c>
      <c r="N33" s="53">
        <v>2.2499999999999999E-2</v>
      </c>
      <c r="O33" s="53">
        <f t="shared" si="56"/>
        <v>1.0175000000000001</v>
      </c>
      <c r="P33" s="56">
        <f t="shared" si="57"/>
        <v>-5.9999999999999906E-3</v>
      </c>
      <c r="Q33" s="57" t="e">
        <f t="shared" si="58"/>
        <v>#VALUE!</v>
      </c>
      <c r="R33" s="51" t="e">
        <f>IF($Q33="-","-",IF(($Q33/$C$19)&lt;=INDEX('DSCR (Port Legend)'!$F$3:$H$14,MATCH(($Q33/$C$19),'DSCR (Port Legend)'!$F$3:$F$14,1),2),INDEX('DSCR (Port Legend)'!$F$3:$H$14,MATCH(($Q33/$C$19),'DSCR (Port Legend)'!$F$3:$F$14,1),3),"-"))</f>
        <v>#VALUE!</v>
      </c>
      <c r="S33" s="56" t="str">
        <f>IFERROR(IF($C$6="SFR",VLOOKUP(S$23,'DSCR (Port LLPA)'!$M:$V,MATCH($R33,'DSCR (Port LLPA)'!$M$1:$V$1,0),FALSE),IF($C$6="Multi",VLOOKUP(S$23,'DSCR (Port LLPA)'!$X:$AG,MATCH($R33,'DSCR (Port LLPA)'!$X$1:$AG$1,0),FALSE),"-")),"-")</f>
        <v>-</v>
      </c>
      <c r="T33" s="56" t="str">
        <f>IFERROR(IF($C$6="SFR",VLOOKUP(T$23,'DSCR (Port LLPA)'!$M:$V,MATCH($R33,'DSCR (Port LLPA)'!$M$1:$V$1,0),FALSE),IF($C$6="Multi",VLOOKUP(T$23,'DSCR (Port LLPA)'!$X:$AG,MATCH($R33,'DSCR (Port LLPA)'!$X$1:$AG$1,0),FALSE),"-")),"-")</f>
        <v>-</v>
      </c>
      <c r="U33" s="56" t="str">
        <f>IFERROR(IF($C$6="SFR",VLOOKUP(U$23,'DSCR (Port LLPA)'!$M:$V,MATCH($R33,'DSCR (Port LLPA)'!$M$1:$V$1,0),FALSE),IF($C$6="Multi",VLOOKUP(U$23,'DSCR (Port LLPA)'!$X:$AG,MATCH($R33,'DSCR (Port LLPA)'!$X$1:$AG$1,0),FALSE),"-")),"-")</f>
        <v>-</v>
      </c>
      <c r="V33" s="56" t="str">
        <f>IFERROR(IF($C$6="SFR",VLOOKUP(V$23,'DSCR (Port LLPA)'!$M:$V,MATCH($R33,'DSCR (Port LLPA)'!$M$1:$V$1,0),FALSE),IF($C$6="Multi",VLOOKUP(V$23,'DSCR (Port LLPA)'!$X:$AG,MATCH($R33,'DSCR (Port LLPA)'!$X$1:$AG$1,0),FALSE),"-")),"-")</f>
        <v>-</v>
      </c>
      <c r="W33" s="56" t="str">
        <f>IFERROR(IF($C$6="SFR",VLOOKUP(W$23,'DSCR (Port LLPA)'!$M:$V,MATCH($R33,'DSCR (Port LLPA)'!$M$1:$V$1,0),FALSE),IF($C$6="Multi",VLOOKUP(W$23,'DSCR (Port LLPA)'!$X:$AG,MATCH($R33,'DSCR (Port LLPA)'!$X$1:$AG$1,0),FALSE),"-")),"-")</f>
        <v>-</v>
      </c>
      <c r="X33" s="56" t="str">
        <f>IFERROR(IF($C$6="SFR",VLOOKUP(X$23,'DSCR (Port LLPA)'!$M:$V,MATCH($R33,'DSCR (Port LLPA)'!$M$1:$V$1,0),FALSE),IF($C$6="Multi",VLOOKUP(X$23,'DSCR (Port LLPA)'!$X:$AG,MATCH($R33,'DSCR (Port LLPA)'!$X$1:$AG$1,0),FALSE),"-")),"-")</f>
        <v>-</v>
      </c>
      <c r="Y33" s="67" t="e">
        <f>IF($Q33="-","-",IF($Q33&lt;=INDEX('DSCR (Port Legend)'!$J$3:$L$17,MATCH($Q33,'DSCR (Port Legend)'!$J$3:$J$17,1),2),INDEX('DSCR (Port Legend)'!$J$3:$L$17,MATCH($Q33,'DSCR (Port Legend)'!$J$3:$J$17,1),3),"-"))</f>
        <v>#VALUE!</v>
      </c>
      <c r="Z33" s="67" t="str">
        <f>IFERROR(IF($C$6="SFR",VLOOKUP($Y33,'DSCR (Port LLPA)'!$M:$V,MATCH($R33,'DSCR (Port LLPA)'!$M$1:$V$1,0),FALSE),IF($C$6="Multi",VLOOKUP($Y33,'DSCR (Port LLPA)'!$X:$AG,MATCH($R33,'DSCR (Port LLPA)'!$X$1:$AG$1,0),FALSE),"-")),"-")</f>
        <v>-</v>
      </c>
      <c r="AA33" s="56" t="str">
        <f>IFERROR(IF($C$6="SFR",VLOOKUP(AA$23,'DSCR (Port LLPA)'!$M:$V,MATCH($R33,'DSCR (Port LLPA)'!$M$1:$V$1,0),FALSE),IF($C$6="Multi",VLOOKUP(AA$23,'DSCR (Port LLPA)'!$X:$AG,MATCH($R33,'DSCR (Port LLPA)'!$X$1:$AG$1,0),FALSE),"-")),"-")</f>
        <v>-</v>
      </c>
      <c r="AB33" s="67" t="str">
        <f t="shared" si="59"/>
        <v>-</v>
      </c>
      <c r="AC33" s="56" t="str">
        <f>IF($AB33="-","-",IF($C$6="SFR",VLOOKUP($C$10,'DSCR (Port LLPA)'!$B$36:$K$50,MATCH($R33,'DSCR (Port LLPA)'!$B$36:$K$36,0),FALSE),IF($C$6="Multi",VLOOKUP($C$10,'DSCR (Port LLPA)'!$B$53:$K$67,MATCH($R33,'DSCR (Port LLPA)'!$B$53:$K$53,0),FALSE),"-")))</f>
        <v>-</v>
      </c>
      <c r="AD33" s="56" t="str">
        <f t="shared" si="60"/>
        <v>-</v>
      </c>
      <c r="AE33" s="52">
        <f t="shared" si="61"/>
        <v>0</v>
      </c>
      <c r="AF33" s="214">
        <f t="shared" si="62"/>
        <v>1.2</v>
      </c>
      <c r="AG33" s="52">
        <f t="shared" si="63"/>
        <v>0</v>
      </c>
      <c r="AH33" s="52">
        <f t="shared" si="64"/>
        <v>0</v>
      </c>
      <c r="AI33" s="52" t="e">
        <f t="shared" si="65"/>
        <v>#VALUE!</v>
      </c>
      <c r="AN33" s="53"/>
      <c r="AO33" s="53"/>
      <c r="AP33" s="56"/>
      <c r="AQ33" s="57"/>
      <c r="AS33" s="56"/>
      <c r="AT33" s="56"/>
      <c r="AU33" s="56"/>
      <c r="AV33" s="56"/>
      <c r="AW33" s="56"/>
      <c r="AX33" s="56"/>
      <c r="AY33" s="67"/>
      <c r="AZ33" s="67"/>
      <c r="BA33" s="56"/>
      <c r="BB33" s="67"/>
      <c r="BC33" s="56"/>
      <c r="BD33" s="56"/>
      <c r="BE33" s="52"/>
      <c r="BF33" s="214"/>
      <c r="BG33" s="52"/>
      <c r="BH33" s="52"/>
      <c r="BI33" s="52"/>
      <c r="BJ33" s="52"/>
      <c r="BK33" s="52"/>
      <c r="BL33" s="52"/>
      <c r="BM33" s="52"/>
      <c r="BN33" s="52"/>
      <c r="BO33" s="52"/>
      <c r="BP33" s="52"/>
      <c r="BR33" s="53">
        <v>1.7500000000000002E-2</v>
      </c>
      <c r="BS33" s="206">
        <f t="shared" si="67"/>
        <v>102.25</v>
      </c>
      <c r="BT33" s="217" t="e">
        <f t="shared" si="68"/>
        <v>#N/A</v>
      </c>
      <c r="BU33" s="67" t="e">
        <f t="shared" si="69"/>
        <v>#N/A</v>
      </c>
      <c r="BV33" s="216" t="e">
        <f t="shared" si="70"/>
        <v>#N/A</v>
      </c>
      <c r="BW33" s="216" t="e">
        <f t="shared" si="71"/>
        <v>#N/A</v>
      </c>
      <c r="BX33" s="51" t="e">
        <f t="shared" si="72"/>
        <v>#N/A</v>
      </c>
      <c r="BY33" s="215" t="e">
        <f t="shared" si="73"/>
        <v>#N/A</v>
      </c>
      <c r="BZ33" s="51" t="e">
        <f t="shared" si="74"/>
        <v>#N/A</v>
      </c>
      <c r="CA33" s="52">
        <f t="shared" si="75"/>
        <v>0</v>
      </c>
      <c r="CB33" s="52">
        <f t="shared" si="76"/>
        <v>0</v>
      </c>
      <c r="CC33" s="52">
        <f t="shared" si="77"/>
        <v>0</v>
      </c>
      <c r="CD33" s="52">
        <f t="shared" si="78"/>
        <v>0</v>
      </c>
      <c r="CE33" s="215" t="e">
        <f t="shared" si="79"/>
        <v>#N/A</v>
      </c>
      <c r="CF33" s="51" t="e">
        <f t="shared" si="80"/>
        <v>#N/A</v>
      </c>
      <c r="CG33" s="52" t="e">
        <f t="shared" si="81"/>
        <v>#N/A</v>
      </c>
      <c r="CH33" s="51" t="e">
        <f t="shared" si="82"/>
        <v>#N/A</v>
      </c>
      <c r="CI33" s="52" t="e">
        <f t="shared" si="83"/>
        <v>#N/A</v>
      </c>
      <c r="CJ33" s="52" t="e">
        <f t="shared" si="84"/>
        <v>#N/A</v>
      </c>
      <c r="CK33" s="214" t="e">
        <f t="shared" si="85"/>
        <v>#N/A</v>
      </c>
      <c r="CL33" s="214" t="e">
        <f t="shared" si="86"/>
        <v>#VALUE!</v>
      </c>
      <c r="CM33" s="51" t="e">
        <f t="shared" si="87"/>
        <v>#N/A</v>
      </c>
      <c r="CN33" s="52" t="e">
        <f t="shared" si="88"/>
        <v>#N/A</v>
      </c>
      <c r="CO33" s="214" t="e">
        <f t="shared" si="89"/>
        <v>#N/A</v>
      </c>
      <c r="CS33" s="51" t="e">
        <f t="shared" si="93"/>
        <v>#N/A</v>
      </c>
      <c r="CT33" s="52" t="e">
        <f t="shared" si="90"/>
        <v>#N/A</v>
      </c>
      <c r="CU33" s="51" t="e">
        <f t="shared" si="91"/>
        <v>#N/A</v>
      </c>
      <c r="CV33" s="51" t="e">
        <f t="shared" si="92"/>
        <v>#N/A</v>
      </c>
    </row>
    <row r="34" spans="2:100" x14ac:dyDescent="0.25">
      <c r="B34" s="222" t="str">
        <f>$C$3&amp;" "&amp;"LTV"</f>
        <v>0 LTV</v>
      </c>
      <c r="C34" s="221" t="e">
        <f>IF($C$6="SFR",VLOOKUP($C$10,$D$3:$J$17,MATCH($B$34,$D$3:$J$3,0),FALSE),IF($C$6="Multi",VLOOKUP($C$10,$D$22:$J$36,MATCH($B$34,$D$22:$J$22,0),FALSE),"-"))</f>
        <v>#N/A</v>
      </c>
      <c r="D34" s="193" t="str">
        <f>'DSCR (Port Legend)'!D15</f>
        <v>780+</v>
      </c>
      <c r="E34" s="192">
        <v>0.65</v>
      </c>
      <c r="F34" s="192">
        <v>0.65</v>
      </c>
      <c r="G34" s="192">
        <v>0.65</v>
      </c>
      <c r="H34" s="192">
        <v>0.65</v>
      </c>
      <c r="I34" s="192">
        <v>0.65</v>
      </c>
      <c r="J34" s="192">
        <v>0.6</v>
      </c>
      <c r="N34" s="53">
        <v>2.4999999999999998E-2</v>
      </c>
      <c r="O34" s="53">
        <f t="shared" si="56"/>
        <v>1.0150000000000001</v>
      </c>
      <c r="P34" s="56">
        <f t="shared" si="57"/>
        <v>-6.6666666666666428E-3</v>
      </c>
      <c r="Q34" s="57" t="e">
        <f t="shared" si="58"/>
        <v>#VALUE!</v>
      </c>
      <c r="R34" s="51" t="e">
        <f>IF($Q34="-","-",IF(($Q34/$C$19)&lt;=INDEX('DSCR (Port Legend)'!$F$3:$H$14,MATCH(($Q34/$C$19),'DSCR (Port Legend)'!$F$3:$F$14,1),2),INDEX('DSCR (Port Legend)'!$F$3:$H$14,MATCH(($Q34/$C$19),'DSCR (Port Legend)'!$F$3:$F$14,1),3),"-"))</f>
        <v>#VALUE!</v>
      </c>
      <c r="S34" s="56" t="str">
        <f>IFERROR(IF($C$6="SFR",VLOOKUP(S$23,'DSCR (Port LLPA)'!$M:$V,MATCH($R34,'DSCR (Port LLPA)'!$M$1:$V$1,0),FALSE),IF($C$6="Multi",VLOOKUP(S$23,'DSCR (Port LLPA)'!$X:$AG,MATCH($R34,'DSCR (Port LLPA)'!$X$1:$AG$1,0),FALSE),"-")),"-")</f>
        <v>-</v>
      </c>
      <c r="T34" s="56" t="str">
        <f>IFERROR(IF($C$6="SFR",VLOOKUP(T$23,'DSCR (Port LLPA)'!$M:$V,MATCH($R34,'DSCR (Port LLPA)'!$M$1:$V$1,0),FALSE),IF($C$6="Multi",VLOOKUP(T$23,'DSCR (Port LLPA)'!$X:$AG,MATCH($R34,'DSCR (Port LLPA)'!$X$1:$AG$1,0),FALSE),"-")),"-")</f>
        <v>-</v>
      </c>
      <c r="U34" s="56" t="str">
        <f>IFERROR(IF($C$6="SFR",VLOOKUP(U$23,'DSCR (Port LLPA)'!$M:$V,MATCH($R34,'DSCR (Port LLPA)'!$M$1:$V$1,0),FALSE),IF($C$6="Multi",VLOOKUP(U$23,'DSCR (Port LLPA)'!$X:$AG,MATCH($R34,'DSCR (Port LLPA)'!$X$1:$AG$1,0),FALSE),"-")),"-")</f>
        <v>-</v>
      </c>
      <c r="V34" s="56" t="str">
        <f>IFERROR(IF($C$6="SFR",VLOOKUP(V$23,'DSCR (Port LLPA)'!$M:$V,MATCH($R34,'DSCR (Port LLPA)'!$M$1:$V$1,0),FALSE),IF($C$6="Multi",VLOOKUP(V$23,'DSCR (Port LLPA)'!$X:$AG,MATCH($R34,'DSCR (Port LLPA)'!$X$1:$AG$1,0),FALSE),"-")),"-")</f>
        <v>-</v>
      </c>
      <c r="W34" s="56" t="str">
        <f>IFERROR(IF($C$6="SFR",VLOOKUP(W$23,'DSCR (Port LLPA)'!$M:$V,MATCH($R34,'DSCR (Port LLPA)'!$M$1:$V$1,0),FALSE),IF($C$6="Multi",VLOOKUP(W$23,'DSCR (Port LLPA)'!$X:$AG,MATCH($R34,'DSCR (Port LLPA)'!$X$1:$AG$1,0),FALSE),"-")),"-")</f>
        <v>-</v>
      </c>
      <c r="X34" s="56" t="str">
        <f>IFERROR(IF($C$6="SFR",VLOOKUP(X$23,'DSCR (Port LLPA)'!$M:$V,MATCH($R34,'DSCR (Port LLPA)'!$M$1:$V$1,0),FALSE),IF($C$6="Multi",VLOOKUP(X$23,'DSCR (Port LLPA)'!$X:$AG,MATCH($R34,'DSCR (Port LLPA)'!$X$1:$AG$1,0),FALSE),"-")),"-")</f>
        <v>-</v>
      </c>
      <c r="Y34" s="67" t="e">
        <f>IF($Q34="-","-",IF($Q34&lt;=INDEX('DSCR (Port Legend)'!$J$3:$L$17,MATCH($Q34,'DSCR (Port Legend)'!$J$3:$J$17,1),2),INDEX('DSCR (Port Legend)'!$J$3:$L$17,MATCH($Q34,'DSCR (Port Legend)'!$J$3:$J$17,1),3),"-"))</f>
        <v>#VALUE!</v>
      </c>
      <c r="Z34" s="67" t="str">
        <f>IFERROR(IF($C$6="SFR",VLOOKUP($Y34,'DSCR (Port LLPA)'!$M:$V,MATCH($R34,'DSCR (Port LLPA)'!$M$1:$V$1,0),FALSE),IF($C$6="Multi",VLOOKUP($Y34,'DSCR (Port LLPA)'!$X:$AG,MATCH($R34,'DSCR (Port LLPA)'!$X$1:$AG$1,0),FALSE),"-")),"-")</f>
        <v>-</v>
      </c>
      <c r="AA34" s="56" t="str">
        <f>IFERROR(IF($C$6="SFR",VLOOKUP(AA$23,'DSCR (Port LLPA)'!$M:$V,MATCH($R34,'DSCR (Port LLPA)'!$M$1:$V$1,0),FALSE),IF($C$6="Multi",VLOOKUP(AA$23,'DSCR (Port LLPA)'!$X:$AG,MATCH($R34,'DSCR (Port LLPA)'!$X$1:$AG$1,0),FALSE),"-")),"-")</f>
        <v>-</v>
      </c>
      <c r="AB34" s="67" t="str">
        <f t="shared" si="59"/>
        <v>-</v>
      </c>
      <c r="AC34" s="56" t="str">
        <f>IF($AB34="-","-",IF($C$6="SFR",VLOOKUP($C$10,'DSCR (Port LLPA)'!$B$36:$K$50,MATCH($R34,'DSCR (Port LLPA)'!$B$36:$K$36,0),FALSE),IF($C$6="Multi",VLOOKUP($C$10,'DSCR (Port LLPA)'!$B$53:$K$67,MATCH($R34,'DSCR (Port LLPA)'!$B$53:$K$53,0),FALSE),"-")))</f>
        <v>-</v>
      </c>
      <c r="AD34" s="56" t="str">
        <f t="shared" si="60"/>
        <v>-</v>
      </c>
      <c r="AE34" s="52">
        <f t="shared" si="61"/>
        <v>0</v>
      </c>
      <c r="AF34" s="214">
        <f t="shared" si="62"/>
        <v>1.2</v>
      </c>
      <c r="AG34" s="52">
        <f t="shared" si="63"/>
        <v>0</v>
      </c>
      <c r="AH34" s="52">
        <f t="shared" si="64"/>
        <v>0</v>
      </c>
      <c r="AI34" s="52" t="e">
        <f t="shared" si="65"/>
        <v>#VALUE!</v>
      </c>
      <c r="AN34" s="53"/>
      <c r="AO34" s="53"/>
      <c r="AP34" s="56"/>
      <c r="AQ34" s="57"/>
      <c r="AS34" s="56"/>
      <c r="AT34" s="56"/>
      <c r="AU34" s="56"/>
      <c r="AV34" s="56"/>
      <c r="AW34" s="56"/>
      <c r="AX34" s="56"/>
      <c r="AY34" s="67"/>
      <c r="AZ34" s="67"/>
      <c r="BA34" s="56"/>
      <c r="BB34" s="67"/>
      <c r="BC34" s="56"/>
      <c r="BD34" s="56"/>
      <c r="BE34" s="52"/>
      <c r="BF34" s="214"/>
      <c r="BG34" s="52"/>
      <c r="BH34" s="52"/>
      <c r="BI34" s="52"/>
      <c r="BJ34" s="52"/>
      <c r="BK34" s="52"/>
      <c r="BL34" s="52"/>
      <c r="BM34" s="52"/>
      <c r="BN34" s="52"/>
      <c r="BO34" s="52"/>
      <c r="BP34" s="52"/>
      <c r="BR34" s="53">
        <v>0.02</v>
      </c>
      <c r="BS34" s="206">
        <f t="shared" si="67"/>
        <v>102</v>
      </c>
      <c r="BT34" s="217" t="e">
        <f t="shared" si="68"/>
        <v>#N/A</v>
      </c>
      <c r="BU34" s="67" t="e">
        <f t="shared" si="69"/>
        <v>#N/A</v>
      </c>
      <c r="BV34" s="216" t="e">
        <f t="shared" si="70"/>
        <v>#N/A</v>
      </c>
      <c r="BW34" s="216" t="e">
        <f t="shared" si="71"/>
        <v>#N/A</v>
      </c>
      <c r="BX34" s="51" t="e">
        <f t="shared" si="72"/>
        <v>#N/A</v>
      </c>
      <c r="BY34" s="215" t="e">
        <f t="shared" si="73"/>
        <v>#N/A</v>
      </c>
      <c r="BZ34" s="51" t="e">
        <f t="shared" si="74"/>
        <v>#N/A</v>
      </c>
      <c r="CA34" s="52">
        <f t="shared" si="75"/>
        <v>0</v>
      </c>
      <c r="CB34" s="52">
        <f t="shared" si="76"/>
        <v>0</v>
      </c>
      <c r="CC34" s="52">
        <f t="shared" si="77"/>
        <v>0</v>
      </c>
      <c r="CD34" s="52">
        <f t="shared" si="78"/>
        <v>0</v>
      </c>
      <c r="CE34" s="215" t="e">
        <f t="shared" si="79"/>
        <v>#N/A</v>
      </c>
      <c r="CF34" s="51" t="e">
        <f t="shared" si="80"/>
        <v>#N/A</v>
      </c>
      <c r="CG34" s="52" t="e">
        <f t="shared" si="81"/>
        <v>#N/A</v>
      </c>
      <c r="CH34" s="51" t="e">
        <f t="shared" si="82"/>
        <v>#N/A</v>
      </c>
      <c r="CI34" s="52" t="e">
        <f t="shared" si="83"/>
        <v>#N/A</v>
      </c>
      <c r="CJ34" s="52" t="e">
        <f t="shared" si="84"/>
        <v>#N/A</v>
      </c>
      <c r="CK34" s="214" t="e">
        <f t="shared" si="85"/>
        <v>#N/A</v>
      </c>
      <c r="CL34" s="214" t="e">
        <f t="shared" si="86"/>
        <v>#VALUE!</v>
      </c>
      <c r="CM34" s="51" t="e">
        <f t="shared" si="87"/>
        <v>#N/A</v>
      </c>
      <c r="CN34" s="52" t="e">
        <f t="shared" si="88"/>
        <v>#N/A</v>
      </c>
      <c r="CO34" s="214" t="e">
        <f t="shared" si="89"/>
        <v>#N/A</v>
      </c>
      <c r="CS34" s="51" t="e">
        <f t="shared" si="93"/>
        <v>#N/A</v>
      </c>
      <c r="CT34" s="52" t="e">
        <f t="shared" si="90"/>
        <v>#N/A</v>
      </c>
      <c r="CU34" s="51" t="e">
        <f t="shared" si="91"/>
        <v>#N/A</v>
      </c>
      <c r="CV34" s="51" t="e">
        <f t="shared" si="92"/>
        <v>#N/A</v>
      </c>
    </row>
    <row r="35" spans="2:100" x14ac:dyDescent="0.25">
      <c r="B35" s="222" t="str">
        <f>$C$3&amp;" "&amp;"LTC"</f>
        <v>0 LTC</v>
      </c>
      <c r="C35" s="221" t="e">
        <f>IF($C$6="SFR",VLOOKUP($C$10,$D$3:$J$17,MATCH($B$35,$D$3:$J$3,0),FALSE),IF($C$6="Multi",VLOOKUP($C$10,$D$22:$J$36,MATCH($B$35,$D$22:$J$22,0),FALSE),"-"))</f>
        <v>#N/A</v>
      </c>
      <c r="D35" s="193" t="str">
        <f>'DSCR (Port Legend)'!D16</f>
        <v>800+</v>
      </c>
      <c r="E35" s="192">
        <v>0.65</v>
      </c>
      <c r="F35" s="192">
        <v>0.65</v>
      </c>
      <c r="G35" s="192">
        <v>0.65</v>
      </c>
      <c r="H35" s="192">
        <v>0.65</v>
      </c>
      <c r="I35" s="192">
        <v>0.65</v>
      </c>
      <c r="J35" s="192">
        <v>0.6</v>
      </c>
      <c r="N35" s="53">
        <v>2.7499999999999997E-2</v>
      </c>
      <c r="O35" s="53">
        <f t="shared" si="56"/>
        <v>1.0125</v>
      </c>
      <c r="P35" s="56">
        <f t="shared" si="57"/>
        <v>-7.3333333333333549E-3</v>
      </c>
      <c r="Q35" s="57" t="e">
        <f t="shared" si="58"/>
        <v>#VALUE!</v>
      </c>
      <c r="R35" s="51" t="e">
        <f>IF($Q35="-","-",IF(($Q35/$C$19)&lt;=INDEX('DSCR (Port Legend)'!$F$3:$H$14,MATCH(($Q35/$C$19),'DSCR (Port Legend)'!$F$3:$F$14,1),2),INDEX('DSCR (Port Legend)'!$F$3:$H$14,MATCH(($Q35/$C$19),'DSCR (Port Legend)'!$F$3:$F$14,1),3),"-"))</f>
        <v>#VALUE!</v>
      </c>
      <c r="S35" s="56" t="str">
        <f>IFERROR(IF($C$6="SFR",VLOOKUP(S$23,'DSCR (Port LLPA)'!$M:$V,MATCH($R35,'DSCR (Port LLPA)'!$M$1:$V$1,0),FALSE),IF($C$6="Multi",VLOOKUP(S$23,'DSCR (Port LLPA)'!$X:$AG,MATCH($R35,'DSCR (Port LLPA)'!$X$1:$AG$1,0),FALSE),"-")),"-")</f>
        <v>-</v>
      </c>
      <c r="T35" s="56" t="str">
        <f>IFERROR(IF($C$6="SFR",VLOOKUP(T$23,'DSCR (Port LLPA)'!$M:$V,MATCH($R35,'DSCR (Port LLPA)'!$M$1:$V$1,0),FALSE),IF($C$6="Multi",VLOOKUP(T$23,'DSCR (Port LLPA)'!$X:$AG,MATCH($R35,'DSCR (Port LLPA)'!$X$1:$AG$1,0),FALSE),"-")),"-")</f>
        <v>-</v>
      </c>
      <c r="U35" s="56" t="str">
        <f>IFERROR(IF($C$6="SFR",VLOOKUP(U$23,'DSCR (Port LLPA)'!$M:$V,MATCH($R35,'DSCR (Port LLPA)'!$M$1:$V$1,0),FALSE),IF($C$6="Multi",VLOOKUP(U$23,'DSCR (Port LLPA)'!$X:$AG,MATCH($R35,'DSCR (Port LLPA)'!$X$1:$AG$1,0),FALSE),"-")),"-")</f>
        <v>-</v>
      </c>
      <c r="V35" s="56" t="str">
        <f>IFERROR(IF($C$6="SFR",VLOOKUP(V$23,'DSCR (Port LLPA)'!$M:$V,MATCH($R35,'DSCR (Port LLPA)'!$M$1:$V$1,0),FALSE),IF($C$6="Multi",VLOOKUP(V$23,'DSCR (Port LLPA)'!$X:$AG,MATCH($R35,'DSCR (Port LLPA)'!$X$1:$AG$1,0),FALSE),"-")),"-")</f>
        <v>-</v>
      </c>
      <c r="W35" s="56" t="str">
        <f>IFERROR(IF($C$6="SFR",VLOOKUP(W$23,'DSCR (Port LLPA)'!$M:$V,MATCH($R35,'DSCR (Port LLPA)'!$M$1:$V$1,0),FALSE),IF($C$6="Multi",VLOOKUP(W$23,'DSCR (Port LLPA)'!$X:$AG,MATCH($R35,'DSCR (Port LLPA)'!$X$1:$AG$1,0),FALSE),"-")),"-")</f>
        <v>-</v>
      </c>
      <c r="X35" s="56" t="str">
        <f>IFERROR(IF($C$6="SFR",VLOOKUP(X$23,'DSCR (Port LLPA)'!$M:$V,MATCH($R35,'DSCR (Port LLPA)'!$M$1:$V$1,0),FALSE),IF($C$6="Multi",VLOOKUP(X$23,'DSCR (Port LLPA)'!$X:$AG,MATCH($R35,'DSCR (Port LLPA)'!$X$1:$AG$1,0),FALSE),"-")),"-")</f>
        <v>-</v>
      </c>
      <c r="Y35" s="67" t="e">
        <f>IF($Q35="-","-",IF($Q35&lt;=INDEX('DSCR (Port Legend)'!$J$3:$L$17,MATCH($Q35,'DSCR (Port Legend)'!$J$3:$J$17,1),2),INDEX('DSCR (Port Legend)'!$J$3:$L$17,MATCH($Q35,'DSCR (Port Legend)'!$J$3:$J$17,1),3),"-"))</f>
        <v>#VALUE!</v>
      </c>
      <c r="Z35" s="67" t="str">
        <f>IFERROR(IF($C$6="SFR",VLOOKUP($Y35,'DSCR (Port LLPA)'!$M:$V,MATCH($R35,'DSCR (Port LLPA)'!$M$1:$V$1,0),FALSE),IF($C$6="Multi",VLOOKUP($Y35,'DSCR (Port LLPA)'!$X:$AG,MATCH($R35,'DSCR (Port LLPA)'!$X$1:$AG$1,0),FALSE),"-")),"-")</f>
        <v>-</v>
      </c>
      <c r="AA35" s="56" t="str">
        <f>IFERROR(IF($C$6="SFR",VLOOKUP(AA$23,'DSCR (Port LLPA)'!$M:$V,MATCH($R35,'DSCR (Port LLPA)'!$M$1:$V$1,0),FALSE),IF($C$6="Multi",VLOOKUP(AA$23,'DSCR (Port LLPA)'!$X:$AG,MATCH($R35,'DSCR (Port LLPA)'!$X$1:$AG$1,0),FALSE),"-")),"-")</f>
        <v>-</v>
      </c>
      <c r="AB35" s="67" t="str">
        <f t="shared" si="59"/>
        <v>-</v>
      </c>
      <c r="AC35" s="56" t="str">
        <f>IF($AB35="-","-",IF($C$6="SFR",VLOOKUP($C$10,'DSCR (Port LLPA)'!$B$36:$K$50,MATCH($R35,'DSCR (Port LLPA)'!$B$36:$K$36,0),FALSE),IF($C$6="Multi",VLOOKUP($C$10,'DSCR (Port LLPA)'!$B$53:$K$67,MATCH($R35,'DSCR (Port LLPA)'!$B$53:$K$53,0),FALSE),"-")))</f>
        <v>-</v>
      </c>
      <c r="AD35" s="56" t="str">
        <f t="shared" si="60"/>
        <v>-</v>
      </c>
      <c r="AE35" s="52">
        <f t="shared" si="61"/>
        <v>0</v>
      </c>
      <c r="AF35" s="214">
        <f t="shared" si="62"/>
        <v>1.2</v>
      </c>
      <c r="AG35" s="52">
        <f t="shared" si="63"/>
        <v>0</v>
      </c>
      <c r="AH35" s="52">
        <f t="shared" si="64"/>
        <v>0</v>
      </c>
      <c r="AI35" s="52" t="e">
        <f t="shared" si="65"/>
        <v>#VALUE!</v>
      </c>
      <c r="AN35" s="53"/>
      <c r="AO35" s="53"/>
      <c r="AP35" s="56"/>
      <c r="AQ35" s="57"/>
      <c r="AS35" s="56"/>
      <c r="AT35" s="56"/>
      <c r="AU35" s="56"/>
      <c r="AV35" s="56"/>
      <c r="AW35" s="56"/>
      <c r="AX35" s="56"/>
      <c r="AY35" s="67"/>
      <c r="AZ35" s="67"/>
      <c r="BA35" s="56"/>
      <c r="BB35" s="67"/>
      <c r="BC35" s="56"/>
      <c r="BD35" s="56"/>
      <c r="BE35" s="52"/>
      <c r="BF35" s="214"/>
      <c r="BG35" s="52"/>
      <c r="BH35" s="52"/>
      <c r="BI35" s="52"/>
      <c r="BJ35" s="52"/>
      <c r="BK35" s="52"/>
      <c r="BL35" s="52"/>
      <c r="BM35" s="52"/>
      <c r="BN35" s="52"/>
      <c r="BO35" s="52"/>
      <c r="BP35" s="52"/>
      <c r="BR35" s="53">
        <v>2.2499999999999999E-2</v>
      </c>
      <c r="BS35" s="206">
        <f t="shared" si="67"/>
        <v>101.75</v>
      </c>
      <c r="BT35" s="217" t="e">
        <f t="shared" si="68"/>
        <v>#N/A</v>
      </c>
      <c r="BU35" s="67" t="e">
        <f t="shared" si="69"/>
        <v>#N/A</v>
      </c>
      <c r="BV35" s="216" t="e">
        <f t="shared" si="70"/>
        <v>#N/A</v>
      </c>
      <c r="BW35" s="216" t="e">
        <f t="shared" si="71"/>
        <v>#N/A</v>
      </c>
      <c r="BX35" s="51" t="e">
        <f t="shared" si="72"/>
        <v>#N/A</v>
      </c>
      <c r="BY35" s="215" t="e">
        <f t="shared" si="73"/>
        <v>#N/A</v>
      </c>
      <c r="BZ35" s="51" t="e">
        <f t="shared" si="74"/>
        <v>#N/A</v>
      </c>
      <c r="CA35" s="52">
        <f t="shared" si="75"/>
        <v>0</v>
      </c>
      <c r="CB35" s="52">
        <f t="shared" si="76"/>
        <v>0</v>
      </c>
      <c r="CC35" s="52">
        <f t="shared" si="77"/>
        <v>0</v>
      </c>
      <c r="CD35" s="52">
        <f t="shared" si="78"/>
        <v>0</v>
      </c>
      <c r="CE35" s="215" t="e">
        <f t="shared" si="79"/>
        <v>#N/A</v>
      </c>
      <c r="CF35" s="51" t="e">
        <f t="shared" si="80"/>
        <v>#N/A</v>
      </c>
      <c r="CG35" s="52" t="e">
        <f t="shared" si="81"/>
        <v>#N/A</v>
      </c>
      <c r="CH35" s="51" t="e">
        <f t="shared" si="82"/>
        <v>#N/A</v>
      </c>
      <c r="CI35" s="52" t="e">
        <f t="shared" si="83"/>
        <v>#N/A</v>
      </c>
      <c r="CJ35" s="52" t="e">
        <f t="shared" si="84"/>
        <v>#N/A</v>
      </c>
      <c r="CK35" s="214" t="e">
        <f t="shared" si="85"/>
        <v>#N/A</v>
      </c>
      <c r="CL35" s="214" t="e">
        <f t="shared" si="86"/>
        <v>#VALUE!</v>
      </c>
      <c r="CM35" s="51" t="e">
        <f t="shared" si="87"/>
        <v>#N/A</v>
      </c>
      <c r="CN35" s="52" t="e">
        <f t="shared" si="88"/>
        <v>#N/A</v>
      </c>
      <c r="CO35" s="214" t="e">
        <f t="shared" si="89"/>
        <v>#N/A</v>
      </c>
      <c r="CS35" s="51" t="e">
        <f t="shared" si="93"/>
        <v>#N/A</v>
      </c>
      <c r="CT35" s="52" t="e">
        <f t="shared" si="90"/>
        <v>#N/A</v>
      </c>
      <c r="CU35" s="51" t="e">
        <f t="shared" si="91"/>
        <v>#N/A</v>
      </c>
      <c r="CV35" s="51" t="e">
        <f t="shared" si="92"/>
        <v>#N/A</v>
      </c>
    </row>
    <row r="36" spans="2:100" x14ac:dyDescent="0.25">
      <c r="B36" s="51" t="s">
        <v>1569</v>
      </c>
      <c r="C36" s="221">
        <f>IF($C$5="Non-Warrantable Condo",-10%,0%)</f>
        <v>0</v>
      </c>
      <c r="D36" s="193" t="str">
        <f>'DSCR (Port Legend)'!D17</f>
        <v>FN</v>
      </c>
      <c r="E36" s="192">
        <v>0.55000000000000004</v>
      </c>
      <c r="F36" s="192">
        <v>0.55000000000000004</v>
      </c>
      <c r="G36" s="192">
        <v>0.55000000000000004</v>
      </c>
      <c r="H36" s="192">
        <v>0.55000000000000004</v>
      </c>
      <c r="I36" s="192">
        <v>0.55000000000000004</v>
      </c>
      <c r="J36" s="192">
        <v>0.5</v>
      </c>
      <c r="N36" s="53">
        <v>2.9999999999999995E-2</v>
      </c>
      <c r="O36" s="53">
        <f t="shared" si="56"/>
        <v>1.01</v>
      </c>
      <c r="P36" s="56">
        <f t="shared" si="57"/>
        <v>-8.0000000000000071E-3</v>
      </c>
      <c r="Q36" s="57" t="e">
        <f t="shared" si="58"/>
        <v>#VALUE!</v>
      </c>
      <c r="R36" s="51" t="e">
        <f>IF($Q36="-","-",IF(($Q36/$C$19)&lt;=INDEX('DSCR (Port Legend)'!$F$3:$H$14,MATCH(($Q36/$C$19),'DSCR (Port Legend)'!$F$3:$F$14,1),2),INDEX('DSCR (Port Legend)'!$F$3:$H$14,MATCH(($Q36/$C$19),'DSCR (Port Legend)'!$F$3:$F$14,1),3),"-"))</f>
        <v>#VALUE!</v>
      </c>
      <c r="S36" s="56" t="str">
        <f>IFERROR(IF($C$6="SFR",VLOOKUP(S$23,'DSCR (Port LLPA)'!$M:$V,MATCH($R36,'DSCR (Port LLPA)'!$M$1:$V$1,0),FALSE),IF($C$6="Multi",VLOOKUP(S$23,'DSCR (Port LLPA)'!$X:$AG,MATCH($R36,'DSCR (Port LLPA)'!$X$1:$AG$1,0),FALSE),"-")),"-")</f>
        <v>-</v>
      </c>
      <c r="T36" s="56" t="str">
        <f>IFERROR(IF($C$6="SFR",VLOOKUP(T$23,'DSCR (Port LLPA)'!$M:$V,MATCH($R36,'DSCR (Port LLPA)'!$M$1:$V$1,0),FALSE),IF($C$6="Multi",VLOOKUP(T$23,'DSCR (Port LLPA)'!$X:$AG,MATCH($R36,'DSCR (Port LLPA)'!$X$1:$AG$1,0),FALSE),"-")),"-")</f>
        <v>-</v>
      </c>
      <c r="U36" s="56" t="str">
        <f>IFERROR(IF($C$6="SFR",VLOOKUP(U$23,'DSCR (Port LLPA)'!$M:$V,MATCH($R36,'DSCR (Port LLPA)'!$M$1:$V$1,0),FALSE),IF($C$6="Multi",VLOOKUP(U$23,'DSCR (Port LLPA)'!$X:$AG,MATCH($R36,'DSCR (Port LLPA)'!$X$1:$AG$1,0),FALSE),"-")),"-")</f>
        <v>-</v>
      </c>
      <c r="V36" s="56" t="str">
        <f>IFERROR(IF($C$6="SFR",VLOOKUP(V$23,'DSCR (Port LLPA)'!$M:$V,MATCH($R36,'DSCR (Port LLPA)'!$M$1:$V$1,0),FALSE),IF($C$6="Multi",VLOOKUP(V$23,'DSCR (Port LLPA)'!$X:$AG,MATCH($R36,'DSCR (Port LLPA)'!$X$1:$AG$1,0),FALSE),"-")),"-")</f>
        <v>-</v>
      </c>
      <c r="W36" s="56" t="str">
        <f>IFERROR(IF($C$6="SFR",VLOOKUP(W$23,'DSCR (Port LLPA)'!$M:$V,MATCH($R36,'DSCR (Port LLPA)'!$M$1:$V$1,0),FALSE),IF($C$6="Multi",VLOOKUP(W$23,'DSCR (Port LLPA)'!$X:$AG,MATCH($R36,'DSCR (Port LLPA)'!$X$1:$AG$1,0),FALSE),"-")),"-")</f>
        <v>-</v>
      </c>
      <c r="X36" s="56" t="str">
        <f>IFERROR(IF($C$6="SFR",VLOOKUP(X$23,'DSCR (Port LLPA)'!$M:$V,MATCH($R36,'DSCR (Port LLPA)'!$M$1:$V$1,0),FALSE),IF($C$6="Multi",VLOOKUP(X$23,'DSCR (Port LLPA)'!$X:$AG,MATCH($R36,'DSCR (Port LLPA)'!$X$1:$AG$1,0),FALSE),"-")),"-")</f>
        <v>-</v>
      </c>
      <c r="Y36" s="67" t="e">
        <f>IF($Q36="-","-",IF($Q36&lt;=INDEX('DSCR (Port Legend)'!$J$3:$L$17,MATCH($Q36,'DSCR (Port Legend)'!$J$3:$J$17,1),2),INDEX('DSCR (Port Legend)'!$J$3:$L$17,MATCH($Q36,'DSCR (Port Legend)'!$J$3:$J$17,1),3),"-"))</f>
        <v>#VALUE!</v>
      </c>
      <c r="Z36" s="67" t="str">
        <f>IFERROR(IF($C$6="SFR",VLOOKUP($Y36,'DSCR (Port LLPA)'!$M:$V,MATCH($R36,'DSCR (Port LLPA)'!$M$1:$V$1,0),FALSE),IF($C$6="Multi",VLOOKUP($Y36,'DSCR (Port LLPA)'!$X:$AG,MATCH($R36,'DSCR (Port LLPA)'!$X$1:$AG$1,0),FALSE),"-")),"-")</f>
        <v>-</v>
      </c>
      <c r="AA36" s="56" t="str">
        <f>IFERROR(IF($C$6="SFR",VLOOKUP(AA$23,'DSCR (Port LLPA)'!$M:$V,MATCH($R36,'DSCR (Port LLPA)'!$M$1:$V$1,0),FALSE),IF($C$6="Multi",VLOOKUP(AA$23,'DSCR (Port LLPA)'!$X:$AG,MATCH($R36,'DSCR (Port LLPA)'!$X$1:$AG$1,0),FALSE),"-")),"-")</f>
        <v>-</v>
      </c>
      <c r="AB36" s="67" t="str">
        <f t="shared" si="59"/>
        <v>-</v>
      </c>
      <c r="AC36" s="56" t="str">
        <f>IF($AB36="-","-",IF($C$6="SFR",VLOOKUP($C$10,'DSCR (Port LLPA)'!$B$36:$K$50,MATCH($R36,'DSCR (Port LLPA)'!$B$36:$K$36,0),FALSE),IF($C$6="Multi",VLOOKUP($C$10,'DSCR (Port LLPA)'!$B$53:$K$67,MATCH($R36,'DSCR (Port LLPA)'!$B$53:$K$53,0),FALSE),"-")))</f>
        <v>-</v>
      </c>
      <c r="AD36" s="56" t="str">
        <f t="shared" si="60"/>
        <v>-</v>
      </c>
      <c r="AE36" s="52">
        <f t="shared" si="61"/>
        <v>0</v>
      </c>
      <c r="AF36" s="214">
        <f t="shared" si="62"/>
        <v>1.2</v>
      </c>
      <c r="AG36" s="52">
        <f t="shared" si="63"/>
        <v>0</v>
      </c>
      <c r="AH36" s="52">
        <f t="shared" si="64"/>
        <v>0</v>
      </c>
      <c r="AI36" s="52" t="e">
        <f t="shared" si="65"/>
        <v>#VALUE!</v>
      </c>
      <c r="AN36" s="53"/>
      <c r="AO36" s="53"/>
      <c r="AP36" s="56"/>
      <c r="AQ36" s="57"/>
      <c r="AS36" s="56"/>
      <c r="AT36" s="56"/>
      <c r="AU36" s="56"/>
      <c r="AV36" s="56"/>
      <c r="AW36" s="56"/>
      <c r="AX36" s="56"/>
      <c r="AY36" s="67"/>
      <c r="AZ36" s="67"/>
      <c r="BA36" s="56"/>
      <c r="BB36" s="67"/>
      <c r="BC36" s="56"/>
      <c r="BD36" s="56"/>
      <c r="BE36" s="52"/>
      <c r="BF36" s="214"/>
      <c r="BG36" s="52"/>
      <c r="BH36" s="52"/>
      <c r="BI36" s="52"/>
      <c r="BJ36" s="52"/>
      <c r="BK36" s="52"/>
      <c r="BL36" s="52"/>
      <c r="BM36" s="52"/>
      <c r="BN36" s="52"/>
      <c r="BO36" s="52"/>
      <c r="BP36" s="52"/>
      <c r="BR36" s="53">
        <v>2.4999999999999998E-2</v>
      </c>
      <c r="BS36" s="206">
        <f t="shared" si="67"/>
        <v>101.5</v>
      </c>
      <c r="BT36" s="217" t="e">
        <f t="shared" si="68"/>
        <v>#N/A</v>
      </c>
      <c r="BU36" s="67" t="e">
        <f t="shared" si="69"/>
        <v>#N/A</v>
      </c>
      <c r="BV36" s="216" t="e">
        <f t="shared" si="70"/>
        <v>#N/A</v>
      </c>
      <c r="BW36" s="216" t="e">
        <f t="shared" si="71"/>
        <v>#N/A</v>
      </c>
      <c r="BX36" s="51" t="e">
        <f t="shared" si="72"/>
        <v>#N/A</v>
      </c>
      <c r="BY36" s="215" t="e">
        <f t="shared" si="73"/>
        <v>#N/A</v>
      </c>
      <c r="BZ36" s="51" t="e">
        <f t="shared" si="74"/>
        <v>#N/A</v>
      </c>
      <c r="CA36" s="52">
        <f t="shared" si="75"/>
        <v>0</v>
      </c>
      <c r="CB36" s="52">
        <f t="shared" si="76"/>
        <v>0</v>
      </c>
      <c r="CC36" s="52">
        <f t="shared" si="77"/>
        <v>0</v>
      </c>
      <c r="CD36" s="52">
        <f t="shared" si="78"/>
        <v>0</v>
      </c>
      <c r="CE36" s="215" t="e">
        <f t="shared" si="79"/>
        <v>#N/A</v>
      </c>
      <c r="CF36" s="51" t="e">
        <f t="shared" si="80"/>
        <v>#N/A</v>
      </c>
      <c r="CG36" s="52" t="e">
        <f t="shared" si="81"/>
        <v>#N/A</v>
      </c>
      <c r="CH36" s="51" t="e">
        <f t="shared" si="82"/>
        <v>#N/A</v>
      </c>
      <c r="CI36" s="52" t="e">
        <f t="shared" si="83"/>
        <v>#N/A</v>
      </c>
      <c r="CJ36" s="52" t="e">
        <f t="shared" si="84"/>
        <v>#N/A</v>
      </c>
      <c r="CK36" s="214" t="e">
        <f t="shared" si="85"/>
        <v>#N/A</v>
      </c>
      <c r="CL36" s="214" t="e">
        <f t="shared" si="86"/>
        <v>#VALUE!</v>
      </c>
      <c r="CM36" s="51" t="e">
        <f t="shared" si="87"/>
        <v>#N/A</v>
      </c>
      <c r="CN36" s="52" t="e">
        <f t="shared" si="88"/>
        <v>#N/A</v>
      </c>
      <c r="CO36" s="214" t="e">
        <f t="shared" si="89"/>
        <v>#N/A</v>
      </c>
      <c r="CS36" s="51" t="e">
        <f t="shared" si="93"/>
        <v>#N/A</v>
      </c>
      <c r="CT36" s="52" t="e">
        <f t="shared" si="90"/>
        <v>#N/A</v>
      </c>
      <c r="CU36" s="51" t="e">
        <f t="shared" si="91"/>
        <v>#N/A</v>
      </c>
      <c r="CV36" s="51" t="e">
        <f t="shared" si="92"/>
        <v>#N/A</v>
      </c>
    </row>
    <row r="37" spans="2:100" x14ac:dyDescent="0.25">
      <c r="B37" s="51" t="s">
        <v>29</v>
      </c>
      <c r="C37" s="221" t="e">
        <f>$C$34+$C$36</f>
        <v>#N/A</v>
      </c>
      <c r="N37" s="53">
        <v>3.2499999999999994E-2</v>
      </c>
      <c r="O37" s="53">
        <f t="shared" si="56"/>
        <v>1.0075000000000001</v>
      </c>
      <c r="P37" s="56">
        <f t="shared" si="57"/>
        <v>-8.6666666666666593E-3</v>
      </c>
      <c r="Q37" s="57" t="e">
        <f t="shared" si="58"/>
        <v>#VALUE!</v>
      </c>
      <c r="R37" s="51" t="e">
        <f>IF($Q37="-","-",IF(($Q37/$C$19)&lt;=INDEX('DSCR (Port Legend)'!$F$3:$H$14,MATCH(($Q37/$C$19),'DSCR (Port Legend)'!$F$3:$F$14,1),2),INDEX('DSCR (Port Legend)'!$F$3:$H$14,MATCH(($Q37/$C$19),'DSCR (Port Legend)'!$F$3:$F$14,1),3),"-"))</f>
        <v>#VALUE!</v>
      </c>
      <c r="S37" s="56" t="str">
        <f>IFERROR(IF($C$6="SFR",VLOOKUP(S$23,'DSCR (Port LLPA)'!$M:$V,MATCH($R37,'DSCR (Port LLPA)'!$M$1:$V$1,0),FALSE),IF($C$6="Multi",VLOOKUP(S$23,'DSCR (Port LLPA)'!$X:$AG,MATCH($R37,'DSCR (Port LLPA)'!$X$1:$AG$1,0),FALSE),"-")),"-")</f>
        <v>-</v>
      </c>
      <c r="T37" s="56" t="str">
        <f>IFERROR(IF($C$6="SFR",VLOOKUP(T$23,'DSCR (Port LLPA)'!$M:$V,MATCH($R37,'DSCR (Port LLPA)'!$M$1:$V$1,0),FALSE),IF($C$6="Multi",VLOOKUP(T$23,'DSCR (Port LLPA)'!$X:$AG,MATCH($R37,'DSCR (Port LLPA)'!$X$1:$AG$1,0),FALSE),"-")),"-")</f>
        <v>-</v>
      </c>
      <c r="U37" s="56" t="str">
        <f>IFERROR(IF($C$6="SFR",VLOOKUP(U$23,'DSCR (Port LLPA)'!$M:$V,MATCH($R37,'DSCR (Port LLPA)'!$M$1:$V$1,0),FALSE),IF($C$6="Multi",VLOOKUP(U$23,'DSCR (Port LLPA)'!$X:$AG,MATCH($R37,'DSCR (Port LLPA)'!$X$1:$AG$1,0),FALSE),"-")),"-")</f>
        <v>-</v>
      </c>
      <c r="V37" s="56" t="str">
        <f>IFERROR(IF($C$6="SFR",VLOOKUP(V$23,'DSCR (Port LLPA)'!$M:$V,MATCH($R37,'DSCR (Port LLPA)'!$M$1:$V$1,0),FALSE),IF($C$6="Multi",VLOOKUP(V$23,'DSCR (Port LLPA)'!$X:$AG,MATCH($R37,'DSCR (Port LLPA)'!$X$1:$AG$1,0),FALSE),"-")),"-")</f>
        <v>-</v>
      </c>
      <c r="W37" s="56" t="str">
        <f>IFERROR(IF($C$6="SFR",VLOOKUP(W$23,'DSCR (Port LLPA)'!$M:$V,MATCH($R37,'DSCR (Port LLPA)'!$M$1:$V$1,0),FALSE),IF($C$6="Multi",VLOOKUP(W$23,'DSCR (Port LLPA)'!$X:$AG,MATCH($R37,'DSCR (Port LLPA)'!$X$1:$AG$1,0),FALSE),"-")),"-")</f>
        <v>-</v>
      </c>
      <c r="X37" s="56" t="str">
        <f>IFERROR(IF($C$6="SFR",VLOOKUP(X$23,'DSCR (Port LLPA)'!$M:$V,MATCH($R37,'DSCR (Port LLPA)'!$M$1:$V$1,0),FALSE),IF($C$6="Multi",VLOOKUP(X$23,'DSCR (Port LLPA)'!$X:$AG,MATCH($R37,'DSCR (Port LLPA)'!$X$1:$AG$1,0),FALSE),"-")),"-")</f>
        <v>-</v>
      </c>
      <c r="Y37" s="67" t="e">
        <f>IF($Q37="-","-",IF($Q37&lt;=INDEX('DSCR (Port Legend)'!$J$3:$L$17,MATCH($Q37,'DSCR (Port Legend)'!$J$3:$J$17,1),2),INDEX('DSCR (Port Legend)'!$J$3:$L$17,MATCH($Q37,'DSCR (Port Legend)'!$J$3:$J$17,1),3),"-"))</f>
        <v>#VALUE!</v>
      </c>
      <c r="Z37" s="67" t="str">
        <f>IFERROR(IF($C$6="SFR",VLOOKUP($Y37,'DSCR (Port LLPA)'!$M:$V,MATCH($R37,'DSCR (Port LLPA)'!$M$1:$V$1,0),FALSE),IF($C$6="Multi",VLOOKUP($Y37,'DSCR (Port LLPA)'!$X:$AG,MATCH($R37,'DSCR (Port LLPA)'!$X$1:$AG$1,0),FALSE),"-")),"-")</f>
        <v>-</v>
      </c>
      <c r="AA37" s="56" t="str">
        <f>IFERROR(IF($C$6="SFR",VLOOKUP(AA$23,'DSCR (Port LLPA)'!$M:$V,MATCH($R37,'DSCR (Port LLPA)'!$M$1:$V$1,0),FALSE),IF($C$6="Multi",VLOOKUP(AA$23,'DSCR (Port LLPA)'!$X:$AG,MATCH($R37,'DSCR (Port LLPA)'!$X$1:$AG$1,0),FALSE),"-")),"-")</f>
        <v>-</v>
      </c>
      <c r="AB37" s="67" t="str">
        <f t="shared" si="59"/>
        <v>-</v>
      </c>
      <c r="AC37" s="56" t="str">
        <f>IF($AB37="-","-",IF($C$6="SFR",VLOOKUP($C$10,'DSCR (Port LLPA)'!$B$36:$K$50,MATCH($R37,'DSCR (Port LLPA)'!$B$36:$K$36,0),FALSE),IF($C$6="Multi",VLOOKUP($C$10,'DSCR (Port LLPA)'!$B$53:$K$67,MATCH($R37,'DSCR (Port LLPA)'!$B$53:$K$53,0),FALSE),"-")))</f>
        <v>-</v>
      </c>
      <c r="AD37" s="56" t="str">
        <f t="shared" si="60"/>
        <v>-</v>
      </c>
      <c r="AE37" s="52">
        <f t="shared" si="61"/>
        <v>0</v>
      </c>
      <c r="AF37" s="214">
        <f t="shared" si="62"/>
        <v>1.2</v>
      </c>
      <c r="AG37" s="52">
        <f t="shared" si="63"/>
        <v>0</v>
      </c>
      <c r="AH37" s="52">
        <f t="shared" si="64"/>
        <v>0</v>
      </c>
      <c r="AI37" s="52" t="e">
        <f t="shared" si="65"/>
        <v>#VALUE!</v>
      </c>
      <c r="AN37" s="53"/>
      <c r="AO37" s="53"/>
      <c r="AP37" s="56"/>
      <c r="AQ37" s="57"/>
      <c r="AS37" s="56"/>
      <c r="AT37" s="56"/>
      <c r="AU37" s="56"/>
      <c r="AV37" s="56"/>
      <c r="AW37" s="56"/>
      <c r="AX37" s="56"/>
      <c r="AY37" s="67"/>
      <c r="AZ37" s="67"/>
      <c r="BA37" s="56"/>
      <c r="BB37" s="67"/>
      <c r="BC37" s="56"/>
      <c r="BD37" s="56"/>
      <c r="BE37" s="52"/>
      <c r="BF37" s="214"/>
      <c r="BG37" s="52"/>
      <c r="BH37" s="52"/>
      <c r="BI37" s="52"/>
      <c r="BJ37" s="52"/>
      <c r="BK37" s="52"/>
      <c r="BL37" s="52"/>
      <c r="BM37" s="52"/>
      <c r="BN37" s="52"/>
      <c r="BO37" s="52"/>
      <c r="BP37" s="52"/>
      <c r="BR37" s="53">
        <v>2.7499999999999997E-2</v>
      </c>
      <c r="BS37" s="206">
        <f t="shared" si="67"/>
        <v>101.25</v>
      </c>
      <c r="BT37" s="217" t="e">
        <f t="shared" si="68"/>
        <v>#N/A</v>
      </c>
      <c r="BU37" s="67" t="e">
        <f t="shared" si="69"/>
        <v>#N/A</v>
      </c>
      <c r="BV37" s="216" t="e">
        <f t="shared" si="70"/>
        <v>#N/A</v>
      </c>
      <c r="BW37" s="216" t="e">
        <f t="shared" si="71"/>
        <v>#N/A</v>
      </c>
      <c r="BX37" s="51" t="e">
        <f t="shared" si="72"/>
        <v>#N/A</v>
      </c>
      <c r="BY37" s="215" t="e">
        <f t="shared" si="73"/>
        <v>#N/A</v>
      </c>
      <c r="BZ37" s="51" t="e">
        <f t="shared" si="74"/>
        <v>#N/A</v>
      </c>
      <c r="CA37" s="52">
        <f t="shared" si="75"/>
        <v>0</v>
      </c>
      <c r="CB37" s="52">
        <f t="shared" si="76"/>
        <v>0</v>
      </c>
      <c r="CC37" s="52">
        <f t="shared" si="77"/>
        <v>0</v>
      </c>
      <c r="CD37" s="52">
        <f t="shared" si="78"/>
        <v>0</v>
      </c>
      <c r="CE37" s="215" t="e">
        <f t="shared" si="79"/>
        <v>#N/A</v>
      </c>
      <c r="CF37" s="51" t="e">
        <f t="shared" si="80"/>
        <v>#N/A</v>
      </c>
      <c r="CG37" s="52" t="e">
        <f t="shared" si="81"/>
        <v>#N/A</v>
      </c>
      <c r="CH37" s="51" t="e">
        <f t="shared" si="82"/>
        <v>#N/A</v>
      </c>
      <c r="CI37" s="52" t="e">
        <f t="shared" si="83"/>
        <v>#N/A</v>
      </c>
      <c r="CJ37" s="52" t="e">
        <f t="shared" si="84"/>
        <v>#N/A</v>
      </c>
      <c r="CK37" s="214" t="e">
        <f t="shared" si="85"/>
        <v>#N/A</v>
      </c>
      <c r="CL37" s="214" t="e">
        <f t="shared" si="86"/>
        <v>#VALUE!</v>
      </c>
      <c r="CM37" s="51" t="e">
        <f t="shared" si="87"/>
        <v>#N/A</v>
      </c>
      <c r="CN37" s="52" t="e">
        <f t="shared" si="88"/>
        <v>#N/A</v>
      </c>
      <c r="CO37" s="214" t="e">
        <f t="shared" si="89"/>
        <v>#N/A</v>
      </c>
      <c r="CS37" s="51" t="e">
        <f t="shared" si="93"/>
        <v>#N/A</v>
      </c>
      <c r="CT37" s="52" t="e">
        <f t="shared" si="90"/>
        <v>#N/A</v>
      </c>
      <c r="CU37" s="51" t="e">
        <f t="shared" si="91"/>
        <v>#N/A</v>
      </c>
      <c r="CV37" s="51" t="e">
        <f t="shared" si="92"/>
        <v>#N/A</v>
      </c>
    </row>
    <row r="38" spans="2:100" x14ac:dyDescent="0.25">
      <c r="B38" s="51" t="s">
        <v>28</v>
      </c>
      <c r="C38" s="220" t="e">
        <f>+$C$35+$C$36</f>
        <v>#N/A</v>
      </c>
      <c r="N38" s="53">
        <v>3.4999999999999996E-2</v>
      </c>
      <c r="O38" s="53">
        <f t="shared" si="56"/>
        <v>1.0050000000000001</v>
      </c>
      <c r="P38" s="56">
        <f t="shared" si="57"/>
        <v>-9.3333333333333116E-3</v>
      </c>
      <c r="Q38" s="57" t="e">
        <f t="shared" si="58"/>
        <v>#VALUE!</v>
      </c>
      <c r="R38" s="51" t="e">
        <f>IF($Q38="-","-",IF(($Q38/$C$19)&lt;=INDEX('DSCR (Port Legend)'!$F$3:$H$14,MATCH(($Q38/$C$19),'DSCR (Port Legend)'!$F$3:$F$14,1),2),INDEX('DSCR (Port Legend)'!$F$3:$H$14,MATCH(($Q38/$C$19),'DSCR (Port Legend)'!$F$3:$F$14,1),3),"-"))</f>
        <v>#VALUE!</v>
      </c>
      <c r="S38" s="56" t="str">
        <f>IFERROR(IF($C$6="SFR",VLOOKUP(S$23,'DSCR (Port LLPA)'!$M:$V,MATCH($R38,'DSCR (Port LLPA)'!$M$1:$V$1,0),FALSE),IF($C$6="Multi",VLOOKUP(S$23,'DSCR (Port LLPA)'!$X:$AG,MATCH($R38,'DSCR (Port LLPA)'!$X$1:$AG$1,0),FALSE),"-")),"-")</f>
        <v>-</v>
      </c>
      <c r="T38" s="56" t="str">
        <f>IFERROR(IF($C$6="SFR",VLOOKUP(T$23,'DSCR (Port LLPA)'!$M:$V,MATCH($R38,'DSCR (Port LLPA)'!$M$1:$V$1,0),FALSE),IF($C$6="Multi",VLOOKUP(T$23,'DSCR (Port LLPA)'!$X:$AG,MATCH($R38,'DSCR (Port LLPA)'!$X$1:$AG$1,0),FALSE),"-")),"-")</f>
        <v>-</v>
      </c>
      <c r="U38" s="56" t="str">
        <f>IFERROR(IF($C$6="SFR",VLOOKUP(U$23,'DSCR (Port LLPA)'!$M:$V,MATCH($R38,'DSCR (Port LLPA)'!$M$1:$V$1,0),FALSE),IF($C$6="Multi",VLOOKUP(U$23,'DSCR (Port LLPA)'!$X:$AG,MATCH($R38,'DSCR (Port LLPA)'!$X$1:$AG$1,0),FALSE),"-")),"-")</f>
        <v>-</v>
      </c>
      <c r="V38" s="56" t="str">
        <f>IFERROR(IF($C$6="SFR",VLOOKUP(V$23,'DSCR (Port LLPA)'!$M:$V,MATCH($R38,'DSCR (Port LLPA)'!$M$1:$V$1,0),FALSE),IF($C$6="Multi",VLOOKUP(V$23,'DSCR (Port LLPA)'!$X:$AG,MATCH($R38,'DSCR (Port LLPA)'!$X$1:$AG$1,0),FALSE),"-")),"-")</f>
        <v>-</v>
      </c>
      <c r="W38" s="56" t="str">
        <f>IFERROR(IF($C$6="SFR",VLOOKUP(W$23,'DSCR (Port LLPA)'!$M:$V,MATCH($R38,'DSCR (Port LLPA)'!$M$1:$V$1,0),FALSE),IF($C$6="Multi",VLOOKUP(W$23,'DSCR (Port LLPA)'!$X:$AG,MATCH($R38,'DSCR (Port LLPA)'!$X$1:$AG$1,0),FALSE),"-")),"-")</f>
        <v>-</v>
      </c>
      <c r="X38" s="56" t="str">
        <f>IFERROR(IF($C$6="SFR",VLOOKUP(X$23,'DSCR (Port LLPA)'!$M:$V,MATCH($R38,'DSCR (Port LLPA)'!$M$1:$V$1,0),FALSE),IF($C$6="Multi",VLOOKUP(X$23,'DSCR (Port LLPA)'!$X:$AG,MATCH($R38,'DSCR (Port LLPA)'!$X$1:$AG$1,0),FALSE),"-")),"-")</f>
        <v>-</v>
      </c>
      <c r="Y38" s="67" t="e">
        <f>IF($Q38="-","-",IF($Q38&lt;=INDEX('DSCR (Port Legend)'!$J$3:$L$17,MATCH($Q38,'DSCR (Port Legend)'!$J$3:$J$17,1),2),INDEX('DSCR (Port Legend)'!$J$3:$L$17,MATCH($Q38,'DSCR (Port Legend)'!$J$3:$J$17,1),3),"-"))</f>
        <v>#VALUE!</v>
      </c>
      <c r="Z38" s="67" t="str">
        <f>IFERROR(IF($C$6="SFR",VLOOKUP($Y38,'DSCR (Port LLPA)'!$M:$V,MATCH($R38,'DSCR (Port LLPA)'!$M$1:$V$1,0),FALSE),IF($C$6="Multi",VLOOKUP($Y38,'DSCR (Port LLPA)'!$X:$AG,MATCH($R38,'DSCR (Port LLPA)'!$X$1:$AG$1,0),FALSE),"-")),"-")</f>
        <v>-</v>
      </c>
      <c r="AA38" s="56" t="str">
        <f>IFERROR(IF($C$6="SFR",VLOOKUP(AA$23,'DSCR (Port LLPA)'!$M:$V,MATCH($R38,'DSCR (Port LLPA)'!$M$1:$V$1,0),FALSE),IF($C$6="Multi",VLOOKUP(AA$23,'DSCR (Port LLPA)'!$X:$AG,MATCH($R38,'DSCR (Port LLPA)'!$X$1:$AG$1,0),FALSE),"-")),"-")</f>
        <v>-</v>
      </c>
      <c r="AB38" s="67" t="str">
        <f t="shared" si="59"/>
        <v>-</v>
      </c>
      <c r="AC38" s="56" t="str">
        <f>IF($AB38="-","-",IF($C$6="SFR",VLOOKUP($C$10,'DSCR (Port LLPA)'!$B$36:$K$50,MATCH($R38,'DSCR (Port LLPA)'!$B$36:$K$36,0),FALSE),IF($C$6="Multi",VLOOKUP($C$10,'DSCR (Port LLPA)'!$B$53:$K$67,MATCH($R38,'DSCR (Port LLPA)'!$B$53:$K$53,0),FALSE),"-")))</f>
        <v>-</v>
      </c>
      <c r="AD38" s="56" t="str">
        <f t="shared" si="60"/>
        <v>-</v>
      </c>
      <c r="AE38" s="52">
        <f t="shared" si="61"/>
        <v>0</v>
      </c>
      <c r="AF38" s="214">
        <f t="shared" si="62"/>
        <v>1.2</v>
      </c>
      <c r="AG38" s="52">
        <f t="shared" si="63"/>
        <v>0</v>
      </c>
      <c r="AH38" s="52">
        <f t="shared" si="64"/>
        <v>0</v>
      </c>
      <c r="AI38" s="52" t="e">
        <f t="shared" si="65"/>
        <v>#VALUE!</v>
      </c>
      <c r="AN38" s="53"/>
      <c r="AO38" s="53"/>
      <c r="AP38" s="56"/>
      <c r="AQ38" s="57"/>
      <c r="AS38" s="56"/>
      <c r="AT38" s="56"/>
      <c r="AU38" s="56"/>
      <c r="AV38" s="56"/>
      <c r="AW38" s="56"/>
      <c r="AX38" s="56"/>
      <c r="AY38" s="67"/>
      <c r="AZ38" s="67"/>
      <c r="BA38" s="56"/>
      <c r="BB38" s="67"/>
      <c r="BC38" s="56"/>
      <c r="BD38" s="56"/>
      <c r="BE38" s="52"/>
      <c r="BF38" s="214"/>
      <c r="BG38" s="52"/>
      <c r="BH38" s="52"/>
      <c r="BI38" s="52"/>
      <c r="BJ38" s="52"/>
      <c r="BK38" s="52"/>
      <c r="BL38" s="52"/>
      <c r="BM38" s="52"/>
      <c r="BN38" s="52"/>
      <c r="BO38" s="52"/>
      <c r="BP38" s="52"/>
      <c r="BR38" s="53">
        <v>2.9999999999999995E-2</v>
      </c>
      <c r="BS38" s="206">
        <f t="shared" si="67"/>
        <v>101</v>
      </c>
      <c r="BT38" s="217" t="e">
        <f t="shared" si="68"/>
        <v>#N/A</v>
      </c>
      <c r="BU38" s="67" t="e">
        <f t="shared" si="69"/>
        <v>#N/A</v>
      </c>
      <c r="BV38" s="216" t="e">
        <f t="shared" si="70"/>
        <v>#N/A</v>
      </c>
      <c r="BW38" s="216" t="e">
        <f t="shared" si="71"/>
        <v>#N/A</v>
      </c>
      <c r="BX38" s="51" t="e">
        <f t="shared" si="72"/>
        <v>#N/A</v>
      </c>
      <c r="BY38" s="215" t="e">
        <f t="shared" si="73"/>
        <v>#N/A</v>
      </c>
      <c r="BZ38" s="51" t="e">
        <f t="shared" si="74"/>
        <v>#N/A</v>
      </c>
      <c r="CA38" s="52">
        <f t="shared" si="75"/>
        <v>0</v>
      </c>
      <c r="CB38" s="52">
        <f t="shared" si="76"/>
        <v>0</v>
      </c>
      <c r="CC38" s="52">
        <f t="shared" si="77"/>
        <v>0</v>
      </c>
      <c r="CD38" s="52">
        <f t="shared" si="78"/>
        <v>0</v>
      </c>
      <c r="CE38" s="215" t="e">
        <f t="shared" si="79"/>
        <v>#N/A</v>
      </c>
      <c r="CF38" s="51" t="e">
        <f t="shared" si="80"/>
        <v>#N/A</v>
      </c>
      <c r="CG38" s="52" t="e">
        <f t="shared" si="81"/>
        <v>#N/A</v>
      </c>
      <c r="CH38" s="51" t="e">
        <f t="shared" si="82"/>
        <v>#N/A</v>
      </c>
      <c r="CI38" s="52" t="e">
        <f t="shared" si="83"/>
        <v>#N/A</v>
      </c>
      <c r="CJ38" s="52" t="e">
        <f t="shared" si="84"/>
        <v>#N/A</v>
      </c>
      <c r="CK38" s="214" t="e">
        <f t="shared" si="85"/>
        <v>#N/A</v>
      </c>
      <c r="CL38" s="214" t="e">
        <f t="shared" si="86"/>
        <v>#VALUE!</v>
      </c>
      <c r="CM38" s="51" t="e">
        <f t="shared" si="87"/>
        <v>#N/A</v>
      </c>
      <c r="CN38" s="52" t="e">
        <f t="shared" si="88"/>
        <v>#N/A</v>
      </c>
      <c r="CO38" s="214" t="e">
        <f t="shared" si="89"/>
        <v>#N/A</v>
      </c>
      <c r="CS38" s="51" t="e">
        <f t="shared" si="93"/>
        <v>#N/A</v>
      </c>
      <c r="CT38" s="52" t="e">
        <f t="shared" si="90"/>
        <v>#N/A</v>
      </c>
      <c r="CU38" s="51" t="e">
        <f t="shared" si="91"/>
        <v>#N/A</v>
      </c>
      <c r="CV38" s="51" t="e">
        <f t="shared" si="92"/>
        <v>#N/A</v>
      </c>
    </row>
    <row r="39" spans="2:100" x14ac:dyDescent="0.25">
      <c r="B39" s="51" t="s">
        <v>62</v>
      </c>
      <c r="C39" s="219">
        <v>100000000</v>
      </c>
      <c r="N39" s="53">
        <v>3.7499999999999999E-2</v>
      </c>
      <c r="O39" s="53">
        <f t="shared" si="56"/>
        <v>1.0024999999999999</v>
      </c>
      <c r="P39" s="56">
        <f t="shared" si="57"/>
        <v>-1.0000000000000024E-2</v>
      </c>
      <c r="Q39" s="57" t="e">
        <f t="shared" si="58"/>
        <v>#VALUE!</v>
      </c>
      <c r="R39" s="51" t="e">
        <f>IF($Q39="-","-",IF(($Q39/$C$19)&lt;=INDEX('DSCR (Port Legend)'!$F$3:$H$14,MATCH(($Q39/$C$19),'DSCR (Port Legend)'!$F$3:$F$14,1),2),INDEX('DSCR (Port Legend)'!$F$3:$H$14,MATCH(($Q39/$C$19),'DSCR (Port Legend)'!$F$3:$F$14,1),3),"-"))</f>
        <v>#VALUE!</v>
      </c>
      <c r="S39" s="56" t="str">
        <f>IFERROR(IF($C$6="SFR",VLOOKUP(S$23,'DSCR (Port LLPA)'!$M:$V,MATCH($R39,'DSCR (Port LLPA)'!$M$1:$V$1,0),FALSE),IF($C$6="Multi",VLOOKUP(S$23,'DSCR (Port LLPA)'!$X:$AG,MATCH($R39,'DSCR (Port LLPA)'!$X$1:$AG$1,0),FALSE),"-")),"-")</f>
        <v>-</v>
      </c>
      <c r="T39" s="56" t="str">
        <f>IFERROR(IF($C$6="SFR",VLOOKUP(T$23,'DSCR (Port LLPA)'!$M:$V,MATCH($R39,'DSCR (Port LLPA)'!$M$1:$V$1,0),FALSE),IF($C$6="Multi",VLOOKUP(T$23,'DSCR (Port LLPA)'!$X:$AG,MATCH($R39,'DSCR (Port LLPA)'!$X$1:$AG$1,0),FALSE),"-")),"-")</f>
        <v>-</v>
      </c>
      <c r="U39" s="56" t="str">
        <f>IFERROR(IF($C$6="SFR",VLOOKUP(U$23,'DSCR (Port LLPA)'!$M:$V,MATCH($R39,'DSCR (Port LLPA)'!$M$1:$V$1,0),FALSE),IF($C$6="Multi",VLOOKUP(U$23,'DSCR (Port LLPA)'!$X:$AG,MATCH($R39,'DSCR (Port LLPA)'!$X$1:$AG$1,0),FALSE),"-")),"-")</f>
        <v>-</v>
      </c>
      <c r="V39" s="56" t="str">
        <f>IFERROR(IF($C$6="SFR",VLOOKUP(V$23,'DSCR (Port LLPA)'!$M:$V,MATCH($R39,'DSCR (Port LLPA)'!$M$1:$V$1,0),FALSE),IF($C$6="Multi",VLOOKUP(V$23,'DSCR (Port LLPA)'!$X:$AG,MATCH($R39,'DSCR (Port LLPA)'!$X$1:$AG$1,0),FALSE),"-")),"-")</f>
        <v>-</v>
      </c>
      <c r="W39" s="56" t="str">
        <f>IFERROR(IF($C$6="SFR",VLOOKUP(W$23,'DSCR (Port LLPA)'!$M:$V,MATCH($R39,'DSCR (Port LLPA)'!$M$1:$V$1,0),FALSE),IF($C$6="Multi",VLOOKUP(W$23,'DSCR (Port LLPA)'!$X:$AG,MATCH($R39,'DSCR (Port LLPA)'!$X$1:$AG$1,0),FALSE),"-")),"-")</f>
        <v>-</v>
      </c>
      <c r="X39" s="56" t="str">
        <f>IFERROR(IF($C$6="SFR",VLOOKUP(X$23,'DSCR (Port LLPA)'!$M:$V,MATCH($R39,'DSCR (Port LLPA)'!$M$1:$V$1,0),FALSE),IF($C$6="Multi",VLOOKUP(X$23,'DSCR (Port LLPA)'!$X:$AG,MATCH($R39,'DSCR (Port LLPA)'!$X$1:$AG$1,0),FALSE),"-")),"-")</f>
        <v>-</v>
      </c>
      <c r="Y39" s="67" t="e">
        <f>IF($Q39="-","-",IF($Q39&lt;=INDEX('DSCR (Port Legend)'!$J$3:$L$17,MATCH($Q39,'DSCR (Port Legend)'!$J$3:$J$17,1),2),INDEX('DSCR (Port Legend)'!$J$3:$L$17,MATCH($Q39,'DSCR (Port Legend)'!$J$3:$J$17,1),3),"-"))</f>
        <v>#VALUE!</v>
      </c>
      <c r="Z39" s="67" t="str">
        <f>IFERROR(IF($C$6="SFR",VLOOKUP($Y39,'DSCR (Port LLPA)'!$M:$V,MATCH($R39,'DSCR (Port LLPA)'!$M$1:$V$1,0),FALSE),IF($C$6="Multi",VLOOKUP($Y39,'DSCR (Port LLPA)'!$X:$AG,MATCH($R39,'DSCR (Port LLPA)'!$X$1:$AG$1,0),FALSE),"-")),"-")</f>
        <v>-</v>
      </c>
      <c r="AA39" s="56" t="str">
        <f>IFERROR(IF($C$6="SFR",VLOOKUP(AA$23,'DSCR (Port LLPA)'!$M:$V,MATCH($R39,'DSCR (Port LLPA)'!$M$1:$V$1,0),FALSE),IF($C$6="Multi",VLOOKUP(AA$23,'DSCR (Port LLPA)'!$X:$AG,MATCH($R39,'DSCR (Port LLPA)'!$X$1:$AG$1,0),FALSE),"-")),"-")</f>
        <v>-</v>
      </c>
      <c r="AB39" s="67" t="str">
        <f t="shared" si="59"/>
        <v>-</v>
      </c>
      <c r="AC39" s="56" t="str">
        <f>IF($AB39="-","-",IF($C$6="SFR",VLOOKUP($C$10,'DSCR (Port LLPA)'!$B$36:$K$50,MATCH($R39,'DSCR (Port LLPA)'!$B$36:$K$36,0),FALSE),IF($C$6="Multi",VLOOKUP($C$10,'DSCR (Port LLPA)'!$B$53:$K$67,MATCH($R39,'DSCR (Port LLPA)'!$B$53:$K$53,0),FALSE),"-")))</f>
        <v>-</v>
      </c>
      <c r="AD39" s="56" t="str">
        <f t="shared" si="60"/>
        <v>-</v>
      </c>
      <c r="AE39" s="52">
        <f t="shared" si="61"/>
        <v>0</v>
      </c>
      <c r="AF39" s="214">
        <f t="shared" si="62"/>
        <v>1.2</v>
      </c>
      <c r="AG39" s="52">
        <f t="shared" si="63"/>
        <v>0</v>
      </c>
      <c r="AH39" s="52">
        <f t="shared" si="64"/>
        <v>0</v>
      </c>
      <c r="AI39" s="52" t="e">
        <f t="shared" si="65"/>
        <v>#VALUE!</v>
      </c>
      <c r="AN39" s="53"/>
      <c r="AO39" s="53"/>
      <c r="AP39" s="56"/>
      <c r="AQ39" s="57"/>
      <c r="AS39" s="56"/>
      <c r="AT39" s="56"/>
      <c r="AU39" s="56"/>
      <c r="AV39" s="56"/>
      <c r="AW39" s="56"/>
      <c r="AX39" s="56"/>
      <c r="AY39" s="67"/>
      <c r="AZ39" s="67"/>
      <c r="BA39" s="56"/>
      <c r="BB39" s="67"/>
      <c r="BC39" s="56"/>
      <c r="BD39" s="56"/>
      <c r="BE39" s="52"/>
      <c r="BF39" s="214"/>
      <c r="BG39" s="52"/>
      <c r="BH39" s="52"/>
      <c r="BI39" s="52"/>
      <c r="BJ39" s="52"/>
      <c r="BK39" s="52"/>
      <c r="BL39" s="52"/>
      <c r="BM39" s="52"/>
      <c r="BN39" s="52"/>
      <c r="BO39" s="52"/>
      <c r="BP39" s="52"/>
      <c r="BR39" s="53">
        <v>3.2499999999999994E-2</v>
      </c>
      <c r="BS39" s="206">
        <f t="shared" si="67"/>
        <v>100.75</v>
      </c>
      <c r="BT39" s="217" t="e">
        <f t="shared" si="68"/>
        <v>#N/A</v>
      </c>
      <c r="BU39" s="67" t="e">
        <f t="shared" si="69"/>
        <v>#N/A</v>
      </c>
      <c r="BV39" s="216" t="e">
        <f t="shared" si="70"/>
        <v>#N/A</v>
      </c>
      <c r="BW39" s="216" t="e">
        <f t="shared" si="71"/>
        <v>#N/A</v>
      </c>
      <c r="BX39" s="51" t="e">
        <f t="shared" si="72"/>
        <v>#N/A</v>
      </c>
      <c r="BY39" s="215" t="e">
        <f t="shared" si="73"/>
        <v>#N/A</v>
      </c>
      <c r="BZ39" s="51" t="e">
        <f t="shared" si="74"/>
        <v>#N/A</v>
      </c>
      <c r="CA39" s="52">
        <f t="shared" si="75"/>
        <v>0</v>
      </c>
      <c r="CB39" s="52">
        <f t="shared" si="76"/>
        <v>0</v>
      </c>
      <c r="CC39" s="52">
        <f t="shared" si="77"/>
        <v>0</v>
      </c>
      <c r="CD39" s="52">
        <f t="shared" si="78"/>
        <v>0</v>
      </c>
      <c r="CE39" s="215" t="e">
        <f t="shared" si="79"/>
        <v>#N/A</v>
      </c>
      <c r="CF39" s="51" t="e">
        <f t="shared" si="80"/>
        <v>#N/A</v>
      </c>
      <c r="CG39" s="52" t="e">
        <f t="shared" si="81"/>
        <v>#N/A</v>
      </c>
      <c r="CH39" s="51" t="e">
        <f t="shared" si="82"/>
        <v>#N/A</v>
      </c>
      <c r="CI39" s="52" t="e">
        <f t="shared" si="83"/>
        <v>#N/A</v>
      </c>
      <c r="CJ39" s="52" t="e">
        <f t="shared" si="84"/>
        <v>#N/A</v>
      </c>
      <c r="CK39" s="214" t="e">
        <f t="shared" si="85"/>
        <v>#N/A</v>
      </c>
      <c r="CL39" s="214" t="e">
        <f t="shared" si="86"/>
        <v>#VALUE!</v>
      </c>
      <c r="CM39" s="51" t="e">
        <f t="shared" si="87"/>
        <v>#N/A</v>
      </c>
      <c r="CN39" s="52" t="e">
        <f t="shared" si="88"/>
        <v>#N/A</v>
      </c>
      <c r="CO39" s="214" t="e">
        <f t="shared" si="89"/>
        <v>#N/A</v>
      </c>
      <c r="CS39" s="51" t="e">
        <f t="shared" si="93"/>
        <v>#N/A</v>
      </c>
      <c r="CT39" s="52" t="e">
        <f t="shared" si="90"/>
        <v>#N/A</v>
      </c>
      <c r="CU39" s="51" t="e">
        <f t="shared" si="91"/>
        <v>#N/A</v>
      </c>
      <c r="CV39" s="51" t="e">
        <f t="shared" si="92"/>
        <v>#N/A</v>
      </c>
    </row>
    <row r="40" spans="2:100" x14ac:dyDescent="0.25">
      <c r="B40" s="51" t="s">
        <v>1758</v>
      </c>
      <c r="C40" s="219">
        <f>IF($C$6="SFR",65000,IF($C$6="Multi",100000,"-"))</f>
        <v>65000</v>
      </c>
      <c r="N40" s="53">
        <v>0.04</v>
      </c>
      <c r="O40" s="53">
        <f t="shared" si="56"/>
        <v>1</v>
      </c>
      <c r="P40" s="56">
        <f t="shared" si="57"/>
        <v>-1.0666666666666677E-2</v>
      </c>
      <c r="Q40" s="57" t="e">
        <f t="shared" si="58"/>
        <v>#VALUE!</v>
      </c>
      <c r="R40" s="51" t="e">
        <f>IF($Q40="-","-",IF(($Q40/$C$19)&lt;=INDEX('DSCR (Port Legend)'!$F$3:$H$14,MATCH(($Q40/$C$19),'DSCR (Port Legend)'!$F$3:$F$14,1),2),INDEX('DSCR (Port Legend)'!$F$3:$H$14,MATCH(($Q40/$C$19),'DSCR (Port Legend)'!$F$3:$F$14,1),3),"-"))</f>
        <v>#VALUE!</v>
      </c>
      <c r="S40" s="56" t="str">
        <f>IFERROR(IF($C$6="SFR",VLOOKUP(S$23,'DSCR (Port LLPA)'!$M:$V,MATCH($R40,'DSCR (Port LLPA)'!$M$1:$V$1,0),FALSE),IF($C$6="Multi",VLOOKUP(S$23,'DSCR (Port LLPA)'!$X:$AG,MATCH($R40,'DSCR (Port LLPA)'!$X$1:$AG$1,0),FALSE),"-")),"-")</f>
        <v>-</v>
      </c>
      <c r="T40" s="56" t="str">
        <f>IFERROR(IF($C$6="SFR",VLOOKUP(T$23,'DSCR (Port LLPA)'!$M:$V,MATCH($R40,'DSCR (Port LLPA)'!$M$1:$V$1,0),FALSE),IF($C$6="Multi",VLOOKUP(T$23,'DSCR (Port LLPA)'!$X:$AG,MATCH($R40,'DSCR (Port LLPA)'!$X$1:$AG$1,0),FALSE),"-")),"-")</f>
        <v>-</v>
      </c>
      <c r="U40" s="56" t="str">
        <f>IFERROR(IF($C$6="SFR",VLOOKUP(U$23,'DSCR (Port LLPA)'!$M:$V,MATCH($R40,'DSCR (Port LLPA)'!$M$1:$V$1,0),FALSE),IF($C$6="Multi",VLOOKUP(U$23,'DSCR (Port LLPA)'!$X:$AG,MATCH($R40,'DSCR (Port LLPA)'!$X$1:$AG$1,0),FALSE),"-")),"-")</f>
        <v>-</v>
      </c>
      <c r="V40" s="56" t="str">
        <f>IFERROR(IF($C$6="SFR",VLOOKUP(V$23,'DSCR (Port LLPA)'!$M:$V,MATCH($R40,'DSCR (Port LLPA)'!$M$1:$V$1,0),FALSE),IF($C$6="Multi",VLOOKUP(V$23,'DSCR (Port LLPA)'!$X:$AG,MATCH($R40,'DSCR (Port LLPA)'!$X$1:$AG$1,0),FALSE),"-")),"-")</f>
        <v>-</v>
      </c>
      <c r="W40" s="56" t="str">
        <f>IFERROR(IF($C$6="SFR",VLOOKUP(W$23,'DSCR (Port LLPA)'!$M:$V,MATCH($R40,'DSCR (Port LLPA)'!$M$1:$V$1,0),FALSE),IF($C$6="Multi",VLOOKUP(W$23,'DSCR (Port LLPA)'!$X:$AG,MATCH($R40,'DSCR (Port LLPA)'!$X$1:$AG$1,0),FALSE),"-")),"-")</f>
        <v>-</v>
      </c>
      <c r="X40" s="56" t="str">
        <f>IFERROR(IF($C$6="SFR",VLOOKUP(X$23,'DSCR (Port LLPA)'!$M:$V,MATCH($R40,'DSCR (Port LLPA)'!$M$1:$V$1,0),FALSE),IF($C$6="Multi",VLOOKUP(X$23,'DSCR (Port LLPA)'!$X:$AG,MATCH($R40,'DSCR (Port LLPA)'!$X$1:$AG$1,0),FALSE),"-")),"-")</f>
        <v>-</v>
      </c>
      <c r="Y40" s="67" t="e">
        <f>IF($Q40="-","-",IF($Q40&lt;=INDEX('DSCR (Port Legend)'!$J$3:$L$17,MATCH($Q40,'DSCR (Port Legend)'!$J$3:$J$17,1),2),INDEX('DSCR (Port Legend)'!$J$3:$L$17,MATCH($Q40,'DSCR (Port Legend)'!$J$3:$J$17,1),3),"-"))</f>
        <v>#VALUE!</v>
      </c>
      <c r="Z40" s="67" t="str">
        <f>IFERROR(IF($C$6="SFR",VLOOKUP($Y40,'DSCR (Port LLPA)'!$M:$V,MATCH($R40,'DSCR (Port LLPA)'!$M$1:$V$1,0),FALSE),IF($C$6="Multi",VLOOKUP($Y40,'DSCR (Port LLPA)'!$X:$AG,MATCH($R40,'DSCR (Port LLPA)'!$X$1:$AG$1,0),FALSE),"-")),"-")</f>
        <v>-</v>
      </c>
      <c r="AA40" s="56" t="str">
        <f>IFERROR(IF($C$6="SFR",VLOOKUP(AA$23,'DSCR (Port LLPA)'!$M:$V,MATCH($R40,'DSCR (Port LLPA)'!$M$1:$V$1,0),FALSE),IF($C$6="Multi",VLOOKUP(AA$23,'DSCR (Port LLPA)'!$X:$AG,MATCH($R40,'DSCR (Port LLPA)'!$X$1:$AG$1,0),FALSE),"-")),"-")</f>
        <v>-</v>
      </c>
      <c r="AB40" s="67" t="str">
        <f t="shared" si="59"/>
        <v>-</v>
      </c>
      <c r="AC40" s="56" t="str">
        <f>IF($AB40="-","-",IF($C$6="SFR",VLOOKUP($C$10,'DSCR (Port LLPA)'!$B$36:$K$50,MATCH($R40,'DSCR (Port LLPA)'!$B$36:$K$36,0),FALSE),IF($C$6="Multi",VLOOKUP($C$10,'DSCR (Port LLPA)'!$B$53:$K$67,MATCH($R40,'DSCR (Port LLPA)'!$B$53:$K$53,0),FALSE),"-")))</f>
        <v>-</v>
      </c>
      <c r="AD40" s="56" t="str">
        <f t="shared" si="60"/>
        <v>-</v>
      </c>
      <c r="AE40" s="52">
        <f t="shared" si="61"/>
        <v>0</v>
      </c>
      <c r="AF40" s="214">
        <f t="shared" si="62"/>
        <v>1.2</v>
      </c>
      <c r="AG40" s="52">
        <f t="shared" si="63"/>
        <v>0</v>
      </c>
      <c r="AH40" s="52">
        <f t="shared" si="64"/>
        <v>0</v>
      </c>
      <c r="AI40" s="52" t="e">
        <f t="shared" si="65"/>
        <v>#VALUE!</v>
      </c>
      <c r="AN40" s="53"/>
      <c r="AO40" s="53"/>
      <c r="AP40" s="56"/>
      <c r="AQ40" s="57"/>
      <c r="AS40" s="56"/>
      <c r="AT40" s="56"/>
      <c r="AU40" s="56"/>
      <c r="AV40" s="56"/>
      <c r="AW40" s="56"/>
      <c r="AX40" s="56"/>
      <c r="AY40" s="67"/>
      <c r="AZ40" s="67"/>
      <c r="BA40" s="56"/>
      <c r="BB40" s="67"/>
      <c r="BC40" s="56"/>
      <c r="BD40" s="56"/>
      <c r="BE40" s="52"/>
      <c r="BF40" s="214"/>
      <c r="BG40" s="52"/>
      <c r="BH40" s="52"/>
      <c r="BI40" s="52"/>
      <c r="BJ40" s="52"/>
      <c r="BK40" s="52"/>
      <c r="BL40" s="52"/>
      <c r="BM40" s="52"/>
      <c r="BN40" s="52"/>
      <c r="BO40" s="52"/>
      <c r="BP40" s="52"/>
      <c r="BR40" s="53">
        <v>3.4999999999999996E-2</v>
      </c>
      <c r="BS40" s="206">
        <f t="shared" si="67"/>
        <v>100.5</v>
      </c>
      <c r="BT40" s="217" t="e">
        <f t="shared" si="68"/>
        <v>#N/A</v>
      </c>
      <c r="BU40" s="67" t="e">
        <f t="shared" si="69"/>
        <v>#N/A</v>
      </c>
      <c r="BV40" s="216" t="e">
        <f t="shared" si="70"/>
        <v>#N/A</v>
      </c>
      <c r="BW40" s="216" t="e">
        <f t="shared" si="71"/>
        <v>#N/A</v>
      </c>
      <c r="BX40" s="51" t="e">
        <f t="shared" si="72"/>
        <v>#N/A</v>
      </c>
      <c r="BY40" s="215" t="e">
        <f t="shared" si="73"/>
        <v>#N/A</v>
      </c>
      <c r="BZ40" s="51" t="e">
        <f t="shared" si="74"/>
        <v>#N/A</v>
      </c>
      <c r="CA40" s="52">
        <f t="shared" si="75"/>
        <v>0</v>
      </c>
      <c r="CB40" s="52">
        <f t="shared" si="76"/>
        <v>0</v>
      </c>
      <c r="CC40" s="52">
        <f t="shared" si="77"/>
        <v>0</v>
      </c>
      <c r="CD40" s="52">
        <f t="shared" si="78"/>
        <v>0</v>
      </c>
      <c r="CE40" s="215" t="e">
        <f t="shared" si="79"/>
        <v>#N/A</v>
      </c>
      <c r="CF40" s="51" t="e">
        <f t="shared" si="80"/>
        <v>#N/A</v>
      </c>
      <c r="CG40" s="52" t="e">
        <f t="shared" si="81"/>
        <v>#N/A</v>
      </c>
      <c r="CH40" s="51" t="e">
        <f t="shared" si="82"/>
        <v>#N/A</v>
      </c>
      <c r="CI40" s="52" t="e">
        <f t="shared" si="83"/>
        <v>#N/A</v>
      </c>
      <c r="CJ40" s="52" t="e">
        <f t="shared" si="84"/>
        <v>#N/A</v>
      </c>
      <c r="CK40" s="214" t="e">
        <f t="shared" si="85"/>
        <v>#N/A</v>
      </c>
      <c r="CL40" s="214" t="e">
        <f t="shared" si="86"/>
        <v>#VALUE!</v>
      </c>
      <c r="CM40" s="51" t="e">
        <f t="shared" si="87"/>
        <v>#N/A</v>
      </c>
      <c r="CN40" s="52" t="e">
        <f t="shared" si="88"/>
        <v>#N/A</v>
      </c>
      <c r="CO40" s="214" t="e">
        <f t="shared" si="89"/>
        <v>#N/A</v>
      </c>
      <c r="CS40" s="51" t="e">
        <f t="shared" si="93"/>
        <v>#N/A</v>
      </c>
      <c r="CT40" s="52" t="e">
        <f t="shared" si="90"/>
        <v>#N/A</v>
      </c>
      <c r="CU40" s="51" t="e">
        <f t="shared" si="91"/>
        <v>#N/A</v>
      </c>
      <c r="CV40" s="51" t="e">
        <f t="shared" si="92"/>
        <v>#N/A</v>
      </c>
    </row>
    <row r="41" spans="2:100" x14ac:dyDescent="0.25">
      <c r="BR41" s="53">
        <v>3.7499999999999999E-2</v>
      </c>
      <c r="BS41" s="206">
        <f t="shared" si="67"/>
        <v>100.25</v>
      </c>
      <c r="BT41" s="217" t="e">
        <f t="shared" si="68"/>
        <v>#N/A</v>
      </c>
      <c r="BU41" s="67" t="e">
        <f t="shared" si="69"/>
        <v>#N/A</v>
      </c>
      <c r="BV41" s="216" t="e">
        <f t="shared" si="70"/>
        <v>#N/A</v>
      </c>
      <c r="BW41" s="216" t="e">
        <f t="shared" si="71"/>
        <v>#N/A</v>
      </c>
      <c r="BX41" s="51" t="e">
        <f t="shared" si="72"/>
        <v>#N/A</v>
      </c>
      <c r="BY41" s="215" t="e">
        <f t="shared" si="73"/>
        <v>#N/A</v>
      </c>
      <c r="BZ41" s="51" t="e">
        <f t="shared" si="74"/>
        <v>#N/A</v>
      </c>
      <c r="CA41" s="52">
        <f t="shared" si="75"/>
        <v>0</v>
      </c>
      <c r="CB41" s="52">
        <f t="shared" si="76"/>
        <v>0</v>
      </c>
      <c r="CC41" s="52">
        <f t="shared" si="77"/>
        <v>0</v>
      </c>
      <c r="CD41" s="52">
        <f t="shared" si="78"/>
        <v>0</v>
      </c>
      <c r="CE41" s="215" t="e">
        <f t="shared" si="79"/>
        <v>#N/A</v>
      </c>
      <c r="CF41" s="51" t="e">
        <f t="shared" si="80"/>
        <v>#N/A</v>
      </c>
      <c r="CG41" s="52" t="e">
        <f t="shared" si="81"/>
        <v>#N/A</v>
      </c>
      <c r="CH41" s="51" t="e">
        <f t="shared" si="82"/>
        <v>#N/A</v>
      </c>
      <c r="CI41" s="52" t="e">
        <f t="shared" si="83"/>
        <v>#N/A</v>
      </c>
      <c r="CJ41" s="52" t="e">
        <f t="shared" si="84"/>
        <v>#N/A</v>
      </c>
      <c r="CK41" s="214" t="e">
        <f t="shared" si="85"/>
        <v>#N/A</v>
      </c>
      <c r="CL41" s="214" t="e">
        <f t="shared" si="86"/>
        <v>#VALUE!</v>
      </c>
      <c r="CM41" s="51" t="e">
        <f t="shared" si="87"/>
        <v>#N/A</v>
      </c>
      <c r="CN41" s="52" t="e">
        <f t="shared" si="88"/>
        <v>#N/A</v>
      </c>
      <c r="CO41" s="214" t="e">
        <f t="shared" si="89"/>
        <v>#N/A</v>
      </c>
      <c r="CS41" s="51" t="e">
        <f t="shared" si="93"/>
        <v>#N/A</v>
      </c>
      <c r="CT41" s="52" t="e">
        <f t="shared" si="90"/>
        <v>#N/A</v>
      </c>
      <c r="CU41" s="51" t="e">
        <f t="shared" si="91"/>
        <v>#N/A</v>
      </c>
      <c r="CV41" s="51" t="e">
        <f t="shared" si="92"/>
        <v>#N/A</v>
      </c>
    </row>
    <row r="42" spans="2:100" x14ac:dyDescent="0.25">
      <c r="B42" s="218" t="s">
        <v>1757</v>
      </c>
      <c r="C42" s="195"/>
      <c r="D42" s="195" t="s">
        <v>1756</v>
      </c>
      <c r="E42" s="195"/>
      <c r="F42" s="195"/>
      <c r="G42" s="195" t="s">
        <v>1755</v>
      </c>
      <c r="H42" s="195"/>
      <c r="I42" s="195"/>
      <c r="J42" s="195" t="s">
        <v>1754</v>
      </c>
      <c r="K42" s="195"/>
      <c r="L42" s="195"/>
      <c r="M42" s="195" t="s">
        <v>1753</v>
      </c>
      <c r="N42" s="195"/>
      <c r="O42" s="195"/>
      <c r="P42" s="195" t="s">
        <v>1752</v>
      </c>
      <c r="Q42" s="195"/>
      <c r="R42" s="195"/>
      <c r="S42" s="195" t="s">
        <v>1751</v>
      </c>
      <c r="T42" s="195"/>
      <c r="U42" s="195"/>
      <c r="V42" s="195" t="s">
        <v>1750</v>
      </c>
      <c r="W42" s="195"/>
      <c r="X42" s="195"/>
      <c r="BR42" s="53">
        <v>0.04</v>
      </c>
      <c r="BS42" s="206">
        <f t="shared" si="67"/>
        <v>100</v>
      </c>
      <c r="BT42" s="217" t="e">
        <f t="shared" si="68"/>
        <v>#N/A</v>
      </c>
      <c r="BU42" s="67" t="e">
        <f t="shared" si="69"/>
        <v>#N/A</v>
      </c>
      <c r="BV42" s="216" t="e">
        <f t="shared" si="70"/>
        <v>#N/A</v>
      </c>
      <c r="BW42" s="216" t="e">
        <f t="shared" si="71"/>
        <v>#N/A</v>
      </c>
      <c r="BX42" s="51" t="e">
        <f t="shared" si="72"/>
        <v>#N/A</v>
      </c>
      <c r="BY42" s="215" t="e">
        <f t="shared" si="73"/>
        <v>#N/A</v>
      </c>
      <c r="BZ42" s="51" t="e">
        <f t="shared" si="74"/>
        <v>#N/A</v>
      </c>
      <c r="CA42" s="52">
        <f t="shared" si="75"/>
        <v>0</v>
      </c>
      <c r="CB42" s="52">
        <f t="shared" si="76"/>
        <v>0</v>
      </c>
      <c r="CC42" s="52">
        <f t="shared" si="77"/>
        <v>0</v>
      </c>
      <c r="CD42" s="52">
        <f t="shared" si="78"/>
        <v>0</v>
      </c>
      <c r="CE42" s="215" t="e">
        <f t="shared" si="79"/>
        <v>#N/A</v>
      </c>
      <c r="CF42" s="51" t="e">
        <f t="shared" si="80"/>
        <v>#N/A</v>
      </c>
      <c r="CG42" s="52" t="e">
        <f t="shared" si="81"/>
        <v>#N/A</v>
      </c>
      <c r="CH42" s="51" t="e">
        <f t="shared" si="82"/>
        <v>#N/A</v>
      </c>
      <c r="CI42" s="52" t="e">
        <f t="shared" si="83"/>
        <v>#N/A</v>
      </c>
      <c r="CJ42" s="52" t="e">
        <f t="shared" si="84"/>
        <v>#N/A</v>
      </c>
      <c r="CK42" s="214" t="e">
        <f t="shared" si="85"/>
        <v>#N/A</v>
      </c>
      <c r="CL42" s="214" t="e">
        <f t="shared" si="86"/>
        <v>#VALUE!</v>
      </c>
      <c r="CM42" s="51" t="e">
        <f t="shared" si="87"/>
        <v>#N/A</v>
      </c>
      <c r="CN42" s="52" t="e">
        <f t="shared" si="88"/>
        <v>#N/A</v>
      </c>
      <c r="CO42" s="214" t="e">
        <f t="shared" si="89"/>
        <v>#N/A</v>
      </c>
      <c r="CS42" s="51" t="e">
        <f t="shared" si="93"/>
        <v>#N/A</v>
      </c>
      <c r="CT42" s="52" t="e">
        <f t="shared" si="90"/>
        <v>#N/A</v>
      </c>
      <c r="CU42" s="51" t="e">
        <f t="shared" si="91"/>
        <v>#N/A</v>
      </c>
      <c r="CV42" s="51" t="e">
        <f t="shared" si="92"/>
        <v>#N/A</v>
      </c>
    </row>
    <row r="43" spans="2:100" x14ac:dyDescent="0.25">
      <c r="B43" s="639" t="s">
        <v>156</v>
      </c>
      <c r="C43" s="639"/>
      <c r="D43" s="798">
        <v>0.5</v>
      </c>
      <c r="E43" s="799"/>
      <c r="F43" s="800"/>
      <c r="G43" s="798">
        <f>5%+D43</f>
        <v>0.55000000000000004</v>
      </c>
      <c r="H43" s="799"/>
      <c r="I43" s="800"/>
      <c r="J43" s="798">
        <f>5%+G43</f>
        <v>0.60000000000000009</v>
      </c>
      <c r="K43" s="799"/>
      <c r="L43" s="800"/>
      <c r="M43" s="798">
        <f>5%+J43</f>
        <v>0.65000000000000013</v>
      </c>
      <c r="N43" s="799"/>
      <c r="O43" s="800"/>
      <c r="P43" s="798">
        <f>5%+M43</f>
        <v>0.70000000000000018</v>
      </c>
      <c r="Q43" s="799"/>
      <c r="R43" s="800"/>
      <c r="S43" s="798">
        <f>5%+P43</f>
        <v>0.75000000000000022</v>
      </c>
      <c r="T43" s="799"/>
      <c r="U43" s="800"/>
      <c r="V43" s="798">
        <f>5%+S43</f>
        <v>0.80000000000000027</v>
      </c>
      <c r="W43" s="799"/>
      <c r="X43" s="800"/>
    </row>
    <row r="44" spans="2:100" x14ac:dyDescent="0.25">
      <c r="B44" s="639" t="s">
        <v>1749</v>
      </c>
      <c r="C44" s="639"/>
      <c r="D44" s="742" t="e">
        <f>IF(D43&gt;$C$37,"-",D43)</f>
        <v>#N/A</v>
      </c>
      <c r="E44" s="743"/>
      <c r="F44" s="744"/>
      <c r="G44" s="742" t="e">
        <f>IF(G43&gt;$C$37,"-",G43)</f>
        <v>#N/A</v>
      </c>
      <c r="H44" s="743"/>
      <c r="I44" s="744"/>
      <c r="J44" s="742" t="e">
        <f>IF(J43&gt;$C$37,"-",J43)</f>
        <v>#N/A</v>
      </c>
      <c r="K44" s="743"/>
      <c r="L44" s="744"/>
      <c r="M44" s="742" t="e">
        <f>IF(M43&gt;$C$37,"-",M43)</f>
        <v>#N/A</v>
      </c>
      <c r="N44" s="743"/>
      <c r="O44" s="744"/>
      <c r="P44" s="742" t="e">
        <f>IF(P43&gt;$C$37,"-",P43)</f>
        <v>#N/A</v>
      </c>
      <c r="Q44" s="743"/>
      <c r="R44" s="744"/>
      <c r="S44" s="742" t="e">
        <f>IF(S43&gt;$C$37,"-",S43)</f>
        <v>#N/A</v>
      </c>
      <c r="T44" s="743"/>
      <c r="U44" s="744"/>
      <c r="V44" s="742" t="e">
        <f>IF(V43&gt;$C$37,"-",V43)</f>
        <v>#N/A</v>
      </c>
      <c r="W44" s="743"/>
      <c r="X44" s="744"/>
    </row>
    <row r="45" spans="2:100" x14ac:dyDescent="0.25">
      <c r="B45" s="639" t="s">
        <v>1748</v>
      </c>
      <c r="C45" s="639"/>
      <c r="D45" s="742">
        <f>IF(OR($C$3="Refinance (Rate/Term)",$C$3="Refinance (Cash Out)"),"-",D43)</f>
        <v>0.5</v>
      </c>
      <c r="E45" s="743"/>
      <c r="F45" s="744"/>
      <c r="G45" s="742">
        <f>IF(OR($C$3="Refinance (Rate/Term)",$C$3="Refinance (Cash Out)"),"-",G43)</f>
        <v>0.55000000000000004</v>
      </c>
      <c r="H45" s="743"/>
      <c r="I45" s="744"/>
      <c r="J45" s="742">
        <f>IF(OR($C$3="Refinance (Rate/Term)",$C$3="Refinance (Cash Out)"),"-",J43)</f>
        <v>0.60000000000000009</v>
      </c>
      <c r="K45" s="743"/>
      <c r="L45" s="744"/>
      <c r="M45" s="742">
        <f>IF(OR($C$3="Refinance (Rate/Term)",$C$3="Refinance (Cash Out)"),"-",M43)</f>
        <v>0.65000000000000013</v>
      </c>
      <c r="N45" s="743"/>
      <c r="O45" s="744"/>
      <c r="P45" s="742">
        <f>IF(OR($C$3="Refinance (Rate/Term)",$C$3="Refinance (Cash Out)"),"-",P43)</f>
        <v>0.70000000000000018</v>
      </c>
      <c r="Q45" s="743"/>
      <c r="R45" s="744"/>
      <c r="S45" s="742">
        <f>IF(OR($C$3="Refinance (Rate/Term)",$C$3="Refinance (Cash Out)"),"-",S43)</f>
        <v>0.75000000000000022</v>
      </c>
      <c r="T45" s="743"/>
      <c r="U45" s="744"/>
      <c r="V45" s="742">
        <f>IF(OR($C$3="Refinance (Rate/Term)",$C$3="Refinance (Cash Out)"),"-",V43)</f>
        <v>0.80000000000000027</v>
      </c>
      <c r="W45" s="743"/>
      <c r="X45" s="744"/>
    </row>
    <row r="46" spans="2:100" x14ac:dyDescent="0.25">
      <c r="B46" s="639" t="s">
        <v>1747</v>
      </c>
      <c r="C46" s="639"/>
      <c r="D46" s="737" t="e">
        <f>IF(D44="-","-",IF(OR($C$3="Purchase",$C$3="Delayed Purchase"),MIN(D44*$C$19,D45*$C$22),IF(OR($C$3="Refinance (Rate/Term)",$C$3="Refinance (Cash Out)"),D44*$C$19,"-")))</f>
        <v>#N/A</v>
      </c>
      <c r="E46" s="738"/>
      <c r="F46" s="739"/>
      <c r="G46" s="737" t="e">
        <f>IF(G44="-","-",IF(OR($C$3="Purchase",$C$3="Delayed Purchase"),MIN(G44*$C$19,G45*$C$22),IF(OR($C$3="Refinance (Rate/Term)",$C$3="Refinance (Cash Out)"),G44*$C$19,"-")))</f>
        <v>#N/A</v>
      </c>
      <c r="H46" s="738"/>
      <c r="I46" s="739"/>
      <c r="J46" s="737" t="e">
        <f>IF(J44="-","-",IF(OR($C$3="Purchase",$C$3="Delayed Purchase"),MIN(J44*$C$19,J45*$C$22),IF(OR($C$3="Refinance (Rate/Term)",$C$3="Refinance (Cash Out)"),J44*$C$19,"-")))</f>
        <v>#N/A</v>
      </c>
      <c r="K46" s="738"/>
      <c r="L46" s="739"/>
      <c r="M46" s="737" t="e">
        <f>IF(M44="-","-",IF(OR($C$3="Purchase",$C$3="Delayed Purchase"),MIN(M44*$C$19,M45*$C$22),IF(OR($C$3="Refinance (Rate/Term)",$C$3="Refinance (Cash Out)"),M44*$C$19,"-")))</f>
        <v>#N/A</v>
      </c>
      <c r="N46" s="738"/>
      <c r="O46" s="739"/>
      <c r="P46" s="737" t="e">
        <f>IF(P44="-","-",IF(OR($C$3="Purchase",$C$3="Delayed Purchase"),MIN(P44*$C$19,P45*$C$22),IF(OR($C$3="Refinance (Rate/Term)",$C$3="Refinance (Cash Out)"),P44*$C$19,"-")))</f>
        <v>#N/A</v>
      </c>
      <c r="Q46" s="738"/>
      <c r="R46" s="739"/>
      <c r="S46" s="737" t="e">
        <f>IF(S44="-","-",IF(OR($C$3="Purchase",$C$3="Delayed Purchase"),MIN(S44*$C$19,S45*$C$22),IF(OR($C$3="Refinance (Rate/Term)",$C$3="Refinance (Cash Out)"),S44*$C$19,"-")))</f>
        <v>#N/A</v>
      </c>
      <c r="T46" s="738"/>
      <c r="U46" s="739"/>
      <c r="V46" s="737" t="e">
        <f>IF(V44="-","-",IF(OR($C$3="Purchase",$C$3="Delayed Purchase"),MIN(V44*$C$19,V45*$C$22),IF(OR($C$3="Refinance (Rate/Term)",$C$3="Refinance (Cash Out)"),V44*$C$19,"-")))</f>
        <v>#N/A</v>
      </c>
      <c r="W46" s="738"/>
      <c r="X46" s="739"/>
    </row>
    <row r="47" spans="2:100" x14ac:dyDescent="0.25">
      <c r="B47" s="639" t="s">
        <v>1746</v>
      </c>
      <c r="C47" s="639"/>
      <c r="D47" s="737" t="e">
        <f>IF(OR(D46&lt;$C$40,D46&gt;$C$39),"-",D46)</f>
        <v>#N/A</v>
      </c>
      <c r="E47" s="738"/>
      <c r="F47" s="739"/>
      <c r="G47" s="737" t="e">
        <f>IF(OR(G46&lt;$C$40,G46&gt;$C$39),"-",G46)</f>
        <v>#N/A</v>
      </c>
      <c r="H47" s="738"/>
      <c r="I47" s="739"/>
      <c r="J47" s="737" t="e">
        <f>IF(OR(J46&lt;$C$40,J46&gt;$C$39),"-",J46)</f>
        <v>#N/A</v>
      </c>
      <c r="K47" s="738"/>
      <c r="L47" s="739"/>
      <c r="M47" s="737" t="e">
        <f>IF(OR(M46&lt;$C$40,M46&gt;$C$39),"-",M46)</f>
        <v>#N/A</v>
      </c>
      <c r="N47" s="738"/>
      <c r="O47" s="739"/>
      <c r="P47" s="737" t="e">
        <f>IF(OR(P46&lt;$C$40,P46&gt;$C$39),"-",P46)</f>
        <v>#N/A</v>
      </c>
      <c r="Q47" s="738"/>
      <c r="R47" s="739"/>
      <c r="S47" s="737" t="e">
        <f>IF(OR(S46&lt;$C$40,S46&gt;$C$39),"-",S46)</f>
        <v>#N/A</v>
      </c>
      <c r="T47" s="738"/>
      <c r="U47" s="739"/>
      <c r="V47" s="737" t="e">
        <f>IF(OR(V46&lt;$C$40,V46&gt;$C$39),"-",V46)</f>
        <v>#N/A</v>
      </c>
      <c r="W47" s="738"/>
      <c r="X47" s="739"/>
    </row>
    <row r="48" spans="2:100" x14ac:dyDescent="0.25">
      <c r="B48" s="639" t="s">
        <v>1745</v>
      </c>
      <c r="C48" s="639"/>
      <c r="D48" s="737" t="str">
        <f>IF(OR($C$3="Purchase",$C$3="Delayed Purchase",$C$3="Refinance (Cash Out)"),"-",IF($C$3="Refinance (Rate/Term)",'DSCR (Port Loan)'!$C$22*102%,"-"))</f>
        <v>-</v>
      </c>
      <c r="E48" s="738"/>
      <c r="F48" s="739"/>
      <c r="G48" s="737" t="str">
        <f>IF(OR($C$3="Purchase",$C$3="Delayed Purchase",$C$3="Refinance (Cash Out)"),"-",IF($C$3="Refinance (Rate/Term)",'DSCR (Port Loan)'!$C$22*102%,"-"))</f>
        <v>-</v>
      </c>
      <c r="H48" s="738"/>
      <c r="I48" s="739"/>
      <c r="J48" s="737" t="str">
        <f>IF(OR($C$3="Purchase",$C$3="Delayed Purchase",$C$3="Refinance (Cash Out)"),"-",IF($C$3="Refinance (Rate/Term)",'DSCR (Port Loan)'!$C$22*102%,"-"))</f>
        <v>-</v>
      </c>
      <c r="K48" s="738"/>
      <c r="L48" s="739"/>
      <c r="M48" s="737" t="str">
        <f>IF(OR($C$3="Purchase",$C$3="Delayed Purchase",$C$3="Refinance (Cash Out)"),"-",IF($C$3="Refinance (Rate/Term)",'DSCR (Port Loan)'!$C$22*102%,"-"))</f>
        <v>-</v>
      </c>
      <c r="N48" s="738"/>
      <c r="O48" s="739"/>
      <c r="P48" s="737" t="str">
        <f>IF(OR($C$3="Purchase",$C$3="Delayed Purchase",$C$3="Refinance (Cash Out)"),"-",IF($C$3="Refinance (Rate/Term)",'DSCR (Port Loan)'!$C$22*102%,"-"))</f>
        <v>-</v>
      </c>
      <c r="Q48" s="738"/>
      <c r="R48" s="739"/>
      <c r="S48" s="737" t="str">
        <f>IF(OR($C$3="Purchase",$C$3="Delayed Purchase",$C$3="Refinance (Cash Out)"),"-",IF($C$3="Refinance (Rate/Term)",'DSCR (Port Loan)'!$C$22*102%,"-"))</f>
        <v>-</v>
      </c>
      <c r="T48" s="738"/>
      <c r="U48" s="739"/>
      <c r="V48" s="737" t="str">
        <f>IF(OR($C$3="Purchase",$C$3="Delayed Purchase",$C$3="Refinance (Cash Out)"),"-",IF($C$3="Refinance (Rate/Term)",'DSCR (Port Loan)'!$C$22*102%,"-"))</f>
        <v>-</v>
      </c>
      <c r="W48" s="738"/>
      <c r="X48" s="739"/>
    </row>
    <row r="49" spans="1:24" x14ac:dyDescent="0.25">
      <c r="B49" s="639" t="s">
        <v>1744</v>
      </c>
      <c r="C49" s="639"/>
      <c r="D49" s="737" t="e">
        <f>IF(D48="-",D47,IF(D47&gt;D48,"-",IF(D48&gt;D47,D47,)))</f>
        <v>#N/A</v>
      </c>
      <c r="E49" s="738"/>
      <c r="F49" s="739"/>
      <c r="G49" s="737" t="e">
        <f>IF(G48="-",G47,IF(G47&gt;G48,"-",IF(G48&gt;G47,G47,)))</f>
        <v>#N/A</v>
      </c>
      <c r="H49" s="738"/>
      <c r="I49" s="739"/>
      <c r="J49" s="737" t="e">
        <f>IF(J48="-",J47,IF(J47&gt;J48,"-",IF(J48&gt;J47,J47,)))</f>
        <v>#N/A</v>
      </c>
      <c r="K49" s="738"/>
      <c r="L49" s="739"/>
      <c r="M49" s="737" t="e">
        <f>IF(M48="-",M47,IF(M47&gt;M48,"-",IF(M48&gt;M47,M47,)))</f>
        <v>#N/A</v>
      </c>
      <c r="N49" s="738"/>
      <c r="O49" s="739"/>
      <c r="P49" s="737" t="e">
        <f>IF(P48="-",P47,IF(P47&gt;P48,"-",IF(P48&gt;P47,P47,)))</f>
        <v>#N/A</v>
      </c>
      <c r="Q49" s="738"/>
      <c r="R49" s="739"/>
      <c r="S49" s="737" t="e">
        <f>IF(S48="-",S47,IF(S47&gt;S48,"-",IF(S48&gt;S47,S47,)))</f>
        <v>#N/A</v>
      </c>
      <c r="T49" s="738"/>
      <c r="U49" s="739"/>
      <c r="V49" s="737" t="e">
        <f>IF(V48="-",V47,IF(V47&gt;V48,"-",IF(V48&gt;V47,V47,)))</f>
        <v>#N/A</v>
      </c>
      <c r="W49" s="738"/>
      <c r="X49" s="739"/>
    </row>
    <row r="50" spans="1:24" x14ac:dyDescent="0.25">
      <c r="B50" s="639" t="s">
        <v>1743</v>
      </c>
      <c r="C50" s="639"/>
      <c r="D50" s="742" t="e">
        <f>IF(D49="-","-",D49/$C$19)</f>
        <v>#N/A</v>
      </c>
      <c r="E50" s="743"/>
      <c r="F50" s="744"/>
      <c r="G50" s="742" t="e">
        <f>IF(G49="-","-",G49/$C$19)</f>
        <v>#N/A</v>
      </c>
      <c r="H50" s="743"/>
      <c r="I50" s="744"/>
      <c r="J50" s="742" t="e">
        <f>IF(J49="-","-",J49/$C$19)</f>
        <v>#N/A</v>
      </c>
      <c r="K50" s="743"/>
      <c r="L50" s="744"/>
      <c r="M50" s="742" t="e">
        <f>IF(M49="-","-",M49/$C$19)</f>
        <v>#N/A</v>
      </c>
      <c r="N50" s="743"/>
      <c r="O50" s="744"/>
      <c r="P50" s="742" t="e">
        <f>IF(P49="-","-",P49/$C$19)</f>
        <v>#N/A</v>
      </c>
      <c r="Q50" s="743"/>
      <c r="R50" s="744"/>
      <c r="S50" s="742" t="e">
        <f>IF(S49="-","-",S49/$C$19)</f>
        <v>#N/A</v>
      </c>
      <c r="T50" s="743"/>
      <c r="U50" s="744"/>
      <c r="V50" s="742" t="e">
        <f>IF(V49="-","-",V49/$C$19)</f>
        <v>#N/A</v>
      </c>
      <c r="W50" s="743"/>
      <c r="X50" s="744"/>
    </row>
    <row r="51" spans="1:24" x14ac:dyDescent="0.25">
      <c r="B51" s="639" t="s">
        <v>1742</v>
      </c>
      <c r="C51" s="639"/>
      <c r="D51" s="737" t="e">
        <f>IF(D50="-","-",IF(D50&lt;=INDEX('DSCR (Port Legend)'!$F$3:$H$14,MATCH(D50,'DSCR (Port Legend)'!$F$3:$F$14,1),2),INDEX('DSCR (Port Legend)'!$F$3:$H$14,MATCH(D50,'DSCR (Port Legend)'!$F$3:$F$14,1),3),"-"))</f>
        <v>#N/A</v>
      </c>
      <c r="E51" s="738"/>
      <c r="F51" s="739"/>
      <c r="G51" s="737" t="e">
        <f>IF(G50="-","-",IF(G50&lt;=INDEX('DSCR (Port Legend)'!$F$3:$H$14,MATCH(G50,'DSCR (Port Legend)'!$F$3:$F$14,1),2),INDEX('DSCR (Port Legend)'!$F$3:$H$14,MATCH(G50,'DSCR (Port Legend)'!$F$3:$F$14,1),3),"-"))</f>
        <v>#N/A</v>
      </c>
      <c r="H51" s="738"/>
      <c r="I51" s="739"/>
      <c r="J51" s="737" t="e">
        <f>IF(J50="-","-",IF(J50&lt;=INDEX('DSCR (Port Legend)'!$F$3:$H$14,MATCH(J50,'DSCR (Port Legend)'!$F$3:$F$14,1),2),INDEX('DSCR (Port Legend)'!$F$3:$H$14,MATCH(J50,'DSCR (Port Legend)'!$F$3:$F$14,1),3),"-"))</f>
        <v>#N/A</v>
      </c>
      <c r="K51" s="738"/>
      <c r="L51" s="739"/>
      <c r="M51" s="737" t="e">
        <f>IF(M50="-","-",IF(M50&lt;=INDEX('DSCR (Port Legend)'!$F$3:$H$14,MATCH(M50,'DSCR (Port Legend)'!$F$3:$F$14,1),2),INDEX('DSCR (Port Legend)'!$F$3:$H$14,MATCH(M50,'DSCR (Port Legend)'!$F$3:$F$14,1),3),"-"))</f>
        <v>#N/A</v>
      </c>
      <c r="N51" s="738"/>
      <c r="O51" s="739"/>
      <c r="P51" s="737" t="e">
        <f>IF(P50="-","-",IF(P50&lt;=INDEX('DSCR (Port Legend)'!$F$3:$H$14,MATCH(P50,'DSCR (Port Legend)'!$F$3:$F$14,1),2),INDEX('DSCR (Port Legend)'!$F$3:$H$14,MATCH(P50,'DSCR (Port Legend)'!$F$3:$F$14,1),3),"-"))</f>
        <v>#N/A</v>
      </c>
      <c r="Q51" s="738"/>
      <c r="R51" s="739"/>
      <c r="S51" s="737" t="e">
        <f>IF(S50="-","-",IF(S50&lt;=INDEX('DSCR (Port Legend)'!$F$3:$H$14,MATCH(S50,'DSCR (Port Legend)'!$F$3:$F$14,1),2),INDEX('DSCR (Port Legend)'!$F$3:$H$14,MATCH(S50,'DSCR (Port Legend)'!$F$3:$F$14,1),3),"-"))</f>
        <v>#N/A</v>
      </c>
      <c r="T51" s="738"/>
      <c r="U51" s="739"/>
      <c r="V51" s="737" t="e">
        <f>IF(V50="-","-",IF(V50&lt;=INDEX('DSCR (Port Legend)'!$F$3:$H$14,MATCH(V50,'DSCR (Port Legend)'!$F$3:$F$14,1),2),INDEX('DSCR (Port Legend)'!$F$3:$H$14,MATCH(V50,'DSCR (Port Legend)'!$F$3:$F$14,1),3),"-"))</f>
        <v>#N/A</v>
      </c>
      <c r="W51" s="738"/>
      <c r="X51" s="739"/>
    </row>
    <row r="52" spans="1:24" x14ac:dyDescent="0.25">
      <c r="B52" s="639" t="s">
        <v>1741</v>
      </c>
      <c r="C52" s="639"/>
      <c r="D52" s="62"/>
      <c r="F52" s="120"/>
      <c r="G52" s="62"/>
      <c r="I52" s="120"/>
      <c r="J52" s="62"/>
      <c r="L52" s="120"/>
      <c r="M52" s="62"/>
      <c r="O52" s="120"/>
      <c r="P52" s="62"/>
      <c r="R52" s="120"/>
      <c r="S52" s="62"/>
      <c r="U52" s="120"/>
      <c r="V52" s="62"/>
      <c r="X52" s="120"/>
    </row>
    <row r="53" spans="1:24" x14ac:dyDescent="0.25">
      <c r="A53" s="51" t="s">
        <v>1740</v>
      </c>
      <c r="B53" s="801" t="str">
        <f>$C$5</f>
        <v>Detached SFR</v>
      </c>
      <c r="C53" s="801"/>
      <c r="D53" s="788" t="str">
        <f>IFERROR(IF($C$6="SFR",VLOOKUP($B$53,'DSCR (Port LLPA)'!$M:$V,MATCH('DSCR (Port Calc)'!D51,'DSCR (Port LLPA)'!$M$1:$V$1,0),FALSE),IF($C$6="Multi",VLOOKUP($B$53,'DSCR (Port LLPA)'!$X:$AG,MATCH('DSCR (Port Calc)'!D51,'DSCR (Port LLPA)'!$X$1:$AG$1,0),FALSE),"-")),"-")</f>
        <v>-</v>
      </c>
      <c r="E53" s="789"/>
      <c r="F53" s="790"/>
      <c r="G53" s="788" t="str">
        <f>IFERROR(IF($C$6="SFR",VLOOKUP($B$53,'DSCR (Port LLPA)'!$M:$V,MATCH('DSCR (Port Calc)'!G51,'DSCR (Port LLPA)'!$M$1:$V$1,0),FALSE),IF($C$6="Multi",VLOOKUP($B$53,'DSCR (Port LLPA)'!$X:$AG,MATCH('DSCR (Port Calc)'!G51,'DSCR (Port LLPA)'!$X$1:$AG$1,0),FALSE),"-")),"-")</f>
        <v>-</v>
      </c>
      <c r="H53" s="789"/>
      <c r="I53" s="790"/>
      <c r="J53" s="788" t="str">
        <f>IFERROR(IF($C$6="SFR",VLOOKUP($B$53,'DSCR (Port LLPA)'!$M:$V,MATCH('DSCR (Port Calc)'!J51,'DSCR (Port LLPA)'!$M$1:$V$1,0),FALSE),IF($C$6="Multi",VLOOKUP($B$53,'DSCR (Port LLPA)'!$X:$AG,MATCH('DSCR (Port Calc)'!J51,'DSCR (Port LLPA)'!$X$1:$AG$1,0),FALSE),"-")),"-")</f>
        <v>-</v>
      </c>
      <c r="K53" s="789"/>
      <c r="L53" s="790"/>
      <c r="M53" s="788" t="str">
        <f>IFERROR(IF($C$6="SFR",VLOOKUP($B$53,'DSCR (Port LLPA)'!$M:$V,MATCH('DSCR (Port Calc)'!M51,'DSCR (Port LLPA)'!$M$1:$V$1,0),FALSE),IF($C$6="Multi",VLOOKUP($B$53,'DSCR (Port LLPA)'!$X:$AG,MATCH('DSCR (Port Calc)'!M51,'DSCR (Port LLPA)'!$X$1:$AG$1,0),FALSE),"-")),"-")</f>
        <v>-</v>
      </c>
      <c r="N53" s="789"/>
      <c r="O53" s="790"/>
      <c r="P53" s="788" t="str">
        <f>IFERROR(IF($C$6="SFR",VLOOKUP($B$53,'DSCR (Port LLPA)'!$M:$V,MATCH('DSCR (Port Calc)'!P51,'DSCR (Port LLPA)'!$M$1:$V$1,0),FALSE),IF($C$6="Multi",VLOOKUP($B$53,'DSCR (Port LLPA)'!$X:$AG,MATCH('DSCR (Port Calc)'!P51,'DSCR (Port LLPA)'!$X$1:$AG$1,0),FALSE),"-")),"-")</f>
        <v>-</v>
      </c>
      <c r="Q53" s="789"/>
      <c r="R53" s="790"/>
      <c r="S53" s="788" t="str">
        <f>IFERROR(IF($C$6="SFR",VLOOKUP($B$53,'DSCR (Port LLPA)'!$M:$V,MATCH('DSCR (Port Calc)'!S51,'DSCR (Port LLPA)'!$M$1:$V$1,0),FALSE),IF($C$6="Multi",VLOOKUP($B$53,'DSCR (Port LLPA)'!$X:$AG,MATCH('DSCR (Port Calc)'!S51,'DSCR (Port LLPA)'!$X$1:$AG$1,0),FALSE),"-")),"-")</f>
        <v>-</v>
      </c>
      <c r="T53" s="789"/>
      <c r="U53" s="790"/>
      <c r="V53" s="788" t="str">
        <f>IFERROR(IF($C$6="SFR",VLOOKUP($B$53,'DSCR (Port LLPA)'!$M:$V,MATCH('DSCR (Port Calc)'!V51,'DSCR (Port LLPA)'!$M$1:$V$1,0),FALSE),IF($C$6="Multi",VLOOKUP($B$53,'DSCR (Port LLPA)'!$X:$AG,MATCH('DSCR (Port Calc)'!V51,'DSCR (Port LLPA)'!$X$1:$AG$1,0),FALSE),"-")),"-")</f>
        <v>-</v>
      </c>
      <c r="W53" s="789"/>
      <c r="X53" s="790"/>
    </row>
    <row r="54" spans="1:24" x14ac:dyDescent="0.25">
      <c r="A54" s="51" t="s">
        <v>1739</v>
      </c>
      <c r="B54" s="801">
        <f>$C$3</f>
        <v>0</v>
      </c>
      <c r="C54" s="801"/>
      <c r="D54" s="788" t="str">
        <f>IFERROR(IF($C$6="SFR",VLOOKUP($B$54,'DSCR (Port LLPA)'!$M:$V,MATCH('DSCR (Port Calc)'!D51,'DSCR (Port LLPA)'!$M$1:$V$1,0),FALSE),IF($C$6="Multi",VLOOKUP($B$54,'DSCR (Port LLPA)'!$X:$AG,MATCH('DSCR (Port Calc)'!D51,'DSCR (Port LLPA)'!$X$1:$AG$1,0),FALSE),"-")),"-")</f>
        <v>-</v>
      </c>
      <c r="E54" s="789"/>
      <c r="F54" s="790"/>
      <c r="G54" s="788" t="str">
        <f>IFERROR(IF($C$6="SFR",VLOOKUP($B$54,'DSCR (Port LLPA)'!$M:$V,MATCH('DSCR (Port Calc)'!G51,'DSCR (Port LLPA)'!$M$1:$V$1,0),FALSE),IF($C$6="Multi",VLOOKUP($B$54,'DSCR (Port LLPA)'!$X:$AG,MATCH('DSCR (Port Calc)'!G51,'DSCR (Port LLPA)'!$X$1:$AG$1,0),FALSE),"-")),"-")</f>
        <v>-</v>
      </c>
      <c r="H54" s="789"/>
      <c r="I54" s="790"/>
      <c r="J54" s="788" t="str">
        <f>IFERROR(IF($C$6="SFR",VLOOKUP($B$54,'DSCR (Port LLPA)'!$M:$V,MATCH('DSCR (Port Calc)'!J51,'DSCR (Port LLPA)'!$M$1:$V$1,0),FALSE),IF($C$6="Multi",VLOOKUP($B$54,'DSCR (Port LLPA)'!$X:$AG,MATCH('DSCR (Port Calc)'!J51,'DSCR (Port LLPA)'!$X$1:$AG$1,0),FALSE),"-")),"-")</f>
        <v>-</v>
      </c>
      <c r="K54" s="789"/>
      <c r="L54" s="790"/>
      <c r="M54" s="788" t="str">
        <f>IFERROR(IF($C$6="SFR",VLOOKUP($B$54,'DSCR (Port LLPA)'!$M:$V,MATCH('DSCR (Port Calc)'!M51,'DSCR (Port LLPA)'!$M$1:$V$1,0),FALSE),IF($C$6="Multi",VLOOKUP($B$54,'DSCR (Port LLPA)'!$X:$AG,MATCH('DSCR (Port Calc)'!M51,'DSCR (Port LLPA)'!$X$1:$AG$1,0),FALSE),"-")),"-")</f>
        <v>-</v>
      </c>
      <c r="N54" s="789"/>
      <c r="O54" s="790"/>
      <c r="P54" s="788" t="str">
        <f>IFERROR(IF($C$6="SFR",VLOOKUP($B$54,'DSCR (Port LLPA)'!$M:$V,MATCH('DSCR (Port Calc)'!P51,'DSCR (Port LLPA)'!$M$1:$V$1,0),FALSE),IF($C$6="Multi",VLOOKUP($B$54,'DSCR (Port LLPA)'!$X:$AG,MATCH('DSCR (Port Calc)'!P51,'DSCR (Port LLPA)'!$X$1:$AG$1,0),FALSE),"-")),"-")</f>
        <v>-</v>
      </c>
      <c r="Q54" s="789"/>
      <c r="R54" s="790"/>
      <c r="S54" s="788" t="str">
        <f>IFERROR(IF($C$6="SFR",VLOOKUP($B$54,'DSCR (Port LLPA)'!$M:$V,MATCH('DSCR (Port Calc)'!S51,'DSCR (Port LLPA)'!$M$1:$V$1,0),FALSE),IF($C$6="Multi",VLOOKUP($B$54,'DSCR (Port LLPA)'!$X:$AG,MATCH('DSCR (Port Calc)'!S51,'DSCR (Port LLPA)'!$X$1:$AG$1,0),FALSE),"-")),"-")</f>
        <v>-</v>
      </c>
      <c r="T54" s="789"/>
      <c r="U54" s="790"/>
      <c r="V54" s="788" t="str">
        <f>IFERROR(IF($C$6="SFR",VLOOKUP($B$54,'DSCR (Port LLPA)'!$M:$V,MATCH('DSCR (Port Calc)'!V51,'DSCR (Port LLPA)'!$M$1:$V$1,0),FALSE),IF($C$6="Multi",VLOOKUP($B$54,'DSCR (Port LLPA)'!$X:$AG,MATCH('DSCR (Port Calc)'!V51,'DSCR (Port LLPA)'!$X$1:$AG$1,0),FALSE),"-")),"-")</f>
        <v>-</v>
      </c>
      <c r="W54" s="789"/>
      <c r="X54" s="790"/>
    </row>
    <row r="55" spans="1:24" x14ac:dyDescent="0.25">
      <c r="A55" s="51" t="s">
        <v>119</v>
      </c>
      <c r="B55" s="801">
        <f>$C$12</f>
        <v>0</v>
      </c>
      <c r="C55" s="801"/>
      <c r="D55" s="788" t="str">
        <f>IFERROR(IF($C$6="SFR",VLOOKUP($B$55,'DSCR (Port LLPA)'!$M:$V,MATCH('DSCR (Port Calc)'!D51,'DSCR (Port LLPA)'!$M$1:$V$1,0),FALSE),IF($C$6="Multi",VLOOKUP($B$55,'DSCR (Port LLPA)'!$X:$AG,MATCH('DSCR (Port Calc)'!D51,'DSCR (Port LLPA)'!$X$1:$AG$1,0),FALSE),"-")),"-")</f>
        <v>-</v>
      </c>
      <c r="E55" s="789"/>
      <c r="F55" s="790"/>
      <c r="G55" s="788" t="str">
        <f>IFERROR(IF($C$6="SFR",VLOOKUP($B$55,'DSCR (Port LLPA)'!$M:$V,MATCH('DSCR (Port Calc)'!G51,'DSCR (Port LLPA)'!$M$1:$V$1,0),FALSE),IF($C$6="Multi",VLOOKUP($B$55,'DSCR (Port LLPA)'!$X:$AG,MATCH('DSCR (Port Calc)'!G51,'DSCR (Port LLPA)'!$X$1:$AG$1,0),FALSE),"-")),"-")</f>
        <v>-</v>
      </c>
      <c r="H55" s="789"/>
      <c r="I55" s="790"/>
      <c r="J55" s="788" t="str">
        <f>IFERROR(IF($C$6="SFR",VLOOKUP($B$55,'DSCR (Port LLPA)'!$M:$V,MATCH('DSCR (Port Calc)'!J51,'DSCR (Port LLPA)'!$M$1:$V$1,0),FALSE),IF($C$6="Multi",VLOOKUP($B$55,'DSCR (Port LLPA)'!$X:$AG,MATCH('DSCR (Port Calc)'!J51,'DSCR (Port LLPA)'!$X$1:$AG$1,0),FALSE),"-")),"-")</f>
        <v>-</v>
      </c>
      <c r="K55" s="789"/>
      <c r="L55" s="790"/>
      <c r="M55" s="788" t="str">
        <f>IFERROR(IF($C$6="SFR",VLOOKUP($B$55,'DSCR (Port LLPA)'!$M:$V,MATCH('DSCR (Port Calc)'!M51,'DSCR (Port LLPA)'!$M$1:$V$1,0),FALSE),IF($C$6="Multi",VLOOKUP($B$55,'DSCR (Port LLPA)'!$X:$AG,MATCH('DSCR (Port Calc)'!M51,'DSCR (Port LLPA)'!$X$1:$AG$1,0),FALSE),"-")),"-")</f>
        <v>-</v>
      </c>
      <c r="N55" s="789"/>
      <c r="O55" s="790"/>
      <c r="P55" s="788" t="str">
        <f>IFERROR(IF($C$6="SFR",VLOOKUP($B$55,'DSCR (Port LLPA)'!$M:$V,MATCH('DSCR (Port Calc)'!P51,'DSCR (Port LLPA)'!$M$1:$V$1,0),FALSE),IF($C$6="Multi",VLOOKUP($B$55,'DSCR (Port LLPA)'!$X:$AG,MATCH('DSCR (Port Calc)'!P51,'DSCR (Port LLPA)'!$X$1:$AG$1,0),FALSE),"-")),"-")</f>
        <v>-</v>
      </c>
      <c r="Q55" s="789"/>
      <c r="R55" s="790"/>
      <c r="S55" s="788" t="str">
        <f>IFERROR(IF($C$6="SFR",VLOOKUP($B$55,'DSCR (Port LLPA)'!$M:$V,MATCH('DSCR (Port Calc)'!S51,'DSCR (Port LLPA)'!$M$1:$V$1,0),FALSE),IF($C$6="Multi",VLOOKUP($B$55,'DSCR (Port LLPA)'!$X:$AG,MATCH('DSCR (Port Calc)'!S51,'DSCR (Port LLPA)'!$X$1:$AG$1,0),FALSE),"-")),"-")</f>
        <v>-</v>
      </c>
      <c r="T55" s="789"/>
      <c r="U55" s="790"/>
      <c r="V55" s="788" t="str">
        <f>IFERROR(IF($C$6="SFR",VLOOKUP($B$55,'DSCR (Port LLPA)'!$M:$V,MATCH('DSCR (Port Calc)'!V51,'DSCR (Port LLPA)'!$M$1:$V$1,0),FALSE),IF($C$6="Multi",VLOOKUP($B$55,'DSCR (Port LLPA)'!$X:$AG,MATCH('DSCR (Port Calc)'!V51,'DSCR (Port LLPA)'!$X$1:$AG$1,0),FALSE),"-")),"-")</f>
        <v>-</v>
      </c>
      <c r="W55" s="789"/>
      <c r="X55" s="790"/>
    </row>
    <row r="56" spans="1:24" x14ac:dyDescent="0.25">
      <c r="A56" s="51" t="s">
        <v>1738</v>
      </c>
      <c r="B56" s="801" t="str">
        <f>$C$29</f>
        <v>-</v>
      </c>
      <c r="C56" s="802"/>
      <c r="D56" s="788" t="str">
        <f>IFERROR(IF($C$6="SFR",VLOOKUP($B$56,'DSCR (Port LLPA)'!$M:$V,MATCH('DSCR (Port Calc)'!D51,'DSCR (Port LLPA)'!$M$1:$V$1,0),FALSE),IF($C$6="Multi",VLOOKUP($B$56,'DSCR (Port LLPA)'!$X:$AG,MATCH('DSCR (Port Calc)'!D51,'DSCR (Port LLPA)'!$X$1:$AG$1,0),FALSE),"-")),"-")</f>
        <v>-</v>
      </c>
      <c r="E56" s="789"/>
      <c r="F56" s="790"/>
      <c r="G56" s="788" t="str">
        <f>IFERROR(IF($C$6="SFR",VLOOKUP($B$56,'DSCR (Port LLPA)'!$M:$V,MATCH('DSCR (Port Calc)'!G51,'DSCR (Port LLPA)'!$M$1:$V$1,0),FALSE),IF($C$6="Multi",VLOOKUP($B$56,'DSCR (Port LLPA)'!$X:$AG,MATCH('DSCR (Port Calc)'!G51,'DSCR (Port LLPA)'!$X$1:$AG$1,0),FALSE),"-")),"-")</f>
        <v>-</v>
      </c>
      <c r="H56" s="789"/>
      <c r="I56" s="790"/>
      <c r="J56" s="788" t="str">
        <f>IFERROR(IF($C$6="SFR",VLOOKUP($B$56,'DSCR (Port LLPA)'!$M:$V,MATCH('DSCR (Port Calc)'!J51,'DSCR (Port LLPA)'!$M$1:$V$1,0),FALSE),IF($C$6="Multi",VLOOKUP($B$56,'DSCR (Port LLPA)'!$X:$AG,MATCH('DSCR (Port Calc)'!J51,'DSCR (Port LLPA)'!$X$1:$AG$1,0),FALSE),"-")),"-")</f>
        <v>-</v>
      </c>
      <c r="K56" s="789"/>
      <c r="L56" s="790"/>
      <c r="M56" s="788" t="str">
        <f>IFERROR(IF($C$6="SFR",VLOOKUP($B$56,'DSCR (Port LLPA)'!$M:$V,MATCH('DSCR (Port Calc)'!M51,'DSCR (Port LLPA)'!$M$1:$V$1,0),FALSE),IF($C$6="Multi",VLOOKUP($B$56,'DSCR (Port LLPA)'!$X:$AG,MATCH('DSCR (Port Calc)'!M51,'DSCR (Port LLPA)'!$X$1:$AG$1,0),FALSE),"-")),"-")</f>
        <v>-</v>
      </c>
      <c r="N56" s="789"/>
      <c r="O56" s="790"/>
      <c r="P56" s="788" t="str">
        <f>IFERROR(IF($C$6="SFR",VLOOKUP($B$56,'DSCR (Port LLPA)'!$M:$V,MATCH('DSCR (Port Calc)'!P51,'DSCR (Port LLPA)'!$M$1:$V$1,0),FALSE),IF($C$6="Multi",VLOOKUP($B$56,'DSCR (Port LLPA)'!$X:$AG,MATCH('DSCR (Port Calc)'!P51,'DSCR (Port LLPA)'!$X$1:$AG$1,0),FALSE),"-")),"-")</f>
        <v>-</v>
      </c>
      <c r="Q56" s="789"/>
      <c r="R56" s="790"/>
      <c r="S56" s="788" t="str">
        <f>IFERROR(IF($C$6="SFR",VLOOKUP($B$56,'DSCR (Port LLPA)'!$M:$V,MATCH('DSCR (Port Calc)'!S51,'DSCR (Port LLPA)'!$M$1:$V$1,0),FALSE),IF($C$6="Multi",VLOOKUP($B$56,'DSCR (Port LLPA)'!$X:$AG,MATCH('DSCR (Port Calc)'!S51,'DSCR (Port LLPA)'!$X$1:$AG$1,0),FALSE),"-")),"-")</f>
        <v>-</v>
      </c>
      <c r="T56" s="789"/>
      <c r="U56" s="790"/>
      <c r="V56" s="788" t="str">
        <f>IFERROR(IF($C$6="SFR",VLOOKUP($B$56,'DSCR (Port LLPA)'!$M:$V,MATCH('DSCR (Port Calc)'!V51,'DSCR (Port LLPA)'!$M$1:$V$1,0),FALSE),IF($C$6="Multi",VLOOKUP($B$56,'DSCR (Port LLPA)'!$X:$AG,MATCH('DSCR (Port Calc)'!V51,'DSCR (Port LLPA)'!$X$1:$AG$1,0),FALSE),"-")),"-")</f>
        <v>-</v>
      </c>
      <c r="W56" s="789"/>
      <c r="X56" s="790"/>
    </row>
    <row r="57" spans="1:24" x14ac:dyDescent="0.25">
      <c r="A57" s="51" t="s">
        <v>1737</v>
      </c>
      <c r="B57" s="801">
        <f>$C$13</f>
        <v>0</v>
      </c>
      <c r="C57" s="801"/>
      <c r="D57" s="788" t="str">
        <f>IFERROR(IF($C$6="SFR",VLOOKUP($B$57,'DSCR (Port LLPA)'!$M:$V,MATCH('DSCR (Port Calc)'!D51,'DSCR (Port LLPA)'!$M$1:$V$1,0),FALSE),IF($C$6="Multi",VLOOKUP($B$57,'DSCR (Port LLPA)'!$X:$AG,MATCH('DSCR (Port Calc)'!D51,'DSCR (Port LLPA)'!$X$1:$AG$1,0),FALSE),"-")),"-")</f>
        <v>-</v>
      </c>
      <c r="E57" s="789"/>
      <c r="F57" s="790"/>
      <c r="G57" s="788" t="str">
        <f>IFERROR(IF($C$6="SFR",VLOOKUP($B$57,'DSCR (Port LLPA)'!$M:$V,MATCH('DSCR (Port Calc)'!G51,'DSCR (Port LLPA)'!$M$1:$V$1,0),FALSE),IF($C$6="Multi",VLOOKUP($B$57,'DSCR (Port LLPA)'!$X:$AG,MATCH('DSCR (Port Calc)'!G51,'DSCR (Port LLPA)'!$X$1:$AG$1,0),FALSE),"-")),"-")</f>
        <v>-</v>
      </c>
      <c r="H57" s="789"/>
      <c r="I57" s="790"/>
      <c r="J57" s="788" t="str">
        <f>IFERROR(IF($C$6="SFR",VLOOKUP($B$57,'DSCR (Port LLPA)'!$M:$V,MATCH('DSCR (Port Calc)'!J51,'DSCR (Port LLPA)'!$M$1:$V$1,0),FALSE),IF($C$6="Multi",VLOOKUP($B$57,'DSCR (Port LLPA)'!$X:$AG,MATCH('DSCR (Port Calc)'!J51,'DSCR (Port LLPA)'!$X$1:$AG$1,0),FALSE),"-")),"-")</f>
        <v>-</v>
      </c>
      <c r="K57" s="789"/>
      <c r="L57" s="790"/>
      <c r="M57" s="788" t="str">
        <f>IFERROR(IF($C$6="SFR",VLOOKUP($B$57,'DSCR (Port LLPA)'!$M:$V,MATCH('DSCR (Port Calc)'!M51,'DSCR (Port LLPA)'!$M$1:$V$1,0),FALSE),IF($C$6="Multi",VLOOKUP($B$57,'DSCR (Port LLPA)'!$X:$AG,MATCH('DSCR (Port Calc)'!M51,'DSCR (Port LLPA)'!$X$1:$AG$1,0),FALSE),"-")),"-")</f>
        <v>-</v>
      </c>
      <c r="N57" s="789"/>
      <c r="O57" s="790"/>
      <c r="P57" s="788" t="str">
        <f>IFERROR(IF($C$6="SFR",VLOOKUP($B$57,'DSCR (Port LLPA)'!$M:$V,MATCH('DSCR (Port Calc)'!P51,'DSCR (Port LLPA)'!$M$1:$V$1,0),FALSE),IF($C$6="Multi",VLOOKUP($B$57,'DSCR (Port LLPA)'!$X:$AG,MATCH('DSCR (Port Calc)'!P51,'DSCR (Port LLPA)'!$X$1:$AG$1,0),FALSE),"-")),"-")</f>
        <v>-</v>
      </c>
      <c r="Q57" s="789"/>
      <c r="R57" s="790"/>
      <c r="S57" s="788" t="str">
        <f>IFERROR(IF($C$6="SFR",VLOOKUP($B$57,'DSCR (Port LLPA)'!$M:$V,MATCH('DSCR (Port Calc)'!S51,'DSCR (Port LLPA)'!$M$1:$V$1,0),FALSE),IF($C$6="Multi",VLOOKUP($B$57,'DSCR (Port LLPA)'!$X:$AG,MATCH('DSCR (Port Calc)'!S51,'DSCR (Port LLPA)'!$X$1:$AG$1,0),FALSE),"-")),"-")</f>
        <v>-</v>
      </c>
      <c r="T57" s="789"/>
      <c r="U57" s="790"/>
      <c r="V57" s="788" t="str">
        <f>IFERROR(IF($C$6="SFR",VLOOKUP($B$57,'DSCR (Port LLPA)'!$M:$V,MATCH('DSCR (Port Calc)'!V51,'DSCR (Port LLPA)'!$M$1:$V$1,0),FALSE),IF($C$6="Multi",VLOOKUP($B$57,'DSCR (Port LLPA)'!$X:$AG,MATCH('DSCR (Port Calc)'!V51,'DSCR (Port LLPA)'!$X$1:$AG$1,0),FALSE),"-")),"-")</f>
        <v>-</v>
      </c>
      <c r="W57" s="789"/>
      <c r="X57" s="790"/>
    </row>
    <row r="58" spans="1:24" x14ac:dyDescent="0.25">
      <c r="A58" s="51" t="s">
        <v>1736</v>
      </c>
      <c r="B58" s="801">
        <f>$C$14</f>
        <v>0</v>
      </c>
      <c r="C58" s="801"/>
      <c r="D58" s="788" t="str">
        <f>IFERROR(IF($C$6="SFR",VLOOKUP($B$58,'DSCR (Port LLPA)'!$M:$V,MATCH('DSCR (Port Calc)'!D51,'DSCR (Port LLPA)'!$M$1:$V$1,0),FALSE),IF($C$6="Multi",VLOOKUP($B$58,'DSCR (Port LLPA)'!$X:$AG,MATCH('DSCR (Port Calc)'!D51,'DSCR (Port LLPA)'!$X$1:$AG$1,0),FALSE),"-")),"-")</f>
        <v>-</v>
      </c>
      <c r="E58" s="789"/>
      <c r="F58" s="790"/>
      <c r="G58" s="788" t="str">
        <f>IFERROR(IF($C$6="SFR",VLOOKUP($B$58,'DSCR (Port LLPA)'!$M:$V,MATCH('DSCR (Port Calc)'!G51,'DSCR (Port LLPA)'!$M$1:$V$1,0),FALSE),IF($C$6="Multi",VLOOKUP($B$58,'DSCR (Port LLPA)'!$X:$AG,MATCH('DSCR (Port Calc)'!G51,'DSCR (Port LLPA)'!$X$1:$AG$1,0),FALSE),"-")),"-")</f>
        <v>-</v>
      </c>
      <c r="H58" s="789"/>
      <c r="I58" s="790"/>
      <c r="J58" s="788" t="str">
        <f>IFERROR(IF($C$6="SFR",VLOOKUP($B$58,'DSCR (Port LLPA)'!$M:$V,MATCH('DSCR (Port Calc)'!J51,'DSCR (Port LLPA)'!$M$1:$V$1,0),FALSE),IF($C$6="Multi",VLOOKUP($B$58,'DSCR (Port LLPA)'!$X:$AG,MATCH('DSCR (Port Calc)'!J51,'DSCR (Port LLPA)'!$X$1:$AG$1,0),FALSE),"-")),"-")</f>
        <v>-</v>
      </c>
      <c r="K58" s="789"/>
      <c r="L58" s="790"/>
      <c r="M58" s="788" t="str">
        <f>IFERROR(IF($C$6="SFR",VLOOKUP($B$58,'DSCR (Port LLPA)'!$M:$V,MATCH('DSCR (Port Calc)'!M51,'DSCR (Port LLPA)'!$M$1:$V$1,0),FALSE),IF($C$6="Multi",VLOOKUP($B$58,'DSCR (Port LLPA)'!$X:$AG,MATCH('DSCR (Port Calc)'!M51,'DSCR (Port LLPA)'!$X$1:$AG$1,0),FALSE),"-")),"-")</f>
        <v>-</v>
      </c>
      <c r="N58" s="789"/>
      <c r="O58" s="790"/>
      <c r="P58" s="788" t="str">
        <f>IFERROR(IF($C$6="SFR",VLOOKUP($B$58,'DSCR (Port LLPA)'!$M:$V,MATCH('DSCR (Port Calc)'!P51,'DSCR (Port LLPA)'!$M$1:$V$1,0),FALSE),IF($C$6="Multi",VLOOKUP($B$58,'DSCR (Port LLPA)'!$X:$AG,MATCH('DSCR (Port Calc)'!P51,'DSCR (Port LLPA)'!$X$1:$AG$1,0),FALSE),"-")),"-")</f>
        <v>-</v>
      </c>
      <c r="Q58" s="789"/>
      <c r="R58" s="790"/>
      <c r="S58" s="788" t="str">
        <f>IFERROR(IF($C$6="SFR",VLOOKUP($B$58,'DSCR (Port LLPA)'!$M:$V,MATCH('DSCR (Port Calc)'!S51,'DSCR (Port LLPA)'!$M$1:$V$1,0),FALSE),IF($C$6="Multi",VLOOKUP($B$58,'DSCR (Port LLPA)'!$X:$AG,MATCH('DSCR (Port Calc)'!S51,'DSCR (Port LLPA)'!$X$1:$AG$1,0),FALSE),"-")),"-")</f>
        <v>-</v>
      </c>
      <c r="T58" s="789"/>
      <c r="U58" s="790"/>
      <c r="V58" s="788" t="str">
        <f>IFERROR(IF($C$6="SFR",VLOOKUP($B$58,'DSCR (Port LLPA)'!$M:$V,MATCH('DSCR (Port Calc)'!V51,'DSCR (Port LLPA)'!$M$1:$V$1,0),FALSE),IF($C$6="Multi",VLOOKUP($B$58,'DSCR (Port LLPA)'!$X:$AG,MATCH('DSCR (Port Calc)'!V51,'DSCR (Port LLPA)'!$X$1:$AG$1,0),FALSE),"-")),"-")</f>
        <v>-</v>
      </c>
      <c r="W58" s="789"/>
      <c r="X58" s="790"/>
    </row>
    <row r="59" spans="1:24" x14ac:dyDescent="0.25">
      <c r="A59" s="51" t="s">
        <v>1707</v>
      </c>
      <c r="B59" s="801">
        <f>'DSCR (Port Loan)'!$C$30</f>
        <v>0</v>
      </c>
      <c r="C59" s="801"/>
      <c r="D59" s="788" t="str">
        <f>IFERROR(IF($C$6="SFR",VLOOKUP($B$59,'DSCR (Port LLPA)'!$M:$V,MATCH('DSCR (Port Calc)'!D51,'DSCR (Port LLPA)'!$M$1:$V$1,0),FALSE),IF($C$6="Multi",VLOOKUP($B$59,'DSCR (Port LLPA)'!$X:$AG,MATCH('DSCR (Port Calc)'!D51,'DSCR (Port LLPA)'!$X$1:$AG$1,0),FALSE),"-")),"-")</f>
        <v>-</v>
      </c>
      <c r="E59" s="789"/>
      <c r="F59" s="790"/>
      <c r="G59" s="788" t="str">
        <f>IFERROR(IF($C$6="SFR",VLOOKUP($B$59,'DSCR (Port LLPA)'!$M:$V,MATCH('DSCR (Port Calc)'!G51,'DSCR (Port LLPA)'!$M$1:$V$1,0),FALSE),IF($C$6="Multi",VLOOKUP($B$59,'DSCR (Port LLPA)'!$X:$AG,MATCH('DSCR (Port Calc)'!G51,'DSCR (Port LLPA)'!$X$1:$AG$1,0),FALSE),"-")),"-")</f>
        <v>-</v>
      </c>
      <c r="H59" s="789"/>
      <c r="I59" s="790"/>
      <c r="J59" s="788" t="str">
        <f>IFERROR(IF($C$6="SFR",VLOOKUP($B$59,'DSCR (Port LLPA)'!$M:$V,MATCH('DSCR (Port Calc)'!J51,'DSCR (Port LLPA)'!$M$1:$V$1,0),FALSE),IF($C$6="Multi",VLOOKUP($B$59,'DSCR (Port LLPA)'!$X:$AG,MATCH('DSCR (Port Calc)'!J51,'DSCR (Port LLPA)'!$X$1:$AG$1,0),FALSE),"-")),"-")</f>
        <v>-</v>
      </c>
      <c r="K59" s="789"/>
      <c r="L59" s="790"/>
      <c r="M59" s="788" t="str">
        <f>IFERROR(IF($C$6="SFR",VLOOKUP($B$59,'DSCR (Port LLPA)'!$M:$V,MATCH('DSCR (Port Calc)'!M51,'DSCR (Port LLPA)'!$M$1:$V$1,0),FALSE),IF($C$6="Multi",VLOOKUP($B$59,'DSCR (Port LLPA)'!$X:$AG,MATCH('DSCR (Port Calc)'!M51,'DSCR (Port LLPA)'!$X$1:$AG$1,0),FALSE),"-")),"-")</f>
        <v>-</v>
      </c>
      <c r="N59" s="789"/>
      <c r="O59" s="790"/>
      <c r="P59" s="788" t="str">
        <f>IFERROR(IF($C$6="SFR",VLOOKUP($B$59,'DSCR (Port LLPA)'!$M:$V,MATCH('DSCR (Port Calc)'!P51,'DSCR (Port LLPA)'!$M$1:$V$1,0),FALSE),IF($C$6="Multi",VLOOKUP($B$59,'DSCR (Port LLPA)'!$X:$AG,MATCH('DSCR (Port Calc)'!P51,'DSCR (Port LLPA)'!$X$1:$AG$1,0),FALSE),"-")),"-")</f>
        <v>-</v>
      </c>
      <c r="Q59" s="789"/>
      <c r="R59" s="790"/>
      <c r="S59" s="788" t="str">
        <f>IFERROR(IF($C$6="SFR",VLOOKUP($B$59,'DSCR (Port LLPA)'!$M:$V,MATCH('DSCR (Port Calc)'!S51,'DSCR (Port LLPA)'!$M$1:$V$1,0),FALSE),IF($C$6="Multi",VLOOKUP($B$59,'DSCR (Port LLPA)'!$X:$AG,MATCH('DSCR (Port Calc)'!S51,'DSCR (Port LLPA)'!$X$1:$AG$1,0),FALSE),"-")),"-")</f>
        <v>-</v>
      </c>
      <c r="T59" s="789"/>
      <c r="U59" s="790"/>
      <c r="V59" s="788" t="str">
        <f>IFERROR(IF($C$6="SFR",VLOOKUP($B$59,'DSCR (Port LLPA)'!$M:$V,MATCH('DSCR (Port Calc)'!V51,'DSCR (Port LLPA)'!$M$1:$V$1,0),FALSE),IF($C$6="Multi",VLOOKUP($B$59,'DSCR (Port LLPA)'!$X:$AG,MATCH('DSCR (Port Calc)'!V51,'DSCR (Port LLPA)'!$X$1:$AG$1,0),FALSE),"-")),"-")</f>
        <v>-</v>
      </c>
      <c r="W59" s="789"/>
      <c r="X59" s="790"/>
    </row>
    <row r="60" spans="1:24" x14ac:dyDescent="0.25">
      <c r="B60" s="639" t="s">
        <v>1735</v>
      </c>
      <c r="C60" s="639"/>
      <c r="D60" s="788" t="e">
        <f>IF(D49="-","-",IF(D49&lt;=INDEX('DSCR (Port Legend)'!$J$3:$L$17,MATCH(D49,'DSCR (Port Legend)'!$J$3:$J$17,1),2),INDEX('DSCR (Port Legend)'!$J$3:$L$17,MATCH(D49,'DSCR (Port Legend)'!$J$3:$J$17,1),3),"-"))</f>
        <v>#N/A</v>
      </c>
      <c r="E60" s="789"/>
      <c r="F60" s="790"/>
      <c r="G60" s="788" t="e">
        <f>IF(G49="-","-",IF(G49&lt;=INDEX('DSCR (Port Legend)'!$J$3:$L$17,MATCH(G49,'DSCR (Port Legend)'!$J$3:$J$17,1),2),INDEX('DSCR (Port Legend)'!$J$3:$L$17,MATCH(G49,'DSCR (Port Legend)'!$J$3:$J$17,1),3),"-"))</f>
        <v>#N/A</v>
      </c>
      <c r="H60" s="789"/>
      <c r="I60" s="790"/>
      <c r="J60" s="788" t="e">
        <f>IF(J49="-","-",IF(J49&lt;=INDEX('DSCR (Port Legend)'!$J$3:$L$17,MATCH(J49,'DSCR (Port Legend)'!$J$3:$J$17,1),2),INDEX('DSCR (Port Legend)'!$J$3:$L$17,MATCH(J49,'DSCR (Port Legend)'!$J$3:$J$17,1),3),"-"))</f>
        <v>#N/A</v>
      </c>
      <c r="K60" s="789"/>
      <c r="L60" s="790"/>
      <c r="M60" s="788" t="e">
        <f>IF(M49="-","-",IF(M49&lt;=INDEX('DSCR (Port Legend)'!$J$3:$L$17,MATCH(M49,'DSCR (Port Legend)'!$J$3:$J$17,1),2),INDEX('DSCR (Port Legend)'!$J$3:$L$17,MATCH(M49,'DSCR (Port Legend)'!$J$3:$J$17,1),3),"-"))</f>
        <v>#N/A</v>
      </c>
      <c r="N60" s="789"/>
      <c r="O60" s="790"/>
      <c r="P60" s="788" t="e">
        <f>IF(P49="-","-",IF(P49&lt;=INDEX('DSCR (Port Legend)'!$J$3:$L$17,MATCH(P49,'DSCR (Port Legend)'!$J$3:$J$17,1),2),INDEX('DSCR (Port Legend)'!$J$3:$L$17,MATCH(P49,'DSCR (Port Legend)'!$J$3:$J$17,1),3),"-"))</f>
        <v>#N/A</v>
      </c>
      <c r="Q60" s="789"/>
      <c r="R60" s="790"/>
      <c r="S60" s="788" t="e">
        <f>IF(S49="-","-",IF(S49&lt;=INDEX('DSCR (Port Legend)'!$J$3:$L$17,MATCH(S49,'DSCR (Port Legend)'!$J$3:$J$17,1),2),INDEX('DSCR (Port Legend)'!$J$3:$L$17,MATCH(S49,'DSCR (Port Legend)'!$J$3:$J$17,1),3),"-"))</f>
        <v>#N/A</v>
      </c>
      <c r="T60" s="789"/>
      <c r="U60" s="790"/>
      <c r="V60" s="788" t="e">
        <f>IF(V49="-","-",IF(V49&lt;=INDEX('DSCR (Port Legend)'!$J$3:$L$17,MATCH(V49,'DSCR (Port Legend)'!$J$3:$J$17,1),2),INDEX('DSCR (Port Legend)'!$J$3:$L$17,MATCH(V49,'DSCR (Port Legend)'!$J$3:$J$17,1),3),"-"))</f>
        <v>#N/A</v>
      </c>
      <c r="W60" s="789"/>
      <c r="X60" s="790"/>
    </row>
    <row r="61" spans="1:24" x14ac:dyDescent="0.25">
      <c r="A61" s="51" t="s">
        <v>1734</v>
      </c>
      <c r="B61" s="639" t="s">
        <v>1733</v>
      </c>
      <c r="C61" s="639"/>
      <c r="D61" s="788" t="str">
        <f>IFERROR(IF($C$6="SFR",VLOOKUP(D60,'DSCR (Port LLPA)'!$M:$V,MATCH('DSCR (Port Calc)'!D51,'DSCR (Port LLPA)'!$M$1:$V$1,0),FALSE),IF($C$6="Multi",VLOOKUP(D60,'DSCR (Port LLPA)'!$X:$AG,MATCH('DSCR (Port Calc)'!D51,'DSCR (Port LLPA)'!$X$1:$AG$1,0),FALSE),"-")),"-")</f>
        <v>-</v>
      </c>
      <c r="E61" s="789"/>
      <c r="F61" s="790"/>
      <c r="G61" s="788" t="str">
        <f>IFERROR(IF($C$6="SFR",VLOOKUP(G60,'DSCR (Port LLPA)'!$M:$V,MATCH('DSCR (Port Calc)'!G51,'DSCR (Port LLPA)'!$M$1:$V$1,0),FALSE),IF($C$6="Multi",VLOOKUP(G60,'DSCR (Port LLPA)'!$X:$AG,MATCH('DSCR (Port Calc)'!G51,'DSCR (Port LLPA)'!$X$1:$AG$1,0),FALSE),"-")),"-")</f>
        <v>-</v>
      </c>
      <c r="H61" s="789"/>
      <c r="I61" s="790"/>
      <c r="J61" s="788" t="str">
        <f>IFERROR(IF($C$6="SFR",VLOOKUP(J60,'DSCR (Port LLPA)'!$M:$V,MATCH('DSCR (Port Calc)'!J51,'DSCR (Port LLPA)'!$M$1:$V$1,0),FALSE),IF($C$6="Multi",VLOOKUP(J60,'DSCR (Port LLPA)'!$X:$AG,MATCH('DSCR (Port Calc)'!J51,'DSCR (Port LLPA)'!$X$1:$AG$1,0),FALSE),"-")),"-")</f>
        <v>-</v>
      </c>
      <c r="K61" s="789"/>
      <c r="L61" s="790"/>
      <c r="M61" s="788" t="str">
        <f>IFERROR(IF($C$6="SFR",VLOOKUP(M60,'DSCR (Port LLPA)'!$M:$V,MATCH('DSCR (Port Calc)'!M51,'DSCR (Port LLPA)'!$M$1:$V$1,0),FALSE),IF($C$6="Multi",VLOOKUP(M60,'DSCR (Port LLPA)'!$X:$AG,MATCH('DSCR (Port Calc)'!M51,'DSCR (Port LLPA)'!$X$1:$AG$1,0),FALSE),"-")),"-")</f>
        <v>-</v>
      </c>
      <c r="N61" s="789"/>
      <c r="O61" s="790"/>
      <c r="P61" s="788" t="str">
        <f>IFERROR(IF($C$6="SFR",VLOOKUP(P60,'DSCR (Port LLPA)'!$M:$V,MATCH('DSCR (Port Calc)'!P51,'DSCR (Port LLPA)'!$M$1:$V$1,0),FALSE),IF($C$6="Multi",VLOOKUP(P60,'DSCR (Port LLPA)'!$X:$AG,MATCH('DSCR (Port Calc)'!P51,'DSCR (Port LLPA)'!$X$1:$AG$1,0),FALSE),"-")),"-")</f>
        <v>-</v>
      </c>
      <c r="Q61" s="789"/>
      <c r="R61" s="790"/>
      <c r="S61" s="788" t="str">
        <f>IFERROR(IF($C$6="SFR",VLOOKUP(S60,'DSCR (Port LLPA)'!$M:$V,MATCH('DSCR (Port Calc)'!S51,'DSCR (Port LLPA)'!$M$1:$V$1,0),FALSE),IF($C$6="Multi",VLOOKUP(S60,'DSCR (Port LLPA)'!$X:$AG,MATCH('DSCR (Port Calc)'!S51,'DSCR (Port LLPA)'!$X$1:$AG$1,0),FALSE),"-")),"-")</f>
        <v>-</v>
      </c>
      <c r="T61" s="789"/>
      <c r="U61" s="790"/>
      <c r="V61" s="788" t="str">
        <f>IFERROR(IF($C$6="SFR",VLOOKUP(V60,'DSCR (Port LLPA)'!$M:$V,MATCH('DSCR (Port Calc)'!V51,'DSCR (Port LLPA)'!$M$1:$V$1,0),FALSE),IF($C$6="Multi",VLOOKUP(V60,'DSCR (Port LLPA)'!$X:$AG,MATCH('DSCR (Port Calc)'!V51,'DSCR (Port LLPA)'!$X$1:$AG$1,0),FALSE),"-")),"-")</f>
        <v>-</v>
      </c>
      <c r="W61" s="789"/>
      <c r="X61" s="790"/>
    </row>
    <row r="62" spans="1:24" x14ac:dyDescent="0.25">
      <c r="A62" s="51" t="s">
        <v>82</v>
      </c>
      <c r="B62" s="801" t="str">
        <f>'DSCR (Port Loan)'!$C$18</f>
        <v>NC</v>
      </c>
      <c r="C62" s="801"/>
      <c r="D62" s="788" t="str">
        <f>IFERROR(IF($C$6="SFR",VLOOKUP($B$62,'DSCR (Port LLPA)'!$M:$V,MATCH('DSCR (Port Calc)'!D51,'DSCR (Port LLPA)'!$M$1:$V$1,0),FALSE),IF($C$6="Multi",VLOOKUP($B$62,'DSCR (Port LLPA)'!$X:$AG,MATCH('DSCR (Port Calc)'!D51,'DSCR (Port LLPA)'!$X$1:$AG$1,0),FALSE),"-")),"-")</f>
        <v>-</v>
      </c>
      <c r="E62" s="789"/>
      <c r="F62" s="790"/>
      <c r="G62" s="788" t="str">
        <f>IFERROR(IF($C$6="SFR",VLOOKUP($B$62,'DSCR (Port LLPA)'!$M:$V,MATCH('DSCR (Port Calc)'!G51,'DSCR (Port LLPA)'!$M$1:$V$1,0),FALSE),IF($C$6="Multi",VLOOKUP($B$62,'DSCR (Port LLPA)'!$X:$AG,MATCH('DSCR (Port Calc)'!G51,'DSCR (Port LLPA)'!$X$1:$AG$1,0),FALSE),"-")),"-")</f>
        <v>-</v>
      </c>
      <c r="H62" s="789"/>
      <c r="I62" s="790"/>
      <c r="J62" s="788" t="str">
        <f>IFERROR(IF($C$6="SFR",VLOOKUP($B$62,'DSCR (Port LLPA)'!$M:$V,MATCH('DSCR (Port Calc)'!J51,'DSCR (Port LLPA)'!$M$1:$V$1,0),FALSE),IF($C$6="Multi",VLOOKUP($B$62,'DSCR (Port LLPA)'!$X:$AG,MATCH('DSCR (Port Calc)'!J51,'DSCR (Port LLPA)'!$X$1:$AG$1,0),FALSE),"-")),"-")</f>
        <v>-</v>
      </c>
      <c r="K62" s="789"/>
      <c r="L62" s="790"/>
      <c r="M62" s="788" t="str">
        <f>IFERROR(IF($C$6="SFR",VLOOKUP($B$62,'DSCR (Port LLPA)'!$M:$V,MATCH('DSCR (Port Calc)'!M51,'DSCR (Port LLPA)'!$M$1:$V$1,0),FALSE),IF($C$6="Multi",VLOOKUP($B$62,'DSCR (Port LLPA)'!$X:$AG,MATCH('DSCR (Port Calc)'!M51,'DSCR (Port LLPA)'!$X$1:$AG$1,0),FALSE),"-")),"-")</f>
        <v>-</v>
      </c>
      <c r="N62" s="789"/>
      <c r="O62" s="790"/>
      <c r="P62" s="788" t="str">
        <f>IFERROR(IF($C$6="SFR",VLOOKUP($B$62,'DSCR (Port LLPA)'!$M:$V,MATCH('DSCR (Port Calc)'!P51,'DSCR (Port LLPA)'!$M$1:$V$1,0),FALSE),IF($C$6="Multi",VLOOKUP($B$62,'DSCR (Port LLPA)'!$X:$AG,MATCH('DSCR (Port Calc)'!P51,'DSCR (Port LLPA)'!$X$1:$AG$1,0),FALSE),"-")),"-")</f>
        <v>-</v>
      </c>
      <c r="Q62" s="789"/>
      <c r="R62" s="790"/>
      <c r="S62" s="788" t="str">
        <f>IFERROR(IF($C$6="SFR",VLOOKUP($B$62,'DSCR (Port LLPA)'!$M:$V,MATCH('DSCR (Port Calc)'!S51,'DSCR (Port LLPA)'!$M$1:$V$1,0),FALSE),IF($C$6="Multi",VLOOKUP($B$62,'DSCR (Port LLPA)'!$X:$AG,MATCH('DSCR (Port Calc)'!S51,'DSCR (Port LLPA)'!$X$1:$AG$1,0),FALSE),"-")),"-")</f>
        <v>-</v>
      </c>
      <c r="T62" s="789"/>
      <c r="U62" s="790"/>
      <c r="V62" s="788" t="str">
        <f>IFERROR(IF($C$6="SFR",VLOOKUP($B$62,'DSCR (Port LLPA)'!$M:$V,MATCH('DSCR (Port Calc)'!V51,'DSCR (Port LLPA)'!$M$1:$V$1,0),FALSE),IF($C$6="Multi",VLOOKUP($B$62,'DSCR (Port LLPA)'!$X:$AG,MATCH('DSCR (Port Calc)'!V51,'DSCR (Port LLPA)'!$X$1:$AG$1,0),FALSE),"-")),"-")</f>
        <v>-</v>
      </c>
      <c r="W62" s="789"/>
      <c r="X62" s="790"/>
    </row>
    <row r="63" spans="1:24" x14ac:dyDescent="0.25">
      <c r="B63" s="639" t="s">
        <v>1732</v>
      </c>
      <c r="C63" s="639"/>
      <c r="D63" s="791" t="str">
        <f>IF(OR(D53="-",D54="-",D55="-",D56="-",D57="-",D58="-",D59="-",D61="-",D62="-"),"-",SUM(D53:D59,D61:D62))</f>
        <v>-</v>
      </c>
      <c r="E63" s="792"/>
      <c r="F63" s="793"/>
      <c r="G63" s="791" t="str">
        <f>IF(OR(G53="-",G54="-",G55="-",G56="-",G57="-",G58="-",G59="-",G61="-",G62="-"),"-",SUM(G53:G59,G61:G62))</f>
        <v>-</v>
      </c>
      <c r="H63" s="792"/>
      <c r="I63" s="793"/>
      <c r="J63" s="791" t="str">
        <f>IF(OR(J53="-",J54="-",J55="-",J56="-",J57="-",J58="-",J59="-",J61="-",J62="-"),"-",SUM(J53:J59,J61:J62))</f>
        <v>-</v>
      </c>
      <c r="K63" s="792"/>
      <c r="L63" s="793"/>
      <c r="M63" s="791" t="str">
        <f>IF(OR(M53="-",M54="-",M55="-",M56="-",M57="-",M58="-",M59="-",M61="-",M62="-"),"-",SUM(M53:M59,M61:M62))</f>
        <v>-</v>
      </c>
      <c r="N63" s="792"/>
      <c r="O63" s="793"/>
      <c r="P63" s="791" t="str">
        <f>IF(OR(P53="-",P54="-",P55="-",P56="-",P57="-",P58="-",P59="-",P61="-",P62="-"),"-",SUM(P53:P59,P61:P62))</f>
        <v>-</v>
      </c>
      <c r="Q63" s="792"/>
      <c r="R63" s="793"/>
      <c r="S63" s="791" t="str">
        <f>IF(OR(S53="-",S54="-",S55="-",S56="-",S57="-",S58="-",S59="-",S61="-",S62="-"),"-",SUM(S53:S59,S61:S62))</f>
        <v>-</v>
      </c>
      <c r="T63" s="792"/>
      <c r="U63" s="793"/>
      <c r="V63" s="791" t="str">
        <f>IF(OR(V53="-",V54="-",V55="-",V56="-",V57="-",V58="-",V59="-",V61="-",V62="-"),"-",SUM(V53:V59,V61:V62))</f>
        <v>-</v>
      </c>
      <c r="W63" s="792"/>
      <c r="X63" s="793"/>
    </row>
    <row r="64" spans="1:24" x14ac:dyDescent="0.25">
      <c r="B64" s="639" t="s">
        <v>1731</v>
      </c>
      <c r="C64" s="639"/>
      <c r="D64" s="795" t="str">
        <f>IF(D63="-","-",IF($C$6="SFR",VLOOKUP($C$10,'DSCR (Port LLPA)'!$B$36:$K$50,MATCH('DSCR (Port Calc)'!D51,'DSCR (Port LLPA)'!$B$36:$K$36,0),FALSE),IF($C$6="Multi",VLOOKUP($C$10,'DSCR (Port LLPA)'!$B$53:$K$67,MATCH('DSCR (Port Calc)'!D51,'DSCR (Port LLPA)'!$B$53:$K$53,0),FALSE),"-")))</f>
        <v>-</v>
      </c>
      <c r="E64" s="796"/>
      <c r="F64" s="797"/>
      <c r="G64" s="795" t="str">
        <f>IF(G63="-","-",IF($C$6="SFR",VLOOKUP($C$10,'DSCR (Port LLPA)'!$B$36:$K$50,MATCH('DSCR (Port Calc)'!G51,'DSCR (Port LLPA)'!$B$36:$K$36,0),FALSE),IF($C$6="Multi",VLOOKUP($C$10,'DSCR (Port LLPA)'!$B$53:$K$67,MATCH('DSCR (Port Calc)'!G51,'DSCR (Port LLPA)'!$B$53:$K$53,0),FALSE),"-")))</f>
        <v>-</v>
      </c>
      <c r="H64" s="796"/>
      <c r="I64" s="797"/>
      <c r="J64" s="795" t="str">
        <f>IF(J63="-","-",IF($C$6="SFR",VLOOKUP($C$10,'DSCR (Port LLPA)'!$B$36:$K$50,MATCH('DSCR (Port Calc)'!J51,'DSCR (Port LLPA)'!$B$36:$K$36,0),FALSE),IF($C$6="Multi",VLOOKUP($C$10,'DSCR (Port LLPA)'!$B$53:$K$67,MATCH('DSCR (Port Calc)'!J51,'DSCR (Port LLPA)'!$B$53:$K$53,0),FALSE),"-")))</f>
        <v>-</v>
      </c>
      <c r="K64" s="796"/>
      <c r="L64" s="797"/>
      <c r="M64" s="795" t="str">
        <f>IF(M63="-","-",IF($C$6="SFR",VLOOKUP($C$10,'DSCR (Port LLPA)'!$B$36:$K$50,MATCH('DSCR (Port Calc)'!M51,'DSCR (Port LLPA)'!$B$36:$K$36,0),FALSE),IF($C$6="Multi",VLOOKUP($C$10,'DSCR (Port LLPA)'!$B$53:$K$67,MATCH('DSCR (Port Calc)'!M51,'DSCR (Port LLPA)'!$B$53:$K$53,0),FALSE),"-")))</f>
        <v>-</v>
      </c>
      <c r="N64" s="796"/>
      <c r="O64" s="797"/>
      <c r="P64" s="795" t="str">
        <f>IF(P63="-","-",IF($C$6="SFR",VLOOKUP($C$10,'DSCR (Port LLPA)'!$B$36:$K$50,MATCH('DSCR (Port Calc)'!P51,'DSCR (Port LLPA)'!$B$36:$K$36,0),FALSE),IF($C$6="Multi",VLOOKUP($C$10,'DSCR (Port LLPA)'!$B$53:$K$67,MATCH('DSCR (Port Calc)'!P51,'DSCR (Port LLPA)'!$B$53:$K$53,0),FALSE),"-")))</f>
        <v>-</v>
      </c>
      <c r="Q64" s="796"/>
      <c r="R64" s="797"/>
      <c r="S64" s="795" t="str">
        <f>IF(S63="-","-",IF($C$6="SFR",VLOOKUP($C$10,'DSCR (Port LLPA)'!$B$36:$K$50,MATCH('DSCR (Port Calc)'!S51,'DSCR (Port LLPA)'!$B$36:$K$36,0),FALSE),IF($C$6="Multi",VLOOKUP($C$10,'DSCR (Port LLPA)'!$B$53:$K$67,MATCH('DSCR (Port Calc)'!S51,'DSCR (Port LLPA)'!$B$53:$K$53,0),FALSE),"-")))</f>
        <v>-</v>
      </c>
      <c r="T64" s="796"/>
      <c r="U64" s="797"/>
      <c r="V64" s="795" t="str">
        <f>IF(V63="-","-",IF($C$6="SFR",VLOOKUP($C$10,'DSCR (Port LLPA)'!$B$36:$K$50,MATCH('DSCR (Port Calc)'!V51,'DSCR (Port LLPA)'!$B$36:$K$36,0),FALSE),IF($C$6="Multi",VLOOKUP($C$10,'DSCR (Port LLPA)'!$B$53:$K$67,MATCH('DSCR (Port Calc)'!V51,'DSCR (Port LLPA)'!$B$53:$K$53,0),FALSE),"-")))</f>
        <v>-</v>
      </c>
      <c r="W64" s="796"/>
      <c r="X64" s="797"/>
    </row>
    <row r="65" spans="1:24" x14ac:dyDescent="0.25">
      <c r="A65" s="210" t="s">
        <v>1730</v>
      </c>
      <c r="B65" s="209" t="s">
        <v>1729</v>
      </c>
      <c r="C65" s="208" t="s">
        <v>1728</v>
      </c>
      <c r="D65" s="210" t="s">
        <v>1714</v>
      </c>
      <c r="E65" s="209" t="s">
        <v>1727</v>
      </c>
      <c r="F65" s="208" t="s">
        <v>1725</v>
      </c>
      <c r="G65" s="210" t="s">
        <v>1714</v>
      </c>
      <c r="H65" s="209" t="s">
        <v>1727</v>
      </c>
      <c r="I65" s="208" t="s">
        <v>1723</v>
      </c>
      <c r="J65" s="210" t="s">
        <v>1714</v>
      </c>
      <c r="K65" s="209" t="s">
        <v>1727</v>
      </c>
      <c r="L65" s="208" t="s">
        <v>1721</v>
      </c>
      <c r="M65" s="210" t="s">
        <v>1714</v>
      </c>
      <c r="N65" s="209" t="s">
        <v>1727</v>
      </c>
      <c r="O65" s="208" t="s">
        <v>1719</v>
      </c>
      <c r="P65" s="210" t="s">
        <v>1714</v>
      </c>
      <c r="Q65" s="209" t="s">
        <v>1727</v>
      </c>
      <c r="R65" s="208" t="s">
        <v>1717</v>
      </c>
      <c r="S65" s="210" t="s">
        <v>1714</v>
      </c>
      <c r="T65" s="209" t="s">
        <v>1727</v>
      </c>
      <c r="U65" s="208" t="s">
        <v>1715</v>
      </c>
      <c r="V65" s="210" t="s">
        <v>1714</v>
      </c>
      <c r="W65" s="209" t="s">
        <v>1727</v>
      </c>
      <c r="X65" s="208" t="s">
        <v>1712</v>
      </c>
    </row>
    <row r="66" spans="1:24" x14ac:dyDescent="0.25">
      <c r="A66" s="213">
        <f>IF(B87="SFR",3.75,IF(B87="Multi",3.75,))</f>
        <v>3.75</v>
      </c>
      <c r="B66" s="212">
        <v>104</v>
      </c>
      <c r="C66" s="211">
        <f>IF($C$6="SFR",'DSCR (Port LLPA)'!$B$2,IF($C$6="Multi",'DSCR (Port LLPA)'!$B$19,"-"))</f>
        <v>104</v>
      </c>
      <c r="D66" s="210" t="s">
        <v>1714</v>
      </c>
      <c r="E66" s="209" t="s">
        <v>1726</v>
      </c>
      <c r="F66" s="208" t="s">
        <v>1725</v>
      </c>
      <c r="G66" s="210" t="s">
        <v>1714</v>
      </c>
      <c r="H66" s="209" t="s">
        <v>1724</v>
      </c>
      <c r="I66" s="208" t="s">
        <v>1723</v>
      </c>
      <c r="J66" s="210" t="s">
        <v>1714</v>
      </c>
      <c r="K66" s="209" t="s">
        <v>1722</v>
      </c>
      <c r="L66" s="208" t="s">
        <v>1721</v>
      </c>
      <c r="M66" s="210" t="s">
        <v>1714</v>
      </c>
      <c r="N66" s="209" t="s">
        <v>1720</v>
      </c>
      <c r="O66" s="208" t="s">
        <v>1719</v>
      </c>
      <c r="P66" s="210" t="s">
        <v>1714</v>
      </c>
      <c r="Q66" s="209" t="s">
        <v>1718</v>
      </c>
      <c r="R66" s="208" t="s">
        <v>1717</v>
      </c>
      <c r="S66" s="210" t="s">
        <v>1714</v>
      </c>
      <c r="T66" s="209" t="s">
        <v>1716</v>
      </c>
      <c r="U66" s="208" t="s">
        <v>1715</v>
      </c>
      <c r="V66" s="210" t="s">
        <v>1714</v>
      </c>
      <c r="W66" s="209" t="s">
        <v>1713</v>
      </c>
      <c r="X66" s="208" t="s">
        <v>1712</v>
      </c>
    </row>
    <row r="67" spans="1:24" x14ac:dyDescent="0.25">
      <c r="A67" s="207">
        <v>0</v>
      </c>
      <c r="B67" s="206">
        <f t="shared" ref="B67:B83" si="94">$B$66-A67</f>
        <v>104</v>
      </c>
      <c r="C67" s="204">
        <f t="shared" ref="C67:C83" si="95">((B67-$C$66)/$A$66)/100</f>
        <v>0</v>
      </c>
      <c r="D67" s="205" t="str">
        <f t="shared" ref="D67:D83" si="96">IF(OR(D$63="-",D$64="-"),"-",MAX((D$63+D$64+$C67),$C$90))</f>
        <v>-</v>
      </c>
      <c r="E67" s="52" t="str">
        <f t="shared" ref="E67:E83" si="97">IF(D67="-","-",IF($C$6="SFR",IF($C$14="No IO",PV($D67/12,$C$17,-$L$12),($L$4/($L$11*($D67/12))-(SUM($L$5:$L$8)/($D67/12)))),IF($C$6="Multi",IF($C$14="No IO",PV($D67/12,$C$17,-$L$31),(($L$29/$L$30)/(D67/12))))))</f>
        <v>-</v>
      </c>
      <c r="F67" s="204" t="str">
        <f t="shared" ref="F67:F83" si="98">IF(E67="-","-",IF(E67&lt;$D$49,"-",D67))</f>
        <v>-</v>
      </c>
      <c r="G67" s="205" t="str">
        <f t="shared" ref="G67:G83" si="99">IF(OR(G$63="-",G$64="-"),"-",MAX((G$63+G$64+$C67),$C$90))</f>
        <v>-</v>
      </c>
      <c r="H67" s="52" t="str">
        <f t="shared" ref="H67:H83" si="100">IF(G67="-","-",IF($C$6="SFR",IF($C$14="No IO",PV($G67/12,$C$17,-$L$12),($L$4/($L$11*($G67/12))-(SUM($L$5:$L$8)/($G67/12)))),IF($C$6="Multi",IF($C$14="No IO",PV($G67/12,$C$17,-$L$31),(($L$29/$L$30)/(G67/12))))))</f>
        <v>-</v>
      </c>
      <c r="I67" s="204" t="str">
        <f t="shared" ref="I67:I83" si="101">IF(H67="-","-",IF(H67&lt;$G$49,"-",G67))</f>
        <v>-</v>
      </c>
      <c r="J67" s="205" t="str">
        <f t="shared" ref="J67:J83" si="102">IF(OR(J$63="-",J$64="-"),"-",MAX((J$63+J$64+$C67),$C$90))</f>
        <v>-</v>
      </c>
      <c r="K67" s="52" t="str">
        <f t="shared" ref="K67:K83" si="103">IF(J67="-","-",IF($C$6="SFR",IF($C$14="No IO",PV($J67/12,$C$17,-$L$12),($L$4/($L$11*($J67/12))-(SUM($L$5:$L$8)/($J67/12)))),IF($C$6="Multi",IF($C$14="No IO",PV($J67/12,$C$17,-$L$31),(($L$29/$L$30)/(J67/12))))))</f>
        <v>-</v>
      </c>
      <c r="L67" s="204" t="str">
        <f t="shared" ref="L67:L83" si="104">IF(K67="-","-",IF(K67&lt;$J$49,"-",J67))</f>
        <v>-</v>
      </c>
      <c r="M67" s="205" t="str">
        <f t="shared" ref="M67:M83" si="105">IF(OR(M$63="-",M$64="-"),"-",MAX((M$63+M$64+$C67),$C$90))</f>
        <v>-</v>
      </c>
      <c r="N67" s="52" t="str">
        <f t="shared" ref="N67:N83" si="106">IF(M67="-","-",IF($C$6="SFR",IF($C$14="No IO",PV($M67/12,$C$17,-$L$12),($L$4/($L$11*($M67/12))-(SUM($L$5:$L$8)/($M67/12)))),IF($C$6="Multi",IF($C$14="No IO",PV($M67/12,$C$17,-$L$31),(($L$29/$L$30)/(M67/12))))))</f>
        <v>-</v>
      </c>
      <c r="O67" s="204" t="str">
        <f t="shared" ref="O67:O83" si="107">IF(N67="-","-",IF(N67&lt;$M$49,"-",M67))</f>
        <v>-</v>
      </c>
      <c r="P67" s="205" t="str">
        <f t="shared" ref="P67:P83" si="108">IF(OR(P$63="-",P$64="-"),"-",MAX((P$63+P$64+$C67),$C$90))</f>
        <v>-</v>
      </c>
      <c r="Q67" s="52" t="str">
        <f t="shared" ref="Q67:Q83" si="109">IF(P67="-","-",IF($C$6="SFR",IF($C$14="No IO",PV($P67/12,$C$17,-$L$12),($L$4/($L$11*($P67/12))-(SUM($L$5:$L$8)/($P67/12)))),IF($C$6="Multi",IF($C$14="No IO",PV($P67/12,$C$17,-$L$31),(($L$29/$L$30)/(P67/12))))))</f>
        <v>-</v>
      </c>
      <c r="R67" s="204" t="str">
        <f t="shared" ref="R67:R83" si="110">IF(Q67="-","-",IF(Q67&lt;$P$49,"-",P67))</f>
        <v>-</v>
      </c>
      <c r="S67" s="205" t="str">
        <f t="shared" ref="S67:S83" si="111">IF(OR(S$63="-",S$64="-"),"-",MAX((S$63+S$64+$C67),$C$90))</f>
        <v>-</v>
      </c>
      <c r="T67" s="52" t="str">
        <f t="shared" ref="T67:T83" si="112">IF(S67="-","-",IF($C$6="SFR",IF($C$14="No IO",PV($S67/12,$C$17,-$L$12),($L$4/($L$11*($S67/12))-(SUM($L$5:$L$8)/($S67/12)))),IF($C$6="Multi",IF($C$14="No IO",PV($S67/12,$C$17,-$L$31),(($L$29/$L$30)/(S67/12))))))</f>
        <v>-</v>
      </c>
      <c r="U67" s="204" t="str">
        <f t="shared" ref="U67:U83" si="113">IF(T67="-","-",IF(T67&lt;$S$49,"-",S67))</f>
        <v>-</v>
      </c>
      <c r="V67" s="205" t="str">
        <f t="shared" ref="V67:V83" si="114">IF(OR(V$63="-",V$64="-"),"-",MAX((V$63+V$64+$C67),$C$90))</f>
        <v>-</v>
      </c>
      <c r="W67" s="52" t="str">
        <f t="shared" ref="W67:W83" si="115">IF(V67="-","-",IF($C$6="SFR",IF($C$14="No IO",PV($V67/12,$C$17,-$L$12),($L$4/($L$11*($V67/12))-(SUM($L$5:$L$8)/($V67/12)))),IF($C$6="Multi",IF($C$14="No IO",PV($V67/12,$C$17,-$L$31),(($L$29/$L$30)/(V67/12))))))</f>
        <v>-</v>
      </c>
      <c r="X67" s="204" t="str">
        <f t="shared" ref="X67:X83" si="116">IF(W67="-","-",IF(W67&lt;$V$49,"-",V67))</f>
        <v>-</v>
      </c>
    </row>
    <row r="68" spans="1:24" x14ac:dyDescent="0.25">
      <c r="A68" s="207">
        <v>0.25</v>
      </c>
      <c r="B68" s="206">
        <f t="shared" si="94"/>
        <v>103.75</v>
      </c>
      <c r="C68" s="204">
        <f t="shared" si="95"/>
        <v>-6.6666666666666664E-4</v>
      </c>
      <c r="D68" s="205" t="str">
        <f t="shared" si="96"/>
        <v>-</v>
      </c>
      <c r="E68" s="52" t="str">
        <f t="shared" si="97"/>
        <v>-</v>
      </c>
      <c r="F68" s="204" t="str">
        <f t="shared" si="98"/>
        <v>-</v>
      </c>
      <c r="G68" s="205" t="str">
        <f t="shared" si="99"/>
        <v>-</v>
      </c>
      <c r="H68" s="52" t="str">
        <f t="shared" si="100"/>
        <v>-</v>
      </c>
      <c r="I68" s="204" t="str">
        <f t="shared" si="101"/>
        <v>-</v>
      </c>
      <c r="J68" s="205" t="str">
        <f t="shared" si="102"/>
        <v>-</v>
      </c>
      <c r="K68" s="52" t="str">
        <f t="shared" si="103"/>
        <v>-</v>
      </c>
      <c r="L68" s="204" t="str">
        <f t="shared" si="104"/>
        <v>-</v>
      </c>
      <c r="M68" s="205" t="str">
        <f t="shared" si="105"/>
        <v>-</v>
      </c>
      <c r="N68" s="52" t="str">
        <f t="shared" si="106"/>
        <v>-</v>
      </c>
      <c r="O68" s="204" t="str">
        <f t="shared" si="107"/>
        <v>-</v>
      </c>
      <c r="P68" s="205" t="str">
        <f t="shared" si="108"/>
        <v>-</v>
      </c>
      <c r="Q68" s="52" t="str">
        <f t="shared" si="109"/>
        <v>-</v>
      </c>
      <c r="R68" s="204" t="str">
        <f t="shared" si="110"/>
        <v>-</v>
      </c>
      <c r="S68" s="205" t="str">
        <f t="shared" si="111"/>
        <v>-</v>
      </c>
      <c r="T68" s="52" t="str">
        <f t="shared" si="112"/>
        <v>-</v>
      </c>
      <c r="U68" s="204" t="str">
        <f t="shared" si="113"/>
        <v>-</v>
      </c>
      <c r="V68" s="205" t="str">
        <f t="shared" si="114"/>
        <v>-</v>
      </c>
      <c r="W68" s="52" t="str">
        <f t="shared" si="115"/>
        <v>-</v>
      </c>
      <c r="X68" s="204" t="str">
        <f t="shared" si="116"/>
        <v>-</v>
      </c>
    </row>
    <row r="69" spans="1:24" x14ac:dyDescent="0.25">
      <c r="A69" s="207">
        <v>0.5</v>
      </c>
      <c r="B69" s="206">
        <f t="shared" si="94"/>
        <v>103.5</v>
      </c>
      <c r="C69" s="204">
        <f t="shared" si="95"/>
        <v>-1.3333333333333333E-3</v>
      </c>
      <c r="D69" s="205" t="str">
        <f t="shared" si="96"/>
        <v>-</v>
      </c>
      <c r="E69" s="52" t="str">
        <f t="shared" si="97"/>
        <v>-</v>
      </c>
      <c r="F69" s="204" t="str">
        <f t="shared" si="98"/>
        <v>-</v>
      </c>
      <c r="G69" s="205" t="str">
        <f t="shared" si="99"/>
        <v>-</v>
      </c>
      <c r="H69" s="52" t="str">
        <f t="shared" si="100"/>
        <v>-</v>
      </c>
      <c r="I69" s="204" t="str">
        <f t="shared" si="101"/>
        <v>-</v>
      </c>
      <c r="J69" s="205" t="str">
        <f t="shared" si="102"/>
        <v>-</v>
      </c>
      <c r="K69" s="52" t="str">
        <f t="shared" si="103"/>
        <v>-</v>
      </c>
      <c r="L69" s="204" t="str">
        <f t="shared" si="104"/>
        <v>-</v>
      </c>
      <c r="M69" s="205" t="str">
        <f t="shared" si="105"/>
        <v>-</v>
      </c>
      <c r="N69" s="52" t="str">
        <f t="shared" si="106"/>
        <v>-</v>
      </c>
      <c r="O69" s="204" t="str">
        <f t="shared" si="107"/>
        <v>-</v>
      </c>
      <c r="P69" s="205" t="str">
        <f t="shared" si="108"/>
        <v>-</v>
      </c>
      <c r="Q69" s="52" t="str">
        <f t="shared" si="109"/>
        <v>-</v>
      </c>
      <c r="R69" s="204" t="str">
        <f t="shared" si="110"/>
        <v>-</v>
      </c>
      <c r="S69" s="205" t="str">
        <f t="shared" si="111"/>
        <v>-</v>
      </c>
      <c r="T69" s="52" t="str">
        <f t="shared" si="112"/>
        <v>-</v>
      </c>
      <c r="U69" s="204" t="str">
        <f t="shared" si="113"/>
        <v>-</v>
      </c>
      <c r="V69" s="205" t="str">
        <f t="shared" si="114"/>
        <v>-</v>
      </c>
      <c r="W69" s="52" t="str">
        <f t="shared" si="115"/>
        <v>-</v>
      </c>
      <c r="X69" s="204" t="str">
        <f t="shared" si="116"/>
        <v>-</v>
      </c>
    </row>
    <row r="70" spans="1:24" x14ac:dyDescent="0.25">
      <c r="A70" s="207">
        <v>0.75</v>
      </c>
      <c r="B70" s="206">
        <f t="shared" si="94"/>
        <v>103.25</v>
      </c>
      <c r="C70" s="204">
        <f t="shared" si="95"/>
        <v>-2E-3</v>
      </c>
      <c r="D70" s="205" t="str">
        <f t="shared" si="96"/>
        <v>-</v>
      </c>
      <c r="E70" s="52" t="str">
        <f t="shared" si="97"/>
        <v>-</v>
      </c>
      <c r="F70" s="204" t="str">
        <f t="shared" si="98"/>
        <v>-</v>
      </c>
      <c r="G70" s="205" t="str">
        <f t="shared" si="99"/>
        <v>-</v>
      </c>
      <c r="H70" s="52" t="str">
        <f t="shared" si="100"/>
        <v>-</v>
      </c>
      <c r="I70" s="204" t="str">
        <f t="shared" si="101"/>
        <v>-</v>
      </c>
      <c r="J70" s="205" t="str">
        <f t="shared" si="102"/>
        <v>-</v>
      </c>
      <c r="K70" s="52" t="str">
        <f t="shared" si="103"/>
        <v>-</v>
      </c>
      <c r="L70" s="204" t="str">
        <f t="shared" si="104"/>
        <v>-</v>
      </c>
      <c r="M70" s="205" t="str">
        <f t="shared" si="105"/>
        <v>-</v>
      </c>
      <c r="N70" s="52" t="str">
        <f t="shared" si="106"/>
        <v>-</v>
      </c>
      <c r="O70" s="204" t="str">
        <f t="shared" si="107"/>
        <v>-</v>
      </c>
      <c r="P70" s="205" t="str">
        <f t="shared" si="108"/>
        <v>-</v>
      </c>
      <c r="Q70" s="52" t="str">
        <f t="shared" si="109"/>
        <v>-</v>
      </c>
      <c r="R70" s="204" t="str">
        <f t="shared" si="110"/>
        <v>-</v>
      </c>
      <c r="S70" s="205" t="str">
        <f t="shared" si="111"/>
        <v>-</v>
      </c>
      <c r="T70" s="52" t="str">
        <f t="shared" si="112"/>
        <v>-</v>
      </c>
      <c r="U70" s="204" t="str">
        <f t="shared" si="113"/>
        <v>-</v>
      </c>
      <c r="V70" s="205" t="str">
        <f t="shared" si="114"/>
        <v>-</v>
      </c>
      <c r="W70" s="52" t="str">
        <f t="shared" si="115"/>
        <v>-</v>
      </c>
      <c r="X70" s="204" t="str">
        <f t="shared" si="116"/>
        <v>-</v>
      </c>
    </row>
    <row r="71" spans="1:24" x14ac:dyDescent="0.25">
      <c r="A71" s="207">
        <v>1</v>
      </c>
      <c r="B71" s="206">
        <f t="shared" si="94"/>
        <v>103</v>
      </c>
      <c r="C71" s="204">
        <f t="shared" si="95"/>
        <v>-2.6666666666666666E-3</v>
      </c>
      <c r="D71" s="205" t="str">
        <f t="shared" si="96"/>
        <v>-</v>
      </c>
      <c r="E71" s="52" t="str">
        <f t="shared" si="97"/>
        <v>-</v>
      </c>
      <c r="F71" s="204" t="str">
        <f t="shared" si="98"/>
        <v>-</v>
      </c>
      <c r="G71" s="205" t="str">
        <f t="shared" si="99"/>
        <v>-</v>
      </c>
      <c r="H71" s="52" t="str">
        <f t="shared" si="100"/>
        <v>-</v>
      </c>
      <c r="I71" s="204" t="str">
        <f t="shared" si="101"/>
        <v>-</v>
      </c>
      <c r="J71" s="205" t="str">
        <f t="shared" si="102"/>
        <v>-</v>
      </c>
      <c r="K71" s="52" t="str">
        <f t="shared" si="103"/>
        <v>-</v>
      </c>
      <c r="L71" s="204" t="str">
        <f t="shared" si="104"/>
        <v>-</v>
      </c>
      <c r="M71" s="205" t="str">
        <f t="shared" si="105"/>
        <v>-</v>
      </c>
      <c r="N71" s="52" t="str">
        <f t="shared" si="106"/>
        <v>-</v>
      </c>
      <c r="O71" s="204" t="str">
        <f t="shared" si="107"/>
        <v>-</v>
      </c>
      <c r="P71" s="205" t="str">
        <f t="shared" si="108"/>
        <v>-</v>
      </c>
      <c r="Q71" s="52" t="str">
        <f t="shared" si="109"/>
        <v>-</v>
      </c>
      <c r="R71" s="204" t="str">
        <f t="shared" si="110"/>
        <v>-</v>
      </c>
      <c r="S71" s="205" t="str">
        <f t="shared" si="111"/>
        <v>-</v>
      </c>
      <c r="T71" s="52" t="str">
        <f t="shared" si="112"/>
        <v>-</v>
      </c>
      <c r="U71" s="204" t="str">
        <f t="shared" si="113"/>
        <v>-</v>
      </c>
      <c r="V71" s="205" t="str">
        <f t="shared" si="114"/>
        <v>-</v>
      </c>
      <c r="W71" s="52" t="str">
        <f t="shared" si="115"/>
        <v>-</v>
      </c>
      <c r="X71" s="204" t="str">
        <f t="shared" si="116"/>
        <v>-</v>
      </c>
    </row>
    <row r="72" spans="1:24" x14ac:dyDescent="0.25">
      <c r="A72" s="207">
        <v>1.25</v>
      </c>
      <c r="B72" s="206">
        <f t="shared" si="94"/>
        <v>102.75</v>
      </c>
      <c r="C72" s="204">
        <f t="shared" si="95"/>
        <v>-3.3333333333333331E-3</v>
      </c>
      <c r="D72" s="205" t="str">
        <f t="shared" si="96"/>
        <v>-</v>
      </c>
      <c r="E72" s="52" t="str">
        <f t="shared" si="97"/>
        <v>-</v>
      </c>
      <c r="F72" s="204" t="str">
        <f t="shared" si="98"/>
        <v>-</v>
      </c>
      <c r="G72" s="205" t="str">
        <f t="shared" si="99"/>
        <v>-</v>
      </c>
      <c r="H72" s="52" t="str">
        <f t="shared" si="100"/>
        <v>-</v>
      </c>
      <c r="I72" s="204" t="str">
        <f t="shared" si="101"/>
        <v>-</v>
      </c>
      <c r="J72" s="205" t="str">
        <f t="shared" si="102"/>
        <v>-</v>
      </c>
      <c r="K72" s="52" t="str">
        <f t="shared" si="103"/>
        <v>-</v>
      </c>
      <c r="L72" s="204" t="str">
        <f t="shared" si="104"/>
        <v>-</v>
      </c>
      <c r="M72" s="205" t="str">
        <f t="shared" si="105"/>
        <v>-</v>
      </c>
      <c r="N72" s="52" t="str">
        <f t="shared" si="106"/>
        <v>-</v>
      </c>
      <c r="O72" s="204" t="str">
        <f t="shared" si="107"/>
        <v>-</v>
      </c>
      <c r="P72" s="205" t="str">
        <f t="shared" si="108"/>
        <v>-</v>
      </c>
      <c r="Q72" s="52" t="str">
        <f t="shared" si="109"/>
        <v>-</v>
      </c>
      <c r="R72" s="204" t="str">
        <f t="shared" si="110"/>
        <v>-</v>
      </c>
      <c r="S72" s="205" t="str">
        <f t="shared" si="111"/>
        <v>-</v>
      </c>
      <c r="T72" s="52" t="str">
        <f t="shared" si="112"/>
        <v>-</v>
      </c>
      <c r="U72" s="204" t="str">
        <f t="shared" si="113"/>
        <v>-</v>
      </c>
      <c r="V72" s="205" t="str">
        <f t="shared" si="114"/>
        <v>-</v>
      </c>
      <c r="W72" s="52" t="str">
        <f t="shared" si="115"/>
        <v>-</v>
      </c>
      <c r="X72" s="204" t="str">
        <f t="shared" si="116"/>
        <v>-</v>
      </c>
    </row>
    <row r="73" spans="1:24" x14ac:dyDescent="0.25">
      <c r="A73" s="207">
        <v>1.5</v>
      </c>
      <c r="B73" s="206">
        <f t="shared" si="94"/>
        <v>102.5</v>
      </c>
      <c r="C73" s="204">
        <f t="shared" si="95"/>
        <v>-4.0000000000000001E-3</v>
      </c>
      <c r="D73" s="205" t="str">
        <f t="shared" si="96"/>
        <v>-</v>
      </c>
      <c r="E73" s="52" t="str">
        <f t="shared" si="97"/>
        <v>-</v>
      </c>
      <c r="F73" s="204" t="str">
        <f t="shared" si="98"/>
        <v>-</v>
      </c>
      <c r="G73" s="205" t="str">
        <f t="shared" si="99"/>
        <v>-</v>
      </c>
      <c r="H73" s="52" t="str">
        <f t="shared" si="100"/>
        <v>-</v>
      </c>
      <c r="I73" s="204" t="str">
        <f t="shared" si="101"/>
        <v>-</v>
      </c>
      <c r="J73" s="205" t="str">
        <f t="shared" si="102"/>
        <v>-</v>
      </c>
      <c r="K73" s="52" t="str">
        <f t="shared" si="103"/>
        <v>-</v>
      </c>
      <c r="L73" s="204" t="str">
        <f t="shared" si="104"/>
        <v>-</v>
      </c>
      <c r="M73" s="205" t="str">
        <f t="shared" si="105"/>
        <v>-</v>
      </c>
      <c r="N73" s="52" t="str">
        <f t="shared" si="106"/>
        <v>-</v>
      </c>
      <c r="O73" s="204" t="str">
        <f t="shared" si="107"/>
        <v>-</v>
      </c>
      <c r="P73" s="205" t="str">
        <f t="shared" si="108"/>
        <v>-</v>
      </c>
      <c r="Q73" s="52" t="str">
        <f t="shared" si="109"/>
        <v>-</v>
      </c>
      <c r="R73" s="204" t="str">
        <f t="shared" si="110"/>
        <v>-</v>
      </c>
      <c r="S73" s="205" t="str">
        <f t="shared" si="111"/>
        <v>-</v>
      </c>
      <c r="T73" s="52" t="str">
        <f t="shared" si="112"/>
        <v>-</v>
      </c>
      <c r="U73" s="204" t="str">
        <f t="shared" si="113"/>
        <v>-</v>
      </c>
      <c r="V73" s="205" t="str">
        <f t="shared" si="114"/>
        <v>-</v>
      </c>
      <c r="W73" s="52" t="str">
        <f t="shared" si="115"/>
        <v>-</v>
      </c>
      <c r="X73" s="204" t="str">
        <f t="shared" si="116"/>
        <v>-</v>
      </c>
    </row>
    <row r="74" spans="1:24" x14ac:dyDescent="0.25">
      <c r="A74" s="207">
        <v>1.75</v>
      </c>
      <c r="B74" s="206">
        <f t="shared" si="94"/>
        <v>102.25</v>
      </c>
      <c r="C74" s="204">
        <f t="shared" si="95"/>
        <v>-4.6666666666666671E-3</v>
      </c>
      <c r="D74" s="205" t="str">
        <f t="shared" si="96"/>
        <v>-</v>
      </c>
      <c r="E74" s="52" t="str">
        <f t="shared" si="97"/>
        <v>-</v>
      </c>
      <c r="F74" s="204" t="str">
        <f t="shared" si="98"/>
        <v>-</v>
      </c>
      <c r="G74" s="205" t="str">
        <f t="shared" si="99"/>
        <v>-</v>
      </c>
      <c r="H74" s="52" t="str">
        <f t="shared" si="100"/>
        <v>-</v>
      </c>
      <c r="I74" s="204" t="str">
        <f t="shared" si="101"/>
        <v>-</v>
      </c>
      <c r="J74" s="205" t="str">
        <f t="shared" si="102"/>
        <v>-</v>
      </c>
      <c r="K74" s="52" t="str">
        <f t="shared" si="103"/>
        <v>-</v>
      </c>
      <c r="L74" s="204" t="str">
        <f t="shared" si="104"/>
        <v>-</v>
      </c>
      <c r="M74" s="205" t="str">
        <f t="shared" si="105"/>
        <v>-</v>
      </c>
      <c r="N74" s="52" t="str">
        <f t="shared" si="106"/>
        <v>-</v>
      </c>
      <c r="O74" s="204" t="str">
        <f t="shared" si="107"/>
        <v>-</v>
      </c>
      <c r="P74" s="205" t="str">
        <f t="shared" si="108"/>
        <v>-</v>
      </c>
      <c r="Q74" s="52" t="str">
        <f t="shared" si="109"/>
        <v>-</v>
      </c>
      <c r="R74" s="204" t="str">
        <f t="shared" si="110"/>
        <v>-</v>
      </c>
      <c r="S74" s="205" t="str">
        <f t="shared" si="111"/>
        <v>-</v>
      </c>
      <c r="T74" s="52" t="str">
        <f t="shared" si="112"/>
        <v>-</v>
      </c>
      <c r="U74" s="204" t="str">
        <f t="shared" si="113"/>
        <v>-</v>
      </c>
      <c r="V74" s="205" t="str">
        <f t="shared" si="114"/>
        <v>-</v>
      </c>
      <c r="W74" s="52" t="str">
        <f t="shared" si="115"/>
        <v>-</v>
      </c>
      <c r="X74" s="204" t="str">
        <f t="shared" si="116"/>
        <v>-</v>
      </c>
    </row>
    <row r="75" spans="1:24" x14ac:dyDescent="0.25">
      <c r="A75" s="207">
        <v>2</v>
      </c>
      <c r="B75" s="206">
        <f t="shared" si="94"/>
        <v>102</v>
      </c>
      <c r="C75" s="204">
        <f t="shared" si="95"/>
        <v>-5.3333333333333332E-3</v>
      </c>
      <c r="D75" s="205" t="str">
        <f t="shared" si="96"/>
        <v>-</v>
      </c>
      <c r="E75" s="52" t="str">
        <f t="shared" si="97"/>
        <v>-</v>
      </c>
      <c r="F75" s="204" t="str">
        <f t="shared" si="98"/>
        <v>-</v>
      </c>
      <c r="G75" s="205" t="str">
        <f t="shared" si="99"/>
        <v>-</v>
      </c>
      <c r="H75" s="52" t="str">
        <f t="shared" si="100"/>
        <v>-</v>
      </c>
      <c r="I75" s="204" t="str">
        <f t="shared" si="101"/>
        <v>-</v>
      </c>
      <c r="J75" s="205" t="str">
        <f t="shared" si="102"/>
        <v>-</v>
      </c>
      <c r="K75" s="52" t="str">
        <f t="shared" si="103"/>
        <v>-</v>
      </c>
      <c r="L75" s="204" t="str">
        <f t="shared" si="104"/>
        <v>-</v>
      </c>
      <c r="M75" s="205" t="str">
        <f t="shared" si="105"/>
        <v>-</v>
      </c>
      <c r="N75" s="52" t="str">
        <f t="shared" si="106"/>
        <v>-</v>
      </c>
      <c r="O75" s="204" t="str">
        <f t="shared" si="107"/>
        <v>-</v>
      </c>
      <c r="P75" s="205" t="str">
        <f t="shared" si="108"/>
        <v>-</v>
      </c>
      <c r="Q75" s="52" t="str">
        <f t="shared" si="109"/>
        <v>-</v>
      </c>
      <c r="R75" s="204" t="str">
        <f t="shared" si="110"/>
        <v>-</v>
      </c>
      <c r="S75" s="205" t="str">
        <f t="shared" si="111"/>
        <v>-</v>
      </c>
      <c r="T75" s="52" t="str">
        <f t="shared" si="112"/>
        <v>-</v>
      </c>
      <c r="U75" s="204" t="str">
        <f t="shared" si="113"/>
        <v>-</v>
      </c>
      <c r="V75" s="205" t="str">
        <f t="shared" si="114"/>
        <v>-</v>
      </c>
      <c r="W75" s="52" t="str">
        <f t="shared" si="115"/>
        <v>-</v>
      </c>
      <c r="X75" s="204" t="str">
        <f t="shared" si="116"/>
        <v>-</v>
      </c>
    </row>
    <row r="76" spans="1:24" x14ac:dyDescent="0.25">
      <c r="A76" s="207">
        <v>2.25</v>
      </c>
      <c r="B76" s="206">
        <f t="shared" si="94"/>
        <v>101.75</v>
      </c>
      <c r="C76" s="204">
        <f t="shared" si="95"/>
        <v>-6.0000000000000001E-3</v>
      </c>
      <c r="D76" s="205" t="str">
        <f t="shared" si="96"/>
        <v>-</v>
      </c>
      <c r="E76" s="52" t="str">
        <f t="shared" si="97"/>
        <v>-</v>
      </c>
      <c r="F76" s="204" t="str">
        <f t="shared" si="98"/>
        <v>-</v>
      </c>
      <c r="G76" s="205" t="str">
        <f t="shared" si="99"/>
        <v>-</v>
      </c>
      <c r="H76" s="52" t="str">
        <f t="shared" si="100"/>
        <v>-</v>
      </c>
      <c r="I76" s="204" t="str">
        <f t="shared" si="101"/>
        <v>-</v>
      </c>
      <c r="J76" s="205" t="str">
        <f t="shared" si="102"/>
        <v>-</v>
      </c>
      <c r="K76" s="52" t="str">
        <f t="shared" si="103"/>
        <v>-</v>
      </c>
      <c r="L76" s="204" t="str">
        <f t="shared" si="104"/>
        <v>-</v>
      </c>
      <c r="M76" s="205" t="str">
        <f t="shared" si="105"/>
        <v>-</v>
      </c>
      <c r="N76" s="52" t="str">
        <f t="shared" si="106"/>
        <v>-</v>
      </c>
      <c r="O76" s="204" t="str">
        <f t="shared" si="107"/>
        <v>-</v>
      </c>
      <c r="P76" s="205" t="str">
        <f t="shared" si="108"/>
        <v>-</v>
      </c>
      <c r="Q76" s="52" t="str">
        <f t="shared" si="109"/>
        <v>-</v>
      </c>
      <c r="R76" s="204" t="str">
        <f t="shared" si="110"/>
        <v>-</v>
      </c>
      <c r="S76" s="205" t="str">
        <f t="shared" si="111"/>
        <v>-</v>
      </c>
      <c r="T76" s="52" t="str">
        <f t="shared" si="112"/>
        <v>-</v>
      </c>
      <c r="U76" s="204" t="str">
        <f t="shared" si="113"/>
        <v>-</v>
      </c>
      <c r="V76" s="205" t="str">
        <f t="shared" si="114"/>
        <v>-</v>
      </c>
      <c r="W76" s="52" t="str">
        <f t="shared" si="115"/>
        <v>-</v>
      </c>
      <c r="X76" s="204" t="str">
        <f t="shared" si="116"/>
        <v>-</v>
      </c>
    </row>
    <row r="77" spans="1:24" x14ac:dyDescent="0.25">
      <c r="A77" s="207">
        <v>2.5</v>
      </c>
      <c r="B77" s="206">
        <f t="shared" si="94"/>
        <v>101.5</v>
      </c>
      <c r="C77" s="204">
        <f t="shared" si="95"/>
        <v>-6.6666666666666662E-3</v>
      </c>
      <c r="D77" s="205" t="str">
        <f t="shared" si="96"/>
        <v>-</v>
      </c>
      <c r="E77" s="52" t="str">
        <f t="shared" si="97"/>
        <v>-</v>
      </c>
      <c r="F77" s="204" t="str">
        <f t="shared" si="98"/>
        <v>-</v>
      </c>
      <c r="G77" s="205" t="str">
        <f t="shared" si="99"/>
        <v>-</v>
      </c>
      <c r="H77" s="52" t="str">
        <f t="shared" si="100"/>
        <v>-</v>
      </c>
      <c r="I77" s="204" t="str">
        <f t="shared" si="101"/>
        <v>-</v>
      </c>
      <c r="J77" s="205" t="str">
        <f t="shared" si="102"/>
        <v>-</v>
      </c>
      <c r="K77" s="52" t="str">
        <f t="shared" si="103"/>
        <v>-</v>
      </c>
      <c r="L77" s="204" t="str">
        <f t="shared" si="104"/>
        <v>-</v>
      </c>
      <c r="M77" s="205" t="str">
        <f t="shared" si="105"/>
        <v>-</v>
      </c>
      <c r="N77" s="52" t="str">
        <f t="shared" si="106"/>
        <v>-</v>
      </c>
      <c r="O77" s="204" t="str">
        <f t="shared" si="107"/>
        <v>-</v>
      </c>
      <c r="P77" s="205" t="str">
        <f t="shared" si="108"/>
        <v>-</v>
      </c>
      <c r="Q77" s="52" t="str">
        <f t="shared" si="109"/>
        <v>-</v>
      </c>
      <c r="R77" s="204" t="str">
        <f t="shared" si="110"/>
        <v>-</v>
      </c>
      <c r="S77" s="205" t="str">
        <f t="shared" si="111"/>
        <v>-</v>
      </c>
      <c r="T77" s="52" t="str">
        <f t="shared" si="112"/>
        <v>-</v>
      </c>
      <c r="U77" s="204" t="str">
        <f t="shared" si="113"/>
        <v>-</v>
      </c>
      <c r="V77" s="205" t="str">
        <f t="shared" si="114"/>
        <v>-</v>
      </c>
      <c r="W77" s="52" t="str">
        <f t="shared" si="115"/>
        <v>-</v>
      </c>
      <c r="X77" s="204" t="str">
        <f t="shared" si="116"/>
        <v>-</v>
      </c>
    </row>
    <row r="78" spans="1:24" x14ac:dyDescent="0.25">
      <c r="A78" s="207">
        <v>2.75</v>
      </c>
      <c r="B78" s="206">
        <f t="shared" si="94"/>
        <v>101.25</v>
      </c>
      <c r="C78" s="204">
        <f t="shared" si="95"/>
        <v>-7.3333333333333332E-3</v>
      </c>
      <c r="D78" s="205" t="str">
        <f t="shared" si="96"/>
        <v>-</v>
      </c>
      <c r="E78" s="52" t="str">
        <f t="shared" si="97"/>
        <v>-</v>
      </c>
      <c r="F78" s="204" t="str">
        <f t="shared" si="98"/>
        <v>-</v>
      </c>
      <c r="G78" s="205" t="str">
        <f t="shared" si="99"/>
        <v>-</v>
      </c>
      <c r="H78" s="52" t="str">
        <f t="shared" si="100"/>
        <v>-</v>
      </c>
      <c r="I78" s="204" t="str">
        <f t="shared" si="101"/>
        <v>-</v>
      </c>
      <c r="J78" s="205" t="str">
        <f t="shared" si="102"/>
        <v>-</v>
      </c>
      <c r="K78" s="52" t="str">
        <f t="shared" si="103"/>
        <v>-</v>
      </c>
      <c r="L78" s="204" t="str">
        <f t="shared" si="104"/>
        <v>-</v>
      </c>
      <c r="M78" s="205" t="str">
        <f t="shared" si="105"/>
        <v>-</v>
      </c>
      <c r="N78" s="52" t="str">
        <f t="shared" si="106"/>
        <v>-</v>
      </c>
      <c r="O78" s="204" t="str">
        <f t="shared" si="107"/>
        <v>-</v>
      </c>
      <c r="P78" s="205" t="str">
        <f t="shared" si="108"/>
        <v>-</v>
      </c>
      <c r="Q78" s="52" t="str">
        <f t="shared" si="109"/>
        <v>-</v>
      </c>
      <c r="R78" s="204" t="str">
        <f t="shared" si="110"/>
        <v>-</v>
      </c>
      <c r="S78" s="205" t="str">
        <f t="shared" si="111"/>
        <v>-</v>
      </c>
      <c r="T78" s="52" t="str">
        <f t="shared" si="112"/>
        <v>-</v>
      </c>
      <c r="U78" s="204" t="str">
        <f t="shared" si="113"/>
        <v>-</v>
      </c>
      <c r="V78" s="205" t="str">
        <f t="shared" si="114"/>
        <v>-</v>
      </c>
      <c r="W78" s="52" t="str">
        <f t="shared" si="115"/>
        <v>-</v>
      </c>
      <c r="X78" s="204" t="str">
        <f t="shared" si="116"/>
        <v>-</v>
      </c>
    </row>
    <row r="79" spans="1:24" x14ac:dyDescent="0.25">
      <c r="A79" s="207">
        <v>3</v>
      </c>
      <c r="B79" s="206">
        <f t="shared" si="94"/>
        <v>101</v>
      </c>
      <c r="C79" s="204">
        <f t="shared" si="95"/>
        <v>-8.0000000000000002E-3</v>
      </c>
      <c r="D79" s="205" t="str">
        <f t="shared" si="96"/>
        <v>-</v>
      </c>
      <c r="E79" s="52" t="str">
        <f t="shared" si="97"/>
        <v>-</v>
      </c>
      <c r="F79" s="204" t="str">
        <f t="shared" si="98"/>
        <v>-</v>
      </c>
      <c r="G79" s="205" t="str">
        <f t="shared" si="99"/>
        <v>-</v>
      </c>
      <c r="H79" s="52" t="str">
        <f t="shared" si="100"/>
        <v>-</v>
      </c>
      <c r="I79" s="204" t="str">
        <f t="shared" si="101"/>
        <v>-</v>
      </c>
      <c r="J79" s="205" t="str">
        <f t="shared" si="102"/>
        <v>-</v>
      </c>
      <c r="K79" s="52" t="str">
        <f t="shared" si="103"/>
        <v>-</v>
      </c>
      <c r="L79" s="204" t="str">
        <f t="shared" si="104"/>
        <v>-</v>
      </c>
      <c r="M79" s="205" t="str">
        <f t="shared" si="105"/>
        <v>-</v>
      </c>
      <c r="N79" s="52" t="str">
        <f t="shared" si="106"/>
        <v>-</v>
      </c>
      <c r="O79" s="204" t="str">
        <f t="shared" si="107"/>
        <v>-</v>
      </c>
      <c r="P79" s="205" t="str">
        <f t="shared" si="108"/>
        <v>-</v>
      </c>
      <c r="Q79" s="52" t="str">
        <f t="shared" si="109"/>
        <v>-</v>
      </c>
      <c r="R79" s="204" t="str">
        <f t="shared" si="110"/>
        <v>-</v>
      </c>
      <c r="S79" s="205" t="str">
        <f t="shared" si="111"/>
        <v>-</v>
      </c>
      <c r="T79" s="52" t="str">
        <f t="shared" si="112"/>
        <v>-</v>
      </c>
      <c r="U79" s="204" t="str">
        <f t="shared" si="113"/>
        <v>-</v>
      </c>
      <c r="V79" s="205" t="str">
        <f t="shared" si="114"/>
        <v>-</v>
      </c>
      <c r="W79" s="52" t="str">
        <f t="shared" si="115"/>
        <v>-</v>
      </c>
      <c r="X79" s="204" t="str">
        <f t="shared" si="116"/>
        <v>-</v>
      </c>
    </row>
    <row r="80" spans="1:24" x14ac:dyDescent="0.25">
      <c r="A80" s="207">
        <v>3.25</v>
      </c>
      <c r="B80" s="206">
        <f t="shared" si="94"/>
        <v>100.75</v>
      </c>
      <c r="C80" s="204">
        <f t="shared" si="95"/>
        <v>-8.6666666666666663E-3</v>
      </c>
      <c r="D80" s="205" t="str">
        <f t="shared" si="96"/>
        <v>-</v>
      </c>
      <c r="E80" s="52" t="str">
        <f t="shared" si="97"/>
        <v>-</v>
      </c>
      <c r="F80" s="204" t="str">
        <f t="shared" si="98"/>
        <v>-</v>
      </c>
      <c r="G80" s="205" t="str">
        <f t="shared" si="99"/>
        <v>-</v>
      </c>
      <c r="H80" s="52" t="str">
        <f t="shared" si="100"/>
        <v>-</v>
      </c>
      <c r="I80" s="204" t="str">
        <f t="shared" si="101"/>
        <v>-</v>
      </c>
      <c r="J80" s="205" t="str">
        <f t="shared" si="102"/>
        <v>-</v>
      </c>
      <c r="K80" s="52" t="str">
        <f t="shared" si="103"/>
        <v>-</v>
      </c>
      <c r="L80" s="204" t="str">
        <f t="shared" si="104"/>
        <v>-</v>
      </c>
      <c r="M80" s="205" t="str">
        <f t="shared" si="105"/>
        <v>-</v>
      </c>
      <c r="N80" s="52" t="str">
        <f t="shared" si="106"/>
        <v>-</v>
      </c>
      <c r="O80" s="204" t="str">
        <f t="shared" si="107"/>
        <v>-</v>
      </c>
      <c r="P80" s="205" t="str">
        <f t="shared" si="108"/>
        <v>-</v>
      </c>
      <c r="Q80" s="52" t="str">
        <f t="shared" si="109"/>
        <v>-</v>
      </c>
      <c r="R80" s="204" t="str">
        <f t="shared" si="110"/>
        <v>-</v>
      </c>
      <c r="S80" s="205" t="str">
        <f t="shared" si="111"/>
        <v>-</v>
      </c>
      <c r="T80" s="52" t="str">
        <f t="shared" si="112"/>
        <v>-</v>
      </c>
      <c r="U80" s="204" t="str">
        <f t="shared" si="113"/>
        <v>-</v>
      </c>
      <c r="V80" s="205" t="str">
        <f t="shared" si="114"/>
        <v>-</v>
      </c>
      <c r="W80" s="52" t="str">
        <f t="shared" si="115"/>
        <v>-</v>
      </c>
      <c r="X80" s="204" t="str">
        <f t="shared" si="116"/>
        <v>-</v>
      </c>
    </row>
    <row r="81" spans="1:24" x14ac:dyDescent="0.25">
      <c r="A81" s="207">
        <v>3.5</v>
      </c>
      <c r="B81" s="206">
        <f t="shared" si="94"/>
        <v>100.5</v>
      </c>
      <c r="C81" s="204">
        <f t="shared" si="95"/>
        <v>-9.3333333333333341E-3</v>
      </c>
      <c r="D81" s="205" t="str">
        <f t="shared" si="96"/>
        <v>-</v>
      </c>
      <c r="E81" s="52" t="str">
        <f t="shared" si="97"/>
        <v>-</v>
      </c>
      <c r="F81" s="204" t="str">
        <f t="shared" si="98"/>
        <v>-</v>
      </c>
      <c r="G81" s="205" t="str">
        <f t="shared" si="99"/>
        <v>-</v>
      </c>
      <c r="H81" s="52" t="str">
        <f t="shared" si="100"/>
        <v>-</v>
      </c>
      <c r="I81" s="204" t="str">
        <f t="shared" si="101"/>
        <v>-</v>
      </c>
      <c r="J81" s="205" t="str">
        <f t="shared" si="102"/>
        <v>-</v>
      </c>
      <c r="K81" s="52" t="str">
        <f t="shared" si="103"/>
        <v>-</v>
      </c>
      <c r="L81" s="204" t="str">
        <f t="shared" si="104"/>
        <v>-</v>
      </c>
      <c r="M81" s="205" t="str">
        <f t="shared" si="105"/>
        <v>-</v>
      </c>
      <c r="N81" s="52" t="str">
        <f t="shared" si="106"/>
        <v>-</v>
      </c>
      <c r="O81" s="204" t="str">
        <f t="shared" si="107"/>
        <v>-</v>
      </c>
      <c r="P81" s="205" t="str">
        <f t="shared" si="108"/>
        <v>-</v>
      </c>
      <c r="Q81" s="52" t="str">
        <f t="shared" si="109"/>
        <v>-</v>
      </c>
      <c r="R81" s="204" t="str">
        <f t="shared" si="110"/>
        <v>-</v>
      </c>
      <c r="S81" s="205" t="str">
        <f t="shared" si="111"/>
        <v>-</v>
      </c>
      <c r="T81" s="52" t="str">
        <f t="shared" si="112"/>
        <v>-</v>
      </c>
      <c r="U81" s="204" t="str">
        <f t="shared" si="113"/>
        <v>-</v>
      </c>
      <c r="V81" s="205" t="str">
        <f t="shared" si="114"/>
        <v>-</v>
      </c>
      <c r="W81" s="52" t="str">
        <f t="shared" si="115"/>
        <v>-</v>
      </c>
      <c r="X81" s="204" t="str">
        <f t="shared" si="116"/>
        <v>-</v>
      </c>
    </row>
    <row r="82" spans="1:24" x14ac:dyDescent="0.25">
      <c r="A82" s="207">
        <v>3.75</v>
      </c>
      <c r="B82" s="206">
        <f t="shared" si="94"/>
        <v>100.25</v>
      </c>
      <c r="C82" s="204">
        <f t="shared" si="95"/>
        <v>-0.01</v>
      </c>
      <c r="D82" s="205" t="str">
        <f t="shared" si="96"/>
        <v>-</v>
      </c>
      <c r="E82" s="52" t="str">
        <f t="shared" si="97"/>
        <v>-</v>
      </c>
      <c r="F82" s="204" t="str">
        <f t="shared" si="98"/>
        <v>-</v>
      </c>
      <c r="G82" s="205" t="str">
        <f t="shared" si="99"/>
        <v>-</v>
      </c>
      <c r="H82" s="52" t="str">
        <f t="shared" si="100"/>
        <v>-</v>
      </c>
      <c r="I82" s="204" t="str">
        <f t="shared" si="101"/>
        <v>-</v>
      </c>
      <c r="J82" s="205" t="str">
        <f t="shared" si="102"/>
        <v>-</v>
      </c>
      <c r="K82" s="52" t="str">
        <f t="shared" si="103"/>
        <v>-</v>
      </c>
      <c r="L82" s="204" t="str">
        <f t="shared" si="104"/>
        <v>-</v>
      </c>
      <c r="M82" s="205" t="str">
        <f t="shared" si="105"/>
        <v>-</v>
      </c>
      <c r="N82" s="52" t="str">
        <f t="shared" si="106"/>
        <v>-</v>
      </c>
      <c r="O82" s="204" t="str">
        <f t="shared" si="107"/>
        <v>-</v>
      </c>
      <c r="P82" s="205" t="str">
        <f t="shared" si="108"/>
        <v>-</v>
      </c>
      <c r="Q82" s="52" t="str">
        <f t="shared" si="109"/>
        <v>-</v>
      </c>
      <c r="R82" s="204" t="str">
        <f t="shared" si="110"/>
        <v>-</v>
      </c>
      <c r="S82" s="205" t="str">
        <f t="shared" si="111"/>
        <v>-</v>
      </c>
      <c r="T82" s="52" t="str">
        <f t="shared" si="112"/>
        <v>-</v>
      </c>
      <c r="U82" s="204" t="str">
        <f t="shared" si="113"/>
        <v>-</v>
      </c>
      <c r="V82" s="205" t="str">
        <f t="shared" si="114"/>
        <v>-</v>
      </c>
      <c r="W82" s="52" t="str">
        <f t="shared" si="115"/>
        <v>-</v>
      </c>
      <c r="X82" s="204" t="str">
        <f t="shared" si="116"/>
        <v>-</v>
      </c>
    </row>
    <row r="83" spans="1:24" x14ac:dyDescent="0.25">
      <c r="A83" s="203">
        <v>4</v>
      </c>
      <c r="B83" s="202">
        <f t="shared" si="94"/>
        <v>100</v>
      </c>
      <c r="C83" s="199">
        <f t="shared" si="95"/>
        <v>-1.0666666666666666E-2</v>
      </c>
      <c r="D83" s="201" t="str">
        <f t="shared" si="96"/>
        <v>-</v>
      </c>
      <c r="E83" s="200" t="str">
        <f t="shared" si="97"/>
        <v>-</v>
      </c>
      <c r="F83" s="199" t="str">
        <f t="shared" si="98"/>
        <v>-</v>
      </c>
      <c r="G83" s="201" t="str">
        <f t="shared" si="99"/>
        <v>-</v>
      </c>
      <c r="H83" s="200" t="str">
        <f t="shared" si="100"/>
        <v>-</v>
      </c>
      <c r="I83" s="199" t="str">
        <f t="shared" si="101"/>
        <v>-</v>
      </c>
      <c r="J83" s="201" t="str">
        <f t="shared" si="102"/>
        <v>-</v>
      </c>
      <c r="K83" s="200" t="str">
        <f t="shared" si="103"/>
        <v>-</v>
      </c>
      <c r="L83" s="199" t="str">
        <f t="shared" si="104"/>
        <v>-</v>
      </c>
      <c r="M83" s="201" t="str">
        <f t="shared" si="105"/>
        <v>-</v>
      </c>
      <c r="N83" s="200" t="str">
        <f t="shared" si="106"/>
        <v>-</v>
      </c>
      <c r="O83" s="199" t="str">
        <f t="shared" si="107"/>
        <v>-</v>
      </c>
      <c r="P83" s="201" t="str">
        <f t="shared" si="108"/>
        <v>-</v>
      </c>
      <c r="Q83" s="200" t="str">
        <f t="shared" si="109"/>
        <v>-</v>
      </c>
      <c r="R83" s="199" t="str">
        <f t="shared" si="110"/>
        <v>-</v>
      </c>
      <c r="S83" s="201" t="str">
        <f t="shared" si="111"/>
        <v>-</v>
      </c>
      <c r="T83" s="200" t="str">
        <f t="shared" si="112"/>
        <v>-</v>
      </c>
      <c r="U83" s="199" t="str">
        <f t="shared" si="113"/>
        <v>-</v>
      </c>
      <c r="V83" s="201" t="str">
        <f t="shared" si="114"/>
        <v>-</v>
      </c>
      <c r="W83" s="200" t="str">
        <f t="shared" si="115"/>
        <v>-</v>
      </c>
      <c r="X83" s="199" t="str">
        <f t="shared" si="116"/>
        <v>-</v>
      </c>
    </row>
    <row r="86" spans="1:24" x14ac:dyDescent="0.25">
      <c r="B86" s="51" t="s">
        <v>1711</v>
      </c>
      <c r="E86" s="639" t="s">
        <v>1710</v>
      </c>
      <c r="F86" s="639"/>
      <c r="G86" s="639"/>
    </row>
    <row r="87" spans="1:24" x14ac:dyDescent="0.25">
      <c r="A87" s="51" t="s">
        <v>1709</v>
      </c>
      <c r="B87" s="51" t="str">
        <f>$C$6</f>
        <v>SFR</v>
      </c>
      <c r="C87" s="354">
        <f>IF(B87="SFR",5.875%,IF(B87="Multi",6.25%,))</f>
        <v>5.8749999999999997E-2</v>
      </c>
      <c r="E87" s="51" t="s">
        <v>156</v>
      </c>
      <c r="F87" s="58" t="e">
        <f>'DSCR (Port Loan)'!$C$38/'DSCR (Port Loan)'!$C$27</f>
        <v>#DIV/0!</v>
      </c>
      <c r="G87" s="115" t="e">
        <f>ROUND(F87*100,1)</f>
        <v>#DIV/0!</v>
      </c>
    </row>
    <row r="88" spans="1:24" x14ac:dyDescent="0.25">
      <c r="A88" s="51" t="s">
        <v>1708</v>
      </c>
      <c r="B88" s="51" t="str">
        <f>IF($C$14="No IO","FRM","Interest-Only")</f>
        <v>Interest-Only</v>
      </c>
      <c r="C88" s="354">
        <f>IF(B88="FRM",5.875%,IF(B88="Interest-Only",6.25%,))</f>
        <v>6.25E-2</v>
      </c>
      <c r="E88" s="51" t="s">
        <v>155</v>
      </c>
      <c r="F88" s="51" t="e">
        <f>IF(OR($C$3="Refinance (Rate/Term)",$C$3="Refinance (Cash Out)"),"-",'DSCR (Port Loan)'!$C$38/(SUM('DSCR (Port Loan)'!$C$25:$C$26)))</f>
        <v>#DIV/0!</v>
      </c>
      <c r="G88" s="115" t="e">
        <f>IF(F88="-","-",ROUND(F88*100,1))</f>
        <v>#DIV/0!</v>
      </c>
    </row>
    <row r="89" spans="1:24" x14ac:dyDescent="0.25">
      <c r="A89" s="51" t="s">
        <v>1707</v>
      </c>
      <c r="B89" s="51">
        <f>'DSCR (Port Loan)'!$C$30</f>
        <v>0</v>
      </c>
      <c r="C89" s="354">
        <f>IF(OR(B89="No PPP",B89="12 Months"),7.25%,5.875%)</f>
        <v>5.8749999999999997E-2</v>
      </c>
      <c r="E89" s="51" t="s">
        <v>149</v>
      </c>
      <c r="F89" s="51" t="s">
        <v>2</v>
      </c>
      <c r="G89" s="51" t="e">
        <f>_xlfn.CONCAT(G87," | ",G88)</f>
        <v>#DIV/0!</v>
      </c>
    </row>
    <row r="90" spans="1:24" x14ac:dyDescent="0.25">
      <c r="A90" s="639" t="s">
        <v>1706</v>
      </c>
      <c r="B90" s="639"/>
      <c r="C90" s="354">
        <f>MAX(C87:C89)</f>
        <v>6.25E-2</v>
      </c>
      <c r="E90" s="51" t="s">
        <v>1705</v>
      </c>
      <c r="F90" s="51">
        <f>'DSCR (Port Loan)'!$F$38</f>
        <v>0</v>
      </c>
      <c r="G90" s="51">
        <f>'DSCR (Port Loan)'!$H$38</f>
        <v>0</v>
      </c>
      <c r="I90" s="197"/>
      <c r="J90" s="197"/>
      <c r="K90" s="197"/>
      <c r="L90" s="197"/>
      <c r="M90" s="197"/>
      <c r="N90" s="197"/>
    </row>
    <row r="91" spans="1:24" x14ac:dyDescent="0.25">
      <c r="E91" s="196" t="s">
        <v>1704</v>
      </c>
      <c r="F91" s="51" t="e">
        <f>'DSCR (Port Loan)'!$F$39</f>
        <v>#VALUE!</v>
      </c>
      <c r="G91" s="51" t="e">
        <f>'DSCR (Port Loan)'!$H$39</f>
        <v>#VALUE!</v>
      </c>
    </row>
    <row r="92" spans="1:24" x14ac:dyDescent="0.25">
      <c r="E92" s="56" t="s">
        <v>1703</v>
      </c>
      <c r="F92" s="639">
        <f>IF($C$6="SFR",$L$4,IF($C$6="Multi",$L$29,"-"))</f>
        <v>0</v>
      </c>
      <c r="G92" s="639"/>
    </row>
    <row r="93" spans="1:24" x14ac:dyDescent="0.25">
      <c r="E93" s="51" t="s">
        <v>1702</v>
      </c>
      <c r="F93" s="639" t="e">
        <f>IF($C$14="No IO",$F$92/$G$91,$F$92/$G$90)</f>
        <v>#DIV/0!</v>
      </c>
      <c r="G93" s="639"/>
    </row>
    <row r="94" spans="1:24" x14ac:dyDescent="0.25">
      <c r="E94" s="51" t="s">
        <v>1701</v>
      </c>
      <c r="F94" s="639" t="e">
        <f>IF($C$14="No IO",$F$92/$F$91,$F$92/$F$90)</f>
        <v>#DIV/0!</v>
      </c>
      <c r="G94" s="639"/>
    </row>
    <row r="96" spans="1:24" x14ac:dyDescent="0.25">
      <c r="E96" s="51" t="s">
        <v>1700</v>
      </c>
      <c r="F96" s="639" t="e">
        <f>IF($C$6="SFR",$F$93,IF($C$6="Multi",F94,"-"))</f>
        <v>#DIV/0!</v>
      </c>
      <c r="G96" s="639"/>
    </row>
    <row r="100" spans="4:10" x14ac:dyDescent="0.25">
      <c r="D100" s="794" t="s">
        <v>1526</v>
      </c>
      <c r="E100" s="794"/>
      <c r="F100" s="794"/>
      <c r="G100" s="794"/>
      <c r="H100" s="794"/>
      <c r="I100" s="794"/>
      <c r="J100" s="794"/>
    </row>
    <row r="101" spans="4:10" x14ac:dyDescent="0.25">
      <c r="D101" s="195" t="s">
        <v>1698</v>
      </c>
      <c r="E101" s="195" t="s">
        <v>1697</v>
      </c>
      <c r="F101" s="195" t="s">
        <v>1696</v>
      </c>
      <c r="G101" s="195" t="s">
        <v>1695</v>
      </c>
      <c r="H101" s="195" t="s">
        <v>1694</v>
      </c>
      <c r="I101" s="195" t="s">
        <v>1693</v>
      </c>
      <c r="J101" s="195" t="s">
        <v>1692</v>
      </c>
    </row>
    <row r="102" spans="4:10" x14ac:dyDescent="0.25">
      <c r="D102" s="193" t="s">
        <v>1691</v>
      </c>
      <c r="E102" s="193" t="s">
        <v>2</v>
      </c>
      <c r="F102" s="193" t="s">
        <v>2</v>
      </c>
      <c r="G102" s="193" t="s">
        <v>2</v>
      </c>
      <c r="H102" s="193" t="s">
        <v>2</v>
      </c>
      <c r="I102" s="193" t="s">
        <v>2</v>
      </c>
      <c r="J102" s="193" t="s">
        <v>2</v>
      </c>
    </row>
    <row r="103" spans="4:10" x14ac:dyDescent="0.25">
      <c r="D103" s="193" t="s">
        <v>1690</v>
      </c>
      <c r="E103" s="193" t="s">
        <v>2</v>
      </c>
      <c r="F103" s="193" t="s">
        <v>2</v>
      </c>
      <c r="G103" s="193" t="s">
        <v>2</v>
      </c>
      <c r="H103" s="193" t="s">
        <v>2</v>
      </c>
      <c r="I103" s="193" t="s">
        <v>2</v>
      </c>
      <c r="J103" s="193" t="s">
        <v>2</v>
      </c>
    </row>
    <row r="104" spans="4:10" x14ac:dyDescent="0.25">
      <c r="D104" s="193" t="s">
        <v>1689</v>
      </c>
      <c r="E104" s="193" t="s">
        <v>2</v>
      </c>
      <c r="F104" s="193" t="s">
        <v>2</v>
      </c>
      <c r="G104" s="193" t="s">
        <v>2</v>
      </c>
      <c r="H104" s="193" t="s">
        <v>2</v>
      </c>
      <c r="I104" s="193" t="s">
        <v>2</v>
      </c>
      <c r="J104" s="193" t="s">
        <v>2</v>
      </c>
    </row>
    <row r="105" spans="4:10" x14ac:dyDescent="0.25">
      <c r="D105" s="193" t="s">
        <v>1688</v>
      </c>
      <c r="E105" s="192" t="s">
        <v>2</v>
      </c>
      <c r="F105" s="192" t="s">
        <v>2</v>
      </c>
      <c r="G105" s="192" t="s">
        <v>2</v>
      </c>
      <c r="H105" s="192" t="s">
        <v>2</v>
      </c>
      <c r="I105" s="192" t="s">
        <v>2</v>
      </c>
      <c r="J105" s="192" t="s">
        <v>2</v>
      </c>
    </row>
    <row r="106" spans="4:10" x14ac:dyDescent="0.25">
      <c r="D106" s="193" t="s">
        <v>1687</v>
      </c>
      <c r="E106" s="192" t="s">
        <v>2</v>
      </c>
      <c r="F106" s="192" t="s">
        <v>2</v>
      </c>
      <c r="G106" s="192" t="s">
        <v>2</v>
      </c>
      <c r="H106" s="192" t="s">
        <v>2</v>
      </c>
      <c r="I106" s="192" t="s">
        <v>2</v>
      </c>
      <c r="J106" s="192" t="s">
        <v>2</v>
      </c>
    </row>
    <row r="107" spans="4:10" x14ac:dyDescent="0.25">
      <c r="D107" s="193" t="s">
        <v>1686</v>
      </c>
      <c r="E107" s="192">
        <v>0.65</v>
      </c>
      <c r="F107" s="192">
        <v>0.65</v>
      </c>
      <c r="G107" s="192">
        <v>0.65</v>
      </c>
      <c r="H107" s="192">
        <v>0.65</v>
      </c>
      <c r="I107" s="192">
        <v>0.65</v>
      </c>
      <c r="J107" s="192">
        <v>0.6</v>
      </c>
    </row>
    <row r="108" spans="4:10" x14ac:dyDescent="0.25">
      <c r="D108" s="193" t="s">
        <v>1476</v>
      </c>
      <c r="E108" s="192">
        <v>0.7</v>
      </c>
      <c r="F108" s="192">
        <v>0.7</v>
      </c>
      <c r="G108" s="192">
        <v>0.7</v>
      </c>
      <c r="H108" s="192">
        <v>0.7</v>
      </c>
      <c r="I108" s="192">
        <v>0.7</v>
      </c>
      <c r="J108" s="192">
        <v>0.65</v>
      </c>
    </row>
    <row r="109" spans="4:10" x14ac:dyDescent="0.25">
      <c r="D109" s="193" t="s">
        <v>1685</v>
      </c>
      <c r="E109" s="192">
        <v>0.7</v>
      </c>
      <c r="F109" s="192">
        <v>0.75</v>
      </c>
      <c r="G109" s="192">
        <v>0.7</v>
      </c>
      <c r="H109" s="192">
        <v>0.75</v>
      </c>
      <c r="I109" s="192">
        <v>0.7</v>
      </c>
      <c r="J109" s="192">
        <v>0.65</v>
      </c>
    </row>
    <row r="110" spans="4:10" x14ac:dyDescent="0.25">
      <c r="D110" s="193" t="s">
        <v>1684</v>
      </c>
      <c r="E110" s="192">
        <v>0.75</v>
      </c>
      <c r="F110" s="192">
        <v>0.75</v>
      </c>
      <c r="G110" s="192">
        <v>0.75</v>
      </c>
      <c r="H110" s="192">
        <v>0.75</v>
      </c>
      <c r="I110" s="192">
        <v>0.75</v>
      </c>
      <c r="J110" s="192">
        <v>0.7</v>
      </c>
    </row>
    <row r="111" spans="4:10" x14ac:dyDescent="0.25">
      <c r="D111" s="193" t="s">
        <v>1683</v>
      </c>
      <c r="E111" s="194">
        <v>0.8</v>
      </c>
      <c r="F111" s="194">
        <v>0.8</v>
      </c>
      <c r="G111" s="194">
        <v>0.8</v>
      </c>
      <c r="H111" s="194">
        <v>0.8</v>
      </c>
      <c r="I111" s="194">
        <v>0.8</v>
      </c>
      <c r="J111" s="194">
        <v>0.75</v>
      </c>
    </row>
    <row r="112" spans="4:10" x14ac:dyDescent="0.25">
      <c r="D112" s="193" t="s">
        <v>1682</v>
      </c>
      <c r="E112" s="194">
        <v>0.8</v>
      </c>
      <c r="F112" s="194">
        <v>0.8</v>
      </c>
      <c r="G112" s="194">
        <v>0.8</v>
      </c>
      <c r="H112" s="194">
        <v>0.8</v>
      </c>
      <c r="I112" s="194">
        <v>0.8</v>
      </c>
      <c r="J112" s="194">
        <v>0.75</v>
      </c>
    </row>
    <row r="113" spans="4:10" x14ac:dyDescent="0.25">
      <c r="D113" s="193" t="s">
        <v>1681</v>
      </c>
      <c r="E113" s="194">
        <v>0.8</v>
      </c>
      <c r="F113" s="194">
        <v>0.8</v>
      </c>
      <c r="G113" s="194">
        <v>0.8</v>
      </c>
      <c r="H113" s="194">
        <v>0.8</v>
      </c>
      <c r="I113" s="194">
        <v>0.8</v>
      </c>
      <c r="J113" s="194">
        <v>0.75</v>
      </c>
    </row>
    <row r="114" spans="4:10" x14ac:dyDescent="0.25">
      <c r="D114" s="193" t="s">
        <v>1680</v>
      </c>
      <c r="E114" s="194">
        <v>0.8</v>
      </c>
      <c r="F114" s="194">
        <v>0.8</v>
      </c>
      <c r="G114" s="194">
        <v>0.8</v>
      </c>
      <c r="H114" s="194">
        <v>0.8</v>
      </c>
      <c r="I114" s="194">
        <v>0.8</v>
      </c>
      <c r="J114" s="194">
        <v>0.75</v>
      </c>
    </row>
    <row r="115" spans="4:10" x14ac:dyDescent="0.25">
      <c r="D115" s="193" t="s">
        <v>1679</v>
      </c>
      <c r="E115" s="192">
        <v>0.65</v>
      </c>
      <c r="F115" s="192">
        <v>0.65</v>
      </c>
      <c r="G115" s="192">
        <v>0.65</v>
      </c>
      <c r="H115" s="192">
        <v>0.65</v>
      </c>
      <c r="I115" s="192">
        <v>0.65</v>
      </c>
      <c r="J115" s="192">
        <v>0.6</v>
      </c>
    </row>
    <row r="117" spans="4:10" x14ac:dyDescent="0.25">
      <c r="D117" s="794" t="s">
        <v>1699</v>
      </c>
      <c r="E117" s="794"/>
      <c r="F117" s="794"/>
      <c r="G117" s="794"/>
      <c r="H117" s="794"/>
      <c r="I117" s="794"/>
      <c r="J117" s="794"/>
    </row>
    <row r="118" spans="4:10" x14ac:dyDescent="0.25">
      <c r="D118" s="195" t="s">
        <v>1698</v>
      </c>
      <c r="E118" s="195" t="s">
        <v>1697</v>
      </c>
      <c r="F118" s="195" t="s">
        <v>1696</v>
      </c>
      <c r="G118" s="195" t="s">
        <v>1695</v>
      </c>
      <c r="H118" s="195" t="s">
        <v>1694</v>
      </c>
      <c r="I118" s="195" t="s">
        <v>1693</v>
      </c>
      <c r="J118" s="195" t="s">
        <v>1692</v>
      </c>
    </row>
    <row r="119" spans="4:10" x14ac:dyDescent="0.25">
      <c r="D119" s="193" t="s">
        <v>1691</v>
      </c>
      <c r="E119" s="193" t="str">
        <f t="shared" ref="E119:J127" si="117">IF(E102="-","-",IF($C$4="LTR",E102,IF($C$4="STR",E102-5%)))</f>
        <v>-</v>
      </c>
      <c r="F119" s="193" t="str">
        <f t="shared" si="117"/>
        <v>-</v>
      </c>
      <c r="G119" s="193" t="str">
        <f t="shared" si="117"/>
        <v>-</v>
      </c>
      <c r="H119" s="193" t="str">
        <f t="shared" si="117"/>
        <v>-</v>
      </c>
      <c r="I119" s="193" t="str">
        <f t="shared" si="117"/>
        <v>-</v>
      </c>
      <c r="J119" s="193" t="str">
        <f t="shared" si="117"/>
        <v>-</v>
      </c>
    </row>
    <row r="120" spans="4:10" x14ac:dyDescent="0.25">
      <c r="D120" s="193" t="s">
        <v>1690</v>
      </c>
      <c r="E120" s="193" t="str">
        <f t="shared" si="117"/>
        <v>-</v>
      </c>
      <c r="F120" s="193" t="str">
        <f t="shared" si="117"/>
        <v>-</v>
      </c>
      <c r="G120" s="193" t="str">
        <f t="shared" si="117"/>
        <v>-</v>
      </c>
      <c r="H120" s="193" t="str">
        <f t="shared" si="117"/>
        <v>-</v>
      </c>
      <c r="I120" s="193" t="str">
        <f t="shared" si="117"/>
        <v>-</v>
      </c>
      <c r="J120" s="193" t="str">
        <f t="shared" si="117"/>
        <v>-</v>
      </c>
    </row>
    <row r="121" spans="4:10" x14ac:dyDescent="0.25">
      <c r="D121" s="193" t="s">
        <v>1689</v>
      </c>
      <c r="E121" s="193" t="str">
        <f t="shared" si="117"/>
        <v>-</v>
      </c>
      <c r="F121" s="193" t="str">
        <f t="shared" si="117"/>
        <v>-</v>
      </c>
      <c r="G121" s="193" t="str">
        <f t="shared" si="117"/>
        <v>-</v>
      </c>
      <c r="H121" s="193" t="str">
        <f t="shared" si="117"/>
        <v>-</v>
      </c>
      <c r="I121" s="193" t="str">
        <f t="shared" si="117"/>
        <v>-</v>
      </c>
      <c r="J121" s="193" t="str">
        <f t="shared" si="117"/>
        <v>-</v>
      </c>
    </row>
    <row r="122" spans="4:10" x14ac:dyDescent="0.25">
      <c r="D122" s="193" t="s">
        <v>1688</v>
      </c>
      <c r="E122" s="192" t="str">
        <f t="shared" si="117"/>
        <v>-</v>
      </c>
      <c r="F122" s="192" t="str">
        <f t="shared" si="117"/>
        <v>-</v>
      </c>
      <c r="G122" s="192" t="str">
        <f t="shared" si="117"/>
        <v>-</v>
      </c>
      <c r="H122" s="192" t="str">
        <f t="shared" si="117"/>
        <v>-</v>
      </c>
      <c r="I122" s="192" t="str">
        <f t="shared" si="117"/>
        <v>-</v>
      </c>
      <c r="J122" s="192" t="str">
        <f t="shared" si="117"/>
        <v>-</v>
      </c>
    </row>
    <row r="123" spans="4:10" x14ac:dyDescent="0.25">
      <c r="D123" s="193" t="s">
        <v>1687</v>
      </c>
      <c r="E123" s="192" t="str">
        <f t="shared" si="117"/>
        <v>-</v>
      </c>
      <c r="F123" s="192" t="str">
        <f t="shared" si="117"/>
        <v>-</v>
      </c>
      <c r="G123" s="192" t="str">
        <f t="shared" si="117"/>
        <v>-</v>
      </c>
      <c r="H123" s="192" t="str">
        <f t="shared" si="117"/>
        <v>-</v>
      </c>
      <c r="I123" s="192" t="str">
        <f t="shared" si="117"/>
        <v>-</v>
      </c>
      <c r="J123" s="192" t="str">
        <f t="shared" si="117"/>
        <v>-</v>
      </c>
    </row>
    <row r="124" spans="4:10" x14ac:dyDescent="0.25">
      <c r="D124" s="193" t="s">
        <v>1686</v>
      </c>
      <c r="E124" s="192">
        <f t="shared" si="117"/>
        <v>0.65</v>
      </c>
      <c r="F124" s="192">
        <f t="shared" si="117"/>
        <v>0.65</v>
      </c>
      <c r="G124" s="192">
        <f t="shared" si="117"/>
        <v>0.65</v>
      </c>
      <c r="H124" s="192">
        <f t="shared" si="117"/>
        <v>0.65</v>
      </c>
      <c r="I124" s="192">
        <f t="shared" si="117"/>
        <v>0.65</v>
      </c>
      <c r="J124" s="192">
        <f t="shared" si="117"/>
        <v>0.6</v>
      </c>
    </row>
    <row r="125" spans="4:10" x14ac:dyDescent="0.25">
      <c r="D125" s="193" t="s">
        <v>1476</v>
      </c>
      <c r="E125" s="192">
        <f t="shared" si="117"/>
        <v>0.7</v>
      </c>
      <c r="F125" s="192">
        <f t="shared" si="117"/>
        <v>0.7</v>
      </c>
      <c r="G125" s="192">
        <f t="shared" si="117"/>
        <v>0.7</v>
      </c>
      <c r="H125" s="192">
        <f t="shared" si="117"/>
        <v>0.7</v>
      </c>
      <c r="I125" s="192">
        <f t="shared" si="117"/>
        <v>0.7</v>
      </c>
      <c r="J125" s="192">
        <f t="shared" si="117"/>
        <v>0.65</v>
      </c>
    </row>
    <row r="126" spans="4:10" x14ac:dyDescent="0.25">
      <c r="D126" s="193" t="s">
        <v>1685</v>
      </c>
      <c r="E126" s="192">
        <f t="shared" si="117"/>
        <v>0.7</v>
      </c>
      <c r="F126" s="192">
        <f t="shared" si="117"/>
        <v>0.75</v>
      </c>
      <c r="G126" s="192">
        <f t="shared" si="117"/>
        <v>0.7</v>
      </c>
      <c r="H126" s="192">
        <f t="shared" si="117"/>
        <v>0.75</v>
      </c>
      <c r="I126" s="192">
        <f t="shared" si="117"/>
        <v>0.7</v>
      </c>
      <c r="J126" s="192">
        <f t="shared" si="117"/>
        <v>0.65</v>
      </c>
    </row>
    <row r="127" spans="4:10" x14ac:dyDescent="0.25">
      <c r="D127" s="193" t="s">
        <v>1684</v>
      </c>
      <c r="E127" s="192">
        <f t="shared" si="117"/>
        <v>0.75</v>
      </c>
      <c r="F127" s="192">
        <f t="shared" si="117"/>
        <v>0.75</v>
      </c>
      <c r="G127" s="192">
        <f t="shared" si="117"/>
        <v>0.75</v>
      </c>
      <c r="H127" s="192">
        <f t="shared" si="117"/>
        <v>0.75</v>
      </c>
      <c r="I127" s="192">
        <f t="shared" si="117"/>
        <v>0.75</v>
      </c>
      <c r="J127" s="192">
        <f t="shared" si="117"/>
        <v>0.7</v>
      </c>
    </row>
    <row r="128" spans="4:10" x14ac:dyDescent="0.25">
      <c r="D128" s="193" t="s">
        <v>1683</v>
      </c>
      <c r="E128" s="194">
        <f t="shared" ref="E128:J131" si="118">IF(E111="-","-",IF($C$4="LTR",E111,IF($C$4="STR",E111-10%)))</f>
        <v>0.8</v>
      </c>
      <c r="F128" s="194">
        <f t="shared" si="118"/>
        <v>0.8</v>
      </c>
      <c r="G128" s="194">
        <f t="shared" si="118"/>
        <v>0.8</v>
      </c>
      <c r="H128" s="194">
        <f t="shared" si="118"/>
        <v>0.8</v>
      </c>
      <c r="I128" s="194">
        <f t="shared" si="118"/>
        <v>0.8</v>
      </c>
      <c r="J128" s="194">
        <f t="shared" si="118"/>
        <v>0.75</v>
      </c>
    </row>
    <row r="129" spans="4:10" x14ac:dyDescent="0.25">
      <c r="D129" s="193" t="s">
        <v>1682</v>
      </c>
      <c r="E129" s="194">
        <f t="shared" si="118"/>
        <v>0.8</v>
      </c>
      <c r="F129" s="194">
        <f t="shared" si="118"/>
        <v>0.8</v>
      </c>
      <c r="G129" s="194">
        <f t="shared" si="118"/>
        <v>0.8</v>
      </c>
      <c r="H129" s="194">
        <f t="shared" si="118"/>
        <v>0.8</v>
      </c>
      <c r="I129" s="194">
        <f t="shared" si="118"/>
        <v>0.8</v>
      </c>
      <c r="J129" s="194">
        <f t="shared" si="118"/>
        <v>0.75</v>
      </c>
    </row>
    <row r="130" spans="4:10" x14ac:dyDescent="0.25">
      <c r="D130" s="193" t="s">
        <v>1681</v>
      </c>
      <c r="E130" s="194">
        <f t="shared" si="118"/>
        <v>0.8</v>
      </c>
      <c r="F130" s="194">
        <f t="shared" si="118"/>
        <v>0.8</v>
      </c>
      <c r="G130" s="194">
        <f t="shared" si="118"/>
        <v>0.8</v>
      </c>
      <c r="H130" s="194">
        <f t="shared" si="118"/>
        <v>0.8</v>
      </c>
      <c r="I130" s="194">
        <f t="shared" si="118"/>
        <v>0.8</v>
      </c>
      <c r="J130" s="194">
        <f t="shared" si="118"/>
        <v>0.75</v>
      </c>
    </row>
    <row r="131" spans="4:10" x14ac:dyDescent="0.25">
      <c r="D131" s="193" t="s">
        <v>1680</v>
      </c>
      <c r="E131" s="194">
        <f t="shared" si="118"/>
        <v>0.8</v>
      </c>
      <c r="F131" s="194">
        <f t="shared" si="118"/>
        <v>0.8</v>
      </c>
      <c r="G131" s="194">
        <f t="shared" si="118"/>
        <v>0.8</v>
      </c>
      <c r="H131" s="194">
        <f t="shared" si="118"/>
        <v>0.8</v>
      </c>
      <c r="I131" s="194">
        <f t="shared" si="118"/>
        <v>0.8</v>
      </c>
      <c r="J131" s="194">
        <f t="shared" si="118"/>
        <v>0.75</v>
      </c>
    </row>
    <row r="132" spans="4:10" x14ac:dyDescent="0.25">
      <c r="D132" s="193" t="s">
        <v>1679</v>
      </c>
      <c r="E132" s="192">
        <f t="shared" ref="E132:J132" si="119">IF(E115="-","-",IF($C$4="LTR",E115,IF($C$4="STR",E115-5%)))</f>
        <v>0.65</v>
      </c>
      <c r="F132" s="192">
        <f t="shared" si="119"/>
        <v>0.65</v>
      </c>
      <c r="G132" s="192">
        <f t="shared" si="119"/>
        <v>0.65</v>
      </c>
      <c r="H132" s="192">
        <f t="shared" si="119"/>
        <v>0.65</v>
      </c>
      <c r="I132" s="192">
        <f t="shared" si="119"/>
        <v>0.65</v>
      </c>
      <c r="J132" s="192">
        <f t="shared" si="119"/>
        <v>0.6</v>
      </c>
    </row>
  </sheetData>
  <sheetProtection algorithmName="SHA-512" hashValue="D9WTQlpDdgqyDPmYQWd6LFBfTbfeH3ykfr734kGdw4CRvuz2NGTAMd9EYAIqbjAmdFKWv8X7UiqQc7U10GWfrA==" saltValue="zHcdsIYq0yX+keh+U0YLSw==" spinCount="100000" sheet="1" objects="1" scenarios="1" selectLockedCells="1" selectUnlockedCells="1"/>
  <mergeCells count="200">
    <mergeCell ref="CM2:CM3"/>
    <mergeCell ref="CN2:CN3"/>
    <mergeCell ref="CO24:CO25"/>
    <mergeCell ref="CK24:CL24"/>
    <mergeCell ref="CM24:CM25"/>
    <mergeCell ref="CN24:CN25"/>
    <mergeCell ref="CO2:CO3"/>
    <mergeCell ref="B2:C2"/>
    <mergeCell ref="D2:J2"/>
    <mergeCell ref="K2:L2"/>
    <mergeCell ref="BR2:BS2"/>
    <mergeCell ref="BY2:BZ2"/>
    <mergeCell ref="CA2:CB2"/>
    <mergeCell ref="CC2:CD2"/>
    <mergeCell ref="CE2:CH2"/>
    <mergeCell ref="CK2:CL2"/>
    <mergeCell ref="D21:J21"/>
    <mergeCell ref="K21:L21"/>
    <mergeCell ref="BR24:BS24"/>
    <mergeCell ref="BY24:BZ24"/>
    <mergeCell ref="CA24:CB24"/>
    <mergeCell ref="CC24:CD24"/>
    <mergeCell ref="S43:U43"/>
    <mergeCell ref="V43:X43"/>
    <mergeCell ref="CE24:CH24"/>
    <mergeCell ref="S44:U44"/>
    <mergeCell ref="V44:X44"/>
    <mergeCell ref="B45:C45"/>
    <mergeCell ref="D45:F45"/>
    <mergeCell ref="G45:I45"/>
    <mergeCell ref="J45:L45"/>
    <mergeCell ref="M45:O45"/>
    <mergeCell ref="B43:C43"/>
    <mergeCell ref="D43:F43"/>
    <mergeCell ref="G43:I43"/>
    <mergeCell ref="J43:L43"/>
    <mergeCell ref="M43:O43"/>
    <mergeCell ref="P43:R43"/>
    <mergeCell ref="P45:R45"/>
    <mergeCell ref="S45:U45"/>
    <mergeCell ref="V45:X45"/>
    <mergeCell ref="B44:C44"/>
    <mergeCell ref="D44:F44"/>
    <mergeCell ref="G44:I44"/>
    <mergeCell ref="J44:L44"/>
    <mergeCell ref="M44:O44"/>
    <mergeCell ref="B50:C50"/>
    <mergeCell ref="P44:R44"/>
    <mergeCell ref="S46:U46"/>
    <mergeCell ref="V46:X46"/>
    <mergeCell ref="B47:C47"/>
    <mergeCell ref="D47:F47"/>
    <mergeCell ref="G47:I47"/>
    <mergeCell ref="J47:L47"/>
    <mergeCell ref="M47:O47"/>
    <mergeCell ref="P47:R47"/>
    <mergeCell ref="S47:U47"/>
    <mergeCell ref="V47:X47"/>
    <mergeCell ref="B46:C46"/>
    <mergeCell ref="D46:F46"/>
    <mergeCell ref="G46:I46"/>
    <mergeCell ref="J46:L46"/>
    <mergeCell ref="M46:O46"/>
    <mergeCell ref="P46:R46"/>
    <mergeCell ref="P48:R48"/>
    <mergeCell ref="S48:U48"/>
    <mergeCell ref="V48:X48"/>
    <mergeCell ref="B49:C49"/>
    <mergeCell ref="D49:F49"/>
    <mergeCell ref="G49:I49"/>
    <mergeCell ref="J49:L49"/>
    <mergeCell ref="M49:O49"/>
    <mergeCell ref="P49:R49"/>
    <mergeCell ref="S49:U49"/>
    <mergeCell ref="V49:X49"/>
    <mergeCell ref="B48:C48"/>
    <mergeCell ref="D48:F48"/>
    <mergeCell ref="G48:I48"/>
    <mergeCell ref="J48:L48"/>
    <mergeCell ref="M48:O48"/>
    <mergeCell ref="B51:C51"/>
    <mergeCell ref="D51:F51"/>
    <mergeCell ref="G51:I51"/>
    <mergeCell ref="J51:L51"/>
    <mergeCell ref="M51:O51"/>
    <mergeCell ref="P53:R53"/>
    <mergeCell ref="S53:U53"/>
    <mergeCell ref="V53:X53"/>
    <mergeCell ref="P51:R51"/>
    <mergeCell ref="P54:R54"/>
    <mergeCell ref="S54:U54"/>
    <mergeCell ref="V54:X54"/>
    <mergeCell ref="D50:F50"/>
    <mergeCell ref="G50:I50"/>
    <mergeCell ref="J50:L50"/>
    <mergeCell ref="M50:O50"/>
    <mergeCell ref="S51:U51"/>
    <mergeCell ref="V51:X51"/>
    <mergeCell ref="P50:R50"/>
    <mergeCell ref="S50:U50"/>
    <mergeCell ref="V50:X50"/>
    <mergeCell ref="B54:C54"/>
    <mergeCell ref="D54:F54"/>
    <mergeCell ref="G54:I54"/>
    <mergeCell ref="J54:L54"/>
    <mergeCell ref="M54:O54"/>
    <mergeCell ref="B52:C52"/>
    <mergeCell ref="B53:C53"/>
    <mergeCell ref="D53:F53"/>
    <mergeCell ref="G53:I53"/>
    <mergeCell ref="J53:L53"/>
    <mergeCell ref="M53:O53"/>
    <mergeCell ref="S57:U57"/>
    <mergeCell ref="V57:X57"/>
    <mergeCell ref="V55:X55"/>
    <mergeCell ref="B56:C56"/>
    <mergeCell ref="D56:F56"/>
    <mergeCell ref="G56:I56"/>
    <mergeCell ref="J56:L56"/>
    <mergeCell ref="M56:O56"/>
    <mergeCell ref="P56:R56"/>
    <mergeCell ref="S56:U56"/>
    <mergeCell ref="V56:X56"/>
    <mergeCell ref="B55:C55"/>
    <mergeCell ref="D55:F55"/>
    <mergeCell ref="G55:I55"/>
    <mergeCell ref="J55:L55"/>
    <mergeCell ref="M55:O55"/>
    <mergeCell ref="P55:R55"/>
    <mergeCell ref="S55:U55"/>
    <mergeCell ref="J59:L59"/>
    <mergeCell ref="M59:O59"/>
    <mergeCell ref="P60:R60"/>
    <mergeCell ref="B57:C57"/>
    <mergeCell ref="D57:F57"/>
    <mergeCell ref="G57:I57"/>
    <mergeCell ref="J57:L57"/>
    <mergeCell ref="M57:O57"/>
    <mergeCell ref="P57:R57"/>
    <mergeCell ref="V61:X61"/>
    <mergeCell ref="F93:G93"/>
    <mergeCell ref="P61:R61"/>
    <mergeCell ref="S58:U58"/>
    <mergeCell ref="V58:X58"/>
    <mergeCell ref="P59:R59"/>
    <mergeCell ref="S59:U59"/>
    <mergeCell ref="V59:X59"/>
    <mergeCell ref="B60:C60"/>
    <mergeCell ref="D60:F60"/>
    <mergeCell ref="G60:I60"/>
    <mergeCell ref="J60:L60"/>
    <mergeCell ref="M60:O60"/>
    <mergeCell ref="B58:C58"/>
    <mergeCell ref="D58:F58"/>
    <mergeCell ref="G58:I58"/>
    <mergeCell ref="J58:L58"/>
    <mergeCell ref="M58:O58"/>
    <mergeCell ref="P58:R58"/>
    <mergeCell ref="S60:U60"/>
    <mergeCell ref="V60:X60"/>
    <mergeCell ref="B59:C59"/>
    <mergeCell ref="D59:F59"/>
    <mergeCell ref="G59:I59"/>
    <mergeCell ref="B64:C64"/>
    <mergeCell ref="B63:C63"/>
    <mergeCell ref="A90:B90"/>
    <mergeCell ref="F92:G92"/>
    <mergeCell ref="F94:G94"/>
    <mergeCell ref="S61:U61"/>
    <mergeCell ref="S63:U63"/>
    <mergeCell ref="M62:O62"/>
    <mergeCell ref="P62:R62"/>
    <mergeCell ref="B61:C61"/>
    <mergeCell ref="D61:F61"/>
    <mergeCell ref="G61:I61"/>
    <mergeCell ref="J61:L61"/>
    <mergeCell ref="M61:O61"/>
    <mergeCell ref="B62:C62"/>
    <mergeCell ref="D62:F62"/>
    <mergeCell ref="G62:I62"/>
    <mergeCell ref="J62:L62"/>
    <mergeCell ref="D117:J117"/>
    <mergeCell ref="S64:U64"/>
    <mergeCell ref="V64:X64"/>
    <mergeCell ref="E86:G86"/>
    <mergeCell ref="J64:L64"/>
    <mergeCell ref="M64:O64"/>
    <mergeCell ref="P64:R64"/>
    <mergeCell ref="D100:J100"/>
    <mergeCell ref="S62:U62"/>
    <mergeCell ref="D64:F64"/>
    <mergeCell ref="G64:I64"/>
    <mergeCell ref="V63:X63"/>
    <mergeCell ref="V62:X62"/>
    <mergeCell ref="M63:O63"/>
    <mergeCell ref="P63:R63"/>
    <mergeCell ref="D63:F63"/>
    <mergeCell ref="G63:I63"/>
    <mergeCell ref="J63:L63"/>
    <mergeCell ref="F96:G96"/>
  </mergeCell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D5766-54AF-4DE3-92AD-6BEB397618AA}">
  <sheetPr codeName="Sheet14">
    <tabColor rgb="FF7D93AB"/>
  </sheetPr>
  <dimension ref="A1:AT126"/>
  <sheetViews>
    <sheetView topLeftCell="AU1" zoomScale="70" zoomScaleNormal="70" workbookViewId="0">
      <selection sqref="A1:AT1048576"/>
    </sheetView>
  </sheetViews>
  <sheetFormatPr defaultColWidth="9.140625" defaultRowHeight="15.75" x14ac:dyDescent="0.25"/>
  <cols>
    <col min="1" max="2" width="9.140625" style="51" hidden="1" customWidth="1"/>
    <col min="3" max="11" width="11" style="51" hidden="1" customWidth="1"/>
    <col min="12" max="12" width="9.140625" style="51" hidden="1" customWidth="1"/>
    <col min="13" max="13" width="25.28515625" style="56" hidden="1" customWidth="1"/>
    <col min="14" max="22" width="12.28515625" style="56" hidden="1" customWidth="1"/>
    <col min="23" max="23" width="9.140625" style="56" hidden="1" customWidth="1"/>
    <col min="24" max="24" width="25.28515625" style="56" hidden="1" customWidth="1"/>
    <col min="25" max="31" width="10.28515625" style="56" hidden="1" customWidth="1"/>
    <col min="32" max="33" width="6.28515625" style="56" hidden="1" customWidth="1"/>
    <col min="34" max="35" width="9.140625" style="51" hidden="1" customWidth="1"/>
    <col min="36" max="45" width="10.42578125" style="51" hidden="1" customWidth="1"/>
    <col min="46" max="46" width="9.140625" style="51" hidden="1" customWidth="1"/>
    <col min="47" max="47" width="9.140625" style="51" customWidth="1"/>
    <col min="48" max="16384" width="9.140625" style="51"/>
  </cols>
  <sheetData>
    <row r="1" spans="1:45" x14ac:dyDescent="0.25">
      <c r="A1" s="806">
        <v>3</v>
      </c>
      <c r="B1" s="794" t="s">
        <v>1872</v>
      </c>
      <c r="C1" s="794"/>
      <c r="D1" s="794"/>
      <c r="E1" s="794"/>
      <c r="F1" s="794"/>
      <c r="G1" s="794"/>
      <c r="H1" s="794"/>
      <c r="I1" s="794"/>
      <c r="J1" s="794"/>
      <c r="K1" s="794"/>
      <c r="M1" s="246" t="s">
        <v>1874</v>
      </c>
      <c r="N1" s="246" t="s">
        <v>1640</v>
      </c>
      <c r="O1" s="246" t="s">
        <v>1639</v>
      </c>
      <c r="P1" s="246" t="s">
        <v>1638</v>
      </c>
      <c r="Q1" s="246" t="s">
        <v>1637</v>
      </c>
      <c r="R1" s="246" t="s">
        <v>1636</v>
      </c>
      <c r="S1" s="246" t="s">
        <v>1635</v>
      </c>
      <c r="T1" s="246" t="s">
        <v>1634</v>
      </c>
      <c r="U1" s="246" t="s">
        <v>1841</v>
      </c>
      <c r="V1" s="246" t="s">
        <v>1840</v>
      </c>
      <c r="X1" s="246" t="s">
        <v>1873</v>
      </c>
      <c r="Y1" s="246" t="s">
        <v>1640</v>
      </c>
      <c r="Z1" s="246" t="s">
        <v>1639</v>
      </c>
      <c r="AA1" s="246" t="s">
        <v>1638</v>
      </c>
      <c r="AB1" s="246" t="s">
        <v>1637</v>
      </c>
      <c r="AC1" s="246" t="s">
        <v>1636</v>
      </c>
      <c r="AD1" s="246" t="s">
        <v>1635</v>
      </c>
      <c r="AE1" s="246" t="s">
        <v>1634</v>
      </c>
      <c r="AF1" s="246" t="s">
        <v>1841</v>
      </c>
      <c r="AG1" s="246" t="s">
        <v>1840</v>
      </c>
      <c r="AJ1" s="794" t="s">
        <v>1962</v>
      </c>
      <c r="AK1" s="794"/>
      <c r="AL1" s="794"/>
      <c r="AM1" s="794"/>
      <c r="AN1" s="794"/>
      <c r="AO1" s="794"/>
      <c r="AP1" s="794"/>
      <c r="AQ1" s="794"/>
      <c r="AR1" s="794"/>
      <c r="AS1" s="794"/>
    </row>
    <row r="2" spans="1:45" x14ac:dyDescent="0.25">
      <c r="A2" s="806"/>
      <c r="B2" s="244">
        <v>104</v>
      </c>
      <c r="C2" s="195" t="s">
        <v>1640</v>
      </c>
      <c r="D2" s="195" t="s">
        <v>1639</v>
      </c>
      <c r="E2" s="195" t="s">
        <v>1638</v>
      </c>
      <c r="F2" s="195" t="s">
        <v>1637</v>
      </c>
      <c r="G2" s="195" t="s">
        <v>1636</v>
      </c>
      <c r="H2" s="195" t="s">
        <v>1635</v>
      </c>
      <c r="I2" s="195" t="s">
        <v>1634</v>
      </c>
      <c r="J2" s="195" t="s">
        <v>1841</v>
      </c>
      <c r="K2" s="195" t="s">
        <v>1840</v>
      </c>
      <c r="M2" s="804" t="s">
        <v>90</v>
      </c>
      <c r="N2" s="804"/>
      <c r="O2" s="804"/>
      <c r="P2" s="804"/>
      <c r="Q2" s="804"/>
      <c r="R2" s="804"/>
      <c r="S2" s="804"/>
      <c r="T2" s="804"/>
      <c r="U2" s="804"/>
      <c r="V2" s="804"/>
      <c r="X2" s="805" t="s">
        <v>90</v>
      </c>
      <c r="Y2" s="805"/>
      <c r="Z2" s="805"/>
      <c r="AA2" s="805"/>
      <c r="AB2" s="805"/>
      <c r="AC2" s="805"/>
      <c r="AD2" s="805"/>
      <c r="AE2" s="805"/>
      <c r="AF2" s="805"/>
      <c r="AG2" s="805"/>
      <c r="AJ2" s="244">
        <v>104</v>
      </c>
      <c r="AK2" s="195" t="s">
        <v>1640</v>
      </c>
      <c r="AL2" s="195" t="s">
        <v>1639</v>
      </c>
      <c r="AM2" s="195" t="s">
        <v>1638</v>
      </c>
      <c r="AN2" s="195" t="s">
        <v>1637</v>
      </c>
      <c r="AO2" s="195" t="s">
        <v>1636</v>
      </c>
      <c r="AP2" s="195" t="s">
        <v>1635</v>
      </c>
      <c r="AQ2" s="195" t="s">
        <v>1634</v>
      </c>
      <c r="AR2" s="195" t="s">
        <v>1841</v>
      </c>
      <c r="AS2" s="195" t="s">
        <v>1840</v>
      </c>
    </row>
    <row r="3" spans="1:45" x14ac:dyDescent="0.25">
      <c r="A3" s="193"/>
      <c r="B3" s="193" t="s">
        <v>1691</v>
      </c>
      <c r="C3" s="237" t="str">
        <f t="shared" ref="C3:C16" si="0">AK21</f>
        <v>-</v>
      </c>
      <c r="D3" s="237" t="str">
        <f t="shared" ref="D3:D16" si="1">AL21</f>
        <v>-</v>
      </c>
      <c r="E3" s="237" t="str">
        <f t="shared" ref="E3:E16" si="2">AM21</f>
        <v>-</v>
      </c>
      <c r="F3" s="237" t="str">
        <f t="shared" ref="F3:F16" si="3">AN21</f>
        <v>-</v>
      </c>
      <c r="G3" s="237" t="str">
        <f t="shared" ref="G3:G16" si="4">AO21</f>
        <v>-</v>
      </c>
      <c r="H3" s="237" t="str">
        <f t="shared" ref="H3:H16" si="5">AP21</f>
        <v>-</v>
      </c>
      <c r="I3" s="237" t="str">
        <f t="shared" ref="I3:I16" si="6">AQ21</f>
        <v>-</v>
      </c>
      <c r="J3" s="237" t="str">
        <f t="shared" ref="J3:J16" si="7">AR21</f>
        <v>-</v>
      </c>
      <c r="K3" s="237" t="str">
        <f t="shared" ref="K3:K16" si="8">AS21</f>
        <v>-</v>
      </c>
      <c r="M3" s="237" t="s">
        <v>1597</v>
      </c>
      <c r="N3" s="237">
        <v>0</v>
      </c>
      <c r="O3" s="237">
        <v>0</v>
      </c>
      <c r="P3" s="237">
        <v>0</v>
      </c>
      <c r="Q3" s="237">
        <v>0</v>
      </c>
      <c r="R3" s="237">
        <v>0</v>
      </c>
      <c r="S3" s="237">
        <v>0</v>
      </c>
      <c r="T3" s="237">
        <v>0</v>
      </c>
      <c r="U3" s="237" t="s">
        <v>2</v>
      </c>
      <c r="V3" s="237" t="s">
        <v>2</v>
      </c>
      <c r="X3" s="236" t="s">
        <v>1871</v>
      </c>
      <c r="Y3" s="236">
        <v>0</v>
      </c>
      <c r="Z3" s="236">
        <v>0</v>
      </c>
      <c r="AA3" s="236">
        <v>0</v>
      </c>
      <c r="AB3" s="236">
        <v>0</v>
      </c>
      <c r="AC3" s="236">
        <v>0</v>
      </c>
      <c r="AD3" s="236">
        <v>0</v>
      </c>
      <c r="AE3" s="236">
        <v>0</v>
      </c>
      <c r="AF3" s="236" t="s">
        <v>2</v>
      </c>
      <c r="AG3" s="236" t="s">
        <v>2</v>
      </c>
      <c r="AJ3" s="193" t="s">
        <v>1691</v>
      </c>
      <c r="AK3" s="237" t="s">
        <v>2</v>
      </c>
      <c r="AL3" s="237" t="s">
        <v>2</v>
      </c>
      <c r="AM3" s="237" t="s">
        <v>2</v>
      </c>
      <c r="AN3" s="237" t="s">
        <v>2</v>
      </c>
      <c r="AO3" s="237" t="s">
        <v>2</v>
      </c>
      <c r="AP3" s="237" t="s">
        <v>2</v>
      </c>
      <c r="AQ3" s="237" t="s">
        <v>2</v>
      </c>
      <c r="AR3" s="237" t="s">
        <v>2</v>
      </c>
      <c r="AS3" s="237" t="s">
        <v>2</v>
      </c>
    </row>
    <row r="4" spans="1:45" x14ac:dyDescent="0.25">
      <c r="A4" s="193"/>
      <c r="B4" s="193" t="s">
        <v>1690</v>
      </c>
      <c r="C4" s="237" t="str">
        <f t="shared" si="0"/>
        <v>-</v>
      </c>
      <c r="D4" s="237" t="str">
        <f t="shared" si="1"/>
        <v>-</v>
      </c>
      <c r="E4" s="237" t="str">
        <f t="shared" si="2"/>
        <v>-</v>
      </c>
      <c r="F4" s="237" t="str">
        <f t="shared" si="3"/>
        <v>-</v>
      </c>
      <c r="G4" s="237" t="str">
        <f t="shared" si="4"/>
        <v>-</v>
      </c>
      <c r="H4" s="237" t="str">
        <f t="shared" si="5"/>
        <v>-</v>
      </c>
      <c r="I4" s="237" t="str">
        <f t="shared" si="6"/>
        <v>-</v>
      </c>
      <c r="J4" s="237" t="str">
        <f t="shared" si="7"/>
        <v>-</v>
      </c>
      <c r="K4" s="237" t="str">
        <f t="shared" si="8"/>
        <v>-</v>
      </c>
      <c r="M4" s="237" t="s">
        <v>189</v>
      </c>
      <c r="N4" s="237">
        <v>0</v>
      </c>
      <c r="O4" s="237">
        <v>0</v>
      </c>
      <c r="P4" s="237">
        <v>0</v>
      </c>
      <c r="Q4" s="237">
        <v>0</v>
      </c>
      <c r="R4" s="237">
        <v>0</v>
      </c>
      <c r="S4" s="237">
        <v>0</v>
      </c>
      <c r="T4" s="237">
        <v>0</v>
      </c>
      <c r="U4" s="237" t="s">
        <v>2</v>
      </c>
      <c r="V4" s="237" t="s">
        <v>2</v>
      </c>
      <c r="X4" s="236" t="s">
        <v>1870</v>
      </c>
      <c r="Y4" s="236">
        <v>0</v>
      </c>
      <c r="Z4" s="236">
        <v>0</v>
      </c>
      <c r="AA4" s="236">
        <v>0</v>
      </c>
      <c r="AB4" s="236">
        <v>0</v>
      </c>
      <c r="AC4" s="236">
        <v>0</v>
      </c>
      <c r="AD4" s="236">
        <v>0</v>
      </c>
      <c r="AE4" s="236">
        <v>0</v>
      </c>
      <c r="AF4" s="236" t="s">
        <v>2</v>
      </c>
      <c r="AG4" s="236" t="s">
        <v>2</v>
      </c>
      <c r="AJ4" s="193" t="s">
        <v>1690</v>
      </c>
      <c r="AK4" s="237" t="s">
        <v>2</v>
      </c>
      <c r="AL4" s="237" t="s">
        <v>2</v>
      </c>
      <c r="AM4" s="237" t="s">
        <v>2</v>
      </c>
      <c r="AN4" s="237" t="s">
        <v>2</v>
      </c>
      <c r="AO4" s="237" t="s">
        <v>2</v>
      </c>
      <c r="AP4" s="237" t="s">
        <v>2</v>
      </c>
      <c r="AQ4" s="237" t="s">
        <v>2</v>
      </c>
      <c r="AR4" s="237" t="s">
        <v>2</v>
      </c>
      <c r="AS4" s="237" t="s">
        <v>2</v>
      </c>
    </row>
    <row r="5" spans="1:45" x14ac:dyDescent="0.25">
      <c r="A5" s="193"/>
      <c r="B5" s="193" t="s">
        <v>1689</v>
      </c>
      <c r="C5" s="237" t="str">
        <f t="shared" si="0"/>
        <v>-</v>
      </c>
      <c r="D5" s="237" t="str">
        <f t="shared" si="1"/>
        <v>-</v>
      </c>
      <c r="E5" s="237" t="str">
        <f t="shared" si="2"/>
        <v>-</v>
      </c>
      <c r="F5" s="237" t="str">
        <f t="shared" si="3"/>
        <v>-</v>
      </c>
      <c r="G5" s="237" t="str">
        <f t="shared" si="4"/>
        <v>-</v>
      </c>
      <c r="H5" s="237" t="str">
        <f t="shared" si="5"/>
        <v>-</v>
      </c>
      <c r="I5" s="237" t="str">
        <f t="shared" si="6"/>
        <v>-</v>
      </c>
      <c r="J5" s="237" t="str">
        <f t="shared" si="7"/>
        <v>-</v>
      </c>
      <c r="K5" s="237" t="str">
        <f t="shared" si="8"/>
        <v>-</v>
      </c>
      <c r="M5" s="237" t="s">
        <v>1592</v>
      </c>
      <c r="N5" s="237">
        <v>0</v>
      </c>
      <c r="O5" s="237">
        <v>0</v>
      </c>
      <c r="P5" s="237">
        <v>0</v>
      </c>
      <c r="Q5" s="237">
        <v>0</v>
      </c>
      <c r="R5" s="237">
        <v>0</v>
      </c>
      <c r="S5" s="237">
        <v>0</v>
      </c>
      <c r="T5" s="237">
        <v>0</v>
      </c>
      <c r="U5" s="237" t="s">
        <v>2</v>
      </c>
      <c r="V5" s="237" t="s">
        <v>2</v>
      </c>
      <c r="X5" s="236" t="s">
        <v>1514</v>
      </c>
      <c r="Y5" s="236" t="s">
        <v>2</v>
      </c>
      <c r="Z5" s="236" t="s">
        <v>2</v>
      </c>
      <c r="AA5" s="236" t="s">
        <v>2</v>
      </c>
      <c r="AB5" s="236" t="s">
        <v>2</v>
      </c>
      <c r="AC5" s="236" t="s">
        <v>2</v>
      </c>
      <c r="AD5" s="236" t="s">
        <v>2</v>
      </c>
      <c r="AE5" s="236" t="s">
        <v>2</v>
      </c>
      <c r="AF5" s="236" t="s">
        <v>2</v>
      </c>
      <c r="AG5" s="236" t="s">
        <v>2</v>
      </c>
      <c r="AJ5" s="193" t="s">
        <v>1689</v>
      </c>
      <c r="AK5" s="237" t="s">
        <v>2</v>
      </c>
      <c r="AL5" s="237" t="s">
        <v>2</v>
      </c>
      <c r="AM5" s="237" t="s">
        <v>2</v>
      </c>
      <c r="AN5" s="237" t="s">
        <v>2</v>
      </c>
      <c r="AO5" s="237" t="s">
        <v>2</v>
      </c>
      <c r="AP5" s="237" t="s">
        <v>2</v>
      </c>
      <c r="AQ5" s="237" t="s">
        <v>2</v>
      </c>
      <c r="AR5" s="237" t="s">
        <v>2</v>
      </c>
      <c r="AS5" s="237" t="s">
        <v>2</v>
      </c>
    </row>
    <row r="6" spans="1:45" x14ac:dyDescent="0.25">
      <c r="A6" s="193"/>
      <c r="B6" s="193" t="s">
        <v>1688</v>
      </c>
      <c r="C6" s="237" t="str">
        <f t="shared" si="0"/>
        <v>-</v>
      </c>
      <c r="D6" s="237" t="str">
        <f t="shared" si="1"/>
        <v>-</v>
      </c>
      <c r="E6" s="237" t="str">
        <f t="shared" si="2"/>
        <v>-</v>
      </c>
      <c r="F6" s="237" t="str">
        <f t="shared" si="3"/>
        <v>-</v>
      </c>
      <c r="G6" s="237" t="str">
        <f t="shared" si="4"/>
        <v>-</v>
      </c>
      <c r="H6" s="237" t="str">
        <f t="shared" si="5"/>
        <v>-</v>
      </c>
      <c r="I6" s="237" t="str">
        <f t="shared" si="6"/>
        <v>-</v>
      </c>
      <c r="J6" s="237" t="str">
        <f t="shared" si="7"/>
        <v>-</v>
      </c>
      <c r="K6" s="237" t="str">
        <f t="shared" si="8"/>
        <v>-</v>
      </c>
      <c r="M6" s="237" t="s">
        <v>1869</v>
      </c>
      <c r="N6" s="237">
        <v>0</v>
      </c>
      <c r="O6" s="237">
        <v>0</v>
      </c>
      <c r="P6" s="237">
        <v>0</v>
      </c>
      <c r="Q6" s="237">
        <v>0</v>
      </c>
      <c r="R6" s="237">
        <v>0</v>
      </c>
      <c r="S6" s="237">
        <v>0</v>
      </c>
      <c r="T6" s="237">
        <v>0</v>
      </c>
      <c r="U6" s="237" t="s">
        <v>2</v>
      </c>
      <c r="V6" s="237" t="s">
        <v>2</v>
      </c>
      <c r="AJ6" s="193" t="s">
        <v>1688</v>
      </c>
      <c r="AK6" s="237" t="s">
        <v>2</v>
      </c>
      <c r="AL6" s="237" t="s">
        <v>2</v>
      </c>
      <c r="AM6" s="237" t="s">
        <v>2</v>
      </c>
      <c r="AN6" s="237" t="s">
        <v>2</v>
      </c>
      <c r="AO6" s="237" t="s">
        <v>2</v>
      </c>
      <c r="AP6" s="237" t="s">
        <v>2</v>
      </c>
      <c r="AQ6" s="237" t="s">
        <v>2</v>
      </c>
      <c r="AR6" s="237" t="s">
        <v>2</v>
      </c>
      <c r="AS6" s="237" t="s">
        <v>2</v>
      </c>
    </row>
    <row r="7" spans="1:45" x14ac:dyDescent="0.25">
      <c r="A7" s="193"/>
      <c r="B7" s="193" t="s">
        <v>1687</v>
      </c>
      <c r="C7" s="237" t="str">
        <f t="shared" si="0"/>
        <v>-</v>
      </c>
      <c r="D7" s="237" t="str">
        <f t="shared" si="1"/>
        <v>-</v>
      </c>
      <c r="E7" s="237" t="str">
        <f t="shared" si="2"/>
        <v>-</v>
      </c>
      <c r="F7" s="237" t="str">
        <f t="shared" si="3"/>
        <v>-</v>
      </c>
      <c r="G7" s="237" t="str">
        <f t="shared" si="4"/>
        <v>-</v>
      </c>
      <c r="H7" s="237" t="str">
        <f t="shared" si="5"/>
        <v>-</v>
      </c>
      <c r="I7" s="237" t="str">
        <f t="shared" si="6"/>
        <v>-</v>
      </c>
      <c r="J7" s="237" t="str">
        <f t="shared" si="7"/>
        <v>-</v>
      </c>
      <c r="K7" s="237" t="str">
        <f t="shared" si="8"/>
        <v>-</v>
      </c>
      <c r="M7" s="237" t="s">
        <v>1591</v>
      </c>
      <c r="N7" s="237">
        <v>0</v>
      </c>
      <c r="O7" s="237">
        <v>0</v>
      </c>
      <c r="P7" s="237">
        <v>0</v>
      </c>
      <c r="Q7" s="237">
        <v>0</v>
      </c>
      <c r="R7" s="237">
        <v>0</v>
      </c>
      <c r="S7" s="237">
        <v>0</v>
      </c>
      <c r="T7" s="237">
        <v>0</v>
      </c>
      <c r="U7" s="237" t="s">
        <v>2</v>
      </c>
      <c r="V7" s="237" t="s">
        <v>2</v>
      </c>
      <c r="AJ7" s="193" t="s">
        <v>1687</v>
      </c>
      <c r="AK7" s="237" t="s">
        <v>2</v>
      </c>
      <c r="AL7" s="237" t="s">
        <v>2</v>
      </c>
      <c r="AM7" s="237" t="s">
        <v>2</v>
      </c>
      <c r="AN7" s="237" t="s">
        <v>2</v>
      </c>
      <c r="AO7" s="237" t="s">
        <v>2</v>
      </c>
      <c r="AP7" s="237" t="s">
        <v>2</v>
      </c>
      <c r="AQ7" s="237" t="s">
        <v>2</v>
      </c>
      <c r="AR7" s="237" t="s">
        <v>2</v>
      </c>
      <c r="AS7" s="237" t="s">
        <v>2</v>
      </c>
    </row>
    <row r="8" spans="1:45" x14ac:dyDescent="0.25">
      <c r="A8" s="193"/>
      <c r="B8" s="193" t="s">
        <v>1686</v>
      </c>
      <c r="C8" s="237" t="str">
        <f t="shared" si="0"/>
        <v>-</v>
      </c>
      <c r="D8" s="237" t="str">
        <f t="shared" si="1"/>
        <v>-</v>
      </c>
      <c r="E8" s="237" t="str">
        <f t="shared" si="2"/>
        <v>-</v>
      </c>
      <c r="F8" s="237" t="str">
        <f t="shared" si="3"/>
        <v>-</v>
      </c>
      <c r="G8" s="237" t="str">
        <f t="shared" si="4"/>
        <v>-</v>
      </c>
      <c r="H8" s="237" t="str">
        <f t="shared" si="5"/>
        <v>-</v>
      </c>
      <c r="I8" s="237" t="str">
        <f t="shared" si="6"/>
        <v>-</v>
      </c>
      <c r="J8" s="237" t="str">
        <f t="shared" si="7"/>
        <v>-</v>
      </c>
      <c r="K8" s="237" t="str">
        <f t="shared" si="8"/>
        <v>-</v>
      </c>
      <c r="M8" s="237" t="s">
        <v>1588</v>
      </c>
      <c r="N8" s="237">
        <v>0</v>
      </c>
      <c r="O8" s="237">
        <v>0</v>
      </c>
      <c r="P8" s="237">
        <v>0</v>
      </c>
      <c r="Q8" s="237">
        <v>0</v>
      </c>
      <c r="R8" s="237">
        <v>0</v>
      </c>
      <c r="S8" s="237">
        <v>0</v>
      </c>
      <c r="T8" s="237">
        <v>0</v>
      </c>
      <c r="U8" s="237" t="s">
        <v>2</v>
      </c>
      <c r="V8" s="237" t="s">
        <v>2</v>
      </c>
      <c r="AJ8" s="193" t="s">
        <v>1686</v>
      </c>
      <c r="AK8" s="237" t="s">
        <v>2</v>
      </c>
      <c r="AL8" s="237" t="s">
        <v>2</v>
      </c>
      <c r="AM8" s="237" t="s">
        <v>2</v>
      </c>
      <c r="AN8" s="237" t="s">
        <v>2</v>
      </c>
      <c r="AO8" s="237" t="s">
        <v>2</v>
      </c>
      <c r="AP8" s="237" t="s">
        <v>2</v>
      </c>
      <c r="AQ8" s="237" t="s">
        <v>2</v>
      </c>
      <c r="AR8" s="237" t="s">
        <v>2</v>
      </c>
      <c r="AS8" s="237" t="s">
        <v>2</v>
      </c>
    </row>
    <row r="9" spans="1:45" x14ac:dyDescent="0.25">
      <c r="A9" s="193"/>
      <c r="B9" s="193" t="s">
        <v>1476</v>
      </c>
      <c r="C9" s="237">
        <f t="shared" si="0"/>
        <v>7.5149999999999995E-2</v>
      </c>
      <c r="D9" s="237">
        <f t="shared" si="1"/>
        <v>7.5400000000000009E-2</v>
      </c>
      <c r="E9" s="237">
        <f t="shared" si="2"/>
        <v>7.6399999999999996E-2</v>
      </c>
      <c r="F9" s="237">
        <f t="shared" si="3"/>
        <v>7.7149999999999996E-2</v>
      </c>
      <c r="G9" s="237">
        <f t="shared" si="4"/>
        <v>7.8899999999999998E-2</v>
      </c>
      <c r="H9" s="237">
        <f t="shared" si="5"/>
        <v>8.14E-2</v>
      </c>
      <c r="I9" s="237">
        <f t="shared" si="6"/>
        <v>8.6400000000000005E-2</v>
      </c>
      <c r="J9" s="237" t="str">
        <f t="shared" si="7"/>
        <v>-</v>
      </c>
      <c r="K9" s="237" t="str">
        <f t="shared" si="8"/>
        <v>-</v>
      </c>
      <c r="M9" s="238"/>
      <c r="N9" s="238"/>
      <c r="O9" s="238"/>
      <c r="P9" s="238"/>
      <c r="Q9" s="238"/>
      <c r="R9" s="238"/>
      <c r="S9" s="238"/>
      <c r="T9" s="238"/>
      <c r="U9" s="238"/>
      <c r="V9" s="238"/>
      <c r="AJ9" s="193" t="s">
        <v>1476</v>
      </c>
      <c r="AK9" s="237">
        <v>7.5149999999999995E-2</v>
      </c>
      <c r="AL9" s="237">
        <v>7.5400000000000009E-2</v>
      </c>
      <c r="AM9" s="237">
        <v>7.6399999999999996E-2</v>
      </c>
      <c r="AN9" s="237">
        <v>7.7149999999999996E-2</v>
      </c>
      <c r="AO9" s="237">
        <v>7.8899999999999998E-2</v>
      </c>
      <c r="AP9" s="237">
        <v>8.14E-2</v>
      </c>
      <c r="AQ9" s="245">
        <v>8.6400000000000005E-2</v>
      </c>
      <c r="AR9" s="237" t="s">
        <v>2</v>
      </c>
      <c r="AS9" s="237" t="s">
        <v>2</v>
      </c>
    </row>
    <row r="10" spans="1:45" x14ac:dyDescent="0.25">
      <c r="A10" s="193"/>
      <c r="B10" s="193" t="s">
        <v>1685</v>
      </c>
      <c r="C10" s="237">
        <f t="shared" si="0"/>
        <v>7.4899999999999994E-2</v>
      </c>
      <c r="D10" s="237">
        <f t="shared" si="1"/>
        <v>7.4899999999999994E-2</v>
      </c>
      <c r="E10" s="237">
        <f t="shared" si="2"/>
        <v>7.5649999999999995E-2</v>
      </c>
      <c r="F10" s="237">
        <f t="shared" si="3"/>
        <v>7.6399999999999996E-2</v>
      </c>
      <c r="G10" s="237">
        <f t="shared" si="4"/>
        <v>7.7149999999999996E-2</v>
      </c>
      <c r="H10" s="237">
        <f t="shared" si="5"/>
        <v>7.8899999999999998E-2</v>
      </c>
      <c r="I10" s="237">
        <f t="shared" si="6"/>
        <v>8.3900000000000002E-2</v>
      </c>
      <c r="J10" s="237" t="str">
        <f t="shared" si="7"/>
        <v>-</v>
      </c>
      <c r="K10" s="237" t="str">
        <f t="shared" si="8"/>
        <v>-</v>
      </c>
      <c r="M10" s="238"/>
      <c r="N10" s="238"/>
      <c r="O10" s="238"/>
      <c r="P10" s="238"/>
      <c r="Q10" s="238"/>
      <c r="R10" s="238"/>
      <c r="S10" s="238"/>
      <c r="T10" s="238"/>
      <c r="U10" s="238"/>
      <c r="V10" s="238"/>
      <c r="AJ10" s="193" t="s">
        <v>1685</v>
      </c>
      <c r="AK10" s="237">
        <v>7.4899999999999994E-2</v>
      </c>
      <c r="AL10" s="237">
        <v>7.4899999999999994E-2</v>
      </c>
      <c r="AM10" s="237">
        <v>7.5649999999999995E-2</v>
      </c>
      <c r="AN10" s="237">
        <v>7.6399999999999996E-2</v>
      </c>
      <c r="AO10" s="237">
        <v>7.7149999999999996E-2</v>
      </c>
      <c r="AP10" s="237">
        <v>7.8899999999999998E-2</v>
      </c>
      <c r="AQ10" s="245">
        <v>8.3900000000000002E-2</v>
      </c>
      <c r="AR10" s="237" t="s">
        <v>2</v>
      </c>
      <c r="AS10" s="237" t="s">
        <v>2</v>
      </c>
    </row>
    <row r="11" spans="1:45" x14ac:dyDescent="0.25">
      <c r="A11" s="193"/>
      <c r="B11" s="193" t="s">
        <v>1684</v>
      </c>
      <c r="C11" s="237">
        <f t="shared" si="0"/>
        <v>7.3900000000000007E-2</v>
      </c>
      <c r="D11" s="237">
        <f t="shared" si="1"/>
        <v>7.3900000000000007E-2</v>
      </c>
      <c r="E11" s="237">
        <f t="shared" si="2"/>
        <v>7.4150000000000008E-2</v>
      </c>
      <c r="F11" s="237">
        <f t="shared" si="3"/>
        <v>7.4150000000000008E-2</v>
      </c>
      <c r="G11" s="237">
        <f t="shared" si="4"/>
        <v>7.5149999999999995E-2</v>
      </c>
      <c r="H11" s="237">
        <f t="shared" si="5"/>
        <v>7.6149999999999995E-2</v>
      </c>
      <c r="I11" s="237">
        <f t="shared" si="6"/>
        <v>8.115E-2</v>
      </c>
      <c r="J11" s="237" t="str">
        <f t="shared" si="7"/>
        <v>-</v>
      </c>
      <c r="K11" s="237" t="str">
        <f t="shared" si="8"/>
        <v>-</v>
      </c>
      <c r="M11" s="804" t="s">
        <v>110</v>
      </c>
      <c r="N11" s="804"/>
      <c r="O11" s="804"/>
      <c r="P11" s="804"/>
      <c r="Q11" s="804"/>
      <c r="R11" s="804"/>
      <c r="S11" s="804"/>
      <c r="T11" s="804"/>
      <c r="U11" s="804"/>
      <c r="V11" s="804"/>
      <c r="X11" s="805" t="s">
        <v>110</v>
      </c>
      <c r="Y11" s="805"/>
      <c r="Z11" s="805"/>
      <c r="AA11" s="805"/>
      <c r="AB11" s="805"/>
      <c r="AC11" s="805"/>
      <c r="AD11" s="805"/>
      <c r="AE11" s="805"/>
      <c r="AF11" s="805"/>
      <c r="AG11" s="805"/>
      <c r="AJ11" s="193" t="s">
        <v>1684</v>
      </c>
      <c r="AK11" s="237">
        <v>7.3900000000000007E-2</v>
      </c>
      <c r="AL11" s="237">
        <v>7.3900000000000007E-2</v>
      </c>
      <c r="AM11" s="237">
        <v>7.4150000000000008E-2</v>
      </c>
      <c r="AN11" s="237">
        <v>7.4150000000000008E-2</v>
      </c>
      <c r="AO11" s="237">
        <v>7.5149999999999995E-2</v>
      </c>
      <c r="AP11" s="237">
        <v>7.6149999999999995E-2</v>
      </c>
      <c r="AQ11" s="245">
        <v>8.115E-2</v>
      </c>
      <c r="AR11" s="237" t="s">
        <v>2</v>
      </c>
      <c r="AS11" s="237" t="s">
        <v>2</v>
      </c>
    </row>
    <row r="12" spans="1:45" x14ac:dyDescent="0.25">
      <c r="A12" s="193"/>
      <c r="B12" s="193" t="s">
        <v>1683</v>
      </c>
      <c r="C12" s="237">
        <f t="shared" si="0"/>
        <v>7.2900000000000006E-2</v>
      </c>
      <c r="D12" s="237">
        <f t="shared" si="1"/>
        <v>7.3149999999999993E-2</v>
      </c>
      <c r="E12" s="237">
        <f t="shared" si="2"/>
        <v>7.3400000000000007E-2</v>
      </c>
      <c r="F12" s="237">
        <f t="shared" si="3"/>
        <v>7.3650000000000007E-2</v>
      </c>
      <c r="G12" s="237">
        <f t="shared" si="4"/>
        <v>7.3900000000000007E-2</v>
      </c>
      <c r="H12" s="237">
        <f t="shared" si="5"/>
        <v>7.4899999999999994E-2</v>
      </c>
      <c r="I12" s="237">
        <f t="shared" si="6"/>
        <v>7.9899999999999999E-2</v>
      </c>
      <c r="J12" s="237" t="str">
        <f t="shared" si="7"/>
        <v>-</v>
      </c>
      <c r="K12" s="237" t="str">
        <f t="shared" si="8"/>
        <v>-</v>
      </c>
      <c r="M12" s="237" t="s">
        <v>202</v>
      </c>
      <c r="N12" s="552">
        <v>0</v>
      </c>
      <c r="O12" s="552">
        <v>0</v>
      </c>
      <c r="P12" s="552">
        <v>0</v>
      </c>
      <c r="Q12" s="552">
        <v>0</v>
      </c>
      <c r="R12" s="552">
        <v>0</v>
      </c>
      <c r="S12" s="552">
        <v>0</v>
      </c>
      <c r="T12" s="552">
        <v>0</v>
      </c>
      <c r="U12" s="237" t="s">
        <v>2</v>
      </c>
      <c r="V12" s="237" t="s">
        <v>2</v>
      </c>
      <c r="X12" s="236" t="s">
        <v>202</v>
      </c>
      <c r="Y12" s="552">
        <v>0</v>
      </c>
      <c r="Z12" s="552">
        <v>0</v>
      </c>
      <c r="AA12" s="552">
        <v>0</v>
      </c>
      <c r="AB12" s="552">
        <v>0</v>
      </c>
      <c r="AC12" s="552">
        <v>0</v>
      </c>
      <c r="AD12" s="552">
        <v>0</v>
      </c>
      <c r="AE12" s="552">
        <v>0</v>
      </c>
      <c r="AF12" s="237" t="s">
        <v>2</v>
      </c>
      <c r="AG12" s="237" t="s">
        <v>2</v>
      </c>
      <c r="AJ12" s="193" t="s">
        <v>1683</v>
      </c>
      <c r="AK12" s="237">
        <v>7.2900000000000006E-2</v>
      </c>
      <c r="AL12" s="237">
        <v>7.3149999999999993E-2</v>
      </c>
      <c r="AM12" s="237">
        <v>7.3400000000000007E-2</v>
      </c>
      <c r="AN12" s="237">
        <v>7.3650000000000007E-2</v>
      </c>
      <c r="AO12" s="237">
        <v>7.3900000000000007E-2</v>
      </c>
      <c r="AP12" s="237">
        <v>7.4899999999999994E-2</v>
      </c>
      <c r="AQ12" s="245">
        <v>7.9899999999999999E-2</v>
      </c>
      <c r="AR12" s="237" t="s">
        <v>2</v>
      </c>
      <c r="AS12" s="237" t="s">
        <v>2</v>
      </c>
    </row>
    <row r="13" spans="1:45" x14ac:dyDescent="0.25">
      <c r="A13" s="193"/>
      <c r="B13" s="193" t="s">
        <v>1682</v>
      </c>
      <c r="C13" s="237">
        <f t="shared" si="0"/>
        <v>7.2399999999999992E-2</v>
      </c>
      <c r="D13" s="237">
        <f t="shared" si="1"/>
        <v>7.2399999999999992E-2</v>
      </c>
      <c r="E13" s="237">
        <f t="shared" si="2"/>
        <v>7.2524999999999992E-2</v>
      </c>
      <c r="F13" s="237">
        <f t="shared" si="3"/>
        <v>7.2650000000000006E-2</v>
      </c>
      <c r="G13" s="237">
        <f t="shared" si="4"/>
        <v>7.3849999999999999E-2</v>
      </c>
      <c r="H13" s="237">
        <f t="shared" si="5"/>
        <v>7.3900000000000007E-2</v>
      </c>
      <c r="I13" s="237">
        <f t="shared" si="6"/>
        <v>7.8900000000000012E-2</v>
      </c>
      <c r="J13" s="237" t="str">
        <f t="shared" si="7"/>
        <v>-</v>
      </c>
      <c r="K13" s="237" t="str">
        <f t="shared" si="8"/>
        <v>-</v>
      </c>
      <c r="M13" s="237" t="s">
        <v>200</v>
      </c>
      <c r="N13" s="552">
        <v>0</v>
      </c>
      <c r="O13" s="552">
        <v>0</v>
      </c>
      <c r="P13" s="552">
        <v>0</v>
      </c>
      <c r="Q13" s="552">
        <v>0</v>
      </c>
      <c r="R13" s="552">
        <v>0</v>
      </c>
      <c r="S13" s="552">
        <v>0</v>
      </c>
      <c r="T13" s="552">
        <v>0</v>
      </c>
      <c r="U13" s="237" t="s">
        <v>2</v>
      </c>
      <c r="V13" s="237" t="s">
        <v>2</v>
      </c>
      <c r="X13" s="236" t="s">
        <v>200</v>
      </c>
      <c r="Y13" s="552">
        <v>0</v>
      </c>
      <c r="Z13" s="552">
        <v>0</v>
      </c>
      <c r="AA13" s="552">
        <v>0</v>
      </c>
      <c r="AB13" s="552">
        <v>0</v>
      </c>
      <c r="AC13" s="552">
        <v>0</v>
      </c>
      <c r="AD13" s="552">
        <v>0</v>
      </c>
      <c r="AE13" s="552">
        <v>0</v>
      </c>
      <c r="AF13" s="237" t="s">
        <v>2</v>
      </c>
      <c r="AG13" s="237" t="s">
        <v>2</v>
      </c>
      <c r="AJ13" s="193" t="s">
        <v>1682</v>
      </c>
      <c r="AK13" s="237">
        <v>7.2399999999999992E-2</v>
      </c>
      <c r="AL13" s="237">
        <v>7.2399999999999992E-2</v>
      </c>
      <c r="AM13" s="237">
        <v>7.2524999999999992E-2</v>
      </c>
      <c r="AN13" s="237">
        <v>7.2650000000000006E-2</v>
      </c>
      <c r="AO13" s="237">
        <v>7.3849999999999999E-2</v>
      </c>
      <c r="AP13" s="237">
        <v>7.3900000000000007E-2</v>
      </c>
      <c r="AQ13" s="245">
        <v>7.8900000000000012E-2</v>
      </c>
      <c r="AR13" s="237" t="s">
        <v>2</v>
      </c>
      <c r="AS13" s="237" t="s">
        <v>2</v>
      </c>
    </row>
    <row r="14" spans="1:45" x14ac:dyDescent="0.25">
      <c r="A14" s="193"/>
      <c r="B14" s="193" t="s">
        <v>1681</v>
      </c>
      <c r="C14" s="237">
        <f t="shared" si="0"/>
        <v>7.2150000000000006E-2</v>
      </c>
      <c r="D14" s="237">
        <f t="shared" si="1"/>
        <v>7.2150000000000006E-2</v>
      </c>
      <c r="E14" s="237">
        <f t="shared" si="2"/>
        <v>7.2400000000000006E-2</v>
      </c>
      <c r="F14" s="237">
        <f t="shared" si="3"/>
        <v>7.2650000000000006E-2</v>
      </c>
      <c r="G14" s="237">
        <f t="shared" si="4"/>
        <v>7.375000000000001E-2</v>
      </c>
      <c r="H14" s="237">
        <f t="shared" si="5"/>
        <v>7.3849999999999999E-2</v>
      </c>
      <c r="I14" s="237">
        <f t="shared" si="6"/>
        <v>7.8850000000000003E-2</v>
      </c>
      <c r="J14" s="237" t="str">
        <f t="shared" si="7"/>
        <v>-</v>
      </c>
      <c r="K14" s="237" t="str">
        <f t="shared" si="8"/>
        <v>-</v>
      </c>
      <c r="M14" s="237" t="s">
        <v>3</v>
      </c>
      <c r="N14" s="552">
        <v>0</v>
      </c>
      <c r="O14" s="552">
        <v>0</v>
      </c>
      <c r="P14" s="552">
        <v>0</v>
      </c>
      <c r="Q14" s="552">
        <v>0</v>
      </c>
      <c r="R14" s="552">
        <v>0</v>
      </c>
      <c r="S14" s="552">
        <v>0</v>
      </c>
      <c r="T14" s="552">
        <v>0</v>
      </c>
      <c r="U14" s="237" t="s">
        <v>2</v>
      </c>
      <c r="V14" s="237" t="s">
        <v>2</v>
      </c>
      <c r="X14" s="236" t="s">
        <v>3</v>
      </c>
      <c r="Y14" s="552">
        <v>0</v>
      </c>
      <c r="Z14" s="552">
        <v>0</v>
      </c>
      <c r="AA14" s="552">
        <v>0</v>
      </c>
      <c r="AB14" s="552">
        <v>0</v>
      </c>
      <c r="AC14" s="552">
        <v>0</v>
      </c>
      <c r="AD14" s="552">
        <v>0</v>
      </c>
      <c r="AE14" s="552">
        <v>0</v>
      </c>
      <c r="AF14" s="237" t="s">
        <v>2</v>
      </c>
      <c r="AG14" s="237" t="s">
        <v>2</v>
      </c>
      <c r="AJ14" s="193" t="s">
        <v>1681</v>
      </c>
      <c r="AK14" s="237">
        <v>7.2150000000000006E-2</v>
      </c>
      <c r="AL14" s="237">
        <v>7.2150000000000006E-2</v>
      </c>
      <c r="AM14" s="237">
        <v>7.2400000000000006E-2</v>
      </c>
      <c r="AN14" s="237">
        <v>7.2650000000000006E-2</v>
      </c>
      <c r="AO14" s="237">
        <v>7.375000000000001E-2</v>
      </c>
      <c r="AP14" s="237">
        <v>7.3849999999999999E-2</v>
      </c>
      <c r="AQ14" s="245">
        <v>7.8850000000000003E-2</v>
      </c>
      <c r="AR14" s="237" t="s">
        <v>2</v>
      </c>
      <c r="AS14" s="237" t="s">
        <v>2</v>
      </c>
    </row>
    <row r="15" spans="1:45" x14ac:dyDescent="0.25">
      <c r="A15" s="193"/>
      <c r="B15" s="193" t="s">
        <v>1680</v>
      </c>
      <c r="C15" s="237">
        <f t="shared" si="0"/>
        <v>7.1650000000000005E-2</v>
      </c>
      <c r="D15" s="237">
        <f t="shared" si="1"/>
        <v>7.1650000000000005E-2</v>
      </c>
      <c r="E15" s="237">
        <f t="shared" si="2"/>
        <v>7.1900000000000006E-2</v>
      </c>
      <c r="F15" s="237">
        <f t="shared" si="3"/>
        <v>7.2650000000000006E-2</v>
      </c>
      <c r="G15" s="237">
        <f t="shared" si="4"/>
        <v>7.3649999999999993E-2</v>
      </c>
      <c r="H15" s="237">
        <f t="shared" si="5"/>
        <v>7.375000000000001E-2</v>
      </c>
      <c r="I15" s="237">
        <f t="shared" si="6"/>
        <v>7.8750000000000014E-2</v>
      </c>
      <c r="J15" s="237" t="str">
        <f t="shared" si="7"/>
        <v>-</v>
      </c>
      <c r="K15" s="237" t="str">
        <f t="shared" si="8"/>
        <v>-</v>
      </c>
      <c r="M15" s="237" t="s">
        <v>274</v>
      </c>
      <c r="N15" s="552">
        <v>0</v>
      </c>
      <c r="O15" s="552">
        <v>2.5000000000000001E-4</v>
      </c>
      <c r="P15" s="552">
        <v>5.0000000000000001E-4</v>
      </c>
      <c r="Q15" s="552">
        <v>7.5000000000000002E-4</v>
      </c>
      <c r="R15" s="552">
        <v>1E-3</v>
      </c>
      <c r="S15" s="552">
        <v>3.7499999999999999E-3</v>
      </c>
      <c r="T15" s="552">
        <v>0.01</v>
      </c>
      <c r="U15" s="237" t="s">
        <v>2</v>
      </c>
      <c r="V15" s="237" t="s">
        <v>2</v>
      </c>
      <c r="X15" s="236" t="s">
        <v>274</v>
      </c>
      <c r="Y15" s="552">
        <v>0</v>
      </c>
      <c r="Z15" s="552">
        <v>2.5000000000000001E-4</v>
      </c>
      <c r="AA15" s="552">
        <v>5.0000000000000001E-4</v>
      </c>
      <c r="AB15" s="552">
        <v>7.5000000000000002E-4</v>
      </c>
      <c r="AC15" s="552">
        <v>1E-3</v>
      </c>
      <c r="AD15" s="552">
        <v>3.7499999999999999E-3</v>
      </c>
      <c r="AE15" s="552">
        <v>0.01</v>
      </c>
      <c r="AF15" s="237" t="s">
        <v>2</v>
      </c>
      <c r="AG15" s="237" t="s">
        <v>2</v>
      </c>
      <c r="AJ15" s="193" t="s">
        <v>1680</v>
      </c>
      <c r="AK15" s="237">
        <v>7.1650000000000005E-2</v>
      </c>
      <c r="AL15" s="237">
        <v>7.1650000000000005E-2</v>
      </c>
      <c r="AM15" s="237">
        <v>7.1900000000000006E-2</v>
      </c>
      <c r="AN15" s="237">
        <v>7.2650000000000006E-2</v>
      </c>
      <c r="AO15" s="237">
        <v>7.3649999999999993E-2</v>
      </c>
      <c r="AP15" s="237">
        <v>7.375000000000001E-2</v>
      </c>
      <c r="AQ15" s="245">
        <v>7.8750000000000014E-2</v>
      </c>
      <c r="AR15" s="237" t="s">
        <v>2</v>
      </c>
      <c r="AS15" s="237" t="s">
        <v>2</v>
      </c>
    </row>
    <row r="16" spans="1:45" x14ac:dyDescent="0.25">
      <c r="A16" s="193"/>
      <c r="B16" s="193" t="s">
        <v>1679</v>
      </c>
      <c r="C16" s="237">
        <f t="shared" si="0"/>
        <v>7.7649999999999997E-2</v>
      </c>
      <c r="D16" s="237">
        <f t="shared" si="1"/>
        <v>7.7899999999999997E-2</v>
      </c>
      <c r="E16" s="237">
        <f t="shared" si="2"/>
        <v>7.8149999999999997E-2</v>
      </c>
      <c r="F16" s="237">
        <f t="shared" si="3"/>
        <v>7.8149999999999997E-2</v>
      </c>
      <c r="G16" s="237">
        <f t="shared" si="4"/>
        <v>7.8399999999999997E-2</v>
      </c>
      <c r="H16" s="237">
        <f t="shared" si="5"/>
        <v>7.8649999999999998E-2</v>
      </c>
      <c r="I16" s="237">
        <f t="shared" si="6"/>
        <v>8.3650000000000002E-2</v>
      </c>
      <c r="J16" s="237" t="str">
        <f t="shared" si="7"/>
        <v>-</v>
      </c>
      <c r="K16" s="237" t="str">
        <f t="shared" si="8"/>
        <v>-</v>
      </c>
      <c r="M16" s="238"/>
      <c r="N16" s="238"/>
      <c r="O16" s="238"/>
      <c r="P16" s="238"/>
      <c r="Q16" s="238"/>
      <c r="R16" s="238"/>
      <c r="S16" s="238"/>
      <c r="T16" s="238"/>
      <c r="U16" s="238"/>
      <c r="V16" s="238"/>
      <c r="AJ16" s="193" t="s">
        <v>1679</v>
      </c>
      <c r="AK16" s="237">
        <v>7.7649999999999997E-2</v>
      </c>
      <c r="AL16" s="237">
        <v>7.7899999999999997E-2</v>
      </c>
      <c r="AM16" s="237">
        <v>7.8149999999999997E-2</v>
      </c>
      <c r="AN16" s="237">
        <v>7.8149999999999997E-2</v>
      </c>
      <c r="AO16" s="237">
        <v>7.8399999999999997E-2</v>
      </c>
      <c r="AP16" s="237">
        <v>7.8649999999999998E-2</v>
      </c>
      <c r="AQ16" s="245">
        <v>8.3650000000000002E-2</v>
      </c>
      <c r="AR16" s="237" t="s">
        <v>2</v>
      </c>
      <c r="AS16" s="237" t="s">
        <v>2</v>
      </c>
    </row>
    <row r="17" spans="1:45" x14ac:dyDescent="0.25">
      <c r="M17" s="238"/>
      <c r="N17" s="238"/>
      <c r="O17" s="238"/>
      <c r="P17" s="238"/>
      <c r="Q17" s="238"/>
      <c r="R17" s="238"/>
      <c r="S17" s="238"/>
      <c r="T17" s="238"/>
      <c r="U17" s="238"/>
      <c r="V17" s="238"/>
    </row>
    <row r="18" spans="1:45" x14ac:dyDescent="0.25">
      <c r="A18" s="806">
        <v>3</v>
      </c>
      <c r="B18" s="794" t="s">
        <v>1868</v>
      </c>
      <c r="C18" s="794"/>
      <c r="D18" s="794"/>
      <c r="E18" s="794"/>
      <c r="F18" s="794"/>
      <c r="G18" s="794"/>
      <c r="H18" s="794"/>
      <c r="I18" s="794"/>
      <c r="J18" s="794"/>
      <c r="K18" s="794"/>
      <c r="M18" s="804" t="s">
        <v>106</v>
      </c>
      <c r="N18" s="804"/>
      <c r="O18" s="804"/>
      <c r="P18" s="804"/>
      <c r="Q18" s="804"/>
      <c r="R18" s="804"/>
      <c r="S18" s="804"/>
      <c r="T18" s="804"/>
      <c r="U18" s="804"/>
      <c r="V18" s="804"/>
      <c r="X18" s="805" t="s">
        <v>106</v>
      </c>
      <c r="Y18" s="805"/>
      <c r="Z18" s="805"/>
      <c r="AA18" s="805"/>
      <c r="AB18" s="805"/>
      <c r="AC18" s="805"/>
      <c r="AD18" s="805"/>
      <c r="AE18" s="805"/>
      <c r="AF18" s="805"/>
      <c r="AG18" s="805"/>
    </row>
    <row r="19" spans="1:45" x14ac:dyDescent="0.25">
      <c r="A19" s="806"/>
      <c r="B19" s="244">
        <v>103.5</v>
      </c>
      <c r="C19" s="195" t="s">
        <v>1640</v>
      </c>
      <c r="D19" s="195" t="s">
        <v>1639</v>
      </c>
      <c r="E19" s="195" t="s">
        <v>1638</v>
      </c>
      <c r="F19" s="195" t="s">
        <v>1637</v>
      </c>
      <c r="G19" s="195" t="s">
        <v>1636</v>
      </c>
      <c r="H19" s="195" t="s">
        <v>1635</v>
      </c>
      <c r="I19" s="195" t="s">
        <v>1634</v>
      </c>
      <c r="J19" s="195" t="s">
        <v>1841</v>
      </c>
      <c r="K19" s="195" t="s">
        <v>1840</v>
      </c>
      <c r="M19" s="237" t="s">
        <v>1867</v>
      </c>
      <c r="N19" s="237" t="s">
        <v>2</v>
      </c>
      <c r="O19" s="237" t="s">
        <v>2</v>
      </c>
      <c r="P19" s="237" t="s">
        <v>2</v>
      </c>
      <c r="Q19" s="237" t="s">
        <v>2</v>
      </c>
      <c r="R19" s="237" t="s">
        <v>2</v>
      </c>
      <c r="S19" s="237" t="s">
        <v>2</v>
      </c>
      <c r="T19" s="237" t="s">
        <v>2</v>
      </c>
      <c r="U19" s="237" t="s">
        <v>2</v>
      </c>
      <c r="V19" s="237" t="s">
        <v>2</v>
      </c>
      <c r="X19" s="236" t="s">
        <v>1867</v>
      </c>
      <c r="Y19" s="236" t="s">
        <v>2</v>
      </c>
      <c r="Z19" s="236" t="s">
        <v>2</v>
      </c>
      <c r="AA19" s="236" t="s">
        <v>2</v>
      </c>
      <c r="AB19" s="236" t="s">
        <v>2</v>
      </c>
      <c r="AC19" s="236" t="s">
        <v>2</v>
      </c>
      <c r="AD19" s="236" t="s">
        <v>2</v>
      </c>
      <c r="AE19" s="236" t="s">
        <v>2</v>
      </c>
      <c r="AF19" s="236" t="s">
        <v>2</v>
      </c>
      <c r="AG19" s="236" t="s">
        <v>2</v>
      </c>
      <c r="AJ19" s="794" t="s">
        <v>1961</v>
      </c>
      <c r="AK19" s="794"/>
      <c r="AL19" s="794"/>
      <c r="AM19" s="794"/>
      <c r="AN19" s="794"/>
      <c r="AO19" s="794"/>
      <c r="AP19" s="794"/>
      <c r="AQ19" s="794"/>
      <c r="AR19" s="794"/>
      <c r="AS19" s="794"/>
    </row>
    <row r="20" spans="1:45" x14ac:dyDescent="0.25">
      <c r="B20" s="193" t="s">
        <v>1691</v>
      </c>
      <c r="C20" s="552" t="str">
        <f>IF(C3="-","-",C3+0.8%)</f>
        <v>-</v>
      </c>
      <c r="D20" s="552" t="str">
        <f t="shared" ref="D20:K20" si="9">IF(D3="-","-",D3+0.8%)</f>
        <v>-</v>
      </c>
      <c r="E20" s="552" t="str">
        <f t="shared" si="9"/>
        <v>-</v>
      </c>
      <c r="F20" s="552" t="str">
        <f t="shared" si="9"/>
        <v>-</v>
      </c>
      <c r="G20" s="552" t="str">
        <f t="shared" si="9"/>
        <v>-</v>
      </c>
      <c r="H20" s="552" t="str">
        <f t="shared" si="9"/>
        <v>-</v>
      </c>
      <c r="I20" s="552" t="str">
        <f t="shared" si="9"/>
        <v>-</v>
      </c>
      <c r="J20" s="552" t="str">
        <f t="shared" si="9"/>
        <v>-</v>
      </c>
      <c r="K20" s="552" t="str">
        <f t="shared" si="9"/>
        <v>-</v>
      </c>
      <c r="M20" s="237" t="s">
        <v>1865</v>
      </c>
      <c r="N20" s="237" t="s">
        <v>2</v>
      </c>
      <c r="O20" s="237" t="s">
        <v>2</v>
      </c>
      <c r="P20" s="237" t="s">
        <v>2</v>
      </c>
      <c r="Q20" s="237" t="s">
        <v>2</v>
      </c>
      <c r="R20" s="237" t="s">
        <v>2</v>
      </c>
      <c r="S20" s="237" t="s">
        <v>2</v>
      </c>
      <c r="T20" s="237" t="s">
        <v>2</v>
      </c>
      <c r="U20" s="237" t="s">
        <v>2</v>
      </c>
      <c r="V20" s="237" t="s">
        <v>2</v>
      </c>
      <c r="X20" s="236" t="s">
        <v>1865</v>
      </c>
      <c r="Y20" s="236" t="s">
        <v>2</v>
      </c>
      <c r="Z20" s="236" t="s">
        <v>2</v>
      </c>
      <c r="AA20" s="236" t="s">
        <v>2</v>
      </c>
      <c r="AB20" s="236" t="s">
        <v>2</v>
      </c>
      <c r="AC20" s="236" t="s">
        <v>2</v>
      </c>
      <c r="AD20" s="236" t="s">
        <v>2</v>
      </c>
      <c r="AE20" s="236" t="s">
        <v>2</v>
      </c>
      <c r="AF20" s="236" t="s">
        <v>2</v>
      </c>
      <c r="AG20" s="236" t="s">
        <v>2</v>
      </c>
      <c r="AJ20" s="244">
        <v>104</v>
      </c>
      <c r="AK20" s="195" t="s">
        <v>1640</v>
      </c>
      <c r="AL20" s="195" t="s">
        <v>1639</v>
      </c>
      <c r="AM20" s="195" t="s">
        <v>1638</v>
      </c>
      <c r="AN20" s="195" t="s">
        <v>1637</v>
      </c>
      <c r="AO20" s="195" t="s">
        <v>1636</v>
      </c>
      <c r="AP20" s="195" t="s">
        <v>1635</v>
      </c>
      <c r="AQ20" s="195" t="s">
        <v>1634</v>
      </c>
      <c r="AR20" s="195" t="s">
        <v>1841</v>
      </c>
      <c r="AS20" s="195" t="s">
        <v>1840</v>
      </c>
    </row>
    <row r="21" spans="1:45" x14ac:dyDescent="0.25">
      <c r="B21" s="193" t="s">
        <v>1690</v>
      </c>
      <c r="C21" s="552" t="str">
        <f t="shared" ref="C21:K21" si="10">IF(C4="-","-",C4+0.8%)</f>
        <v>-</v>
      </c>
      <c r="D21" s="552" t="str">
        <f t="shared" si="10"/>
        <v>-</v>
      </c>
      <c r="E21" s="552" t="str">
        <f t="shared" si="10"/>
        <v>-</v>
      </c>
      <c r="F21" s="552" t="str">
        <f t="shared" si="10"/>
        <v>-</v>
      </c>
      <c r="G21" s="552" t="str">
        <f t="shared" si="10"/>
        <v>-</v>
      </c>
      <c r="H21" s="552" t="str">
        <f t="shared" si="10"/>
        <v>-</v>
      </c>
      <c r="I21" s="552" t="str">
        <f t="shared" si="10"/>
        <v>-</v>
      </c>
      <c r="J21" s="552" t="str">
        <f t="shared" si="10"/>
        <v>-</v>
      </c>
      <c r="K21" s="552" t="str">
        <f t="shared" si="10"/>
        <v>-</v>
      </c>
      <c r="M21" s="237" t="s">
        <v>1864</v>
      </c>
      <c r="N21" s="237" t="s">
        <v>2</v>
      </c>
      <c r="O21" s="237" t="s">
        <v>2</v>
      </c>
      <c r="P21" s="237" t="s">
        <v>2</v>
      </c>
      <c r="Q21" s="237" t="s">
        <v>2</v>
      </c>
      <c r="R21" s="237" t="s">
        <v>2</v>
      </c>
      <c r="S21" s="237" t="s">
        <v>2</v>
      </c>
      <c r="T21" s="237" t="s">
        <v>2</v>
      </c>
      <c r="U21" s="237" t="s">
        <v>2</v>
      </c>
      <c r="V21" s="237" t="s">
        <v>2</v>
      </c>
      <c r="X21" s="236" t="s">
        <v>1864</v>
      </c>
      <c r="Y21" s="236" t="s">
        <v>2</v>
      </c>
      <c r="Z21" s="236" t="s">
        <v>2</v>
      </c>
      <c r="AA21" s="236" t="s">
        <v>2</v>
      </c>
      <c r="AB21" s="236" t="s">
        <v>2</v>
      </c>
      <c r="AC21" s="236" t="s">
        <v>2</v>
      </c>
      <c r="AD21" s="236" t="s">
        <v>2</v>
      </c>
      <c r="AE21" s="236" t="s">
        <v>2</v>
      </c>
      <c r="AF21" s="236" t="s">
        <v>2</v>
      </c>
      <c r="AG21" s="236" t="s">
        <v>2</v>
      </c>
      <c r="AJ21" s="193" t="s">
        <v>1691</v>
      </c>
      <c r="AK21" s="237" t="str">
        <f>IF(AK3="-","-",AK3+0.15%)</f>
        <v>-</v>
      </c>
      <c r="AL21" s="237" t="str">
        <f t="shared" ref="AL21:AS21" si="11">IF(AL3="-","-",AL3+0.15%)</f>
        <v>-</v>
      </c>
      <c r="AM21" s="237" t="str">
        <f t="shared" si="11"/>
        <v>-</v>
      </c>
      <c r="AN21" s="237" t="str">
        <f t="shared" si="11"/>
        <v>-</v>
      </c>
      <c r="AO21" s="237" t="str">
        <f t="shared" si="11"/>
        <v>-</v>
      </c>
      <c r="AP21" s="237" t="str">
        <f t="shared" si="11"/>
        <v>-</v>
      </c>
      <c r="AQ21" s="237" t="str">
        <f t="shared" si="11"/>
        <v>-</v>
      </c>
      <c r="AR21" s="237" t="str">
        <f t="shared" si="11"/>
        <v>-</v>
      </c>
      <c r="AS21" s="237" t="str">
        <f t="shared" si="11"/>
        <v>-</v>
      </c>
    </row>
    <row r="22" spans="1:45" x14ac:dyDescent="0.25">
      <c r="B22" s="193" t="s">
        <v>1689</v>
      </c>
      <c r="C22" s="552" t="str">
        <f t="shared" ref="C22:K22" si="12">IF(C5="-","-",C5+0.8%)</f>
        <v>-</v>
      </c>
      <c r="D22" s="552" t="str">
        <f t="shared" si="12"/>
        <v>-</v>
      </c>
      <c r="E22" s="552" t="str">
        <f t="shared" si="12"/>
        <v>-</v>
      </c>
      <c r="F22" s="552" t="str">
        <f t="shared" si="12"/>
        <v>-</v>
      </c>
      <c r="G22" s="552" t="str">
        <f t="shared" si="12"/>
        <v>-</v>
      </c>
      <c r="H22" s="552" t="str">
        <f t="shared" si="12"/>
        <v>-</v>
      </c>
      <c r="I22" s="552" t="str">
        <f t="shared" si="12"/>
        <v>-</v>
      </c>
      <c r="J22" s="552" t="str">
        <f t="shared" si="12"/>
        <v>-</v>
      </c>
      <c r="K22" s="552" t="str">
        <f t="shared" si="12"/>
        <v>-</v>
      </c>
      <c r="M22" s="237" t="s">
        <v>1863</v>
      </c>
      <c r="N22" s="237">
        <v>0</v>
      </c>
      <c r="O22" s="237">
        <v>0</v>
      </c>
      <c r="P22" s="237">
        <v>0</v>
      </c>
      <c r="Q22" s="237">
        <v>0</v>
      </c>
      <c r="R22" s="237">
        <v>0</v>
      </c>
      <c r="S22" s="237">
        <v>0</v>
      </c>
      <c r="T22" s="237">
        <v>0</v>
      </c>
      <c r="U22" s="237" t="s">
        <v>2</v>
      </c>
      <c r="V22" s="237" t="s">
        <v>2</v>
      </c>
      <c r="X22" s="236" t="s">
        <v>1863</v>
      </c>
      <c r="Y22" s="236">
        <v>0</v>
      </c>
      <c r="Z22" s="236">
        <v>0</v>
      </c>
      <c r="AA22" s="236">
        <v>0</v>
      </c>
      <c r="AB22" s="236">
        <v>0</v>
      </c>
      <c r="AC22" s="236">
        <v>0</v>
      </c>
      <c r="AD22" s="236">
        <v>0</v>
      </c>
      <c r="AE22" s="236">
        <v>0</v>
      </c>
      <c r="AF22" s="236" t="s">
        <v>2</v>
      </c>
      <c r="AG22" s="236" t="s">
        <v>2</v>
      </c>
      <c r="AJ22" s="193" t="s">
        <v>1690</v>
      </c>
      <c r="AK22" s="237" t="str">
        <f t="shared" ref="AK22:AS22" si="13">IF(AK4="-","-",AK4+0.15%)</f>
        <v>-</v>
      </c>
      <c r="AL22" s="237" t="str">
        <f t="shared" si="13"/>
        <v>-</v>
      </c>
      <c r="AM22" s="237" t="str">
        <f t="shared" si="13"/>
        <v>-</v>
      </c>
      <c r="AN22" s="237" t="str">
        <f t="shared" si="13"/>
        <v>-</v>
      </c>
      <c r="AO22" s="237" t="str">
        <f t="shared" si="13"/>
        <v>-</v>
      </c>
      <c r="AP22" s="237" t="str">
        <f t="shared" si="13"/>
        <v>-</v>
      </c>
      <c r="AQ22" s="237" t="str">
        <f t="shared" si="13"/>
        <v>-</v>
      </c>
      <c r="AR22" s="237" t="str">
        <f t="shared" si="13"/>
        <v>-</v>
      </c>
      <c r="AS22" s="237" t="str">
        <f t="shared" si="13"/>
        <v>-</v>
      </c>
    </row>
    <row r="23" spans="1:45" x14ac:dyDescent="0.25">
      <c r="B23" s="193" t="s">
        <v>1688</v>
      </c>
      <c r="C23" s="552" t="str">
        <f t="shared" ref="C23:K23" si="14">IF(C6="-","-",C6+0.8%)</f>
        <v>-</v>
      </c>
      <c r="D23" s="552" t="str">
        <f t="shared" si="14"/>
        <v>-</v>
      </c>
      <c r="E23" s="552" t="str">
        <f t="shared" si="14"/>
        <v>-</v>
      </c>
      <c r="F23" s="552" t="str">
        <f t="shared" si="14"/>
        <v>-</v>
      </c>
      <c r="G23" s="552" t="str">
        <f t="shared" si="14"/>
        <v>-</v>
      </c>
      <c r="H23" s="552" t="str">
        <f t="shared" si="14"/>
        <v>-</v>
      </c>
      <c r="I23" s="552" t="str">
        <f t="shared" si="14"/>
        <v>-</v>
      </c>
      <c r="J23" s="552" t="str">
        <f t="shared" si="14"/>
        <v>-</v>
      </c>
      <c r="K23" s="552" t="str">
        <f t="shared" si="14"/>
        <v>-</v>
      </c>
      <c r="M23" s="237" t="s">
        <v>1862</v>
      </c>
      <c r="N23" s="237" t="s">
        <v>2</v>
      </c>
      <c r="O23" s="237" t="s">
        <v>2</v>
      </c>
      <c r="P23" s="237" t="s">
        <v>2</v>
      </c>
      <c r="Q23" s="237" t="s">
        <v>2</v>
      </c>
      <c r="R23" s="237" t="s">
        <v>2</v>
      </c>
      <c r="S23" s="237" t="s">
        <v>2</v>
      </c>
      <c r="T23" s="237" t="s">
        <v>2</v>
      </c>
      <c r="U23" s="237" t="s">
        <v>2</v>
      </c>
      <c r="V23" s="237" t="s">
        <v>2</v>
      </c>
      <c r="X23" s="236" t="s">
        <v>1862</v>
      </c>
      <c r="Y23" s="236" t="s">
        <v>2</v>
      </c>
      <c r="Z23" s="236" t="s">
        <v>2</v>
      </c>
      <c r="AA23" s="236" t="s">
        <v>2</v>
      </c>
      <c r="AB23" s="236" t="s">
        <v>2</v>
      </c>
      <c r="AC23" s="236" t="s">
        <v>2</v>
      </c>
      <c r="AD23" s="236" t="s">
        <v>2</v>
      </c>
      <c r="AE23" s="236" t="s">
        <v>2</v>
      </c>
      <c r="AF23" s="236" t="s">
        <v>2</v>
      </c>
      <c r="AG23" s="236" t="s">
        <v>2</v>
      </c>
      <c r="AJ23" s="193" t="s">
        <v>1689</v>
      </c>
      <c r="AK23" s="237" t="str">
        <f t="shared" ref="AK23:AS23" si="15">IF(AK5="-","-",AK5+0.15%)</f>
        <v>-</v>
      </c>
      <c r="AL23" s="237" t="str">
        <f t="shared" si="15"/>
        <v>-</v>
      </c>
      <c r="AM23" s="237" t="str">
        <f t="shared" si="15"/>
        <v>-</v>
      </c>
      <c r="AN23" s="237" t="str">
        <f t="shared" si="15"/>
        <v>-</v>
      </c>
      <c r="AO23" s="237" t="str">
        <f t="shared" si="15"/>
        <v>-</v>
      </c>
      <c r="AP23" s="237" t="str">
        <f t="shared" si="15"/>
        <v>-</v>
      </c>
      <c r="AQ23" s="237" t="str">
        <f t="shared" si="15"/>
        <v>-</v>
      </c>
      <c r="AR23" s="237" t="str">
        <f t="shared" si="15"/>
        <v>-</v>
      </c>
      <c r="AS23" s="237" t="str">
        <f t="shared" si="15"/>
        <v>-</v>
      </c>
    </row>
    <row r="24" spans="1:45" x14ac:dyDescent="0.25">
      <c r="B24" s="193" t="s">
        <v>1687</v>
      </c>
      <c r="C24" s="552" t="str">
        <f t="shared" ref="C24:K24" si="16">IF(C7="-","-",C7+0.8%)</f>
        <v>-</v>
      </c>
      <c r="D24" s="552" t="str">
        <f t="shared" si="16"/>
        <v>-</v>
      </c>
      <c r="E24" s="552" t="str">
        <f t="shared" si="16"/>
        <v>-</v>
      </c>
      <c r="F24" s="552" t="str">
        <f t="shared" si="16"/>
        <v>-</v>
      </c>
      <c r="G24" s="552" t="str">
        <f t="shared" si="16"/>
        <v>-</v>
      </c>
      <c r="H24" s="552" t="str">
        <f t="shared" si="16"/>
        <v>-</v>
      </c>
      <c r="I24" s="552" t="str">
        <f t="shared" si="16"/>
        <v>-</v>
      </c>
      <c r="J24" s="552" t="str">
        <f t="shared" si="16"/>
        <v>-</v>
      </c>
      <c r="K24" s="552" t="str">
        <f t="shared" si="16"/>
        <v>-</v>
      </c>
      <c r="M24" s="238"/>
      <c r="N24" s="238"/>
      <c r="O24" s="238"/>
      <c r="P24" s="238"/>
      <c r="Q24" s="238"/>
      <c r="R24" s="238"/>
      <c r="S24" s="238"/>
      <c r="T24" s="238"/>
      <c r="U24" s="238"/>
      <c r="V24" s="238"/>
      <c r="AJ24" s="193" t="s">
        <v>1688</v>
      </c>
      <c r="AK24" s="237" t="str">
        <f t="shared" ref="AK24:AS24" si="17">IF(AK6="-","-",AK6+0.15%)</f>
        <v>-</v>
      </c>
      <c r="AL24" s="237" t="str">
        <f t="shared" si="17"/>
        <v>-</v>
      </c>
      <c r="AM24" s="237" t="str">
        <f t="shared" si="17"/>
        <v>-</v>
      </c>
      <c r="AN24" s="237" t="str">
        <f t="shared" si="17"/>
        <v>-</v>
      </c>
      <c r="AO24" s="237" t="str">
        <f t="shared" si="17"/>
        <v>-</v>
      </c>
      <c r="AP24" s="237" t="str">
        <f t="shared" si="17"/>
        <v>-</v>
      </c>
      <c r="AQ24" s="237" t="str">
        <f t="shared" si="17"/>
        <v>-</v>
      </c>
      <c r="AR24" s="237" t="str">
        <f t="shared" si="17"/>
        <v>-</v>
      </c>
      <c r="AS24" s="237" t="str">
        <f t="shared" si="17"/>
        <v>-</v>
      </c>
    </row>
    <row r="25" spans="1:45" x14ac:dyDescent="0.25">
      <c r="B25" s="193" t="s">
        <v>1686</v>
      </c>
      <c r="C25" s="552" t="str">
        <f t="shared" ref="C25:K25" si="18">IF(C8="-","-",C8+0.8%)</f>
        <v>-</v>
      </c>
      <c r="D25" s="552" t="str">
        <f t="shared" si="18"/>
        <v>-</v>
      </c>
      <c r="E25" s="552" t="str">
        <f t="shared" si="18"/>
        <v>-</v>
      </c>
      <c r="F25" s="552" t="str">
        <f t="shared" si="18"/>
        <v>-</v>
      </c>
      <c r="G25" s="552" t="str">
        <f t="shared" si="18"/>
        <v>-</v>
      </c>
      <c r="H25" s="552" t="str">
        <f t="shared" si="18"/>
        <v>-</v>
      </c>
      <c r="I25" s="552" t="str">
        <f t="shared" si="18"/>
        <v>-</v>
      </c>
      <c r="J25" s="552" t="str">
        <f t="shared" si="18"/>
        <v>-</v>
      </c>
      <c r="K25" s="552" t="str">
        <f t="shared" si="18"/>
        <v>-</v>
      </c>
      <c r="M25" s="238"/>
      <c r="N25" s="238"/>
      <c r="O25" s="238"/>
      <c r="P25" s="238"/>
      <c r="Q25" s="238"/>
      <c r="R25" s="238"/>
      <c r="S25" s="238"/>
      <c r="T25" s="238"/>
      <c r="U25" s="238"/>
      <c r="V25" s="238"/>
      <c r="AJ25" s="193" t="s">
        <v>1687</v>
      </c>
      <c r="AK25" s="237" t="str">
        <f t="shared" ref="AK25:AS25" si="19">IF(AK7="-","-",AK7+0.15%)</f>
        <v>-</v>
      </c>
      <c r="AL25" s="237" t="str">
        <f t="shared" si="19"/>
        <v>-</v>
      </c>
      <c r="AM25" s="237" t="str">
        <f t="shared" si="19"/>
        <v>-</v>
      </c>
      <c r="AN25" s="237" t="str">
        <f t="shared" si="19"/>
        <v>-</v>
      </c>
      <c r="AO25" s="237" t="str">
        <f t="shared" si="19"/>
        <v>-</v>
      </c>
      <c r="AP25" s="237" t="str">
        <f t="shared" si="19"/>
        <v>-</v>
      </c>
      <c r="AQ25" s="237" t="str">
        <f t="shared" si="19"/>
        <v>-</v>
      </c>
      <c r="AR25" s="237" t="str">
        <f t="shared" si="19"/>
        <v>-</v>
      </c>
      <c r="AS25" s="237" t="str">
        <f t="shared" si="19"/>
        <v>-</v>
      </c>
    </row>
    <row r="26" spans="1:45" x14ac:dyDescent="0.25">
      <c r="B26" s="193" t="s">
        <v>1476</v>
      </c>
      <c r="C26" s="552">
        <f t="shared" ref="C26:K26" si="20">IF(C9="-","-",C9+0.8%)</f>
        <v>8.3150000000000002E-2</v>
      </c>
      <c r="D26" s="552">
        <f t="shared" si="20"/>
        <v>8.3400000000000002E-2</v>
      </c>
      <c r="E26" s="552">
        <f t="shared" si="20"/>
        <v>8.4400000000000003E-2</v>
      </c>
      <c r="F26" s="552">
        <f t="shared" si="20"/>
        <v>8.5150000000000003E-2</v>
      </c>
      <c r="G26" s="552">
        <f t="shared" si="20"/>
        <v>8.6900000000000005E-2</v>
      </c>
      <c r="H26" s="552">
        <f t="shared" si="20"/>
        <v>8.9400000000000007E-2</v>
      </c>
      <c r="I26" s="552">
        <f t="shared" si="20"/>
        <v>9.4400000000000012E-2</v>
      </c>
      <c r="J26" s="552" t="str">
        <f t="shared" si="20"/>
        <v>-</v>
      </c>
      <c r="K26" s="552" t="str">
        <f t="shared" si="20"/>
        <v>-</v>
      </c>
      <c r="M26" s="804" t="s">
        <v>1861</v>
      </c>
      <c r="N26" s="804"/>
      <c r="O26" s="804"/>
      <c r="P26" s="804"/>
      <c r="Q26" s="804"/>
      <c r="R26" s="804"/>
      <c r="S26" s="804"/>
      <c r="T26" s="804"/>
      <c r="U26" s="804"/>
      <c r="V26" s="804"/>
      <c r="X26" s="805" t="s">
        <v>1861</v>
      </c>
      <c r="Y26" s="805"/>
      <c r="Z26" s="805"/>
      <c r="AA26" s="805"/>
      <c r="AB26" s="805"/>
      <c r="AC26" s="805"/>
      <c r="AD26" s="805"/>
      <c r="AE26" s="805"/>
      <c r="AF26" s="805"/>
      <c r="AG26" s="805"/>
      <c r="AJ26" s="193" t="s">
        <v>1686</v>
      </c>
      <c r="AK26" s="237" t="str">
        <f t="shared" ref="AK26:AS26" si="21">IF(AK8="-","-",AK8+0.15%)</f>
        <v>-</v>
      </c>
      <c r="AL26" s="237" t="str">
        <f t="shared" si="21"/>
        <v>-</v>
      </c>
      <c r="AM26" s="237" t="str">
        <f t="shared" si="21"/>
        <v>-</v>
      </c>
      <c r="AN26" s="237" t="str">
        <f t="shared" si="21"/>
        <v>-</v>
      </c>
      <c r="AO26" s="237" t="str">
        <f t="shared" si="21"/>
        <v>-</v>
      </c>
      <c r="AP26" s="237" t="str">
        <f t="shared" si="21"/>
        <v>-</v>
      </c>
      <c r="AQ26" s="237" t="str">
        <f t="shared" si="21"/>
        <v>-</v>
      </c>
      <c r="AR26" s="237" t="str">
        <f t="shared" si="21"/>
        <v>-</v>
      </c>
      <c r="AS26" s="237" t="str">
        <f t="shared" si="21"/>
        <v>-</v>
      </c>
    </row>
    <row r="27" spans="1:45" x14ac:dyDescent="0.25">
      <c r="B27" s="193" t="s">
        <v>1685</v>
      </c>
      <c r="C27" s="552">
        <f t="shared" ref="C27:K27" si="22">IF(C10="-","-",C10+0.8%)</f>
        <v>8.2900000000000001E-2</v>
      </c>
      <c r="D27" s="552">
        <f t="shared" si="22"/>
        <v>8.2900000000000001E-2</v>
      </c>
      <c r="E27" s="552">
        <f t="shared" si="22"/>
        <v>8.3650000000000002E-2</v>
      </c>
      <c r="F27" s="552">
        <f t="shared" si="22"/>
        <v>8.4400000000000003E-2</v>
      </c>
      <c r="G27" s="552">
        <f t="shared" si="22"/>
        <v>8.5150000000000003E-2</v>
      </c>
      <c r="H27" s="552">
        <f t="shared" si="22"/>
        <v>8.6900000000000005E-2</v>
      </c>
      <c r="I27" s="552">
        <f t="shared" si="22"/>
        <v>9.1900000000000009E-2</v>
      </c>
      <c r="J27" s="552" t="str">
        <f t="shared" si="22"/>
        <v>-</v>
      </c>
      <c r="K27" s="552" t="str">
        <f t="shared" si="22"/>
        <v>-</v>
      </c>
      <c r="M27" s="237" t="s">
        <v>1860</v>
      </c>
      <c r="N27" s="237">
        <v>0</v>
      </c>
      <c r="O27" s="237">
        <v>0</v>
      </c>
      <c r="P27" s="237">
        <v>0</v>
      </c>
      <c r="Q27" s="237">
        <v>0</v>
      </c>
      <c r="R27" s="237">
        <v>0</v>
      </c>
      <c r="S27" s="237">
        <v>0</v>
      </c>
      <c r="T27" s="237">
        <v>0</v>
      </c>
      <c r="U27" s="237" t="s">
        <v>2</v>
      </c>
      <c r="V27" s="237" t="s">
        <v>2</v>
      </c>
      <c r="X27" s="236" t="s">
        <v>1860</v>
      </c>
      <c r="Y27" s="236">
        <v>0</v>
      </c>
      <c r="Z27" s="236">
        <v>0</v>
      </c>
      <c r="AA27" s="236">
        <v>0</v>
      </c>
      <c r="AB27" s="236">
        <v>0</v>
      </c>
      <c r="AC27" s="236">
        <v>0</v>
      </c>
      <c r="AD27" s="236">
        <v>0</v>
      </c>
      <c r="AE27" s="236">
        <v>0</v>
      </c>
      <c r="AF27" s="236"/>
      <c r="AG27" s="236"/>
      <c r="AJ27" s="193" t="s">
        <v>1476</v>
      </c>
      <c r="AK27" s="237">
        <v>7.5149999999999995E-2</v>
      </c>
      <c r="AL27" s="237">
        <v>7.5400000000000009E-2</v>
      </c>
      <c r="AM27" s="237">
        <v>7.6399999999999996E-2</v>
      </c>
      <c r="AN27" s="237">
        <v>7.7149999999999996E-2</v>
      </c>
      <c r="AO27" s="237">
        <v>7.8899999999999998E-2</v>
      </c>
      <c r="AP27" s="237">
        <v>8.14E-2</v>
      </c>
      <c r="AQ27" s="237">
        <v>8.6400000000000005E-2</v>
      </c>
      <c r="AR27" s="237" t="str">
        <f t="shared" ref="AR27:AS27" si="23">IF(AR9="-","-",AR9+0.15%)</f>
        <v>-</v>
      </c>
      <c r="AS27" s="237" t="str">
        <f t="shared" si="23"/>
        <v>-</v>
      </c>
    </row>
    <row r="28" spans="1:45" x14ac:dyDescent="0.25">
      <c r="B28" s="193" t="s">
        <v>1684</v>
      </c>
      <c r="C28" s="552">
        <f t="shared" ref="C28:K28" si="24">IF(C11="-","-",C11+0.8%)</f>
        <v>8.1900000000000001E-2</v>
      </c>
      <c r="D28" s="552">
        <f t="shared" si="24"/>
        <v>8.1900000000000001E-2</v>
      </c>
      <c r="E28" s="552">
        <f t="shared" si="24"/>
        <v>8.2150000000000001E-2</v>
      </c>
      <c r="F28" s="552">
        <f t="shared" si="24"/>
        <v>8.2150000000000001E-2</v>
      </c>
      <c r="G28" s="552">
        <f t="shared" si="24"/>
        <v>8.3150000000000002E-2</v>
      </c>
      <c r="H28" s="552">
        <f t="shared" si="24"/>
        <v>8.4150000000000003E-2</v>
      </c>
      <c r="I28" s="552">
        <f t="shared" si="24"/>
        <v>8.9150000000000007E-2</v>
      </c>
      <c r="J28" s="552" t="str">
        <f t="shared" si="24"/>
        <v>-</v>
      </c>
      <c r="K28" s="552" t="str">
        <f t="shared" si="24"/>
        <v>-</v>
      </c>
      <c r="M28" s="237" t="s">
        <v>1859</v>
      </c>
      <c r="N28" s="237" t="s">
        <v>2</v>
      </c>
      <c r="O28" s="237" t="s">
        <v>2</v>
      </c>
      <c r="P28" s="237" t="s">
        <v>2</v>
      </c>
      <c r="Q28" s="237" t="s">
        <v>2</v>
      </c>
      <c r="R28" s="237" t="s">
        <v>2</v>
      </c>
      <c r="S28" s="237" t="s">
        <v>2</v>
      </c>
      <c r="T28" s="237" t="s">
        <v>2</v>
      </c>
      <c r="U28" s="237" t="s">
        <v>2</v>
      </c>
      <c r="V28" s="237" t="s">
        <v>2</v>
      </c>
      <c r="X28" s="236" t="s">
        <v>1859</v>
      </c>
      <c r="Y28" s="236" t="s">
        <v>2</v>
      </c>
      <c r="Z28" s="236" t="s">
        <v>2</v>
      </c>
      <c r="AA28" s="236" t="s">
        <v>2</v>
      </c>
      <c r="AB28" s="236" t="s">
        <v>2</v>
      </c>
      <c r="AC28" s="236" t="s">
        <v>2</v>
      </c>
      <c r="AD28" s="236" t="s">
        <v>2</v>
      </c>
      <c r="AE28" s="236" t="s">
        <v>2</v>
      </c>
      <c r="AF28" s="236"/>
      <c r="AG28" s="236"/>
      <c r="AJ28" s="193" t="s">
        <v>1685</v>
      </c>
      <c r="AK28" s="237">
        <v>7.4899999999999994E-2</v>
      </c>
      <c r="AL28" s="237">
        <v>7.4899999999999994E-2</v>
      </c>
      <c r="AM28" s="237">
        <v>7.5649999999999995E-2</v>
      </c>
      <c r="AN28" s="237">
        <v>7.6399999999999996E-2</v>
      </c>
      <c r="AO28" s="237">
        <v>7.7149999999999996E-2</v>
      </c>
      <c r="AP28" s="237">
        <v>7.8899999999999998E-2</v>
      </c>
      <c r="AQ28" s="237">
        <v>8.3900000000000002E-2</v>
      </c>
      <c r="AR28" s="237" t="str">
        <f t="shared" ref="AR28:AS28" si="25">IF(AR10="-","-",AR10+0.15%)</f>
        <v>-</v>
      </c>
      <c r="AS28" s="237" t="str">
        <f t="shared" si="25"/>
        <v>-</v>
      </c>
    </row>
    <row r="29" spans="1:45" x14ac:dyDescent="0.25">
      <c r="B29" s="193" t="s">
        <v>1683</v>
      </c>
      <c r="C29" s="552">
        <f t="shared" ref="C29:K29" si="26">IF(C12="-","-",C12+0.8%)</f>
        <v>8.09E-2</v>
      </c>
      <c r="D29" s="552">
        <f t="shared" si="26"/>
        <v>8.115E-2</v>
      </c>
      <c r="E29" s="552">
        <f t="shared" si="26"/>
        <v>8.14E-2</v>
      </c>
      <c r="F29" s="552">
        <f t="shared" si="26"/>
        <v>8.165E-2</v>
      </c>
      <c r="G29" s="552">
        <f t="shared" si="26"/>
        <v>8.1900000000000001E-2</v>
      </c>
      <c r="H29" s="552">
        <f t="shared" si="26"/>
        <v>8.2900000000000001E-2</v>
      </c>
      <c r="I29" s="552">
        <f t="shared" si="26"/>
        <v>8.7900000000000006E-2</v>
      </c>
      <c r="J29" s="552" t="str">
        <f t="shared" si="26"/>
        <v>-</v>
      </c>
      <c r="K29" s="552" t="str">
        <f t="shared" si="26"/>
        <v>-</v>
      </c>
      <c r="M29" s="237" t="s">
        <v>1858</v>
      </c>
      <c r="N29" s="552">
        <v>-1E-3</v>
      </c>
      <c r="O29" s="552">
        <v>-1E-3</v>
      </c>
      <c r="P29" s="552">
        <v>-1E-3</v>
      </c>
      <c r="Q29" s="552">
        <v>-1E-3</v>
      </c>
      <c r="R29" s="552">
        <v>-1E-3</v>
      </c>
      <c r="S29" s="552">
        <v>-1E-3</v>
      </c>
      <c r="T29" s="552">
        <v>-1E-3</v>
      </c>
      <c r="U29" s="552" t="s">
        <v>2</v>
      </c>
      <c r="V29" s="552" t="s">
        <v>2</v>
      </c>
      <c r="X29" s="236" t="s">
        <v>1858</v>
      </c>
      <c r="Y29" s="552">
        <v>-1E-3</v>
      </c>
      <c r="Z29" s="552">
        <v>-1E-3</v>
      </c>
      <c r="AA29" s="552">
        <v>-1E-3</v>
      </c>
      <c r="AB29" s="552">
        <v>-1E-3</v>
      </c>
      <c r="AC29" s="552">
        <v>-1E-3</v>
      </c>
      <c r="AD29" s="552">
        <v>-1E-3</v>
      </c>
      <c r="AE29" s="552">
        <v>-1E-3</v>
      </c>
      <c r="AF29" s="236"/>
      <c r="AG29" s="236"/>
      <c r="AJ29" s="193" t="s">
        <v>1684</v>
      </c>
      <c r="AK29" s="237">
        <v>7.3900000000000007E-2</v>
      </c>
      <c r="AL29" s="237">
        <v>7.3900000000000007E-2</v>
      </c>
      <c r="AM29" s="237">
        <v>7.4150000000000008E-2</v>
      </c>
      <c r="AN29" s="237">
        <v>7.4150000000000008E-2</v>
      </c>
      <c r="AO29" s="237">
        <v>7.5149999999999995E-2</v>
      </c>
      <c r="AP29" s="237">
        <v>7.6149999999999995E-2</v>
      </c>
      <c r="AQ29" s="237">
        <v>8.115E-2</v>
      </c>
      <c r="AR29" s="237" t="str">
        <f t="shared" ref="AR29:AS29" si="27">IF(AR11="-","-",AR11+0.15%)</f>
        <v>-</v>
      </c>
      <c r="AS29" s="237" t="str">
        <f t="shared" si="27"/>
        <v>-</v>
      </c>
    </row>
    <row r="30" spans="1:45" x14ac:dyDescent="0.25">
      <c r="B30" s="193" t="s">
        <v>1682</v>
      </c>
      <c r="C30" s="552">
        <f t="shared" ref="C30:K30" si="28">IF(C13="-","-",C13+0.8%)</f>
        <v>8.0399999999999999E-2</v>
      </c>
      <c r="D30" s="552">
        <f t="shared" si="28"/>
        <v>8.0399999999999999E-2</v>
      </c>
      <c r="E30" s="552">
        <f t="shared" si="28"/>
        <v>8.0524999999999985E-2</v>
      </c>
      <c r="F30" s="552">
        <f t="shared" si="28"/>
        <v>8.0649999999999999E-2</v>
      </c>
      <c r="G30" s="552">
        <f t="shared" si="28"/>
        <v>8.1850000000000006E-2</v>
      </c>
      <c r="H30" s="552">
        <f t="shared" si="28"/>
        <v>8.1900000000000001E-2</v>
      </c>
      <c r="I30" s="552">
        <f t="shared" si="28"/>
        <v>8.6900000000000005E-2</v>
      </c>
      <c r="J30" s="552" t="str">
        <f t="shared" si="28"/>
        <v>-</v>
      </c>
      <c r="K30" s="552" t="str">
        <f t="shared" si="28"/>
        <v>-</v>
      </c>
      <c r="M30" s="237" t="s">
        <v>1857</v>
      </c>
      <c r="N30" s="552">
        <v>-5.0000000000000001E-4</v>
      </c>
      <c r="O30" s="552">
        <v>-5.0000000000000001E-4</v>
      </c>
      <c r="P30" s="552">
        <v>-5.0000000000000001E-4</v>
      </c>
      <c r="Q30" s="552">
        <v>-5.0000000000000001E-4</v>
      </c>
      <c r="R30" s="552">
        <v>-5.0000000000000001E-4</v>
      </c>
      <c r="S30" s="552">
        <v>-5.0000000000000001E-4</v>
      </c>
      <c r="T30" s="552">
        <v>-5.0000000000000001E-4</v>
      </c>
      <c r="U30" s="552" t="s">
        <v>2</v>
      </c>
      <c r="V30" s="552" t="s">
        <v>2</v>
      </c>
      <c r="X30" s="236" t="s">
        <v>1857</v>
      </c>
      <c r="Y30" s="552">
        <v>-5.0000000000000001E-4</v>
      </c>
      <c r="Z30" s="552">
        <v>-5.0000000000000001E-4</v>
      </c>
      <c r="AA30" s="552">
        <v>-5.0000000000000001E-4</v>
      </c>
      <c r="AB30" s="552">
        <v>-5.0000000000000001E-4</v>
      </c>
      <c r="AC30" s="552">
        <v>-5.0000000000000001E-4</v>
      </c>
      <c r="AD30" s="552">
        <v>-5.0000000000000001E-4</v>
      </c>
      <c r="AE30" s="552">
        <v>-5.0000000000000001E-4</v>
      </c>
      <c r="AF30" s="236"/>
      <c r="AG30" s="236"/>
      <c r="AJ30" s="193" t="s">
        <v>1683</v>
      </c>
      <c r="AK30" s="237">
        <v>7.2900000000000006E-2</v>
      </c>
      <c r="AL30" s="237">
        <v>7.3149999999999993E-2</v>
      </c>
      <c r="AM30" s="237">
        <v>7.3400000000000007E-2</v>
      </c>
      <c r="AN30" s="237">
        <v>7.3650000000000007E-2</v>
      </c>
      <c r="AO30" s="237">
        <v>7.3900000000000007E-2</v>
      </c>
      <c r="AP30" s="237">
        <v>7.4899999999999994E-2</v>
      </c>
      <c r="AQ30" s="237">
        <v>7.9899999999999999E-2</v>
      </c>
      <c r="AR30" s="237" t="str">
        <f t="shared" ref="AR30:AS30" si="29">IF(AR12="-","-",AR12+0.15%)</f>
        <v>-</v>
      </c>
      <c r="AS30" s="237" t="str">
        <f t="shared" si="29"/>
        <v>-</v>
      </c>
    </row>
    <row r="31" spans="1:45" x14ac:dyDescent="0.25">
      <c r="B31" s="193" t="s">
        <v>1681</v>
      </c>
      <c r="C31" s="552">
        <f t="shared" ref="C31:K31" si="30">IF(C14="-","-",C14+0.8%)</f>
        <v>8.0149999999999999E-2</v>
      </c>
      <c r="D31" s="552">
        <f t="shared" si="30"/>
        <v>8.0149999999999999E-2</v>
      </c>
      <c r="E31" s="552">
        <f t="shared" si="30"/>
        <v>8.0399999999999999E-2</v>
      </c>
      <c r="F31" s="552">
        <f t="shared" si="30"/>
        <v>8.0649999999999999E-2</v>
      </c>
      <c r="G31" s="552">
        <f t="shared" si="30"/>
        <v>8.1750000000000017E-2</v>
      </c>
      <c r="H31" s="552">
        <f t="shared" si="30"/>
        <v>8.1850000000000006E-2</v>
      </c>
      <c r="I31" s="552">
        <f t="shared" si="30"/>
        <v>8.6850000000000011E-2</v>
      </c>
      <c r="J31" s="552" t="str">
        <f t="shared" si="30"/>
        <v>-</v>
      </c>
      <c r="K31" s="552" t="str">
        <f t="shared" si="30"/>
        <v>-</v>
      </c>
      <c r="M31" s="237" t="s">
        <v>1856</v>
      </c>
      <c r="N31" s="552">
        <v>0</v>
      </c>
      <c r="O31" s="552">
        <v>0</v>
      </c>
      <c r="P31" s="552">
        <v>0</v>
      </c>
      <c r="Q31" s="552">
        <v>0</v>
      </c>
      <c r="R31" s="552">
        <v>0</v>
      </c>
      <c r="S31" s="552">
        <v>0</v>
      </c>
      <c r="T31" s="552">
        <v>0</v>
      </c>
      <c r="U31" s="552" t="s">
        <v>2</v>
      </c>
      <c r="V31" s="552" t="s">
        <v>2</v>
      </c>
      <c r="X31" s="236" t="s">
        <v>1856</v>
      </c>
      <c r="Y31" s="552">
        <v>0</v>
      </c>
      <c r="Z31" s="552">
        <v>0</v>
      </c>
      <c r="AA31" s="552">
        <v>0</v>
      </c>
      <c r="AB31" s="552">
        <v>0</v>
      </c>
      <c r="AC31" s="552">
        <v>0</v>
      </c>
      <c r="AD31" s="552">
        <v>0</v>
      </c>
      <c r="AE31" s="552">
        <v>0</v>
      </c>
      <c r="AF31" s="236"/>
      <c r="AG31" s="236"/>
      <c r="AJ31" s="193" t="s">
        <v>1682</v>
      </c>
      <c r="AK31" s="237">
        <v>7.2399999999999992E-2</v>
      </c>
      <c r="AL31" s="237">
        <v>7.2399999999999992E-2</v>
      </c>
      <c r="AM31" s="237">
        <v>7.2524999999999992E-2</v>
      </c>
      <c r="AN31" s="237">
        <v>7.2650000000000006E-2</v>
      </c>
      <c r="AO31" s="237">
        <v>7.3849999999999999E-2</v>
      </c>
      <c r="AP31" s="237">
        <v>7.3900000000000007E-2</v>
      </c>
      <c r="AQ31" s="237">
        <v>7.8900000000000012E-2</v>
      </c>
      <c r="AR31" s="237" t="str">
        <f t="shared" ref="AR31:AS31" si="31">IF(AR13="-","-",AR13+0.15%)</f>
        <v>-</v>
      </c>
      <c r="AS31" s="237" t="str">
        <f t="shared" si="31"/>
        <v>-</v>
      </c>
    </row>
    <row r="32" spans="1:45" x14ac:dyDescent="0.25">
      <c r="B32" s="193" t="s">
        <v>1680</v>
      </c>
      <c r="C32" s="552">
        <f t="shared" ref="C32:K32" si="32">IF(C15="-","-",C15+0.8%)</f>
        <v>7.9649999999999999E-2</v>
      </c>
      <c r="D32" s="552">
        <f t="shared" si="32"/>
        <v>7.9649999999999999E-2</v>
      </c>
      <c r="E32" s="552">
        <f t="shared" si="32"/>
        <v>7.9899999999999999E-2</v>
      </c>
      <c r="F32" s="552">
        <f t="shared" si="32"/>
        <v>8.0649999999999999E-2</v>
      </c>
      <c r="G32" s="552">
        <f t="shared" si="32"/>
        <v>8.165E-2</v>
      </c>
      <c r="H32" s="552">
        <f t="shared" si="32"/>
        <v>8.1750000000000017E-2</v>
      </c>
      <c r="I32" s="552">
        <f t="shared" si="32"/>
        <v>8.6750000000000022E-2</v>
      </c>
      <c r="J32" s="552" t="str">
        <f t="shared" si="32"/>
        <v>-</v>
      </c>
      <c r="K32" s="552" t="str">
        <f t="shared" si="32"/>
        <v>-</v>
      </c>
      <c r="M32" s="238"/>
      <c r="N32" s="238"/>
      <c r="O32" s="238"/>
      <c r="P32" s="238"/>
      <c r="Q32" s="238"/>
      <c r="R32" s="238"/>
      <c r="S32" s="238"/>
      <c r="T32" s="238"/>
      <c r="U32" s="238"/>
      <c r="V32" s="238"/>
      <c r="AJ32" s="193" t="s">
        <v>1681</v>
      </c>
      <c r="AK32" s="237">
        <v>7.2150000000000006E-2</v>
      </c>
      <c r="AL32" s="237">
        <v>7.2150000000000006E-2</v>
      </c>
      <c r="AM32" s="237">
        <v>7.2400000000000006E-2</v>
      </c>
      <c r="AN32" s="237">
        <v>7.2650000000000006E-2</v>
      </c>
      <c r="AO32" s="237">
        <v>7.375000000000001E-2</v>
      </c>
      <c r="AP32" s="237">
        <v>7.3849999999999999E-2</v>
      </c>
      <c r="AQ32" s="237">
        <v>7.8850000000000003E-2</v>
      </c>
      <c r="AR32" s="237" t="str">
        <f t="shared" ref="AR32:AS32" si="33">IF(AR14="-","-",AR14+0.15%)</f>
        <v>-</v>
      </c>
      <c r="AS32" s="237" t="str">
        <f t="shared" si="33"/>
        <v>-</v>
      </c>
    </row>
    <row r="33" spans="1:45" x14ac:dyDescent="0.25">
      <c r="B33" s="193" t="s">
        <v>1679</v>
      </c>
      <c r="C33" s="552">
        <f t="shared" ref="C33:K33" si="34">IF(C16="-","-",C16+0.8%)</f>
        <v>8.5650000000000004E-2</v>
      </c>
      <c r="D33" s="552">
        <f t="shared" si="34"/>
        <v>8.5900000000000004E-2</v>
      </c>
      <c r="E33" s="552">
        <f t="shared" si="34"/>
        <v>8.6150000000000004E-2</v>
      </c>
      <c r="F33" s="552">
        <f t="shared" si="34"/>
        <v>8.6150000000000004E-2</v>
      </c>
      <c r="G33" s="552">
        <f t="shared" si="34"/>
        <v>8.6400000000000005E-2</v>
      </c>
      <c r="H33" s="552">
        <f t="shared" si="34"/>
        <v>8.6650000000000005E-2</v>
      </c>
      <c r="I33" s="552">
        <f t="shared" si="34"/>
        <v>9.1650000000000009E-2</v>
      </c>
      <c r="J33" s="552" t="str">
        <f t="shared" si="34"/>
        <v>-</v>
      </c>
      <c r="K33" s="552" t="str">
        <f t="shared" si="34"/>
        <v>-</v>
      </c>
      <c r="M33" s="238"/>
      <c r="N33" s="238"/>
      <c r="O33" s="238"/>
      <c r="P33" s="238"/>
      <c r="Q33" s="238"/>
      <c r="R33" s="238"/>
      <c r="S33" s="238"/>
      <c r="T33" s="238"/>
      <c r="U33" s="238"/>
      <c r="V33" s="238"/>
      <c r="AJ33" s="193" t="s">
        <v>1680</v>
      </c>
      <c r="AK33" s="237">
        <v>7.1650000000000005E-2</v>
      </c>
      <c r="AL33" s="237">
        <v>7.1650000000000005E-2</v>
      </c>
      <c r="AM33" s="237">
        <v>7.1900000000000006E-2</v>
      </c>
      <c r="AN33" s="237">
        <v>7.2650000000000006E-2</v>
      </c>
      <c r="AO33" s="237">
        <v>7.3649999999999993E-2</v>
      </c>
      <c r="AP33" s="237">
        <v>7.375000000000001E-2</v>
      </c>
      <c r="AQ33" s="237">
        <v>7.8750000000000014E-2</v>
      </c>
      <c r="AR33" s="237" t="str">
        <f t="shared" ref="AR33:AS33" si="35">IF(AR15="-","-",AR15+0.15%)</f>
        <v>-</v>
      </c>
      <c r="AS33" s="237" t="str">
        <f t="shared" si="35"/>
        <v>-</v>
      </c>
    </row>
    <row r="34" spans="1:45" x14ac:dyDescent="0.25">
      <c r="M34" s="804" t="s">
        <v>1855</v>
      </c>
      <c r="N34" s="804"/>
      <c r="O34" s="804"/>
      <c r="P34" s="804"/>
      <c r="Q34" s="804"/>
      <c r="R34" s="804"/>
      <c r="S34" s="804"/>
      <c r="T34" s="804"/>
      <c r="U34" s="804"/>
      <c r="V34" s="804"/>
      <c r="X34" s="805" t="s">
        <v>1855</v>
      </c>
      <c r="Y34" s="805"/>
      <c r="Z34" s="805"/>
      <c r="AA34" s="805"/>
      <c r="AB34" s="805"/>
      <c r="AC34" s="805"/>
      <c r="AD34" s="805"/>
      <c r="AE34" s="805"/>
      <c r="AF34" s="805"/>
      <c r="AG34" s="805"/>
      <c r="AJ34" s="193" t="s">
        <v>1679</v>
      </c>
      <c r="AK34" s="237">
        <v>7.7649999999999997E-2</v>
      </c>
      <c r="AL34" s="237">
        <v>7.7899999999999997E-2</v>
      </c>
      <c r="AM34" s="237">
        <v>7.8149999999999997E-2</v>
      </c>
      <c r="AN34" s="237">
        <v>7.8149999999999997E-2</v>
      </c>
      <c r="AO34" s="237">
        <v>7.8399999999999997E-2</v>
      </c>
      <c r="AP34" s="237">
        <v>7.8649999999999998E-2</v>
      </c>
      <c r="AQ34" s="237">
        <v>8.3650000000000002E-2</v>
      </c>
      <c r="AR34" s="237" t="str">
        <f t="shared" ref="AR34:AS34" si="36">IF(AR16="-","-",AR16+0.15%)</f>
        <v>-</v>
      </c>
      <c r="AS34" s="237" t="str">
        <f t="shared" si="36"/>
        <v>-</v>
      </c>
    </row>
    <row r="35" spans="1:45" x14ac:dyDescent="0.25">
      <c r="A35" s="809">
        <f>'DSCR (Port Loan)'!$C$9</f>
        <v>0</v>
      </c>
      <c r="B35" s="794" t="s">
        <v>1854</v>
      </c>
      <c r="C35" s="794"/>
      <c r="D35" s="794"/>
      <c r="E35" s="794"/>
      <c r="F35" s="794"/>
      <c r="G35" s="794"/>
      <c r="H35" s="794"/>
      <c r="I35" s="794"/>
      <c r="J35" s="794"/>
      <c r="K35" s="794"/>
      <c r="M35" s="237" t="s">
        <v>1853</v>
      </c>
      <c r="N35" s="237">
        <v>0</v>
      </c>
      <c r="O35" s="237">
        <v>0</v>
      </c>
      <c r="P35" s="237">
        <v>0</v>
      </c>
      <c r="Q35" s="237">
        <v>0</v>
      </c>
      <c r="R35" s="237">
        <v>0</v>
      </c>
      <c r="S35" s="237">
        <v>0</v>
      </c>
      <c r="T35" s="237">
        <v>0</v>
      </c>
      <c r="U35" s="237" t="s">
        <v>2</v>
      </c>
      <c r="V35" s="237" t="s">
        <v>2</v>
      </c>
      <c r="X35" s="236" t="s">
        <v>1853</v>
      </c>
      <c r="Y35" s="237">
        <v>0</v>
      </c>
      <c r="Z35" s="237">
        <v>0</v>
      </c>
      <c r="AA35" s="237">
        <v>0</v>
      </c>
      <c r="AB35" s="237">
        <v>0</v>
      </c>
      <c r="AC35" s="237">
        <v>0</v>
      </c>
      <c r="AD35" s="237">
        <v>0</v>
      </c>
      <c r="AE35" s="237">
        <v>0</v>
      </c>
      <c r="AF35" s="236"/>
      <c r="AG35" s="236"/>
    </row>
    <row r="36" spans="1:45" x14ac:dyDescent="0.25">
      <c r="A36" s="810"/>
      <c r="B36" s="243">
        <v>104</v>
      </c>
      <c r="C36" s="195" t="s">
        <v>1640</v>
      </c>
      <c r="D36" s="195" t="s">
        <v>1639</v>
      </c>
      <c r="E36" s="195" t="s">
        <v>1638</v>
      </c>
      <c r="F36" s="195" t="s">
        <v>1637</v>
      </c>
      <c r="G36" s="195" t="s">
        <v>1636</v>
      </c>
      <c r="H36" s="195" t="s">
        <v>1635</v>
      </c>
      <c r="I36" s="195" t="s">
        <v>1634</v>
      </c>
      <c r="J36" s="195" t="s">
        <v>1841</v>
      </c>
      <c r="K36" s="195" t="s">
        <v>1840</v>
      </c>
      <c r="M36" s="237" t="s">
        <v>1852</v>
      </c>
      <c r="N36" s="237">
        <v>1.5E-3</v>
      </c>
      <c r="O36" s="237">
        <v>1.5E-3</v>
      </c>
      <c r="P36" s="237">
        <v>1.5E-3</v>
      </c>
      <c r="Q36" s="237">
        <v>1.5E-3</v>
      </c>
      <c r="R36" s="237">
        <v>1.5E-3</v>
      </c>
      <c r="S36" s="237">
        <v>1.5E-3</v>
      </c>
      <c r="T36" s="237">
        <v>1.5E-3</v>
      </c>
      <c r="U36" s="237" t="s">
        <v>2</v>
      </c>
      <c r="V36" s="237" t="s">
        <v>2</v>
      </c>
      <c r="X36" s="236" t="s">
        <v>1852</v>
      </c>
      <c r="Y36" s="237">
        <v>1.5E-3</v>
      </c>
      <c r="Z36" s="237">
        <v>1.5E-3</v>
      </c>
      <c r="AA36" s="237">
        <v>1.5E-3</v>
      </c>
      <c r="AB36" s="237">
        <v>1.5E-3</v>
      </c>
      <c r="AC36" s="237">
        <v>1.5E-3</v>
      </c>
      <c r="AD36" s="237">
        <v>1.5E-3</v>
      </c>
      <c r="AE36" s="237">
        <v>1.5E-3</v>
      </c>
      <c r="AF36" s="236"/>
      <c r="AG36" s="236"/>
    </row>
    <row r="37" spans="1:45" x14ac:dyDescent="0.25">
      <c r="B37" s="239" t="s">
        <v>1691</v>
      </c>
      <c r="C37" s="241" t="str">
        <f t="shared" ref="C37:K37" si="37">IF(C3="-","-",C3+($A$35/$A$1))</f>
        <v>-</v>
      </c>
      <c r="D37" s="241" t="str">
        <f t="shared" si="37"/>
        <v>-</v>
      </c>
      <c r="E37" s="241" t="str">
        <f t="shared" si="37"/>
        <v>-</v>
      </c>
      <c r="F37" s="241" t="str">
        <f t="shared" si="37"/>
        <v>-</v>
      </c>
      <c r="G37" s="241" t="str">
        <f t="shared" si="37"/>
        <v>-</v>
      </c>
      <c r="H37" s="241" t="str">
        <f t="shared" si="37"/>
        <v>-</v>
      </c>
      <c r="I37" s="241" t="str">
        <f t="shared" si="37"/>
        <v>-</v>
      </c>
      <c r="J37" s="241" t="str">
        <f t="shared" si="37"/>
        <v>-</v>
      </c>
      <c r="K37" s="241" t="str">
        <f t="shared" si="37"/>
        <v>-</v>
      </c>
      <c r="M37" s="237" t="s">
        <v>1851</v>
      </c>
      <c r="N37" s="237">
        <v>1.25E-3</v>
      </c>
      <c r="O37" s="237">
        <v>1.25E-3</v>
      </c>
      <c r="P37" s="237">
        <v>1.25E-3</v>
      </c>
      <c r="Q37" s="237">
        <v>1.25E-3</v>
      </c>
      <c r="R37" s="237">
        <v>1.25E-3</v>
      </c>
      <c r="S37" s="237">
        <v>1.25E-3</v>
      </c>
      <c r="T37" s="237">
        <v>1.25E-3</v>
      </c>
      <c r="U37" s="237" t="s">
        <v>2</v>
      </c>
      <c r="V37" s="237" t="s">
        <v>2</v>
      </c>
      <c r="X37" s="236" t="s">
        <v>1851</v>
      </c>
      <c r="Y37" s="237">
        <v>1.25E-3</v>
      </c>
      <c r="Z37" s="237">
        <v>1.25E-3</v>
      </c>
      <c r="AA37" s="237">
        <v>1.25E-3</v>
      </c>
      <c r="AB37" s="237">
        <v>1.25E-3</v>
      </c>
      <c r="AC37" s="237">
        <v>1.25E-3</v>
      </c>
      <c r="AD37" s="237">
        <v>1.25E-3</v>
      </c>
      <c r="AE37" s="237">
        <v>1.25E-3</v>
      </c>
      <c r="AF37" s="236"/>
      <c r="AG37" s="236"/>
    </row>
    <row r="38" spans="1:45" x14ac:dyDescent="0.25">
      <c r="B38" s="239" t="s">
        <v>1690</v>
      </c>
      <c r="C38" s="241" t="str">
        <f t="shared" ref="C38:K38" si="38">IF(C4="-","-",C4+($A$35/$A$1))</f>
        <v>-</v>
      </c>
      <c r="D38" s="241" t="str">
        <f t="shared" si="38"/>
        <v>-</v>
      </c>
      <c r="E38" s="241" t="str">
        <f t="shared" si="38"/>
        <v>-</v>
      </c>
      <c r="F38" s="241" t="str">
        <f t="shared" si="38"/>
        <v>-</v>
      </c>
      <c r="G38" s="241" t="str">
        <f t="shared" si="38"/>
        <v>-</v>
      </c>
      <c r="H38" s="241" t="str">
        <f t="shared" si="38"/>
        <v>-</v>
      </c>
      <c r="I38" s="241" t="str">
        <f t="shared" si="38"/>
        <v>-</v>
      </c>
      <c r="J38" s="241" t="str">
        <f t="shared" si="38"/>
        <v>-</v>
      </c>
      <c r="K38" s="241" t="str">
        <f t="shared" si="38"/>
        <v>-</v>
      </c>
      <c r="M38" s="237" t="s">
        <v>1850</v>
      </c>
      <c r="N38" s="237">
        <v>1E-3</v>
      </c>
      <c r="O38" s="237">
        <v>1E-3</v>
      </c>
      <c r="P38" s="237">
        <v>1E-3</v>
      </c>
      <c r="Q38" s="237">
        <v>1E-3</v>
      </c>
      <c r="R38" s="237">
        <v>1E-3</v>
      </c>
      <c r="S38" s="237">
        <v>1E-3</v>
      </c>
      <c r="T38" s="237">
        <v>1E-3</v>
      </c>
      <c r="U38" s="237" t="s">
        <v>2</v>
      </c>
      <c r="V38" s="237" t="s">
        <v>2</v>
      </c>
      <c r="X38" s="236" t="s">
        <v>1850</v>
      </c>
      <c r="Y38" s="237">
        <v>1E-3</v>
      </c>
      <c r="Z38" s="237">
        <v>1E-3</v>
      </c>
      <c r="AA38" s="237">
        <v>1E-3</v>
      </c>
      <c r="AB38" s="237">
        <v>1E-3</v>
      </c>
      <c r="AC38" s="237">
        <v>1E-3</v>
      </c>
      <c r="AD38" s="237">
        <v>1E-3</v>
      </c>
      <c r="AE38" s="237">
        <v>1E-3</v>
      </c>
      <c r="AF38" s="236"/>
      <c r="AG38" s="236"/>
    </row>
    <row r="39" spans="1:45" x14ac:dyDescent="0.25">
      <c r="B39" s="239" t="s">
        <v>1689</v>
      </c>
      <c r="C39" s="241" t="str">
        <f t="shared" ref="C39:K39" si="39">IF(C5="-","-",C5+($A$35/$A$1))</f>
        <v>-</v>
      </c>
      <c r="D39" s="241" t="str">
        <f t="shared" si="39"/>
        <v>-</v>
      </c>
      <c r="E39" s="241" t="str">
        <f t="shared" si="39"/>
        <v>-</v>
      </c>
      <c r="F39" s="241" t="str">
        <f t="shared" si="39"/>
        <v>-</v>
      </c>
      <c r="G39" s="241" t="str">
        <f t="shared" si="39"/>
        <v>-</v>
      </c>
      <c r="H39" s="241" t="str">
        <f t="shared" si="39"/>
        <v>-</v>
      </c>
      <c r="I39" s="241" t="str">
        <f t="shared" si="39"/>
        <v>-</v>
      </c>
      <c r="J39" s="241" t="str">
        <f t="shared" si="39"/>
        <v>-</v>
      </c>
      <c r="K39" s="241" t="str">
        <f t="shared" si="39"/>
        <v>-</v>
      </c>
      <c r="M39" s="238"/>
      <c r="N39" s="242"/>
      <c r="O39" s="242"/>
      <c r="P39" s="242"/>
      <c r="Q39" s="242"/>
      <c r="R39" s="242"/>
      <c r="S39" s="242"/>
      <c r="T39" s="242"/>
      <c r="U39" s="242"/>
      <c r="V39" s="242"/>
    </row>
    <row r="40" spans="1:45" x14ac:dyDescent="0.25">
      <c r="B40" s="239" t="s">
        <v>1688</v>
      </c>
      <c r="C40" s="241" t="str">
        <f t="shared" ref="C40:K40" si="40">IF(C6="-","-",C6+($A$35/$A$1))</f>
        <v>-</v>
      </c>
      <c r="D40" s="241" t="str">
        <f t="shared" si="40"/>
        <v>-</v>
      </c>
      <c r="E40" s="241" t="str">
        <f t="shared" si="40"/>
        <v>-</v>
      </c>
      <c r="F40" s="241" t="str">
        <f t="shared" si="40"/>
        <v>-</v>
      </c>
      <c r="G40" s="241" t="str">
        <f t="shared" si="40"/>
        <v>-</v>
      </c>
      <c r="H40" s="241" t="str">
        <f t="shared" si="40"/>
        <v>-</v>
      </c>
      <c r="I40" s="241" t="str">
        <f t="shared" si="40"/>
        <v>-</v>
      </c>
      <c r="J40" s="241" t="str">
        <f t="shared" si="40"/>
        <v>-</v>
      </c>
      <c r="K40" s="241" t="str">
        <f t="shared" si="40"/>
        <v>-</v>
      </c>
      <c r="M40" s="238"/>
      <c r="N40" s="238"/>
      <c r="O40" s="238"/>
      <c r="P40" s="238"/>
      <c r="Q40" s="238"/>
      <c r="R40" s="238"/>
      <c r="S40" s="238"/>
      <c r="T40" s="238"/>
      <c r="U40" s="238"/>
      <c r="V40" s="238"/>
    </row>
    <row r="41" spans="1:45" x14ac:dyDescent="0.25">
      <c r="B41" s="239" t="s">
        <v>1687</v>
      </c>
      <c r="C41" s="241" t="str">
        <f t="shared" ref="C41:K41" si="41">IF(C7="-","-",C7+($A$35/$A$1))</f>
        <v>-</v>
      </c>
      <c r="D41" s="241" t="str">
        <f t="shared" si="41"/>
        <v>-</v>
      </c>
      <c r="E41" s="241" t="str">
        <f t="shared" si="41"/>
        <v>-</v>
      </c>
      <c r="F41" s="241" t="str">
        <f t="shared" si="41"/>
        <v>-</v>
      </c>
      <c r="G41" s="241" t="str">
        <f t="shared" si="41"/>
        <v>-</v>
      </c>
      <c r="H41" s="241" t="str">
        <f t="shared" si="41"/>
        <v>-</v>
      </c>
      <c r="I41" s="241" t="str">
        <f t="shared" si="41"/>
        <v>-</v>
      </c>
      <c r="J41" s="241" t="str">
        <f t="shared" si="41"/>
        <v>-</v>
      </c>
      <c r="K41" s="241" t="str">
        <f t="shared" si="41"/>
        <v>-</v>
      </c>
      <c r="M41" s="804" t="s">
        <v>1849</v>
      </c>
      <c r="N41" s="804"/>
      <c r="O41" s="804"/>
      <c r="P41" s="804"/>
      <c r="Q41" s="804"/>
      <c r="R41" s="804"/>
      <c r="S41" s="804"/>
      <c r="T41" s="804"/>
      <c r="U41" s="804"/>
      <c r="V41" s="804"/>
      <c r="X41" s="805" t="s">
        <v>1849</v>
      </c>
      <c r="Y41" s="805"/>
      <c r="Z41" s="805"/>
      <c r="AA41" s="805"/>
      <c r="AB41" s="805"/>
      <c r="AC41" s="805"/>
      <c r="AD41" s="805"/>
      <c r="AE41" s="805"/>
      <c r="AF41" s="805"/>
      <c r="AG41" s="805"/>
    </row>
    <row r="42" spans="1:45" x14ac:dyDescent="0.25">
      <c r="B42" s="239" t="s">
        <v>1686</v>
      </c>
      <c r="C42" s="241" t="str">
        <f t="shared" ref="C42:K42" si="42">IF(C8="-","-",C8+($A$35/$A$1))</f>
        <v>-</v>
      </c>
      <c r="D42" s="241" t="str">
        <f t="shared" si="42"/>
        <v>-</v>
      </c>
      <c r="E42" s="241" t="str">
        <f t="shared" si="42"/>
        <v>-</v>
      </c>
      <c r="F42" s="241" t="str">
        <f t="shared" si="42"/>
        <v>-</v>
      </c>
      <c r="G42" s="241" t="str">
        <f t="shared" si="42"/>
        <v>-</v>
      </c>
      <c r="H42" s="241" t="str">
        <f t="shared" si="42"/>
        <v>-</v>
      </c>
      <c r="I42" s="241" t="str">
        <f t="shared" si="42"/>
        <v>-</v>
      </c>
      <c r="J42" s="241" t="str">
        <f t="shared" si="42"/>
        <v>-</v>
      </c>
      <c r="K42" s="241" t="str">
        <f t="shared" si="42"/>
        <v>-</v>
      </c>
      <c r="M42" s="552" t="s">
        <v>1848</v>
      </c>
      <c r="N42" s="552">
        <v>0</v>
      </c>
      <c r="O42" s="552">
        <v>0</v>
      </c>
      <c r="P42" s="552">
        <v>0</v>
      </c>
      <c r="Q42" s="552">
        <v>0</v>
      </c>
      <c r="R42" s="552">
        <v>0</v>
      </c>
      <c r="S42" s="552">
        <v>0</v>
      </c>
      <c r="T42" s="552">
        <v>0</v>
      </c>
      <c r="U42" s="552" t="s">
        <v>2</v>
      </c>
      <c r="V42" s="552" t="s">
        <v>2</v>
      </c>
      <c r="X42" s="552" t="s">
        <v>1848</v>
      </c>
      <c r="Y42" s="552">
        <v>0</v>
      </c>
      <c r="Z42" s="552">
        <v>0</v>
      </c>
      <c r="AA42" s="552">
        <v>0</v>
      </c>
      <c r="AB42" s="552">
        <v>0</v>
      </c>
      <c r="AC42" s="552">
        <v>0</v>
      </c>
      <c r="AD42" s="552">
        <v>0</v>
      </c>
      <c r="AE42" s="552">
        <v>0</v>
      </c>
      <c r="AF42" s="552" t="s">
        <v>2</v>
      </c>
      <c r="AG42" s="552" t="s">
        <v>2</v>
      </c>
    </row>
    <row r="43" spans="1:45" x14ac:dyDescent="0.25">
      <c r="B43" s="239" t="s">
        <v>1476</v>
      </c>
      <c r="C43" s="241">
        <f t="shared" ref="C43:K43" si="43">IF(C9="-","-",C9+($A$35/$A$1))</f>
        <v>7.5149999999999995E-2</v>
      </c>
      <c r="D43" s="241">
        <f t="shared" si="43"/>
        <v>7.5400000000000009E-2</v>
      </c>
      <c r="E43" s="241">
        <f t="shared" si="43"/>
        <v>7.6399999999999996E-2</v>
      </c>
      <c r="F43" s="241">
        <f t="shared" si="43"/>
        <v>7.7149999999999996E-2</v>
      </c>
      <c r="G43" s="241">
        <f t="shared" si="43"/>
        <v>7.8899999999999998E-2</v>
      </c>
      <c r="H43" s="241">
        <f t="shared" si="43"/>
        <v>8.14E-2</v>
      </c>
      <c r="I43" s="241">
        <f t="shared" si="43"/>
        <v>8.6400000000000005E-2</v>
      </c>
      <c r="J43" s="241" t="str">
        <f t="shared" si="43"/>
        <v>-</v>
      </c>
      <c r="K43" s="241" t="str">
        <f t="shared" si="43"/>
        <v>-</v>
      </c>
      <c r="M43" s="552" t="s">
        <v>1847</v>
      </c>
      <c r="N43" s="552">
        <v>5.0000000000000001E-4</v>
      </c>
      <c r="O43" s="552">
        <v>5.0000000000000001E-4</v>
      </c>
      <c r="P43" s="552">
        <v>5.0000000000000001E-4</v>
      </c>
      <c r="Q43" s="552">
        <v>5.0000000000000001E-4</v>
      </c>
      <c r="R43" s="552">
        <v>5.0000000000000001E-4</v>
      </c>
      <c r="S43" s="552">
        <v>5.0000000000000001E-4</v>
      </c>
      <c r="T43" s="552">
        <v>5.0000000000000001E-4</v>
      </c>
      <c r="U43" s="552" t="s">
        <v>2</v>
      </c>
      <c r="V43" s="552" t="s">
        <v>2</v>
      </c>
      <c r="X43" s="552" t="s">
        <v>1847</v>
      </c>
      <c r="Y43" s="552">
        <v>5.0000000000000001E-4</v>
      </c>
      <c r="Z43" s="552">
        <v>5.0000000000000001E-4</v>
      </c>
      <c r="AA43" s="552">
        <v>5.0000000000000001E-4</v>
      </c>
      <c r="AB43" s="552">
        <v>5.0000000000000001E-4</v>
      </c>
      <c r="AC43" s="552">
        <v>5.0000000000000001E-4</v>
      </c>
      <c r="AD43" s="552">
        <v>5.0000000000000001E-4</v>
      </c>
      <c r="AE43" s="552">
        <v>5.0000000000000001E-4</v>
      </c>
      <c r="AF43" s="552" t="s">
        <v>2</v>
      </c>
      <c r="AG43" s="552" t="s">
        <v>2</v>
      </c>
    </row>
    <row r="44" spans="1:45" x14ac:dyDescent="0.25">
      <c r="B44" s="239" t="s">
        <v>1685</v>
      </c>
      <c r="C44" s="241">
        <f t="shared" ref="C44:K44" si="44">IF(C10="-","-",C10+($A$35/$A$1))</f>
        <v>7.4899999999999994E-2</v>
      </c>
      <c r="D44" s="241">
        <f t="shared" si="44"/>
        <v>7.4899999999999994E-2</v>
      </c>
      <c r="E44" s="241">
        <f t="shared" si="44"/>
        <v>7.5649999999999995E-2</v>
      </c>
      <c r="F44" s="241">
        <f t="shared" si="44"/>
        <v>7.6399999999999996E-2</v>
      </c>
      <c r="G44" s="241">
        <f t="shared" si="44"/>
        <v>7.7149999999999996E-2</v>
      </c>
      <c r="H44" s="241">
        <f t="shared" si="44"/>
        <v>7.8899999999999998E-2</v>
      </c>
      <c r="I44" s="241">
        <f t="shared" si="44"/>
        <v>8.3900000000000002E-2</v>
      </c>
      <c r="J44" s="241" t="str">
        <f t="shared" si="44"/>
        <v>-</v>
      </c>
      <c r="K44" s="241" t="str">
        <f t="shared" si="44"/>
        <v>-</v>
      </c>
      <c r="M44" s="552" t="s">
        <v>1846</v>
      </c>
      <c r="N44" s="552">
        <v>1E-3</v>
      </c>
      <c r="O44" s="552">
        <v>1E-3</v>
      </c>
      <c r="P44" s="552">
        <v>1E-3</v>
      </c>
      <c r="Q44" s="552">
        <v>1E-3</v>
      </c>
      <c r="R44" s="552">
        <v>1E-3</v>
      </c>
      <c r="S44" s="552">
        <v>1E-3</v>
      </c>
      <c r="T44" s="552">
        <v>1E-3</v>
      </c>
      <c r="U44" s="552" t="s">
        <v>2</v>
      </c>
      <c r="V44" s="552" t="s">
        <v>2</v>
      </c>
      <c r="X44" s="552" t="s">
        <v>1846</v>
      </c>
      <c r="Y44" s="552">
        <v>1E-3</v>
      </c>
      <c r="Z44" s="552">
        <v>1E-3</v>
      </c>
      <c r="AA44" s="552">
        <v>1E-3</v>
      </c>
      <c r="AB44" s="552">
        <v>1E-3</v>
      </c>
      <c r="AC44" s="552">
        <v>1E-3</v>
      </c>
      <c r="AD44" s="552">
        <v>1E-3</v>
      </c>
      <c r="AE44" s="552">
        <v>1E-3</v>
      </c>
      <c r="AF44" s="552" t="s">
        <v>2</v>
      </c>
      <c r="AG44" s="552" t="s">
        <v>2</v>
      </c>
    </row>
    <row r="45" spans="1:45" x14ac:dyDescent="0.25">
      <c r="B45" s="239" t="s">
        <v>1684</v>
      </c>
      <c r="C45" s="241">
        <f t="shared" ref="C45:K45" si="45">IF(C11="-","-",C11+($A$35/$A$1))</f>
        <v>7.3900000000000007E-2</v>
      </c>
      <c r="D45" s="241">
        <f t="shared" si="45"/>
        <v>7.3900000000000007E-2</v>
      </c>
      <c r="E45" s="241">
        <f t="shared" si="45"/>
        <v>7.4150000000000008E-2</v>
      </c>
      <c r="F45" s="241">
        <f t="shared" si="45"/>
        <v>7.4150000000000008E-2</v>
      </c>
      <c r="G45" s="241">
        <f t="shared" si="45"/>
        <v>7.5149999999999995E-2</v>
      </c>
      <c r="H45" s="241">
        <f t="shared" si="45"/>
        <v>7.6149999999999995E-2</v>
      </c>
      <c r="I45" s="241">
        <f t="shared" si="45"/>
        <v>8.115E-2</v>
      </c>
      <c r="J45" s="241" t="str">
        <f t="shared" si="45"/>
        <v>-</v>
      </c>
      <c r="K45" s="241" t="str">
        <f t="shared" si="45"/>
        <v>-</v>
      </c>
      <c r="M45" s="552" t="s">
        <v>275</v>
      </c>
      <c r="N45" s="552">
        <v>1.25E-3</v>
      </c>
      <c r="O45" s="552">
        <v>1.25E-3</v>
      </c>
      <c r="P45" s="552">
        <v>1.25E-3</v>
      </c>
      <c r="Q45" s="552">
        <v>1.25E-3</v>
      </c>
      <c r="R45" s="552">
        <v>1.25E-3</v>
      </c>
      <c r="S45" s="552">
        <v>1.25E-3</v>
      </c>
      <c r="T45" s="552">
        <v>1.25E-3</v>
      </c>
      <c r="U45" s="552" t="s">
        <v>2</v>
      </c>
      <c r="V45" s="552" t="s">
        <v>2</v>
      </c>
      <c r="X45" s="552" t="s">
        <v>275</v>
      </c>
      <c r="Y45" s="552">
        <v>1.25E-3</v>
      </c>
      <c r="Z45" s="552">
        <v>1.25E-3</v>
      </c>
      <c r="AA45" s="552">
        <v>1.25E-3</v>
      </c>
      <c r="AB45" s="552">
        <v>1.25E-3</v>
      </c>
      <c r="AC45" s="552">
        <v>1.25E-3</v>
      </c>
      <c r="AD45" s="552">
        <v>1.25E-3</v>
      </c>
      <c r="AE45" s="552">
        <v>1.25E-3</v>
      </c>
      <c r="AF45" s="552" t="s">
        <v>2</v>
      </c>
      <c r="AG45" s="552" t="s">
        <v>2</v>
      </c>
    </row>
    <row r="46" spans="1:45" x14ac:dyDescent="0.25">
      <c r="B46" s="239" t="s">
        <v>1683</v>
      </c>
      <c r="C46" s="241">
        <f t="shared" ref="C46:K46" si="46">IF(C12="-","-",C12+($A$35/$A$1))</f>
        <v>7.2900000000000006E-2</v>
      </c>
      <c r="D46" s="241">
        <f t="shared" si="46"/>
        <v>7.3149999999999993E-2</v>
      </c>
      <c r="E46" s="241">
        <f t="shared" si="46"/>
        <v>7.3400000000000007E-2</v>
      </c>
      <c r="F46" s="241">
        <f t="shared" si="46"/>
        <v>7.3650000000000007E-2</v>
      </c>
      <c r="G46" s="241">
        <f t="shared" si="46"/>
        <v>7.3900000000000007E-2</v>
      </c>
      <c r="H46" s="241">
        <f t="shared" si="46"/>
        <v>7.4899999999999994E-2</v>
      </c>
      <c r="I46" s="241">
        <f t="shared" si="46"/>
        <v>7.9899999999999999E-2</v>
      </c>
      <c r="J46" s="241" t="str">
        <f t="shared" si="46"/>
        <v>-</v>
      </c>
      <c r="K46" s="241" t="str">
        <f t="shared" si="46"/>
        <v>-</v>
      </c>
      <c r="M46" s="552" t="s">
        <v>285</v>
      </c>
      <c r="N46" s="552">
        <v>2.2499999999999998E-3</v>
      </c>
      <c r="O46" s="552">
        <v>2.2499999999999998E-3</v>
      </c>
      <c r="P46" s="552">
        <v>2.2499999999999998E-3</v>
      </c>
      <c r="Q46" s="552">
        <v>2.2499999999999998E-3</v>
      </c>
      <c r="R46" s="552">
        <v>2.2499999999999998E-3</v>
      </c>
      <c r="S46" s="552">
        <v>2.2499999999999998E-3</v>
      </c>
      <c r="T46" s="552">
        <v>2.2499999999999998E-3</v>
      </c>
      <c r="U46" s="552" t="s">
        <v>2</v>
      </c>
      <c r="V46" s="552" t="s">
        <v>2</v>
      </c>
      <c r="X46" s="552" t="s">
        <v>285</v>
      </c>
      <c r="Y46" s="552">
        <v>2.2499999999999998E-3</v>
      </c>
      <c r="Z46" s="552">
        <v>2.2499999999999998E-3</v>
      </c>
      <c r="AA46" s="552">
        <v>2.2499999999999998E-3</v>
      </c>
      <c r="AB46" s="552">
        <v>2.2499999999999998E-3</v>
      </c>
      <c r="AC46" s="552">
        <v>2.2499999999999998E-3</v>
      </c>
      <c r="AD46" s="552">
        <v>2.2499999999999998E-3</v>
      </c>
      <c r="AE46" s="552">
        <v>2.2499999999999998E-3</v>
      </c>
      <c r="AF46" s="552" t="s">
        <v>2</v>
      </c>
      <c r="AG46" s="552" t="s">
        <v>2</v>
      </c>
    </row>
    <row r="47" spans="1:45" x14ac:dyDescent="0.25">
      <c r="B47" s="239" t="s">
        <v>1682</v>
      </c>
      <c r="C47" s="241">
        <f t="shared" ref="C47:K47" si="47">IF(C13="-","-",C13+($A$35/$A$1))</f>
        <v>7.2399999999999992E-2</v>
      </c>
      <c r="D47" s="241">
        <f t="shared" si="47"/>
        <v>7.2399999999999992E-2</v>
      </c>
      <c r="E47" s="241">
        <f t="shared" si="47"/>
        <v>7.2524999999999992E-2</v>
      </c>
      <c r="F47" s="241">
        <f t="shared" si="47"/>
        <v>7.2650000000000006E-2</v>
      </c>
      <c r="G47" s="241">
        <f t="shared" si="47"/>
        <v>7.3849999999999999E-2</v>
      </c>
      <c r="H47" s="241">
        <f t="shared" si="47"/>
        <v>7.3900000000000007E-2</v>
      </c>
      <c r="I47" s="241">
        <f t="shared" si="47"/>
        <v>7.8900000000000012E-2</v>
      </c>
      <c r="J47" s="241" t="str">
        <f t="shared" si="47"/>
        <v>-</v>
      </c>
      <c r="K47" s="241" t="str">
        <f t="shared" si="47"/>
        <v>-</v>
      </c>
      <c r="M47" s="552" t="s">
        <v>1845</v>
      </c>
      <c r="N47" s="552">
        <v>3.2499999999999999E-3</v>
      </c>
      <c r="O47" s="552">
        <v>3.2499999999999999E-3</v>
      </c>
      <c r="P47" s="552">
        <v>3.2499999999999999E-3</v>
      </c>
      <c r="Q47" s="552">
        <v>3.2499999999999999E-3</v>
      </c>
      <c r="R47" s="552">
        <v>3.2499999999999999E-3</v>
      </c>
      <c r="S47" s="552">
        <v>3.2499999999999999E-3</v>
      </c>
      <c r="T47" s="552">
        <v>3.2499999999999999E-3</v>
      </c>
      <c r="U47" s="552" t="s">
        <v>2</v>
      </c>
      <c r="V47" s="552" t="s">
        <v>2</v>
      </c>
      <c r="X47" s="552" t="s">
        <v>1845</v>
      </c>
      <c r="Y47" s="552">
        <v>3.2499999999999999E-3</v>
      </c>
      <c r="Z47" s="552">
        <v>3.2499999999999999E-3</v>
      </c>
      <c r="AA47" s="552">
        <v>3.2499999999999999E-3</v>
      </c>
      <c r="AB47" s="552">
        <v>3.2499999999999999E-3</v>
      </c>
      <c r="AC47" s="552">
        <v>3.2499999999999999E-3</v>
      </c>
      <c r="AD47" s="552">
        <v>3.2499999999999999E-3</v>
      </c>
      <c r="AE47" s="552">
        <v>3.2499999999999999E-3</v>
      </c>
      <c r="AF47" s="552" t="s">
        <v>2</v>
      </c>
      <c r="AG47" s="552" t="s">
        <v>2</v>
      </c>
    </row>
    <row r="48" spans="1:45" x14ac:dyDescent="0.25">
      <c r="B48" s="239" t="s">
        <v>1681</v>
      </c>
      <c r="C48" s="241">
        <f t="shared" ref="C48:K48" si="48">IF(C14="-","-",C14+($A$35/$A$1))</f>
        <v>7.2150000000000006E-2</v>
      </c>
      <c r="D48" s="241">
        <f t="shared" si="48"/>
        <v>7.2150000000000006E-2</v>
      </c>
      <c r="E48" s="241">
        <f t="shared" si="48"/>
        <v>7.2400000000000006E-2</v>
      </c>
      <c r="F48" s="241">
        <f t="shared" si="48"/>
        <v>7.2650000000000006E-2</v>
      </c>
      <c r="G48" s="241">
        <f t="shared" si="48"/>
        <v>7.375000000000001E-2</v>
      </c>
      <c r="H48" s="241">
        <f t="shared" si="48"/>
        <v>7.3849999999999999E-2</v>
      </c>
      <c r="I48" s="241">
        <f t="shared" si="48"/>
        <v>7.8850000000000003E-2</v>
      </c>
      <c r="J48" s="241" t="str">
        <f t="shared" si="48"/>
        <v>-</v>
      </c>
      <c r="K48" s="241" t="str">
        <f t="shared" si="48"/>
        <v>-</v>
      </c>
      <c r="M48" s="558" t="s">
        <v>1887</v>
      </c>
      <c r="N48" s="552">
        <v>-1.25E-3</v>
      </c>
      <c r="O48" s="552">
        <v>-1.25E-3</v>
      </c>
      <c r="P48" s="552">
        <v>-1.25E-3</v>
      </c>
      <c r="Q48" s="552">
        <v>-1.25E-3</v>
      </c>
      <c r="R48" s="552">
        <v>-1.25E-3</v>
      </c>
      <c r="S48" s="552">
        <v>-1.25E-3</v>
      </c>
      <c r="T48" s="552">
        <v>-1.25E-3</v>
      </c>
      <c r="U48" s="552" t="s">
        <v>2</v>
      </c>
      <c r="V48" s="552" t="s">
        <v>2</v>
      </c>
      <c r="X48" s="558" t="s">
        <v>1887</v>
      </c>
      <c r="Y48" s="552">
        <v>-1.25E-3</v>
      </c>
      <c r="Z48" s="552">
        <v>-1.25E-3</v>
      </c>
      <c r="AA48" s="552">
        <v>-1.25E-3</v>
      </c>
      <c r="AB48" s="552">
        <v>-1.25E-3</v>
      </c>
      <c r="AC48" s="552">
        <v>-1.25E-3</v>
      </c>
      <c r="AD48" s="552">
        <v>-1.25E-3</v>
      </c>
      <c r="AE48" s="552">
        <v>-1.25E-3</v>
      </c>
      <c r="AF48" s="552" t="s">
        <v>2</v>
      </c>
      <c r="AG48" s="552" t="s">
        <v>2</v>
      </c>
    </row>
    <row r="49" spans="1:33" x14ac:dyDescent="0.25">
      <c r="B49" s="239" t="s">
        <v>1680</v>
      </c>
      <c r="C49" s="241">
        <f t="shared" ref="C49:K49" si="49">IF(C15="-","-",C15+($A$35/$A$1))</f>
        <v>7.1650000000000005E-2</v>
      </c>
      <c r="D49" s="241">
        <f t="shared" si="49"/>
        <v>7.1650000000000005E-2</v>
      </c>
      <c r="E49" s="241">
        <f t="shared" si="49"/>
        <v>7.1900000000000006E-2</v>
      </c>
      <c r="F49" s="241">
        <f t="shared" si="49"/>
        <v>7.2650000000000006E-2</v>
      </c>
      <c r="G49" s="241">
        <f t="shared" si="49"/>
        <v>7.3649999999999993E-2</v>
      </c>
      <c r="H49" s="241">
        <f t="shared" si="49"/>
        <v>7.375000000000001E-2</v>
      </c>
      <c r="I49" s="241">
        <f t="shared" si="49"/>
        <v>7.8750000000000014E-2</v>
      </c>
      <c r="J49" s="241" t="str">
        <f t="shared" si="49"/>
        <v>-</v>
      </c>
      <c r="K49" s="241" t="str">
        <f t="shared" si="49"/>
        <v>-</v>
      </c>
      <c r="M49" s="238"/>
      <c r="N49" s="238"/>
      <c r="O49" s="238"/>
      <c r="P49" s="238"/>
      <c r="Q49" s="238"/>
      <c r="R49" s="238"/>
      <c r="S49" s="238"/>
      <c r="T49" s="238"/>
      <c r="U49" s="238"/>
      <c r="V49" s="238"/>
    </row>
    <row r="50" spans="1:33" x14ac:dyDescent="0.25">
      <c r="B50" s="239" t="s">
        <v>1679</v>
      </c>
      <c r="C50" s="241">
        <f t="shared" ref="C50:K50" si="50">IF(C16="-","-",C16+($A$35/$A$1))</f>
        <v>7.7649999999999997E-2</v>
      </c>
      <c r="D50" s="241">
        <f t="shared" si="50"/>
        <v>7.7899999999999997E-2</v>
      </c>
      <c r="E50" s="241">
        <f t="shared" si="50"/>
        <v>7.8149999999999997E-2</v>
      </c>
      <c r="F50" s="241">
        <f t="shared" si="50"/>
        <v>7.8149999999999997E-2</v>
      </c>
      <c r="G50" s="241">
        <f t="shared" si="50"/>
        <v>7.8399999999999997E-2</v>
      </c>
      <c r="H50" s="241">
        <f t="shared" si="50"/>
        <v>7.8649999999999998E-2</v>
      </c>
      <c r="I50" s="241">
        <f t="shared" si="50"/>
        <v>8.3650000000000002E-2</v>
      </c>
      <c r="J50" s="241" t="str">
        <f t="shared" si="50"/>
        <v>-</v>
      </c>
      <c r="K50" s="241" t="str">
        <f t="shared" si="50"/>
        <v>-</v>
      </c>
      <c r="M50" s="804" t="s">
        <v>1641</v>
      </c>
      <c r="N50" s="804"/>
      <c r="O50" s="804"/>
      <c r="P50" s="804"/>
      <c r="Q50" s="804"/>
      <c r="R50" s="804"/>
      <c r="S50" s="804"/>
      <c r="T50" s="804"/>
      <c r="U50" s="804"/>
      <c r="V50" s="804"/>
      <c r="X50" s="805" t="s">
        <v>1641</v>
      </c>
      <c r="Y50" s="805"/>
      <c r="Z50" s="805"/>
      <c r="AA50" s="805"/>
      <c r="AB50" s="805"/>
      <c r="AC50" s="805"/>
      <c r="AD50" s="805"/>
      <c r="AE50" s="805"/>
      <c r="AF50" s="805"/>
      <c r="AG50" s="805"/>
    </row>
    <row r="51" spans="1:33" x14ac:dyDescent="0.25">
      <c r="M51" s="237" t="s">
        <v>1844</v>
      </c>
      <c r="N51" s="237" t="s">
        <v>2</v>
      </c>
      <c r="O51" s="237" t="s">
        <v>2</v>
      </c>
      <c r="P51" s="237" t="s">
        <v>2</v>
      </c>
      <c r="Q51" s="237" t="s">
        <v>2</v>
      </c>
      <c r="R51" s="237" t="s">
        <v>2</v>
      </c>
      <c r="S51" s="237" t="s">
        <v>2</v>
      </c>
      <c r="T51" s="237" t="s">
        <v>2</v>
      </c>
      <c r="U51" s="237" t="s">
        <v>2</v>
      </c>
      <c r="V51" s="237" t="s">
        <v>2</v>
      </c>
      <c r="X51" s="236" t="s">
        <v>1844</v>
      </c>
      <c r="Y51" s="236" t="s">
        <v>2</v>
      </c>
      <c r="Z51" s="236" t="s">
        <v>2</v>
      </c>
      <c r="AA51" s="236" t="s">
        <v>2</v>
      </c>
      <c r="AB51" s="236" t="s">
        <v>2</v>
      </c>
      <c r="AC51" s="236" t="s">
        <v>2</v>
      </c>
      <c r="AD51" s="236" t="s">
        <v>2</v>
      </c>
      <c r="AE51" s="236" t="s">
        <v>2</v>
      </c>
      <c r="AF51" s="236" t="s">
        <v>2</v>
      </c>
      <c r="AG51" s="236" t="s">
        <v>2</v>
      </c>
    </row>
    <row r="52" spans="1:33" x14ac:dyDescent="0.25">
      <c r="A52" s="807">
        <f>'DSCR (Port Loan)'!$C$9</f>
        <v>0</v>
      </c>
      <c r="B52" s="794" t="s">
        <v>1843</v>
      </c>
      <c r="C52" s="794"/>
      <c r="D52" s="794"/>
      <c r="E52" s="794"/>
      <c r="F52" s="794"/>
      <c r="G52" s="794"/>
      <c r="H52" s="794"/>
      <c r="I52" s="794"/>
      <c r="J52" s="794"/>
      <c r="K52" s="794"/>
      <c r="M52" s="237" t="s">
        <v>1842</v>
      </c>
      <c r="N52" s="237">
        <v>3.2499999999999999E-3</v>
      </c>
      <c r="O52" s="237">
        <v>3.2499999999999999E-3</v>
      </c>
      <c r="P52" s="237">
        <v>3.2499999999999999E-3</v>
      </c>
      <c r="Q52" s="237">
        <v>3.5000000000000001E-3</v>
      </c>
      <c r="R52" s="237">
        <v>3.5000000000000001E-3</v>
      </c>
      <c r="S52" s="237">
        <v>3.8500000000000001E-3</v>
      </c>
      <c r="T52" s="237">
        <v>3.8500000000000001E-3</v>
      </c>
      <c r="U52" s="237" t="s">
        <v>2</v>
      </c>
      <c r="V52" s="237" t="s">
        <v>2</v>
      </c>
      <c r="X52" s="236" t="s">
        <v>1842</v>
      </c>
      <c r="Y52" s="236">
        <v>0</v>
      </c>
      <c r="Z52" s="236">
        <v>0</v>
      </c>
      <c r="AA52" s="236">
        <v>0</v>
      </c>
      <c r="AB52" s="236">
        <v>0</v>
      </c>
      <c r="AC52" s="236">
        <v>0</v>
      </c>
      <c r="AD52" s="236">
        <v>0</v>
      </c>
      <c r="AE52" s="236">
        <v>0</v>
      </c>
      <c r="AF52" s="236" t="s">
        <v>2</v>
      </c>
      <c r="AG52" s="236" t="s">
        <v>2</v>
      </c>
    </row>
    <row r="53" spans="1:33" x14ac:dyDescent="0.25">
      <c r="A53" s="808"/>
      <c r="B53" s="240">
        <v>103.5</v>
      </c>
      <c r="C53" s="195" t="s">
        <v>1640</v>
      </c>
      <c r="D53" s="195" t="s">
        <v>1639</v>
      </c>
      <c r="E53" s="195" t="s">
        <v>1638</v>
      </c>
      <c r="F53" s="195" t="s">
        <v>1637</v>
      </c>
      <c r="G53" s="195" t="s">
        <v>1636</v>
      </c>
      <c r="H53" s="195" t="s">
        <v>1635</v>
      </c>
      <c r="I53" s="195" t="s">
        <v>1634</v>
      </c>
      <c r="J53" s="195" t="s">
        <v>1841</v>
      </c>
      <c r="K53" s="195" t="s">
        <v>1840</v>
      </c>
      <c r="M53" s="237" t="s">
        <v>1839</v>
      </c>
      <c r="N53" s="237">
        <v>1.5E-3</v>
      </c>
      <c r="O53" s="237">
        <v>1.5E-3</v>
      </c>
      <c r="P53" s="237">
        <v>1.5E-3</v>
      </c>
      <c r="Q53" s="237">
        <v>1.5E-3</v>
      </c>
      <c r="R53" s="237">
        <v>1.5E-3</v>
      </c>
      <c r="S53" s="237">
        <v>2E-3</v>
      </c>
      <c r="T53" s="237">
        <v>2E-3</v>
      </c>
      <c r="U53" s="237" t="s">
        <v>2</v>
      </c>
      <c r="V53" s="237" t="s">
        <v>2</v>
      </c>
      <c r="X53" s="236" t="s">
        <v>1839</v>
      </c>
      <c r="Y53" s="236">
        <v>0</v>
      </c>
      <c r="Z53" s="236">
        <v>0</v>
      </c>
      <c r="AA53" s="236">
        <v>0</v>
      </c>
      <c r="AB53" s="236">
        <v>0</v>
      </c>
      <c r="AC53" s="236">
        <v>0</v>
      </c>
      <c r="AD53" s="236">
        <v>0</v>
      </c>
      <c r="AE53" s="236">
        <v>0</v>
      </c>
      <c r="AF53" s="236" t="s">
        <v>2</v>
      </c>
      <c r="AG53" s="236" t="s">
        <v>2</v>
      </c>
    </row>
    <row r="54" spans="1:33" x14ac:dyDescent="0.25">
      <c r="B54" s="239" t="s">
        <v>1691</v>
      </c>
      <c r="C54" s="198" t="str">
        <f t="shared" ref="C54:K54" si="51">IF(C20="-","-",C20+($A$52/$A$18))</f>
        <v>-</v>
      </c>
      <c r="D54" s="198" t="str">
        <f t="shared" si="51"/>
        <v>-</v>
      </c>
      <c r="E54" s="198" t="str">
        <f t="shared" si="51"/>
        <v>-</v>
      </c>
      <c r="F54" s="198" t="str">
        <f t="shared" si="51"/>
        <v>-</v>
      </c>
      <c r="G54" s="198" t="str">
        <f t="shared" si="51"/>
        <v>-</v>
      </c>
      <c r="H54" s="198" t="str">
        <f t="shared" si="51"/>
        <v>-</v>
      </c>
      <c r="I54" s="198" t="str">
        <f t="shared" si="51"/>
        <v>-</v>
      </c>
      <c r="J54" s="198" t="str">
        <f t="shared" si="51"/>
        <v>-</v>
      </c>
      <c r="K54" s="198" t="str">
        <f t="shared" si="51"/>
        <v>-</v>
      </c>
      <c r="M54" s="237" t="s">
        <v>1838</v>
      </c>
      <c r="N54" s="237">
        <v>0</v>
      </c>
      <c r="O54" s="237">
        <v>0</v>
      </c>
      <c r="P54" s="237">
        <v>0</v>
      </c>
      <c r="Q54" s="237">
        <v>0</v>
      </c>
      <c r="R54" s="237">
        <v>0</v>
      </c>
      <c r="S54" s="237">
        <v>0</v>
      </c>
      <c r="T54" s="237">
        <v>0</v>
      </c>
      <c r="U54" s="237" t="s">
        <v>2</v>
      </c>
      <c r="V54" s="237" t="s">
        <v>2</v>
      </c>
      <c r="X54" s="236" t="s">
        <v>1838</v>
      </c>
      <c r="Y54" s="236">
        <v>0</v>
      </c>
      <c r="Z54" s="236">
        <v>0</v>
      </c>
      <c r="AA54" s="236">
        <v>0</v>
      </c>
      <c r="AB54" s="236">
        <v>0</v>
      </c>
      <c r="AC54" s="236">
        <v>0</v>
      </c>
      <c r="AD54" s="236">
        <v>0</v>
      </c>
      <c r="AE54" s="236">
        <v>0</v>
      </c>
      <c r="AF54" s="236" t="s">
        <v>2</v>
      </c>
      <c r="AG54" s="236" t="s">
        <v>2</v>
      </c>
    </row>
    <row r="55" spans="1:33" x14ac:dyDescent="0.25">
      <c r="B55" s="239" t="s">
        <v>1690</v>
      </c>
      <c r="C55" s="198" t="str">
        <f t="shared" ref="C55:K55" si="52">IF(C21="-","-",C21+($A$52/$A$18))</f>
        <v>-</v>
      </c>
      <c r="D55" s="198" t="str">
        <f t="shared" si="52"/>
        <v>-</v>
      </c>
      <c r="E55" s="198" t="str">
        <f t="shared" si="52"/>
        <v>-</v>
      </c>
      <c r="F55" s="198" t="str">
        <f t="shared" si="52"/>
        <v>-</v>
      </c>
      <c r="G55" s="198" t="str">
        <f t="shared" si="52"/>
        <v>-</v>
      </c>
      <c r="H55" s="198" t="str">
        <f t="shared" si="52"/>
        <v>-</v>
      </c>
      <c r="I55" s="198" t="str">
        <f t="shared" si="52"/>
        <v>-</v>
      </c>
      <c r="J55" s="198" t="str">
        <f t="shared" si="52"/>
        <v>-</v>
      </c>
      <c r="K55" s="198" t="str">
        <f t="shared" si="52"/>
        <v>-</v>
      </c>
      <c r="M55" s="237" t="s">
        <v>1837</v>
      </c>
      <c r="N55" s="237">
        <v>0</v>
      </c>
      <c r="O55" s="237">
        <v>0</v>
      </c>
      <c r="P55" s="237">
        <v>0</v>
      </c>
      <c r="Q55" s="237">
        <v>0</v>
      </c>
      <c r="R55" s="237">
        <v>0</v>
      </c>
      <c r="S55" s="237">
        <v>0</v>
      </c>
      <c r="T55" s="237">
        <v>0</v>
      </c>
      <c r="U55" s="237" t="s">
        <v>2</v>
      </c>
      <c r="V55" s="237" t="s">
        <v>2</v>
      </c>
      <c r="X55" s="236" t="s">
        <v>1837</v>
      </c>
      <c r="Y55" s="236">
        <v>0</v>
      </c>
      <c r="Z55" s="236">
        <v>0</v>
      </c>
      <c r="AA55" s="236">
        <v>0</v>
      </c>
      <c r="AB55" s="236">
        <v>0</v>
      </c>
      <c r="AC55" s="236">
        <v>0</v>
      </c>
      <c r="AD55" s="236">
        <v>0</v>
      </c>
      <c r="AE55" s="236">
        <v>0</v>
      </c>
      <c r="AF55" s="236" t="s">
        <v>2</v>
      </c>
      <c r="AG55" s="236" t="s">
        <v>2</v>
      </c>
    </row>
    <row r="56" spans="1:33" x14ac:dyDescent="0.25">
      <c r="B56" s="239" t="s">
        <v>1689</v>
      </c>
      <c r="C56" s="198" t="str">
        <f t="shared" ref="C56:K56" si="53">IF(C22="-","-",C22+($A$52/$A$18))</f>
        <v>-</v>
      </c>
      <c r="D56" s="198" t="str">
        <f t="shared" si="53"/>
        <v>-</v>
      </c>
      <c r="E56" s="198" t="str">
        <f t="shared" si="53"/>
        <v>-</v>
      </c>
      <c r="F56" s="198" t="str">
        <f t="shared" si="53"/>
        <v>-</v>
      </c>
      <c r="G56" s="198" t="str">
        <f t="shared" si="53"/>
        <v>-</v>
      </c>
      <c r="H56" s="198" t="str">
        <f t="shared" si="53"/>
        <v>-</v>
      </c>
      <c r="I56" s="198" t="str">
        <f t="shared" si="53"/>
        <v>-</v>
      </c>
      <c r="J56" s="198" t="str">
        <f t="shared" si="53"/>
        <v>-</v>
      </c>
      <c r="K56" s="198" t="str">
        <f t="shared" si="53"/>
        <v>-</v>
      </c>
      <c r="M56" s="237" t="s">
        <v>1836</v>
      </c>
      <c r="N56" s="237">
        <v>0</v>
      </c>
      <c r="O56" s="237">
        <v>0</v>
      </c>
      <c r="P56" s="237">
        <v>0</v>
      </c>
      <c r="Q56" s="237">
        <v>0</v>
      </c>
      <c r="R56" s="237">
        <v>0</v>
      </c>
      <c r="S56" s="237">
        <v>0</v>
      </c>
      <c r="T56" s="237">
        <v>0</v>
      </c>
      <c r="U56" s="237" t="s">
        <v>2</v>
      </c>
      <c r="V56" s="237" t="s">
        <v>2</v>
      </c>
      <c r="X56" s="236" t="s">
        <v>1836</v>
      </c>
      <c r="Y56" s="236">
        <v>0</v>
      </c>
      <c r="Z56" s="236">
        <v>0</v>
      </c>
      <c r="AA56" s="236">
        <v>0</v>
      </c>
      <c r="AB56" s="236">
        <v>0</v>
      </c>
      <c r="AC56" s="236">
        <v>0</v>
      </c>
      <c r="AD56" s="236">
        <v>0</v>
      </c>
      <c r="AE56" s="236">
        <v>0</v>
      </c>
      <c r="AF56" s="236" t="s">
        <v>2</v>
      </c>
      <c r="AG56" s="236" t="s">
        <v>2</v>
      </c>
    </row>
    <row r="57" spans="1:33" x14ac:dyDescent="0.25">
      <c r="B57" s="239" t="s">
        <v>1688</v>
      </c>
      <c r="C57" s="198" t="str">
        <f t="shared" ref="C57:K57" si="54">IF(C23="-","-",C23+($A$52/$A$18))</f>
        <v>-</v>
      </c>
      <c r="D57" s="198" t="str">
        <f t="shared" si="54"/>
        <v>-</v>
      </c>
      <c r="E57" s="198" t="str">
        <f t="shared" si="54"/>
        <v>-</v>
      </c>
      <c r="F57" s="198" t="str">
        <f t="shared" si="54"/>
        <v>-</v>
      </c>
      <c r="G57" s="198" t="str">
        <f t="shared" si="54"/>
        <v>-</v>
      </c>
      <c r="H57" s="198" t="str">
        <f t="shared" si="54"/>
        <v>-</v>
      </c>
      <c r="I57" s="198" t="str">
        <f t="shared" si="54"/>
        <v>-</v>
      </c>
      <c r="J57" s="198" t="str">
        <f t="shared" si="54"/>
        <v>-</v>
      </c>
      <c r="K57" s="198" t="str">
        <f t="shared" si="54"/>
        <v>-</v>
      </c>
      <c r="M57" s="237" t="s">
        <v>1835</v>
      </c>
      <c r="N57" s="237">
        <v>0</v>
      </c>
      <c r="O57" s="237">
        <v>0</v>
      </c>
      <c r="P57" s="237">
        <v>0</v>
      </c>
      <c r="Q57" s="237">
        <v>0</v>
      </c>
      <c r="R57" s="237">
        <v>0</v>
      </c>
      <c r="S57" s="237">
        <v>0</v>
      </c>
      <c r="T57" s="237">
        <v>0</v>
      </c>
      <c r="U57" s="237" t="s">
        <v>2</v>
      </c>
      <c r="V57" s="237" t="s">
        <v>2</v>
      </c>
      <c r="X57" s="236" t="s">
        <v>1835</v>
      </c>
      <c r="Y57" s="236">
        <v>0</v>
      </c>
      <c r="Z57" s="236">
        <v>0</v>
      </c>
      <c r="AA57" s="236">
        <v>0</v>
      </c>
      <c r="AB57" s="236">
        <v>0</v>
      </c>
      <c r="AC57" s="236">
        <v>0</v>
      </c>
      <c r="AD57" s="236">
        <v>0</v>
      </c>
      <c r="AE57" s="236">
        <v>0</v>
      </c>
      <c r="AF57" s="236" t="s">
        <v>2</v>
      </c>
      <c r="AG57" s="236" t="s">
        <v>2</v>
      </c>
    </row>
    <row r="58" spans="1:33" x14ac:dyDescent="0.25">
      <c r="B58" s="239" t="s">
        <v>1687</v>
      </c>
      <c r="C58" s="198" t="str">
        <f t="shared" ref="C58:K58" si="55">IF(C24="-","-",C24+($A$52/$A$18))</f>
        <v>-</v>
      </c>
      <c r="D58" s="198" t="str">
        <f t="shared" si="55"/>
        <v>-</v>
      </c>
      <c r="E58" s="198" t="str">
        <f t="shared" si="55"/>
        <v>-</v>
      </c>
      <c r="F58" s="198" t="str">
        <f t="shared" si="55"/>
        <v>-</v>
      </c>
      <c r="G58" s="198" t="str">
        <f t="shared" si="55"/>
        <v>-</v>
      </c>
      <c r="H58" s="198" t="str">
        <f t="shared" si="55"/>
        <v>-</v>
      </c>
      <c r="I58" s="198" t="str">
        <f t="shared" si="55"/>
        <v>-</v>
      </c>
      <c r="J58" s="198" t="str">
        <f t="shared" si="55"/>
        <v>-</v>
      </c>
      <c r="K58" s="198" t="str">
        <f t="shared" si="55"/>
        <v>-</v>
      </c>
      <c r="M58" s="237" t="s">
        <v>1834</v>
      </c>
      <c r="N58" s="237">
        <v>0</v>
      </c>
      <c r="O58" s="237">
        <v>0</v>
      </c>
      <c r="P58" s="237">
        <v>0</v>
      </c>
      <c r="Q58" s="237">
        <v>0</v>
      </c>
      <c r="R58" s="237">
        <v>0</v>
      </c>
      <c r="S58" s="237">
        <v>0</v>
      </c>
      <c r="T58" s="237">
        <v>0</v>
      </c>
      <c r="U58" s="237" t="s">
        <v>2</v>
      </c>
      <c r="V58" s="237" t="s">
        <v>2</v>
      </c>
      <c r="X58" s="236" t="s">
        <v>1834</v>
      </c>
      <c r="Y58" s="236">
        <v>0</v>
      </c>
      <c r="Z58" s="236">
        <v>0</v>
      </c>
      <c r="AA58" s="236">
        <v>0</v>
      </c>
      <c r="AB58" s="236">
        <v>0</v>
      </c>
      <c r="AC58" s="236">
        <v>0</v>
      </c>
      <c r="AD58" s="236">
        <v>0</v>
      </c>
      <c r="AE58" s="236">
        <v>0</v>
      </c>
      <c r="AF58" s="236" t="s">
        <v>2</v>
      </c>
      <c r="AG58" s="236" t="s">
        <v>2</v>
      </c>
    </row>
    <row r="59" spans="1:33" x14ac:dyDescent="0.25">
      <c r="B59" s="239" t="s">
        <v>1686</v>
      </c>
      <c r="C59" s="198" t="str">
        <f t="shared" ref="C59:K59" si="56">IF(C25="-","-",C25+($A$52/$A$18))</f>
        <v>-</v>
      </c>
      <c r="D59" s="198" t="str">
        <f t="shared" si="56"/>
        <v>-</v>
      </c>
      <c r="E59" s="198" t="str">
        <f t="shared" si="56"/>
        <v>-</v>
      </c>
      <c r="F59" s="198" t="str">
        <f t="shared" si="56"/>
        <v>-</v>
      </c>
      <c r="G59" s="198" t="str">
        <f t="shared" si="56"/>
        <v>-</v>
      </c>
      <c r="H59" s="198" t="str">
        <f t="shared" si="56"/>
        <v>-</v>
      </c>
      <c r="I59" s="198" t="str">
        <f t="shared" si="56"/>
        <v>-</v>
      </c>
      <c r="J59" s="198" t="str">
        <f t="shared" si="56"/>
        <v>-</v>
      </c>
      <c r="K59" s="198" t="str">
        <f t="shared" si="56"/>
        <v>-</v>
      </c>
      <c r="M59" s="237" t="s">
        <v>1833</v>
      </c>
      <c r="N59" s="237">
        <v>0</v>
      </c>
      <c r="O59" s="237">
        <v>0</v>
      </c>
      <c r="P59" s="237">
        <v>0</v>
      </c>
      <c r="Q59" s="237">
        <v>0</v>
      </c>
      <c r="R59" s="237">
        <v>0</v>
      </c>
      <c r="S59" s="237">
        <v>0</v>
      </c>
      <c r="T59" s="237">
        <v>0</v>
      </c>
      <c r="U59" s="237" t="s">
        <v>2</v>
      </c>
      <c r="V59" s="237" t="s">
        <v>2</v>
      </c>
      <c r="X59" s="236" t="s">
        <v>1833</v>
      </c>
      <c r="Y59" s="236">
        <v>0</v>
      </c>
      <c r="Z59" s="236">
        <v>0</v>
      </c>
      <c r="AA59" s="236">
        <v>0</v>
      </c>
      <c r="AB59" s="236">
        <v>0</v>
      </c>
      <c r="AC59" s="236">
        <v>0</v>
      </c>
      <c r="AD59" s="236">
        <v>0</v>
      </c>
      <c r="AE59" s="236">
        <v>0</v>
      </c>
      <c r="AF59" s="236" t="s">
        <v>2</v>
      </c>
      <c r="AG59" s="236" t="s">
        <v>2</v>
      </c>
    </row>
    <row r="60" spans="1:33" x14ac:dyDescent="0.25">
      <c r="B60" s="239" t="s">
        <v>1476</v>
      </c>
      <c r="C60" s="198">
        <f t="shared" ref="C60:K60" si="57">IF(C26="-","-",C26+($A$52/$A$18))</f>
        <v>8.3150000000000002E-2</v>
      </c>
      <c r="D60" s="198">
        <f t="shared" si="57"/>
        <v>8.3400000000000002E-2</v>
      </c>
      <c r="E60" s="198">
        <f t="shared" si="57"/>
        <v>8.4400000000000003E-2</v>
      </c>
      <c r="F60" s="198">
        <f t="shared" si="57"/>
        <v>8.5150000000000003E-2</v>
      </c>
      <c r="G60" s="198">
        <f t="shared" si="57"/>
        <v>8.6900000000000005E-2</v>
      </c>
      <c r="H60" s="198">
        <f t="shared" si="57"/>
        <v>8.9400000000000007E-2</v>
      </c>
      <c r="I60" s="198">
        <f t="shared" si="57"/>
        <v>9.4400000000000012E-2</v>
      </c>
      <c r="J60" s="198" t="str">
        <f t="shared" si="57"/>
        <v>-</v>
      </c>
      <c r="K60" s="198" t="str">
        <f t="shared" si="57"/>
        <v>-</v>
      </c>
      <c r="M60" s="237" t="s">
        <v>1832</v>
      </c>
      <c r="N60" s="237">
        <v>0</v>
      </c>
      <c r="O60" s="237">
        <v>0</v>
      </c>
      <c r="P60" s="237">
        <v>0</v>
      </c>
      <c r="Q60" s="237">
        <v>0</v>
      </c>
      <c r="R60" s="237">
        <v>0</v>
      </c>
      <c r="S60" s="237">
        <v>0</v>
      </c>
      <c r="T60" s="237">
        <v>0</v>
      </c>
      <c r="U60" s="237" t="s">
        <v>2</v>
      </c>
      <c r="V60" s="237" t="s">
        <v>2</v>
      </c>
      <c r="X60" s="236" t="s">
        <v>1832</v>
      </c>
      <c r="Y60" s="236">
        <v>0</v>
      </c>
      <c r="Z60" s="236">
        <v>0</v>
      </c>
      <c r="AA60" s="236">
        <v>0</v>
      </c>
      <c r="AB60" s="236">
        <v>0</v>
      </c>
      <c r="AC60" s="236">
        <v>0</v>
      </c>
      <c r="AD60" s="236">
        <v>0</v>
      </c>
      <c r="AE60" s="236">
        <v>0</v>
      </c>
      <c r="AF60" s="236" t="s">
        <v>2</v>
      </c>
      <c r="AG60" s="236" t="s">
        <v>2</v>
      </c>
    </row>
    <row r="61" spans="1:33" x14ac:dyDescent="0.25">
      <c r="B61" s="239" t="s">
        <v>1685</v>
      </c>
      <c r="C61" s="198">
        <f t="shared" ref="C61:K61" si="58">IF(C27="-","-",C27+($A$52/$A$18))</f>
        <v>8.2900000000000001E-2</v>
      </c>
      <c r="D61" s="198">
        <f t="shared" si="58"/>
        <v>8.2900000000000001E-2</v>
      </c>
      <c r="E61" s="198">
        <f t="shared" si="58"/>
        <v>8.3650000000000002E-2</v>
      </c>
      <c r="F61" s="198">
        <f t="shared" si="58"/>
        <v>8.4400000000000003E-2</v>
      </c>
      <c r="G61" s="198">
        <f t="shared" si="58"/>
        <v>8.5150000000000003E-2</v>
      </c>
      <c r="H61" s="198">
        <f t="shared" si="58"/>
        <v>8.6900000000000005E-2</v>
      </c>
      <c r="I61" s="198">
        <f t="shared" si="58"/>
        <v>9.1900000000000009E-2</v>
      </c>
      <c r="J61" s="198" t="str">
        <f t="shared" si="58"/>
        <v>-</v>
      </c>
      <c r="K61" s="198" t="str">
        <f t="shared" si="58"/>
        <v>-</v>
      </c>
      <c r="M61" s="237" t="s">
        <v>1831</v>
      </c>
      <c r="N61" s="237">
        <v>0</v>
      </c>
      <c r="O61" s="237">
        <v>0</v>
      </c>
      <c r="P61" s="237">
        <v>0</v>
      </c>
      <c r="Q61" s="237">
        <v>0</v>
      </c>
      <c r="R61" s="237">
        <v>0</v>
      </c>
      <c r="S61" s="237">
        <v>0</v>
      </c>
      <c r="T61" s="237">
        <v>0</v>
      </c>
      <c r="U61" s="237" t="s">
        <v>2</v>
      </c>
      <c r="V61" s="237" t="s">
        <v>2</v>
      </c>
      <c r="X61" s="236" t="s">
        <v>1831</v>
      </c>
      <c r="Y61" s="236">
        <v>0</v>
      </c>
      <c r="Z61" s="236">
        <v>0</v>
      </c>
      <c r="AA61" s="236">
        <v>0</v>
      </c>
      <c r="AB61" s="236">
        <v>0</v>
      </c>
      <c r="AC61" s="236">
        <v>0</v>
      </c>
      <c r="AD61" s="236">
        <v>0</v>
      </c>
      <c r="AE61" s="236">
        <v>0</v>
      </c>
      <c r="AF61" s="236" t="s">
        <v>2</v>
      </c>
      <c r="AG61" s="236" t="s">
        <v>2</v>
      </c>
    </row>
    <row r="62" spans="1:33" x14ac:dyDescent="0.25">
      <c r="B62" s="239" t="s">
        <v>1684</v>
      </c>
      <c r="C62" s="198">
        <f t="shared" ref="C62:K62" si="59">IF(C28="-","-",C28+($A$52/$A$18))</f>
        <v>8.1900000000000001E-2</v>
      </c>
      <c r="D62" s="198">
        <f t="shared" si="59"/>
        <v>8.1900000000000001E-2</v>
      </c>
      <c r="E62" s="198">
        <f t="shared" si="59"/>
        <v>8.2150000000000001E-2</v>
      </c>
      <c r="F62" s="198">
        <f t="shared" si="59"/>
        <v>8.2150000000000001E-2</v>
      </c>
      <c r="G62" s="198">
        <f t="shared" si="59"/>
        <v>8.3150000000000002E-2</v>
      </c>
      <c r="H62" s="198">
        <f t="shared" si="59"/>
        <v>8.4150000000000003E-2</v>
      </c>
      <c r="I62" s="198">
        <f t="shared" si="59"/>
        <v>8.9150000000000007E-2</v>
      </c>
      <c r="J62" s="198" t="str">
        <f t="shared" si="59"/>
        <v>-</v>
      </c>
      <c r="K62" s="198" t="str">
        <f t="shared" si="59"/>
        <v>-</v>
      </c>
      <c r="M62" s="237" t="s">
        <v>1830</v>
      </c>
      <c r="N62" s="237">
        <v>0</v>
      </c>
      <c r="O62" s="237">
        <v>0</v>
      </c>
      <c r="P62" s="237">
        <v>0</v>
      </c>
      <c r="Q62" s="237">
        <v>0</v>
      </c>
      <c r="R62" s="237">
        <v>0</v>
      </c>
      <c r="S62" s="237">
        <v>0</v>
      </c>
      <c r="T62" s="237">
        <v>0</v>
      </c>
      <c r="U62" s="237" t="s">
        <v>2</v>
      </c>
      <c r="V62" s="237" t="s">
        <v>2</v>
      </c>
      <c r="X62" s="236" t="s">
        <v>1830</v>
      </c>
      <c r="Y62" s="236">
        <v>0</v>
      </c>
      <c r="Z62" s="236">
        <v>0</v>
      </c>
      <c r="AA62" s="236">
        <v>0</v>
      </c>
      <c r="AB62" s="236">
        <v>0</v>
      </c>
      <c r="AC62" s="236">
        <v>0</v>
      </c>
      <c r="AD62" s="236">
        <v>0</v>
      </c>
      <c r="AE62" s="236">
        <v>0</v>
      </c>
      <c r="AF62" s="236" t="s">
        <v>2</v>
      </c>
      <c r="AG62" s="236" t="s">
        <v>2</v>
      </c>
    </row>
    <row r="63" spans="1:33" x14ac:dyDescent="0.25">
      <c r="B63" s="239" t="s">
        <v>1683</v>
      </c>
      <c r="C63" s="198">
        <f t="shared" ref="C63:K63" si="60">IF(C29="-","-",C29+($A$52/$A$18))</f>
        <v>8.09E-2</v>
      </c>
      <c r="D63" s="198">
        <f t="shared" si="60"/>
        <v>8.115E-2</v>
      </c>
      <c r="E63" s="198">
        <f t="shared" si="60"/>
        <v>8.14E-2</v>
      </c>
      <c r="F63" s="198">
        <f t="shared" si="60"/>
        <v>8.165E-2</v>
      </c>
      <c r="G63" s="198">
        <f t="shared" si="60"/>
        <v>8.1900000000000001E-2</v>
      </c>
      <c r="H63" s="198">
        <f t="shared" si="60"/>
        <v>8.2900000000000001E-2</v>
      </c>
      <c r="I63" s="198">
        <f t="shared" si="60"/>
        <v>8.7900000000000006E-2</v>
      </c>
      <c r="J63" s="198" t="str">
        <f t="shared" si="60"/>
        <v>-</v>
      </c>
      <c r="K63" s="198" t="str">
        <f t="shared" si="60"/>
        <v>-</v>
      </c>
      <c r="M63" s="237" t="s">
        <v>1829</v>
      </c>
      <c r="N63" s="237">
        <v>0</v>
      </c>
      <c r="O63" s="237">
        <v>0</v>
      </c>
      <c r="P63" s="237">
        <v>0</v>
      </c>
      <c r="Q63" s="237">
        <v>0</v>
      </c>
      <c r="R63" s="237">
        <v>0</v>
      </c>
      <c r="S63" s="237">
        <v>0</v>
      </c>
      <c r="T63" s="237">
        <v>0</v>
      </c>
      <c r="U63" s="237" t="s">
        <v>2</v>
      </c>
      <c r="V63" s="237" t="s">
        <v>2</v>
      </c>
      <c r="X63" s="236" t="s">
        <v>1829</v>
      </c>
      <c r="Y63" s="236">
        <v>0</v>
      </c>
      <c r="Z63" s="236">
        <v>0</v>
      </c>
      <c r="AA63" s="236">
        <v>0</v>
      </c>
      <c r="AB63" s="236">
        <v>0</v>
      </c>
      <c r="AC63" s="236">
        <v>0</v>
      </c>
      <c r="AD63" s="236">
        <v>0</v>
      </c>
      <c r="AE63" s="236">
        <v>0</v>
      </c>
      <c r="AF63" s="236" t="s">
        <v>2</v>
      </c>
      <c r="AG63" s="236" t="s">
        <v>2</v>
      </c>
    </row>
    <row r="64" spans="1:33" x14ac:dyDescent="0.25">
      <c r="B64" s="239" t="s">
        <v>1682</v>
      </c>
      <c r="C64" s="198">
        <f t="shared" ref="C64:K64" si="61">IF(C30="-","-",C30+($A$52/$A$18))</f>
        <v>8.0399999999999999E-2</v>
      </c>
      <c r="D64" s="198">
        <f t="shared" si="61"/>
        <v>8.0399999999999999E-2</v>
      </c>
      <c r="E64" s="198">
        <f t="shared" si="61"/>
        <v>8.0524999999999985E-2</v>
      </c>
      <c r="F64" s="198">
        <f t="shared" si="61"/>
        <v>8.0649999999999999E-2</v>
      </c>
      <c r="G64" s="198">
        <f t="shared" si="61"/>
        <v>8.1850000000000006E-2</v>
      </c>
      <c r="H64" s="198">
        <f t="shared" si="61"/>
        <v>8.1900000000000001E-2</v>
      </c>
      <c r="I64" s="198">
        <f t="shared" si="61"/>
        <v>8.6900000000000005E-2</v>
      </c>
      <c r="J64" s="198" t="str">
        <f t="shared" si="61"/>
        <v>-</v>
      </c>
      <c r="K64" s="198" t="str">
        <f t="shared" si="61"/>
        <v>-</v>
      </c>
      <c r="M64" s="237" t="s">
        <v>1828</v>
      </c>
      <c r="N64" s="237">
        <v>0</v>
      </c>
      <c r="O64" s="237">
        <v>0</v>
      </c>
      <c r="P64" s="237">
        <v>0</v>
      </c>
      <c r="Q64" s="237">
        <v>0</v>
      </c>
      <c r="R64" s="237">
        <v>0</v>
      </c>
      <c r="S64" s="237">
        <v>0</v>
      </c>
      <c r="T64" s="237">
        <v>0</v>
      </c>
      <c r="U64" s="237" t="s">
        <v>2</v>
      </c>
      <c r="V64" s="237" t="s">
        <v>2</v>
      </c>
      <c r="X64" s="236" t="s">
        <v>1828</v>
      </c>
      <c r="Y64" s="236">
        <v>0</v>
      </c>
      <c r="Z64" s="236">
        <v>0</v>
      </c>
      <c r="AA64" s="236">
        <v>0</v>
      </c>
      <c r="AB64" s="236">
        <v>0</v>
      </c>
      <c r="AC64" s="236">
        <v>0</v>
      </c>
      <c r="AD64" s="236">
        <v>0</v>
      </c>
      <c r="AE64" s="236">
        <v>0</v>
      </c>
      <c r="AF64" s="236" t="s">
        <v>2</v>
      </c>
      <c r="AG64" s="236" t="s">
        <v>2</v>
      </c>
    </row>
    <row r="65" spans="2:33" x14ac:dyDescent="0.25">
      <c r="B65" s="239" t="s">
        <v>1681</v>
      </c>
      <c r="C65" s="198">
        <f t="shared" ref="C65:K65" si="62">IF(C31="-","-",C31+($A$52/$A$18))</f>
        <v>8.0149999999999999E-2</v>
      </c>
      <c r="D65" s="198">
        <f t="shared" si="62"/>
        <v>8.0149999999999999E-2</v>
      </c>
      <c r="E65" s="198">
        <f t="shared" si="62"/>
        <v>8.0399999999999999E-2</v>
      </c>
      <c r="F65" s="198">
        <f t="shared" si="62"/>
        <v>8.0649999999999999E-2</v>
      </c>
      <c r="G65" s="198">
        <f t="shared" si="62"/>
        <v>8.1750000000000017E-2</v>
      </c>
      <c r="H65" s="198">
        <f t="shared" si="62"/>
        <v>8.1850000000000006E-2</v>
      </c>
      <c r="I65" s="198">
        <f t="shared" si="62"/>
        <v>8.6850000000000011E-2</v>
      </c>
      <c r="J65" s="198" t="str">
        <f t="shared" si="62"/>
        <v>-</v>
      </c>
      <c r="K65" s="198" t="str">
        <f t="shared" si="62"/>
        <v>-</v>
      </c>
      <c r="M65" s="238"/>
      <c r="N65" s="238"/>
      <c r="O65" s="238"/>
      <c r="P65" s="238"/>
      <c r="Q65" s="238"/>
      <c r="R65" s="238"/>
      <c r="S65" s="238"/>
      <c r="T65" s="238"/>
      <c r="U65" s="238"/>
      <c r="V65" s="238"/>
    </row>
    <row r="66" spans="2:33" x14ac:dyDescent="0.25">
      <c r="B66" s="239" t="s">
        <v>1680</v>
      </c>
      <c r="C66" s="198">
        <f t="shared" ref="C66:K66" si="63">IF(C32="-","-",C32+($A$52/$A$18))</f>
        <v>7.9649999999999999E-2</v>
      </c>
      <c r="D66" s="198">
        <f t="shared" si="63"/>
        <v>7.9649999999999999E-2</v>
      </c>
      <c r="E66" s="198">
        <f t="shared" si="63"/>
        <v>7.9899999999999999E-2</v>
      </c>
      <c r="F66" s="198">
        <f t="shared" si="63"/>
        <v>8.0649999999999999E-2</v>
      </c>
      <c r="G66" s="198">
        <f t="shared" si="63"/>
        <v>8.165E-2</v>
      </c>
      <c r="H66" s="198">
        <f t="shared" si="63"/>
        <v>8.1750000000000017E-2</v>
      </c>
      <c r="I66" s="198">
        <f t="shared" si="63"/>
        <v>8.6750000000000022E-2</v>
      </c>
      <c r="J66" s="198" t="str">
        <f t="shared" si="63"/>
        <v>-</v>
      </c>
      <c r="K66" s="198" t="str">
        <f t="shared" si="63"/>
        <v>-</v>
      </c>
      <c r="M66" s="238"/>
      <c r="N66" s="238"/>
      <c r="O66" s="238"/>
      <c r="P66" s="238"/>
      <c r="Q66" s="238"/>
      <c r="R66" s="238"/>
      <c r="S66" s="238"/>
      <c r="T66" s="238"/>
      <c r="U66" s="238"/>
      <c r="V66" s="238"/>
    </row>
    <row r="67" spans="2:33" x14ac:dyDescent="0.25">
      <c r="B67" s="239" t="s">
        <v>1679</v>
      </c>
      <c r="C67" s="198">
        <f t="shared" ref="C67:K67" si="64">IF(C33="-","-",C33+($A$52/$A$18))</f>
        <v>8.5650000000000004E-2</v>
      </c>
      <c r="D67" s="198">
        <f t="shared" si="64"/>
        <v>8.5900000000000004E-2</v>
      </c>
      <c r="E67" s="198">
        <f t="shared" si="64"/>
        <v>8.6150000000000004E-2</v>
      </c>
      <c r="F67" s="198">
        <f t="shared" si="64"/>
        <v>8.6150000000000004E-2</v>
      </c>
      <c r="G67" s="198">
        <f t="shared" si="64"/>
        <v>8.6400000000000005E-2</v>
      </c>
      <c r="H67" s="198">
        <f t="shared" si="64"/>
        <v>8.6650000000000005E-2</v>
      </c>
      <c r="I67" s="198">
        <f t="shared" si="64"/>
        <v>9.1650000000000009E-2</v>
      </c>
      <c r="J67" s="198" t="str">
        <f t="shared" si="64"/>
        <v>-</v>
      </c>
      <c r="K67" s="198" t="str">
        <f t="shared" si="64"/>
        <v>-</v>
      </c>
      <c r="M67" s="804" t="s">
        <v>1827</v>
      </c>
      <c r="N67" s="804"/>
      <c r="O67" s="804"/>
      <c r="P67" s="804"/>
      <c r="Q67" s="804"/>
      <c r="R67" s="804"/>
      <c r="S67" s="804"/>
      <c r="T67" s="804"/>
      <c r="U67" s="804"/>
      <c r="V67" s="804"/>
      <c r="X67" s="805" t="s">
        <v>1827</v>
      </c>
      <c r="Y67" s="805"/>
      <c r="Z67" s="805"/>
      <c r="AA67" s="805"/>
      <c r="AB67" s="805"/>
      <c r="AC67" s="805"/>
      <c r="AD67" s="805"/>
      <c r="AE67" s="805"/>
      <c r="AF67" s="805"/>
      <c r="AG67" s="805"/>
    </row>
    <row r="68" spans="2:33" x14ac:dyDescent="0.25">
      <c r="M68" s="237" t="s">
        <v>1826</v>
      </c>
      <c r="N68" s="237">
        <v>0</v>
      </c>
      <c r="O68" s="237">
        <v>0</v>
      </c>
      <c r="P68" s="237">
        <v>0</v>
      </c>
      <c r="Q68" s="237">
        <v>0</v>
      </c>
      <c r="R68" s="237">
        <v>0</v>
      </c>
      <c r="S68" s="237">
        <v>0</v>
      </c>
      <c r="T68" s="237">
        <v>0</v>
      </c>
      <c r="U68" s="237" t="s">
        <v>2</v>
      </c>
      <c r="V68" s="237" t="s">
        <v>2</v>
      </c>
      <c r="X68" s="236" t="s">
        <v>1826</v>
      </c>
      <c r="Y68" s="236">
        <v>0</v>
      </c>
      <c r="Z68" s="236">
        <v>0</v>
      </c>
      <c r="AA68" s="236">
        <v>0</v>
      </c>
      <c r="AB68" s="236">
        <v>0</v>
      </c>
      <c r="AC68" s="236">
        <v>0</v>
      </c>
      <c r="AD68" s="236">
        <v>0</v>
      </c>
      <c r="AE68" s="236">
        <v>0</v>
      </c>
      <c r="AF68" s="236" t="s">
        <v>2</v>
      </c>
      <c r="AG68" s="236" t="s">
        <v>2</v>
      </c>
    </row>
    <row r="69" spans="2:33" x14ac:dyDescent="0.25">
      <c r="M69" s="237" t="s">
        <v>1825</v>
      </c>
      <c r="N69" s="237">
        <v>0</v>
      </c>
      <c r="O69" s="237">
        <v>0</v>
      </c>
      <c r="P69" s="237">
        <v>0</v>
      </c>
      <c r="Q69" s="237">
        <v>0</v>
      </c>
      <c r="R69" s="237">
        <v>0</v>
      </c>
      <c r="S69" s="237">
        <v>0</v>
      </c>
      <c r="T69" s="237">
        <v>0</v>
      </c>
      <c r="U69" s="237" t="s">
        <v>2</v>
      </c>
      <c r="V69" s="237" t="s">
        <v>2</v>
      </c>
      <c r="X69" s="236" t="s">
        <v>1825</v>
      </c>
      <c r="Y69" s="236">
        <v>0</v>
      </c>
      <c r="Z69" s="236">
        <v>0</v>
      </c>
      <c r="AA69" s="236">
        <v>0</v>
      </c>
      <c r="AB69" s="236">
        <v>0</v>
      </c>
      <c r="AC69" s="236">
        <v>0</v>
      </c>
      <c r="AD69" s="236">
        <v>0</v>
      </c>
      <c r="AE69" s="236">
        <v>0</v>
      </c>
      <c r="AF69" s="236" t="s">
        <v>2</v>
      </c>
      <c r="AG69" s="236" t="s">
        <v>2</v>
      </c>
    </row>
    <row r="70" spans="2:33" x14ac:dyDescent="0.25">
      <c r="M70" s="237" t="s">
        <v>1824</v>
      </c>
      <c r="N70" s="237">
        <v>0</v>
      </c>
      <c r="O70" s="237">
        <v>0</v>
      </c>
      <c r="P70" s="237">
        <v>0</v>
      </c>
      <c r="Q70" s="237">
        <v>0</v>
      </c>
      <c r="R70" s="237">
        <v>0</v>
      </c>
      <c r="S70" s="237">
        <v>0</v>
      </c>
      <c r="T70" s="237">
        <v>0</v>
      </c>
      <c r="U70" s="237" t="s">
        <v>2</v>
      </c>
      <c r="V70" s="237" t="s">
        <v>2</v>
      </c>
      <c r="X70" s="236" t="s">
        <v>1824</v>
      </c>
      <c r="Y70" s="236">
        <v>0</v>
      </c>
      <c r="Z70" s="236">
        <v>0</v>
      </c>
      <c r="AA70" s="236">
        <v>0</v>
      </c>
      <c r="AB70" s="236">
        <v>0</v>
      </c>
      <c r="AC70" s="236">
        <v>0</v>
      </c>
      <c r="AD70" s="236">
        <v>0</v>
      </c>
      <c r="AE70" s="236">
        <v>0</v>
      </c>
      <c r="AF70" s="236" t="s">
        <v>2</v>
      </c>
      <c r="AG70" s="236" t="s">
        <v>2</v>
      </c>
    </row>
    <row r="71" spans="2:33" x14ac:dyDescent="0.25">
      <c r="M71" s="237" t="s">
        <v>1823</v>
      </c>
      <c r="N71" s="237">
        <v>0</v>
      </c>
      <c r="O71" s="237">
        <v>0</v>
      </c>
      <c r="P71" s="237">
        <v>0</v>
      </c>
      <c r="Q71" s="237">
        <v>0</v>
      </c>
      <c r="R71" s="237">
        <v>0</v>
      </c>
      <c r="S71" s="237">
        <v>0</v>
      </c>
      <c r="T71" s="237">
        <v>0</v>
      </c>
      <c r="U71" s="237" t="s">
        <v>2</v>
      </c>
      <c r="V71" s="237" t="s">
        <v>2</v>
      </c>
      <c r="X71" s="236" t="s">
        <v>1823</v>
      </c>
      <c r="Y71" s="236">
        <v>0</v>
      </c>
      <c r="Z71" s="236">
        <v>0</v>
      </c>
      <c r="AA71" s="236">
        <v>0</v>
      </c>
      <c r="AB71" s="236">
        <v>0</v>
      </c>
      <c r="AC71" s="236">
        <v>0</v>
      </c>
      <c r="AD71" s="236">
        <v>0</v>
      </c>
      <c r="AE71" s="236">
        <v>0</v>
      </c>
      <c r="AF71" s="236" t="s">
        <v>2</v>
      </c>
      <c r="AG71" s="236" t="s">
        <v>2</v>
      </c>
    </row>
    <row r="72" spans="2:33" x14ac:dyDescent="0.25">
      <c r="M72" s="237" t="s">
        <v>2</v>
      </c>
      <c r="N72" s="237">
        <v>0</v>
      </c>
      <c r="O72" s="237">
        <v>0</v>
      </c>
      <c r="P72" s="237">
        <v>0</v>
      </c>
      <c r="Q72" s="237">
        <v>0</v>
      </c>
      <c r="R72" s="237">
        <v>0</v>
      </c>
      <c r="S72" s="237">
        <v>0</v>
      </c>
      <c r="T72" s="237">
        <v>0</v>
      </c>
      <c r="U72" s="237" t="s">
        <v>2</v>
      </c>
      <c r="V72" s="237" t="s">
        <v>2</v>
      </c>
      <c r="X72" s="236" t="s">
        <v>2</v>
      </c>
      <c r="Y72" s="236">
        <v>0</v>
      </c>
      <c r="Z72" s="236">
        <v>0</v>
      </c>
      <c r="AA72" s="236">
        <v>0</v>
      </c>
      <c r="AB72" s="236">
        <v>0</v>
      </c>
      <c r="AC72" s="236">
        <v>0</v>
      </c>
      <c r="AD72" s="236">
        <v>0</v>
      </c>
      <c r="AE72" s="236">
        <v>0</v>
      </c>
      <c r="AF72" s="236" t="s">
        <v>2</v>
      </c>
      <c r="AG72" s="236" t="s">
        <v>2</v>
      </c>
    </row>
    <row r="73" spans="2:33" x14ac:dyDescent="0.25">
      <c r="M73" s="238"/>
      <c r="N73" s="238"/>
      <c r="O73" s="238"/>
      <c r="P73" s="238"/>
      <c r="Q73" s="238"/>
      <c r="R73" s="238"/>
      <c r="S73" s="238"/>
      <c r="T73" s="238"/>
      <c r="U73" s="238"/>
      <c r="V73" s="238"/>
    </row>
    <row r="74" spans="2:33" x14ac:dyDescent="0.25">
      <c r="M74" s="238"/>
      <c r="N74" s="238"/>
      <c r="O74" s="238"/>
      <c r="P74" s="238"/>
      <c r="Q74" s="238"/>
      <c r="R74" s="238"/>
      <c r="S74" s="238"/>
      <c r="T74" s="238"/>
      <c r="U74" s="238"/>
      <c r="V74" s="238"/>
    </row>
    <row r="75" spans="2:33" x14ac:dyDescent="0.25">
      <c r="M75" s="804" t="s">
        <v>82</v>
      </c>
      <c r="N75" s="804"/>
      <c r="O75" s="804"/>
      <c r="P75" s="804"/>
      <c r="Q75" s="804"/>
      <c r="R75" s="804"/>
      <c r="S75" s="804"/>
      <c r="T75" s="804"/>
      <c r="U75" s="804"/>
      <c r="V75" s="804"/>
      <c r="X75" s="805" t="s">
        <v>82</v>
      </c>
      <c r="Y75" s="805"/>
      <c r="Z75" s="805"/>
      <c r="AA75" s="805"/>
      <c r="AB75" s="805"/>
      <c r="AC75" s="805"/>
      <c r="AD75" s="805"/>
      <c r="AE75" s="805"/>
      <c r="AF75" s="805"/>
      <c r="AG75" s="805"/>
    </row>
    <row r="76" spans="2:33" x14ac:dyDescent="0.25">
      <c r="M76" s="237" t="s">
        <v>286</v>
      </c>
      <c r="N76" s="237">
        <v>0</v>
      </c>
      <c r="O76" s="237">
        <v>0</v>
      </c>
      <c r="P76" s="237">
        <v>0</v>
      </c>
      <c r="Q76" s="237">
        <v>0</v>
      </c>
      <c r="R76" s="237">
        <v>0</v>
      </c>
      <c r="S76" s="237">
        <v>0</v>
      </c>
      <c r="T76" s="237">
        <v>0</v>
      </c>
      <c r="U76" s="237" t="s">
        <v>2</v>
      </c>
      <c r="V76" s="237" t="s">
        <v>2</v>
      </c>
      <c r="X76" s="236" t="s">
        <v>286</v>
      </c>
      <c r="Y76" s="236">
        <v>0</v>
      </c>
      <c r="Z76" s="236">
        <v>0</v>
      </c>
      <c r="AA76" s="236">
        <v>0</v>
      </c>
      <c r="AB76" s="236">
        <v>0</v>
      </c>
      <c r="AC76" s="236">
        <v>0</v>
      </c>
      <c r="AD76" s="236">
        <v>0</v>
      </c>
      <c r="AE76" s="236">
        <v>0</v>
      </c>
      <c r="AF76" s="236" t="s">
        <v>2</v>
      </c>
      <c r="AG76" s="236" t="s">
        <v>2</v>
      </c>
    </row>
    <row r="77" spans="2:33" x14ac:dyDescent="0.25">
      <c r="M77" s="237" t="s">
        <v>281</v>
      </c>
      <c r="N77" s="237">
        <v>0</v>
      </c>
      <c r="O77" s="237">
        <v>0</v>
      </c>
      <c r="P77" s="237">
        <v>0</v>
      </c>
      <c r="Q77" s="237">
        <v>0</v>
      </c>
      <c r="R77" s="237">
        <v>0</v>
      </c>
      <c r="S77" s="237">
        <v>0</v>
      </c>
      <c r="T77" s="237">
        <v>0</v>
      </c>
      <c r="U77" s="237" t="s">
        <v>2</v>
      </c>
      <c r="V77" s="237" t="s">
        <v>2</v>
      </c>
      <c r="X77" s="236" t="s">
        <v>281</v>
      </c>
      <c r="Y77" s="236">
        <v>0</v>
      </c>
      <c r="Z77" s="236">
        <v>0</v>
      </c>
      <c r="AA77" s="236">
        <v>0</v>
      </c>
      <c r="AB77" s="236">
        <v>0</v>
      </c>
      <c r="AC77" s="236">
        <v>0</v>
      </c>
      <c r="AD77" s="236">
        <v>0</v>
      </c>
      <c r="AE77" s="236">
        <v>0</v>
      </c>
      <c r="AF77" s="236" t="s">
        <v>2</v>
      </c>
      <c r="AG77" s="236" t="s">
        <v>2</v>
      </c>
    </row>
    <row r="78" spans="2:33" x14ac:dyDescent="0.25">
      <c r="M78" s="237" t="s">
        <v>276</v>
      </c>
      <c r="N78" s="237">
        <v>0</v>
      </c>
      <c r="O78" s="237">
        <v>0</v>
      </c>
      <c r="P78" s="237">
        <v>0</v>
      </c>
      <c r="Q78" s="237">
        <v>0</v>
      </c>
      <c r="R78" s="237">
        <v>0</v>
      </c>
      <c r="S78" s="237">
        <v>0</v>
      </c>
      <c r="T78" s="237">
        <v>0</v>
      </c>
      <c r="U78" s="237" t="s">
        <v>2</v>
      </c>
      <c r="V78" s="237" t="s">
        <v>2</v>
      </c>
      <c r="X78" s="236" t="s">
        <v>276</v>
      </c>
      <c r="Y78" s="236">
        <v>0</v>
      </c>
      <c r="Z78" s="236">
        <v>0</v>
      </c>
      <c r="AA78" s="236">
        <v>0</v>
      </c>
      <c r="AB78" s="236">
        <v>0</v>
      </c>
      <c r="AC78" s="236">
        <v>0</v>
      </c>
      <c r="AD78" s="236">
        <v>0</v>
      </c>
      <c r="AE78" s="236">
        <v>0</v>
      </c>
      <c r="AF78" s="236" t="s">
        <v>2</v>
      </c>
      <c r="AG78" s="236" t="s">
        <v>2</v>
      </c>
    </row>
    <row r="79" spans="2:33" x14ac:dyDescent="0.25">
      <c r="M79" s="237" t="s">
        <v>273</v>
      </c>
      <c r="N79" s="237">
        <v>0</v>
      </c>
      <c r="O79" s="237">
        <v>0</v>
      </c>
      <c r="P79" s="237">
        <v>0</v>
      </c>
      <c r="Q79" s="237">
        <v>0</v>
      </c>
      <c r="R79" s="237">
        <v>0</v>
      </c>
      <c r="S79" s="237">
        <v>0</v>
      </c>
      <c r="T79" s="237">
        <v>0</v>
      </c>
      <c r="U79" s="237" t="s">
        <v>2</v>
      </c>
      <c r="V79" s="237" t="s">
        <v>2</v>
      </c>
      <c r="X79" s="236" t="s">
        <v>273</v>
      </c>
      <c r="Y79" s="236">
        <v>0</v>
      </c>
      <c r="Z79" s="236">
        <v>0</v>
      </c>
      <c r="AA79" s="236">
        <v>0</v>
      </c>
      <c r="AB79" s="236">
        <v>0</v>
      </c>
      <c r="AC79" s="236">
        <v>0</v>
      </c>
      <c r="AD79" s="236">
        <v>0</v>
      </c>
      <c r="AE79" s="236">
        <v>0</v>
      </c>
      <c r="AF79" s="236" t="s">
        <v>2</v>
      </c>
      <c r="AG79" s="236" t="s">
        <v>2</v>
      </c>
    </row>
    <row r="80" spans="2:33" x14ac:dyDescent="0.25">
      <c r="M80" s="237" t="s">
        <v>272</v>
      </c>
      <c r="N80" s="237">
        <v>0</v>
      </c>
      <c r="O80" s="237">
        <v>0</v>
      </c>
      <c r="P80" s="237">
        <v>0</v>
      </c>
      <c r="Q80" s="237">
        <v>0</v>
      </c>
      <c r="R80" s="237">
        <v>0</v>
      </c>
      <c r="S80" s="237">
        <v>0</v>
      </c>
      <c r="T80" s="237">
        <v>0</v>
      </c>
      <c r="U80" s="237" t="s">
        <v>2</v>
      </c>
      <c r="V80" s="237" t="s">
        <v>2</v>
      </c>
      <c r="X80" s="236" t="s">
        <v>272</v>
      </c>
      <c r="Y80" s="236">
        <v>0</v>
      </c>
      <c r="Z80" s="236">
        <v>0</v>
      </c>
      <c r="AA80" s="236">
        <v>0</v>
      </c>
      <c r="AB80" s="236">
        <v>0</v>
      </c>
      <c r="AC80" s="236">
        <v>0</v>
      </c>
      <c r="AD80" s="236">
        <v>0</v>
      </c>
      <c r="AE80" s="236">
        <v>0</v>
      </c>
      <c r="AF80" s="236" t="s">
        <v>2</v>
      </c>
      <c r="AG80" s="236" t="s">
        <v>2</v>
      </c>
    </row>
    <row r="81" spans="13:33" x14ac:dyDescent="0.25">
      <c r="M81" s="237" t="s">
        <v>271</v>
      </c>
      <c r="N81" s="237">
        <v>0</v>
      </c>
      <c r="O81" s="237">
        <v>0</v>
      </c>
      <c r="P81" s="237">
        <v>0</v>
      </c>
      <c r="Q81" s="237">
        <v>0</v>
      </c>
      <c r="R81" s="237">
        <v>0</v>
      </c>
      <c r="S81" s="237">
        <v>0</v>
      </c>
      <c r="T81" s="237">
        <v>0</v>
      </c>
      <c r="U81" s="237" t="s">
        <v>2</v>
      </c>
      <c r="V81" s="237" t="s">
        <v>2</v>
      </c>
      <c r="X81" s="236" t="s">
        <v>271</v>
      </c>
      <c r="Y81" s="236">
        <v>0</v>
      </c>
      <c r="Z81" s="236">
        <v>0</v>
      </c>
      <c r="AA81" s="236">
        <v>0</v>
      </c>
      <c r="AB81" s="236">
        <v>0</v>
      </c>
      <c r="AC81" s="236">
        <v>0</v>
      </c>
      <c r="AD81" s="236">
        <v>0</v>
      </c>
      <c r="AE81" s="236">
        <v>0</v>
      </c>
      <c r="AF81" s="236" t="s">
        <v>2</v>
      </c>
      <c r="AG81" s="236" t="s">
        <v>2</v>
      </c>
    </row>
    <row r="82" spans="13:33" x14ac:dyDescent="0.25">
      <c r="M82" s="237" t="s">
        <v>270</v>
      </c>
      <c r="N82" s="237">
        <v>0</v>
      </c>
      <c r="O82" s="237">
        <v>0</v>
      </c>
      <c r="P82" s="237">
        <v>0</v>
      </c>
      <c r="Q82" s="237">
        <v>0</v>
      </c>
      <c r="R82" s="237">
        <v>0</v>
      </c>
      <c r="S82" s="237">
        <v>0</v>
      </c>
      <c r="T82" s="237">
        <v>0</v>
      </c>
      <c r="U82" s="237" t="s">
        <v>2</v>
      </c>
      <c r="V82" s="237" t="s">
        <v>2</v>
      </c>
      <c r="X82" s="236" t="s">
        <v>270</v>
      </c>
      <c r="Y82" s="236">
        <v>0</v>
      </c>
      <c r="Z82" s="236">
        <v>0</v>
      </c>
      <c r="AA82" s="236">
        <v>0</v>
      </c>
      <c r="AB82" s="236">
        <v>0</v>
      </c>
      <c r="AC82" s="236">
        <v>0</v>
      </c>
      <c r="AD82" s="236">
        <v>0</v>
      </c>
      <c r="AE82" s="236">
        <v>0</v>
      </c>
      <c r="AF82" s="236" t="s">
        <v>2</v>
      </c>
      <c r="AG82" s="236" t="s">
        <v>2</v>
      </c>
    </row>
    <row r="83" spans="13:33" x14ac:dyDescent="0.25">
      <c r="M83" s="237" t="s">
        <v>269</v>
      </c>
      <c r="N83" s="237">
        <v>0</v>
      </c>
      <c r="O83" s="237">
        <v>0</v>
      </c>
      <c r="P83" s="237">
        <v>0</v>
      </c>
      <c r="Q83" s="237">
        <v>0</v>
      </c>
      <c r="R83" s="237">
        <v>0</v>
      </c>
      <c r="S83" s="237">
        <v>0</v>
      </c>
      <c r="T83" s="237">
        <v>0</v>
      </c>
      <c r="U83" s="237" t="s">
        <v>2</v>
      </c>
      <c r="V83" s="237" t="s">
        <v>2</v>
      </c>
      <c r="X83" s="236" t="s">
        <v>269</v>
      </c>
      <c r="Y83" s="236">
        <v>0</v>
      </c>
      <c r="Z83" s="236">
        <v>0</v>
      </c>
      <c r="AA83" s="236">
        <v>0</v>
      </c>
      <c r="AB83" s="236">
        <v>0</v>
      </c>
      <c r="AC83" s="236">
        <v>0</v>
      </c>
      <c r="AD83" s="236">
        <v>0</v>
      </c>
      <c r="AE83" s="236">
        <v>0</v>
      </c>
      <c r="AF83" s="236" t="s">
        <v>2</v>
      </c>
      <c r="AG83" s="236" t="s">
        <v>2</v>
      </c>
    </row>
    <row r="84" spans="13:33" x14ac:dyDescent="0.25">
      <c r="M84" s="237" t="s">
        <v>268</v>
      </c>
      <c r="N84" s="237">
        <v>0</v>
      </c>
      <c r="O84" s="237">
        <v>0</v>
      </c>
      <c r="P84" s="237">
        <v>0</v>
      </c>
      <c r="Q84" s="237">
        <v>0</v>
      </c>
      <c r="R84" s="237">
        <v>0</v>
      </c>
      <c r="S84" s="237">
        <v>0</v>
      </c>
      <c r="T84" s="237">
        <v>0</v>
      </c>
      <c r="U84" s="237" t="s">
        <v>2</v>
      </c>
      <c r="V84" s="237" t="s">
        <v>2</v>
      </c>
      <c r="X84" s="236" t="s">
        <v>268</v>
      </c>
      <c r="Y84" s="236">
        <v>0</v>
      </c>
      <c r="Z84" s="236">
        <v>0</v>
      </c>
      <c r="AA84" s="236">
        <v>0</v>
      </c>
      <c r="AB84" s="236">
        <v>0</v>
      </c>
      <c r="AC84" s="236">
        <v>0</v>
      </c>
      <c r="AD84" s="236">
        <v>0</v>
      </c>
      <c r="AE84" s="236">
        <v>0</v>
      </c>
      <c r="AF84" s="236" t="s">
        <v>2</v>
      </c>
      <c r="AG84" s="236" t="s">
        <v>2</v>
      </c>
    </row>
    <row r="85" spans="13:33" x14ac:dyDescent="0.25">
      <c r="M85" s="237" t="s">
        <v>267</v>
      </c>
      <c r="N85" s="237">
        <v>0</v>
      </c>
      <c r="O85" s="237">
        <v>0</v>
      </c>
      <c r="P85" s="237">
        <v>0</v>
      </c>
      <c r="Q85" s="237">
        <v>0</v>
      </c>
      <c r="R85" s="237">
        <v>0</v>
      </c>
      <c r="S85" s="237">
        <v>0</v>
      </c>
      <c r="T85" s="237">
        <v>0</v>
      </c>
      <c r="U85" s="237" t="s">
        <v>2</v>
      </c>
      <c r="V85" s="237" t="s">
        <v>2</v>
      </c>
      <c r="X85" s="236" t="s">
        <v>267</v>
      </c>
      <c r="Y85" s="236">
        <v>0</v>
      </c>
      <c r="Z85" s="236">
        <v>0</v>
      </c>
      <c r="AA85" s="236">
        <v>0</v>
      </c>
      <c r="AB85" s="236">
        <v>0</v>
      </c>
      <c r="AC85" s="236">
        <v>0</v>
      </c>
      <c r="AD85" s="236">
        <v>0</v>
      </c>
      <c r="AE85" s="236">
        <v>0</v>
      </c>
      <c r="AF85" s="236" t="s">
        <v>2</v>
      </c>
      <c r="AG85" s="236" t="s">
        <v>2</v>
      </c>
    </row>
    <row r="86" spans="13:33" x14ac:dyDescent="0.25">
      <c r="M86" s="237" t="s">
        <v>266</v>
      </c>
      <c r="N86" s="237">
        <v>0</v>
      </c>
      <c r="O86" s="237">
        <v>0</v>
      </c>
      <c r="P86" s="237">
        <v>0</v>
      </c>
      <c r="Q86" s="237">
        <v>0</v>
      </c>
      <c r="R86" s="237">
        <v>0</v>
      </c>
      <c r="S86" s="237">
        <v>0</v>
      </c>
      <c r="T86" s="237">
        <v>0</v>
      </c>
      <c r="U86" s="237" t="s">
        <v>2</v>
      </c>
      <c r="V86" s="237" t="s">
        <v>2</v>
      </c>
      <c r="X86" s="236" t="s">
        <v>266</v>
      </c>
      <c r="Y86" s="236">
        <v>0</v>
      </c>
      <c r="Z86" s="236">
        <v>0</v>
      </c>
      <c r="AA86" s="236">
        <v>0</v>
      </c>
      <c r="AB86" s="236">
        <v>0</v>
      </c>
      <c r="AC86" s="236">
        <v>0</v>
      </c>
      <c r="AD86" s="236">
        <v>0</v>
      </c>
      <c r="AE86" s="236">
        <v>0</v>
      </c>
      <c r="AF86" s="236" t="s">
        <v>2</v>
      </c>
      <c r="AG86" s="236" t="s">
        <v>2</v>
      </c>
    </row>
    <row r="87" spans="13:33" x14ac:dyDescent="0.25">
      <c r="M87" s="237" t="s">
        <v>265</v>
      </c>
      <c r="N87" s="237">
        <v>0</v>
      </c>
      <c r="O87" s="237">
        <v>0</v>
      </c>
      <c r="P87" s="237">
        <v>0</v>
      </c>
      <c r="Q87" s="237">
        <v>0</v>
      </c>
      <c r="R87" s="237">
        <v>0</v>
      </c>
      <c r="S87" s="237">
        <v>0</v>
      </c>
      <c r="T87" s="237">
        <v>0</v>
      </c>
      <c r="U87" s="237" t="s">
        <v>2</v>
      </c>
      <c r="V87" s="237" t="s">
        <v>2</v>
      </c>
      <c r="X87" s="236" t="s">
        <v>265</v>
      </c>
      <c r="Y87" s="236">
        <v>0</v>
      </c>
      <c r="Z87" s="236">
        <v>0</v>
      </c>
      <c r="AA87" s="236">
        <v>0</v>
      </c>
      <c r="AB87" s="236">
        <v>0</v>
      </c>
      <c r="AC87" s="236">
        <v>0</v>
      </c>
      <c r="AD87" s="236">
        <v>0</v>
      </c>
      <c r="AE87" s="236">
        <v>0</v>
      </c>
      <c r="AF87" s="236" t="s">
        <v>2</v>
      </c>
      <c r="AG87" s="236" t="s">
        <v>2</v>
      </c>
    </row>
    <row r="88" spans="13:33" x14ac:dyDescent="0.25">
      <c r="M88" s="237" t="s">
        <v>145</v>
      </c>
      <c r="N88" s="237">
        <v>0</v>
      </c>
      <c r="O88" s="237">
        <v>0</v>
      </c>
      <c r="P88" s="237">
        <v>0</v>
      </c>
      <c r="Q88" s="237">
        <v>0</v>
      </c>
      <c r="R88" s="237">
        <v>0</v>
      </c>
      <c r="S88" s="237">
        <v>0</v>
      </c>
      <c r="T88" s="237">
        <v>0</v>
      </c>
      <c r="U88" s="237" t="s">
        <v>2</v>
      </c>
      <c r="V88" s="237" t="s">
        <v>2</v>
      </c>
      <c r="X88" s="236" t="s">
        <v>145</v>
      </c>
      <c r="Y88" s="236">
        <v>0</v>
      </c>
      <c r="Z88" s="236">
        <v>0</v>
      </c>
      <c r="AA88" s="236">
        <v>0</v>
      </c>
      <c r="AB88" s="236">
        <v>0</v>
      </c>
      <c r="AC88" s="236">
        <v>0</v>
      </c>
      <c r="AD88" s="236">
        <v>0</v>
      </c>
      <c r="AE88" s="236">
        <v>0</v>
      </c>
      <c r="AF88" s="236" t="s">
        <v>2</v>
      </c>
      <c r="AG88" s="236" t="s">
        <v>2</v>
      </c>
    </row>
    <row r="89" spans="13:33" x14ac:dyDescent="0.25">
      <c r="M89" s="237" t="s">
        <v>264</v>
      </c>
      <c r="N89" s="237">
        <v>0</v>
      </c>
      <c r="O89" s="237">
        <v>0</v>
      </c>
      <c r="P89" s="237">
        <v>0</v>
      </c>
      <c r="Q89" s="237">
        <v>0</v>
      </c>
      <c r="R89" s="237">
        <v>0</v>
      </c>
      <c r="S89" s="237">
        <v>0</v>
      </c>
      <c r="T89" s="237">
        <v>0</v>
      </c>
      <c r="U89" s="237" t="s">
        <v>2</v>
      </c>
      <c r="V89" s="237" t="s">
        <v>2</v>
      </c>
      <c r="X89" s="236" t="s">
        <v>264</v>
      </c>
      <c r="Y89" s="236">
        <v>0</v>
      </c>
      <c r="Z89" s="236">
        <v>0</v>
      </c>
      <c r="AA89" s="236">
        <v>0</v>
      </c>
      <c r="AB89" s="236">
        <v>0</v>
      </c>
      <c r="AC89" s="236">
        <v>0</v>
      </c>
      <c r="AD89" s="236">
        <v>0</v>
      </c>
      <c r="AE89" s="236">
        <v>0</v>
      </c>
      <c r="AF89" s="236" t="s">
        <v>2</v>
      </c>
      <c r="AG89" s="236" t="s">
        <v>2</v>
      </c>
    </row>
    <row r="90" spans="13:33" x14ac:dyDescent="0.25">
      <c r="M90" s="237" t="s">
        <v>263</v>
      </c>
      <c r="N90" s="237">
        <v>0</v>
      </c>
      <c r="O90" s="237">
        <v>0</v>
      </c>
      <c r="P90" s="237">
        <v>0</v>
      </c>
      <c r="Q90" s="237">
        <v>0</v>
      </c>
      <c r="R90" s="237">
        <v>0</v>
      </c>
      <c r="S90" s="237">
        <v>0</v>
      </c>
      <c r="T90" s="237">
        <v>0</v>
      </c>
      <c r="U90" s="237" t="s">
        <v>2</v>
      </c>
      <c r="V90" s="237" t="s">
        <v>2</v>
      </c>
      <c r="X90" s="236" t="s">
        <v>263</v>
      </c>
      <c r="Y90" s="236">
        <v>0</v>
      </c>
      <c r="Z90" s="236">
        <v>0</v>
      </c>
      <c r="AA90" s="236">
        <v>0</v>
      </c>
      <c r="AB90" s="236">
        <v>0</v>
      </c>
      <c r="AC90" s="236">
        <v>0</v>
      </c>
      <c r="AD90" s="236">
        <v>0</v>
      </c>
      <c r="AE90" s="236">
        <v>0</v>
      </c>
      <c r="AF90" s="236" t="s">
        <v>2</v>
      </c>
      <c r="AG90" s="236" t="s">
        <v>2</v>
      </c>
    </row>
    <row r="91" spans="13:33" x14ac:dyDescent="0.25">
      <c r="M91" s="237" t="s">
        <v>262</v>
      </c>
      <c r="N91" s="237">
        <v>0</v>
      </c>
      <c r="O91" s="237">
        <v>0</v>
      </c>
      <c r="P91" s="237">
        <v>0</v>
      </c>
      <c r="Q91" s="237">
        <v>0</v>
      </c>
      <c r="R91" s="237">
        <v>0</v>
      </c>
      <c r="S91" s="237">
        <v>0</v>
      </c>
      <c r="T91" s="237">
        <v>0</v>
      </c>
      <c r="U91" s="237" t="s">
        <v>2</v>
      </c>
      <c r="V91" s="237" t="s">
        <v>2</v>
      </c>
      <c r="X91" s="236" t="s">
        <v>262</v>
      </c>
      <c r="Y91" s="236">
        <v>0</v>
      </c>
      <c r="Z91" s="236">
        <v>0</v>
      </c>
      <c r="AA91" s="236">
        <v>0</v>
      </c>
      <c r="AB91" s="236">
        <v>0</v>
      </c>
      <c r="AC91" s="236">
        <v>0</v>
      </c>
      <c r="AD91" s="236">
        <v>0</v>
      </c>
      <c r="AE91" s="236">
        <v>0</v>
      </c>
      <c r="AF91" s="236" t="s">
        <v>2</v>
      </c>
      <c r="AG91" s="236" t="s">
        <v>2</v>
      </c>
    </row>
    <row r="92" spans="13:33" x14ac:dyDescent="0.25">
      <c r="M92" s="237" t="s">
        <v>261</v>
      </c>
      <c r="N92" s="237">
        <v>0</v>
      </c>
      <c r="O92" s="237">
        <v>0</v>
      </c>
      <c r="P92" s="237">
        <v>0</v>
      </c>
      <c r="Q92" s="237">
        <v>0</v>
      </c>
      <c r="R92" s="237">
        <v>0</v>
      </c>
      <c r="S92" s="237">
        <v>0</v>
      </c>
      <c r="T92" s="237">
        <v>0</v>
      </c>
      <c r="U92" s="237" t="s">
        <v>2</v>
      </c>
      <c r="V92" s="237" t="s">
        <v>2</v>
      </c>
      <c r="X92" s="236" t="s">
        <v>261</v>
      </c>
      <c r="Y92" s="236">
        <v>0</v>
      </c>
      <c r="Z92" s="236">
        <v>0</v>
      </c>
      <c r="AA92" s="236">
        <v>0</v>
      </c>
      <c r="AB92" s="236">
        <v>0</v>
      </c>
      <c r="AC92" s="236">
        <v>0</v>
      </c>
      <c r="AD92" s="236">
        <v>0</v>
      </c>
      <c r="AE92" s="236">
        <v>0</v>
      </c>
      <c r="AF92" s="236" t="s">
        <v>2</v>
      </c>
      <c r="AG92" s="236" t="s">
        <v>2</v>
      </c>
    </row>
    <row r="93" spans="13:33" x14ac:dyDescent="0.25">
      <c r="M93" s="237" t="s">
        <v>260</v>
      </c>
      <c r="N93" s="237">
        <v>0</v>
      </c>
      <c r="O93" s="237">
        <v>0</v>
      </c>
      <c r="P93" s="237">
        <v>0</v>
      </c>
      <c r="Q93" s="237">
        <v>0</v>
      </c>
      <c r="R93" s="237">
        <v>0</v>
      </c>
      <c r="S93" s="237">
        <v>0</v>
      </c>
      <c r="T93" s="237">
        <v>0</v>
      </c>
      <c r="U93" s="237" t="s">
        <v>2</v>
      </c>
      <c r="V93" s="237" t="s">
        <v>2</v>
      </c>
      <c r="X93" s="236" t="s">
        <v>260</v>
      </c>
      <c r="Y93" s="236">
        <v>0</v>
      </c>
      <c r="Z93" s="236">
        <v>0</v>
      </c>
      <c r="AA93" s="236">
        <v>0</v>
      </c>
      <c r="AB93" s="236">
        <v>0</v>
      </c>
      <c r="AC93" s="236">
        <v>0</v>
      </c>
      <c r="AD93" s="236">
        <v>0</v>
      </c>
      <c r="AE93" s="236">
        <v>0</v>
      </c>
      <c r="AF93" s="236" t="s">
        <v>2</v>
      </c>
      <c r="AG93" s="236" t="s">
        <v>2</v>
      </c>
    </row>
    <row r="94" spans="13:33" x14ac:dyDescent="0.25">
      <c r="M94" s="237" t="s">
        <v>259</v>
      </c>
      <c r="N94" s="237">
        <v>0</v>
      </c>
      <c r="O94" s="237">
        <v>0</v>
      </c>
      <c r="P94" s="237">
        <v>0</v>
      </c>
      <c r="Q94" s="237">
        <v>0</v>
      </c>
      <c r="R94" s="237">
        <v>0</v>
      </c>
      <c r="S94" s="237">
        <v>0</v>
      </c>
      <c r="T94" s="237">
        <v>0</v>
      </c>
      <c r="U94" s="237" t="s">
        <v>2</v>
      </c>
      <c r="V94" s="237" t="s">
        <v>2</v>
      </c>
      <c r="X94" s="236" t="s">
        <v>259</v>
      </c>
      <c r="Y94" s="236">
        <v>0</v>
      </c>
      <c r="Z94" s="236">
        <v>0</v>
      </c>
      <c r="AA94" s="236">
        <v>0</v>
      </c>
      <c r="AB94" s="236">
        <v>0</v>
      </c>
      <c r="AC94" s="236">
        <v>0</v>
      </c>
      <c r="AD94" s="236">
        <v>0</v>
      </c>
      <c r="AE94" s="236">
        <v>0</v>
      </c>
      <c r="AF94" s="236" t="s">
        <v>2</v>
      </c>
      <c r="AG94" s="236" t="s">
        <v>2</v>
      </c>
    </row>
    <row r="95" spans="13:33" x14ac:dyDescent="0.25">
      <c r="M95" s="237" t="s">
        <v>258</v>
      </c>
      <c r="N95" s="237">
        <v>0</v>
      </c>
      <c r="O95" s="237">
        <v>0</v>
      </c>
      <c r="P95" s="237">
        <v>0</v>
      </c>
      <c r="Q95" s="237">
        <v>0</v>
      </c>
      <c r="R95" s="237">
        <v>0</v>
      </c>
      <c r="S95" s="237">
        <v>0</v>
      </c>
      <c r="T95" s="237">
        <v>0</v>
      </c>
      <c r="U95" s="237" t="s">
        <v>2</v>
      </c>
      <c r="V95" s="237" t="s">
        <v>2</v>
      </c>
      <c r="X95" s="236" t="s">
        <v>258</v>
      </c>
      <c r="Y95" s="236">
        <v>0</v>
      </c>
      <c r="Z95" s="236">
        <v>0</v>
      </c>
      <c r="AA95" s="236">
        <v>0</v>
      </c>
      <c r="AB95" s="236">
        <v>0</v>
      </c>
      <c r="AC95" s="236">
        <v>0</v>
      </c>
      <c r="AD95" s="236">
        <v>0</v>
      </c>
      <c r="AE95" s="236">
        <v>0</v>
      </c>
      <c r="AF95" s="236" t="s">
        <v>2</v>
      </c>
      <c r="AG95" s="236" t="s">
        <v>2</v>
      </c>
    </row>
    <row r="96" spans="13:33" x14ac:dyDescent="0.25">
      <c r="M96" s="237" t="s">
        <v>257</v>
      </c>
      <c r="N96" s="237">
        <v>0</v>
      </c>
      <c r="O96" s="237">
        <v>0</v>
      </c>
      <c r="P96" s="237">
        <v>0</v>
      </c>
      <c r="Q96" s="237">
        <v>0</v>
      </c>
      <c r="R96" s="237">
        <v>0</v>
      </c>
      <c r="S96" s="237">
        <v>0</v>
      </c>
      <c r="T96" s="237">
        <v>0</v>
      </c>
      <c r="U96" s="237" t="s">
        <v>2</v>
      </c>
      <c r="V96" s="237" t="s">
        <v>2</v>
      </c>
      <c r="X96" s="236" t="s">
        <v>257</v>
      </c>
      <c r="Y96" s="236">
        <v>0</v>
      </c>
      <c r="Z96" s="236">
        <v>0</v>
      </c>
      <c r="AA96" s="236">
        <v>0</v>
      </c>
      <c r="AB96" s="236">
        <v>0</v>
      </c>
      <c r="AC96" s="236">
        <v>0</v>
      </c>
      <c r="AD96" s="236">
        <v>0</v>
      </c>
      <c r="AE96" s="236">
        <v>0</v>
      </c>
      <c r="AF96" s="236" t="s">
        <v>2</v>
      </c>
      <c r="AG96" s="236" t="s">
        <v>2</v>
      </c>
    </row>
    <row r="97" spans="13:33" x14ac:dyDescent="0.25">
      <c r="M97" s="237" t="s">
        <v>256</v>
      </c>
      <c r="N97" s="237">
        <v>0</v>
      </c>
      <c r="O97" s="237">
        <v>0</v>
      </c>
      <c r="P97" s="237">
        <v>0</v>
      </c>
      <c r="Q97" s="237">
        <v>0</v>
      </c>
      <c r="R97" s="237">
        <v>0</v>
      </c>
      <c r="S97" s="237">
        <v>0</v>
      </c>
      <c r="T97" s="237">
        <v>0</v>
      </c>
      <c r="U97" s="237" t="s">
        <v>2</v>
      </c>
      <c r="V97" s="237" t="s">
        <v>2</v>
      </c>
      <c r="X97" s="236" t="s">
        <v>256</v>
      </c>
      <c r="Y97" s="236">
        <v>0</v>
      </c>
      <c r="Z97" s="236">
        <v>0</v>
      </c>
      <c r="AA97" s="236">
        <v>0</v>
      </c>
      <c r="AB97" s="236">
        <v>0</v>
      </c>
      <c r="AC97" s="236">
        <v>0</v>
      </c>
      <c r="AD97" s="236">
        <v>0</v>
      </c>
      <c r="AE97" s="236">
        <v>0</v>
      </c>
      <c r="AF97" s="236" t="s">
        <v>2</v>
      </c>
      <c r="AG97" s="236" t="s">
        <v>2</v>
      </c>
    </row>
    <row r="98" spans="13:33" x14ac:dyDescent="0.25">
      <c r="M98" s="237" t="s">
        <v>255</v>
      </c>
      <c r="N98" s="237">
        <v>0</v>
      </c>
      <c r="O98" s="237">
        <v>0</v>
      </c>
      <c r="P98" s="237">
        <v>0</v>
      </c>
      <c r="Q98" s="237">
        <v>0</v>
      </c>
      <c r="R98" s="237">
        <v>0</v>
      </c>
      <c r="S98" s="237">
        <v>0</v>
      </c>
      <c r="T98" s="237">
        <v>0</v>
      </c>
      <c r="U98" s="237" t="s">
        <v>2</v>
      </c>
      <c r="V98" s="237" t="s">
        <v>2</v>
      </c>
      <c r="X98" s="236" t="s">
        <v>255</v>
      </c>
      <c r="Y98" s="236">
        <v>0</v>
      </c>
      <c r="Z98" s="236">
        <v>0</v>
      </c>
      <c r="AA98" s="236">
        <v>0</v>
      </c>
      <c r="AB98" s="236">
        <v>0</v>
      </c>
      <c r="AC98" s="236">
        <v>0</v>
      </c>
      <c r="AD98" s="236">
        <v>0</v>
      </c>
      <c r="AE98" s="236">
        <v>0</v>
      </c>
      <c r="AF98" s="236" t="s">
        <v>2</v>
      </c>
      <c r="AG98" s="236" t="s">
        <v>2</v>
      </c>
    </row>
    <row r="99" spans="13:33" x14ac:dyDescent="0.25">
      <c r="M99" s="237" t="s">
        <v>254</v>
      </c>
      <c r="N99" s="237">
        <v>0</v>
      </c>
      <c r="O99" s="237">
        <v>0</v>
      </c>
      <c r="P99" s="237">
        <v>0</v>
      </c>
      <c r="Q99" s="237">
        <v>0</v>
      </c>
      <c r="R99" s="237">
        <v>0</v>
      </c>
      <c r="S99" s="237">
        <v>0</v>
      </c>
      <c r="T99" s="237">
        <v>0</v>
      </c>
      <c r="U99" s="237" t="s">
        <v>2</v>
      </c>
      <c r="V99" s="237" t="s">
        <v>2</v>
      </c>
      <c r="X99" s="236" t="s">
        <v>254</v>
      </c>
      <c r="Y99" s="236">
        <v>0</v>
      </c>
      <c r="Z99" s="236">
        <v>0</v>
      </c>
      <c r="AA99" s="236">
        <v>0</v>
      </c>
      <c r="AB99" s="236">
        <v>0</v>
      </c>
      <c r="AC99" s="236">
        <v>0</v>
      </c>
      <c r="AD99" s="236">
        <v>0</v>
      </c>
      <c r="AE99" s="236">
        <v>0</v>
      </c>
      <c r="AF99" s="236" t="s">
        <v>2</v>
      </c>
      <c r="AG99" s="236" t="s">
        <v>2</v>
      </c>
    </row>
    <row r="100" spans="13:33" x14ac:dyDescent="0.25">
      <c r="M100" s="237" t="s">
        <v>253</v>
      </c>
      <c r="N100" s="237">
        <v>0</v>
      </c>
      <c r="O100" s="237">
        <v>0</v>
      </c>
      <c r="P100" s="237">
        <v>0</v>
      </c>
      <c r="Q100" s="237">
        <v>0</v>
      </c>
      <c r="R100" s="237">
        <v>0</v>
      </c>
      <c r="S100" s="237">
        <v>0</v>
      </c>
      <c r="T100" s="237">
        <v>0</v>
      </c>
      <c r="U100" s="237" t="s">
        <v>2</v>
      </c>
      <c r="V100" s="237" t="s">
        <v>2</v>
      </c>
      <c r="X100" s="236" t="s">
        <v>253</v>
      </c>
      <c r="Y100" s="236">
        <v>0</v>
      </c>
      <c r="Z100" s="236">
        <v>0</v>
      </c>
      <c r="AA100" s="236">
        <v>0</v>
      </c>
      <c r="AB100" s="236">
        <v>0</v>
      </c>
      <c r="AC100" s="236">
        <v>0</v>
      </c>
      <c r="AD100" s="236">
        <v>0</v>
      </c>
      <c r="AE100" s="236">
        <v>0</v>
      </c>
      <c r="AF100" s="236" t="s">
        <v>2</v>
      </c>
      <c r="AG100" s="236" t="s">
        <v>2</v>
      </c>
    </row>
    <row r="101" spans="13:33" x14ac:dyDescent="0.25">
      <c r="M101" s="237" t="s">
        <v>252</v>
      </c>
      <c r="N101" s="237">
        <v>0</v>
      </c>
      <c r="O101" s="237">
        <v>0</v>
      </c>
      <c r="P101" s="237">
        <v>0</v>
      </c>
      <c r="Q101" s="237">
        <v>0</v>
      </c>
      <c r="R101" s="237">
        <v>0</v>
      </c>
      <c r="S101" s="237">
        <v>0</v>
      </c>
      <c r="T101" s="237">
        <v>0</v>
      </c>
      <c r="U101" s="237" t="s">
        <v>2</v>
      </c>
      <c r="V101" s="237" t="s">
        <v>2</v>
      </c>
      <c r="X101" s="236" t="s">
        <v>252</v>
      </c>
      <c r="Y101" s="236">
        <v>0</v>
      </c>
      <c r="Z101" s="236">
        <v>0</v>
      </c>
      <c r="AA101" s="236">
        <v>0</v>
      </c>
      <c r="AB101" s="236">
        <v>0</v>
      </c>
      <c r="AC101" s="236">
        <v>0</v>
      </c>
      <c r="AD101" s="236">
        <v>0</v>
      </c>
      <c r="AE101" s="236">
        <v>0</v>
      </c>
      <c r="AF101" s="236" t="s">
        <v>2</v>
      </c>
      <c r="AG101" s="236" t="s">
        <v>2</v>
      </c>
    </row>
    <row r="102" spans="13:33" x14ac:dyDescent="0.25">
      <c r="M102" s="237" t="s">
        <v>251</v>
      </c>
      <c r="N102" s="237">
        <v>0</v>
      </c>
      <c r="O102" s="237">
        <v>0</v>
      </c>
      <c r="P102" s="237">
        <v>0</v>
      </c>
      <c r="Q102" s="237">
        <v>0</v>
      </c>
      <c r="R102" s="237">
        <v>0</v>
      </c>
      <c r="S102" s="237">
        <v>0</v>
      </c>
      <c r="T102" s="237">
        <v>0</v>
      </c>
      <c r="U102" s="237" t="s">
        <v>2</v>
      </c>
      <c r="V102" s="237" t="s">
        <v>2</v>
      </c>
      <c r="X102" s="236" t="s">
        <v>251</v>
      </c>
      <c r="Y102" s="236">
        <v>0</v>
      </c>
      <c r="Z102" s="236">
        <v>0</v>
      </c>
      <c r="AA102" s="236">
        <v>0</v>
      </c>
      <c r="AB102" s="236">
        <v>0</v>
      </c>
      <c r="AC102" s="236">
        <v>0</v>
      </c>
      <c r="AD102" s="236">
        <v>0</v>
      </c>
      <c r="AE102" s="236">
        <v>0</v>
      </c>
      <c r="AF102" s="236" t="s">
        <v>2</v>
      </c>
      <c r="AG102" s="236" t="s">
        <v>2</v>
      </c>
    </row>
    <row r="103" spans="13:33" x14ac:dyDescent="0.25">
      <c r="M103" s="237" t="s">
        <v>250</v>
      </c>
      <c r="N103" s="237">
        <v>0</v>
      </c>
      <c r="O103" s="237">
        <v>0</v>
      </c>
      <c r="P103" s="237">
        <v>0</v>
      </c>
      <c r="Q103" s="237">
        <v>0</v>
      </c>
      <c r="R103" s="237">
        <v>0</v>
      </c>
      <c r="S103" s="237">
        <v>0</v>
      </c>
      <c r="T103" s="237">
        <v>0</v>
      </c>
      <c r="U103" s="237" t="s">
        <v>2</v>
      </c>
      <c r="V103" s="237" t="s">
        <v>2</v>
      </c>
      <c r="X103" s="236" t="s">
        <v>250</v>
      </c>
      <c r="Y103" s="236">
        <v>0</v>
      </c>
      <c r="Z103" s="236">
        <v>0</v>
      </c>
      <c r="AA103" s="236">
        <v>0</v>
      </c>
      <c r="AB103" s="236">
        <v>0</v>
      </c>
      <c r="AC103" s="236">
        <v>0</v>
      </c>
      <c r="AD103" s="236">
        <v>0</v>
      </c>
      <c r="AE103" s="236">
        <v>0</v>
      </c>
      <c r="AF103" s="236" t="s">
        <v>2</v>
      </c>
      <c r="AG103" s="236" t="s">
        <v>2</v>
      </c>
    </row>
    <row r="104" spans="13:33" x14ac:dyDescent="0.25">
      <c r="M104" s="237" t="s">
        <v>249</v>
      </c>
      <c r="N104" s="237">
        <v>0</v>
      </c>
      <c r="O104" s="237">
        <v>0</v>
      </c>
      <c r="P104" s="237">
        <v>0</v>
      </c>
      <c r="Q104" s="237">
        <v>0</v>
      </c>
      <c r="R104" s="237">
        <v>0</v>
      </c>
      <c r="S104" s="237">
        <v>0</v>
      </c>
      <c r="T104" s="237">
        <v>0</v>
      </c>
      <c r="U104" s="237" t="s">
        <v>2</v>
      </c>
      <c r="V104" s="237" t="s">
        <v>2</v>
      </c>
      <c r="X104" s="236" t="s">
        <v>249</v>
      </c>
      <c r="Y104" s="236">
        <v>0</v>
      </c>
      <c r="Z104" s="236">
        <v>0</v>
      </c>
      <c r="AA104" s="236">
        <v>0</v>
      </c>
      <c r="AB104" s="236">
        <v>0</v>
      </c>
      <c r="AC104" s="236">
        <v>0</v>
      </c>
      <c r="AD104" s="236">
        <v>0</v>
      </c>
      <c r="AE104" s="236">
        <v>0</v>
      </c>
      <c r="AF104" s="236" t="s">
        <v>2</v>
      </c>
      <c r="AG104" s="236" t="s">
        <v>2</v>
      </c>
    </row>
    <row r="105" spans="13:33" x14ac:dyDescent="0.25">
      <c r="M105" s="237" t="s">
        <v>248</v>
      </c>
      <c r="N105" s="237">
        <v>0</v>
      </c>
      <c r="O105" s="237">
        <v>0</v>
      </c>
      <c r="P105" s="237">
        <v>0</v>
      </c>
      <c r="Q105" s="237">
        <v>0</v>
      </c>
      <c r="R105" s="237">
        <v>0</v>
      </c>
      <c r="S105" s="237">
        <v>0</v>
      </c>
      <c r="T105" s="237">
        <v>0</v>
      </c>
      <c r="U105" s="237" t="s">
        <v>2</v>
      </c>
      <c r="V105" s="237" t="s">
        <v>2</v>
      </c>
      <c r="X105" s="236" t="s">
        <v>248</v>
      </c>
      <c r="Y105" s="236">
        <v>0</v>
      </c>
      <c r="Z105" s="236">
        <v>0</v>
      </c>
      <c r="AA105" s="236">
        <v>0</v>
      </c>
      <c r="AB105" s="236">
        <v>0</v>
      </c>
      <c r="AC105" s="236">
        <v>0</v>
      </c>
      <c r="AD105" s="236">
        <v>0</v>
      </c>
      <c r="AE105" s="236">
        <v>0</v>
      </c>
      <c r="AF105" s="236" t="s">
        <v>2</v>
      </c>
      <c r="AG105" s="236" t="s">
        <v>2</v>
      </c>
    </row>
    <row r="106" spans="13:33" x14ac:dyDescent="0.25">
      <c r="M106" s="237" t="s">
        <v>247</v>
      </c>
      <c r="N106" s="237">
        <v>0</v>
      </c>
      <c r="O106" s="237">
        <v>0</v>
      </c>
      <c r="P106" s="237">
        <v>0</v>
      </c>
      <c r="Q106" s="237">
        <v>0</v>
      </c>
      <c r="R106" s="237">
        <v>0</v>
      </c>
      <c r="S106" s="237">
        <v>0</v>
      </c>
      <c r="T106" s="237">
        <v>0</v>
      </c>
      <c r="U106" s="237" t="s">
        <v>2</v>
      </c>
      <c r="V106" s="237" t="s">
        <v>2</v>
      </c>
      <c r="X106" s="236" t="s">
        <v>247</v>
      </c>
      <c r="Y106" s="236">
        <v>0</v>
      </c>
      <c r="Z106" s="236">
        <v>0</v>
      </c>
      <c r="AA106" s="236">
        <v>0</v>
      </c>
      <c r="AB106" s="236">
        <v>0</v>
      </c>
      <c r="AC106" s="236">
        <v>0</v>
      </c>
      <c r="AD106" s="236">
        <v>0</v>
      </c>
      <c r="AE106" s="236">
        <v>0</v>
      </c>
      <c r="AF106" s="236" t="s">
        <v>2</v>
      </c>
      <c r="AG106" s="236" t="s">
        <v>2</v>
      </c>
    </row>
    <row r="107" spans="13:33" x14ac:dyDescent="0.25">
      <c r="M107" s="237" t="s">
        <v>246</v>
      </c>
      <c r="N107" s="237">
        <v>0</v>
      </c>
      <c r="O107" s="237">
        <v>0</v>
      </c>
      <c r="P107" s="237">
        <v>0</v>
      </c>
      <c r="Q107" s="237">
        <v>0</v>
      </c>
      <c r="R107" s="237">
        <v>0</v>
      </c>
      <c r="S107" s="237">
        <v>0</v>
      </c>
      <c r="T107" s="237">
        <v>0</v>
      </c>
      <c r="U107" s="237" t="s">
        <v>2</v>
      </c>
      <c r="V107" s="237" t="s">
        <v>2</v>
      </c>
      <c r="X107" s="236" t="s">
        <v>246</v>
      </c>
      <c r="Y107" s="236">
        <v>0</v>
      </c>
      <c r="Z107" s="236">
        <v>0</v>
      </c>
      <c r="AA107" s="236">
        <v>0</v>
      </c>
      <c r="AB107" s="236">
        <v>0</v>
      </c>
      <c r="AC107" s="236">
        <v>0</v>
      </c>
      <c r="AD107" s="236">
        <v>0</v>
      </c>
      <c r="AE107" s="236">
        <v>0</v>
      </c>
      <c r="AF107" s="236" t="s">
        <v>2</v>
      </c>
      <c r="AG107" s="236" t="s">
        <v>2</v>
      </c>
    </row>
    <row r="108" spans="13:33" x14ac:dyDescent="0.25">
      <c r="M108" s="237" t="s">
        <v>245</v>
      </c>
      <c r="N108" s="237">
        <v>0</v>
      </c>
      <c r="O108" s="237">
        <v>0</v>
      </c>
      <c r="P108" s="237">
        <v>0</v>
      </c>
      <c r="Q108" s="237">
        <v>0</v>
      </c>
      <c r="R108" s="237">
        <v>0</v>
      </c>
      <c r="S108" s="237">
        <v>0</v>
      </c>
      <c r="T108" s="237">
        <v>0</v>
      </c>
      <c r="U108" s="237" t="s">
        <v>2</v>
      </c>
      <c r="V108" s="237" t="s">
        <v>2</v>
      </c>
      <c r="X108" s="236" t="s">
        <v>245</v>
      </c>
      <c r="Y108" s="236">
        <v>0</v>
      </c>
      <c r="Z108" s="236">
        <v>0</v>
      </c>
      <c r="AA108" s="236">
        <v>0</v>
      </c>
      <c r="AB108" s="236">
        <v>0</v>
      </c>
      <c r="AC108" s="236">
        <v>0</v>
      </c>
      <c r="AD108" s="236">
        <v>0</v>
      </c>
      <c r="AE108" s="236">
        <v>0</v>
      </c>
      <c r="AF108" s="236" t="s">
        <v>2</v>
      </c>
      <c r="AG108" s="236" t="s">
        <v>2</v>
      </c>
    </row>
    <row r="109" spans="13:33" x14ac:dyDescent="0.25">
      <c r="M109" s="237" t="s">
        <v>244</v>
      </c>
      <c r="N109" s="237">
        <v>0</v>
      </c>
      <c r="O109" s="237">
        <v>0</v>
      </c>
      <c r="P109" s="237">
        <v>0</v>
      </c>
      <c r="Q109" s="237">
        <v>0</v>
      </c>
      <c r="R109" s="237">
        <v>0</v>
      </c>
      <c r="S109" s="237">
        <v>0</v>
      </c>
      <c r="T109" s="237">
        <v>0</v>
      </c>
      <c r="U109" s="237" t="s">
        <v>2</v>
      </c>
      <c r="V109" s="237" t="s">
        <v>2</v>
      </c>
      <c r="X109" s="236" t="s">
        <v>244</v>
      </c>
      <c r="Y109" s="236">
        <v>0</v>
      </c>
      <c r="Z109" s="236">
        <v>0</v>
      </c>
      <c r="AA109" s="236">
        <v>0</v>
      </c>
      <c r="AB109" s="236">
        <v>0</v>
      </c>
      <c r="AC109" s="236">
        <v>0</v>
      </c>
      <c r="AD109" s="236">
        <v>0</v>
      </c>
      <c r="AE109" s="236">
        <v>0</v>
      </c>
      <c r="AF109" s="236" t="s">
        <v>2</v>
      </c>
      <c r="AG109" s="236" t="s">
        <v>2</v>
      </c>
    </row>
    <row r="110" spans="13:33" x14ac:dyDescent="0.25">
      <c r="M110" s="237" t="s">
        <v>243</v>
      </c>
      <c r="N110" s="237">
        <v>0</v>
      </c>
      <c r="O110" s="237">
        <v>0</v>
      </c>
      <c r="P110" s="237">
        <v>0</v>
      </c>
      <c r="Q110" s="237">
        <v>0</v>
      </c>
      <c r="R110" s="237">
        <v>0</v>
      </c>
      <c r="S110" s="237">
        <v>0</v>
      </c>
      <c r="T110" s="237">
        <v>0</v>
      </c>
      <c r="U110" s="237" t="s">
        <v>2</v>
      </c>
      <c r="V110" s="237" t="s">
        <v>2</v>
      </c>
      <c r="X110" s="236" t="s">
        <v>243</v>
      </c>
      <c r="Y110" s="236">
        <v>0</v>
      </c>
      <c r="Z110" s="236">
        <v>0</v>
      </c>
      <c r="AA110" s="236">
        <v>0</v>
      </c>
      <c r="AB110" s="236">
        <v>0</v>
      </c>
      <c r="AC110" s="236">
        <v>0</v>
      </c>
      <c r="AD110" s="236">
        <v>0</v>
      </c>
      <c r="AE110" s="236">
        <v>0</v>
      </c>
      <c r="AF110" s="236" t="s">
        <v>2</v>
      </c>
      <c r="AG110" s="236" t="s">
        <v>2</v>
      </c>
    </row>
    <row r="111" spans="13:33" x14ac:dyDescent="0.25">
      <c r="M111" s="237" t="s">
        <v>242</v>
      </c>
      <c r="N111" s="237">
        <v>0</v>
      </c>
      <c r="O111" s="237">
        <v>0</v>
      </c>
      <c r="P111" s="237">
        <v>0</v>
      </c>
      <c r="Q111" s="237">
        <v>0</v>
      </c>
      <c r="R111" s="237">
        <v>0</v>
      </c>
      <c r="S111" s="237">
        <v>0</v>
      </c>
      <c r="T111" s="237">
        <v>0</v>
      </c>
      <c r="U111" s="237" t="s">
        <v>2</v>
      </c>
      <c r="V111" s="237" t="s">
        <v>2</v>
      </c>
      <c r="X111" s="236" t="s">
        <v>242</v>
      </c>
      <c r="Y111" s="236">
        <v>0</v>
      </c>
      <c r="Z111" s="236">
        <v>0</v>
      </c>
      <c r="AA111" s="236">
        <v>0</v>
      </c>
      <c r="AB111" s="236">
        <v>0</v>
      </c>
      <c r="AC111" s="236">
        <v>0</v>
      </c>
      <c r="AD111" s="236">
        <v>0</v>
      </c>
      <c r="AE111" s="236">
        <v>0</v>
      </c>
      <c r="AF111" s="236" t="s">
        <v>2</v>
      </c>
      <c r="AG111" s="236" t="s">
        <v>2</v>
      </c>
    </row>
    <row r="112" spans="13:33" x14ac:dyDescent="0.25">
      <c r="M112" s="237" t="s">
        <v>241</v>
      </c>
      <c r="N112" s="237">
        <v>0</v>
      </c>
      <c r="O112" s="237">
        <v>0</v>
      </c>
      <c r="P112" s="237">
        <v>0</v>
      </c>
      <c r="Q112" s="237">
        <v>0</v>
      </c>
      <c r="R112" s="237">
        <v>0</v>
      </c>
      <c r="S112" s="237">
        <v>0</v>
      </c>
      <c r="T112" s="237">
        <v>0</v>
      </c>
      <c r="U112" s="237" t="s">
        <v>2</v>
      </c>
      <c r="V112" s="237" t="s">
        <v>2</v>
      </c>
      <c r="X112" s="236" t="s">
        <v>241</v>
      </c>
      <c r="Y112" s="236">
        <v>0</v>
      </c>
      <c r="Z112" s="236">
        <v>0</v>
      </c>
      <c r="AA112" s="236">
        <v>0</v>
      </c>
      <c r="AB112" s="236">
        <v>0</v>
      </c>
      <c r="AC112" s="236">
        <v>0</v>
      </c>
      <c r="AD112" s="236">
        <v>0</v>
      </c>
      <c r="AE112" s="236">
        <v>0</v>
      </c>
      <c r="AF112" s="236" t="s">
        <v>2</v>
      </c>
      <c r="AG112" s="236" t="s">
        <v>2</v>
      </c>
    </row>
    <row r="113" spans="13:33" x14ac:dyDescent="0.25">
      <c r="M113" s="237" t="s">
        <v>240</v>
      </c>
      <c r="N113" s="237">
        <v>0</v>
      </c>
      <c r="O113" s="237">
        <v>0</v>
      </c>
      <c r="P113" s="237">
        <v>0</v>
      </c>
      <c r="Q113" s="237">
        <v>0</v>
      </c>
      <c r="R113" s="237">
        <v>0</v>
      </c>
      <c r="S113" s="237">
        <v>0</v>
      </c>
      <c r="T113" s="237">
        <v>0</v>
      </c>
      <c r="U113" s="237" t="s">
        <v>2</v>
      </c>
      <c r="V113" s="237" t="s">
        <v>2</v>
      </c>
      <c r="X113" s="236" t="s">
        <v>240</v>
      </c>
      <c r="Y113" s="236">
        <v>0</v>
      </c>
      <c r="Z113" s="236">
        <v>0</v>
      </c>
      <c r="AA113" s="236">
        <v>0</v>
      </c>
      <c r="AB113" s="236">
        <v>0</v>
      </c>
      <c r="AC113" s="236">
        <v>0</v>
      </c>
      <c r="AD113" s="236">
        <v>0</v>
      </c>
      <c r="AE113" s="236">
        <v>0</v>
      </c>
      <c r="AF113" s="236" t="s">
        <v>2</v>
      </c>
      <c r="AG113" s="236" t="s">
        <v>2</v>
      </c>
    </row>
    <row r="114" spans="13:33" x14ac:dyDescent="0.25">
      <c r="M114" s="237" t="s">
        <v>239</v>
      </c>
      <c r="N114" s="237">
        <v>0</v>
      </c>
      <c r="O114" s="237">
        <v>0</v>
      </c>
      <c r="P114" s="237">
        <v>0</v>
      </c>
      <c r="Q114" s="237">
        <v>0</v>
      </c>
      <c r="R114" s="237">
        <v>0</v>
      </c>
      <c r="S114" s="237">
        <v>0</v>
      </c>
      <c r="T114" s="237">
        <v>0</v>
      </c>
      <c r="U114" s="237" t="s">
        <v>2</v>
      </c>
      <c r="V114" s="237" t="s">
        <v>2</v>
      </c>
      <c r="X114" s="236" t="s">
        <v>239</v>
      </c>
      <c r="Y114" s="236">
        <v>0</v>
      </c>
      <c r="Z114" s="236">
        <v>0</v>
      </c>
      <c r="AA114" s="236">
        <v>0</v>
      </c>
      <c r="AB114" s="236">
        <v>0</v>
      </c>
      <c r="AC114" s="236">
        <v>0</v>
      </c>
      <c r="AD114" s="236">
        <v>0</v>
      </c>
      <c r="AE114" s="236">
        <v>0</v>
      </c>
      <c r="AF114" s="236" t="s">
        <v>2</v>
      </c>
      <c r="AG114" s="236" t="s">
        <v>2</v>
      </c>
    </row>
    <row r="115" spans="13:33" x14ac:dyDescent="0.25">
      <c r="M115" s="237" t="s">
        <v>238</v>
      </c>
      <c r="N115" s="237">
        <v>0</v>
      </c>
      <c r="O115" s="237">
        <v>0</v>
      </c>
      <c r="P115" s="237">
        <v>0</v>
      </c>
      <c r="Q115" s="237">
        <v>0</v>
      </c>
      <c r="R115" s="237">
        <v>0</v>
      </c>
      <c r="S115" s="237">
        <v>0</v>
      </c>
      <c r="T115" s="237">
        <v>0</v>
      </c>
      <c r="U115" s="237" t="s">
        <v>2</v>
      </c>
      <c r="V115" s="237" t="s">
        <v>2</v>
      </c>
      <c r="X115" s="236" t="s">
        <v>238</v>
      </c>
      <c r="Y115" s="236">
        <v>0</v>
      </c>
      <c r="Z115" s="236">
        <v>0</v>
      </c>
      <c r="AA115" s="236">
        <v>0</v>
      </c>
      <c r="AB115" s="236">
        <v>0</v>
      </c>
      <c r="AC115" s="236">
        <v>0</v>
      </c>
      <c r="AD115" s="236">
        <v>0</v>
      </c>
      <c r="AE115" s="236">
        <v>0</v>
      </c>
      <c r="AF115" s="236" t="s">
        <v>2</v>
      </c>
      <c r="AG115" s="236" t="s">
        <v>2</v>
      </c>
    </row>
    <row r="116" spans="13:33" x14ac:dyDescent="0.25">
      <c r="M116" s="237" t="s">
        <v>237</v>
      </c>
      <c r="N116" s="237">
        <v>0</v>
      </c>
      <c r="O116" s="237">
        <v>0</v>
      </c>
      <c r="P116" s="237">
        <v>0</v>
      </c>
      <c r="Q116" s="237">
        <v>0</v>
      </c>
      <c r="R116" s="237">
        <v>0</v>
      </c>
      <c r="S116" s="237">
        <v>0</v>
      </c>
      <c r="T116" s="237">
        <v>0</v>
      </c>
      <c r="U116" s="237" t="s">
        <v>2</v>
      </c>
      <c r="V116" s="237" t="s">
        <v>2</v>
      </c>
      <c r="X116" s="236" t="s">
        <v>237</v>
      </c>
      <c r="Y116" s="236">
        <v>0</v>
      </c>
      <c r="Z116" s="236">
        <v>0</v>
      </c>
      <c r="AA116" s="236">
        <v>0</v>
      </c>
      <c r="AB116" s="236">
        <v>0</v>
      </c>
      <c r="AC116" s="236">
        <v>0</v>
      </c>
      <c r="AD116" s="236">
        <v>0</v>
      </c>
      <c r="AE116" s="236">
        <v>0</v>
      </c>
      <c r="AF116" s="236" t="s">
        <v>2</v>
      </c>
      <c r="AG116" s="236" t="s">
        <v>2</v>
      </c>
    </row>
    <row r="117" spans="13:33" x14ac:dyDescent="0.25">
      <c r="M117" s="237" t="s">
        <v>236</v>
      </c>
      <c r="N117" s="237">
        <v>0</v>
      </c>
      <c r="O117" s="237">
        <v>0</v>
      </c>
      <c r="P117" s="237">
        <v>0</v>
      </c>
      <c r="Q117" s="237">
        <v>0</v>
      </c>
      <c r="R117" s="237">
        <v>0</v>
      </c>
      <c r="S117" s="237">
        <v>0</v>
      </c>
      <c r="T117" s="237">
        <v>0</v>
      </c>
      <c r="U117" s="237" t="s">
        <v>2</v>
      </c>
      <c r="V117" s="237" t="s">
        <v>2</v>
      </c>
      <c r="X117" s="236" t="s">
        <v>236</v>
      </c>
      <c r="Y117" s="236">
        <v>0</v>
      </c>
      <c r="Z117" s="236">
        <v>0</v>
      </c>
      <c r="AA117" s="236">
        <v>0</v>
      </c>
      <c r="AB117" s="236">
        <v>0</v>
      </c>
      <c r="AC117" s="236">
        <v>0</v>
      </c>
      <c r="AD117" s="236">
        <v>0</v>
      </c>
      <c r="AE117" s="236">
        <v>0</v>
      </c>
      <c r="AF117" s="236" t="s">
        <v>2</v>
      </c>
      <c r="AG117" s="236" t="s">
        <v>2</v>
      </c>
    </row>
    <row r="118" spans="13:33" x14ac:dyDescent="0.25">
      <c r="M118" s="237" t="s">
        <v>235</v>
      </c>
      <c r="N118" s="237">
        <v>0</v>
      </c>
      <c r="O118" s="237">
        <v>0</v>
      </c>
      <c r="P118" s="237">
        <v>0</v>
      </c>
      <c r="Q118" s="237">
        <v>0</v>
      </c>
      <c r="R118" s="237">
        <v>0</v>
      </c>
      <c r="S118" s="237">
        <v>0</v>
      </c>
      <c r="T118" s="237">
        <v>0</v>
      </c>
      <c r="U118" s="237" t="s">
        <v>2</v>
      </c>
      <c r="V118" s="237" t="s">
        <v>2</v>
      </c>
      <c r="X118" s="236" t="s">
        <v>235</v>
      </c>
      <c r="Y118" s="236">
        <v>0</v>
      </c>
      <c r="Z118" s="236">
        <v>0</v>
      </c>
      <c r="AA118" s="236">
        <v>0</v>
      </c>
      <c r="AB118" s="236">
        <v>0</v>
      </c>
      <c r="AC118" s="236">
        <v>0</v>
      </c>
      <c r="AD118" s="236">
        <v>0</v>
      </c>
      <c r="AE118" s="236">
        <v>0</v>
      </c>
      <c r="AF118" s="236" t="s">
        <v>2</v>
      </c>
      <c r="AG118" s="236" t="s">
        <v>2</v>
      </c>
    </row>
    <row r="119" spans="13:33" x14ac:dyDescent="0.25">
      <c r="M119" s="237" t="s">
        <v>234</v>
      </c>
      <c r="N119" s="237">
        <v>0</v>
      </c>
      <c r="O119" s="237">
        <v>0</v>
      </c>
      <c r="P119" s="237">
        <v>0</v>
      </c>
      <c r="Q119" s="237">
        <v>0</v>
      </c>
      <c r="R119" s="237">
        <v>0</v>
      </c>
      <c r="S119" s="237">
        <v>0</v>
      </c>
      <c r="T119" s="237">
        <v>0</v>
      </c>
      <c r="U119" s="237" t="s">
        <v>2</v>
      </c>
      <c r="V119" s="237" t="s">
        <v>2</v>
      </c>
      <c r="X119" s="236" t="s">
        <v>234</v>
      </c>
      <c r="Y119" s="236">
        <v>0</v>
      </c>
      <c r="Z119" s="236">
        <v>0</v>
      </c>
      <c r="AA119" s="236">
        <v>0</v>
      </c>
      <c r="AB119" s="236">
        <v>0</v>
      </c>
      <c r="AC119" s="236">
        <v>0</v>
      </c>
      <c r="AD119" s="236">
        <v>0</v>
      </c>
      <c r="AE119" s="236">
        <v>0</v>
      </c>
      <c r="AF119" s="236" t="s">
        <v>2</v>
      </c>
      <c r="AG119" s="236" t="s">
        <v>2</v>
      </c>
    </row>
    <row r="120" spans="13:33" x14ac:dyDescent="0.25">
      <c r="M120" s="237" t="s">
        <v>233</v>
      </c>
      <c r="N120" s="237">
        <v>0</v>
      </c>
      <c r="O120" s="237">
        <v>0</v>
      </c>
      <c r="P120" s="237">
        <v>0</v>
      </c>
      <c r="Q120" s="237">
        <v>0</v>
      </c>
      <c r="R120" s="237">
        <v>0</v>
      </c>
      <c r="S120" s="237">
        <v>0</v>
      </c>
      <c r="T120" s="237">
        <v>0</v>
      </c>
      <c r="U120" s="237" t="s">
        <v>2</v>
      </c>
      <c r="V120" s="237" t="s">
        <v>2</v>
      </c>
      <c r="X120" s="236" t="s">
        <v>233</v>
      </c>
      <c r="Y120" s="236">
        <v>0</v>
      </c>
      <c r="Z120" s="236">
        <v>0</v>
      </c>
      <c r="AA120" s="236">
        <v>0</v>
      </c>
      <c r="AB120" s="236">
        <v>0</v>
      </c>
      <c r="AC120" s="236">
        <v>0</v>
      </c>
      <c r="AD120" s="236">
        <v>0</v>
      </c>
      <c r="AE120" s="236">
        <v>0</v>
      </c>
      <c r="AF120" s="236" t="s">
        <v>2</v>
      </c>
      <c r="AG120" s="236" t="s">
        <v>2</v>
      </c>
    </row>
    <row r="121" spans="13:33" x14ac:dyDescent="0.25">
      <c r="M121" s="237" t="s">
        <v>232</v>
      </c>
      <c r="N121" s="237">
        <v>0</v>
      </c>
      <c r="O121" s="237">
        <v>0</v>
      </c>
      <c r="P121" s="237">
        <v>0</v>
      </c>
      <c r="Q121" s="237">
        <v>0</v>
      </c>
      <c r="R121" s="237">
        <v>0</v>
      </c>
      <c r="S121" s="237">
        <v>0</v>
      </c>
      <c r="T121" s="237">
        <v>0</v>
      </c>
      <c r="U121" s="237" t="s">
        <v>2</v>
      </c>
      <c r="V121" s="237" t="s">
        <v>2</v>
      </c>
      <c r="X121" s="236" t="s">
        <v>232</v>
      </c>
      <c r="Y121" s="236">
        <v>0</v>
      </c>
      <c r="Z121" s="236">
        <v>0</v>
      </c>
      <c r="AA121" s="236">
        <v>0</v>
      </c>
      <c r="AB121" s="236">
        <v>0</v>
      </c>
      <c r="AC121" s="236">
        <v>0</v>
      </c>
      <c r="AD121" s="236">
        <v>0</v>
      </c>
      <c r="AE121" s="236">
        <v>0</v>
      </c>
      <c r="AF121" s="236" t="s">
        <v>2</v>
      </c>
      <c r="AG121" s="236" t="s">
        <v>2</v>
      </c>
    </row>
    <row r="122" spans="13:33" x14ac:dyDescent="0.25">
      <c r="M122" s="237" t="s">
        <v>231</v>
      </c>
      <c r="N122" s="237">
        <v>0</v>
      </c>
      <c r="O122" s="237">
        <v>0</v>
      </c>
      <c r="P122" s="237">
        <v>0</v>
      </c>
      <c r="Q122" s="237">
        <v>0</v>
      </c>
      <c r="R122" s="237">
        <v>0</v>
      </c>
      <c r="S122" s="237">
        <v>0</v>
      </c>
      <c r="T122" s="237">
        <v>0</v>
      </c>
      <c r="U122" s="237" t="s">
        <v>2</v>
      </c>
      <c r="V122" s="237" t="s">
        <v>2</v>
      </c>
      <c r="X122" s="236" t="s">
        <v>231</v>
      </c>
      <c r="Y122" s="236">
        <v>0</v>
      </c>
      <c r="Z122" s="236">
        <v>0</v>
      </c>
      <c r="AA122" s="236">
        <v>0</v>
      </c>
      <c r="AB122" s="236">
        <v>0</v>
      </c>
      <c r="AC122" s="236">
        <v>0</v>
      </c>
      <c r="AD122" s="236">
        <v>0</v>
      </c>
      <c r="AE122" s="236">
        <v>0</v>
      </c>
      <c r="AF122" s="236" t="s">
        <v>2</v>
      </c>
      <c r="AG122" s="236" t="s">
        <v>2</v>
      </c>
    </row>
    <row r="123" spans="13:33" x14ac:dyDescent="0.25">
      <c r="M123" s="237" t="s">
        <v>230</v>
      </c>
      <c r="N123" s="237">
        <v>0</v>
      </c>
      <c r="O123" s="237">
        <v>0</v>
      </c>
      <c r="P123" s="237">
        <v>0</v>
      </c>
      <c r="Q123" s="237">
        <v>0</v>
      </c>
      <c r="R123" s="237">
        <v>0</v>
      </c>
      <c r="S123" s="237">
        <v>0</v>
      </c>
      <c r="T123" s="237">
        <v>0</v>
      </c>
      <c r="U123" s="237" t="s">
        <v>2</v>
      </c>
      <c r="V123" s="237" t="s">
        <v>2</v>
      </c>
      <c r="X123" s="236" t="s">
        <v>230</v>
      </c>
      <c r="Y123" s="236">
        <v>0</v>
      </c>
      <c r="Z123" s="236">
        <v>0</v>
      </c>
      <c r="AA123" s="236">
        <v>0</v>
      </c>
      <c r="AB123" s="236">
        <v>0</v>
      </c>
      <c r="AC123" s="236">
        <v>0</v>
      </c>
      <c r="AD123" s="236">
        <v>0</v>
      </c>
      <c r="AE123" s="236">
        <v>0</v>
      </c>
      <c r="AF123" s="236" t="s">
        <v>2</v>
      </c>
      <c r="AG123" s="236" t="s">
        <v>2</v>
      </c>
    </row>
    <row r="124" spans="13:33" x14ac:dyDescent="0.25">
      <c r="M124" s="237" t="s">
        <v>229</v>
      </c>
      <c r="N124" s="237">
        <v>0</v>
      </c>
      <c r="O124" s="237">
        <v>0</v>
      </c>
      <c r="P124" s="237">
        <v>0</v>
      </c>
      <c r="Q124" s="237">
        <v>0</v>
      </c>
      <c r="R124" s="237">
        <v>0</v>
      </c>
      <c r="S124" s="237">
        <v>0</v>
      </c>
      <c r="T124" s="237">
        <v>0</v>
      </c>
      <c r="U124" s="237" t="s">
        <v>2</v>
      </c>
      <c r="V124" s="237" t="s">
        <v>2</v>
      </c>
      <c r="X124" s="236" t="s">
        <v>229</v>
      </c>
      <c r="Y124" s="236">
        <v>0</v>
      </c>
      <c r="Z124" s="236">
        <v>0</v>
      </c>
      <c r="AA124" s="236">
        <v>0</v>
      </c>
      <c r="AB124" s="236">
        <v>0</v>
      </c>
      <c r="AC124" s="236">
        <v>0</v>
      </c>
      <c r="AD124" s="236">
        <v>0</v>
      </c>
      <c r="AE124" s="236">
        <v>0</v>
      </c>
      <c r="AF124" s="236" t="s">
        <v>2</v>
      </c>
      <c r="AG124" s="236" t="s">
        <v>2</v>
      </c>
    </row>
    <row r="125" spans="13:33" x14ac:dyDescent="0.25">
      <c r="M125" s="237" t="s">
        <v>228</v>
      </c>
      <c r="N125" s="237">
        <v>0</v>
      </c>
      <c r="O125" s="237">
        <v>0</v>
      </c>
      <c r="P125" s="237">
        <v>0</v>
      </c>
      <c r="Q125" s="237">
        <v>0</v>
      </c>
      <c r="R125" s="237">
        <v>0</v>
      </c>
      <c r="S125" s="237">
        <v>0</v>
      </c>
      <c r="T125" s="237">
        <v>0</v>
      </c>
      <c r="U125" s="237" t="s">
        <v>2</v>
      </c>
      <c r="V125" s="237" t="s">
        <v>2</v>
      </c>
      <c r="X125" s="236" t="s">
        <v>228</v>
      </c>
      <c r="Y125" s="236">
        <v>0</v>
      </c>
      <c r="Z125" s="236">
        <v>0</v>
      </c>
      <c r="AA125" s="236">
        <v>0</v>
      </c>
      <c r="AB125" s="236">
        <v>0</v>
      </c>
      <c r="AC125" s="236">
        <v>0</v>
      </c>
      <c r="AD125" s="236">
        <v>0</v>
      </c>
      <c r="AE125" s="236">
        <v>0</v>
      </c>
      <c r="AF125" s="236" t="s">
        <v>2</v>
      </c>
      <c r="AG125" s="236" t="s">
        <v>2</v>
      </c>
    </row>
    <row r="126" spans="13:33" x14ac:dyDescent="0.25">
      <c r="M126" s="237" t="s">
        <v>227</v>
      </c>
      <c r="N126" s="237">
        <v>0</v>
      </c>
      <c r="O126" s="237">
        <v>0</v>
      </c>
      <c r="P126" s="237">
        <v>0</v>
      </c>
      <c r="Q126" s="237">
        <v>0</v>
      </c>
      <c r="R126" s="237">
        <v>0</v>
      </c>
      <c r="S126" s="237">
        <v>0</v>
      </c>
      <c r="T126" s="237">
        <v>0</v>
      </c>
      <c r="U126" s="237" t="s">
        <v>2</v>
      </c>
      <c r="V126" s="237" t="s">
        <v>2</v>
      </c>
      <c r="X126" s="236" t="s">
        <v>227</v>
      </c>
      <c r="Y126" s="236">
        <v>0</v>
      </c>
      <c r="Z126" s="236">
        <v>0</v>
      </c>
      <c r="AA126" s="236">
        <v>0</v>
      </c>
      <c r="AB126" s="236">
        <v>0</v>
      </c>
      <c r="AC126" s="236">
        <v>0</v>
      </c>
      <c r="AD126" s="236">
        <v>0</v>
      </c>
      <c r="AE126" s="236">
        <v>0</v>
      </c>
      <c r="AF126" s="236" t="s">
        <v>2</v>
      </c>
      <c r="AG126" s="236" t="s">
        <v>2</v>
      </c>
    </row>
  </sheetData>
  <sheetProtection algorithmName="SHA-512" hashValue="mOnSCVS77lvTKcv8v7wT0QAJz9DbmdzLoy4cpHrV/x1etCppT94ZF93ACe5nzsH1CXzRC/MwY+pzD1E1ZMfkiQ==" saltValue="mjCzuIWgErH000+MlzHjlA==" spinCount="100000" sheet="1" selectLockedCells="1" selectUnlockedCells="1"/>
  <mergeCells count="28">
    <mergeCell ref="M11:V11"/>
    <mergeCell ref="X11:AG11"/>
    <mergeCell ref="AJ19:AS19"/>
    <mergeCell ref="A1:A2"/>
    <mergeCell ref="B1:K1"/>
    <mergeCell ref="AJ1:AS1"/>
    <mergeCell ref="M2:V2"/>
    <mergeCell ref="X2:AG2"/>
    <mergeCell ref="M26:V26"/>
    <mergeCell ref="X26:AG26"/>
    <mergeCell ref="A35:A36"/>
    <mergeCell ref="B35:K35"/>
    <mergeCell ref="A18:A19"/>
    <mergeCell ref="B18:K18"/>
    <mergeCell ref="M18:V18"/>
    <mergeCell ref="X18:AG18"/>
    <mergeCell ref="M75:V75"/>
    <mergeCell ref="X75:AG75"/>
    <mergeCell ref="M50:V50"/>
    <mergeCell ref="X50:AG50"/>
    <mergeCell ref="M34:V34"/>
    <mergeCell ref="X34:AG34"/>
    <mergeCell ref="A52:A53"/>
    <mergeCell ref="B52:K52"/>
    <mergeCell ref="M67:V67"/>
    <mergeCell ref="X67:AG67"/>
    <mergeCell ref="M41:V41"/>
    <mergeCell ref="X41:AG4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A5916-2282-4503-B926-71AFCBB58E6A}">
  <sheetPr codeName="Sheet16">
    <tabColor rgb="FF7D93AB"/>
  </sheetPr>
  <dimension ref="A1:BK52"/>
  <sheetViews>
    <sheetView topLeftCell="BL1" zoomScale="70" zoomScaleNormal="70" workbookViewId="0">
      <selection activeCell="BK1" sqref="A1:BK1048576"/>
    </sheetView>
  </sheetViews>
  <sheetFormatPr defaultColWidth="9.140625" defaultRowHeight="15.75" x14ac:dyDescent="0.25"/>
  <cols>
    <col min="1" max="5" width="9.140625" style="51" hidden="1" customWidth="1"/>
    <col min="6" max="8" width="11.85546875" style="51" hidden="1" customWidth="1"/>
    <col min="9" max="9" width="9.140625" style="51" hidden="1" customWidth="1"/>
    <col min="10" max="12" width="17.85546875" style="51" hidden="1" customWidth="1"/>
    <col min="13" max="13" width="9.140625" style="51" hidden="1" customWidth="1"/>
    <col min="14" max="16" width="17.85546875" style="51" hidden="1" customWidth="1"/>
    <col min="17" max="17" width="24" style="51" hidden="1" customWidth="1"/>
    <col min="18" max="18" width="21.5703125" style="51" hidden="1" customWidth="1"/>
    <col min="19" max="19" width="25.28515625" style="51" hidden="1" customWidth="1"/>
    <col min="20" max="20" width="23.140625" style="51" hidden="1" customWidth="1"/>
    <col min="21" max="21" width="13.140625" style="51" hidden="1" customWidth="1"/>
    <col min="22" max="22" width="9.140625" style="51" hidden="1" customWidth="1"/>
    <col min="23" max="23" width="11.5703125" style="51" hidden="1" customWidth="1"/>
    <col min="24" max="24" width="12.42578125" style="51" hidden="1" customWidth="1"/>
    <col min="25" max="25" width="17.140625" style="51" hidden="1" customWidth="1"/>
    <col min="26" max="26" width="18.42578125" style="51" hidden="1" customWidth="1"/>
    <col min="27" max="28" width="14.85546875" style="51" hidden="1" customWidth="1"/>
    <col min="29" max="30" width="11.7109375" style="51" hidden="1" customWidth="1"/>
    <col min="31" max="31" width="15.140625" style="51" hidden="1" customWidth="1"/>
    <col min="32" max="32" width="33.5703125" style="51" hidden="1" customWidth="1"/>
    <col min="33" max="33" width="21" style="51" hidden="1" customWidth="1"/>
    <col min="34" max="34" width="9.140625" style="51" hidden="1" customWidth="1"/>
    <col min="35" max="35" width="15.7109375" style="51" hidden="1" customWidth="1"/>
    <col min="36" max="36" width="11.5703125" style="51" hidden="1" customWidth="1"/>
    <col min="37" max="37" width="13.42578125" style="51" hidden="1" customWidth="1"/>
    <col min="38" max="38" width="9.140625" style="51" hidden="1" customWidth="1"/>
    <col min="39" max="39" width="24.42578125" style="51" hidden="1" customWidth="1"/>
    <col min="40" max="40" width="21.5703125" style="51" hidden="1" customWidth="1"/>
    <col min="41" max="41" width="17.140625" style="51" hidden="1" customWidth="1"/>
    <col min="42" max="42" width="13.85546875" style="51" hidden="1" customWidth="1"/>
    <col min="43" max="43" width="19.140625" style="51" hidden="1" customWidth="1"/>
    <col min="44" max="44" width="18.28515625" style="51" hidden="1" customWidth="1"/>
    <col min="45" max="45" width="19.140625" style="51" hidden="1" customWidth="1"/>
    <col min="46" max="46" width="9.140625" style="51" hidden="1" customWidth="1"/>
    <col min="47" max="47" width="16.42578125" style="51" hidden="1" customWidth="1"/>
    <col min="48" max="48" width="9.140625" style="51" hidden="1" customWidth="1"/>
    <col min="49" max="49" width="16.42578125" style="51" hidden="1" customWidth="1"/>
    <col min="50" max="50" width="18.28515625" style="51" hidden="1" customWidth="1"/>
    <col min="51" max="63" width="9.140625" style="51" hidden="1" customWidth="1"/>
    <col min="64" max="69" width="9.140625" style="51" customWidth="1"/>
    <col min="70" max="16384" width="9.140625" style="51"/>
  </cols>
  <sheetData>
    <row r="1" spans="2:61" x14ac:dyDescent="0.25">
      <c r="Q1" s="248"/>
      <c r="R1" s="248"/>
      <c r="S1" s="248"/>
      <c r="T1" s="248"/>
      <c r="U1" s="248"/>
      <c r="V1" s="248"/>
      <c r="W1" s="248" t="s">
        <v>1923</v>
      </c>
      <c r="X1" s="248" t="s">
        <v>1922</v>
      </c>
      <c r="Y1" s="248" t="s">
        <v>1921</v>
      </c>
      <c r="Z1" s="248" t="s">
        <v>1920</v>
      </c>
      <c r="AA1" s="248" t="s">
        <v>1919</v>
      </c>
      <c r="AB1" s="248" t="s">
        <v>1918</v>
      </c>
      <c r="AC1" s="248" t="s">
        <v>1917</v>
      </c>
      <c r="AD1" s="248" t="s">
        <v>1916</v>
      </c>
      <c r="AE1" s="811" t="s">
        <v>1915</v>
      </c>
      <c r="AF1" s="811"/>
      <c r="AG1" s="811" t="s">
        <v>1855</v>
      </c>
      <c r="AH1" s="811"/>
      <c r="AI1" s="248" t="s">
        <v>1914</v>
      </c>
      <c r="AJ1" s="248" t="s">
        <v>1913</v>
      </c>
      <c r="AK1" s="248" t="s">
        <v>1912</v>
      </c>
      <c r="AL1" s="247"/>
      <c r="AM1" s="51" t="s">
        <v>292</v>
      </c>
      <c r="AN1" s="51" t="s">
        <v>291</v>
      </c>
      <c r="AO1" s="51" t="s">
        <v>119</v>
      </c>
      <c r="AP1" s="51" t="s">
        <v>290</v>
      </c>
      <c r="AQ1" s="51" t="s">
        <v>143</v>
      </c>
      <c r="AR1" s="51" t="s">
        <v>289</v>
      </c>
      <c r="AS1" s="51" t="s">
        <v>288</v>
      </c>
      <c r="AT1" s="247"/>
      <c r="AU1" s="51" t="s">
        <v>1597</v>
      </c>
      <c r="AV1" s="51" t="s">
        <v>1538</v>
      </c>
      <c r="AW1" s="51" t="s">
        <v>1911</v>
      </c>
      <c r="AX1" s="51" t="s">
        <v>139</v>
      </c>
      <c r="AY1" s="247"/>
      <c r="AZ1" s="550" t="s">
        <v>1707</v>
      </c>
      <c r="BA1" s="553" t="e">
        <f>'DSCR (Portfolio)'!$E$10</f>
        <v>#N/A</v>
      </c>
      <c r="BB1" s="550" t="s">
        <v>23602</v>
      </c>
      <c r="BC1" s="550" t="s">
        <v>23603</v>
      </c>
      <c r="BD1" s="550" t="s">
        <v>23604</v>
      </c>
      <c r="BE1" s="550" t="s">
        <v>23605</v>
      </c>
      <c r="BF1" s="550" t="s">
        <v>23606</v>
      </c>
      <c r="BG1" s="550" t="s">
        <v>1446</v>
      </c>
      <c r="BH1" s="550" t="s">
        <v>23607</v>
      </c>
      <c r="BI1" s="550" t="s">
        <v>1991</v>
      </c>
    </row>
    <row r="2" spans="2:61" x14ac:dyDescent="0.25">
      <c r="B2" s="639" t="s">
        <v>1910</v>
      </c>
      <c r="C2" s="639"/>
      <c r="D2" s="639"/>
      <c r="F2" s="639" t="s">
        <v>188</v>
      </c>
      <c r="G2" s="639"/>
      <c r="H2" s="639"/>
      <c r="J2" s="639" t="s">
        <v>1909</v>
      </c>
      <c r="K2" s="639"/>
      <c r="L2" s="639"/>
      <c r="N2" s="639" t="s">
        <v>1908</v>
      </c>
      <c r="O2" s="639"/>
      <c r="P2" s="639"/>
      <c r="Q2" s="51" t="s">
        <v>1756</v>
      </c>
      <c r="R2" s="51" t="s">
        <v>287</v>
      </c>
      <c r="S2" s="51" t="s">
        <v>1597</v>
      </c>
      <c r="T2" s="51" t="s">
        <v>202</v>
      </c>
      <c r="U2" s="51" t="s">
        <v>1907</v>
      </c>
      <c r="V2" s="51" t="s">
        <v>286</v>
      </c>
      <c r="W2" s="548" t="s">
        <v>1887</v>
      </c>
      <c r="X2" s="548" t="s">
        <v>1887</v>
      </c>
      <c r="Y2" s="51" t="s">
        <v>1863</v>
      </c>
      <c r="Z2" s="51" t="s">
        <v>1863</v>
      </c>
      <c r="AA2" s="51" t="s">
        <v>1860</v>
      </c>
      <c r="AB2" s="51" t="s">
        <v>1860</v>
      </c>
      <c r="AC2" s="51" t="s">
        <v>1853</v>
      </c>
      <c r="AD2" s="51" t="s">
        <v>1853</v>
      </c>
      <c r="AE2" s="51" t="s">
        <v>1906</v>
      </c>
      <c r="AF2" s="51" t="s">
        <v>1905</v>
      </c>
      <c r="AG2" s="51" t="s">
        <v>1853</v>
      </c>
      <c r="AH2" s="51">
        <v>0</v>
      </c>
      <c r="AI2" s="51" t="s">
        <v>1904</v>
      </c>
      <c r="AJ2" s="67">
        <v>0</v>
      </c>
      <c r="AK2" s="53">
        <v>0</v>
      </c>
      <c r="AL2" s="247"/>
      <c r="AM2" s="51" t="s">
        <v>191</v>
      </c>
      <c r="AN2" s="51" t="s">
        <v>177</v>
      </c>
      <c r="AO2" s="51" t="s">
        <v>285</v>
      </c>
      <c r="AP2" s="51" t="s">
        <v>284</v>
      </c>
      <c r="AQ2" s="51" t="s">
        <v>136</v>
      </c>
      <c r="AR2" s="51" t="s">
        <v>138</v>
      </c>
      <c r="AS2" s="51" t="s">
        <v>283</v>
      </c>
      <c r="AT2" s="247"/>
      <c r="AU2" s="51" t="s">
        <v>1595</v>
      </c>
      <c r="AV2" s="51" t="s">
        <v>1594</v>
      </c>
      <c r="AW2" s="51" t="s">
        <v>1903</v>
      </c>
      <c r="AX2" s="51" t="s">
        <v>138</v>
      </c>
      <c r="AY2" s="247"/>
      <c r="AZ2" s="550" t="s">
        <v>1887</v>
      </c>
      <c r="BA2" s="550" t="s">
        <v>23602</v>
      </c>
      <c r="BB2" s="551">
        <v>0</v>
      </c>
      <c r="BC2" s="56">
        <v>0</v>
      </c>
      <c r="BD2" s="56">
        <v>0</v>
      </c>
      <c r="BE2" s="56">
        <v>0</v>
      </c>
      <c r="BF2" s="56">
        <v>0</v>
      </c>
      <c r="BG2" s="56">
        <v>0</v>
      </c>
      <c r="BH2" s="56">
        <v>0</v>
      </c>
      <c r="BI2" s="56" t="e">
        <f>IF($BA$1=$BB$1,BB2,IF($BA$1=$BC$1,BC2,IF($BA$1=$BD$1,BD2,IF($BA$1=$BE$1,BE2,IF($BA$1=$BF$1,BF2,IF($BA$1=$BG$1,BG2,IF($BA$1=$BH$1,BH2,)))))))</f>
        <v>#N/A</v>
      </c>
    </row>
    <row r="3" spans="2:61" x14ac:dyDescent="0.25">
      <c r="B3" s="51" t="s">
        <v>1902</v>
      </c>
      <c r="C3" s="51" t="s">
        <v>915</v>
      </c>
      <c r="D3" s="51" t="s">
        <v>1901</v>
      </c>
      <c r="F3" s="51" t="s">
        <v>1902</v>
      </c>
      <c r="G3" s="51" t="s">
        <v>915</v>
      </c>
      <c r="H3" s="51" t="s">
        <v>1901</v>
      </c>
      <c r="J3" s="51" t="s">
        <v>1902</v>
      </c>
      <c r="K3" s="51" t="s">
        <v>915</v>
      </c>
      <c r="L3" s="51" t="s">
        <v>1901</v>
      </c>
      <c r="N3" s="51" t="s">
        <v>1902</v>
      </c>
      <c r="O3" s="51" t="s">
        <v>915</v>
      </c>
      <c r="P3" s="51" t="s">
        <v>1901</v>
      </c>
      <c r="Q3" s="51" t="s">
        <v>1755</v>
      </c>
      <c r="R3" s="51" t="s">
        <v>282</v>
      </c>
      <c r="S3" s="51" t="s">
        <v>189</v>
      </c>
      <c r="T3" s="51" t="s">
        <v>200</v>
      </c>
      <c r="U3" s="51" t="s">
        <v>1896</v>
      </c>
      <c r="V3" s="51" t="s">
        <v>281</v>
      </c>
      <c r="W3" s="548" t="s">
        <v>1848</v>
      </c>
      <c r="X3" s="548" t="s">
        <v>1848</v>
      </c>
      <c r="AA3" s="51" t="s">
        <v>1858</v>
      </c>
      <c r="AB3" s="51" t="s">
        <v>1858</v>
      </c>
      <c r="AC3" s="51" t="s">
        <v>1852</v>
      </c>
      <c r="AD3" s="51" t="s">
        <v>1852</v>
      </c>
      <c r="AE3" s="51" t="s">
        <v>1899</v>
      </c>
      <c r="AF3" s="51" t="s">
        <v>1898</v>
      </c>
      <c r="AG3" s="51" t="s">
        <v>1897</v>
      </c>
      <c r="AH3" s="51">
        <v>3</v>
      </c>
      <c r="AJ3" s="67">
        <v>1.25E-3</v>
      </c>
      <c r="AK3" s="53"/>
      <c r="AL3" s="247"/>
      <c r="AM3" s="51" t="s">
        <v>189</v>
      </c>
      <c r="AN3" s="51" t="s">
        <v>174</v>
      </c>
      <c r="AO3" s="51" t="s">
        <v>280</v>
      </c>
      <c r="AP3" s="51" t="s">
        <v>279</v>
      </c>
      <c r="AQ3" s="51" t="s">
        <v>133</v>
      </c>
      <c r="AR3" s="51" t="s">
        <v>139</v>
      </c>
      <c r="AS3" s="51" t="s">
        <v>278</v>
      </c>
      <c r="AT3" s="247"/>
      <c r="AU3" s="51" t="s">
        <v>1592</v>
      </c>
      <c r="AY3" s="247"/>
      <c r="AZ3" s="550" t="s">
        <v>1848</v>
      </c>
      <c r="BA3" s="550" t="s">
        <v>23603</v>
      </c>
      <c r="BB3" s="56">
        <v>1.25E-3</v>
      </c>
      <c r="BC3" s="56">
        <v>1.25E-3</v>
      </c>
      <c r="BD3" s="56">
        <v>1.25E-3</v>
      </c>
      <c r="BE3" s="56">
        <v>1.25E-3</v>
      </c>
      <c r="BF3" s="56">
        <v>1.25E-3</v>
      </c>
      <c r="BG3" s="56">
        <v>1.25E-3</v>
      </c>
      <c r="BH3" s="56" t="s">
        <v>2</v>
      </c>
      <c r="BI3" s="56" t="e">
        <f t="shared" ref="BI3:BI14" si="0">IF($BA$1=$BB$1,BB3,IF($BA$1=$BC$1,BC3,IF($BA$1=$BD$1,BD3,IF($BA$1=$BE$1,BE3,IF($BA$1=$BF$1,BF3,IF($BA$1=$BG$1,BG3,IF($BA$1=$BH$1,BH3,)))))))</f>
        <v>#N/A</v>
      </c>
    </row>
    <row r="4" spans="2:61" x14ac:dyDescent="0.25">
      <c r="B4" s="51">
        <v>0</v>
      </c>
      <c r="C4" s="51">
        <v>574</v>
      </c>
      <c r="D4" s="51" t="s">
        <v>1691</v>
      </c>
      <c r="F4" s="71">
        <v>0</v>
      </c>
      <c r="G4" s="71">
        <v>0.5</v>
      </c>
      <c r="H4" s="51" t="s">
        <v>1640</v>
      </c>
      <c r="J4" s="57">
        <v>0</v>
      </c>
      <c r="K4" s="57">
        <v>50000</v>
      </c>
      <c r="L4" s="51" t="s">
        <v>1844</v>
      </c>
      <c r="N4" s="57">
        <v>0</v>
      </c>
      <c r="O4" s="57">
        <v>35000</v>
      </c>
      <c r="P4" s="51" t="s">
        <v>1880</v>
      </c>
      <c r="Q4" s="51" t="s">
        <v>1754</v>
      </c>
      <c r="R4" s="51" t="s">
        <v>277</v>
      </c>
      <c r="S4" s="51" t="s">
        <v>1592</v>
      </c>
      <c r="T4" s="51" t="s">
        <v>3</v>
      </c>
      <c r="V4" s="51" t="s">
        <v>276</v>
      </c>
      <c r="W4" s="548" t="s">
        <v>1847</v>
      </c>
      <c r="X4" s="548" t="s">
        <v>1847</v>
      </c>
      <c r="AA4" s="51" t="s">
        <v>1857</v>
      </c>
      <c r="AB4" s="51" t="s">
        <v>1857</v>
      </c>
      <c r="AC4" s="51" t="s">
        <v>1851</v>
      </c>
      <c r="AD4" s="51" t="s">
        <v>1851</v>
      </c>
      <c r="AE4" s="51" t="s">
        <v>1848</v>
      </c>
      <c r="AF4" s="51" t="s">
        <v>1875</v>
      </c>
      <c r="AG4" s="51" t="s">
        <v>1852</v>
      </c>
      <c r="AH4" s="51">
        <v>5</v>
      </c>
      <c r="AJ4" s="67">
        <v>2.5000000000000001E-3</v>
      </c>
      <c r="AK4" s="53"/>
      <c r="AL4" s="247"/>
      <c r="AM4" s="51" t="s">
        <v>182</v>
      </c>
      <c r="AN4" s="51" t="s">
        <v>172</v>
      </c>
      <c r="AO4" s="51" t="s">
        <v>275</v>
      </c>
      <c r="AQ4" s="51" t="s">
        <v>130</v>
      </c>
      <c r="AT4" s="247"/>
      <c r="AU4" s="51" t="s">
        <v>1591</v>
      </c>
      <c r="AY4" s="247"/>
      <c r="AZ4" s="550" t="s">
        <v>1847</v>
      </c>
      <c r="BA4" s="550" t="s">
        <v>23604</v>
      </c>
      <c r="BB4" s="56">
        <v>2.5000000000000001E-3</v>
      </c>
      <c r="BC4" s="56">
        <v>2.5000000000000001E-3</v>
      </c>
      <c r="BD4" s="56">
        <v>2.5000000000000001E-3</v>
      </c>
      <c r="BE4" s="56">
        <v>2.5000000000000001E-3</v>
      </c>
      <c r="BF4" s="56">
        <v>2.5000000000000001E-3</v>
      </c>
      <c r="BG4" s="56">
        <v>2.5000000000000001E-3</v>
      </c>
      <c r="BH4" s="56" t="s">
        <v>2</v>
      </c>
      <c r="BI4" s="56" t="e">
        <f t="shared" si="0"/>
        <v>#N/A</v>
      </c>
    </row>
    <row r="5" spans="2:61" x14ac:dyDescent="0.25">
      <c r="B5" s="51">
        <v>575</v>
      </c>
      <c r="C5" s="51">
        <v>599</v>
      </c>
      <c r="D5" s="51" t="s">
        <v>1690</v>
      </c>
      <c r="F5" s="70">
        <f t="shared" ref="F5:F14" si="1">+G4+0.00000001%</f>
        <v>0.50000000010000001</v>
      </c>
      <c r="G5" s="71">
        <f t="shared" ref="G5:G14" si="2">+G4+5%</f>
        <v>0.55000000000000004</v>
      </c>
      <c r="H5" s="51" t="s">
        <v>1639</v>
      </c>
      <c r="J5" s="57">
        <f t="shared" ref="J5:J17" si="3">+K4+0.0000000000001</f>
        <v>50000</v>
      </c>
      <c r="K5" s="57">
        <f>+K4+25000</f>
        <v>75000</v>
      </c>
      <c r="L5" s="51" t="s">
        <v>1842</v>
      </c>
      <c r="N5" s="57">
        <f t="shared" ref="N5:N10" si="4">+O4+0.0000000001</f>
        <v>35000.000000000102</v>
      </c>
      <c r="O5" s="57">
        <v>50000</v>
      </c>
      <c r="P5" s="51" t="s">
        <v>1844</v>
      </c>
      <c r="Q5" s="51" t="s">
        <v>1753</v>
      </c>
      <c r="S5" s="51" t="s">
        <v>1869</v>
      </c>
      <c r="T5" s="51" t="s">
        <v>274</v>
      </c>
      <c r="V5" s="51" t="s">
        <v>273</v>
      </c>
      <c r="W5" s="548" t="s">
        <v>1846</v>
      </c>
      <c r="X5" s="548" t="s">
        <v>1846</v>
      </c>
      <c r="AA5" s="51" t="s">
        <v>1856</v>
      </c>
      <c r="AB5" s="51" t="s">
        <v>1856</v>
      </c>
      <c r="AC5" s="51" t="s">
        <v>1850</v>
      </c>
      <c r="AD5" s="51" t="s">
        <v>1850</v>
      </c>
      <c r="AE5" s="51" t="s">
        <v>1847</v>
      </c>
      <c r="AF5" s="51" t="s">
        <v>1894</v>
      </c>
      <c r="AG5" s="51" t="s">
        <v>1851</v>
      </c>
      <c r="AH5" s="51">
        <v>7</v>
      </c>
      <c r="AJ5" s="67">
        <v>3.7499999999999999E-3</v>
      </c>
      <c r="AK5" s="53"/>
      <c r="AL5" s="247"/>
      <c r="AM5" s="51" t="s">
        <v>179</v>
      </c>
      <c r="AN5" s="51" t="s">
        <v>170</v>
      </c>
      <c r="AQ5" s="51" t="s">
        <v>128</v>
      </c>
      <c r="AT5" s="247"/>
      <c r="AU5" s="51" t="s">
        <v>1650</v>
      </c>
      <c r="AY5" s="247"/>
      <c r="AZ5" s="550" t="s">
        <v>1846</v>
      </c>
      <c r="BA5" s="550" t="s">
        <v>23605</v>
      </c>
      <c r="BB5" s="56">
        <v>3.7499999999999999E-3</v>
      </c>
      <c r="BC5" s="56">
        <v>3.7499999999999999E-3</v>
      </c>
      <c r="BD5" s="56">
        <v>3.7499999999999999E-3</v>
      </c>
      <c r="BE5" s="56">
        <v>3.7499999999999999E-3</v>
      </c>
      <c r="BF5" s="56">
        <v>2.5000000000000001E-3</v>
      </c>
      <c r="BG5" s="56" t="s">
        <v>2</v>
      </c>
      <c r="BH5" s="56" t="s">
        <v>2</v>
      </c>
      <c r="BI5" s="56" t="e">
        <f t="shared" si="0"/>
        <v>#N/A</v>
      </c>
    </row>
    <row r="6" spans="2:61" x14ac:dyDescent="0.25">
      <c r="B6" s="51">
        <v>600</v>
      </c>
      <c r="C6" s="51">
        <v>619</v>
      </c>
      <c r="D6" s="51" t="s">
        <v>1689</v>
      </c>
      <c r="F6" s="70">
        <f t="shared" si="1"/>
        <v>0.55000000010000005</v>
      </c>
      <c r="G6" s="71">
        <f t="shared" si="2"/>
        <v>0.60000000000000009</v>
      </c>
      <c r="H6" s="51" t="s">
        <v>1638</v>
      </c>
      <c r="J6" s="57">
        <f t="shared" si="3"/>
        <v>75000</v>
      </c>
      <c r="K6" s="57">
        <f>+K5+25000</f>
        <v>100000</v>
      </c>
      <c r="L6" s="51" t="s">
        <v>1839</v>
      </c>
      <c r="N6" s="57">
        <f t="shared" si="4"/>
        <v>50000.000000000102</v>
      </c>
      <c r="O6" s="57">
        <v>75000</v>
      </c>
      <c r="P6" s="51" t="s">
        <v>1842</v>
      </c>
      <c r="Q6" s="51" t="s">
        <v>1752</v>
      </c>
      <c r="S6" s="51" t="s">
        <v>1591</v>
      </c>
      <c r="V6" s="51" t="s">
        <v>272</v>
      </c>
      <c r="W6" s="548" t="s">
        <v>275</v>
      </c>
      <c r="X6" s="548" t="s">
        <v>275</v>
      </c>
      <c r="AE6" s="51" t="s">
        <v>1846</v>
      </c>
      <c r="AF6" s="51" t="s">
        <v>1893</v>
      </c>
      <c r="AG6" s="51" t="s">
        <v>1850</v>
      </c>
      <c r="AH6" s="51">
        <v>10</v>
      </c>
      <c r="AJ6" s="67">
        <v>5.0000000000000001E-3</v>
      </c>
      <c r="AK6" s="53"/>
      <c r="AL6" s="247"/>
      <c r="AQ6" s="51" t="s">
        <v>125</v>
      </c>
      <c r="AT6" s="247"/>
      <c r="AU6" s="51" t="s">
        <v>1892</v>
      </c>
      <c r="AY6" s="247"/>
      <c r="AZ6" s="550" t="s">
        <v>275</v>
      </c>
      <c r="BA6" s="550" t="s">
        <v>23606</v>
      </c>
      <c r="BB6" s="56">
        <v>5.0000000000000001E-3</v>
      </c>
      <c r="BC6" s="56">
        <v>5.0000000000000001E-3</v>
      </c>
      <c r="BD6" s="56">
        <v>5.0000000000000001E-3</v>
      </c>
      <c r="BE6" s="56">
        <v>5.0000000000000001E-3</v>
      </c>
      <c r="BF6" s="56" t="s">
        <v>2</v>
      </c>
      <c r="BG6" s="56" t="s">
        <v>2</v>
      </c>
      <c r="BH6" s="56" t="s">
        <v>2</v>
      </c>
      <c r="BI6" s="56" t="e">
        <f t="shared" si="0"/>
        <v>#N/A</v>
      </c>
    </row>
    <row r="7" spans="2:61" x14ac:dyDescent="0.25">
      <c r="B7" s="51">
        <v>620</v>
      </c>
      <c r="C7" s="51">
        <v>639</v>
      </c>
      <c r="D7" s="51" t="s">
        <v>1688</v>
      </c>
      <c r="F7" s="70">
        <f t="shared" si="1"/>
        <v>0.6000000001000001</v>
      </c>
      <c r="G7" s="71">
        <f t="shared" si="2"/>
        <v>0.65000000000000013</v>
      </c>
      <c r="H7" s="51" t="s">
        <v>1637</v>
      </c>
      <c r="J7" s="57">
        <f t="shared" si="3"/>
        <v>100000</v>
      </c>
      <c r="K7" s="57">
        <f>+K6+25000</f>
        <v>125000</v>
      </c>
      <c r="L7" s="51" t="s">
        <v>1838</v>
      </c>
      <c r="N7" s="57">
        <f t="shared" si="4"/>
        <v>75000.000000000102</v>
      </c>
      <c r="O7" s="57">
        <v>100000</v>
      </c>
      <c r="P7" s="51" t="s">
        <v>1839</v>
      </c>
      <c r="Q7" s="51" t="s">
        <v>1751</v>
      </c>
      <c r="S7" s="51" t="s">
        <v>1588</v>
      </c>
      <c r="V7" s="51" t="s">
        <v>271</v>
      </c>
      <c r="W7" s="548" t="s">
        <v>285</v>
      </c>
      <c r="X7" s="548" t="s">
        <v>285</v>
      </c>
      <c r="AE7" s="51" t="s">
        <v>275</v>
      </c>
      <c r="AF7" s="51" t="s">
        <v>1891</v>
      </c>
      <c r="AJ7" s="67">
        <v>6.2500000000000003E-3</v>
      </c>
      <c r="AK7" s="53"/>
      <c r="AL7" s="247"/>
      <c r="AQ7" s="51" t="s">
        <v>122</v>
      </c>
      <c r="AT7" s="247"/>
      <c r="AU7" s="51" t="s">
        <v>1588</v>
      </c>
      <c r="AY7" s="247"/>
      <c r="AZ7" s="550" t="s">
        <v>285</v>
      </c>
      <c r="BA7" s="550" t="s">
        <v>1446</v>
      </c>
      <c r="BB7" s="56">
        <v>6.2500000000000003E-3</v>
      </c>
      <c r="BC7" s="56">
        <v>6.2500000000000003E-3</v>
      </c>
      <c r="BD7" s="56">
        <v>6.2500000000000003E-3</v>
      </c>
      <c r="BE7" s="56">
        <v>6.2500000000000003E-3</v>
      </c>
      <c r="BF7" s="56" t="s">
        <v>2</v>
      </c>
      <c r="BG7" s="56" t="s">
        <v>2</v>
      </c>
      <c r="BH7" s="56" t="s">
        <v>2</v>
      </c>
      <c r="BI7" s="56" t="e">
        <f t="shared" si="0"/>
        <v>#N/A</v>
      </c>
    </row>
    <row r="8" spans="2:61" x14ac:dyDescent="0.25">
      <c r="B8" s="51">
        <v>640</v>
      </c>
      <c r="C8" s="51">
        <v>659</v>
      </c>
      <c r="D8" s="51" t="s">
        <v>1687</v>
      </c>
      <c r="F8" s="70">
        <f t="shared" si="1"/>
        <v>0.65000000010000014</v>
      </c>
      <c r="G8" s="71">
        <f t="shared" si="2"/>
        <v>0.70000000000000018</v>
      </c>
      <c r="H8" s="51" t="s">
        <v>1636</v>
      </c>
      <c r="J8" s="57">
        <f t="shared" si="3"/>
        <v>125000</v>
      </c>
      <c r="K8" s="57">
        <f>+K7+25000</f>
        <v>150000</v>
      </c>
      <c r="L8" s="51" t="s">
        <v>1837</v>
      </c>
      <c r="N8" s="57">
        <f t="shared" si="4"/>
        <v>100000.0000000001</v>
      </c>
      <c r="O8" s="57">
        <v>150000</v>
      </c>
      <c r="P8" s="51" t="s">
        <v>1837</v>
      </c>
      <c r="Q8" s="51" t="s">
        <v>1750</v>
      </c>
      <c r="S8" s="51" t="s">
        <v>1871</v>
      </c>
      <c r="V8" s="51" t="s">
        <v>270</v>
      </c>
      <c r="W8" s="548" t="s">
        <v>1845</v>
      </c>
      <c r="X8" s="548" t="s">
        <v>1845</v>
      </c>
      <c r="AE8" s="51" t="s">
        <v>285</v>
      </c>
      <c r="AF8" s="55">
        <v>0.01</v>
      </c>
      <c r="AJ8" s="67">
        <v>7.5000000000000006E-3</v>
      </c>
      <c r="AK8" s="53"/>
      <c r="AL8" s="247"/>
      <c r="AQ8" s="51" t="s">
        <v>117</v>
      </c>
      <c r="AT8" s="247"/>
      <c r="AU8" s="51" t="s">
        <v>1890</v>
      </c>
      <c r="AY8" s="247"/>
      <c r="AZ8" s="550" t="s">
        <v>1845</v>
      </c>
      <c r="BA8" s="550" t="s">
        <v>23607</v>
      </c>
      <c r="BB8" s="56">
        <v>7.5000000000000006E-3</v>
      </c>
      <c r="BC8" s="56">
        <v>7.5000000000000006E-3</v>
      </c>
      <c r="BD8" s="56">
        <v>7.5000000000000006E-3</v>
      </c>
      <c r="BE8" s="56">
        <v>7.5000000000000006E-3</v>
      </c>
      <c r="BF8" s="56" t="s">
        <v>2</v>
      </c>
      <c r="BG8" s="56" t="s">
        <v>2</v>
      </c>
      <c r="BH8" s="56" t="s">
        <v>2</v>
      </c>
      <c r="BI8" s="56" t="e">
        <f t="shared" si="0"/>
        <v>#N/A</v>
      </c>
    </row>
    <row r="9" spans="2:61" x14ac:dyDescent="0.25">
      <c r="B9" s="51">
        <v>660</v>
      </c>
      <c r="C9" s="51">
        <v>679</v>
      </c>
      <c r="D9" s="51" t="s">
        <v>1686</v>
      </c>
      <c r="F9" s="70">
        <f t="shared" si="1"/>
        <v>0.70000000010000019</v>
      </c>
      <c r="G9" s="71">
        <f t="shared" si="2"/>
        <v>0.75000000000000022</v>
      </c>
      <c r="H9" s="51" t="s">
        <v>1635</v>
      </c>
      <c r="J9" s="57">
        <f t="shared" si="3"/>
        <v>150000</v>
      </c>
      <c r="K9" s="57">
        <v>250000</v>
      </c>
      <c r="L9" s="51" t="s">
        <v>1836</v>
      </c>
      <c r="N9" s="57">
        <f t="shared" si="4"/>
        <v>150000.00000000009</v>
      </c>
      <c r="O9" s="57">
        <v>250000</v>
      </c>
      <c r="P9" s="51" t="s">
        <v>1836</v>
      </c>
      <c r="Q9" s="51" t="s">
        <v>1675</v>
      </c>
      <c r="S9" s="51" t="s">
        <v>1870</v>
      </c>
      <c r="V9" s="51" t="s">
        <v>269</v>
      </c>
      <c r="AE9" s="51" t="s">
        <v>1845</v>
      </c>
      <c r="AF9" s="55">
        <v>0</v>
      </c>
      <c r="AJ9" s="67">
        <v>8.7500000000000008E-3</v>
      </c>
      <c r="AK9" s="53"/>
      <c r="AL9" s="247"/>
      <c r="AT9" s="247"/>
      <c r="AY9" s="247"/>
      <c r="AZ9" s="550"/>
      <c r="BA9" s="550"/>
      <c r="BB9" s="56">
        <v>8.7500000000000008E-3</v>
      </c>
      <c r="BC9" s="56">
        <v>8.7500000000000008E-3</v>
      </c>
      <c r="BD9" s="56">
        <v>8.7500000000000008E-3</v>
      </c>
      <c r="BE9" s="56">
        <v>8.7500000000000008E-3</v>
      </c>
      <c r="BF9" s="56" t="s">
        <v>2</v>
      </c>
      <c r="BG9" s="56" t="s">
        <v>2</v>
      </c>
      <c r="BH9" s="56" t="s">
        <v>2</v>
      </c>
      <c r="BI9" s="56" t="e">
        <f t="shared" si="0"/>
        <v>#N/A</v>
      </c>
    </row>
    <row r="10" spans="2:61" x14ac:dyDescent="0.25">
      <c r="B10" s="51">
        <v>680</v>
      </c>
      <c r="C10" s="51">
        <v>699</v>
      </c>
      <c r="D10" s="51" t="s">
        <v>1476</v>
      </c>
      <c r="F10" s="70">
        <f t="shared" si="1"/>
        <v>0.75000000010000023</v>
      </c>
      <c r="G10" s="71">
        <f t="shared" si="2"/>
        <v>0.80000000000000027</v>
      </c>
      <c r="H10" s="51" t="s">
        <v>1634</v>
      </c>
      <c r="J10" s="57">
        <f t="shared" si="3"/>
        <v>250000</v>
      </c>
      <c r="K10" s="57">
        <v>500000</v>
      </c>
      <c r="L10" s="51" t="s">
        <v>1835</v>
      </c>
      <c r="N10" s="57">
        <f t="shared" si="4"/>
        <v>250000.00000000009</v>
      </c>
      <c r="O10" s="57">
        <v>100000000</v>
      </c>
      <c r="P10" s="51" t="s">
        <v>1828</v>
      </c>
      <c r="V10" s="51" t="s">
        <v>268</v>
      </c>
      <c r="AE10" s="51" t="s">
        <v>1889</v>
      </c>
      <c r="AF10" s="51" t="s">
        <v>1888</v>
      </c>
      <c r="AJ10" s="67">
        <v>0.01</v>
      </c>
      <c r="AK10" s="53"/>
      <c r="AL10" s="247"/>
      <c r="AT10" s="247"/>
      <c r="AY10" s="247"/>
      <c r="AZ10" s="550"/>
      <c r="BA10" s="550"/>
      <c r="BB10" s="56">
        <v>0.01</v>
      </c>
      <c r="BC10" s="56">
        <v>0.01</v>
      </c>
      <c r="BD10" s="56">
        <v>0.01</v>
      </c>
      <c r="BE10" s="56">
        <v>0.01</v>
      </c>
      <c r="BF10" s="56" t="s">
        <v>2</v>
      </c>
      <c r="BG10" s="56" t="s">
        <v>2</v>
      </c>
      <c r="BH10" s="56" t="s">
        <v>2</v>
      </c>
      <c r="BI10" s="56" t="e">
        <f t="shared" si="0"/>
        <v>#N/A</v>
      </c>
    </row>
    <row r="11" spans="2:61" x14ac:dyDescent="0.25">
      <c r="B11" s="51">
        <v>700</v>
      </c>
      <c r="C11" s="51">
        <v>719</v>
      </c>
      <c r="D11" s="51" t="s">
        <v>1685</v>
      </c>
      <c r="F11" s="70">
        <f t="shared" si="1"/>
        <v>0.80000000010000027</v>
      </c>
      <c r="G11" s="71">
        <f t="shared" si="2"/>
        <v>0.85000000000000031</v>
      </c>
      <c r="H11" s="51" t="s">
        <v>1841</v>
      </c>
      <c r="J11" s="57">
        <f t="shared" si="3"/>
        <v>500000</v>
      </c>
      <c r="K11" s="57">
        <v>750000</v>
      </c>
      <c r="L11" s="51" t="s">
        <v>1834</v>
      </c>
      <c r="N11" s="57"/>
      <c r="V11" s="51" t="s">
        <v>267</v>
      </c>
      <c r="AE11" s="51" t="s">
        <v>1887</v>
      </c>
      <c r="AF11" s="51" t="s">
        <v>1886</v>
      </c>
      <c r="AJ11" s="67">
        <v>1.125E-2</v>
      </c>
      <c r="AK11" s="53"/>
      <c r="AL11" s="247"/>
      <c r="AT11" s="247"/>
      <c r="AY11" s="247"/>
      <c r="AZ11" s="550"/>
      <c r="BA11" s="550"/>
      <c r="BB11" s="56">
        <v>1.125E-2</v>
      </c>
      <c r="BC11" s="56">
        <v>1.125E-2</v>
      </c>
      <c r="BD11" s="56">
        <v>1.125E-2</v>
      </c>
      <c r="BE11" s="56" t="s">
        <v>2</v>
      </c>
      <c r="BF11" s="56" t="s">
        <v>2</v>
      </c>
      <c r="BG11" s="56" t="s">
        <v>2</v>
      </c>
      <c r="BH11" s="56" t="s">
        <v>2</v>
      </c>
      <c r="BI11" s="56" t="e">
        <f t="shared" si="0"/>
        <v>#N/A</v>
      </c>
    </row>
    <row r="12" spans="2:61" x14ac:dyDescent="0.25">
      <c r="B12" s="51">
        <v>720</v>
      </c>
      <c r="C12" s="51">
        <v>739</v>
      </c>
      <c r="D12" s="51" t="s">
        <v>1684</v>
      </c>
      <c r="F12" s="70">
        <f t="shared" si="1"/>
        <v>0.85000000010000032</v>
      </c>
      <c r="G12" s="71">
        <f t="shared" si="2"/>
        <v>0.90000000000000036</v>
      </c>
      <c r="H12" s="51" t="s">
        <v>1840</v>
      </c>
      <c r="J12" s="57">
        <f t="shared" si="3"/>
        <v>750000</v>
      </c>
      <c r="K12" s="57">
        <v>1000000</v>
      </c>
      <c r="L12" s="51" t="s">
        <v>1833</v>
      </c>
      <c r="N12" s="57" t="s">
        <v>1885</v>
      </c>
      <c r="O12" s="51" t="s">
        <v>1884</v>
      </c>
      <c r="V12" s="51" t="s">
        <v>266</v>
      </c>
      <c r="AE12" s="51" t="s">
        <v>1883</v>
      </c>
      <c r="AF12" s="51" t="s">
        <v>1882</v>
      </c>
      <c r="AJ12" s="67">
        <v>1.2499999999999999E-2</v>
      </c>
      <c r="AK12" s="53"/>
      <c r="AL12" s="247"/>
      <c r="AT12" s="247"/>
      <c r="AY12" s="247"/>
      <c r="AZ12" s="550"/>
      <c r="BA12" s="550"/>
      <c r="BB12" s="56">
        <v>1.2499999999999999E-2</v>
      </c>
      <c r="BC12" s="56">
        <v>1.2499999999999999E-2</v>
      </c>
      <c r="BD12" s="56">
        <v>1.2499999999999999E-2</v>
      </c>
      <c r="BE12" s="56" t="s">
        <v>2</v>
      </c>
      <c r="BF12" s="56" t="s">
        <v>2</v>
      </c>
      <c r="BG12" s="56" t="s">
        <v>2</v>
      </c>
      <c r="BH12" s="56" t="s">
        <v>2</v>
      </c>
      <c r="BI12" s="56" t="e">
        <f t="shared" si="0"/>
        <v>#N/A</v>
      </c>
    </row>
    <row r="13" spans="2:61" x14ac:dyDescent="0.25">
      <c r="B13" s="51">
        <v>740</v>
      </c>
      <c r="C13" s="51">
        <v>759</v>
      </c>
      <c r="D13" s="51" t="s">
        <v>1683</v>
      </c>
      <c r="F13" s="70">
        <f t="shared" si="1"/>
        <v>0.90000000010000036</v>
      </c>
      <c r="G13" s="71">
        <f t="shared" si="2"/>
        <v>0.9500000000000004</v>
      </c>
      <c r="H13" s="51" t="s">
        <v>1881</v>
      </c>
      <c r="J13" s="57">
        <f t="shared" si="3"/>
        <v>1000000</v>
      </c>
      <c r="K13" s="57">
        <v>1250000</v>
      </c>
      <c r="L13" s="51" t="s">
        <v>1832</v>
      </c>
      <c r="N13" s="57" t="s">
        <v>1880</v>
      </c>
      <c r="O13" s="55">
        <v>0.45</v>
      </c>
      <c r="V13" s="51" t="s">
        <v>265</v>
      </c>
      <c r="AE13" s="51" t="s">
        <v>1879</v>
      </c>
      <c r="AF13" s="51" t="s">
        <v>1878</v>
      </c>
      <c r="AJ13" s="67">
        <v>1.3749999999999998E-2</v>
      </c>
      <c r="AK13" s="53"/>
      <c r="AL13" s="247"/>
      <c r="AT13" s="247"/>
      <c r="AY13" s="247"/>
      <c r="AZ13" s="550"/>
      <c r="BA13" s="550"/>
      <c r="BB13" s="56">
        <v>1.3749999999999998E-2</v>
      </c>
      <c r="BC13" s="56">
        <v>1.3749999999999998E-2</v>
      </c>
      <c r="BD13" s="56" t="s">
        <v>2</v>
      </c>
      <c r="BE13" s="56" t="s">
        <v>2</v>
      </c>
      <c r="BF13" s="56" t="s">
        <v>2</v>
      </c>
      <c r="BG13" s="56" t="s">
        <v>2</v>
      </c>
      <c r="BH13" s="56" t="s">
        <v>2</v>
      </c>
      <c r="BI13" s="56" t="e">
        <f t="shared" si="0"/>
        <v>#N/A</v>
      </c>
    </row>
    <row r="14" spans="2:61" x14ac:dyDescent="0.25">
      <c r="B14" s="51">
        <v>760</v>
      </c>
      <c r="C14" s="51">
        <v>779</v>
      </c>
      <c r="D14" s="51" t="s">
        <v>1682</v>
      </c>
      <c r="F14" s="70">
        <f t="shared" si="1"/>
        <v>0.95000000010000041</v>
      </c>
      <c r="G14" s="71">
        <f t="shared" si="2"/>
        <v>1.0000000000000004</v>
      </c>
      <c r="H14" s="51" t="s">
        <v>1877</v>
      </c>
      <c r="J14" s="57">
        <f t="shared" si="3"/>
        <v>1250000</v>
      </c>
      <c r="K14" s="57">
        <v>1500000</v>
      </c>
      <c r="L14" s="51" t="s">
        <v>1831</v>
      </c>
      <c r="N14" s="57" t="s">
        <v>1844</v>
      </c>
      <c r="O14" s="55">
        <v>0.4</v>
      </c>
      <c r="V14" s="51" t="s">
        <v>145</v>
      </c>
      <c r="AE14" s="51" t="s">
        <v>1876</v>
      </c>
      <c r="AF14" s="51" t="s">
        <v>1875</v>
      </c>
      <c r="AJ14" s="67">
        <v>1.4999999999999998E-2</v>
      </c>
      <c r="AK14" s="53"/>
      <c r="AL14" s="247"/>
      <c r="AT14" s="247"/>
      <c r="AY14" s="247"/>
      <c r="AZ14" s="550"/>
      <c r="BA14" s="550"/>
      <c r="BB14" s="56">
        <v>1.4999999999999998E-2</v>
      </c>
      <c r="BC14" s="56">
        <v>1.4999999999999998E-2</v>
      </c>
      <c r="BD14" s="56" t="s">
        <v>2</v>
      </c>
      <c r="BE14" s="56" t="s">
        <v>2</v>
      </c>
      <c r="BF14" s="56" t="s">
        <v>2</v>
      </c>
      <c r="BG14" s="56" t="s">
        <v>2</v>
      </c>
      <c r="BH14" s="56" t="s">
        <v>2</v>
      </c>
      <c r="BI14" s="56" t="e">
        <f t="shared" si="0"/>
        <v>#N/A</v>
      </c>
    </row>
    <row r="15" spans="2:61" x14ac:dyDescent="0.25">
      <c r="B15" s="51">
        <v>780</v>
      </c>
      <c r="C15" s="51">
        <v>799</v>
      </c>
      <c r="D15" s="51" t="s">
        <v>1681</v>
      </c>
      <c r="F15" s="70"/>
      <c r="G15" s="71"/>
      <c r="J15" s="57">
        <f t="shared" si="3"/>
        <v>1500000</v>
      </c>
      <c r="K15" s="57">
        <v>1750000</v>
      </c>
      <c r="L15" s="51" t="s">
        <v>1830</v>
      </c>
      <c r="N15" s="57" t="s">
        <v>1842</v>
      </c>
      <c r="O15" s="55">
        <v>0.35</v>
      </c>
      <c r="V15" s="51" t="s">
        <v>264</v>
      </c>
      <c r="AJ15" s="67"/>
      <c r="AK15" s="53"/>
      <c r="AL15" s="247"/>
      <c r="AT15" s="247"/>
      <c r="AY15" s="247"/>
      <c r="AZ15" s="550"/>
      <c r="BA15" s="550"/>
      <c r="BB15" s="56"/>
      <c r="BC15" s="550"/>
      <c r="BD15" s="550"/>
      <c r="BE15" s="550"/>
      <c r="BF15" s="550"/>
      <c r="BG15" s="550"/>
      <c r="BH15" s="550"/>
      <c r="BI15" s="550"/>
    </row>
    <row r="16" spans="2:61" x14ac:dyDescent="0.25">
      <c r="B16" s="51">
        <v>800</v>
      </c>
      <c r="C16" s="51">
        <v>1000</v>
      </c>
      <c r="D16" s="51" t="s">
        <v>1680</v>
      </c>
      <c r="F16" s="70"/>
      <c r="G16" s="71"/>
      <c r="J16" s="57">
        <f t="shared" si="3"/>
        <v>1750000</v>
      </c>
      <c r="K16" s="57">
        <v>2000000</v>
      </c>
      <c r="L16" s="51" t="s">
        <v>1829</v>
      </c>
      <c r="N16" s="57" t="s">
        <v>1839</v>
      </c>
      <c r="O16" s="55">
        <v>0.3</v>
      </c>
      <c r="V16" s="51" t="s">
        <v>263</v>
      </c>
      <c r="AJ16" s="67"/>
      <c r="AK16" s="53"/>
      <c r="AL16" s="247"/>
      <c r="AT16" s="247"/>
      <c r="AY16" s="247"/>
      <c r="AZ16" s="550"/>
      <c r="BA16" s="550"/>
      <c r="BB16" s="56"/>
      <c r="BC16" s="550"/>
      <c r="BD16" s="550"/>
      <c r="BE16" s="550"/>
      <c r="BF16" s="550"/>
      <c r="BG16" s="550"/>
      <c r="BH16" s="550"/>
      <c r="BI16" s="550"/>
    </row>
    <row r="17" spans="4:61" x14ac:dyDescent="0.25">
      <c r="D17" s="51" t="s">
        <v>1679</v>
      </c>
      <c r="J17" s="57">
        <f t="shared" si="3"/>
        <v>2000000</v>
      </c>
      <c r="K17" s="57">
        <v>100000000</v>
      </c>
      <c r="L17" s="51" t="s">
        <v>1828</v>
      </c>
      <c r="N17" s="57" t="s">
        <v>1837</v>
      </c>
      <c r="O17" s="55">
        <v>0.25</v>
      </c>
      <c r="V17" s="51" t="s">
        <v>262</v>
      </c>
      <c r="AJ17" s="67"/>
      <c r="AK17" s="53"/>
      <c r="AL17" s="247"/>
      <c r="AT17" s="247"/>
      <c r="AY17" s="247"/>
      <c r="AZ17" s="550"/>
      <c r="BA17" s="550"/>
      <c r="BB17" s="56"/>
      <c r="BC17" s="550"/>
      <c r="BD17" s="550"/>
      <c r="BE17" s="550"/>
      <c r="BF17" s="550"/>
      <c r="BG17" s="550"/>
      <c r="BH17" s="550"/>
      <c r="BI17" s="550"/>
    </row>
    <row r="18" spans="4:61" x14ac:dyDescent="0.25">
      <c r="J18" s="57"/>
      <c r="K18" s="57"/>
      <c r="N18" s="51" t="s">
        <v>1836</v>
      </c>
      <c r="O18" s="55">
        <v>0.2</v>
      </c>
      <c r="V18" s="51" t="s">
        <v>261</v>
      </c>
      <c r="AJ18" s="67"/>
      <c r="AK18" s="53"/>
      <c r="AL18" s="247"/>
      <c r="AT18" s="247"/>
      <c r="AY18" s="247"/>
      <c r="AZ18" s="550"/>
      <c r="BA18" s="550"/>
      <c r="BB18" s="56"/>
      <c r="BC18" s="550"/>
      <c r="BD18" s="550"/>
      <c r="BE18" s="550"/>
      <c r="BF18" s="550"/>
      <c r="BG18" s="550"/>
      <c r="BH18" s="550"/>
      <c r="BI18" s="550"/>
    </row>
    <row r="19" spans="4:61" x14ac:dyDescent="0.25">
      <c r="J19" s="57"/>
      <c r="K19" s="57"/>
      <c r="N19" s="51" t="s">
        <v>1828</v>
      </c>
      <c r="O19" s="55">
        <v>0.15</v>
      </c>
      <c r="V19" s="51" t="s">
        <v>260</v>
      </c>
      <c r="AJ19" s="67"/>
      <c r="AK19" s="53"/>
      <c r="AL19" s="247"/>
      <c r="AT19" s="247"/>
      <c r="AY19" s="247"/>
      <c r="AZ19" s="550"/>
      <c r="BA19" s="550"/>
      <c r="BB19" s="56"/>
      <c r="BC19" s="550"/>
      <c r="BD19" s="550"/>
      <c r="BE19" s="550"/>
      <c r="BF19" s="550"/>
      <c r="BG19" s="550"/>
      <c r="BH19" s="550"/>
      <c r="BI19" s="550"/>
    </row>
    <row r="20" spans="4:61" x14ac:dyDescent="0.25">
      <c r="J20" s="57"/>
      <c r="K20" s="57"/>
      <c r="V20" s="51" t="s">
        <v>259</v>
      </c>
      <c r="AJ20" s="67"/>
      <c r="AK20" s="53"/>
      <c r="AL20" s="247"/>
      <c r="AT20" s="247"/>
      <c r="AY20" s="247"/>
      <c r="AZ20" s="550"/>
      <c r="BA20" s="550"/>
      <c r="BB20" s="550"/>
      <c r="BC20" s="550"/>
      <c r="BD20" s="550"/>
      <c r="BE20" s="550"/>
      <c r="BF20" s="550"/>
      <c r="BG20" s="550"/>
      <c r="BH20" s="550"/>
      <c r="BI20" s="550"/>
    </row>
    <row r="21" spans="4:61" x14ac:dyDescent="0.25">
      <c r="J21" s="57"/>
      <c r="K21" s="57"/>
      <c r="V21" s="51" t="s">
        <v>258</v>
      </c>
      <c r="AJ21" s="67"/>
      <c r="AK21" s="53"/>
      <c r="AL21" s="247"/>
      <c r="AT21" s="247"/>
      <c r="AY21" s="247"/>
      <c r="AZ21" s="550"/>
      <c r="BA21" s="550"/>
      <c r="BB21" s="550"/>
      <c r="BC21" s="550"/>
      <c r="BD21" s="550"/>
      <c r="BE21" s="550"/>
      <c r="BF21" s="550"/>
      <c r="BG21" s="550"/>
      <c r="BH21" s="550"/>
      <c r="BI21" s="550"/>
    </row>
    <row r="22" spans="4:61" x14ac:dyDescent="0.25">
      <c r="J22" s="57"/>
      <c r="K22" s="57"/>
      <c r="V22" s="51" t="s">
        <v>257</v>
      </c>
      <c r="AJ22" s="67"/>
      <c r="AK22" s="53"/>
      <c r="AL22" s="247"/>
      <c r="AT22" s="247"/>
      <c r="AY22" s="247"/>
      <c r="AZ22" s="550"/>
      <c r="BA22" s="550"/>
      <c r="BB22" s="550"/>
      <c r="BC22" s="550"/>
      <c r="BD22" s="550"/>
      <c r="BE22" s="550"/>
      <c r="BF22" s="550"/>
      <c r="BG22" s="550"/>
      <c r="BH22" s="550"/>
      <c r="BI22" s="550"/>
    </row>
    <row r="23" spans="4:61" x14ac:dyDescent="0.25">
      <c r="J23" s="57"/>
      <c r="K23" s="57"/>
      <c r="V23" s="51" t="s">
        <v>256</v>
      </c>
      <c r="AJ23" s="67"/>
      <c r="AK23" s="53"/>
      <c r="AL23" s="247"/>
      <c r="AT23" s="247"/>
      <c r="AY23" s="247"/>
      <c r="AZ23" s="550"/>
      <c r="BA23" s="550"/>
      <c r="BB23" s="550"/>
      <c r="BC23" s="550"/>
      <c r="BD23" s="550"/>
      <c r="BE23" s="550"/>
      <c r="BF23" s="550"/>
      <c r="BG23" s="550"/>
      <c r="BH23" s="550"/>
      <c r="BI23" s="550"/>
    </row>
    <row r="24" spans="4:61" x14ac:dyDescent="0.25">
      <c r="J24" s="57"/>
      <c r="K24" s="57"/>
      <c r="V24" s="51" t="s">
        <v>255</v>
      </c>
      <c r="AJ24" s="67"/>
      <c r="AK24" s="53"/>
      <c r="AL24" s="247"/>
      <c r="AT24" s="247"/>
      <c r="AY24" s="247"/>
      <c r="AZ24" s="550"/>
      <c r="BA24" s="550"/>
      <c r="BB24" s="550"/>
      <c r="BC24" s="550"/>
      <c r="BD24" s="550"/>
      <c r="BE24" s="550"/>
      <c r="BF24" s="550"/>
      <c r="BG24" s="550"/>
      <c r="BH24" s="550"/>
      <c r="BI24" s="550"/>
    </row>
    <row r="25" spans="4:61" x14ac:dyDescent="0.25">
      <c r="J25" s="57"/>
      <c r="K25" s="57"/>
      <c r="V25" s="51" t="s">
        <v>254</v>
      </c>
      <c r="AJ25" s="67"/>
      <c r="AK25" s="53"/>
      <c r="AL25" s="247"/>
      <c r="AT25" s="247"/>
      <c r="AY25" s="247"/>
      <c r="AZ25" s="550"/>
      <c r="BA25" s="550"/>
      <c r="BB25" s="550"/>
      <c r="BC25" s="550"/>
      <c r="BD25" s="550"/>
      <c r="BE25" s="550"/>
      <c r="BF25" s="550"/>
      <c r="BG25" s="550"/>
      <c r="BH25" s="550"/>
      <c r="BI25" s="550"/>
    </row>
    <row r="26" spans="4:61" x14ac:dyDescent="0.25">
      <c r="J26" s="57"/>
      <c r="K26" s="57"/>
      <c r="V26" s="51" t="s">
        <v>253</v>
      </c>
      <c r="AJ26" s="67"/>
      <c r="AK26" s="53"/>
      <c r="AL26" s="247"/>
      <c r="AT26" s="247"/>
      <c r="AY26" s="247"/>
      <c r="AZ26" s="550"/>
      <c r="BA26" s="550"/>
      <c r="BB26" s="550"/>
      <c r="BC26" s="550"/>
      <c r="BD26" s="550"/>
      <c r="BE26" s="550"/>
      <c r="BF26" s="550"/>
      <c r="BG26" s="550"/>
      <c r="BH26" s="550"/>
      <c r="BI26" s="550"/>
    </row>
    <row r="27" spans="4:61" x14ac:dyDescent="0.25">
      <c r="J27" s="57"/>
      <c r="K27" s="57"/>
      <c r="V27" s="51" t="s">
        <v>252</v>
      </c>
      <c r="AJ27" s="67"/>
      <c r="AL27" s="247"/>
      <c r="AT27" s="247"/>
      <c r="AY27" s="247"/>
      <c r="AZ27" s="550"/>
      <c r="BA27" s="550"/>
      <c r="BB27" s="550"/>
      <c r="BC27" s="550"/>
      <c r="BD27" s="550"/>
      <c r="BE27" s="550"/>
      <c r="BF27" s="550"/>
      <c r="BG27" s="550"/>
      <c r="BH27" s="550"/>
      <c r="BI27" s="550"/>
    </row>
    <row r="28" spans="4:61" x14ac:dyDescent="0.25">
      <c r="J28" s="57"/>
      <c r="K28" s="57"/>
      <c r="V28" s="51" t="s">
        <v>251</v>
      </c>
      <c r="AL28" s="247"/>
      <c r="AT28" s="247"/>
      <c r="AY28" s="247"/>
      <c r="AZ28" s="550"/>
      <c r="BA28" s="550"/>
      <c r="BB28" s="550"/>
      <c r="BC28" s="550"/>
      <c r="BD28" s="550"/>
      <c r="BE28" s="550"/>
      <c r="BF28" s="550"/>
      <c r="BG28" s="550"/>
      <c r="BH28" s="550"/>
      <c r="BI28" s="550"/>
    </row>
    <row r="29" spans="4:61" x14ac:dyDescent="0.25">
      <c r="J29" s="57"/>
      <c r="K29" s="57"/>
      <c r="V29" s="51" t="s">
        <v>250</v>
      </c>
      <c r="AL29" s="247"/>
      <c r="AT29" s="247"/>
      <c r="AY29" s="247"/>
      <c r="AZ29" s="550"/>
      <c r="BA29" s="550"/>
      <c r="BB29" s="550"/>
      <c r="BC29" s="550"/>
      <c r="BD29" s="550"/>
      <c r="BE29" s="550"/>
      <c r="BF29" s="550"/>
      <c r="BG29" s="550"/>
      <c r="BH29" s="550"/>
      <c r="BI29" s="550"/>
    </row>
    <row r="30" spans="4:61" x14ac:dyDescent="0.25">
      <c r="J30" s="57"/>
      <c r="K30" s="57"/>
      <c r="V30" s="51" t="s">
        <v>249</v>
      </c>
      <c r="AL30" s="247"/>
      <c r="AT30" s="247"/>
      <c r="AY30" s="247"/>
      <c r="AZ30" s="550"/>
      <c r="BA30" s="550"/>
      <c r="BB30" s="550"/>
      <c r="BC30" s="550"/>
      <c r="BD30" s="550"/>
      <c r="BE30" s="550"/>
      <c r="BF30" s="550"/>
      <c r="BG30" s="550"/>
      <c r="BH30" s="550"/>
      <c r="BI30" s="550"/>
    </row>
    <row r="31" spans="4:61" x14ac:dyDescent="0.25">
      <c r="J31" s="57"/>
      <c r="K31" s="57"/>
      <c r="V31" s="51" t="s">
        <v>248</v>
      </c>
      <c r="AL31" s="247"/>
      <c r="AT31" s="247"/>
      <c r="AY31" s="247"/>
      <c r="AZ31" s="550"/>
      <c r="BA31" s="550"/>
      <c r="BB31" s="550"/>
      <c r="BC31" s="550"/>
      <c r="BD31" s="550"/>
      <c r="BE31" s="550"/>
      <c r="BF31" s="550"/>
      <c r="BG31" s="550"/>
      <c r="BH31" s="550"/>
      <c r="BI31" s="550"/>
    </row>
    <row r="32" spans="4:61" x14ac:dyDescent="0.25">
      <c r="J32" s="57"/>
      <c r="K32" s="57"/>
      <c r="V32" s="51" t="s">
        <v>247</v>
      </c>
      <c r="AL32" s="247"/>
      <c r="AT32" s="247"/>
      <c r="AY32" s="247"/>
      <c r="AZ32" s="550"/>
      <c r="BA32" s="550"/>
      <c r="BB32" s="550"/>
      <c r="BC32" s="550"/>
      <c r="BD32" s="550"/>
      <c r="BE32" s="550"/>
      <c r="BF32" s="550"/>
      <c r="BG32" s="550"/>
      <c r="BH32" s="550"/>
      <c r="BI32" s="550"/>
    </row>
    <row r="33" spans="10:61" x14ac:dyDescent="0.25">
      <c r="J33" s="57"/>
      <c r="K33" s="57"/>
      <c r="V33" s="51" t="s">
        <v>246</v>
      </c>
      <c r="AL33" s="247"/>
      <c r="AT33" s="247"/>
      <c r="AY33" s="247"/>
      <c r="AZ33" s="550"/>
      <c r="BA33" s="550"/>
      <c r="BB33" s="550"/>
      <c r="BC33" s="550"/>
      <c r="BD33" s="550"/>
      <c r="BE33" s="550"/>
      <c r="BF33" s="550"/>
      <c r="BG33" s="550"/>
      <c r="BH33" s="550"/>
      <c r="BI33" s="550"/>
    </row>
    <row r="34" spans="10:61" x14ac:dyDescent="0.25">
      <c r="J34" s="57"/>
      <c r="K34" s="57"/>
      <c r="V34" s="51" t="s">
        <v>245</v>
      </c>
      <c r="AL34" s="247"/>
      <c r="AT34" s="247"/>
      <c r="AY34" s="247"/>
      <c r="AZ34" s="550"/>
      <c r="BA34" s="550"/>
      <c r="BB34" s="550"/>
      <c r="BC34" s="550"/>
      <c r="BD34" s="550"/>
      <c r="BE34" s="550"/>
      <c r="BF34" s="550"/>
      <c r="BG34" s="550"/>
      <c r="BH34" s="550"/>
      <c r="BI34" s="550"/>
    </row>
    <row r="35" spans="10:61" x14ac:dyDescent="0.25">
      <c r="J35" s="57"/>
      <c r="K35" s="57"/>
      <c r="V35" s="51" t="s">
        <v>244</v>
      </c>
      <c r="AL35" s="247"/>
      <c r="AT35" s="247"/>
      <c r="AY35" s="247"/>
      <c r="AZ35" s="550"/>
      <c r="BA35" s="550"/>
      <c r="BB35" s="550"/>
      <c r="BC35" s="550"/>
      <c r="BD35" s="550"/>
      <c r="BE35" s="550"/>
      <c r="BF35" s="550"/>
      <c r="BG35" s="550"/>
      <c r="BH35" s="550"/>
      <c r="BI35" s="550"/>
    </row>
    <row r="36" spans="10:61" x14ac:dyDescent="0.25">
      <c r="J36" s="57"/>
      <c r="K36" s="57"/>
      <c r="V36" s="51" t="s">
        <v>243</v>
      </c>
      <c r="AL36" s="247"/>
      <c r="AT36" s="247"/>
      <c r="AY36" s="247"/>
      <c r="AZ36" s="550"/>
      <c r="BA36" s="550"/>
      <c r="BB36" s="550"/>
      <c r="BC36" s="550"/>
      <c r="BD36" s="550"/>
      <c r="BE36" s="550"/>
      <c r="BF36" s="550"/>
      <c r="BG36" s="550"/>
      <c r="BH36" s="550"/>
      <c r="BI36" s="550"/>
    </row>
    <row r="37" spans="10:61" x14ac:dyDescent="0.25">
      <c r="J37" s="57"/>
      <c r="K37" s="57"/>
      <c r="V37" s="51" t="s">
        <v>242</v>
      </c>
      <c r="AL37" s="247"/>
      <c r="AT37" s="247"/>
      <c r="AY37" s="247"/>
      <c r="AZ37" s="550"/>
      <c r="BA37" s="550"/>
      <c r="BB37" s="550"/>
      <c r="BC37" s="550"/>
      <c r="BD37" s="550"/>
      <c r="BE37" s="550"/>
      <c r="BF37" s="550"/>
      <c r="BG37" s="550"/>
      <c r="BH37" s="550"/>
      <c r="BI37" s="550"/>
    </row>
    <row r="38" spans="10:61" x14ac:dyDescent="0.25">
      <c r="J38" s="57"/>
      <c r="K38" s="57"/>
      <c r="V38" s="51" t="s">
        <v>241</v>
      </c>
      <c r="AL38" s="247"/>
      <c r="AT38" s="247"/>
      <c r="AY38" s="247"/>
      <c r="AZ38" s="550"/>
      <c r="BA38" s="550"/>
      <c r="BB38" s="550"/>
      <c r="BC38" s="550"/>
      <c r="BD38" s="550"/>
      <c r="BE38" s="550"/>
      <c r="BF38" s="550"/>
      <c r="BG38" s="550"/>
      <c r="BH38" s="550"/>
      <c r="BI38" s="550"/>
    </row>
    <row r="39" spans="10:61" x14ac:dyDescent="0.25">
      <c r="J39" s="57"/>
      <c r="K39" s="57"/>
      <c r="V39" s="51" t="s">
        <v>240</v>
      </c>
    </row>
    <row r="40" spans="10:61" x14ac:dyDescent="0.25">
      <c r="J40" s="57"/>
      <c r="K40" s="57"/>
      <c r="V40" s="51" t="s">
        <v>239</v>
      </c>
    </row>
    <row r="41" spans="10:61" x14ac:dyDescent="0.25">
      <c r="J41" s="57"/>
      <c r="K41" s="57"/>
      <c r="V41" s="51" t="s">
        <v>238</v>
      </c>
    </row>
    <row r="42" spans="10:61" x14ac:dyDescent="0.25">
      <c r="J42" s="57"/>
      <c r="K42" s="57"/>
      <c r="V42" s="51" t="s">
        <v>237</v>
      </c>
    </row>
    <row r="43" spans="10:61" x14ac:dyDescent="0.25">
      <c r="J43" s="57"/>
      <c r="K43" s="57"/>
      <c r="V43" s="51" t="s">
        <v>236</v>
      </c>
    </row>
    <row r="44" spans="10:61" x14ac:dyDescent="0.25">
      <c r="J44" s="57"/>
      <c r="K44" s="57"/>
      <c r="V44" s="51" t="s">
        <v>235</v>
      </c>
    </row>
    <row r="45" spans="10:61" x14ac:dyDescent="0.25">
      <c r="J45" s="57"/>
      <c r="K45" s="57"/>
      <c r="V45" s="51" t="s">
        <v>234</v>
      </c>
    </row>
    <row r="46" spans="10:61" x14ac:dyDescent="0.25">
      <c r="V46" s="51" t="s">
        <v>233</v>
      </c>
    </row>
    <row r="47" spans="10:61" x14ac:dyDescent="0.25">
      <c r="V47" s="51" t="s">
        <v>232</v>
      </c>
    </row>
    <row r="48" spans="10:61" x14ac:dyDescent="0.25">
      <c r="V48" s="51" t="s">
        <v>231</v>
      </c>
    </row>
    <row r="49" spans="22:22" x14ac:dyDescent="0.25">
      <c r="V49" s="51" t="s">
        <v>230</v>
      </c>
    </row>
    <row r="50" spans="22:22" x14ac:dyDescent="0.25">
      <c r="V50" s="51" t="s">
        <v>229</v>
      </c>
    </row>
    <row r="51" spans="22:22" x14ac:dyDescent="0.25">
      <c r="V51" s="51" t="s">
        <v>228</v>
      </c>
    </row>
    <row r="52" spans="22:22" x14ac:dyDescent="0.25">
      <c r="V52" s="51" t="s">
        <v>227</v>
      </c>
    </row>
  </sheetData>
  <sheetProtection algorithmName="SHA-512" hashValue="WT1wZ8xGPd9JDJCukaq7u0I0xc2BTZluw6LJnQqITH1qluKiHzD0/MxHkK/T1yKbSUVklAzytOVz+5S+17ekMw==" saltValue="TMLIXcX1/7RS5nH7U9XpjA==" spinCount="100000" sheet="1" selectLockedCells="1"/>
  <mergeCells count="6">
    <mergeCell ref="AE1:AF1"/>
    <mergeCell ref="AG1:AH1"/>
    <mergeCell ref="B2:D2"/>
    <mergeCell ref="F2:H2"/>
    <mergeCell ref="J2:L2"/>
    <mergeCell ref="N2:P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D7476-D370-4FF2-806B-6F316F37EF56}">
  <sheetPr codeName="Sheet17">
    <tabColor rgb="FF9BACBF"/>
  </sheetPr>
  <dimension ref="A1:CZ227"/>
  <sheetViews>
    <sheetView showGridLines="0" zoomScale="80" zoomScaleNormal="80" workbookViewId="0">
      <pane xSplit="7" ySplit="27" topLeftCell="H28" activePane="bottomRight" state="frozen"/>
      <selection activeCell="B28" sqref="B28"/>
      <selection pane="topRight" activeCell="B28" sqref="B28"/>
      <selection pane="bottomLeft" activeCell="B28" sqref="B28"/>
      <selection pane="bottomRight" activeCell="C6" sqref="C6"/>
    </sheetView>
  </sheetViews>
  <sheetFormatPr defaultColWidth="17.7109375" defaultRowHeight="12.75" x14ac:dyDescent="0.25"/>
  <cols>
    <col min="1" max="1" width="4.140625" style="355" customWidth="1"/>
    <col min="2" max="6" width="17.7109375" style="355"/>
    <col min="7" max="7" width="12.140625" style="355" customWidth="1"/>
    <col min="8" max="27" width="17.7109375" style="355"/>
    <col min="28" max="33" width="17.7109375" style="355" hidden="1" customWidth="1"/>
    <col min="34" max="34" width="17.7109375" style="355"/>
    <col min="35" max="37" width="17.7109375" style="355" hidden="1" customWidth="1"/>
    <col min="38" max="38" width="17.7109375" style="355"/>
    <col min="39" max="41" width="17.7109375" style="355" hidden="1" customWidth="1"/>
    <col min="42" max="44" width="17.7109375" style="355"/>
    <col min="45" max="47" width="17.7109375" style="355" hidden="1" customWidth="1"/>
    <col min="48" max="48" width="17.7109375" style="355"/>
    <col min="49" max="49" width="17.7109375" style="355" hidden="1" customWidth="1"/>
    <col min="50" max="50" width="17.7109375" style="355"/>
    <col min="51" max="54" width="17.7109375" style="355" hidden="1" customWidth="1"/>
    <col min="55" max="55" width="17.7109375" style="355"/>
    <col min="56" max="56" width="0" style="355" hidden="1" customWidth="1"/>
    <col min="57" max="16384" width="17.7109375" style="355"/>
  </cols>
  <sheetData>
    <row r="1" spans="1:24" s="400" customFormat="1" ht="15" customHeight="1" x14ac:dyDescent="0.25">
      <c r="A1" s="890" t="s">
        <v>2003</v>
      </c>
      <c r="B1" s="890"/>
      <c r="C1" s="890"/>
      <c r="D1" s="890"/>
      <c r="E1" s="891">
        <f>GUC!$C$1</f>
        <v>45086</v>
      </c>
      <c r="F1" s="892"/>
    </row>
    <row r="2" spans="1:24" s="400" customFormat="1" ht="15" customHeight="1" x14ac:dyDescent="0.25">
      <c r="A2" s="890"/>
      <c r="B2" s="890"/>
      <c r="C2" s="890"/>
      <c r="D2" s="890"/>
      <c r="E2" s="892"/>
      <c r="F2" s="892"/>
      <c r="G2" s="401"/>
    </row>
    <row r="3" spans="1:24" x14ac:dyDescent="0.25">
      <c r="B3" s="882" t="s">
        <v>2002</v>
      </c>
      <c r="C3" s="883"/>
      <c r="E3" s="882" t="s">
        <v>2001</v>
      </c>
      <c r="F3" s="883"/>
      <c r="H3" s="399" t="s">
        <v>1675</v>
      </c>
      <c r="I3" s="888" t="s">
        <v>1452</v>
      </c>
      <c r="J3" s="888"/>
      <c r="K3" s="888"/>
      <c r="L3" s="888"/>
      <c r="M3" s="888"/>
      <c r="N3" s="888"/>
      <c r="O3" s="888"/>
      <c r="Q3" s="398" t="s">
        <v>2000</v>
      </c>
      <c r="R3" s="398" t="s">
        <v>1640</v>
      </c>
      <c r="S3" s="398" t="s">
        <v>1639</v>
      </c>
      <c r="T3" s="398" t="s">
        <v>1638</v>
      </c>
      <c r="U3" s="398" t="s">
        <v>1637</v>
      </c>
      <c r="V3" s="398" t="s">
        <v>1636</v>
      </c>
      <c r="W3" s="398" t="s">
        <v>1635</v>
      </c>
      <c r="X3" s="398" t="s">
        <v>1634</v>
      </c>
    </row>
    <row r="4" spans="1:24" x14ac:dyDescent="0.25">
      <c r="B4" s="522" t="s">
        <v>1999</v>
      </c>
      <c r="C4" s="394"/>
      <c r="E4" s="522" t="s">
        <v>1998</v>
      </c>
      <c r="F4" s="393"/>
      <c r="G4" s="386" t="e">
        <f>LEFT(F4,(FIND(" ",F4)-1))</f>
        <v>#VALUE!</v>
      </c>
      <c r="H4" s="398" t="s">
        <v>109</v>
      </c>
      <c r="I4" s="398" t="s">
        <v>1641</v>
      </c>
      <c r="J4" s="398" t="s">
        <v>1674</v>
      </c>
      <c r="K4" s="398" t="s">
        <v>1618</v>
      </c>
      <c r="L4" s="398" t="s">
        <v>1989</v>
      </c>
      <c r="M4" s="398" t="s">
        <v>1969</v>
      </c>
      <c r="N4" s="398" t="s">
        <v>1700</v>
      </c>
      <c r="O4" s="398" t="s">
        <v>1997</v>
      </c>
      <c r="Q4" s="398" t="s">
        <v>109</v>
      </c>
      <c r="R4" s="397" t="str">
        <f>'IRP (Calc)'!D35</f>
        <v>-</v>
      </c>
      <c r="S4" s="397" t="str">
        <f>'IRP (Calc)'!G35</f>
        <v>-</v>
      </c>
      <c r="T4" s="397" t="str">
        <f>'IRP (Calc)'!J35</f>
        <v>-</v>
      </c>
      <c r="U4" s="397" t="str">
        <f>'IRP (Calc)'!M35</f>
        <v>-</v>
      </c>
      <c r="V4" s="397" t="str">
        <f>'IRP (Calc)'!P35</f>
        <v>-</v>
      </c>
      <c r="W4" s="397" t="str">
        <f>'IRP (Calc)'!S35</f>
        <v>-</v>
      </c>
      <c r="X4" s="397" t="str">
        <f>'IRP (Calc)'!V35</f>
        <v>-</v>
      </c>
    </row>
    <row r="5" spans="1:24" x14ac:dyDescent="0.25">
      <c r="B5" s="522" t="s">
        <v>1996</v>
      </c>
      <c r="C5" s="394"/>
      <c r="E5" s="522" t="s">
        <v>1995</v>
      </c>
      <c r="F5" s="393"/>
      <c r="G5" s="386"/>
      <c r="H5" s="388">
        <v>0</v>
      </c>
      <c r="I5" s="389" t="str">
        <f>IF($H$3="Max Proceeds",'IRP (Calc)'!$AB31,'IRP (Calc)'!$AB57)</f>
        <v>-</v>
      </c>
      <c r="J5" s="387" t="str">
        <f>IF($H$3="Max Proceeds",'IRP (Calc)'!$AC31,'IRP (Calc)'!$AC57)</f>
        <v>-</v>
      </c>
      <c r="K5" s="355" t="str">
        <f>IF($H$3="Max Proceeds",'IRP (Calc)'!$AF31,'IRP (Calc)'!$AF57)</f>
        <v>- | -</v>
      </c>
      <c r="L5" s="356" t="str">
        <f>IFERROR(IF($H$3="Max Proceeds",IF('IRP (Calc)'!$C$8="No IO",'IRP (Calc)'!$AG31,'IRP (Calc)'!$AH31),IF('IRP (Calc)'!$C$8="No IO",'IRP (Calc)'!$AG57,'IRP (Calc)'!$AH57)),"-")</f>
        <v>-</v>
      </c>
      <c r="M5" s="356" t="str">
        <f>IFERROR(IF($H$3="Max Proceeds",IF('IRP (Calc)'!$C$8="No IO",'IRP (Calc)'!$AK31,'IRP (Calc)'!$AL31),IF('IRP (Calc)'!$C$8="No IO",'IRP (Calc)'!$AK57,'IRP (Calc)'!$AL57)),"-")</f>
        <v>-</v>
      </c>
      <c r="N5" s="358" t="str">
        <f>IFERROR(IF($H$3="Max Proceeds",'IRP (Calc)'!$AO31,'IRP (Calc)'!$AO57),"-")</f>
        <v>-</v>
      </c>
      <c r="O5" s="361" t="str">
        <f>IF($H$3="Max Proceeds",'IRP (Calc)'!$AU31,'IRP (Calc)'!$AU57)</f>
        <v>-</v>
      </c>
      <c r="Q5" s="388">
        <v>0</v>
      </c>
      <c r="R5" s="387" t="str">
        <f>'IRP (Calc)'!$F49</f>
        <v>-</v>
      </c>
      <c r="S5" s="387" t="str">
        <f>'IRP (Calc)'!$I49</f>
        <v>-</v>
      </c>
      <c r="T5" s="387" t="str">
        <f>'IRP (Calc)'!$L49</f>
        <v>-</v>
      </c>
      <c r="U5" s="387" t="str">
        <f>'IRP (Calc)'!$O49</f>
        <v>-</v>
      </c>
      <c r="V5" s="387" t="str">
        <f>'IRP (Calc)'!$R49</f>
        <v>-</v>
      </c>
      <c r="W5" s="387" t="str">
        <f>'IRP (Calc)'!$U49</f>
        <v>-</v>
      </c>
      <c r="X5" s="387" t="str">
        <f>'IRP (Calc)'!$X49</f>
        <v>-</v>
      </c>
    </row>
    <row r="6" spans="1:24" x14ac:dyDescent="0.25">
      <c r="B6" s="522" t="s">
        <v>1994</v>
      </c>
      <c r="C6" s="394"/>
      <c r="E6" s="522" t="s">
        <v>1993</v>
      </c>
      <c r="F6" s="393"/>
      <c r="G6" s="386" t="e">
        <f>"PPP"&amp;$G$4</f>
        <v>#VALUE!</v>
      </c>
      <c r="H6" s="388">
        <f t="shared" ref="H6:H21" si="0">+H5+0.25%</f>
        <v>2.5000000000000001E-3</v>
      </c>
      <c r="I6" s="389" t="str">
        <f>IF($H$3="Max Proceeds",'IRP (Calc)'!$AB32,'IRP (Calc)'!$AB58)</f>
        <v>-</v>
      </c>
      <c r="J6" s="387" t="str">
        <f>IF($H$3="Max Proceeds",'IRP (Calc)'!$AC32,'IRP (Calc)'!$AC58)</f>
        <v>-</v>
      </c>
      <c r="K6" s="355" t="str">
        <f>IF($H$3="Max Proceeds",'IRP (Calc)'!$AF32,'IRP (Calc)'!$AF58)</f>
        <v>- | -</v>
      </c>
      <c r="L6" s="356" t="str">
        <f>IFERROR(IF($H$3="Max Proceeds",IF('IRP (Calc)'!$C$8="No IO",'IRP (Calc)'!$AG32,'IRP (Calc)'!$AH32),IF('IRP (Calc)'!$C$8="No IO",'IRP (Calc)'!$AG58,'IRP (Calc)'!$AH58)),"-")</f>
        <v>-</v>
      </c>
      <c r="M6" s="356" t="str">
        <f>IFERROR(IF($H$3="Max Proceeds",IF('IRP (Calc)'!$C$8="No IO",'IRP (Calc)'!$AK32,'IRP (Calc)'!$AL32),IF('IRP (Calc)'!$C$8="No IO",'IRP (Calc)'!$AK58,'IRP (Calc)'!$AL58)),"-")</f>
        <v>-</v>
      </c>
      <c r="N6" s="358" t="str">
        <f>IFERROR(IF($H$3="Max Proceeds",'IRP (Calc)'!$AO32,'IRP (Calc)'!$AO58),"-")</f>
        <v>-</v>
      </c>
      <c r="O6" s="361" t="str">
        <f>IF($H$3="Max Proceeds",'IRP (Calc)'!$AU32,'IRP (Calc)'!$AU58)</f>
        <v>-</v>
      </c>
      <c r="Q6" s="388">
        <f t="shared" ref="Q6:Q21" si="1">+Q5+0.25%</f>
        <v>2.5000000000000001E-3</v>
      </c>
      <c r="R6" s="387" t="str">
        <f>'IRP (Calc)'!$F50</f>
        <v>-</v>
      </c>
      <c r="S6" s="387" t="str">
        <f>'IRP (Calc)'!$I50</f>
        <v>-</v>
      </c>
      <c r="T6" s="387" t="str">
        <f>'IRP (Calc)'!$L50</f>
        <v>-</v>
      </c>
      <c r="U6" s="387" t="str">
        <f>'IRP (Calc)'!$O50</f>
        <v>-</v>
      </c>
      <c r="V6" s="387" t="str">
        <f>'IRP (Calc)'!$R50</f>
        <v>-</v>
      </c>
      <c r="W6" s="387" t="str">
        <f>'IRP (Calc)'!$U50</f>
        <v>-</v>
      </c>
      <c r="X6" s="387" t="str">
        <f>'IRP (Calc)'!$X50</f>
        <v>-</v>
      </c>
    </row>
    <row r="7" spans="1:24" x14ac:dyDescent="0.25">
      <c r="B7" s="522" t="s">
        <v>1992</v>
      </c>
      <c r="C7" s="394"/>
      <c r="E7" s="895" t="e">
        <f>VLOOKUP(F6,'IRP (Legend)'!$U$1:$V$16,2,FALSE)</f>
        <v>#N/A</v>
      </c>
      <c r="F7" s="895"/>
      <c r="G7" s="386"/>
      <c r="H7" s="388">
        <f t="shared" si="0"/>
        <v>5.0000000000000001E-3</v>
      </c>
      <c r="I7" s="389" t="str">
        <f>IF($H$3="Max Proceeds",'IRP (Calc)'!$AB33,'IRP (Calc)'!$AB59)</f>
        <v>-</v>
      </c>
      <c r="J7" s="387" t="str">
        <f>IF($H$3="Max Proceeds",'IRP (Calc)'!$AC33,'IRP (Calc)'!$AC59)</f>
        <v>-</v>
      </c>
      <c r="K7" s="355" t="str">
        <f>IF($H$3="Max Proceeds",'IRP (Calc)'!$AF33,'IRP (Calc)'!$AF59)</f>
        <v>- | -</v>
      </c>
      <c r="L7" s="356" t="str">
        <f>IFERROR(IF($H$3="Max Proceeds",IF('IRP (Calc)'!$C$8="No IO",'IRP (Calc)'!$AG33,'IRP (Calc)'!$AH33),IF('IRP (Calc)'!$C$8="No IO",'IRP (Calc)'!$AG59,'IRP (Calc)'!$AH59)),"-")</f>
        <v>-</v>
      </c>
      <c r="M7" s="356" t="str">
        <f>IFERROR(IF($H$3="Max Proceeds",IF('IRP (Calc)'!$C$8="No IO",'IRP (Calc)'!$AK33,'IRP (Calc)'!$AL33),IF('IRP (Calc)'!$C$8="No IO",'IRP (Calc)'!$AK59,'IRP (Calc)'!$AL59)),"-")</f>
        <v>-</v>
      </c>
      <c r="N7" s="358" t="str">
        <f>IFERROR(IF($H$3="Max Proceeds",'IRP (Calc)'!$AO33,'IRP (Calc)'!$AO59),"-")</f>
        <v>-</v>
      </c>
      <c r="O7" s="361" t="str">
        <f>IF($H$3="Max Proceeds",'IRP (Calc)'!$AU33,'IRP (Calc)'!$AU59)</f>
        <v>-</v>
      </c>
      <c r="Q7" s="388">
        <f t="shared" si="1"/>
        <v>5.0000000000000001E-3</v>
      </c>
      <c r="R7" s="387" t="str">
        <f>'IRP (Calc)'!$F51</f>
        <v>-</v>
      </c>
      <c r="S7" s="387" t="str">
        <f>'IRP (Calc)'!$I51</f>
        <v>-</v>
      </c>
      <c r="T7" s="387" t="str">
        <f>'IRP (Calc)'!$L51</f>
        <v>-</v>
      </c>
      <c r="U7" s="387" t="str">
        <f>'IRP (Calc)'!$O51</f>
        <v>-</v>
      </c>
      <c r="V7" s="387" t="str">
        <f>'IRP (Calc)'!$R51</f>
        <v>-</v>
      </c>
      <c r="W7" s="387" t="str">
        <f>'IRP (Calc)'!$U51</f>
        <v>-</v>
      </c>
      <c r="X7" s="387" t="str">
        <f>'IRP (Calc)'!$X51</f>
        <v>-</v>
      </c>
    </row>
    <row r="8" spans="1:24" x14ac:dyDescent="0.25">
      <c r="G8" s="386"/>
      <c r="H8" s="388">
        <f t="shared" si="0"/>
        <v>7.4999999999999997E-3</v>
      </c>
      <c r="I8" s="389" t="str">
        <f>IF($H$3="Max Proceeds",'IRP (Calc)'!$AB34,'IRP (Calc)'!$AB60)</f>
        <v>-</v>
      </c>
      <c r="J8" s="387" t="str">
        <f>IF($H$3="Max Proceeds",'IRP (Calc)'!$AC34,'IRP (Calc)'!$AC60)</f>
        <v>-</v>
      </c>
      <c r="K8" s="355" t="str">
        <f>IF($H$3="Max Proceeds",'IRP (Calc)'!$AF34,'IRP (Calc)'!$AF60)</f>
        <v>- | -</v>
      </c>
      <c r="L8" s="356" t="str">
        <f>IFERROR(IF($H$3="Max Proceeds",IF('IRP (Calc)'!$C$8="No IO",'IRP (Calc)'!$AG34,'IRP (Calc)'!$AH34),IF('IRP (Calc)'!$C$8="No IO",'IRP (Calc)'!$AG60,'IRP (Calc)'!$AH60)),"-")</f>
        <v>-</v>
      </c>
      <c r="M8" s="356" t="str">
        <f>IFERROR(IF($H$3="Max Proceeds",IF('IRP (Calc)'!$C$8="No IO",'IRP (Calc)'!$AK34,'IRP (Calc)'!$AL34),IF('IRP (Calc)'!$C$8="No IO",'IRP (Calc)'!$AK60,'IRP (Calc)'!$AL60)),"-")</f>
        <v>-</v>
      </c>
      <c r="N8" s="358" t="str">
        <f>IFERROR(IF($H$3="Max Proceeds",'IRP (Calc)'!$AO34,'IRP (Calc)'!$AO60),"-")</f>
        <v>-</v>
      </c>
      <c r="O8" s="361" t="str">
        <f>IF($H$3="Max Proceeds",'IRP (Calc)'!$AU34,'IRP (Calc)'!$AU60)</f>
        <v>-</v>
      </c>
      <c r="Q8" s="388">
        <f t="shared" si="1"/>
        <v>7.4999999999999997E-3</v>
      </c>
      <c r="R8" s="387" t="str">
        <f>'IRP (Calc)'!$F52</f>
        <v>-</v>
      </c>
      <c r="S8" s="387" t="str">
        <f>'IRP (Calc)'!$I52</f>
        <v>-</v>
      </c>
      <c r="T8" s="387" t="str">
        <f>'IRP (Calc)'!$L52</f>
        <v>-</v>
      </c>
      <c r="U8" s="387" t="str">
        <f>'IRP (Calc)'!$O52</f>
        <v>-</v>
      </c>
      <c r="V8" s="387" t="str">
        <f>'IRP (Calc)'!$R52</f>
        <v>-</v>
      </c>
      <c r="W8" s="387" t="str">
        <f>'IRP (Calc)'!$U52</f>
        <v>-</v>
      </c>
      <c r="X8" s="387" t="str">
        <f>'IRP (Calc)'!$X52</f>
        <v>-</v>
      </c>
    </row>
    <row r="9" spans="1:24" x14ac:dyDescent="0.25">
      <c r="B9" s="882" t="s">
        <v>114</v>
      </c>
      <c r="C9" s="883"/>
      <c r="E9" s="882" t="s">
        <v>1956</v>
      </c>
      <c r="F9" s="883"/>
      <c r="G9" s="386"/>
      <c r="H9" s="388">
        <f t="shared" si="0"/>
        <v>0.01</v>
      </c>
      <c r="I9" s="389" t="str">
        <f>IF($H$3="Max Proceeds",'IRP (Calc)'!$AB35,'IRP (Calc)'!$AB61)</f>
        <v>-</v>
      </c>
      <c r="J9" s="387" t="str">
        <f>IF($H$3="Max Proceeds",'IRP (Calc)'!$AC35,'IRP (Calc)'!$AC61)</f>
        <v>-</v>
      </c>
      <c r="K9" s="355" t="str">
        <f>IF($H$3="Max Proceeds",'IRP (Calc)'!$AF35,'IRP (Calc)'!$AF61)</f>
        <v>- | -</v>
      </c>
      <c r="L9" s="356" t="str">
        <f>IFERROR(IF($H$3="Max Proceeds",IF('IRP (Calc)'!$C$8="No IO",'IRP (Calc)'!$AG35,'IRP (Calc)'!$AH35),IF('IRP (Calc)'!$C$8="No IO",'IRP (Calc)'!$AG61,'IRP (Calc)'!$AH61)),"-")</f>
        <v>-</v>
      </c>
      <c r="M9" s="356" t="str">
        <f>IFERROR(IF($H$3="Max Proceeds",IF('IRP (Calc)'!$C$8="No IO",'IRP (Calc)'!$AK35,'IRP (Calc)'!$AL35),IF('IRP (Calc)'!$C$8="No IO",'IRP (Calc)'!$AK61,'IRP (Calc)'!$AL61)),"-")</f>
        <v>-</v>
      </c>
      <c r="N9" s="358" t="str">
        <f>IFERROR(IF($H$3="Max Proceeds",'IRP (Calc)'!$AO35,'IRP (Calc)'!$AO61),"-")</f>
        <v>-</v>
      </c>
      <c r="O9" s="361" t="str">
        <f>IF($H$3="Max Proceeds",'IRP (Calc)'!$AU35,'IRP (Calc)'!$AU61)</f>
        <v>-</v>
      </c>
      <c r="Q9" s="388">
        <f t="shared" si="1"/>
        <v>0.01</v>
      </c>
      <c r="R9" s="387" t="str">
        <f>'IRP (Calc)'!$F53</f>
        <v>-</v>
      </c>
      <c r="S9" s="387" t="str">
        <f>'IRP (Calc)'!$I53</f>
        <v>-</v>
      </c>
      <c r="T9" s="387" t="str">
        <f>'IRP (Calc)'!$L53</f>
        <v>-</v>
      </c>
      <c r="U9" s="387" t="str">
        <f>'IRP (Calc)'!$O53</f>
        <v>-</v>
      </c>
      <c r="V9" s="387" t="str">
        <f>'IRP (Calc)'!$R53</f>
        <v>-</v>
      </c>
      <c r="W9" s="387" t="str">
        <f>'IRP (Calc)'!$U53</f>
        <v>-</v>
      </c>
      <c r="X9" s="387" t="str">
        <f>'IRP (Calc)'!$X53</f>
        <v>-</v>
      </c>
    </row>
    <row r="10" spans="1:24" x14ac:dyDescent="0.25">
      <c r="B10" s="522" t="s">
        <v>1668</v>
      </c>
      <c r="C10" s="393"/>
      <c r="E10" s="522" t="s">
        <v>1620</v>
      </c>
      <c r="F10" s="396"/>
      <c r="G10" s="386"/>
      <c r="H10" s="388">
        <f t="shared" si="0"/>
        <v>1.2500000000000001E-2</v>
      </c>
      <c r="I10" s="389" t="str">
        <f>IF($H$3="Max Proceeds",'IRP (Calc)'!$AB36,'IRP (Calc)'!$AB62)</f>
        <v>-</v>
      </c>
      <c r="J10" s="387" t="str">
        <f>IF($H$3="Max Proceeds",'IRP (Calc)'!$AC36,'IRP (Calc)'!$AC62)</f>
        <v>-</v>
      </c>
      <c r="K10" s="355" t="str">
        <f>IF($H$3="Max Proceeds",'IRP (Calc)'!$AF36,'IRP (Calc)'!$AF62)</f>
        <v>- | -</v>
      </c>
      <c r="L10" s="356" t="str">
        <f>IFERROR(IF($H$3="Max Proceeds",IF('IRP (Calc)'!$C$8="No IO",'IRP (Calc)'!$AG36,'IRP (Calc)'!$AH36),IF('IRP (Calc)'!$C$8="No IO",'IRP (Calc)'!$AG62,'IRP (Calc)'!$AH62)),"-")</f>
        <v>-</v>
      </c>
      <c r="M10" s="356" t="str">
        <f>IFERROR(IF($H$3="Max Proceeds",IF('IRP (Calc)'!$C$8="No IO",'IRP (Calc)'!$AK36,'IRP (Calc)'!$AL36),IF('IRP (Calc)'!$C$8="No IO",'IRP (Calc)'!$AK62,'IRP (Calc)'!$AL62)),"-")</f>
        <v>-</v>
      </c>
      <c r="N10" s="358" t="str">
        <f>IFERROR(IF($H$3="Max Proceeds",'IRP (Calc)'!$AO36,'IRP (Calc)'!$AO62),"-")</f>
        <v>-</v>
      </c>
      <c r="O10" s="361" t="str">
        <f>IF($H$3="Max Proceeds",'IRP (Calc)'!$AU36,'IRP (Calc)'!$AU62)</f>
        <v>-</v>
      </c>
      <c r="Q10" s="388">
        <f t="shared" si="1"/>
        <v>1.2500000000000001E-2</v>
      </c>
      <c r="R10" s="387" t="str">
        <f>'IRP (Calc)'!$F54</f>
        <v>-</v>
      </c>
      <c r="S10" s="387" t="str">
        <f>'IRP (Calc)'!$I54</f>
        <v>-</v>
      </c>
      <c r="T10" s="387" t="str">
        <f>'IRP (Calc)'!$L54</f>
        <v>-</v>
      </c>
      <c r="U10" s="387" t="str">
        <f>'IRP (Calc)'!$O54</f>
        <v>-</v>
      </c>
      <c r="V10" s="387" t="str">
        <f>'IRP (Calc)'!$R54</f>
        <v>-</v>
      </c>
      <c r="W10" s="387" t="str">
        <f>'IRP (Calc)'!$U54</f>
        <v>-</v>
      </c>
      <c r="X10" s="387" t="str">
        <f>'IRP (Calc)'!$X54</f>
        <v>-</v>
      </c>
    </row>
    <row r="11" spans="1:24" x14ac:dyDescent="0.25">
      <c r="B11" s="522" t="s">
        <v>1666</v>
      </c>
      <c r="C11" s="395">
        <f ca="1">TODAY()</f>
        <v>45086</v>
      </c>
      <c r="E11" s="522" t="s">
        <v>1613</v>
      </c>
      <c r="F11" s="394"/>
      <c r="G11" s="386"/>
      <c r="H11" s="388">
        <f t="shared" si="0"/>
        <v>1.5000000000000001E-2</v>
      </c>
      <c r="I11" s="389" t="str">
        <f>IF($H$3="Max Proceeds",'IRP (Calc)'!$AB37,'IRP (Calc)'!$AB63)</f>
        <v>-</v>
      </c>
      <c r="J11" s="387" t="str">
        <f>IF($H$3="Max Proceeds",'IRP (Calc)'!$AC37,'IRP (Calc)'!$AC63)</f>
        <v>-</v>
      </c>
      <c r="K11" s="355" t="str">
        <f>IF($H$3="Max Proceeds",'IRP (Calc)'!$AF37,'IRP (Calc)'!$AF63)</f>
        <v>- | -</v>
      </c>
      <c r="L11" s="356" t="str">
        <f>IFERROR(IF($H$3="Max Proceeds",IF('IRP (Calc)'!$C$8="No IO",'IRP (Calc)'!$AG37,'IRP (Calc)'!$AH37),IF('IRP (Calc)'!$C$8="No IO",'IRP (Calc)'!$AG63,'IRP (Calc)'!$AH63)),"-")</f>
        <v>-</v>
      </c>
      <c r="M11" s="356" t="str">
        <f>IFERROR(IF($H$3="Max Proceeds",IF('IRP (Calc)'!$C$8="No IO",'IRP (Calc)'!$AK37,'IRP (Calc)'!$AL37),IF('IRP (Calc)'!$C$8="No IO",'IRP (Calc)'!$AK63,'IRP (Calc)'!$AL63)),"-")</f>
        <v>-</v>
      </c>
      <c r="N11" s="358" t="str">
        <f>IFERROR(IF($H$3="Max Proceeds",'IRP (Calc)'!$AO37,'IRP (Calc)'!$AO63),"-")</f>
        <v>-</v>
      </c>
      <c r="O11" s="361" t="str">
        <f>IF($H$3="Max Proceeds",'IRP (Calc)'!$AU37,'IRP (Calc)'!$AU63)</f>
        <v>-</v>
      </c>
      <c r="Q11" s="388">
        <f t="shared" si="1"/>
        <v>1.5000000000000001E-2</v>
      </c>
      <c r="R11" s="387" t="str">
        <f>'IRP (Calc)'!$F55</f>
        <v>-</v>
      </c>
      <c r="S11" s="387" t="str">
        <f>'IRP (Calc)'!$I55</f>
        <v>-</v>
      </c>
      <c r="T11" s="387" t="str">
        <f>'IRP (Calc)'!$L55</f>
        <v>-</v>
      </c>
      <c r="U11" s="387" t="str">
        <f>'IRP (Calc)'!$O55</f>
        <v>-</v>
      </c>
      <c r="V11" s="387" t="str">
        <f>'IRP (Calc)'!$R55</f>
        <v>-</v>
      </c>
      <c r="W11" s="387" t="str">
        <f>'IRP (Calc)'!$U55</f>
        <v>-</v>
      </c>
      <c r="X11" s="387" t="str">
        <f>'IRP (Calc)'!$X55</f>
        <v>-</v>
      </c>
    </row>
    <row r="12" spans="1:24" x14ac:dyDescent="0.25">
      <c r="B12" s="522" t="s">
        <v>110</v>
      </c>
      <c r="C12" s="393"/>
      <c r="E12" s="522" t="s">
        <v>1991</v>
      </c>
      <c r="F12" s="392"/>
      <c r="G12" s="386" t="e">
        <f>"Rebate"&amp;$G$4</f>
        <v>#VALUE!</v>
      </c>
      <c r="H12" s="388">
        <f t="shared" si="0"/>
        <v>1.7500000000000002E-2</v>
      </c>
      <c r="I12" s="389" t="str">
        <f>IF($H$3="Max Proceeds",'IRP (Calc)'!$AB38,'IRP (Calc)'!$AB64)</f>
        <v>-</v>
      </c>
      <c r="J12" s="387" t="str">
        <f>IF($H$3="Max Proceeds",'IRP (Calc)'!$AC38,'IRP (Calc)'!$AC64)</f>
        <v>-</v>
      </c>
      <c r="K12" s="355" t="str">
        <f>IF($H$3="Max Proceeds",'IRP (Calc)'!$AF38,'IRP (Calc)'!$AF64)</f>
        <v>- | -</v>
      </c>
      <c r="L12" s="356" t="str">
        <f>IFERROR(IF($H$3="Max Proceeds",IF('IRP (Calc)'!$C$8="No IO",'IRP (Calc)'!$AG38,'IRP (Calc)'!$AH38),IF('IRP (Calc)'!$C$8="No IO",'IRP (Calc)'!$AG64,'IRP (Calc)'!$AH64)),"-")</f>
        <v>-</v>
      </c>
      <c r="M12" s="356" t="str">
        <f>IFERROR(IF($H$3="Max Proceeds",IF('IRP (Calc)'!$C$8="No IO",'IRP (Calc)'!$AK38,'IRP (Calc)'!$AL38),IF('IRP (Calc)'!$C$8="No IO",'IRP (Calc)'!$AK64,'IRP (Calc)'!$AL64)),"-")</f>
        <v>-</v>
      </c>
      <c r="N12" s="358" t="str">
        <f>IFERROR(IF($H$3="Max Proceeds",'IRP (Calc)'!$AO38,'IRP (Calc)'!$AO64),"-")</f>
        <v>-</v>
      </c>
      <c r="O12" s="361" t="str">
        <f>IF($H$3="Max Proceeds",'IRP (Calc)'!$AU38,'IRP (Calc)'!$AU64)</f>
        <v>-</v>
      </c>
      <c r="Q12" s="388">
        <f t="shared" si="1"/>
        <v>1.7500000000000002E-2</v>
      </c>
      <c r="R12" s="387" t="str">
        <f>'IRP (Calc)'!$F56</f>
        <v>-</v>
      </c>
      <c r="S12" s="387" t="str">
        <f>'IRP (Calc)'!$I56</f>
        <v>-</v>
      </c>
      <c r="T12" s="387" t="str">
        <f>'IRP (Calc)'!$L56</f>
        <v>-</v>
      </c>
      <c r="U12" s="387" t="str">
        <f>'IRP (Calc)'!$O56</f>
        <v>-</v>
      </c>
      <c r="V12" s="387" t="str">
        <f>'IRP (Calc)'!$R56</f>
        <v>-</v>
      </c>
      <c r="W12" s="387" t="str">
        <f>'IRP (Calc)'!$U56</f>
        <v>-</v>
      </c>
      <c r="X12" s="387" t="str">
        <f>'IRP (Calc)'!$X56</f>
        <v>-</v>
      </c>
    </row>
    <row r="13" spans="1:24" x14ac:dyDescent="0.25">
      <c r="B13" s="522" t="s">
        <v>107</v>
      </c>
      <c r="C13" s="393"/>
      <c r="E13" s="522" t="s">
        <v>109</v>
      </c>
      <c r="F13" s="392"/>
      <c r="G13" s="386"/>
      <c r="H13" s="388">
        <f t="shared" si="0"/>
        <v>0.02</v>
      </c>
      <c r="I13" s="389" t="str">
        <f>IF($H$3="Max Proceeds",'IRP (Calc)'!$AB39,'IRP (Calc)'!$AB65)</f>
        <v>-</v>
      </c>
      <c r="J13" s="387" t="str">
        <f>IF($H$3="Max Proceeds",'IRP (Calc)'!$AC39,'IRP (Calc)'!$AC65)</f>
        <v>-</v>
      </c>
      <c r="K13" s="355" t="str">
        <f>IF($H$3="Max Proceeds",'IRP (Calc)'!$AF39,'IRP (Calc)'!$AF65)</f>
        <v>- | -</v>
      </c>
      <c r="L13" s="356" t="str">
        <f>IFERROR(IF($H$3="Max Proceeds",IF('IRP (Calc)'!$C$8="No IO",'IRP (Calc)'!$AG39,'IRP (Calc)'!$AH39),IF('IRP (Calc)'!$C$8="No IO",'IRP (Calc)'!$AG65,'IRP (Calc)'!$AH65)),"-")</f>
        <v>-</v>
      </c>
      <c r="M13" s="356" t="str">
        <f>IFERROR(IF($H$3="Max Proceeds",IF('IRP (Calc)'!$C$8="No IO",'IRP (Calc)'!$AK39,'IRP (Calc)'!$AL39),IF('IRP (Calc)'!$C$8="No IO",'IRP (Calc)'!$AK65,'IRP (Calc)'!$AL65)),"-")</f>
        <v>-</v>
      </c>
      <c r="N13" s="358" t="str">
        <f>IFERROR(IF($H$3="Max Proceeds",'IRP (Calc)'!$AO39,'IRP (Calc)'!$AO65),"-")</f>
        <v>-</v>
      </c>
      <c r="O13" s="361" t="str">
        <f>IF($H$3="Max Proceeds",'IRP (Calc)'!$AU39,'IRP (Calc)'!$AU65)</f>
        <v>-</v>
      </c>
      <c r="Q13" s="388">
        <f t="shared" si="1"/>
        <v>0.02</v>
      </c>
      <c r="R13" s="387" t="str">
        <f>'IRP (Calc)'!$F57</f>
        <v>-</v>
      </c>
      <c r="S13" s="387" t="str">
        <f>'IRP (Calc)'!$I57</f>
        <v>-</v>
      </c>
      <c r="T13" s="387" t="str">
        <f>'IRP (Calc)'!$L57</f>
        <v>-</v>
      </c>
      <c r="U13" s="387" t="str">
        <f>'IRP (Calc)'!$O57</f>
        <v>-</v>
      </c>
      <c r="V13" s="387" t="str">
        <f>'IRP (Calc)'!$R57</f>
        <v>-</v>
      </c>
      <c r="W13" s="387" t="str">
        <f>'IRP (Calc)'!$U57</f>
        <v>-</v>
      </c>
      <c r="X13" s="387" t="str">
        <f>'IRP (Calc)'!$X57</f>
        <v>-</v>
      </c>
    </row>
    <row r="14" spans="1:24" x14ac:dyDescent="0.25">
      <c r="B14" s="522" t="s">
        <v>1659</v>
      </c>
      <c r="C14" s="393"/>
      <c r="E14" s="522" t="s">
        <v>1955</v>
      </c>
      <c r="F14" s="392"/>
      <c r="G14" s="386"/>
      <c r="H14" s="388">
        <f t="shared" si="0"/>
        <v>2.2499999999999999E-2</v>
      </c>
      <c r="I14" s="389" t="str">
        <f>IF($H$3="Max Proceeds",'IRP (Calc)'!$AB40,'IRP (Calc)'!$AB66)</f>
        <v>-</v>
      </c>
      <c r="J14" s="387" t="str">
        <f>IF($H$3="Max Proceeds",'IRP (Calc)'!$AC40,'IRP (Calc)'!$AC66)</f>
        <v>-</v>
      </c>
      <c r="K14" s="355" t="str">
        <f>IF($H$3="Max Proceeds",'IRP (Calc)'!$AF40,'IRP (Calc)'!$AF66)</f>
        <v>- | -</v>
      </c>
      <c r="L14" s="356" t="str">
        <f>IFERROR(IF($H$3="Max Proceeds",IF('IRP (Calc)'!$C$8="No IO",'IRP (Calc)'!$AG40,'IRP (Calc)'!$AH40),IF('IRP (Calc)'!$C$8="No IO",'IRP (Calc)'!$AG66,'IRP (Calc)'!$AH66)),"-")</f>
        <v>-</v>
      </c>
      <c r="M14" s="356" t="str">
        <f>IFERROR(IF($H$3="Max Proceeds",IF('IRP (Calc)'!$C$8="No IO",'IRP (Calc)'!$AK40,'IRP (Calc)'!$AL40),IF('IRP (Calc)'!$C$8="No IO",'IRP (Calc)'!$AK66,'IRP (Calc)'!$AL66)),"-")</f>
        <v>-</v>
      </c>
      <c r="N14" s="358" t="str">
        <f>IFERROR(IF($H$3="Max Proceeds",'IRP (Calc)'!$AO40,'IRP (Calc)'!$AO66),"-")</f>
        <v>-</v>
      </c>
      <c r="O14" s="361" t="str">
        <f>IF($H$3="Max Proceeds",'IRP (Calc)'!$AU40,'IRP (Calc)'!$AU66)</f>
        <v>-</v>
      </c>
      <c r="Q14" s="388">
        <f t="shared" si="1"/>
        <v>2.2499999999999999E-2</v>
      </c>
      <c r="R14" s="387" t="str">
        <f>'IRP (Calc)'!$F58</f>
        <v>-</v>
      </c>
      <c r="S14" s="387" t="str">
        <f>'IRP (Calc)'!$I58</f>
        <v>-</v>
      </c>
      <c r="T14" s="387" t="str">
        <f>'IRP (Calc)'!$L58</f>
        <v>-</v>
      </c>
      <c r="U14" s="387" t="str">
        <f>'IRP (Calc)'!$O58</f>
        <v>-</v>
      </c>
      <c r="V14" s="387" t="str">
        <f>'IRP (Calc)'!$R58</f>
        <v>-</v>
      </c>
      <c r="W14" s="387" t="str">
        <f>'IRP (Calc)'!$U58</f>
        <v>-</v>
      </c>
      <c r="X14" s="387" t="str">
        <f>'IRP (Calc)'!$X58</f>
        <v>-</v>
      </c>
    </row>
    <row r="15" spans="1:24" x14ac:dyDescent="0.25">
      <c r="G15" s="386"/>
      <c r="H15" s="388">
        <f t="shared" si="0"/>
        <v>2.4999999999999998E-2</v>
      </c>
      <c r="I15" s="389" t="str">
        <f>IF($H$3="Max Proceeds",'IRP (Calc)'!$AB41,'IRP (Calc)'!$AB67)</f>
        <v>-</v>
      </c>
      <c r="J15" s="387" t="str">
        <f>IF($H$3="Max Proceeds",'IRP (Calc)'!$AC41,'IRP (Calc)'!$AC67)</f>
        <v>-</v>
      </c>
      <c r="K15" s="355" t="str">
        <f>IF($H$3="Max Proceeds",'IRP (Calc)'!$AF41,'IRP (Calc)'!$AF67)</f>
        <v>- | -</v>
      </c>
      <c r="L15" s="356" t="str">
        <f>IFERROR(IF($H$3="Max Proceeds",IF('IRP (Calc)'!$C$8="No IO",'IRP (Calc)'!$AG41,'IRP (Calc)'!$AH41),IF('IRP (Calc)'!$C$8="No IO",'IRP (Calc)'!$AG67,'IRP (Calc)'!$AH67)),"-")</f>
        <v>-</v>
      </c>
      <c r="M15" s="356" t="str">
        <f>IFERROR(IF($H$3="Max Proceeds",IF('IRP (Calc)'!$C$8="No IO",'IRP (Calc)'!$AK41,'IRP (Calc)'!$AL41),IF('IRP (Calc)'!$C$8="No IO",'IRP (Calc)'!$AK67,'IRP (Calc)'!$AL67)),"-")</f>
        <v>-</v>
      </c>
      <c r="N15" s="358" t="str">
        <f>IFERROR(IF($H$3="Max Proceeds",'IRP (Calc)'!$AO41,'IRP (Calc)'!$AO67),"-")</f>
        <v>-</v>
      </c>
      <c r="O15" s="361" t="str">
        <f>IF($H$3="Max Proceeds",'IRP (Calc)'!$AU41,'IRP (Calc)'!$AU67)</f>
        <v>-</v>
      </c>
      <c r="Q15" s="388">
        <f t="shared" si="1"/>
        <v>2.4999999999999998E-2</v>
      </c>
      <c r="R15" s="387" t="str">
        <f>'IRP (Calc)'!$F59</f>
        <v>-</v>
      </c>
      <c r="S15" s="387" t="str">
        <f>'IRP (Calc)'!$I59</f>
        <v>-</v>
      </c>
      <c r="T15" s="387" t="str">
        <f>'IRP (Calc)'!$L59</f>
        <v>-</v>
      </c>
      <c r="U15" s="387" t="str">
        <f>'IRP (Calc)'!$O59</f>
        <v>-</v>
      </c>
      <c r="V15" s="387" t="str">
        <f>'IRP (Calc)'!$R59</f>
        <v>-</v>
      </c>
      <c r="W15" s="387" t="str">
        <f>'IRP (Calc)'!$U59</f>
        <v>-</v>
      </c>
      <c r="X15" s="387" t="str">
        <f>'IRP (Calc)'!$X59</f>
        <v>-</v>
      </c>
    </row>
    <row r="16" spans="1:24" x14ac:dyDescent="0.25">
      <c r="B16" s="882" t="s">
        <v>1990</v>
      </c>
      <c r="C16" s="896"/>
      <c r="D16" s="896"/>
      <c r="E16" s="896"/>
      <c r="F16" s="883"/>
      <c r="G16" s="386"/>
      <c r="H16" s="388">
        <f t="shared" si="0"/>
        <v>2.7499999999999997E-2</v>
      </c>
      <c r="I16" s="389" t="str">
        <f>IF($H$3="Max Proceeds",'IRP (Calc)'!$AB42,'IRP (Calc)'!$AB68)</f>
        <v>-</v>
      </c>
      <c r="J16" s="387" t="str">
        <f>IF($H$3="Max Proceeds",'IRP (Calc)'!$AC42,'IRP (Calc)'!$AC68)</f>
        <v>-</v>
      </c>
      <c r="K16" s="355" t="str">
        <f>IF($H$3="Max Proceeds",'IRP (Calc)'!$AF42,'IRP (Calc)'!$AF68)</f>
        <v>- | -</v>
      </c>
      <c r="L16" s="356" t="str">
        <f>IFERROR(IF($H$3="Max Proceeds",IF('IRP (Calc)'!$C$8="No IO",'IRP (Calc)'!$AG42,'IRP (Calc)'!$AH42),IF('IRP (Calc)'!$C$8="No IO",'IRP (Calc)'!$AG68,'IRP (Calc)'!$AH68)),"-")</f>
        <v>-</v>
      </c>
      <c r="M16" s="356" t="str">
        <f>IFERROR(IF($H$3="Max Proceeds",IF('IRP (Calc)'!$C$8="No IO",'IRP (Calc)'!$AK42,'IRP (Calc)'!$AL42),IF('IRP (Calc)'!$C$8="No IO",'IRP (Calc)'!$AK68,'IRP (Calc)'!$AL68)),"-")</f>
        <v>-</v>
      </c>
      <c r="N16" s="358" t="str">
        <f>IFERROR(IF($H$3="Max Proceeds",'IRP (Calc)'!$AO42,'IRP (Calc)'!$AO68),"-")</f>
        <v>-</v>
      </c>
      <c r="O16" s="361" t="str">
        <f>IF($H$3="Max Proceeds",'IRP (Calc)'!$AU42,'IRP (Calc)'!$AU68)</f>
        <v>-</v>
      </c>
      <c r="Q16" s="388">
        <f t="shared" si="1"/>
        <v>2.7499999999999997E-2</v>
      </c>
      <c r="R16" s="387" t="str">
        <f>'IRP (Calc)'!$F60</f>
        <v>-</v>
      </c>
      <c r="S16" s="387" t="str">
        <f>'IRP (Calc)'!$I60</f>
        <v>-</v>
      </c>
      <c r="T16" s="387" t="str">
        <f>'IRP (Calc)'!$L60</f>
        <v>-</v>
      </c>
      <c r="U16" s="387" t="str">
        <f>'IRP (Calc)'!$O60</f>
        <v>-</v>
      </c>
      <c r="V16" s="387" t="str">
        <f>'IRP (Calc)'!$R60</f>
        <v>-</v>
      </c>
      <c r="W16" s="387" t="str">
        <f>'IRP (Calc)'!$U60</f>
        <v>-</v>
      </c>
      <c r="X16" s="387" t="str">
        <f>'IRP (Calc)'!$X60</f>
        <v>-</v>
      </c>
    </row>
    <row r="17" spans="1:59" x14ac:dyDescent="0.25">
      <c r="B17" s="522" t="s">
        <v>1989</v>
      </c>
      <c r="C17" s="390" t="str">
        <f>IF($F$5="No IO",PMT($F$11/12,360,-$F$10),IF($F$5="Term IO",$F$10*($F$11/12),"-"))</f>
        <v>-</v>
      </c>
      <c r="E17" s="522" t="s">
        <v>1988</v>
      </c>
      <c r="F17" s="390">
        <f>IF($C$12="Purchase",$I$26-$F$10,IF(AND($C$12="Refinance (Rate/Term)",$F$10&lt;$H$26),$H$26-$F$10,0))</f>
        <v>0</v>
      </c>
      <c r="G17" s="386"/>
      <c r="H17" s="388">
        <f t="shared" si="0"/>
        <v>2.9999999999999995E-2</v>
      </c>
      <c r="I17" s="389" t="str">
        <f>IF($H$3="Max Proceeds",'IRP (Calc)'!$AB43,'IRP (Calc)'!$AB69)</f>
        <v>-</v>
      </c>
      <c r="J17" s="387" t="str">
        <f>IF($H$3="Max Proceeds",'IRP (Calc)'!$AC43,'IRP (Calc)'!$AC69)</f>
        <v>-</v>
      </c>
      <c r="K17" s="355" t="str">
        <f>IF($H$3="Max Proceeds",'IRP (Calc)'!$AF43,'IRP (Calc)'!$AF69)</f>
        <v>- | -</v>
      </c>
      <c r="L17" s="356" t="str">
        <f>IFERROR(IF($H$3="Max Proceeds",IF('IRP (Calc)'!$C$8="No IO",'IRP (Calc)'!$AG43,'IRP (Calc)'!$AH43),IF('IRP (Calc)'!$C$8="No IO",'IRP (Calc)'!$AG69,'IRP (Calc)'!$AH69)),"-")</f>
        <v>-</v>
      </c>
      <c r="M17" s="356" t="str">
        <f>IFERROR(IF($H$3="Max Proceeds",IF('IRP (Calc)'!$C$8="No IO",'IRP (Calc)'!$AK43,'IRP (Calc)'!$AL43),IF('IRP (Calc)'!$C$8="No IO",'IRP (Calc)'!$AK69,'IRP (Calc)'!$AL69)),"-")</f>
        <v>-</v>
      </c>
      <c r="N17" s="358" t="str">
        <f>IFERROR(IF($H$3="Max Proceeds",'IRP (Calc)'!$AO43,'IRP (Calc)'!$AO69),"-")</f>
        <v>-</v>
      </c>
      <c r="O17" s="361" t="str">
        <f>IF($H$3="Max Proceeds",'IRP (Calc)'!$AU43,'IRP (Calc)'!$AU69)</f>
        <v>-</v>
      </c>
      <c r="Q17" s="388">
        <f t="shared" si="1"/>
        <v>2.9999999999999995E-2</v>
      </c>
      <c r="R17" s="387" t="str">
        <f>'IRP (Calc)'!$F61</f>
        <v>-</v>
      </c>
      <c r="S17" s="387" t="str">
        <f>'IRP (Calc)'!$I61</f>
        <v>-</v>
      </c>
      <c r="T17" s="387" t="str">
        <f>'IRP (Calc)'!$L61</f>
        <v>-</v>
      </c>
      <c r="U17" s="387" t="str">
        <f>'IRP (Calc)'!$O61</f>
        <v>-</v>
      </c>
      <c r="V17" s="387" t="str">
        <f>'IRP (Calc)'!$R61</f>
        <v>-</v>
      </c>
      <c r="W17" s="387" t="str">
        <f>'IRP (Calc)'!$U61</f>
        <v>-</v>
      </c>
      <c r="X17" s="387" t="str">
        <f>'IRP (Calc)'!$X61</f>
        <v>-</v>
      </c>
    </row>
    <row r="18" spans="1:59" x14ac:dyDescent="0.25">
      <c r="B18" s="522" t="s">
        <v>1987</v>
      </c>
      <c r="C18" s="390">
        <f>SUM($M$26:$O$26)/12</f>
        <v>0</v>
      </c>
      <c r="E18" s="522" t="s">
        <v>1986</v>
      </c>
      <c r="F18" s="390">
        <f>IFERROR($F$10*($F$14+1.5%),0)</f>
        <v>0</v>
      </c>
      <c r="G18" s="386"/>
      <c r="H18" s="388">
        <f t="shared" si="0"/>
        <v>3.2499999999999994E-2</v>
      </c>
      <c r="I18" s="389" t="str">
        <f>IF($H$3="Max Proceeds",'IRP (Calc)'!$AB44,'IRP (Calc)'!$AB70)</f>
        <v>-</v>
      </c>
      <c r="J18" s="387" t="str">
        <f>IF($H$3="Max Proceeds",'IRP (Calc)'!$AC44,'IRP (Calc)'!$AC70)</f>
        <v>-</v>
      </c>
      <c r="K18" s="355" t="str">
        <f>IF($H$3="Max Proceeds",'IRP (Calc)'!$AF44,'IRP (Calc)'!$AF70)</f>
        <v>- | -</v>
      </c>
      <c r="L18" s="356" t="str">
        <f>IFERROR(IF($H$3="Max Proceeds",IF('IRP (Calc)'!$C$8="No IO",'IRP (Calc)'!$AG44,'IRP (Calc)'!$AH44),IF('IRP (Calc)'!$C$8="No IO",'IRP (Calc)'!$AG70,'IRP (Calc)'!$AH70)),"-")</f>
        <v>-</v>
      </c>
      <c r="M18" s="356" t="str">
        <f>IFERROR(IF($H$3="Max Proceeds",IF('IRP (Calc)'!$C$8="No IO",'IRP (Calc)'!$AK44,'IRP (Calc)'!$AL44),IF('IRP (Calc)'!$C$8="No IO",'IRP (Calc)'!$AK70,'IRP (Calc)'!$AL70)),"-")</f>
        <v>-</v>
      </c>
      <c r="N18" s="358" t="str">
        <f>IFERROR(IF($H$3="Max Proceeds",'IRP (Calc)'!$AO44,'IRP (Calc)'!$AO70),"-")</f>
        <v>-</v>
      </c>
      <c r="O18" s="361" t="str">
        <f>IF($H$3="Max Proceeds",'IRP (Calc)'!$AU44,'IRP (Calc)'!$AU70)</f>
        <v>-</v>
      </c>
      <c r="Q18" s="388">
        <f t="shared" si="1"/>
        <v>3.2499999999999994E-2</v>
      </c>
      <c r="R18" s="387" t="str">
        <f>'IRP (Calc)'!$F62</f>
        <v>-</v>
      </c>
      <c r="S18" s="387" t="str">
        <f>'IRP (Calc)'!$I62</f>
        <v>-</v>
      </c>
      <c r="T18" s="387" t="str">
        <f>'IRP (Calc)'!$L62</f>
        <v>-</v>
      </c>
      <c r="U18" s="387" t="str">
        <f>'IRP (Calc)'!$O62</f>
        <v>-</v>
      </c>
      <c r="V18" s="387" t="str">
        <f>'IRP (Calc)'!$R62</f>
        <v>-</v>
      </c>
      <c r="W18" s="387" t="str">
        <f>'IRP (Calc)'!$U62</f>
        <v>-</v>
      </c>
      <c r="X18" s="387" t="str">
        <f>'IRP (Calc)'!$X62</f>
        <v>-</v>
      </c>
    </row>
    <row r="19" spans="1:59" x14ac:dyDescent="0.25">
      <c r="B19" s="522" t="s">
        <v>1969</v>
      </c>
      <c r="C19" s="390" t="e">
        <f>$C$17+$C$18</f>
        <v>#VALUE!</v>
      </c>
      <c r="E19" s="522" t="s">
        <v>1985</v>
      </c>
      <c r="F19" s="390" t="e">
        <f>MIN($F$10*10%,$C$19*12)</f>
        <v>#VALUE!</v>
      </c>
      <c r="G19" s="386"/>
      <c r="H19" s="388">
        <f t="shared" si="0"/>
        <v>3.4999999999999996E-2</v>
      </c>
      <c r="I19" s="389" t="str">
        <f>IF($H$3="Max Proceeds",'IRP (Calc)'!$AB45,'IRP (Calc)'!$AB71)</f>
        <v>-</v>
      </c>
      <c r="J19" s="387" t="str">
        <f>IF($H$3="Max Proceeds",'IRP (Calc)'!$AC45,'IRP (Calc)'!$AC71)</f>
        <v>-</v>
      </c>
      <c r="K19" s="355" t="str">
        <f>IF($H$3="Max Proceeds",'IRP (Calc)'!$AF45,'IRP (Calc)'!$AF71)</f>
        <v>- | -</v>
      </c>
      <c r="L19" s="356" t="str">
        <f>IFERROR(IF($H$3="Max Proceeds",IF('IRP (Calc)'!$C$8="No IO",'IRP (Calc)'!$AG45,'IRP (Calc)'!$AH45),IF('IRP (Calc)'!$C$8="No IO",'IRP (Calc)'!$AG71,'IRP (Calc)'!$AH71)),"-")</f>
        <v>-</v>
      </c>
      <c r="M19" s="356" t="str">
        <f>IFERROR(IF($H$3="Max Proceeds",IF('IRP (Calc)'!$C$8="No IO",'IRP (Calc)'!$AK45,'IRP (Calc)'!$AL45),IF('IRP (Calc)'!$C$8="No IO",'IRP (Calc)'!$AK71,'IRP (Calc)'!$AL71)),"-")</f>
        <v>-</v>
      </c>
      <c r="N19" s="358" t="str">
        <f>IFERROR(IF($H$3="Max Proceeds",'IRP (Calc)'!$AO45,'IRP (Calc)'!$AO71),"-")</f>
        <v>-</v>
      </c>
      <c r="O19" s="361" t="str">
        <f>IF($H$3="Max Proceeds",'IRP (Calc)'!$AU45,'IRP (Calc)'!$AU71)</f>
        <v>-</v>
      </c>
      <c r="Q19" s="388">
        <f t="shared" si="1"/>
        <v>3.4999999999999996E-2</v>
      </c>
      <c r="R19" s="387" t="str">
        <f>'IRP (Calc)'!$F63</f>
        <v>-</v>
      </c>
      <c r="S19" s="387" t="str">
        <f>'IRP (Calc)'!$I63</f>
        <v>-</v>
      </c>
      <c r="T19" s="387" t="str">
        <f>'IRP (Calc)'!$L63</f>
        <v>-</v>
      </c>
      <c r="U19" s="387" t="str">
        <f>'IRP (Calc)'!$O63</f>
        <v>-</v>
      </c>
      <c r="V19" s="387" t="str">
        <f>'IRP (Calc)'!$R63</f>
        <v>-</v>
      </c>
      <c r="W19" s="387" t="str">
        <f>'IRP (Calc)'!$U63</f>
        <v>-</v>
      </c>
      <c r="X19" s="387" t="str">
        <f>'IRP (Calc)'!$X63</f>
        <v>-</v>
      </c>
    </row>
    <row r="20" spans="1:59" x14ac:dyDescent="0.25">
      <c r="B20" s="522" t="s">
        <v>1984</v>
      </c>
      <c r="C20" s="390" t="e">
        <f>$C$17+(SUM($M$26,$N$26,$O$26,$P$26,$Z$26,$AA$26)/12)</f>
        <v>#VALUE!</v>
      </c>
      <c r="E20" s="522" t="s">
        <v>1950</v>
      </c>
      <c r="F20" s="390">
        <f>SUM($M$26:$O$26)*0.875</f>
        <v>0</v>
      </c>
      <c r="H20" s="388">
        <f t="shared" si="0"/>
        <v>3.7499999999999999E-2</v>
      </c>
      <c r="I20" s="389" t="str">
        <f>IF($H$3="Max Proceeds",'IRP (Calc)'!$AB46,'IRP (Calc)'!$AB72)</f>
        <v>-</v>
      </c>
      <c r="J20" s="387" t="str">
        <f>IF($H$3="Max Proceeds",'IRP (Calc)'!$AC46,'IRP (Calc)'!$AC72)</f>
        <v>-</v>
      </c>
      <c r="K20" s="355" t="str">
        <f>IF($H$3="Max Proceeds",'IRP (Calc)'!$AF46,'IRP (Calc)'!$AF72)</f>
        <v>- | -</v>
      </c>
      <c r="L20" s="356" t="str">
        <f>IFERROR(IF($H$3="Max Proceeds",IF('IRP (Calc)'!$C$8="No IO",'IRP (Calc)'!$AG46,'IRP (Calc)'!$AH46),IF('IRP (Calc)'!$C$8="No IO",'IRP (Calc)'!$AG72,'IRP (Calc)'!$AH72)),"-")</f>
        <v>-</v>
      </c>
      <c r="M20" s="356" t="str">
        <f>IFERROR(IF($H$3="Max Proceeds",IF('IRP (Calc)'!$C$8="No IO",'IRP (Calc)'!$AK46,'IRP (Calc)'!$AL46),IF('IRP (Calc)'!$C$8="No IO",'IRP (Calc)'!$AK72,'IRP (Calc)'!$AL72)),"-")</f>
        <v>-</v>
      </c>
      <c r="N20" s="358" t="str">
        <f>IFERROR(IF($H$3="Max Proceeds",'IRP (Calc)'!$AO46,'IRP (Calc)'!$AO72),"-")</f>
        <v>-</v>
      </c>
      <c r="O20" s="361" t="str">
        <f>IF($H$3="Max Proceeds",'IRP (Calc)'!$AU46,'IRP (Calc)'!$AU72)</f>
        <v>-</v>
      </c>
      <c r="Q20" s="388">
        <f t="shared" si="1"/>
        <v>3.7499999999999999E-2</v>
      </c>
      <c r="R20" s="387" t="str">
        <f>'IRP (Calc)'!$F64</f>
        <v>-</v>
      </c>
      <c r="S20" s="387" t="str">
        <f>'IRP (Calc)'!$I64</f>
        <v>-</v>
      </c>
      <c r="T20" s="387" t="str">
        <f>'IRP (Calc)'!$L64</f>
        <v>-</v>
      </c>
      <c r="U20" s="387" t="str">
        <f>'IRP (Calc)'!$O64</f>
        <v>-</v>
      </c>
      <c r="V20" s="387" t="str">
        <f>'IRP (Calc)'!$R64</f>
        <v>-</v>
      </c>
      <c r="W20" s="387" t="str">
        <f>'IRP (Calc)'!$U64</f>
        <v>-</v>
      </c>
      <c r="X20" s="387" t="str">
        <f>'IRP (Calc)'!$X64</f>
        <v>-</v>
      </c>
    </row>
    <row r="21" spans="1:59" x14ac:dyDescent="0.25">
      <c r="B21" s="522" t="s">
        <v>1700</v>
      </c>
      <c r="C21" s="391" t="e">
        <f>$AG$26/$C$20</f>
        <v>#VALUE!</v>
      </c>
      <c r="E21" s="522" t="s">
        <v>1983</v>
      </c>
      <c r="F21" s="390" t="e">
        <f>SUM(F17:F20)</f>
        <v>#VALUE!</v>
      </c>
      <c r="H21" s="388">
        <f t="shared" si="0"/>
        <v>0.04</v>
      </c>
      <c r="I21" s="389" t="str">
        <f>IF($H$3="Max Proceeds",'IRP (Calc)'!$AB47,'IRP (Calc)'!$AB73)</f>
        <v>-</v>
      </c>
      <c r="J21" s="387" t="str">
        <f>IF($H$3="Max Proceeds",'IRP (Calc)'!$AC47,'IRP (Calc)'!$AC73)</f>
        <v>-</v>
      </c>
      <c r="K21" s="355" t="str">
        <f>IF($H$3="Max Proceeds",'IRP (Calc)'!$AF47,'IRP (Calc)'!$AF73)</f>
        <v>- | -</v>
      </c>
      <c r="L21" s="356" t="str">
        <f>IFERROR(IF($H$3="Max Proceeds",IF('IRP (Calc)'!$C$8="No IO",'IRP (Calc)'!$AG47,'IRP (Calc)'!$AH47),IF('IRP (Calc)'!$C$8="No IO",'IRP (Calc)'!$AG73,'IRP (Calc)'!$AH73)),"-")</f>
        <v>-</v>
      </c>
      <c r="M21" s="356" t="str">
        <f>IFERROR(IF($H$3="Max Proceeds",IF('IRP (Calc)'!$C$8="No IO",'IRP (Calc)'!$AK47,'IRP (Calc)'!$AL47),IF('IRP (Calc)'!$C$8="No IO",'IRP (Calc)'!$AK73,'IRP (Calc)'!$AL73)),"-")</f>
        <v>-</v>
      </c>
      <c r="N21" s="358" t="str">
        <f>IFERROR(IF($H$3="Max Proceeds",'IRP (Calc)'!$AO47,'IRP (Calc)'!$AO73),"-")</f>
        <v>-</v>
      </c>
      <c r="O21" s="361" t="str">
        <f>IF($H$3="Max Proceeds",'IRP (Calc)'!$AU47,'IRP (Calc)'!$AU73)</f>
        <v>-</v>
      </c>
      <c r="Q21" s="388">
        <f t="shared" si="1"/>
        <v>0.04</v>
      </c>
      <c r="R21" s="387" t="str">
        <f>'IRP (Calc)'!$F65</f>
        <v>-</v>
      </c>
      <c r="S21" s="387" t="str">
        <f>'IRP (Calc)'!$I65</f>
        <v>-</v>
      </c>
      <c r="T21" s="387" t="str">
        <f>'IRP (Calc)'!$L65</f>
        <v>-</v>
      </c>
      <c r="U21" s="387" t="str">
        <f>'IRP (Calc)'!$O65</f>
        <v>-</v>
      </c>
      <c r="V21" s="387" t="str">
        <f>'IRP (Calc)'!$R65</f>
        <v>-</v>
      </c>
      <c r="W21" s="387" t="str">
        <f>'IRP (Calc)'!$U65</f>
        <v>-</v>
      </c>
      <c r="X21" s="387" t="str">
        <f>'IRP (Calc)'!$X65</f>
        <v>-</v>
      </c>
    </row>
    <row r="22" spans="1:59" x14ac:dyDescent="0.25">
      <c r="G22" s="386">
        <f>COUNTIF($G$28:$G$128,"&gt;4")</f>
        <v>0</v>
      </c>
    </row>
    <row r="23" spans="1:59" ht="15" customHeight="1" x14ac:dyDescent="0.25">
      <c r="B23" s="884" t="s">
        <v>1493</v>
      </c>
      <c r="C23" s="885"/>
      <c r="D23" s="885"/>
      <c r="E23" s="885"/>
      <c r="F23" s="885"/>
      <c r="G23" s="886"/>
      <c r="H23" s="884" t="s">
        <v>1982</v>
      </c>
      <c r="I23" s="885"/>
      <c r="J23" s="885"/>
      <c r="K23" s="885"/>
      <c r="L23" s="886"/>
      <c r="M23" s="884" t="s">
        <v>1981</v>
      </c>
      <c r="N23" s="885"/>
      <c r="O23" s="885"/>
      <c r="P23" s="886"/>
      <c r="Q23" s="884" t="s">
        <v>1980</v>
      </c>
      <c r="R23" s="885"/>
      <c r="S23" s="885"/>
      <c r="T23" s="885"/>
      <c r="U23" s="885"/>
      <c r="V23" s="885"/>
      <c r="W23" s="885"/>
      <c r="X23" s="885"/>
      <c r="Y23" s="886"/>
      <c r="Z23" s="884" t="s">
        <v>1979</v>
      </c>
      <c r="AA23" s="885"/>
      <c r="AB23" s="865">
        <v>1</v>
      </c>
      <c r="AC23" s="866">
        <v>2</v>
      </c>
      <c r="AD23" s="866">
        <v>3</v>
      </c>
      <c r="AE23" s="866">
        <v>4</v>
      </c>
      <c r="AF23" s="866">
        <v>5</v>
      </c>
      <c r="AG23" s="867" t="s">
        <v>37</v>
      </c>
      <c r="AH23" s="865" t="s">
        <v>1978</v>
      </c>
      <c r="AI23" s="866"/>
      <c r="AJ23" s="866"/>
      <c r="AK23" s="866"/>
      <c r="AL23" s="866"/>
      <c r="AM23" s="866"/>
      <c r="AN23" s="866"/>
      <c r="AO23" s="866"/>
      <c r="AP23" s="866"/>
      <c r="AQ23" s="866"/>
      <c r="AR23" s="866"/>
      <c r="AS23" s="866"/>
      <c r="AT23" s="866"/>
      <c r="AU23" s="866"/>
      <c r="AV23" s="866"/>
      <c r="AW23" s="867"/>
      <c r="AX23" s="860" t="s">
        <v>1977</v>
      </c>
      <c r="AY23" s="861"/>
      <c r="AZ23" s="861"/>
      <c r="BA23" s="861"/>
      <c r="BB23" s="861"/>
      <c r="BC23" s="861"/>
      <c r="BD23" s="861"/>
      <c r="BE23" s="861"/>
      <c r="BF23" s="861"/>
      <c r="BG23" s="862"/>
    </row>
    <row r="24" spans="1:59" ht="12.75" customHeight="1" x14ac:dyDescent="0.25">
      <c r="B24" s="887"/>
      <c r="C24" s="888"/>
      <c r="D24" s="888"/>
      <c r="E24" s="888"/>
      <c r="F24" s="888"/>
      <c r="G24" s="889"/>
      <c r="H24" s="887"/>
      <c r="I24" s="888"/>
      <c r="J24" s="888"/>
      <c r="K24" s="888"/>
      <c r="L24" s="889"/>
      <c r="M24" s="887"/>
      <c r="N24" s="888"/>
      <c r="O24" s="888"/>
      <c r="P24" s="889"/>
      <c r="Q24" s="887" t="s">
        <v>1976</v>
      </c>
      <c r="R24" s="888"/>
      <c r="S24" s="888" t="s">
        <v>1975</v>
      </c>
      <c r="T24" s="888"/>
      <c r="U24" s="888" t="s">
        <v>1974</v>
      </c>
      <c r="V24" s="888"/>
      <c r="W24" s="888" t="s">
        <v>1973</v>
      </c>
      <c r="X24" s="888"/>
      <c r="Y24" s="385" t="s">
        <v>1972</v>
      </c>
      <c r="Z24" s="887"/>
      <c r="AA24" s="888"/>
      <c r="AB24" s="893"/>
      <c r="AC24" s="876"/>
      <c r="AD24" s="876"/>
      <c r="AE24" s="876"/>
      <c r="AF24" s="876"/>
      <c r="AG24" s="878"/>
      <c r="AH24" s="868" t="s">
        <v>1942</v>
      </c>
      <c r="AI24" s="876" t="s">
        <v>1760</v>
      </c>
      <c r="AJ24" s="876" t="s">
        <v>118</v>
      </c>
      <c r="AK24" s="876" t="s">
        <v>1674</v>
      </c>
      <c r="AL24" s="384" t="s">
        <v>1941</v>
      </c>
      <c r="AM24" s="876" t="s">
        <v>1776</v>
      </c>
      <c r="AN24" s="876" t="s">
        <v>1736</v>
      </c>
      <c r="AO24" s="876" t="s">
        <v>1782</v>
      </c>
      <c r="AP24" s="876" t="s">
        <v>1700</v>
      </c>
      <c r="AQ24" s="876" t="s">
        <v>29</v>
      </c>
      <c r="AR24" s="876" t="s">
        <v>28</v>
      </c>
      <c r="AS24" s="876" t="s">
        <v>1819</v>
      </c>
      <c r="AT24" s="876" t="s">
        <v>1925</v>
      </c>
      <c r="AU24" s="876" t="s">
        <v>1971</v>
      </c>
      <c r="AV24" s="876" t="s">
        <v>1788</v>
      </c>
      <c r="AW24" s="878" t="s">
        <v>1970</v>
      </c>
      <c r="AX24" s="856" t="s">
        <v>1938</v>
      </c>
      <c r="AY24" s="854" t="s">
        <v>1927</v>
      </c>
      <c r="AZ24" s="854" t="s">
        <v>1926</v>
      </c>
      <c r="BA24" s="854" t="s">
        <v>118</v>
      </c>
      <c r="BB24" s="854" t="s">
        <v>1782</v>
      </c>
      <c r="BC24" s="854" t="s">
        <v>1700</v>
      </c>
      <c r="BD24" s="854" t="s">
        <v>1969</v>
      </c>
      <c r="BE24" s="854" t="s">
        <v>156</v>
      </c>
      <c r="BF24" s="854" t="s">
        <v>155</v>
      </c>
      <c r="BG24" s="858" t="s">
        <v>1934</v>
      </c>
    </row>
    <row r="25" spans="1:59" ht="12.75" customHeight="1" x14ac:dyDescent="0.25">
      <c r="B25" s="382" t="s">
        <v>90</v>
      </c>
      <c r="C25" s="381" t="s">
        <v>88</v>
      </c>
      <c r="D25" s="381" t="s">
        <v>85</v>
      </c>
      <c r="E25" s="381" t="s">
        <v>82</v>
      </c>
      <c r="F25" s="381" t="s">
        <v>1577</v>
      </c>
      <c r="G25" s="383" t="s">
        <v>92</v>
      </c>
      <c r="H25" s="382" t="s">
        <v>1930</v>
      </c>
      <c r="I25" s="381" t="s">
        <v>1646</v>
      </c>
      <c r="J25" s="381" t="s">
        <v>1968</v>
      </c>
      <c r="K25" s="381" t="s">
        <v>1643</v>
      </c>
      <c r="L25" s="383" t="s">
        <v>66</v>
      </c>
      <c r="M25" s="382" t="s">
        <v>17</v>
      </c>
      <c r="N25" s="381" t="s">
        <v>1933</v>
      </c>
      <c r="O25" s="381" t="s">
        <v>1932</v>
      </c>
      <c r="P25" s="383" t="s">
        <v>1931</v>
      </c>
      <c r="Q25" s="382" t="s">
        <v>1967</v>
      </c>
      <c r="R25" s="381" t="s">
        <v>1738</v>
      </c>
      <c r="S25" s="381" t="s">
        <v>1967</v>
      </c>
      <c r="T25" s="381" t="s">
        <v>1738</v>
      </c>
      <c r="U25" s="381" t="s">
        <v>1967</v>
      </c>
      <c r="V25" s="381" t="s">
        <v>1738</v>
      </c>
      <c r="W25" s="381" t="s">
        <v>1967</v>
      </c>
      <c r="X25" s="381" t="s">
        <v>1738</v>
      </c>
      <c r="Y25" s="383" t="s">
        <v>1966</v>
      </c>
      <c r="Z25" s="382" t="s">
        <v>1965</v>
      </c>
      <c r="AA25" s="381" t="s">
        <v>1763</v>
      </c>
      <c r="AB25" s="894"/>
      <c r="AC25" s="877"/>
      <c r="AD25" s="877"/>
      <c r="AE25" s="877"/>
      <c r="AF25" s="877"/>
      <c r="AG25" s="879"/>
      <c r="AH25" s="869"/>
      <c r="AI25" s="877"/>
      <c r="AJ25" s="877"/>
      <c r="AK25" s="877"/>
      <c r="AL25" s="380">
        <f>SUM($AL$28:$AL$227)</f>
        <v>0</v>
      </c>
      <c r="AM25" s="877"/>
      <c r="AN25" s="877"/>
      <c r="AO25" s="877"/>
      <c r="AP25" s="877"/>
      <c r="AQ25" s="877"/>
      <c r="AR25" s="877"/>
      <c r="AS25" s="877"/>
      <c r="AT25" s="877"/>
      <c r="AU25" s="877"/>
      <c r="AV25" s="877"/>
      <c r="AW25" s="879"/>
      <c r="AX25" s="857"/>
      <c r="AY25" s="855"/>
      <c r="AZ25" s="855"/>
      <c r="BA25" s="855"/>
      <c r="BB25" s="855"/>
      <c r="BC25" s="855"/>
      <c r="BD25" s="855"/>
      <c r="BE25" s="855"/>
      <c r="BF25" s="855"/>
      <c r="BG25" s="859"/>
    </row>
    <row r="26" spans="1:59" x14ac:dyDescent="0.25">
      <c r="A26" s="355" t="s">
        <v>1964</v>
      </c>
      <c r="B26" s="379" t="s">
        <v>2</v>
      </c>
      <c r="C26" s="372" t="s">
        <v>2</v>
      </c>
      <c r="D26" s="372" t="s">
        <v>2</v>
      </c>
      <c r="E26" s="372" t="s">
        <v>2</v>
      </c>
      <c r="F26" s="372" t="s">
        <v>2</v>
      </c>
      <c r="G26" s="374">
        <f>SUM(G28:G227)</f>
        <v>0</v>
      </c>
      <c r="H26" s="373">
        <f>SUM(H28:H227)</f>
        <v>0</v>
      </c>
      <c r="I26" s="375">
        <f>SUM(I28:I227)</f>
        <v>0</v>
      </c>
      <c r="J26" s="372" t="s">
        <v>2</v>
      </c>
      <c r="K26" s="375">
        <f t="shared" ref="K26:P26" si="2">SUM(K28:K227)</f>
        <v>0</v>
      </c>
      <c r="L26" s="378">
        <f t="shared" si="2"/>
        <v>0</v>
      </c>
      <c r="M26" s="373">
        <f t="shared" si="2"/>
        <v>0</v>
      </c>
      <c r="N26" s="375">
        <f t="shared" si="2"/>
        <v>0</v>
      </c>
      <c r="O26" s="375">
        <f t="shared" si="2"/>
        <v>0</v>
      </c>
      <c r="P26" s="378">
        <f t="shared" si="2"/>
        <v>0</v>
      </c>
      <c r="Q26" s="373">
        <f t="shared" ref="Q26:X26" si="3">SUM(Q28:Q227)</f>
        <v>0</v>
      </c>
      <c r="R26" s="375">
        <f t="shared" si="3"/>
        <v>0</v>
      </c>
      <c r="S26" s="375">
        <f t="shared" si="3"/>
        <v>0</v>
      </c>
      <c r="T26" s="375">
        <f t="shared" si="3"/>
        <v>0</v>
      </c>
      <c r="U26" s="375">
        <f t="shared" si="3"/>
        <v>0</v>
      </c>
      <c r="V26" s="375">
        <f t="shared" si="3"/>
        <v>0</v>
      </c>
      <c r="W26" s="375">
        <f t="shared" si="3"/>
        <v>0</v>
      </c>
      <c r="X26" s="375">
        <f t="shared" si="3"/>
        <v>0</v>
      </c>
      <c r="Y26" s="378">
        <f t="shared" ref="Y26:AG26" si="4">SUM(Y28:Y227)</f>
        <v>0</v>
      </c>
      <c r="Z26" s="373">
        <f t="shared" si="4"/>
        <v>0</v>
      </c>
      <c r="AA26" s="378">
        <f t="shared" si="4"/>
        <v>0</v>
      </c>
      <c r="AB26" s="373">
        <f t="shared" si="4"/>
        <v>0</v>
      </c>
      <c r="AC26" s="375">
        <f t="shared" si="4"/>
        <v>0</v>
      </c>
      <c r="AD26" s="375">
        <f t="shared" si="4"/>
        <v>0</v>
      </c>
      <c r="AE26" s="375">
        <f t="shared" si="4"/>
        <v>0</v>
      </c>
      <c r="AF26" s="375">
        <f t="shared" si="4"/>
        <v>0</v>
      </c>
      <c r="AG26" s="378">
        <f t="shared" si="4"/>
        <v>0</v>
      </c>
      <c r="AH26" s="377">
        <v>1.2</v>
      </c>
      <c r="AI26" s="372"/>
      <c r="AJ26" s="372"/>
      <c r="AK26" s="372"/>
      <c r="AL26" s="376" t="str">
        <f>IFERROR(IF(OR($C$12="Refinance (Rate/Term)",$C$12="Refinance (Cash Out)"),"-",$F$10/($I$26+$K$26)),"-")</f>
        <v>-</v>
      </c>
      <c r="AM26" s="372"/>
      <c r="AN26" s="372"/>
      <c r="AO26" s="375" t="e">
        <f>SUM($AO$28:$AO$227)</f>
        <v>#VALUE!</v>
      </c>
      <c r="AP26" s="872" t="str">
        <f>IFERROR($AG$26/$AO$26,"-")</f>
        <v>-</v>
      </c>
      <c r="AQ26" s="880" t="str">
        <f>'IRP (Calc)'!$C$15</f>
        <v>-</v>
      </c>
      <c r="AR26" s="880" t="str">
        <f>'IRP (Calc)'!$C$16</f>
        <v>-</v>
      </c>
      <c r="AS26" s="870"/>
      <c r="AT26" s="372"/>
      <c r="AU26" s="372"/>
      <c r="AV26" s="870" t="s">
        <v>2</v>
      </c>
      <c r="AW26" s="374"/>
      <c r="AX26" s="373">
        <f>SUM($AX$28:$AX$227)</f>
        <v>0</v>
      </c>
      <c r="AY26" s="372"/>
      <c r="AZ26" s="372"/>
      <c r="BA26" s="372"/>
      <c r="BB26" s="372"/>
      <c r="BC26" s="872" t="str">
        <f>IFERROR(SUMPRODUCT($BC$28:$BC$127,$AX$28:$AX$127)/$AX$26,"-")</f>
        <v>-</v>
      </c>
      <c r="BD26" s="372"/>
      <c r="BE26" s="874" t="str">
        <f>IFERROR(SUMPRODUCT($BE$28:$BE$127,$AX$28:$AX$127)/$AX$26,"-")</f>
        <v>-</v>
      </c>
      <c r="BF26" s="874" t="str">
        <f>IFERROR(IF(OR($C$12="Refinance (Rate/Term)",$C$12="Refinance (Cash Out)"),"-",SUMPRODUCT($BF$28:$BF$127,$AX$28:$AX$127)/$AX$26),"-")</f>
        <v>-</v>
      </c>
      <c r="BG26" s="863">
        <v>1.2</v>
      </c>
    </row>
    <row r="27" spans="1:59" x14ac:dyDescent="0.25">
      <c r="A27" s="355" t="s">
        <v>1964</v>
      </c>
      <c r="B27" s="371" t="s">
        <v>2</v>
      </c>
      <c r="C27" s="364" t="s">
        <v>2</v>
      </c>
      <c r="D27" s="364" t="s">
        <v>2</v>
      </c>
      <c r="E27" s="364" t="s">
        <v>2</v>
      </c>
      <c r="F27" s="364" t="s">
        <v>2</v>
      </c>
      <c r="G27" s="366" t="s">
        <v>2</v>
      </c>
      <c r="H27" s="365" t="e">
        <f>AVERAGE(H28:H227)</f>
        <v>#DIV/0!</v>
      </c>
      <c r="I27" s="367" t="e">
        <f>AVERAGE(I28:I227)</f>
        <v>#DIV/0!</v>
      </c>
      <c r="J27" s="364" t="s">
        <v>2</v>
      </c>
      <c r="K27" s="367" t="e">
        <f t="shared" ref="K27:AA27" si="5">AVERAGE(K28:K227)</f>
        <v>#DIV/0!</v>
      </c>
      <c r="L27" s="370" t="e">
        <f t="shared" si="5"/>
        <v>#DIV/0!</v>
      </c>
      <c r="M27" s="365" t="e">
        <f t="shared" si="5"/>
        <v>#DIV/0!</v>
      </c>
      <c r="N27" s="367" t="e">
        <f t="shared" si="5"/>
        <v>#DIV/0!</v>
      </c>
      <c r="O27" s="367" t="e">
        <f t="shared" si="5"/>
        <v>#DIV/0!</v>
      </c>
      <c r="P27" s="370" t="e">
        <f t="shared" si="5"/>
        <v>#DIV/0!</v>
      </c>
      <c r="Q27" s="365" t="e">
        <f t="shared" si="5"/>
        <v>#DIV/0!</v>
      </c>
      <c r="R27" s="367" t="e">
        <f t="shared" si="5"/>
        <v>#DIV/0!</v>
      </c>
      <c r="S27" s="367" t="e">
        <f t="shared" si="5"/>
        <v>#DIV/0!</v>
      </c>
      <c r="T27" s="367" t="e">
        <f t="shared" si="5"/>
        <v>#DIV/0!</v>
      </c>
      <c r="U27" s="367" t="e">
        <f t="shared" si="5"/>
        <v>#DIV/0!</v>
      </c>
      <c r="V27" s="367" t="e">
        <f t="shared" si="5"/>
        <v>#DIV/0!</v>
      </c>
      <c r="W27" s="367" t="e">
        <f t="shared" si="5"/>
        <v>#DIV/0!</v>
      </c>
      <c r="X27" s="367" t="e">
        <f t="shared" si="5"/>
        <v>#DIV/0!</v>
      </c>
      <c r="Y27" s="370" t="e">
        <f t="shared" si="5"/>
        <v>#DIV/0!</v>
      </c>
      <c r="Z27" s="365" t="e">
        <f t="shared" si="5"/>
        <v>#DIV/0!</v>
      </c>
      <c r="AA27" s="370">
        <f t="shared" si="5"/>
        <v>0</v>
      </c>
      <c r="AB27" s="365" t="s">
        <v>2</v>
      </c>
      <c r="AC27" s="367" t="s">
        <v>2</v>
      </c>
      <c r="AD27" s="367" t="s">
        <v>2</v>
      </c>
      <c r="AE27" s="367" t="s">
        <v>2</v>
      </c>
      <c r="AF27" s="367" t="s">
        <v>2</v>
      </c>
      <c r="AG27" s="370" t="s">
        <v>2</v>
      </c>
      <c r="AH27" s="369">
        <v>1.1000000000000001</v>
      </c>
      <c r="AI27" s="364"/>
      <c r="AJ27" s="364"/>
      <c r="AK27" s="364"/>
      <c r="AL27" s="368" t="str">
        <f>IFERROR($F$10/$L$26,"-")</f>
        <v>-</v>
      </c>
      <c r="AM27" s="364"/>
      <c r="AN27" s="364"/>
      <c r="AO27" s="367" t="e">
        <f>AVERAGE($AO$28:$AO$227)</f>
        <v>#VALUE!</v>
      </c>
      <c r="AP27" s="873"/>
      <c r="AQ27" s="881"/>
      <c r="AR27" s="881"/>
      <c r="AS27" s="871"/>
      <c r="AT27" s="364"/>
      <c r="AU27" s="364"/>
      <c r="AV27" s="871"/>
      <c r="AW27" s="366"/>
      <c r="AX27" s="365" t="str">
        <f>IFERROR(AVERAGE($AX$28:$AX$227),"-")</f>
        <v>-</v>
      </c>
      <c r="AY27" s="364"/>
      <c r="AZ27" s="364"/>
      <c r="BA27" s="364"/>
      <c r="BB27" s="364"/>
      <c r="BC27" s="873"/>
      <c r="BD27" s="364"/>
      <c r="BE27" s="875"/>
      <c r="BF27" s="875"/>
      <c r="BG27" s="864"/>
    </row>
    <row r="28" spans="1:59" x14ac:dyDescent="0.25">
      <c r="A28" s="355">
        <v>1</v>
      </c>
      <c r="B28" s="363"/>
      <c r="C28" s="363"/>
      <c r="D28" s="363"/>
      <c r="E28" s="363"/>
      <c r="F28" s="363"/>
      <c r="G28" s="363"/>
      <c r="H28" s="359"/>
      <c r="I28" s="359"/>
      <c r="J28" s="362"/>
      <c r="K28" s="359"/>
      <c r="L28" s="359"/>
      <c r="M28" s="359"/>
      <c r="N28" s="359"/>
      <c r="O28" s="359"/>
      <c r="P28" s="359"/>
      <c r="Q28" s="359"/>
      <c r="R28" s="359"/>
      <c r="S28" s="359"/>
      <c r="T28" s="359"/>
      <c r="U28" s="359"/>
      <c r="V28" s="359"/>
      <c r="W28" s="359"/>
      <c r="X28" s="359"/>
      <c r="Y28" s="359"/>
      <c r="Z28" s="359"/>
      <c r="AA28" s="356">
        <f t="shared" ref="AA28:AA59" si="6">600*COUNT($L28)</f>
        <v>0</v>
      </c>
      <c r="AB28" s="356">
        <f t="shared" ref="AB28:AB59" si="7">IF(OR(Q28=0,Q28=""),0.9*R28,MIN(Q28:R28))</f>
        <v>0</v>
      </c>
      <c r="AC28" s="356">
        <f t="shared" ref="AC28:AC59" si="8">IF(OR(S28=0,S28=""),0.9*T28,MIN(S28:T28))</f>
        <v>0</v>
      </c>
      <c r="AD28" s="356">
        <f t="shared" ref="AD28:AD59" si="9">IF(OR(U28=0,U28=""),0.9*V28,MIN(U28:V28))</f>
        <v>0</v>
      </c>
      <c r="AE28" s="356">
        <f t="shared" ref="AE28:AE59" si="10">IF(OR(W28=0,W28=""),0.9*X28,MIN(W28:X28))</f>
        <v>0</v>
      </c>
      <c r="AF28" s="356">
        <f t="shared" ref="AF28:AF59" si="11">Y28/12</f>
        <v>0</v>
      </c>
      <c r="AG28" s="356">
        <f t="shared" ref="AG28:AG59" si="12">SUM(AB28:AF28)</f>
        <v>0</v>
      </c>
      <c r="AH28" s="361">
        <f t="shared" ref="AH28:AH59" si="13">+$AH$27</f>
        <v>1.1000000000000001</v>
      </c>
      <c r="AI28" s="356">
        <f t="shared" ref="AI28:AI59" si="14">($AG28/$AH28)-$AJ28</f>
        <v>0</v>
      </c>
      <c r="AJ28" s="356">
        <f t="shared" ref="AJ28:AJ59" si="15">SUM($M28:$P28,$Z28:$AA28)/12</f>
        <v>0</v>
      </c>
      <c r="AK28" s="360">
        <f t="shared" ref="AK28:AK59" si="16">$F$11</f>
        <v>0</v>
      </c>
      <c r="AL28" s="356" t="str">
        <f t="shared" ref="AL28:AL59" si="17">IF(OR($C$12="Purchase",$C$12="Delayed Purchase"),MIN($AL$26*($I28+$K28),$AL$27*$L$28),IF(OR($C$12="Refinance (Rate/Term)",$C$12="Refinance (Cash Out)"),$AL$27*$L28,"-"))</f>
        <v>-</v>
      </c>
      <c r="AM28" s="356" t="str">
        <f t="shared" ref="AM28:AM59" si="18">IF($F$5="No IO",PMT($AK28/12,360,-$AL28),"-")</f>
        <v>-</v>
      </c>
      <c r="AN28" s="356" t="str">
        <f t="shared" ref="AN28:AN59" si="19">IF($F$5="Term IO",$AL28*($AK28/12),"-")</f>
        <v>-</v>
      </c>
      <c r="AO28" s="356" t="e">
        <f t="shared" ref="AO28:AO59" si="20">IF($F$5="No IO",$AM28+$AJ28,$AN28+$AJ28)</f>
        <v>#VALUE!</v>
      </c>
      <c r="AP28" s="358" t="str">
        <f t="shared" ref="AP28:AP59" si="21">IFERROR($AG28/$AO28,"-")</f>
        <v>-</v>
      </c>
      <c r="AQ28" s="357" t="str">
        <f t="shared" ref="AQ28:AQ59" si="22">IF(AP28="-","-",$AQ$26)</f>
        <v>-</v>
      </c>
      <c r="AR28" s="357" t="str">
        <f t="shared" ref="AR28:AR59" si="23">IF(AP28="-","-",$AR$26)</f>
        <v>-</v>
      </c>
      <c r="AS28" s="356" t="str">
        <f t="shared" ref="AS28:AS59" si="24">IF(OR($C$12="Purchase",$C$12="Delayed Purchase"),MIN($L28*$AQ28,$AR28*($I28+$K28)),IF(OR($C$12="Refinance (Rate/Term)",$C$12="Refinance (Cash Out)"),$L28*$AQ28,"-"))</f>
        <v>-</v>
      </c>
      <c r="AT28" s="355" t="str">
        <f t="shared" ref="AT28:AT59" si="25">IF(OR($C$12="Purchase",$C$12="Delayed Purchase",$C$12="Refinance (Cash Out)"),"-",IF($C$12="Refinance (Rate/Term)",102%*$H28,"-"))</f>
        <v>-</v>
      </c>
      <c r="AU28" s="356" t="str">
        <f t="shared" ref="AU28:AU59" si="26">IF($C$12="Refinance (Rate/Term)",MIN($AT28,$AS28),$AS28)</f>
        <v>-</v>
      </c>
      <c r="AV28" s="356" t="e">
        <f t="shared" ref="AV28:AV59" si="27">ROUNDDOWN(IF($F$5="No IO",PV($AK28/12,360,-$AI28),$AG28/($AH28*($AK28/12))-($AJ28/($AK28/12))),0)</f>
        <v>#DIV/0!</v>
      </c>
      <c r="AW28" s="355" t="str">
        <f t="shared" ref="AW28:AW59" si="28">IFERROR(IF($AV28&gt;$AL28,"-",$AV28),"-")</f>
        <v>-</v>
      </c>
      <c r="AX28" s="359"/>
      <c r="AY28" s="356" t="str">
        <f t="shared" ref="AY28:AY59" si="29">IF($F$5="No IO",PMT($AK28/12,360,-$AX28),"-")</f>
        <v>-</v>
      </c>
      <c r="AZ28" s="356" t="str">
        <f t="shared" ref="AZ28:AZ59" si="30">IF($F$5="Term IO",$AX28*($AK28/12),"-")</f>
        <v>-</v>
      </c>
      <c r="BA28" s="356">
        <f t="shared" ref="BA28:BA59" si="31">$AJ28</f>
        <v>0</v>
      </c>
      <c r="BB28" s="356" t="e">
        <f t="shared" ref="BB28:BB59" si="32">IF($F$5="No IO",$AY28+$BA28,$AZ28+$BA28)</f>
        <v>#VALUE!</v>
      </c>
      <c r="BC28" s="358" t="str">
        <f t="shared" ref="BC28:BC59" si="33">IFERROR($AG28/$BB28,"-")</f>
        <v>-</v>
      </c>
      <c r="BD28" s="356" t="e">
        <f t="shared" ref="BD28:BD59" si="34">IF($F$5="No IO",$AY28+(SUM($M28:$O28)/12),$AZ28+(SUM($M28:$O28)/12))</f>
        <v>#VALUE!</v>
      </c>
      <c r="BE28" s="357" t="str">
        <f t="shared" ref="BE28:BE59" si="35">IFERROR($AX28/$L28,"-")</f>
        <v>-</v>
      </c>
      <c r="BF28" s="357" t="str">
        <f t="shared" ref="BF28:BF59" si="36">IFERROR(IF(OR($C$12="Refinance (Rate/Term)",$C$12="Refinance (Cash Out)"),"-",$AX28/($I28+$K28)),"-")</f>
        <v>-</v>
      </c>
      <c r="BG28" s="356">
        <f t="shared" ref="BG28:BG59" si="37">IFERROR($BG$26*$AX28,"-")</f>
        <v>0</v>
      </c>
    </row>
    <row r="29" spans="1:59" x14ac:dyDescent="0.25">
      <c r="A29" s="355">
        <f t="shared" ref="A29:A60" si="38">+A28+1</f>
        <v>2</v>
      </c>
      <c r="B29" s="363"/>
      <c r="C29" s="363"/>
      <c r="D29" s="363"/>
      <c r="E29" s="363"/>
      <c r="F29" s="363"/>
      <c r="G29" s="363"/>
      <c r="H29" s="359"/>
      <c r="I29" s="359"/>
      <c r="J29" s="362"/>
      <c r="K29" s="359"/>
      <c r="L29" s="359"/>
      <c r="M29" s="359"/>
      <c r="N29" s="359"/>
      <c r="O29" s="359"/>
      <c r="P29" s="359"/>
      <c r="Q29" s="359"/>
      <c r="R29" s="359"/>
      <c r="S29" s="359"/>
      <c r="T29" s="359"/>
      <c r="U29" s="359"/>
      <c r="V29" s="359"/>
      <c r="W29" s="359"/>
      <c r="X29" s="359"/>
      <c r="Y29" s="359"/>
      <c r="Z29" s="359"/>
      <c r="AA29" s="356">
        <f t="shared" si="6"/>
        <v>0</v>
      </c>
      <c r="AB29" s="356">
        <f t="shared" si="7"/>
        <v>0</v>
      </c>
      <c r="AC29" s="356">
        <f t="shared" si="8"/>
        <v>0</v>
      </c>
      <c r="AD29" s="356">
        <f t="shared" si="9"/>
        <v>0</v>
      </c>
      <c r="AE29" s="356">
        <f t="shared" si="10"/>
        <v>0</v>
      </c>
      <c r="AF29" s="356">
        <f t="shared" si="11"/>
        <v>0</v>
      </c>
      <c r="AG29" s="356">
        <f t="shared" si="12"/>
        <v>0</v>
      </c>
      <c r="AH29" s="361">
        <f t="shared" si="13"/>
        <v>1.1000000000000001</v>
      </c>
      <c r="AI29" s="356">
        <f t="shared" si="14"/>
        <v>0</v>
      </c>
      <c r="AJ29" s="356">
        <f t="shared" si="15"/>
        <v>0</v>
      </c>
      <c r="AK29" s="360">
        <f t="shared" si="16"/>
        <v>0</v>
      </c>
      <c r="AL29" s="356" t="str">
        <f t="shared" si="17"/>
        <v>-</v>
      </c>
      <c r="AM29" s="356" t="str">
        <f t="shared" si="18"/>
        <v>-</v>
      </c>
      <c r="AN29" s="356" t="str">
        <f t="shared" si="19"/>
        <v>-</v>
      </c>
      <c r="AO29" s="356" t="e">
        <f t="shared" si="20"/>
        <v>#VALUE!</v>
      </c>
      <c r="AP29" s="358" t="str">
        <f t="shared" si="21"/>
        <v>-</v>
      </c>
      <c r="AQ29" s="357" t="str">
        <f t="shared" si="22"/>
        <v>-</v>
      </c>
      <c r="AR29" s="357" t="str">
        <f t="shared" si="23"/>
        <v>-</v>
      </c>
      <c r="AS29" s="356" t="str">
        <f t="shared" si="24"/>
        <v>-</v>
      </c>
      <c r="AT29" s="355" t="str">
        <f t="shared" si="25"/>
        <v>-</v>
      </c>
      <c r="AU29" s="356" t="str">
        <f t="shared" si="26"/>
        <v>-</v>
      </c>
      <c r="AV29" s="356" t="e">
        <f t="shared" si="27"/>
        <v>#DIV/0!</v>
      </c>
      <c r="AW29" s="355" t="str">
        <f t="shared" si="28"/>
        <v>-</v>
      </c>
      <c r="AX29" s="359"/>
      <c r="AY29" s="356" t="str">
        <f t="shared" si="29"/>
        <v>-</v>
      </c>
      <c r="AZ29" s="356" t="str">
        <f t="shared" si="30"/>
        <v>-</v>
      </c>
      <c r="BA29" s="356">
        <f t="shared" si="31"/>
        <v>0</v>
      </c>
      <c r="BB29" s="356" t="e">
        <f t="shared" si="32"/>
        <v>#VALUE!</v>
      </c>
      <c r="BC29" s="358" t="str">
        <f t="shared" si="33"/>
        <v>-</v>
      </c>
      <c r="BD29" s="356" t="e">
        <f t="shared" si="34"/>
        <v>#VALUE!</v>
      </c>
      <c r="BE29" s="357" t="str">
        <f t="shared" si="35"/>
        <v>-</v>
      </c>
      <c r="BF29" s="357" t="str">
        <f t="shared" si="36"/>
        <v>-</v>
      </c>
      <c r="BG29" s="356">
        <f t="shared" si="37"/>
        <v>0</v>
      </c>
    </row>
    <row r="30" spans="1:59" x14ac:dyDescent="0.25">
      <c r="A30" s="355">
        <f t="shared" si="38"/>
        <v>3</v>
      </c>
      <c r="B30" s="363"/>
      <c r="C30" s="363"/>
      <c r="D30" s="363"/>
      <c r="E30" s="363"/>
      <c r="F30" s="363"/>
      <c r="G30" s="363"/>
      <c r="H30" s="359"/>
      <c r="I30" s="359"/>
      <c r="J30" s="362"/>
      <c r="K30" s="359"/>
      <c r="L30" s="359"/>
      <c r="M30" s="359"/>
      <c r="N30" s="359"/>
      <c r="O30" s="359"/>
      <c r="P30" s="359"/>
      <c r="Q30" s="359"/>
      <c r="R30" s="359"/>
      <c r="S30" s="359"/>
      <c r="T30" s="359"/>
      <c r="U30" s="359"/>
      <c r="V30" s="359"/>
      <c r="W30" s="359"/>
      <c r="X30" s="359"/>
      <c r="Y30" s="359"/>
      <c r="Z30" s="359"/>
      <c r="AA30" s="356">
        <f t="shared" si="6"/>
        <v>0</v>
      </c>
      <c r="AB30" s="356">
        <f t="shared" si="7"/>
        <v>0</v>
      </c>
      <c r="AC30" s="356">
        <f t="shared" si="8"/>
        <v>0</v>
      </c>
      <c r="AD30" s="356">
        <f t="shared" si="9"/>
        <v>0</v>
      </c>
      <c r="AE30" s="356">
        <f t="shared" si="10"/>
        <v>0</v>
      </c>
      <c r="AF30" s="356">
        <f t="shared" si="11"/>
        <v>0</v>
      </c>
      <c r="AG30" s="356">
        <f t="shared" si="12"/>
        <v>0</v>
      </c>
      <c r="AH30" s="361">
        <f t="shared" si="13"/>
        <v>1.1000000000000001</v>
      </c>
      <c r="AI30" s="356">
        <f t="shared" si="14"/>
        <v>0</v>
      </c>
      <c r="AJ30" s="356">
        <f t="shared" si="15"/>
        <v>0</v>
      </c>
      <c r="AK30" s="360">
        <f t="shared" si="16"/>
        <v>0</v>
      </c>
      <c r="AL30" s="356" t="str">
        <f t="shared" si="17"/>
        <v>-</v>
      </c>
      <c r="AM30" s="356" t="str">
        <f t="shared" si="18"/>
        <v>-</v>
      </c>
      <c r="AN30" s="356" t="str">
        <f t="shared" si="19"/>
        <v>-</v>
      </c>
      <c r="AO30" s="356" t="e">
        <f t="shared" si="20"/>
        <v>#VALUE!</v>
      </c>
      <c r="AP30" s="358" t="str">
        <f t="shared" si="21"/>
        <v>-</v>
      </c>
      <c r="AQ30" s="357" t="str">
        <f t="shared" si="22"/>
        <v>-</v>
      </c>
      <c r="AR30" s="357" t="str">
        <f t="shared" si="23"/>
        <v>-</v>
      </c>
      <c r="AS30" s="356" t="str">
        <f t="shared" si="24"/>
        <v>-</v>
      </c>
      <c r="AT30" s="355" t="str">
        <f t="shared" si="25"/>
        <v>-</v>
      </c>
      <c r="AU30" s="356" t="str">
        <f t="shared" si="26"/>
        <v>-</v>
      </c>
      <c r="AV30" s="356" t="e">
        <f t="shared" si="27"/>
        <v>#DIV/0!</v>
      </c>
      <c r="AW30" s="355" t="str">
        <f t="shared" si="28"/>
        <v>-</v>
      </c>
      <c r="AX30" s="359"/>
      <c r="AY30" s="356" t="str">
        <f t="shared" si="29"/>
        <v>-</v>
      </c>
      <c r="AZ30" s="356" t="str">
        <f t="shared" si="30"/>
        <v>-</v>
      </c>
      <c r="BA30" s="356">
        <f t="shared" si="31"/>
        <v>0</v>
      </c>
      <c r="BB30" s="356" t="e">
        <f t="shared" si="32"/>
        <v>#VALUE!</v>
      </c>
      <c r="BC30" s="358" t="str">
        <f t="shared" si="33"/>
        <v>-</v>
      </c>
      <c r="BD30" s="356" t="e">
        <f t="shared" si="34"/>
        <v>#VALUE!</v>
      </c>
      <c r="BE30" s="357" t="str">
        <f t="shared" si="35"/>
        <v>-</v>
      </c>
      <c r="BF30" s="357" t="str">
        <f t="shared" si="36"/>
        <v>-</v>
      </c>
      <c r="BG30" s="356">
        <f t="shared" si="37"/>
        <v>0</v>
      </c>
    </row>
    <row r="31" spans="1:59" x14ac:dyDescent="0.25">
      <c r="A31" s="355">
        <f t="shared" si="38"/>
        <v>4</v>
      </c>
      <c r="B31" s="363"/>
      <c r="C31" s="363"/>
      <c r="D31" s="363"/>
      <c r="E31" s="363"/>
      <c r="F31" s="363"/>
      <c r="G31" s="363"/>
      <c r="H31" s="359"/>
      <c r="I31" s="359"/>
      <c r="J31" s="362"/>
      <c r="K31" s="359"/>
      <c r="L31" s="359"/>
      <c r="M31" s="359"/>
      <c r="N31" s="359"/>
      <c r="O31" s="359"/>
      <c r="P31" s="359"/>
      <c r="Q31" s="359"/>
      <c r="R31" s="359"/>
      <c r="S31" s="359"/>
      <c r="T31" s="359"/>
      <c r="U31" s="359"/>
      <c r="V31" s="359"/>
      <c r="W31" s="359"/>
      <c r="X31" s="359"/>
      <c r="Y31" s="359"/>
      <c r="Z31" s="359"/>
      <c r="AA31" s="356">
        <f t="shared" si="6"/>
        <v>0</v>
      </c>
      <c r="AB31" s="356">
        <f t="shared" si="7"/>
        <v>0</v>
      </c>
      <c r="AC31" s="356">
        <f t="shared" si="8"/>
        <v>0</v>
      </c>
      <c r="AD31" s="356">
        <f t="shared" si="9"/>
        <v>0</v>
      </c>
      <c r="AE31" s="356">
        <f t="shared" si="10"/>
        <v>0</v>
      </c>
      <c r="AF31" s="356">
        <f t="shared" si="11"/>
        <v>0</v>
      </c>
      <c r="AG31" s="356">
        <f t="shared" si="12"/>
        <v>0</v>
      </c>
      <c r="AH31" s="361">
        <f t="shared" si="13"/>
        <v>1.1000000000000001</v>
      </c>
      <c r="AI31" s="356">
        <f t="shared" si="14"/>
        <v>0</v>
      </c>
      <c r="AJ31" s="356">
        <f t="shared" si="15"/>
        <v>0</v>
      </c>
      <c r="AK31" s="360">
        <f t="shared" si="16"/>
        <v>0</v>
      </c>
      <c r="AL31" s="356" t="str">
        <f t="shared" si="17"/>
        <v>-</v>
      </c>
      <c r="AM31" s="356" t="str">
        <f t="shared" si="18"/>
        <v>-</v>
      </c>
      <c r="AN31" s="356" t="str">
        <f t="shared" si="19"/>
        <v>-</v>
      </c>
      <c r="AO31" s="356" t="e">
        <f t="shared" si="20"/>
        <v>#VALUE!</v>
      </c>
      <c r="AP31" s="358" t="str">
        <f t="shared" si="21"/>
        <v>-</v>
      </c>
      <c r="AQ31" s="357" t="str">
        <f t="shared" si="22"/>
        <v>-</v>
      </c>
      <c r="AR31" s="357" t="str">
        <f t="shared" si="23"/>
        <v>-</v>
      </c>
      <c r="AS31" s="356" t="str">
        <f t="shared" si="24"/>
        <v>-</v>
      </c>
      <c r="AT31" s="355" t="str">
        <f t="shared" si="25"/>
        <v>-</v>
      </c>
      <c r="AU31" s="356" t="str">
        <f t="shared" si="26"/>
        <v>-</v>
      </c>
      <c r="AV31" s="356" t="e">
        <f t="shared" si="27"/>
        <v>#DIV/0!</v>
      </c>
      <c r="AW31" s="355" t="str">
        <f t="shared" si="28"/>
        <v>-</v>
      </c>
      <c r="AX31" s="359"/>
      <c r="AY31" s="356" t="str">
        <f t="shared" si="29"/>
        <v>-</v>
      </c>
      <c r="AZ31" s="356" t="str">
        <f t="shared" si="30"/>
        <v>-</v>
      </c>
      <c r="BA31" s="356">
        <f t="shared" si="31"/>
        <v>0</v>
      </c>
      <c r="BB31" s="356" t="e">
        <f t="shared" si="32"/>
        <v>#VALUE!</v>
      </c>
      <c r="BC31" s="358" t="str">
        <f t="shared" si="33"/>
        <v>-</v>
      </c>
      <c r="BD31" s="356" t="e">
        <f t="shared" si="34"/>
        <v>#VALUE!</v>
      </c>
      <c r="BE31" s="357" t="str">
        <f t="shared" si="35"/>
        <v>-</v>
      </c>
      <c r="BF31" s="357" t="str">
        <f t="shared" si="36"/>
        <v>-</v>
      </c>
      <c r="BG31" s="356">
        <f t="shared" si="37"/>
        <v>0</v>
      </c>
    </row>
    <row r="32" spans="1:59" x14ac:dyDescent="0.25">
      <c r="A32" s="355">
        <f t="shared" si="38"/>
        <v>5</v>
      </c>
      <c r="B32" s="363"/>
      <c r="C32" s="363"/>
      <c r="D32" s="363"/>
      <c r="E32" s="363"/>
      <c r="F32" s="363"/>
      <c r="G32" s="363"/>
      <c r="H32" s="359"/>
      <c r="I32" s="359"/>
      <c r="J32" s="362"/>
      <c r="K32" s="359"/>
      <c r="L32" s="359"/>
      <c r="M32" s="359"/>
      <c r="N32" s="359"/>
      <c r="O32" s="359"/>
      <c r="P32" s="359"/>
      <c r="Q32" s="359"/>
      <c r="R32" s="359"/>
      <c r="S32" s="359"/>
      <c r="T32" s="359"/>
      <c r="U32" s="359"/>
      <c r="V32" s="359"/>
      <c r="W32" s="359"/>
      <c r="X32" s="359"/>
      <c r="Y32" s="359"/>
      <c r="Z32" s="359"/>
      <c r="AA32" s="356">
        <f t="shared" si="6"/>
        <v>0</v>
      </c>
      <c r="AB32" s="356">
        <f t="shared" si="7"/>
        <v>0</v>
      </c>
      <c r="AC32" s="356">
        <f t="shared" si="8"/>
        <v>0</v>
      </c>
      <c r="AD32" s="356">
        <f t="shared" si="9"/>
        <v>0</v>
      </c>
      <c r="AE32" s="356">
        <f t="shared" si="10"/>
        <v>0</v>
      </c>
      <c r="AF32" s="356">
        <f t="shared" si="11"/>
        <v>0</v>
      </c>
      <c r="AG32" s="356">
        <f t="shared" si="12"/>
        <v>0</v>
      </c>
      <c r="AH32" s="361">
        <f t="shared" si="13"/>
        <v>1.1000000000000001</v>
      </c>
      <c r="AI32" s="356">
        <f t="shared" si="14"/>
        <v>0</v>
      </c>
      <c r="AJ32" s="356">
        <f t="shared" si="15"/>
        <v>0</v>
      </c>
      <c r="AK32" s="360">
        <f t="shared" si="16"/>
        <v>0</v>
      </c>
      <c r="AL32" s="356" t="str">
        <f t="shared" si="17"/>
        <v>-</v>
      </c>
      <c r="AM32" s="356" t="str">
        <f t="shared" si="18"/>
        <v>-</v>
      </c>
      <c r="AN32" s="356" t="str">
        <f t="shared" si="19"/>
        <v>-</v>
      </c>
      <c r="AO32" s="356" t="e">
        <f t="shared" si="20"/>
        <v>#VALUE!</v>
      </c>
      <c r="AP32" s="358" t="str">
        <f t="shared" si="21"/>
        <v>-</v>
      </c>
      <c r="AQ32" s="357" t="str">
        <f t="shared" si="22"/>
        <v>-</v>
      </c>
      <c r="AR32" s="357" t="str">
        <f t="shared" si="23"/>
        <v>-</v>
      </c>
      <c r="AS32" s="356" t="str">
        <f t="shared" si="24"/>
        <v>-</v>
      </c>
      <c r="AT32" s="355" t="str">
        <f t="shared" si="25"/>
        <v>-</v>
      </c>
      <c r="AU32" s="356" t="str">
        <f t="shared" si="26"/>
        <v>-</v>
      </c>
      <c r="AV32" s="356" t="e">
        <f t="shared" si="27"/>
        <v>#DIV/0!</v>
      </c>
      <c r="AW32" s="355" t="str">
        <f t="shared" si="28"/>
        <v>-</v>
      </c>
      <c r="AX32" s="359"/>
      <c r="AY32" s="356" t="str">
        <f t="shared" si="29"/>
        <v>-</v>
      </c>
      <c r="AZ32" s="356" t="str">
        <f t="shared" si="30"/>
        <v>-</v>
      </c>
      <c r="BA32" s="356">
        <f t="shared" si="31"/>
        <v>0</v>
      </c>
      <c r="BB32" s="356" t="e">
        <f t="shared" si="32"/>
        <v>#VALUE!</v>
      </c>
      <c r="BC32" s="358" t="str">
        <f t="shared" si="33"/>
        <v>-</v>
      </c>
      <c r="BD32" s="356" t="e">
        <f t="shared" si="34"/>
        <v>#VALUE!</v>
      </c>
      <c r="BE32" s="357" t="str">
        <f t="shared" si="35"/>
        <v>-</v>
      </c>
      <c r="BF32" s="357" t="str">
        <f t="shared" si="36"/>
        <v>-</v>
      </c>
      <c r="BG32" s="356">
        <f t="shared" si="37"/>
        <v>0</v>
      </c>
    </row>
    <row r="33" spans="1:59" x14ac:dyDescent="0.25">
      <c r="A33" s="355">
        <f t="shared" si="38"/>
        <v>6</v>
      </c>
      <c r="B33" s="363"/>
      <c r="C33" s="363"/>
      <c r="D33" s="363"/>
      <c r="E33" s="363"/>
      <c r="F33" s="363"/>
      <c r="G33" s="363"/>
      <c r="H33" s="359"/>
      <c r="I33" s="359"/>
      <c r="J33" s="362"/>
      <c r="K33" s="359"/>
      <c r="L33" s="359"/>
      <c r="M33" s="359"/>
      <c r="N33" s="359"/>
      <c r="O33" s="359"/>
      <c r="P33" s="359"/>
      <c r="Q33" s="359"/>
      <c r="R33" s="359"/>
      <c r="S33" s="359"/>
      <c r="T33" s="359"/>
      <c r="U33" s="359"/>
      <c r="V33" s="359"/>
      <c r="W33" s="359"/>
      <c r="X33" s="359"/>
      <c r="Y33" s="359"/>
      <c r="Z33" s="359"/>
      <c r="AA33" s="356">
        <f t="shared" si="6"/>
        <v>0</v>
      </c>
      <c r="AB33" s="356">
        <f t="shared" si="7"/>
        <v>0</v>
      </c>
      <c r="AC33" s="356">
        <f t="shared" si="8"/>
        <v>0</v>
      </c>
      <c r="AD33" s="356">
        <f t="shared" si="9"/>
        <v>0</v>
      </c>
      <c r="AE33" s="356">
        <f t="shared" si="10"/>
        <v>0</v>
      </c>
      <c r="AF33" s="356">
        <f t="shared" si="11"/>
        <v>0</v>
      </c>
      <c r="AG33" s="356">
        <f t="shared" si="12"/>
        <v>0</v>
      </c>
      <c r="AH33" s="361">
        <f t="shared" si="13"/>
        <v>1.1000000000000001</v>
      </c>
      <c r="AI33" s="356">
        <f t="shared" si="14"/>
        <v>0</v>
      </c>
      <c r="AJ33" s="356">
        <f t="shared" si="15"/>
        <v>0</v>
      </c>
      <c r="AK33" s="360">
        <f t="shared" si="16"/>
        <v>0</v>
      </c>
      <c r="AL33" s="356" t="str">
        <f t="shared" si="17"/>
        <v>-</v>
      </c>
      <c r="AM33" s="356" t="str">
        <f t="shared" si="18"/>
        <v>-</v>
      </c>
      <c r="AN33" s="356" t="str">
        <f t="shared" si="19"/>
        <v>-</v>
      </c>
      <c r="AO33" s="356" t="e">
        <f t="shared" si="20"/>
        <v>#VALUE!</v>
      </c>
      <c r="AP33" s="358" t="str">
        <f t="shared" si="21"/>
        <v>-</v>
      </c>
      <c r="AQ33" s="357" t="str">
        <f t="shared" si="22"/>
        <v>-</v>
      </c>
      <c r="AR33" s="357" t="str">
        <f t="shared" si="23"/>
        <v>-</v>
      </c>
      <c r="AS33" s="356" t="str">
        <f t="shared" si="24"/>
        <v>-</v>
      </c>
      <c r="AT33" s="355" t="str">
        <f t="shared" si="25"/>
        <v>-</v>
      </c>
      <c r="AU33" s="356" t="str">
        <f t="shared" si="26"/>
        <v>-</v>
      </c>
      <c r="AV33" s="356" t="e">
        <f t="shared" si="27"/>
        <v>#DIV/0!</v>
      </c>
      <c r="AW33" s="355" t="str">
        <f t="shared" si="28"/>
        <v>-</v>
      </c>
      <c r="AX33" s="359"/>
      <c r="AY33" s="356" t="str">
        <f t="shared" si="29"/>
        <v>-</v>
      </c>
      <c r="AZ33" s="356" t="str">
        <f t="shared" si="30"/>
        <v>-</v>
      </c>
      <c r="BA33" s="356">
        <f t="shared" si="31"/>
        <v>0</v>
      </c>
      <c r="BB33" s="356" t="e">
        <f t="shared" si="32"/>
        <v>#VALUE!</v>
      </c>
      <c r="BC33" s="358" t="str">
        <f t="shared" si="33"/>
        <v>-</v>
      </c>
      <c r="BD33" s="356" t="e">
        <f t="shared" si="34"/>
        <v>#VALUE!</v>
      </c>
      <c r="BE33" s="357" t="str">
        <f t="shared" si="35"/>
        <v>-</v>
      </c>
      <c r="BF33" s="357" t="str">
        <f t="shared" si="36"/>
        <v>-</v>
      </c>
      <c r="BG33" s="356">
        <f t="shared" si="37"/>
        <v>0</v>
      </c>
    </row>
    <row r="34" spans="1:59" x14ac:dyDescent="0.25">
      <c r="A34" s="355">
        <f t="shared" si="38"/>
        <v>7</v>
      </c>
      <c r="B34" s="363"/>
      <c r="C34" s="363"/>
      <c r="D34" s="363"/>
      <c r="E34" s="363"/>
      <c r="F34" s="363"/>
      <c r="G34" s="363"/>
      <c r="H34" s="359"/>
      <c r="I34" s="359"/>
      <c r="J34" s="362"/>
      <c r="K34" s="359"/>
      <c r="L34" s="359"/>
      <c r="M34" s="359"/>
      <c r="N34" s="359"/>
      <c r="O34" s="359"/>
      <c r="P34" s="359"/>
      <c r="Q34" s="359"/>
      <c r="R34" s="359"/>
      <c r="S34" s="359"/>
      <c r="T34" s="359"/>
      <c r="U34" s="359"/>
      <c r="V34" s="359"/>
      <c r="W34" s="359"/>
      <c r="X34" s="359"/>
      <c r="Y34" s="359"/>
      <c r="Z34" s="359"/>
      <c r="AA34" s="356">
        <f t="shared" si="6"/>
        <v>0</v>
      </c>
      <c r="AB34" s="356">
        <f t="shared" si="7"/>
        <v>0</v>
      </c>
      <c r="AC34" s="356">
        <f t="shared" si="8"/>
        <v>0</v>
      </c>
      <c r="AD34" s="356">
        <f t="shared" si="9"/>
        <v>0</v>
      </c>
      <c r="AE34" s="356">
        <f t="shared" si="10"/>
        <v>0</v>
      </c>
      <c r="AF34" s="356">
        <f t="shared" si="11"/>
        <v>0</v>
      </c>
      <c r="AG34" s="356">
        <f t="shared" si="12"/>
        <v>0</v>
      </c>
      <c r="AH34" s="361">
        <f t="shared" si="13"/>
        <v>1.1000000000000001</v>
      </c>
      <c r="AI34" s="356">
        <f t="shared" si="14"/>
        <v>0</v>
      </c>
      <c r="AJ34" s="356">
        <f t="shared" si="15"/>
        <v>0</v>
      </c>
      <c r="AK34" s="360">
        <f t="shared" si="16"/>
        <v>0</v>
      </c>
      <c r="AL34" s="356" t="str">
        <f t="shared" si="17"/>
        <v>-</v>
      </c>
      <c r="AM34" s="356" t="str">
        <f t="shared" si="18"/>
        <v>-</v>
      </c>
      <c r="AN34" s="356" t="str">
        <f t="shared" si="19"/>
        <v>-</v>
      </c>
      <c r="AO34" s="356" t="e">
        <f t="shared" si="20"/>
        <v>#VALUE!</v>
      </c>
      <c r="AP34" s="358" t="str">
        <f t="shared" si="21"/>
        <v>-</v>
      </c>
      <c r="AQ34" s="357" t="str">
        <f t="shared" si="22"/>
        <v>-</v>
      </c>
      <c r="AR34" s="357" t="str">
        <f t="shared" si="23"/>
        <v>-</v>
      </c>
      <c r="AS34" s="356" t="str">
        <f t="shared" si="24"/>
        <v>-</v>
      </c>
      <c r="AT34" s="355" t="str">
        <f t="shared" si="25"/>
        <v>-</v>
      </c>
      <c r="AU34" s="356" t="str">
        <f t="shared" si="26"/>
        <v>-</v>
      </c>
      <c r="AV34" s="356" t="e">
        <f t="shared" si="27"/>
        <v>#DIV/0!</v>
      </c>
      <c r="AW34" s="355" t="str">
        <f t="shared" si="28"/>
        <v>-</v>
      </c>
      <c r="AX34" s="359"/>
      <c r="AY34" s="356" t="str">
        <f t="shared" si="29"/>
        <v>-</v>
      </c>
      <c r="AZ34" s="356" t="str">
        <f t="shared" si="30"/>
        <v>-</v>
      </c>
      <c r="BA34" s="356">
        <f t="shared" si="31"/>
        <v>0</v>
      </c>
      <c r="BB34" s="356" t="e">
        <f t="shared" si="32"/>
        <v>#VALUE!</v>
      </c>
      <c r="BC34" s="358" t="str">
        <f t="shared" si="33"/>
        <v>-</v>
      </c>
      <c r="BD34" s="356" t="e">
        <f t="shared" si="34"/>
        <v>#VALUE!</v>
      </c>
      <c r="BE34" s="357" t="str">
        <f t="shared" si="35"/>
        <v>-</v>
      </c>
      <c r="BF34" s="357" t="str">
        <f t="shared" si="36"/>
        <v>-</v>
      </c>
      <c r="BG34" s="356">
        <f t="shared" si="37"/>
        <v>0</v>
      </c>
    </row>
    <row r="35" spans="1:59" x14ac:dyDescent="0.25">
      <c r="A35" s="355">
        <f t="shared" si="38"/>
        <v>8</v>
      </c>
      <c r="B35" s="363"/>
      <c r="C35" s="363"/>
      <c r="D35" s="363"/>
      <c r="E35" s="363"/>
      <c r="F35" s="363"/>
      <c r="G35" s="363"/>
      <c r="H35" s="359"/>
      <c r="I35" s="359"/>
      <c r="J35" s="362"/>
      <c r="K35" s="359"/>
      <c r="L35" s="359"/>
      <c r="M35" s="359"/>
      <c r="N35" s="359"/>
      <c r="O35" s="359"/>
      <c r="P35" s="359"/>
      <c r="Q35" s="359"/>
      <c r="R35" s="359"/>
      <c r="S35" s="359"/>
      <c r="T35" s="359"/>
      <c r="U35" s="359"/>
      <c r="V35" s="359"/>
      <c r="W35" s="359"/>
      <c r="X35" s="359"/>
      <c r="Y35" s="359"/>
      <c r="Z35" s="359"/>
      <c r="AA35" s="356">
        <f t="shared" si="6"/>
        <v>0</v>
      </c>
      <c r="AB35" s="356">
        <f t="shared" si="7"/>
        <v>0</v>
      </c>
      <c r="AC35" s="356">
        <f t="shared" si="8"/>
        <v>0</v>
      </c>
      <c r="AD35" s="356">
        <f t="shared" si="9"/>
        <v>0</v>
      </c>
      <c r="AE35" s="356">
        <f t="shared" si="10"/>
        <v>0</v>
      </c>
      <c r="AF35" s="356">
        <f t="shared" si="11"/>
        <v>0</v>
      </c>
      <c r="AG35" s="356">
        <f t="shared" si="12"/>
        <v>0</v>
      </c>
      <c r="AH35" s="361">
        <f t="shared" si="13"/>
        <v>1.1000000000000001</v>
      </c>
      <c r="AI35" s="356">
        <f t="shared" si="14"/>
        <v>0</v>
      </c>
      <c r="AJ35" s="356">
        <f t="shared" si="15"/>
        <v>0</v>
      </c>
      <c r="AK35" s="360">
        <f t="shared" si="16"/>
        <v>0</v>
      </c>
      <c r="AL35" s="356" t="str">
        <f t="shared" si="17"/>
        <v>-</v>
      </c>
      <c r="AM35" s="356" t="str">
        <f t="shared" si="18"/>
        <v>-</v>
      </c>
      <c r="AN35" s="356" t="str">
        <f t="shared" si="19"/>
        <v>-</v>
      </c>
      <c r="AO35" s="356" t="e">
        <f t="shared" si="20"/>
        <v>#VALUE!</v>
      </c>
      <c r="AP35" s="358" t="str">
        <f t="shared" si="21"/>
        <v>-</v>
      </c>
      <c r="AQ35" s="357" t="str">
        <f t="shared" si="22"/>
        <v>-</v>
      </c>
      <c r="AR35" s="357" t="str">
        <f t="shared" si="23"/>
        <v>-</v>
      </c>
      <c r="AS35" s="356" t="str">
        <f t="shared" si="24"/>
        <v>-</v>
      </c>
      <c r="AT35" s="355" t="str">
        <f t="shared" si="25"/>
        <v>-</v>
      </c>
      <c r="AU35" s="356" t="str">
        <f t="shared" si="26"/>
        <v>-</v>
      </c>
      <c r="AV35" s="356" t="e">
        <f t="shared" si="27"/>
        <v>#DIV/0!</v>
      </c>
      <c r="AW35" s="355" t="str">
        <f t="shared" si="28"/>
        <v>-</v>
      </c>
      <c r="AX35" s="359"/>
      <c r="AY35" s="356" t="str">
        <f t="shared" si="29"/>
        <v>-</v>
      </c>
      <c r="AZ35" s="356" t="str">
        <f t="shared" si="30"/>
        <v>-</v>
      </c>
      <c r="BA35" s="356">
        <f t="shared" si="31"/>
        <v>0</v>
      </c>
      <c r="BB35" s="356" t="e">
        <f t="shared" si="32"/>
        <v>#VALUE!</v>
      </c>
      <c r="BC35" s="358" t="str">
        <f t="shared" si="33"/>
        <v>-</v>
      </c>
      <c r="BD35" s="356" t="e">
        <f t="shared" si="34"/>
        <v>#VALUE!</v>
      </c>
      <c r="BE35" s="357" t="str">
        <f t="shared" si="35"/>
        <v>-</v>
      </c>
      <c r="BF35" s="357" t="str">
        <f t="shared" si="36"/>
        <v>-</v>
      </c>
      <c r="BG35" s="356">
        <f t="shared" si="37"/>
        <v>0</v>
      </c>
    </row>
    <row r="36" spans="1:59" x14ac:dyDescent="0.25">
      <c r="A36" s="355">
        <f t="shared" si="38"/>
        <v>9</v>
      </c>
      <c r="B36" s="363"/>
      <c r="C36" s="363"/>
      <c r="D36" s="363"/>
      <c r="E36" s="363"/>
      <c r="F36" s="363"/>
      <c r="G36" s="363"/>
      <c r="H36" s="359"/>
      <c r="I36" s="359"/>
      <c r="J36" s="362"/>
      <c r="K36" s="359"/>
      <c r="L36" s="359"/>
      <c r="M36" s="359"/>
      <c r="N36" s="359"/>
      <c r="O36" s="359"/>
      <c r="P36" s="359"/>
      <c r="Q36" s="359"/>
      <c r="R36" s="359"/>
      <c r="S36" s="359"/>
      <c r="T36" s="359"/>
      <c r="U36" s="359"/>
      <c r="V36" s="359"/>
      <c r="W36" s="359"/>
      <c r="X36" s="359"/>
      <c r="Y36" s="359"/>
      <c r="Z36" s="359"/>
      <c r="AA36" s="356">
        <f t="shared" si="6"/>
        <v>0</v>
      </c>
      <c r="AB36" s="356">
        <f t="shared" si="7"/>
        <v>0</v>
      </c>
      <c r="AC36" s="356">
        <f t="shared" si="8"/>
        <v>0</v>
      </c>
      <c r="AD36" s="356">
        <f t="shared" si="9"/>
        <v>0</v>
      </c>
      <c r="AE36" s="356">
        <f t="shared" si="10"/>
        <v>0</v>
      </c>
      <c r="AF36" s="356">
        <f t="shared" si="11"/>
        <v>0</v>
      </c>
      <c r="AG36" s="356">
        <f t="shared" si="12"/>
        <v>0</v>
      </c>
      <c r="AH36" s="361">
        <f t="shared" si="13"/>
        <v>1.1000000000000001</v>
      </c>
      <c r="AI36" s="356">
        <f t="shared" si="14"/>
        <v>0</v>
      </c>
      <c r="AJ36" s="356">
        <f t="shared" si="15"/>
        <v>0</v>
      </c>
      <c r="AK36" s="360">
        <f t="shared" si="16"/>
        <v>0</v>
      </c>
      <c r="AL36" s="356" t="str">
        <f t="shared" si="17"/>
        <v>-</v>
      </c>
      <c r="AM36" s="356" t="str">
        <f t="shared" si="18"/>
        <v>-</v>
      </c>
      <c r="AN36" s="356" t="str">
        <f t="shared" si="19"/>
        <v>-</v>
      </c>
      <c r="AO36" s="356" t="e">
        <f t="shared" si="20"/>
        <v>#VALUE!</v>
      </c>
      <c r="AP36" s="358" t="str">
        <f t="shared" si="21"/>
        <v>-</v>
      </c>
      <c r="AQ36" s="357" t="str">
        <f t="shared" si="22"/>
        <v>-</v>
      </c>
      <c r="AR36" s="357" t="str">
        <f t="shared" si="23"/>
        <v>-</v>
      </c>
      <c r="AS36" s="356" t="str">
        <f t="shared" si="24"/>
        <v>-</v>
      </c>
      <c r="AT36" s="355" t="str">
        <f t="shared" si="25"/>
        <v>-</v>
      </c>
      <c r="AU36" s="356" t="str">
        <f t="shared" si="26"/>
        <v>-</v>
      </c>
      <c r="AV36" s="356" t="e">
        <f t="shared" si="27"/>
        <v>#DIV/0!</v>
      </c>
      <c r="AW36" s="355" t="str">
        <f t="shared" si="28"/>
        <v>-</v>
      </c>
      <c r="AX36" s="359"/>
      <c r="AY36" s="356" t="str">
        <f t="shared" si="29"/>
        <v>-</v>
      </c>
      <c r="AZ36" s="356" t="str">
        <f t="shared" si="30"/>
        <v>-</v>
      </c>
      <c r="BA36" s="356">
        <f t="shared" si="31"/>
        <v>0</v>
      </c>
      <c r="BB36" s="356" t="e">
        <f t="shared" si="32"/>
        <v>#VALUE!</v>
      </c>
      <c r="BC36" s="358" t="str">
        <f t="shared" si="33"/>
        <v>-</v>
      </c>
      <c r="BD36" s="356" t="e">
        <f t="shared" si="34"/>
        <v>#VALUE!</v>
      </c>
      <c r="BE36" s="357" t="str">
        <f t="shared" si="35"/>
        <v>-</v>
      </c>
      <c r="BF36" s="357" t="str">
        <f t="shared" si="36"/>
        <v>-</v>
      </c>
      <c r="BG36" s="356">
        <f t="shared" si="37"/>
        <v>0</v>
      </c>
    </row>
    <row r="37" spans="1:59" x14ac:dyDescent="0.25">
      <c r="A37" s="355">
        <f t="shared" si="38"/>
        <v>10</v>
      </c>
      <c r="B37" s="363"/>
      <c r="C37" s="363"/>
      <c r="D37" s="363"/>
      <c r="E37" s="363"/>
      <c r="F37" s="363"/>
      <c r="G37" s="363"/>
      <c r="H37" s="359"/>
      <c r="I37" s="359"/>
      <c r="J37" s="362"/>
      <c r="K37" s="359"/>
      <c r="L37" s="359"/>
      <c r="M37" s="359"/>
      <c r="N37" s="359"/>
      <c r="O37" s="359"/>
      <c r="P37" s="359"/>
      <c r="Q37" s="359"/>
      <c r="R37" s="359"/>
      <c r="S37" s="359"/>
      <c r="T37" s="359"/>
      <c r="U37" s="359"/>
      <c r="V37" s="359"/>
      <c r="W37" s="359"/>
      <c r="X37" s="359"/>
      <c r="Y37" s="359"/>
      <c r="Z37" s="359"/>
      <c r="AA37" s="356">
        <f t="shared" si="6"/>
        <v>0</v>
      </c>
      <c r="AB37" s="356">
        <f t="shared" si="7"/>
        <v>0</v>
      </c>
      <c r="AC37" s="356">
        <f t="shared" si="8"/>
        <v>0</v>
      </c>
      <c r="AD37" s="356">
        <f t="shared" si="9"/>
        <v>0</v>
      </c>
      <c r="AE37" s="356">
        <f t="shared" si="10"/>
        <v>0</v>
      </c>
      <c r="AF37" s="356">
        <f t="shared" si="11"/>
        <v>0</v>
      </c>
      <c r="AG37" s="356">
        <f t="shared" si="12"/>
        <v>0</v>
      </c>
      <c r="AH37" s="361">
        <f t="shared" si="13"/>
        <v>1.1000000000000001</v>
      </c>
      <c r="AI37" s="356">
        <f t="shared" si="14"/>
        <v>0</v>
      </c>
      <c r="AJ37" s="356">
        <f t="shared" si="15"/>
        <v>0</v>
      </c>
      <c r="AK37" s="360">
        <f t="shared" si="16"/>
        <v>0</v>
      </c>
      <c r="AL37" s="356" t="str">
        <f t="shared" si="17"/>
        <v>-</v>
      </c>
      <c r="AM37" s="356" t="str">
        <f t="shared" si="18"/>
        <v>-</v>
      </c>
      <c r="AN37" s="356" t="str">
        <f t="shared" si="19"/>
        <v>-</v>
      </c>
      <c r="AO37" s="356" t="e">
        <f t="shared" si="20"/>
        <v>#VALUE!</v>
      </c>
      <c r="AP37" s="358" t="str">
        <f t="shared" si="21"/>
        <v>-</v>
      </c>
      <c r="AQ37" s="357" t="str">
        <f t="shared" si="22"/>
        <v>-</v>
      </c>
      <c r="AR37" s="357" t="str">
        <f t="shared" si="23"/>
        <v>-</v>
      </c>
      <c r="AS37" s="356" t="str">
        <f t="shared" si="24"/>
        <v>-</v>
      </c>
      <c r="AT37" s="355" t="str">
        <f t="shared" si="25"/>
        <v>-</v>
      </c>
      <c r="AU37" s="356" t="str">
        <f t="shared" si="26"/>
        <v>-</v>
      </c>
      <c r="AV37" s="356" t="e">
        <f t="shared" si="27"/>
        <v>#DIV/0!</v>
      </c>
      <c r="AW37" s="355" t="str">
        <f t="shared" si="28"/>
        <v>-</v>
      </c>
      <c r="AX37" s="359"/>
      <c r="AY37" s="356" t="str">
        <f t="shared" si="29"/>
        <v>-</v>
      </c>
      <c r="AZ37" s="356" t="str">
        <f t="shared" si="30"/>
        <v>-</v>
      </c>
      <c r="BA37" s="356">
        <f t="shared" si="31"/>
        <v>0</v>
      </c>
      <c r="BB37" s="356" t="e">
        <f t="shared" si="32"/>
        <v>#VALUE!</v>
      </c>
      <c r="BC37" s="358" t="str">
        <f t="shared" si="33"/>
        <v>-</v>
      </c>
      <c r="BD37" s="356" t="e">
        <f t="shared" si="34"/>
        <v>#VALUE!</v>
      </c>
      <c r="BE37" s="357" t="str">
        <f t="shared" si="35"/>
        <v>-</v>
      </c>
      <c r="BF37" s="357" t="str">
        <f t="shared" si="36"/>
        <v>-</v>
      </c>
      <c r="BG37" s="356">
        <f t="shared" si="37"/>
        <v>0</v>
      </c>
    </row>
    <row r="38" spans="1:59" x14ac:dyDescent="0.25">
      <c r="A38" s="355">
        <f t="shared" si="38"/>
        <v>11</v>
      </c>
      <c r="B38" s="363"/>
      <c r="C38" s="363"/>
      <c r="D38" s="363"/>
      <c r="E38" s="363"/>
      <c r="F38" s="363"/>
      <c r="G38" s="363"/>
      <c r="H38" s="359"/>
      <c r="I38" s="359"/>
      <c r="J38" s="362"/>
      <c r="K38" s="359"/>
      <c r="L38" s="359"/>
      <c r="M38" s="359"/>
      <c r="N38" s="359"/>
      <c r="O38" s="359"/>
      <c r="P38" s="359"/>
      <c r="Q38" s="359"/>
      <c r="R38" s="359"/>
      <c r="S38" s="359"/>
      <c r="T38" s="359"/>
      <c r="U38" s="359"/>
      <c r="V38" s="359"/>
      <c r="W38" s="359"/>
      <c r="X38" s="359"/>
      <c r="Y38" s="359"/>
      <c r="Z38" s="359"/>
      <c r="AA38" s="356">
        <f t="shared" si="6"/>
        <v>0</v>
      </c>
      <c r="AB38" s="356">
        <f t="shared" si="7"/>
        <v>0</v>
      </c>
      <c r="AC38" s="356">
        <f t="shared" si="8"/>
        <v>0</v>
      </c>
      <c r="AD38" s="356">
        <f t="shared" si="9"/>
        <v>0</v>
      </c>
      <c r="AE38" s="356">
        <f t="shared" si="10"/>
        <v>0</v>
      </c>
      <c r="AF38" s="356">
        <f t="shared" si="11"/>
        <v>0</v>
      </c>
      <c r="AG38" s="356">
        <f t="shared" si="12"/>
        <v>0</v>
      </c>
      <c r="AH38" s="361">
        <f t="shared" si="13"/>
        <v>1.1000000000000001</v>
      </c>
      <c r="AI38" s="356">
        <f t="shared" si="14"/>
        <v>0</v>
      </c>
      <c r="AJ38" s="356">
        <f t="shared" si="15"/>
        <v>0</v>
      </c>
      <c r="AK38" s="360">
        <f t="shared" si="16"/>
        <v>0</v>
      </c>
      <c r="AL38" s="356" t="str">
        <f t="shared" si="17"/>
        <v>-</v>
      </c>
      <c r="AM38" s="356" t="str">
        <f t="shared" si="18"/>
        <v>-</v>
      </c>
      <c r="AN38" s="356" t="str">
        <f t="shared" si="19"/>
        <v>-</v>
      </c>
      <c r="AO38" s="356" t="e">
        <f t="shared" si="20"/>
        <v>#VALUE!</v>
      </c>
      <c r="AP38" s="358" t="str">
        <f t="shared" si="21"/>
        <v>-</v>
      </c>
      <c r="AQ38" s="357" t="str">
        <f t="shared" si="22"/>
        <v>-</v>
      </c>
      <c r="AR38" s="357" t="str">
        <f t="shared" si="23"/>
        <v>-</v>
      </c>
      <c r="AS38" s="356" t="str">
        <f t="shared" si="24"/>
        <v>-</v>
      </c>
      <c r="AT38" s="355" t="str">
        <f t="shared" si="25"/>
        <v>-</v>
      </c>
      <c r="AU38" s="356" t="str">
        <f t="shared" si="26"/>
        <v>-</v>
      </c>
      <c r="AV38" s="356" t="e">
        <f t="shared" si="27"/>
        <v>#DIV/0!</v>
      </c>
      <c r="AW38" s="355" t="str">
        <f t="shared" si="28"/>
        <v>-</v>
      </c>
      <c r="AX38" s="359"/>
      <c r="AY38" s="356" t="str">
        <f t="shared" si="29"/>
        <v>-</v>
      </c>
      <c r="AZ38" s="356" t="str">
        <f t="shared" si="30"/>
        <v>-</v>
      </c>
      <c r="BA38" s="356">
        <f t="shared" si="31"/>
        <v>0</v>
      </c>
      <c r="BB38" s="356" t="e">
        <f t="shared" si="32"/>
        <v>#VALUE!</v>
      </c>
      <c r="BC38" s="358" t="str">
        <f t="shared" si="33"/>
        <v>-</v>
      </c>
      <c r="BD38" s="356" t="e">
        <f t="shared" si="34"/>
        <v>#VALUE!</v>
      </c>
      <c r="BE38" s="357" t="str">
        <f t="shared" si="35"/>
        <v>-</v>
      </c>
      <c r="BF38" s="357" t="str">
        <f t="shared" si="36"/>
        <v>-</v>
      </c>
      <c r="BG38" s="356">
        <f t="shared" si="37"/>
        <v>0</v>
      </c>
    </row>
    <row r="39" spans="1:59" x14ac:dyDescent="0.25">
      <c r="A39" s="355">
        <f t="shared" si="38"/>
        <v>12</v>
      </c>
      <c r="B39" s="363"/>
      <c r="C39" s="363"/>
      <c r="D39" s="363"/>
      <c r="E39" s="363"/>
      <c r="F39" s="363"/>
      <c r="G39" s="363"/>
      <c r="H39" s="359"/>
      <c r="I39" s="359"/>
      <c r="J39" s="362"/>
      <c r="K39" s="359"/>
      <c r="L39" s="359"/>
      <c r="M39" s="359"/>
      <c r="N39" s="359"/>
      <c r="O39" s="359"/>
      <c r="P39" s="359"/>
      <c r="Q39" s="359"/>
      <c r="R39" s="359"/>
      <c r="S39" s="359"/>
      <c r="T39" s="359"/>
      <c r="U39" s="359"/>
      <c r="V39" s="359"/>
      <c r="W39" s="359"/>
      <c r="X39" s="359"/>
      <c r="Y39" s="359"/>
      <c r="Z39" s="359"/>
      <c r="AA39" s="356">
        <f t="shared" si="6"/>
        <v>0</v>
      </c>
      <c r="AB39" s="356">
        <f t="shared" si="7"/>
        <v>0</v>
      </c>
      <c r="AC39" s="356">
        <f t="shared" si="8"/>
        <v>0</v>
      </c>
      <c r="AD39" s="356">
        <f t="shared" si="9"/>
        <v>0</v>
      </c>
      <c r="AE39" s="356">
        <f t="shared" si="10"/>
        <v>0</v>
      </c>
      <c r="AF39" s="356">
        <f t="shared" si="11"/>
        <v>0</v>
      </c>
      <c r="AG39" s="356">
        <f t="shared" si="12"/>
        <v>0</v>
      </c>
      <c r="AH39" s="361">
        <f t="shared" si="13"/>
        <v>1.1000000000000001</v>
      </c>
      <c r="AI39" s="356">
        <f t="shared" si="14"/>
        <v>0</v>
      </c>
      <c r="AJ39" s="356">
        <f t="shared" si="15"/>
        <v>0</v>
      </c>
      <c r="AK39" s="360">
        <f t="shared" si="16"/>
        <v>0</v>
      </c>
      <c r="AL39" s="356" t="str">
        <f t="shared" si="17"/>
        <v>-</v>
      </c>
      <c r="AM39" s="356" t="str">
        <f t="shared" si="18"/>
        <v>-</v>
      </c>
      <c r="AN39" s="356" t="str">
        <f t="shared" si="19"/>
        <v>-</v>
      </c>
      <c r="AO39" s="356" t="e">
        <f t="shared" si="20"/>
        <v>#VALUE!</v>
      </c>
      <c r="AP39" s="358" t="str">
        <f t="shared" si="21"/>
        <v>-</v>
      </c>
      <c r="AQ39" s="357" t="str">
        <f t="shared" si="22"/>
        <v>-</v>
      </c>
      <c r="AR39" s="357" t="str">
        <f t="shared" si="23"/>
        <v>-</v>
      </c>
      <c r="AS39" s="356" t="str">
        <f t="shared" si="24"/>
        <v>-</v>
      </c>
      <c r="AT39" s="355" t="str">
        <f t="shared" si="25"/>
        <v>-</v>
      </c>
      <c r="AU39" s="356" t="str">
        <f t="shared" si="26"/>
        <v>-</v>
      </c>
      <c r="AV39" s="356" t="e">
        <f t="shared" si="27"/>
        <v>#DIV/0!</v>
      </c>
      <c r="AW39" s="355" t="str">
        <f t="shared" si="28"/>
        <v>-</v>
      </c>
      <c r="AX39" s="359"/>
      <c r="AY39" s="356" t="str">
        <f t="shared" si="29"/>
        <v>-</v>
      </c>
      <c r="AZ39" s="356" t="str">
        <f t="shared" si="30"/>
        <v>-</v>
      </c>
      <c r="BA39" s="356">
        <f t="shared" si="31"/>
        <v>0</v>
      </c>
      <c r="BB39" s="356" t="e">
        <f t="shared" si="32"/>
        <v>#VALUE!</v>
      </c>
      <c r="BC39" s="358" t="str">
        <f t="shared" si="33"/>
        <v>-</v>
      </c>
      <c r="BD39" s="356" t="e">
        <f t="shared" si="34"/>
        <v>#VALUE!</v>
      </c>
      <c r="BE39" s="357" t="str">
        <f t="shared" si="35"/>
        <v>-</v>
      </c>
      <c r="BF39" s="357" t="str">
        <f t="shared" si="36"/>
        <v>-</v>
      </c>
      <c r="BG39" s="356">
        <f t="shared" si="37"/>
        <v>0</v>
      </c>
    </row>
    <row r="40" spans="1:59" x14ac:dyDescent="0.25">
      <c r="A40" s="355">
        <f t="shared" si="38"/>
        <v>13</v>
      </c>
      <c r="B40" s="363"/>
      <c r="C40" s="363"/>
      <c r="D40" s="363"/>
      <c r="E40" s="363"/>
      <c r="F40" s="363"/>
      <c r="G40" s="363"/>
      <c r="H40" s="359"/>
      <c r="I40" s="359"/>
      <c r="J40" s="362"/>
      <c r="K40" s="359"/>
      <c r="L40" s="359"/>
      <c r="M40" s="359"/>
      <c r="N40" s="359"/>
      <c r="O40" s="359"/>
      <c r="P40" s="359"/>
      <c r="Q40" s="359"/>
      <c r="R40" s="359"/>
      <c r="S40" s="359"/>
      <c r="T40" s="359"/>
      <c r="U40" s="359"/>
      <c r="V40" s="359"/>
      <c r="W40" s="359"/>
      <c r="X40" s="359"/>
      <c r="Y40" s="359"/>
      <c r="Z40" s="359"/>
      <c r="AA40" s="356">
        <f t="shared" si="6"/>
        <v>0</v>
      </c>
      <c r="AB40" s="356">
        <f t="shared" si="7"/>
        <v>0</v>
      </c>
      <c r="AC40" s="356">
        <f t="shared" si="8"/>
        <v>0</v>
      </c>
      <c r="AD40" s="356">
        <f t="shared" si="9"/>
        <v>0</v>
      </c>
      <c r="AE40" s="356">
        <f t="shared" si="10"/>
        <v>0</v>
      </c>
      <c r="AF40" s="356">
        <f t="shared" si="11"/>
        <v>0</v>
      </c>
      <c r="AG40" s="356">
        <f t="shared" si="12"/>
        <v>0</v>
      </c>
      <c r="AH40" s="361">
        <f t="shared" si="13"/>
        <v>1.1000000000000001</v>
      </c>
      <c r="AI40" s="356">
        <f t="shared" si="14"/>
        <v>0</v>
      </c>
      <c r="AJ40" s="356">
        <f t="shared" si="15"/>
        <v>0</v>
      </c>
      <c r="AK40" s="360">
        <f t="shared" si="16"/>
        <v>0</v>
      </c>
      <c r="AL40" s="356" t="str">
        <f t="shared" si="17"/>
        <v>-</v>
      </c>
      <c r="AM40" s="356" t="str">
        <f t="shared" si="18"/>
        <v>-</v>
      </c>
      <c r="AN40" s="356" t="str">
        <f t="shared" si="19"/>
        <v>-</v>
      </c>
      <c r="AO40" s="356" t="e">
        <f t="shared" si="20"/>
        <v>#VALUE!</v>
      </c>
      <c r="AP40" s="358" t="str">
        <f t="shared" si="21"/>
        <v>-</v>
      </c>
      <c r="AQ40" s="357" t="str">
        <f t="shared" si="22"/>
        <v>-</v>
      </c>
      <c r="AR40" s="357" t="str">
        <f t="shared" si="23"/>
        <v>-</v>
      </c>
      <c r="AS40" s="356" t="str">
        <f t="shared" si="24"/>
        <v>-</v>
      </c>
      <c r="AT40" s="355" t="str">
        <f t="shared" si="25"/>
        <v>-</v>
      </c>
      <c r="AU40" s="356" t="str">
        <f t="shared" si="26"/>
        <v>-</v>
      </c>
      <c r="AV40" s="356" t="e">
        <f t="shared" si="27"/>
        <v>#DIV/0!</v>
      </c>
      <c r="AW40" s="355" t="str">
        <f t="shared" si="28"/>
        <v>-</v>
      </c>
      <c r="AX40" s="359"/>
      <c r="AY40" s="356" t="str">
        <f t="shared" si="29"/>
        <v>-</v>
      </c>
      <c r="AZ40" s="356" t="str">
        <f t="shared" si="30"/>
        <v>-</v>
      </c>
      <c r="BA40" s="356">
        <f t="shared" si="31"/>
        <v>0</v>
      </c>
      <c r="BB40" s="356" t="e">
        <f t="shared" si="32"/>
        <v>#VALUE!</v>
      </c>
      <c r="BC40" s="358" t="str">
        <f t="shared" si="33"/>
        <v>-</v>
      </c>
      <c r="BD40" s="356" t="e">
        <f t="shared" si="34"/>
        <v>#VALUE!</v>
      </c>
      <c r="BE40" s="357" t="str">
        <f t="shared" si="35"/>
        <v>-</v>
      </c>
      <c r="BF40" s="357" t="str">
        <f t="shared" si="36"/>
        <v>-</v>
      </c>
      <c r="BG40" s="356">
        <f t="shared" si="37"/>
        <v>0</v>
      </c>
    </row>
    <row r="41" spans="1:59" x14ac:dyDescent="0.25">
      <c r="A41" s="355">
        <f t="shared" si="38"/>
        <v>14</v>
      </c>
      <c r="B41" s="363"/>
      <c r="C41" s="363"/>
      <c r="D41" s="363"/>
      <c r="E41" s="363"/>
      <c r="F41" s="363"/>
      <c r="G41" s="363"/>
      <c r="H41" s="359"/>
      <c r="I41" s="359"/>
      <c r="J41" s="362"/>
      <c r="K41" s="359"/>
      <c r="L41" s="359"/>
      <c r="M41" s="359"/>
      <c r="N41" s="359"/>
      <c r="O41" s="359"/>
      <c r="P41" s="359"/>
      <c r="Q41" s="359"/>
      <c r="R41" s="359"/>
      <c r="S41" s="359"/>
      <c r="T41" s="359"/>
      <c r="U41" s="359"/>
      <c r="V41" s="359"/>
      <c r="W41" s="359"/>
      <c r="X41" s="359"/>
      <c r="Y41" s="359"/>
      <c r="Z41" s="359"/>
      <c r="AA41" s="356">
        <f t="shared" si="6"/>
        <v>0</v>
      </c>
      <c r="AB41" s="356">
        <f t="shared" si="7"/>
        <v>0</v>
      </c>
      <c r="AC41" s="356">
        <f t="shared" si="8"/>
        <v>0</v>
      </c>
      <c r="AD41" s="356">
        <f t="shared" si="9"/>
        <v>0</v>
      </c>
      <c r="AE41" s="356">
        <f t="shared" si="10"/>
        <v>0</v>
      </c>
      <c r="AF41" s="356">
        <f t="shared" si="11"/>
        <v>0</v>
      </c>
      <c r="AG41" s="356">
        <f t="shared" si="12"/>
        <v>0</v>
      </c>
      <c r="AH41" s="361">
        <f t="shared" si="13"/>
        <v>1.1000000000000001</v>
      </c>
      <c r="AI41" s="356">
        <f t="shared" si="14"/>
        <v>0</v>
      </c>
      <c r="AJ41" s="356">
        <f t="shared" si="15"/>
        <v>0</v>
      </c>
      <c r="AK41" s="360">
        <f t="shared" si="16"/>
        <v>0</v>
      </c>
      <c r="AL41" s="356" t="str">
        <f t="shared" si="17"/>
        <v>-</v>
      </c>
      <c r="AM41" s="356" t="str">
        <f t="shared" si="18"/>
        <v>-</v>
      </c>
      <c r="AN41" s="356" t="str">
        <f t="shared" si="19"/>
        <v>-</v>
      </c>
      <c r="AO41" s="356" t="e">
        <f t="shared" si="20"/>
        <v>#VALUE!</v>
      </c>
      <c r="AP41" s="358" t="str">
        <f t="shared" si="21"/>
        <v>-</v>
      </c>
      <c r="AQ41" s="357" t="str">
        <f t="shared" si="22"/>
        <v>-</v>
      </c>
      <c r="AR41" s="357" t="str">
        <f t="shared" si="23"/>
        <v>-</v>
      </c>
      <c r="AS41" s="356" t="str">
        <f t="shared" si="24"/>
        <v>-</v>
      </c>
      <c r="AT41" s="355" t="str">
        <f t="shared" si="25"/>
        <v>-</v>
      </c>
      <c r="AU41" s="356" t="str">
        <f t="shared" si="26"/>
        <v>-</v>
      </c>
      <c r="AV41" s="356" t="e">
        <f t="shared" si="27"/>
        <v>#DIV/0!</v>
      </c>
      <c r="AW41" s="355" t="str">
        <f t="shared" si="28"/>
        <v>-</v>
      </c>
      <c r="AX41" s="359"/>
      <c r="AY41" s="356" t="str">
        <f t="shared" si="29"/>
        <v>-</v>
      </c>
      <c r="AZ41" s="356" t="str">
        <f t="shared" si="30"/>
        <v>-</v>
      </c>
      <c r="BA41" s="356">
        <f t="shared" si="31"/>
        <v>0</v>
      </c>
      <c r="BB41" s="356" t="e">
        <f t="shared" si="32"/>
        <v>#VALUE!</v>
      </c>
      <c r="BC41" s="358" t="str">
        <f t="shared" si="33"/>
        <v>-</v>
      </c>
      <c r="BD41" s="356" t="e">
        <f t="shared" si="34"/>
        <v>#VALUE!</v>
      </c>
      <c r="BE41" s="357" t="str">
        <f t="shared" si="35"/>
        <v>-</v>
      </c>
      <c r="BF41" s="357" t="str">
        <f t="shared" si="36"/>
        <v>-</v>
      </c>
      <c r="BG41" s="356">
        <f t="shared" si="37"/>
        <v>0</v>
      </c>
    </row>
    <row r="42" spans="1:59" x14ac:dyDescent="0.25">
      <c r="A42" s="355">
        <f t="shared" si="38"/>
        <v>15</v>
      </c>
      <c r="B42" s="363"/>
      <c r="C42" s="363"/>
      <c r="D42" s="363"/>
      <c r="E42" s="363"/>
      <c r="F42" s="363"/>
      <c r="G42" s="363"/>
      <c r="H42" s="359"/>
      <c r="I42" s="359"/>
      <c r="J42" s="362"/>
      <c r="K42" s="359"/>
      <c r="L42" s="359"/>
      <c r="M42" s="359"/>
      <c r="N42" s="359"/>
      <c r="O42" s="359"/>
      <c r="P42" s="359"/>
      <c r="Q42" s="359"/>
      <c r="R42" s="359"/>
      <c r="S42" s="359"/>
      <c r="T42" s="359"/>
      <c r="U42" s="359"/>
      <c r="V42" s="359"/>
      <c r="W42" s="359"/>
      <c r="X42" s="359"/>
      <c r="Y42" s="359"/>
      <c r="Z42" s="359"/>
      <c r="AA42" s="356">
        <f t="shared" si="6"/>
        <v>0</v>
      </c>
      <c r="AB42" s="356">
        <f t="shared" si="7"/>
        <v>0</v>
      </c>
      <c r="AC42" s="356">
        <f t="shared" si="8"/>
        <v>0</v>
      </c>
      <c r="AD42" s="356">
        <f t="shared" si="9"/>
        <v>0</v>
      </c>
      <c r="AE42" s="356">
        <f t="shared" si="10"/>
        <v>0</v>
      </c>
      <c r="AF42" s="356">
        <f t="shared" si="11"/>
        <v>0</v>
      </c>
      <c r="AG42" s="356">
        <f t="shared" si="12"/>
        <v>0</v>
      </c>
      <c r="AH42" s="361">
        <f t="shared" si="13"/>
        <v>1.1000000000000001</v>
      </c>
      <c r="AI42" s="356">
        <f t="shared" si="14"/>
        <v>0</v>
      </c>
      <c r="AJ42" s="356">
        <f t="shared" si="15"/>
        <v>0</v>
      </c>
      <c r="AK42" s="360">
        <f t="shared" si="16"/>
        <v>0</v>
      </c>
      <c r="AL42" s="356" t="str">
        <f t="shared" si="17"/>
        <v>-</v>
      </c>
      <c r="AM42" s="356" t="str">
        <f t="shared" si="18"/>
        <v>-</v>
      </c>
      <c r="AN42" s="356" t="str">
        <f t="shared" si="19"/>
        <v>-</v>
      </c>
      <c r="AO42" s="356" t="e">
        <f t="shared" si="20"/>
        <v>#VALUE!</v>
      </c>
      <c r="AP42" s="358" t="str">
        <f t="shared" si="21"/>
        <v>-</v>
      </c>
      <c r="AQ42" s="357" t="str">
        <f t="shared" si="22"/>
        <v>-</v>
      </c>
      <c r="AR42" s="357" t="str">
        <f t="shared" si="23"/>
        <v>-</v>
      </c>
      <c r="AS42" s="356" t="str">
        <f t="shared" si="24"/>
        <v>-</v>
      </c>
      <c r="AT42" s="355" t="str">
        <f t="shared" si="25"/>
        <v>-</v>
      </c>
      <c r="AU42" s="356" t="str">
        <f t="shared" si="26"/>
        <v>-</v>
      </c>
      <c r="AV42" s="356" t="e">
        <f t="shared" si="27"/>
        <v>#DIV/0!</v>
      </c>
      <c r="AW42" s="355" t="str">
        <f t="shared" si="28"/>
        <v>-</v>
      </c>
      <c r="AX42" s="359"/>
      <c r="AY42" s="356" t="str">
        <f t="shared" si="29"/>
        <v>-</v>
      </c>
      <c r="AZ42" s="356" t="str">
        <f t="shared" si="30"/>
        <v>-</v>
      </c>
      <c r="BA42" s="356">
        <f t="shared" si="31"/>
        <v>0</v>
      </c>
      <c r="BB42" s="356" t="e">
        <f t="shared" si="32"/>
        <v>#VALUE!</v>
      </c>
      <c r="BC42" s="358" t="str">
        <f t="shared" si="33"/>
        <v>-</v>
      </c>
      <c r="BD42" s="356" t="e">
        <f t="shared" si="34"/>
        <v>#VALUE!</v>
      </c>
      <c r="BE42" s="357" t="str">
        <f t="shared" si="35"/>
        <v>-</v>
      </c>
      <c r="BF42" s="357" t="str">
        <f t="shared" si="36"/>
        <v>-</v>
      </c>
      <c r="BG42" s="356">
        <f t="shared" si="37"/>
        <v>0</v>
      </c>
    </row>
    <row r="43" spans="1:59" x14ac:dyDescent="0.25">
      <c r="A43" s="355">
        <f t="shared" si="38"/>
        <v>16</v>
      </c>
      <c r="B43" s="363"/>
      <c r="C43" s="363"/>
      <c r="D43" s="363"/>
      <c r="E43" s="363"/>
      <c r="F43" s="363"/>
      <c r="G43" s="363"/>
      <c r="H43" s="359"/>
      <c r="I43" s="359"/>
      <c r="J43" s="362"/>
      <c r="K43" s="359"/>
      <c r="L43" s="359"/>
      <c r="M43" s="359"/>
      <c r="N43" s="359"/>
      <c r="O43" s="359"/>
      <c r="P43" s="359"/>
      <c r="Q43" s="359"/>
      <c r="R43" s="359"/>
      <c r="S43" s="359"/>
      <c r="T43" s="359"/>
      <c r="U43" s="359"/>
      <c r="V43" s="359"/>
      <c r="W43" s="359"/>
      <c r="X43" s="359"/>
      <c r="Y43" s="359"/>
      <c r="Z43" s="359"/>
      <c r="AA43" s="356">
        <f t="shared" si="6"/>
        <v>0</v>
      </c>
      <c r="AB43" s="356">
        <f t="shared" si="7"/>
        <v>0</v>
      </c>
      <c r="AC43" s="356">
        <f t="shared" si="8"/>
        <v>0</v>
      </c>
      <c r="AD43" s="356">
        <f t="shared" si="9"/>
        <v>0</v>
      </c>
      <c r="AE43" s="356">
        <f t="shared" si="10"/>
        <v>0</v>
      </c>
      <c r="AF43" s="356">
        <f t="shared" si="11"/>
        <v>0</v>
      </c>
      <c r="AG43" s="356">
        <f t="shared" si="12"/>
        <v>0</v>
      </c>
      <c r="AH43" s="361">
        <f t="shared" si="13"/>
        <v>1.1000000000000001</v>
      </c>
      <c r="AI43" s="356">
        <f t="shared" si="14"/>
        <v>0</v>
      </c>
      <c r="AJ43" s="356">
        <f t="shared" si="15"/>
        <v>0</v>
      </c>
      <c r="AK43" s="360">
        <f t="shared" si="16"/>
        <v>0</v>
      </c>
      <c r="AL43" s="356" t="str">
        <f t="shared" si="17"/>
        <v>-</v>
      </c>
      <c r="AM43" s="356" t="str">
        <f t="shared" si="18"/>
        <v>-</v>
      </c>
      <c r="AN43" s="356" t="str">
        <f t="shared" si="19"/>
        <v>-</v>
      </c>
      <c r="AO43" s="356" t="e">
        <f t="shared" si="20"/>
        <v>#VALUE!</v>
      </c>
      <c r="AP43" s="358" t="str">
        <f t="shared" si="21"/>
        <v>-</v>
      </c>
      <c r="AQ43" s="357" t="str">
        <f t="shared" si="22"/>
        <v>-</v>
      </c>
      <c r="AR43" s="357" t="str">
        <f t="shared" si="23"/>
        <v>-</v>
      </c>
      <c r="AS43" s="356" t="str">
        <f t="shared" si="24"/>
        <v>-</v>
      </c>
      <c r="AT43" s="355" t="str">
        <f t="shared" si="25"/>
        <v>-</v>
      </c>
      <c r="AU43" s="356" t="str">
        <f t="shared" si="26"/>
        <v>-</v>
      </c>
      <c r="AV43" s="356" t="e">
        <f t="shared" si="27"/>
        <v>#DIV/0!</v>
      </c>
      <c r="AW43" s="355" t="str">
        <f t="shared" si="28"/>
        <v>-</v>
      </c>
      <c r="AX43" s="359"/>
      <c r="AY43" s="356" t="str">
        <f t="shared" si="29"/>
        <v>-</v>
      </c>
      <c r="AZ43" s="356" t="str">
        <f t="shared" si="30"/>
        <v>-</v>
      </c>
      <c r="BA43" s="356">
        <f t="shared" si="31"/>
        <v>0</v>
      </c>
      <c r="BB43" s="356" t="e">
        <f t="shared" si="32"/>
        <v>#VALUE!</v>
      </c>
      <c r="BC43" s="358" t="str">
        <f t="shared" si="33"/>
        <v>-</v>
      </c>
      <c r="BD43" s="356" t="e">
        <f t="shared" si="34"/>
        <v>#VALUE!</v>
      </c>
      <c r="BE43" s="357" t="str">
        <f t="shared" si="35"/>
        <v>-</v>
      </c>
      <c r="BF43" s="357" t="str">
        <f t="shared" si="36"/>
        <v>-</v>
      </c>
      <c r="BG43" s="356">
        <f t="shared" si="37"/>
        <v>0</v>
      </c>
    </row>
    <row r="44" spans="1:59" x14ac:dyDescent="0.25">
      <c r="A44" s="355">
        <f t="shared" si="38"/>
        <v>17</v>
      </c>
      <c r="B44" s="363"/>
      <c r="C44" s="363"/>
      <c r="D44" s="363"/>
      <c r="E44" s="363"/>
      <c r="F44" s="363"/>
      <c r="G44" s="363"/>
      <c r="H44" s="359"/>
      <c r="I44" s="359"/>
      <c r="J44" s="362"/>
      <c r="K44" s="359"/>
      <c r="L44" s="359"/>
      <c r="M44" s="359"/>
      <c r="N44" s="359"/>
      <c r="O44" s="359"/>
      <c r="P44" s="359"/>
      <c r="Q44" s="359"/>
      <c r="R44" s="359"/>
      <c r="S44" s="359"/>
      <c r="T44" s="359"/>
      <c r="U44" s="359"/>
      <c r="V44" s="359"/>
      <c r="W44" s="359"/>
      <c r="X44" s="359"/>
      <c r="Y44" s="359"/>
      <c r="Z44" s="359"/>
      <c r="AA44" s="356">
        <f t="shared" si="6"/>
        <v>0</v>
      </c>
      <c r="AB44" s="356">
        <f t="shared" si="7"/>
        <v>0</v>
      </c>
      <c r="AC44" s="356">
        <f t="shared" si="8"/>
        <v>0</v>
      </c>
      <c r="AD44" s="356">
        <f t="shared" si="9"/>
        <v>0</v>
      </c>
      <c r="AE44" s="356">
        <f t="shared" si="10"/>
        <v>0</v>
      </c>
      <c r="AF44" s="356">
        <f t="shared" si="11"/>
        <v>0</v>
      </c>
      <c r="AG44" s="356">
        <f t="shared" si="12"/>
        <v>0</v>
      </c>
      <c r="AH44" s="361">
        <f t="shared" si="13"/>
        <v>1.1000000000000001</v>
      </c>
      <c r="AI44" s="356">
        <f t="shared" si="14"/>
        <v>0</v>
      </c>
      <c r="AJ44" s="356">
        <f t="shared" si="15"/>
        <v>0</v>
      </c>
      <c r="AK44" s="360">
        <f t="shared" si="16"/>
        <v>0</v>
      </c>
      <c r="AL44" s="356" t="str">
        <f t="shared" si="17"/>
        <v>-</v>
      </c>
      <c r="AM44" s="356" t="str">
        <f t="shared" si="18"/>
        <v>-</v>
      </c>
      <c r="AN44" s="356" t="str">
        <f t="shared" si="19"/>
        <v>-</v>
      </c>
      <c r="AO44" s="356" t="e">
        <f t="shared" si="20"/>
        <v>#VALUE!</v>
      </c>
      <c r="AP44" s="358" t="str">
        <f t="shared" si="21"/>
        <v>-</v>
      </c>
      <c r="AQ44" s="357" t="str">
        <f t="shared" si="22"/>
        <v>-</v>
      </c>
      <c r="AR44" s="357" t="str">
        <f t="shared" si="23"/>
        <v>-</v>
      </c>
      <c r="AS44" s="356" t="str">
        <f t="shared" si="24"/>
        <v>-</v>
      </c>
      <c r="AT44" s="355" t="str">
        <f t="shared" si="25"/>
        <v>-</v>
      </c>
      <c r="AU44" s="356" t="str">
        <f t="shared" si="26"/>
        <v>-</v>
      </c>
      <c r="AV44" s="356" t="e">
        <f t="shared" si="27"/>
        <v>#DIV/0!</v>
      </c>
      <c r="AW44" s="355" t="str">
        <f t="shared" si="28"/>
        <v>-</v>
      </c>
      <c r="AX44" s="359"/>
      <c r="AY44" s="356" t="str">
        <f t="shared" si="29"/>
        <v>-</v>
      </c>
      <c r="AZ44" s="356" t="str">
        <f t="shared" si="30"/>
        <v>-</v>
      </c>
      <c r="BA44" s="356">
        <f t="shared" si="31"/>
        <v>0</v>
      </c>
      <c r="BB44" s="356" t="e">
        <f t="shared" si="32"/>
        <v>#VALUE!</v>
      </c>
      <c r="BC44" s="358" t="str">
        <f t="shared" si="33"/>
        <v>-</v>
      </c>
      <c r="BD44" s="356" t="e">
        <f t="shared" si="34"/>
        <v>#VALUE!</v>
      </c>
      <c r="BE44" s="357" t="str">
        <f t="shared" si="35"/>
        <v>-</v>
      </c>
      <c r="BF44" s="357" t="str">
        <f t="shared" si="36"/>
        <v>-</v>
      </c>
      <c r="BG44" s="356">
        <f t="shared" si="37"/>
        <v>0</v>
      </c>
    </row>
    <row r="45" spans="1:59" x14ac:dyDescent="0.25">
      <c r="A45" s="355">
        <f t="shared" si="38"/>
        <v>18</v>
      </c>
      <c r="B45" s="363"/>
      <c r="C45" s="363"/>
      <c r="D45" s="363"/>
      <c r="E45" s="363"/>
      <c r="F45" s="363"/>
      <c r="G45" s="363"/>
      <c r="H45" s="359"/>
      <c r="I45" s="359"/>
      <c r="J45" s="362"/>
      <c r="K45" s="359"/>
      <c r="L45" s="359"/>
      <c r="M45" s="359"/>
      <c r="N45" s="359"/>
      <c r="O45" s="359"/>
      <c r="P45" s="359"/>
      <c r="Q45" s="359"/>
      <c r="R45" s="359"/>
      <c r="S45" s="359"/>
      <c r="T45" s="359"/>
      <c r="U45" s="359"/>
      <c r="V45" s="359"/>
      <c r="W45" s="359"/>
      <c r="X45" s="359"/>
      <c r="Y45" s="359"/>
      <c r="Z45" s="359"/>
      <c r="AA45" s="356">
        <f t="shared" si="6"/>
        <v>0</v>
      </c>
      <c r="AB45" s="356">
        <f t="shared" si="7"/>
        <v>0</v>
      </c>
      <c r="AC45" s="356">
        <f t="shared" si="8"/>
        <v>0</v>
      </c>
      <c r="AD45" s="356">
        <f t="shared" si="9"/>
        <v>0</v>
      </c>
      <c r="AE45" s="356">
        <f t="shared" si="10"/>
        <v>0</v>
      </c>
      <c r="AF45" s="356">
        <f t="shared" si="11"/>
        <v>0</v>
      </c>
      <c r="AG45" s="356">
        <f t="shared" si="12"/>
        <v>0</v>
      </c>
      <c r="AH45" s="361">
        <f t="shared" si="13"/>
        <v>1.1000000000000001</v>
      </c>
      <c r="AI45" s="356">
        <f t="shared" si="14"/>
        <v>0</v>
      </c>
      <c r="AJ45" s="356">
        <f t="shared" si="15"/>
        <v>0</v>
      </c>
      <c r="AK45" s="360">
        <f t="shared" si="16"/>
        <v>0</v>
      </c>
      <c r="AL45" s="356" t="str">
        <f t="shared" si="17"/>
        <v>-</v>
      </c>
      <c r="AM45" s="356" t="str">
        <f t="shared" si="18"/>
        <v>-</v>
      </c>
      <c r="AN45" s="356" t="str">
        <f t="shared" si="19"/>
        <v>-</v>
      </c>
      <c r="AO45" s="356" t="e">
        <f t="shared" si="20"/>
        <v>#VALUE!</v>
      </c>
      <c r="AP45" s="358" t="str">
        <f t="shared" si="21"/>
        <v>-</v>
      </c>
      <c r="AQ45" s="357" t="str">
        <f t="shared" si="22"/>
        <v>-</v>
      </c>
      <c r="AR45" s="357" t="str">
        <f t="shared" si="23"/>
        <v>-</v>
      </c>
      <c r="AS45" s="356" t="str">
        <f t="shared" si="24"/>
        <v>-</v>
      </c>
      <c r="AT45" s="355" t="str">
        <f t="shared" si="25"/>
        <v>-</v>
      </c>
      <c r="AU45" s="356" t="str">
        <f t="shared" si="26"/>
        <v>-</v>
      </c>
      <c r="AV45" s="356" t="e">
        <f t="shared" si="27"/>
        <v>#DIV/0!</v>
      </c>
      <c r="AW45" s="355" t="str">
        <f t="shared" si="28"/>
        <v>-</v>
      </c>
      <c r="AX45" s="359"/>
      <c r="AY45" s="356" t="str">
        <f t="shared" si="29"/>
        <v>-</v>
      </c>
      <c r="AZ45" s="356" t="str">
        <f t="shared" si="30"/>
        <v>-</v>
      </c>
      <c r="BA45" s="356">
        <f t="shared" si="31"/>
        <v>0</v>
      </c>
      <c r="BB45" s="356" t="e">
        <f t="shared" si="32"/>
        <v>#VALUE!</v>
      </c>
      <c r="BC45" s="358" t="str">
        <f t="shared" si="33"/>
        <v>-</v>
      </c>
      <c r="BD45" s="356" t="e">
        <f t="shared" si="34"/>
        <v>#VALUE!</v>
      </c>
      <c r="BE45" s="357" t="str">
        <f t="shared" si="35"/>
        <v>-</v>
      </c>
      <c r="BF45" s="357" t="str">
        <f t="shared" si="36"/>
        <v>-</v>
      </c>
      <c r="BG45" s="356">
        <f t="shared" si="37"/>
        <v>0</v>
      </c>
    </row>
    <row r="46" spans="1:59" x14ac:dyDescent="0.25">
      <c r="A46" s="355">
        <f t="shared" si="38"/>
        <v>19</v>
      </c>
      <c r="B46" s="363"/>
      <c r="C46" s="363"/>
      <c r="D46" s="363"/>
      <c r="E46" s="363"/>
      <c r="F46" s="363"/>
      <c r="G46" s="363"/>
      <c r="H46" s="359"/>
      <c r="I46" s="359"/>
      <c r="J46" s="362"/>
      <c r="K46" s="359"/>
      <c r="L46" s="359"/>
      <c r="M46" s="359"/>
      <c r="N46" s="359"/>
      <c r="O46" s="359"/>
      <c r="P46" s="359"/>
      <c r="Q46" s="359"/>
      <c r="R46" s="359"/>
      <c r="S46" s="359"/>
      <c r="T46" s="359"/>
      <c r="U46" s="359"/>
      <c r="V46" s="359"/>
      <c r="W46" s="359"/>
      <c r="X46" s="359"/>
      <c r="Y46" s="359"/>
      <c r="Z46" s="359"/>
      <c r="AA46" s="356">
        <f t="shared" si="6"/>
        <v>0</v>
      </c>
      <c r="AB46" s="356">
        <f t="shared" si="7"/>
        <v>0</v>
      </c>
      <c r="AC46" s="356">
        <f t="shared" si="8"/>
        <v>0</v>
      </c>
      <c r="AD46" s="356">
        <f t="shared" si="9"/>
        <v>0</v>
      </c>
      <c r="AE46" s="356">
        <f t="shared" si="10"/>
        <v>0</v>
      </c>
      <c r="AF46" s="356">
        <f t="shared" si="11"/>
        <v>0</v>
      </c>
      <c r="AG46" s="356">
        <f t="shared" si="12"/>
        <v>0</v>
      </c>
      <c r="AH46" s="361">
        <f t="shared" si="13"/>
        <v>1.1000000000000001</v>
      </c>
      <c r="AI46" s="356">
        <f t="shared" si="14"/>
        <v>0</v>
      </c>
      <c r="AJ46" s="356">
        <f t="shared" si="15"/>
        <v>0</v>
      </c>
      <c r="AK46" s="360">
        <f t="shared" si="16"/>
        <v>0</v>
      </c>
      <c r="AL46" s="356" t="str">
        <f t="shared" si="17"/>
        <v>-</v>
      </c>
      <c r="AM46" s="356" t="str">
        <f t="shared" si="18"/>
        <v>-</v>
      </c>
      <c r="AN46" s="356" t="str">
        <f t="shared" si="19"/>
        <v>-</v>
      </c>
      <c r="AO46" s="356" t="e">
        <f t="shared" si="20"/>
        <v>#VALUE!</v>
      </c>
      <c r="AP46" s="358" t="str">
        <f t="shared" si="21"/>
        <v>-</v>
      </c>
      <c r="AQ46" s="357" t="str">
        <f t="shared" si="22"/>
        <v>-</v>
      </c>
      <c r="AR46" s="357" t="str">
        <f t="shared" si="23"/>
        <v>-</v>
      </c>
      <c r="AS46" s="356" t="str">
        <f t="shared" si="24"/>
        <v>-</v>
      </c>
      <c r="AT46" s="355" t="str">
        <f t="shared" si="25"/>
        <v>-</v>
      </c>
      <c r="AU46" s="356" t="str">
        <f t="shared" si="26"/>
        <v>-</v>
      </c>
      <c r="AV46" s="356" t="e">
        <f t="shared" si="27"/>
        <v>#DIV/0!</v>
      </c>
      <c r="AW46" s="355" t="str">
        <f t="shared" si="28"/>
        <v>-</v>
      </c>
      <c r="AX46" s="359"/>
      <c r="AY46" s="356" t="str">
        <f t="shared" si="29"/>
        <v>-</v>
      </c>
      <c r="AZ46" s="356" t="str">
        <f t="shared" si="30"/>
        <v>-</v>
      </c>
      <c r="BA46" s="356">
        <f t="shared" si="31"/>
        <v>0</v>
      </c>
      <c r="BB46" s="356" t="e">
        <f t="shared" si="32"/>
        <v>#VALUE!</v>
      </c>
      <c r="BC46" s="358" t="str">
        <f t="shared" si="33"/>
        <v>-</v>
      </c>
      <c r="BD46" s="356" t="e">
        <f t="shared" si="34"/>
        <v>#VALUE!</v>
      </c>
      <c r="BE46" s="357" t="str">
        <f t="shared" si="35"/>
        <v>-</v>
      </c>
      <c r="BF46" s="357" t="str">
        <f t="shared" si="36"/>
        <v>-</v>
      </c>
      <c r="BG46" s="356">
        <f t="shared" si="37"/>
        <v>0</v>
      </c>
    </row>
    <row r="47" spans="1:59" x14ac:dyDescent="0.25">
      <c r="A47" s="355">
        <f t="shared" si="38"/>
        <v>20</v>
      </c>
      <c r="B47" s="363"/>
      <c r="C47" s="363"/>
      <c r="D47" s="363"/>
      <c r="E47" s="363"/>
      <c r="F47" s="363"/>
      <c r="G47" s="363"/>
      <c r="H47" s="359"/>
      <c r="I47" s="359"/>
      <c r="J47" s="362"/>
      <c r="K47" s="359"/>
      <c r="L47" s="359"/>
      <c r="M47" s="359"/>
      <c r="N47" s="359"/>
      <c r="O47" s="359"/>
      <c r="P47" s="359"/>
      <c r="Q47" s="359"/>
      <c r="R47" s="359"/>
      <c r="S47" s="359"/>
      <c r="T47" s="359"/>
      <c r="U47" s="359"/>
      <c r="V47" s="359"/>
      <c r="W47" s="359"/>
      <c r="X47" s="359"/>
      <c r="Y47" s="359"/>
      <c r="Z47" s="359"/>
      <c r="AA47" s="356">
        <f t="shared" si="6"/>
        <v>0</v>
      </c>
      <c r="AB47" s="356">
        <f t="shared" si="7"/>
        <v>0</v>
      </c>
      <c r="AC47" s="356">
        <f t="shared" si="8"/>
        <v>0</v>
      </c>
      <c r="AD47" s="356">
        <f t="shared" si="9"/>
        <v>0</v>
      </c>
      <c r="AE47" s="356">
        <f t="shared" si="10"/>
        <v>0</v>
      </c>
      <c r="AF47" s="356">
        <f t="shared" si="11"/>
        <v>0</v>
      </c>
      <c r="AG47" s="356">
        <f t="shared" si="12"/>
        <v>0</v>
      </c>
      <c r="AH47" s="361">
        <f t="shared" si="13"/>
        <v>1.1000000000000001</v>
      </c>
      <c r="AI47" s="356">
        <f t="shared" si="14"/>
        <v>0</v>
      </c>
      <c r="AJ47" s="356">
        <f t="shared" si="15"/>
        <v>0</v>
      </c>
      <c r="AK47" s="360">
        <f t="shared" si="16"/>
        <v>0</v>
      </c>
      <c r="AL47" s="356" t="str">
        <f t="shared" si="17"/>
        <v>-</v>
      </c>
      <c r="AM47" s="356" t="str">
        <f t="shared" si="18"/>
        <v>-</v>
      </c>
      <c r="AN47" s="356" t="str">
        <f t="shared" si="19"/>
        <v>-</v>
      </c>
      <c r="AO47" s="356" t="e">
        <f t="shared" si="20"/>
        <v>#VALUE!</v>
      </c>
      <c r="AP47" s="358" t="str">
        <f t="shared" si="21"/>
        <v>-</v>
      </c>
      <c r="AQ47" s="357" t="str">
        <f t="shared" si="22"/>
        <v>-</v>
      </c>
      <c r="AR47" s="357" t="str">
        <f t="shared" si="23"/>
        <v>-</v>
      </c>
      <c r="AS47" s="356" t="str">
        <f t="shared" si="24"/>
        <v>-</v>
      </c>
      <c r="AT47" s="355" t="str">
        <f t="shared" si="25"/>
        <v>-</v>
      </c>
      <c r="AU47" s="356" t="str">
        <f t="shared" si="26"/>
        <v>-</v>
      </c>
      <c r="AV47" s="356" t="e">
        <f t="shared" si="27"/>
        <v>#DIV/0!</v>
      </c>
      <c r="AW47" s="355" t="str">
        <f t="shared" si="28"/>
        <v>-</v>
      </c>
      <c r="AX47" s="359"/>
      <c r="AY47" s="356" t="str">
        <f t="shared" si="29"/>
        <v>-</v>
      </c>
      <c r="AZ47" s="356" t="str">
        <f t="shared" si="30"/>
        <v>-</v>
      </c>
      <c r="BA47" s="356">
        <f t="shared" si="31"/>
        <v>0</v>
      </c>
      <c r="BB47" s="356" t="e">
        <f t="shared" si="32"/>
        <v>#VALUE!</v>
      </c>
      <c r="BC47" s="358" t="str">
        <f t="shared" si="33"/>
        <v>-</v>
      </c>
      <c r="BD47" s="356" t="e">
        <f t="shared" si="34"/>
        <v>#VALUE!</v>
      </c>
      <c r="BE47" s="357" t="str">
        <f t="shared" si="35"/>
        <v>-</v>
      </c>
      <c r="BF47" s="357" t="str">
        <f t="shared" si="36"/>
        <v>-</v>
      </c>
      <c r="BG47" s="356">
        <f t="shared" si="37"/>
        <v>0</v>
      </c>
    </row>
    <row r="48" spans="1:59" x14ac:dyDescent="0.25">
      <c r="A48" s="355">
        <f t="shared" si="38"/>
        <v>21</v>
      </c>
      <c r="B48" s="363"/>
      <c r="C48" s="363"/>
      <c r="D48" s="363"/>
      <c r="E48" s="363"/>
      <c r="F48" s="363"/>
      <c r="G48" s="363"/>
      <c r="H48" s="359"/>
      <c r="I48" s="359"/>
      <c r="J48" s="362"/>
      <c r="K48" s="359"/>
      <c r="L48" s="359"/>
      <c r="M48" s="359"/>
      <c r="N48" s="359"/>
      <c r="O48" s="359"/>
      <c r="P48" s="359"/>
      <c r="Q48" s="359"/>
      <c r="R48" s="359"/>
      <c r="S48" s="359"/>
      <c r="T48" s="359"/>
      <c r="U48" s="359"/>
      <c r="V48" s="359"/>
      <c r="W48" s="359"/>
      <c r="X48" s="359"/>
      <c r="Y48" s="359"/>
      <c r="Z48" s="359"/>
      <c r="AA48" s="356">
        <f t="shared" si="6"/>
        <v>0</v>
      </c>
      <c r="AB48" s="356">
        <f t="shared" si="7"/>
        <v>0</v>
      </c>
      <c r="AC48" s="356">
        <f t="shared" si="8"/>
        <v>0</v>
      </c>
      <c r="AD48" s="356">
        <f t="shared" si="9"/>
        <v>0</v>
      </c>
      <c r="AE48" s="356">
        <f t="shared" si="10"/>
        <v>0</v>
      </c>
      <c r="AF48" s="356">
        <f t="shared" si="11"/>
        <v>0</v>
      </c>
      <c r="AG48" s="356">
        <f t="shared" si="12"/>
        <v>0</v>
      </c>
      <c r="AH48" s="361">
        <f t="shared" si="13"/>
        <v>1.1000000000000001</v>
      </c>
      <c r="AI48" s="356">
        <f t="shared" si="14"/>
        <v>0</v>
      </c>
      <c r="AJ48" s="356">
        <f t="shared" si="15"/>
        <v>0</v>
      </c>
      <c r="AK48" s="360">
        <f t="shared" si="16"/>
        <v>0</v>
      </c>
      <c r="AL48" s="356" t="str">
        <f t="shared" si="17"/>
        <v>-</v>
      </c>
      <c r="AM48" s="356" t="str">
        <f t="shared" si="18"/>
        <v>-</v>
      </c>
      <c r="AN48" s="356" t="str">
        <f t="shared" si="19"/>
        <v>-</v>
      </c>
      <c r="AO48" s="356" t="e">
        <f t="shared" si="20"/>
        <v>#VALUE!</v>
      </c>
      <c r="AP48" s="358" t="str">
        <f t="shared" si="21"/>
        <v>-</v>
      </c>
      <c r="AQ48" s="357" t="str">
        <f t="shared" si="22"/>
        <v>-</v>
      </c>
      <c r="AR48" s="357" t="str">
        <f t="shared" si="23"/>
        <v>-</v>
      </c>
      <c r="AS48" s="356" t="str">
        <f t="shared" si="24"/>
        <v>-</v>
      </c>
      <c r="AT48" s="355" t="str">
        <f t="shared" si="25"/>
        <v>-</v>
      </c>
      <c r="AU48" s="356" t="str">
        <f t="shared" si="26"/>
        <v>-</v>
      </c>
      <c r="AV48" s="356" t="e">
        <f t="shared" si="27"/>
        <v>#DIV/0!</v>
      </c>
      <c r="AW48" s="355" t="str">
        <f t="shared" si="28"/>
        <v>-</v>
      </c>
      <c r="AX48" s="359"/>
      <c r="AY48" s="356" t="str">
        <f t="shared" si="29"/>
        <v>-</v>
      </c>
      <c r="AZ48" s="356" t="str">
        <f t="shared" si="30"/>
        <v>-</v>
      </c>
      <c r="BA48" s="356">
        <f t="shared" si="31"/>
        <v>0</v>
      </c>
      <c r="BB48" s="356" t="e">
        <f t="shared" si="32"/>
        <v>#VALUE!</v>
      </c>
      <c r="BC48" s="358" t="str">
        <f t="shared" si="33"/>
        <v>-</v>
      </c>
      <c r="BD48" s="356" t="e">
        <f t="shared" si="34"/>
        <v>#VALUE!</v>
      </c>
      <c r="BE48" s="357" t="str">
        <f t="shared" si="35"/>
        <v>-</v>
      </c>
      <c r="BF48" s="357" t="str">
        <f t="shared" si="36"/>
        <v>-</v>
      </c>
      <c r="BG48" s="356">
        <f t="shared" si="37"/>
        <v>0</v>
      </c>
    </row>
    <row r="49" spans="1:59" x14ac:dyDescent="0.25">
      <c r="A49" s="355">
        <f t="shared" si="38"/>
        <v>22</v>
      </c>
      <c r="B49" s="363"/>
      <c r="C49" s="363"/>
      <c r="D49" s="363"/>
      <c r="E49" s="363"/>
      <c r="F49" s="363"/>
      <c r="G49" s="363"/>
      <c r="H49" s="359"/>
      <c r="I49" s="359"/>
      <c r="J49" s="362"/>
      <c r="K49" s="359"/>
      <c r="L49" s="359"/>
      <c r="M49" s="359"/>
      <c r="N49" s="359"/>
      <c r="O49" s="359"/>
      <c r="P49" s="359"/>
      <c r="Q49" s="359"/>
      <c r="R49" s="359"/>
      <c r="S49" s="359"/>
      <c r="T49" s="359"/>
      <c r="U49" s="359"/>
      <c r="V49" s="359"/>
      <c r="W49" s="359"/>
      <c r="X49" s="359"/>
      <c r="Y49" s="359"/>
      <c r="Z49" s="359"/>
      <c r="AA49" s="356">
        <f t="shared" si="6"/>
        <v>0</v>
      </c>
      <c r="AB49" s="356">
        <f t="shared" si="7"/>
        <v>0</v>
      </c>
      <c r="AC49" s="356">
        <f t="shared" si="8"/>
        <v>0</v>
      </c>
      <c r="AD49" s="356">
        <f t="shared" si="9"/>
        <v>0</v>
      </c>
      <c r="AE49" s="356">
        <f t="shared" si="10"/>
        <v>0</v>
      </c>
      <c r="AF49" s="356">
        <f t="shared" si="11"/>
        <v>0</v>
      </c>
      <c r="AG49" s="356">
        <f t="shared" si="12"/>
        <v>0</v>
      </c>
      <c r="AH49" s="361">
        <f t="shared" si="13"/>
        <v>1.1000000000000001</v>
      </c>
      <c r="AI49" s="356">
        <f t="shared" si="14"/>
        <v>0</v>
      </c>
      <c r="AJ49" s="356">
        <f t="shared" si="15"/>
        <v>0</v>
      </c>
      <c r="AK49" s="360">
        <f t="shared" si="16"/>
        <v>0</v>
      </c>
      <c r="AL49" s="356" t="str">
        <f t="shared" si="17"/>
        <v>-</v>
      </c>
      <c r="AM49" s="356" t="str">
        <f t="shared" si="18"/>
        <v>-</v>
      </c>
      <c r="AN49" s="356" t="str">
        <f t="shared" si="19"/>
        <v>-</v>
      </c>
      <c r="AO49" s="356" t="e">
        <f t="shared" si="20"/>
        <v>#VALUE!</v>
      </c>
      <c r="AP49" s="358" t="str">
        <f t="shared" si="21"/>
        <v>-</v>
      </c>
      <c r="AQ49" s="357" t="str">
        <f t="shared" si="22"/>
        <v>-</v>
      </c>
      <c r="AR49" s="357" t="str">
        <f t="shared" si="23"/>
        <v>-</v>
      </c>
      <c r="AS49" s="356" t="str">
        <f t="shared" si="24"/>
        <v>-</v>
      </c>
      <c r="AT49" s="355" t="str">
        <f t="shared" si="25"/>
        <v>-</v>
      </c>
      <c r="AU49" s="356" t="str">
        <f t="shared" si="26"/>
        <v>-</v>
      </c>
      <c r="AV49" s="356" t="e">
        <f t="shared" si="27"/>
        <v>#DIV/0!</v>
      </c>
      <c r="AW49" s="355" t="str">
        <f t="shared" si="28"/>
        <v>-</v>
      </c>
      <c r="AX49" s="359"/>
      <c r="AY49" s="356" t="str">
        <f t="shared" si="29"/>
        <v>-</v>
      </c>
      <c r="AZ49" s="356" t="str">
        <f t="shared" si="30"/>
        <v>-</v>
      </c>
      <c r="BA49" s="356">
        <f t="shared" si="31"/>
        <v>0</v>
      </c>
      <c r="BB49" s="356" t="e">
        <f t="shared" si="32"/>
        <v>#VALUE!</v>
      </c>
      <c r="BC49" s="358" t="str">
        <f t="shared" si="33"/>
        <v>-</v>
      </c>
      <c r="BD49" s="356" t="e">
        <f t="shared" si="34"/>
        <v>#VALUE!</v>
      </c>
      <c r="BE49" s="357" t="str">
        <f t="shared" si="35"/>
        <v>-</v>
      </c>
      <c r="BF49" s="357" t="str">
        <f t="shared" si="36"/>
        <v>-</v>
      </c>
      <c r="BG49" s="356">
        <f t="shared" si="37"/>
        <v>0</v>
      </c>
    </row>
    <row r="50" spans="1:59" x14ac:dyDescent="0.25">
      <c r="A50" s="355">
        <f t="shared" si="38"/>
        <v>23</v>
      </c>
      <c r="B50" s="363"/>
      <c r="C50" s="363"/>
      <c r="D50" s="363"/>
      <c r="E50" s="363"/>
      <c r="F50" s="363"/>
      <c r="G50" s="363"/>
      <c r="H50" s="359"/>
      <c r="I50" s="359"/>
      <c r="J50" s="362"/>
      <c r="K50" s="359"/>
      <c r="L50" s="359"/>
      <c r="M50" s="359"/>
      <c r="N50" s="359"/>
      <c r="O50" s="359"/>
      <c r="P50" s="359"/>
      <c r="Q50" s="359"/>
      <c r="R50" s="359"/>
      <c r="S50" s="359"/>
      <c r="T50" s="359"/>
      <c r="U50" s="359"/>
      <c r="V50" s="359"/>
      <c r="W50" s="359"/>
      <c r="X50" s="359"/>
      <c r="Y50" s="359"/>
      <c r="Z50" s="359"/>
      <c r="AA50" s="356">
        <f t="shared" si="6"/>
        <v>0</v>
      </c>
      <c r="AB50" s="356">
        <f t="shared" si="7"/>
        <v>0</v>
      </c>
      <c r="AC50" s="356">
        <f t="shared" si="8"/>
        <v>0</v>
      </c>
      <c r="AD50" s="356">
        <f t="shared" si="9"/>
        <v>0</v>
      </c>
      <c r="AE50" s="356">
        <f t="shared" si="10"/>
        <v>0</v>
      </c>
      <c r="AF50" s="356">
        <f t="shared" si="11"/>
        <v>0</v>
      </c>
      <c r="AG50" s="356">
        <f t="shared" si="12"/>
        <v>0</v>
      </c>
      <c r="AH50" s="361">
        <f t="shared" si="13"/>
        <v>1.1000000000000001</v>
      </c>
      <c r="AI50" s="356">
        <f t="shared" si="14"/>
        <v>0</v>
      </c>
      <c r="AJ50" s="356">
        <f t="shared" si="15"/>
        <v>0</v>
      </c>
      <c r="AK50" s="360">
        <f t="shared" si="16"/>
        <v>0</v>
      </c>
      <c r="AL50" s="356" t="str">
        <f t="shared" si="17"/>
        <v>-</v>
      </c>
      <c r="AM50" s="356" t="str">
        <f t="shared" si="18"/>
        <v>-</v>
      </c>
      <c r="AN50" s="356" t="str">
        <f t="shared" si="19"/>
        <v>-</v>
      </c>
      <c r="AO50" s="356" t="e">
        <f t="shared" si="20"/>
        <v>#VALUE!</v>
      </c>
      <c r="AP50" s="358" t="str">
        <f t="shared" si="21"/>
        <v>-</v>
      </c>
      <c r="AQ50" s="357" t="str">
        <f t="shared" si="22"/>
        <v>-</v>
      </c>
      <c r="AR50" s="357" t="str">
        <f t="shared" si="23"/>
        <v>-</v>
      </c>
      <c r="AS50" s="356" t="str">
        <f t="shared" si="24"/>
        <v>-</v>
      </c>
      <c r="AT50" s="355" t="str">
        <f t="shared" si="25"/>
        <v>-</v>
      </c>
      <c r="AU50" s="356" t="str">
        <f t="shared" si="26"/>
        <v>-</v>
      </c>
      <c r="AV50" s="356" t="e">
        <f t="shared" si="27"/>
        <v>#DIV/0!</v>
      </c>
      <c r="AW50" s="355" t="str">
        <f t="shared" si="28"/>
        <v>-</v>
      </c>
      <c r="AX50" s="359"/>
      <c r="AY50" s="356" t="str">
        <f t="shared" si="29"/>
        <v>-</v>
      </c>
      <c r="AZ50" s="356" t="str">
        <f t="shared" si="30"/>
        <v>-</v>
      </c>
      <c r="BA50" s="356">
        <f t="shared" si="31"/>
        <v>0</v>
      </c>
      <c r="BB50" s="356" t="e">
        <f t="shared" si="32"/>
        <v>#VALUE!</v>
      </c>
      <c r="BC50" s="358" t="str">
        <f t="shared" si="33"/>
        <v>-</v>
      </c>
      <c r="BD50" s="356" t="e">
        <f t="shared" si="34"/>
        <v>#VALUE!</v>
      </c>
      <c r="BE50" s="357" t="str">
        <f t="shared" si="35"/>
        <v>-</v>
      </c>
      <c r="BF50" s="357" t="str">
        <f t="shared" si="36"/>
        <v>-</v>
      </c>
      <c r="BG50" s="356">
        <f t="shared" si="37"/>
        <v>0</v>
      </c>
    </row>
    <row r="51" spans="1:59" x14ac:dyDescent="0.25">
      <c r="A51" s="355">
        <f t="shared" si="38"/>
        <v>24</v>
      </c>
      <c r="B51" s="363"/>
      <c r="C51" s="363"/>
      <c r="D51" s="363"/>
      <c r="E51" s="363"/>
      <c r="F51" s="363"/>
      <c r="G51" s="363"/>
      <c r="H51" s="359"/>
      <c r="I51" s="359"/>
      <c r="J51" s="362"/>
      <c r="K51" s="359"/>
      <c r="L51" s="359"/>
      <c r="M51" s="359"/>
      <c r="N51" s="359"/>
      <c r="O51" s="359"/>
      <c r="P51" s="359"/>
      <c r="Q51" s="359"/>
      <c r="R51" s="359"/>
      <c r="S51" s="359"/>
      <c r="T51" s="359"/>
      <c r="U51" s="359"/>
      <c r="V51" s="359"/>
      <c r="W51" s="359"/>
      <c r="X51" s="359"/>
      <c r="Y51" s="359"/>
      <c r="Z51" s="359"/>
      <c r="AA51" s="356">
        <f t="shared" si="6"/>
        <v>0</v>
      </c>
      <c r="AB51" s="356">
        <f t="shared" si="7"/>
        <v>0</v>
      </c>
      <c r="AC51" s="356">
        <f t="shared" si="8"/>
        <v>0</v>
      </c>
      <c r="AD51" s="356">
        <f t="shared" si="9"/>
        <v>0</v>
      </c>
      <c r="AE51" s="356">
        <f t="shared" si="10"/>
        <v>0</v>
      </c>
      <c r="AF51" s="356">
        <f t="shared" si="11"/>
        <v>0</v>
      </c>
      <c r="AG51" s="356">
        <f t="shared" si="12"/>
        <v>0</v>
      </c>
      <c r="AH51" s="361">
        <f t="shared" si="13"/>
        <v>1.1000000000000001</v>
      </c>
      <c r="AI51" s="356">
        <f t="shared" si="14"/>
        <v>0</v>
      </c>
      <c r="AJ51" s="356">
        <f t="shared" si="15"/>
        <v>0</v>
      </c>
      <c r="AK51" s="360">
        <f t="shared" si="16"/>
        <v>0</v>
      </c>
      <c r="AL51" s="356" t="str">
        <f t="shared" si="17"/>
        <v>-</v>
      </c>
      <c r="AM51" s="356" t="str">
        <f t="shared" si="18"/>
        <v>-</v>
      </c>
      <c r="AN51" s="356" t="str">
        <f t="shared" si="19"/>
        <v>-</v>
      </c>
      <c r="AO51" s="356" t="e">
        <f t="shared" si="20"/>
        <v>#VALUE!</v>
      </c>
      <c r="AP51" s="358" t="str">
        <f t="shared" si="21"/>
        <v>-</v>
      </c>
      <c r="AQ51" s="357" t="str">
        <f t="shared" si="22"/>
        <v>-</v>
      </c>
      <c r="AR51" s="357" t="str">
        <f t="shared" si="23"/>
        <v>-</v>
      </c>
      <c r="AS51" s="356" t="str">
        <f t="shared" si="24"/>
        <v>-</v>
      </c>
      <c r="AT51" s="355" t="str">
        <f t="shared" si="25"/>
        <v>-</v>
      </c>
      <c r="AU51" s="356" t="str">
        <f t="shared" si="26"/>
        <v>-</v>
      </c>
      <c r="AV51" s="356" t="e">
        <f t="shared" si="27"/>
        <v>#DIV/0!</v>
      </c>
      <c r="AW51" s="355" t="str">
        <f t="shared" si="28"/>
        <v>-</v>
      </c>
      <c r="AX51" s="359"/>
      <c r="AY51" s="356" t="str">
        <f t="shared" si="29"/>
        <v>-</v>
      </c>
      <c r="AZ51" s="356" t="str">
        <f t="shared" si="30"/>
        <v>-</v>
      </c>
      <c r="BA51" s="356">
        <f t="shared" si="31"/>
        <v>0</v>
      </c>
      <c r="BB51" s="356" t="e">
        <f t="shared" si="32"/>
        <v>#VALUE!</v>
      </c>
      <c r="BC51" s="358" t="str">
        <f t="shared" si="33"/>
        <v>-</v>
      </c>
      <c r="BD51" s="356" t="e">
        <f t="shared" si="34"/>
        <v>#VALUE!</v>
      </c>
      <c r="BE51" s="357" t="str">
        <f t="shared" si="35"/>
        <v>-</v>
      </c>
      <c r="BF51" s="357" t="str">
        <f t="shared" si="36"/>
        <v>-</v>
      </c>
      <c r="BG51" s="356">
        <f t="shared" si="37"/>
        <v>0</v>
      </c>
    </row>
    <row r="52" spans="1:59" x14ac:dyDescent="0.25">
      <c r="A52" s="355">
        <f t="shared" si="38"/>
        <v>25</v>
      </c>
      <c r="B52" s="363"/>
      <c r="C52" s="363"/>
      <c r="D52" s="363"/>
      <c r="E52" s="363"/>
      <c r="F52" s="363"/>
      <c r="G52" s="363"/>
      <c r="H52" s="359"/>
      <c r="I52" s="359"/>
      <c r="J52" s="362"/>
      <c r="K52" s="359"/>
      <c r="L52" s="359"/>
      <c r="M52" s="359"/>
      <c r="N52" s="359"/>
      <c r="O52" s="359"/>
      <c r="P52" s="359"/>
      <c r="Q52" s="359"/>
      <c r="R52" s="359"/>
      <c r="S52" s="359"/>
      <c r="T52" s="359"/>
      <c r="U52" s="359"/>
      <c r="V52" s="359"/>
      <c r="W52" s="359"/>
      <c r="X52" s="359"/>
      <c r="Y52" s="359"/>
      <c r="Z52" s="359"/>
      <c r="AA52" s="356">
        <f t="shared" si="6"/>
        <v>0</v>
      </c>
      <c r="AB52" s="356">
        <f t="shared" si="7"/>
        <v>0</v>
      </c>
      <c r="AC52" s="356">
        <f t="shared" si="8"/>
        <v>0</v>
      </c>
      <c r="AD52" s="356">
        <f t="shared" si="9"/>
        <v>0</v>
      </c>
      <c r="AE52" s="356">
        <f t="shared" si="10"/>
        <v>0</v>
      </c>
      <c r="AF52" s="356">
        <f t="shared" si="11"/>
        <v>0</v>
      </c>
      <c r="AG52" s="356">
        <f t="shared" si="12"/>
        <v>0</v>
      </c>
      <c r="AH52" s="361">
        <f t="shared" si="13"/>
        <v>1.1000000000000001</v>
      </c>
      <c r="AI52" s="356">
        <f t="shared" si="14"/>
        <v>0</v>
      </c>
      <c r="AJ52" s="356">
        <f t="shared" si="15"/>
        <v>0</v>
      </c>
      <c r="AK52" s="360">
        <f t="shared" si="16"/>
        <v>0</v>
      </c>
      <c r="AL52" s="356" t="str">
        <f t="shared" si="17"/>
        <v>-</v>
      </c>
      <c r="AM52" s="356" t="str">
        <f t="shared" si="18"/>
        <v>-</v>
      </c>
      <c r="AN52" s="356" t="str">
        <f t="shared" si="19"/>
        <v>-</v>
      </c>
      <c r="AO52" s="356" t="e">
        <f t="shared" si="20"/>
        <v>#VALUE!</v>
      </c>
      <c r="AP52" s="358" t="str">
        <f t="shared" si="21"/>
        <v>-</v>
      </c>
      <c r="AQ52" s="357" t="str">
        <f t="shared" si="22"/>
        <v>-</v>
      </c>
      <c r="AR52" s="357" t="str">
        <f t="shared" si="23"/>
        <v>-</v>
      </c>
      <c r="AS52" s="356" t="str">
        <f t="shared" si="24"/>
        <v>-</v>
      </c>
      <c r="AT52" s="355" t="str">
        <f t="shared" si="25"/>
        <v>-</v>
      </c>
      <c r="AU52" s="356" t="str">
        <f t="shared" si="26"/>
        <v>-</v>
      </c>
      <c r="AV52" s="356" t="e">
        <f t="shared" si="27"/>
        <v>#DIV/0!</v>
      </c>
      <c r="AW52" s="355" t="str">
        <f t="shared" si="28"/>
        <v>-</v>
      </c>
      <c r="AX52" s="359"/>
      <c r="AY52" s="356" t="str">
        <f t="shared" si="29"/>
        <v>-</v>
      </c>
      <c r="AZ52" s="356" t="str">
        <f t="shared" si="30"/>
        <v>-</v>
      </c>
      <c r="BA52" s="356">
        <f t="shared" si="31"/>
        <v>0</v>
      </c>
      <c r="BB52" s="356" t="e">
        <f t="shared" si="32"/>
        <v>#VALUE!</v>
      </c>
      <c r="BC52" s="358" t="str">
        <f t="shared" si="33"/>
        <v>-</v>
      </c>
      <c r="BD52" s="356" t="e">
        <f t="shared" si="34"/>
        <v>#VALUE!</v>
      </c>
      <c r="BE52" s="357" t="str">
        <f t="shared" si="35"/>
        <v>-</v>
      </c>
      <c r="BF52" s="357" t="str">
        <f t="shared" si="36"/>
        <v>-</v>
      </c>
      <c r="BG52" s="356">
        <f t="shared" si="37"/>
        <v>0</v>
      </c>
    </row>
    <row r="53" spans="1:59" x14ac:dyDescent="0.25">
      <c r="A53" s="355">
        <f t="shared" si="38"/>
        <v>26</v>
      </c>
      <c r="B53" s="363"/>
      <c r="C53" s="363"/>
      <c r="D53" s="363"/>
      <c r="E53" s="363"/>
      <c r="F53" s="363"/>
      <c r="G53" s="363"/>
      <c r="H53" s="359"/>
      <c r="I53" s="359"/>
      <c r="J53" s="362"/>
      <c r="K53" s="359"/>
      <c r="L53" s="359"/>
      <c r="M53" s="359"/>
      <c r="N53" s="359"/>
      <c r="O53" s="359"/>
      <c r="P53" s="359"/>
      <c r="Q53" s="359"/>
      <c r="R53" s="359"/>
      <c r="S53" s="359"/>
      <c r="T53" s="359"/>
      <c r="U53" s="359"/>
      <c r="V53" s="359"/>
      <c r="W53" s="359"/>
      <c r="X53" s="359"/>
      <c r="Y53" s="359"/>
      <c r="Z53" s="359"/>
      <c r="AA53" s="356">
        <f t="shared" si="6"/>
        <v>0</v>
      </c>
      <c r="AB53" s="356">
        <f t="shared" si="7"/>
        <v>0</v>
      </c>
      <c r="AC53" s="356">
        <f t="shared" si="8"/>
        <v>0</v>
      </c>
      <c r="AD53" s="356">
        <f t="shared" si="9"/>
        <v>0</v>
      </c>
      <c r="AE53" s="356">
        <f t="shared" si="10"/>
        <v>0</v>
      </c>
      <c r="AF53" s="356">
        <f t="shared" si="11"/>
        <v>0</v>
      </c>
      <c r="AG53" s="356">
        <f t="shared" si="12"/>
        <v>0</v>
      </c>
      <c r="AH53" s="361">
        <f t="shared" si="13"/>
        <v>1.1000000000000001</v>
      </c>
      <c r="AI53" s="356">
        <f t="shared" si="14"/>
        <v>0</v>
      </c>
      <c r="AJ53" s="356">
        <f t="shared" si="15"/>
        <v>0</v>
      </c>
      <c r="AK53" s="360">
        <f t="shared" si="16"/>
        <v>0</v>
      </c>
      <c r="AL53" s="356" t="str">
        <f t="shared" si="17"/>
        <v>-</v>
      </c>
      <c r="AM53" s="356" t="str">
        <f t="shared" si="18"/>
        <v>-</v>
      </c>
      <c r="AN53" s="356" t="str">
        <f t="shared" si="19"/>
        <v>-</v>
      </c>
      <c r="AO53" s="356" t="e">
        <f t="shared" si="20"/>
        <v>#VALUE!</v>
      </c>
      <c r="AP53" s="358" t="str">
        <f t="shared" si="21"/>
        <v>-</v>
      </c>
      <c r="AQ53" s="357" t="str">
        <f t="shared" si="22"/>
        <v>-</v>
      </c>
      <c r="AR53" s="357" t="str">
        <f t="shared" si="23"/>
        <v>-</v>
      </c>
      <c r="AS53" s="356" t="str">
        <f t="shared" si="24"/>
        <v>-</v>
      </c>
      <c r="AT53" s="355" t="str">
        <f t="shared" si="25"/>
        <v>-</v>
      </c>
      <c r="AU53" s="356" t="str">
        <f t="shared" si="26"/>
        <v>-</v>
      </c>
      <c r="AV53" s="356" t="e">
        <f t="shared" si="27"/>
        <v>#DIV/0!</v>
      </c>
      <c r="AW53" s="355" t="str">
        <f t="shared" si="28"/>
        <v>-</v>
      </c>
      <c r="AX53" s="359"/>
      <c r="AY53" s="356" t="str">
        <f t="shared" si="29"/>
        <v>-</v>
      </c>
      <c r="AZ53" s="356" t="str">
        <f t="shared" si="30"/>
        <v>-</v>
      </c>
      <c r="BA53" s="356">
        <f t="shared" si="31"/>
        <v>0</v>
      </c>
      <c r="BB53" s="356" t="e">
        <f t="shared" si="32"/>
        <v>#VALUE!</v>
      </c>
      <c r="BC53" s="358" t="str">
        <f t="shared" si="33"/>
        <v>-</v>
      </c>
      <c r="BD53" s="356" t="e">
        <f t="shared" si="34"/>
        <v>#VALUE!</v>
      </c>
      <c r="BE53" s="357" t="str">
        <f t="shared" si="35"/>
        <v>-</v>
      </c>
      <c r="BF53" s="357" t="str">
        <f t="shared" si="36"/>
        <v>-</v>
      </c>
      <c r="BG53" s="356">
        <f t="shared" si="37"/>
        <v>0</v>
      </c>
    </row>
    <row r="54" spans="1:59" x14ac:dyDescent="0.25">
      <c r="A54" s="355">
        <f t="shared" si="38"/>
        <v>27</v>
      </c>
      <c r="B54" s="363"/>
      <c r="C54" s="363"/>
      <c r="D54" s="363"/>
      <c r="E54" s="363"/>
      <c r="F54" s="363"/>
      <c r="G54" s="363"/>
      <c r="H54" s="359"/>
      <c r="I54" s="359"/>
      <c r="J54" s="362"/>
      <c r="K54" s="359"/>
      <c r="L54" s="359"/>
      <c r="M54" s="359"/>
      <c r="N54" s="359"/>
      <c r="O54" s="359"/>
      <c r="P54" s="359"/>
      <c r="Q54" s="359"/>
      <c r="R54" s="359"/>
      <c r="S54" s="359"/>
      <c r="T54" s="359"/>
      <c r="U54" s="359"/>
      <c r="V54" s="359"/>
      <c r="W54" s="359"/>
      <c r="X54" s="359"/>
      <c r="Y54" s="359"/>
      <c r="Z54" s="359"/>
      <c r="AA54" s="356">
        <f t="shared" si="6"/>
        <v>0</v>
      </c>
      <c r="AB54" s="356">
        <f t="shared" si="7"/>
        <v>0</v>
      </c>
      <c r="AC54" s="356">
        <f t="shared" si="8"/>
        <v>0</v>
      </c>
      <c r="AD54" s="356">
        <f t="shared" si="9"/>
        <v>0</v>
      </c>
      <c r="AE54" s="356">
        <f t="shared" si="10"/>
        <v>0</v>
      </c>
      <c r="AF54" s="356">
        <f t="shared" si="11"/>
        <v>0</v>
      </c>
      <c r="AG54" s="356">
        <f t="shared" si="12"/>
        <v>0</v>
      </c>
      <c r="AH54" s="361">
        <f t="shared" si="13"/>
        <v>1.1000000000000001</v>
      </c>
      <c r="AI54" s="356">
        <f t="shared" si="14"/>
        <v>0</v>
      </c>
      <c r="AJ54" s="356">
        <f t="shared" si="15"/>
        <v>0</v>
      </c>
      <c r="AK54" s="360">
        <f t="shared" si="16"/>
        <v>0</v>
      </c>
      <c r="AL54" s="356" t="str">
        <f t="shared" si="17"/>
        <v>-</v>
      </c>
      <c r="AM54" s="356" t="str">
        <f t="shared" si="18"/>
        <v>-</v>
      </c>
      <c r="AN54" s="356" t="str">
        <f t="shared" si="19"/>
        <v>-</v>
      </c>
      <c r="AO54" s="356" t="e">
        <f t="shared" si="20"/>
        <v>#VALUE!</v>
      </c>
      <c r="AP54" s="358" t="str">
        <f t="shared" si="21"/>
        <v>-</v>
      </c>
      <c r="AQ54" s="357" t="str">
        <f t="shared" si="22"/>
        <v>-</v>
      </c>
      <c r="AR54" s="357" t="str">
        <f t="shared" si="23"/>
        <v>-</v>
      </c>
      <c r="AS54" s="356" t="str">
        <f t="shared" si="24"/>
        <v>-</v>
      </c>
      <c r="AT54" s="355" t="str">
        <f t="shared" si="25"/>
        <v>-</v>
      </c>
      <c r="AU54" s="356" t="str">
        <f t="shared" si="26"/>
        <v>-</v>
      </c>
      <c r="AV54" s="356" t="e">
        <f t="shared" si="27"/>
        <v>#DIV/0!</v>
      </c>
      <c r="AW54" s="355" t="str">
        <f t="shared" si="28"/>
        <v>-</v>
      </c>
      <c r="AX54" s="359"/>
      <c r="AY54" s="356" t="str">
        <f t="shared" si="29"/>
        <v>-</v>
      </c>
      <c r="AZ54" s="356" t="str">
        <f t="shared" si="30"/>
        <v>-</v>
      </c>
      <c r="BA54" s="356">
        <f t="shared" si="31"/>
        <v>0</v>
      </c>
      <c r="BB54" s="356" t="e">
        <f t="shared" si="32"/>
        <v>#VALUE!</v>
      </c>
      <c r="BC54" s="358" t="str">
        <f t="shared" si="33"/>
        <v>-</v>
      </c>
      <c r="BD54" s="356" t="e">
        <f t="shared" si="34"/>
        <v>#VALUE!</v>
      </c>
      <c r="BE54" s="357" t="str">
        <f t="shared" si="35"/>
        <v>-</v>
      </c>
      <c r="BF54" s="357" t="str">
        <f t="shared" si="36"/>
        <v>-</v>
      </c>
      <c r="BG54" s="356">
        <f t="shared" si="37"/>
        <v>0</v>
      </c>
    </row>
    <row r="55" spans="1:59" x14ac:dyDescent="0.25">
      <c r="A55" s="355">
        <f t="shared" si="38"/>
        <v>28</v>
      </c>
      <c r="B55" s="363"/>
      <c r="C55" s="363"/>
      <c r="D55" s="363"/>
      <c r="E55" s="363"/>
      <c r="F55" s="363"/>
      <c r="G55" s="363"/>
      <c r="H55" s="359"/>
      <c r="I55" s="359"/>
      <c r="J55" s="362"/>
      <c r="K55" s="359"/>
      <c r="L55" s="359"/>
      <c r="M55" s="359"/>
      <c r="N55" s="359"/>
      <c r="O55" s="359"/>
      <c r="P55" s="359"/>
      <c r="Q55" s="359"/>
      <c r="R55" s="359"/>
      <c r="S55" s="359"/>
      <c r="T55" s="359"/>
      <c r="U55" s="359"/>
      <c r="V55" s="359"/>
      <c r="W55" s="359"/>
      <c r="X55" s="359"/>
      <c r="Y55" s="359"/>
      <c r="Z55" s="359"/>
      <c r="AA55" s="356">
        <f t="shared" si="6"/>
        <v>0</v>
      </c>
      <c r="AB55" s="356">
        <f t="shared" si="7"/>
        <v>0</v>
      </c>
      <c r="AC55" s="356">
        <f t="shared" si="8"/>
        <v>0</v>
      </c>
      <c r="AD55" s="356">
        <f t="shared" si="9"/>
        <v>0</v>
      </c>
      <c r="AE55" s="356">
        <f t="shared" si="10"/>
        <v>0</v>
      </c>
      <c r="AF55" s="356">
        <f t="shared" si="11"/>
        <v>0</v>
      </c>
      <c r="AG55" s="356">
        <f t="shared" si="12"/>
        <v>0</v>
      </c>
      <c r="AH55" s="361">
        <f t="shared" si="13"/>
        <v>1.1000000000000001</v>
      </c>
      <c r="AI55" s="356">
        <f t="shared" si="14"/>
        <v>0</v>
      </c>
      <c r="AJ55" s="356">
        <f t="shared" si="15"/>
        <v>0</v>
      </c>
      <c r="AK55" s="360">
        <f t="shared" si="16"/>
        <v>0</v>
      </c>
      <c r="AL55" s="356" t="str">
        <f t="shared" si="17"/>
        <v>-</v>
      </c>
      <c r="AM55" s="356" t="str">
        <f t="shared" si="18"/>
        <v>-</v>
      </c>
      <c r="AN55" s="356" t="str">
        <f t="shared" si="19"/>
        <v>-</v>
      </c>
      <c r="AO55" s="356" t="e">
        <f t="shared" si="20"/>
        <v>#VALUE!</v>
      </c>
      <c r="AP55" s="358" t="str">
        <f t="shared" si="21"/>
        <v>-</v>
      </c>
      <c r="AQ55" s="357" t="str">
        <f t="shared" si="22"/>
        <v>-</v>
      </c>
      <c r="AR55" s="357" t="str">
        <f t="shared" si="23"/>
        <v>-</v>
      </c>
      <c r="AS55" s="356" t="str">
        <f t="shared" si="24"/>
        <v>-</v>
      </c>
      <c r="AT55" s="355" t="str">
        <f t="shared" si="25"/>
        <v>-</v>
      </c>
      <c r="AU55" s="356" t="str">
        <f t="shared" si="26"/>
        <v>-</v>
      </c>
      <c r="AV55" s="356" t="e">
        <f t="shared" si="27"/>
        <v>#DIV/0!</v>
      </c>
      <c r="AW55" s="355" t="str">
        <f t="shared" si="28"/>
        <v>-</v>
      </c>
      <c r="AX55" s="359"/>
      <c r="AY55" s="356" t="str">
        <f t="shared" si="29"/>
        <v>-</v>
      </c>
      <c r="AZ55" s="356" t="str">
        <f t="shared" si="30"/>
        <v>-</v>
      </c>
      <c r="BA55" s="356">
        <f t="shared" si="31"/>
        <v>0</v>
      </c>
      <c r="BB55" s="356" t="e">
        <f t="shared" si="32"/>
        <v>#VALUE!</v>
      </c>
      <c r="BC55" s="358" t="str">
        <f t="shared" si="33"/>
        <v>-</v>
      </c>
      <c r="BD55" s="356" t="e">
        <f t="shared" si="34"/>
        <v>#VALUE!</v>
      </c>
      <c r="BE55" s="357" t="str">
        <f t="shared" si="35"/>
        <v>-</v>
      </c>
      <c r="BF55" s="357" t="str">
        <f t="shared" si="36"/>
        <v>-</v>
      </c>
      <c r="BG55" s="356">
        <f t="shared" si="37"/>
        <v>0</v>
      </c>
    </row>
    <row r="56" spans="1:59" x14ac:dyDescent="0.25">
      <c r="A56" s="355">
        <f t="shared" si="38"/>
        <v>29</v>
      </c>
      <c r="B56" s="363"/>
      <c r="C56" s="363"/>
      <c r="D56" s="363"/>
      <c r="E56" s="363"/>
      <c r="F56" s="363"/>
      <c r="G56" s="363"/>
      <c r="H56" s="359"/>
      <c r="I56" s="359"/>
      <c r="J56" s="362"/>
      <c r="K56" s="359"/>
      <c r="L56" s="359"/>
      <c r="M56" s="359"/>
      <c r="N56" s="359"/>
      <c r="O56" s="359"/>
      <c r="P56" s="359"/>
      <c r="Q56" s="359"/>
      <c r="R56" s="359"/>
      <c r="S56" s="359"/>
      <c r="T56" s="359"/>
      <c r="U56" s="359"/>
      <c r="V56" s="359"/>
      <c r="W56" s="359"/>
      <c r="X56" s="359"/>
      <c r="Y56" s="359"/>
      <c r="Z56" s="359"/>
      <c r="AA56" s="356">
        <f t="shared" si="6"/>
        <v>0</v>
      </c>
      <c r="AB56" s="356">
        <f t="shared" si="7"/>
        <v>0</v>
      </c>
      <c r="AC56" s="356">
        <f t="shared" si="8"/>
        <v>0</v>
      </c>
      <c r="AD56" s="356">
        <f t="shared" si="9"/>
        <v>0</v>
      </c>
      <c r="AE56" s="356">
        <f t="shared" si="10"/>
        <v>0</v>
      </c>
      <c r="AF56" s="356">
        <f t="shared" si="11"/>
        <v>0</v>
      </c>
      <c r="AG56" s="356">
        <f t="shared" si="12"/>
        <v>0</v>
      </c>
      <c r="AH56" s="361">
        <f t="shared" si="13"/>
        <v>1.1000000000000001</v>
      </c>
      <c r="AI56" s="356">
        <f t="shared" si="14"/>
        <v>0</v>
      </c>
      <c r="AJ56" s="356">
        <f t="shared" si="15"/>
        <v>0</v>
      </c>
      <c r="AK56" s="360">
        <f t="shared" si="16"/>
        <v>0</v>
      </c>
      <c r="AL56" s="356" t="str">
        <f t="shared" si="17"/>
        <v>-</v>
      </c>
      <c r="AM56" s="356" t="str">
        <f t="shared" si="18"/>
        <v>-</v>
      </c>
      <c r="AN56" s="356" t="str">
        <f t="shared" si="19"/>
        <v>-</v>
      </c>
      <c r="AO56" s="356" t="e">
        <f t="shared" si="20"/>
        <v>#VALUE!</v>
      </c>
      <c r="AP56" s="358" t="str">
        <f t="shared" si="21"/>
        <v>-</v>
      </c>
      <c r="AQ56" s="357" t="str">
        <f t="shared" si="22"/>
        <v>-</v>
      </c>
      <c r="AR56" s="357" t="str">
        <f t="shared" si="23"/>
        <v>-</v>
      </c>
      <c r="AS56" s="356" t="str">
        <f t="shared" si="24"/>
        <v>-</v>
      </c>
      <c r="AT56" s="355" t="str">
        <f t="shared" si="25"/>
        <v>-</v>
      </c>
      <c r="AU56" s="356" t="str">
        <f t="shared" si="26"/>
        <v>-</v>
      </c>
      <c r="AV56" s="356" t="e">
        <f t="shared" si="27"/>
        <v>#DIV/0!</v>
      </c>
      <c r="AW56" s="355" t="str">
        <f t="shared" si="28"/>
        <v>-</v>
      </c>
      <c r="AX56" s="359"/>
      <c r="AY56" s="356" t="str">
        <f t="shared" si="29"/>
        <v>-</v>
      </c>
      <c r="AZ56" s="356" t="str">
        <f t="shared" si="30"/>
        <v>-</v>
      </c>
      <c r="BA56" s="356">
        <f t="shared" si="31"/>
        <v>0</v>
      </c>
      <c r="BB56" s="356" t="e">
        <f t="shared" si="32"/>
        <v>#VALUE!</v>
      </c>
      <c r="BC56" s="358" t="str">
        <f t="shared" si="33"/>
        <v>-</v>
      </c>
      <c r="BD56" s="356" t="e">
        <f t="shared" si="34"/>
        <v>#VALUE!</v>
      </c>
      <c r="BE56" s="357" t="str">
        <f t="shared" si="35"/>
        <v>-</v>
      </c>
      <c r="BF56" s="357" t="str">
        <f t="shared" si="36"/>
        <v>-</v>
      </c>
      <c r="BG56" s="356">
        <f t="shared" si="37"/>
        <v>0</v>
      </c>
    </row>
    <row r="57" spans="1:59" x14ac:dyDescent="0.25">
      <c r="A57" s="355">
        <f t="shared" si="38"/>
        <v>30</v>
      </c>
      <c r="B57" s="363"/>
      <c r="C57" s="363"/>
      <c r="D57" s="363"/>
      <c r="E57" s="363"/>
      <c r="F57" s="363"/>
      <c r="G57" s="363"/>
      <c r="H57" s="359"/>
      <c r="I57" s="359"/>
      <c r="J57" s="362"/>
      <c r="K57" s="359"/>
      <c r="L57" s="359"/>
      <c r="M57" s="359"/>
      <c r="N57" s="359"/>
      <c r="O57" s="359"/>
      <c r="P57" s="359"/>
      <c r="Q57" s="359"/>
      <c r="R57" s="359"/>
      <c r="S57" s="359"/>
      <c r="T57" s="359"/>
      <c r="U57" s="359"/>
      <c r="V57" s="359"/>
      <c r="W57" s="359"/>
      <c r="X57" s="359"/>
      <c r="Y57" s="359"/>
      <c r="Z57" s="359"/>
      <c r="AA57" s="356">
        <f t="shared" si="6"/>
        <v>0</v>
      </c>
      <c r="AB57" s="356">
        <f t="shared" si="7"/>
        <v>0</v>
      </c>
      <c r="AC57" s="356">
        <f t="shared" si="8"/>
        <v>0</v>
      </c>
      <c r="AD57" s="356">
        <f t="shared" si="9"/>
        <v>0</v>
      </c>
      <c r="AE57" s="356">
        <f t="shared" si="10"/>
        <v>0</v>
      </c>
      <c r="AF57" s="356">
        <f t="shared" si="11"/>
        <v>0</v>
      </c>
      <c r="AG57" s="356">
        <f t="shared" si="12"/>
        <v>0</v>
      </c>
      <c r="AH57" s="361">
        <f t="shared" si="13"/>
        <v>1.1000000000000001</v>
      </c>
      <c r="AI57" s="356">
        <f t="shared" si="14"/>
        <v>0</v>
      </c>
      <c r="AJ57" s="356">
        <f t="shared" si="15"/>
        <v>0</v>
      </c>
      <c r="AK57" s="360">
        <f t="shared" si="16"/>
        <v>0</v>
      </c>
      <c r="AL57" s="356" t="str">
        <f t="shared" si="17"/>
        <v>-</v>
      </c>
      <c r="AM57" s="356" t="str">
        <f t="shared" si="18"/>
        <v>-</v>
      </c>
      <c r="AN57" s="356" t="str">
        <f t="shared" si="19"/>
        <v>-</v>
      </c>
      <c r="AO57" s="356" t="e">
        <f t="shared" si="20"/>
        <v>#VALUE!</v>
      </c>
      <c r="AP57" s="358" t="str">
        <f t="shared" si="21"/>
        <v>-</v>
      </c>
      <c r="AQ57" s="357" t="str">
        <f t="shared" si="22"/>
        <v>-</v>
      </c>
      <c r="AR57" s="357" t="str">
        <f t="shared" si="23"/>
        <v>-</v>
      </c>
      <c r="AS57" s="356" t="str">
        <f t="shared" si="24"/>
        <v>-</v>
      </c>
      <c r="AT57" s="355" t="str">
        <f t="shared" si="25"/>
        <v>-</v>
      </c>
      <c r="AU57" s="356" t="str">
        <f t="shared" si="26"/>
        <v>-</v>
      </c>
      <c r="AV57" s="356" t="e">
        <f t="shared" si="27"/>
        <v>#DIV/0!</v>
      </c>
      <c r="AW57" s="355" t="str">
        <f t="shared" si="28"/>
        <v>-</v>
      </c>
      <c r="AX57" s="359"/>
      <c r="AY57" s="356" t="str">
        <f t="shared" si="29"/>
        <v>-</v>
      </c>
      <c r="AZ57" s="356" t="str">
        <f t="shared" si="30"/>
        <v>-</v>
      </c>
      <c r="BA57" s="356">
        <f t="shared" si="31"/>
        <v>0</v>
      </c>
      <c r="BB57" s="356" t="e">
        <f t="shared" si="32"/>
        <v>#VALUE!</v>
      </c>
      <c r="BC57" s="358" t="str">
        <f t="shared" si="33"/>
        <v>-</v>
      </c>
      <c r="BD57" s="356" t="e">
        <f t="shared" si="34"/>
        <v>#VALUE!</v>
      </c>
      <c r="BE57" s="357" t="str">
        <f t="shared" si="35"/>
        <v>-</v>
      </c>
      <c r="BF57" s="357" t="str">
        <f t="shared" si="36"/>
        <v>-</v>
      </c>
      <c r="BG57" s="356">
        <f t="shared" si="37"/>
        <v>0</v>
      </c>
    </row>
    <row r="58" spans="1:59" x14ac:dyDescent="0.25">
      <c r="A58" s="355">
        <f t="shared" si="38"/>
        <v>31</v>
      </c>
      <c r="B58" s="363"/>
      <c r="C58" s="363"/>
      <c r="D58" s="363"/>
      <c r="E58" s="363"/>
      <c r="F58" s="363"/>
      <c r="G58" s="363"/>
      <c r="H58" s="359"/>
      <c r="I58" s="359"/>
      <c r="J58" s="362"/>
      <c r="K58" s="359"/>
      <c r="L58" s="359"/>
      <c r="M58" s="359"/>
      <c r="N58" s="359"/>
      <c r="O58" s="359"/>
      <c r="P58" s="359"/>
      <c r="Q58" s="359"/>
      <c r="R58" s="359"/>
      <c r="S58" s="359"/>
      <c r="T58" s="359"/>
      <c r="U58" s="359"/>
      <c r="V58" s="359"/>
      <c r="W58" s="359"/>
      <c r="X58" s="359"/>
      <c r="Y58" s="359"/>
      <c r="Z58" s="359"/>
      <c r="AA58" s="356">
        <f t="shared" si="6"/>
        <v>0</v>
      </c>
      <c r="AB58" s="356">
        <f t="shared" si="7"/>
        <v>0</v>
      </c>
      <c r="AC58" s="356">
        <f t="shared" si="8"/>
        <v>0</v>
      </c>
      <c r="AD58" s="356">
        <f t="shared" si="9"/>
        <v>0</v>
      </c>
      <c r="AE58" s="356">
        <f t="shared" si="10"/>
        <v>0</v>
      </c>
      <c r="AF58" s="356">
        <f t="shared" si="11"/>
        <v>0</v>
      </c>
      <c r="AG58" s="356">
        <f t="shared" si="12"/>
        <v>0</v>
      </c>
      <c r="AH58" s="361">
        <f t="shared" si="13"/>
        <v>1.1000000000000001</v>
      </c>
      <c r="AI58" s="356">
        <f t="shared" si="14"/>
        <v>0</v>
      </c>
      <c r="AJ58" s="356">
        <f t="shared" si="15"/>
        <v>0</v>
      </c>
      <c r="AK58" s="360">
        <f t="shared" si="16"/>
        <v>0</v>
      </c>
      <c r="AL58" s="356" t="str">
        <f t="shared" si="17"/>
        <v>-</v>
      </c>
      <c r="AM58" s="356" t="str">
        <f t="shared" si="18"/>
        <v>-</v>
      </c>
      <c r="AN58" s="356" t="str">
        <f t="shared" si="19"/>
        <v>-</v>
      </c>
      <c r="AO58" s="356" t="e">
        <f t="shared" si="20"/>
        <v>#VALUE!</v>
      </c>
      <c r="AP58" s="358" t="str">
        <f t="shared" si="21"/>
        <v>-</v>
      </c>
      <c r="AQ58" s="357" t="str">
        <f t="shared" si="22"/>
        <v>-</v>
      </c>
      <c r="AR58" s="357" t="str">
        <f t="shared" si="23"/>
        <v>-</v>
      </c>
      <c r="AS58" s="356" t="str">
        <f t="shared" si="24"/>
        <v>-</v>
      </c>
      <c r="AT58" s="355" t="str">
        <f t="shared" si="25"/>
        <v>-</v>
      </c>
      <c r="AU58" s="356" t="str">
        <f t="shared" si="26"/>
        <v>-</v>
      </c>
      <c r="AV58" s="356" t="e">
        <f t="shared" si="27"/>
        <v>#DIV/0!</v>
      </c>
      <c r="AW58" s="355" t="str">
        <f t="shared" si="28"/>
        <v>-</v>
      </c>
      <c r="AX58" s="359"/>
      <c r="AY58" s="356" t="str">
        <f t="shared" si="29"/>
        <v>-</v>
      </c>
      <c r="AZ58" s="356" t="str">
        <f t="shared" si="30"/>
        <v>-</v>
      </c>
      <c r="BA58" s="356">
        <f t="shared" si="31"/>
        <v>0</v>
      </c>
      <c r="BB58" s="356" t="e">
        <f t="shared" si="32"/>
        <v>#VALUE!</v>
      </c>
      <c r="BC58" s="358" t="str">
        <f t="shared" si="33"/>
        <v>-</v>
      </c>
      <c r="BD58" s="356" t="e">
        <f t="shared" si="34"/>
        <v>#VALUE!</v>
      </c>
      <c r="BE58" s="357" t="str">
        <f t="shared" si="35"/>
        <v>-</v>
      </c>
      <c r="BF58" s="357" t="str">
        <f t="shared" si="36"/>
        <v>-</v>
      </c>
      <c r="BG58" s="356">
        <f t="shared" si="37"/>
        <v>0</v>
      </c>
    </row>
    <row r="59" spans="1:59" x14ac:dyDescent="0.25">
      <c r="A59" s="355">
        <f t="shared" si="38"/>
        <v>32</v>
      </c>
      <c r="B59" s="363"/>
      <c r="C59" s="363"/>
      <c r="D59" s="363"/>
      <c r="E59" s="363"/>
      <c r="F59" s="363"/>
      <c r="G59" s="363"/>
      <c r="H59" s="359"/>
      <c r="I59" s="359"/>
      <c r="J59" s="362"/>
      <c r="K59" s="359"/>
      <c r="L59" s="359"/>
      <c r="M59" s="359"/>
      <c r="N59" s="359"/>
      <c r="O59" s="359"/>
      <c r="P59" s="359"/>
      <c r="Q59" s="359"/>
      <c r="R59" s="359"/>
      <c r="S59" s="359"/>
      <c r="T59" s="359"/>
      <c r="U59" s="359"/>
      <c r="V59" s="359"/>
      <c r="W59" s="359"/>
      <c r="X59" s="359"/>
      <c r="Y59" s="359"/>
      <c r="Z59" s="359"/>
      <c r="AA59" s="356">
        <f t="shared" si="6"/>
        <v>0</v>
      </c>
      <c r="AB59" s="356">
        <f t="shared" si="7"/>
        <v>0</v>
      </c>
      <c r="AC59" s="356">
        <f t="shared" si="8"/>
        <v>0</v>
      </c>
      <c r="AD59" s="356">
        <f t="shared" si="9"/>
        <v>0</v>
      </c>
      <c r="AE59" s="356">
        <f t="shared" si="10"/>
        <v>0</v>
      </c>
      <c r="AF59" s="356">
        <f t="shared" si="11"/>
        <v>0</v>
      </c>
      <c r="AG59" s="356">
        <f t="shared" si="12"/>
        <v>0</v>
      </c>
      <c r="AH59" s="361">
        <f t="shared" si="13"/>
        <v>1.1000000000000001</v>
      </c>
      <c r="AI59" s="356">
        <f t="shared" si="14"/>
        <v>0</v>
      </c>
      <c r="AJ59" s="356">
        <f t="shared" si="15"/>
        <v>0</v>
      </c>
      <c r="AK59" s="360">
        <f t="shared" si="16"/>
        <v>0</v>
      </c>
      <c r="AL59" s="356" t="str">
        <f t="shared" si="17"/>
        <v>-</v>
      </c>
      <c r="AM59" s="356" t="str">
        <f t="shared" si="18"/>
        <v>-</v>
      </c>
      <c r="AN59" s="356" t="str">
        <f t="shared" si="19"/>
        <v>-</v>
      </c>
      <c r="AO59" s="356" t="e">
        <f t="shared" si="20"/>
        <v>#VALUE!</v>
      </c>
      <c r="AP59" s="358" t="str">
        <f t="shared" si="21"/>
        <v>-</v>
      </c>
      <c r="AQ59" s="357" t="str">
        <f t="shared" si="22"/>
        <v>-</v>
      </c>
      <c r="AR59" s="357" t="str">
        <f t="shared" si="23"/>
        <v>-</v>
      </c>
      <c r="AS59" s="356" t="str">
        <f t="shared" si="24"/>
        <v>-</v>
      </c>
      <c r="AT59" s="355" t="str">
        <f t="shared" si="25"/>
        <v>-</v>
      </c>
      <c r="AU59" s="356" t="str">
        <f t="shared" si="26"/>
        <v>-</v>
      </c>
      <c r="AV59" s="356" t="e">
        <f t="shared" si="27"/>
        <v>#DIV/0!</v>
      </c>
      <c r="AW59" s="355" t="str">
        <f t="shared" si="28"/>
        <v>-</v>
      </c>
      <c r="AX59" s="359"/>
      <c r="AY59" s="356" t="str">
        <f t="shared" si="29"/>
        <v>-</v>
      </c>
      <c r="AZ59" s="356" t="str">
        <f t="shared" si="30"/>
        <v>-</v>
      </c>
      <c r="BA59" s="356">
        <f t="shared" si="31"/>
        <v>0</v>
      </c>
      <c r="BB59" s="356" t="e">
        <f t="shared" si="32"/>
        <v>#VALUE!</v>
      </c>
      <c r="BC59" s="358" t="str">
        <f t="shared" si="33"/>
        <v>-</v>
      </c>
      <c r="BD59" s="356" t="e">
        <f t="shared" si="34"/>
        <v>#VALUE!</v>
      </c>
      <c r="BE59" s="357" t="str">
        <f t="shared" si="35"/>
        <v>-</v>
      </c>
      <c r="BF59" s="357" t="str">
        <f t="shared" si="36"/>
        <v>-</v>
      </c>
      <c r="BG59" s="356">
        <f t="shared" si="37"/>
        <v>0</v>
      </c>
    </row>
    <row r="60" spans="1:59" x14ac:dyDescent="0.25">
      <c r="A60" s="355">
        <f t="shared" si="38"/>
        <v>33</v>
      </c>
      <c r="B60" s="363"/>
      <c r="C60" s="363"/>
      <c r="D60" s="363"/>
      <c r="E60" s="363"/>
      <c r="F60" s="363"/>
      <c r="G60" s="363"/>
      <c r="H60" s="359"/>
      <c r="I60" s="359"/>
      <c r="J60" s="362"/>
      <c r="K60" s="359"/>
      <c r="L60" s="359"/>
      <c r="M60" s="359"/>
      <c r="N60" s="359"/>
      <c r="O60" s="359"/>
      <c r="P60" s="359"/>
      <c r="Q60" s="359"/>
      <c r="R60" s="359"/>
      <c r="S60" s="359"/>
      <c r="T60" s="359"/>
      <c r="U60" s="359"/>
      <c r="V60" s="359"/>
      <c r="W60" s="359"/>
      <c r="X60" s="359"/>
      <c r="Y60" s="359"/>
      <c r="Z60" s="359"/>
      <c r="AA60" s="356">
        <f t="shared" ref="AA60:AA91" si="39">600*COUNT($L60)</f>
        <v>0</v>
      </c>
      <c r="AB60" s="356">
        <f t="shared" ref="AB60:AB91" si="40">IF(OR(Q60=0,Q60=""),0.9*R60,MIN(Q60:R60))</f>
        <v>0</v>
      </c>
      <c r="AC60" s="356">
        <f t="shared" ref="AC60:AC91" si="41">IF(OR(S60=0,S60=""),0.9*T60,MIN(S60:T60))</f>
        <v>0</v>
      </c>
      <c r="AD60" s="356">
        <f t="shared" ref="AD60:AD91" si="42">IF(OR(U60=0,U60=""),0.9*V60,MIN(U60:V60))</f>
        <v>0</v>
      </c>
      <c r="AE60" s="356">
        <f t="shared" ref="AE60:AE91" si="43">IF(OR(W60=0,W60=""),0.9*X60,MIN(W60:X60))</f>
        <v>0</v>
      </c>
      <c r="AF60" s="356">
        <f t="shared" ref="AF60:AF91" si="44">Y60/12</f>
        <v>0</v>
      </c>
      <c r="AG60" s="356">
        <f t="shared" ref="AG60:AG91" si="45">SUM(AB60:AF60)</f>
        <v>0</v>
      </c>
      <c r="AH60" s="361">
        <f t="shared" ref="AH60:AH91" si="46">+$AH$27</f>
        <v>1.1000000000000001</v>
      </c>
      <c r="AI60" s="356">
        <f t="shared" ref="AI60:AI91" si="47">($AG60/$AH60)-$AJ60</f>
        <v>0</v>
      </c>
      <c r="AJ60" s="356">
        <f t="shared" ref="AJ60:AJ91" si="48">SUM($M60:$P60,$Z60:$AA60)/12</f>
        <v>0</v>
      </c>
      <c r="AK60" s="360">
        <f t="shared" ref="AK60:AK91" si="49">$F$11</f>
        <v>0</v>
      </c>
      <c r="AL60" s="356" t="str">
        <f t="shared" ref="AL60:AL91" si="50">IF(OR($C$12="Purchase",$C$12="Delayed Purchase"),MIN($AL$26*($I60+$K60),$AL$27*$L$28),IF(OR($C$12="Refinance (Rate/Term)",$C$12="Refinance (Cash Out)"),$AL$27*$L60,"-"))</f>
        <v>-</v>
      </c>
      <c r="AM60" s="356" t="str">
        <f t="shared" ref="AM60:AM91" si="51">IF($F$5="No IO",PMT($AK60/12,360,-$AL60),"-")</f>
        <v>-</v>
      </c>
      <c r="AN60" s="356" t="str">
        <f t="shared" ref="AN60:AN91" si="52">IF($F$5="Term IO",$AL60*($AK60/12),"-")</f>
        <v>-</v>
      </c>
      <c r="AO60" s="356" t="e">
        <f t="shared" ref="AO60:AO91" si="53">IF($F$5="No IO",$AM60+$AJ60,$AN60+$AJ60)</f>
        <v>#VALUE!</v>
      </c>
      <c r="AP60" s="358" t="str">
        <f t="shared" ref="AP60:AP91" si="54">IFERROR($AG60/$AO60,"-")</f>
        <v>-</v>
      </c>
      <c r="AQ60" s="357" t="str">
        <f t="shared" ref="AQ60:AQ91" si="55">IF(AP60="-","-",$AQ$26)</f>
        <v>-</v>
      </c>
      <c r="AR60" s="357" t="str">
        <f t="shared" ref="AR60:AR91" si="56">IF(AP60="-","-",$AR$26)</f>
        <v>-</v>
      </c>
      <c r="AS60" s="356" t="str">
        <f t="shared" ref="AS60:AS91" si="57">IF(OR($C$12="Purchase",$C$12="Delayed Purchase"),MIN($L60*$AQ60,$AR60*($I60+$K60)),IF(OR($C$12="Refinance (Rate/Term)",$C$12="Refinance (Cash Out)"),$L60*$AQ60,"-"))</f>
        <v>-</v>
      </c>
      <c r="AT60" s="355" t="str">
        <f t="shared" ref="AT60:AT91" si="58">IF(OR($C$12="Purchase",$C$12="Delayed Purchase",$C$12="Refinance (Cash Out)"),"-",IF($C$12="Refinance (Rate/Term)",102%*$H60,"-"))</f>
        <v>-</v>
      </c>
      <c r="AU60" s="356" t="str">
        <f t="shared" ref="AU60:AU91" si="59">IF($C$12="Refinance (Rate/Term)",MIN($AT60,$AS60),$AS60)</f>
        <v>-</v>
      </c>
      <c r="AV60" s="356" t="e">
        <f t="shared" ref="AV60:AV91" si="60">ROUNDDOWN(IF($F$5="No IO",PV($AK60/12,360,-$AI60),$AG60/($AH60*($AK60/12))-($AJ60/($AK60/12))),0)</f>
        <v>#DIV/0!</v>
      </c>
      <c r="AW60" s="355" t="str">
        <f t="shared" ref="AW60:AW91" si="61">IFERROR(IF($AV60&gt;$AL60,"-",$AV60),"-")</f>
        <v>-</v>
      </c>
      <c r="AX60" s="359"/>
      <c r="AY60" s="356" t="str">
        <f t="shared" ref="AY60:AY91" si="62">IF($F$5="No IO",PMT($AK60/12,360,-$AX60),"-")</f>
        <v>-</v>
      </c>
      <c r="AZ60" s="356" t="str">
        <f t="shared" ref="AZ60:AZ91" si="63">IF($F$5="Term IO",$AX60*($AK60/12),"-")</f>
        <v>-</v>
      </c>
      <c r="BA60" s="356">
        <f t="shared" ref="BA60:BA91" si="64">$AJ60</f>
        <v>0</v>
      </c>
      <c r="BB60" s="356" t="e">
        <f t="shared" ref="BB60:BB91" si="65">IF($F$5="No IO",$AY60+$BA60,$AZ60+$BA60)</f>
        <v>#VALUE!</v>
      </c>
      <c r="BC60" s="358" t="str">
        <f t="shared" ref="BC60:BC91" si="66">IFERROR($AG60/$BB60,"-")</f>
        <v>-</v>
      </c>
      <c r="BD60" s="356" t="e">
        <f t="shared" ref="BD60:BD91" si="67">IF($F$5="No IO",$AY60+(SUM($M60:$O60)/12),$AZ60+(SUM($M60:$O60)/12))</f>
        <v>#VALUE!</v>
      </c>
      <c r="BE60" s="357" t="str">
        <f t="shared" ref="BE60:BE91" si="68">IFERROR($AX60/$L60,"-")</f>
        <v>-</v>
      </c>
      <c r="BF60" s="357" t="str">
        <f t="shared" ref="BF60:BF91" si="69">IFERROR(IF(OR($C$12="Refinance (Rate/Term)",$C$12="Refinance (Cash Out)"),"-",$AX60/($I60+$K60)),"-")</f>
        <v>-</v>
      </c>
      <c r="BG60" s="356">
        <f t="shared" ref="BG60:BG91" si="70">IFERROR($BG$26*$AX60,"-")</f>
        <v>0</v>
      </c>
    </row>
    <row r="61" spans="1:59" x14ac:dyDescent="0.25">
      <c r="A61" s="355">
        <f t="shared" ref="A61:A92" si="71">+A60+1</f>
        <v>34</v>
      </c>
      <c r="B61" s="363"/>
      <c r="C61" s="363"/>
      <c r="D61" s="363"/>
      <c r="E61" s="363"/>
      <c r="F61" s="363"/>
      <c r="G61" s="363"/>
      <c r="H61" s="359"/>
      <c r="I61" s="359"/>
      <c r="J61" s="362"/>
      <c r="K61" s="359"/>
      <c r="L61" s="359"/>
      <c r="M61" s="359"/>
      <c r="N61" s="359"/>
      <c r="O61" s="359"/>
      <c r="P61" s="359"/>
      <c r="Q61" s="359"/>
      <c r="R61" s="359"/>
      <c r="S61" s="359"/>
      <c r="T61" s="359"/>
      <c r="U61" s="359"/>
      <c r="V61" s="359"/>
      <c r="W61" s="359"/>
      <c r="X61" s="359"/>
      <c r="Y61" s="359"/>
      <c r="Z61" s="359"/>
      <c r="AA61" s="356">
        <f t="shared" si="39"/>
        <v>0</v>
      </c>
      <c r="AB61" s="356">
        <f t="shared" si="40"/>
        <v>0</v>
      </c>
      <c r="AC61" s="356">
        <f t="shared" si="41"/>
        <v>0</v>
      </c>
      <c r="AD61" s="356">
        <f t="shared" si="42"/>
        <v>0</v>
      </c>
      <c r="AE61" s="356">
        <f t="shared" si="43"/>
        <v>0</v>
      </c>
      <c r="AF61" s="356">
        <f t="shared" si="44"/>
        <v>0</v>
      </c>
      <c r="AG61" s="356">
        <f t="shared" si="45"/>
        <v>0</v>
      </c>
      <c r="AH61" s="361">
        <f t="shared" si="46"/>
        <v>1.1000000000000001</v>
      </c>
      <c r="AI61" s="356">
        <f t="shared" si="47"/>
        <v>0</v>
      </c>
      <c r="AJ61" s="356">
        <f t="shared" si="48"/>
        <v>0</v>
      </c>
      <c r="AK61" s="360">
        <f t="shared" si="49"/>
        <v>0</v>
      </c>
      <c r="AL61" s="356" t="str">
        <f t="shared" si="50"/>
        <v>-</v>
      </c>
      <c r="AM61" s="356" t="str">
        <f t="shared" si="51"/>
        <v>-</v>
      </c>
      <c r="AN61" s="356" t="str">
        <f t="shared" si="52"/>
        <v>-</v>
      </c>
      <c r="AO61" s="356" t="e">
        <f t="shared" si="53"/>
        <v>#VALUE!</v>
      </c>
      <c r="AP61" s="358" t="str">
        <f t="shared" si="54"/>
        <v>-</v>
      </c>
      <c r="AQ61" s="357" t="str">
        <f t="shared" si="55"/>
        <v>-</v>
      </c>
      <c r="AR61" s="357" t="str">
        <f t="shared" si="56"/>
        <v>-</v>
      </c>
      <c r="AS61" s="356" t="str">
        <f t="shared" si="57"/>
        <v>-</v>
      </c>
      <c r="AT61" s="355" t="str">
        <f t="shared" si="58"/>
        <v>-</v>
      </c>
      <c r="AU61" s="356" t="str">
        <f t="shared" si="59"/>
        <v>-</v>
      </c>
      <c r="AV61" s="356" t="e">
        <f t="shared" si="60"/>
        <v>#DIV/0!</v>
      </c>
      <c r="AW61" s="355" t="str">
        <f t="shared" si="61"/>
        <v>-</v>
      </c>
      <c r="AX61" s="359"/>
      <c r="AY61" s="356" t="str">
        <f t="shared" si="62"/>
        <v>-</v>
      </c>
      <c r="AZ61" s="356" t="str">
        <f t="shared" si="63"/>
        <v>-</v>
      </c>
      <c r="BA61" s="356">
        <f t="shared" si="64"/>
        <v>0</v>
      </c>
      <c r="BB61" s="356" t="e">
        <f t="shared" si="65"/>
        <v>#VALUE!</v>
      </c>
      <c r="BC61" s="358" t="str">
        <f t="shared" si="66"/>
        <v>-</v>
      </c>
      <c r="BD61" s="356" t="e">
        <f t="shared" si="67"/>
        <v>#VALUE!</v>
      </c>
      <c r="BE61" s="357" t="str">
        <f t="shared" si="68"/>
        <v>-</v>
      </c>
      <c r="BF61" s="357" t="str">
        <f t="shared" si="69"/>
        <v>-</v>
      </c>
      <c r="BG61" s="356">
        <f t="shared" si="70"/>
        <v>0</v>
      </c>
    </row>
    <row r="62" spans="1:59" x14ac:dyDescent="0.25">
      <c r="A62" s="355">
        <f t="shared" si="71"/>
        <v>35</v>
      </c>
      <c r="B62" s="363"/>
      <c r="C62" s="363"/>
      <c r="D62" s="363"/>
      <c r="E62" s="363"/>
      <c r="F62" s="363"/>
      <c r="G62" s="363"/>
      <c r="H62" s="359"/>
      <c r="I62" s="359"/>
      <c r="J62" s="362"/>
      <c r="K62" s="359"/>
      <c r="L62" s="359"/>
      <c r="M62" s="359"/>
      <c r="N62" s="359"/>
      <c r="O62" s="359"/>
      <c r="P62" s="359"/>
      <c r="Q62" s="359"/>
      <c r="R62" s="359"/>
      <c r="S62" s="359"/>
      <c r="T62" s="359"/>
      <c r="U62" s="359"/>
      <c r="V62" s="359"/>
      <c r="W62" s="359"/>
      <c r="X62" s="359"/>
      <c r="Y62" s="359"/>
      <c r="Z62" s="359"/>
      <c r="AA62" s="356">
        <f t="shared" si="39"/>
        <v>0</v>
      </c>
      <c r="AB62" s="356">
        <f t="shared" si="40"/>
        <v>0</v>
      </c>
      <c r="AC62" s="356">
        <f t="shared" si="41"/>
        <v>0</v>
      </c>
      <c r="AD62" s="356">
        <f t="shared" si="42"/>
        <v>0</v>
      </c>
      <c r="AE62" s="356">
        <f t="shared" si="43"/>
        <v>0</v>
      </c>
      <c r="AF62" s="356">
        <f t="shared" si="44"/>
        <v>0</v>
      </c>
      <c r="AG62" s="356">
        <f t="shared" si="45"/>
        <v>0</v>
      </c>
      <c r="AH62" s="361">
        <f t="shared" si="46"/>
        <v>1.1000000000000001</v>
      </c>
      <c r="AI62" s="356">
        <f t="shared" si="47"/>
        <v>0</v>
      </c>
      <c r="AJ62" s="356">
        <f t="shared" si="48"/>
        <v>0</v>
      </c>
      <c r="AK62" s="360">
        <f t="shared" si="49"/>
        <v>0</v>
      </c>
      <c r="AL62" s="356" t="str">
        <f t="shared" si="50"/>
        <v>-</v>
      </c>
      <c r="AM62" s="356" t="str">
        <f t="shared" si="51"/>
        <v>-</v>
      </c>
      <c r="AN62" s="356" t="str">
        <f t="shared" si="52"/>
        <v>-</v>
      </c>
      <c r="AO62" s="356" t="e">
        <f t="shared" si="53"/>
        <v>#VALUE!</v>
      </c>
      <c r="AP62" s="358" t="str">
        <f t="shared" si="54"/>
        <v>-</v>
      </c>
      <c r="AQ62" s="357" t="str">
        <f t="shared" si="55"/>
        <v>-</v>
      </c>
      <c r="AR62" s="357" t="str">
        <f t="shared" si="56"/>
        <v>-</v>
      </c>
      <c r="AS62" s="356" t="str">
        <f t="shared" si="57"/>
        <v>-</v>
      </c>
      <c r="AT62" s="355" t="str">
        <f t="shared" si="58"/>
        <v>-</v>
      </c>
      <c r="AU62" s="356" t="str">
        <f t="shared" si="59"/>
        <v>-</v>
      </c>
      <c r="AV62" s="356" t="e">
        <f t="shared" si="60"/>
        <v>#DIV/0!</v>
      </c>
      <c r="AW62" s="355" t="str">
        <f t="shared" si="61"/>
        <v>-</v>
      </c>
      <c r="AX62" s="359"/>
      <c r="AY62" s="356" t="str">
        <f t="shared" si="62"/>
        <v>-</v>
      </c>
      <c r="AZ62" s="356" t="str">
        <f t="shared" si="63"/>
        <v>-</v>
      </c>
      <c r="BA62" s="356">
        <f t="shared" si="64"/>
        <v>0</v>
      </c>
      <c r="BB62" s="356" t="e">
        <f t="shared" si="65"/>
        <v>#VALUE!</v>
      </c>
      <c r="BC62" s="358" t="str">
        <f t="shared" si="66"/>
        <v>-</v>
      </c>
      <c r="BD62" s="356" t="e">
        <f t="shared" si="67"/>
        <v>#VALUE!</v>
      </c>
      <c r="BE62" s="357" t="str">
        <f t="shared" si="68"/>
        <v>-</v>
      </c>
      <c r="BF62" s="357" t="str">
        <f t="shared" si="69"/>
        <v>-</v>
      </c>
      <c r="BG62" s="356">
        <f t="shared" si="70"/>
        <v>0</v>
      </c>
    </row>
    <row r="63" spans="1:59" x14ac:dyDescent="0.25">
      <c r="A63" s="355">
        <f t="shared" si="71"/>
        <v>36</v>
      </c>
      <c r="B63" s="363"/>
      <c r="C63" s="363"/>
      <c r="D63" s="363"/>
      <c r="E63" s="363"/>
      <c r="F63" s="363"/>
      <c r="G63" s="363"/>
      <c r="H63" s="359"/>
      <c r="I63" s="359"/>
      <c r="J63" s="362"/>
      <c r="K63" s="359"/>
      <c r="L63" s="359"/>
      <c r="M63" s="359"/>
      <c r="N63" s="359"/>
      <c r="O63" s="359"/>
      <c r="P63" s="359"/>
      <c r="Q63" s="359"/>
      <c r="R63" s="359"/>
      <c r="S63" s="359"/>
      <c r="T63" s="359"/>
      <c r="U63" s="359"/>
      <c r="V63" s="359"/>
      <c r="W63" s="359"/>
      <c r="X63" s="359"/>
      <c r="Y63" s="359"/>
      <c r="Z63" s="359"/>
      <c r="AA63" s="356">
        <f t="shared" si="39"/>
        <v>0</v>
      </c>
      <c r="AB63" s="356">
        <f t="shared" si="40"/>
        <v>0</v>
      </c>
      <c r="AC63" s="356">
        <f t="shared" si="41"/>
        <v>0</v>
      </c>
      <c r="AD63" s="356">
        <f t="shared" si="42"/>
        <v>0</v>
      </c>
      <c r="AE63" s="356">
        <f t="shared" si="43"/>
        <v>0</v>
      </c>
      <c r="AF63" s="356">
        <f t="shared" si="44"/>
        <v>0</v>
      </c>
      <c r="AG63" s="356">
        <f t="shared" si="45"/>
        <v>0</v>
      </c>
      <c r="AH63" s="361">
        <f t="shared" si="46"/>
        <v>1.1000000000000001</v>
      </c>
      <c r="AI63" s="356">
        <f t="shared" si="47"/>
        <v>0</v>
      </c>
      <c r="AJ63" s="356">
        <f t="shared" si="48"/>
        <v>0</v>
      </c>
      <c r="AK63" s="360">
        <f t="shared" si="49"/>
        <v>0</v>
      </c>
      <c r="AL63" s="356" t="str">
        <f t="shared" si="50"/>
        <v>-</v>
      </c>
      <c r="AM63" s="356" t="str">
        <f t="shared" si="51"/>
        <v>-</v>
      </c>
      <c r="AN63" s="356" t="str">
        <f t="shared" si="52"/>
        <v>-</v>
      </c>
      <c r="AO63" s="356" t="e">
        <f t="shared" si="53"/>
        <v>#VALUE!</v>
      </c>
      <c r="AP63" s="358" t="str">
        <f t="shared" si="54"/>
        <v>-</v>
      </c>
      <c r="AQ63" s="357" t="str">
        <f t="shared" si="55"/>
        <v>-</v>
      </c>
      <c r="AR63" s="357" t="str">
        <f t="shared" si="56"/>
        <v>-</v>
      </c>
      <c r="AS63" s="356" t="str">
        <f t="shared" si="57"/>
        <v>-</v>
      </c>
      <c r="AT63" s="355" t="str">
        <f t="shared" si="58"/>
        <v>-</v>
      </c>
      <c r="AU63" s="356" t="str">
        <f t="shared" si="59"/>
        <v>-</v>
      </c>
      <c r="AV63" s="356" t="e">
        <f t="shared" si="60"/>
        <v>#DIV/0!</v>
      </c>
      <c r="AW63" s="355" t="str">
        <f t="shared" si="61"/>
        <v>-</v>
      </c>
      <c r="AX63" s="359"/>
      <c r="AY63" s="356" t="str">
        <f t="shared" si="62"/>
        <v>-</v>
      </c>
      <c r="AZ63" s="356" t="str">
        <f t="shared" si="63"/>
        <v>-</v>
      </c>
      <c r="BA63" s="356">
        <f t="shared" si="64"/>
        <v>0</v>
      </c>
      <c r="BB63" s="356" t="e">
        <f t="shared" si="65"/>
        <v>#VALUE!</v>
      </c>
      <c r="BC63" s="358" t="str">
        <f t="shared" si="66"/>
        <v>-</v>
      </c>
      <c r="BD63" s="356" t="e">
        <f t="shared" si="67"/>
        <v>#VALUE!</v>
      </c>
      <c r="BE63" s="357" t="str">
        <f t="shared" si="68"/>
        <v>-</v>
      </c>
      <c r="BF63" s="357" t="str">
        <f t="shared" si="69"/>
        <v>-</v>
      </c>
      <c r="BG63" s="356">
        <f t="shared" si="70"/>
        <v>0</v>
      </c>
    </row>
    <row r="64" spans="1:59" x14ac:dyDescent="0.25">
      <c r="A64" s="355">
        <f t="shared" si="71"/>
        <v>37</v>
      </c>
      <c r="B64" s="363"/>
      <c r="C64" s="363"/>
      <c r="D64" s="363"/>
      <c r="E64" s="363"/>
      <c r="F64" s="363"/>
      <c r="G64" s="363"/>
      <c r="H64" s="359"/>
      <c r="I64" s="359"/>
      <c r="J64" s="362"/>
      <c r="K64" s="359"/>
      <c r="L64" s="359"/>
      <c r="M64" s="359"/>
      <c r="N64" s="359"/>
      <c r="O64" s="359"/>
      <c r="P64" s="359"/>
      <c r="Q64" s="359"/>
      <c r="R64" s="359"/>
      <c r="S64" s="359"/>
      <c r="T64" s="359"/>
      <c r="U64" s="359"/>
      <c r="V64" s="359"/>
      <c r="W64" s="359"/>
      <c r="X64" s="359"/>
      <c r="Y64" s="359"/>
      <c r="Z64" s="359"/>
      <c r="AA64" s="356">
        <f t="shared" si="39"/>
        <v>0</v>
      </c>
      <c r="AB64" s="356">
        <f t="shared" si="40"/>
        <v>0</v>
      </c>
      <c r="AC64" s="356">
        <f t="shared" si="41"/>
        <v>0</v>
      </c>
      <c r="AD64" s="356">
        <f t="shared" si="42"/>
        <v>0</v>
      </c>
      <c r="AE64" s="356">
        <f t="shared" si="43"/>
        <v>0</v>
      </c>
      <c r="AF64" s="356">
        <f t="shared" si="44"/>
        <v>0</v>
      </c>
      <c r="AG64" s="356">
        <f t="shared" si="45"/>
        <v>0</v>
      </c>
      <c r="AH64" s="361">
        <f t="shared" si="46"/>
        <v>1.1000000000000001</v>
      </c>
      <c r="AI64" s="356">
        <f t="shared" si="47"/>
        <v>0</v>
      </c>
      <c r="AJ64" s="356">
        <f t="shared" si="48"/>
        <v>0</v>
      </c>
      <c r="AK64" s="360">
        <f t="shared" si="49"/>
        <v>0</v>
      </c>
      <c r="AL64" s="356" t="str">
        <f t="shared" si="50"/>
        <v>-</v>
      </c>
      <c r="AM64" s="356" t="str">
        <f t="shared" si="51"/>
        <v>-</v>
      </c>
      <c r="AN64" s="356" t="str">
        <f t="shared" si="52"/>
        <v>-</v>
      </c>
      <c r="AO64" s="356" t="e">
        <f t="shared" si="53"/>
        <v>#VALUE!</v>
      </c>
      <c r="AP64" s="358" t="str">
        <f t="shared" si="54"/>
        <v>-</v>
      </c>
      <c r="AQ64" s="357" t="str">
        <f t="shared" si="55"/>
        <v>-</v>
      </c>
      <c r="AR64" s="357" t="str">
        <f t="shared" si="56"/>
        <v>-</v>
      </c>
      <c r="AS64" s="356" t="str">
        <f t="shared" si="57"/>
        <v>-</v>
      </c>
      <c r="AT64" s="355" t="str">
        <f t="shared" si="58"/>
        <v>-</v>
      </c>
      <c r="AU64" s="356" t="str">
        <f t="shared" si="59"/>
        <v>-</v>
      </c>
      <c r="AV64" s="356" t="e">
        <f t="shared" si="60"/>
        <v>#DIV/0!</v>
      </c>
      <c r="AW64" s="355" t="str">
        <f t="shared" si="61"/>
        <v>-</v>
      </c>
      <c r="AX64" s="359"/>
      <c r="AY64" s="356" t="str">
        <f t="shared" si="62"/>
        <v>-</v>
      </c>
      <c r="AZ64" s="356" t="str">
        <f t="shared" si="63"/>
        <v>-</v>
      </c>
      <c r="BA64" s="356">
        <f t="shared" si="64"/>
        <v>0</v>
      </c>
      <c r="BB64" s="356" t="e">
        <f t="shared" si="65"/>
        <v>#VALUE!</v>
      </c>
      <c r="BC64" s="358" t="str">
        <f t="shared" si="66"/>
        <v>-</v>
      </c>
      <c r="BD64" s="356" t="e">
        <f t="shared" si="67"/>
        <v>#VALUE!</v>
      </c>
      <c r="BE64" s="357" t="str">
        <f t="shared" si="68"/>
        <v>-</v>
      </c>
      <c r="BF64" s="357" t="str">
        <f t="shared" si="69"/>
        <v>-</v>
      </c>
      <c r="BG64" s="356">
        <f t="shared" si="70"/>
        <v>0</v>
      </c>
    </row>
    <row r="65" spans="1:59" x14ac:dyDescent="0.25">
      <c r="A65" s="355">
        <f t="shared" si="71"/>
        <v>38</v>
      </c>
      <c r="B65" s="363"/>
      <c r="C65" s="363"/>
      <c r="D65" s="363"/>
      <c r="E65" s="363"/>
      <c r="F65" s="363"/>
      <c r="G65" s="363"/>
      <c r="H65" s="359"/>
      <c r="I65" s="359"/>
      <c r="J65" s="362"/>
      <c r="K65" s="359"/>
      <c r="L65" s="359"/>
      <c r="M65" s="359"/>
      <c r="N65" s="359"/>
      <c r="O65" s="359"/>
      <c r="P65" s="359"/>
      <c r="Q65" s="359"/>
      <c r="R65" s="359"/>
      <c r="S65" s="359"/>
      <c r="T65" s="359"/>
      <c r="U65" s="359"/>
      <c r="V65" s="359"/>
      <c r="W65" s="359"/>
      <c r="X65" s="359"/>
      <c r="Y65" s="359"/>
      <c r="Z65" s="359"/>
      <c r="AA65" s="356">
        <f t="shared" si="39"/>
        <v>0</v>
      </c>
      <c r="AB65" s="356">
        <f t="shared" si="40"/>
        <v>0</v>
      </c>
      <c r="AC65" s="356">
        <f t="shared" si="41"/>
        <v>0</v>
      </c>
      <c r="AD65" s="356">
        <f t="shared" si="42"/>
        <v>0</v>
      </c>
      <c r="AE65" s="356">
        <f t="shared" si="43"/>
        <v>0</v>
      </c>
      <c r="AF65" s="356">
        <f t="shared" si="44"/>
        <v>0</v>
      </c>
      <c r="AG65" s="356">
        <f t="shared" si="45"/>
        <v>0</v>
      </c>
      <c r="AH65" s="361">
        <f t="shared" si="46"/>
        <v>1.1000000000000001</v>
      </c>
      <c r="AI65" s="356">
        <f t="shared" si="47"/>
        <v>0</v>
      </c>
      <c r="AJ65" s="356">
        <f t="shared" si="48"/>
        <v>0</v>
      </c>
      <c r="AK65" s="360">
        <f t="shared" si="49"/>
        <v>0</v>
      </c>
      <c r="AL65" s="356" t="str">
        <f t="shared" si="50"/>
        <v>-</v>
      </c>
      <c r="AM65" s="356" t="str">
        <f t="shared" si="51"/>
        <v>-</v>
      </c>
      <c r="AN65" s="356" t="str">
        <f t="shared" si="52"/>
        <v>-</v>
      </c>
      <c r="AO65" s="356" t="e">
        <f t="shared" si="53"/>
        <v>#VALUE!</v>
      </c>
      <c r="AP65" s="358" t="str">
        <f t="shared" si="54"/>
        <v>-</v>
      </c>
      <c r="AQ65" s="357" t="str">
        <f t="shared" si="55"/>
        <v>-</v>
      </c>
      <c r="AR65" s="357" t="str">
        <f t="shared" si="56"/>
        <v>-</v>
      </c>
      <c r="AS65" s="356" t="str">
        <f t="shared" si="57"/>
        <v>-</v>
      </c>
      <c r="AT65" s="355" t="str">
        <f t="shared" si="58"/>
        <v>-</v>
      </c>
      <c r="AU65" s="356" t="str">
        <f t="shared" si="59"/>
        <v>-</v>
      </c>
      <c r="AV65" s="356" t="e">
        <f t="shared" si="60"/>
        <v>#DIV/0!</v>
      </c>
      <c r="AW65" s="355" t="str">
        <f t="shared" si="61"/>
        <v>-</v>
      </c>
      <c r="AX65" s="359"/>
      <c r="AY65" s="356" t="str">
        <f t="shared" si="62"/>
        <v>-</v>
      </c>
      <c r="AZ65" s="356" t="str">
        <f t="shared" si="63"/>
        <v>-</v>
      </c>
      <c r="BA65" s="356">
        <f t="shared" si="64"/>
        <v>0</v>
      </c>
      <c r="BB65" s="356" t="e">
        <f t="shared" si="65"/>
        <v>#VALUE!</v>
      </c>
      <c r="BC65" s="358" t="str">
        <f t="shared" si="66"/>
        <v>-</v>
      </c>
      <c r="BD65" s="356" t="e">
        <f t="shared" si="67"/>
        <v>#VALUE!</v>
      </c>
      <c r="BE65" s="357" t="str">
        <f t="shared" si="68"/>
        <v>-</v>
      </c>
      <c r="BF65" s="357" t="str">
        <f t="shared" si="69"/>
        <v>-</v>
      </c>
      <c r="BG65" s="356">
        <f t="shared" si="70"/>
        <v>0</v>
      </c>
    </row>
    <row r="66" spans="1:59" x14ac:dyDescent="0.25">
      <c r="A66" s="355">
        <f t="shared" si="71"/>
        <v>39</v>
      </c>
      <c r="B66" s="363"/>
      <c r="C66" s="363"/>
      <c r="D66" s="363"/>
      <c r="E66" s="363"/>
      <c r="F66" s="363"/>
      <c r="G66" s="363"/>
      <c r="H66" s="359"/>
      <c r="I66" s="359"/>
      <c r="J66" s="362"/>
      <c r="K66" s="359"/>
      <c r="L66" s="359"/>
      <c r="M66" s="359"/>
      <c r="N66" s="359"/>
      <c r="O66" s="359"/>
      <c r="P66" s="359"/>
      <c r="Q66" s="359"/>
      <c r="R66" s="359"/>
      <c r="S66" s="359"/>
      <c r="T66" s="359"/>
      <c r="U66" s="359"/>
      <c r="V66" s="359"/>
      <c r="W66" s="359"/>
      <c r="X66" s="359"/>
      <c r="Y66" s="359"/>
      <c r="Z66" s="359"/>
      <c r="AA66" s="356">
        <f t="shared" si="39"/>
        <v>0</v>
      </c>
      <c r="AB66" s="356">
        <f t="shared" si="40"/>
        <v>0</v>
      </c>
      <c r="AC66" s="356">
        <f t="shared" si="41"/>
        <v>0</v>
      </c>
      <c r="AD66" s="356">
        <f t="shared" si="42"/>
        <v>0</v>
      </c>
      <c r="AE66" s="356">
        <f t="shared" si="43"/>
        <v>0</v>
      </c>
      <c r="AF66" s="356">
        <f t="shared" si="44"/>
        <v>0</v>
      </c>
      <c r="AG66" s="356">
        <f t="shared" si="45"/>
        <v>0</v>
      </c>
      <c r="AH66" s="361">
        <f t="shared" si="46"/>
        <v>1.1000000000000001</v>
      </c>
      <c r="AI66" s="356">
        <f t="shared" si="47"/>
        <v>0</v>
      </c>
      <c r="AJ66" s="356">
        <f t="shared" si="48"/>
        <v>0</v>
      </c>
      <c r="AK66" s="360">
        <f t="shared" si="49"/>
        <v>0</v>
      </c>
      <c r="AL66" s="356" t="str">
        <f t="shared" si="50"/>
        <v>-</v>
      </c>
      <c r="AM66" s="356" t="str">
        <f t="shared" si="51"/>
        <v>-</v>
      </c>
      <c r="AN66" s="356" t="str">
        <f t="shared" si="52"/>
        <v>-</v>
      </c>
      <c r="AO66" s="356" t="e">
        <f t="shared" si="53"/>
        <v>#VALUE!</v>
      </c>
      <c r="AP66" s="358" t="str">
        <f t="shared" si="54"/>
        <v>-</v>
      </c>
      <c r="AQ66" s="357" t="str">
        <f t="shared" si="55"/>
        <v>-</v>
      </c>
      <c r="AR66" s="357" t="str">
        <f t="shared" si="56"/>
        <v>-</v>
      </c>
      <c r="AS66" s="356" t="str">
        <f t="shared" si="57"/>
        <v>-</v>
      </c>
      <c r="AT66" s="355" t="str">
        <f t="shared" si="58"/>
        <v>-</v>
      </c>
      <c r="AU66" s="356" t="str">
        <f t="shared" si="59"/>
        <v>-</v>
      </c>
      <c r="AV66" s="356" t="e">
        <f t="shared" si="60"/>
        <v>#DIV/0!</v>
      </c>
      <c r="AW66" s="355" t="str">
        <f t="shared" si="61"/>
        <v>-</v>
      </c>
      <c r="AX66" s="359"/>
      <c r="AY66" s="356" t="str">
        <f t="shared" si="62"/>
        <v>-</v>
      </c>
      <c r="AZ66" s="356" t="str">
        <f t="shared" si="63"/>
        <v>-</v>
      </c>
      <c r="BA66" s="356">
        <f t="shared" si="64"/>
        <v>0</v>
      </c>
      <c r="BB66" s="356" t="e">
        <f t="shared" si="65"/>
        <v>#VALUE!</v>
      </c>
      <c r="BC66" s="358" t="str">
        <f t="shared" si="66"/>
        <v>-</v>
      </c>
      <c r="BD66" s="356" t="e">
        <f t="shared" si="67"/>
        <v>#VALUE!</v>
      </c>
      <c r="BE66" s="357" t="str">
        <f t="shared" si="68"/>
        <v>-</v>
      </c>
      <c r="BF66" s="357" t="str">
        <f t="shared" si="69"/>
        <v>-</v>
      </c>
      <c r="BG66" s="356">
        <f t="shared" si="70"/>
        <v>0</v>
      </c>
    </row>
    <row r="67" spans="1:59" x14ac:dyDescent="0.25">
      <c r="A67" s="355">
        <f t="shared" si="71"/>
        <v>40</v>
      </c>
      <c r="B67" s="363"/>
      <c r="C67" s="363"/>
      <c r="D67" s="363"/>
      <c r="E67" s="363"/>
      <c r="F67" s="363"/>
      <c r="G67" s="363"/>
      <c r="H67" s="359"/>
      <c r="I67" s="359"/>
      <c r="J67" s="362"/>
      <c r="K67" s="359"/>
      <c r="L67" s="359"/>
      <c r="M67" s="359"/>
      <c r="N67" s="359"/>
      <c r="O67" s="359"/>
      <c r="P67" s="359"/>
      <c r="Q67" s="359"/>
      <c r="R67" s="359"/>
      <c r="S67" s="359"/>
      <c r="T67" s="359"/>
      <c r="U67" s="359"/>
      <c r="V67" s="359"/>
      <c r="W67" s="359"/>
      <c r="X67" s="359"/>
      <c r="Y67" s="359"/>
      <c r="Z67" s="359"/>
      <c r="AA67" s="356">
        <f t="shared" si="39"/>
        <v>0</v>
      </c>
      <c r="AB67" s="356">
        <f t="shared" si="40"/>
        <v>0</v>
      </c>
      <c r="AC67" s="356">
        <f t="shared" si="41"/>
        <v>0</v>
      </c>
      <c r="AD67" s="356">
        <f t="shared" si="42"/>
        <v>0</v>
      </c>
      <c r="AE67" s="356">
        <f t="shared" si="43"/>
        <v>0</v>
      </c>
      <c r="AF67" s="356">
        <f t="shared" si="44"/>
        <v>0</v>
      </c>
      <c r="AG67" s="356">
        <f t="shared" si="45"/>
        <v>0</v>
      </c>
      <c r="AH67" s="361">
        <f t="shared" si="46"/>
        <v>1.1000000000000001</v>
      </c>
      <c r="AI67" s="356">
        <f t="shared" si="47"/>
        <v>0</v>
      </c>
      <c r="AJ67" s="356">
        <f t="shared" si="48"/>
        <v>0</v>
      </c>
      <c r="AK67" s="360">
        <f t="shared" si="49"/>
        <v>0</v>
      </c>
      <c r="AL67" s="356" t="str">
        <f t="shared" si="50"/>
        <v>-</v>
      </c>
      <c r="AM67" s="356" t="str">
        <f t="shared" si="51"/>
        <v>-</v>
      </c>
      <c r="AN67" s="356" t="str">
        <f t="shared" si="52"/>
        <v>-</v>
      </c>
      <c r="AO67" s="356" t="e">
        <f t="shared" si="53"/>
        <v>#VALUE!</v>
      </c>
      <c r="AP67" s="358" t="str">
        <f t="shared" si="54"/>
        <v>-</v>
      </c>
      <c r="AQ67" s="357" t="str">
        <f t="shared" si="55"/>
        <v>-</v>
      </c>
      <c r="AR67" s="357" t="str">
        <f t="shared" si="56"/>
        <v>-</v>
      </c>
      <c r="AS67" s="356" t="str">
        <f t="shared" si="57"/>
        <v>-</v>
      </c>
      <c r="AT67" s="355" t="str">
        <f t="shared" si="58"/>
        <v>-</v>
      </c>
      <c r="AU67" s="356" t="str">
        <f t="shared" si="59"/>
        <v>-</v>
      </c>
      <c r="AV67" s="356" t="e">
        <f t="shared" si="60"/>
        <v>#DIV/0!</v>
      </c>
      <c r="AW67" s="355" t="str">
        <f t="shared" si="61"/>
        <v>-</v>
      </c>
      <c r="AX67" s="359"/>
      <c r="AY67" s="356" t="str">
        <f t="shared" si="62"/>
        <v>-</v>
      </c>
      <c r="AZ67" s="356" t="str">
        <f t="shared" si="63"/>
        <v>-</v>
      </c>
      <c r="BA67" s="356">
        <f t="shared" si="64"/>
        <v>0</v>
      </c>
      <c r="BB67" s="356" t="e">
        <f t="shared" si="65"/>
        <v>#VALUE!</v>
      </c>
      <c r="BC67" s="358" t="str">
        <f t="shared" si="66"/>
        <v>-</v>
      </c>
      <c r="BD67" s="356" t="e">
        <f t="shared" si="67"/>
        <v>#VALUE!</v>
      </c>
      <c r="BE67" s="357" t="str">
        <f t="shared" si="68"/>
        <v>-</v>
      </c>
      <c r="BF67" s="357" t="str">
        <f t="shared" si="69"/>
        <v>-</v>
      </c>
      <c r="BG67" s="356">
        <f t="shared" si="70"/>
        <v>0</v>
      </c>
    </row>
    <row r="68" spans="1:59" x14ac:dyDescent="0.25">
      <c r="A68" s="355">
        <f t="shared" si="71"/>
        <v>41</v>
      </c>
      <c r="B68" s="363"/>
      <c r="C68" s="363"/>
      <c r="D68" s="363"/>
      <c r="E68" s="363"/>
      <c r="F68" s="363"/>
      <c r="G68" s="363"/>
      <c r="H68" s="359"/>
      <c r="I68" s="359"/>
      <c r="J68" s="362"/>
      <c r="K68" s="359"/>
      <c r="L68" s="359"/>
      <c r="M68" s="359"/>
      <c r="N68" s="359"/>
      <c r="O68" s="359"/>
      <c r="P68" s="359"/>
      <c r="Q68" s="359"/>
      <c r="R68" s="359"/>
      <c r="S68" s="359"/>
      <c r="T68" s="359"/>
      <c r="U68" s="359"/>
      <c r="V68" s="359"/>
      <c r="W68" s="359"/>
      <c r="X68" s="359"/>
      <c r="Y68" s="359"/>
      <c r="Z68" s="359"/>
      <c r="AA68" s="356">
        <f t="shared" si="39"/>
        <v>0</v>
      </c>
      <c r="AB68" s="356">
        <f t="shared" si="40"/>
        <v>0</v>
      </c>
      <c r="AC68" s="356">
        <f t="shared" si="41"/>
        <v>0</v>
      </c>
      <c r="AD68" s="356">
        <f t="shared" si="42"/>
        <v>0</v>
      </c>
      <c r="AE68" s="356">
        <f t="shared" si="43"/>
        <v>0</v>
      </c>
      <c r="AF68" s="356">
        <f t="shared" si="44"/>
        <v>0</v>
      </c>
      <c r="AG68" s="356">
        <f t="shared" si="45"/>
        <v>0</v>
      </c>
      <c r="AH68" s="361">
        <f t="shared" si="46"/>
        <v>1.1000000000000001</v>
      </c>
      <c r="AI68" s="356">
        <f t="shared" si="47"/>
        <v>0</v>
      </c>
      <c r="AJ68" s="356">
        <f t="shared" si="48"/>
        <v>0</v>
      </c>
      <c r="AK68" s="360">
        <f t="shared" si="49"/>
        <v>0</v>
      </c>
      <c r="AL68" s="356" t="str">
        <f t="shared" si="50"/>
        <v>-</v>
      </c>
      <c r="AM68" s="356" t="str">
        <f t="shared" si="51"/>
        <v>-</v>
      </c>
      <c r="AN68" s="356" t="str">
        <f t="shared" si="52"/>
        <v>-</v>
      </c>
      <c r="AO68" s="356" t="e">
        <f t="shared" si="53"/>
        <v>#VALUE!</v>
      </c>
      <c r="AP68" s="358" t="str">
        <f t="shared" si="54"/>
        <v>-</v>
      </c>
      <c r="AQ68" s="357" t="str">
        <f t="shared" si="55"/>
        <v>-</v>
      </c>
      <c r="AR68" s="357" t="str">
        <f t="shared" si="56"/>
        <v>-</v>
      </c>
      <c r="AS68" s="356" t="str">
        <f t="shared" si="57"/>
        <v>-</v>
      </c>
      <c r="AT68" s="355" t="str">
        <f t="shared" si="58"/>
        <v>-</v>
      </c>
      <c r="AU68" s="356" t="str">
        <f t="shared" si="59"/>
        <v>-</v>
      </c>
      <c r="AV68" s="356" t="e">
        <f t="shared" si="60"/>
        <v>#DIV/0!</v>
      </c>
      <c r="AW68" s="355" t="str">
        <f t="shared" si="61"/>
        <v>-</v>
      </c>
      <c r="AX68" s="359"/>
      <c r="AY68" s="356" t="str">
        <f t="shared" si="62"/>
        <v>-</v>
      </c>
      <c r="AZ68" s="356" t="str">
        <f t="shared" si="63"/>
        <v>-</v>
      </c>
      <c r="BA68" s="356">
        <f t="shared" si="64"/>
        <v>0</v>
      </c>
      <c r="BB68" s="356" t="e">
        <f t="shared" si="65"/>
        <v>#VALUE!</v>
      </c>
      <c r="BC68" s="358" t="str">
        <f t="shared" si="66"/>
        <v>-</v>
      </c>
      <c r="BD68" s="356" t="e">
        <f t="shared" si="67"/>
        <v>#VALUE!</v>
      </c>
      <c r="BE68" s="357" t="str">
        <f t="shared" si="68"/>
        <v>-</v>
      </c>
      <c r="BF68" s="357" t="str">
        <f t="shared" si="69"/>
        <v>-</v>
      </c>
      <c r="BG68" s="356">
        <f t="shared" si="70"/>
        <v>0</v>
      </c>
    </row>
    <row r="69" spans="1:59" x14ac:dyDescent="0.25">
      <c r="A69" s="355">
        <f t="shared" si="71"/>
        <v>42</v>
      </c>
      <c r="B69" s="363"/>
      <c r="C69" s="363"/>
      <c r="D69" s="363"/>
      <c r="E69" s="363"/>
      <c r="F69" s="363"/>
      <c r="G69" s="363"/>
      <c r="H69" s="359"/>
      <c r="I69" s="359"/>
      <c r="J69" s="362"/>
      <c r="K69" s="359"/>
      <c r="L69" s="359"/>
      <c r="M69" s="359"/>
      <c r="N69" s="359"/>
      <c r="O69" s="359"/>
      <c r="P69" s="359"/>
      <c r="Q69" s="359"/>
      <c r="R69" s="359"/>
      <c r="S69" s="359"/>
      <c r="T69" s="359"/>
      <c r="U69" s="359"/>
      <c r="V69" s="359"/>
      <c r="W69" s="359"/>
      <c r="X69" s="359"/>
      <c r="Y69" s="359"/>
      <c r="Z69" s="359"/>
      <c r="AA69" s="356">
        <f t="shared" si="39"/>
        <v>0</v>
      </c>
      <c r="AB69" s="356">
        <f t="shared" si="40"/>
        <v>0</v>
      </c>
      <c r="AC69" s="356">
        <f t="shared" si="41"/>
        <v>0</v>
      </c>
      <c r="AD69" s="356">
        <f t="shared" si="42"/>
        <v>0</v>
      </c>
      <c r="AE69" s="356">
        <f t="shared" si="43"/>
        <v>0</v>
      </c>
      <c r="AF69" s="356">
        <f t="shared" si="44"/>
        <v>0</v>
      </c>
      <c r="AG69" s="356">
        <f t="shared" si="45"/>
        <v>0</v>
      </c>
      <c r="AH69" s="361">
        <f t="shared" si="46"/>
        <v>1.1000000000000001</v>
      </c>
      <c r="AI69" s="356">
        <f t="shared" si="47"/>
        <v>0</v>
      </c>
      <c r="AJ69" s="356">
        <f t="shared" si="48"/>
        <v>0</v>
      </c>
      <c r="AK69" s="360">
        <f t="shared" si="49"/>
        <v>0</v>
      </c>
      <c r="AL69" s="356" t="str">
        <f t="shared" si="50"/>
        <v>-</v>
      </c>
      <c r="AM69" s="356" t="str">
        <f t="shared" si="51"/>
        <v>-</v>
      </c>
      <c r="AN69" s="356" t="str">
        <f t="shared" si="52"/>
        <v>-</v>
      </c>
      <c r="AO69" s="356" t="e">
        <f t="shared" si="53"/>
        <v>#VALUE!</v>
      </c>
      <c r="AP69" s="358" t="str">
        <f t="shared" si="54"/>
        <v>-</v>
      </c>
      <c r="AQ69" s="357" t="str">
        <f t="shared" si="55"/>
        <v>-</v>
      </c>
      <c r="AR69" s="357" t="str">
        <f t="shared" si="56"/>
        <v>-</v>
      </c>
      <c r="AS69" s="356" t="str">
        <f t="shared" si="57"/>
        <v>-</v>
      </c>
      <c r="AT69" s="355" t="str">
        <f t="shared" si="58"/>
        <v>-</v>
      </c>
      <c r="AU69" s="356" t="str">
        <f t="shared" si="59"/>
        <v>-</v>
      </c>
      <c r="AV69" s="356" t="e">
        <f t="shared" si="60"/>
        <v>#DIV/0!</v>
      </c>
      <c r="AW69" s="355" t="str">
        <f t="shared" si="61"/>
        <v>-</v>
      </c>
      <c r="AX69" s="359"/>
      <c r="AY69" s="356" t="str">
        <f t="shared" si="62"/>
        <v>-</v>
      </c>
      <c r="AZ69" s="356" t="str">
        <f t="shared" si="63"/>
        <v>-</v>
      </c>
      <c r="BA69" s="356">
        <f t="shared" si="64"/>
        <v>0</v>
      </c>
      <c r="BB69" s="356" t="e">
        <f t="shared" si="65"/>
        <v>#VALUE!</v>
      </c>
      <c r="BC69" s="358" t="str">
        <f t="shared" si="66"/>
        <v>-</v>
      </c>
      <c r="BD69" s="356" t="e">
        <f t="shared" si="67"/>
        <v>#VALUE!</v>
      </c>
      <c r="BE69" s="357" t="str">
        <f t="shared" si="68"/>
        <v>-</v>
      </c>
      <c r="BF69" s="357" t="str">
        <f t="shared" si="69"/>
        <v>-</v>
      </c>
      <c r="BG69" s="356">
        <f t="shared" si="70"/>
        <v>0</v>
      </c>
    </row>
    <row r="70" spans="1:59" x14ac:dyDescent="0.25">
      <c r="A70" s="355">
        <f t="shared" si="71"/>
        <v>43</v>
      </c>
      <c r="B70" s="363"/>
      <c r="C70" s="363"/>
      <c r="D70" s="363"/>
      <c r="E70" s="363"/>
      <c r="F70" s="363"/>
      <c r="G70" s="363"/>
      <c r="H70" s="359"/>
      <c r="I70" s="359"/>
      <c r="J70" s="362"/>
      <c r="K70" s="359"/>
      <c r="L70" s="359"/>
      <c r="M70" s="359"/>
      <c r="N70" s="359"/>
      <c r="O70" s="359"/>
      <c r="P70" s="359"/>
      <c r="Q70" s="359"/>
      <c r="R70" s="359"/>
      <c r="S70" s="359"/>
      <c r="T70" s="359"/>
      <c r="U70" s="359"/>
      <c r="V70" s="359"/>
      <c r="W70" s="359"/>
      <c r="X70" s="359"/>
      <c r="Y70" s="359"/>
      <c r="Z70" s="359"/>
      <c r="AA70" s="356">
        <f t="shared" si="39"/>
        <v>0</v>
      </c>
      <c r="AB70" s="356">
        <f t="shared" si="40"/>
        <v>0</v>
      </c>
      <c r="AC70" s="356">
        <f t="shared" si="41"/>
        <v>0</v>
      </c>
      <c r="AD70" s="356">
        <f t="shared" si="42"/>
        <v>0</v>
      </c>
      <c r="AE70" s="356">
        <f t="shared" si="43"/>
        <v>0</v>
      </c>
      <c r="AF70" s="356">
        <f t="shared" si="44"/>
        <v>0</v>
      </c>
      <c r="AG70" s="356">
        <f t="shared" si="45"/>
        <v>0</v>
      </c>
      <c r="AH70" s="361">
        <f t="shared" si="46"/>
        <v>1.1000000000000001</v>
      </c>
      <c r="AI70" s="356">
        <f t="shared" si="47"/>
        <v>0</v>
      </c>
      <c r="AJ70" s="356">
        <f t="shared" si="48"/>
        <v>0</v>
      </c>
      <c r="AK70" s="360">
        <f t="shared" si="49"/>
        <v>0</v>
      </c>
      <c r="AL70" s="356" t="str">
        <f t="shared" si="50"/>
        <v>-</v>
      </c>
      <c r="AM70" s="356" t="str">
        <f t="shared" si="51"/>
        <v>-</v>
      </c>
      <c r="AN70" s="356" t="str">
        <f t="shared" si="52"/>
        <v>-</v>
      </c>
      <c r="AO70" s="356" t="e">
        <f t="shared" si="53"/>
        <v>#VALUE!</v>
      </c>
      <c r="AP70" s="358" t="str">
        <f t="shared" si="54"/>
        <v>-</v>
      </c>
      <c r="AQ70" s="357" t="str">
        <f t="shared" si="55"/>
        <v>-</v>
      </c>
      <c r="AR70" s="357" t="str">
        <f t="shared" si="56"/>
        <v>-</v>
      </c>
      <c r="AS70" s="356" t="str">
        <f t="shared" si="57"/>
        <v>-</v>
      </c>
      <c r="AT70" s="355" t="str">
        <f t="shared" si="58"/>
        <v>-</v>
      </c>
      <c r="AU70" s="356" t="str">
        <f t="shared" si="59"/>
        <v>-</v>
      </c>
      <c r="AV70" s="356" t="e">
        <f t="shared" si="60"/>
        <v>#DIV/0!</v>
      </c>
      <c r="AW70" s="355" t="str">
        <f t="shared" si="61"/>
        <v>-</v>
      </c>
      <c r="AX70" s="359"/>
      <c r="AY70" s="356" t="str">
        <f t="shared" si="62"/>
        <v>-</v>
      </c>
      <c r="AZ70" s="356" t="str">
        <f t="shared" si="63"/>
        <v>-</v>
      </c>
      <c r="BA70" s="356">
        <f t="shared" si="64"/>
        <v>0</v>
      </c>
      <c r="BB70" s="356" t="e">
        <f t="shared" si="65"/>
        <v>#VALUE!</v>
      </c>
      <c r="BC70" s="358" t="str">
        <f t="shared" si="66"/>
        <v>-</v>
      </c>
      <c r="BD70" s="356" t="e">
        <f t="shared" si="67"/>
        <v>#VALUE!</v>
      </c>
      <c r="BE70" s="357" t="str">
        <f t="shared" si="68"/>
        <v>-</v>
      </c>
      <c r="BF70" s="357" t="str">
        <f t="shared" si="69"/>
        <v>-</v>
      </c>
      <c r="BG70" s="356">
        <f t="shared" si="70"/>
        <v>0</v>
      </c>
    </row>
    <row r="71" spans="1:59" x14ac:dyDescent="0.25">
      <c r="A71" s="355">
        <f t="shared" si="71"/>
        <v>44</v>
      </c>
      <c r="B71" s="363"/>
      <c r="C71" s="363"/>
      <c r="D71" s="363"/>
      <c r="E71" s="363"/>
      <c r="F71" s="363"/>
      <c r="G71" s="363"/>
      <c r="H71" s="359"/>
      <c r="I71" s="359"/>
      <c r="J71" s="362"/>
      <c r="K71" s="359"/>
      <c r="L71" s="359"/>
      <c r="M71" s="359"/>
      <c r="N71" s="359"/>
      <c r="O71" s="359"/>
      <c r="P71" s="359"/>
      <c r="Q71" s="359"/>
      <c r="R71" s="359"/>
      <c r="S71" s="359"/>
      <c r="T71" s="359"/>
      <c r="U71" s="359"/>
      <c r="V71" s="359"/>
      <c r="W71" s="359"/>
      <c r="X71" s="359"/>
      <c r="Y71" s="359"/>
      <c r="Z71" s="359"/>
      <c r="AA71" s="356">
        <f t="shared" si="39"/>
        <v>0</v>
      </c>
      <c r="AB71" s="356">
        <f t="shared" si="40"/>
        <v>0</v>
      </c>
      <c r="AC71" s="356">
        <f t="shared" si="41"/>
        <v>0</v>
      </c>
      <c r="AD71" s="356">
        <f t="shared" si="42"/>
        <v>0</v>
      </c>
      <c r="AE71" s="356">
        <f t="shared" si="43"/>
        <v>0</v>
      </c>
      <c r="AF71" s="356">
        <f t="shared" si="44"/>
        <v>0</v>
      </c>
      <c r="AG71" s="356">
        <f t="shared" si="45"/>
        <v>0</v>
      </c>
      <c r="AH71" s="361">
        <f t="shared" si="46"/>
        <v>1.1000000000000001</v>
      </c>
      <c r="AI71" s="356">
        <f t="shared" si="47"/>
        <v>0</v>
      </c>
      <c r="AJ71" s="356">
        <f t="shared" si="48"/>
        <v>0</v>
      </c>
      <c r="AK71" s="360">
        <f t="shared" si="49"/>
        <v>0</v>
      </c>
      <c r="AL71" s="356" t="str">
        <f t="shared" si="50"/>
        <v>-</v>
      </c>
      <c r="AM71" s="356" t="str">
        <f t="shared" si="51"/>
        <v>-</v>
      </c>
      <c r="AN71" s="356" t="str">
        <f t="shared" si="52"/>
        <v>-</v>
      </c>
      <c r="AO71" s="356" t="e">
        <f t="shared" si="53"/>
        <v>#VALUE!</v>
      </c>
      <c r="AP71" s="358" t="str">
        <f t="shared" si="54"/>
        <v>-</v>
      </c>
      <c r="AQ71" s="357" t="str">
        <f t="shared" si="55"/>
        <v>-</v>
      </c>
      <c r="AR71" s="357" t="str">
        <f t="shared" si="56"/>
        <v>-</v>
      </c>
      <c r="AS71" s="356" t="str">
        <f t="shared" si="57"/>
        <v>-</v>
      </c>
      <c r="AT71" s="355" t="str">
        <f t="shared" si="58"/>
        <v>-</v>
      </c>
      <c r="AU71" s="356" t="str">
        <f t="shared" si="59"/>
        <v>-</v>
      </c>
      <c r="AV71" s="356" t="e">
        <f t="shared" si="60"/>
        <v>#DIV/0!</v>
      </c>
      <c r="AW71" s="355" t="str">
        <f t="shared" si="61"/>
        <v>-</v>
      </c>
      <c r="AX71" s="359"/>
      <c r="AY71" s="356" t="str">
        <f t="shared" si="62"/>
        <v>-</v>
      </c>
      <c r="AZ71" s="356" t="str">
        <f t="shared" si="63"/>
        <v>-</v>
      </c>
      <c r="BA71" s="356">
        <f t="shared" si="64"/>
        <v>0</v>
      </c>
      <c r="BB71" s="356" t="e">
        <f t="shared" si="65"/>
        <v>#VALUE!</v>
      </c>
      <c r="BC71" s="358" t="str">
        <f t="shared" si="66"/>
        <v>-</v>
      </c>
      <c r="BD71" s="356" t="e">
        <f t="shared" si="67"/>
        <v>#VALUE!</v>
      </c>
      <c r="BE71" s="357" t="str">
        <f t="shared" si="68"/>
        <v>-</v>
      </c>
      <c r="BF71" s="357" t="str">
        <f t="shared" si="69"/>
        <v>-</v>
      </c>
      <c r="BG71" s="356">
        <f t="shared" si="70"/>
        <v>0</v>
      </c>
    </row>
    <row r="72" spans="1:59" x14ac:dyDescent="0.25">
      <c r="A72" s="355">
        <f t="shared" si="71"/>
        <v>45</v>
      </c>
      <c r="B72" s="363"/>
      <c r="C72" s="363"/>
      <c r="D72" s="363"/>
      <c r="E72" s="363"/>
      <c r="F72" s="363"/>
      <c r="G72" s="363"/>
      <c r="H72" s="359"/>
      <c r="I72" s="359"/>
      <c r="J72" s="362"/>
      <c r="K72" s="359"/>
      <c r="L72" s="359"/>
      <c r="M72" s="359"/>
      <c r="N72" s="359"/>
      <c r="O72" s="359"/>
      <c r="P72" s="359"/>
      <c r="Q72" s="359"/>
      <c r="R72" s="359"/>
      <c r="S72" s="359"/>
      <c r="T72" s="359"/>
      <c r="U72" s="359"/>
      <c r="V72" s="359"/>
      <c r="W72" s="359"/>
      <c r="X72" s="359"/>
      <c r="Y72" s="359"/>
      <c r="Z72" s="359"/>
      <c r="AA72" s="356">
        <f t="shared" si="39"/>
        <v>0</v>
      </c>
      <c r="AB72" s="356">
        <f t="shared" si="40"/>
        <v>0</v>
      </c>
      <c r="AC72" s="356">
        <f t="shared" si="41"/>
        <v>0</v>
      </c>
      <c r="AD72" s="356">
        <f t="shared" si="42"/>
        <v>0</v>
      </c>
      <c r="AE72" s="356">
        <f t="shared" si="43"/>
        <v>0</v>
      </c>
      <c r="AF72" s="356">
        <f t="shared" si="44"/>
        <v>0</v>
      </c>
      <c r="AG72" s="356">
        <f t="shared" si="45"/>
        <v>0</v>
      </c>
      <c r="AH72" s="361">
        <f t="shared" si="46"/>
        <v>1.1000000000000001</v>
      </c>
      <c r="AI72" s="356">
        <f t="shared" si="47"/>
        <v>0</v>
      </c>
      <c r="AJ72" s="356">
        <f t="shared" si="48"/>
        <v>0</v>
      </c>
      <c r="AK72" s="360">
        <f t="shared" si="49"/>
        <v>0</v>
      </c>
      <c r="AL72" s="356" t="str">
        <f t="shared" si="50"/>
        <v>-</v>
      </c>
      <c r="AM72" s="356" t="str">
        <f t="shared" si="51"/>
        <v>-</v>
      </c>
      <c r="AN72" s="356" t="str">
        <f t="shared" si="52"/>
        <v>-</v>
      </c>
      <c r="AO72" s="356" t="e">
        <f t="shared" si="53"/>
        <v>#VALUE!</v>
      </c>
      <c r="AP72" s="358" t="str">
        <f t="shared" si="54"/>
        <v>-</v>
      </c>
      <c r="AQ72" s="357" t="str">
        <f t="shared" si="55"/>
        <v>-</v>
      </c>
      <c r="AR72" s="357" t="str">
        <f t="shared" si="56"/>
        <v>-</v>
      </c>
      <c r="AS72" s="356" t="str">
        <f t="shared" si="57"/>
        <v>-</v>
      </c>
      <c r="AT72" s="355" t="str">
        <f t="shared" si="58"/>
        <v>-</v>
      </c>
      <c r="AU72" s="356" t="str">
        <f t="shared" si="59"/>
        <v>-</v>
      </c>
      <c r="AV72" s="356" t="e">
        <f t="shared" si="60"/>
        <v>#DIV/0!</v>
      </c>
      <c r="AW72" s="355" t="str">
        <f t="shared" si="61"/>
        <v>-</v>
      </c>
      <c r="AX72" s="359"/>
      <c r="AY72" s="356" t="str">
        <f t="shared" si="62"/>
        <v>-</v>
      </c>
      <c r="AZ72" s="356" t="str">
        <f t="shared" si="63"/>
        <v>-</v>
      </c>
      <c r="BA72" s="356">
        <f t="shared" si="64"/>
        <v>0</v>
      </c>
      <c r="BB72" s="356" t="e">
        <f t="shared" si="65"/>
        <v>#VALUE!</v>
      </c>
      <c r="BC72" s="358" t="str">
        <f t="shared" si="66"/>
        <v>-</v>
      </c>
      <c r="BD72" s="356" t="e">
        <f t="shared" si="67"/>
        <v>#VALUE!</v>
      </c>
      <c r="BE72" s="357" t="str">
        <f t="shared" si="68"/>
        <v>-</v>
      </c>
      <c r="BF72" s="357" t="str">
        <f t="shared" si="69"/>
        <v>-</v>
      </c>
      <c r="BG72" s="356">
        <f t="shared" si="70"/>
        <v>0</v>
      </c>
    </row>
    <row r="73" spans="1:59" x14ac:dyDescent="0.25">
      <c r="A73" s="355">
        <f t="shared" si="71"/>
        <v>46</v>
      </c>
      <c r="B73" s="363"/>
      <c r="C73" s="363"/>
      <c r="D73" s="363"/>
      <c r="E73" s="363"/>
      <c r="F73" s="363"/>
      <c r="G73" s="363"/>
      <c r="H73" s="359"/>
      <c r="I73" s="359"/>
      <c r="J73" s="362"/>
      <c r="K73" s="359"/>
      <c r="L73" s="359"/>
      <c r="M73" s="359"/>
      <c r="N73" s="359"/>
      <c r="O73" s="359"/>
      <c r="P73" s="359"/>
      <c r="Q73" s="359"/>
      <c r="R73" s="359"/>
      <c r="S73" s="359"/>
      <c r="T73" s="359"/>
      <c r="U73" s="359"/>
      <c r="V73" s="359"/>
      <c r="W73" s="359"/>
      <c r="X73" s="359"/>
      <c r="Y73" s="359"/>
      <c r="Z73" s="359"/>
      <c r="AA73" s="356">
        <f t="shared" si="39"/>
        <v>0</v>
      </c>
      <c r="AB73" s="356">
        <f t="shared" si="40"/>
        <v>0</v>
      </c>
      <c r="AC73" s="356">
        <f t="shared" si="41"/>
        <v>0</v>
      </c>
      <c r="AD73" s="356">
        <f t="shared" si="42"/>
        <v>0</v>
      </c>
      <c r="AE73" s="356">
        <f t="shared" si="43"/>
        <v>0</v>
      </c>
      <c r="AF73" s="356">
        <f t="shared" si="44"/>
        <v>0</v>
      </c>
      <c r="AG73" s="356">
        <f t="shared" si="45"/>
        <v>0</v>
      </c>
      <c r="AH73" s="361">
        <f t="shared" si="46"/>
        <v>1.1000000000000001</v>
      </c>
      <c r="AI73" s="356">
        <f t="shared" si="47"/>
        <v>0</v>
      </c>
      <c r="AJ73" s="356">
        <f t="shared" si="48"/>
        <v>0</v>
      </c>
      <c r="AK73" s="360">
        <f t="shared" si="49"/>
        <v>0</v>
      </c>
      <c r="AL73" s="356" t="str">
        <f t="shared" si="50"/>
        <v>-</v>
      </c>
      <c r="AM73" s="356" t="str">
        <f t="shared" si="51"/>
        <v>-</v>
      </c>
      <c r="AN73" s="356" t="str">
        <f t="shared" si="52"/>
        <v>-</v>
      </c>
      <c r="AO73" s="356" t="e">
        <f t="shared" si="53"/>
        <v>#VALUE!</v>
      </c>
      <c r="AP73" s="358" t="str">
        <f t="shared" si="54"/>
        <v>-</v>
      </c>
      <c r="AQ73" s="357" t="str">
        <f t="shared" si="55"/>
        <v>-</v>
      </c>
      <c r="AR73" s="357" t="str">
        <f t="shared" si="56"/>
        <v>-</v>
      </c>
      <c r="AS73" s="356" t="str">
        <f t="shared" si="57"/>
        <v>-</v>
      </c>
      <c r="AT73" s="355" t="str">
        <f t="shared" si="58"/>
        <v>-</v>
      </c>
      <c r="AU73" s="356" t="str">
        <f t="shared" si="59"/>
        <v>-</v>
      </c>
      <c r="AV73" s="356" t="e">
        <f t="shared" si="60"/>
        <v>#DIV/0!</v>
      </c>
      <c r="AW73" s="355" t="str">
        <f t="shared" si="61"/>
        <v>-</v>
      </c>
      <c r="AX73" s="359"/>
      <c r="AY73" s="356" t="str">
        <f t="shared" si="62"/>
        <v>-</v>
      </c>
      <c r="AZ73" s="356" t="str">
        <f t="shared" si="63"/>
        <v>-</v>
      </c>
      <c r="BA73" s="356">
        <f t="shared" si="64"/>
        <v>0</v>
      </c>
      <c r="BB73" s="356" t="e">
        <f t="shared" si="65"/>
        <v>#VALUE!</v>
      </c>
      <c r="BC73" s="358" t="str">
        <f t="shared" si="66"/>
        <v>-</v>
      </c>
      <c r="BD73" s="356" t="e">
        <f t="shared" si="67"/>
        <v>#VALUE!</v>
      </c>
      <c r="BE73" s="357" t="str">
        <f t="shared" si="68"/>
        <v>-</v>
      </c>
      <c r="BF73" s="357" t="str">
        <f t="shared" si="69"/>
        <v>-</v>
      </c>
      <c r="BG73" s="356">
        <f t="shared" si="70"/>
        <v>0</v>
      </c>
    </row>
    <row r="74" spans="1:59" x14ac:dyDescent="0.25">
      <c r="A74" s="355">
        <f t="shared" si="71"/>
        <v>47</v>
      </c>
      <c r="B74" s="363"/>
      <c r="C74" s="363"/>
      <c r="D74" s="363"/>
      <c r="E74" s="363"/>
      <c r="F74" s="363"/>
      <c r="G74" s="363"/>
      <c r="H74" s="359"/>
      <c r="I74" s="359"/>
      <c r="J74" s="362"/>
      <c r="K74" s="359"/>
      <c r="L74" s="359"/>
      <c r="M74" s="359"/>
      <c r="N74" s="359"/>
      <c r="O74" s="359"/>
      <c r="P74" s="359"/>
      <c r="Q74" s="359"/>
      <c r="R74" s="359"/>
      <c r="S74" s="359"/>
      <c r="T74" s="359"/>
      <c r="U74" s="359"/>
      <c r="V74" s="359"/>
      <c r="W74" s="359"/>
      <c r="X74" s="359"/>
      <c r="Y74" s="359"/>
      <c r="Z74" s="359"/>
      <c r="AA74" s="356">
        <f t="shared" si="39"/>
        <v>0</v>
      </c>
      <c r="AB74" s="356">
        <f t="shared" si="40"/>
        <v>0</v>
      </c>
      <c r="AC74" s="356">
        <f t="shared" si="41"/>
        <v>0</v>
      </c>
      <c r="AD74" s="356">
        <f t="shared" si="42"/>
        <v>0</v>
      </c>
      <c r="AE74" s="356">
        <f t="shared" si="43"/>
        <v>0</v>
      </c>
      <c r="AF74" s="356">
        <f t="shared" si="44"/>
        <v>0</v>
      </c>
      <c r="AG74" s="356">
        <f t="shared" si="45"/>
        <v>0</v>
      </c>
      <c r="AH74" s="361">
        <f t="shared" si="46"/>
        <v>1.1000000000000001</v>
      </c>
      <c r="AI74" s="356">
        <f t="shared" si="47"/>
        <v>0</v>
      </c>
      <c r="AJ74" s="356">
        <f t="shared" si="48"/>
        <v>0</v>
      </c>
      <c r="AK74" s="360">
        <f t="shared" si="49"/>
        <v>0</v>
      </c>
      <c r="AL74" s="356" t="str">
        <f t="shared" si="50"/>
        <v>-</v>
      </c>
      <c r="AM74" s="356" t="str">
        <f t="shared" si="51"/>
        <v>-</v>
      </c>
      <c r="AN74" s="356" t="str">
        <f t="shared" si="52"/>
        <v>-</v>
      </c>
      <c r="AO74" s="356" t="e">
        <f t="shared" si="53"/>
        <v>#VALUE!</v>
      </c>
      <c r="AP74" s="358" t="str">
        <f t="shared" si="54"/>
        <v>-</v>
      </c>
      <c r="AQ74" s="357" t="str">
        <f t="shared" si="55"/>
        <v>-</v>
      </c>
      <c r="AR74" s="357" t="str">
        <f t="shared" si="56"/>
        <v>-</v>
      </c>
      <c r="AS74" s="356" t="str">
        <f t="shared" si="57"/>
        <v>-</v>
      </c>
      <c r="AT74" s="355" t="str">
        <f t="shared" si="58"/>
        <v>-</v>
      </c>
      <c r="AU74" s="356" t="str">
        <f t="shared" si="59"/>
        <v>-</v>
      </c>
      <c r="AV74" s="356" t="e">
        <f t="shared" si="60"/>
        <v>#DIV/0!</v>
      </c>
      <c r="AW74" s="355" t="str">
        <f t="shared" si="61"/>
        <v>-</v>
      </c>
      <c r="AX74" s="359"/>
      <c r="AY74" s="356" t="str">
        <f t="shared" si="62"/>
        <v>-</v>
      </c>
      <c r="AZ74" s="356" t="str">
        <f t="shared" si="63"/>
        <v>-</v>
      </c>
      <c r="BA74" s="356">
        <f t="shared" si="64"/>
        <v>0</v>
      </c>
      <c r="BB74" s="356" t="e">
        <f t="shared" si="65"/>
        <v>#VALUE!</v>
      </c>
      <c r="BC74" s="358" t="str">
        <f t="shared" si="66"/>
        <v>-</v>
      </c>
      <c r="BD74" s="356" t="e">
        <f t="shared" si="67"/>
        <v>#VALUE!</v>
      </c>
      <c r="BE74" s="357" t="str">
        <f t="shared" si="68"/>
        <v>-</v>
      </c>
      <c r="BF74" s="357" t="str">
        <f t="shared" si="69"/>
        <v>-</v>
      </c>
      <c r="BG74" s="356">
        <f t="shared" si="70"/>
        <v>0</v>
      </c>
    </row>
    <row r="75" spans="1:59" x14ac:dyDescent="0.25">
      <c r="A75" s="355">
        <f t="shared" si="71"/>
        <v>48</v>
      </c>
      <c r="B75" s="363"/>
      <c r="C75" s="363"/>
      <c r="D75" s="363"/>
      <c r="E75" s="363"/>
      <c r="F75" s="363"/>
      <c r="G75" s="363"/>
      <c r="H75" s="359"/>
      <c r="I75" s="359"/>
      <c r="J75" s="362"/>
      <c r="K75" s="359"/>
      <c r="L75" s="359"/>
      <c r="M75" s="359"/>
      <c r="N75" s="359"/>
      <c r="O75" s="359"/>
      <c r="P75" s="359"/>
      <c r="Q75" s="359"/>
      <c r="R75" s="359"/>
      <c r="S75" s="359"/>
      <c r="T75" s="359"/>
      <c r="U75" s="359"/>
      <c r="V75" s="359"/>
      <c r="W75" s="359"/>
      <c r="X75" s="359"/>
      <c r="Y75" s="359"/>
      <c r="Z75" s="359"/>
      <c r="AA75" s="356">
        <f t="shared" si="39"/>
        <v>0</v>
      </c>
      <c r="AB75" s="356">
        <f t="shared" si="40"/>
        <v>0</v>
      </c>
      <c r="AC75" s="356">
        <f t="shared" si="41"/>
        <v>0</v>
      </c>
      <c r="AD75" s="356">
        <f t="shared" si="42"/>
        <v>0</v>
      </c>
      <c r="AE75" s="356">
        <f t="shared" si="43"/>
        <v>0</v>
      </c>
      <c r="AF75" s="356">
        <f t="shared" si="44"/>
        <v>0</v>
      </c>
      <c r="AG75" s="356">
        <f t="shared" si="45"/>
        <v>0</v>
      </c>
      <c r="AH75" s="361">
        <f t="shared" si="46"/>
        <v>1.1000000000000001</v>
      </c>
      <c r="AI75" s="356">
        <f t="shared" si="47"/>
        <v>0</v>
      </c>
      <c r="AJ75" s="356">
        <f t="shared" si="48"/>
        <v>0</v>
      </c>
      <c r="AK75" s="360">
        <f t="shared" si="49"/>
        <v>0</v>
      </c>
      <c r="AL75" s="356" t="str">
        <f t="shared" si="50"/>
        <v>-</v>
      </c>
      <c r="AM75" s="356" t="str">
        <f t="shared" si="51"/>
        <v>-</v>
      </c>
      <c r="AN75" s="356" t="str">
        <f t="shared" si="52"/>
        <v>-</v>
      </c>
      <c r="AO75" s="356" t="e">
        <f t="shared" si="53"/>
        <v>#VALUE!</v>
      </c>
      <c r="AP75" s="358" t="str">
        <f t="shared" si="54"/>
        <v>-</v>
      </c>
      <c r="AQ75" s="357" t="str">
        <f t="shared" si="55"/>
        <v>-</v>
      </c>
      <c r="AR75" s="357" t="str">
        <f t="shared" si="56"/>
        <v>-</v>
      </c>
      <c r="AS75" s="356" t="str">
        <f t="shared" si="57"/>
        <v>-</v>
      </c>
      <c r="AT75" s="355" t="str">
        <f t="shared" si="58"/>
        <v>-</v>
      </c>
      <c r="AU75" s="356" t="str">
        <f t="shared" si="59"/>
        <v>-</v>
      </c>
      <c r="AV75" s="356" t="e">
        <f t="shared" si="60"/>
        <v>#DIV/0!</v>
      </c>
      <c r="AW75" s="355" t="str">
        <f t="shared" si="61"/>
        <v>-</v>
      </c>
      <c r="AX75" s="359"/>
      <c r="AY75" s="356" t="str">
        <f t="shared" si="62"/>
        <v>-</v>
      </c>
      <c r="AZ75" s="356" t="str">
        <f t="shared" si="63"/>
        <v>-</v>
      </c>
      <c r="BA75" s="356">
        <f t="shared" si="64"/>
        <v>0</v>
      </c>
      <c r="BB75" s="356" t="e">
        <f t="shared" si="65"/>
        <v>#VALUE!</v>
      </c>
      <c r="BC75" s="358" t="str">
        <f t="shared" si="66"/>
        <v>-</v>
      </c>
      <c r="BD75" s="356" t="e">
        <f t="shared" si="67"/>
        <v>#VALUE!</v>
      </c>
      <c r="BE75" s="357" t="str">
        <f t="shared" si="68"/>
        <v>-</v>
      </c>
      <c r="BF75" s="357" t="str">
        <f t="shared" si="69"/>
        <v>-</v>
      </c>
      <c r="BG75" s="356">
        <f t="shared" si="70"/>
        <v>0</v>
      </c>
    </row>
    <row r="76" spans="1:59" x14ac:dyDescent="0.25">
      <c r="A76" s="355">
        <f t="shared" si="71"/>
        <v>49</v>
      </c>
      <c r="B76" s="363"/>
      <c r="C76" s="363"/>
      <c r="D76" s="363"/>
      <c r="E76" s="363"/>
      <c r="F76" s="363"/>
      <c r="G76" s="363"/>
      <c r="H76" s="359"/>
      <c r="I76" s="359"/>
      <c r="J76" s="362"/>
      <c r="K76" s="359"/>
      <c r="L76" s="359"/>
      <c r="M76" s="359"/>
      <c r="N76" s="359"/>
      <c r="O76" s="359"/>
      <c r="P76" s="359"/>
      <c r="Q76" s="359"/>
      <c r="R76" s="359"/>
      <c r="S76" s="359"/>
      <c r="T76" s="359"/>
      <c r="U76" s="359"/>
      <c r="V76" s="359"/>
      <c r="W76" s="359"/>
      <c r="X76" s="359"/>
      <c r="Y76" s="359"/>
      <c r="Z76" s="359"/>
      <c r="AA76" s="356">
        <f t="shared" si="39"/>
        <v>0</v>
      </c>
      <c r="AB76" s="356">
        <f t="shared" si="40"/>
        <v>0</v>
      </c>
      <c r="AC76" s="356">
        <f t="shared" si="41"/>
        <v>0</v>
      </c>
      <c r="AD76" s="356">
        <f t="shared" si="42"/>
        <v>0</v>
      </c>
      <c r="AE76" s="356">
        <f t="shared" si="43"/>
        <v>0</v>
      </c>
      <c r="AF76" s="356">
        <f t="shared" si="44"/>
        <v>0</v>
      </c>
      <c r="AG76" s="356">
        <f t="shared" si="45"/>
        <v>0</v>
      </c>
      <c r="AH76" s="361">
        <f t="shared" si="46"/>
        <v>1.1000000000000001</v>
      </c>
      <c r="AI76" s="356">
        <f t="shared" si="47"/>
        <v>0</v>
      </c>
      <c r="AJ76" s="356">
        <f t="shared" si="48"/>
        <v>0</v>
      </c>
      <c r="AK76" s="360">
        <f t="shared" si="49"/>
        <v>0</v>
      </c>
      <c r="AL76" s="356" t="str">
        <f t="shared" si="50"/>
        <v>-</v>
      </c>
      <c r="AM76" s="356" t="str">
        <f t="shared" si="51"/>
        <v>-</v>
      </c>
      <c r="AN76" s="356" t="str">
        <f t="shared" si="52"/>
        <v>-</v>
      </c>
      <c r="AO76" s="356" t="e">
        <f t="shared" si="53"/>
        <v>#VALUE!</v>
      </c>
      <c r="AP76" s="358" t="str">
        <f t="shared" si="54"/>
        <v>-</v>
      </c>
      <c r="AQ76" s="357" t="str">
        <f t="shared" si="55"/>
        <v>-</v>
      </c>
      <c r="AR76" s="357" t="str">
        <f t="shared" si="56"/>
        <v>-</v>
      </c>
      <c r="AS76" s="356" t="str">
        <f t="shared" si="57"/>
        <v>-</v>
      </c>
      <c r="AT76" s="355" t="str">
        <f t="shared" si="58"/>
        <v>-</v>
      </c>
      <c r="AU76" s="356" t="str">
        <f t="shared" si="59"/>
        <v>-</v>
      </c>
      <c r="AV76" s="356" t="e">
        <f t="shared" si="60"/>
        <v>#DIV/0!</v>
      </c>
      <c r="AW76" s="355" t="str">
        <f t="shared" si="61"/>
        <v>-</v>
      </c>
      <c r="AX76" s="359"/>
      <c r="AY76" s="356" t="str">
        <f t="shared" si="62"/>
        <v>-</v>
      </c>
      <c r="AZ76" s="356" t="str">
        <f t="shared" si="63"/>
        <v>-</v>
      </c>
      <c r="BA76" s="356">
        <f t="shared" si="64"/>
        <v>0</v>
      </c>
      <c r="BB76" s="356" t="e">
        <f t="shared" si="65"/>
        <v>#VALUE!</v>
      </c>
      <c r="BC76" s="358" t="str">
        <f t="shared" si="66"/>
        <v>-</v>
      </c>
      <c r="BD76" s="356" t="e">
        <f t="shared" si="67"/>
        <v>#VALUE!</v>
      </c>
      <c r="BE76" s="357" t="str">
        <f t="shared" si="68"/>
        <v>-</v>
      </c>
      <c r="BF76" s="357" t="str">
        <f t="shared" si="69"/>
        <v>-</v>
      </c>
      <c r="BG76" s="356">
        <f t="shared" si="70"/>
        <v>0</v>
      </c>
    </row>
    <row r="77" spans="1:59" x14ac:dyDescent="0.25">
      <c r="A77" s="355">
        <f t="shared" si="71"/>
        <v>50</v>
      </c>
      <c r="B77" s="363"/>
      <c r="C77" s="363"/>
      <c r="D77" s="363"/>
      <c r="E77" s="363"/>
      <c r="F77" s="363"/>
      <c r="G77" s="363"/>
      <c r="H77" s="359"/>
      <c r="I77" s="359"/>
      <c r="J77" s="362"/>
      <c r="K77" s="359"/>
      <c r="L77" s="359"/>
      <c r="M77" s="359"/>
      <c r="N77" s="359"/>
      <c r="O77" s="359"/>
      <c r="P77" s="359"/>
      <c r="Q77" s="359"/>
      <c r="R77" s="359"/>
      <c r="S77" s="359"/>
      <c r="T77" s="359"/>
      <c r="U77" s="359"/>
      <c r="V77" s="359"/>
      <c r="W77" s="359"/>
      <c r="X77" s="359"/>
      <c r="Y77" s="359"/>
      <c r="Z77" s="359"/>
      <c r="AA77" s="356">
        <f t="shared" si="39"/>
        <v>0</v>
      </c>
      <c r="AB77" s="356">
        <f t="shared" si="40"/>
        <v>0</v>
      </c>
      <c r="AC77" s="356">
        <f t="shared" si="41"/>
        <v>0</v>
      </c>
      <c r="AD77" s="356">
        <f t="shared" si="42"/>
        <v>0</v>
      </c>
      <c r="AE77" s="356">
        <f t="shared" si="43"/>
        <v>0</v>
      </c>
      <c r="AF77" s="356">
        <f t="shared" si="44"/>
        <v>0</v>
      </c>
      <c r="AG77" s="356">
        <f t="shared" si="45"/>
        <v>0</v>
      </c>
      <c r="AH77" s="361">
        <f t="shared" si="46"/>
        <v>1.1000000000000001</v>
      </c>
      <c r="AI77" s="356">
        <f t="shared" si="47"/>
        <v>0</v>
      </c>
      <c r="AJ77" s="356">
        <f t="shared" si="48"/>
        <v>0</v>
      </c>
      <c r="AK77" s="360">
        <f t="shared" si="49"/>
        <v>0</v>
      </c>
      <c r="AL77" s="356" t="str">
        <f t="shared" si="50"/>
        <v>-</v>
      </c>
      <c r="AM77" s="356" t="str">
        <f t="shared" si="51"/>
        <v>-</v>
      </c>
      <c r="AN77" s="356" t="str">
        <f t="shared" si="52"/>
        <v>-</v>
      </c>
      <c r="AO77" s="356" t="e">
        <f t="shared" si="53"/>
        <v>#VALUE!</v>
      </c>
      <c r="AP77" s="358" t="str">
        <f t="shared" si="54"/>
        <v>-</v>
      </c>
      <c r="AQ77" s="357" t="str">
        <f t="shared" si="55"/>
        <v>-</v>
      </c>
      <c r="AR77" s="357" t="str">
        <f t="shared" si="56"/>
        <v>-</v>
      </c>
      <c r="AS77" s="356" t="str">
        <f t="shared" si="57"/>
        <v>-</v>
      </c>
      <c r="AT77" s="355" t="str">
        <f t="shared" si="58"/>
        <v>-</v>
      </c>
      <c r="AU77" s="356" t="str">
        <f t="shared" si="59"/>
        <v>-</v>
      </c>
      <c r="AV77" s="356" t="e">
        <f t="shared" si="60"/>
        <v>#DIV/0!</v>
      </c>
      <c r="AW77" s="355" t="str">
        <f t="shared" si="61"/>
        <v>-</v>
      </c>
      <c r="AX77" s="359"/>
      <c r="AY77" s="356" t="str">
        <f t="shared" si="62"/>
        <v>-</v>
      </c>
      <c r="AZ77" s="356" t="str">
        <f t="shared" si="63"/>
        <v>-</v>
      </c>
      <c r="BA77" s="356">
        <f t="shared" si="64"/>
        <v>0</v>
      </c>
      <c r="BB77" s="356" t="e">
        <f t="shared" si="65"/>
        <v>#VALUE!</v>
      </c>
      <c r="BC77" s="358" t="str">
        <f t="shared" si="66"/>
        <v>-</v>
      </c>
      <c r="BD77" s="356" t="e">
        <f t="shared" si="67"/>
        <v>#VALUE!</v>
      </c>
      <c r="BE77" s="357" t="str">
        <f t="shared" si="68"/>
        <v>-</v>
      </c>
      <c r="BF77" s="357" t="str">
        <f t="shared" si="69"/>
        <v>-</v>
      </c>
      <c r="BG77" s="356">
        <f t="shared" si="70"/>
        <v>0</v>
      </c>
    </row>
    <row r="78" spans="1:59" x14ac:dyDescent="0.25">
      <c r="A78" s="355">
        <f t="shared" si="71"/>
        <v>51</v>
      </c>
      <c r="B78" s="363"/>
      <c r="C78" s="363"/>
      <c r="D78" s="363"/>
      <c r="E78" s="363"/>
      <c r="F78" s="363"/>
      <c r="G78" s="363"/>
      <c r="H78" s="359"/>
      <c r="I78" s="359"/>
      <c r="J78" s="362"/>
      <c r="K78" s="359"/>
      <c r="L78" s="359"/>
      <c r="M78" s="359"/>
      <c r="N78" s="359"/>
      <c r="O78" s="359"/>
      <c r="P78" s="359"/>
      <c r="Q78" s="359"/>
      <c r="R78" s="359"/>
      <c r="S78" s="359"/>
      <c r="T78" s="359"/>
      <c r="U78" s="359"/>
      <c r="V78" s="359"/>
      <c r="W78" s="359"/>
      <c r="X78" s="359"/>
      <c r="Y78" s="359"/>
      <c r="Z78" s="359"/>
      <c r="AA78" s="356">
        <f t="shared" si="39"/>
        <v>0</v>
      </c>
      <c r="AB78" s="356">
        <f t="shared" si="40"/>
        <v>0</v>
      </c>
      <c r="AC78" s="356">
        <f t="shared" si="41"/>
        <v>0</v>
      </c>
      <c r="AD78" s="356">
        <f t="shared" si="42"/>
        <v>0</v>
      </c>
      <c r="AE78" s="356">
        <f t="shared" si="43"/>
        <v>0</v>
      </c>
      <c r="AF78" s="356">
        <f t="shared" si="44"/>
        <v>0</v>
      </c>
      <c r="AG78" s="356">
        <f t="shared" si="45"/>
        <v>0</v>
      </c>
      <c r="AH78" s="361">
        <f t="shared" si="46"/>
        <v>1.1000000000000001</v>
      </c>
      <c r="AI78" s="356">
        <f t="shared" si="47"/>
        <v>0</v>
      </c>
      <c r="AJ78" s="356">
        <f t="shared" si="48"/>
        <v>0</v>
      </c>
      <c r="AK78" s="360">
        <f t="shared" si="49"/>
        <v>0</v>
      </c>
      <c r="AL78" s="356" t="str">
        <f t="shared" si="50"/>
        <v>-</v>
      </c>
      <c r="AM78" s="356" t="str">
        <f t="shared" si="51"/>
        <v>-</v>
      </c>
      <c r="AN78" s="356" t="str">
        <f t="shared" si="52"/>
        <v>-</v>
      </c>
      <c r="AO78" s="356" t="e">
        <f t="shared" si="53"/>
        <v>#VALUE!</v>
      </c>
      <c r="AP78" s="358" t="str">
        <f t="shared" si="54"/>
        <v>-</v>
      </c>
      <c r="AQ78" s="357" t="str">
        <f t="shared" si="55"/>
        <v>-</v>
      </c>
      <c r="AR78" s="357" t="str">
        <f t="shared" si="56"/>
        <v>-</v>
      </c>
      <c r="AS78" s="356" t="str">
        <f t="shared" si="57"/>
        <v>-</v>
      </c>
      <c r="AT78" s="355" t="str">
        <f t="shared" si="58"/>
        <v>-</v>
      </c>
      <c r="AU78" s="356" t="str">
        <f t="shared" si="59"/>
        <v>-</v>
      </c>
      <c r="AV78" s="356" t="e">
        <f t="shared" si="60"/>
        <v>#DIV/0!</v>
      </c>
      <c r="AW78" s="355" t="str">
        <f t="shared" si="61"/>
        <v>-</v>
      </c>
      <c r="AX78" s="359"/>
      <c r="AY78" s="356" t="str">
        <f t="shared" si="62"/>
        <v>-</v>
      </c>
      <c r="AZ78" s="356" t="str">
        <f t="shared" si="63"/>
        <v>-</v>
      </c>
      <c r="BA78" s="356">
        <f t="shared" si="64"/>
        <v>0</v>
      </c>
      <c r="BB78" s="356" t="e">
        <f t="shared" si="65"/>
        <v>#VALUE!</v>
      </c>
      <c r="BC78" s="358" t="str">
        <f t="shared" si="66"/>
        <v>-</v>
      </c>
      <c r="BD78" s="356" t="e">
        <f t="shared" si="67"/>
        <v>#VALUE!</v>
      </c>
      <c r="BE78" s="357" t="str">
        <f t="shared" si="68"/>
        <v>-</v>
      </c>
      <c r="BF78" s="357" t="str">
        <f t="shared" si="69"/>
        <v>-</v>
      </c>
      <c r="BG78" s="356">
        <f t="shared" si="70"/>
        <v>0</v>
      </c>
    </row>
    <row r="79" spans="1:59" x14ac:dyDescent="0.25">
      <c r="A79" s="355">
        <f t="shared" si="71"/>
        <v>52</v>
      </c>
      <c r="B79" s="363"/>
      <c r="C79" s="363"/>
      <c r="D79" s="363"/>
      <c r="E79" s="363"/>
      <c r="F79" s="363"/>
      <c r="G79" s="363"/>
      <c r="H79" s="359"/>
      <c r="I79" s="359"/>
      <c r="J79" s="362"/>
      <c r="K79" s="359"/>
      <c r="L79" s="359"/>
      <c r="M79" s="359"/>
      <c r="N79" s="359"/>
      <c r="O79" s="359"/>
      <c r="P79" s="359"/>
      <c r="Q79" s="359"/>
      <c r="R79" s="359"/>
      <c r="S79" s="359"/>
      <c r="T79" s="359"/>
      <c r="U79" s="359"/>
      <c r="V79" s="359"/>
      <c r="W79" s="359"/>
      <c r="X79" s="359"/>
      <c r="Y79" s="359"/>
      <c r="Z79" s="359"/>
      <c r="AA79" s="356">
        <f t="shared" si="39"/>
        <v>0</v>
      </c>
      <c r="AB79" s="356">
        <f t="shared" si="40"/>
        <v>0</v>
      </c>
      <c r="AC79" s="356">
        <f t="shared" si="41"/>
        <v>0</v>
      </c>
      <c r="AD79" s="356">
        <f t="shared" si="42"/>
        <v>0</v>
      </c>
      <c r="AE79" s="356">
        <f t="shared" si="43"/>
        <v>0</v>
      </c>
      <c r="AF79" s="356">
        <f t="shared" si="44"/>
        <v>0</v>
      </c>
      <c r="AG79" s="356">
        <f t="shared" si="45"/>
        <v>0</v>
      </c>
      <c r="AH79" s="361">
        <f t="shared" si="46"/>
        <v>1.1000000000000001</v>
      </c>
      <c r="AI79" s="356">
        <f t="shared" si="47"/>
        <v>0</v>
      </c>
      <c r="AJ79" s="356">
        <f t="shared" si="48"/>
        <v>0</v>
      </c>
      <c r="AK79" s="360">
        <f t="shared" si="49"/>
        <v>0</v>
      </c>
      <c r="AL79" s="356" t="str">
        <f t="shared" si="50"/>
        <v>-</v>
      </c>
      <c r="AM79" s="356" t="str">
        <f t="shared" si="51"/>
        <v>-</v>
      </c>
      <c r="AN79" s="356" t="str">
        <f t="shared" si="52"/>
        <v>-</v>
      </c>
      <c r="AO79" s="356" t="e">
        <f t="shared" si="53"/>
        <v>#VALUE!</v>
      </c>
      <c r="AP79" s="358" t="str">
        <f t="shared" si="54"/>
        <v>-</v>
      </c>
      <c r="AQ79" s="357" t="str">
        <f t="shared" si="55"/>
        <v>-</v>
      </c>
      <c r="AR79" s="357" t="str">
        <f t="shared" si="56"/>
        <v>-</v>
      </c>
      <c r="AS79" s="356" t="str">
        <f t="shared" si="57"/>
        <v>-</v>
      </c>
      <c r="AT79" s="355" t="str">
        <f t="shared" si="58"/>
        <v>-</v>
      </c>
      <c r="AU79" s="356" t="str">
        <f t="shared" si="59"/>
        <v>-</v>
      </c>
      <c r="AV79" s="356" t="e">
        <f t="shared" si="60"/>
        <v>#DIV/0!</v>
      </c>
      <c r="AW79" s="355" t="str">
        <f t="shared" si="61"/>
        <v>-</v>
      </c>
      <c r="AX79" s="359"/>
      <c r="AY79" s="356" t="str">
        <f t="shared" si="62"/>
        <v>-</v>
      </c>
      <c r="AZ79" s="356" t="str">
        <f t="shared" si="63"/>
        <v>-</v>
      </c>
      <c r="BA79" s="356">
        <f t="shared" si="64"/>
        <v>0</v>
      </c>
      <c r="BB79" s="356" t="e">
        <f t="shared" si="65"/>
        <v>#VALUE!</v>
      </c>
      <c r="BC79" s="358" t="str">
        <f t="shared" si="66"/>
        <v>-</v>
      </c>
      <c r="BD79" s="356" t="e">
        <f t="shared" si="67"/>
        <v>#VALUE!</v>
      </c>
      <c r="BE79" s="357" t="str">
        <f t="shared" si="68"/>
        <v>-</v>
      </c>
      <c r="BF79" s="357" t="str">
        <f t="shared" si="69"/>
        <v>-</v>
      </c>
      <c r="BG79" s="356">
        <f t="shared" si="70"/>
        <v>0</v>
      </c>
    </row>
    <row r="80" spans="1:59" x14ac:dyDescent="0.25">
      <c r="A80" s="355">
        <f t="shared" si="71"/>
        <v>53</v>
      </c>
      <c r="B80" s="363"/>
      <c r="C80" s="363"/>
      <c r="D80" s="363"/>
      <c r="E80" s="363"/>
      <c r="F80" s="363"/>
      <c r="G80" s="363"/>
      <c r="H80" s="359"/>
      <c r="I80" s="359"/>
      <c r="J80" s="362"/>
      <c r="K80" s="359"/>
      <c r="L80" s="359"/>
      <c r="M80" s="359"/>
      <c r="N80" s="359"/>
      <c r="O80" s="359"/>
      <c r="P80" s="359"/>
      <c r="Q80" s="359"/>
      <c r="R80" s="359"/>
      <c r="S80" s="359"/>
      <c r="T80" s="359"/>
      <c r="U80" s="359"/>
      <c r="V80" s="359"/>
      <c r="W80" s="359"/>
      <c r="X80" s="359"/>
      <c r="Y80" s="359"/>
      <c r="Z80" s="359"/>
      <c r="AA80" s="356">
        <f t="shared" si="39"/>
        <v>0</v>
      </c>
      <c r="AB80" s="356">
        <f t="shared" si="40"/>
        <v>0</v>
      </c>
      <c r="AC80" s="356">
        <f t="shared" si="41"/>
        <v>0</v>
      </c>
      <c r="AD80" s="356">
        <f t="shared" si="42"/>
        <v>0</v>
      </c>
      <c r="AE80" s="356">
        <f t="shared" si="43"/>
        <v>0</v>
      </c>
      <c r="AF80" s="356">
        <f t="shared" si="44"/>
        <v>0</v>
      </c>
      <c r="AG80" s="356">
        <f t="shared" si="45"/>
        <v>0</v>
      </c>
      <c r="AH80" s="361">
        <f t="shared" si="46"/>
        <v>1.1000000000000001</v>
      </c>
      <c r="AI80" s="356">
        <f t="shared" si="47"/>
        <v>0</v>
      </c>
      <c r="AJ80" s="356">
        <f t="shared" si="48"/>
        <v>0</v>
      </c>
      <c r="AK80" s="360">
        <f t="shared" si="49"/>
        <v>0</v>
      </c>
      <c r="AL80" s="356" t="str">
        <f t="shared" si="50"/>
        <v>-</v>
      </c>
      <c r="AM80" s="356" t="str">
        <f t="shared" si="51"/>
        <v>-</v>
      </c>
      <c r="AN80" s="356" t="str">
        <f t="shared" si="52"/>
        <v>-</v>
      </c>
      <c r="AO80" s="356" t="e">
        <f t="shared" si="53"/>
        <v>#VALUE!</v>
      </c>
      <c r="AP80" s="358" t="str">
        <f t="shared" si="54"/>
        <v>-</v>
      </c>
      <c r="AQ80" s="357" t="str">
        <f t="shared" si="55"/>
        <v>-</v>
      </c>
      <c r="AR80" s="357" t="str">
        <f t="shared" si="56"/>
        <v>-</v>
      </c>
      <c r="AS80" s="356" t="str">
        <f t="shared" si="57"/>
        <v>-</v>
      </c>
      <c r="AT80" s="355" t="str">
        <f t="shared" si="58"/>
        <v>-</v>
      </c>
      <c r="AU80" s="356" t="str">
        <f t="shared" si="59"/>
        <v>-</v>
      </c>
      <c r="AV80" s="356" t="e">
        <f t="shared" si="60"/>
        <v>#DIV/0!</v>
      </c>
      <c r="AW80" s="355" t="str">
        <f t="shared" si="61"/>
        <v>-</v>
      </c>
      <c r="AX80" s="359"/>
      <c r="AY80" s="356" t="str">
        <f t="shared" si="62"/>
        <v>-</v>
      </c>
      <c r="AZ80" s="356" t="str">
        <f t="shared" si="63"/>
        <v>-</v>
      </c>
      <c r="BA80" s="356">
        <f t="shared" si="64"/>
        <v>0</v>
      </c>
      <c r="BB80" s="356" t="e">
        <f t="shared" si="65"/>
        <v>#VALUE!</v>
      </c>
      <c r="BC80" s="358" t="str">
        <f t="shared" si="66"/>
        <v>-</v>
      </c>
      <c r="BD80" s="356" t="e">
        <f t="shared" si="67"/>
        <v>#VALUE!</v>
      </c>
      <c r="BE80" s="357" t="str">
        <f t="shared" si="68"/>
        <v>-</v>
      </c>
      <c r="BF80" s="357" t="str">
        <f t="shared" si="69"/>
        <v>-</v>
      </c>
      <c r="BG80" s="356">
        <f t="shared" si="70"/>
        <v>0</v>
      </c>
    </row>
    <row r="81" spans="1:59" x14ac:dyDescent="0.25">
      <c r="A81" s="355">
        <f t="shared" si="71"/>
        <v>54</v>
      </c>
      <c r="B81" s="363"/>
      <c r="C81" s="363"/>
      <c r="D81" s="363"/>
      <c r="E81" s="363"/>
      <c r="F81" s="363"/>
      <c r="G81" s="363"/>
      <c r="H81" s="359"/>
      <c r="I81" s="359"/>
      <c r="J81" s="362"/>
      <c r="K81" s="359"/>
      <c r="L81" s="359"/>
      <c r="M81" s="359"/>
      <c r="N81" s="359"/>
      <c r="O81" s="359"/>
      <c r="P81" s="359"/>
      <c r="Q81" s="359"/>
      <c r="R81" s="359"/>
      <c r="S81" s="359"/>
      <c r="T81" s="359"/>
      <c r="U81" s="359"/>
      <c r="V81" s="359"/>
      <c r="W81" s="359"/>
      <c r="X81" s="359"/>
      <c r="Y81" s="359"/>
      <c r="Z81" s="359"/>
      <c r="AA81" s="356">
        <f t="shared" si="39"/>
        <v>0</v>
      </c>
      <c r="AB81" s="356">
        <f t="shared" si="40"/>
        <v>0</v>
      </c>
      <c r="AC81" s="356">
        <f t="shared" si="41"/>
        <v>0</v>
      </c>
      <c r="AD81" s="356">
        <f t="shared" si="42"/>
        <v>0</v>
      </c>
      <c r="AE81" s="356">
        <f t="shared" si="43"/>
        <v>0</v>
      </c>
      <c r="AF81" s="356">
        <f t="shared" si="44"/>
        <v>0</v>
      </c>
      <c r="AG81" s="356">
        <f t="shared" si="45"/>
        <v>0</v>
      </c>
      <c r="AH81" s="361">
        <f t="shared" si="46"/>
        <v>1.1000000000000001</v>
      </c>
      <c r="AI81" s="356">
        <f t="shared" si="47"/>
        <v>0</v>
      </c>
      <c r="AJ81" s="356">
        <f t="shared" si="48"/>
        <v>0</v>
      </c>
      <c r="AK81" s="360">
        <f t="shared" si="49"/>
        <v>0</v>
      </c>
      <c r="AL81" s="356" t="str">
        <f t="shared" si="50"/>
        <v>-</v>
      </c>
      <c r="AM81" s="356" t="str">
        <f t="shared" si="51"/>
        <v>-</v>
      </c>
      <c r="AN81" s="356" t="str">
        <f t="shared" si="52"/>
        <v>-</v>
      </c>
      <c r="AO81" s="356" t="e">
        <f t="shared" si="53"/>
        <v>#VALUE!</v>
      </c>
      <c r="AP81" s="358" t="str">
        <f t="shared" si="54"/>
        <v>-</v>
      </c>
      <c r="AQ81" s="357" t="str">
        <f t="shared" si="55"/>
        <v>-</v>
      </c>
      <c r="AR81" s="357" t="str">
        <f t="shared" si="56"/>
        <v>-</v>
      </c>
      <c r="AS81" s="356" t="str">
        <f t="shared" si="57"/>
        <v>-</v>
      </c>
      <c r="AT81" s="355" t="str">
        <f t="shared" si="58"/>
        <v>-</v>
      </c>
      <c r="AU81" s="356" t="str">
        <f t="shared" si="59"/>
        <v>-</v>
      </c>
      <c r="AV81" s="356" t="e">
        <f t="shared" si="60"/>
        <v>#DIV/0!</v>
      </c>
      <c r="AW81" s="355" t="str">
        <f t="shared" si="61"/>
        <v>-</v>
      </c>
      <c r="AX81" s="359"/>
      <c r="AY81" s="356" t="str">
        <f t="shared" si="62"/>
        <v>-</v>
      </c>
      <c r="AZ81" s="356" t="str">
        <f t="shared" si="63"/>
        <v>-</v>
      </c>
      <c r="BA81" s="356">
        <f t="shared" si="64"/>
        <v>0</v>
      </c>
      <c r="BB81" s="356" t="e">
        <f t="shared" si="65"/>
        <v>#VALUE!</v>
      </c>
      <c r="BC81" s="358" t="str">
        <f t="shared" si="66"/>
        <v>-</v>
      </c>
      <c r="BD81" s="356" t="e">
        <f t="shared" si="67"/>
        <v>#VALUE!</v>
      </c>
      <c r="BE81" s="357" t="str">
        <f t="shared" si="68"/>
        <v>-</v>
      </c>
      <c r="BF81" s="357" t="str">
        <f t="shared" si="69"/>
        <v>-</v>
      </c>
      <c r="BG81" s="356">
        <f t="shared" si="70"/>
        <v>0</v>
      </c>
    </row>
    <row r="82" spans="1:59" x14ac:dyDescent="0.25">
      <c r="A82" s="355">
        <f t="shared" si="71"/>
        <v>55</v>
      </c>
      <c r="B82" s="363"/>
      <c r="C82" s="363"/>
      <c r="D82" s="363"/>
      <c r="E82" s="363"/>
      <c r="F82" s="363"/>
      <c r="G82" s="363"/>
      <c r="H82" s="359"/>
      <c r="I82" s="359"/>
      <c r="J82" s="362"/>
      <c r="K82" s="359"/>
      <c r="L82" s="359"/>
      <c r="M82" s="359"/>
      <c r="N82" s="359"/>
      <c r="O82" s="359"/>
      <c r="P82" s="359"/>
      <c r="Q82" s="359"/>
      <c r="R82" s="359"/>
      <c r="S82" s="359"/>
      <c r="T82" s="359"/>
      <c r="U82" s="359"/>
      <c r="V82" s="359"/>
      <c r="W82" s="359"/>
      <c r="X82" s="359"/>
      <c r="Y82" s="359"/>
      <c r="Z82" s="359"/>
      <c r="AA82" s="356">
        <f t="shared" si="39"/>
        <v>0</v>
      </c>
      <c r="AB82" s="356">
        <f t="shared" si="40"/>
        <v>0</v>
      </c>
      <c r="AC82" s="356">
        <f t="shared" si="41"/>
        <v>0</v>
      </c>
      <c r="AD82" s="356">
        <f t="shared" si="42"/>
        <v>0</v>
      </c>
      <c r="AE82" s="356">
        <f t="shared" si="43"/>
        <v>0</v>
      </c>
      <c r="AF82" s="356">
        <f t="shared" si="44"/>
        <v>0</v>
      </c>
      <c r="AG82" s="356">
        <f t="shared" si="45"/>
        <v>0</v>
      </c>
      <c r="AH82" s="361">
        <f t="shared" si="46"/>
        <v>1.1000000000000001</v>
      </c>
      <c r="AI82" s="356">
        <f t="shared" si="47"/>
        <v>0</v>
      </c>
      <c r="AJ82" s="356">
        <f t="shared" si="48"/>
        <v>0</v>
      </c>
      <c r="AK82" s="360">
        <f t="shared" si="49"/>
        <v>0</v>
      </c>
      <c r="AL82" s="356" t="str">
        <f t="shared" si="50"/>
        <v>-</v>
      </c>
      <c r="AM82" s="356" t="str">
        <f t="shared" si="51"/>
        <v>-</v>
      </c>
      <c r="AN82" s="356" t="str">
        <f t="shared" si="52"/>
        <v>-</v>
      </c>
      <c r="AO82" s="356" t="e">
        <f t="shared" si="53"/>
        <v>#VALUE!</v>
      </c>
      <c r="AP82" s="358" t="str">
        <f t="shared" si="54"/>
        <v>-</v>
      </c>
      <c r="AQ82" s="357" t="str">
        <f t="shared" si="55"/>
        <v>-</v>
      </c>
      <c r="AR82" s="357" t="str">
        <f t="shared" si="56"/>
        <v>-</v>
      </c>
      <c r="AS82" s="356" t="str">
        <f t="shared" si="57"/>
        <v>-</v>
      </c>
      <c r="AT82" s="355" t="str">
        <f t="shared" si="58"/>
        <v>-</v>
      </c>
      <c r="AU82" s="356" t="str">
        <f t="shared" si="59"/>
        <v>-</v>
      </c>
      <c r="AV82" s="356" t="e">
        <f t="shared" si="60"/>
        <v>#DIV/0!</v>
      </c>
      <c r="AW82" s="355" t="str">
        <f t="shared" si="61"/>
        <v>-</v>
      </c>
      <c r="AX82" s="359"/>
      <c r="AY82" s="356" t="str">
        <f t="shared" si="62"/>
        <v>-</v>
      </c>
      <c r="AZ82" s="356" t="str">
        <f t="shared" si="63"/>
        <v>-</v>
      </c>
      <c r="BA82" s="356">
        <f t="shared" si="64"/>
        <v>0</v>
      </c>
      <c r="BB82" s="356" t="e">
        <f t="shared" si="65"/>
        <v>#VALUE!</v>
      </c>
      <c r="BC82" s="358" t="str">
        <f t="shared" si="66"/>
        <v>-</v>
      </c>
      <c r="BD82" s="356" t="e">
        <f t="shared" si="67"/>
        <v>#VALUE!</v>
      </c>
      <c r="BE82" s="357" t="str">
        <f t="shared" si="68"/>
        <v>-</v>
      </c>
      <c r="BF82" s="357" t="str">
        <f t="shared" si="69"/>
        <v>-</v>
      </c>
      <c r="BG82" s="356">
        <f t="shared" si="70"/>
        <v>0</v>
      </c>
    </row>
    <row r="83" spans="1:59" x14ac:dyDescent="0.25">
      <c r="A83" s="355">
        <f t="shared" si="71"/>
        <v>56</v>
      </c>
      <c r="B83" s="363"/>
      <c r="C83" s="363"/>
      <c r="D83" s="363"/>
      <c r="E83" s="363"/>
      <c r="F83" s="363"/>
      <c r="G83" s="363"/>
      <c r="H83" s="359"/>
      <c r="I83" s="359"/>
      <c r="J83" s="362"/>
      <c r="K83" s="359"/>
      <c r="L83" s="359"/>
      <c r="M83" s="359"/>
      <c r="N83" s="359"/>
      <c r="O83" s="359"/>
      <c r="P83" s="359"/>
      <c r="Q83" s="359"/>
      <c r="R83" s="359"/>
      <c r="S83" s="359"/>
      <c r="T83" s="359"/>
      <c r="U83" s="359"/>
      <c r="V83" s="359"/>
      <c r="W83" s="359"/>
      <c r="X83" s="359"/>
      <c r="Y83" s="359"/>
      <c r="Z83" s="359"/>
      <c r="AA83" s="356">
        <f t="shared" si="39"/>
        <v>0</v>
      </c>
      <c r="AB83" s="356">
        <f t="shared" si="40"/>
        <v>0</v>
      </c>
      <c r="AC83" s="356">
        <f t="shared" si="41"/>
        <v>0</v>
      </c>
      <c r="AD83" s="356">
        <f t="shared" si="42"/>
        <v>0</v>
      </c>
      <c r="AE83" s="356">
        <f t="shared" si="43"/>
        <v>0</v>
      </c>
      <c r="AF83" s="356">
        <f t="shared" si="44"/>
        <v>0</v>
      </c>
      <c r="AG83" s="356">
        <f t="shared" si="45"/>
        <v>0</v>
      </c>
      <c r="AH83" s="361">
        <f t="shared" si="46"/>
        <v>1.1000000000000001</v>
      </c>
      <c r="AI83" s="356">
        <f t="shared" si="47"/>
        <v>0</v>
      </c>
      <c r="AJ83" s="356">
        <f t="shared" si="48"/>
        <v>0</v>
      </c>
      <c r="AK83" s="360">
        <f t="shared" si="49"/>
        <v>0</v>
      </c>
      <c r="AL83" s="356" t="str">
        <f t="shared" si="50"/>
        <v>-</v>
      </c>
      <c r="AM83" s="356" t="str">
        <f t="shared" si="51"/>
        <v>-</v>
      </c>
      <c r="AN83" s="356" t="str">
        <f t="shared" si="52"/>
        <v>-</v>
      </c>
      <c r="AO83" s="356" t="e">
        <f t="shared" si="53"/>
        <v>#VALUE!</v>
      </c>
      <c r="AP83" s="358" t="str">
        <f t="shared" si="54"/>
        <v>-</v>
      </c>
      <c r="AQ83" s="357" t="str">
        <f t="shared" si="55"/>
        <v>-</v>
      </c>
      <c r="AR83" s="357" t="str">
        <f t="shared" si="56"/>
        <v>-</v>
      </c>
      <c r="AS83" s="356" t="str">
        <f t="shared" si="57"/>
        <v>-</v>
      </c>
      <c r="AT83" s="355" t="str">
        <f t="shared" si="58"/>
        <v>-</v>
      </c>
      <c r="AU83" s="356" t="str">
        <f t="shared" si="59"/>
        <v>-</v>
      </c>
      <c r="AV83" s="356" t="e">
        <f t="shared" si="60"/>
        <v>#DIV/0!</v>
      </c>
      <c r="AW83" s="355" t="str">
        <f t="shared" si="61"/>
        <v>-</v>
      </c>
      <c r="AX83" s="359"/>
      <c r="AY83" s="356" t="str">
        <f t="shared" si="62"/>
        <v>-</v>
      </c>
      <c r="AZ83" s="356" t="str">
        <f t="shared" si="63"/>
        <v>-</v>
      </c>
      <c r="BA83" s="356">
        <f t="shared" si="64"/>
        <v>0</v>
      </c>
      <c r="BB83" s="356" t="e">
        <f t="shared" si="65"/>
        <v>#VALUE!</v>
      </c>
      <c r="BC83" s="358" t="str">
        <f t="shared" si="66"/>
        <v>-</v>
      </c>
      <c r="BD83" s="356" t="e">
        <f t="shared" si="67"/>
        <v>#VALUE!</v>
      </c>
      <c r="BE83" s="357" t="str">
        <f t="shared" si="68"/>
        <v>-</v>
      </c>
      <c r="BF83" s="357" t="str">
        <f t="shared" si="69"/>
        <v>-</v>
      </c>
      <c r="BG83" s="356">
        <f t="shared" si="70"/>
        <v>0</v>
      </c>
    </row>
    <row r="84" spans="1:59" x14ac:dyDescent="0.25">
      <c r="A84" s="355">
        <f t="shared" si="71"/>
        <v>57</v>
      </c>
      <c r="B84" s="363"/>
      <c r="C84" s="363"/>
      <c r="D84" s="363"/>
      <c r="E84" s="363"/>
      <c r="F84" s="363"/>
      <c r="G84" s="363"/>
      <c r="H84" s="359"/>
      <c r="I84" s="359"/>
      <c r="J84" s="362"/>
      <c r="K84" s="359"/>
      <c r="L84" s="359"/>
      <c r="M84" s="359"/>
      <c r="N84" s="359"/>
      <c r="O84" s="359"/>
      <c r="P84" s="359"/>
      <c r="Q84" s="359"/>
      <c r="R84" s="359"/>
      <c r="S84" s="359"/>
      <c r="T84" s="359"/>
      <c r="U84" s="359"/>
      <c r="V84" s="359"/>
      <c r="W84" s="359"/>
      <c r="X84" s="359"/>
      <c r="Y84" s="359"/>
      <c r="Z84" s="359"/>
      <c r="AA84" s="356">
        <f t="shared" si="39"/>
        <v>0</v>
      </c>
      <c r="AB84" s="356">
        <f t="shared" si="40"/>
        <v>0</v>
      </c>
      <c r="AC84" s="356">
        <f t="shared" si="41"/>
        <v>0</v>
      </c>
      <c r="AD84" s="356">
        <f t="shared" si="42"/>
        <v>0</v>
      </c>
      <c r="AE84" s="356">
        <f t="shared" si="43"/>
        <v>0</v>
      </c>
      <c r="AF84" s="356">
        <f t="shared" si="44"/>
        <v>0</v>
      </c>
      <c r="AG84" s="356">
        <f t="shared" si="45"/>
        <v>0</v>
      </c>
      <c r="AH84" s="361">
        <f t="shared" si="46"/>
        <v>1.1000000000000001</v>
      </c>
      <c r="AI84" s="356">
        <f t="shared" si="47"/>
        <v>0</v>
      </c>
      <c r="AJ84" s="356">
        <f t="shared" si="48"/>
        <v>0</v>
      </c>
      <c r="AK84" s="360">
        <f t="shared" si="49"/>
        <v>0</v>
      </c>
      <c r="AL84" s="356" t="str">
        <f t="shared" si="50"/>
        <v>-</v>
      </c>
      <c r="AM84" s="356" t="str">
        <f t="shared" si="51"/>
        <v>-</v>
      </c>
      <c r="AN84" s="356" t="str">
        <f t="shared" si="52"/>
        <v>-</v>
      </c>
      <c r="AO84" s="356" t="e">
        <f t="shared" si="53"/>
        <v>#VALUE!</v>
      </c>
      <c r="AP84" s="358" t="str">
        <f t="shared" si="54"/>
        <v>-</v>
      </c>
      <c r="AQ84" s="357" t="str">
        <f t="shared" si="55"/>
        <v>-</v>
      </c>
      <c r="AR84" s="357" t="str">
        <f t="shared" si="56"/>
        <v>-</v>
      </c>
      <c r="AS84" s="356" t="str">
        <f t="shared" si="57"/>
        <v>-</v>
      </c>
      <c r="AT84" s="355" t="str">
        <f t="shared" si="58"/>
        <v>-</v>
      </c>
      <c r="AU84" s="356" t="str">
        <f t="shared" si="59"/>
        <v>-</v>
      </c>
      <c r="AV84" s="356" t="e">
        <f t="shared" si="60"/>
        <v>#DIV/0!</v>
      </c>
      <c r="AW84" s="355" t="str">
        <f t="shared" si="61"/>
        <v>-</v>
      </c>
      <c r="AX84" s="359"/>
      <c r="AY84" s="356" t="str">
        <f t="shared" si="62"/>
        <v>-</v>
      </c>
      <c r="AZ84" s="356" t="str">
        <f t="shared" si="63"/>
        <v>-</v>
      </c>
      <c r="BA84" s="356">
        <f t="shared" si="64"/>
        <v>0</v>
      </c>
      <c r="BB84" s="356" t="e">
        <f t="shared" si="65"/>
        <v>#VALUE!</v>
      </c>
      <c r="BC84" s="358" t="str">
        <f t="shared" si="66"/>
        <v>-</v>
      </c>
      <c r="BD84" s="356" t="e">
        <f t="shared" si="67"/>
        <v>#VALUE!</v>
      </c>
      <c r="BE84" s="357" t="str">
        <f t="shared" si="68"/>
        <v>-</v>
      </c>
      <c r="BF84" s="357" t="str">
        <f t="shared" si="69"/>
        <v>-</v>
      </c>
      <c r="BG84" s="356">
        <f t="shared" si="70"/>
        <v>0</v>
      </c>
    </row>
    <row r="85" spans="1:59" x14ac:dyDescent="0.25">
      <c r="A85" s="355">
        <f t="shared" si="71"/>
        <v>58</v>
      </c>
      <c r="B85" s="363"/>
      <c r="C85" s="363"/>
      <c r="D85" s="363"/>
      <c r="E85" s="363"/>
      <c r="F85" s="363"/>
      <c r="G85" s="363"/>
      <c r="H85" s="359"/>
      <c r="I85" s="359"/>
      <c r="J85" s="362"/>
      <c r="K85" s="359"/>
      <c r="L85" s="359"/>
      <c r="M85" s="359"/>
      <c r="N85" s="359"/>
      <c r="O85" s="359"/>
      <c r="P85" s="359"/>
      <c r="Q85" s="359"/>
      <c r="R85" s="359"/>
      <c r="S85" s="359"/>
      <c r="T85" s="359"/>
      <c r="U85" s="359"/>
      <c r="V85" s="359"/>
      <c r="W85" s="359"/>
      <c r="X85" s="359"/>
      <c r="Y85" s="359"/>
      <c r="Z85" s="359"/>
      <c r="AA85" s="356">
        <f t="shared" si="39"/>
        <v>0</v>
      </c>
      <c r="AB85" s="356">
        <f t="shared" si="40"/>
        <v>0</v>
      </c>
      <c r="AC85" s="356">
        <f t="shared" si="41"/>
        <v>0</v>
      </c>
      <c r="AD85" s="356">
        <f t="shared" si="42"/>
        <v>0</v>
      </c>
      <c r="AE85" s="356">
        <f t="shared" si="43"/>
        <v>0</v>
      </c>
      <c r="AF85" s="356">
        <f t="shared" si="44"/>
        <v>0</v>
      </c>
      <c r="AG85" s="356">
        <f t="shared" si="45"/>
        <v>0</v>
      </c>
      <c r="AH85" s="361">
        <f t="shared" si="46"/>
        <v>1.1000000000000001</v>
      </c>
      <c r="AI85" s="356">
        <f t="shared" si="47"/>
        <v>0</v>
      </c>
      <c r="AJ85" s="356">
        <f t="shared" si="48"/>
        <v>0</v>
      </c>
      <c r="AK85" s="360">
        <f t="shared" si="49"/>
        <v>0</v>
      </c>
      <c r="AL85" s="356" t="str">
        <f t="shared" si="50"/>
        <v>-</v>
      </c>
      <c r="AM85" s="356" t="str">
        <f t="shared" si="51"/>
        <v>-</v>
      </c>
      <c r="AN85" s="356" t="str">
        <f t="shared" si="52"/>
        <v>-</v>
      </c>
      <c r="AO85" s="356" t="e">
        <f t="shared" si="53"/>
        <v>#VALUE!</v>
      </c>
      <c r="AP85" s="358" t="str">
        <f t="shared" si="54"/>
        <v>-</v>
      </c>
      <c r="AQ85" s="357" t="str">
        <f t="shared" si="55"/>
        <v>-</v>
      </c>
      <c r="AR85" s="357" t="str">
        <f t="shared" si="56"/>
        <v>-</v>
      </c>
      <c r="AS85" s="356" t="str">
        <f t="shared" si="57"/>
        <v>-</v>
      </c>
      <c r="AT85" s="355" t="str">
        <f t="shared" si="58"/>
        <v>-</v>
      </c>
      <c r="AU85" s="356" t="str">
        <f t="shared" si="59"/>
        <v>-</v>
      </c>
      <c r="AV85" s="356" t="e">
        <f t="shared" si="60"/>
        <v>#DIV/0!</v>
      </c>
      <c r="AW85" s="355" t="str">
        <f t="shared" si="61"/>
        <v>-</v>
      </c>
      <c r="AX85" s="359"/>
      <c r="AY85" s="356" t="str">
        <f t="shared" si="62"/>
        <v>-</v>
      </c>
      <c r="AZ85" s="356" t="str">
        <f t="shared" si="63"/>
        <v>-</v>
      </c>
      <c r="BA85" s="356">
        <f t="shared" si="64"/>
        <v>0</v>
      </c>
      <c r="BB85" s="356" t="e">
        <f t="shared" si="65"/>
        <v>#VALUE!</v>
      </c>
      <c r="BC85" s="358" t="str">
        <f t="shared" si="66"/>
        <v>-</v>
      </c>
      <c r="BD85" s="356" t="e">
        <f t="shared" si="67"/>
        <v>#VALUE!</v>
      </c>
      <c r="BE85" s="357" t="str">
        <f t="shared" si="68"/>
        <v>-</v>
      </c>
      <c r="BF85" s="357" t="str">
        <f t="shared" si="69"/>
        <v>-</v>
      </c>
      <c r="BG85" s="356">
        <f t="shared" si="70"/>
        <v>0</v>
      </c>
    </row>
    <row r="86" spans="1:59" x14ac:dyDescent="0.25">
      <c r="A86" s="355">
        <f t="shared" si="71"/>
        <v>59</v>
      </c>
      <c r="B86" s="363"/>
      <c r="C86" s="363"/>
      <c r="D86" s="363"/>
      <c r="E86" s="363"/>
      <c r="F86" s="363"/>
      <c r="G86" s="363"/>
      <c r="H86" s="359"/>
      <c r="I86" s="359"/>
      <c r="J86" s="362"/>
      <c r="K86" s="359"/>
      <c r="L86" s="359"/>
      <c r="M86" s="359"/>
      <c r="N86" s="359"/>
      <c r="O86" s="359"/>
      <c r="P86" s="359"/>
      <c r="Q86" s="359"/>
      <c r="R86" s="359"/>
      <c r="S86" s="359"/>
      <c r="T86" s="359"/>
      <c r="U86" s="359"/>
      <c r="V86" s="359"/>
      <c r="W86" s="359"/>
      <c r="X86" s="359"/>
      <c r="Y86" s="359"/>
      <c r="Z86" s="359"/>
      <c r="AA86" s="356">
        <f t="shared" si="39"/>
        <v>0</v>
      </c>
      <c r="AB86" s="356">
        <f t="shared" si="40"/>
        <v>0</v>
      </c>
      <c r="AC86" s="356">
        <f t="shared" si="41"/>
        <v>0</v>
      </c>
      <c r="AD86" s="356">
        <f t="shared" si="42"/>
        <v>0</v>
      </c>
      <c r="AE86" s="356">
        <f t="shared" si="43"/>
        <v>0</v>
      </c>
      <c r="AF86" s="356">
        <f t="shared" si="44"/>
        <v>0</v>
      </c>
      <c r="AG86" s="356">
        <f t="shared" si="45"/>
        <v>0</v>
      </c>
      <c r="AH86" s="361">
        <f t="shared" si="46"/>
        <v>1.1000000000000001</v>
      </c>
      <c r="AI86" s="356">
        <f t="shared" si="47"/>
        <v>0</v>
      </c>
      <c r="AJ86" s="356">
        <f t="shared" si="48"/>
        <v>0</v>
      </c>
      <c r="AK86" s="360">
        <f t="shared" si="49"/>
        <v>0</v>
      </c>
      <c r="AL86" s="356" t="str">
        <f t="shared" si="50"/>
        <v>-</v>
      </c>
      <c r="AM86" s="356" t="str">
        <f t="shared" si="51"/>
        <v>-</v>
      </c>
      <c r="AN86" s="356" t="str">
        <f t="shared" si="52"/>
        <v>-</v>
      </c>
      <c r="AO86" s="356" t="e">
        <f t="shared" si="53"/>
        <v>#VALUE!</v>
      </c>
      <c r="AP86" s="358" t="str">
        <f t="shared" si="54"/>
        <v>-</v>
      </c>
      <c r="AQ86" s="357" t="str">
        <f t="shared" si="55"/>
        <v>-</v>
      </c>
      <c r="AR86" s="357" t="str">
        <f t="shared" si="56"/>
        <v>-</v>
      </c>
      <c r="AS86" s="356" t="str">
        <f t="shared" si="57"/>
        <v>-</v>
      </c>
      <c r="AT86" s="355" t="str">
        <f t="shared" si="58"/>
        <v>-</v>
      </c>
      <c r="AU86" s="356" t="str">
        <f t="shared" si="59"/>
        <v>-</v>
      </c>
      <c r="AV86" s="356" t="e">
        <f t="shared" si="60"/>
        <v>#DIV/0!</v>
      </c>
      <c r="AW86" s="355" t="str">
        <f t="shared" si="61"/>
        <v>-</v>
      </c>
      <c r="AX86" s="359"/>
      <c r="AY86" s="356" t="str">
        <f t="shared" si="62"/>
        <v>-</v>
      </c>
      <c r="AZ86" s="356" t="str">
        <f t="shared" si="63"/>
        <v>-</v>
      </c>
      <c r="BA86" s="356">
        <f t="shared" si="64"/>
        <v>0</v>
      </c>
      <c r="BB86" s="356" t="e">
        <f t="shared" si="65"/>
        <v>#VALUE!</v>
      </c>
      <c r="BC86" s="358" t="str">
        <f t="shared" si="66"/>
        <v>-</v>
      </c>
      <c r="BD86" s="356" t="e">
        <f t="shared" si="67"/>
        <v>#VALUE!</v>
      </c>
      <c r="BE86" s="357" t="str">
        <f t="shared" si="68"/>
        <v>-</v>
      </c>
      <c r="BF86" s="357" t="str">
        <f t="shared" si="69"/>
        <v>-</v>
      </c>
      <c r="BG86" s="356">
        <f t="shared" si="70"/>
        <v>0</v>
      </c>
    </row>
    <row r="87" spans="1:59" x14ac:dyDescent="0.25">
      <c r="A87" s="355">
        <f t="shared" si="71"/>
        <v>60</v>
      </c>
      <c r="B87" s="363"/>
      <c r="C87" s="363"/>
      <c r="D87" s="363"/>
      <c r="E87" s="363"/>
      <c r="F87" s="363"/>
      <c r="G87" s="363"/>
      <c r="H87" s="359"/>
      <c r="I87" s="359"/>
      <c r="J87" s="362"/>
      <c r="K87" s="359"/>
      <c r="L87" s="359"/>
      <c r="M87" s="359"/>
      <c r="N87" s="359"/>
      <c r="O87" s="359"/>
      <c r="P87" s="359"/>
      <c r="Q87" s="359"/>
      <c r="R87" s="359"/>
      <c r="S87" s="359"/>
      <c r="T87" s="359"/>
      <c r="U87" s="359"/>
      <c r="V87" s="359"/>
      <c r="W87" s="359"/>
      <c r="X87" s="359"/>
      <c r="Y87" s="359"/>
      <c r="Z87" s="359"/>
      <c r="AA87" s="356">
        <f t="shared" si="39"/>
        <v>0</v>
      </c>
      <c r="AB87" s="356">
        <f t="shared" si="40"/>
        <v>0</v>
      </c>
      <c r="AC87" s="356">
        <f t="shared" si="41"/>
        <v>0</v>
      </c>
      <c r="AD87" s="356">
        <f t="shared" si="42"/>
        <v>0</v>
      </c>
      <c r="AE87" s="356">
        <f t="shared" si="43"/>
        <v>0</v>
      </c>
      <c r="AF87" s="356">
        <f t="shared" si="44"/>
        <v>0</v>
      </c>
      <c r="AG87" s="356">
        <f t="shared" si="45"/>
        <v>0</v>
      </c>
      <c r="AH87" s="361">
        <f t="shared" si="46"/>
        <v>1.1000000000000001</v>
      </c>
      <c r="AI87" s="356">
        <f t="shared" si="47"/>
        <v>0</v>
      </c>
      <c r="AJ87" s="356">
        <f t="shared" si="48"/>
        <v>0</v>
      </c>
      <c r="AK87" s="360">
        <f t="shared" si="49"/>
        <v>0</v>
      </c>
      <c r="AL87" s="356" t="str">
        <f t="shared" si="50"/>
        <v>-</v>
      </c>
      <c r="AM87" s="356" t="str">
        <f t="shared" si="51"/>
        <v>-</v>
      </c>
      <c r="AN87" s="356" t="str">
        <f t="shared" si="52"/>
        <v>-</v>
      </c>
      <c r="AO87" s="356" t="e">
        <f t="shared" si="53"/>
        <v>#VALUE!</v>
      </c>
      <c r="AP87" s="358" t="str">
        <f t="shared" si="54"/>
        <v>-</v>
      </c>
      <c r="AQ87" s="357" t="str">
        <f t="shared" si="55"/>
        <v>-</v>
      </c>
      <c r="AR87" s="357" t="str">
        <f t="shared" si="56"/>
        <v>-</v>
      </c>
      <c r="AS87" s="356" t="str">
        <f t="shared" si="57"/>
        <v>-</v>
      </c>
      <c r="AT87" s="355" t="str">
        <f t="shared" si="58"/>
        <v>-</v>
      </c>
      <c r="AU87" s="356" t="str">
        <f t="shared" si="59"/>
        <v>-</v>
      </c>
      <c r="AV87" s="356" t="e">
        <f t="shared" si="60"/>
        <v>#DIV/0!</v>
      </c>
      <c r="AW87" s="355" t="str">
        <f t="shared" si="61"/>
        <v>-</v>
      </c>
      <c r="AX87" s="359"/>
      <c r="AY87" s="356" t="str">
        <f t="shared" si="62"/>
        <v>-</v>
      </c>
      <c r="AZ87" s="356" t="str">
        <f t="shared" si="63"/>
        <v>-</v>
      </c>
      <c r="BA87" s="356">
        <f t="shared" si="64"/>
        <v>0</v>
      </c>
      <c r="BB87" s="356" t="e">
        <f t="shared" si="65"/>
        <v>#VALUE!</v>
      </c>
      <c r="BC87" s="358" t="str">
        <f t="shared" si="66"/>
        <v>-</v>
      </c>
      <c r="BD87" s="356" t="e">
        <f t="shared" si="67"/>
        <v>#VALUE!</v>
      </c>
      <c r="BE87" s="357" t="str">
        <f t="shared" si="68"/>
        <v>-</v>
      </c>
      <c r="BF87" s="357" t="str">
        <f t="shared" si="69"/>
        <v>-</v>
      </c>
      <c r="BG87" s="356">
        <f t="shared" si="70"/>
        <v>0</v>
      </c>
    </row>
    <row r="88" spans="1:59" x14ac:dyDescent="0.25">
      <c r="A88" s="355">
        <f t="shared" si="71"/>
        <v>61</v>
      </c>
      <c r="B88" s="363"/>
      <c r="C88" s="363"/>
      <c r="D88" s="363"/>
      <c r="E88" s="363"/>
      <c r="F88" s="363"/>
      <c r="G88" s="363"/>
      <c r="H88" s="359"/>
      <c r="I88" s="359"/>
      <c r="J88" s="362"/>
      <c r="K88" s="359"/>
      <c r="L88" s="359"/>
      <c r="M88" s="359"/>
      <c r="N88" s="359"/>
      <c r="O88" s="359"/>
      <c r="P88" s="359"/>
      <c r="Q88" s="359"/>
      <c r="R88" s="359"/>
      <c r="S88" s="359"/>
      <c r="T88" s="359"/>
      <c r="U88" s="359"/>
      <c r="V88" s="359"/>
      <c r="W88" s="359"/>
      <c r="X88" s="359"/>
      <c r="Y88" s="359"/>
      <c r="Z88" s="359"/>
      <c r="AA88" s="356">
        <f t="shared" si="39"/>
        <v>0</v>
      </c>
      <c r="AB88" s="356">
        <f t="shared" si="40"/>
        <v>0</v>
      </c>
      <c r="AC88" s="356">
        <f t="shared" si="41"/>
        <v>0</v>
      </c>
      <c r="AD88" s="356">
        <f t="shared" si="42"/>
        <v>0</v>
      </c>
      <c r="AE88" s="356">
        <f t="shared" si="43"/>
        <v>0</v>
      </c>
      <c r="AF88" s="356">
        <f t="shared" si="44"/>
        <v>0</v>
      </c>
      <c r="AG88" s="356">
        <f t="shared" si="45"/>
        <v>0</v>
      </c>
      <c r="AH88" s="361">
        <f t="shared" si="46"/>
        <v>1.1000000000000001</v>
      </c>
      <c r="AI88" s="356">
        <f t="shared" si="47"/>
        <v>0</v>
      </c>
      <c r="AJ88" s="356">
        <f t="shared" si="48"/>
        <v>0</v>
      </c>
      <c r="AK88" s="360">
        <f t="shared" si="49"/>
        <v>0</v>
      </c>
      <c r="AL88" s="356" t="str">
        <f t="shared" si="50"/>
        <v>-</v>
      </c>
      <c r="AM88" s="356" t="str">
        <f t="shared" si="51"/>
        <v>-</v>
      </c>
      <c r="AN88" s="356" t="str">
        <f t="shared" si="52"/>
        <v>-</v>
      </c>
      <c r="AO88" s="356" t="e">
        <f t="shared" si="53"/>
        <v>#VALUE!</v>
      </c>
      <c r="AP88" s="358" t="str">
        <f t="shared" si="54"/>
        <v>-</v>
      </c>
      <c r="AQ88" s="357" t="str">
        <f t="shared" si="55"/>
        <v>-</v>
      </c>
      <c r="AR88" s="357" t="str">
        <f t="shared" si="56"/>
        <v>-</v>
      </c>
      <c r="AS88" s="356" t="str">
        <f t="shared" si="57"/>
        <v>-</v>
      </c>
      <c r="AT88" s="355" t="str">
        <f t="shared" si="58"/>
        <v>-</v>
      </c>
      <c r="AU88" s="356" t="str">
        <f t="shared" si="59"/>
        <v>-</v>
      </c>
      <c r="AV88" s="356" t="e">
        <f t="shared" si="60"/>
        <v>#DIV/0!</v>
      </c>
      <c r="AW88" s="355" t="str">
        <f t="shared" si="61"/>
        <v>-</v>
      </c>
      <c r="AX88" s="359"/>
      <c r="AY88" s="356" t="str">
        <f t="shared" si="62"/>
        <v>-</v>
      </c>
      <c r="AZ88" s="356" t="str">
        <f t="shared" si="63"/>
        <v>-</v>
      </c>
      <c r="BA88" s="356">
        <f t="shared" si="64"/>
        <v>0</v>
      </c>
      <c r="BB88" s="356" t="e">
        <f t="shared" si="65"/>
        <v>#VALUE!</v>
      </c>
      <c r="BC88" s="358" t="str">
        <f t="shared" si="66"/>
        <v>-</v>
      </c>
      <c r="BD88" s="356" t="e">
        <f t="shared" si="67"/>
        <v>#VALUE!</v>
      </c>
      <c r="BE88" s="357" t="str">
        <f t="shared" si="68"/>
        <v>-</v>
      </c>
      <c r="BF88" s="357" t="str">
        <f t="shared" si="69"/>
        <v>-</v>
      </c>
      <c r="BG88" s="356">
        <f t="shared" si="70"/>
        <v>0</v>
      </c>
    </row>
    <row r="89" spans="1:59" x14ac:dyDescent="0.25">
      <c r="A89" s="355">
        <f t="shared" si="71"/>
        <v>62</v>
      </c>
      <c r="B89" s="363"/>
      <c r="C89" s="363"/>
      <c r="D89" s="363"/>
      <c r="E89" s="363"/>
      <c r="F89" s="363"/>
      <c r="G89" s="363"/>
      <c r="H89" s="359"/>
      <c r="I89" s="359"/>
      <c r="J89" s="362"/>
      <c r="K89" s="359"/>
      <c r="L89" s="359"/>
      <c r="M89" s="359"/>
      <c r="N89" s="359"/>
      <c r="O89" s="359"/>
      <c r="P89" s="359"/>
      <c r="Q89" s="359"/>
      <c r="R89" s="359"/>
      <c r="S89" s="359"/>
      <c r="T89" s="359"/>
      <c r="U89" s="359"/>
      <c r="V89" s="359"/>
      <c r="W89" s="359"/>
      <c r="X89" s="359"/>
      <c r="Y89" s="359"/>
      <c r="Z89" s="359"/>
      <c r="AA89" s="356">
        <f t="shared" si="39"/>
        <v>0</v>
      </c>
      <c r="AB89" s="356">
        <f t="shared" si="40"/>
        <v>0</v>
      </c>
      <c r="AC89" s="356">
        <f t="shared" si="41"/>
        <v>0</v>
      </c>
      <c r="AD89" s="356">
        <f t="shared" si="42"/>
        <v>0</v>
      </c>
      <c r="AE89" s="356">
        <f t="shared" si="43"/>
        <v>0</v>
      </c>
      <c r="AF89" s="356">
        <f t="shared" si="44"/>
        <v>0</v>
      </c>
      <c r="AG89" s="356">
        <f t="shared" si="45"/>
        <v>0</v>
      </c>
      <c r="AH89" s="361">
        <f t="shared" si="46"/>
        <v>1.1000000000000001</v>
      </c>
      <c r="AI89" s="356">
        <f t="shared" si="47"/>
        <v>0</v>
      </c>
      <c r="AJ89" s="356">
        <f t="shared" si="48"/>
        <v>0</v>
      </c>
      <c r="AK89" s="360">
        <f t="shared" si="49"/>
        <v>0</v>
      </c>
      <c r="AL89" s="356" t="str">
        <f t="shared" si="50"/>
        <v>-</v>
      </c>
      <c r="AM89" s="356" t="str">
        <f t="shared" si="51"/>
        <v>-</v>
      </c>
      <c r="AN89" s="356" t="str">
        <f t="shared" si="52"/>
        <v>-</v>
      </c>
      <c r="AO89" s="356" t="e">
        <f t="shared" si="53"/>
        <v>#VALUE!</v>
      </c>
      <c r="AP89" s="358" t="str">
        <f t="shared" si="54"/>
        <v>-</v>
      </c>
      <c r="AQ89" s="357" t="str">
        <f t="shared" si="55"/>
        <v>-</v>
      </c>
      <c r="AR89" s="357" t="str">
        <f t="shared" si="56"/>
        <v>-</v>
      </c>
      <c r="AS89" s="356" t="str">
        <f t="shared" si="57"/>
        <v>-</v>
      </c>
      <c r="AT89" s="355" t="str">
        <f t="shared" si="58"/>
        <v>-</v>
      </c>
      <c r="AU89" s="356" t="str">
        <f t="shared" si="59"/>
        <v>-</v>
      </c>
      <c r="AV89" s="356" t="e">
        <f t="shared" si="60"/>
        <v>#DIV/0!</v>
      </c>
      <c r="AW89" s="355" t="str">
        <f t="shared" si="61"/>
        <v>-</v>
      </c>
      <c r="AX89" s="359"/>
      <c r="AY89" s="356" t="str">
        <f t="shared" si="62"/>
        <v>-</v>
      </c>
      <c r="AZ89" s="356" t="str">
        <f t="shared" si="63"/>
        <v>-</v>
      </c>
      <c r="BA89" s="356">
        <f t="shared" si="64"/>
        <v>0</v>
      </c>
      <c r="BB89" s="356" t="e">
        <f t="shared" si="65"/>
        <v>#VALUE!</v>
      </c>
      <c r="BC89" s="358" t="str">
        <f t="shared" si="66"/>
        <v>-</v>
      </c>
      <c r="BD89" s="356" t="e">
        <f t="shared" si="67"/>
        <v>#VALUE!</v>
      </c>
      <c r="BE89" s="357" t="str">
        <f t="shared" si="68"/>
        <v>-</v>
      </c>
      <c r="BF89" s="357" t="str">
        <f t="shared" si="69"/>
        <v>-</v>
      </c>
      <c r="BG89" s="356">
        <f t="shared" si="70"/>
        <v>0</v>
      </c>
    </row>
    <row r="90" spans="1:59" x14ac:dyDescent="0.25">
      <c r="A90" s="355">
        <f t="shared" si="71"/>
        <v>63</v>
      </c>
      <c r="B90" s="363"/>
      <c r="C90" s="363"/>
      <c r="D90" s="363"/>
      <c r="E90" s="363"/>
      <c r="F90" s="363"/>
      <c r="G90" s="363"/>
      <c r="H90" s="359"/>
      <c r="I90" s="359"/>
      <c r="J90" s="362"/>
      <c r="K90" s="359"/>
      <c r="L90" s="359"/>
      <c r="M90" s="359"/>
      <c r="N90" s="359"/>
      <c r="O90" s="359"/>
      <c r="P90" s="359"/>
      <c r="Q90" s="359"/>
      <c r="R90" s="359"/>
      <c r="S90" s="359"/>
      <c r="T90" s="359"/>
      <c r="U90" s="359"/>
      <c r="V90" s="359"/>
      <c r="W90" s="359"/>
      <c r="X90" s="359"/>
      <c r="Y90" s="359"/>
      <c r="Z90" s="359"/>
      <c r="AA90" s="356">
        <f t="shared" si="39"/>
        <v>0</v>
      </c>
      <c r="AB90" s="356">
        <f t="shared" si="40"/>
        <v>0</v>
      </c>
      <c r="AC90" s="356">
        <f t="shared" si="41"/>
        <v>0</v>
      </c>
      <c r="AD90" s="356">
        <f t="shared" si="42"/>
        <v>0</v>
      </c>
      <c r="AE90" s="356">
        <f t="shared" si="43"/>
        <v>0</v>
      </c>
      <c r="AF90" s="356">
        <f t="shared" si="44"/>
        <v>0</v>
      </c>
      <c r="AG90" s="356">
        <f t="shared" si="45"/>
        <v>0</v>
      </c>
      <c r="AH90" s="361">
        <f t="shared" si="46"/>
        <v>1.1000000000000001</v>
      </c>
      <c r="AI90" s="356">
        <f t="shared" si="47"/>
        <v>0</v>
      </c>
      <c r="AJ90" s="356">
        <f t="shared" si="48"/>
        <v>0</v>
      </c>
      <c r="AK90" s="360">
        <f t="shared" si="49"/>
        <v>0</v>
      </c>
      <c r="AL90" s="356" t="str">
        <f t="shared" si="50"/>
        <v>-</v>
      </c>
      <c r="AM90" s="356" t="str">
        <f t="shared" si="51"/>
        <v>-</v>
      </c>
      <c r="AN90" s="356" t="str">
        <f t="shared" si="52"/>
        <v>-</v>
      </c>
      <c r="AO90" s="356" t="e">
        <f t="shared" si="53"/>
        <v>#VALUE!</v>
      </c>
      <c r="AP90" s="358" t="str">
        <f t="shared" si="54"/>
        <v>-</v>
      </c>
      <c r="AQ90" s="357" t="str">
        <f t="shared" si="55"/>
        <v>-</v>
      </c>
      <c r="AR90" s="357" t="str">
        <f t="shared" si="56"/>
        <v>-</v>
      </c>
      <c r="AS90" s="356" t="str">
        <f t="shared" si="57"/>
        <v>-</v>
      </c>
      <c r="AT90" s="355" t="str">
        <f t="shared" si="58"/>
        <v>-</v>
      </c>
      <c r="AU90" s="356" t="str">
        <f t="shared" si="59"/>
        <v>-</v>
      </c>
      <c r="AV90" s="356" t="e">
        <f t="shared" si="60"/>
        <v>#DIV/0!</v>
      </c>
      <c r="AW90" s="355" t="str">
        <f t="shared" si="61"/>
        <v>-</v>
      </c>
      <c r="AX90" s="359"/>
      <c r="AY90" s="356" t="str">
        <f t="shared" si="62"/>
        <v>-</v>
      </c>
      <c r="AZ90" s="356" t="str">
        <f t="shared" si="63"/>
        <v>-</v>
      </c>
      <c r="BA90" s="356">
        <f t="shared" si="64"/>
        <v>0</v>
      </c>
      <c r="BB90" s="356" t="e">
        <f t="shared" si="65"/>
        <v>#VALUE!</v>
      </c>
      <c r="BC90" s="358" t="str">
        <f t="shared" si="66"/>
        <v>-</v>
      </c>
      <c r="BD90" s="356" t="e">
        <f t="shared" si="67"/>
        <v>#VALUE!</v>
      </c>
      <c r="BE90" s="357" t="str">
        <f t="shared" si="68"/>
        <v>-</v>
      </c>
      <c r="BF90" s="357" t="str">
        <f t="shared" si="69"/>
        <v>-</v>
      </c>
      <c r="BG90" s="356">
        <f t="shared" si="70"/>
        <v>0</v>
      </c>
    </row>
    <row r="91" spans="1:59" x14ac:dyDescent="0.25">
      <c r="A91" s="355">
        <f t="shared" si="71"/>
        <v>64</v>
      </c>
      <c r="B91" s="363"/>
      <c r="C91" s="363"/>
      <c r="D91" s="363"/>
      <c r="E91" s="363"/>
      <c r="F91" s="363"/>
      <c r="G91" s="363"/>
      <c r="H91" s="359"/>
      <c r="I91" s="359"/>
      <c r="J91" s="362"/>
      <c r="K91" s="359"/>
      <c r="L91" s="359"/>
      <c r="M91" s="359"/>
      <c r="N91" s="359"/>
      <c r="O91" s="359"/>
      <c r="P91" s="359"/>
      <c r="Q91" s="359"/>
      <c r="R91" s="359"/>
      <c r="S91" s="359"/>
      <c r="T91" s="359"/>
      <c r="U91" s="359"/>
      <c r="V91" s="359"/>
      <c r="W91" s="359"/>
      <c r="X91" s="359"/>
      <c r="Y91" s="359"/>
      <c r="Z91" s="359"/>
      <c r="AA91" s="356">
        <f t="shared" si="39"/>
        <v>0</v>
      </c>
      <c r="AB91" s="356">
        <f t="shared" si="40"/>
        <v>0</v>
      </c>
      <c r="AC91" s="356">
        <f t="shared" si="41"/>
        <v>0</v>
      </c>
      <c r="AD91" s="356">
        <f t="shared" si="42"/>
        <v>0</v>
      </c>
      <c r="AE91" s="356">
        <f t="shared" si="43"/>
        <v>0</v>
      </c>
      <c r="AF91" s="356">
        <f t="shared" si="44"/>
        <v>0</v>
      </c>
      <c r="AG91" s="356">
        <f t="shared" si="45"/>
        <v>0</v>
      </c>
      <c r="AH91" s="361">
        <f t="shared" si="46"/>
        <v>1.1000000000000001</v>
      </c>
      <c r="AI91" s="356">
        <f t="shared" si="47"/>
        <v>0</v>
      </c>
      <c r="AJ91" s="356">
        <f t="shared" si="48"/>
        <v>0</v>
      </c>
      <c r="AK91" s="360">
        <f t="shared" si="49"/>
        <v>0</v>
      </c>
      <c r="AL91" s="356" t="str">
        <f t="shared" si="50"/>
        <v>-</v>
      </c>
      <c r="AM91" s="356" t="str">
        <f t="shared" si="51"/>
        <v>-</v>
      </c>
      <c r="AN91" s="356" t="str">
        <f t="shared" si="52"/>
        <v>-</v>
      </c>
      <c r="AO91" s="356" t="e">
        <f t="shared" si="53"/>
        <v>#VALUE!</v>
      </c>
      <c r="AP91" s="358" t="str">
        <f t="shared" si="54"/>
        <v>-</v>
      </c>
      <c r="AQ91" s="357" t="str">
        <f t="shared" si="55"/>
        <v>-</v>
      </c>
      <c r="AR91" s="357" t="str">
        <f t="shared" si="56"/>
        <v>-</v>
      </c>
      <c r="AS91" s="356" t="str">
        <f t="shared" si="57"/>
        <v>-</v>
      </c>
      <c r="AT91" s="355" t="str">
        <f t="shared" si="58"/>
        <v>-</v>
      </c>
      <c r="AU91" s="356" t="str">
        <f t="shared" si="59"/>
        <v>-</v>
      </c>
      <c r="AV91" s="356" t="e">
        <f t="shared" si="60"/>
        <v>#DIV/0!</v>
      </c>
      <c r="AW91" s="355" t="str">
        <f t="shared" si="61"/>
        <v>-</v>
      </c>
      <c r="AX91" s="359"/>
      <c r="AY91" s="356" t="str">
        <f t="shared" si="62"/>
        <v>-</v>
      </c>
      <c r="AZ91" s="356" t="str">
        <f t="shared" si="63"/>
        <v>-</v>
      </c>
      <c r="BA91" s="356">
        <f t="shared" si="64"/>
        <v>0</v>
      </c>
      <c r="BB91" s="356" t="e">
        <f t="shared" si="65"/>
        <v>#VALUE!</v>
      </c>
      <c r="BC91" s="358" t="str">
        <f t="shared" si="66"/>
        <v>-</v>
      </c>
      <c r="BD91" s="356" t="e">
        <f t="shared" si="67"/>
        <v>#VALUE!</v>
      </c>
      <c r="BE91" s="357" t="str">
        <f t="shared" si="68"/>
        <v>-</v>
      </c>
      <c r="BF91" s="357" t="str">
        <f t="shared" si="69"/>
        <v>-</v>
      </c>
      <c r="BG91" s="356">
        <f t="shared" si="70"/>
        <v>0</v>
      </c>
    </row>
    <row r="92" spans="1:59" x14ac:dyDescent="0.25">
      <c r="A92" s="355">
        <f t="shared" si="71"/>
        <v>65</v>
      </c>
      <c r="B92" s="363"/>
      <c r="C92" s="363"/>
      <c r="D92" s="363"/>
      <c r="E92" s="363"/>
      <c r="F92" s="363"/>
      <c r="G92" s="363"/>
      <c r="H92" s="359"/>
      <c r="I92" s="359"/>
      <c r="J92" s="362"/>
      <c r="K92" s="359"/>
      <c r="L92" s="359"/>
      <c r="M92" s="359"/>
      <c r="N92" s="359"/>
      <c r="O92" s="359"/>
      <c r="P92" s="359"/>
      <c r="Q92" s="359"/>
      <c r="R92" s="359"/>
      <c r="S92" s="359"/>
      <c r="T92" s="359"/>
      <c r="U92" s="359"/>
      <c r="V92" s="359"/>
      <c r="W92" s="359"/>
      <c r="X92" s="359"/>
      <c r="Y92" s="359"/>
      <c r="Z92" s="359"/>
      <c r="AA92" s="356">
        <f t="shared" ref="AA92:AA155" si="72">600*COUNT($L92)</f>
        <v>0</v>
      </c>
      <c r="AB92" s="356">
        <f t="shared" ref="AB92:AB127" si="73">IF(OR(Q92=0,Q92=""),0.9*R92,MIN(Q92:R92))</f>
        <v>0</v>
      </c>
      <c r="AC92" s="356">
        <f t="shared" ref="AC92:AC127" si="74">IF(OR(S92=0,S92=""),0.9*T92,MIN(S92:T92))</f>
        <v>0</v>
      </c>
      <c r="AD92" s="356">
        <f t="shared" ref="AD92:AD127" si="75">IF(OR(U92=0,U92=""),0.9*V92,MIN(U92:V92))</f>
        <v>0</v>
      </c>
      <c r="AE92" s="356">
        <f t="shared" ref="AE92:AE127" si="76">IF(OR(W92=0,W92=""),0.9*X92,MIN(W92:X92))</f>
        <v>0</v>
      </c>
      <c r="AF92" s="356">
        <f t="shared" ref="AF92:AF127" si="77">Y92/12</f>
        <v>0</v>
      </c>
      <c r="AG92" s="356">
        <f t="shared" ref="AG92:AG123" si="78">SUM(AB92:AF92)</f>
        <v>0</v>
      </c>
      <c r="AH92" s="361">
        <f t="shared" ref="AH92:AH155" si="79">+$AH$27</f>
        <v>1.1000000000000001</v>
      </c>
      <c r="AI92" s="356">
        <f t="shared" ref="AI92:AI155" si="80">($AG92/$AH92)-$AJ92</f>
        <v>0</v>
      </c>
      <c r="AJ92" s="356">
        <f t="shared" ref="AJ92:AJ155" si="81">SUM($M92:$P92,$Z92:$AA92)/12</f>
        <v>0</v>
      </c>
      <c r="AK92" s="360">
        <f t="shared" ref="AK92:AK155" si="82">$F$11</f>
        <v>0</v>
      </c>
      <c r="AL92" s="356" t="str">
        <f t="shared" ref="AL92:AL155" si="83">IF(OR($C$12="Purchase",$C$12="Delayed Purchase"),MIN($AL$26*($I92+$K92),$AL$27*$L$28),IF(OR($C$12="Refinance (Rate/Term)",$C$12="Refinance (Cash Out)"),$AL$27*$L92,"-"))</f>
        <v>-</v>
      </c>
      <c r="AM92" s="356" t="str">
        <f t="shared" ref="AM92:AM155" si="84">IF($F$5="No IO",PMT($AK92/12,360,-$AL92),"-")</f>
        <v>-</v>
      </c>
      <c r="AN92" s="356" t="str">
        <f t="shared" ref="AN92:AN155" si="85">IF($F$5="Term IO",$AL92*($AK92/12),"-")</f>
        <v>-</v>
      </c>
      <c r="AO92" s="356" t="e">
        <f t="shared" ref="AO92:AO155" si="86">IF($F$5="No IO",$AM92+$AJ92,$AN92+$AJ92)</f>
        <v>#VALUE!</v>
      </c>
      <c r="AP92" s="358" t="str">
        <f t="shared" ref="AP92:AP155" si="87">IFERROR($AG92/$AO92,"-")</f>
        <v>-</v>
      </c>
      <c r="AQ92" s="357" t="str">
        <f t="shared" ref="AQ92:AQ123" si="88">IF(AP92="-","-",$AQ$26)</f>
        <v>-</v>
      </c>
      <c r="AR92" s="357" t="str">
        <f t="shared" ref="AR92:AR127" si="89">IF(AP92="-","-",$AR$26)</f>
        <v>-</v>
      </c>
      <c r="AS92" s="356" t="str">
        <f t="shared" ref="AS92:AS155" si="90">IF(OR($C$12="Purchase",$C$12="Delayed Purchase"),MIN($L92*$AQ92,$AR92*($I92+$K92)),IF(OR($C$12="Refinance (Rate/Term)",$C$12="Refinance (Cash Out)"),$L92*$AQ92,"-"))</f>
        <v>-</v>
      </c>
      <c r="AT92" s="355" t="str">
        <f t="shared" ref="AT92:AT155" si="91">IF(OR($C$12="Purchase",$C$12="Delayed Purchase",$C$12="Refinance (Cash Out)"),"-",IF($C$12="Refinance (Rate/Term)",102%*$H92,"-"))</f>
        <v>-</v>
      </c>
      <c r="AU92" s="356" t="str">
        <f t="shared" ref="AU92:AU155" si="92">IF($C$12="Refinance (Rate/Term)",MIN($AT92,$AS92),$AS92)</f>
        <v>-</v>
      </c>
      <c r="AV92" s="356" t="e">
        <f t="shared" ref="AV92:AV155" si="93">ROUNDDOWN(IF($F$5="No IO",PV($AK92/12,360,-$AI92),$AG92/($AH92*($AK92/12))-($AJ92/($AK92/12))),0)</f>
        <v>#DIV/0!</v>
      </c>
      <c r="AW92" s="355" t="str">
        <f t="shared" ref="AW92:AW155" si="94">IFERROR(IF($AV92&gt;$AL92,"-",$AV92),"-")</f>
        <v>-</v>
      </c>
      <c r="AX92" s="359"/>
      <c r="AY92" s="356" t="str">
        <f t="shared" ref="AY92:AY155" si="95">IF($F$5="No IO",PMT($AK92/12,360,-$AX92),"-")</f>
        <v>-</v>
      </c>
      <c r="AZ92" s="356" t="str">
        <f t="shared" ref="AZ92:AZ155" si="96">IF($F$5="Term IO",$AX92*($AK92/12),"-")</f>
        <v>-</v>
      </c>
      <c r="BA92" s="356">
        <f t="shared" ref="BA92:BA155" si="97">$AJ92</f>
        <v>0</v>
      </c>
      <c r="BB92" s="356" t="e">
        <f t="shared" ref="BB92:BB155" si="98">IF($F$5="No IO",$AY92+$BA92,$AZ92+$BA92)</f>
        <v>#VALUE!</v>
      </c>
      <c r="BC92" s="358" t="str">
        <f t="shared" ref="BC92:BC155" si="99">IFERROR($AG92/$BB92,"-")</f>
        <v>-</v>
      </c>
      <c r="BD92" s="356" t="e">
        <f t="shared" ref="BD92:BD155" si="100">IF($F$5="No IO",$AY92+(SUM($M92:$O92)/12),$AZ92+(SUM($M92:$O92)/12))</f>
        <v>#VALUE!</v>
      </c>
      <c r="BE92" s="357" t="str">
        <f t="shared" ref="BE92:BE155" si="101">IFERROR($AX92/$L92,"-")</f>
        <v>-</v>
      </c>
      <c r="BF92" s="357" t="str">
        <f t="shared" ref="BF92:BF155" si="102">IFERROR(IF(OR($C$12="Refinance (Rate/Term)",$C$12="Refinance (Cash Out)"),"-",$AX92/($I92+$K92)),"-")</f>
        <v>-</v>
      </c>
      <c r="BG92" s="356">
        <f t="shared" ref="BG92:BG155" si="103">IFERROR($BG$26*$AX92,"-")</f>
        <v>0</v>
      </c>
    </row>
    <row r="93" spans="1:59" x14ac:dyDescent="0.25">
      <c r="A93" s="355">
        <f t="shared" ref="A93:A156" si="104">+A92+1</f>
        <v>66</v>
      </c>
      <c r="B93" s="363"/>
      <c r="C93" s="363"/>
      <c r="D93" s="363"/>
      <c r="E93" s="363"/>
      <c r="F93" s="363"/>
      <c r="G93" s="363"/>
      <c r="H93" s="359"/>
      <c r="I93" s="359"/>
      <c r="J93" s="362"/>
      <c r="K93" s="359"/>
      <c r="L93" s="359"/>
      <c r="M93" s="359"/>
      <c r="N93" s="359"/>
      <c r="O93" s="359"/>
      <c r="P93" s="359"/>
      <c r="Q93" s="359"/>
      <c r="R93" s="359"/>
      <c r="S93" s="359"/>
      <c r="T93" s="359"/>
      <c r="U93" s="359"/>
      <c r="V93" s="359"/>
      <c r="W93" s="359"/>
      <c r="X93" s="359"/>
      <c r="Y93" s="359"/>
      <c r="Z93" s="359"/>
      <c r="AA93" s="356">
        <f t="shared" si="72"/>
        <v>0</v>
      </c>
      <c r="AB93" s="356">
        <f t="shared" si="73"/>
        <v>0</v>
      </c>
      <c r="AC93" s="356">
        <f t="shared" si="74"/>
        <v>0</v>
      </c>
      <c r="AD93" s="356">
        <f t="shared" si="75"/>
        <v>0</v>
      </c>
      <c r="AE93" s="356">
        <f t="shared" si="76"/>
        <v>0</v>
      </c>
      <c r="AF93" s="356">
        <f t="shared" si="77"/>
        <v>0</v>
      </c>
      <c r="AG93" s="356">
        <f t="shared" si="78"/>
        <v>0</v>
      </c>
      <c r="AH93" s="361">
        <f t="shared" si="79"/>
        <v>1.1000000000000001</v>
      </c>
      <c r="AI93" s="356">
        <f t="shared" si="80"/>
        <v>0</v>
      </c>
      <c r="AJ93" s="356">
        <f t="shared" si="81"/>
        <v>0</v>
      </c>
      <c r="AK93" s="360">
        <f t="shared" si="82"/>
        <v>0</v>
      </c>
      <c r="AL93" s="356" t="str">
        <f t="shared" si="83"/>
        <v>-</v>
      </c>
      <c r="AM93" s="356" t="str">
        <f t="shared" si="84"/>
        <v>-</v>
      </c>
      <c r="AN93" s="356" t="str">
        <f t="shared" si="85"/>
        <v>-</v>
      </c>
      <c r="AO93" s="356" t="e">
        <f t="shared" si="86"/>
        <v>#VALUE!</v>
      </c>
      <c r="AP93" s="358" t="str">
        <f t="shared" si="87"/>
        <v>-</v>
      </c>
      <c r="AQ93" s="357" t="str">
        <f t="shared" si="88"/>
        <v>-</v>
      </c>
      <c r="AR93" s="357" t="str">
        <f t="shared" si="89"/>
        <v>-</v>
      </c>
      <c r="AS93" s="356" t="str">
        <f t="shared" si="90"/>
        <v>-</v>
      </c>
      <c r="AT93" s="355" t="str">
        <f t="shared" si="91"/>
        <v>-</v>
      </c>
      <c r="AU93" s="356" t="str">
        <f t="shared" si="92"/>
        <v>-</v>
      </c>
      <c r="AV93" s="356" t="e">
        <f t="shared" si="93"/>
        <v>#DIV/0!</v>
      </c>
      <c r="AW93" s="355" t="str">
        <f t="shared" si="94"/>
        <v>-</v>
      </c>
      <c r="AX93" s="359"/>
      <c r="AY93" s="356" t="str">
        <f t="shared" si="95"/>
        <v>-</v>
      </c>
      <c r="AZ93" s="356" t="str">
        <f t="shared" si="96"/>
        <v>-</v>
      </c>
      <c r="BA93" s="356">
        <f t="shared" si="97"/>
        <v>0</v>
      </c>
      <c r="BB93" s="356" t="e">
        <f t="shared" si="98"/>
        <v>#VALUE!</v>
      </c>
      <c r="BC93" s="358" t="str">
        <f t="shared" si="99"/>
        <v>-</v>
      </c>
      <c r="BD93" s="356" t="e">
        <f t="shared" si="100"/>
        <v>#VALUE!</v>
      </c>
      <c r="BE93" s="357" t="str">
        <f t="shared" si="101"/>
        <v>-</v>
      </c>
      <c r="BF93" s="357" t="str">
        <f t="shared" si="102"/>
        <v>-</v>
      </c>
      <c r="BG93" s="356">
        <f t="shared" si="103"/>
        <v>0</v>
      </c>
    </row>
    <row r="94" spans="1:59" x14ac:dyDescent="0.25">
      <c r="A94" s="355">
        <f t="shared" si="104"/>
        <v>67</v>
      </c>
      <c r="B94" s="363"/>
      <c r="C94" s="363"/>
      <c r="D94" s="363"/>
      <c r="E94" s="363"/>
      <c r="F94" s="363"/>
      <c r="G94" s="363"/>
      <c r="H94" s="359"/>
      <c r="I94" s="359"/>
      <c r="J94" s="362"/>
      <c r="K94" s="359"/>
      <c r="L94" s="359"/>
      <c r="M94" s="359"/>
      <c r="N94" s="359"/>
      <c r="O94" s="359"/>
      <c r="P94" s="359"/>
      <c r="Q94" s="359"/>
      <c r="R94" s="359"/>
      <c r="S94" s="359"/>
      <c r="T94" s="359"/>
      <c r="U94" s="359"/>
      <c r="V94" s="359"/>
      <c r="W94" s="359"/>
      <c r="X94" s="359"/>
      <c r="Y94" s="359"/>
      <c r="Z94" s="359"/>
      <c r="AA94" s="356">
        <f t="shared" si="72"/>
        <v>0</v>
      </c>
      <c r="AB94" s="356">
        <f t="shared" si="73"/>
        <v>0</v>
      </c>
      <c r="AC94" s="356">
        <f t="shared" si="74"/>
        <v>0</v>
      </c>
      <c r="AD94" s="356">
        <f t="shared" si="75"/>
        <v>0</v>
      </c>
      <c r="AE94" s="356">
        <f t="shared" si="76"/>
        <v>0</v>
      </c>
      <c r="AF94" s="356">
        <f t="shared" si="77"/>
        <v>0</v>
      </c>
      <c r="AG94" s="356">
        <f t="shared" si="78"/>
        <v>0</v>
      </c>
      <c r="AH94" s="361">
        <f t="shared" si="79"/>
        <v>1.1000000000000001</v>
      </c>
      <c r="AI94" s="356">
        <f t="shared" si="80"/>
        <v>0</v>
      </c>
      <c r="AJ94" s="356">
        <f t="shared" si="81"/>
        <v>0</v>
      </c>
      <c r="AK94" s="360">
        <f t="shared" si="82"/>
        <v>0</v>
      </c>
      <c r="AL94" s="356" t="str">
        <f t="shared" si="83"/>
        <v>-</v>
      </c>
      <c r="AM94" s="356" t="str">
        <f t="shared" si="84"/>
        <v>-</v>
      </c>
      <c r="AN94" s="356" t="str">
        <f t="shared" si="85"/>
        <v>-</v>
      </c>
      <c r="AO94" s="356" t="e">
        <f t="shared" si="86"/>
        <v>#VALUE!</v>
      </c>
      <c r="AP94" s="358" t="str">
        <f t="shared" si="87"/>
        <v>-</v>
      </c>
      <c r="AQ94" s="357" t="str">
        <f t="shared" si="88"/>
        <v>-</v>
      </c>
      <c r="AR94" s="357" t="str">
        <f t="shared" si="89"/>
        <v>-</v>
      </c>
      <c r="AS94" s="356" t="str">
        <f t="shared" si="90"/>
        <v>-</v>
      </c>
      <c r="AT94" s="355" t="str">
        <f t="shared" si="91"/>
        <v>-</v>
      </c>
      <c r="AU94" s="356" t="str">
        <f t="shared" si="92"/>
        <v>-</v>
      </c>
      <c r="AV94" s="356" t="e">
        <f t="shared" si="93"/>
        <v>#DIV/0!</v>
      </c>
      <c r="AW94" s="355" t="str">
        <f t="shared" si="94"/>
        <v>-</v>
      </c>
      <c r="AX94" s="359"/>
      <c r="AY94" s="356" t="str">
        <f t="shared" si="95"/>
        <v>-</v>
      </c>
      <c r="AZ94" s="356" t="str">
        <f t="shared" si="96"/>
        <v>-</v>
      </c>
      <c r="BA94" s="356">
        <f t="shared" si="97"/>
        <v>0</v>
      </c>
      <c r="BB94" s="356" t="e">
        <f t="shared" si="98"/>
        <v>#VALUE!</v>
      </c>
      <c r="BC94" s="358" t="str">
        <f t="shared" si="99"/>
        <v>-</v>
      </c>
      <c r="BD94" s="356" t="e">
        <f t="shared" si="100"/>
        <v>#VALUE!</v>
      </c>
      <c r="BE94" s="357" t="str">
        <f t="shared" si="101"/>
        <v>-</v>
      </c>
      <c r="BF94" s="357" t="str">
        <f t="shared" si="102"/>
        <v>-</v>
      </c>
      <c r="BG94" s="356">
        <f t="shared" si="103"/>
        <v>0</v>
      </c>
    </row>
    <row r="95" spans="1:59" x14ac:dyDescent="0.25">
      <c r="A95" s="355">
        <f t="shared" si="104"/>
        <v>68</v>
      </c>
      <c r="B95" s="363"/>
      <c r="C95" s="363"/>
      <c r="D95" s="363"/>
      <c r="E95" s="363"/>
      <c r="F95" s="363"/>
      <c r="G95" s="363"/>
      <c r="H95" s="359"/>
      <c r="I95" s="359"/>
      <c r="J95" s="362"/>
      <c r="K95" s="359"/>
      <c r="L95" s="359"/>
      <c r="M95" s="359"/>
      <c r="N95" s="359"/>
      <c r="O95" s="359"/>
      <c r="P95" s="359"/>
      <c r="Q95" s="359"/>
      <c r="R95" s="359"/>
      <c r="S95" s="359"/>
      <c r="T95" s="359"/>
      <c r="U95" s="359"/>
      <c r="V95" s="359"/>
      <c r="W95" s="359"/>
      <c r="X95" s="359"/>
      <c r="Y95" s="359"/>
      <c r="Z95" s="359"/>
      <c r="AA95" s="356">
        <f t="shared" si="72"/>
        <v>0</v>
      </c>
      <c r="AB95" s="356">
        <f t="shared" si="73"/>
        <v>0</v>
      </c>
      <c r="AC95" s="356">
        <f t="shared" si="74"/>
        <v>0</v>
      </c>
      <c r="AD95" s="356">
        <f t="shared" si="75"/>
        <v>0</v>
      </c>
      <c r="AE95" s="356">
        <f t="shared" si="76"/>
        <v>0</v>
      </c>
      <c r="AF95" s="356">
        <f t="shared" si="77"/>
        <v>0</v>
      </c>
      <c r="AG95" s="356">
        <f t="shared" si="78"/>
        <v>0</v>
      </c>
      <c r="AH95" s="361">
        <f t="shared" si="79"/>
        <v>1.1000000000000001</v>
      </c>
      <c r="AI95" s="356">
        <f t="shared" si="80"/>
        <v>0</v>
      </c>
      <c r="AJ95" s="356">
        <f t="shared" si="81"/>
        <v>0</v>
      </c>
      <c r="AK95" s="360">
        <f t="shared" si="82"/>
        <v>0</v>
      </c>
      <c r="AL95" s="356" t="str">
        <f t="shared" si="83"/>
        <v>-</v>
      </c>
      <c r="AM95" s="356" t="str">
        <f t="shared" si="84"/>
        <v>-</v>
      </c>
      <c r="AN95" s="356" t="str">
        <f t="shared" si="85"/>
        <v>-</v>
      </c>
      <c r="AO95" s="356" t="e">
        <f t="shared" si="86"/>
        <v>#VALUE!</v>
      </c>
      <c r="AP95" s="358" t="str">
        <f t="shared" si="87"/>
        <v>-</v>
      </c>
      <c r="AQ95" s="357" t="str">
        <f t="shared" si="88"/>
        <v>-</v>
      </c>
      <c r="AR95" s="357" t="str">
        <f t="shared" si="89"/>
        <v>-</v>
      </c>
      <c r="AS95" s="356" t="str">
        <f t="shared" si="90"/>
        <v>-</v>
      </c>
      <c r="AT95" s="355" t="str">
        <f t="shared" si="91"/>
        <v>-</v>
      </c>
      <c r="AU95" s="356" t="str">
        <f t="shared" si="92"/>
        <v>-</v>
      </c>
      <c r="AV95" s="356" t="e">
        <f t="shared" si="93"/>
        <v>#DIV/0!</v>
      </c>
      <c r="AW95" s="355" t="str">
        <f t="shared" si="94"/>
        <v>-</v>
      </c>
      <c r="AX95" s="359"/>
      <c r="AY95" s="356" t="str">
        <f t="shared" si="95"/>
        <v>-</v>
      </c>
      <c r="AZ95" s="356" t="str">
        <f t="shared" si="96"/>
        <v>-</v>
      </c>
      <c r="BA95" s="356">
        <f t="shared" si="97"/>
        <v>0</v>
      </c>
      <c r="BB95" s="356" t="e">
        <f t="shared" si="98"/>
        <v>#VALUE!</v>
      </c>
      <c r="BC95" s="358" t="str">
        <f t="shared" si="99"/>
        <v>-</v>
      </c>
      <c r="BD95" s="356" t="e">
        <f t="shared" si="100"/>
        <v>#VALUE!</v>
      </c>
      <c r="BE95" s="357" t="str">
        <f t="shared" si="101"/>
        <v>-</v>
      </c>
      <c r="BF95" s="357" t="str">
        <f t="shared" si="102"/>
        <v>-</v>
      </c>
      <c r="BG95" s="356">
        <f t="shared" si="103"/>
        <v>0</v>
      </c>
    </row>
    <row r="96" spans="1:59" x14ac:dyDescent="0.25">
      <c r="A96" s="355">
        <f t="shared" si="104"/>
        <v>69</v>
      </c>
      <c r="B96" s="363"/>
      <c r="C96" s="363"/>
      <c r="D96" s="363"/>
      <c r="E96" s="363"/>
      <c r="F96" s="363"/>
      <c r="G96" s="363"/>
      <c r="H96" s="359"/>
      <c r="I96" s="359"/>
      <c r="J96" s="362"/>
      <c r="K96" s="359"/>
      <c r="L96" s="359"/>
      <c r="M96" s="359"/>
      <c r="N96" s="359"/>
      <c r="O96" s="359"/>
      <c r="P96" s="359"/>
      <c r="Q96" s="359"/>
      <c r="R96" s="359"/>
      <c r="S96" s="359"/>
      <c r="T96" s="359"/>
      <c r="U96" s="359"/>
      <c r="V96" s="359"/>
      <c r="W96" s="359"/>
      <c r="X96" s="359"/>
      <c r="Y96" s="359"/>
      <c r="Z96" s="359"/>
      <c r="AA96" s="356">
        <f t="shared" si="72"/>
        <v>0</v>
      </c>
      <c r="AB96" s="356">
        <f t="shared" si="73"/>
        <v>0</v>
      </c>
      <c r="AC96" s="356">
        <f t="shared" si="74"/>
        <v>0</v>
      </c>
      <c r="AD96" s="356">
        <f t="shared" si="75"/>
        <v>0</v>
      </c>
      <c r="AE96" s="356">
        <f t="shared" si="76"/>
        <v>0</v>
      </c>
      <c r="AF96" s="356">
        <f t="shared" si="77"/>
        <v>0</v>
      </c>
      <c r="AG96" s="356">
        <f t="shared" si="78"/>
        <v>0</v>
      </c>
      <c r="AH96" s="361">
        <f t="shared" si="79"/>
        <v>1.1000000000000001</v>
      </c>
      <c r="AI96" s="356">
        <f t="shared" si="80"/>
        <v>0</v>
      </c>
      <c r="AJ96" s="356">
        <f t="shared" si="81"/>
        <v>0</v>
      </c>
      <c r="AK96" s="360">
        <f t="shared" si="82"/>
        <v>0</v>
      </c>
      <c r="AL96" s="356" t="str">
        <f t="shared" si="83"/>
        <v>-</v>
      </c>
      <c r="AM96" s="356" t="str">
        <f t="shared" si="84"/>
        <v>-</v>
      </c>
      <c r="AN96" s="356" t="str">
        <f t="shared" si="85"/>
        <v>-</v>
      </c>
      <c r="AO96" s="356" t="e">
        <f t="shared" si="86"/>
        <v>#VALUE!</v>
      </c>
      <c r="AP96" s="358" t="str">
        <f t="shared" si="87"/>
        <v>-</v>
      </c>
      <c r="AQ96" s="357" t="str">
        <f t="shared" si="88"/>
        <v>-</v>
      </c>
      <c r="AR96" s="357" t="str">
        <f t="shared" si="89"/>
        <v>-</v>
      </c>
      <c r="AS96" s="356" t="str">
        <f t="shared" si="90"/>
        <v>-</v>
      </c>
      <c r="AT96" s="355" t="str">
        <f t="shared" si="91"/>
        <v>-</v>
      </c>
      <c r="AU96" s="356" t="str">
        <f t="shared" si="92"/>
        <v>-</v>
      </c>
      <c r="AV96" s="356" t="e">
        <f t="shared" si="93"/>
        <v>#DIV/0!</v>
      </c>
      <c r="AW96" s="355" t="str">
        <f t="shared" si="94"/>
        <v>-</v>
      </c>
      <c r="AX96" s="359"/>
      <c r="AY96" s="356" t="str">
        <f t="shared" si="95"/>
        <v>-</v>
      </c>
      <c r="AZ96" s="356" t="str">
        <f t="shared" si="96"/>
        <v>-</v>
      </c>
      <c r="BA96" s="356">
        <f t="shared" si="97"/>
        <v>0</v>
      </c>
      <c r="BB96" s="356" t="e">
        <f t="shared" si="98"/>
        <v>#VALUE!</v>
      </c>
      <c r="BC96" s="358" t="str">
        <f t="shared" si="99"/>
        <v>-</v>
      </c>
      <c r="BD96" s="356" t="e">
        <f t="shared" si="100"/>
        <v>#VALUE!</v>
      </c>
      <c r="BE96" s="357" t="str">
        <f t="shared" si="101"/>
        <v>-</v>
      </c>
      <c r="BF96" s="357" t="str">
        <f t="shared" si="102"/>
        <v>-</v>
      </c>
      <c r="BG96" s="356">
        <f t="shared" si="103"/>
        <v>0</v>
      </c>
    </row>
    <row r="97" spans="1:59" x14ac:dyDescent="0.25">
      <c r="A97" s="355">
        <f t="shared" si="104"/>
        <v>70</v>
      </c>
      <c r="B97" s="363"/>
      <c r="C97" s="363"/>
      <c r="D97" s="363"/>
      <c r="E97" s="363"/>
      <c r="F97" s="363"/>
      <c r="G97" s="363"/>
      <c r="H97" s="359"/>
      <c r="I97" s="359"/>
      <c r="J97" s="362"/>
      <c r="K97" s="359"/>
      <c r="L97" s="359"/>
      <c r="M97" s="359"/>
      <c r="N97" s="359"/>
      <c r="O97" s="359"/>
      <c r="P97" s="359"/>
      <c r="Q97" s="359"/>
      <c r="R97" s="359"/>
      <c r="S97" s="359"/>
      <c r="T97" s="359"/>
      <c r="U97" s="359"/>
      <c r="V97" s="359"/>
      <c r="W97" s="359"/>
      <c r="X97" s="359"/>
      <c r="Y97" s="359"/>
      <c r="Z97" s="359"/>
      <c r="AA97" s="356">
        <f t="shared" si="72"/>
        <v>0</v>
      </c>
      <c r="AB97" s="356">
        <f t="shared" si="73"/>
        <v>0</v>
      </c>
      <c r="AC97" s="356">
        <f t="shared" si="74"/>
        <v>0</v>
      </c>
      <c r="AD97" s="356">
        <f t="shared" si="75"/>
        <v>0</v>
      </c>
      <c r="AE97" s="356">
        <f t="shared" si="76"/>
        <v>0</v>
      </c>
      <c r="AF97" s="356">
        <f t="shared" si="77"/>
        <v>0</v>
      </c>
      <c r="AG97" s="356">
        <f t="shared" si="78"/>
        <v>0</v>
      </c>
      <c r="AH97" s="361">
        <f t="shared" si="79"/>
        <v>1.1000000000000001</v>
      </c>
      <c r="AI97" s="356">
        <f t="shared" si="80"/>
        <v>0</v>
      </c>
      <c r="AJ97" s="356">
        <f t="shared" si="81"/>
        <v>0</v>
      </c>
      <c r="AK97" s="360">
        <f t="shared" si="82"/>
        <v>0</v>
      </c>
      <c r="AL97" s="356" t="str">
        <f t="shared" si="83"/>
        <v>-</v>
      </c>
      <c r="AM97" s="356" t="str">
        <f t="shared" si="84"/>
        <v>-</v>
      </c>
      <c r="AN97" s="356" t="str">
        <f t="shared" si="85"/>
        <v>-</v>
      </c>
      <c r="AO97" s="356" t="e">
        <f t="shared" si="86"/>
        <v>#VALUE!</v>
      </c>
      <c r="AP97" s="358" t="str">
        <f t="shared" si="87"/>
        <v>-</v>
      </c>
      <c r="AQ97" s="357" t="str">
        <f t="shared" si="88"/>
        <v>-</v>
      </c>
      <c r="AR97" s="357" t="str">
        <f t="shared" si="89"/>
        <v>-</v>
      </c>
      <c r="AS97" s="356" t="str">
        <f t="shared" si="90"/>
        <v>-</v>
      </c>
      <c r="AT97" s="355" t="str">
        <f t="shared" si="91"/>
        <v>-</v>
      </c>
      <c r="AU97" s="356" t="str">
        <f t="shared" si="92"/>
        <v>-</v>
      </c>
      <c r="AV97" s="356" t="e">
        <f t="shared" si="93"/>
        <v>#DIV/0!</v>
      </c>
      <c r="AW97" s="355" t="str">
        <f t="shared" si="94"/>
        <v>-</v>
      </c>
      <c r="AX97" s="359"/>
      <c r="AY97" s="356" t="str">
        <f t="shared" si="95"/>
        <v>-</v>
      </c>
      <c r="AZ97" s="356" t="str">
        <f t="shared" si="96"/>
        <v>-</v>
      </c>
      <c r="BA97" s="356">
        <f t="shared" si="97"/>
        <v>0</v>
      </c>
      <c r="BB97" s="356" t="e">
        <f t="shared" si="98"/>
        <v>#VALUE!</v>
      </c>
      <c r="BC97" s="358" t="str">
        <f t="shared" si="99"/>
        <v>-</v>
      </c>
      <c r="BD97" s="356" t="e">
        <f t="shared" si="100"/>
        <v>#VALUE!</v>
      </c>
      <c r="BE97" s="357" t="str">
        <f t="shared" si="101"/>
        <v>-</v>
      </c>
      <c r="BF97" s="357" t="str">
        <f t="shared" si="102"/>
        <v>-</v>
      </c>
      <c r="BG97" s="356">
        <f t="shared" si="103"/>
        <v>0</v>
      </c>
    </row>
    <row r="98" spans="1:59" x14ac:dyDescent="0.25">
      <c r="A98" s="355">
        <f t="shared" si="104"/>
        <v>71</v>
      </c>
      <c r="B98" s="363"/>
      <c r="C98" s="363"/>
      <c r="D98" s="363"/>
      <c r="E98" s="363"/>
      <c r="F98" s="363"/>
      <c r="G98" s="363"/>
      <c r="H98" s="359"/>
      <c r="I98" s="359"/>
      <c r="J98" s="362"/>
      <c r="K98" s="359"/>
      <c r="L98" s="359"/>
      <c r="M98" s="359"/>
      <c r="N98" s="359"/>
      <c r="O98" s="359"/>
      <c r="P98" s="359"/>
      <c r="Q98" s="359"/>
      <c r="R98" s="359"/>
      <c r="S98" s="359"/>
      <c r="T98" s="359"/>
      <c r="U98" s="359"/>
      <c r="V98" s="359"/>
      <c r="W98" s="359"/>
      <c r="X98" s="359"/>
      <c r="Y98" s="359"/>
      <c r="Z98" s="359"/>
      <c r="AA98" s="356">
        <f t="shared" si="72"/>
        <v>0</v>
      </c>
      <c r="AB98" s="356">
        <f t="shared" si="73"/>
        <v>0</v>
      </c>
      <c r="AC98" s="356">
        <f t="shared" si="74"/>
        <v>0</v>
      </c>
      <c r="AD98" s="356">
        <f t="shared" si="75"/>
        <v>0</v>
      </c>
      <c r="AE98" s="356">
        <f t="shared" si="76"/>
        <v>0</v>
      </c>
      <c r="AF98" s="356">
        <f t="shared" si="77"/>
        <v>0</v>
      </c>
      <c r="AG98" s="356">
        <f t="shared" si="78"/>
        <v>0</v>
      </c>
      <c r="AH98" s="361">
        <f t="shared" si="79"/>
        <v>1.1000000000000001</v>
      </c>
      <c r="AI98" s="356">
        <f t="shared" si="80"/>
        <v>0</v>
      </c>
      <c r="AJ98" s="356">
        <f t="shared" si="81"/>
        <v>0</v>
      </c>
      <c r="AK98" s="360">
        <f t="shared" si="82"/>
        <v>0</v>
      </c>
      <c r="AL98" s="356" t="str">
        <f t="shared" si="83"/>
        <v>-</v>
      </c>
      <c r="AM98" s="356" t="str">
        <f t="shared" si="84"/>
        <v>-</v>
      </c>
      <c r="AN98" s="356" t="str">
        <f t="shared" si="85"/>
        <v>-</v>
      </c>
      <c r="AO98" s="356" t="e">
        <f t="shared" si="86"/>
        <v>#VALUE!</v>
      </c>
      <c r="AP98" s="358" t="str">
        <f t="shared" si="87"/>
        <v>-</v>
      </c>
      <c r="AQ98" s="357" t="str">
        <f t="shared" si="88"/>
        <v>-</v>
      </c>
      <c r="AR98" s="357" t="str">
        <f t="shared" si="89"/>
        <v>-</v>
      </c>
      <c r="AS98" s="356" t="str">
        <f t="shared" si="90"/>
        <v>-</v>
      </c>
      <c r="AT98" s="355" t="str">
        <f t="shared" si="91"/>
        <v>-</v>
      </c>
      <c r="AU98" s="356" t="str">
        <f t="shared" si="92"/>
        <v>-</v>
      </c>
      <c r="AV98" s="356" t="e">
        <f t="shared" si="93"/>
        <v>#DIV/0!</v>
      </c>
      <c r="AW98" s="355" t="str">
        <f t="shared" si="94"/>
        <v>-</v>
      </c>
      <c r="AX98" s="359"/>
      <c r="AY98" s="356" t="str">
        <f t="shared" si="95"/>
        <v>-</v>
      </c>
      <c r="AZ98" s="356" t="str">
        <f t="shared" si="96"/>
        <v>-</v>
      </c>
      <c r="BA98" s="356">
        <f t="shared" si="97"/>
        <v>0</v>
      </c>
      <c r="BB98" s="356" t="e">
        <f t="shared" si="98"/>
        <v>#VALUE!</v>
      </c>
      <c r="BC98" s="358" t="str">
        <f t="shared" si="99"/>
        <v>-</v>
      </c>
      <c r="BD98" s="356" t="e">
        <f t="shared" si="100"/>
        <v>#VALUE!</v>
      </c>
      <c r="BE98" s="357" t="str">
        <f t="shared" si="101"/>
        <v>-</v>
      </c>
      <c r="BF98" s="357" t="str">
        <f t="shared" si="102"/>
        <v>-</v>
      </c>
      <c r="BG98" s="356">
        <f t="shared" si="103"/>
        <v>0</v>
      </c>
    </row>
    <row r="99" spans="1:59" x14ac:dyDescent="0.25">
      <c r="A99" s="355">
        <f t="shared" si="104"/>
        <v>72</v>
      </c>
      <c r="B99" s="363"/>
      <c r="C99" s="363"/>
      <c r="D99" s="363"/>
      <c r="E99" s="363"/>
      <c r="F99" s="363"/>
      <c r="G99" s="363"/>
      <c r="H99" s="359"/>
      <c r="I99" s="359"/>
      <c r="J99" s="362"/>
      <c r="K99" s="359"/>
      <c r="L99" s="359"/>
      <c r="M99" s="359"/>
      <c r="N99" s="359"/>
      <c r="O99" s="359"/>
      <c r="P99" s="359"/>
      <c r="Q99" s="359"/>
      <c r="R99" s="359"/>
      <c r="S99" s="359"/>
      <c r="T99" s="359"/>
      <c r="U99" s="359"/>
      <c r="V99" s="359"/>
      <c r="W99" s="359"/>
      <c r="X99" s="359"/>
      <c r="Y99" s="359"/>
      <c r="Z99" s="359"/>
      <c r="AA99" s="356">
        <f t="shared" si="72"/>
        <v>0</v>
      </c>
      <c r="AB99" s="356">
        <f t="shared" si="73"/>
        <v>0</v>
      </c>
      <c r="AC99" s="356">
        <f t="shared" si="74"/>
        <v>0</v>
      </c>
      <c r="AD99" s="356">
        <f t="shared" si="75"/>
        <v>0</v>
      </c>
      <c r="AE99" s="356">
        <f t="shared" si="76"/>
        <v>0</v>
      </c>
      <c r="AF99" s="356">
        <f t="shared" si="77"/>
        <v>0</v>
      </c>
      <c r="AG99" s="356">
        <f t="shared" si="78"/>
        <v>0</v>
      </c>
      <c r="AH99" s="361">
        <f t="shared" si="79"/>
        <v>1.1000000000000001</v>
      </c>
      <c r="AI99" s="356">
        <f t="shared" si="80"/>
        <v>0</v>
      </c>
      <c r="AJ99" s="356">
        <f t="shared" si="81"/>
        <v>0</v>
      </c>
      <c r="AK99" s="360">
        <f t="shared" si="82"/>
        <v>0</v>
      </c>
      <c r="AL99" s="356" t="str">
        <f t="shared" si="83"/>
        <v>-</v>
      </c>
      <c r="AM99" s="356" t="str">
        <f t="shared" si="84"/>
        <v>-</v>
      </c>
      <c r="AN99" s="356" t="str">
        <f t="shared" si="85"/>
        <v>-</v>
      </c>
      <c r="AO99" s="356" t="e">
        <f t="shared" si="86"/>
        <v>#VALUE!</v>
      </c>
      <c r="AP99" s="358" t="str">
        <f t="shared" si="87"/>
        <v>-</v>
      </c>
      <c r="AQ99" s="357" t="str">
        <f t="shared" si="88"/>
        <v>-</v>
      </c>
      <c r="AR99" s="357" t="str">
        <f t="shared" si="89"/>
        <v>-</v>
      </c>
      <c r="AS99" s="356" t="str">
        <f t="shared" si="90"/>
        <v>-</v>
      </c>
      <c r="AT99" s="355" t="str">
        <f t="shared" si="91"/>
        <v>-</v>
      </c>
      <c r="AU99" s="356" t="str">
        <f t="shared" si="92"/>
        <v>-</v>
      </c>
      <c r="AV99" s="356" t="e">
        <f t="shared" si="93"/>
        <v>#DIV/0!</v>
      </c>
      <c r="AW99" s="355" t="str">
        <f t="shared" si="94"/>
        <v>-</v>
      </c>
      <c r="AX99" s="359"/>
      <c r="AY99" s="356" t="str">
        <f t="shared" si="95"/>
        <v>-</v>
      </c>
      <c r="AZ99" s="356" t="str">
        <f t="shared" si="96"/>
        <v>-</v>
      </c>
      <c r="BA99" s="356">
        <f t="shared" si="97"/>
        <v>0</v>
      </c>
      <c r="BB99" s="356" t="e">
        <f t="shared" si="98"/>
        <v>#VALUE!</v>
      </c>
      <c r="BC99" s="358" t="str">
        <f t="shared" si="99"/>
        <v>-</v>
      </c>
      <c r="BD99" s="356" t="e">
        <f t="shared" si="100"/>
        <v>#VALUE!</v>
      </c>
      <c r="BE99" s="357" t="str">
        <f t="shared" si="101"/>
        <v>-</v>
      </c>
      <c r="BF99" s="357" t="str">
        <f t="shared" si="102"/>
        <v>-</v>
      </c>
      <c r="BG99" s="356">
        <f t="shared" si="103"/>
        <v>0</v>
      </c>
    </row>
    <row r="100" spans="1:59" x14ac:dyDescent="0.25">
      <c r="A100" s="355">
        <f t="shared" si="104"/>
        <v>73</v>
      </c>
      <c r="B100" s="363"/>
      <c r="C100" s="363"/>
      <c r="D100" s="363"/>
      <c r="E100" s="363"/>
      <c r="F100" s="363"/>
      <c r="G100" s="363"/>
      <c r="H100" s="359"/>
      <c r="I100" s="359"/>
      <c r="J100" s="362"/>
      <c r="K100" s="359"/>
      <c r="L100" s="359"/>
      <c r="M100" s="359"/>
      <c r="N100" s="359"/>
      <c r="O100" s="359"/>
      <c r="P100" s="359"/>
      <c r="Q100" s="359"/>
      <c r="R100" s="359"/>
      <c r="S100" s="359"/>
      <c r="T100" s="359"/>
      <c r="U100" s="359"/>
      <c r="V100" s="359"/>
      <c r="W100" s="359"/>
      <c r="X100" s="359"/>
      <c r="Y100" s="359"/>
      <c r="Z100" s="359"/>
      <c r="AA100" s="356">
        <f t="shared" si="72"/>
        <v>0</v>
      </c>
      <c r="AB100" s="356">
        <f t="shared" si="73"/>
        <v>0</v>
      </c>
      <c r="AC100" s="356">
        <f t="shared" si="74"/>
        <v>0</v>
      </c>
      <c r="AD100" s="356">
        <f t="shared" si="75"/>
        <v>0</v>
      </c>
      <c r="AE100" s="356">
        <f t="shared" si="76"/>
        <v>0</v>
      </c>
      <c r="AF100" s="356">
        <f t="shared" si="77"/>
        <v>0</v>
      </c>
      <c r="AG100" s="356">
        <f t="shared" si="78"/>
        <v>0</v>
      </c>
      <c r="AH100" s="361">
        <f t="shared" si="79"/>
        <v>1.1000000000000001</v>
      </c>
      <c r="AI100" s="356">
        <f t="shared" si="80"/>
        <v>0</v>
      </c>
      <c r="AJ100" s="356">
        <f t="shared" si="81"/>
        <v>0</v>
      </c>
      <c r="AK100" s="360">
        <f t="shared" si="82"/>
        <v>0</v>
      </c>
      <c r="AL100" s="356" t="str">
        <f t="shared" si="83"/>
        <v>-</v>
      </c>
      <c r="AM100" s="356" t="str">
        <f t="shared" si="84"/>
        <v>-</v>
      </c>
      <c r="AN100" s="356" t="str">
        <f t="shared" si="85"/>
        <v>-</v>
      </c>
      <c r="AO100" s="356" t="e">
        <f t="shared" si="86"/>
        <v>#VALUE!</v>
      </c>
      <c r="AP100" s="358" t="str">
        <f t="shared" si="87"/>
        <v>-</v>
      </c>
      <c r="AQ100" s="357" t="str">
        <f t="shared" si="88"/>
        <v>-</v>
      </c>
      <c r="AR100" s="357" t="str">
        <f t="shared" si="89"/>
        <v>-</v>
      </c>
      <c r="AS100" s="356" t="str">
        <f t="shared" si="90"/>
        <v>-</v>
      </c>
      <c r="AT100" s="355" t="str">
        <f t="shared" si="91"/>
        <v>-</v>
      </c>
      <c r="AU100" s="356" t="str">
        <f t="shared" si="92"/>
        <v>-</v>
      </c>
      <c r="AV100" s="356" t="e">
        <f t="shared" si="93"/>
        <v>#DIV/0!</v>
      </c>
      <c r="AW100" s="355" t="str">
        <f t="shared" si="94"/>
        <v>-</v>
      </c>
      <c r="AX100" s="359"/>
      <c r="AY100" s="356" t="str">
        <f t="shared" si="95"/>
        <v>-</v>
      </c>
      <c r="AZ100" s="356" t="str">
        <f t="shared" si="96"/>
        <v>-</v>
      </c>
      <c r="BA100" s="356">
        <f t="shared" si="97"/>
        <v>0</v>
      </c>
      <c r="BB100" s="356" t="e">
        <f t="shared" si="98"/>
        <v>#VALUE!</v>
      </c>
      <c r="BC100" s="358" t="str">
        <f t="shared" si="99"/>
        <v>-</v>
      </c>
      <c r="BD100" s="356" t="e">
        <f t="shared" si="100"/>
        <v>#VALUE!</v>
      </c>
      <c r="BE100" s="357" t="str">
        <f t="shared" si="101"/>
        <v>-</v>
      </c>
      <c r="BF100" s="357" t="str">
        <f t="shared" si="102"/>
        <v>-</v>
      </c>
      <c r="BG100" s="356">
        <f t="shared" si="103"/>
        <v>0</v>
      </c>
    </row>
    <row r="101" spans="1:59" x14ac:dyDescent="0.25">
      <c r="A101" s="355">
        <f t="shared" si="104"/>
        <v>74</v>
      </c>
      <c r="B101" s="363"/>
      <c r="C101" s="363"/>
      <c r="D101" s="363"/>
      <c r="E101" s="363"/>
      <c r="F101" s="363"/>
      <c r="G101" s="363"/>
      <c r="H101" s="359"/>
      <c r="I101" s="359"/>
      <c r="J101" s="362"/>
      <c r="K101" s="359"/>
      <c r="L101" s="359"/>
      <c r="M101" s="359"/>
      <c r="N101" s="359"/>
      <c r="O101" s="359"/>
      <c r="P101" s="359"/>
      <c r="Q101" s="359"/>
      <c r="R101" s="359"/>
      <c r="S101" s="359"/>
      <c r="T101" s="359"/>
      <c r="U101" s="359"/>
      <c r="V101" s="359"/>
      <c r="W101" s="359"/>
      <c r="X101" s="359"/>
      <c r="Y101" s="359"/>
      <c r="Z101" s="359"/>
      <c r="AA101" s="356">
        <f t="shared" si="72"/>
        <v>0</v>
      </c>
      <c r="AB101" s="356">
        <f t="shared" si="73"/>
        <v>0</v>
      </c>
      <c r="AC101" s="356">
        <f t="shared" si="74"/>
        <v>0</v>
      </c>
      <c r="AD101" s="356">
        <f t="shared" si="75"/>
        <v>0</v>
      </c>
      <c r="AE101" s="356">
        <f t="shared" si="76"/>
        <v>0</v>
      </c>
      <c r="AF101" s="356">
        <f t="shared" si="77"/>
        <v>0</v>
      </c>
      <c r="AG101" s="356">
        <f t="shared" si="78"/>
        <v>0</v>
      </c>
      <c r="AH101" s="361">
        <f t="shared" si="79"/>
        <v>1.1000000000000001</v>
      </c>
      <c r="AI101" s="356">
        <f t="shared" si="80"/>
        <v>0</v>
      </c>
      <c r="AJ101" s="356">
        <f t="shared" si="81"/>
        <v>0</v>
      </c>
      <c r="AK101" s="360">
        <f t="shared" si="82"/>
        <v>0</v>
      </c>
      <c r="AL101" s="356" t="str">
        <f t="shared" si="83"/>
        <v>-</v>
      </c>
      <c r="AM101" s="356" t="str">
        <f t="shared" si="84"/>
        <v>-</v>
      </c>
      <c r="AN101" s="356" t="str">
        <f t="shared" si="85"/>
        <v>-</v>
      </c>
      <c r="AO101" s="356" t="e">
        <f t="shared" si="86"/>
        <v>#VALUE!</v>
      </c>
      <c r="AP101" s="358" t="str">
        <f t="shared" si="87"/>
        <v>-</v>
      </c>
      <c r="AQ101" s="357" t="str">
        <f t="shared" si="88"/>
        <v>-</v>
      </c>
      <c r="AR101" s="357" t="str">
        <f t="shared" si="89"/>
        <v>-</v>
      </c>
      <c r="AS101" s="356" t="str">
        <f t="shared" si="90"/>
        <v>-</v>
      </c>
      <c r="AT101" s="355" t="str">
        <f t="shared" si="91"/>
        <v>-</v>
      </c>
      <c r="AU101" s="356" t="str">
        <f t="shared" si="92"/>
        <v>-</v>
      </c>
      <c r="AV101" s="356" t="e">
        <f t="shared" si="93"/>
        <v>#DIV/0!</v>
      </c>
      <c r="AW101" s="355" t="str">
        <f t="shared" si="94"/>
        <v>-</v>
      </c>
      <c r="AX101" s="359"/>
      <c r="AY101" s="356" t="str">
        <f t="shared" si="95"/>
        <v>-</v>
      </c>
      <c r="AZ101" s="356" t="str">
        <f t="shared" si="96"/>
        <v>-</v>
      </c>
      <c r="BA101" s="356">
        <f t="shared" si="97"/>
        <v>0</v>
      </c>
      <c r="BB101" s="356" t="e">
        <f t="shared" si="98"/>
        <v>#VALUE!</v>
      </c>
      <c r="BC101" s="358" t="str">
        <f t="shared" si="99"/>
        <v>-</v>
      </c>
      <c r="BD101" s="356" t="e">
        <f t="shared" si="100"/>
        <v>#VALUE!</v>
      </c>
      <c r="BE101" s="357" t="str">
        <f t="shared" si="101"/>
        <v>-</v>
      </c>
      <c r="BF101" s="357" t="str">
        <f t="shared" si="102"/>
        <v>-</v>
      </c>
      <c r="BG101" s="356">
        <f t="shared" si="103"/>
        <v>0</v>
      </c>
    </row>
    <row r="102" spans="1:59" x14ac:dyDescent="0.25">
      <c r="A102" s="355">
        <f t="shared" si="104"/>
        <v>75</v>
      </c>
      <c r="B102" s="363"/>
      <c r="C102" s="363"/>
      <c r="D102" s="363"/>
      <c r="E102" s="363"/>
      <c r="F102" s="363"/>
      <c r="G102" s="363"/>
      <c r="H102" s="359"/>
      <c r="I102" s="359"/>
      <c r="J102" s="362"/>
      <c r="K102" s="359"/>
      <c r="L102" s="359"/>
      <c r="M102" s="359"/>
      <c r="N102" s="359"/>
      <c r="O102" s="359"/>
      <c r="P102" s="359"/>
      <c r="Q102" s="359"/>
      <c r="R102" s="359"/>
      <c r="S102" s="359"/>
      <c r="T102" s="359"/>
      <c r="U102" s="359"/>
      <c r="V102" s="359"/>
      <c r="W102" s="359"/>
      <c r="X102" s="359"/>
      <c r="Y102" s="359"/>
      <c r="Z102" s="359"/>
      <c r="AA102" s="356">
        <f t="shared" si="72"/>
        <v>0</v>
      </c>
      <c r="AB102" s="356">
        <f t="shared" si="73"/>
        <v>0</v>
      </c>
      <c r="AC102" s="356">
        <f t="shared" si="74"/>
        <v>0</v>
      </c>
      <c r="AD102" s="356">
        <f t="shared" si="75"/>
        <v>0</v>
      </c>
      <c r="AE102" s="356">
        <f t="shared" si="76"/>
        <v>0</v>
      </c>
      <c r="AF102" s="356">
        <f t="shared" si="77"/>
        <v>0</v>
      </c>
      <c r="AG102" s="356">
        <f t="shared" si="78"/>
        <v>0</v>
      </c>
      <c r="AH102" s="361">
        <f t="shared" si="79"/>
        <v>1.1000000000000001</v>
      </c>
      <c r="AI102" s="356">
        <f t="shared" si="80"/>
        <v>0</v>
      </c>
      <c r="AJ102" s="356">
        <f t="shared" si="81"/>
        <v>0</v>
      </c>
      <c r="AK102" s="360">
        <f t="shared" si="82"/>
        <v>0</v>
      </c>
      <c r="AL102" s="356" t="str">
        <f t="shared" si="83"/>
        <v>-</v>
      </c>
      <c r="AM102" s="356" t="str">
        <f t="shared" si="84"/>
        <v>-</v>
      </c>
      <c r="AN102" s="356" t="str">
        <f t="shared" si="85"/>
        <v>-</v>
      </c>
      <c r="AO102" s="356" t="e">
        <f t="shared" si="86"/>
        <v>#VALUE!</v>
      </c>
      <c r="AP102" s="358" t="str">
        <f t="shared" si="87"/>
        <v>-</v>
      </c>
      <c r="AQ102" s="357" t="str">
        <f t="shared" si="88"/>
        <v>-</v>
      </c>
      <c r="AR102" s="357" t="str">
        <f t="shared" si="89"/>
        <v>-</v>
      </c>
      <c r="AS102" s="356" t="str">
        <f t="shared" si="90"/>
        <v>-</v>
      </c>
      <c r="AT102" s="355" t="str">
        <f t="shared" si="91"/>
        <v>-</v>
      </c>
      <c r="AU102" s="356" t="str">
        <f t="shared" si="92"/>
        <v>-</v>
      </c>
      <c r="AV102" s="356" t="e">
        <f t="shared" si="93"/>
        <v>#DIV/0!</v>
      </c>
      <c r="AW102" s="355" t="str">
        <f t="shared" si="94"/>
        <v>-</v>
      </c>
      <c r="AX102" s="359"/>
      <c r="AY102" s="356" t="str">
        <f t="shared" si="95"/>
        <v>-</v>
      </c>
      <c r="AZ102" s="356" t="str">
        <f t="shared" si="96"/>
        <v>-</v>
      </c>
      <c r="BA102" s="356">
        <f t="shared" si="97"/>
        <v>0</v>
      </c>
      <c r="BB102" s="356" t="e">
        <f t="shared" si="98"/>
        <v>#VALUE!</v>
      </c>
      <c r="BC102" s="358" t="str">
        <f t="shared" si="99"/>
        <v>-</v>
      </c>
      <c r="BD102" s="356" t="e">
        <f t="shared" si="100"/>
        <v>#VALUE!</v>
      </c>
      <c r="BE102" s="357" t="str">
        <f t="shared" si="101"/>
        <v>-</v>
      </c>
      <c r="BF102" s="357" t="str">
        <f t="shared" si="102"/>
        <v>-</v>
      </c>
      <c r="BG102" s="356">
        <f t="shared" si="103"/>
        <v>0</v>
      </c>
    </row>
    <row r="103" spans="1:59" x14ac:dyDescent="0.25">
      <c r="A103" s="355">
        <f t="shared" si="104"/>
        <v>76</v>
      </c>
      <c r="B103" s="363"/>
      <c r="C103" s="363"/>
      <c r="D103" s="363"/>
      <c r="E103" s="363"/>
      <c r="F103" s="363"/>
      <c r="G103" s="363"/>
      <c r="H103" s="359"/>
      <c r="I103" s="359"/>
      <c r="J103" s="362"/>
      <c r="K103" s="359"/>
      <c r="L103" s="359"/>
      <c r="M103" s="359"/>
      <c r="N103" s="359"/>
      <c r="O103" s="359"/>
      <c r="P103" s="359"/>
      <c r="Q103" s="359"/>
      <c r="R103" s="359"/>
      <c r="S103" s="359"/>
      <c r="T103" s="359"/>
      <c r="U103" s="359"/>
      <c r="V103" s="359"/>
      <c r="W103" s="359"/>
      <c r="X103" s="359"/>
      <c r="Y103" s="359"/>
      <c r="Z103" s="359"/>
      <c r="AA103" s="356">
        <f t="shared" si="72"/>
        <v>0</v>
      </c>
      <c r="AB103" s="356">
        <f t="shared" si="73"/>
        <v>0</v>
      </c>
      <c r="AC103" s="356">
        <f t="shared" si="74"/>
        <v>0</v>
      </c>
      <c r="AD103" s="356">
        <f t="shared" si="75"/>
        <v>0</v>
      </c>
      <c r="AE103" s="356">
        <f t="shared" si="76"/>
        <v>0</v>
      </c>
      <c r="AF103" s="356">
        <f t="shared" si="77"/>
        <v>0</v>
      </c>
      <c r="AG103" s="356">
        <f t="shared" si="78"/>
        <v>0</v>
      </c>
      <c r="AH103" s="361">
        <f t="shared" si="79"/>
        <v>1.1000000000000001</v>
      </c>
      <c r="AI103" s="356">
        <f t="shared" si="80"/>
        <v>0</v>
      </c>
      <c r="AJ103" s="356">
        <f t="shared" si="81"/>
        <v>0</v>
      </c>
      <c r="AK103" s="360">
        <f t="shared" si="82"/>
        <v>0</v>
      </c>
      <c r="AL103" s="356" t="str">
        <f t="shared" si="83"/>
        <v>-</v>
      </c>
      <c r="AM103" s="356" t="str">
        <f t="shared" si="84"/>
        <v>-</v>
      </c>
      <c r="AN103" s="356" t="str">
        <f t="shared" si="85"/>
        <v>-</v>
      </c>
      <c r="AO103" s="356" t="e">
        <f t="shared" si="86"/>
        <v>#VALUE!</v>
      </c>
      <c r="AP103" s="358" t="str">
        <f t="shared" si="87"/>
        <v>-</v>
      </c>
      <c r="AQ103" s="357" t="str">
        <f t="shared" si="88"/>
        <v>-</v>
      </c>
      <c r="AR103" s="357" t="str">
        <f t="shared" si="89"/>
        <v>-</v>
      </c>
      <c r="AS103" s="356" t="str">
        <f t="shared" si="90"/>
        <v>-</v>
      </c>
      <c r="AT103" s="355" t="str">
        <f t="shared" si="91"/>
        <v>-</v>
      </c>
      <c r="AU103" s="356" t="str">
        <f t="shared" si="92"/>
        <v>-</v>
      </c>
      <c r="AV103" s="356" t="e">
        <f t="shared" si="93"/>
        <v>#DIV/0!</v>
      </c>
      <c r="AW103" s="355" t="str">
        <f t="shared" si="94"/>
        <v>-</v>
      </c>
      <c r="AX103" s="359"/>
      <c r="AY103" s="356" t="str">
        <f t="shared" si="95"/>
        <v>-</v>
      </c>
      <c r="AZ103" s="356" t="str">
        <f t="shared" si="96"/>
        <v>-</v>
      </c>
      <c r="BA103" s="356">
        <f t="shared" si="97"/>
        <v>0</v>
      </c>
      <c r="BB103" s="356" t="e">
        <f t="shared" si="98"/>
        <v>#VALUE!</v>
      </c>
      <c r="BC103" s="358" t="str">
        <f t="shared" si="99"/>
        <v>-</v>
      </c>
      <c r="BD103" s="356" t="e">
        <f t="shared" si="100"/>
        <v>#VALUE!</v>
      </c>
      <c r="BE103" s="357" t="str">
        <f t="shared" si="101"/>
        <v>-</v>
      </c>
      <c r="BF103" s="357" t="str">
        <f t="shared" si="102"/>
        <v>-</v>
      </c>
      <c r="BG103" s="356">
        <f t="shared" si="103"/>
        <v>0</v>
      </c>
    </row>
    <row r="104" spans="1:59" x14ac:dyDescent="0.25">
      <c r="A104" s="355">
        <f t="shared" si="104"/>
        <v>77</v>
      </c>
      <c r="B104" s="363"/>
      <c r="C104" s="363"/>
      <c r="D104" s="363"/>
      <c r="E104" s="363"/>
      <c r="F104" s="363"/>
      <c r="G104" s="363"/>
      <c r="H104" s="359"/>
      <c r="I104" s="359"/>
      <c r="J104" s="362"/>
      <c r="K104" s="359"/>
      <c r="L104" s="359"/>
      <c r="M104" s="359"/>
      <c r="N104" s="359"/>
      <c r="O104" s="359"/>
      <c r="P104" s="359"/>
      <c r="Q104" s="359"/>
      <c r="R104" s="359"/>
      <c r="S104" s="359"/>
      <c r="T104" s="359"/>
      <c r="U104" s="359"/>
      <c r="V104" s="359"/>
      <c r="W104" s="359"/>
      <c r="X104" s="359"/>
      <c r="Y104" s="359"/>
      <c r="Z104" s="359"/>
      <c r="AA104" s="356">
        <f t="shared" si="72"/>
        <v>0</v>
      </c>
      <c r="AB104" s="356">
        <f t="shared" si="73"/>
        <v>0</v>
      </c>
      <c r="AC104" s="356">
        <f t="shared" si="74"/>
        <v>0</v>
      </c>
      <c r="AD104" s="356">
        <f t="shared" si="75"/>
        <v>0</v>
      </c>
      <c r="AE104" s="356">
        <f t="shared" si="76"/>
        <v>0</v>
      </c>
      <c r="AF104" s="356">
        <f t="shared" si="77"/>
        <v>0</v>
      </c>
      <c r="AG104" s="356">
        <f t="shared" si="78"/>
        <v>0</v>
      </c>
      <c r="AH104" s="361">
        <f t="shared" si="79"/>
        <v>1.1000000000000001</v>
      </c>
      <c r="AI104" s="356">
        <f t="shared" si="80"/>
        <v>0</v>
      </c>
      <c r="AJ104" s="356">
        <f t="shared" si="81"/>
        <v>0</v>
      </c>
      <c r="AK104" s="360">
        <f t="shared" si="82"/>
        <v>0</v>
      </c>
      <c r="AL104" s="356" t="str">
        <f t="shared" si="83"/>
        <v>-</v>
      </c>
      <c r="AM104" s="356" t="str">
        <f t="shared" si="84"/>
        <v>-</v>
      </c>
      <c r="AN104" s="356" t="str">
        <f t="shared" si="85"/>
        <v>-</v>
      </c>
      <c r="AO104" s="356" t="e">
        <f t="shared" si="86"/>
        <v>#VALUE!</v>
      </c>
      <c r="AP104" s="358" t="str">
        <f t="shared" si="87"/>
        <v>-</v>
      </c>
      <c r="AQ104" s="357" t="str">
        <f t="shared" si="88"/>
        <v>-</v>
      </c>
      <c r="AR104" s="357" t="str">
        <f t="shared" si="89"/>
        <v>-</v>
      </c>
      <c r="AS104" s="356" t="str">
        <f t="shared" si="90"/>
        <v>-</v>
      </c>
      <c r="AT104" s="355" t="str">
        <f t="shared" si="91"/>
        <v>-</v>
      </c>
      <c r="AU104" s="356" t="str">
        <f t="shared" si="92"/>
        <v>-</v>
      </c>
      <c r="AV104" s="356" t="e">
        <f t="shared" si="93"/>
        <v>#DIV/0!</v>
      </c>
      <c r="AW104" s="355" t="str">
        <f t="shared" si="94"/>
        <v>-</v>
      </c>
      <c r="AX104" s="359"/>
      <c r="AY104" s="356" t="str">
        <f t="shared" si="95"/>
        <v>-</v>
      </c>
      <c r="AZ104" s="356" t="str">
        <f t="shared" si="96"/>
        <v>-</v>
      </c>
      <c r="BA104" s="356">
        <f t="shared" si="97"/>
        <v>0</v>
      </c>
      <c r="BB104" s="356" t="e">
        <f t="shared" si="98"/>
        <v>#VALUE!</v>
      </c>
      <c r="BC104" s="358" t="str">
        <f t="shared" si="99"/>
        <v>-</v>
      </c>
      <c r="BD104" s="356" t="e">
        <f t="shared" si="100"/>
        <v>#VALUE!</v>
      </c>
      <c r="BE104" s="357" t="str">
        <f t="shared" si="101"/>
        <v>-</v>
      </c>
      <c r="BF104" s="357" t="str">
        <f t="shared" si="102"/>
        <v>-</v>
      </c>
      <c r="BG104" s="356">
        <f t="shared" si="103"/>
        <v>0</v>
      </c>
    </row>
    <row r="105" spans="1:59" x14ac:dyDescent="0.25">
      <c r="A105" s="355">
        <f t="shared" si="104"/>
        <v>78</v>
      </c>
      <c r="B105" s="363"/>
      <c r="C105" s="363"/>
      <c r="D105" s="363"/>
      <c r="E105" s="363"/>
      <c r="F105" s="363"/>
      <c r="G105" s="363"/>
      <c r="H105" s="359"/>
      <c r="I105" s="359"/>
      <c r="J105" s="362"/>
      <c r="K105" s="359"/>
      <c r="L105" s="359"/>
      <c r="M105" s="359"/>
      <c r="N105" s="359"/>
      <c r="O105" s="359"/>
      <c r="P105" s="359"/>
      <c r="Q105" s="359"/>
      <c r="R105" s="359"/>
      <c r="S105" s="359"/>
      <c r="T105" s="359"/>
      <c r="U105" s="359"/>
      <c r="V105" s="359"/>
      <c r="W105" s="359"/>
      <c r="X105" s="359"/>
      <c r="Y105" s="359"/>
      <c r="Z105" s="359"/>
      <c r="AA105" s="356">
        <f t="shared" si="72"/>
        <v>0</v>
      </c>
      <c r="AB105" s="356">
        <f t="shared" si="73"/>
        <v>0</v>
      </c>
      <c r="AC105" s="356">
        <f t="shared" si="74"/>
        <v>0</v>
      </c>
      <c r="AD105" s="356">
        <f t="shared" si="75"/>
        <v>0</v>
      </c>
      <c r="AE105" s="356">
        <f t="shared" si="76"/>
        <v>0</v>
      </c>
      <c r="AF105" s="356">
        <f t="shared" si="77"/>
        <v>0</v>
      </c>
      <c r="AG105" s="356">
        <f t="shared" si="78"/>
        <v>0</v>
      </c>
      <c r="AH105" s="361">
        <f t="shared" si="79"/>
        <v>1.1000000000000001</v>
      </c>
      <c r="AI105" s="356">
        <f t="shared" si="80"/>
        <v>0</v>
      </c>
      <c r="AJ105" s="356">
        <f t="shared" si="81"/>
        <v>0</v>
      </c>
      <c r="AK105" s="360">
        <f t="shared" si="82"/>
        <v>0</v>
      </c>
      <c r="AL105" s="356" t="str">
        <f t="shared" si="83"/>
        <v>-</v>
      </c>
      <c r="AM105" s="356" t="str">
        <f t="shared" si="84"/>
        <v>-</v>
      </c>
      <c r="AN105" s="356" t="str">
        <f t="shared" si="85"/>
        <v>-</v>
      </c>
      <c r="AO105" s="356" t="e">
        <f t="shared" si="86"/>
        <v>#VALUE!</v>
      </c>
      <c r="AP105" s="358" t="str">
        <f t="shared" si="87"/>
        <v>-</v>
      </c>
      <c r="AQ105" s="357" t="str">
        <f t="shared" si="88"/>
        <v>-</v>
      </c>
      <c r="AR105" s="357" t="str">
        <f t="shared" si="89"/>
        <v>-</v>
      </c>
      <c r="AS105" s="356" t="str">
        <f t="shared" si="90"/>
        <v>-</v>
      </c>
      <c r="AT105" s="355" t="str">
        <f t="shared" si="91"/>
        <v>-</v>
      </c>
      <c r="AU105" s="356" t="str">
        <f t="shared" si="92"/>
        <v>-</v>
      </c>
      <c r="AV105" s="356" t="e">
        <f t="shared" si="93"/>
        <v>#DIV/0!</v>
      </c>
      <c r="AW105" s="355" t="str">
        <f t="shared" si="94"/>
        <v>-</v>
      </c>
      <c r="AX105" s="359"/>
      <c r="AY105" s="356" t="str">
        <f t="shared" si="95"/>
        <v>-</v>
      </c>
      <c r="AZ105" s="356" t="str">
        <f t="shared" si="96"/>
        <v>-</v>
      </c>
      <c r="BA105" s="356">
        <f t="shared" si="97"/>
        <v>0</v>
      </c>
      <c r="BB105" s="356" t="e">
        <f t="shared" si="98"/>
        <v>#VALUE!</v>
      </c>
      <c r="BC105" s="358" t="str">
        <f t="shared" si="99"/>
        <v>-</v>
      </c>
      <c r="BD105" s="356" t="e">
        <f t="shared" si="100"/>
        <v>#VALUE!</v>
      </c>
      <c r="BE105" s="357" t="str">
        <f t="shared" si="101"/>
        <v>-</v>
      </c>
      <c r="BF105" s="357" t="str">
        <f t="shared" si="102"/>
        <v>-</v>
      </c>
      <c r="BG105" s="356">
        <f t="shared" si="103"/>
        <v>0</v>
      </c>
    </row>
    <row r="106" spans="1:59" x14ac:dyDescent="0.25">
      <c r="A106" s="355">
        <f t="shared" si="104"/>
        <v>79</v>
      </c>
      <c r="B106" s="363"/>
      <c r="C106" s="363"/>
      <c r="D106" s="363"/>
      <c r="E106" s="363"/>
      <c r="F106" s="363"/>
      <c r="G106" s="363"/>
      <c r="H106" s="359"/>
      <c r="I106" s="359"/>
      <c r="J106" s="362"/>
      <c r="K106" s="359"/>
      <c r="L106" s="359"/>
      <c r="M106" s="359"/>
      <c r="N106" s="359"/>
      <c r="O106" s="359"/>
      <c r="P106" s="359"/>
      <c r="Q106" s="359"/>
      <c r="R106" s="359"/>
      <c r="S106" s="359"/>
      <c r="T106" s="359"/>
      <c r="U106" s="359"/>
      <c r="V106" s="359"/>
      <c r="W106" s="359"/>
      <c r="X106" s="359"/>
      <c r="Y106" s="359"/>
      <c r="Z106" s="359"/>
      <c r="AA106" s="356">
        <f t="shared" si="72"/>
        <v>0</v>
      </c>
      <c r="AB106" s="356">
        <f t="shared" si="73"/>
        <v>0</v>
      </c>
      <c r="AC106" s="356">
        <f t="shared" si="74"/>
        <v>0</v>
      </c>
      <c r="AD106" s="356">
        <f t="shared" si="75"/>
        <v>0</v>
      </c>
      <c r="AE106" s="356">
        <f t="shared" si="76"/>
        <v>0</v>
      </c>
      <c r="AF106" s="356">
        <f t="shared" si="77"/>
        <v>0</v>
      </c>
      <c r="AG106" s="356">
        <f t="shared" si="78"/>
        <v>0</v>
      </c>
      <c r="AH106" s="361">
        <f t="shared" si="79"/>
        <v>1.1000000000000001</v>
      </c>
      <c r="AI106" s="356">
        <f t="shared" si="80"/>
        <v>0</v>
      </c>
      <c r="AJ106" s="356">
        <f t="shared" si="81"/>
        <v>0</v>
      </c>
      <c r="AK106" s="360">
        <f t="shared" si="82"/>
        <v>0</v>
      </c>
      <c r="AL106" s="356" t="str">
        <f t="shared" si="83"/>
        <v>-</v>
      </c>
      <c r="AM106" s="356" t="str">
        <f t="shared" si="84"/>
        <v>-</v>
      </c>
      <c r="AN106" s="356" t="str">
        <f t="shared" si="85"/>
        <v>-</v>
      </c>
      <c r="AO106" s="356" t="e">
        <f t="shared" si="86"/>
        <v>#VALUE!</v>
      </c>
      <c r="AP106" s="358" t="str">
        <f t="shared" si="87"/>
        <v>-</v>
      </c>
      <c r="AQ106" s="357" t="str">
        <f t="shared" si="88"/>
        <v>-</v>
      </c>
      <c r="AR106" s="357" t="str">
        <f t="shared" si="89"/>
        <v>-</v>
      </c>
      <c r="AS106" s="356" t="str">
        <f t="shared" si="90"/>
        <v>-</v>
      </c>
      <c r="AT106" s="355" t="str">
        <f t="shared" si="91"/>
        <v>-</v>
      </c>
      <c r="AU106" s="356" t="str">
        <f t="shared" si="92"/>
        <v>-</v>
      </c>
      <c r="AV106" s="356" t="e">
        <f t="shared" si="93"/>
        <v>#DIV/0!</v>
      </c>
      <c r="AW106" s="355" t="str">
        <f t="shared" si="94"/>
        <v>-</v>
      </c>
      <c r="AX106" s="359"/>
      <c r="AY106" s="356" t="str">
        <f t="shared" si="95"/>
        <v>-</v>
      </c>
      <c r="AZ106" s="356" t="str">
        <f t="shared" si="96"/>
        <v>-</v>
      </c>
      <c r="BA106" s="356">
        <f t="shared" si="97"/>
        <v>0</v>
      </c>
      <c r="BB106" s="356" t="e">
        <f t="shared" si="98"/>
        <v>#VALUE!</v>
      </c>
      <c r="BC106" s="358" t="str">
        <f t="shared" si="99"/>
        <v>-</v>
      </c>
      <c r="BD106" s="356" t="e">
        <f t="shared" si="100"/>
        <v>#VALUE!</v>
      </c>
      <c r="BE106" s="357" t="str">
        <f t="shared" si="101"/>
        <v>-</v>
      </c>
      <c r="BF106" s="357" t="str">
        <f t="shared" si="102"/>
        <v>-</v>
      </c>
      <c r="BG106" s="356">
        <f t="shared" si="103"/>
        <v>0</v>
      </c>
    </row>
    <row r="107" spans="1:59" x14ac:dyDescent="0.25">
      <c r="A107" s="355">
        <f t="shared" si="104"/>
        <v>80</v>
      </c>
      <c r="B107" s="363"/>
      <c r="C107" s="363"/>
      <c r="D107" s="363"/>
      <c r="E107" s="363"/>
      <c r="F107" s="363"/>
      <c r="G107" s="363"/>
      <c r="H107" s="359"/>
      <c r="I107" s="359"/>
      <c r="J107" s="362"/>
      <c r="K107" s="359"/>
      <c r="L107" s="359"/>
      <c r="M107" s="359"/>
      <c r="N107" s="359"/>
      <c r="O107" s="359"/>
      <c r="P107" s="359"/>
      <c r="Q107" s="359"/>
      <c r="R107" s="359"/>
      <c r="S107" s="359"/>
      <c r="T107" s="359"/>
      <c r="U107" s="359"/>
      <c r="V107" s="359"/>
      <c r="W107" s="359"/>
      <c r="X107" s="359"/>
      <c r="Y107" s="359"/>
      <c r="Z107" s="359"/>
      <c r="AA107" s="356">
        <f t="shared" si="72"/>
        <v>0</v>
      </c>
      <c r="AB107" s="356">
        <f t="shared" si="73"/>
        <v>0</v>
      </c>
      <c r="AC107" s="356">
        <f t="shared" si="74"/>
        <v>0</v>
      </c>
      <c r="AD107" s="356">
        <f t="shared" si="75"/>
        <v>0</v>
      </c>
      <c r="AE107" s="356">
        <f t="shared" si="76"/>
        <v>0</v>
      </c>
      <c r="AF107" s="356">
        <f t="shared" si="77"/>
        <v>0</v>
      </c>
      <c r="AG107" s="356">
        <f t="shared" si="78"/>
        <v>0</v>
      </c>
      <c r="AH107" s="361">
        <f t="shared" si="79"/>
        <v>1.1000000000000001</v>
      </c>
      <c r="AI107" s="356">
        <f t="shared" si="80"/>
        <v>0</v>
      </c>
      <c r="AJ107" s="356">
        <f t="shared" si="81"/>
        <v>0</v>
      </c>
      <c r="AK107" s="360">
        <f t="shared" si="82"/>
        <v>0</v>
      </c>
      <c r="AL107" s="356" t="str">
        <f t="shared" si="83"/>
        <v>-</v>
      </c>
      <c r="AM107" s="356" t="str">
        <f t="shared" si="84"/>
        <v>-</v>
      </c>
      <c r="AN107" s="356" t="str">
        <f t="shared" si="85"/>
        <v>-</v>
      </c>
      <c r="AO107" s="356" t="e">
        <f t="shared" si="86"/>
        <v>#VALUE!</v>
      </c>
      <c r="AP107" s="358" t="str">
        <f t="shared" si="87"/>
        <v>-</v>
      </c>
      <c r="AQ107" s="357" t="str">
        <f t="shared" si="88"/>
        <v>-</v>
      </c>
      <c r="AR107" s="357" t="str">
        <f t="shared" si="89"/>
        <v>-</v>
      </c>
      <c r="AS107" s="356" t="str">
        <f t="shared" si="90"/>
        <v>-</v>
      </c>
      <c r="AT107" s="355" t="str">
        <f t="shared" si="91"/>
        <v>-</v>
      </c>
      <c r="AU107" s="356" t="str">
        <f t="shared" si="92"/>
        <v>-</v>
      </c>
      <c r="AV107" s="356" t="e">
        <f t="shared" si="93"/>
        <v>#DIV/0!</v>
      </c>
      <c r="AW107" s="355" t="str">
        <f t="shared" si="94"/>
        <v>-</v>
      </c>
      <c r="AX107" s="359"/>
      <c r="AY107" s="356" t="str">
        <f t="shared" si="95"/>
        <v>-</v>
      </c>
      <c r="AZ107" s="356" t="str">
        <f t="shared" si="96"/>
        <v>-</v>
      </c>
      <c r="BA107" s="356">
        <f t="shared" si="97"/>
        <v>0</v>
      </c>
      <c r="BB107" s="356" t="e">
        <f t="shared" si="98"/>
        <v>#VALUE!</v>
      </c>
      <c r="BC107" s="358" t="str">
        <f t="shared" si="99"/>
        <v>-</v>
      </c>
      <c r="BD107" s="356" t="e">
        <f t="shared" si="100"/>
        <v>#VALUE!</v>
      </c>
      <c r="BE107" s="357" t="str">
        <f t="shared" si="101"/>
        <v>-</v>
      </c>
      <c r="BF107" s="357" t="str">
        <f t="shared" si="102"/>
        <v>-</v>
      </c>
      <c r="BG107" s="356">
        <f t="shared" si="103"/>
        <v>0</v>
      </c>
    </row>
    <row r="108" spans="1:59" x14ac:dyDescent="0.25">
      <c r="A108" s="355">
        <f t="shared" si="104"/>
        <v>81</v>
      </c>
      <c r="B108" s="363"/>
      <c r="C108" s="363"/>
      <c r="D108" s="363"/>
      <c r="E108" s="363"/>
      <c r="F108" s="363"/>
      <c r="G108" s="363"/>
      <c r="H108" s="359"/>
      <c r="I108" s="359"/>
      <c r="J108" s="362"/>
      <c r="K108" s="359"/>
      <c r="L108" s="359"/>
      <c r="M108" s="359"/>
      <c r="N108" s="359"/>
      <c r="O108" s="359"/>
      <c r="P108" s="359"/>
      <c r="Q108" s="359"/>
      <c r="R108" s="359"/>
      <c r="S108" s="359"/>
      <c r="T108" s="359"/>
      <c r="U108" s="359"/>
      <c r="V108" s="359"/>
      <c r="W108" s="359"/>
      <c r="X108" s="359"/>
      <c r="Y108" s="359"/>
      <c r="Z108" s="359"/>
      <c r="AA108" s="356">
        <f t="shared" si="72"/>
        <v>0</v>
      </c>
      <c r="AB108" s="356">
        <f t="shared" si="73"/>
        <v>0</v>
      </c>
      <c r="AC108" s="356">
        <f t="shared" si="74"/>
        <v>0</v>
      </c>
      <c r="AD108" s="356">
        <f t="shared" si="75"/>
        <v>0</v>
      </c>
      <c r="AE108" s="356">
        <f t="shared" si="76"/>
        <v>0</v>
      </c>
      <c r="AF108" s="356">
        <f t="shared" si="77"/>
        <v>0</v>
      </c>
      <c r="AG108" s="356">
        <f t="shared" si="78"/>
        <v>0</v>
      </c>
      <c r="AH108" s="361">
        <f t="shared" si="79"/>
        <v>1.1000000000000001</v>
      </c>
      <c r="AI108" s="356">
        <f t="shared" si="80"/>
        <v>0</v>
      </c>
      <c r="AJ108" s="356">
        <f t="shared" si="81"/>
        <v>0</v>
      </c>
      <c r="AK108" s="360">
        <f t="shared" si="82"/>
        <v>0</v>
      </c>
      <c r="AL108" s="356" t="str">
        <f t="shared" si="83"/>
        <v>-</v>
      </c>
      <c r="AM108" s="356" t="str">
        <f t="shared" si="84"/>
        <v>-</v>
      </c>
      <c r="AN108" s="356" t="str">
        <f t="shared" si="85"/>
        <v>-</v>
      </c>
      <c r="AO108" s="356" t="e">
        <f t="shared" si="86"/>
        <v>#VALUE!</v>
      </c>
      <c r="AP108" s="358" t="str">
        <f t="shared" si="87"/>
        <v>-</v>
      </c>
      <c r="AQ108" s="357" t="str">
        <f t="shared" si="88"/>
        <v>-</v>
      </c>
      <c r="AR108" s="357" t="str">
        <f t="shared" si="89"/>
        <v>-</v>
      </c>
      <c r="AS108" s="356" t="str">
        <f t="shared" si="90"/>
        <v>-</v>
      </c>
      <c r="AT108" s="355" t="str">
        <f t="shared" si="91"/>
        <v>-</v>
      </c>
      <c r="AU108" s="356" t="str">
        <f t="shared" si="92"/>
        <v>-</v>
      </c>
      <c r="AV108" s="356" t="e">
        <f t="shared" si="93"/>
        <v>#DIV/0!</v>
      </c>
      <c r="AW108" s="355" t="str">
        <f t="shared" si="94"/>
        <v>-</v>
      </c>
      <c r="AX108" s="359"/>
      <c r="AY108" s="356" t="str">
        <f t="shared" si="95"/>
        <v>-</v>
      </c>
      <c r="AZ108" s="356" t="str">
        <f t="shared" si="96"/>
        <v>-</v>
      </c>
      <c r="BA108" s="356">
        <f t="shared" si="97"/>
        <v>0</v>
      </c>
      <c r="BB108" s="356" t="e">
        <f t="shared" si="98"/>
        <v>#VALUE!</v>
      </c>
      <c r="BC108" s="358" t="str">
        <f t="shared" si="99"/>
        <v>-</v>
      </c>
      <c r="BD108" s="356" t="e">
        <f t="shared" si="100"/>
        <v>#VALUE!</v>
      </c>
      <c r="BE108" s="357" t="str">
        <f t="shared" si="101"/>
        <v>-</v>
      </c>
      <c r="BF108" s="357" t="str">
        <f t="shared" si="102"/>
        <v>-</v>
      </c>
      <c r="BG108" s="356">
        <f t="shared" si="103"/>
        <v>0</v>
      </c>
    </row>
    <row r="109" spans="1:59" x14ac:dyDescent="0.25">
      <c r="A109" s="355">
        <f t="shared" si="104"/>
        <v>82</v>
      </c>
      <c r="B109" s="363"/>
      <c r="C109" s="363"/>
      <c r="D109" s="363"/>
      <c r="E109" s="363"/>
      <c r="F109" s="363"/>
      <c r="G109" s="363"/>
      <c r="H109" s="359"/>
      <c r="I109" s="359"/>
      <c r="J109" s="362"/>
      <c r="K109" s="359"/>
      <c r="L109" s="359"/>
      <c r="M109" s="359"/>
      <c r="N109" s="359"/>
      <c r="O109" s="359"/>
      <c r="P109" s="359"/>
      <c r="Q109" s="359"/>
      <c r="R109" s="359"/>
      <c r="S109" s="359"/>
      <c r="T109" s="359"/>
      <c r="U109" s="359"/>
      <c r="V109" s="359"/>
      <c r="W109" s="359"/>
      <c r="X109" s="359"/>
      <c r="Y109" s="359"/>
      <c r="Z109" s="359"/>
      <c r="AA109" s="356">
        <f t="shared" si="72"/>
        <v>0</v>
      </c>
      <c r="AB109" s="356">
        <f t="shared" si="73"/>
        <v>0</v>
      </c>
      <c r="AC109" s="356">
        <f t="shared" si="74"/>
        <v>0</v>
      </c>
      <c r="AD109" s="356">
        <f t="shared" si="75"/>
        <v>0</v>
      </c>
      <c r="AE109" s="356">
        <f t="shared" si="76"/>
        <v>0</v>
      </c>
      <c r="AF109" s="356">
        <f t="shared" si="77"/>
        <v>0</v>
      </c>
      <c r="AG109" s="356">
        <f t="shared" si="78"/>
        <v>0</v>
      </c>
      <c r="AH109" s="361">
        <f t="shared" si="79"/>
        <v>1.1000000000000001</v>
      </c>
      <c r="AI109" s="356">
        <f t="shared" si="80"/>
        <v>0</v>
      </c>
      <c r="AJ109" s="356">
        <f t="shared" si="81"/>
        <v>0</v>
      </c>
      <c r="AK109" s="360">
        <f t="shared" si="82"/>
        <v>0</v>
      </c>
      <c r="AL109" s="356" t="str">
        <f t="shared" si="83"/>
        <v>-</v>
      </c>
      <c r="AM109" s="356" t="str">
        <f t="shared" si="84"/>
        <v>-</v>
      </c>
      <c r="AN109" s="356" t="str">
        <f t="shared" si="85"/>
        <v>-</v>
      </c>
      <c r="AO109" s="356" t="e">
        <f t="shared" si="86"/>
        <v>#VALUE!</v>
      </c>
      <c r="AP109" s="358" t="str">
        <f t="shared" si="87"/>
        <v>-</v>
      </c>
      <c r="AQ109" s="357" t="str">
        <f t="shared" si="88"/>
        <v>-</v>
      </c>
      <c r="AR109" s="357" t="str">
        <f t="shared" si="89"/>
        <v>-</v>
      </c>
      <c r="AS109" s="356" t="str">
        <f t="shared" si="90"/>
        <v>-</v>
      </c>
      <c r="AT109" s="355" t="str">
        <f t="shared" si="91"/>
        <v>-</v>
      </c>
      <c r="AU109" s="356" t="str">
        <f t="shared" si="92"/>
        <v>-</v>
      </c>
      <c r="AV109" s="356" t="e">
        <f t="shared" si="93"/>
        <v>#DIV/0!</v>
      </c>
      <c r="AW109" s="355" t="str">
        <f t="shared" si="94"/>
        <v>-</v>
      </c>
      <c r="AX109" s="359"/>
      <c r="AY109" s="356" t="str">
        <f t="shared" si="95"/>
        <v>-</v>
      </c>
      <c r="AZ109" s="356" t="str">
        <f t="shared" si="96"/>
        <v>-</v>
      </c>
      <c r="BA109" s="356">
        <f t="shared" si="97"/>
        <v>0</v>
      </c>
      <c r="BB109" s="356" t="e">
        <f t="shared" si="98"/>
        <v>#VALUE!</v>
      </c>
      <c r="BC109" s="358" t="str">
        <f t="shared" si="99"/>
        <v>-</v>
      </c>
      <c r="BD109" s="356" t="e">
        <f t="shared" si="100"/>
        <v>#VALUE!</v>
      </c>
      <c r="BE109" s="357" t="str">
        <f t="shared" si="101"/>
        <v>-</v>
      </c>
      <c r="BF109" s="357" t="str">
        <f t="shared" si="102"/>
        <v>-</v>
      </c>
      <c r="BG109" s="356">
        <f t="shared" si="103"/>
        <v>0</v>
      </c>
    </row>
    <row r="110" spans="1:59" x14ac:dyDescent="0.25">
      <c r="A110" s="355">
        <f t="shared" si="104"/>
        <v>83</v>
      </c>
      <c r="B110" s="363"/>
      <c r="C110" s="363"/>
      <c r="D110" s="363"/>
      <c r="E110" s="363"/>
      <c r="F110" s="363"/>
      <c r="G110" s="363"/>
      <c r="H110" s="359"/>
      <c r="I110" s="359"/>
      <c r="J110" s="362"/>
      <c r="K110" s="359"/>
      <c r="L110" s="359"/>
      <c r="M110" s="359"/>
      <c r="N110" s="359"/>
      <c r="O110" s="359"/>
      <c r="P110" s="359"/>
      <c r="Q110" s="359"/>
      <c r="R110" s="359"/>
      <c r="S110" s="359"/>
      <c r="T110" s="359"/>
      <c r="U110" s="359"/>
      <c r="V110" s="359"/>
      <c r="W110" s="359"/>
      <c r="X110" s="359"/>
      <c r="Y110" s="359"/>
      <c r="Z110" s="359"/>
      <c r="AA110" s="356">
        <f t="shared" si="72"/>
        <v>0</v>
      </c>
      <c r="AB110" s="356">
        <f t="shared" si="73"/>
        <v>0</v>
      </c>
      <c r="AC110" s="356">
        <f t="shared" si="74"/>
        <v>0</v>
      </c>
      <c r="AD110" s="356">
        <f t="shared" si="75"/>
        <v>0</v>
      </c>
      <c r="AE110" s="356">
        <f t="shared" si="76"/>
        <v>0</v>
      </c>
      <c r="AF110" s="356">
        <f t="shared" si="77"/>
        <v>0</v>
      </c>
      <c r="AG110" s="356">
        <f t="shared" si="78"/>
        <v>0</v>
      </c>
      <c r="AH110" s="361">
        <f t="shared" si="79"/>
        <v>1.1000000000000001</v>
      </c>
      <c r="AI110" s="356">
        <f t="shared" si="80"/>
        <v>0</v>
      </c>
      <c r="AJ110" s="356">
        <f t="shared" si="81"/>
        <v>0</v>
      </c>
      <c r="AK110" s="360">
        <f t="shared" si="82"/>
        <v>0</v>
      </c>
      <c r="AL110" s="356" t="str">
        <f t="shared" si="83"/>
        <v>-</v>
      </c>
      <c r="AM110" s="356" t="str">
        <f t="shared" si="84"/>
        <v>-</v>
      </c>
      <c r="AN110" s="356" t="str">
        <f t="shared" si="85"/>
        <v>-</v>
      </c>
      <c r="AO110" s="356" t="e">
        <f t="shared" si="86"/>
        <v>#VALUE!</v>
      </c>
      <c r="AP110" s="358" t="str">
        <f t="shared" si="87"/>
        <v>-</v>
      </c>
      <c r="AQ110" s="357" t="str">
        <f t="shared" si="88"/>
        <v>-</v>
      </c>
      <c r="AR110" s="357" t="str">
        <f t="shared" si="89"/>
        <v>-</v>
      </c>
      <c r="AS110" s="356" t="str">
        <f t="shared" si="90"/>
        <v>-</v>
      </c>
      <c r="AT110" s="355" t="str">
        <f t="shared" si="91"/>
        <v>-</v>
      </c>
      <c r="AU110" s="356" t="str">
        <f t="shared" si="92"/>
        <v>-</v>
      </c>
      <c r="AV110" s="356" t="e">
        <f t="shared" si="93"/>
        <v>#DIV/0!</v>
      </c>
      <c r="AW110" s="355" t="str">
        <f t="shared" si="94"/>
        <v>-</v>
      </c>
      <c r="AX110" s="359"/>
      <c r="AY110" s="356" t="str">
        <f t="shared" si="95"/>
        <v>-</v>
      </c>
      <c r="AZ110" s="356" t="str">
        <f t="shared" si="96"/>
        <v>-</v>
      </c>
      <c r="BA110" s="356">
        <f t="shared" si="97"/>
        <v>0</v>
      </c>
      <c r="BB110" s="356" t="e">
        <f t="shared" si="98"/>
        <v>#VALUE!</v>
      </c>
      <c r="BC110" s="358" t="str">
        <f t="shared" si="99"/>
        <v>-</v>
      </c>
      <c r="BD110" s="356" t="e">
        <f t="shared" si="100"/>
        <v>#VALUE!</v>
      </c>
      <c r="BE110" s="357" t="str">
        <f t="shared" si="101"/>
        <v>-</v>
      </c>
      <c r="BF110" s="357" t="str">
        <f t="shared" si="102"/>
        <v>-</v>
      </c>
      <c r="BG110" s="356">
        <f t="shared" si="103"/>
        <v>0</v>
      </c>
    </row>
    <row r="111" spans="1:59" x14ac:dyDescent="0.25">
      <c r="A111" s="355">
        <f t="shared" si="104"/>
        <v>84</v>
      </c>
      <c r="B111" s="363"/>
      <c r="C111" s="363"/>
      <c r="D111" s="363"/>
      <c r="E111" s="363"/>
      <c r="F111" s="363"/>
      <c r="G111" s="363"/>
      <c r="H111" s="359"/>
      <c r="I111" s="359"/>
      <c r="J111" s="362"/>
      <c r="K111" s="359"/>
      <c r="L111" s="359"/>
      <c r="M111" s="359"/>
      <c r="N111" s="359"/>
      <c r="O111" s="359"/>
      <c r="P111" s="359"/>
      <c r="Q111" s="359"/>
      <c r="R111" s="359"/>
      <c r="S111" s="359"/>
      <c r="T111" s="359"/>
      <c r="U111" s="359"/>
      <c r="V111" s="359"/>
      <c r="W111" s="359"/>
      <c r="X111" s="359"/>
      <c r="Y111" s="359"/>
      <c r="Z111" s="359"/>
      <c r="AA111" s="356">
        <f t="shared" si="72"/>
        <v>0</v>
      </c>
      <c r="AB111" s="356">
        <f t="shared" si="73"/>
        <v>0</v>
      </c>
      <c r="AC111" s="356">
        <f t="shared" si="74"/>
        <v>0</v>
      </c>
      <c r="AD111" s="356">
        <f t="shared" si="75"/>
        <v>0</v>
      </c>
      <c r="AE111" s="356">
        <f t="shared" si="76"/>
        <v>0</v>
      </c>
      <c r="AF111" s="356">
        <f t="shared" si="77"/>
        <v>0</v>
      </c>
      <c r="AG111" s="356">
        <f t="shared" si="78"/>
        <v>0</v>
      </c>
      <c r="AH111" s="361">
        <f t="shared" si="79"/>
        <v>1.1000000000000001</v>
      </c>
      <c r="AI111" s="356">
        <f t="shared" si="80"/>
        <v>0</v>
      </c>
      <c r="AJ111" s="356">
        <f t="shared" si="81"/>
        <v>0</v>
      </c>
      <c r="AK111" s="360">
        <f t="shared" si="82"/>
        <v>0</v>
      </c>
      <c r="AL111" s="356" t="str">
        <f t="shared" si="83"/>
        <v>-</v>
      </c>
      <c r="AM111" s="356" t="str">
        <f t="shared" si="84"/>
        <v>-</v>
      </c>
      <c r="AN111" s="356" t="str">
        <f t="shared" si="85"/>
        <v>-</v>
      </c>
      <c r="AO111" s="356" t="e">
        <f t="shared" si="86"/>
        <v>#VALUE!</v>
      </c>
      <c r="AP111" s="358" t="str">
        <f t="shared" si="87"/>
        <v>-</v>
      </c>
      <c r="AQ111" s="357" t="str">
        <f t="shared" si="88"/>
        <v>-</v>
      </c>
      <c r="AR111" s="357" t="str">
        <f t="shared" si="89"/>
        <v>-</v>
      </c>
      <c r="AS111" s="356" t="str">
        <f t="shared" si="90"/>
        <v>-</v>
      </c>
      <c r="AT111" s="355" t="str">
        <f t="shared" si="91"/>
        <v>-</v>
      </c>
      <c r="AU111" s="356" t="str">
        <f t="shared" si="92"/>
        <v>-</v>
      </c>
      <c r="AV111" s="356" t="e">
        <f t="shared" si="93"/>
        <v>#DIV/0!</v>
      </c>
      <c r="AW111" s="355" t="str">
        <f t="shared" si="94"/>
        <v>-</v>
      </c>
      <c r="AX111" s="359"/>
      <c r="AY111" s="356" t="str">
        <f t="shared" si="95"/>
        <v>-</v>
      </c>
      <c r="AZ111" s="356" t="str">
        <f t="shared" si="96"/>
        <v>-</v>
      </c>
      <c r="BA111" s="356">
        <f t="shared" si="97"/>
        <v>0</v>
      </c>
      <c r="BB111" s="356" t="e">
        <f t="shared" si="98"/>
        <v>#VALUE!</v>
      </c>
      <c r="BC111" s="358" t="str">
        <f t="shared" si="99"/>
        <v>-</v>
      </c>
      <c r="BD111" s="356" t="e">
        <f t="shared" si="100"/>
        <v>#VALUE!</v>
      </c>
      <c r="BE111" s="357" t="str">
        <f t="shared" si="101"/>
        <v>-</v>
      </c>
      <c r="BF111" s="357" t="str">
        <f t="shared" si="102"/>
        <v>-</v>
      </c>
      <c r="BG111" s="356">
        <f t="shared" si="103"/>
        <v>0</v>
      </c>
    </row>
    <row r="112" spans="1:59" x14ac:dyDescent="0.25">
      <c r="A112" s="355">
        <f t="shared" si="104"/>
        <v>85</v>
      </c>
      <c r="B112" s="363"/>
      <c r="C112" s="363"/>
      <c r="D112" s="363"/>
      <c r="E112" s="363"/>
      <c r="F112" s="363"/>
      <c r="G112" s="363"/>
      <c r="H112" s="359"/>
      <c r="I112" s="359"/>
      <c r="J112" s="362"/>
      <c r="K112" s="359"/>
      <c r="L112" s="359"/>
      <c r="M112" s="359"/>
      <c r="N112" s="359"/>
      <c r="O112" s="359"/>
      <c r="P112" s="359"/>
      <c r="Q112" s="359"/>
      <c r="R112" s="359"/>
      <c r="S112" s="359"/>
      <c r="T112" s="359"/>
      <c r="U112" s="359"/>
      <c r="V112" s="359"/>
      <c r="W112" s="359"/>
      <c r="X112" s="359"/>
      <c r="Y112" s="359"/>
      <c r="Z112" s="359"/>
      <c r="AA112" s="356">
        <f t="shared" si="72"/>
        <v>0</v>
      </c>
      <c r="AB112" s="356">
        <f t="shared" si="73"/>
        <v>0</v>
      </c>
      <c r="AC112" s="356">
        <f t="shared" si="74"/>
        <v>0</v>
      </c>
      <c r="AD112" s="356">
        <f t="shared" si="75"/>
        <v>0</v>
      </c>
      <c r="AE112" s="356">
        <f t="shared" si="76"/>
        <v>0</v>
      </c>
      <c r="AF112" s="356">
        <f t="shared" si="77"/>
        <v>0</v>
      </c>
      <c r="AG112" s="356">
        <f t="shared" si="78"/>
        <v>0</v>
      </c>
      <c r="AH112" s="361">
        <f t="shared" si="79"/>
        <v>1.1000000000000001</v>
      </c>
      <c r="AI112" s="356">
        <f t="shared" si="80"/>
        <v>0</v>
      </c>
      <c r="AJ112" s="356">
        <f t="shared" si="81"/>
        <v>0</v>
      </c>
      <c r="AK112" s="360">
        <f t="shared" si="82"/>
        <v>0</v>
      </c>
      <c r="AL112" s="356" t="str">
        <f t="shared" si="83"/>
        <v>-</v>
      </c>
      <c r="AM112" s="356" t="str">
        <f t="shared" si="84"/>
        <v>-</v>
      </c>
      <c r="AN112" s="356" t="str">
        <f t="shared" si="85"/>
        <v>-</v>
      </c>
      <c r="AO112" s="356" t="e">
        <f t="shared" si="86"/>
        <v>#VALUE!</v>
      </c>
      <c r="AP112" s="358" t="str">
        <f t="shared" si="87"/>
        <v>-</v>
      </c>
      <c r="AQ112" s="357" t="str">
        <f t="shared" si="88"/>
        <v>-</v>
      </c>
      <c r="AR112" s="357" t="str">
        <f t="shared" si="89"/>
        <v>-</v>
      </c>
      <c r="AS112" s="356" t="str">
        <f t="shared" si="90"/>
        <v>-</v>
      </c>
      <c r="AT112" s="355" t="str">
        <f t="shared" si="91"/>
        <v>-</v>
      </c>
      <c r="AU112" s="356" t="str">
        <f t="shared" si="92"/>
        <v>-</v>
      </c>
      <c r="AV112" s="356" t="e">
        <f t="shared" si="93"/>
        <v>#DIV/0!</v>
      </c>
      <c r="AW112" s="355" t="str">
        <f t="shared" si="94"/>
        <v>-</v>
      </c>
      <c r="AX112" s="359"/>
      <c r="AY112" s="356" t="str">
        <f t="shared" si="95"/>
        <v>-</v>
      </c>
      <c r="AZ112" s="356" t="str">
        <f t="shared" si="96"/>
        <v>-</v>
      </c>
      <c r="BA112" s="356">
        <f t="shared" si="97"/>
        <v>0</v>
      </c>
      <c r="BB112" s="356" t="e">
        <f t="shared" si="98"/>
        <v>#VALUE!</v>
      </c>
      <c r="BC112" s="358" t="str">
        <f t="shared" si="99"/>
        <v>-</v>
      </c>
      <c r="BD112" s="356" t="e">
        <f t="shared" si="100"/>
        <v>#VALUE!</v>
      </c>
      <c r="BE112" s="357" t="str">
        <f t="shared" si="101"/>
        <v>-</v>
      </c>
      <c r="BF112" s="357" t="str">
        <f t="shared" si="102"/>
        <v>-</v>
      </c>
      <c r="BG112" s="356">
        <f t="shared" si="103"/>
        <v>0</v>
      </c>
    </row>
    <row r="113" spans="1:104" x14ac:dyDescent="0.25">
      <c r="A113" s="355">
        <f t="shared" si="104"/>
        <v>86</v>
      </c>
      <c r="B113" s="363"/>
      <c r="C113" s="363"/>
      <c r="D113" s="363"/>
      <c r="E113" s="363"/>
      <c r="F113" s="363"/>
      <c r="G113" s="363"/>
      <c r="H113" s="359"/>
      <c r="I113" s="359"/>
      <c r="J113" s="362"/>
      <c r="K113" s="359"/>
      <c r="L113" s="359"/>
      <c r="M113" s="359"/>
      <c r="N113" s="359"/>
      <c r="O113" s="359"/>
      <c r="P113" s="359"/>
      <c r="Q113" s="359"/>
      <c r="R113" s="359"/>
      <c r="S113" s="359"/>
      <c r="T113" s="359"/>
      <c r="U113" s="359"/>
      <c r="V113" s="359"/>
      <c r="W113" s="359"/>
      <c r="X113" s="359"/>
      <c r="Y113" s="359"/>
      <c r="Z113" s="359"/>
      <c r="AA113" s="356">
        <f t="shared" si="72"/>
        <v>0</v>
      </c>
      <c r="AB113" s="356">
        <f t="shared" si="73"/>
        <v>0</v>
      </c>
      <c r="AC113" s="356">
        <f t="shared" si="74"/>
        <v>0</v>
      </c>
      <c r="AD113" s="356">
        <f t="shared" si="75"/>
        <v>0</v>
      </c>
      <c r="AE113" s="356">
        <f t="shared" si="76"/>
        <v>0</v>
      </c>
      <c r="AF113" s="356">
        <f t="shared" si="77"/>
        <v>0</v>
      </c>
      <c r="AG113" s="356">
        <f t="shared" si="78"/>
        <v>0</v>
      </c>
      <c r="AH113" s="361">
        <f t="shared" si="79"/>
        <v>1.1000000000000001</v>
      </c>
      <c r="AI113" s="356">
        <f t="shared" si="80"/>
        <v>0</v>
      </c>
      <c r="AJ113" s="356">
        <f t="shared" si="81"/>
        <v>0</v>
      </c>
      <c r="AK113" s="360">
        <f t="shared" si="82"/>
        <v>0</v>
      </c>
      <c r="AL113" s="356" t="str">
        <f t="shared" si="83"/>
        <v>-</v>
      </c>
      <c r="AM113" s="356" t="str">
        <f t="shared" si="84"/>
        <v>-</v>
      </c>
      <c r="AN113" s="356" t="str">
        <f t="shared" si="85"/>
        <v>-</v>
      </c>
      <c r="AO113" s="356" t="e">
        <f t="shared" si="86"/>
        <v>#VALUE!</v>
      </c>
      <c r="AP113" s="358" t="str">
        <f t="shared" si="87"/>
        <v>-</v>
      </c>
      <c r="AQ113" s="357" t="str">
        <f t="shared" si="88"/>
        <v>-</v>
      </c>
      <c r="AR113" s="357" t="str">
        <f t="shared" si="89"/>
        <v>-</v>
      </c>
      <c r="AS113" s="356" t="str">
        <f t="shared" si="90"/>
        <v>-</v>
      </c>
      <c r="AT113" s="355" t="str">
        <f t="shared" si="91"/>
        <v>-</v>
      </c>
      <c r="AU113" s="356" t="str">
        <f t="shared" si="92"/>
        <v>-</v>
      </c>
      <c r="AV113" s="356" t="e">
        <f t="shared" si="93"/>
        <v>#DIV/0!</v>
      </c>
      <c r="AW113" s="355" t="str">
        <f t="shared" si="94"/>
        <v>-</v>
      </c>
      <c r="AX113" s="359"/>
      <c r="AY113" s="356" t="str">
        <f t="shared" si="95"/>
        <v>-</v>
      </c>
      <c r="AZ113" s="356" t="str">
        <f t="shared" si="96"/>
        <v>-</v>
      </c>
      <c r="BA113" s="356">
        <f t="shared" si="97"/>
        <v>0</v>
      </c>
      <c r="BB113" s="356" t="e">
        <f t="shared" si="98"/>
        <v>#VALUE!</v>
      </c>
      <c r="BC113" s="358" t="str">
        <f t="shared" si="99"/>
        <v>-</v>
      </c>
      <c r="BD113" s="356" t="e">
        <f t="shared" si="100"/>
        <v>#VALUE!</v>
      </c>
      <c r="BE113" s="357" t="str">
        <f t="shared" si="101"/>
        <v>-</v>
      </c>
      <c r="BF113" s="357" t="str">
        <f t="shared" si="102"/>
        <v>-</v>
      </c>
      <c r="BG113" s="356">
        <f t="shared" si="103"/>
        <v>0</v>
      </c>
    </row>
    <row r="114" spans="1:104" x14ac:dyDescent="0.25">
      <c r="A114" s="355">
        <f t="shared" si="104"/>
        <v>87</v>
      </c>
      <c r="B114" s="363"/>
      <c r="C114" s="363"/>
      <c r="D114" s="363"/>
      <c r="E114" s="363"/>
      <c r="F114" s="363"/>
      <c r="G114" s="363"/>
      <c r="H114" s="359"/>
      <c r="I114" s="359"/>
      <c r="J114" s="362"/>
      <c r="K114" s="359"/>
      <c r="L114" s="359"/>
      <c r="M114" s="359"/>
      <c r="N114" s="359"/>
      <c r="O114" s="359"/>
      <c r="P114" s="359"/>
      <c r="Q114" s="359"/>
      <c r="R114" s="359"/>
      <c r="S114" s="359"/>
      <c r="T114" s="359"/>
      <c r="U114" s="359"/>
      <c r="V114" s="359"/>
      <c r="W114" s="359"/>
      <c r="X114" s="359"/>
      <c r="Y114" s="359"/>
      <c r="Z114" s="359"/>
      <c r="AA114" s="356">
        <f t="shared" si="72"/>
        <v>0</v>
      </c>
      <c r="AB114" s="356">
        <f t="shared" si="73"/>
        <v>0</v>
      </c>
      <c r="AC114" s="356">
        <f t="shared" si="74"/>
        <v>0</v>
      </c>
      <c r="AD114" s="356">
        <f t="shared" si="75"/>
        <v>0</v>
      </c>
      <c r="AE114" s="356">
        <f t="shared" si="76"/>
        <v>0</v>
      </c>
      <c r="AF114" s="356">
        <f t="shared" si="77"/>
        <v>0</v>
      </c>
      <c r="AG114" s="356">
        <f t="shared" si="78"/>
        <v>0</v>
      </c>
      <c r="AH114" s="361">
        <f t="shared" si="79"/>
        <v>1.1000000000000001</v>
      </c>
      <c r="AI114" s="356">
        <f t="shared" si="80"/>
        <v>0</v>
      </c>
      <c r="AJ114" s="356">
        <f t="shared" si="81"/>
        <v>0</v>
      </c>
      <c r="AK114" s="360">
        <f t="shared" si="82"/>
        <v>0</v>
      </c>
      <c r="AL114" s="356" t="str">
        <f t="shared" si="83"/>
        <v>-</v>
      </c>
      <c r="AM114" s="356" t="str">
        <f t="shared" si="84"/>
        <v>-</v>
      </c>
      <c r="AN114" s="356" t="str">
        <f t="shared" si="85"/>
        <v>-</v>
      </c>
      <c r="AO114" s="356" t="e">
        <f t="shared" si="86"/>
        <v>#VALUE!</v>
      </c>
      <c r="AP114" s="358" t="str">
        <f t="shared" si="87"/>
        <v>-</v>
      </c>
      <c r="AQ114" s="357" t="str">
        <f t="shared" si="88"/>
        <v>-</v>
      </c>
      <c r="AR114" s="357" t="str">
        <f t="shared" si="89"/>
        <v>-</v>
      </c>
      <c r="AS114" s="356" t="str">
        <f t="shared" si="90"/>
        <v>-</v>
      </c>
      <c r="AT114" s="355" t="str">
        <f t="shared" si="91"/>
        <v>-</v>
      </c>
      <c r="AU114" s="356" t="str">
        <f t="shared" si="92"/>
        <v>-</v>
      </c>
      <c r="AV114" s="356" t="e">
        <f t="shared" si="93"/>
        <v>#DIV/0!</v>
      </c>
      <c r="AW114" s="355" t="str">
        <f t="shared" si="94"/>
        <v>-</v>
      </c>
      <c r="AX114" s="359"/>
      <c r="AY114" s="356" t="str">
        <f t="shared" si="95"/>
        <v>-</v>
      </c>
      <c r="AZ114" s="356" t="str">
        <f t="shared" si="96"/>
        <v>-</v>
      </c>
      <c r="BA114" s="356">
        <f t="shared" si="97"/>
        <v>0</v>
      </c>
      <c r="BB114" s="356" t="e">
        <f t="shared" si="98"/>
        <v>#VALUE!</v>
      </c>
      <c r="BC114" s="358" t="str">
        <f t="shared" si="99"/>
        <v>-</v>
      </c>
      <c r="BD114" s="356" t="e">
        <f t="shared" si="100"/>
        <v>#VALUE!</v>
      </c>
      <c r="BE114" s="357" t="str">
        <f t="shared" si="101"/>
        <v>-</v>
      </c>
      <c r="BF114" s="357" t="str">
        <f t="shared" si="102"/>
        <v>-</v>
      </c>
      <c r="BG114" s="356">
        <f t="shared" si="103"/>
        <v>0</v>
      </c>
    </row>
    <row r="115" spans="1:104" x14ac:dyDescent="0.25">
      <c r="A115" s="355">
        <f t="shared" si="104"/>
        <v>88</v>
      </c>
      <c r="B115" s="363"/>
      <c r="C115" s="363"/>
      <c r="D115" s="363"/>
      <c r="E115" s="363"/>
      <c r="F115" s="363"/>
      <c r="G115" s="363"/>
      <c r="H115" s="359"/>
      <c r="I115" s="359"/>
      <c r="J115" s="362"/>
      <c r="K115" s="359"/>
      <c r="L115" s="359"/>
      <c r="M115" s="359"/>
      <c r="N115" s="359"/>
      <c r="O115" s="359"/>
      <c r="P115" s="359"/>
      <c r="Q115" s="359"/>
      <c r="R115" s="359"/>
      <c r="S115" s="359"/>
      <c r="T115" s="359"/>
      <c r="U115" s="359"/>
      <c r="V115" s="359"/>
      <c r="W115" s="359"/>
      <c r="X115" s="359"/>
      <c r="Y115" s="359"/>
      <c r="Z115" s="359"/>
      <c r="AA115" s="356">
        <f t="shared" si="72"/>
        <v>0</v>
      </c>
      <c r="AB115" s="356">
        <f t="shared" si="73"/>
        <v>0</v>
      </c>
      <c r="AC115" s="356">
        <f t="shared" si="74"/>
        <v>0</v>
      </c>
      <c r="AD115" s="356">
        <f t="shared" si="75"/>
        <v>0</v>
      </c>
      <c r="AE115" s="356">
        <f t="shared" si="76"/>
        <v>0</v>
      </c>
      <c r="AF115" s="356">
        <f t="shared" si="77"/>
        <v>0</v>
      </c>
      <c r="AG115" s="356">
        <f t="shared" si="78"/>
        <v>0</v>
      </c>
      <c r="AH115" s="361">
        <f t="shared" si="79"/>
        <v>1.1000000000000001</v>
      </c>
      <c r="AI115" s="356">
        <f t="shared" si="80"/>
        <v>0</v>
      </c>
      <c r="AJ115" s="356">
        <f t="shared" si="81"/>
        <v>0</v>
      </c>
      <c r="AK115" s="360">
        <f t="shared" si="82"/>
        <v>0</v>
      </c>
      <c r="AL115" s="356" t="str">
        <f t="shared" si="83"/>
        <v>-</v>
      </c>
      <c r="AM115" s="356" t="str">
        <f t="shared" si="84"/>
        <v>-</v>
      </c>
      <c r="AN115" s="356" t="str">
        <f t="shared" si="85"/>
        <v>-</v>
      </c>
      <c r="AO115" s="356" t="e">
        <f t="shared" si="86"/>
        <v>#VALUE!</v>
      </c>
      <c r="AP115" s="358" t="str">
        <f t="shared" si="87"/>
        <v>-</v>
      </c>
      <c r="AQ115" s="357" t="str">
        <f t="shared" si="88"/>
        <v>-</v>
      </c>
      <c r="AR115" s="357" t="str">
        <f t="shared" si="89"/>
        <v>-</v>
      </c>
      <c r="AS115" s="356" t="str">
        <f t="shared" si="90"/>
        <v>-</v>
      </c>
      <c r="AT115" s="355" t="str">
        <f t="shared" si="91"/>
        <v>-</v>
      </c>
      <c r="AU115" s="356" t="str">
        <f t="shared" si="92"/>
        <v>-</v>
      </c>
      <c r="AV115" s="356" t="e">
        <f t="shared" si="93"/>
        <v>#DIV/0!</v>
      </c>
      <c r="AW115" s="355" t="str">
        <f t="shared" si="94"/>
        <v>-</v>
      </c>
      <c r="AX115" s="359"/>
      <c r="AY115" s="356" t="str">
        <f t="shared" si="95"/>
        <v>-</v>
      </c>
      <c r="AZ115" s="356" t="str">
        <f t="shared" si="96"/>
        <v>-</v>
      </c>
      <c r="BA115" s="356">
        <f t="shared" si="97"/>
        <v>0</v>
      </c>
      <c r="BB115" s="356" t="e">
        <f t="shared" si="98"/>
        <v>#VALUE!</v>
      </c>
      <c r="BC115" s="358" t="str">
        <f t="shared" si="99"/>
        <v>-</v>
      </c>
      <c r="BD115" s="356" t="e">
        <f t="shared" si="100"/>
        <v>#VALUE!</v>
      </c>
      <c r="BE115" s="357" t="str">
        <f t="shared" si="101"/>
        <v>-</v>
      </c>
      <c r="BF115" s="357" t="str">
        <f t="shared" si="102"/>
        <v>-</v>
      </c>
      <c r="BG115" s="356">
        <f t="shared" si="103"/>
        <v>0</v>
      </c>
    </row>
    <row r="116" spans="1:104" x14ac:dyDescent="0.25">
      <c r="A116" s="355">
        <f t="shared" si="104"/>
        <v>89</v>
      </c>
      <c r="B116" s="363"/>
      <c r="C116" s="363"/>
      <c r="D116" s="363"/>
      <c r="E116" s="363"/>
      <c r="F116" s="363"/>
      <c r="G116" s="363"/>
      <c r="H116" s="359"/>
      <c r="I116" s="359"/>
      <c r="J116" s="362"/>
      <c r="K116" s="359"/>
      <c r="L116" s="359"/>
      <c r="M116" s="359"/>
      <c r="N116" s="359"/>
      <c r="O116" s="359"/>
      <c r="P116" s="359"/>
      <c r="Q116" s="359"/>
      <c r="R116" s="359"/>
      <c r="S116" s="359"/>
      <c r="T116" s="359"/>
      <c r="U116" s="359"/>
      <c r="V116" s="359"/>
      <c r="W116" s="359"/>
      <c r="X116" s="359"/>
      <c r="Y116" s="359"/>
      <c r="Z116" s="359"/>
      <c r="AA116" s="356">
        <f t="shared" si="72"/>
        <v>0</v>
      </c>
      <c r="AB116" s="356">
        <f t="shared" si="73"/>
        <v>0</v>
      </c>
      <c r="AC116" s="356">
        <f t="shared" si="74"/>
        <v>0</v>
      </c>
      <c r="AD116" s="356">
        <f t="shared" si="75"/>
        <v>0</v>
      </c>
      <c r="AE116" s="356">
        <f t="shared" si="76"/>
        <v>0</v>
      </c>
      <c r="AF116" s="356">
        <f t="shared" si="77"/>
        <v>0</v>
      </c>
      <c r="AG116" s="356">
        <f t="shared" si="78"/>
        <v>0</v>
      </c>
      <c r="AH116" s="361">
        <f t="shared" si="79"/>
        <v>1.1000000000000001</v>
      </c>
      <c r="AI116" s="356">
        <f t="shared" si="80"/>
        <v>0</v>
      </c>
      <c r="AJ116" s="356">
        <f t="shared" si="81"/>
        <v>0</v>
      </c>
      <c r="AK116" s="360">
        <f t="shared" si="82"/>
        <v>0</v>
      </c>
      <c r="AL116" s="356" t="str">
        <f t="shared" si="83"/>
        <v>-</v>
      </c>
      <c r="AM116" s="356" t="str">
        <f t="shared" si="84"/>
        <v>-</v>
      </c>
      <c r="AN116" s="356" t="str">
        <f t="shared" si="85"/>
        <v>-</v>
      </c>
      <c r="AO116" s="356" t="e">
        <f t="shared" si="86"/>
        <v>#VALUE!</v>
      </c>
      <c r="AP116" s="358" t="str">
        <f t="shared" si="87"/>
        <v>-</v>
      </c>
      <c r="AQ116" s="357" t="str">
        <f t="shared" si="88"/>
        <v>-</v>
      </c>
      <c r="AR116" s="357" t="str">
        <f t="shared" si="89"/>
        <v>-</v>
      </c>
      <c r="AS116" s="356" t="str">
        <f t="shared" si="90"/>
        <v>-</v>
      </c>
      <c r="AT116" s="355" t="str">
        <f t="shared" si="91"/>
        <v>-</v>
      </c>
      <c r="AU116" s="356" t="str">
        <f t="shared" si="92"/>
        <v>-</v>
      </c>
      <c r="AV116" s="356" t="e">
        <f t="shared" si="93"/>
        <v>#DIV/0!</v>
      </c>
      <c r="AW116" s="355" t="str">
        <f t="shared" si="94"/>
        <v>-</v>
      </c>
      <c r="AX116" s="359"/>
      <c r="AY116" s="356" t="str">
        <f t="shared" si="95"/>
        <v>-</v>
      </c>
      <c r="AZ116" s="356" t="str">
        <f t="shared" si="96"/>
        <v>-</v>
      </c>
      <c r="BA116" s="356">
        <f t="shared" si="97"/>
        <v>0</v>
      </c>
      <c r="BB116" s="356" t="e">
        <f t="shared" si="98"/>
        <v>#VALUE!</v>
      </c>
      <c r="BC116" s="358" t="str">
        <f t="shared" si="99"/>
        <v>-</v>
      </c>
      <c r="BD116" s="356" t="e">
        <f t="shared" si="100"/>
        <v>#VALUE!</v>
      </c>
      <c r="BE116" s="357" t="str">
        <f t="shared" si="101"/>
        <v>-</v>
      </c>
      <c r="BF116" s="357" t="str">
        <f t="shared" si="102"/>
        <v>-</v>
      </c>
      <c r="BG116" s="356">
        <f t="shared" si="103"/>
        <v>0</v>
      </c>
    </row>
    <row r="117" spans="1:104" x14ac:dyDescent="0.25">
      <c r="A117" s="355">
        <f t="shared" si="104"/>
        <v>90</v>
      </c>
      <c r="B117" s="363"/>
      <c r="C117" s="363"/>
      <c r="D117" s="363"/>
      <c r="E117" s="363"/>
      <c r="F117" s="363"/>
      <c r="G117" s="363"/>
      <c r="H117" s="359"/>
      <c r="I117" s="359"/>
      <c r="J117" s="362"/>
      <c r="K117" s="359"/>
      <c r="L117" s="359"/>
      <c r="M117" s="359"/>
      <c r="N117" s="359"/>
      <c r="O117" s="359"/>
      <c r="P117" s="359"/>
      <c r="Q117" s="359"/>
      <c r="R117" s="359"/>
      <c r="S117" s="359"/>
      <c r="T117" s="359"/>
      <c r="U117" s="359"/>
      <c r="V117" s="359"/>
      <c r="W117" s="359"/>
      <c r="X117" s="359"/>
      <c r="Y117" s="359"/>
      <c r="Z117" s="359"/>
      <c r="AA117" s="356">
        <f t="shared" si="72"/>
        <v>0</v>
      </c>
      <c r="AB117" s="356">
        <f t="shared" si="73"/>
        <v>0</v>
      </c>
      <c r="AC117" s="356">
        <f t="shared" si="74"/>
        <v>0</v>
      </c>
      <c r="AD117" s="356">
        <f t="shared" si="75"/>
        <v>0</v>
      </c>
      <c r="AE117" s="356">
        <f t="shared" si="76"/>
        <v>0</v>
      </c>
      <c r="AF117" s="356">
        <f t="shared" si="77"/>
        <v>0</v>
      </c>
      <c r="AG117" s="356">
        <f t="shared" si="78"/>
        <v>0</v>
      </c>
      <c r="AH117" s="361">
        <f t="shared" si="79"/>
        <v>1.1000000000000001</v>
      </c>
      <c r="AI117" s="356">
        <f t="shared" si="80"/>
        <v>0</v>
      </c>
      <c r="AJ117" s="356">
        <f t="shared" si="81"/>
        <v>0</v>
      </c>
      <c r="AK117" s="360">
        <f t="shared" si="82"/>
        <v>0</v>
      </c>
      <c r="AL117" s="356" t="str">
        <f t="shared" si="83"/>
        <v>-</v>
      </c>
      <c r="AM117" s="356" t="str">
        <f t="shared" si="84"/>
        <v>-</v>
      </c>
      <c r="AN117" s="356" t="str">
        <f t="shared" si="85"/>
        <v>-</v>
      </c>
      <c r="AO117" s="356" t="e">
        <f t="shared" si="86"/>
        <v>#VALUE!</v>
      </c>
      <c r="AP117" s="358" t="str">
        <f t="shared" si="87"/>
        <v>-</v>
      </c>
      <c r="AQ117" s="357" t="str">
        <f t="shared" si="88"/>
        <v>-</v>
      </c>
      <c r="AR117" s="357" t="str">
        <f t="shared" si="89"/>
        <v>-</v>
      </c>
      <c r="AS117" s="356" t="str">
        <f t="shared" si="90"/>
        <v>-</v>
      </c>
      <c r="AT117" s="355" t="str">
        <f t="shared" si="91"/>
        <v>-</v>
      </c>
      <c r="AU117" s="356" t="str">
        <f t="shared" si="92"/>
        <v>-</v>
      </c>
      <c r="AV117" s="356" t="e">
        <f t="shared" si="93"/>
        <v>#DIV/0!</v>
      </c>
      <c r="AW117" s="355" t="str">
        <f t="shared" si="94"/>
        <v>-</v>
      </c>
      <c r="AX117" s="359"/>
      <c r="AY117" s="356" t="str">
        <f t="shared" si="95"/>
        <v>-</v>
      </c>
      <c r="AZ117" s="356" t="str">
        <f t="shared" si="96"/>
        <v>-</v>
      </c>
      <c r="BA117" s="356">
        <f t="shared" si="97"/>
        <v>0</v>
      </c>
      <c r="BB117" s="356" t="e">
        <f t="shared" si="98"/>
        <v>#VALUE!</v>
      </c>
      <c r="BC117" s="358" t="str">
        <f t="shared" si="99"/>
        <v>-</v>
      </c>
      <c r="BD117" s="356" t="e">
        <f t="shared" si="100"/>
        <v>#VALUE!</v>
      </c>
      <c r="BE117" s="357" t="str">
        <f t="shared" si="101"/>
        <v>-</v>
      </c>
      <c r="BF117" s="357" t="str">
        <f t="shared" si="102"/>
        <v>-</v>
      </c>
      <c r="BG117" s="356">
        <f t="shared" si="103"/>
        <v>0</v>
      </c>
    </row>
    <row r="118" spans="1:104" x14ac:dyDescent="0.25">
      <c r="A118" s="355">
        <f t="shared" si="104"/>
        <v>91</v>
      </c>
      <c r="B118" s="363"/>
      <c r="C118" s="363"/>
      <c r="D118" s="363"/>
      <c r="E118" s="363"/>
      <c r="F118" s="363"/>
      <c r="G118" s="363"/>
      <c r="H118" s="359"/>
      <c r="I118" s="359"/>
      <c r="J118" s="362"/>
      <c r="K118" s="359"/>
      <c r="L118" s="359"/>
      <c r="M118" s="359"/>
      <c r="N118" s="359"/>
      <c r="O118" s="359"/>
      <c r="P118" s="359"/>
      <c r="Q118" s="359"/>
      <c r="R118" s="359"/>
      <c r="S118" s="359"/>
      <c r="T118" s="359"/>
      <c r="U118" s="359"/>
      <c r="V118" s="359"/>
      <c r="W118" s="359"/>
      <c r="X118" s="359"/>
      <c r="Y118" s="359"/>
      <c r="Z118" s="359"/>
      <c r="AA118" s="356">
        <f t="shared" si="72"/>
        <v>0</v>
      </c>
      <c r="AB118" s="356">
        <f t="shared" si="73"/>
        <v>0</v>
      </c>
      <c r="AC118" s="356">
        <f t="shared" si="74"/>
        <v>0</v>
      </c>
      <c r="AD118" s="356">
        <f t="shared" si="75"/>
        <v>0</v>
      </c>
      <c r="AE118" s="356">
        <f t="shared" si="76"/>
        <v>0</v>
      </c>
      <c r="AF118" s="356">
        <f t="shared" si="77"/>
        <v>0</v>
      </c>
      <c r="AG118" s="356">
        <f t="shared" si="78"/>
        <v>0</v>
      </c>
      <c r="AH118" s="361">
        <f t="shared" si="79"/>
        <v>1.1000000000000001</v>
      </c>
      <c r="AI118" s="356">
        <f t="shared" si="80"/>
        <v>0</v>
      </c>
      <c r="AJ118" s="356">
        <f t="shared" si="81"/>
        <v>0</v>
      </c>
      <c r="AK118" s="360">
        <f t="shared" si="82"/>
        <v>0</v>
      </c>
      <c r="AL118" s="356" t="str">
        <f t="shared" si="83"/>
        <v>-</v>
      </c>
      <c r="AM118" s="356" t="str">
        <f t="shared" si="84"/>
        <v>-</v>
      </c>
      <c r="AN118" s="356" t="str">
        <f t="shared" si="85"/>
        <v>-</v>
      </c>
      <c r="AO118" s="356" t="e">
        <f t="shared" si="86"/>
        <v>#VALUE!</v>
      </c>
      <c r="AP118" s="358" t="str">
        <f t="shared" si="87"/>
        <v>-</v>
      </c>
      <c r="AQ118" s="357" t="str">
        <f t="shared" si="88"/>
        <v>-</v>
      </c>
      <c r="AR118" s="357" t="str">
        <f t="shared" si="89"/>
        <v>-</v>
      </c>
      <c r="AS118" s="356" t="str">
        <f t="shared" si="90"/>
        <v>-</v>
      </c>
      <c r="AT118" s="355" t="str">
        <f t="shared" si="91"/>
        <v>-</v>
      </c>
      <c r="AU118" s="356" t="str">
        <f t="shared" si="92"/>
        <v>-</v>
      </c>
      <c r="AV118" s="356" t="e">
        <f t="shared" si="93"/>
        <v>#DIV/0!</v>
      </c>
      <c r="AW118" s="355" t="str">
        <f t="shared" si="94"/>
        <v>-</v>
      </c>
      <c r="AX118" s="359"/>
      <c r="AY118" s="356" t="str">
        <f t="shared" si="95"/>
        <v>-</v>
      </c>
      <c r="AZ118" s="356" t="str">
        <f t="shared" si="96"/>
        <v>-</v>
      </c>
      <c r="BA118" s="356">
        <f t="shared" si="97"/>
        <v>0</v>
      </c>
      <c r="BB118" s="356" t="e">
        <f t="shared" si="98"/>
        <v>#VALUE!</v>
      </c>
      <c r="BC118" s="358" t="str">
        <f t="shared" si="99"/>
        <v>-</v>
      </c>
      <c r="BD118" s="356" t="e">
        <f t="shared" si="100"/>
        <v>#VALUE!</v>
      </c>
      <c r="BE118" s="357" t="str">
        <f t="shared" si="101"/>
        <v>-</v>
      </c>
      <c r="BF118" s="357" t="str">
        <f t="shared" si="102"/>
        <v>-</v>
      </c>
      <c r="BG118" s="356">
        <f t="shared" si="103"/>
        <v>0</v>
      </c>
    </row>
    <row r="119" spans="1:104" x14ac:dyDescent="0.25">
      <c r="A119" s="355">
        <f t="shared" si="104"/>
        <v>92</v>
      </c>
      <c r="B119" s="363"/>
      <c r="C119" s="363"/>
      <c r="D119" s="363"/>
      <c r="E119" s="363"/>
      <c r="F119" s="363"/>
      <c r="G119" s="363"/>
      <c r="H119" s="359"/>
      <c r="I119" s="359"/>
      <c r="J119" s="362"/>
      <c r="K119" s="359"/>
      <c r="L119" s="359"/>
      <c r="M119" s="359"/>
      <c r="N119" s="359"/>
      <c r="O119" s="359"/>
      <c r="P119" s="359"/>
      <c r="Q119" s="359"/>
      <c r="R119" s="359"/>
      <c r="S119" s="359"/>
      <c r="T119" s="359"/>
      <c r="U119" s="359"/>
      <c r="V119" s="359"/>
      <c r="W119" s="359"/>
      <c r="X119" s="359"/>
      <c r="Y119" s="359"/>
      <c r="Z119" s="359"/>
      <c r="AA119" s="356">
        <f t="shared" si="72"/>
        <v>0</v>
      </c>
      <c r="AB119" s="356">
        <f t="shared" si="73"/>
        <v>0</v>
      </c>
      <c r="AC119" s="356">
        <f t="shared" si="74"/>
        <v>0</v>
      </c>
      <c r="AD119" s="356">
        <f t="shared" si="75"/>
        <v>0</v>
      </c>
      <c r="AE119" s="356">
        <f t="shared" si="76"/>
        <v>0</v>
      </c>
      <c r="AF119" s="356">
        <f t="shared" si="77"/>
        <v>0</v>
      </c>
      <c r="AG119" s="356">
        <f t="shared" si="78"/>
        <v>0</v>
      </c>
      <c r="AH119" s="361">
        <f t="shared" si="79"/>
        <v>1.1000000000000001</v>
      </c>
      <c r="AI119" s="356">
        <f t="shared" si="80"/>
        <v>0</v>
      </c>
      <c r="AJ119" s="356">
        <f t="shared" si="81"/>
        <v>0</v>
      </c>
      <c r="AK119" s="360">
        <f t="shared" si="82"/>
        <v>0</v>
      </c>
      <c r="AL119" s="356" t="str">
        <f t="shared" si="83"/>
        <v>-</v>
      </c>
      <c r="AM119" s="356" t="str">
        <f t="shared" si="84"/>
        <v>-</v>
      </c>
      <c r="AN119" s="356" t="str">
        <f t="shared" si="85"/>
        <v>-</v>
      </c>
      <c r="AO119" s="356" t="e">
        <f t="shared" si="86"/>
        <v>#VALUE!</v>
      </c>
      <c r="AP119" s="358" t="str">
        <f t="shared" si="87"/>
        <v>-</v>
      </c>
      <c r="AQ119" s="357" t="str">
        <f t="shared" si="88"/>
        <v>-</v>
      </c>
      <c r="AR119" s="357" t="str">
        <f t="shared" si="89"/>
        <v>-</v>
      </c>
      <c r="AS119" s="356" t="str">
        <f t="shared" si="90"/>
        <v>-</v>
      </c>
      <c r="AT119" s="355" t="str">
        <f t="shared" si="91"/>
        <v>-</v>
      </c>
      <c r="AU119" s="356" t="str">
        <f t="shared" si="92"/>
        <v>-</v>
      </c>
      <c r="AV119" s="356" t="e">
        <f t="shared" si="93"/>
        <v>#DIV/0!</v>
      </c>
      <c r="AW119" s="355" t="str">
        <f t="shared" si="94"/>
        <v>-</v>
      </c>
      <c r="AX119" s="359"/>
      <c r="AY119" s="356" t="str">
        <f t="shared" si="95"/>
        <v>-</v>
      </c>
      <c r="AZ119" s="356" t="str">
        <f t="shared" si="96"/>
        <v>-</v>
      </c>
      <c r="BA119" s="356">
        <f t="shared" si="97"/>
        <v>0</v>
      </c>
      <c r="BB119" s="356" t="e">
        <f t="shared" si="98"/>
        <v>#VALUE!</v>
      </c>
      <c r="BC119" s="358" t="str">
        <f t="shared" si="99"/>
        <v>-</v>
      </c>
      <c r="BD119" s="356" t="e">
        <f t="shared" si="100"/>
        <v>#VALUE!</v>
      </c>
      <c r="BE119" s="357" t="str">
        <f t="shared" si="101"/>
        <v>-</v>
      </c>
      <c r="BF119" s="357" t="str">
        <f t="shared" si="102"/>
        <v>-</v>
      </c>
      <c r="BG119" s="356">
        <f t="shared" si="103"/>
        <v>0</v>
      </c>
    </row>
    <row r="120" spans="1:104" x14ac:dyDescent="0.25">
      <c r="A120" s="355">
        <f t="shared" si="104"/>
        <v>93</v>
      </c>
      <c r="B120" s="363"/>
      <c r="C120" s="363"/>
      <c r="D120" s="363"/>
      <c r="E120" s="363"/>
      <c r="F120" s="363"/>
      <c r="G120" s="363"/>
      <c r="H120" s="359"/>
      <c r="I120" s="359"/>
      <c r="J120" s="362"/>
      <c r="K120" s="359"/>
      <c r="L120" s="359"/>
      <c r="M120" s="359"/>
      <c r="N120" s="359"/>
      <c r="O120" s="359"/>
      <c r="P120" s="359"/>
      <c r="Q120" s="359"/>
      <c r="R120" s="359"/>
      <c r="S120" s="359"/>
      <c r="T120" s="359"/>
      <c r="U120" s="359"/>
      <c r="V120" s="359"/>
      <c r="W120" s="359"/>
      <c r="X120" s="359"/>
      <c r="Y120" s="359"/>
      <c r="Z120" s="359"/>
      <c r="AA120" s="356">
        <f t="shared" si="72"/>
        <v>0</v>
      </c>
      <c r="AB120" s="356">
        <f t="shared" si="73"/>
        <v>0</v>
      </c>
      <c r="AC120" s="356">
        <f t="shared" si="74"/>
        <v>0</v>
      </c>
      <c r="AD120" s="356">
        <f t="shared" si="75"/>
        <v>0</v>
      </c>
      <c r="AE120" s="356">
        <f t="shared" si="76"/>
        <v>0</v>
      </c>
      <c r="AF120" s="356">
        <f t="shared" si="77"/>
        <v>0</v>
      </c>
      <c r="AG120" s="356">
        <f t="shared" si="78"/>
        <v>0</v>
      </c>
      <c r="AH120" s="361">
        <f t="shared" si="79"/>
        <v>1.1000000000000001</v>
      </c>
      <c r="AI120" s="356">
        <f t="shared" si="80"/>
        <v>0</v>
      </c>
      <c r="AJ120" s="356">
        <f t="shared" si="81"/>
        <v>0</v>
      </c>
      <c r="AK120" s="360">
        <f t="shared" si="82"/>
        <v>0</v>
      </c>
      <c r="AL120" s="356" t="str">
        <f t="shared" si="83"/>
        <v>-</v>
      </c>
      <c r="AM120" s="356" t="str">
        <f t="shared" si="84"/>
        <v>-</v>
      </c>
      <c r="AN120" s="356" t="str">
        <f t="shared" si="85"/>
        <v>-</v>
      </c>
      <c r="AO120" s="356" t="e">
        <f t="shared" si="86"/>
        <v>#VALUE!</v>
      </c>
      <c r="AP120" s="358" t="str">
        <f t="shared" si="87"/>
        <v>-</v>
      </c>
      <c r="AQ120" s="357" t="str">
        <f t="shared" si="88"/>
        <v>-</v>
      </c>
      <c r="AR120" s="357" t="str">
        <f t="shared" si="89"/>
        <v>-</v>
      </c>
      <c r="AS120" s="356" t="str">
        <f t="shared" si="90"/>
        <v>-</v>
      </c>
      <c r="AT120" s="355" t="str">
        <f t="shared" si="91"/>
        <v>-</v>
      </c>
      <c r="AU120" s="356" t="str">
        <f t="shared" si="92"/>
        <v>-</v>
      </c>
      <c r="AV120" s="356" t="e">
        <f t="shared" si="93"/>
        <v>#DIV/0!</v>
      </c>
      <c r="AW120" s="355" t="str">
        <f t="shared" si="94"/>
        <v>-</v>
      </c>
      <c r="AX120" s="359"/>
      <c r="AY120" s="356" t="str">
        <f t="shared" si="95"/>
        <v>-</v>
      </c>
      <c r="AZ120" s="356" t="str">
        <f t="shared" si="96"/>
        <v>-</v>
      </c>
      <c r="BA120" s="356">
        <f t="shared" si="97"/>
        <v>0</v>
      </c>
      <c r="BB120" s="356" t="e">
        <f t="shared" si="98"/>
        <v>#VALUE!</v>
      </c>
      <c r="BC120" s="358" t="str">
        <f t="shared" si="99"/>
        <v>-</v>
      </c>
      <c r="BD120" s="356" t="e">
        <f t="shared" si="100"/>
        <v>#VALUE!</v>
      </c>
      <c r="BE120" s="357" t="str">
        <f t="shared" si="101"/>
        <v>-</v>
      </c>
      <c r="BF120" s="357" t="str">
        <f t="shared" si="102"/>
        <v>-</v>
      </c>
      <c r="BG120" s="356">
        <f t="shared" si="103"/>
        <v>0</v>
      </c>
    </row>
    <row r="121" spans="1:104" x14ac:dyDescent="0.25">
      <c r="A121" s="355">
        <f t="shared" si="104"/>
        <v>94</v>
      </c>
      <c r="B121" s="363"/>
      <c r="C121" s="363"/>
      <c r="D121" s="363"/>
      <c r="E121" s="363"/>
      <c r="F121" s="363"/>
      <c r="G121" s="363"/>
      <c r="H121" s="359"/>
      <c r="I121" s="359"/>
      <c r="J121" s="362"/>
      <c r="K121" s="359"/>
      <c r="L121" s="359"/>
      <c r="M121" s="359"/>
      <c r="N121" s="359"/>
      <c r="O121" s="359"/>
      <c r="P121" s="359"/>
      <c r="Q121" s="359"/>
      <c r="R121" s="359"/>
      <c r="S121" s="359"/>
      <c r="T121" s="359"/>
      <c r="U121" s="359"/>
      <c r="V121" s="359"/>
      <c r="W121" s="359"/>
      <c r="X121" s="359"/>
      <c r="Y121" s="359"/>
      <c r="Z121" s="359"/>
      <c r="AA121" s="356">
        <f t="shared" si="72"/>
        <v>0</v>
      </c>
      <c r="AB121" s="356">
        <f t="shared" si="73"/>
        <v>0</v>
      </c>
      <c r="AC121" s="356">
        <f t="shared" si="74"/>
        <v>0</v>
      </c>
      <c r="AD121" s="356">
        <f t="shared" si="75"/>
        <v>0</v>
      </c>
      <c r="AE121" s="356">
        <f t="shared" si="76"/>
        <v>0</v>
      </c>
      <c r="AF121" s="356">
        <f t="shared" si="77"/>
        <v>0</v>
      </c>
      <c r="AG121" s="356">
        <f t="shared" si="78"/>
        <v>0</v>
      </c>
      <c r="AH121" s="361">
        <f t="shared" si="79"/>
        <v>1.1000000000000001</v>
      </c>
      <c r="AI121" s="356">
        <f t="shared" si="80"/>
        <v>0</v>
      </c>
      <c r="AJ121" s="356">
        <f t="shared" si="81"/>
        <v>0</v>
      </c>
      <c r="AK121" s="360">
        <f t="shared" si="82"/>
        <v>0</v>
      </c>
      <c r="AL121" s="356" t="str">
        <f t="shared" si="83"/>
        <v>-</v>
      </c>
      <c r="AM121" s="356" t="str">
        <f t="shared" si="84"/>
        <v>-</v>
      </c>
      <c r="AN121" s="356" t="str">
        <f t="shared" si="85"/>
        <v>-</v>
      </c>
      <c r="AO121" s="356" t="e">
        <f t="shared" si="86"/>
        <v>#VALUE!</v>
      </c>
      <c r="AP121" s="358" t="str">
        <f t="shared" si="87"/>
        <v>-</v>
      </c>
      <c r="AQ121" s="357" t="str">
        <f t="shared" si="88"/>
        <v>-</v>
      </c>
      <c r="AR121" s="357" t="str">
        <f t="shared" si="89"/>
        <v>-</v>
      </c>
      <c r="AS121" s="356" t="str">
        <f t="shared" si="90"/>
        <v>-</v>
      </c>
      <c r="AT121" s="355" t="str">
        <f t="shared" si="91"/>
        <v>-</v>
      </c>
      <c r="AU121" s="356" t="str">
        <f t="shared" si="92"/>
        <v>-</v>
      </c>
      <c r="AV121" s="356" t="e">
        <f t="shared" si="93"/>
        <v>#DIV/0!</v>
      </c>
      <c r="AW121" s="355" t="str">
        <f t="shared" si="94"/>
        <v>-</v>
      </c>
      <c r="AX121" s="359"/>
      <c r="AY121" s="356" t="str">
        <f t="shared" si="95"/>
        <v>-</v>
      </c>
      <c r="AZ121" s="356" t="str">
        <f t="shared" si="96"/>
        <v>-</v>
      </c>
      <c r="BA121" s="356">
        <f t="shared" si="97"/>
        <v>0</v>
      </c>
      <c r="BB121" s="356" t="e">
        <f t="shared" si="98"/>
        <v>#VALUE!</v>
      </c>
      <c r="BC121" s="358" t="str">
        <f t="shared" si="99"/>
        <v>-</v>
      </c>
      <c r="BD121" s="356" t="e">
        <f t="shared" si="100"/>
        <v>#VALUE!</v>
      </c>
      <c r="BE121" s="357" t="str">
        <f t="shared" si="101"/>
        <v>-</v>
      </c>
      <c r="BF121" s="357" t="str">
        <f t="shared" si="102"/>
        <v>-</v>
      </c>
      <c r="BG121" s="356">
        <f t="shared" si="103"/>
        <v>0</v>
      </c>
    </row>
    <row r="122" spans="1:104" x14ac:dyDescent="0.25">
      <c r="A122" s="355">
        <f t="shared" si="104"/>
        <v>95</v>
      </c>
      <c r="B122" s="363"/>
      <c r="C122" s="363"/>
      <c r="D122" s="363"/>
      <c r="E122" s="363"/>
      <c r="F122" s="363"/>
      <c r="G122" s="363"/>
      <c r="H122" s="359"/>
      <c r="I122" s="359"/>
      <c r="J122" s="362"/>
      <c r="K122" s="359"/>
      <c r="L122" s="359"/>
      <c r="M122" s="359"/>
      <c r="N122" s="359"/>
      <c r="O122" s="359"/>
      <c r="P122" s="359"/>
      <c r="Q122" s="359"/>
      <c r="R122" s="359"/>
      <c r="S122" s="359"/>
      <c r="T122" s="359"/>
      <c r="U122" s="359"/>
      <c r="V122" s="359"/>
      <c r="W122" s="359"/>
      <c r="X122" s="359"/>
      <c r="Y122" s="359"/>
      <c r="Z122" s="359"/>
      <c r="AA122" s="356">
        <f t="shared" si="72"/>
        <v>0</v>
      </c>
      <c r="AB122" s="356">
        <f t="shared" si="73"/>
        <v>0</v>
      </c>
      <c r="AC122" s="356">
        <f t="shared" si="74"/>
        <v>0</v>
      </c>
      <c r="AD122" s="356">
        <f t="shared" si="75"/>
        <v>0</v>
      </c>
      <c r="AE122" s="356">
        <f t="shared" si="76"/>
        <v>0</v>
      </c>
      <c r="AF122" s="356">
        <f t="shared" si="77"/>
        <v>0</v>
      </c>
      <c r="AG122" s="356">
        <f t="shared" si="78"/>
        <v>0</v>
      </c>
      <c r="AH122" s="361">
        <f t="shared" si="79"/>
        <v>1.1000000000000001</v>
      </c>
      <c r="AI122" s="356">
        <f t="shared" si="80"/>
        <v>0</v>
      </c>
      <c r="AJ122" s="356">
        <f t="shared" si="81"/>
        <v>0</v>
      </c>
      <c r="AK122" s="360">
        <f t="shared" si="82"/>
        <v>0</v>
      </c>
      <c r="AL122" s="356" t="str">
        <f t="shared" si="83"/>
        <v>-</v>
      </c>
      <c r="AM122" s="356" t="str">
        <f t="shared" si="84"/>
        <v>-</v>
      </c>
      <c r="AN122" s="356" t="str">
        <f t="shared" si="85"/>
        <v>-</v>
      </c>
      <c r="AO122" s="356" t="e">
        <f t="shared" si="86"/>
        <v>#VALUE!</v>
      </c>
      <c r="AP122" s="358" t="str">
        <f t="shared" si="87"/>
        <v>-</v>
      </c>
      <c r="AQ122" s="357" t="str">
        <f t="shared" si="88"/>
        <v>-</v>
      </c>
      <c r="AR122" s="357" t="str">
        <f t="shared" si="89"/>
        <v>-</v>
      </c>
      <c r="AS122" s="356" t="str">
        <f t="shared" si="90"/>
        <v>-</v>
      </c>
      <c r="AT122" s="355" t="str">
        <f t="shared" si="91"/>
        <v>-</v>
      </c>
      <c r="AU122" s="356" t="str">
        <f t="shared" si="92"/>
        <v>-</v>
      </c>
      <c r="AV122" s="356" t="e">
        <f t="shared" si="93"/>
        <v>#DIV/0!</v>
      </c>
      <c r="AW122" s="355" t="str">
        <f t="shared" si="94"/>
        <v>-</v>
      </c>
      <c r="AX122" s="359"/>
      <c r="AY122" s="356" t="str">
        <f t="shared" si="95"/>
        <v>-</v>
      </c>
      <c r="AZ122" s="356" t="str">
        <f t="shared" si="96"/>
        <v>-</v>
      </c>
      <c r="BA122" s="356">
        <f t="shared" si="97"/>
        <v>0</v>
      </c>
      <c r="BB122" s="356" t="e">
        <f t="shared" si="98"/>
        <v>#VALUE!</v>
      </c>
      <c r="BC122" s="358" t="str">
        <f t="shared" si="99"/>
        <v>-</v>
      </c>
      <c r="BD122" s="356" t="e">
        <f t="shared" si="100"/>
        <v>#VALUE!</v>
      </c>
      <c r="BE122" s="357" t="str">
        <f t="shared" si="101"/>
        <v>-</v>
      </c>
      <c r="BF122" s="357" t="str">
        <f t="shared" si="102"/>
        <v>-</v>
      </c>
      <c r="BG122" s="356">
        <f t="shared" si="103"/>
        <v>0</v>
      </c>
    </row>
    <row r="123" spans="1:104" x14ac:dyDescent="0.25">
      <c r="A123" s="355">
        <f t="shared" si="104"/>
        <v>96</v>
      </c>
      <c r="B123" s="363"/>
      <c r="C123" s="363"/>
      <c r="D123" s="363"/>
      <c r="E123" s="363"/>
      <c r="F123" s="363"/>
      <c r="G123" s="363"/>
      <c r="H123" s="359"/>
      <c r="I123" s="359"/>
      <c r="J123" s="362"/>
      <c r="K123" s="359"/>
      <c r="L123" s="359"/>
      <c r="M123" s="359"/>
      <c r="N123" s="359"/>
      <c r="O123" s="359"/>
      <c r="P123" s="359"/>
      <c r="Q123" s="359"/>
      <c r="R123" s="359"/>
      <c r="S123" s="359"/>
      <c r="T123" s="359"/>
      <c r="U123" s="359"/>
      <c r="V123" s="359"/>
      <c r="W123" s="359"/>
      <c r="X123" s="359"/>
      <c r="Y123" s="359"/>
      <c r="Z123" s="359"/>
      <c r="AA123" s="356">
        <f t="shared" si="72"/>
        <v>0</v>
      </c>
      <c r="AB123" s="356">
        <f t="shared" si="73"/>
        <v>0</v>
      </c>
      <c r="AC123" s="356">
        <f t="shared" si="74"/>
        <v>0</v>
      </c>
      <c r="AD123" s="356">
        <f t="shared" si="75"/>
        <v>0</v>
      </c>
      <c r="AE123" s="356">
        <f t="shared" si="76"/>
        <v>0</v>
      </c>
      <c r="AF123" s="356">
        <f t="shared" si="77"/>
        <v>0</v>
      </c>
      <c r="AG123" s="356">
        <f t="shared" si="78"/>
        <v>0</v>
      </c>
      <c r="AH123" s="361">
        <f t="shared" si="79"/>
        <v>1.1000000000000001</v>
      </c>
      <c r="AI123" s="356">
        <f t="shared" si="80"/>
        <v>0</v>
      </c>
      <c r="AJ123" s="356">
        <f t="shared" si="81"/>
        <v>0</v>
      </c>
      <c r="AK123" s="360">
        <f t="shared" si="82"/>
        <v>0</v>
      </c>
      <c r="AL123" s="356" t="str">
        <f t="shared" si="83"/>
        <v>-</v>
      </c>
      <c r="AM123" s="356" t="str">
        <f t="shared" si="84"/>
        <v>-</v>
      </c>
      <c r="AN123" s="356" t="str">
        <f t="shared" si="85"/>
        <v>-</v>
      </c>
      <c r="AO123" s="356" t="e">
        <f t="shared" si="86"/>
        <v>#VALUE!</v>
      </c>
      <c r="AP123" s="358" t="str">
        <f t="shared" si="87"/>
        <v>-</v>
      </c>
      <c r="AQ123" s="357" t="str">
        <f t="shared" si="88"/>
        <v>-</v>
      </c>
      <c r="AR123" s="357" t="str">
        <f t="shared" si="89"/>
        <v>-</v>
      </c>
      <c r="AS123" s="356" t="str">
        <f t="shared" si="90"/>
        <v>-</v>
      </c>
      <c r="AT123" s="355" t="str">
        <f t="shared" si="91"/>
        <v>-</v>
      </c>
      <c r="AU123" s="356" t="str">
        <f t="shared" si="92"/>
        <v>-</v>
      </c>
      <c r="AV123" s="356" t="e">
        <f t="shared" si="93"/>
        <v>#DIV/0!</v>
      </c>
      <c r="AW123" s="355" t="str">
        <f t="shared" si="94"/>
        <v>-</v>
      </c>
      <c r="AX123" s="359"/>
      <c r="AY123" s="356" t="str">
        <f t="shared" si="95"/>
        <v>-</v>
      </c>
      <c r="AZ123" s="356" t="str">
        <f t="shared" si="96"/>
        <v>-</v>
      </c>
      <c r="BA123" s="356">
        <f t="shared" si="97"/>
        <v>0</v>
      </c>
      <c r="BB123" s="356" t="e">
        <f t="shared" si="98"/>
        <v>#VALUE!</v>
      </c>
      <c r="BC123" s="358" t="str">
        <f t="shared" si="99"/>
        <v>-</v>
      </c>
      <c r="BD123" s="356" t="e">
        <f t="shared" si="100"/>
        <v>#VALUE!</v>
      </c>
      <c r="BE123" s="357" t="str">
        <f t="shared" si="101"/>
        <v>-</v>
      </c>
      <c r="BF123" s="357" t="str">
        <f t="shared" si="102"/>
        <v>-</v>
      </c>
      <c r="BG123" s="356">
        <f t="shared" si="103"/>
        <v>0</v>
      </c>
    </row>
    <row r="124" spans="1:104" x14ac:dyDescent="0.25">
      <c r="A124" s="355">
        <f t="shared" si="104"/>
        <v>97</v>
      </c>
      <c r="B124" s="363"/>
      <c r="C124" s="363"/>
      <c r="D124" s="363"/>
      <c r="E124" s="363"/>
      <c r="F124" s="363"/>
      <c r="G124" s="363"/>
      <c r="H124" s="359"/>
      <c r="I124" s="359"/>
      <c r="J124" s="362"/>
      <c r="K124" s="359"/>
      <c r="L124" s="359"/>
      <c r="M124" s="359"/>
      <c r="N124" s="359"/>
      <c r="O124" s="359"/>
      <c r="P124" s="359"/>
      <c r="Q124" s="359"/>
      <c r="R124" s="359"/>
      <c r="S124" s="359"/>
      <c r="T124" s="359"/>
      <c r="U124" s="359"/>
      <c r="V124" s="359"/>
      <c r="W124" s="359"/>
      <c r="X124" s="359"/>
      <c r="Y124" s="359"/>
      <c r="Z124" s="359"/>
      <c r="AA124" s="356">
        <f t="shared" si="72"/>
        <v>0</v>
      </c>
      <c r="AB124" s="356">
        <f t="shared" si="73"/>
        <v>0</v>
      </c>
      <c r="AC124" s="356">
        <f t="shared" si="74"/>
        <v>0</v>
      </c>
      <c r="AD124" s="356">
        <f t="shared" si="75"/>
        <v>0</v>
      </c>
      <c r="AE124" s="356">
        <f t="shared" si="76"/>
        <v>0</v>
      </c>
      <c r="AF124" s="356">
        <f t="shared" si="77"/>
        <v>0</v>
      </c>
      <c r="AG124" s="356">
        <f>SUM(AB124:AF124)</f>
        <v>0</v>
      </c>
      <c r="AH124" s="361">
        <f t="shared" si="79"/>
        <v>1.1000000000000001</v>
      </c>
      <c r="AI124" s="356">
        <f t="shared" si="80"/>
        <v>0</v>
      </c>
      <c r="AJ124" s="356">
        <f t="shared" si="81"/>
        <v>0</v>
      </c>
      <c r="AK124" s="360">
        <f t="shared" si="82"/>
        <v>0</v>
      </c>
      <c r="AL124" s="356" t="str">
        <f t="shared" si="83"/>
        <v>-</v>
      </c>
      <c r="AM124" s="356" t="str">
        <f t="shared" si="84"/>
        <v>-</v>
      </c>
      <c r="AN124" s="356" t="str">
        <f t="shared" si="85"/>
        <v>-</v>
      </c>
      <c r="AO124" s="356" t="e">
        <f t="shared" si="86"/>
        <v>#VALUE!</v>
      </c>
      <c r="AP124" s="358" t="str">
        <f t="shared" si="87"/>
        <v>-</v>
      </c>
      <c r="AQ124" s="357" t="str">
        <f>IF(AP124="-","-",$AQ$26)</f>
        <v>-</v>
      </c>
      <c r="AR124" s="357" t="str">
        <f t="shared" si="89"/>
        <v>-</v>
      </c>
      <c r="AS124" s="356" t="str">
        <f t="shared" si="90"/>
        <v>-</v>
      </c>
      <c r="AT124" s="355" t="str">
        <f t="shared" si="91"/>
        <v>-</v>
      </c>
      <c r="AU124" s="356" t="str">
        <f t="shared" si="92"/>
        <v>-</v>
      </c>
      <c r="AV124" s="356" t="e">
        <f t="shared" si="93"/>
        <v>#DIV/0!</v>
      </c>
      <c r="AW124" s="355" t="str">
        <f t="shared" si="94"/>
        <v>-</v>
      </c>
      <c r="AX124" s="359"/>
      <c r="AY124" s="356" t="str">
        <f t="shared" si="95"/>
        <v>-</v>
      </c>
      <c r="AZ124" s="356" t="str">
        <f t="shared" si="96"/>
        <v>-</v>
      </c>
      <c r="BA124" s="356">
        <f t="shared" si="97"/>
        <v>0</v>
      </c>
      <c r="BB124" s="356" t="e">
        <f t="shared" si="98"/>
        <v>#VALUE!</v>
      </c>
      <c r="BC124" s="358" t="str">
        <f t="shared" si="99"/>
        <v>-</v>
      </c>
      <c r="BD124" s="356" t="e">
        <f t="shared" si="100"/>
        <v>#VALUE!</v>
      </c>
      <c r="BE124" s="357" t="str">
        <f t="shared" si="101"/>
        <v>-</v>
      </c>
      <c r="BF124" s="357" t="str">
        <f t="shared" si="102"/>
        <v>-</v>
      </c>
      <c r="BG124" s="356">
        <f t="shared" si="103"/>
        <v>0</v>
      </c>
    </row>
    <row r="125" spans="1:104" x14ac:dyDescent="0.25">
      <c r="A125" s="355">
        <f t="shared" si="104"/>
        <v>98</v>
      </c>
      <c r="B125" s="363"/>
      <c r="C125" s="363"/>
      <c r="D125" s="363"/>
      <c r="E125" s="363"/>
      <c r="F125" s="363"/>
      <c r="G125" s="363"/>
      <c r="H125" s="359"/>
      <c r="I125" s="359"/>
      <c r="J125" s="362"/>
      <c r="K125" s="359"/>
      <c r="L125" s="359"/>
      <c r="M125" s="359"/>
      <c r="N125" s="359"/>
      <c r="O125" s="359"/>
      <c r="P125" s="359"/>
      <c r="Q125" s="359"/>
      <c r="R125" s="359"/>
      <c r="S125" s="359"/>
      <c r="T125" s="359"/>
      <c r="U125" s="359"/>
      <c r="V125" s="359"/>
      <c r="W125" s="359"/>
      <c r="X125" s="359"/>
      <c r="Y125" s="359"/>
      <c r="Z125" s="359"/>
      <c r="AA125" s="356">
        <f t="shared" si="72"/>
        <v>0</v>
      </c>
      <c r="AB125" s="356">
        <f t="shared" si="73"/>
        <v>0</v>
      </c>
      <c r="AC125" s="356">
        <f t="shared" si="74"/>
        <v>0</v>
      </c>
      <c r="AD125" s="356">
        <f t="shared" si="75"/>
        <v>0</v>
      </c>
      <c r="AE125" s="356">
        <f t="shared" si="76"/>
        <v>0</v>
      </c>
      <c r="AF125" s="356">
        <f t="shared" si="77"/>
        <v>0</v>
      </c>
      <c r="AG125" s="356">
        <f>SUM(AB125:AF125)</f>
        <v>0</v>
      </c>
      <c r="AH125" s="361">
        <f t="shared" si="79"/>
        <v>1.1000000000000001</v>
      </c>
      <c r="AI125" s="356">
        <f t="shared" si="80"/>
        <v>0</v>
      </c>
      <c r="AJ125" s="356">
        <f t="shared" si="81"/>
        <v>0</v>
      </c>
      <c r="AK125" s="360">
        <f t="shared" si="82"/>
        <v>0</v>
      </c>
      <c r="AL125" s="356" t="str">
        <f t="shared" si="83"/>
        <v>-</v>
      </c>
      <c r="AM125" s="356" t="str">
        <f t="shared" si="84"/>
        <v>-</v>
      </c>
      <c r="AN125" s="356" t="str">
        <f t="shared" si="85"/>
        <v>-</v>
      </c>
      <c r="AO125" s="356" t="e">
        <f t="shared" si="86"/>
        <v>#VALUE!</v>
      </c>
      <c r="AP125" s="358" t="str">
        <f t="shared" si="87"/>
        <v>-</v>
      </c>
      <c r="AQ125" s="357" t="str">
        <f>IF(AP125="-","-",$AQ$26)</f>
        <v>-</v>
      </c>
      <c r="AR125" s="357" t="str">
        <f t="shared" si="89"/>
        <v>-</v>
      </c>
      <c r="AS125" s="356" t="str">
        <f t="shared" si="90"/>
        <v>-</v>
      </c>
      <c r="AT125" s="355" t="str">
        <f t="shared" si="91"/>
        <v>-</v>
      </c>
      <c r="AU125" s="356" t="str">
        <f t="shared" si="92"/>
        <v>-</v>
      </c>
      <c r="AV125" s="356" t="e">
        <f t="shared" si="93"/>
        <v>#DIV/0!</v>
      </c>
      <c r="AW125" s="355" t="str">
        <f t="shared" si="94"/>
        <v>-</v>
      </c>
      <c r="AX125" s="359"/>
      <c r="AY125" s="356" t="str">
        <f t="shared" si="95"/>
        <v>-</v>
      </c>
      <c r="AZ125" s="356" t="str">
        <f t="shared" si="96"/>
        <v>-</v>
      </c>
      <c r="BA125" s="356">
        <f t="shared" si="97"/>
        <v>0</v>
      </c>
      <c r="BB125" s="356" t="e">
        <f t="shared" si="98"/>
        <v>#VALUE!</v>
      </c>
      <c r="BC125" s="358" t="str">
        <f t="shared" si="99"/>
        <v>-</v>
      </c>
      <c r="BD125" s="356" t="e">
        <f t="shared" si="100"/>
        <v>#VALUE!</v>
      </c>
      <c r="BE125" s="357" t="str">
        <f t="shared" si="101"/>
        <v>-</v>
      </c>
      <c r="BF125" s="357" t="str">
        <f t="shared" si="102"/>
        <v>-</v>
      </c>
      <c r="BG125" s="356">
        <f t="shared" si="103"/>
        <v>0</v>
      </c>
    </row>
    <row r="126" spans="1:104" x14ac:dyDescent="0.25">
      <c r="A126" s="355">
        <f t="shared" si="104"/>
        <v>99</v>
      </c>
      <c r="B126" s="363"/>
      <c r="C126" s="363"/>
      <c r="D126" s="363"/>
      <c r="E126" s="363"/>
      <c r="F126" s="363"/>
      <c r="G126" s="363"/>
      <c r="H126" s="359"/>
      <c r="I126" s="359"/>
      <c r="J126" s="362"/>
      <c r="K126" s="359"/>
      <c r="L126" s="359"/>
      <c r="M126" s="359"/>
      <c r="N126" s="359"/>
      <c r="O126" s="359"/>
      <c r="P126" s="359"/>
      <c r="Q126" s="359"/>
      <c r="R126" s="359"/>
      <c r="S126" s="359"/>
      <c r="T126" s="359"/>
      <c r="U126" s="359"/>
      <c r="V126" s="359"/>
      <c r="W126" s="359"/>
      <c r="X126" s="359"/>
      <c r="Y126" s="359"/>
      <c r="Z126" s="359"/>
      <c r="AA126" s="356">
        <f t="shared" si="72"/>
        <v>0</v>
      </c>
      <c r="AB126" s="356">
        <f t="shared" si="73"/>
        <v>0</v>
      </c>
      <c r="AC126" s="356">
        <f t="shared" si="74"/>
        <v>0</v>
      </c>
      <c r="AD126" s="356">
        <f t="shared" si="75"/>
        <v>0</v>
      </c>
      <c r="AE126" s="356">
        <f t="shared" si="76"/>
        <v>0</v>
      </c>
      <c r="AF126" s="356">
        <f t="shared" si="77"/>
        <v>0</v>
      </c>
      <c r="AG126" s="356">
        <f>SUM(AB126:AF126)</f>
        <v>0</v>
      </c>
      <c r="AH126" s="361">
        <f t="shared" si="79"/>
        <v>1.1000000000000001</v>
      </c>
      <c r="AI126" s="356">
        <f t="shared" si="80"/>
        <v>0</v>
      </c>
      <c r="AJ126" s="356">
        <f t="shared" si="81"/>
        <v>0</v>
      </c>
      <c r="AK126" s="360">
        <f t="shared" si="82"/>
        <v>0</v>
      </c>
      <c r="AL126" s="356" t="str">
        <f t="shared" si="83"/>
        <v>-</v>
      </c>
      <c r="AM126" s="356" t="str">
        <f t="shared" si="84"/>
        <v>-</v>
      </c>
      <c r="AN126" s="356" t="str">
        <f t="shared" si="85"/>
        <v>-</v>
      </c>
      <c r="AO126" s="356" t="e">
        <f t="shared" si="86"/>
        <v>#VALUE!</v>
      </c>
      <c r="AP126" s="358" t="str">
        <f t="shared" si="87"/>
        <v>-</v>
      </c>
      <c r="AQ126" s="357" t="str">
        <f>IF(AP126="-","-",$AQ$26)</f>
        <v>-</v>
      </c>
      <c r="AR126" s="357" t="str">
        <f t="shared" si="89"/>
        <v>-</v>
      </c>
      <c r="AS126" s="356" t="str">
        <f t="shared" si="90"/>
        <v>-</v>
      </c>
      <c r="AT126" s="355" t="str">
        <f t="shared" si="91"/>
        <v>-</v>
      </c>
      <c r="AU126" s="356" t="str">
        <f t="shared" si="92"/>
        <v>-</v>
      </c>
      <c r="AV126" s="356" t="e">
        <f t="shared" si="93"/>
        <v>#DIV/0!</v>
      </c>
      <c r="AW126" s="355" t="str">
        <f t="shared" si="94"/>
        <v>-</v>
      </c>
      <c r="AX126" s="359"/>
      <c r="AY126" s="356" t="str">
        <f t="shared" si="95"/>
        <v>-</v>
      </c>
      <c r="AZ126" s="356" t="str">
        <f t="shared" si="96"/>
        <v>-</v>
      </c>
      <c r="BA126" s="356">
        <f t="shared" si="97"/>
        <v>0</v>
      </c>
      <c r="BB126" s="356" t="e">
        <f t="shared" si="98"/>
        <v>#VALUE!</v>
      </c>
      <c r="BC126" s="358" t="str">
        <f t="shared" si="99"/>
        <v>-</v>
      </c>
      <c r="BD126" s="356" t="e">
        <f t="shared" si="100"/>
        <v>#VALUE!</v>
      </c>
      <c r="BE126" s="357" t="str">
        <f t="shared" si="101"/>
        <v>-</v>
      </c>
      <c r="BF126" s="357" t="str">
        <f t="shared" si="102"/>
        <v>-</v>
      </c>
      <c r="BG126" s="356">
        <f t="shared" si="103"/>
        <v>0</v>
      </c>
    </row>
    <row r="127" spans="1:104" x14ac:dyDescent="0.25">
      <c r="A127" s="355">
        <f t="shared" si="104"/>
        <v>100</v>
      </c>
      <c r="B127" s="363"/>
      <c r="C127" s="363"/>
      <c r="D127" s="363"/>
      <c r="E127" s="363"/>
      <c r="F127" s="363"/>
      <c r="G127" s="363"/>
      <c r="H127" s="359"/>
      <c r="I127" s="359"/>
      <c r="J127" s="362"/>
      <c r="K127" s="359"/>
      <c r="L127" s="359"/>
      <c r="M127" s="359"/>
      <c r="N127" s="359"/>
      <c r="O127" s="359"/>
      <c r="P127" s="359"/>
      <c r="Q127" s="359"/>
      <c r="R127" s="359"/>
      <c r="S127" s="359"/>
      <c r="T127" s="359"/>
      <c r="U127" s="359"/>
      <c r="V127" s="359"/>
      <c r="W127" s="359"/>
      <c r="X127" s="359"/>
      <c r="Y127" s="359"/>
      <c r="Z127" s="359"/>
      <c r="AA127" s="356">
        <f t="shared" si="72"/>
        <v>0</v>
      </c>
      <c r="AB127" s="356">
        <f t="shared" si="73"/>
        <v>0</v>
      </c>
      <c r="AC127" s="356">
        <f t="shared" si="74"/>
        <v>0</v>
      </c>
      <c r="AD127" s="356">
        <f t="shared" si="75"/>
        <v>0</v>
      </c>
      <c r="AE127" s="356">
        <f t="shared" si="76"/>
        <v>0</v>
      </c>
      <c r="AF127" s="356">
        <f t="shared" si="77"/>
        <v>0</v>
      </c>
      <c r="AG127" s="356">
        <f>SUM(AB127:AF127)</f>
        <v>0</v>
      </c>
      <c r="AH127" s="361">
        <f t="shared" si="79"/>
        <v>1.1000000000000001</v>
      </c>
      <c r="AI127" s="356">
        <f t="shared" si="80"/>
        <v>0</v>
      </c>
      <c r="AJ127" s="356">
        <f t="shared" si="81"/>
        <v>0</v>
      </c>
      <c r="AK127" s="360">
        <f t="shared" si="82"/>
        <v>0</v>
      </c>
      <c r="AL127" s="356" t="str">
        <f t="shared" si="83"/>
        <v>-</v>
      </c>
      <c r="AM127" s="356" t="str">
        <f t="shared" si="84"/>
        <v>-</v>
      </c>
      <c r="AN127" s="356" t="str">
        <f t="shared" si="85"/>
        <v>-</v>
      </c>
      <c r="AO127" s="356" t="e">
        <f t="shared" si="86"/>
        <v>#VALUE!</v>
      </c>
      <c r="AP127" s="358" t="str">
        <f t="shared" si="87"/>
        <v>-</v>
      </c>
      <c r="AQ127" s="357" t="str">
        <f>IF(AP127="-","-",$AQ$26)</f>
        <v>-</v>
      </c>
      <c r="AR127" s="357" t="str">
        <f t="shared" si="89"/>
        <v>-</v>
      </c>
      <c r="AS127" s="356" t="str">
        <f t="shared" si="90"/>
        <v>-</v>
      </c>
      <c r="AT127" s="355" t="str">
        <f t="shared" si="91"/>
        <v>-</v>
      </c>
      <c r="AU127" s="356" t="str">
        <f t="shared" si="92"/>
        <v>-</v>
      </c>
      <c r="AV127" s="356" t="e">
        <f t="shared" si="93"/>
        <v>#DIV/0!</v>
      </c>
      <c r="AW127" s="355" t="str">
        <f t="shared" si="94"/>
        <v>-</v>
      </c>
      <c r="AX127" s="359"/>
      <c r="AY127" s="356" t="str">
        <f t="shared" si="95"/>
        <v>-</v>
      </c>
      <c r="AZ127" s="356" t="str">
        <f t="shared" si="96"/>
        <v>-</v>
      </c>
      <c r="BA127" s="356">
        <f t="shared" si="97"/>
        <v>0</v>
      </c>
      <c r="BB127" s="356" t="e">
        <f t="shared" si="98"/>
        <v>#VALUE!</v>
      </c>
      <c r="BC127" s="358" t="str">
        <f t="shared" si="99"/>
        <v>-</v>
      </c>
      <c r="BD127" s="356" t="e">
        <f t="shared" si="100"/>
        <v>#VALUE!</v>
      </c>
      <c r="BE127" s="357" t="str">
        <f t="shared" si="101"/>
        <v>-</v>
      </c>
      <c r="BF127" s="357" t="str">
        <f t="shared" si="102"/>
        <v>-</v>
      </c>
      <c r="BG127" s="356">
        <f t="shared" si="103"/>
        <v>0</v>
      </c>
    </row>
    <row r="128" spans="1:104" s="546" customFormat="1" x14ac:dyDescent="0.25">
      <c r="A128" s="355">
        <f t="shared" si="104"/>
        <v>101</v>
      </c>
      <c r="B128" s="363"/>
      <c r="C128" s="363"/>
      <c r="D128" s="363"/>
      <c r="E128" s="363"/>
      <c r="F128" s="363"/>
      <c r="G128" s="363"/>
      <c r="H128" s="359"/>
      <c r="I128" s="359"/>
      <c r="J128" s="362"/>
      <c r="K128" s="359"/>
      <c r="L128" s="359"/>
      <c r="M128" s="359"/>
      <c r="N128" s="359"/>
      <c r="O128" s="359"/>
      <c r="P128" s="359"/>
      <c r="Q128" s="359"/>
      <c r="R128" s="359"/>
      <c r="S128" s="359"/>
      <c r="T128" s="359"/>
      <c r="U128" s="359"/>
      <c r="V128" s="359"/>
      <c r="W128" s="359"/>
      <c r="X128" s="359"/>
      <c r="Y128" s="359"/>
      <c r="Z128" s="359"/>
      <c r="AA128" s="356">
        <f t="shared" si="72"/>
        <v>0</v>
      </c>
      <c r="AB128" s="356">
        <f t="shared" ref="AB128:AB191" si="105">IF(OR(Q128=0,Q128=""),0.9*R128,MIN(Q128:R128))</f>
        <v>0</v>
      </c>
      <c r="AC128" s="356">
        <f t="shared" ref="AC128:AC191" si="106">IF(OR(S128=0,S128=""),0.9*T128,MIN(S128:T128))</f>
        <v>0</v>
      </c>
      <c r="AD128" s="356">
        <f t="shared" ref="AD128:AD191" si="107">IF(OR(U128=0,U128=""),0.9*V128,MIN(U128:V128))</f>
        <v>0</v>
      </c>
      <c r="AE128" s="356">
        <f t="shared" ref="AE128:AE191" si="108">IF(OR(W128=0,W128=""),0.9*X128,MIN(W128:X128))</f>
        <v>0</v>
      </c>
      <c r="AF128" s="356">
        <f t="shared" ref="AF128:AF191" si="109">Y128/12</f>
        <v>0</v>
      </c>
      <c r="AG128" s="356">
        <f t="shared" ref="AG128:AG191" si="110">SUM(AB128:AF128)</f>
        <v>0</v>
      </c>
      <c r="AH128" s="361">
        <f t="shared" si="79"/>
        <v>1.1000000000000001</v>
      </c>
      <c r="AI128" s="356">
        <f t="shared" si="80"/>
        <v>0</v>
      </c>
      <c r="AJ128" s="356">
        <f t="shared" si="81"/>
        <v>0</v>
      </c>
      <c r="AK128" s="360">
        <f t="shared" si="82"/>
        <v>0</v>
      </c>
      <c r="AL128" s="356" t="str">
        <f t="shared" si="83"/>
        <v>-</v>
      </c>
      <c r="AM128" s="356" t="str">
        <f t="shared" si="84"/>
        <v>-</v>
      </c>
      <c r="AN128" s="356" t="str">
        <f t="shared" si="85"/>
        <v>-</v>
      </c>
      <c r="AO128" s="356" t="e">
        <f t="shared" si="86"/>
        <v>#VALUE!</v>
      </c>
      <c r="AP128" s="358" t="str">
        <f t="shared" si="87"/>
        <v>-</v>
      </c>
      <c r="AQ128" s="357" t="str">
        <f t="shared" ref="AQ128:AQ191" si="111">IF(AP128="-","-",$AQ$26)</f>
        <v>-</v>
      </c>
      <c r="AR128" s="357" t="str">
        <f t="shared" ref="AR128:AR191" si="112">IF(AP128="-","-",$AR$26)</f>
        <v>-</v>
      </c>
      <c r="AS128" s="356" t="str">
        <f t="shared" si="90"/>
        <v>-</v>
      </c>
      <c r="AT128" s="355" t="str">
        <f t="shared" si="91"/>
        <v>-</v>
      </c>
      <c r="AU128" s="356" t="str">
        <f t="shared" si="92"/>
        <v>-</v>
      </c>
      <c r="AV128" s="356" t="e">
        <f t="shared" si="93"/>
        <v>#DIV/0!</v>
      </c>
      <c r="AW128" s="355" t="str">
        <f t="shared" si="94"/>
        <v>-</v>
      </c>
      <c r="AX128" s="359"/>
      <c r="AY128" s="356" t="str">
        <f t="shared" si="95"/>
        <v>-</v>
      </c>
      <c r="AZ128" s="356" t="str">
        <f t="shared" si="96"/>
        <v>-</v>
      </c>
      <c r="BA128" s="356">
        <f t="shared" si="97"/>
        <v>0</v>
      </c>
      <c r="BB128" s="356" t="e">
        <f t="shared" si="98"/>
        <v>#VALUE!</v>
      </c>
      <c r="BC128" s="358" t="str">
        <f t="shared" si="99"/>
        <v>-</v>
      </c>
      <c r="BD128" s="356" t="e">
        <f t="shared" si="100"/>
        <v>#VALUE!</v>
      </c>
      <c r="BE128" s="357" t="str">
        <f t="shared" si="101"/>
        <v>-</v>
      </c>
      <c r="BF128" s="357" t="str">
        <f t="shared" si="102"/>
        <v>-</v>
      </c>
      <c r="BG128" s="356">
        <f t="shared" si="103"/>
        <v>0</v>
      </c>
      <c r="BH128" s="545"/>
      <c r="BI128" s="545"/>
      <c r="BJ128" s="545"/>
      <c r="BK128" s="545"/>
      <c r="BL128" s="545"/>
      <c r="BM128" s="545"/>
      <c r="BN128" s="545"/>
      <c r="BO128" s="545"/>
      <c r="BP128" s="545"/>
      <c r="BQ128" s="545"/>
      <c r="BR128" s="545"/>
      <c r="BS128" s="545"/>
      <c r="BT128" s="545"/>
      <c r="BU128" s="545"/>
      <c r="BV128" s="545"/>
      <c r="BW128" s="545"/>
      <c r="BX128" s="545"/>
      <c r="BY128" s="545"/>
      <c r="BZ128" s="545"/>
      <c r="CA128" s="545"/>
      <c r="CB128" s="545"/>
      <c r="CC128" s="545"/>
      <c r="CD128" s="545"/>
      <c r="CE128" s="545"/>
      <c r="CF128" s="545"/>
      <c r="CG128" s="545"/>
      <c r="CH128" s="545"/>
      <c r="CI128" s="545"/>
      <c r="CJ128" s="545"/>
      <c r="CK128" s="545"/>
      <c r="CL128" s="545"/>
      <c r="CM128" s="545"/>
      <c r="CN128" s="545"/>
      <c r="CO128" s="545"/>
      <c r="CP128" s="545"/>
      <c r="CQ128" s="545"/>
      <c r="CR128" s="545"/>
      <c r="CS128" s="545"/>
      <c r="CT128" s="545"/>
      <c r="CU128" s="545"/>
      <c r="CV128" s="545"/>
      <c r="CW128" s="545"/>
      <c r="CX128" s="545"/>
      <c r="CY128" s="545"/>
      <c r="CZ128" s="545"/>
    </row>
    <row r="129" spans="1:59" x14ac:dyDescent="0.25">
      <c r="A129" s="355">
        <f t="shared" si="104"/>
        <v>102</v>
      </c>
      <c r="B129" s="363"/>
      <c r="C129" s="363"/>
      <c r="D129" s="363"/>
      <c r="E129" s="363"/>
      <c r="F129" s="363"/>
      <c r="G129" s="363"/>
      <c r="H129" s="359"/>
      <c r="I129" s="359"/>
      <c r="J129" s="362"/>
      <c r="K129" s="359"/>
      <c r="L129" s="359"/>
      <c r="M129" s="359"/>
      <c r="N129" s="359"/>
      <c r="O129" s="359"/>
      <c r="P129" s="359"/>
      <c r="Q129" s="359"/>
      <c r="R129" s="359"/>
      <c r="S129" s="359"/>
      <c r="T129" s="359"/>
      <c r="U129" s="359"/>
      <c r="V129" s="359"/>
      <c r="W129" s="359"/>
      <c r="X129" s="359"/>
      <c r="Y129" s="359"/>
      <c r="Z129" s="359"/>
      <c r="AA129" s="356">
        <f t="shared" si="72"/>
        <v>0</v>
      </c>
      <c r="AB129" s="356">
        <f t="shared" si="105"/>
        <v>0</v>
      </c>
      <c r="AC129" s="356">
        <f t="shared" si="106"/>
        <v>0</v>
      </c>
      <c r="AD129" s="356">
        <f t="shared" si="107"/>
        <v>0</v>
      </c>
      <c r="AE129" s="356">
        <f t="shared" si="108"/>
        <v>0</v>
      </c>
      <c r="AF129" s="356">
        <f t="shared" si="109"/>
        <v>0</v>
      </c>
      <c r="AG129" s="356">
        <f t="shared" si="110"/>
        <v>0</v>
      </c>
      <c r="AH129" s="361">
        <f t="shared" si="79"/>
        <v>1.1000000000000001</v>
      </c>
      <c r="AI129" s="356">
        <f t="shared" si="80"/>
        <v>0</v>
      </c>
      <c r="AJ129" s="356">
        <f t="shared" si="81"/>
        <v>0</v>
      </c>
      <c r="AK129" s="360">
        <f t="shared" si="82"/>
        <v>0</v>
      </c>
      <c r="AL129" s="356" t="str">
        <f t="shared" si="83"/>
        <v>-</v>
      </c>
      <c r="AM129" s="356" t="str">
        <f t="shared" si="84"/>
        <v>-</v>
      </c>
      <c r="AN129" s="356" t="str">
        <f t="shared" si="85"/>
        <v>-</v>
      </c>
      <c r="AO129" s="356" t="e">
        <f t="shared" si="86"/>
        <v>#VALUE!</v>
      </c>
      <c r="AP129" s="358" t="str">
        <f t="shared" si="87"/>
        <v>-</v>
      </c>
      <c r="AQ129" s="357" t="str">
        <f t="shared" si="111"/>
        <v>-</v>
      </c>
      <c r="AR129" s="357" t="str">
        <f t="shared" si="112"/>
        <v>-</v>
      </c>
      <c r="AS129" s="356" t="str">
        <f t="shared" si="90"/>
        <v>-</v>
      </c>
      <c r="AT129" s="355" t="str">
        <f t="shared" si="91"/>
        <v>-</v>
      </c>
      <c r="AU129" s="356" t="str">
        <f t="shared" si="92"/>
        <v>-</v>
      </c>
      <c r="AV129" s="356" t="e">
        <f t="shared" si="93"/>
        <v>#DIV/0!</v>
      </c>
      <c r="AW129" s="355" t="str">
        <f t="shared" si="94"/>
        <v>-</v>
      </c>
      <c r="AX129" s="359"/>
      <c r="AY129" s="356" t="str">
        <f t="shared" si="95"/>
        <v>-</v>
      </c>
      <c r="AZ129" s="356" t="str">
        <f t="shared" si="96"/>
        <v>-</v>
      </c>
      <c r="BA129" s="356">
        <f t="shared" si="97"/>
        <v>0</v>
      </c>
      <c r="BB129" s="356" t="e">
        <f t="shared" si="98"/>
        <v>#VALUE!</v>
      </c>
      <c r="BC129" s="358" t="str">
        <f t="shared" si="99"/>
        <v>-</v>
      </c>
      <c r="BD129" s="356" t="e">
        <f t="shared" si="100"/>
        <v>#VALUE!</v>
      </c>
      <c r="BE129" s="357" t="str">
        <f t="shared" si="101"/>
        <v>-</v>
      </c>
      <c r="BF129" s="357" t="str">
        <f t="shared" si="102"/>
        <v>-</v>
      </c>
      <c r="BG129" s="356">
        <f t="shared" si="103"/>
        <v>0</v>
      </c>
    </row>
    <row r="130" spans="1:59" x14ac:dyDescent="0.25">
      <c r="A130" s="355">
        <f t="shared" si="104"/>
        <v>103</v>
      </c>
      <c r="B130" s="363"/>
      <c r="C130" s="363"/>
      <c r="D130" s="363"/>
      <c r="E130" s="363"/>
      <c r="F130" s="363"/>
      <c r="G130" s="363"/>
      <c r="H130" s="359"/>
      <c r="I130" s="359"/>
      <c r="J130" s="362"/>
      <c r="K130" s="359"/>
      <c r="L130" s="359"/>
      <c r="M130" s="359"/>
      <c r="N130" s="359"/>
      <c r="O130" s="359"/>
      <c r="P130" s="359"/>
      <c r="Q130" s="359"/>
      <c r="R130" s="359"/>
      <c r="S130" s="359"/>
      <c r="T130" s="359"/>
      <c r="U130" s="359"/>
      <c r="V130" s="359"/>
      <c r="W130" s="359"/>
      <c r="X130" s="359"/>
      <c r="Y130" s="359"/>
      <c r="Z130" s="359"/>
      <c r="AA130" s="356">
        <f t="shared" si="72"/>
        <v>0</v>
      </c>
      <c r="AB130" s="356">
        <f t="shared" si="105"/>
        <v>0</v>
      </c>
      <c r="AC130" s="356">
        <f t="shared" si="106"/>
        <v>0</v>
      </c>
      <c r="AD130" s="356">
        <f t="shared" si="107"/>
        <v>0</v>
      </c>
      <c r="AE130" s="356">
        <f t="shared" si="108"/>
        <v>0</v>
      </c>
      <c r="AF130" s="356">
        <f t="shared" si="109"/>
        <v>0</v>
      </c>
      <c r="AG130" s="356">
        <f t="shared" si="110"/>
        <v>0</v>
      </c>
      <c r="AH130" s="361">
        <f t="shared" si="79"/>
        <v>1.1000000000000001</v>
      </c>
      <c r="AI130" s="356">
        <f t="shared" si="80"/>
        <v>0</v>
      </c>
      <c r="AJ130" s="356">
        <f t="shared" si="81"/>
        <v>0</v>
      </c>
      <c r="AK130" s="360">
        <f t="shared" si="82"/>
        <v>0</v>
      </c>
      <c r="AL130" s="356" t="str">
        <f t="shared" si="83"/>
        <v>-</v>
      </c>
      <c r="AM130" s="356" t="str">
        <f t="shared" si="84"/>
        <v>-</v>
      </c>
      <c r="AN130" s="356" t="str">
        <f t="shared" si="85"/>
        <v>-</v>
      </c>
      <c r="AO130" s="356" t="e">
        <f t="shared" si="86"/>
        <v>#VALUE!</v>
      </c>
      <c r="AP130" s="358" t="str">
        <f t="shared" si="87"/>
        <v>-</v>
      </c>
      <c r="AQ130" s="357" t="str">
        <f t="shared" si="111"/>
        <v>-</v>
      </c>
      <c r="AR130" s="357" t="str">
        <f t="shared" si="112"/>
        <v>-</v>
      </c>
      <c r="AS130" s="356" t="str">
        <f t="shared" si="90"/>
        <v>-</v>
      </c>
      <c r="AT130" s="355" t="str">
        <f t="shared" si="91"/>
        <v>-</v>
      </c>
      <c r="AU130" s="356" t="str">
        <f t="shared" si="92"/>
        <v>-</v>
      </c>
      <c r="AV130" s="356" t="e">
        <f t="shared" si="93"/>
        <v>#DIV/0!</v>
      </c>
      <c r="AW130" s="355" t="str">
        <f t="shared" si="94"/>
        <v>-</v>
      </c>
      <c r="AX130" s="359"/>
      <c r="AY130" s="356" t="str">
        <f t="shared" si="95"/>
        <v>-</v>
      </c>
      <c r="AZ130" s="356" t="str">
        <f t="shared" si="96"/>
        <v>-</v>
      </c>
      <c r="BA130" s="356">
        <f t="shared" si="97"/>
        <v>0</v>
      </c>
      <c r="BB130" s="356" t="e">
        <f t="shared" si="98"/>
        <v>#VALUE!</v>
      </c>
      <c r="BC130" s="358" t="str">
        <f t="shared" si="99"/>
        <v>-</v>
      </c>
      <c r="BD130" s="356" t="e">
        <f t="shared" si="100"/>
        <v>#VALUE!</v>
      </c>
      <c r="BE130" s="357" t="str">
        <f t="shared" si="101"/>
        <v>-</v>
      </c>
      <c r="BF130" s="357" t="str">
        <f t="shared" si="102"/>
        <v>-</v>
      </c>
      <c r="BG130" s="356">
        <f t="shared" si="103"/>
        <v>0</v>
      </c>
    </row>
    <row r="131" spans="1:59" x14ac:dyDescent="0.25">
      <c r="A131" s="355">
        <f t="shared" si="104"/>
        <v>104</v>
      </c>
      <c r="B131" s="363"/>
      <c r="C131" s="363"/>
      <c r="D131" s="363"/>
      <c r="E131" s="363"/>
      <c r="F131" s="363"/>
      <c r="G131" s="363"/>
      <c r="H131" s="359"/>
      <c r="I131" s="359"/>
      <c r="J131" s="362"/>
      <c r="K131" s="359"/>
      <c r="L131" s="359"/>
      <c r="M131" s="359"/>
      <c r="N131" s="359"/>
      <c r="O131" s="359"/>
      <c r="P131" s="359"/>
      <c r="Q131" s="359"/>
      <c r="R131" s="359"/>
      <c r="S131" s="359"/>
      <c r="T131" s="359"/>
      <c r="U131" s="359"/>
      <c r="V131" s="359"/>
      <c r="W131" s="359"/>
      <c r="X131" s="359"/>
      <c r="Y131" s="359"/>
      <c r="Z131" s="359"/>
      <c r="AA131" s="356">
        <f t="shared" si="72"/>
        <v>0</v>
      </c>
      <c r="AB131" s="356">
        <f t="shared" si="105"/>
        <v>0</v>
      </c>
      <c r="AC131" s="356">
        <f t="shared" si="106"/>
        <v>0</v>
      </c>
      <c r="AD131" s="356">
        <f t="shared" si="107"/>
        <v>0</v>
      </c>
      <c r="AE131" s="356">
        <f t="shared" si="108"/>
        <v>0</v>
      </c>
      <c r="AF131" s="356">
        <f t="shared" si="109"/>
        <v>0</v>
      </c>
      <c r="AG131" s="356">
        <f t="shared" si="110"/>
        <v>0</v>
      </c>
      <c r="AH131" s="361">
        <f t="shared" si="79"/>
        <v>1.1000000000000001</v>
      </c>
      <c r="AI131" s="356">
        <f t="shared" si="80"/>
        <v>0</v>
      </c>
      <c r="AJ131" s="356">
        <f t="shared" si="81"/>
        <v>0</v>
      </c>
      <c r="AK131" s="360">
        <f t="shared" si="82"/>
        <v>0</v>
      </c>
      <c r="AL131" s="356" t="str">
        <f t="shared" si="83"/>
        <v>-</v>
      </c>
      <c r="AM131" s="356" t="str">
        <f t="shared" si="84"/>
        <v>-</v>
      </c>
      <c r="AN131" s="356" t="str">
        <f t="shared" si="85"/>
        <v>-</v>
      </c>
      <c r="AO131" s="356" t="e">
        <f t="shared" si="86"/>
        <v>#VALUE!</v>
      </c>
      <c r="AP131" s="358" t="str">
        <f t="shared" si="87"/>
        <v>-</v>
      </c>
      <c r="AQ131" s="357" t="str">
        <f t="shared" si="111"/>
        <v>-</v>
      </c>
      <c r="AR131" s="357" t="str">
        <f t="shared" si="112"/>
        <v>-</v>
      </c>
      <c r="AS131" s="356" t="str">
        <f t="shared" si="90"/>
        <v>-</v>
      </c>
      <c r="AT131" s="355" t="str">
        <f t="shared" si="91"/>
        <v>-</v>
      </c>
      <c r="AU131" s="356" t="str">
        <f t="shared" si="92"/>
        <v>-</v>
      </c>
      <c r="AV131" s="356" t="e">
        <f t="shared" si="93"/>
        <v>#DIV/0!</v>
      </c>
      <c r="AW131" s="355" t="str">
        <f t="shared" si="94"/>
        <v>-</v>
      </c>
      <c r="AX131" s="359"/>
      <c r="AY131" s="356" t="str">
        <f t="shared" si="95"/>
        <v>-</v>
      </c>
      <c r="AZ131" s="356" t="str">
        <f t="shared" si="96"/>
        <v>-</v>
      </c>
      <c r="BA131" s="356">
        <f t="shared" si="97"/>
        <v>0</v>
      </c>
      <c r="BB131" s="356" t="e">
        <f t="shared" si="98"/>
        <v>#VALUE!</v>
      </c>
      <c r="BC131" s="358" t="str">
        <f t="shared" si="99"/>
        <v>-</v>
      </c>
      <c r="BD131" s="356" t="e">
        <f t="shared" si="100"/>
        <v>#VALUE!</v>
      </c>
      <c r="BE131" s="357" t="str">
        <f t="shared" si="101"/>
        <v>-</v>
      </c>
      <c r="BF131" s="357" t="str">
        <f t="shared" si="102"/>
        <v>-</v>
      </c>
      <c r="BG131" s="356">
        <f t="shared" si="103"/>
        <v>0</v>
      </c>
    </row>
    <row r="132" spans="1:59" x14ac:dyDescent="0.25">
      <c r="A132" s="355">
        <f t="shared" si="104"/>
        <v>105</v>
      </c>
      <c r="B132" s="363"/>
      <c r="C132" s="363"/>
      <c r="D132" s="363"/>
      <c r="E132" s="363"/>
      <c r="F132" s="363"/>
      <c r="G132" s="363"/>
      <c r="H132" s="359"/>
      <c r="I132" s="359"/>
      <c r="J132" s="362"/>
      <c r="K132" s="359"/>
      <c r="L132" s="359"/>
      <c r="M132" s="359"/>
      <c r="N132" s="359"/>
      <c r="O132" s="359"/>
      <c r="P132" s="359"/>
      <c r="Q132" s="359"/>
      <c r="R132" s="359"/>
      <c r="S132" s="359"/>
      <c r="T132" s="359"/>
      <c r="U132" s="359"/>
      <c r="V132" s="359"/>
      <c r="W132" s="359"/>
      <c r="X132" s="359"/>
      <c r="Y132" s="359"/>
      <c r="Z132" s="359"/>
      <c r="AA132" s="356">
        <f t="shared" si="72"/>
        <v>0</v>
      </c>
      <c r="AB132" s="356">
        <f t="shared" si="105"/>
        <v>0</v>
      </c>
      <c r="AC132" s="356">
        <f t="shared" si="106"/>
        <v>0</v>
      </c>
      <c r="AD132" s="356">
        <f t="shared" si="107"/>
        <v>0</v>
      </c>
      <c r="AE132" s="356">
        <f t="shared" si="108"/>
        <v>0</v>
      </c>
      <c r="AF132" s="356">
        <f t="shared" si="109"/>
        <v>0</v>
      </c>
      <c r="AG132" s="356">
        <f t="shared" si="110"/>
        <v>0</v>
      </c>
      <c r="AH132" s="361">
        <f t="shared" si="79"/>
        <v>1.1000000000000001</v>
      </c>
      <c r="AI132" s="356">
        <f t="shared" si="80"/>
        <v>0</v>
      </c>
      <c r="AJ132" s="356">
        <f t="shared" si="81"/>
        <v>0</v>
      </c>
      <c r="AK132" s="360">
        <f t="shared" si="82"/>
        <v>0</v>
      </c>
      <c r="AL132" s="356" t="str">
        <f t="shared" si="83"/>
        <v>-</v>
      </c>
      <c r="AM132" s="356" t="str">
        <f t="shared" si="84"/>
        <v>-</v>
      </c>
      <c r="AN132" s="356" t="str">
        <f t="shared" si="85"/>
        <v>-</v>
      </c>
      <c r="AO132" s="356" t="e">
        <f t="shared" si="86"/>
        <v>#VALUE!</v>
      </c>
      <c r="AP132" s="358" t="str">
        <f t="shared" si="87"/>
        <v>-</v>
      </c>
      <c r="AQ132" s="357" t="str">
        <f t="shared" si="111"/>
        <v>-</v>
      </c>
      <c r="AR132" s="357" t="str">
        <f t="shared" si="112"/>
        <v>-</v>
      </c>
      <c r="AS132" s="356" t="str">
        <f t="shared" si="90"/>
        <v>-</v>
      </c>
      <c r="AT132" s="355" t="str">
        <f t="shared" si="91"/>
        <v>-</v>
      </c>
      <c r="AU132" s="356" t="str">
        <f t="shared" si="92"/>
        <v>-</v>
      </c>
      <c r="AV132" s="356" t="e">
        <f t="shared" si="93"/>
        <v>#DIV/0!</v>
      </c>
      <c r="AW132" s="355" t="str">
        <f t="shared" si="94"/>
        <v>-</v>
      </c>
      <c r="AX132" s="359"/>
      <c r="AY132" s="356" t="str">
        <f t="shared" si="95"/>
        <v>-</v>
      </c>
      <c r="AZ132" s="356" t="str">
        <f t="shared" si="96"/>
        <v>-</v>
      </c>
      <c r="BA132" s="356">
        <f t="shared" si="97"/>
        <v>0</v>
      </c>
      <c r="BB132" s="356" t="e">
        <f t="shared" si="98"/>
        <v>#VALUE!</v>
      </c>
      <c r="BC132" s="358" t="str">
        <f t="shared" si="99"/>
        <v>-</v>
      </c>
      <c r="BD132" s="356" t="e">
        <f t="shared" si="100"/>
        <v>#VALUE!</v>
      </c>
      <c r="BE132" s="357" t="str">
        <f t="shared" si="101"/>
        <v>-</v>
      </c>
      <c r="BF132" s="357" t="str">
        <f t="shared" si="102"/>
        <v>-</v>
      </c>
      <c r="BG132" s="356">
        <f t="shared" si="103"/>
        <v>0</v>
      </c>
    </row>
    <row r="133" spans="1:59" x14ac:dyDescent="0.25">
      <c r="A133" s="355">
        <f t="shared" si="104"/>
        <v>106</v>
      </c>
      <c r="B133" s="363"/>
      <c r="C133" s="363"/>
      <c r="D133" s="363"/>
      <c r="E133" s="363"/>
      <c r="F133" s="363"/>
      <c r="G133" s="363"/>
      <c r="H133" s="359"/>
      <c r="I133" s="359"/>
      <c r="J133" s="362"/>
      <c r="K133" s="359"/>
      <c r="L133" s="359"/>
      <c r="M133" s="359"/>
      <c r="N133" s="359"/>
      <c r="O133" s="359"/>
      <c r="P133" s="359"/>
      <c r="Q133" s="359"/>
      <c r="R133" s="359"/>
      <c r="S133" s="359"/>
      <c r="T133" s="359"/>
      <c r="U133" s="359"/>
      <c r="V133" s="359"/>
      <c r="W133" s="359"/>
      <c r="X133" s="359"/>
      <c r="Y133" s="359"/>
      <c r="Z133" s="359"/>
      <c r="AA133" s="356">
        <f t="shared" si="72"/>
        <v>0</v>
      </c>
      <c r="AB133" s="356">
        <f t="shared" si="105"/>
        <v>0</v>
      </c>
      <c r="AC133" s="356">
        <f t="shared" si="106"/>
        <v>0</v>
      </c>
      <c r="AD133" s="356">
        <f t="shared" si="107"/>
        <v>0</v>
      </c>
      <c r="AE133" s="356">
        <f t="shared" si="108"/>
        <v>0</v>
      </c>
      <c r="AF133" s="356">
        <f t="shared" si="109"/>
        <v>0</v>
      </c>
      <c r="AG133" s="356">
        <f t="shared" si="110"/>
        <v>0</v>
      </c>
      <c r="AH133" s="361">
        <f t="shared" si="79"/>
        <v>1.1000000000000001</v>
      </c>
      <c r="AI133" s="356">
        <f t="shared" si="80"/>
        <v>0</v>
      </c>
      <c r="AJ133" s="356">
        <f t="shared" si="81"/>
        <v>0</v>
      </c>
      <c r="AK133" s="360">
        <f t="shared" si="82"/>
        <v>0</v>
      </c>
      <c r="AL133" s="356" t="str">
        <f t="shared" si="83"/>
        <v>-</v>
      </c>
      <c r="AM133" s="356" t="str">
        <f t="shared" si="84"/>
        <v>-</v>
      </c>
      <c r="AN133" s="356" t="str">
        <f t="shared" si="85"/>
        <v>-</v>
      </c>
      <c r="AO133" s="356" t="e">
        <f t="shared" si="86"/>
        <v>#VALUE!</v>
      </c>
      <c r="AP133" s="358" t="str">
        <f t="shared" si="87"/>
        <v>-</v>
      </c>
      <c r="AQ133" s="357" t="str">
        <f t="shared" si="111"/>
        <v>-</v>
      </c>
      <c r="AR133" s="357" t="str">
        <f t="shared" si="112"/>
        <v>-</v>
      </c>
      <c r="AS133" s="356" t="str">
        <f t="shared" si="90"/>
        <v>-</v>
      </c>
      <c r="AT133" s="355" t="str">
        <f t="shared" si="91"/>
        <v>-</v>
      </c>
      <c r="AU133" s="356" t="str">
        <f t="shared" si="92"/>
        <v>-</v>
      </c>
      <c r="AV133" s="356" t="e">
        <f t="shared" si="93"/>
        <v>#DIV/0!</v>
      </c>
      <c r="AW133" s="355" t="str">
        <f t="shared" si="94"/>
        <v>-</v>
      </c>
      <c r="AX133" s="359"/>
      <c r="AY133" s="356" t="str">
        <f t="shared" si="95"/>
        <v>-</v>
      </c>
      <c r="AZ133" s="356" t="str">
        <f t="shared" si="96"/>
        <v>-</v>
      </c>
      <c r="BA133" s="356">
        <f t="shared" si="97"/>
        <v>0</v>
      </c>
      <c r="BB133" s="356" t="e">
        <f t="shared" si="98"/>
        <v>#VALUE!</v>
      </c>
      <c r="BC133" s="358" t="str">
        <f t="shared" si="99"/>
        <v>-</v>
      </c>
      <c r="BD133" s="356" t="e">
        <f t="shared" si="100"/>
        <v>#VALUE!</v>
      </c>
      <c r="BE133" s="357" t="str">
        <f t="shared" si="101"/>
        <v>-</v>
      </c>
      <c r="BF133" s="357" t="str">
        <f t="shared" si="102"/>
        <v>-</v>
      </c>
      <c r="BG133" s="356">
        <f t="shared" si="103"/>
        <v>0</v>
      </c>
    </row>
    <row r="134" spans="1:59" x14ac:dyDescent="0.25">
      <c r="A134" s="355">
        <f t="shared" si="104"/>
        <v>107</v>
      </c>
      <c r="B134" s="363"/>
      <c r="C134" s="363"/>
      <c r="D134" s="363"/>
      <c r="E134" s="363"/>
      <c r="F134" s="363"/>
      <c r="G134" s="363"/>
      <c r="H134" s="359"/>
      <c r="I134" s="359"/>
      <c r="J134" s="362"/>
      <c r="K134" s="359"/>
      <c r="L134" s="359"/>
      <c r="M134" s="359"/>
      <c r="N134" s="359"/>
      <c r="O134" s="359"/>
      <c r="P134" s="359"/>
      <c r="Q134" s="359"/>
      <c r="R134" s="359"/>
      <c r="S134" s="359"/>
      <c r="T134" s="359"/>
      <c r="U134" s="359"/>
      <c r="V134" s="359"/>
      <c r="W134" s="359"/>
      <c r="X134" s="359"/>
      <c r="Y134" s="359"/>
      <c r="Z134" s="359"/>
      <c r="AA134" s="356">
        <f t="shared" si="72"/>
        <v>0</v>
      </c>
      <c r="AB134" s="356">
        <f t="shared" si="105"/>
        <v>0</v>
      </c>
      <c r="AC134" s="356">
        <f t="shared" si="106"/>
        <v>0</v>
      </c>
      <c r="AD134" s="356">
        <f t="shared" si="107"/>
        <v>0</v>
      </c>
      <c r="AE134" s="356">
        <f t="shared" si="108"/>
        <v>0</v>
      </c>
      <c r="AF134" s="356">
        <f t="shared" si="109"/>
        <v>0</v>
      </c>
      <c r="AG134" s="356">
        <f t="shared" si="110"/>
        <v>0</v>
      </c>
      <c r="AH134" s="361">
        <f t="shared" si="79"/>
        <v>1.1000000000000001</v>
      </c>
      <c r="AI134" s="356">
        <f t="shared" si="80"/>
        <v>0</v>
      </c>
      <c r="AJ134" s="356">
        <f t="shared" si="81"/>
        <v>0</v>
      </c>
      <c r="AK134" s="360">
        <f t="shared" si="82"/>
        <v>0</v>
      </c>
      <c r="AL134" s="356" t="str">
        <f t="shared" si="83"/>
        <v>-</v>
      </c>
      <c r="AM134" s="356" t="str">
        <f t="shared" si="84"/>
        <v>-</v>
      </c>
      <c r="AN134" s="356" t="str">
        <f t="shared" si="85"/>
        <v>-</v>
      </c>
      <c r="AO134" s="356" t="e">
        <f t="shared" si="86"/>
        <v>#VALUE!</v>
      </c>
      <c r="AP134" s="358" t="str">
        <f t="shared" si="87"/>
        <v>-</v>
      </c>
      <c r="AQ134" s="357" t="str">
        <f t="shared" si="111"/>
        <v>-</v>
      </c>
      <c r="AR134" s="357" t="str">
        <f t="shared" si="112"/>
        <v>-</v>
      </c>
      <c r="AS134" s="356" t="str">
        <f t="shared" si="90"/>
        <v>-</v>
      </c>
      <c r="AT134" s="355" t="str">
        <f t="shared" si="91"/>
        <v>-</v>
      </c>
      <c r="AU134" s="356" t="str">
        <f t="shared" si="92"/>
        <v>-</v>
      </c>
      <c r="AV134" s="356" t="e">
        <f t="shared" si="93"/>
        <v>#DIV/0!</v>
      </c>
      <c r="AW134" s="355" t="str">
        <f t="shared" si="94"/>
        <v>-</v>
      </c>
      <c r="AX134" s="359"/>
      <c r="AY134" s="356" t="str">
        <f t="shared" si="95"/>
        <v>-</v>
      </c>
      <c r="AZ134" s="356" t="str">
        <f t="shared" si="96"/>
        <v>-</v>
      </c>
      <c r="BA134" s="356">
        <f t="shared" si="97"/>
        <v>0</v>
      </c>
      <c r="BB134" s="356" t="e">
        <f t="shared" si="98"/>
        <v>#VALUE!</v>
      </c>
      <c r="BC134" s="358" t="str">
        <f t="shared" si="99"/>
        <v>-</v>
      </c>
      <c r="BD134" s="356" t="e">
        <f t="shared" si="100"/>
        <v>#VALUE!</v>
      </c>
      <c r="BE134" s="357" t="str">
        <f t="shared" si="101"/>
        <v>-</v>
      </c>
      <c r="BF134" s="357" t="str">
        <f t="shared" si="102"/>
        <v>-</v>
      </c>
      <c r="BG134" s="356">
        <f t="shared" si="103"/>
        <v>0</v>
      </c>
    </row>
    <row r="135" spans="1:59" x14ac:dyDescent="0.25">
      <c r="A135" s="355">
        <f t="shared" si="104"/>
        <v>108</v>
      </c>
      <c r="B135" s="363"/>
      <c r="C135" s="363"/>
      <c r="D135" s="363"/>
      <c r="E135" s="363"/>
      <c r="F135" s="363"/>
      <c r="G135" s="363"/>
      <c r="H135" s="359"/>
      <c r="I135" s="359"/>
      <c r="J135" s="362"/>
      <c r="K135" s="359"/>
      <c r="L135" s="359"/>
      <c r="M135" s="359"/>
      <c r="N135" s="359"/>
      <c r="O135" s="359"/>
      <c r="P135" s="359"/>
      <c r="Q135" s="359"/>
      <c r="R135" s="359"/>
      <c r="S135" s="359"/>
      <c r="T135" s="359"/>
      <c r="U135" s="359"/>
      <c r="V135" s="359"/>
      <c r="W135" s="359"/>
      <c r="X135" s="359"/>
      <c r="Y135" s="359"/>
      <c r="Z135" s="359"/>
      <c r="AA135" s="356">
        <f t="shared" si="72"/>
        <v>0</v>
      </c>
      <c r="AB135" s="356">
        <f t="shared" si="105"/>
        <v>0</v>
      </c>
      <c r="AC135" s="356">
        <f t="shared" si="106"/>
        <v>0</v>
      </c>
      <c r="AD135" s="356">
        <f t="shared" si="107"/>
        <v>0</v>
      </c>
      <c r="AE135" s="356">
        <f t="shared" si="108"/>
        <v>0</v>
      </c>
      <c r="AF135" s="356">
        <f t="shared" si="109"/>
        <v>0</v>
      </c>
      <c r="AG135" s="356">
        <f t="shared" si="110"/>
        <v>0</v>
      </c>
      <c r="AH135" s="361">
        <f t="shared" si="79"/>
        <v>1.1000000000000001</v>
      </c>
      <c r="AI135" s="356">
        <f t="shared" si="80"/>
        <v>0</v>
      </c>
      <c r="AJ135" s="356">
        <f t="shared" si="81"/>
        <v>0</v>
      </c>
      <c r="AK135" s="360">
        <f t="shared" si="82"/>
        <v>0</v>
      </c>
      <c r="AL135" s="356" t="str">
        <f t="shared" si="83"/>
        <v>-</v>
      </c>
      <c r="AM135" s="356" t="str">
        <f t="shared" si="84"/>
        <v>-</v>
      </c>
      <c r="AN135" s="356" t="str">
        <f t="shared" si="85"/>
        <v>-</v>
      </c>
      <c r="AO135" s="356" t="e">
        <f t="shared" si="86"/>
        <v>#VALUE!</v>
      </c>
      <c r="AP135" s="358" t="str">
        <f t="shared" si="87"/>
        <v>-</v>
      </c>
      <c r="AQ135" s="357" t="str">
        <f t="shared" si="111"/>
        <v>-</v>
      </c>
      <c r="AR135" s="357" t="str">
        <f t="shared" si="112"/>
        <v>-</v>
      </c>
      <c r="AS135" s="356" t="str">
        <f t="shared" si="90"/>
        <v>-</v>
      </c>
      <c r="AT135" s="355" t="str">
        <f t="shared" si="91"/>
        <v>-</v>
      </c>
      <c r="AU135" s="356" t="str">
        <f t="shared" si="92"/>
        <v>-</v>
      </c>
      <c r="AV135" s="356" t="e">
        <f t="shared" si="93"/>
        <v>#DIV/0!</v>
      </c>
      <c r="AW135" s="355" t="str">
        <f t="shared" si="94"/>
        <v>-</v>
      </c>
      <c r="AX135" s="359"/>
      <c r="AY135" s="356" t="str">
        <f t="shared" si="95"/>
        <v>-</v>
      </c>
      <c r="AZ135" s="356" t="str">
        <f t="shared" si="96"/>
        <v>-</v>
      </c>
      <c r="BA135" s="356">
        <f t="shared" si="97"/>
        <v>0</v>
      </c>
      <c r="BB135" s="356" t="e">
        <f t="shared" si="98"/>
        <v>#VALUE!</v>
      </c>
      <c r="BC135" s="358" t="str">
        <f t="shared" si="99"/>
        <v>-</v>
      </c>
      <c r="BD135" s="356" t="e">
        <f t="shared" si="100"/>
        <v>#VALUE!</v>
      </c>
      <c r="BE135" s="357" t="str">
        <f t="shared" si="101"/>
        <v>-</v>
      </c>
      <c r="BF135" s="357" t="str">
        <f t="shared" si="102"/>
        <v>-</v>
      </c>
      <c r="BG135" s="356">
        <f t="shared" si="103"/>
        <v>0</v>
      </c>
    </row>
    <row r="136" spans="1:59" x14ac:dyDescent="0.25">
      <c r="A136" s="355">
        <f t="shared" si="104"/>
        <v>109</v>
      </c>
      <c r="B136" s="363"/>
      <c r="C136" s="363"/>
      <c r="D136" s="363"/>
      <c r="E136" s="363"/>
      <c r="F136" s="363"/>
      <c r="G136" s="363"/>
      <c r="H136" s="359"/>
      <c r="I136" s="359"/>
      <c r="J136" s="362"/>
      <c r="K136" s="359"/>
      <c r="L136" s="359"/>
      <c r="M136" s="359"/>
      <c r="N136" s="359"/>
      <c r="O136" s="359"/>
      <c r="P136" s="359"/>
      <c r="Q136" s="359"/>
      <c r="R136" s="359"/>
      <c r="S136" s="359"/>
      <c r="T136" s="359"/>
      <c r="U136" s="359"/>
      <c r="V136" s="359"/>
      <c r="W136" s="359"/>
      <c r="X136" s="359"/>
      <c r="Y136" s="359"/>
      <c r="Z136" s="359"/>
      <c r="AA136" s="356">
        <f t="shared" si="72"/>
        <v>0</v>
      </c>
      <c r="AB136" s="356">
        <f t="shared" si="105"/>
        <v>0</v>
      </c>
      <c r="AC136" s="356">
        <f t="shared" si="106"/>
        <v>0</v>
      </c>
      <c r="AD136" s="356">
        <f t="shared" si="107"/>
        <v>0</v>
      </c>
      <c r="AE136" s="356">
        <f t="shared" si="108"/>
        <v>0</v>
      </c>
      <c r="AF136" s="356">
        <f t="shared" si="109"/>
        <v>0</v>
      </c>
      <c r="AG136" s="356">
        <f t="shared" si="110"/>
        <v>0</v>
      </c>
      <c r="AH136" s="361">
        <f t="shared" si="79"/>
        <v>1.1000000000000001</v>
      </c>
      <c r="AI136" s="356">
        <f t="shared" si="80"/>
        <v>0</v>
      </c>
      <c r="AJ136" s="356">
        <f t="shared" si="81"/>
        <v>0</v>
      </c>
      <c r="AK136" s="360">
        <f t="shared" si="82"/>
        <v>0</v>
      </c>
      <c r="AL136" s="356" t="str">
        <f t="shared" si="83"/>
        <v>-</v>
      </c>
      <c r="AM136" s="356" t="str">
        <f t="shared" si="84"/>
        <v>-</v>
      </c>
      <c r="AN136" s="356" t="str">
        <f t="shared" si="85"/>
        <v>-</v>
      </c>
      <c r="AO136" s="356" t="e">
        <f t="shared" si="86"/>
        <v>#VALUE!</v>
      </c>
      <c r="AP136" s="358" t="str">
        <f t="shared" si="87"/>
        <v>-</v>
      </c>
      <c r="AQ136" s="357" t="str">
        <f t="shared" si="111"/>
        <v>-</v>
      </c>
      <c r="AR136" s="357" t="str">
        <f t="shared" si="112"/>
        <v>-</v>
      </c>
      <c r="AS136" s="356" t="str">
        <f t="shared" si="90"/>
        <v>-</v>
      </c>
      <c r="AT136" s="355" t="str">
        <f t="shared" si="91"/>
        <v>-</v>
      </c>
      <c r="AU136" s="356" t="str">
        <f t="shared" si="92"/>
        <v>-</v>
      </c>
      <c r="AV136" s="356" t="e">
        <f t="shared" si="93"/>
        <v>#DIV/0!</v>
      </c>
      <c r="AW136" s="355" t="str">
        <f t="shared" si="94"/>
        <v>-</v>
      </c>
      <c r="AX136" s="359"/>
      <c r="AY136" s="356" t="str">
        <f t="shared" si="95"/>
        <v>-</v>
      </c>
      <c r="AZ136" s="356" t="str">
        <f t="shared" si="96"/>
        <v>-</v>
      </c>
      <c r="BA136" s="356">
        <f t="shared" si="97"/>
        <v>0</v>
      </c>
      <c r="BB136" s="356" t="e">
        <f t="shared" si="98"/>
        <v>#VALUE!</v>
      </c>
      <c r="BC136" s="358" t="str">
        <f t="shared" si="99"/>
        <v>-</v>
      </c>
      <c r="BD136" s="356" t="e">
        <f t="shared" si="100"/>
        <v>#VALUE!</v>
      </c>
      <c r="BE136" s="357" t="str">
        <f t="shared" si="101"/>
        <v>-</v>
      </c>
      <c r="BF136" s="357" t="str">
        <f t="shared" si="102"/>
        <v>-</v>
      </c>
      <c r="BG136" s="356">
        <f t="shared" si="103"/>
        <v>0</v>
      </c>
    </row>
    <row r="137" spans="1:59" x14ac:dyDescent="0.25">
      <c r="A137" s="355">
        <f t="shared" si="104"/>
        <v>110</v>
      </c>
      <c r="B137" s="363"/>
      <c r="C137" s="363"/>
      <c r="D137" s="363"/>
      <c r="E137" s="363"/>
      <c r="F137" s="363"/>
      <c r="G137" s="363"/>
      <c r="H137" s="359"/>
      <c r="I137" s="359"/>
      <c r="J137" s="362"/>
      <c r="K137" s="359"/>
      <c r="L137" s="359"/>
      <c r="M137" s="359"/>
      <c r="N137" s="359"/>
      <c r="O137" s="359"/>
      <c r="P137" s="359"/>
      <c r="Q137" s="359"/>
      <c r="R137" s="359"/>
      <c r="S137" s="359"/>
      <c r="T137" s="359"/>
      <c r="U137" s="359"/>
      <c r="V137" s="359"/>
      <c r="W137" s="359"/>
      <c r="X137" s="359"/>
      <c r="Y137" s="359"/>
      <c r="Z137" s="359"/>
      <c r="AA137" s="356">
        <f t="shared" si="72"/>
        <v>0</v>
      </c>
      <c r="AB137" s="356">
        <f t="shared" si="105"/>
        <v>0</v>
      </c>
      <c r="AC137" s="356">
        <f t="shared" si="106"/>
        <v>0</v>
      </c>
      <c r="AD137" s="356">
        <f t="shared" si="107"/>
        <v>0</v>
      </c>
      <c r="AE137" s="356">
        <f t="shared" si="108"/>
        <v>0</v>
      </c>
      <c r="AF137" s="356">
        <f t="shared" si="109"/>
        <v>0</v>
      </c>
      <c r="AG137" s="356">
        <f t="shared" si="110"/>
        <v>0</v>
      </c>
      <c r="AH137" s="361">
        <f t="shared" si="79"/>
        <v>1.1000000000000001</v>
      </c>
      <c r="AI137" s="356">
        <f t="shared" si="80"/>
        <v>0</v>
      </c>
      <c r="AJ137" s="356">
        <f t="shared" si="81"/>
        <v>0</v>
      </c>
      <c r="AK137" s="360">
        <f t="shared" si="82"/>
        <v>0</v>
      </c>
      <c r="AL137" s="356" t="str">
        <f t="shared" si="83"/>
        <v>-</v>
      </c>
      <c r="AM137" s="356" t="str">
        <f t="shared" si="84"/>
        <v>-</v>
      </c>
      <c r="AN137" s="356" t="str">
        <f t="shared" si="85"/>
        <v>-</v>
      </c>
      <c r="AO137" s="356" t="e">
        <f t="shared" si="86"/>
        <v>#VALUE!</v>
      </c>
      <c r="AP137" s="358" t="str">
        <f t="shared" si="87"/>
        <v>-</v>
      </c>
      <c r="AQ137" s="357" t="str">
        <f t="shared" si="111"/>
        <v>-</v>
      </c>
      <c r="AR137" s="357" t="str">
        <f t="shared" si="112"/>
        <v>-</v>
      </c>
      <c r="AS137" s="356" t="str">
        <f t="shared" si="90"/>
        <v>-</v>
      </c>
      <c r="AT137" s="355" t="str">
        <f t="shared" si="91"/>
        <v>-</v>
      </c>
      <c r="AU137" s="356" t="str">
        <f t="shared" si="92"/>
        <v>-</v>
      </c>
      <c r="AV137" s="356" t="e">
        <f t="shared" si="93"/>
        <v>#DIV/0!</v>
      </c>
      <c r="AW137" s="355" t="str">
        <f t="shared" si="94"/>
        <v>-</v>
      </c>
      <c r="AX137" s="359"/>
      <c r="AY137" s="356" t="str">
        <f t="shared" si="95"/>
        <v>-</v>
      </c>
      <c r="AZ137" s="356" t="str">
        <f t="shared" si="96"/>
        <v>-</v>
      </c>
      <c r="BA137" s="356">
        <f t="shared" si="97"/>
        <v>0</v>
      </c>
      <c r="BB137" s="356" t="e">
        <f t="shared" si="98"/>
        <v>#VALUE!</v>
      </c>
      <c r="BC137" s="358" t="str">
        <f t="shared" si="99"/>
        <v>-</v>
      </c>
      <c r="BD137" s="356" t="e">
        <f t="shared" si="100"/>
        <v>#VALUE!</v>
      </c>
      <c r="BE137" s="357" t="str">
        <f t="shared" si="101"/>
        <v>-</v>
      </c>
      <c r="BF137" s="357" t="str">
        <f t="shared" si="102"/>
        <v>-</v>
      </c>
      <c r="BG137" s="356">
        <f t="shared" si="103"/>
        <v>0</v>
      </c>
    </row>
    <row r="138" spans="1:59" x14ac:dyDescent="0.25">
      <c r="A138" s="355">
        <f t="shared" si="104"/>
        <v>111</v>
      </c>
      <c r="B138" s="363"/>
      <c r="C138" s="363"/>
      <c r="D138" s="363"/>
      <c r="E138" s="363"/>
      <c r="F138" s="363"/>
      <c r="G138" s="363"/>
      <c r="H138" s="359"/>
      <c r="I138" s="359"/>
      <c r="J138" s="362"/>
      <c r="K138" s="359"/>
      <c r="L138" s="359"/>
      <c r="M138" s="359"/>
      <c r="N138" s="359"/>
      <c r="O138" s="359"/>
      <c r="P138" s="359"/>
      <c r="Q138" s="359"/>
      <c r="R138" s="359"/>
      <c r="S138" s="359"/>
      <c r="T138" s="359"/>
      <c r="U138" s="359"/>
      <c r="V138" s="359"/>
      <c r="W138" s="359"/>
      <c r="X138" s="359"/>
      <c r="Y138" s="359"/>
      <c r="Z138" s="359"/>
      <c r="AA138" s="356">
        <f t="shared" si="72"/>
        <v>0</v>
      </c>
      <c r="AB138" s="356">
        <f t="shared" si="105"/>
        <v>0</v>
      </c>
      <c r="AC138" s="356">
        <f t="shared" si="106"/>
        <v>0</v>
      </c>
      <c r="AD138" s="356">
        <f t="shared" si="107"/>
        <v>0</v>
      </c>
      <c r="AE138" s="356">
        <f t="shared" si="108"/>
        <v>0</v>
      </c>
      <c r="AF138" s="356">
        <f t="shared" si="109"/>
        <v>0</v>
      </c>
      <c r="AG138" s="356">
        <f t="shared" si="110"/>
        <v>0</v>
      </c>
      <c r="AH138" s="361">
        <f t="shared" si="79"/>
        <v>1.1000000000000001</v>
      </c>
      <c r="AI138" s="356">
        <f t="shared" si="80"/>
        <v>0</v>
      </c>
      <c r="AJ138" s="356">
        <f t="shared" si="81"/>
        <v>0</v>
      </c>
      <c r="AK138" s="360">
        <f t="shared" si="82"/>
        <v>0</v>
      </c>
      <c r="AL138" s="356" t="str">
        <f t="shared" si="83"/>
        <v>-</v>
      </c>
      <c r="AM138" s="356" t="str">
        <f t="shared" si="84"/>
        <v>-</v>
      </c>
      <c r="AN138" s="356" t="str">
        <f t="shared" si="85"/>
        <v>-</v>
      </c>
      <c r="AO138" s="356" t="e">
        <f t="shared" si="86"/>
        <v>#VALUE!</v>
      </c>
      <c r="AP138" s="358" t="str">
        <f t="shared" si="87"/>
        <v>-</v>
      </c>
      <c r="AQ138" s="357" t="str">
        <f t="shared" si="111"/>
        <v>-</v>
      </c>
      <c r="AR138" s="357" t="str">
        <f t="shared" si="112"/>
        <v>-</v>
      </c>
      <c r="AS138" s="356" t="str">
        <f t="shared" si="90"/>
        <v>-</v>
      </c>
      <c r="AT138" s="355" t="str">
        <f t="shared" si="91"/>
        <v>-</v>
      </c>
      <c r="AU138" s="356" t="str">
        <f t="shared" si="92"/>
        <v>-</v>
      </c>
      <c r="AV138" s="356" t="e">
        <f t="shared" si="93"/>
        <v>#DIV/0!</v>
      </c>
      <c r="AW138" s="355" t="str">
        <f t="shared" si="94"/>
        <v>-</v>
      </c>
      <c r="AX138" s="359"/>
      <c r="AY138" s="356" t="str">
        <f t="shared" si="95"/>
        <v>-</v>
      </c>
      <c r="AZ138" s="356" t="str">
        <f t="shared" si="96"/>
        <v>-</v>
      </c>
      <c r="BA138" s="356">
        <f t="shared" si="97"/>
        <v>0</v>
      </c>
      <c r="BB138" s="356" t="e">
        <f t="shared" si="98"/>
        <v>#VALUE!</v>
      </c>
      <c r="BC138" s="358" t="str">
        <f t="shared" si="99"/>
        <v>-</v>
      </c>
      <c r="BD138" s="356" t="e">
        <f t="shared" si="100"/>
        <v>#VALUE!</v>
      </c>
      <c r="BE138" s="357" t="str">
        <f t="shared" si="101"/>
        <v>-</v>
      </c>
      <c r="BF138" s="357" t="str">
        <f t="shared" si="102"/>
        <v>-</v>
      </c>
      <c r="BG138" s="356">
        <f t="shared" si="103"/>
        <v>0</v>
      </c>
    </row>
    <row r="139" spans="1:59" x14ac:dyDescent="0.25">
      <c r="A139" s="355">
        <f t="shared" si="104"/>
        <v>112</v>
      </c>
      <c r="B139" s="363"/>
      <c r="C139" s="363"/>
      <c r="D139" s="363"/>
      <c r="E139" s="363"/>
      <c r="F139" s="363"/>
      <c r="G139" s="363"/>
      <c r="H139" s="359"/>
      <c r="I139" s="359"/>
      <c r="J139" s="362"/>
      <c r="K139" s="359"/>
      <c r="L139" s="359"/>
      <c r="M139" s="359"/>
      <c r="N139" s="359"/>
      <c r="O139" s="359"/>
      <c r="P139" s="359"/>
      <c r="Q139" s="359"/>
      <c r="R139" s="359"/>
      <c r="S139" s="359"/>
      <c r="T139" s="359"/>
      <c r="U139" s="359"/>
      <c r="V139" s="359"/>
      <c r="W139" s="359"/>
      <c r="X139" s="359"/>
      <c r="Y139" s="359"/>
      <c r="Z139" s="359"/>
      <c r="AA139" s="356">
        <f t="shared" si="72"/>
        <v>0</v>
      </c>
      <c r="AB139" s="356">
        <f t="shared" si="105"/>
        <v>0</v>
      </c>
      <c r="AC139" s="356">
        <f t="shared" si="106"/>
        <v>0</v>
      </c>
      <c r="AD139" s="356">
        <f t="shared" si="107"/>
        <v>0</v>
      </c>
      <c r="AE139" s="356">
        <f t="shared" si="108"/>
        <v>0</v>
      </c>
      <c r="AF139" s="356">
        <f t="shared" si="109"/>
        <v>0</v>
      </c>
      <c r="AG139" s="356">
        <f t="shared" si="110"/>
        <v>0</v>
      </c>
      <c r="AH139" s="361">
        <f t="shared" si="79"/>
        <v>1.1000000000000001</v>
      </c>
      <c r="AI139" s="356">
        <f t="shared" si="80"/>
        <v>0</v>
      </c>
      <c r="AJ139" s="356">
        <f t="shared" si="81"/>
        <v>0</v>
      </c>
      <c r="AK139" s="360">
        <f t="shared" si="82"/>
        <v>0</v>
      </c>
      <c r="AL139" s="356" t="str">
        <f t="shared" si="83"/>
        <v>-</v>
      </c>
      <c r="AM139" s="356" t="str">
        <f t="shared" si="84"/>
        <v>-</v>
      </c>
      <c r="AN139" s="356" t="str">
        <f t="shared" si="85"/>
        <v>-</v>
      </c>
      <c r="AO139" s="356" t="e">
        <f t="shared" si="86"/>
        <v>#VALUE!</v>
      </c>
      <c r="AP139" s="358" t="str">
        <f t="shared" si="87"/>
        <v>-</v>
      </c>
      <c r="AQ139" s="357" t="str">
        <f t="shared" si="111"/>
        <v>-</v>
      </c>
      <c r="AR139" s="357" t="str">
        <f t="shared" si="112"/>
        <v>-</v>
      </c>
      <c r="AS139" s="356" t="str">
        <f t="shared" si="90"/>
        <v>-</v>
      </c>
      <c r="AT139" s="355" t="str">
        <f t="shared" si="91"/>
        <v>-</v>
      </c>
      <c r="AU139" s="356" t="str">
        <f t="shared" si="92"/>
        <v>-</v>
      </c>
      <c r="AV139" s="356" t="e">
        <f t="shared" si="93"/>
        <v>#DIV/0!</v>
      </c>
      <c r="AW139" s="355" t="str">
        <f t="shared" si="94"/>
        <v>-</v>
      </c>
      <c r="AX139" s="359"/>
      <c r="AY139" s="356" t="str">
        <f t="shared" si="95"/>
        <v>-</v>
      </c>
      <c r="AZ139" s="356" t="str">
        <f t="shared" si="96"/>
        <v>-</v>
      </c>
      <c r="BA139" s="356">
        <f t="shared" si="97"/>
        <v>0</v>
      </c>
      <c r="BB139" s="356" t="e">
        <f t="shared" si="98"/>
        <v>#VALUE!</v>
      </c>
      <c r="BC139" s="358" t="str">
        <f t="shared" si="99"/>
        <v>-</v>
      </c>
      <c r="BD139" s="356" t="e">
        <f t="shared" si="100"/>
        <v>#VALUE!</v>
      </c>
      <c r="BE139" s="357" t="str">
        <f t="shared" si="101"/>
        <v>-</v>
      </c>
      <c r="BF139" s="357" t="str">
        <f t="shared" si="102"/>
        <v>-</v>
      </c>
      <c r="BG139" s="356">
        <f t="shared" si="103"/>
        <v>0</v>
      </c>
    </row>
    <row r="140" spans="1:59" x14ac:dyDescent="0.25">
      <c r="A140" s="355">
        <f t="shared" si="104"/>
        <v>113</v>
      </c>
      <c r="B140" s="363"/>
      <c r="C140" s="363"/>
      <c r="D140" s="363"/>
      <c r="E140" s="363"/>
      <c r="F140" s="363"/>
      <c r="G140" s="363"/>
      <c r="H140" s="359"/>
      <c r="I140" s="359"/>
      <c r="J140" s="362"/>
      <c r="K140" s="359"/>
      <c r="L140" s="359"/>
      <c r="M140" s="359"/>
      <c r="N140" s="359"/>
      <c r="O140" s="359"/>
      <c r="P140" s="359"/>
      <c r="Q140" s="359"/>
      <c r="R140" s="359"/>
      <c r="S140" s="359"/>
      <c r="T140" s="359"/>
      <c r="U140" s="359"/>
      <c r="V140" s="359"/>
      <c r="W140" s="359"/>
      <c r="X140" s="359"/>
      <c r="Y140" s="359"/>
      <c r="Z140" s="359"/>
      <c r="AA140" s="356">
        <f t="shared" si="72"/>
        <v>0</v>
      </c>
      <c r="AB140" s="356">
        <f t="shared" si="105"/>
        <v>0</v>
      </c>
      <c r="AC140" s="356">
        <f t="shared" si="106"/>
        <v>0</v>
      </c>
      <c r="AD140" s="356">
        <f t="shared" si="107"/>
        <v>0</v>
      </c>
      <c r="AE140" s="356">
        <f t="shared" si="108"/>
        <v>0</v>
      </c>
      <c r="AF140" s="356">
        <f t="shared" si="109"/>
        <v>0</v>
      </c>
      <c r="AG140" s="356">
        <f t="shared" si="110"/>
        <v>0</v>
      </c>
      <c r="AH140" s="361">
        <f t="shared" si="79"/>
        <v>1.1000000000000001</v>
      </c>
      <c r="AI140" s="356">
        <f t="shared" si="80"/>
        <v>0</v>
      </c>
      <c r="AJ140" s="356">
        <f t="shared" si="81"/>
        <v>0</v>
      </c>
      <c r="AK140" s="360">
        <f t="shared" si="82"/>
        <v>0</v>
      </c>
      <c r="AL140" s="356" t="str">
        <f t="shared" si="83"/>
        <v>-</v>
      </c>
      <c r="AM140" s="356" t="str">
        <f t="shared" si="84"/>
        <v>-</v>
      </c>
      <c r="AN140" s="356" t="str">
        <f t="shared" si="85"/>
        <v>-</v>
      </c>
      <c r="AO140" s="356" t="e">
        <f t="shared" si="86"/>
        <v>#VALUE!</v>
      </c>
      <c r="AP140" s="358" t="str">
        <f t="shared" si="87"/>
        <v>-</v>
      </c>
      <c r="AQ140" s="357" t="str">
        <f t="shared" si="111"/>
        <v>-</v>
      </c>
      <c r="AR140" s="357" t="str">
        <f t="shared" si="112"/>
        <v>-</v>
      </c>
      <c r="AS140" s="356" t="str">
        <f t="shared" si="90"/>
        <v>-</v>
      </c>
      <c r="AT140" s="355" t="str">
        <f t="shared" si="91"/>
        <v>-</v>
      </c>
      <c r="AU140" s="356" t="str">
        <f t="shared" si="92"/>
        <v>-</v>
      </c>
      <c r="AV140" s="356" t="e">
        <f t="shared" si="93"/>
        <v>#DIV/0!</v>
      </c>
      <c r="AW140" s="355" t="str">
        <f t="shared" si="94"/>
        <v>-</v>
      </c>
      <c r="AX140" s="359"/>
      <c r="AY140" s="356" t="str">
        <f t="shared" si="95"/>
        <v>-</v>
      </c>
      <c r="AZ140" s="356" t="str">
        <f t="shared" si="96"/>
        <v>-</v>
      </c>
      <c r="BA140" s="356">
        <f t="shared" si="97"/>
        <v>0</v>
      </c>
      <c r="BB140" s="356" t="e">
        <f t="shared" si="98"/>
        <v>#VALUE!</v>
      </c>
      <c r="BC140" s="358" t="str">
        <f t="shared" si="99"/>
        <v>-</v>
      </c>
      <c r="BD140" s="356" t="e">
        <f t="shared" si="100"/>
        <v>#VALUE!</v>
      </c>
      <c r="BE140" s="357" t="str">
        <f t="shared" si="101"/>
        <v>-</v>
      </c>
      <c r="BF140" s="357" t="str">
        <f t="shared" si="102"/>
        <v>-</v>
      </c>
      <c r="BG140" s="356">
        <f t="shared" si="103"/>
        <v>0</v>
      </c>
    </row>
    <row r="141" spans="1:59" x14ac:dyDescent="0.25">
      <c r="A141" s="355">
        <f t="shared" si="104"/>
        <v>114</v>
      </c>
      <c r="B141" s="363"/>
      <c r="C141" s="363"/>
      <c r="D141" s="363"/>
      <c r="E141" s="363"/>
      <c r="F141" s="363"/>
      <c r="G141" s="363"/>
      <c r="H141" s="359"/>
      <c r="I141" s="359"/>
      <c r="J141" s="362"/>
      <c r="K141" s="359"/>
      <c r="L141" s="359"/>
      <c r="M141" s="359"/>
      <c r="N141" s="359"/>
      <c r="O141" s="359"/>
      <c r="P141" s="359"/>
      <c r="Q141" s="359"/>
      <c r="R141" s="359"/>
      <c r="S141" s="359"/>
      <c r="T141" s="359"/>
      <c r="U141" s="359"/>
      <c r="V141" s="359"/>
      <c r="W141" s="359"/>
      <c r="X141" s="359"/>
      <c r="Y141" s="359"/>
      <c r="Z141" s="359"/>
      <c r="AA141" s="356">
        <f t="shared" si="72"/>
        <v>0</v>
      </c>
      <c r="AB141" s="356">
        <f t="shared" si="105"/>
        <v>0</v>
      </c>
      <c r="AC141" s="356">
        <f t="shared" si="106"/>
        <v>0</v>
      </c>
      <c r="AD141" s="356">
        <f t="shared" si="107"/>
        <v>0</v>
      </c>
      <c r="AE141" s="356">
        <f t="shared" si="108"/>
        <v>0</v>
      </c>
      <c r="AF141" s="356">
        <f t="shared" si="109"/>
        <v>0</v>
      </c>
      <c r="AG141" s="356">
        <f t="shared" si="110"/>
        <v>0</v>
      </c>
      <c r="AH141" s="361">
        <f t="shared" si="79"/>
        <v>1.1000000000000001</v>
      </c>
      <c r="AI141" s="356">
        <f t="shared" si="80"/>
        <v>0</v>
      </c>
      <c r="AJ141" s="356">
        <f t="shared" si="81"/>
        <v>0</v>
      </c>
      <c r="AK141" s="360">
        <f t="shared" si="82"/>
        <v>0</v>
      </c>
      <c r="AL141" s="356" t="str">
        <f t="shared" si="83"/>
        <v>-</v>
      </c>
      <c r="AM141" s="356" t="str">
        <f t="shared" si="84"/>
        <v>-</v>
      </c>
      <c r="AN141" s="356" t="str">
        <f t="shared" si="85"/>
        <v>-</v>
      </c>
      <c r="AO141" s="356" t="e">
        <f t="shared" si="86"/>
        <v>#VALUE!</v>
      </c>
      <c r="AP141" s="358" t="str">
        <f t="shared" si="87"/>
        <v>-</v>
      </c>
      <c r="AQ141" s="357" t="str">
        <f t="shared" si="111"/>
        <v>-</v>
      </c>
      <c r="AR141" s="357" t="str">
        <f t="shared" si="112"/>
        <v>-</v>
      </c>
      <c r="AS141" s="356" t="str">
        <f t="shared" si="90"/>
        <v>-</v>
      </c>
      <c r="AT141" s="355" t="str">
        <f t="shared" si="91"/>
        <v>-</v>
      </c>
      <c r="AU141" s="356" t="str">
        <f t="shared" si="92"/>
        <v>-</v>
      </c>
      <c r="AV141" s="356" t="e">
        <f t="shared" si="93"/>
        <v>#DIV/0!</v>
      </c>
      <c r="AW141" s="355" t="str">
        <f t="shared" si="94"/>
        <v>-</v>
      </c>
      <c r="AX141" s="359"/>
      <c r="AY141" s="356" t="str">
        <f t="shared" si="95"/>
        <v>-</v>
      </c>
      <c r="AZ141" s="356" t="str">
        <f t="shared" si="96"/>
        <v>-</v>
      </c>
      <c r="BA141" s="356">
        <f t="shared" si="97"/>
        <v>0</v>
      </c>
      <c r="BB141" s="356" t="e">
        <f t="shared" si="98"/>
        <v>#VALUE!</v>
      </c>
      <c r="BC141" s="358" t="str">
        <f t="shared" si="99"/>
        <v>-</v>
      </c>
      <c r="BD141" s="356" t="e">
        <f t="shared" si="100"/>
        <v>#VALUE!</v>
      </c>
      <c r="BE141" s="357" t="str">
        <f t="shared" si="101"/>
        <v>-</v>
      </c>
      <c r="BF141" s="357" t="str">
        <f t="shared" si="102"/>
        <v>-</v>
      </c>
      <c r="BG141" s="356">
        <f t="shared" si="103"/>
        <v>0</v>
      </c>
    </row>
    <row r="142" spans="1:59" x14ac:dyDescent="0.25">
      <c r="A142" s="355">
        <f t="shared" si="104"/>
        <v>115</v>
      </c>
      <c r="B142" s="363"/>
      <c r="C142" s="363"/>
      <c r="D142" s="363"/>
      <c r="E142" s="363"/>
      <c r="F142" s="363"/>
      <c r="G142" s="363"/>
      <c r="H142" s="359"/>
      <c r="I142" s="359"/>
      <c r="J142" s="362"/>
      <c r="K142" s="359"/>
      <c r="L142" s="359"/>
      <c r="M142" s="359"/>
      <c r="N142" s="359"/>
      <c r="O142" s="359"/>
      <c r="P142" s="359"/>
      <c r="Q142" s="359"/>
      <c r="R142" s="359"/>
      <c r="S142" s="359"/>
      <c r="T142" s="359"/>
      <c r="U142" s="359"/>
      <c r="V142" s="359"/>
      <c r="W142" s="359"/>
      <c r="X142" s="359"/>
      <c r="Y142" s="359"/>
      <c r="Z142" s="359"/>
      <c r="AA142" s="356">
        <f t="shared" si="72"/>
        <v>0</v>
      </c>
      <c r="AB142" s="356">
        <f t="shared" si="105"/>
        <v>0</v>
      </c>
      <c r="AC142" s="356">
        <f t="shared" si="106"/>
        <v>0</v>
      </c>
      <c r="AD142" s="356">
        <f t="shared" si="107"/>
        <v>0</v>
      </c>
      <c r="AE142" s="356">
        <f t="shared" si="108"/>
        <v>0</v>
      </c>
      <c r="AF142" s="356">
        <f t="shared" si="109"/>
        <v>0</v>
      </c>
      <c r="AG142" s="356">
        <f t="shared" si="110"/>
        <v>0</v>
      </c>
      <c r="AH142" s="361">
        <f t="shared" si="79"/>
        <v>1.1000000000000001</v>
      </c>
      <c r="AI142" s="356">
        <f t="shared" si="80"/>
        <v>0</v>
      </c>
      <c r="AJ142" s="356">
        <f t="shared" si="81"/>
        <v>0</v>
      </c>
      <c r="AK142" s="360">
        <f t="shared" si="82"/>
        <v>0</v>
      </c>
      <c r="AL142" s="356" t="str">
        <f t="shared" si="83"/>
        <v>-</v>
      </c>
      <c r="AM142" s="356" t="str">
        <f t="shared" si="84"/>
        <v>-</v>
      </c>
      <c r="AN142" s="356" t="str">
        <f t="shared" si="85"/>
        <v>-</v>
      </c>
      <c r="AO142" s="356" t="e">
        <f t="shared" si="86"/>
        <v>#VALUE!</v>
      </c>
      <c r="AP142" s="358" t="str">
        <f t="shared" si="87"/>
        <v>-</v>
      </c>
      <c r="AQ142" s="357" t="str">
        <f t="shared" si="111"/>
        <v>-</v>
      </c>
      <c r="AR142" s="357" t="str">
        <f t="shared" si="112"/>
        <v>-</v>
      </c>
      <c r="AS142" s="356" t="str">
        <f t="shared" si="90"/>
        <v>-</v>
      </c>
      <c r="AT142" s="355" t="str">
        <f t="shared" si="91"/>
        <v>-</v>
      </c>
      <c r="AU142" s="356" t="str">
        <f t="shared" si="92"/>
        <v>-</v>
      </c>
      <c r="AV142" s="356" t="e">
        <f t="shared" si="93"/>
        <v>#DIV/0!</v>
      </c>
      <c r="AW142" s="355" t="str">
        <f t="shared" si="94"/>
        <v>-</v>
      </c>
      <c r="AX142" s="359"/>
      <c r="AY142" s="356" t="str">
        <f t="shared" si="95"/>
        <v>-</v>
      </c>
      <c r="AZ142" s="356" t="str">
        <f t="shared" si="96"/>
        <v>-</v>
      </c>
      <c r="BA142" s="356">
        <f t="shared" si="97"/>
        <v>0</v>
      </c>
      <c r="BB142" s="356" t="e">
        <f t="shared" si="98"/>
        <v>#VALUE!</v>
      </c>
      <c r="BC142" s="358" t="str">
        <f t="shared" si="99"/>
        <v>-</v>
      </c>
      <c r="BD142" s="356" t="e">
        <f t="shared" si="100"/>
        <v>#VALUE!</v>
      </c>
      <c r="BE142" s="357" t="str">
        <f t="shared" si="101"/>
        <v>-</v>
      </c>
      <c r="BF142" s="357" t="str">
        <f t="shared" si="102"/>
        <v>-</v>
      </c>
      <c r="BG142" s="356">
        <f t="shared" si="103"/>
        <v>0</v>
      </c>
    </row>
    <row r="143" spans="1:59" x14ac:dyDescent="0.25">
      <c r="A143" s="355">
        <f t="shared" si="104"/>
        <v>116</v>
      </c>
      <c r="B143" s="363"/>
      <c r="C143" s="363"/>
      <c r="D143" s="363"/>
      <c r="E143" s="363"/>
      <c r="F143" s="363"/>
      <c r="G143" s="363"/>
      <c r="H143" s="359"/>
      <c r="I143" s="359"/>
      <c r="J143" s="362"/>
      <c r="K143" s="359"/>
      <c r="L143" s="359"/>
      <c r="M143" s="359"/>
      <c r="N143" s="359"/>
      <c r="O143" s="359"/>
      <c r="P143" s="359"/>
      <c r="Q143" s="359"/>
      <c r="R143" s="359"/>
      <c r="S143" s="359"/>
      <c r="T143" s="359"/>
      <c r="U143" s="359"/>
      <c r="V143" s="359"/>
      <c r="W143" s="359"/>
      <c r="X143" s="359"/>
      <c r="Y143" s="359"/>
      <c r="Z143" s="359"/>
      <c r="AA143" s="356">
        <f t="shared" si="72"/>
        <v>0</v>
      </c>
      <c r="AB143" s="356">
        <f t="shared" si="105"/>
        <v>0</v>
      </c>
      <c r="AC143" s="356">
        <f t="shared" si="106"/>
        <v>0</v>
      </c>
      <c r="AD143" s="356">
        <f t="shared" si="107"/>
        <v>0</v>
      </c>
      <c r="AE143" s="356">
        <f t="shared" si="108"/>
        <v>0</v>
      </c>
      <c r="AF143" s="356">
        <f t="shared" si="109"/>
        <v>0</v>
      </c>
      <c r="AG143" s="356">
        <f t="shared" si="110"/>
        <v>0</v>
      </c>
      <c r="AH143" s="361">
        <f t="shared" si="79"/>
        <v>1.1000000000000001</v>
      </c>
      <c r="AI143" s="356">
        <f t="shared" si="80"/>
        <v>0</v>
      </c>
      <c r="AJ143" s="356">
        <f t="shared" si="81"/>
        <v>0</v>
      </c>
      <c r="AK143" s="360">
        <f t="shared" si="82"/>
        <v>0</v>
      </c>
      <c r="AL143" s="356" t="str">
        <f t="shared" si="83"/>
        <v>-</v>
      </c>
      <c r="AM143" s="356" t="str">
        <f t="shared" si="84"/>
        <v>-</v>
      </c>
      <c r="AN143" s="356" t="str">
        <f t="shared" si="85"/>
        <v>-</v>
      </c>
      <c r="AO143" s="356" t="e">
        <f t="shared" si="86"/>
        <v>#VALUE!</v>
      </c>
      <c r="AP143" s="358" t="str">
        <f t="shared" si="87"/>
        <v>-</v>
      </c>
      <c r="AQ143" s="357" t="str">
        <f t="shared" si="111"/>
        <v>-</v>
      </c>
      <c r="AR143" s="357" t="str">
        <f t="shared" si="112"/>
        <v>-</v>
      </c>
      <c r="AS143" s="356" t="str">
        <f t="shared" si="90"/>
        <v>-</v>
      </c>
      <c r="AT143" s="355" t="str">
        <f t="shared" si="91"/>
        <v>-</v>
      </c>
      <c r="AU143" s="356" t="str">
        <f t="shared" si="92"/>
        <v>-</v>
      </c>
      <c r="AV143" s="356" t="e">
        <f t="shared" si="93"/>
        <v>#DIV/0!</v>
      </c>
      <c r="AW143" s="355" t="str">
        <f t="shared" si="94"/>
        <v>-</v>
      </c>
      <c r="AX143" s="359"/>
      <c r="AY143" s="356" t="str">
        <f t="shared" si="95"/>
        <v>-</v>
      </c>
      <c r="AZ143" s="356" t="str">
        <f t="shared" si="96"/>
        <v>-</v>
      </c>
      <c r="BA143" s="356">
        <f t="shared" si="97"/>
        <v>0</v>
      </c>
      <c r="BB143" s="356" t="e">
        <f t="shared" si="98"/>
        <v>#VALUE!</v>
      </c>
      <c r="BC143" s="358" t="str">
        <f t="shared" si="99"/>
        <v>-</v>
      </c>
      <c r="BD143" s="356" t="e">
        <f t="shared" si="100"/>
        <v>#VALUE!</v>
      </c>
      <c r="BE143" s="357" t="str">
        <f t="shared" si="101"/>
        <v>-</v>
      </c>
      <c r="BF143" s="357" t="str">
        <f t="shared" si="102"/>
        <v>-</v>
      </c>
      <c r="BG143" s="356">
        <f t="shared" si="103"/>
        <v>0</v>
      </c>
    </row>
    <row r="144" spans="1:59" x14ac:dyDescent="0.25">
      <c r="A144" s="355">
        <f t="shared" si="104"/>
        <v>117</v>
      </c>
      <c r="B144" s="363"/>
      <c r="C144" s="363"/>
      <c r="D144" s="363"/>
      <c r="E144" s="363"/>
      <c r="F144" s="363"/>
      <c r="G144" s="363"/>
      <c r="H144" s="359"/>
      <c r="I144" s="359"/>
      <c r="J144" s="362"/>
      <c r="K144" s="359"/>
      <c r="L144" s="359"/>
      <c r="M144" s="359"/>
      <c r="N144" s="359"/>
      <c r="O144" s="359"/>
      <c r="P144" s="359"/>
      <c r="Q144" s="359"/>
      <c r="R144" s="359"/>
      <c r="S144" s="359"/>
      <c r="T144" s="359"/>
      <c r="U144" s="359"/>
      <c r="V144" s="359"/>
      <c r="W144" s="359"/>
      <c r="X144" s="359"/>
      <c r="Y144" s="359"/>
      <c r="Z144" s="359"/>
      <c r="AA144" s="356">
        <f t="shared" si="72"/>
        <v>0</v>
      </c>
      <c r="AB144" s="356">
        <f t="shared" si="105"/>
        <v>0</v>
      </c>
      <c r="AC144" s="356">
        <f t="shared" si="106"/>
        <v>0</v>
      </c>
      <c r="AD144" s="356">
        <f t="shared" si="107"/>
        <v>0</v>
      </c>
      <c r="AE144" s="356">
        <f t="shared" si="108"/>
        <v>0</v>
      </c>
      <c r="AF144" s="356">
        <f t="shared" si="109"/>
        <v>0</v>
      </c>
      <c r="AG144" s="356">
        <f t="shared" si="110"/>
        <v>0</v>
      </c>
      <c r="AH144" s="361">
        <f t="shared" si="79"/>
        <v>1.1000000000000001</v>
      </c>
      <c r="AI144" s="356">
        <f t="shared" si="80"/>
        <v>0</v>
      </c>
      <c r="AJ144" s="356">
        <f t="shared" si="81"/>
        <v>0</v>
      </c>
      <c r="AK144" s="360">
        <f t="shared" si="82"/>
        <v>0</v>
      </c>
      <c r="AL144" s="356" t="str">
        <f t="shared" si="83"/>
        <v>-</v>
      </c>
      <c r="AM144" s="356" t="str">
        <f t="shared" si="84"/>
        <v>-</v>
      </c>
      <c r="AN144" s="356" t="str">
        <f t="shared" si="85"/>
        <v>-</v>
      </c>
      <c r="AO144" s="356" t="e">
        <f t="shared" si="86"/>
        <v>#VALUE!</v>
      </c>
      <c r="AP144" s="358" t="str">
        <f t="shared" si="87"/>
        <v>-</v>
      </c>
      <c r="AQ144" s="357" t="str">
        <f t="shared" si="111"/>
        <v>-</v>
      </c>
      <c r="AR144" s="357" t="str">
        <f t="shared" si="112"/>
        <v>-</v>
      </c>
      <c r="AS144" s="356" t="str">
        <f t="shared" si="90"/>
        <v>-</v>
      </c>
      <c r="AT144" s="355" t="str">
        <f t="shared" si="91"/>
        <v>-</v>
      </c>
      <c r="AU144" s="356" t="str">
        <f t="shared" si="92"/>
        <v>-</v>
      </c>
      <c r="AV144" s="356" t="e">
        <f t="shared" si="93"/>
        <v>#DIV/0!</v>
      </c>
      <c r="AW144" s="355" t="str">
        <f t="shared" si="94"/>
        <v>-</v>
      </c>
      <c r="AX144" s="359"/>
      <c r="AY144" s="356" t="str">
        <f t="shared" si="95"/>
        <v>-</v>
      </c>
      <c r="AZ144" s="356" t="str">
        <f t="shared" si="96"/>
        <v>-</v>
      </c>
      <c r="BA144" s="356">
        <f t="shared" si="97"/>
        <v>0</v>
      </c>
      <c r="BB144" s="356" t="e">
        <f t="shared" si="98"/>
        <v>#VALUE!</v>
      </c>
      <c r="BC144" s="358" t="str">
        <f t="shared" si="99"/>
        <v>-</v>
      </c>
      <c r="BD144" s="356" t="e">
        <f t="shared" si="100"/>
        <v>#VALUE!</v>
      </c>
      <c r="BE144" s="357" t="str">
        <f t="shared" si="101"/>
        <v>-</v>
      </c>
      <c r="BF144" s="357" t="str">
        <f t="shared" si="102"/>
        <v>-</v>
      </c>
      <c r="BG144" s="356">
        <f t="shared" si="103"/>
        <v>0</v>
      </c>
    </row>
    <row r="145" spans="1:59" x14ac:dyDescent="0.25">
      <c r="A145" s="355">
        <f t="shared" si="104"/>
        <v>118</v>
      </c>
      <c r="B145" s="363"/>
      <c r="C145" s="363"/>
      <c r="D145" s="363"/>
      <c r="E145" s="363"/>
      <c r="F145" s="363"/>
      <c r="G145" s="363"/>
      <c r="H145" s="359"/>
      <c r="I145" s="359"/>
      <c r="J145" s="362"/>
      <c r="K145" s="359"/>
      <c r="L145" s="359"/>
      <c r="M145" s="359"/>
      <c r="N145" s="359"/>
      <c r="O145" s="359"/>
      <c r="P145" s="359"/>
      <c r="Q145" s="359"/>
      <c r="R145" s="359"/>
      <c r="S145" s="359"/>
      <c r="T145" s="359"/>
      <c r="U145" s="359"/>
      <c r="V145" s="359"/>
      <c r="W145" s="359"/>
      <c r="X145" s="359"/>
      <c r="Y145" s="359"/>
      <c r="Z145" s="359"/>
      <c r="AA145" s="356">
        <f t="shared" si="72"/>
        <v>0</v>
      </c>
      <c r="AB145" s="356">
        <f t="shared" si="105"/>
        <v>0</v>
      </c>
      <c r="AC145" s="356">
        <f t="shared" si="106"/>
        <v>0</v>
      </c>
      <c r="AD145" s="356">
        <f t="shared" si="107"/>
        <v>0</v>
      </c>
      <c r="AE145" s="356">
        <f t="shared" si="108"/>
        <v>0</v>
      </c>
      <c r="AF145" s="356">
        <f t="shared" si="109"/>
        <v>0</v>
      </c>
      <c r="AG145" s="356">
        <f t="shared" si="110"/>
        <v>0</v>
      </c>
      <c r="AH145" s="361">
        <f t="shared" si="79"/>
        <v>1.1000000000000001</v>
      </c>
      <c r="AI145" s="356">
        <f t="shared" si="80"/>
        <v>0</v>
      </c>
      <c r="AJ145" s="356">
        <f t="shared" si="81"/>
        <v>0</v>
      </c>
      <c r="AK145" s="360">
        <f t="shared" si="82"/>
        <v>0</v>
      </c>
      <c r="AL145" s="356" t="str">
        <f t="shared" si="83"/>
        <v>-</v>
      </c>
      <c r="AM145" s="356" t="str">
        <f t="shared" si="84"/>
        <v>-</v>
      </c>
      <c r="AN145" s="356" t="str">
        <f t="shared" si="85"/>
        <v>-</v>
      </c>
      <c r="AO145" s="356" t="e">
        <f t="shared" si="86"/>
        <v>#VALUE!</v>
      </c>
      <c r="AP145" s="358" t="str">
        <f t="shared" si="87"/>
        <v>-</v>
      </c>
      <c r="AQ145" s="357" t="str">
        <f t="shared" si="111"/>
        <v>-</v>
      </c>
      <c r="AR145" s="357" t="str">
        <f t="shared" si="112"/>
        <v>-</v>
      </c>
      <c r="AS145" s="356" t="str">
        <f t="shared" si="90"/>
        <v>-</v>
      </c>
      <c r="AT145" s="355" t="str">
        <f t="shared" si="91"/>
        <v>-</v>
      </c>
      <c r="AU145" s="356" t="str">
        <f t="shared" si="92"/>
        <v>-</v>
      </c>
      <c r="AV145" s="356" t="e">
        <f t="shared" si="93"/>
        <v>#DIV/0!</v>
      </c>
      <c r="AW145" s="355" t="str">
        <f t="shared" si="94"/>
        <v>-</v>
      </c>
      <c r="AX145" s="359"/>
      <c r="AY145" s="356" t="str">
        <f t="shared" si="95"/>
        <v>-</v>
      </c>
      <c r="AZ145" s="356" t="str">
        <f t="shared" si="96"/>
        <v>-</v>
      </c>
      <c r="BA145" s="356">
        <f t="shared" si="97"/>
        <v>0</v>
      </c>
      <c r="BB145" s="356" t="e">
        <f t="shared" si="98"/>
        <v>#VALUE!</v>
      </c>
      <c r="BC145" s="358" t="str">
        <f t="shared" si="99"/>
        <v>-</v>
      </c>
      <c r="BD145" s="356" t="e">
        <f t="shared" si="100"/>
        <v>#VALUE!</v>
      </c>
      <c r="BE145" s="357" t="str">
        <f t="shared" si="101"/>
        <v>-</v>
      </c>
      <c r="BF145" s="357" t="str">
        <f t="shared" si="102"/>
        <v>-</v>
      </c>
      <c r="BG145" s="356">
        <f t="shared" si="103"/>
        <v>0</v>
      </c>
    </row>
    <row r="146" spans="1:59" x14ac:dyDescent="0.25">
      <c r="A146" s="355">
        <f t="shared" si="104"/>
        <v>119</v>
      </c>
      <c r="B146" s="363"/>
      <c r="C146" s="363"/>
      <c r="D146" s="363"/>
      <c r="E146" s="363"/>
      <c r="F146" s="363"/>
      <c r="G146" s="363"/>
      <c r="H146" s="359"/>
      <c r="I146" s="359"/>
      <c r="J146" s="362"/>
      <c r="K146" s="359"/>
      <c r="L146" s="359"/>
      <c r="M146" s="359"/>
      <c r="N146" s="359"/>
      <c r="O146" s="359"/>
      <c r="P146" s="359"/>
      <c r="Q146" s="359"/>
      <c r="R146" s="359"/>
      <c r="S146" s="359"/>
      <c r="T146" s="359"/>
      <c r="U146" s="359"/>
      <c r="V146" s="359"/>
      <c r="W146" s="359"/>
      <c r="X146" s="359"/>
      <c r="Y146" s="359"/>
      <c r="Z146" s="359"/>
      <c r="AA146" s="356">
        <f t="shared" si="72"/>
        <v>0</v>
      </c>
      <c r="AB146" s="356">
        <f t="shared" si="105"/>
        <v>0</v>
      </c>
      <c r="AC146" s="356">
        <f t="shared" si="106"/>
        <v>0</v>
      </c>
      <c r="AD146" s="356">
        <f t="shared" si="107"/>
        <v>0</v>
      </c>
      <c r="AE146" s="356">
        <f t="shared" si="108"/>
        <v>0</v>
      </c>
      <c r="AF146" s="356">
        <f t="shared" si="109"/>
        <v>0</v>
      </c>
      <c r="AG146" s="356">
        <f t="shared" si="110"/>
        <v>0</v>
      </c>
      <c r="AH146" s="361">
        <f t="shared" si="79"/>
        <v>1.1000000000000001</v>
      </c>
      <c r="AI146" s="356">
        <f t="shared" si="80"/>
        <v>0</v>
      </c>
      <c r="AJ146" s="356">
        <f t="shared" si="81"/>
        <v>0</v>
      </c>
      <c r="AK146" s="360">
        <f t="shared" si="82"/>
        <v>0</v>
      </c>
      <c r="AL146" s="356" t="str">
        <f t="shared" si="83"/>
        <v>-</v>
      </c>
      <c r="AM146" s="356" t="str">
        <f t="shared" si="84"/>
        <v>-</v>
      </c>
      <c r="AN146" s="356" t="str">
        <f t="shared" si="85"/>
        <v>-</v>
      </c>
      <c r="AO146" s="356" t="e">
        <f t="shared" si="86"/>
        <v>#VALUE!</v>
      </c>
      <c r="AP146" s="358" t="str">
        <f t="shared" si="87"/>
        <v>-</v>
      </c>
      <c r="AQ146" s="357" t="str">
        <f t="shared" si="111"/>
        <v>-</v>
      </c>
      <c r="AR146" s="357" t="str">
        <f t="shared" si="112"/>
        <v>-</v>
      </c>
      <c r="AS146" s="356" t="str">
        <f t="shared" si="90"/>
        <v>-</v>
      </c>
      <c r="AT146" s="355" t="str">
        <f t="shared" si="91"/>
        <v>-</v>
      </c>
      <c r="AU146" s="356" t="str">
        <f t="shared" si="92"/>
        <v>-</v>
      </c>
      <c r="AV146" s="356" t="e">
        <f t="shared" si="93"/>
        <v>#DIV/0!</v>
      </c>
      <c r="AW146" s="355" t="str">
        <f t="shared" si="94"/>
        <v>-</v>
      </c>
      <c r="AX146" s="359"/>
      <c r="AY146" s="356" t="str">
        <f t="shared" si="95"/>
        <v>-</v>
      </c>
      <c r="AZ146" s="356" t="str">
        <f t="shared" si="96"/>
        <v>-</v>
      </c>
      <c r="BA146" s="356">
        <f t="shared" si="97"/>
        <v>0</v>
      </c>
      <c r="BB146" s="356" t="e">
        <f t="shared" si="98"/>
        <v>#VALUE!</v>
      </c>
      <c r="BC146" s="358" t="str">
        <f t="shared" si="99"/>
        <v>-</v>
      </c>
      <c r="BD146" s="356" t="e">
        <f t="shared" si="100"/>
        <v>#VALUE!</v>
      </c>
      <c r="BE146" s="357" t="str">
        <f t="shared" si="101"/>
        <v>-</v>
      </c>
      <c r="BF146" s="357" t="str">
        <f t="shared" si="102"/>
        <v>-</v>
      </c>
      <c r="BG146" s="356">
        <f t="shared" si="103"/>
        <v>0</v>
      </c>
    </row>
    <row r="147" spans="1:59" x14ac:dyDescent="0.25">
      <c r="A147" s="355">
        <f t="shared" si="104"/>
        <v>120</v>
      </c>
      <c r="B147" s="363"/>
      <c r="C147" s="363"/>
      <c r="D147" s="363"/>
      <c r="E147" s="363"/>
      <c r="F147" s="363"/>
      <c r="G147" s="363"/>
      <c r="H147" s="359"/>
      <c r="I147" s="359"/>
      <c r="J147" s="362"/>
      <c r="K147" s="359"/>
      <c r="L147" s="359"/>
      <c r="M147" s="359"/>
      <c r="N147" s="359"/>
      <c r="O147" s="359"/>
      <c r="P147" s="359"/>
      <c r="Q147" s="359"/>
      <c r="R147" s="359"/>
      <c r="S147" s="359"/>
      <c r="T147" s="359"/>
      <c r="U147" s="359"/>
      <c r="V147" s="359"/>
      <c r="W147" s="359"/>
      <c r="X147" s="359"/>
      <c r="Y147" s="359"/>
      <c r="Z147" s="359"/>
      <c r="AA147" s="356">
        <f t="shared" si="72"/>
        <v>0</v>
      </c>
      <c r="AB147" s="356">
        <f t="shared" si="105"/>
        <v>0</v>
      </c>
      <c r="AC147" s="356">
        <f t="shared" si="106"/>
        <v>0</v>
      </c>
      <c r="AD147" s="356">
        <f t="shared" si="107"/>
        <v>0</v>
      </c>
      <c r="AE147" s="356">
        <f t="shared" si="108"/>
        <v>0</v>
      </c>
      <c r="AF147" s="356">
        <f t="shared" si="109"/>
        <v>0</v>
      </c>
      <c r="AG147" s="356">
        <f t="shared" si="110"/>
        <v>0</v>
      </c>
      <c r="AH147" s="361">
        <f t="shared" si="79"/>
        <v>1.1000000000000001</v>
      </c>
      <c r="AI147" s="356">
        <f t="shared" si="80"/>
        <v>0</v>
      </c>
      <c r="AJ147" s="356">
        <f t="shared" si="81"/>
        <v>0</v>
      </c>
      <c r="AK147" s="360">
        <f t="shared" si="82"/>
        <v>0</v>
      </c>
      <c r="AL147" s="356" t="str">
        <f t="shared" si="83"/>
        <v>-</v>
      </c>
      <c r="AM147" s="356" t="str">
        <f t="shared" si="84"/>
        <v>-</v>
      </c>
      <c r="AN147" s="356" t="str">
        <f t="shared" si="85"/>
        <v>-</v>
      </c>
      <c r="AO147" s="356" t="e">
        <f t="shared" si="86"/>
        <v>#VALUE!</v>
      </c>
      <c r="AP147" s="358" t="str">
        <f t="shared" si="87"/>
        <v>-</v>
      </c>
      <c r="AQ147" s="357" t="str">
        <f t="shared" si="111"/>
        <v>-</v>
      </c>
      <c r="AR147" s="357" t="str">
        <f t="shared" si="112"/>
        <v>-</v>
      </c>
      <c r="AS147" s="356" t="str">
        <f t="shared" si="90"/>
        <v>-</v>
      </c>
      <c r="AT147" s="355" t="str">
        <f t="shared" si="91"/>
        <v>-</v>
      </c>
      <c r="AU147" s="356" t="str">
        <f t="shared" si="92"/>
        <v>-</v>
      </c>
      <c r="AV147" s="356" t="e">
        <f t="shared" si="93"/>
        <v>#DIV/0!</v>
      </c>
      <c r="AW147" s="355" t="str">
        <f t="shared" si="94"/>
        <v>-</v>
      </c>
      <c r="AX147" s="359"/>
      <c r="AY147" s="356" t="str">
        <f t="shared" si="95"/>
        <v>-</v>
      </c>
      <c r="AZ147" s="356" t="str">
        <f t="shared" si="96"/>
        <v>-</v>
      </c>
      <c r="BA147" s="356">
        <f t="shared" si="97"/>
        <v>0</v>
      </c>
      <c r="BB147" s="356" t="e">
        <f t="shared" si="98"/>
        <v>#VALUE!</v>
      </c>
      <c r="BC147" s="358" t="str">
        <f t="shared" si="99"/>
        <v>-</v>
      </c>
      <c r="BD147" s="356" t="e">
        <f t="shared" si="100"/>
        <v>#VALUE!</v>
      </c>
      <c r="BE147" s="357" t="str">
        <f t="shared" si="101"/>
        <v>-</v>
      </c>
      <c r="BF147" s="357" t="str">
        <f t="shared" si="102"/>
        <v>-</v>
      </c>
      <c r="BG147" s="356">
        <f t="shared" si="103"/>
        <v>0</v>
      </c>
    </row>
    <row r="148" spans="1:59" x14ac:dyDescent="0.25">
      <c r="A148" s="355">
        <f t="shared" si="104"/>
        <v>121</v>
      </c>
      <c r="B148" s="363"/>
      <c r="C148" s="363"/>
      <c r="D148" s="363"/>
      <c r="E148" s="363"/>
      <c r="F148" s="363"/>
      <c r="G148" s="363"/>
      <c r="H148" s="359"/>
      <c r="I148" s="359"/>
      <c r="J148" s="362"/>
      <c r="K148" s="359"/>
      <c r="L148" s="359"/>
      <c r="M148" s="359"/>
      <c r="N148" s="359"/>
      <c r="O148" s="359"/>
      <c r="P148" s="359"/>
      <c r="Q148" s="359"/>
      <c r="R148" s="359"/>
      <c r="S148" s="359"/>
      <c r="T148" s="359"/>
      <c r="U148" s="359"/>
      <c r="V148" s="359"/>
      <c r="W148" s="359"/>
      <c r="X148" s="359"/>
      <c r="Y148" s="359"/>
      <c r="Z148" s="359"/>
      <c r="AA148" s="356">
        <f t="shared" si="72"/>
        <v>0</v>
      </c>
      <c r="AB148" s="356">
        <f t="shared" si="105"/>
        <v>0</v>
      </c>
      <c r="AC148" s="356">
        <f t="shared" si="106"/>
        <v>0</v>
      </c>
      <c r="AD148" s="356">
        <f t="shared" si="107"/>
        <v>0</v>
      </c>
      <c r="AE148" s="356">
        <f t="shared" si="108"/>
        <v>0</v>
      </c>
      <c r="AF148" s="356">
        <f t="shared" si="109"/>
        <v>0</v>
      </c>
      <c r="AG148" s="356">
        <f t="shared" si="110"/>
        <v>0</v>
      </c>
      <c r="AH148" s="361">
        <f t="shared" si="79"/>
        <v>1.1000000000000001</v>
      </c>
      <c r="AI148" s="356">
        <f t="shared" si="80"/>
        <v>0</v>
      </c>
      <c r="AJ148" s="356">
        <f t="shared" si="81"/>
        <v>0</v>
      </c>
      <c r="AK148" s="360">
        <f t="shared" si="82"/>
        <v>0</v>
      </c>
      <c r="AL148" s="356" t="str">
        <f t="shared" si="83"/>
        <v>-</v>
      </c>
      <c r="AM148" s="356" t="str">
        <f t="shared" si="84"/>
        <v>-</v>
      </c>
      <c r="AN148" s="356" t="str">
        <f t="shared" si="85"/>
        <v>-</v>
      </c>
      <c r="AO148" s="356" t="e">
        <f t="shared" si="86"/>
        <v>#VALUE!</v>
      </c>
      <c r="AP148" s="358" t="str">
        <f t="shared" si="87"/>
        <v>-</v>
      </c>
      <c r="AQ148" s="357" t="str">
        <f t="shared" si="111"/>
        <v>-</v>
      </c>
      <c r="AR148" s="357" t="str">
        <f t="shared" si="112"/>
        <v>-</v>
      </c>
      <c r="AS148" s="356" t="str">
        <f t="shared" si="90"/>
        <v>-</v>
      </c>
      <c r="AT148" s="355" t="str">
        <f t="shared" si="91"/>
        <v>-</v>
      </c>
      <c r="AU148" s="356" t="str">
        <f t="shared" si="92"/>
        <v>-</v>
      </c>
      <c r="AV148" s="356" t="e">
        <f t="shared" si="93"/>
        <v>#DIV/0!</v>
      </c>
      <c r="AW148" s="355" t="str">
        <f t="shared" si="94"/>
        <v>-</v>
      </c>
      <c r="AX148" s="359"/>
      <c r="AY148" s="356" t="str">
        <f t="shared" si="95"/>
        <v>-</v>
      </c>
      <c r="AZ148" s="356" t="str">
        <f t="shared" si="96"/>
        <v>-</v>
      </c>
      <c r="BA148" s="356">
        <f t="shared" si="97"/>
        <v>0</v>
      </c>
      <c r="BB148" s="356" t="e">
        <f t="shared" si="98"/>
        <v>#VALUE!</v>
      </c>
      <c r="BC148" s="358" t="str">
        <f t="shared" si="99"/>
        <v>-</v>
      </c>
      <c r="BD148" s="356" t="e">
        <f t="shared" si="100"/>
        <v>#VALUE!</v>
      </c>
      <c r="BE148" s="357" t="str">
        <f t="shared" si="101"/>
        <v>-</v>
      </c>
      <c r="BF148" s="357" t="str">
        <f t="shared" si="102"/>
        <v>-</v>
      </c>
      <c r="BG148" s="356">
        <f t="shared" si="103"/>
        <v>0</v>
      </c>
    </row>
    <row r="149" spans="1:59" x14ac:dyDescent="0.25">
      <c r="A149" s="355">
        <f t="shared" si="104"/>
        <v>122</v>
      </c>
      <c r="B149" s="363"/>
      <c r="C149" s="363"/>
      <c r="D149" s="363"/>
      <c r="E149" s="363"/>
      <c r="F149" s="363"/>
      <c r="G149" s="363"/>
      <c r="H149" s="359"/>
      <c r="I149" s="359"/>
      <c r="J149" s="362"/>
      <c r="K149" s="359"/>
      <c r="L149" s="359"/>
      <c r="M149" s="359"/>
      <c r="N149" s="359"/>
      <c r="O149" s="359"/>
      <c r="P149" s="359"/>
      <c r="Q149" s="359"/>
      <c r="R149" s="359"/>
      <c r="S149" s="359"/>
      <c r="T149" s="359"/>
      <c r="U149" s="359"/>
      <c r="V149" s="359"/>
      <c r="W149" s="359"/>
      <c r="X149" s="359"/>
      <c r="Y149" s="359"/>
      <c r="Z149" s="359"/>
      <c r="AA149" s="356">
        <f t="shared" si="72"/>
        <v>0</v>
      </c>
      <c r="AB149" s="356">
        <f t="shared" si="105"/>
        <v>0</v>
      </c>
      <c r="AC149" s="356">
        <f t="shared" si="106"/>
        <v>0</v>
      </c>
      <c r="AD149" s="356">
        <f t="shared" si="107"/>
        <v>0</v>
      </c>
      <c r="AE149" s="356">
        <f t="shared" si="108"/>
        <v>0</v>
      </c>
      <c r="AF149" s="356">
        <f t="shared" si="109"/>
        <v>0</v>
      </c>
      <c r="AG149" s="356">
        <f t="shared" si="110"/>
        <v>0</v>
      </c>
      <c r="AH149" s="361">
        <f t="shared" si="79"/>
        <v>1.1000000000000001</v>
      </c>
      <c r="AI149" s="356">
        <f t="shared" si="80"/>
        <v>0</v>
      </c>
      <c r="AJ149" s="356">
        <f t="shared" si="81"/>
        <v>0</v>
      </c>
      <c r="AK149" s="360">
        <f t="shared" si="82"/>
        <v>0</v>
      </c>
      <c r="AL149" s="356" t="str">
        <f t="shared" si="83"/>
        <v>-</v>
      </c>
      <c r="AM149" s="356" t="str">
        <f t="shared" si="84"/>
        <v>-</v>
      </c>
      <c r="AN149" s="356" t="str">
        <f t="shared" si="85"/>
        <v>-</v>
      </c>
      <c r="AO149" s="356" t="e">
        <f t="shared" si="86"/>
        <v>#VALUE!</v>
      </c>
      <c r="AP149" s="358" t="str">
        <f t="shared" si="87"/>
        <v>-</v>
      </c>
      <c r="AQ149" s="357" t="str">
        <f t="shared" si="111"/>
        <v>-</v>
      </c>
      <c r="AR149" s="357" t="str">
        <f t="shared" si="112"/>
        <v>-</v>
      </c>
      <c r="AS149" s="356" t="str">
        <f t="shared" si="90"/>
        <v>-</v>
      </c>
      <c r="AT149" s="355" t="str">
        <f t="shared" si="91"/>
        <v>-</v>
      </c>
      <c r="AU149" s="356" t="str">
        <f t="shared" si="92"/>
        <v>-</v>
      </c>
      <c r="AV149" s="356" t="e">
        <f t="shared" si="93"/>
        <v>#DIV/0!</v>
      </c>
      <c r="AW149" s="355" t="str">
        <f t="shared" si="94"/>
        <v>-</v>
      </c>
      <c r="AX149" s="359"/>
      <c r="AY149" s="356" t="str">
        <f t="shared" si="95"/>
        <v>-</v>
      </c>
      <c r="AZ149" s="356" t="str">
        <f t="shared" si="96"/>
        <v>-</v>
      </c>
      <c r="BA149" s="356">
        <f t="shared" si="97"/>
        <v>0</v>
      </c>
      <c r="BB149" s="356" t="e">
        <f t="shared" si="98"/>
        <v>#VALUE!</v>
      </c>
      <c r="BC149" s="358" t="str">
        <f t="shared" si="99"/>
        <v>-</v>
      </c>
      <c r="BD149" s="356" t="e">
        <f t="shared" si="100"/>
        <v>#VALUE!</v>
      </c>
      <c r="BE149" s="357" t="str">
        <f t="shared" si="101"/>
        <v>-</v>
      </c>
      <c r="BF149" s="357" t="str">
        <f t="shared" si="102"/>
        <v>-</v>
      </c>
      <c r="BG149" s="356">
        <f t="shared" si="103"/>
        <v>0</v>
      </c>
    </row>
    <row r="150" spans="1:59" x14ac:dyDescent="0.25">
      <c r="A150" s="355">
        <f t="shared" si="104"/>
        <v>123</v>
      </c>
      <c r="B150" s="363"/>
      <c r="C150" s="363"/>
      <c r="D150" s="363"/>
      <c r="E150" s="363"/>
      <c r="F150" s="363"/>
      <c r="G150" s="363"/>
      <c r="H150" s="359"/>
      <c r="I150" s="359"/>
      <c r="J150" s="362"/>
      <c r="K150" s="359"/>
      <c r="L150" s="359"/>
      <c r="M150" s="359"/>
      <c r="N150" s="359"/>
      <c r="O150" s="359"/>
      <c r="P150" s="359"/>
      <c r="Q150" s="359"/>
      <c r="R150" s="359"/>
      <c r="S150" s="359"/>
      <c r="T150" s="359"/>
      <c r="U150" s="359"/>
      <c r="V150" s="359"/>
      <c r="W150" s="359"/>
      <c r="X150" s="359"/>
      <c r="Y150" s="359"/>
      <c r="Z150" s="359"/>
      <c r="AA150" s="356">
        <f t="shared" si="72"/>
        <v>0</v>
      </c>
      <c r="AB150" s="356">
        <f t="shared" si="105"/>
        <v>0</v>
      </c>
      <c r="AC150" s="356">
        <f t="shared" si="106"/>
        <v>0</v>
      </c>
      <c r="AD150" s="356">
        <f t="shared" si="107"/>
        <v>0</v>
      </c>
      <c r="AE150" s="356">
        <f t="shared" si="108"/>
        <v>0</v>
      </c>
      <c r="AF150" s="356">
        <f t="shared" si="109"/>
        <v>0</v>
      </c>
      <c r="AG150" s="356">
        <f t="shared" si="110"/>
        <v>0</v>
      </c>
      <c r="AH150" s="361">
        <f t="shared" si="79"/>
        <v>1.1000000000000001</v>
      </c>
      <c r="AI150" s="356">
        <f t="shared" si="80"/>
        <v>0</v>
      </c>
      <c r="AJ150" s="356">
        <f t="shared" si="81"/>
        <v>0</v>
      </c>
      <c r="AK150" s="360">
        <f t="shared" si="82"/>
        <v>0</v>
      </c>
      <c r="AL150" s="356" t="str">
        <f t="shared" si="83"/>
        <v>-</v>
      </c>
      <c r="AM150" s="356" t="str">
        <f t="shared" si="84"/>
        <v>-</v>
      </c>
      <c r="AN150" s="356" t="str">
        <f t="shared" si="85"/>
        <v>-</v>
      </c>
      <c r="AO150" s="356" t="e">
        <f t="shared" si="86"/>
        <v>#VALUE!</v>
      </c>
      <c r="AP150" s="358" t="str">
        <f t="shared" si="87"/>
        <v>-</v>
      </c>
      <c r="AQ150" s="357" t="str">
        <f t="shared" si="111"/>
        <v>-</v>
      </c>
      <c r="AR150" s="357" t="str">
        <f t="shared" si="112"/>
        <v>-</v>
      </c>
      <c r="AS150" s="356" t="str">
        <f t="shared" si="90"/>
        <v>-</v>
      </c>
      <c r="AT150" s="355" t="str">
        <f t="shared" si="91"/>
        <v>-</v>
      </c>
      <c r="AU150" s="356" t="str">
        <f t="shared" si="92"/>
        <v>-</v>
      </c>
      <c r="AV150" s="356" t="e">
        <f t="shared" si="93"/>
        <v>#DIV/0!</v>
      </c>
      <c r="AW150" s="355" t="str">
        <f t="shared" si="94"/>
        <v>-</v>
      </c>
      <c r="AX150" s="359"/>
      <c r="AY150" s="356" t="str">
        <f t="shared" si="95"/>
        <v>-</v>
      </c>
      <c r="AZ150" s="356" t="str">
        <f t="shared" si="96"/>
        <v>-</v>
      </c>
      <c r="BA150" s="356">
        <f t="shared" si="97"/>
        <v>0</v>
      </c>
      <c r="BB150" s="356" t="e">
        <f t="shared" si="98"/>
        <v>#VALUE!</v>
      </c>
      <c r="BC150" s="358" t="str">
        <f t="shared" si="99"/>
        <v>-</v>
      </c>
      <c r="BD150" s="356" t="e">
        <f t="shared" si="100"/>
        <v>#VALUE!</v>
      </c>
      <c r="BE150" s="357" t="str">
        <f t="shared" si="101"/>
        <v>-</v>
      </c>
      <c r="BF150" s="357" t="str">
        <f t="shared" si="102"/>
        <v>-</v>
      </c>
      <c r="BG150" s="356">
        <f t="shared" si="103"/>
        <v>0</v>
      </c>
    </row>
    <row r="151" spans="1:59" x14ac:dyDescent="0.25">
      <c r="A151" s="355">
        <f t="shared" si="104"/>
        <v>124</v>
      </c>
      <c r="B151" s="363"/>
      <c r="C151" s="363"/>
      <c r="D151" s="363"/>
      <c r="E151" s="363"/>
      <c r="F151" s="363"/>
      <c r="G151" s="363"/>
      <c r="H151" s="359"/>
      <c r="I151" s="359"/>
      <c r="J151" s="362"/>
      <c r="K151" s="359"/>
      <c r="L151" s="359"/>
      <c r="M151" s="359"/>
      <c r="N151" s="359"/>
      <c r="O151" s="359"/>
      <c r="P151" s="359"/>
      <c r="Q151" s="359"/>
      <c r="R151" s="359"/>
      <c r="S151" s="359"/>
      <c r="T151" s="359"/>
      <c r="U151" s="359"/>
      <c r="V151" s="359"/>
      <c r="W151" s="359"/>
      <c r="X151" s="359"/>
      <c r="Y151" s="359"/>
      <c r="Z151" s="359"/>
      <c r="AA151" s="356">
        <f t="shared" si="72"/>
        <v>0</v>
      </c>
      <c r="AB151" s="356">
        <f t="shared" si="105"/>
        <v>0</v>
      </c>
      <c r="AC151" s="356">
        <f t="shared" si="106"/>
        <v>0</v>
      </c>
      <c r="AD151" s="356">
        <f t="shared" si="107"/>
        <v>0</v>
      </c>
      <c r="AE151" s="356">
        <f t="shared" si="108"/>
        <v>0</v>
      </c>
      <c r="AF151" s="356">
        <f t="shared" si="109"/>
        <v>0</v>
      </c>
      <c r="AG151" s="356">
        <f t="shared" si="110"/>
        <v>0</v>
      </c>
      <c r="AH151" s="361">
        <f t="shared" si="79"/>
        <v>1.1000000000000001</v>
      </c>
      <c r="AI151" s="356">
        <f t="shared" si="80"/>
        <v>0</v>
      </c>
      <c r="AJ151" s="356">
        <f t="shared" si="81"/>
        <v>0</v>
      </c>
      <c r="AK151" s="360">
        <f t="shared" si="82"/>
        <v>0</v>
      </c>
      <c r="AL151" s="356" t="str">
        <f t="shared" si="83"/>
        <v>-</v>
      </c>
      <c r="AM151" s="356" t="str">
        <f t="shared" si="84"/>
        <v>-</v>
      </c>
      <c r="AN151" s="356" t="str">
        <f t="shared" si="85"/>
        <v>-</v>
      </c>
      <c r="AO151" s="356" t="e">
        <f t="shared" si="86"/>
        <v>#VALUE!</v>
      </c>
      <c r="AP151" s="358" t="str">
        <f t="shared" si="87"/>
        <v>-</v>
      </c>
      <c r="AQ151" s="357" t="str">
        <f t="shared" si="111"/>
        <v>-</v>
      </c>
      <c r="AR151" s="357" t="str">
        <f t="shared" si="112"/>
        <v>-</v>
      </c>
      <c r="AS151" s="356" t="str">
        <f t="shared" si="90"/>
        <v>-</v>
      </c>
      <c r="AT151" s="355" t="str">
        <f t="shared" si="91"/>
        <v>-</v>
      </c>
      <c r="AU151" s="356" t="str">
        <f t="shared" si="92"/>
        <v>-</v>
      </c>
      <c r="AV151" s="356" t="e">
        <f t="shared" si="93"/>
        <v>#DIV/0!</v>
      </c>
      <c r="AW151" s="355" t="str">
        <f t="shared" si="94"/>
        <v>-</v>
      </c>
      <c r="AX151" s="359"/>
      <c r="AY151" s="356" t="str">
        <f t="shared" si="95"/>
        <v>-</v>
      </c>
      <c r="AZ151" s="356" t="str">
        <f t="shared" si="96"/>
        <v>-</v>
      </c>
      <c r="BA151" s="356">
        <f t="shared" si="97"/>
        <v>0</v>
      </c>
      <c r="BB151" s="356" t="e">
        <f t="shared" si="98"/>
        <v>#VALUE!</v>
      </c>
      <c r="BC151" s="358" t="str">
        <f t="shared" si="99"/>
        <v>-</v>
      </c>
      <c r="BD151" s="356" t="e">
        <f t="shared" si="100"/>
        <v>#VALUE!</v>
      </c>
      <c r="BE151" s="357" t="str">
        <f t="shared" si="101"/>
        <v>-</v>
      </c>
      <c r="BF151" s="357" t="str">
        <f t="shared" si="102"/>
        <v>-</v>
      </c>
      <c r="BG151" s="356">
        <f t="shared" si="103"/>
        <v>0</v>
      </c>
    </row>
    <row r="152" spans="1:59" x14ac:dyDescent="0.25">
      <c r="A152" s="355">
        <f t="shared" si="104"/>
        <v>125</v>
      </c>
      <c r="B152" s="363"/>
      <c r="C152" s="363"/>
      <c r="D152" s="363"/>
      <c r="E152" s="363"/>
      <c r="F152" s="363"/>
      <c r="G152" s="363"/>
      <c r="H152" s="359"/>
      <c r="I152" s="359"/>
      <c r="J152" s="362"/>
      <c r="K152" s="359"/>
      <c r="L152" s="359"/>
      <c r="M152" s="359"/>
      <c r="N152" s="359"/>
      <c r="O152" s="359"/>
      <c r="P152" s="359"/>
      <c r="Q152" s="359"/>
      <c r="R152" s="359"/>
      <c r="S152" s="359"/>
      <c r="T152" s="359"/>
      <c r="U152" s="359"/>
      <c r="V152" s="359"/>
      <c r="W152" s="359"/>
      <c r="X152" s="359"/>
      <c r="Y152" s="359"/>
      <c r="Z152" s="359"/>
      <c r="AA152" s="356">
        <f t="shared" si="72"/>
        <v>0</v>
      </c>
      <c r="AB152" s="356">
        <f t="shared" si="105"/>
        <v>0</v>
      </c>
      <c r="AC152" s="356">
        <f t="shared" si="106"/>
        <v>0</v>
      </c>
      <c r="AD152" s="356">
        <f t="shared" si="107"/>
        <v>0</v>
      </c>
      <c r="AE152" s="356">
        <f t="shared" si="108"/>
        <v>0</v>
      </c>
      <c r="AF152" s="356">
        <f t="shared" si="109"/>
        <v>0</v>
      </c>
      <c r="AG152" s="356">
        <f t="shared" si="110"/>
        <v>0</v>
      </c>
      <c r="AH152" s="361">
        <f t="shared" si="79"/>
        <v>1.1000000000000001</v>
      </c>
      <c r="AI152" s="356">
        <f t="shared" si="80"/>
        <v>0</v>
      </c>
      <c r="AJ152" s="356">
        <f t="shared" si="81"/>
        <v>0</v>
      </c>
      <c r="AK152" s="360">
        <f t="shared" si="82"/>
        <v>0</v>
      </c>
      <c r="AL152" s="356" t="str">
        <f t="shared" si="83"/>
        <v>-</v>
      </c>
      <c r="AM152" s="356" t="str">
        <f t="shared" si="84"/>
        <v>-</v>
      </c>
      <c r="AN152" s="356" t="str">
        <f t="shared" si="85"/>
        <v>-</v>
      </c>
      <c r="AO152" s="356" t="e">
        <f t="shared" si="86"/>
        <v>#VALUE!</v>
      </c>
      <c r="AP152" s="358" t="str">
        <f t="shared" si="87"/>
        <v>-</v>
      </c>
      <c r="AQ152" s="357" t="str">
        <f t="shared" si="111"/>
        <v>-</v>
      </c>
      <c r="AR152" s="357" t="str">
        <f t="shared" si="112"/>
        <v>-</v>
      </c>
      <c r="AS152" s="356" t="str">
        <f t="shared" si="90"/>
        <v>-</v>
      </c>
      <c r="AT152" s="355" t="str">
        <f t="shared" si="91"/>
        <v>-</v>
      </c>
      <c r="AU152" s="356" t="str">
        <f t="shared" si="92"/>
        <v>-</v>
      </c>
      <c r="AV152" s="356" t="e">
        <f t="shared" si="93"/>
        <v>#DIV/0!</v>
      </c>
      <c r="AW152" s="355" t="str">
        <f t="shared" si="94"/>
        <v>-</v>
      </c>
      <c r="AX152" s="359"/>
      <c r="AY152" s="356" t="str">
        <f t="shared" si="95"/>
        <v>-</v>
      </c>
      <c r="AZ152" s="356" t="str">
        <f t="shared" si="96"/>
        <v>-</v>
      </c>
      <c r="BA152" s="356">
        <f t="shared" si="97"/>
        <v>0</v>
      </c>
      <c r="BB152" s="356" t="e">
        <f t="shared" si="98"/>
        <v>#VALUE!</v>
      </c>
      <c r="BC152" s="358" t="str">
        <f t="shared" si="99"/>
        <v>-</v>
      </c>
      <c r="BD152" s="356" t="e">
        <f t="shared" si="100"/>
        <v>#VALUE!</v>
      </c>
      <c r="BE152" s="357" t="str">
        <f t="shared" si="101"/>
        <v>-</v>
      </c>
      <c r="BF152" s="357" t="str">
        <f t="shared" si="102"/>
        <v>-</v>
      </c>
      <c r="BG152" s="356">
        <f t="shared" si="103"/>
        <v>0</v>
      </c>
    </row>
    <row r="153" spans="1:59" x14ac:dyDescent="0.25">
      <c r="A153" s="355">
        <f t="shared" si="104"/>
        <v>126</v>
      </c>
      <c r="B153" s="363"/>
      <c r="C153" s="363"/>
      <c r="D153" s="363"/>
      <c r="E153" s="363"/>
      <c r="F153" s="363"/>
      <c r="G153" s="363"/>
      <c r="H153" s="359"/>
      <c r="I153" s="359"/>
      <c r="J153" s="362"/>
      <c r="K153" s="359"/>
      <c r="L153" s="359"/>
      <c r="M153" s="359"/>
      <c r="N153" s="359"/>
      <c r="O153" s="359"/>
      <c r="P153" s="359"/>
      <c r="Q153" s="359"/>
      <c r="R153" s="359"/>
      <c r="S153" s="359"/>
      <c r="T153" s="359"/>
      <c r="U153" s="359"/>
      <c r="V153" s="359"/>
      <c r="W153" s="359"/>
      <c r="X153" s="359"/>
      <c r="Y153" s="359"/>
      <c r="Z153" s="359"/>
      <c r="AA153" s="356">
        <f t="shared" si="72"/>
        <v>0</v>
      </c>
      <c r="AB153" s="356">
        <f t="shared" si="105"/>
        <v>0</v>
      </c>
      <c r="AC153" s="356">
        <f t="shared" si="106"/>
        <v>0</v>
      </c>
      <c r="AD153" s="356">
        <f t="shared" si="107"/>
        <v>0</v>
      </c>
      <c r="AE153" s="356">
        <f t="shared" si="108"/>
        <v>0</v>
      </c>
      <c r="AF153" s="356">
        <f t="shared" si="109"/>
        <v>0</v>
      </c>
      <c r="AG153" s="356">
        <f t="shared" si="110"/>
        <v>0</v>
      </c>
      <c r="AH153" s="361">
        <f t="shared" si="79"/>
        <v>1.1000000000000001</v>
      </c>
      <c r="AI153" s="356">
        <f t="shared" si="80"/>
        <v>0</v>
      </c>
      <c r="AJ153" s="356">
        <f t="shared" si="81"/>
        <v>0</v>
      </c>
      <c r="AK153" s="360">
        <f t="shared" si="82"/>
        <v>0</v>
      </c>
      <c r="AL153" s="356" t="str">
        <f t="shared" si="83"/>
        <v>-</v>
      </c>
      <c r="AM153" s="356" t="str">
        <f t="shared" si="84"/>
        <v>-</v>
      </c>
      <c r="AN153" s="356" t="str">
        <f t="shared" si="85"/>
        <v>-</v>
      </c>
      <c r="AO153" s="356" t="e">
        <f t="shared" si="86"/>
        <v>#VALUE!</v>
      </c>
      <c r="AP153" s="358" t="str">
        <f t="shared" si="87"/>
        <v>-</v>
      </c>
      <c r="AQ153" s="357" t="str">
        <f t="shared" si="111"/>
        <v>-</v>
      </c>
      <c r="AR153" s="357" t="str">
        <f t="shared" si="112"/>
        <v>-</v>
      </c>
      <c r="AS153" s="356" t="str">
        <f t="shared" si="90"/>
        <v>-</v>
      </c>
      <c r="AT153" s="355" t="str">
        <f t="shared" si="91"/>
        <v>-</v>
      </c>
      <c r="AU153" s="356" t="str">
        <f t="shared" si="92"/>
        <v>-</v>
      </c>
      <c r="AV153" s="356" t="e">
        <f t="shared" si="93"/>
        <v>#DIV/0!</v>
      </c>
      <c r="AW153" s="355" t="str">
        <f t="shared" si="94"/>
        <v>-</v>
      </c>
      <c r="AX153" s="359"/>
      <c r="AY153" s="356" t="str">
        <f t="shared" si="95"/>
        <v>-</v>
      </c>
      <c r="AZ153" s="356" t="str">
        <f t="shared" si="96"/>
        <v>-</v>
      </c>
      <c r="BA153" s="356">
        <f t="shared" si="97"/>
        <v>0</v>
      </c>
      <c r="BB153" s="356" t="e">
        <f t="shared" si="98"/>
        <v>#VALUE!</v>
      </c>
      <c r="BC153" s="358" t="str">
        <f t="shared" si="99"/>
        <v>-</v>
      </c>
      <c r="BD153" s="356" t="e">
        <f t="shared" si="100"/>
        <v>#VALUE!</v>
      </c>
      <c r="BE153" s="357" t="str">
        <f t="shared" si="101"/>
        <v>-</v>
      </c>
      <c r="BF153" s="357" t="str">
        <f t="shared" si="102"/>
        <v>-</v>
      </c>
      <c r="BG153" s="356">
        <f t="shared" si="103"/>
        <v>0</v>
      </c>
    </row>
    <row r="154" spans="1:59" x14ac:dyDescent="0.25">
      <c r="A154" s="355">
        <f t="shared" si="104"/>
        <v>127</v>
      </c>
      <c r="B154" s="363"/>
      <c r="C154" s="363"/>
      <c r="D154" s="363"/>
      <c r="E154" s="363"/>
      <c r="F154" s="363"/>
      <c r="G154" s="363"/>
      <c r="H154" s="359"/>
      <c r="I154" s="359"/>
      <c r="J154" s="362"/>
      <c r="K154" s="359"/>
      <c r="L154" s="359"/>
      <c r="M154" s="359"/>
      <c r="N154" s="359"/>
      <c r="O154" s="359"/>
      <c r="P154" s="359"/>
      <c r="Q154" s="359"/>
      <c r="R154" s="359"/>
      <c r="S154" s="359"/>
      <c r="T154" s="359"/>
      <c r="U154" s="359"/>
      <c r="V154" s="359"/>
      <c r="W154" s="359"/>
      <c r="X154" s="359"/>
      <c r="Y154" s="359"/>
      <c r="Z154" s="359"/>
      <c r="AA154" s="356">
        <f t="shared" si="72"/>
        <v>0</v>
      </c>
      <c r="AB154" s="356">
        <f t="shared" si="105"/>
        <v>0</v>
      </c>
      <c r="AC154" s="356">
        <f t="shared" si="106"/>
        <v>0</v>
      </c>
      <c r="AD154" s="356">
        <f t="shared" si="107"/>
        <v>0</v>
      </c>
      <c r="AE154" s="356">
        <f t="shared" si="108"/>
        <v>0</v>
      </c>
      <c r="AF154" s="356">
        <f t="shared" si="109"/>
        <v>0</v>
      </c>
      <c r="AG154" s="356">
        <f t="shared" si="110"/>
        <v>0</v>
      </c>
      <c r="AH154" s="361">
        <f t="shared" si="79"/>
        <v>1.1000000000000001</v>
      </c>
      <c r="AI154" s="356">
        <f t="shared" si="80"/>
        <v>0</v>
      </c>
      <c r="AJ154" s="356">
        <f t="shared" si="81"/>
        <v>0</v>
      </c>
      <c r="AK154" s="360">
        <f t="shared" si="82"/>
        <v>0</v>
      </c>
      <c r="AL154" s="356" t="str">
        <f t="shared" si="83"/>
        <v>-</v>
      </c>
      <c r="AM154" s="356" t="str">
        <f t="shared" si="84"/>
        <v>-</v>
      </c>
      <c r="AN154" s="356" t="str">
        <f t="shared" si="85"/>
        <v>-</v>
      </c>
      <c r="AO154" s="356" t="e">
        <f t="shared" si="86"/>
        <v>#VALUE!</v>
      </c>
      <c r="AP154" s="358" t="str">
        <f t="shared" si="87"/>
        <v>-</v>
      </c>
      <c r="AQ154" s="357" t="str">
        <f t="shared" si="111"/>
        <v>-</v>
      </c>
      <c r="AR154" s="357" t="str">
        <f t="shared" si="112"/>
        <v>-</v>
      </c>
      <c r="AS154" s="356" t="str">
        <f t="shared" si="90"/>
        <v>-</v>
      </c>
      <c r="AT154" s="355" t="str">
        <f t="shared" si="91"/>
        <v>-</v>
      </c>
      <c r="AU154" s="356" t="str">
        <f t="shared" si="92"/>
        <v>-</v>
      </c>
      <c r="AV154" s="356" t="e">
        <f t="shared" si="93"/>
        <v>#DIV/0!</v>
      </c>
      <c r="AW154" s="355" t="str">
        <f t="shared" si="94"/>
        <v>-</v>
      </c>
      <c r="AX154" s="359"/>
      <c r="AY154" s="356" t="str">
        <f t="shared" si="95"/>
        <v>-</v>
      </c>
      <c r="AZ154" s="356" t="str">
        <f t="shared" si="96"/>
        <v>-</v>
      </c>
      <c r="BA154" s="356">
        <f t="shared" si="97"/>
        <v>0</v>
      </c>
      <c r="BB154" s="356" t="e">
        <f t="shared" si="98"/>
        <v>#VALUE!</v>
      </c>
      <c r="BC154" s="358" t="str">
        <f t="shared" si="99"/>
        <v>-</v>
      </c>
      <c r="BD154" s="356" t="e">
        <f t="shared" si="100"/>
        <v>#VALUE!</v>
      </c>
      <c r="BE154" s="357" t="str">
        <f t="shared" si="101"/>
        <v>-</v>
      </c>
      <c r="BF154" s="357" t="str">
        <f t="shared" si="102"/>
        <v>-</v>
      </c>
      <c r="BG154" s="356">
        <f t="shared" si="103"/>
        <v>0</v>
      </c>
    </row>
    <row r="155" spans="1:59" x14ac:dyDescent="0.25">
      <c r="A155" s="355">
        <f t="shared" si="104"/>
        <v>128</v>
      </c>
      <c r="B155" s="363"/>
      <c r="C155" s="363"/>
      <c r="D155" s="363"/>
      <c r="E155" s="363"/>
      <c r="F155" s="363"/>
      <c r="G155" s="363"/>
      <c r="H155" s="359"/>
      <c r="I155" s="359"/>
      <c r="J155" s="362"/>
      <c r="K155" s="359"/>
      <c r="L155" s="359"/>
      <c r="M155" s="359"/>
      <c r="N155" s="359"/>
      <c r="O155" s="359"/>
      <c r="P155" s="359"/>
      <c r="Q155" s="359"/>
      <c r="R155" s="359"/>
      <c r="S155" s="359"/>
      <c r="T155" s="359"/>
      <c r="U155" s="359"/>
      <c r="V155" s="359"/>
      <c r="W155" s="359"/>
      <c r="X155" s="359"/>
      <c r="Y155" s="359"/>
      <c r="Z155" s="359"/>
      <c r="AA155" s="356">
        <f t="shared" si="72"/>
        <v>0</v>
      </c>
      <c r="AB155" s="356">
        <f t="shared" si="105"/>
        <v>0</v>
      </c>
      <c r="AC155" s="356">
        <f t="shared" si="106"/>
        <v>0</v>
      </c>
      <c r="AD155" s="356">
        <f t="shared" si="107"/>
        <v>0</v>
      </c>
      <c r="AE155" s="356">
        <f t="shared" si="108"/>
        <v>0</v>
      </c>
      <c r="AF155" s="356">
        <f t="shared" si="109"/>
        <v>0</v>
      </c>
      <c r="AG155" s="356">
        <f t="shared" si="110"/>
        <v>0</v>
      </c>
      <c r="AH155" s="361">
        <f t="shared" si="79"/>
        <v>1.1000000000000001</v>
      </c>
      <c r="AI155" s="356">
        <f t="shared" si="80"/>
        <v>0</v>
      </c>
      <c r="AJ155" s="356">
        <f t="shared" si="81"/>
        <v>0</v>
      </c>
      <c r="AK155" s="360">
        <f t="shared" si="82"/>
        <v>0</v>
      </c>
      <c r="AL155" s="356" t="str">
        <f t="shared" si="83"/>
        <v>-</v>
      </c>
      <c r="AM155" s="356" t="str">
        <f t="shared" si="84"/>
        <v>-</v>
      </c>
      <c r="AN155" s="356" t="str">
        <f t="shared" si="85"/>
        <v>-</v>
      </c>
      <c r="AO155" s="356" t="e">
        <f t="shared" si="86"/>
        <v>#VALUE!</v>
      </c>
      <c r="AP155" s="358" t="str">
        <f t="shared" si="87"/>
        <v>-</v>
      </c>
      <c r="AQ155" s="357" t="str">
        <f t="shared" si="111"/>
        <v>-</v>
      </c>
      <c r="AR155" s="357" t="str">
        <f t="shared" si="112"/>
        <v>-</v>
      </c>
      <c r="AS155" s="356" t="str">
        <f t="shared" si="90"/>
        <v>-</v>
      </c>
      <c r="AT155" s="355" t="str">
        <f t="shared" si="91"/>
        <v>-</v>
      </c>
      <c r="AU155" s="356" t="str">
        <f t="shared" si="92"/>
        <v>-</v>
      </c>
      <c r="AV155" s="356" t="e">
        <f t="shared" si="93"/>
        <v>#DIV/0!</v>
      </c>
      <c r="AW155" s="355" t="str">
        <f t="shared" si="94"/>
        <v>-</v>
      </c>
      <c r="AX155" s="359"/>
      <c r="AY155" s="356" t="str">
        <f t="shared" si="95"/>
        <v>-</v>
      </c>
      <c r="AZ155" s="356" t="str">
        <f t="shared" si="96"/>
        <v>-</v>
      </c>
      <c r="BA155" s="356">
        <f t="shared" si="97"/>
        <v>0</v>
      </c>
      <c r="BB155" s="356" t="e">
        <f t="shared" si="98"/>
        <v>#VALUE!</v>
      </c>
      <c r="BC155" s="358" t="str">
        <f t="shared" si="99"/>
        <v>-</v>
      </c>
      <c r="BD155" s="356" t="e">
        <f t="shared" si="100"/>
        <v>#VALUE!</v>
      </c>
      <c r="BE155" s="357" t="str">
        <f t="shared" si="101"/>
        <v>-</v>
      </c>
      <c r="BF155" s="357" t="str">
        <f t="shared" si="102"/>
        <v>-</v>
      </c>
      <c r="BG155" s="356">
        <f t="shared" si="103"/>
        <v>0</v>
      </c>
    </row>
    <row r="156" spans="1:59" x14ac:dyDescent="0.25">
      <c r="A156" s="355">
        <f t="shared" si="104"/>
        <v>129</v>
      </c>
      <c r="B156" s="363"/>
      <c r="C156" s="363"/>
      <c r="D156" s="363"/>
      <c r="E156" s="363"/>
      <c r="F156" s="363"/>
      <c r="G156" s="363"/>
      <c r="H156" s="359"/>
      <c r="I156" s="359"/>
      <c r="J156" s="362"/>
      <c r="K156" s="359"/>
      <c r="L156" s="359"/>
      <c r="M156" s="359"/>
      <c r="N156" s="359"/>
      <c r="O156" s="359"/>
      <c r="P156" s="359"/>
      <c r="Q156" s="359"/>
      <c r="R156" s="359"/>
      <c r="S156" s="359"/>
      <c r="T156" s="359"/>
      <c r="U156" s="359"/>
      <c r="V156" s="359"/>
      <c r="W156" s="359"/>
      <c r="X156" s="359"/>
      <c r="Y156" s="359"/>
      <c r="Z156" s="359"/>
      <c r="AA156" s="356">
        <f t="shared" ref="AA156:AA219" si="113">600*COUNT($L156)</f>
        <v>0</v>
      </c>
      <c r="AB156" s="356">
        <f t="shared" si="105"/>
        <v>0</v>
      </c>
      <c r="AC156" s="356">
        <f t="shared" si="106"/>
        <v>0</v>
      </c>
      <c r="AD156" s="356">
        <f t="shared" si="107"/>
        <v>0</v>
      </c>
      <c r="AE156" s="356">
        <f t="shared" si="108"/>
        <v>0</v>
      </c>
      <c r="AF156" s="356">
        <f t="shared" si="109"/>
        <v>0</v>
      </c>
      <c r="AG156" s="356">
        <f t="shared" si="110"/>
        <v>0</v>
      </c>
      <c r="AH156" s="361">
        <f t="shared" ref="AH156:AH219" si="114">+$AH$27</f>
        <v>1.1000000000000001</v>
      </c>
      <c r="AI156" s="356">
        <f t="shared" ref="AI156:AI219" si="115">($AG156/$AH156)-$AJ156</f>
        <v>0</v>
      </c>
      <c r="AJ156" s="356">
        <f t="shared" ref="AJ156:AJ219" si="116">SUM($M156:$P156,$Z156:$AA156)/12</f>
        <v>0</v>
      </c>
      <c r="AK156" s="360">
        <f t="shared" ref="AK156:AK219" si="117">$F$11</f>
        <v>0</v>
      </c>
      <c r="AL156" s="356" t="str">
        <f t="shared" ref="AL156:AL219" si="118">IF(OR($C$12="Purchase",$C$12="Delayed Purchase"),MIN($AL$26*($I156+$K156),$AL$27*$L$28),IF(OR($C$12="Refinance (Rate/Term)",$C$12="Refinance (Cash Out)"),$AL$27*$L156,"-"))</f>
        <v>-</v>
      </c>
      <c r="AM156" s="356" t="str">
        <f t="shared" ref="AM156:AM219" si="119">IF($F$5="No IO",PMT($AK156/12,360,-$AL156),"-")</f>
        <v>-</v>
      </c>
      <c r="AN156" s="356" t="str">
        <f t="shared" ref="AN156:AN219" si="120">IF($F$5="Term IO",$AL156*($AK156/12),"-")</f>
        <v>-</v>
      </c>
      <c r="AO156" s="356" t="e">
        <f t="shared" ref="AO156:AO219" si="121">IF($F$5="No IO",$AM156+$AJ156,$AN156+$AJ156)</f>
        <v>#VALUE!</v>
      </c>
      <c r="AP156" s="358" t="str">
        <f t="shared" ref="AP156:AP219" si="122">IFERROR($AG156/$AO156,"-")</f>
        <v>-</v>
      </c>
      <c r="AQ156" s="357" t="str">
        <f t="shared" si="111"/>
        <v>-</v>
      </c>
      <c r="AR156" s="357" t="str">
        <f t="shared" si="112"/>
        <v>-</v>
      </c>
      <c r="AS156" s="356" t="str">
        <f t="shared" ref="AS156:AS219" si="123">IF(OR($C$12="Purchase",$C$12="Delayed Purchase"),MIN($L156*$AQ156,$AR156*($I156+$K156)),IF(OR($C$12="Refinance (Rate/Term)",$C$12="Refinance (Cash Out)"),$L156*$AQ156,"-"))</f>
        <v>-</v>
      </c>
      <c r="AT156" s="355" t="str">
        <f t="shared" ref="AT156:AT219" si="124">IF(OR($C$12="Purchase",$C$12="Delayed Purchase",$C$12="Refinance (Cash Out)"),"-",IF($C$12="Refinance (Rate/Term)",102%*$H156,"-"))</f>
        <v>-</v>
      </c>
      <c r="AU156" s="356" t="str">
        <f t="shared" ref="AU156:AU219" si="125">IF($C$12="Refinance (Rate/Term)",MIN($AT156,$AS156),$AS156)</f>
        <v>-</v>
      </c>
      <c r="AV156" s="356" t="e">
        <f t="shared" ref="AV156:AV219" si="126">ROUNDDOWN(IF($F$5="No IO",PV($AK156/12,360,-$AI156),$AG156/($AH156*($AK156/12))-($AJ156/($AK156/12))),0)</f>
        <v>#DIV/0!</v>
      </c>
      <c r="AW156" s="355" t="str">
        <f t="shared" ref="AW156:AW219" si="127">IFERROR(IF($AV156&gt;$AL156,"-",$AV156),"-")</f>
        <v>-</v>
      </c>
      <c r="AX156" s="359"/>
      <c r="AY156" s="356" t="str">
        <f t="shared" ref="AY156:AY219" si="128">IF($F$5="No IO",PMT($AK156/12,360,-$AX156),"-")</f>
        <v>-</v>
      </c>
      <c r="AZ156" s="356" t="str">
        <f t="shared" ref="AZ156:AZ219" si="129">IF($F$5="Term IO",$AX156*($AK156/12),"-")</f>
        <v>-</v>
      </c>
      <c r="BA156" s="356">
        <f t="shared" ref="BA156:BA219" si="130">$AJ156</f>
        <v>0</v>
      </c>
      <c r="BB156" s="356" t="e">
        <f t="shared" ref="BB156:BB219" si="131">IF($F$5="No IO",$AY156+$BA156,$AZ156+$BA156)</f>
        <v>#VALUE!</v>
      </c>
      <c r="BC156" s="358" t="str">
        <f t="shared" ref="BC156:BC219" si="132">IFERROR($AG156/$BB156,"-")</f>
        <v>-</v>
      </c>
      <c r="BD156" s="356" t="e">
        <f t="shared" ref="BD156:BD219" si="133">IF($F$5="No IO",$AY156+(SUM($M156:$O156)/12),$AZ156+(SUM($M156:$O156)/12))</f>
        <v>#VALUE!</v>
      </c>
      <c r="BE156" s="357" t="str">
        <f t="shared" ref="BE156:BE219" si="134">IFERROR($AX156/$L156,"-")</f>
        <v>-</v>
      </c>
      <c r="BF156" s="357" t="str">
        <f t="shared" ref="BF156:BF219" si="135">IFERROR(IF(OR($C$12="Refinance (Rate/Term)",$C$12="Refinance (Cash Out)"),"-",$AX156/($I156+$K156)),"-")</f>
        <v>-</v>
      </c>
      <c r="BG156" s="356">
        <f t="shared" ref="BG156:BG219" si="136">IFERROR($BG$26*$AX156,"-")</f>
        <v>0</v>
      </c>
    </row>
    <row r="157" spans="1:59" x14ac:dyDescent="0.25">
      <c r="A157" s="355">
        <f t="shared" ref="A157:A220" si="137">+A156+1</f>
        <v>130</v>
      </c>
      <c r="B157" s="363"/>
      <c r="C157" s="363"/>
      <c r="D157" s="363"/>
      <c r="E157" s="363"/>
      <c r="F157" s="363"/>
      <c r="G157" s="363"/>
      <c r="H157" s="359"/>
      <c r="I157" s="359"/>
      <c r="J157" s="362"/>
      <c r="K157" s="359"/>
      <c r="L157" s="359"/>
      <c r="M157" s="359"/>
      <c r="N157" s="359"/>
      <c r="O157" s="359"/>
      <c r="P157" s="359"/>
      <c r="Q157" s="359"/>
      <c r="R157" s="359"/>
      <c r="S157" s="359"/>
      <c r="T157" s="359"/>
      <c r="U157" s="359"/>
      <c r="V157" s="359"/>
      <c r="W157" s="359"/>
      <c r="X157" s="359"/>
      <c r="Y157" s="359"/>
      <c r="Z157" s="359"/>
      <c r="AA157" s="356">
        <f t="shared" si="113"/>
        <v>0</v>
      </c>
      <c r="AB157" s="356">
        <f t="shared" si="105"/>
        <v>0</v>
      </c>
      <c r="AC157" s="356">
        <f t="shared" si="106"/>
        <v>0</v>
      </c>
      <c r="AD157" s="356">
        <f t="shared" si="107"/>
        <v>0</v>
      </c>
      <c r="AE157" s="356">
        <f t="shared" si="108"/>
        <v>0</v>
      </c>
      <c r="AF157" s="356">
        <f t="shared" si="109"/>
        <v>0</v>
      </c>
      <c r="AG157" s="356">
        <f t="shared" si="110"/>
        <v>0</v>
      </c>
      <c r="AH157" s="361">
        <f t="shared" si="114"/>
        <v>1.1000000000000001</v>
      </c>
      <c r="AI157" s="356">
        <f t="shared" si="115"/>
        <v>0</v>
      </c>
      <c r="AJ157" s="356">
        <f t="shared" si="116"/>
        <v>0</v>
      </c>
      <c r="AK157" s="360">
        <f t="shared" si="117"/>
        <v>0</v>
      </c>
      <c r="AL157" s="356" t="str">
        <f t="shared" si="118"/>
        <v>-</v>
      </c>
      <c r="AM157" s="356" t="str">
        <f t="shared" si="119"/>
        <v>-</v>
      </c>
      <c r="AN157" s="356" t="str">
        <f t="shared" si="120"/>
        <v>-</v>
      </c>
      <c r="AO157" s="356" t="e">
        <f t="shared" si="121"/>
        <v>#VALUE!</v>
      </c>
      <c r="AP157" s="358" t="str">
        <f t="shared" si="122"/>
        <v>-</v>
      </c>
      <c r="AQ157" s="357" t="str">
        <f t="shared" si="111"/>
        <v>-</v>
      </c>
      <c r="AR157" s="357" t="str">
        <f t="shared" si="112"/>
        <v>-</v>
      </c>
      <c r="AS157" s="356" t="str">
        <f t="shared" si="123"/>
        <v>-</v>
      </c>
      <c r="AT157" s="355" t="str">
        <f t="shared" si="124"/>
        <v>-</v>
      </c>
      <c r="AU157" s="356" t="str">
        <f t="shared" si="125"/>
        <v>-</v>
      </c>
      <c r="AV157" s="356" t="e">
        <f t="shared" si="126"/>
        <v>#DIV/0!</v>
      </c>
      <c r="AW157" s="355" t="str">
        <f t="shared" si="127"/>
        <v>-</v>
      </c>
      <c r="AX157" s="359"/>
      <c r="AY157" s="356" t="str">
        <f t="shared" si="128"/>
        <v>-</v>
      </c>
      <c r="AZ157" s="356" t="str">
        <f t="shared" si="129"/>
        <v>-</v>
      </c>
      <c r="BA157" s="356">
        <f t="shared" si="130"/>
        <v>0</v>
      </c>
      <c r="BB157" s="356" t="e">
        <f t="shared" si="131"/>
        <v>#VALUE!</v>
      </c>
      <c r="BC157" s="358" t="str">
        <f t="shared" si="132"/>
        <v>-</v>
      </c>
      <c r="BD157" s="356" t="e">
        <f t="shared" si="133"/>
        <v>#VALUE!</v>
      </c>
      <c r="BE157" s="357" t="str">
        <f t="shared" si="134"/>
        <v>-</v>
      </c>
      <c r="BF157" s="357" t="str">
        <f t="shared" si="135"/>
        <v>-</v>
      </c>
      <c r="BG157" s="356">
        <f t="shared" si="136"/>
        <v>0</v>
      </c>
    </row>
    <row r="158" spans="1:59" x14ac:dyDescent="0.25">
      <c r="A158" s="355">
        <f t="shared" si="137"/>
        <v>131</v>
      </c>
      <c r="B158" s="363"/>
      <c r="C158" s="363"/>
      <c r="D158" s="363"/>
      <c r="E158" s="363"/>
      <c r="F158" s="363"/>
      <c r="G158" s="363"/>
      <c r="H158" s="359"/>
      <c r="I158" s="359"/>
      <c r="J158" s="362"/>
      <c r="K158" s="359"/>
      <c r="L158" s="359"/>
      <c r="M158" s="359"/>
      <c r="N158" s="359"/>
      <c r="O158" s="359"/>
      <c r="P158" s="359"/>
      <c r="Q158" s="359"/>
      <c r="R158" s="359"/>
      <c r="S158" s="359"/>
      <c r="T158" s="359"/>
      <c r="U158" s="359"/>
      <c r="V158" s="359"/>
      <c r="W158" s="359"/>
      <c r="X158" s="359"/>
      <c r="Y158" s="359"/>
      <c r="Z158" s="359"/>
      <c r="AA158" s="356">
        <f t="shared" si="113"/>
        <v>0</v>
      </c>
      <c r="AB158" s="356">
        <f t="shared" si="105"/>
        <v>0</v>
      </c>
      <c r="AC158" s="356">
        <f t="shared" si="106"/>
        <v>0</v>
      </c>
      <c r="AD158" s="356">
        <f t="shared" si="107"/>
        <v>0</v>
      </c>
      <c r="AE158" s="356">
        <f t="shared" si="108"/>
        <v>0</v>
      </c>
      <c r="AF158" s="356">
        <f t="shared" si="109"/>
        <v>0</v>
      </c>
      <c r="AG158" s="356">
        <f t="shared" si="110"/>
        <v>0</v>
      </c>
      <c r="AH158" s="361">
        <f t="shared" si="114"/>
        <v>1.1000000000000001</v>
      </c>
      <c r="AI158" s="356">
        <f t="shared" si="115"/>
        <v>0</v>
      </c>
      <c r="AJ158" s="356">
        <f t="shared" si="116"/>
        <v>0</v>
      </c>
      <c r="AK158" s="360">
        <f t="shared" si="117"/>
        <v>0</v>
      </c>
      <c r="AL158" s="356" t="str">
        <f t="shared" si="118"/>
        <v>-</v>
      </c>
      <c r="AM158" s="356" t="str">
        <f t="shared" si="119"/>
        <v>-</v>
      </c>
      <c r="AN158" s="356" t="str">
        <f t="shared" si="120"/>
        <v>-</v>
      </c>
      <c r="AO158" s="356" t="e">
        <f t="shared" si="121"/>
        <v>#VALUE!</v>
      </c>
      <c r="AP158" s="358" t="str">
        <f t="shared" si="122"/>
        <v>-</v>
      </c>
      <c r="AQ158" s="357" t="str">
        <f t="shared" si="111"/>
        <v>-</v>
      </c>
      <c r="AR158" s="357" t="str">
        <f t="shared" si="112"/>
        <v>-</v>
      </c>
      <c r="AS158" s="356" t="str">
        <f t="shared" si="123"/>
        <v>-</v>
      </c>
      <c r="AT158" s="355" t="str">
        <f t="shared" si="124"/>
        <v>-</v>
      </c>
      <c r="AU158" s="356" t="str">
        <f t="shared" si="125"/>
        <v>-</v>
      </c>
      <c r="AV158" s="356" t="e">
        <f t="shared" si="126"/>
        <v>#DIV/0!</v>
      </c>
      <c r="AW158" s="355" t="str">
        <f t="shared" si="127"/>
        <v>-</v>
      </c>
      <c r="AX158" s="359"/>
      <c r="AY158" s="356" t="str">
        <f t="shared" si="128"/>
        <v>-</v>
      </c>
      <c r="AZ158" s="356" t="str">
        <f t="shared" si="129"/>
        <v>-</v>
      </c>
      <c r="BA158" s="356">
        <f t="shared" si="130"/>
        <v>0</v>
      </c>
      <c r="BB158" s="356" t="e">
        <f t="shared" si="131"/>
        <v>#VALUE!</v>
      </c>
      <c r="BC158" s="358" t="str">
        <f t="shared" si="132"/>
        <v>-</v>
      </c>
      <c r="BD158" s="356" t="e">
        <f t="shared" si="133"/>
        <v>#VALUE!</v>
      </c>
      <c r="BE158" s="357" t="str">
        <f t="shared" si="134"/>
        <v>-</v>
      </c>
      <c r="BF158" s="357" t="str">
        <f t="shared" si="135"/>
        <v>-</v>
      </c>
      <c r="BG158" s="356">
        <f t="shared" si="136"/>
        <v>0</v>
      </c>
    </row>
    <row r="159" spans="1:59" x14ac:dyDescent="0.25">
      <c r="A159" s="355">
        <f t="shared" si="137"/>
        <v>132</v>
      </c>
      <c r="B159" s="363"/>
      <c r="C159" s="363"/>
      <c r="D159" s="363"/>
      <c r="E159" s="363"/>
      <c r="F159" s="363"/>
      <c r="G159" s="363"/>
      <c r="H159" s="359"/>
      <c r="I159" s="359"/>
      <c r="J159" s="362"/>
      <c r="K159" s="359"/>
      <c r="L159" s="359"/>
      <c r="M159" s="359"/>
      <c r="N159" s="359"/>
      <c r="O159" s="359"/>
      <c r="P159" s="359"/>
      <c r="Q159" s="359"/>
      <c r="R159" s="359"/>
      <c r="S159" s="359"/>
      <c r="T159" s="359"/>
      <c r="U159" s="359"/>
      <c r="V159" s="359"/>
      <c r="W159" s="359"/>
      <c r="X159" s="359"/>
      <c r="Y159" s="359"/>
      <c r="Z159" s="359"/>
      <c r="AA159" s="356">
        <f t="shared" si="113"/>
        <v>0</v>
      </c>
      <c r="AB159" s="356">
        <f t="shared" si="105"/>
        <v>0</v>
      </c>
      <c r="AC159" s="356">
        <f t="shared" si="106"/>
        <v>0</v>
      </c>
      <c r="AD159" s="356">
        <f t="shared" si="107"/>
        <v>0</v>
      </c>
      <c r="AE159" s="356">
        <f t="shared" si="108"/>
        <v>0</v>
      </c>
      <c r="AF159" s="356">
        <f t="shared" si="109"/>
        <v>0</v>
      </c>
      <c r="AG159" s="356">
        <f t="shared" si="110"/>
        <v>0</v>
      </c>
      <c r="AH159" s="361">
        <f t="shared" si="114"/>
        <v>1.1000000000000001</v>
      </c>
      <c r="AI159" s="356">
        <f t="shared" si="115"/>
        <v>0</v>
      </c>
      <c r="AJ159" s="356">
        <f t="shared" si="116"/>
        <v>0</v>
      </c>
      <c r="AK159" s="360">
        <f t="shared" si="117"/>
        <v>0</v>
      </c>
      <c r="AL159" s="356" t="str">
        <f t="shared" si="118"/>
        <v>-</v>
      </c>
      <c r="AM159" s="356" t="str">
        <f t="shared" si="119"/>
        <v>-</v>
      </c>
      <c r="AN159" s="356" t="str">
        <f t="shared" si="120"/>
        <v>-</v>
      </c>
      <c r="AO159" s="356" t="e">
        <f t="shared" si="121"/>
        <v>#VALUE!</v>
      </c>
      <c r="AP159" s="358" t="str">
        <f t="shared" si="122"/>
        <v>-</v>
      </c>
      <c r="AQ159" s="357" t="str">
        <f t="shared" si="111"/>
        <v>-</v>
      </c>
      <c r="AR159" s="357" t="str">
        <f t="shared" si="112"/>
        <v>-</v>
      </c>
      <c r="AS159" s="356" t="str">
        <f t="shared" si="123"/>
        <v>-</v>
      </c>
      <c r="AT159" s="355" t="str">
        <f t="shared" si="124"/>
        <v>-</v>
      </c>
      <c r="AU159" s="356" t="str">
        <f t="shared" si="125"/>
        <v>-</v>
      </c>
      <c r="AV159" s="356" t="e">
        <f t="shared" si="126"/>
        <v>#DIV/0!</v>
      </c>
      <c r="AW159" s="355" t="str">
        <f t="shared" si="127"/>
        <v>-</v>
      </c>
      <c r="AX159" s="359"/>
      <c r="AY159" s="356" t="str">
        <f t="shared" si="128"/>
        <v>-</v>
      </c>
      <c r="AZ159" s="356" t="str">
        <f t="shared" si="129"/>
        <v>-</v>
      </c>
      <c r="BA159" s="356">
        <f t="shared" si="130"/>
        <v>0</v>
      </c>
      <c r="BB159" s="356" t="e">
        <f t="shared" si="131"/>
        <v>#VALUE!</v>
      </c>
      <c r="BC159" s="358" t="str">
        <f t="shared" si="132"/>
        <v>-</v>
      </c>
      <c r="BD159" s="356" t="e">
        <f t="shared" si="133"/>
        <v>#VALUE!</v>
      </c>
      <c r="BE159" s="357" t="str">
        <f t="shared" si="134"/>
        <v>-</v>
      </c>
      <c r="BF159" s="357" t="str">
        <f t="shared" si="135"/>
        <v>-</v>
      </c>
      <c r="BG159" s="356">
        <f t="shared" si="136"/>
        <v>0</v>
      </c>
    </row>
    <row r="160" spans="1:59" x14ac:dyDescent="0.25">
      <c r="A160" s="355">
        <f t="shared" si="137"/>
        <v>133</v>
      </c>
      <c r="B160" s="363"/>
      <c r="C160" s="363"/>
      <c r="D160" s="363"/>
      <c r="E160" s="363"/>
      <c r="F160" s="363"/>
      <c r="G160" s="363"/>
      <c r="H160" s="359"/>
      <c r="I160" s="359"/>
      <c r="J160" s="362"/>
      <c r="K160" s="359"/>
      <c r="L160" s="359"/>
      <c r="M160" s="359"/>
      <c r="N160" s="359"/>
      <c r="O160" s="359"/>
      <c r="P160" s="359"/>
      <c r="Q160" s="359"/>
      <c r="R160" s="359"/>
      <c r="S160" s="359"/>
      <c r="T160" s="359"/>
      <c r="U160" s="359"/>
      <c r="V160" s="359"/>
      <c r="W160" s="359"/>
      <c r="X160" s="359"/>
      <c r="Y160" s="359"/>
      <c r="Z160" s="359"/>
      <c r="AA160" s="356">
        <f t="shared" si="113"/>
        <v>0</v>
      </c>
      <c r="AB160" s="356">
        <f t="shared" si="105"/>
        <v>0</v>
      </c>
      <c r="AC160" s="356">
        <f t="shared" si="106"/>
        <v>0</v>
      </c>
      <c r="AD160" s="356">
        <f t="shared" si="107"/>
        <v>0</v>
      </c>
      <c r="AE160" s="356">
        <f t="shared" si="108"/>
        <v>0</v>
      </c>
      <c r="AF160" s="356">
        <f t="shared" si="109"/>
        <v>0</v>
      </c>
      <c r="AG160" s="356">
        <f t="shared" si="110"/>
        <v>0</v>
      </c>
      <c r="AH160" s="361">
        <f t="shared" si="114"/>
        <v>1.1000000000000001</v>
      </c>
      <c r="AI160" s="356">
        <f t="shared" si="115"/>
        <v>0</v>
      </c>
      <c r="AJ160" s="356">
        <f t="shared" si="116"/>
        <v>0</v>
      </c>
      <c r="AK160" s="360">
        <f t="shared" si="117"/>
        <v>0</v>
      </c>
      <c r="AL160" s="356" t="str">
        <f t="shared" si="118"/>
        <v>-</v>
      </c>
      <c r="AM160" s="356" t="str">
        <f t="shared" si="119"/>
        <v>-</v>
      </c>
      <c r="AN160" s="356" t="str">
        <f t="shared" si="120"/>
        <v>-</v>
      </c>
      <c r="AO160" s="356" t="e">
        <f t="shared" si="121"/>
        <v>#VALUE!</v>
      </c>
      <c r="AP160" s="358" t="str">
        <f t="shared" si="122"/>
        <v>-</v>
      </c>
      <c r="AQ160" s="357" t="str">
        <f t="shared" si="111"/>
        <v>-</v>
      </c>
      <c r="AR160" s="357" t="str">
        <f t="shared" si="112"/>
        <v>-</v>
      </c>
      <c r="AS160" s="356" t="str">
        <f t="shared" si="123"/>
        <v>-</v>
      </c>
      <c r="AT160" s="355" t="str">
        <f t="shared" si="124"/>
        <v>-</v>
      </c>
      <c r="AU160" s="356" t="str">
        <f t="shared" si="125"/>
        <v>-</v>
      </c>
      <c r="AV160" s="356" t="e">
        <f t="shared" si="126"/>
        <v>#DIV/0!</v>
      </c>
      <c r="AW160" s="355" t="str">
        <f t="shared" si="127"/>
        <v>-</v>
      </c>
      <c r="AX160" s="359"/>
      <c r="AY160" s="356" t="str">
        <f t="shared" si="128"/>
        <v>-</v>
      </c>
      <c r="AZ160" s="356" t="str">
        <f t="shared" si="129"/>
        <v>-</v>
      </c>
      <c r="BA160" s="356">
        <f t="shared" si="130"/>
        <v>0</v>
      </c>
      <c r="BB160" s="356" t="e">
        <f t="shared" si="131"/>
        <v>#VALUE!</v>
      </c>
      <c r="BC160" s="358" t="str">
        <f t="shared" si="132"/>
        <v>-</v>
      </c>
      <c r="BD160" s="356" t="e">
        <f t="shared" si="133"/>
        <v>#VALUE!</v>
      </c>
      <c r="BE160" s="357" t="str">
        <f t="shared" si="134"/>
        <v>-</v>
      </c>
      <c r="BF160" s="357" t="str">
        <f t="shared" si="135"/>
        <v>-</v>
      </c>
      <c r="BG160" s="356">
        <f t="shared" si="136"/>
        <v>0</v>
      </c>
    </row>
    <row r="161" spans="1:59" x14ac:dyDescent="0.25">
      <c r="A161" s="355">
        <f t="shared" si="137"/>
        <v>134</v>
      </c>
      <c r="B161" s="363"/>
      <c r="C161" s="363"/>
      <c r="D161" s="363"/>
      <c r="E161" s="363"/>
      <c r="F161" s="363"/>
      <c r="G161" s="363"/>
      <c r="H161" s="359"/>
      <c r="I161" s="359"/>
      <c r="J161" s="362"/>
      <c r="K161" s="359"/>
      <c r="L161" s="359"/>
      <c r="M161" s="359"/>
      <c r="N161" s="359"/>
      <c r="O161" s="359"/>
      <c r="P161" s="359"/>
      <c r="Q161" s="359"/>
      <c r="R161" s="359"/>
      <c r="S161" s="359"/>
      <c r="T161" s="359"/>
      <c r="U161" s="359"/>
      <c r="V161" s="359"/>
      <c r="W161" s="359"/>
      <c r="X161" s="359"/>
      <c r="Y161" s="359"/>
      <c r="Z161" s="359"/>
      <c r="AA161" s="356">
        <f t="shared" si="113"/>
        <v>0</v>
      </c>
      <c r="AB161" s="356">
        <f t="shared" si="105"/>
        <v>0</v>
      </c>
      <c r="AC161" s="356">
        <f t="shared" si="106"/>
        <v>0</v>
      </c>
      <c r="AD161" s="356">
        <f t="shared" si="107"/>
        <v>0</v>
      </c>
      <c r="AE161" s="356">
        <f t="shared" si="108"/>
        <v>0</v>
      </c>
      <c r="AF161" s="356">
        <f t="shared" si="109"/>
        <v>0</v>
      </c>
      <c r="AG161" s="356">
        <f t="shared" si="110"/>
        <v>0</v>
      </c>
      <c r="AH161" s="361">
        <f t="shared" si="114"/>
        <v>1.1000000000000001</v>
      </c>
      <c r="AI161" s="356">
        <f t="shared" si="115"/>
        <v>0</v>
      </c>
      <c r="AJ161" s="356">
        <f t="shared" si="116"/>
        <v>0</v>
      </c>
      <c r="AK161" s="360">
        <f t="shared" si="117"/>
        <v>0</v>
      </c>
      <c r="AL161" s="356" t="str">
        <f t="shared" si="118"/>
        <v>-</v>
      </c>
      <c r="AM161" s="356" t="str">
        <f t="shared" si="119"/>
        <v>-</v>
      </c>
      <c r="AN161" s="356" t="str">
        <f t="shared" si="120"/>
        <v>-</v>
      </c>
      <c r="AO161" s="356" t="e">
        <f t="shared" si="121"/>
        <v>#VALUE!</v>
      </c>
      <c r="AP161" s="358" t="str">
        <f t="shared" si="122"/>
        <v>-</v>
      </c>
      <c r="AQ161" s="357" t="str">
        <f t="shared" si="111"/>
        <v>-</v>
      </c>
      <c r="AR161" s="357" t="str">
        <f t="shared" si="112"/>
        <v>-</v>
      </c>
      <c r="AS161" s="356" t="str">
        <f t="shared" si="123"/>
        <v>-</v>
      </c>
      <c r="AT161" s="355" t="str">
        <f t="shared" si="124"/>
        <v>-</v>
      </c>
      <c r="AU161" s="356" t="str">
        <f t="shared" si="125"/>
        <v>-</v>
      </c>
      <c r="AV161" s="356" t="e">
        <f t="shared" si="126"/>
        <v>#DIV/0!</v>
      </c>
      <c r="AW161" s="355" t="str">
        <f t="shared" si="127"/>
        <v>-</v>
      </c>
      <c r="AX161" s="359"/>
      <c r="AY161" s="356" t="str">
        <f t="shared" si="128"/>
        <v>-</v>
      </c>
      <c r="AZ161" s="356" t="str">
        <f t="shared" si="129"/>
        <v>-</v>
      </c>
      <c r="BA161" s="356">
        <f t="shared" si="130"/>
        <v>0</v>
      </c>
      <c r="BB161" s="356" t="e">
        <f t="shared" si="131"/>
        <v>#VALUE!</v>
      </c>
      <c r="BC161" s="358" t="str">
        <f t="shared" si="132"/>
        <v>-</v>
      </c>
      <c r="BD161" s="356" t="e">
        <f t="shared" si="133"/>
        <v>#VALUE!</v>
      </c>
      <c r="BE161" s="357" t="str">
        <f t="shared" si="134"/>
        <v>-</v>
      </c>
      <c r="BF161" s="357" t="str">
        <f t="shared" si="135"/>
        <v>-</v>
      </c>
      <c r="BG161" s="356">
        <f t="shared" si="136"/>
        <v>0</v>
      </c>
    </row>
    <row r="162" spans="1:59" x14ac:dyDescent="0.25">
      <c r="A162" s="355">
        <f t="shared" si="137"/>
        <v>135</v>
      </c>
      <c r="B162" s="363"/>
      <c r="C162" s="363"/>
      <c r="D162" s="363"/>
      <c r="E162" s="363"/>
      <c r="F162" s="363"/>
      <c r="G162" s="363"/>
      <c r="H162" s="359"/>
      <c r="I162" s="359"/>
      <c r="J162" s="362"/>
      <c r="K162" s="359"/>
      <c r="L162" s="359"/>
      <c r="M162" s="359"/>
      <c r="N162" s="359"/>
      <c r="O162" s="359"/>
      <c r="P162" s="359"/>
      <c r="Q162" s="359"/>
      <c r="R162" s="359"/>
      <c r="S162" s="359"/>
      <c r="T162" s="359"/>
      <c r="U162" s="359"/>
      <c r="V162" s="359"/>
      <c r="W162" s="359"/>
      <c r="X162" s="359"/>
      <c r="Y162" s="359"/>
      <c r="Z162" s="359"/>
      <c r="AA162" s="356">
        <f t="shared" si="113"/>
        <v>0</v>
      </c>
      <c r="AB162" s="356">
        <f t="shared" si="105"/>
        <v>0</v>
      </c>
      <c r="AC162" s="356">
        <f t="shared" si="106"/>
        <v>0</v>
      </c>
      <c r="AD162" s="356">
        <f t="shared" si="107"/>
        <v>0</v>
      </c>
      <c r="AE162" s="356">
        <f t="shared" si="108"/>
        <v>0</v>
      </c>
      <c r="AF162" s="356">
        <f t="shared" si="109"/>
        <v>0</v>
      </c>
      <c r="AG162" s="356">
        <f t="shared" si="110"/>
        <v>0</v>
      </c>
      <c r="AH162" s="361">
        <f t="shared" si="114"/>
        <v>1.1000000000000001</v>
      </c>
      <c r="AI162" s="356">
        <f t="shared" si="115"/>
        <v>0</v>
      </c>
      <c r="AJ162" s="356">
        <f t="shared" si="116"/>
        <v>0</v>
      </c>
      <c r="AK162" s="360">
        <f t="shared" si="117"/>
        <v>0</v>
      </c>
      <c r="AL162" s="356" t="str">
        <f t="shared" si="118"/>
        <v>-</v>
      </c>
      <c r="AM162" s="356" t="str">
        <f t="shared" si="119"/>
        <v>-</v>
      </c>
      <c r="AN162" s="356" t="str">
        <f t="shared" si="120"/>
        <v>-</v>
      </c>
      <c r="AO162" s="356" t="e">
        <f t="shared" si="121"/>
        <v>#VALUE!</v>
      </c>
      <c r="AP162" s="358" t="str">
        <f t="shared" si="122"/>
        <v>-</v>
      </c>
      <c r="AQ162" s="357" t="str">
        <f t="shared" si="111"/>
        <v>-</v>
      </c>
      <c r="AR162" s="357" t="str">
        <f t="shared" si="112"/>
        <v>-</v>
      </c>
      <c r="AS162" s="356" t="str">
        <f t="shared" si="123"/>
        <v>-</v>
      </c>
      <c r="AT162" s="355" t="str">
        <f t="shared" si="124"/>
        <v>-</v>
      </c>
      <c r="AU162" s="356" t="str">
        <f t="shared" si="125"/>
        <v>-</v>
      </c>
      <c r="AV162" s="356" t="e">
        <f t="shared" si="126"/>
        <v>#DIV/0!</v>
      </c>
      <c r="AW162" s="355" t="str">
        <f t="shared" si="127"/>
        <v>-</v>
      </c>
      <c r="AX162" s="359"/>
      <c r="AY162" s="356" t="str">
        <f t="shared" si="128"/>
        <v>-</v>
      </c>
      <c r="AZ162" s="356" t="str">
        <f t="shared" si="129"/>
        <v>-</v>
      </c>
      <c r="BA162" s="356">
        <f t="shared" si="130"/>
        <v>0</v>
      </c>
      <c r="BB162" s="356" t="e">
        <f t="shared" si="131"/>
        <v>#VALUE!</v>
      </c>
      <c r="BC162" s="358" t="str">
        <f t="shared" si="132"/>
        <v>-</v>
      </c>
      <c r="BD162" s="356" t="e">
        <f t="shared" si="133"/>
        <v>#VALUE!</v>
      </c>
      <c r="BE162" s="357" t="str">
        <f t="shared" si="134"/>
        <v>-</v>
      </c>
      <c r="BF162" s="357" t="str">
        <f t="shared" si="135"/>
        <v>-</v>
      </c>
      <c r="BG162" s="356">
        <f t="shared" si="136"/>
        <v>0</v>
      </c>
    </row>
    <row r="163" spans="1:59" x14ac:dyDescent="0.25">
      <c r="A163" s="355">
        <f t="shared" si="137"/>
        <v>136</v>
      </c>
      <c r="B163" s="363"/>
      <c r="C163" s="363"/>
      <c r="D163" s="363"/>
      <c r="E163" s="363"/>
      <c r="F163" s="363"/>
      <c r="G163" s="363"/>
      <c r="H163" s="359"/>
      <c r="I163" s="359"/>
      <c r="J163" s="362"/>
      <c r="K163" s="359"/>
      <c r="L163" s="359"/>
      <c r="M163" s="359"/>
      <c r="N163" s="359"/>
      <c r="O163" s="359"/>
      <c r="P163" s="359"/>
      <c r="Q163" s="359"/>
      <c r="R163" s="359"/>
      <c r="S163" s="359"/>
      <c r="T163" s="359"/>
      <c r="U163" s="359"/>
      <c r="V163" s="359"/>
      <c r="W163" s="359"/>
      <c r="X163" s="359"/>
      <c r="Y163" s="359"/>
      <c r="Z163" s="359"/>
      <c r="AA163" s="356">
        <f t="shared" si="113"/>
        <v>0</v>
      </c>
      <c r="AB163" s="356">
        <f t="shared" si="105"/>
        <v>0</v>
      </c>
      <c r="AC163" s="356">
        <f t="shared" si="106"/>
        <v>0</v>
      </c>
      <c r="AD163" s="356">
        <f t="shared" si="107"/>
        <v>0</v>
      </c>
      <c r="AE163" s="356">
        <f t="shared" si="108"/>
        <v>0</v>
      </c>
      <c r="AF163" s="356">
        <f t="shared" si="109"/>
        <v>0</v>
      </c>
      <c r="AG163" s="356">
        <f t="shared" si="110"/>
        <v>0</v>
      </c>
      <c r="AH163" s="361">
        <f t="shared" si="114"/>
        <v>1.1000000000000001</v>
      </c>
      <c r="AI163" s="356">
        <f t="shared" si="115"/>
        <v>0</v>
      </c>
      <c r="AJ163" s="356">
        <f t="shared" si="116"/>
        <v>0</v>
      </c>
      <c r="AK163" s="360">
        <f t="shared" si="117"/>
        <v>0</v>
      </c>
      <c r="AL163" s="356" t="str">
        <f t="shared" si="118"/>
        <v>-</v>
      </c>
      <c r="AM163" s="356" t="str">
        <f t="shared" si="119"/>
        <v>-</v>
      </c>
      <c r="AN163" s="356" t="str">
        <f t="shared" si="120"/>
        <v>-</v>
      </c>
      <c r="AO163" s="356" t="e">
        <f t="shared" si="121"/>
        <v>#VALUE!</v>
      </c>
      <c r="AP163" s="358" t="str">
        <f t="shared" si="122"/>
        <v>-</v>
      </c>
      <c r="AQ163" s="357" t="str">
        <f t="shared" si="111"/>
        <v>-</v>
      </c>
      <c r="AR163" s="357" t="str">
        <f t="shared" si="112"/>
        <v>-</v>
      </c>
      <c r="AS163" s="356" t="str">
        <f t="shared" si="123"/>
        <v>-</v>
      </c>
      <c r="AT163" s="355" t="str">
        <f t="shared" si="124"/>
        <v>-</v>
      </c>
      <c r="AU163" s="356" t="str">
        <f t="shared" si="125"/>
        <v>-</v>
      </c>
      <c r="AV163" s="356" t="e">
        <f t="shared" si="126"/>
        <v>#DIV/0!</v>
      </c>
      <c r="AW163" s="355" t="str">
        <f t="shared" si="127"/>
        <v>-</v>
      </c>
      <c r="AX163" s="359"/>
      <c r="AY163" s="356" t="str">
        <f t="shared" si="128"/>
        <v>-</v>
      </c>
      <c r="AZ163" s="356" t="str">
        <f t="shared" si="129"/>
        <v>-</v>
      </c>
      <c r="BA163" s="356">
        <f t="shared" si="130"/>
        <v>0</v>
      </c>
      <c r="BB163" s="356" t="e">
        <f t="shared" si="131"/>
        <v>#VALUE!</v>
      </c>
      <c r="BC163" s="358" t="str">
        <f t="shared" si="132"/>
        <v>-</v>
      </c>
      <c r="BD163" s="356" t="e">
        <f t="shared" si="133"/>
        <v>#VALUE!</v>
      </c>
      <c r="BE163" s="357" t="str">
        <f t="shared" si="134"/>
        <v>-</v>
      </c>
      <c r="BF163" s="357" t="str">
        <f t="shared" si="135"/>
        <v>-</v>
      </c>
      <c r="BG163" s="356">
        <f t="shared" si="136"/>
        <v>0</v>
      </c>
    </row>
    <row r="164" spans="1:59" x14ac:dyDescent="0.25">
      <c r="A164" s="355">
        <f t="shared" si="137"/>
        <v>137</v>
      </c>
      <c r="B164" s="363"/>
      <c r="C164" s="363"/>
      <c r="D164" s="363"/>
      <c r="E164" s="363"/>
      <c r="F164" s="363"/>
      <c r="G164" s="363"/>
      <c r="H164" s="359"/>
      <c r="I164" s="359"/>
      <c r="J164" s="362"/>
      <c r="K164" s="359"/>
      <c r="L164" s="359"/>
      <c r="M164" s="359"/>
      <c r="N164" s="359"/>
      <c r="O164" s="359"/>
      <c r="P164" s="359"/>
      <c r="Q164" s="359"/>
      <c r="R164" s="359"/>
      <c r="S164" s="359"/>
      <c r="T164" s="359"/>
      <c r="U164" s="359"/>
      <c r="V164" s="359"/>
      <c r="W164" s="359"/>
      <c r="X164" s="359"/>
      <c r="Y164" s="359"/>
      <c r="Z164" s="359"/>
      <c r="AA164" s="356">
        <f t="shared" si="113"/>
        <v>0</v>
      </c>
      <c r="AB164" s="356">
        <f t="shared" si="105"/>
        <v>0</v>
      </c>
      <c r="AC164" s="356">
        <f t="shared" si="106"/>
        <v>0</v>
      </c>
      <c r="AD164" s="356">
        <f t="shared" si="107"/>
        <v>0</v>
      </c>
      <c r="AE164" s="356">
        <f t="shared" si="108"/>
        <v>0</v>
      </c>
      <c r="AF164" s="356">
        <f t="shared" si="109"/>
        <v>0</v>
      </c>
      <c r="AG164" s="356">
        <f t="shared" si="110"/>
        <v>0</v>
      </c>
      <c r="AH164" s="361">
        <f t="shared" si="114"/>
        <v>1.1000000000000001</v>
      </c>
      <c r="AI164" s="356">
        <f t="shared" si="115"/>
        <v>0</v>
      </c>
      <c r="AJ164" s="356">
        <f t="shared" si="116"/>
        <v>0</v>
      </c>
      <c r="AK164" s="360">
        <f t="shared" si="117"/>
        <v>0</v>
      </c>
      <c r="AL164" s="356" t="str">
        <f t="shared" si="118"/>
        <v>-</v>
      </c>
      <c r="AM164" s="356" t="str">
        <f t="shared" si="119"/>
        <v>-</v>
      </c>
      <c r="AN164" s="356" t="str">
        <f t="shared" si="120"/>
        <v>-</v>
      </c>
      <c r="AO164" s="356" t="e">
        <f t="shared" si="121"/>
        <v>#VALUE!</v>
      </c>
      <c r="AP164" s="358" t="str">
        <f t="shared" si="122"/>
        <v>-</v>
      </c>
      <c r="AQ164" s="357" t="str">
        <f t="shared" si="111"/>
        <v>-</v>
      </c>
      <c r="AR164" s="357" t="str">
        <f t="shared" si="112"/>
        <v>-</v>
      </c>
      <c r="AS164" s="356" t="str">
        <f t="shared" si="123"/>
        <v>-</v>
      </c>
      <c r="AT164" s="355" t="str">
        <f t="shared" si="124"/>
        <v>-</v>
      </c>
      <c r="AU164" s="356" t="str">
        <f t="shared" si="125"/>
        <v>-</v>
      </c>
      <c r="AV164" s="356" t="e">
        <f t="shared" si="126"/>
        <v>#DIV/0!</v>
      </c>
      <c r="AW164" s="355" t="str">
        <f t="shared" si="127"/>
        <v>-</v>
      </c>
      <c r="AX164" s="359"/>
      <c r="AY164" s="356" t="str">
        <f t="shared" si="128"/>
        <v>-</v>
      </c>
      <c r="AZ164" s="356" t="str">
        <f t="shared" si="129"/>
        <v>-</v>
      </c>
      <c r="BA164" s="356">
        <f t="shared" si="130"/>
        <v>0</v>
      </c>
      <c r="BB164" s="356" t="e">
        <f t="shared" si="131"/>
        <v>#VALUE!</v>
      </c>
      <c r="BC164" s="358" t="str">
        <f t="shared" si="132"/>
        <v>-</v>
      </c>
      <c r="BD164" s="356" t="e">
        <f t="shared" si="133"/>
        <v>#VALUE!</v>
      </c>
      <c r="BE164" s="357" t="str">
        <f t="shared" si="134"/>
        <v>-</v>
      </c>
      <c r="BF164" s="357" t="str">
        <f t="shared" si="135"/>
        <v>-</v>
      </c>
      <c r="BG164" s="356">
        <f t="shared" si="136"/>
        <v>0</v>
      </c>
    </row>
    <row r="165" spans="1:59" x14ac:dyDescent="0.25">
      <c r="A165" s="355">
        <f t="shared" si="137"/>
        <v>138</v>
      </c>
      <c r="B165" s="363"/>
      <c r="C165" s="363"/>
      <c r="D165" s="363"/>
      <c r="E165" s="363"/>
      <c r="F165" s="363"/>
      <c r="G165" s="363"/>
      <c r="H165" s="359"/>
      <c r="I165" s="359"/>
      <c r="J165" s="362"/>
      <c r="K165" s="359"/>
      <c r="L165" s="359"/>
      <c r="M165" s="359"/>
      <c r="N165" s="359"/>
      <c r="O165" s="359"/>
      <c r="P165" s="359"/>
      <c r="Q165" s="359"/>
      <c r="R165" s="359"/>
      <c r="S165" s="359"/>
      <c r="T165" s="359"/>
      <c r="U165" s="359"/>
      <c r="V165" s="359"/>
      <c r="W165" s="359"/>
      <c r="X165" s="359"/>
      <c r="Y165" s="359"/>
      <c r="Z165" s="359"/>
      <c r="AA165" s="356">
        <f t="shared" si="113"/>
        <v>0</v>
      </c>
      <c r="AB165" s="356">
        <f t="shared" si="105"/>
        <v>0</v>
      </c>
      <c r="AC165" s="356">
        <f t="shared" si="106"/>
        <v>0</v>
      </c>
      <c r="AD165" s="356">
        <f t="shared" si="107"/>
        <v>0</v>
      </c>
      <c r="AE165" s="356">
        <f t="shared" si="108"/>
        <v>0</v>
      </c>
      <c r="AF165" s="356">
        <f t="shared" si="109"/>
        <v>0</v>
      </c>
      <c r="AG165" s="356">
        <f t="shared" si="110"/>
        <v>0</v>
      </c>
      <c r="AH165" s="361">
        <f t="shared" si="114"/>
        <v>1.1000000000000001</v>
      </c>
      <c r="AI165" s="356">
        <f t="shared" si="115"/>
        <v>0</v>
      </c>
      <c r="AJ165" s="356">
        <f t="shared" si="116"/>
        <v>0</v>
      </c>
      <c r="AK165" s="360">
        <f t="shared" si="117"/>
        <v>0</v>
      </c>
      <c r="AL165" s="356" t="str">
        <f t="shared" si="118"/>
        <v>-</v>
      </c>
      <c r="AM165" s="356" t="str">
        <f t="shared" si="119"/>
        <v>-</v>
      </c>
      <c r="AN165" s="356" t="str">
        <f t="shared" si="120"/>
        <v>-</v>
      </c>
      <c r="AO165" s="356" t="e">
        <f t="shared" si="121"/>
        <v>#VALUE!</v>
      </c>
      <c r="AP165" s="358" t="str">
        <f t="shared" si="122"/>
        <v>-</v>
      </c>
      <c r="AQ165" s="357" t="str">
        <f t="shared" si="111"/>
        <v>-</v>
      </c>
      <c r="AR165" s="357" t="str">
        <f t="shared" si="112"/>
        <v>-</v>
      </c>
      <c r="AS165" s="356" t="str">
        <f t="shared" si="123"/>
        <v>-</v>
      </c>
      <c r="AT165" s="355" t="str">
        <f t="shared" si="124"/>
        <v>-</v>
      </c>
      <c r="AU165" s="356" t="str">
        <f t="shared" si="125"/>
        <v>-</v>
      </c>
      <c r="AV165" s="356" t="e">
        <f t="shared" si="126"/>
        <v>#DIV/0!</v>
      </c>
      <c r="AW165" s="355" t="str">
        <f t="shared" si="127"/>
        <v>-</v>
      </c>
      <c r="AX165" s="359"/>
      <c r="AY165" s="356" t="str">
        <f t="shared" si="128"/>
        <v>-</v>
      </c>
      <c r="AZ165" s="356" t="str">
        <f t="shared" si="129"/>
        <v>-</v>
      </c>
      <c r="BA165" s="356">
        <f t="shared" si="130"/>
        <v>0</v>
      </c>
      <c r="BB165" s="356" t="e">
        <f t="shared" si="131"/>
        <v>#VALUE!</v>
      </c>
      <c r="BC165" s="358" t="str">
        <f t="shared" si="132"/>
        <v>-</v>
      </c>
      <c r="BD165" s="356" t="e">
        <f t="shared" si="133"/>
        <v>#VALUE!</v>
      </c>
      <c r="BE165" s="357" t="str">
        <f t="shared" si="134"/>
        <v>-</v>
      </c>
      <c r="BF165" s="357" t="str">
        <f t="shared" si="135"/>
        <v>-</v>
      </c>
      <c r="BG165" s="356">
        <f t="shared" si="136"/>
        <v>0</v>
      </c>
    </row>
    <row r="166" spans="1:59" x14ac:dyDescent="0.25">
      <c r="A166" s="355">
        <f t="shared" si="137"/>
        <v>139</v>
      </c>
      <c r="B166" s="363"/>
      <c r="C166" s="363"/>
      <c r="D166" s="363"/>
      <c r="E166" s="363"/>
      <c r="F166" s="363"/>
      <c r="G166" s="363"/>
      <c r="H166" s="359"/>
      <c r="I166" s="359"/>
      <c r="J166" s="362"/>
      <c r="K166" s="359"/>
      <c r="L166" s="359"/>
      <c r="M166" s="359"/>
      <c r="N166" s="359"/>
      <c r="O166" s="359"/>
      <c r="P166" s="359"/>
      <c r="Q166" s="359"/>
      <c r="R166" s="359"/>
      <c r="S166" s="359"/>
      <c r="T166" s="359"/>
      <c r="U166" s="359"/>
      <c r="V166" s="359"/>
      <c r="W166" s="359"/>
      <c r="X166" s="359"/>
      <c r="Y166" s="359"/>
      <c r="Z166" s="359"/>
      <c r="AA166" s="356">
        <f t="shared" si="113"/>
        <v>0</v>
      </c>
      <c r="AB166" s="356">
        <f t="shared" si="105"/>
        <v>0</v>
      </c>
      <c r="AC166" s="356">
        <f t="shared" si="106"/>
        <v>0</v>
      </c>
      <c r="AD166" s="356">
        <f t="shared" si="107"/>
        <v>0</v>
      </c>
      <c r="AE166" s="356">
        <f t="shared" si="108"/>
        <v>0</v>
      </c>
      <c r="AF166" s="356">
        <f t="shared" si="109"/>
        <v>0</v>
      </c>
      <c r="AG166" s="356">
        <f t="shared" si="110"/>
        <v>0</v>
      </c>
      <c r="AH166" s="361">
        <f t="shared" si="114"/>
        <v>1.1000000000000001</v>
      </c>
      <c r="AI166" s="356">
        <f t="shared" si="115"/>
        <v>0</v>
      </c>
      <c r="AJ166" s="356">
        <f t="shared" si="116"/>
        <v>0</v>
      </c>
      <c r="AK166" s="360">
        <f t="shared" si="117"/>
        <v>0</v>
      </c>
      <c r="AL166" s="356" t="str">
        <f t="shared" si="118"/>
        <v>-</v>
      </c>
      <c r="AM166" s="356" t="str">
        <f t="shared" si="119"/>
        <v>-</v>
      </c>
      <c r="AN166" s="356" t="str">
        <f t="shared" si="120"/>
        <v>-</v>
      </c>
      <c r="AO166" s="356" t="e">
        <f t="shared" si="121"/>
        <v>#VALUE!</v>
      </c>
      <c r="AP166" s="358" t="str">
        <f t="shared" si="122"/>
        <v>-</v>
      </c>
      <c r="AQ166" s="357" t="str">
        <f t="shared" si="111"/>
        <v>-</v>
      </c>
      <c r="AR166" s="357" t="str">
        <f t="shared" si="112"/>
        <v>-</v>
      </c>
      <c r="AS166" s="356" t="str">
        <f t="shared" si="123"/>
        <v>-</v>
      </c>
      <c r="AT166" s="355" t="str">
        <f t="shared" si="124"/>
        <v>-</v>
      </c>
      <c r="AU166" s="356" t="str">
        <f t="shared" si="125"/>
        <v>-</v>
      </c>
      <c r="AV166" s="356" t="e">
        <f t="shared" si="126"/>
        <v>#DIV/0!</v>
      </c>
      <c r="AW166" s="355" t="str">
        <f t="shared" si="127"/>
        <v>-</v>
      </c>
      <c r="AX166" s="359"/>
      <c r="AY166" s="356" t="str">
        <f t="shared" si="128"/>
        <v>-</v>
      </c>
      <c r="AZ166" s="356" t="str">
        <f t="shared" si="129"/>
        <v>-</v>
      </c>
      <c r="BA166" s="356">
        <f t="shared" si="130"/>
        <v>0</v>
      </c>
      <c r="BB166" s="356" t="e">
        <f t="shared" si="131"/>
        <v>#VALUE!</v>
      </c>
      <c r="BC166" s="358" t="str">
        <f t="shared" si="132"/>
        <v>-</v>
      </c>
      <c r="BD166" s="356" t="e">
        <f t="shared" si="133"/>
        <v>#VALUE!</v>
      </c>
      <c r="BE166" s="357" t="str">
        <f t="shared" si="134"/>
        <v>-</v>
      </c>
      <c r="BF166" s="357" t="str">
        <f t="shared" si="135"/>
        <v>-</v>
      </c>
      <c r="BG166" s="356">
        <f t="shared" si="136"/>
        <v>0</v>
      </c>
    </row>
    <row r="167" spans="1:59" x14ac:dyDescent="0.25">
      <c r="A167" s="355">
        <f t="shared" si="137"/>
        <v>140</v>
      </c>
      <c r="B167" s="363"/>
      <c r="C167" s="363"/>
      <c r="D167" s="363"/>
      <c r="E167" s="363"/>
      <c r="F167" s="363"/>
      <c r="G167" s="363"/>
      <c r="H167" s="359"/>
      <c r="I167" s="359"/>
      <c r="J167" s="362"/>
      <c r="K167" s="359"/>
      <c r="L167" s="359"/>
      <c r="M167" s="359"/>
      <c r="N167" s="359"/>
      <c r="O167" s="359"/>
      <c r="P167" s="359"/>
      <c r="Q167" s="359"/>
      <c r="R167" s="359"/>
      <c r="S167" s="359"/>
      <c r="T167" s="359"/>
      <c r="U167" s="359"/>
      <c r="V167" s="359"/>
      <c r="W167" s="359"/>
      <c r="X167" s="359"/>
      <c r="Y167" s="359"/>
      <c r="Z167" s="359"/>
      <c r="AA167" s="356">
        <f t="shared" si="113"/>
        <v>0</v>
      </c>
      <c r="AB167" s="356">
        <f t="shared" si="105"/>
        <v>0</v>
      </c>
      <c r="AC167" s="356">
        <f t="shared" si="106"/>
        <v>0</v>
      </c>
      <c r="AD167" s="356">
        <f t="shared" si="107"/>
        <v>0</v>
      </c>
      <c r="AE167" s="356">
        <f t="shared" si="108"/>
        <v>0</v>
      </c>
      <c r="AF167" s="356">
        <f t="shared" si="109"/>
        <v>0</v>
      </c>
      <c r="AG167" s="356">
        <f t="shared" si="110"/>
        <v>0</v>
      </c>
      <c r="AH167" s="361">
        <f t="shared" si="114"/>
        <v>1.1000000000000001</v>
      </c>
      <c r="AI167" s="356">
        <f t="shared" si="115"/>
        <v>0</v>
      </c>
      <c r="AJ167" s="356">
        <f t="shared" si="116"/>
        <v>0</v>
      </c>
      <c r="AK167" s="360">
        <f t="shared" si="117"/>
        <v>0</v>
      </c>
      <c r="AL167" s="356" t="str">
        <f t="shared" si="118"/>
        <v>-</v>
      </c>
      <c r="AM167" s="356" t="str">
        <f t="shared" si="119"/>
        <v>-</v>
      </c>
      <c r="AN167" s="356" t="str">
        <f t="shared" si="120"/>
        <v>-</v>
      </c>
      <c r="AO167" s="356" t="e">
        <f t="shared" si="121"/>
        <v>#VALUE!</v>
      </c>
      <c r="AP167" s="358" t="str">
        <f t="shared" si="122"/>
        <v>-</v>
      </c>
      <c r="AQ167" s="357" t="str">
        <f t="shared" si="111"/>
        <v>-</v>
      </c>
      <c r="AR167" s="357" t="str">
        <f t="shared" si="112"/>
        <v>-</v>
      </c>
      <c r="AS167" s="356" t="str">
        <f t="shared" si="123"/>
        <v>-</v>
      </c>
      <c r="AT167" s="355" t="str">
        <f t="shared" si="124"/>
        <v>-</v>
      </c>
      <c r="AU167" s="356" t="str">
        <f t="shared" si="125"/>
        <v>-</v>
      </c>
      <c r="AV167" s="356" t="e">
        <f t="shared" si="126"/>
        <v>#DIV/0!</v>
      </c>
      <c r="AW167" s="355" t="str">
        <f t="shared" si="127"/>
        <v>-</v>
      </c>
      <c r="AX167" s="359"/>
      <c r="AY167" s="356" t="str">
        <f t="shared" si="128"/>
        <v>-</v>
      </c>
      <c r="AZ167" s="356" t="str">
        <f t="shared" si="129"/>
        <v>-</v>
      </c>
      <c r="BA167" s="356">
        <f t="shared" si="130"/>
        <v>0</v>
      </c>
      <c r="BB167" s="356" t="e">
        <f t="shared" si="131"/>
        <v>#VALUE!</v>
      </c>
      <c r="BC167" s="358" t="str">
        <f t="shared" si="132"/>
        <v>-</v>
      </c>
      <c r="BD167" s="356" t="e">
        <f t="shared" si="133"/>
        <v>#VALUE!</v>
      </c>
      <c r="BE167" s="357" t="str">
        <f t="shared" si="134"/>
        <v>-</v>
      </c>
      <c r="BF167" s="357" t="str">
        <f t="shared" si="135"/>
        <v>-</v>
      </c>
      <c r="BG167" s="356">
        <f t="shared" si="136"/>
        <v>0</v>
      </c>
    </row>
    <row r="168" spans="1:59" x14ac:dyDescent="0.25">
      <c r="A168" s="355">
        <f t="shared" si="137"/>
        <v>141</v>
      </c>
      <c r="B168" s="363"/>
      <c r="C168" s="363"/>
      <c r="D168" s="363"/>
      <c r="E168" s="363"/>
      <c r="F168" s="363"/>
      <c r="G168" s="363"/>
      <c r="H168" s="359"/>
      <c r="I168" s="359"/>
      <c r="J168" s="362"/>
      <c r="K168" s="359"/>
      <c r="L168" s="359"/>
      <c r="M168" s="359"/>
      <c r="N168" s="359"/>
      <c r="O168" s="359"/>
      <c r="P168" s="359"/>
      <c r="Q168" s="359"/>
      <c r="R168" s="359"/>
      <c r="S168" s="359"/>
      <c r="T168" s="359"/>
      <c r="U168" s="359"/>
      <c r="V168" s="359"/>
      <c r="W168" s="359"/>
      <c r="X168" s="359"/>
      <c r="Y168" s="359"/>
      <c r="Z168" s="359"/>
      <c r="AA168" s="356">
        <f t="shared" si="113"/>
        <v>0</v>
      </c>
      <c r="AB168" s="356">
        <f t="shared" si="105"/>
        <v>0</v>
      </c>
      <c r="AC168" s="356">
        <f t="shared" si="106"/>
        <v>0</v>
      </c>
      <c r="AD168" s="356">
        <f t="shared" si="107"/>
        <v>0</v>
      </c>
      <c r="AE168" s="356">
        <f t="shared" si="108"/>
        <v>0</v>
      </c>
      <c r="AF168" s="356">
        <f t="shared" si="109"/>
        <v>0</v>
      </c>
      <c r="AG168" s="356">
        <f t="shared" si="110"/>
        <v>0</v>
      </c>
      <c r="AH168" s="361">
        <f t="shared" si="114"/>
        <v>1.1000000000000001</v>
      </c>
      <c r="AI168" s="356">
        <f t="shared" si="115"/>
        <v>0</v>
      </c>
      <c r="AJ168" s="356">
        <f t="shared" si="116"/>
        <v>0</v>
      </c>
      <c r="AK168" s="360">
        <f t="shared" si="117"/>
        <v>0</v>
      </c>
      <c r="AL168" s="356" t="str">
        <f t="shared" si="118"/>
        <v>-</v>
      </c>
      <c r="AM168" s="356" t="str">
        <f t="shared" si="119"/>
        <v>-</v>
      </c>
      <c r="AN168" s="356" t="str">
        <f t="shared" si="120"/>
        <v>-</v>
      </c>
      <c r="AO168" s="356" t="e">
        <f t="shared" si="121"/>
        <v>#VALUE!</v>
      </c>
      <c r="AP168" s="358" t="str">
        <f t="shared" si="122"/>
        <v>-</v>
      </c>
      <c r="AQ168" s="357" t="str">
        <f t="shared" si="111"/>
        <v>-</v>
      </c>
      <c r="AR168" s="357" t="str">
        <f t="shared" si="112"/>
        <v>-</v>
      </c>
      <c r="AS168" s="356" t="str">
        <f t="shared" si="123"/>
        <v>-</v>
      </c>
      <c r="AT168" s="355" t="str">
        <f t="shared" si="124"/>
        <v>-</v>
      </c>
      <c r="AU168" s="356" t="str">
        <f t="shared" si="125"/>
        <v>-</v>
      </c>
      <c r="AV168" s="356" t="e">
        <f t="shared" si="126"/>
        <v>#DIV/0!</v>
      </c>
      <c r="AW168" s="355" t="str">
        <f t="shared" si="127"/>
        <v>-</v>
      </c>
      <c r="AX168" s="359"/>
      <c r="AY168" s="356" t="str">
        <f t="shared" si="128"/>
        <v>-</v>
      </c>
      <c r="AZ168" s="356" t="str">
        <f t="shared" si="129"/>
        <v>-</v>
      </c>
      <c r="BA168" s="356">
        <f t="shared" si="130"/>
        <v>0</v>
      </c>
      <c r="BB168" s="356" t="e">
        <f t="shared" si="131"/>
        <v>#VALUE!</v>
      </c>
      <c r="BC168" s="358" t="str">
        <f t="shared" si="132"/>
        <v>-</v>
      </c>
      <c r="BD168" s="356" t="e">
        <f t="shared" si="133"/>
        <v>#VALUE!</v>
      </c>
      <c r="BE168" s="357" t="str">
        <f t="shared" si="134"/>
        <v>-</v>
      </c>
      <c r="BF168" s="357" t="str">
        <f t="shared" si="135"/>
        <v>-</v>
      </c>
      <c r="BG168" s="356">
        <f t="shared" si="136"/>
        <v>0</v>
      </c>
    </row>
    <row r="169" spans="1:59" x14ac:dyDescent="0.25">
      <c r="A169" s="355">
        <f t="shared" si="137"/>
        <v>142</v>
      </c>
      <c r="B169" s="363"/>
      <c r="C169" s="363"/>
      <c r="D169" s="363"/>
      <c r="E169" s="363"/>
      <c r="F169" s="363"/>
      <c r="G169" s="363"/>
      <c r="H169" s="359"/>
      <c r="I169" s="359"/>
      <c r="J169" s="362"/>
      <c r="K169" s="359"/>
      <c r="L169" s="359"/>
      <c r="M169" s="359"/>
      <c r="N169" s="359"/>
      <c r="O169" s="359"/>
      <c r="P169" s="359"/>
      <c r="Q169" s="359"/>
      <c r="R169" s="359"/>
      <c r="S169" s="359"/>
      <c r="T169" s="359"/>
      <c r="U169" s="359"/>
      <c r="V169" s="359"/>
      <c r="W169" s="359"/>
      <c r="X169" s="359"/>
      <c r="Y169" s="359"/>
      <c r="Z169" s="359"/>
      <c r="AA169" s="356">
        <f t="shared" si="113"/>
        <v>0</v>
      </c>
      <c r="AB169" s="356">
        <f t="shared" si="105"/>
        <v>0</v>
      </c>
      <c r="AC169" s="356">
        <f t="shared" si="106"/>
        <v>0</v>
      </c>
      <c r="AD169" s="356">
        <f t="shared" si="107"/>
        <v>0</v>
      </c>
      <c r="AE169" s="356">
        <f t="shared" si="108"/>
        <v>0</v>
      </c>
      <c r="AF169" s="356">
        <f t="shared" si="109"/>
        <v>0</v>
      </c>
      <c r="AG169" s="356">
        <f t="shared" si="110"/>
        <v>0</v>
      </c>
      <c r="AH169" s="361">
        <f t="shared" si="114"/>
        <v>1.1000000000000001</v>
      </c>
      <c r="AI169" s="356">
        <f t="shared" si="115"/>
        <v>0</v>
      </c>
      <c r="AJ169" s="356">
        <f t="shared" si="116"/>
        <v>0</v>
      </c>
      <c r="AK169" s="360">
        <f t="shared" si="117"/>
        <v>0</v>
      </c>
      <c r="AL169" s="356" t="str">
        <f t="shared" si="118"/>
        <v>-</v>
      </c>
      <c r="AM169" s="356" t="str">
        <f t="shared" si="119"/>
        <v>-</v>
      </c>
      <c r="AN169" s="356" t="str">
        <f t="shared" si="120"/>
        <v>-</v>
      </c>
      <c r="AO169" s="356" t="e">
        <f t="shared" si="121"/>
        <v>#VALUE!</v>
      </c>
      <c r="AP169" s="358" t="str">
        <f t="shared" si="122"/>
        <v>-</v>
      </c>
      <c r="AQ169" s="357" t="str">
        <f t="shared" si="111"/>
        <v>-</v>
      </c>
      <c r="AR169" s="357" t="str">
        <f t="shared" si="112"/>
        <v>-</v>
      </c>
      <c r="AS169" s="356" t="str">
        <f t="shared" si="123"/>
        <v>-</v>
      </c>
      <c r="AT169" s="355" t="str">
        <f t="shared" si="124"/>
        <v>-</v>
      </c>
      <c r="AU169" s="356" t="str">
        <f t="shared" si="125"/>
        <v>-</v>
      </c>
      <c r="AV169" s="356" t="e">
        <f t="shared" si="126"/>
        <v>#DIV/0!</v>
      </c>
      <c r="AW169" s="355" t="str">
        <f t="shared" si="127"/>
        <v>-</v>
      </c>
      <c r="AX169" s="359"/>
      <c r="AY169" s="356" t="str">
        <f t="shared" si="128"/>
        <v>-</v>
      </c>
      <c r="AZ169" s="356" t="str">
        <f t="shared" si="129"/>
        <v>-</v>
      </c>
      <c r="BA169" s="356">
        <f t="shared" si="130"/>
        <v>0</v>
      </c>
      <c r="BB169" s="356" t="e">
        <f t="shared" si="131"/>
        <v>#VALUE!</v>
      </c>
      <c r="BC169" s="358" t="str">
        <f t="shared" si="132"/>
        <v>-</v>
      </c>
      <c r="BD169" s="356" t="e">
        <f t="shared" si="133"/>
        <v>#VALUE!</v>
      </c>
      <c r="BE169" s="357" t="str">
        <f t="shared" si="134"/>
        <v>-</v>
      </c>
      <c r="BF169" s="357" t="str">
        <f t="shared" si="135"/>
        <v>-</v>
      </c>
      <c r="BG169" s="356">
        <f t="shared" si="136"/>
        <v>0</v>
      </c>
    </row>
    <row r="170" spans="1:59" x14ac:dyDescent="0.25">
      <c r="A170" s="355">
        <f t="shared" si="137"/>
        <v>143</v>
      </c>
      <c r="B170" s="363"/>
      <c r="C170" s="363"/>
      <c r="D170" s="363"/>
      <c r="E170" s="363"/>
      <c r="F170" s="363"/>
      <c r="G170" s="363"/>
      <c r="H170" s="359"/>
      <c r="I170" s="359"/>
      <c r="J170" s="362"/>
      <c r="K170" s="359"/>
      <c r="L170" s="359"/>
      <c r="M170" s="359"/>
      <c r="N170" s="359"/>
      <c r="O170" s="359"/>
      <c r="P170" s="359"/>
      <c r="Q170" s="359"/>
      <c r="R170" s="359"/>
      <c r="S170" s="359"/>
      <c r="T170" s="359"/>
      <c r="U170" s="359"/>
      <c r="V170" s="359"/>
      <c r="W170" s="359"/>
      <c r="X170" s="359"/>
      <c r="Y170" s="359"/>
      <c r="Z170" s="359"/>
      <c r="AA170" s="356">
        <f t="shared" si="113"/>
        <v>0</v>
      </c>
      <c r="AB170" s="356">
        <f t="shared" si="105"/>
        <v>0</v>
      </c>
      <c r="AC170" s="356">
        <f t="shared" si="106"/>
        <v>0</v>
      </c>
      <c r="AD170" s="356">
        <f t="shared" si="107"/>
        <v>0</v>
      </c>
      <c r="AE170" s="356">
        <f t="shared" si="108"/>
        <v>0</v>
      </c>
      <c r="AF170" s="356">
        <f t="shared" si="109"/>
        <v>0</v>
      </c>
      <c r="AG170" s="356">
        <f t="shared" si="110"/>
        <v>0</v>
      </c>
      <c r="AH170" s="361">
        <f t="shared" si="114"/>
        <v>1.1000000000000001</v>
      </c>
      <c r="AI170" s="356">
        <f t="shared" si="115"/>
        <v>0</v>
      </c>
      <c r="AJ170" s="356">
        <f t="shared" si="116"/>
        <v>0</v>
      </c>
      <c r="AK170" s="360">
        <f t="shared" si="117"/>
        <v>0</v>
      </c>
      <c r="AL170" s="356" t="str">
        <f t="shared" si="118"/>
        <v>-</v>
      </c>
      <c r="AM170" s="356" t="str">
        <f t="shared" si="119"/>
        <v>-</v>
      </c>
      <c r="AN170" s="356" t="str">
        <f t="shared" si="120"/>
        <v>-</v>
      </c>
      <c r="AO170" s="356" t="e">
        <f t="shared" si="121"/>
        <v>#VALUE!</v>
      </c>
      <c r="AP170" s="358" t="str">
        <f t="shared" si="122"/>
        <v>-</v>
      </c>
      <c r="AQ170" s="357" t="str">
        <f t="shared" si="111"/>
        <v>-</v>
      </c>
      <c r="AR170" s="357" t="str">
        <f t="shared" si="112"/>
        <v>-</v>
      </c>
      <c r="AS170" s="356" t="str">
        <f t="shared" si="123"/>
        <v>-</v>
      </c>
      <c r="AT170" s="355" t="str">
        <f t="shared" si="124"/>
        <v>-</v>
      </c>
      <c r="AU170" s="356" t="str">
        <f t="shared" si="125"/>
        <v>-</v>
      </c>
      <c r="AV170" s="356" t="e">
        <f t="shared" si="126"/>
        <v>#DIV/0!</v>
      </c>
      <c r="AW170" s="355" t="str">
        <f t="shared" si="127"/>
        <v>-</v>
      </c>
      <c r="AX170" s="359"/>
      <c r="AY170" s="356" t="str">
        <f t="shared" si="128"/>
        <v>-</v>
      </c>
      <c r="AZ170" s="356" t="str">
        <f t="shared" si="129"/>
        <v>-</v>
      </c>
      <c r="BA170" s="356">
        <f t="shared" si="130"/>
        <v>0</v>
      </c>
      <c r="BB170" s="356" t="e">
        <f t="shared" si="131"/>
        <v>#VALUE!</v>
      </c>
      <c r="BC170" s="358" t="str">
        <f t="shared" si="132"/>
        <v>-</v>
      </c>
      <c r="BD170" s="356" t="e">
        <f t="shared" si="133"/>
        <v>#VALUE!</v>
      </c>
      <c r="BE170" s="357" t="str">
        <f t="shared" si="134"/>
        <v>-</v>
      </c>
      <c r="BF170" s="357" t="str">
        <f t="shared" si="135"/>
        <v>-</v>
      </c>
      <c r="BG170" s="356">
        <f t="shared" si="136"/>
        <v>0</v>
      </c>
    </row>
    <row r="171" spans="1:59" x14ac:dyDescent="0.25">
      <c r="A171" s="355">
        <f t="shared" si="137"/>
        <v>144</v>
      </c>
      <c r="B171" s="363"/>
      <c r="C171" s="363"/>
      <c r="D171" s="363"/>
      <c r="E171" s="363"/>
      <c r="F171" s="363"/>
      <c r="G171" s="363"/>
      <c r="H171" s="359"/>
      <c r="I171" s="359"/>
      <c r="J171" s="362"/>
      <c r="K171" s="359"/>
      <c r="L171" s="359"/>
      <c r="M171" s="359"/>
      <c r="N171" s="359"/>
      <c r="O171" s="359"/>
      <c r="P171" s="359"/>
      <c r="Q171" s="359"/>
      <c r="R171" s="359"/>
      <c r="S171" s="359"/>
      <c r="T171" s="359"/>
      <c r="U171" s="359"/>
      <c r="V171" s="359"/>
      <c r="W171" s="359"/>
      <c r="X171" s="359"/>
      <c r="Y171" s="359"/>
      <c r="Z171" s="359"/>
      <c r="AA171" s="356">
        <f t="shared" si="113"/>
        <v>0</v>
      </c>
      <c r="AB171" s="356">
        <f t="shared" si="105"/>
        <v>0</v>
      </c>
      <c r="AC171" s="356">
        <f t="shared" si="106"/>
        <v>0</v>
      </c>
      <c r="AD171" s="356">
        <f t="shared" si="107"/>
        <v>0</v>
      </c>
      <c r="AE171" s="356">
        <f t="shared" si="108"/>
        <v>0</v>
      </c>
      <c r="AF171" s="356">
        <f t="shared" si="109"/>
        <v>0</v>
      </c>
      <c r="AG171" s="356">
        <f t="shared" si="110"/>
        <v>0</v>
      </c>
      <c r="AH171" s="361">
        <f t="shared" si="114"/>
        <v>1.1000000000000001</v>
      </c>
      <c r="AI171" s="356">
        <f t="shared" si="115"/>
        <v>0</v>
      </c>
      <c r="AJ171" s="356">
        <f t="shared" si="116"/>
        <v>0</v>
      </c>
      <c r="AK171" s="360">
        <f t="shared" si="117"/>
        <v>0</v>
      </c>
      <c r="AL171" s="356" t="str">
        <f t="shared" si="118"/>
        <v>-</v>
      </c>
      <c r="AM171" s="356" t="str">
        <f t="shared" si="119"/>
        <v>-</v>
      </c>
      <c r="AN171" s="356" t="str">
        <f t="shared" si="120"/>
        <v>-</v>
      </c>
      <c r="AO171" s="356" t="e">
        <f t="shared" si="121"/>
        <v>#VALUE!</v>
      </c>
      <c r="AP171" s="358" t="str">
        <f t="shared" si="122"/>
        <v>-</v>
      </c>
      <c r="AQ171" s="357" t="str">
        <f t="shared" si="111"/>
        <v>-</v>
      </c>
      <c r="AR171" s="357" t="str">
        <f t="shared" si="112"/>
        <v>-</v>
      </c>
      <c r="AS171" s="356" t="str">
        <f t="shared" si="123"/>
        <v>-</v>
      </c>
      <c r="AT171" s="355" t="str">
        <f t="shared" si="124"/>
        <v>-</v>
      </c>
      <c r="AU171" s="356" t="str">
        <f t="shared" si="125"/>
        <v>-</v>
      </c>
      <c r="AV171" s="356" t="e">
        <f t="shared" si="126"/>
        <v>#DIV/0!</v>
      </c>
      <c r="AW171" s="355" t="str">
        <f t="shared" si="127"/>
        <v>-</v>
      </c>
      <c r="AX171" s="359"/>
      <c r="AY171" s="356" t="str">
        <f t="shared" si="128"/>
        <v>-</v>
      </c>
      <c r="AZ171" s="356" t="str">
        <f t="shared" si="129"/>
        <v>-</v>
      </c>
      <c r="BA171" s="356">
        <f t="shared" si="130"/>
        <v>0</v>
      </c>
      <c r="BB171" s="356" t="e">
        <f t="shared" si="131"/>
        <v>#VALUE!</v>
      </c>
      <c r="BC171" s="358" t="str">
        <f t="shared" si="132"/>
        <v>-</v>
      </c>
      <c r="BD171" s="356" t="e">
        <f t="shared" si="133"/>
        <v>#VALUE!</v>
      </c>
      <c r="BE171" s="357" t="str">
        <f t="shared" si="134"/>
        <v>-</v>
      </c>
      <c r="BF171" s="357" t="str">
        <f t="shared" si="135"/>
        <v>-</v>
      </c>
      <c r="BG171" s="356">
        <f t="shared" si="136"/>
        <v>0</v>
      </c>
    </row>
    <row r="172" spans="1:59" x14ac:dyDescent="0.25">
      <c r="A172" s="355">
        <f t="shared" si="137"/>
        <v>145</v>
      </c>
      <c r="B172" s="363"/>
      <c r="C172" s="363"/>
      <c r="D172" s="363"/>
      <c r="E172" s="363"/>
      <c r="F172" s="363"/>
      <c r="G172" s="363"/>
      <c r="H172" s="359"/>
      <c r="I172" s="359"/>
      <c r="J172" s="362"/>
      <c r="K172" s="359"/>
      <c r="L172" s="359"/>
      <c r="M172" s="359"/>
      <c r="N172" s="359"/>
      <c r="O172" s="359"/>
      <c r="P172" s="359"/>
      <c r="Q172" s="359"/>
      <c r="R172" s="359"/>
      <c r="S172" s="359"/>
      <c r="T172" s="359"/>
      <c r="U172" s="359"/>
      <c r="V172" s="359"/>
      <c r="W172" s="359"/>
      <c r="X172" s="359"/>
      <c r="Y172" s="359"/>
      <c r="Z172" s="359"/>
      <c r="AA172" s="356">
        <f t="shared" si="113"/>
        <v>0</v>
      </c>
      <c r="AB172" s="356">
        <f t="shared" si="105"/>
        <v>0</v>
      </c>
      <c r="AC172" s="356">
        <f t="shared" si="106"/>
        <v>0</v>
      </c>
      <c r="AD172" s="356">
        <f t="shared" si="107"/>
        <v>0</v>
      </c>
      <c r="AE172" s="356">
        <f t="shared" si="108"/>
        <v>0</v>
      </c>
      <c r="AF172" s="356">
        <f t="shared" si="109"/>
        <v>0</v>
      </c>
      <c r="AG172" s="356">
        <f t="shared" si="110"/>
        <v>0</v>
      </c>
      <c r="AH172" s="361">
        <f t="shared" si="114"/>
        <v>1.1000000000000001</v>
      </c>
      <c r="AI172" s="356">
        <f t="shared" si="115"/>
        <v>0</v>
      </c>
      <c r="AJ172" s="356">
        <f t="shared" si="116"/>
        <v>0</v>
      </c>
      <c r="AK172" s="360">
        <f t="shared" si="117"/>
        <v>0</v>
      </c>
      <c r="AL172" s="356" t="str">
        <f t="shared" si="118"/>
        <v>-</v>
      </c>
      <c r="AM172" s="356" t="str">
        <f t="shared" si="119"/>
        <v>-</v>
      </c>
      <c r="AN172" s="356" t="str">
        <f t="shared" si="120"/>
        <v>-</v>
      </c>
      <c r="AO172" s="356" t="e">
        <f t="shared" si="121"/>
        <v>#VALUE!</v>
      </c>
      <c r="AP172" s="358" t="str">
        <f t="shared" si="122"/>
        <v>-</v>
      </c>
      <c r="AQ172" s="357" t="str">
        <f t="shared" si="111"/>
        <v>-</v>
      </c>
      <c r="AR172" s="357" t="str">
        <f t="shared" si="112"/>
        <v>-</v>
      </c>
      <c r="AS172" s="356" t="str">
        <f t="shared" si="123"/>
        <v>-</v>
      </c>
      <c r="AT172" s="355" t="str">
        <f t="shared" si="124"/>
        <v>-</v>
      </c>
      <c r="AU172" s="356" t="str">
        <f t="shared" si="125"/>
        <v>-</v>
      </c>
      <c r="AV172" s="356" t="e">
        <f t="shared" si="126"/>
        <v>#DIV/0!</v>
      </c>
      <c r="AW172" s="355" t="str">
        <f t="shared" si="127"/>
        <v>-</v>
      </c>
      <c r="AX172" s="359"/>
      <c r="AY172" s="356" t="str">
        <f t="shared" si="128"/>
        <v>-</v>
      </c>
      <c r="AZ172" s="356" t="str">
        <f t="shared" si="129"/>
        <v>-</v>
      </c>
      <c r="BA172" s="356">
        <f t="shared" si="130"/>
        <v>0</v>
      </c>
      <c r="BB172" s="356" t="e">
        <f t="shared" si="131"/>
        <v>#VALUE!</v>
      </c>
      <c r="BC172" s="358" t="str">
        <f t="shared" si="132"/>
        <v>-</v>
      </c>
      <c r="BD172" s="356" t="e">
        <f t="shared" si="133"/>
        <v>#VALUE!</v>
      </c>
      <c r="BE172" s="357" t="str">
        <f t="shared" si="134"/>
        <v>-</v>
      </c>
      <c r="BF172" s="357" t="str">
        <f t="shared" si="135"/>
        <v>-</v>
      </c>
      <c r="BG172" s="356">
        <f t="shared" si="136"/>
        <v>0</v>
      </c>
    </row>
    <row r="173" spans="1:59" x14ac:dyDescent="0.25">
      <c r="A173" s="355">
        <f t="shared" si="137"/>
        <v>146</v>
      </c>
      <c r="B173" s="363"/>
      <c r="C173" s="363"/>
      <c r="D173" s="363"/>
      <c r="E173" s="363"/>
      <c r="F173" s="363"/>
      <c r="G173" s="363"/>
      <c r="H173" s="359"/>
      <c r="I173" s="359"/>
      <c r="J173" s="362"/>
      <c r="K173" s="359"/>
      <c r="L173" s="359"/>
      <c r="M173" s="359"/>
      <c r="N173" s="359"/>
      <c r="O173" s="359"/>
      <c r="P173" s="359"/>
      <c r="Q173" s="359"/>
      <c r="R173" s="359"/>
      <c r="S173" s="359"/>
      <c r="T173" s="359"/>
      <c r="U173" s="359"/>
      <c r="V173" s="359"/>
      <c r="W173" s="359"/>
      <c r="X173" s="359"/>
      <c r="Y173" s="359"/>
      <c r="Z173" s="359"/>
      <c r="AA173" s="356">
        <f t="shared" si="113"/>
        <v>0</v>
      </c>
      <c r="AB173" s="356">
        <f t="shared" si="105"/>
        <v>0</v>
      </c>
      <c r="AC173" s="356">
        <f t="shared" si="106"/>
        <v>0</v>
      </c>
      <c r="AD173" s="356">
        <f t="shared" si="107"/>
        <v>0</v>
      </c>
      <c r="AE173" s="356">
        <f t="shared" si="108"/>
        <v>0</v>
      </c>
      <c r="AF173" s="356">
        <f t="shared" si="109"/>
        <v>0</v>
      </c>
      <c r="AG173" s="356">
        <f t="shared" si="110"/>
        <v>0</v>
      </c>
      <c r="AH173" s="361">
        <f t="shared" si="114"/>
        <v>1.1000000000000001</v>
      </c>
      <c r="AI173" s="356">
        <f t="shared" si="115"/>
        <v>0</v>
      </c>
      <c r="AJ173" s="356">
        <f t="shared" si="116"/>
        <v>0</v>
      </c>
      <c r="AK173" s="360">
        <f t="shared" si="117"/>
        <v>0</v>
      </c>
      <c r="AL173" s="356" t="str">
        <f t="shared" si="118"/>
        <v>-</v>
      </c>
      <c r="AM173" s="356" t="str">
        <f t="shared" si="119"/>
        <v>-</v>
      </c>
      <c r="AN173" s="356" t="str">
        <f t="shared" si="120"/>
        <v>-</v>
      </c>
      <c r="AO173" s="356" t="e">
        <f t="shared" si="121"/>
        <v>#VALUE!</v>
      </c>
      <c r="AP173" s="358" t="str">
        <f t="shared" si="122"/>
        <v>-</v>
      </c>
      <c r="AQ173" s="357" t="str">
        <f t="shared" si="111"/>
        <v>-</v>
      </c>
      <c r="AR173" s="357" t="str">
        <f t="shared" si="112"/>
        <v>-</v>
      </c>
      <c r="AS173" s="356" t="str">
        <f t="shared" si="123"/>
        <v>-</v>
      </c>
      <c r="AT173" s="355" t="str">
        <f t="shared" si="124"/>
        <v>-</v>
      </c>
      <c r="AU173" s="356" t="str">
        <f t="shared" si="125"/>
        <v>-</v>
      </c>
      <c r="AV173" s="356" t="e">
        <f t="shared" si="126"/>
        <v>#DIV/0!</v>
      </c>
      <c r="AW173" s="355" t="str">
        <f t="shared" si="127"/>
        <v>-</v>
      </c>
      <c r="AX173" s="359"/>
      <c r="AY173" s="356" t="str">
        <f t="shared" si="128"/>
        <v>-</v>
      </c>
      <c r="AZ173" s="356" t="str">
        <f t="shared" si="129"/>
        <v>-</v>
      </c>
      <c r="BA173" s="356">
        <f t="shared" si="130"/>
        <v>0</v>
      </c>
      <c r="BB173" s="356" t="e">
        <f t="shared" si="131"/>
        <v>#VALUE!</v>
      </c>
      <c r="BC173" s="358" t="str">
        <f t="shared" si="132"/>
        <v>-</v>
      </c>
      <c r="BD173" s="356" t="e">
        <f t="shared" si="133"/>
        <v>#VALUE!</v>
      </c>
      <c r="BE173" s="357" t="str">
        <f t="shared" si="134"/>
        <v>-</v>
      </c>
      <c r="BF173" s="357" t="str">
        <f t="shared" si="135"/>
        <v>-</v>
      </c>
      <c r="BG173" s="356">
        <f t="shared" si="136"/>
        <v>0</v>
      </c>
    </row>
    <row r="174" spans="1:59" x14ac:dyDescent="0.25">
      <c r="A174" s="355">
        <f t="shared" si="137"/>
        <v>147</v>
      </c>
      <c r="B174" s="363"/>
      <c r="C174" s="363"/>
      <c r="D174" s="363"/>
      <c r="E174" s="363"/>
      <c r="F174" s="363"/>
      <c r="G174" s="363"/>
      <c r="H174" s="359"/>
      <c r="I174" s="359"/>
      <c r="J174" s="362"/>
      <c r="K174" s="359"/>
      <c r="L174" s="359"/>
      <c r="M174" s="359"/>
      <c r="N174" s="359"/>
      <c r="O174" s="359"/>
      <c r="P174" s="359"/>
      <c r="Q174" s="359"/>
      <c r="R174" s="359"/>
      <c r="S174" s="359"/>
      <c r="T174" s="359"/>
      <c r="U174" s="359"/>
      <c r="V174" s="359"/>
      <c r="W174" s="359"/>
      <c r="X174" s="359"/>
      <c r="Y174" s="359"/>
      <c r="Z174" s="359"/>
      <c r="AA174" s="356">
        <f t="shared" si="113"/>
        <v>0</v>
      </c>
      <c r="AB174" s="356">
        <f t="shared" si="105"/>
        <v>0</v>
      </c>
      <c r="AC174" s="356">
        <f t="shared" si="106"/>
        <v>0</v>
      </c>
      <c r="AD174" s="356">
        <f t="shared" si="107"/>
        <v>0</v>
      </c>
      <c r="AE174" s="356">
        <f t="shared" si="108"/>
        <v>0</v>
      </c>
      <c r="AF174" s="356">
        <f t="shared" si="109"/>
        <v>0</v>
      </c>
      <c r="AG174" s="356">
        <f t="shared" si="110"/>
        <v>0</v>
      </c>
      <c r="AH174" s="361">
        <f t="shared" si="114"/>
        <v>1.1000000000000001</v>
      </c>
      <c r="AI174" s="356">
        <f t="shared" si="115"/>
        <v>0</v>
      </c>
      <c r="AJ174" s="356">
        <f t="shared" si="116"/>
        <v>0</v>
      </c>
      <c r="AK174" s="360">
        <f t="shared" si="117"/>
        <v>0</v>
      </c>
      <c r="AL174" s="356" t="str">
        <f t="shared" si="118"/>
        <v>-</v>
      </c>
      <c r="AM174" s="356" t="str">
        <f t="shared" si="119"/>
        <v>-</v>
      </c>
      <c r="AN174" s="356" t="str">
        <f t="shared" si="120"/>
        <v>-</v>
      </c>
      <c r="AO174" s="356" t="e">
        <f t="shared" si="121"/>
        <v>#VALUE!</v>
      </c>
      <c r="AP174" s="358" t="str">
        <f t="shared" si="122"/>
        <v>-</v>
      </c>
      <c r="AQ174" s="357" t="str">
        <f t="shared" si="111"/>
        <v>-</v>
      </c>
      <c r="AR174" s="357" t="str">
        <f t="shared" si="112"/>
        <v>-</v>
      </c>
      <c r="AS174" s="356" t="str">
        <f t="shared" si="123"/>
        <v>-</v>
      </c>
      <c r="AT174" s="355" t="str">
        <f t="shared" si="124"/>
        <v>-</v>
      </c>
      <c r="AU174" s="356" t="str">
        <f t="shared" si="125"/>
        <v>-</v>
      </c>
      <c r="AV174" s="356" t="e">
        <f t="shared" si="126"/>
        <v>#DIV/0!</v>
      </c>
      <c r="AW174" s="355" t="str">
        <f t="shared" si="127"/>
        <v>-</v>
      </c>
      <c r="AX174" s="359"/>
      <c r="AY174" s="356" t="str">
        <f t="shared" si="128"/>
        <v>-</v>
      </c>
      <c r="AZ174" s="356" t="str">
        <f t="shared" si="129"/>
        <v>-</v>
      </c>
      <c r="BA174" s="356">
        <f t="shared" si="130"/>
        <v>0</v>
      </c>
      <c r="BB174" s="356" t="e">
        <f t="shared" si="131"/>
        <v>#VALUE!</v>
      </c>
      <c r="BC174" s="358" t="str">
        <f t="shared" si="132"/>
        <v>-</v>
      </c>
      <c r="BD174" s="356" t="e">
        <f t="shared" si="133"/>
        <v>#VALUE!</v>
      </c>
      <c r="BE174" s="357" t="str">
        <f t="shared" si="134"/>
        <v>-</v>
      </c>
      <c r="BF174" s="357" t="str">
        <f t="shared" si="135"/>
        <v>-</v>
      </c>
      <c r="BG174" s="356">
        <f t="shared" si="136"/>
        <v>0</v>
      </c>
    </row>
    <row r="175" spans="1:59" x14ac:dyDescent="0.25">
      <c r="A175" s="355">
        <f t="shared" si="137"/>
        <v>148</v>
      </c>
      <c r="B175" s="363"/>
      <c r="C175" s="363"/>
      <c r="D175" s="363"/>
      <c r="E175" s="363"/>
      <c r="F175" s="363"/>
      <c r="G175" s="363"/>
      <c r="H175" s="359"/>
      <c r="I175" s="359"/>
      <c r="J175" s="362"/>
      <c r="K175" s="359"/>
      <c r="L175" s="359"/>
      <c r="M175" s="359"/>
      <c r="N175" s="359"/>
      <c r="O175" s="359"/>
      <c r="P175" s="359"/>
      <c r="Q175" s="359"/>
      <c r="R175" s="359"/>
      <c r="S175" s="359"/>
      <c r="T175" s="359"/>
      <c r="U175" s="359"/>
      <c r="V175" s="359"/>
      <c r="W175" s="359"/>
      <c r="X175" s="359"/>
      <c r="Y175" s="359"/>
      <c r="Z175" s="359"/>
      <c r="AA175" s="356">
        <f t="shared" si="113"/>
        <v>0</v>
      </c>
      <c r="AB175" s="356">
        <f t="shared" si="105"/>
        <v>0</v>
      </c>
      <c r="AC175" s="356">
        <f t="shared" si="106"/>
        <v>0</v>
      </c>
      <c r="AD175" s="356">
        <f t="shared" si="107"/>
        <v>0</v>
      </c>
      <c r="AE175" s="356">
        <f t="shared" si="108"/>
        <v>0</v>
      </c>
      <c r="AF175" s="356">
        <f t="shared" si="109"/>
        <v>0</v>
      </c>
      <c r="AG175" s="356">
        <f t="shared" si="110"/>
        <v>0</v>
      </c>
      <c r="AH175" s="361">
        <f t="shared" si="114"/>
        <v>1.1000000000000001</v>
      </c>
      <c r="AI175" s="356">
        <f t="shared" si="115"/>
        <v>0</v>
      </c>
      <c r="AJ175" s="356">
        <f t="shared" si="116"/>
        <v>0</v>
      </c>
      <c r="AK175" s="360">
        <f t="shared" si="117"/>
        <v>0</v>
      </c>
      <c r="AL175" s="356" t="str">
        <f t="shared" si="118"/>
        <v>-</v>
      </c>
      <c r="AM175" s="356" t="str">
        <f t="shared" si="119"/>
        <v>-</v>
      </c>
      <c r="AN175" s="356" t="str">
        <f t="shared" si="120"/>
        <v>-</v>
      </c>
      <c r="AO175" s="356" t="e">
        <f t="shared" si="121"/>
        <v>#VALUE!</v>
      </c>
      <c r="AP175" s="358" t="str">
        <f t="shared" si="122"/>
        <v>-</v>
      </c>
      <c r="AQ175" s="357" t="str">
        <f t="shared" si="111"/>
        <v>-</v>
      </c>
      <c r="AR175" s="357" t="str">
        <f t="shared" si="112"/>
        <v>-</v>
      </c>
      <c r="AS175" s="356" t="str">
        <f t="shared" si="123"/>
        <v>-</v>
      </c>
      <c r="AT175" s="355" t="str">
        <f t="shared" si="124"/>
        <v>-</v>
      </c>
      <c r="AU175" s="356" t="str">
        <f t="shared" si="125"/>
        <v>-</v>
      </c>
      <c r="AV175" s="356" t="e">
        <f t="shared" si="126"/>
        <v>#DIV/0!</v>
      </c>
      <c r="AW175" s="355" t="str">
        <f t="shared" si="127"/>
        <v>-</v>
      </c>
      <c r="AX175" s="359"/>
      <c r="AY175" s="356" t="str">
        <f t="shared" si="128"/>
        <v>-</v>
      </c>
      <c r="AZ175" s="356" t="str">
        <f t="shared" si="129"/>
        <v>-</v>
      </c>
      <c r="BA175" s="356">
        <f t="shared" si="130"/>
        <v>0</v>
      </c>
      <c r="BB175" s="356" t="e">
        <f t="shared" si="131"/>
        <v>#VALUE!</v>
      </c>
      <c r="BC175" s="358" t="str">
        <f t="shared" si="132"/>
        <v>-</v>
      </c>
      <c r="BD175" s="356" t="e">
        <f t="shared" si="133"/>
        <v>#VALUE!</v>
      </c>
      <c r="BE175" s="357" t="str">
        <f t="shared" si="134"/>
        <v>-</v>
      </c>
      <c r="BF175" s="357" t="str">
        <f t="shared" si="135"/>
        <v>-</v>
      </c>
      <c r="BG175" s="356">
        <f t="shared" si="136"/>
        <v>0</v>
      </c>
    </row>
    <row r="176" spans="1:59" x14ac:dyDescent="0.25">
      <c r="A176" s="355">
        <f t="shared" si="137"/>
        <v>149</v>
      </c>
      <c r="B176" s="363"/>
      <c r="C176" s="363"/>
      <c r="D176" s="363"/>
      <c r="E176" s="363"/>
      <c r="F176" s="363"/>
      <c r="G176" s="363"/>
      <c r="H176" s="359"/>
      <c r="I176" s="359"/>
      <c r="J176" s="362"/>
      <c r="K176" s="359"/>
      <c r="L176" s="359"/>
      <c r="M176" s="359"/>
      <c r="N176" s="359"/>
      <c r="O176" s="359"/>
      <c r="P176" s="359"/>
      <c r="Q176" s="359"/>
      <c r="R176" s="359"/>
      <c r="S176" s="359"/>
      <c r="T176" s="359"/>
      <c r="U176" s="359"/>
      <c r="V176" s="359"/>
      <c r="W176" s="359"/>
      <c r="X176" s="359"/>
      <c r="Y176" s="359"/>
      <c r="Z176" s="359"/>
      <c r="AA176" s="356">
        <f t="shared" si="113"/>
        <v>0</v>
      </c>
      <c r="AB176" s="356">
        <f t="shared" si="105"/>
        <v>0</v>
      </c>
      <c r="AC176" s="356">
        <f t="shared" si="106"/>
        <v>0</v>
      </c>
      <c r="AD176" s="356">
        <f t="shared" si="107"/>
        <v>0</v>
      </c>
      <c r="AE176" s="356">
        <f t="shared" si="108"/>
        <v>0</v>
      </c>
      <c r="AF176" s="356">
        <f t="shared" si="109"/>
        <v>0</v>
      </c>
      <c r="AG176" s="356">
        <f t="shared" si="110"/>
        <v>0</v>
      </c>
      <c r="AH176" s="361">
        <f t="shared" si="114"/>
        <v>1.1000000000000001</v>
      </c>
      <c r="AI176" s="356">
        <f t="shared" si="115"/>
        <v>0</v>
      </c>
      <c r="AJ176" s="356">
        <f t="shared" si="116"/>
        <v>0</v>
      </c>
      <c r="AK176" s="360">
        <f t="shared" si="117"/>
        <v>0</v>
      </c>
      <c r="AL176" s="356" t="str">
        <f t="shared" si="118"/>
        <v>-</v>
      </c>
      <c r="AM176" s="356" t="str">
        <f t="shared" si="119"/>
        <v>-</v>
      </c>
      <c r="AN176" s="356" t="str">
        <f t="shared" si="120"/>
        <v>-</v>
      </c>
      <c r="AO176" s="356" t="e">
        <f t="shared" si="121"/>
        <v>#VALUE!</v>
      </c>
      <c r="AP176" s="358" t="str">
        <f t="shared" si="122"/>
        <v>-</v>
      </c>
      <c r="AQ176" s="357" t="str">
        <f t="shared" si="111"/>
        <v>-</v>
      </c>
      <c r="AR176" s="357" t="str">
        <f t="shared" si="112"/>
        <v>-</v>
      </c>
      <c r="AS176" s="356" t="str">
        <f t="shared" si="123"/>
        <v>-</v>
      </c>
      <c r="AT176" s="355" t="str">
        <f t="shared" si="124"/>
        <v>-</v>
      </c>
      <c r="AU176" s="356" t="str">
        <f t="shared" si="125"/>
        <v>-</v>
      </c>
      <c r="AV176" s="356" t="e">
        <f t="shared" si="126"/>
        <v>#DIV/0!</v>
      </c>
      <c r="AW176" s="355" t="str">
        <f t="shared" si="127"/>
        <v>-</v>
      </c>
      <c r="AX176" s="359"/>
      <c r="AY176" s="356" t="str">
        <f t="shared" si="128"/>
        <v>-</v>
      </c>
      <c r="AZ176" s="356" t="str">
        <f t="shared" si="129"/>
        <v>-</v>
      </c>
      <c r="BA176" s="356">
        <f t="shared" si="130"/>
        <v>0</v>
      </c>
      <c r="BB176" s="356" t="e">
        <f t="shared" si="131"/>
        <v>#VALUE!</v>
      </c>
      <c r="BC176" s="358" t="str">
        <f t="shared" si="132"/>
        <v>-</v>
      </c>
      <c r="BD176" s="356" t="e">
        <f t="shared" si="133"/>
        <v>#VALUE!</v>
      </c>
      <c r="BE176" s="357" t="str">
        <f t="shared" si="134"/>
        <v>-</v>
      </c>
      <c r="BF176" s="357" t="str">
        <f t="shared" si="135"/>
        <v>-</v>
      </c>
      <c r="BG176" s="356">
        <f t="shared" si="136"/>
        <v>0</v>
      </c>
    </row>
    <row r="177" spans="1:59" x14ac:dyDescent="0.25">
      <c r="A177" s="355">
        <f t="shared" si="137"/>
        <v>150</v>
      </c>
      <c r="B177" s="363"/>
      <c r="C177" s="363"/>
      <c r="D177" s="363"/>
      <c r="E177" s="363"/>
      <c r="F177" s="363"/>
      <c r="G177" s="363"/>
      <c r="H177" s="359"/>
      <c r="I177" s="359"/>
      <c r="J177" s="362"/>
      <c r="K177" s="359"/>
      <c r="L177" s="359"/>
      <c r="M177" s="359"/>
      <c r="N177" s="359"/>
      <c r="O177" s="359"/>
      <c r="P177" s="359"/>
      <c r="Q177" s="359"/>
      <c r="R177" s="359"/>
      <c r="S177" s="359"/>
      <c r="T177" s="359"/>
      <c r="U177" s="359"/>
      <c r="V177" s="359"/>
      <c r="W177" s="359"/>
      <c r="X177" s="359"/>
      <c r="Y177" s="359"/>
      <c r="Z177" s="359"/>
      <c r="AA177" s="356">
        <f t="shared" si="113"/>
        <v>0</v>
      </c>
      <c r="AB177" s="356">
        <f t="shared" si="105"/>
        <v>0</v>
      </c>
      <c r="AC177" s="356">
        <f t="shared" si="106"/>
        <v>0</v>
      </c>
      <c r="AD177" s="356">
        <f t="shared" si="107"/>
        <v>0</v>
      </c>
      <c r="AE177" s="356">
        <f t="shared" si="108"/>
        <v>0</v>
      </c>
      <c r="AF177" s="356">
        <f t="shared" si="109"/>
        <v>0</v>
      </c>
      <c r="AG177" s="356">
        <f t="shared" si="110"/>
        <v>0</v>
      </c>
      <c r="AH177" s="361">
        <f t="shared" si="114"/>
        <v>1.1000000000000001</v>
      </c>
      <c r="AI177" s="356">
        <f t="shared" si="115"/>
        <v>0</v>
      </c>
      <c r="AJ177" s="356">
        <f t="shared" si="116"/>
        <v>0</v>
      </c>
      <c r="AK177" s="360">
        <f t="shared" si="117"/>
        <v>0</v>
      </c>
      <c r="AL177" s="356" t="str">
        <f t="shared" si="118"/>
        <v>-</v>
      </c>
      <c r="AM177" s="356" t="str">
        <f t="shared" si="119"/>
        <v>-</v>
      </c>
      <c r="AN177" s="356" t="str">
        <f t="shared" si="120"/>
        <v>-</v>
      </c>
      <c r="AO177" s="356" t="e">
        <f t="shared" si="121"/>
        <v>#VALUE!</v>
      </c>
      <c r="AP177" s="358" t="str">
        <f t="shared" si="122"/>
        <v>-</v>
      </c>
      <c r="AQ177" s="357" t="str">
        <f t="shared" si="111"/>
        <v>-</v>
      </c>
      <c r="AR177" s="357" t="str">
        <f t="shared" si="112"/>
        <v>-</v>
      </c>
      <c r="AS177" s="356" t="str">
        <f t="shared" si="123"/>
        <v>-</v>
      </c>
      <c r="AT177" s="355" t="str">
        <f t="shared" si="124"/>
        <v>-</v>
      </c>
      <c r="AU177" s="356" t="str">
        <f t="shared" si="125"/>
        <v>-</v>
      </c>
      <c r="AV177" s="356" t="e">
        <f t="shared" si="126"/>
        <v>#DIV/0!</v>
      </c>
      <c r="AW177" s="355" t="str">
        <f t="shared" si="127"/>
        <v>-</v>
      </c>
      <c r="AX177" s="359"/>
      <c r="AY177" s="356" t="str">
        <f t="shared" si="128"/>
        <v>-</v>
      </c>
      <c r="AZ177" s="356" t="str">
        <f t="shared" si="129"/>
        <v>-</v>
      </c>
      <c r="BA177" s="356">
        <f t="shared" si="130"/>
        <v>0</v>
      </c>
      <c r="BB177" s="356" t="e">
        <f t="shared" si="131"/>
        <v>#VALUE!</v>
      </c>
      <c r="BC177" s="358" t="str">
        <f t="shared" si="132"/>
        <v>-</v>
      </c>
      <c r="BD177" s="356" t="e">
        <f t="shared" si="133"/>
        <v>#VALUE!</v>
      </c>
      <c r="BE177" s="357" t="str">
        <f t="shared" si="134"/>
        <v>-</v>
      </c>
      <c r="BF177" s="357" t="str">
        <f t="shared" si="135"/>
        <v>-</v>
      </c>
      <c r="BG177" s="356">
        <f t="shared" si="136"/>
        <v>0</v>
      </c>
    </row>
    <row r="178" spans="1:59" x14ac:dyDescent="0.25">
      <c r="A178" s="355">
        <f t="shared" si="137"/>
        <v>151</v>
      </c>
      <c r="B178" s="363"/>
      <c r="C178" s="363"/>
      <c r="D178" s="363"/>
      <c r="E178" s="363"/>
      <c r="F178" s="363"/>
      <c r="G178" s="363"/>
      <c r="H178" s="359"/>
      <c r="I178" s="359"/>
      <c r="J178" s="362"/>
      <c r="K178" s="359"/>
      <c r="L178" s="359"/>
      <c r="M178" s="359"/>
      <c r="N178" s="359"/>
      <c r="O178" s="359"/>
      <c r="P178" s="359"/>
      <c r="Q178" s="359"/>
      <c r="R178" s="359"/>
      <c r="S178" s="359"/>
      <c r="T178" s="359"/>
      <c r="U178" s="359"/>
      <c r="V178" s="359"/>
      <c r="W178" s="359"/>
      <c r="X178" s="359"/>
      <c r="Y178" s="359"/>
      <c r="Z178" s="359"/>
      <c r="AA178" s="356">
        <f t="shared" si="113"/>
        <v>0</v>
      </c>
      <c r="AB178" s="356">
        <f t="shared" si="105"/>
        <v>0</v>
      </c>
      <c r="AC178" s="356">
        <f t="shared" si="106"/>
        <v>0</v>
      </c>
      <c r="AD178" s="356">
        <f t="shared" si="107"/>
        <v>0</v>
      </c>
      <c r="AE178" s="356">
        <f t="shared" si="108"/>
        <v>0</v>
      </c>
      <c r="AF178" s="356">
        <f t="shared" si="109"/>
        <v>0</v>
      </c>
      <c r="AG178" s="356">
        <f t="shared" si="110"/>
        <v>0</v>
      </c>
      <c r="AH178" s="361">
        <f t="shared" si="114"/>
        <v>1.1000000000000001</v>
      </c>
      <c r="AI178" s="356">
        <f t="shared" si="115"/>
        <v>0</v>
      </c>
      <c r="AJ178" s="356">
        <f t="shared" si="116"/>
        <v>0</v>
      </c>
      <c r="AK178" s="360">
        <f t="shared" si="117"/>
        <v>0</v>
      </c>
      <c r="AL178" s="356" t="str">
        <f t="shared" si="118"/>
        <v>-</v>
      </c>
      <c r="AM178" s="356" t="str">
        <f t="shared" si="119"/>
        <v>-</v>
      </c>
      <c r="AN178" s="356" t="str">
        <f t="shared" si="120"/>
        <v>-</v>
      </c>
      <c r="AO178" s="356" t="e">
        <f t="shared" si="121"/>
        <v>#VALUE!</v>
      </c>
      <c r="AP178" s="358" t="str">
        <f t="shared" si="122"/>
        <v>-</v>
      </c>
      <c r="AQ178" s="357" t="str">
        <f t="shared" si="111"/>
        <v>-</v>
      </c>
      <c r="AR178" s="357" t="str">
        <f t="shared" si="112"/>
        <v>-</v>
      </c>
      <c r="AS178" s="356" t="str">
        <f t="shared" si="123"/>
        <v>-</v>
      </c>
      <c r="AT178" s="355" t="str">
        <f t="shared" si="124"/>
        <v>-</v>
      </c>
      <c r="AU178" s="356" t="str">
        <f t="shared" si="125"/>
        <v>-</v>
      </c>
      <c r="AV178" s="356" t="e">
        <f t="shared" si="126"/>
        <v>#DIV/0!</v>
      </c>
      <c r="AW178" s="355" t="str">
        <f t="shared" si="127"/>
        <v>-</v>
      </c>
      <c r="AX178" s="359"/>
      <c r="AY178" s="356" t="str">
        <f t="shared" si="128"/>
        <v>-</v>
      </c>
      <c r="AZ178" s="356" t="str">
        <f t="shared" si="129"/>
        <v>-</v>
      </c>
      <c r="BA178" s="356">
        <f t="shared" si="130"/>
        <v>0</v>
      </c>
      <c r="BB178" s="356" t="e">
        <f t="shared" si="131"/>
        <v>#VALUE!</v>
      </c>
      <c r="BC178" s="358" t="str">
        <f t="shared" si="132"/>
        <v>-</v>
      </c>
      <c r="BD178" s="356" t="e">
        <f t="shared" si="133"/>
        <v>#VALUE!</v>
      </c>
      <c r="BE178" s="357" t="str">
        <f t="shared" si="134"/>
        <v>-</v>
      </c>
      <c r="BF178" s="357" t="str">
        <f t="shared" si="135"/>
        <v>-</v>
      </c>
      <c r="BG178" s="356">
        <f t="shared" si="136"/>
        <v>0</v>
      </c>
    </row>
    <row r="179" spans="1:59" x14ac:dyDescent="0.25">
      <c r="A179" s="355">
        <f t="shared" si="137"/>
        <v>152</v>
      </c>
      <c r="B179" s="363"/>
      <c r="C179" s="363"/>
      <c r="D179" s="363"/>
      <c r="E179" s="363"/>
      <c r="F179" s="363"/>
      <c r="G179" s="363"/>
      <c r="H179" s="359"/>
      <c r="I179" s="359"/>
      <c r="J179" s="362"/>
      <c r="K179" s="359"/>
      <c r="L179" s="359"/>
      <c r="M179" s="359"/>
      <c r="N179" s="359"/>
      <c r="O179" s="359"/>
      <c r="P179" s="359"/>
      <c r="Q179" s="359"/>
      <c r="R179" s="359"/>
      <c r="S179" s="359"/>
      <c r="T179" s="359"/>
      <c r="U179" s="359"/>
      <c r="V179" s="359"/>
      <c r="W179" s="359"/>
      <c r="X179" s="359"/>
      <c r="Y179" s="359"/>
      <c r="Z179" s="359"/>
      <c r="AA179" s="356">
        <f t="shared" si="113"/>
        <v>0</v>
      </c>
      <c r="AB179" s="356">
        <f t="shared" si="105"/>
        <v>0</v>
      </c>
      <c r="AC179" s="356">
        <f t="shared" si="106"/>
        <v>0</v>
      </c>
      <c r="AD179" s="356">
        <f t="shared" si="107"/>
        <v>0</v>
      </c>
      <c r="AE179" s="356">
        <f t="shared" si="108"/>
        <v>0</v>
      </c>
      <c r="AF179" s="356">
        <f t="shared" si="109"/>
        <v>0</v>
      </c>
      <c r="AG179" s="356">
        <f t="shared" si="110"/>
        <v>0</v>
      </c>
      <c r="AH179" s="361">
        <f t="shared" si="114"/>
        <v>1.1000000000000001</v>
      </c>
      <c r="AI179" s="356">
        <f t="shared" si="115"/>
        <v>0</v>
      </c>
      <c r="AJ179" s="356">
        <f t="shared" si="116"/>
        <v>0</v>
      </c>
      <c r="AK179" s="360">
        <f t="shared" si="117"/>
        <v>0</v>
      </c>
      <c r="AL179" s="356" t="str">
        <f t="shared" si="118"/>
        <v>-</v>
      </c>
      <c r="AM179" s="356" t="str">
        <f t="shared" si="119"/>
        <v>-</v>
      </c>
      <c r="AN179" s="356" t="str">
        <f t="shared" si="120"/>
        <v>-</v>
      </c>
      <c r="AO179" s="356" t="e">
        <f t="shared" si="121"/>
        <v>#VALUE!</v>
      </c>
      <c r="AP179" s="358" t="str">
        <f t="shared" si="122"/>
        <v>-</v>
      </c>
      <c r="AQ179" s="357" t="str">
        <f t="shared" si="111"/>
        <v>-</v>
      </c>
      <c r="AR179" s="357" t="str">
        <f t="shared" si="112"/>
        <v>-</v>
      </c>
      <c r="AS179" s="356" t="str">
        <f t="shared" si="123"/>
        <v>-</v>
      </c>
      <c r="AT179" s="355" t="str">
        <f t="shared" si="124"/>
        <v>-</v>
      </c>
      <c r="AU179" s="356" t="str">
        <f t="shared" si="125"/>
        <v>-</v>
      </c>
      <c r="AV179" s="356" t="e">
        <f t="shared" si="126"/>
        <v>#DIV/0!</v>
      </c>
      <c r="AW179" s="355" t="str">
        <f t="shared" si="127"/>
        <v>-</v>
      </c>
      <c r="AX179" s="359"/>
      <c r="AY179" s="356" t="str">
        <f t="shared" si="128"/>
        <v>-</v>
      </c>
      <c r="AZ179" s="356" t="str">
        <f t="shared" si="129"/>
        <v>-</v>
      </c>
      <c r="BA179" s="356">
        <f t="shared" si="130"/>
        <v>0</v>
      </c>
      <c r="BB179" s="356" t="e">
        <f t="shared" si="131"/>
        <v>#VALUE!</v>
      </c>
      <c r="BC179" s="358" t="str">
        <f t="shared" si="132"/>
        <v>-</v>
      </c>
      <c r="BD179" s="356" t="e">
        <f t="shared" si="133"/>
        <v>#VALUE!</v>
      </c>
      <c r="BE179" s="357" t="str">
        <f t="shared" si="134"/>
        <v>-</v>
      </c>
      <c r="BF179" s="357" t="str">
        <f t="shared" si="135"/>
        <v>-</v>
      </c>
      <c r="BG179" s="356">
        <f t="shared" si="136"/>
        <v>0</v>
      </c>
    </row>
    <row r="180" spans="1:59" x14ac:dyDescent="0.25">
      <c r="A180" s="355">
        <f t="shared" si="137"/>
        <v>153</v>
      </c>
      <c r="B180" s="363"/>
      <c r="C180" s="363"/>
      <c r="D180" s="363"/>
      <c r="E180" s="363"/>
      <c r="F180" s="363"/>
      <c r="G180" s="363"/>
      <c r="H180" s="359"/>
      <c r="I180" s="359"/>
      <c r="J180" s="362"/>
      <c r="K180" s="359"/>
      <c r="L180" s="359"/>
      <c r="M180" s="359"/>
      <c r="N180" s="359"/>
      <c r="O180" s="359"/>
      <c r="P180" s="359"/>
      <c r="Q180" s="359"/>
      <c r="R180" s="359"/>
      <c r="S180" s="359"/>
      <c r="T180" s="359"/>
      <c r="U180" s="359"/>
      <c r="V180" s="359"/>
      <c r="W180" s="359"/>
      <c r="X180" s="359"/>
      <c r="Y180" s="359"/>
      <c r="Z180" s="359"/>
      <c r="AA180" s="356">
        <f t="shared" si="113"/>
        <v>0</v>
      </c>
      <c r="AB180" s="356">
        <f t="shared" si="105"/>
        <v>0</v>
      </c>
      <c r="AC180" s="356">
        <f t="shared" si="106"/>
        <v>0</v>
      </c>
      <c r="AD180" s="356">
        <f t="shared" si="107"/>
        <v>0</v>
      </c>
      <c r="AE180" s="356">
        <f t="shared" si="108"/>
        <v>0</v>
      </c>
      <c r="AF180" s="356">
        <f t="shared" si="109"/>
        <v>0</v>
      </c>
      <c r="AG180" s="356">
        <f t="shared" si="110"/>
        <v>0</v>
      </c>
      <c r="AH180" s="361">
        <f t="shared" si="114"/>
        <v>1.1000000000000001</v>
      </c>
      <c r="AI180" s="356">
        <f t="shared" si="115"/>
        <v>0</v>
      </c>
      <c r="AJ180" s="356">
        <f t="shared" si="116"/>
        <v>0</v>
      </c>
      <c r="AK180" s="360">
        <f t="shared" si="117"/>
        <v>0</v>
      </c>
      <c r="AL180" s="356" t="str">
        <f t="shared" si="118"/>
        <v>-</v>
      </c>
      <c r="AM180" s="356" t="str">
        <f t="shared" si="119"/>
        <v>-</v>
      </c>
      <c r="AN180" s="356" t="str">
        <f t="shared" si="120"/>
        <v>-</v>
      </c>
      <c r="AO180" s="356" t="e">
        <f t="shared" si="121"/>
        <v>#VALUE!</v>
      </c>
      <c r="AP180" s="358" t="str">
        <f t="shared" si="122"/>
        <v>-</v>
      </c>
      <c r="AQ180" s="357" t="str">
        <f t="shared" si="111"/>
        <v>-</v>
      </c>
      <c r="AR180" s="357" t="str">
        <f t="shared" si="112"/>
        <v>-</v>
      </c>
      <c r="AS180" s="356" t="str">
        <f t="shared" si="123"/>
        <v>-</v>
      </c>
      <c r="AT180" s="355" t="str">
        <f t="shared" si="124"/>
        <v>-</v>
      </c>
      <c r="AU180" s="356" t="str">
        <f t="shared" si="125"/>
        <v>-</v>
      </c>
      <c r="AV180" s="356" t="e">
        <f t="shared" si="126"/>
        <v>#DIV/0!</v>
      </c>
      <c r="AW180" s="355" t="str">
        <f t="shared" si="127"/>
        <v>-</v>
      </c>
      <c r="AX180" s="359"/>
      <c r="AY180" s="356" t="str">
        <f t="shared" si="128"/>
        <v>-</v>
      </c>
      <c r="AZ180" s="356" t="str">
        <f t="shared" si="129"/>
        <v>-</v>
      </c>
      <c r="BA180" s="356">
        <f t="shared" si="130"/>
        <v>0</v>
      </c>
      <c r="BB180" s="356" t="e">
        <f t="shared" si="131"/>
        <v>#VALUE!</v>
      </c>
      <c r="BC180" s="358" t="str">
        <f t="shared" si="132"/>
        <v>-</v>
      </c>
      <c r="BD180" s="356" t="e">
        <f t="shared" si="133"/>
        <v>#VALUE!</v>
      </c>
      <c r="BE180" s="357" t="str">
        <f t="shared" si="134"/>
        <v>-</v>
      </c>
      <c r="BF180" s="357" t="str">
        <f t="shared" si="135"/>
        <v>-</v>
      </c>
      <c r="BG180" s="356">
        <f t="shared" si="136"/>
        <v>0</v>
      </c>
    </row>
    <row r="181" spans="1:59" x14ac:dyDescent="0.25">
      <c r="A181" s="355">
        <f t="shared" si="137"/>
        <v>154</v>
      </c>
      <c r="B181" s="363"/>
      <c r="C181" s="363"/>
      <c r="D181" s="363"/>
      <c r="E181" s="363"/>
      <c r="F181" s="363"/>
      <c r="G181" s="363"/>
      <c r="H181" s="359"/>
      <c r="I181" s="359"/>
      <c r="J181" s="362"/>
      <c r="K181" s="359"/>
      <c r="L181" s="359"/>
      <c r="M181" s="359"/>
      <c r="N181" s="359"/>
      <c r="O181" s="359"/>
      <c r="P181" s="359"/>
      <c r="Q181" s="359"/>
      <c r="R181" s="359"/>
      <c r="S181" s="359"/>
      <c r="T181" s="359"/>
      <c r="U181" s="359"/>
      <c r="V181" s="359"/>
      <c r="W181" s="359"/>
      <c r="X181" s="359"/>
      <c r="Y181" s="359"/>
      <c r="Z181" s="359"/>
      <c r="AA181" s="356">
        <f t="shared" si="113"/>
        <v>0</v>
      </c>
      <c r="AB181" s="356">
        <f t="shared" si="105"/>
        <v>0</v>
      </c>
      <c r="AC181" s="356">
        <f t="shared" si="106"/>
        <v>0</v>
      </c>
      <c r="AD181" s="356">
        <f t="shared" si="107"/>
        <v>0</v>
      </c>
      <c r="AE181" s="356">
        <f t="shared" si="108"/>
        <v>0</v>
      </c>
      <c r="AF181" s="356">
        <f t="shared" si="109"/>
        <v>0</v>
      </c>
      <c r="AG181" s="356">
        <f t="shared" si="110"/>
        <v>0</v>
      </c>
      <c r="AH181" s="361">
        <f t="shared" si="114"/>
        <v>1.1000000000000001</v>
      </c>
      <c r="AI181" s="356">
        <f t="shared" si="115"/>
        <v>0</v>
      </c>
      <c r="AJ181" s="356">
        <f t="shared" si="116"/>
        <v>0</v>
      </c>
      <c r="AK181" s="360">
        <f t="shared" si="117"/>
        <v>0</v>
      </c>
      <c r="AL181" s="356" t="str">
        <f t="shared" si="118"/>
        <v>-</v>
      </c>
      <c r="AM181" s="356" t="str">
        <f t="shared" si="119"/>
        <v>-</v>
      </c>
      <c r="AN181" s="356" t="str">
        <f t="shared" si="120"/>
        <v>-</v>
      </c>
      <c r="AO181" s="356" t="e">
        <f t="shared" si="121"/>
        <v>#VALUE!</v>
      </c>
      <c r="AP181" s="358" t="str">
        <f t="shared" si="122"/>
        <v>-</v>
      </c>
      <c r="AQ181" s="357" t="str">
        <f t="shared" si="111"/>
        <v>-</v>
      </c>
      <c r="AR181" s="357" t="str">
        <f t="shared" si="112"/>
        <v>-</v>
      </c>
      <c r="AS181" s="356" t="str">
        <f t="shared" si="123"/>
        <v>-</v>
      </c>
      <c r="AT181" s="355" t="str">
        <f t="shared" si="124"/>
        <v>-</v>
      </c>
      <c r="AU181" s="356" t="str">
        <f t="shared" si="125"/>
        <v>-</v>
      </c>
      <c r="AV181" s="356" t="e">
        <f t="shared" si="126"/>
        <v>#DIV/0!</v>
      </c>
      <c r="AW181" s="355" t="str">
        <f t="shared" si="127"/>
        <v>-</v>
      </c>
      <c r="AX181" s="359"/>
      <c r="AY181" s="356" t="str">
        <f t="shared" si="128"/>
        <v>-</v>
      </c>
      <c r="AZ181" s="356" t="str">
        <f t="shared" si="129"/>
        <v>-</v>
      </c>
      <c r="BA181" s="356">
        <f t="shared" si="130"/>
        <v>0</v>
      </c>
      <c r="BB181" s="356" t="e">
        <f t="shared" si="131"/>
        <v>#VALUE!</v>
      </c>
      <c r="BC181" s="358" t="str">
        <f t="shared" si="132"/>
        <v>-</v>
      </c>
      <c r="BD181" s="356" t="e">
        <f t="shared" si="133"/>
        <v>#VALUE!</v>
      </c>
      <c r="BE181" s="357" t="str">
        <f t="shared" si="134"/>
        <v>-</v>
      </c>
      <c r="BF181" s="357" t="str">
        <f t="shared" si="135"/>
        <v>-</v>
      </c>
      <c r="BG181" s="356">
        <f t="shared" si="136"/>
        <v>0</v>
      </c>
    </row>
    <row r="182" spans="1:59" x14ac:dyDescent="0.25">
      <c r="A182" s="355">
        <f t="shared" si="137"/>
        <v>155</v>
      </c>
      <c r="B182" s="363"/>
      <c r="C182" s="363"/>
      <c r="D182" s="363"/>
      <c r="E182" s="363"/>
      <c r="F182" s="363"/>
      <c r="G182" s="363"/>
      <c r="H182" s="359"/>
      <c r="I182" s="359"/>
      <c r="J182" s="362"/>
      <c r="K182" s="359"/>
      <c r="L182" s="359"/>
      <c r="M182" s="359"/>
      <c r="N182" s="359"/>
      <c r="O182" s="359"/>
      <c r="P182" s="359"/>
      <c r="Q182" s="359"/>
      <c r="R182" s="359"/>
      <c r="S182" s="359"/>
      <c r="T182" s="359"/>
      <c r="U182" s="359"/>
      <c r="V182" s="359"/>
      <c r="W182" s="359"/>
      <c r="X182" s="359"/>
      <c r="Y182" s="359"/>
      <c r="Z182" s="359"/>
      <c r="AA182" s="356">
        <f t="shared" si="113"/>
        <v>0</v>
      </c>
      <c r="AB182" s="356">
        <f t="shared" si="105"/>
        <v>0</v>
      </c>
      <c r="AC182" s="356">
        <f t="shared" si="106"/>
        <v>0</v>
      </c>
      <c r="AD182" s="356">
        <f t="shared" si="107"/>
        <v>0</v>
      </c>
      <c r="AE182" s="356">
        <f t="shared" si="108"/>
        <v>0</v>
      </c>
      <c r="AF182" s="356">
        <f t="shared" si="109"/>
        <v>0</v>
      </c>
      <c r="AG182" s="356">
        <f t="shared" si="110"/>
        <v>0</v>
      </c>
      <c r="AH182" s="361">
        <f t="shared" si="114"/>
        <v>1.1000000000000001</v>
      </c>
      <c r="AI182" s="356">
        <f t="shared" si="115"/>
        <v>0</v>
      </c>
      <c r="AJ182" s="356">
        <f t="shared" si="116"/>
        <v>0</v>
      </c>
      <c r="AK182" s="360">
        <f t="shared" si="117"/>
        <v>0</v>
      </c>
      <c r="AL182" s="356" t="str">
        <f t="shared" si="118"/>
        <v>-</v>
      </c>
      <c r="AM182" s="356" t="str">
        <f t="shared" si="119"/>
        <v>-</v>
      </c>
      <c r="AN182" s="356" t="str">
        <f t="shared" si="120"/>
        <v>-</v>
      </c>
      <c r="AO182" s="356" t="e">
        <f t="shared" si="121"/>
        <v>#VALUE!</v>
      </c>
      <c r="AP182" s="358" t="str">
        <f t="shared" si="122"/>
        <v>-</v>
      </c>
      <c r="AQ182" s="357" t="str">
        <f t="shared" si="111"/>
        <v>-</v>
      </c>
      <c r="AR182" s="357" t="str">
        <f t="shared" si="112"/>
        <v>-</v>
      </c>
      <c r="AS182" s="356" t="str">
        <f t="shared" si="123"/>
        <v>-</v>
      </c>
      <c r="AT182" s="355" t="str">
        <f t="shared" si="124"/>
        <v>-</v>
      </c>
      <c r="AU182" s="356" t="str">
        <f t="shared" si="125"/>
        <v>-</v>
      </c>
      <c r="AV182" s="356" t="e">
        <f t="shared" si="126"/>
        <v>#DIV/0!</v>
      </c>
      <c r="AW182" s="355" t="str">
        <f t="shared" si="127"/>
        <v>-</v>
      </c>
      <c r="AX182" s="359"/>
      <c r="AY182" s="356" t="str">
        <f t="shared" si="128"/>
        <v>-</v>
      </c>
      <c r="AZ182" s="356" t="str">
        <f t="shared" si="129"/>
        <v>-</v>
      </c>
      <c r="BA182" s="356">
        <f t="shared" si="130"/>
        <v>0</v>
      </c>
      <c r="BB182" s="356" t="e">
        <f t="shared" si="131"/>
        <v>#VALUE!</v>
      </c>
      <c r="BC182" s="358" t="str">
        <f t="shared" si="132"/>
        <v>-</v>
      </c>
      <c r="BD182" s="356" t="e">
        <f t="shared" si="133"/>
        <v>#VALUE!</v>
      </c>
      <c r="BE182" s="357" t="str">
        <f t="shared" si="134"/>
        <v>-</v>
      </c>
      <c r="BF182" s="357" t="str">
        <f t="shared" si="135"/>
        <v>-</v>
      </c>
      <c r="BG182" s="356">
        <f t="shared" si="136"/>
        <v>0</v>
      </c>
    </row>
    <row r="183" spans="1:59" x14ac:dyDescent="0.25">
      <c r="A183" s="355">
        <f t="shared" si="137"/>
        <v>156</v>
      </c>
      <c r="B183" s="363"/>
      <c r="C183" s="363"/>
      <c r="D183" s="363"/>
      <c r="E183" s="363"/>
      <c r="F183" s="363"/>
      <c r="G183" s="363"/>
      <c r="H183" s="359"/>
      <c r="I183" s="359"/>
      <c r="J183" s="362"/>
      <c r="K183" s="359"/>
      <c r="L183" s="359"/>
      <c r="M183" s="359"/>
      <c r="N183" s="359"/>
      <c r="O183" s="359"/>
      <c r="P183" s="359"/>
      <c r="Q183" s="359"/>
      <c r="R183" s="359"/>
      <c r="S183" s="359"/>
      <c r="T183" s="359"/>
      <c r="U183" s="359"/>
      <c r="V183" s="359"/>
      <c r="W183" s="359"/>
      <c r="X183" s="359"/>
      <c r="Y183" s="359"/>
      <c r="Z183" s="359"/>
      <c r="AA183" s="356">
        <f t="shared" si="113"/>
        <v>0</v>
      </c>
      <c r="AB183" s="356">
        <f t="shared" si="105"/>
        <v>0</v>
      </c>
      <c r="AC183" s="356">
        <f t="shared" si="106"/>
        <v>0</v>
      </c>
      <c r="AD183" s="356">
        <f t="shared" si="107"/>
        <v>0</v>
      </c>
      <c r="AE183" s="356">
        <f t="shared" si="108"/>
        <v>0</v>
      </c>
      <c r="AF183" s="356">
        <f t="shared" si="109"/>
        <v>0</v>
      </c>
      <c r="AG183" s="356">
        <f t="shared" si="110"/>
        <v>0</v>
      </c>
      <c r="AH183" s="361">
        <f t="shared" si="114"/>
        <v>1.1000000000000001</v>
      </c>
      <c r="AI183" s="356">
        <f t="shared" si="115"/>
        <v>0</v>
      </c>
      <c r="AJ183" s="356">
        <f t="shared" si="116"/>
        <v>0</v>
      </c>
      <c r="AK183" s="360">
        <f t="shared" si="117"/>
        <v>0</v>
      </c>
      <c r="AL183" s="356" t="str">
        <f t="shared" si="118"/>
        <v>-</v>
      </c>
      <c r="AM183" s="356" t="str">
        <f t="shared" si="119"/>
        <v>-</v>
      </c>
      <c r="AN183" s="356" t="str">
        <f t="shared" si="120"/>
        <v>-</v>
      </c>
      <c r="AO183" s="356" t="e">
        <f t="shared" si="121"/>
        <v>#VALUE!</v>
      </c>
      <c r="AP183" s="358" t="str">
        <f t="shared" si="122"/>
        <v>-</v>
      </c>
      <c r="AQ183" s="357" t="str">
        <f t="shared" si="111"/>
        <v>-</v>
      </c>
      <c r="AR183" s="357" t="str">
        <f t="shared" si="112"/>
        <v>-</v>
      </c>
      <c r="AS183" s="356" t="str">
        <f t="shared" si="123"/>
        <v>-</v>
      </c>
      <c r="AT183" s="355" t="str">
        <f t="shared" si="124"/>
        <v>-</v>
      </c>
      <c r="AU183" s="356" t="str">
        <f t="shared" si="125"/>
        <v>-</v>
      </c>
      <c r="AV183" s="356" t="e">
        <f t="shared" si="126"/>
        <v>#DIV/0!</v>
      </c>
      <c r="AW183" s="355" t="str">
        <f t="shared" si="127"/>
        <v>-</v>
      </c>
      <c r="AX183" s="359"/>
      <c r="AY183" s="356" t="str">
        <f t="shared" si="128"/>
        <v>-</v>
      </c>
      <c r="AZ183" s="356" t="str">
        <f t="shared" si="129"/>
        <v>-</v>
      </c>
      <c r="BA183" s="356">
        <f t="shared" si="130"/>
        <v>0</v>
      </c>
      <c r="BB183" s="356" t="e">
        <f t="shared" si="131"/>
        <v>#VALUE!</v>
      </c>
      <c r="BC183" s="358" t="str">
        <f t="shared" si="132"/>
        <v>-</v>
      </c>
      <c r="BD183" s="356" t="e">
        <f t="shared" si="133"/>
        <v>#VALUE!</v>
      </c>
      <c r="BE183" s="357" t="str">
        <f t="shared" si="134"/>
        <v>-</v>
      </c>
      <c r="BF183" s="357" t="str">
        <f t="shared" si="135"/>
        <v>-</v>
      </c>
      <c r="BG183" s="356">
        <f t="shared" si="136"/>
        <v>0</v>
      </c>
    </row>
    <row r="184" spans="1:59" x14ac:dyDescent="0.25">
      <c r="A184" s="355">
        <f t="shared" si="137"/>
        <v>157</v>
      </c>
      <c r="B184" s="363"/>
      <c r="C184" s="363"/>
      <c r="D184" s="363"/>
      <c r="E184" s="363"/>
      <c r="F184" s="363"/>
      <c r="G184" s="363"/>
      <c r="H184" s="359"/>
      <c r="I184" s="359"/>
      <c r="J184" s="362"/>
      <c r="K184" s="359"/>
      <c r="L184" s="359"/>
      <c r="M184" s="359"/>
      <c r="N184" s="359"/>
      <c r="O184" s="359"/>
      <c r="P184" s="359"/>
      <c r="Q184" s="359"/>
      <c r="R184" s="359"/>
      <c r="S184" s="359"/>
      <c r="T184" s="359"/>
      <c r="U184" s="359"/>
      <c r="V184" s="359"/>
      <c r="W184" s="359"/>
      <c r="X184" s="359"/>
      <c r="Y184" s="359"/>
      <c r="Z184" s="359"/>
      <c r="AA184" s="356">
        <f t="shared" si="113"/>
        <v>0</v>
      </c>
      <c r="AB184" s="356">
        <f t="shared" si="105"/>
        <v>0</v>
      </c>
      <c r="AC184" s="356">
        <f t="shared" si="106"/>
        <v>0</v>
      </c>
      <c r="AD184" s="356">
        <f t="shared" si="107"/>
        <v>0</v>
      </c>
      <c r="AE184" s="356">
        <f t="shared" si="108"/>
        <v>0</v>
      </c>
      <c r="AF184" s="356">
        <f t="shared" si="109"/>
        <v>0</v>
      </c>
      <c r="AG184" s="356">
        <f t="shared" si="110"/>
        <v>0</v>
      </c>
      <c r="AH184" s="361">
        <f t="shared" si="114"/>
        <v>1.1000000000000001</v>
      </c>
      <c r="AI184" s="356">
        <f t="shared" si="115"/>
        <v>0</v>
      </c>
      <c r="AJ184" s="356">
        <f t="shared" si="116"/>
        <v>0</v>
      </c>
      <c r="AK184" s="360">
        <f t="shared" si="117"/>
        <v>0</v>
      </c>
      <c r="AL184" s="356" t="str">
        <f t="shared" si="118"/>
        <v>-</v>
      </c>
      <c r="AM184" s="356" t="str">
        <f t="shared" si="119"/>
        <v>-</v>
      </c>
      <c r="AN184" s="356" t="str">
        <f t="shared" si="120"/>
        <v>-</v>
      </c>
      <c r="AO184" s="356" t="e">
        <f t="shared" si="121"/>
        <v>#VALUE!</v>
      </c>
      <c r="AP184" s="358" t="str">
        <f t="shared" si="122"/>
        <v>-</v>
      </c>
      <c r="AQ184" s="357" t="str">
        <f t="shared" si="111"/>
        <v>-</v>
      </c>
      <c r="AR184" s="357" t="str">
        <f t="shared" si="112"/>
        <v>-</v>
      </c>
      <c r="AS184" s="356" t="str">
        <f t="shared" si="123"/>
        <v>-</v>
      </c>
      <c r="AT184" s="355" t="str">
        <f t="shared" si="124"/>
        <v>-</v>
      </c>
      <c r="AU184" s="356" t="str">
        <f t="shared" si="125"/>
        <v>-</v>
      </c>
      <c r="AV184" s="356" t="e">
        <f t="shared" si="126"/>
        <v>#DIV/0!</v>
      </c>
      <c r="AW184" s="355" t="str">
        <f t="shared" si="127"/>
        <v>-</v>
      </c>
      <c r="AX184" s="359"/>
      <c r="AY184" s="356" t="str">
        <f t="shared" si="128"/>
        <v>-</v>
      </c>
      <c r="AZ184" s="356" t="str">
        <f t="shared" si="129"/>
        <v>-</v>
      </c>
      <c r="BA184" s="356">
        <f t="shared" si="130"/>
        <v>0</v>
      </c>
      <c r="BB184" s="356" t="e">
        <f t="shared" si="131"/>
        <v>#VALUE!</v>
      </c>
      <c r="BC184" s="358" t="str">
        <f t="shared" si="132"/>
        <v>-</v>
      </c>
      <c r="BD184" s="356" t="e">
        <f t="shared" si="133"/>
        <v>#VALUE!</v>
      </c>
      <c r="BE184" s="357" t="str">
        <f t="shared" si="134"/>
        <v>-</v>
      </c>
      <c r="BF184" s="357" t="str">
        <f t="shared" si="135"/>
        <v>-</v>
      </c>
      <c r="BG184" s="356">
        <f t="shared" si="136"/>
        <v>0</v>
      </c>
    </row>
    <row r="185" spans="1:59" x14ac:dyDescent="0.25">
      <c r="A185" s="355">
        <f t="shared" si="137"/>
        <v>158</v>
      </c>
      <c r="B185" s="363"/>
      <c r="C185" s="363"/>
      <c r="D185" s="363"/>
      <c r="E185" s="363"/>
      <c r="F185" s="363"/>
      <c r="G185" s="363"/>
      <c r="H185" s="359"/>
      <c r="I185" s="359"/>
      <c r="J185" s="362"/>
      <c r="K185" s="359"/>
      <c r="L185" s="359"/>
      <c r="M185" s="359"/>
      <c r="N185" s="359"/>
      <c r="O185" s="359"/>
      <c r="P185" s="359"/>
      <c r="Q185" s="359"/>
      <c r="R185" s="359"/>
      <c r="S185" s="359"/>
      <c r="T185" s="359"/>
      <c r="U185" s="359"/>
      <c r="V185" s="359"/>
      <c r="W185" s="359"/>
      <c r="X185" s="359"/>
      <c r="Y185" s="359"/>
      <c r="Z185" s="359"/>
      <c r="AA185" s="356">
        <f t="shared" si="113"/>
        <v>0</v>
      </c>
      <c r="AB185" s="356">
        <f t="shared" si="105"/>
        <v>0</v>
      </c>
      <c r="AC185" s="356">
        <f t="shared" si="106"/>
        <v>0</v>
      </c>
      <c r="AD185" s="356">
        <f t="shared" si="107"/>
        <v>0</v>
      </c>
      <c r="AE185" s="356">
        <f t="shared" si="108"/>
        <v>0</v>
      </c>
      <c r="AF185" s="356">
        <f t="shared" si="109"/>
        <v>0</v>
      </c>
      <c r="AG185" s="356">
        <f t="shared" si="110"/>
        <v>0</v>
      </c>
      <c r="AH185" s="361">
        <f t="shared" si="114"/>
        <v>1.1000000000000001</v>
      </c>
      <c r="AI185" s="356">
        <f t="shared" si="115"/>
        <v>0</v>
      </c>
      <c r="AJ185" s="356">
        <f t="shared" si="116"/>
        <v>0</v>
      </c>
      <c r="AK185" s="360">
        <f t="shared" si="117"/>
        <v>0</v>
      </c>
      <c r="AL185" s="356" t="str">
        <f t="shared" si="118"/>
        <v>-</v>
      </c>
      <c r="AM185" s="356" t="str">
        <f t="shared" si="119"/>
        <v>-</v>
      </c>
      <c r="AN185" s="356" t="str">
        <f t="shared" si="120"/>
        <v>-</v>
      </c>
      <c r="AO185" s="356" t="e">
        <f t="shared" si="121"/>
        <v>#VALUE!</v>
      </c>
      <c r="AP185" s="358" t="str">
        <f t="shared" si="122"/>
        <v>-</v>
      </c>
      <c r="AQ185" s="357" t="str">
        <f t="shared" si="111"/>
        <v>-</v>
      </c>
      <c r="AR185" s="357" t="str">
        <f t="shared" si="112"/>
        <v>-</v>
      </c>
      <c r="AS185" s="356" t="str">
        <f t="shared" si="123"/>
        <v>-</v>
      </c>
      <c r="AT185" s="355" t="str">
        <f t="shared" si="124"/>
        <v>-</v>
      </c>
      <c r="AU185" s="356" t="str">
        <f t="shared" si="125"/>
        <v>-</v>
      </c>
      <c r="AV185" s="356" t="e">
        <f t="shared" si="126"/>
        <v>#DIV/0!</v>
      </c>
      <c r="AW185" s="355" t="str">
        <f t="shared" si="127"/>
        <v>-</v>
      </c>
      <c r="AX185" s="359"/>
      <c r="AY185" s="356" t="str">
        <f t="shared" si="128"/>
        <v>-</v>
      </c>
      <c r="AZ185" s="356" t="str">
        <f t="shared" si="129"/>
        <v>-</v>
      </c>
      <c r="BA185" s="356">
        <f t="shared" si="130"/>
        <v>0</v>
      </c>
      <c r="BB185" s="356" t="e">
        <f t="shared" si="131"/>
        <v>#VALUE!</v>
      </c>
      <c r="BC185" s="358" t="str">
        <f t="shared" si="132"/>
        <v>-</v>
      </c>
      <c r="BD185" s="356" t="e">
        <f t="shared" si="133"/>
        <v>#VALUE!</v>
      </c>
      <c r="BE185" s="357" t="str">
        <f t="shared" si="134"/>
        <v>-</v>
      </c>
      <c r="BF185" s="357" t="str">
        <f t="shared" si="135"/>
        <v>-</v>
      </c>
      <c r="BG185" s="356">
        <f t="shared" si="136"/>
        <v>0</v>
      </c>
    </row>
    <row r="186" spans="1:59" x14ac:dyDescent="0.25">
      <c r="A186" s="355">
        <f t="shared" si="137"/>
        <v>159</v>
      </c>
      <c r="B186" s="363"/>
      <c r="C186" s="363"/>
      <c r="D186" s="363"/>
      <c r="E186" s="363"/>
      <c r="F186" s="363"/>
      <c r="G186" s="363"/>
      <c r="H186" s="359"/>
      <c r="I186" s="359"/>
      <c r="J186" s="362"/>
      <c r="K186" s="359"/>
      <c r="L186" s="359"/>
      <c r="M186" s="359"/>
      <c r="N186" s="359"/>
      <c r="O186" s="359"/>
      <c r="P186" s="359"/>
      <c r="Q186" s="359"/>
      <c r="R186" s="359"/>
      <c r="S186" s="359"/>
      <c r="T186" s="359"/>
      <c r="U186" s="359"/>
      <c r="V186" s="359"/>
      <c r="W186" s="359"/>
      <c r="X186" s="359"/>
      <c r="Y186" s="359"/>
      <c r="Z186" s="359"/>
      <c r="AA186" s="356">
        <f t="shared" si="113"/>
        <v>0</v>
      </c>
      <c r="AB186" s="356">
        <f t="shared" si="105"/>
        <v>0</v>
      </c>
      <c r="AC186" s="356">
        <f t="shared" si="106"/>
        <v>0</v>
      </c>
      <c r="AD186" s="356">
        <f t="shared" si="107"/>
        <v>0</v>
      </c>
      <c r="AE186" s="356">
        <f t="shared" si="108"/>
        <v>0</v>
      </c>
      <c r="AF186" s="356">
        <f t="shared" si="109"/>
        <v>0</v>
      </c>
      <c r="AG186" s="356">
        <f t="shared" si="110"/>
        <v>0</v>
      </c>
      <c r="AH186" s="361">
        <f t="shared" si="114"/>
        <v>1.1000000000000001</v>
      </c>
      <c r="AI186" s="356">
        <f t="shared" si="115"/>
        <v>0</v>
      </c>
      <c r="AJ186" s="356">
        <f t="shared" si="116"/>
        <v>0</v>
      </c>
      <c r="AK186" s="360">
        <f t="shared" si="117"/>
        <v>0</v>
      </c>
      <c r="AL186" s="356" t="str">
        <f t="shared" si="118"/>
        <v>-</v>
      </c>
      <c r="AM186" s="356" t="str">
        <f t="shared" si="119"/>
        <v>-</v>
      </c>
      <c r="AN186" s="356" t="str">
        <f t="shared" si="120"/>
        <v>-</v>
      </c>
      <c r="AO186" s="356" t="e">
        <f t="shared" si="121"/>
        <v>#VALUE!</v>
      </c>
      <c r="AP186" s="358" t="str">
        <f t="shared" si="122"/>
        <v>-</v>
      </c>
      <c r="AQ186" s="357" t="str">
        <f t="shared" si="111"/>
        <v>-</v>
      </c>
      <c r="AR186" s="357" t="str">
        <f t="shared" si="112"/>
        <v>-</v>
      </c>
      <c r="AS186" s="356" t="str">
        <f t="shared" si="123"/>
        <v>-</v>
      </c>
      <c r="AT186" s="355" t="str">
        <f t="shared" si="124"/>
        <v>-</v>
      </c>
      <c r="AU186" s="356" t="str">
        <f t="shared" si="125"/>
        <v>-</v>
      </c>
      <c r="AV186" s="356" t="e">
        <f t="shared" si="126"/>
        <v>#DIV/0!</v>
      </c>
      <c r="AW186" s="355" t="str">
        <f t="shared" si="127"/>
        <v>-</v>
      </c>
      <c r="AX186" s="359"/>
      <c r="AY186" s="356" t="str">
        <f t="shared" si="128"/>
        <v>-</v>
      </c>
      <c r="AZ186" s="356" t="str">
        <f t="shared" si="129"/>
        <v>-</v>
      </c>
      <c r="BA186" s="356">
        <f t="shared" si="130"/>
        <v>0</v>
      </c>
      <c r="BB186" s="356" t="e">
        <f t="shared" si="131"/>
        <v>#VALUE!</v>
      </c>
      <c r="BC186" s="358" t="str">
        <f t="shared" si="132"/>
        <v>-</v>
      </c>
      <c r="BD186" s="356" t="e">
        <f t="shared" si="133"/>
        <v>#VALUE!</v>
      </c>
      <c r="BE186" s="357" t="str">
        <f t="shared" si="134"/>
        <v>-</v>
      </c>
      <c r="BF186" s="357" t="str">
        <f t="shared" si="135"/>
        <v>-</v>
      </c>
      <c r="BG186" s="356">
        <f t="shared" si="136"/>
        <v>0</v>
      </c>
    </row>
    <row r="187" spans="1:59" x14ac:dyDescent="0.25">
      <c r="A187" s="355">
        <f t="shared" si="137"/>
        <v>160</v>
      </c>
      <c r="B187" s="363"/>
      <c r="C187" s="363"/>
      <c r="D187" s="363"/>
      <c r="E187" s="363"/>
      <c r="F187" s="363"/>
      <c r="G187" s="363"/>
      <c r="H187" s="359"/>
      <c r="I187" s="359"/>
      <c r="J187" s="362"/>
      <c r="K187" s="359"/>
      <c r="L187" s="359"/>
      <c r="M187" s="359"/>
      <c r="N187" s="359"/>
      <c r="O187" s="359"/>
      <c r="P187" s="359"/>
      <c r="Q187" s="359"/>
      <c r="R187" s="359"/>
      <c r="S187" s="359"/>
      <c r="T187" s="359"/>
      <c r="U187" s="359"/>
      <c r="V187" s="359"/>
      <c r="W187" s="359"/>
      <c r="X187" s="359"/>
      <c r="Y187" s="359"/>
      <c r="Z187" s="359"/>
      <c r="AA187" s="356">
        <f t="shared" si="113"/>
        <v>0</v>
      </c>
      <c r="AB187" s="356">
        <f t="shared" si="105"/>
        <v>0</v>
      </c>
      <c r="AC187" s="356">
        <f t="shared" si="106"/>
        <v>0</v>
      </c>
      <c r="AD187" s="356">
        <f t="shared" si="107"/>
        <v>0</v>
      </c>
      <c r="AE187" s="356">
        <f t="shared" si="108"/>
        <v>0</v>
      </c>
      <c r="AF187" s="356">
        <f t="shared" si="109"/>
        <v>0</v>
      </c>
      <c r="AG187" s="356">
        <f t="shared" si="110"/>
        <v>0</v>
      </c>
      <c r="AH187" s="361">
        <f t="shared" si="114"/>
        <v>1.1000000000000001</v>
      </c>
      <c r="AI187" s="356">
        <f t="shared" si="115"/>
        <v>0</v>
      </c>
      <c r="AJ187" s="356">
        <f t="shared" si="116"/>
        <v>0</v>
      </c>
      <c r="AK187" s="360">
        <f t="shared" si="117"/>
        <v>0</v>
      </c>
      <c r="AL187" s="356" t="str">
        <f t="shared" si="118"/>
        <v>-</v>
      </c>
      <c r="AM187" s="356" t="str">
        <f t="shared" si="119"/>
        <v>-</v>
      </c>
      <c r="AN187" s="356" t="str">
        <f t="shared" si="120"/>
        <v>-</v>
      </c>
      <c r="AO187" s="356" t="e">
        <f t="shared" si="121"/>
        <v>#VALUE!</v>
      </c>
      <c r="AP187" s="358" t="str">
        <f t="shared" si="122"/>
        <v>-</v>
      </c>
      <c r="AQ187" s="357" t="str">
        <f t="shared" si="111"/>
        <v>-</v>
      </c>
      <c r="AR187" s="357" t="str">
        <f t="shared" si="112"/>
        <v>-</v>
      </c>
      <c r="AS187" s="356" t="str">
        <f t="shared" si="123"/>
        <v>-</v>
      </c>
      <c r="AT187" s="355" t="str">
        <f t="shared" si="124"/>
        <v>-</v>
      </c>
      <c r="AU187" s="356" t="str">
        <f t="shared" si="125"/>
        <v>-</v>
      </c>
      <c r="AV187" s="356" t="e">
        <f t="shared" si="126"/>
        <v>#DIV/0!</v>
      </c>
      <c r="AW187" s="355" t="str">
        <f t="shared" si="127"/>
        <v>-</v>
      </c>
      <c r="AX187" s="359"/>
      <c r="AY187" s="356" t="str">
        <f t="shared" si="128"/>
        <v>-</v>
      </c>
      <c r="AZ187" s="356" t="str">
        <f t="shared" si="129"/>
        <v>-</v>
      </c>
      <c r="BA187" s="356">
        <f t="shared" si="130"/>
        <v>0</v>
      </c>
      <c r="BB187" s="356" t="e">
        <f t="shared" si="131"/>
        <v>#VALUE!</v>
      </c>
      <c r="BC187" s="358" t="str">
        <f t="shared" si="132"/>
        <v>-</v>
      </c>
      <c r="BD187" s="356" t="e">
        <f t="shared" si="133"/>
        <v>#VALUE!</v>
      </c>
      <c r="BE187" s="357" t="str">
        <f t="shared" si="134"/>
        <v>-</v>
      </c>
      <c r="BF187" s="357" t="str">
        <f t="shared" si="135"/>
        <v>-</v>
      </c>
      <c r="BG187" s="356">
        <f t="shared" si="136"/>
        <v>0</v>
      </c>
    </row>
    <row r="188" spans="1:59" x14ac:dyDescent="0.25">
      <c r="A188" s="355">
        <f t="shared" si="137"/>
        <v>161</v>
      </c>
      <c r="B188" s="363"/>
      <c r="C188" s="363"/>
      <c r="D188" s="363"/>
      <c r="E188" s="363"/>
      <c r="F188" s="363"/>
      <c r="G188" s="363"/>
      <c r="H188" s="359"/>
      <c r="I188" s="359"/>
      <c r="J188" s="362"/>
      <c r="K188" s="359"/>
      <c r="L188" s="359"/>
      <c r="M188" s="359"/>
      <c r="N188" s="359"/>
      <c r="O188" s="359"/>
      <c r="P188" s="359"/>
      <c r="Q188" s="359"/>
      <c r="R188" s="359"/>
      <c r="S188" s="359"/>
      <c r="T188" s="359"/>
      <c r="U188" s="359"/>
      <c r="V188" s="359"/>
      <c r="W188" s="359"/>
      <c r="X188" s="359"/>
      <c r="Y188" s="359"/>
      <c r="Z188" s="359"/>
      <c r="AA188" s="356">
        <f t="shared" si="113"/>
        <v>0</v>
      </c>
      <c r="AB188" s="356">
        <f t="shared" si="105"/>
        <v>0</v>
      </c>
      <c r="AC188" s="356">
        <f t="shared" si="106"/>
        <v>0</v>
      </c>
      <c r="AD188" s="356">
        <f t="shared" si="107"/>
        <v>0</v>
      </c>
      <c r="AE188" s="356">
        <f t="shared" si="108"/>
        <v>0</v>
      </c>
      <c r="AF188" s="356">
        <f t="shared" si="109"/>
        <v>0</v>
      </c>
      <c r="AG188" s="356">
        <f t="shared" si="110"/>
        <v>0</v>
      </c>
      <c r="AH188" s="361">
        <f t="shared" si="114"/>
        <v>1.1000000000000001</v>
      </c>
      <c r="AI188" s="356">
        <f t="shared" si="115"/>
        <v>0</v>
      </c>
      <c r="AJ188" s="356">
        <f t="shared" si="116"/>
        <v>0</v>
      </c>
      <c r="AK188" s="360">
        <f t="shared" si="117"/>
        <v>0</v>
      </c>
      <c r="AL188" s="356" t="str">
        <f t="shared" si="118"/>
        <v>-</v>
      </c>
      <c r="AM188" s="356" t="str">
        <f t="shared" si="119"/>
        <v>-</v>
      </c>
      <c r="AN188" s="356" t="str">
        <f t="shared" si="120"/>
        <v>-</v>
      </c>
      <c r="AO188" s="356" t="e">
        <f t="shared" si="121"/>
        <v>#VALUE!</v>
      </c>
      <c r="AP188" s="358" t="str">
        <f t="shared" si="122"/>
        <v>-</v>
      </c>
      <c r="AQ188" s="357" t="str">
        <f t="shared" si="111"/>
        <v>-</v>
      </c>
      <c r="AR188" s="357" t="str">
        <f t="shared" si="112"/>
        <v>-</v>
      </c>
      <c r="AS188" s="356" t="str">
        <f t="shared" si="123"/>
        <v>-</v>
      </c>
      <c r="AT188" s="355" t="str">
        <f t="shared" si="124"/>
        <v>-</v>
      </c>
      <c r="AU188" s="356" t="str">
        <f t="shared" si="125"/>
        <v>-</v>
      </c>
      <c r="AV188" s="356" t="e">
        <f t="shared" si="126"/>
        <v>#DIV/0!</v>
      </c>
      <c r="AW188" s="355" t="str">
        <f t="shared" si="127"/>
        <v>-</v>
      </c>
      <c r="AX188" s="359"/>
      <c r="AY188" s="356" t="str">
        <f t="shared" si="128"/>
        <v>-</v>
      </c>
      <c r="AZ188" s="356" t="str">
        <f t="shared" si="129"/>
        <v>-</v>
      </c>
      <c r="BA188" s="356">
        <f t="shared" si="130"/>
        <v>0</v>
      </c>
      <c r="BB188" s="356" t="e">
        <f t="shared" si="131"/>
        <v>#VALUE!</v>
      </c>
      <c r="BC188" s="358" t="str">
        <f t="shared" si="132"/>
        <v>-</v>
      </c>
      <c r="BD188" s="356" t="e">
        <f t="shared" si="133"/>
        <v>#VALUE!</v>
      </c>
      <c r="BE188" s="357" t="str">
        <f t="shared" si="134"/>
        <v>-</v>
      </c>
      <c r="BF188" s="357" t="str">
        <f t="shared" si="135"/>
        <v>-</v>
      </c>
      <c r="BG188" s="356">
        <f t="shared" si="136"/>
        <v>0</v>
      </c>
    </row>
    <row r="189" spans="1:59" x14ac:dyDescent="0.25">
      <c r="A189" s="355">
        <f t="shared" si="137"/>
        <v>162</v>
      </c>
      <c r="B189" s="363"/>
      <c r="C189" s="363"/>
      <c r="D189" s="363"/>
      <c r="E189" s="363"/>
      <c r="F189" s="363"/>
      <c r="G189" s="363"/>
      <c r="H189" s="359"/>
      <c r="I189" s="359"/>
      <c r="J189" s="362"/>
      <c r="K189" s="359"/>
      <c r="L189" s="359"/>
      <c r="M189" s="359"/>
      <c r="N189" s="359"/>
      <c r="O189" s="359"/>
      <c r="P189" s="359"/>
      <c r="Q189" s="359"/>
      <c r="R189" s="359"/>
      <c r="S189" s="359"/>
      <c r="T189" s="359"/>
      <c r="U189" s="359"/>
      <c r="V189" s="359"/>
      <c r="W189" s="359"/>
      <c r="X189" s="359"/>
      <c r="Y189" s="359"/>
      <c r="Z189" s="359"/>
      <c r="AA189" s="356">
        <f t="shared" si="113"/>
        <v>0</v>
      </c>
      <c r="AB189" s="356">
        <f t="shared" si="105"/>
        <v>0</v>
      </c>
      <c r="AC189" s="356">
        <f t="shared" si="106"/>
        <v>0</v>
      </c>
      <c r="AD189" s="356">
        <f t="shared" si="107"/>
        <v>0</v>
      </c>
      <c r="AE189" s="356">
        <f t="shared" si="108"/>
        <v>0</v>
      </c>
      <c r="AF189" s="356">
        <f t="shared" si="109"/>
        <v>0</v>
      </c>
      <c r="AG189" s="356">
        <f t="shared" si="110"/>
        <v>0</v>
      </c>
      <c r="AH189" s="361">
        <f t="shared" si="114"/>
        <v>1.1000000000000001</v>
      </c>
      <c r="AI189" s="356">
        <f t="shared" si="115"/>
        <v>0</v>
      </c>
      <c r="AJ189" s="356">
        <f t="shared" si="116"/>
        <v>0</v>
      </c>
      <c r="AK189" s="360">
        <f t="shared" si="117"/>
        <v>0</v>
      </c>
      <c r="AL189" s="356" t="str">
        <f t="shared" si="118"/>
        <v>-</v>
      </c>
      <c r="AM189" s="356" t="str">
        <f t="shared" si="119"/>
        <v>-</v>
      </c>
      <c r="AN189" s="356" t="str">
        <f t="shared" si="120"/>
        <v>-</v>
      </c>
      <c r="AO189" s="356" t="e">
        <f t="shared" si="121"/>
        <v>#VALUE!</v>
      </c>
      <c r="AP189" s="358" t="str">
        <f t="shared" si="122"/>
        <v>-</v>
      </c>
      <c r="AQ189" s="357" t="str">
        <f t="shared" si="111"/>
        <v>-</v>
      </c>
      <c r="AR189" s="357" t="str">
        <f t="shared" si="112"/>
        <v>-</v>
      </c>
      <c r="AS189" s="356" t="str">
        <f t="shared" si="123"/>
        <v>-</v>
      </c>
      <c r="AT189" s="355" t="str">
        <f t="shared" si="124"/>
        <v>-</v>
      </c>
      <c r="AU189" s="356" t="str">
        <f t="shared" si="125"/>
        <v>-</v>
      </c>
      <c r="AV189" s="356" t="e">
        <f t="shared" si="126"/>
        <v>#DIV/0!</v>
      </c>
      <c r="AW189" s="355" t="str">
        <f t="shared" si="127"/>
        <v>-</v>
      </c>
      <c r="AX189" s="359"/>
      <c r="AY189" s="356" t="str">
        <f t="shared" si="128"/>
        <v>-</v>
      </c>
      <c r="AZ189" s="356" t="str">
        <f t="shared" si="129"/>
        <v>-</v>
      </c>
      <c r="BA189" s="356">
        <f t="shared" si="130"/>
        <v>0</v>
      </c>
      <c r="BB189" s="356" t="e">
        <f t="shared" si="131"/>
        <v>#VALUE!</v>
      </c>
      <c r="BC189" s="358" t="str">
        <f t="shared" si="132"/>
        <v>-</v>
      </c>
      <c r="BD189" s="356" t="e">
        <f t="shared" si="133"/>
        <v>#VALUE!</v>
      </c>
      <c r="BE189" s="357" t="str">
        <f t="shared" si="134"/>
        <v>-</v>
      </c>
      <c r="BF189" s="357" t="str">
        <f t="shared" si="135"/>
        <v>-</v>
      </c>
      <c r="BG189" s="356">
        <f t="shared" si="136"/>
        <v>0</v>
      </c>
    </row>
    <row r="190" spans="1:59" x14ac:dyDescent="0.25">
      <c r="A190" s="355">
        <f t="shared" si="137"/>
        <v>163</v>
      </c>
      <c r="B190" s="363"/>
      <c r="C190" s="363"/>
      <c r="D190" s="363"/>
      <c r="E190" s="363"/>
      <c r="F190" s="363"/>
      <c r="G190" s="363"/>
      <c r="H190" s="359"/>
      <c r="I190" s="359"/>
      <c r="J190" s="362"/>
      <c r="K190" s="359"/>
      <c r="L190" s="359"/>
      <c r="M190" s="359"/>
      <c r="N190" s="359"/>
      <c r="O190" s="359"/>
      <c r="P190" s="359"/>
      <c r="Q190" s="359"/>
      <c r="R190" s="359"/>
      <c r="S190" s="359"/>
      <c r="T190" s="359"/>
      <c r="U190" s="359"/>
      <c r="V190" s="359"/>
      <c r="W190" s="359"/>
      <c r="X190" s="359"/>
      <c r="Y190" s="359"/>
      <c r="Z190" s="359"/>
      <c r="AA190" s="356">
        <f t="shared" si="113"/>
        <v>0</v>
      </c>
      <c r="AB190" s="356">
        <f t="shared" si="105"/>
        <v>0</v>
      </c>
      <c r="AC190" s="356">
        <f t="shared" si="106"/>
        <v>0</v>
      </c>
      <c r="AD190" s="356">
        <f t="shared" si="107"/>
        <v>0</v>
      </c>
      <c r="AE190" s="356">
        <f t="shared" si="108"/>
        <v>0</v>
      </c>
      <c r="AF190" s="356">
        <f t="shared" si="109"/>
        <v>0</v>
      </c>
      <c r="AG190" s="356">
        <f t="shared" si="110"/>
        <v>0</v>
      </c>
      <c r="AH190" s="361">
        <f t="shared" si="114"/>
        <v>1.1000000000000001</v>
      </c>
      <c r="AI190" s="356">
        <f t="shared" si="115"/>
        <v>0</v>
      </c>
      <c r="AJ190" s="356">
        <f t="shared" si="116"/>
        <v>0</v>
      </c>
      <c r="AK190" s="360">
        <f t="shared" si="117"/>
        <v>0</v>
      </c>
      <c r="AL190" s="356" t="str">
        <f t="shared" si="118"/>
        <v>-</v>
      </c>
      <c r="AM190" s="356" t="str">
        <f t="shared" si="119"/>
        <v>-</v>
      </c>
      <c r="AN190" s="356" t="str">
        <f t="shared" si="120"/>
        <v>-</v>
      </c>
      <c r="AO190" s="356" t="e">
        <f t="shared" si="121"/>
        <v>#VALUE!</v>
      </c>
      <c r="AP190" s="358" t="str">
        <f t="shared" si="122"/>
        <v>-</v>
      </c>
      <c r="AQ190" s="357" t="str">
        <f t="shared" si="111"/>
        <v>-</v>
      </c>
      <c r="AR190" s="357" t="str">
        <f t="shared" si="112"/>
        <v>-</v>
      </c>
      <c r="AS190" s="356" t="str">
        <f t="shared" si="123"/>
        <v>-</v>
      </c>
      <c r="AT190" s="355" t="str">
        <f t="shared" si="124"/>
        <v>-</v>
      </c>
      <c r="AU190" s="356" t="str">
        <f t="shared" si="125"/>
        <v>-</v>
      </c>
      <c r="AV190" s="356" t="e">
        <f t="shared" si="126"/>
        <v>#DIV/0!</v>
      </c>
      <c r="AW190" s="355" t="str">
        <f t="shared" si="127"/>
        <v>-</v>
      </c>
      <c r="AX190" s="359"/>
      <c r="AY190" s="356" t="str">
        <f t="shared" si="128"/>
        <v>-</v>
      </c>
      <c r="AZ190" s="356" t="str">
        <f t="shared" si="129"/>
        <v>-</v>
      </c>
      <c r="BA190" s="356">
        <f t="shared" si="130"/>
        <v>0</v>
      </c>
      <c r="BB190" s="356" t="e">
        <f t="shared" si="131"/>
        <v>#VALUE!</v>
      </c>
      <c r="BC190" s="358" t="str">
        <f t="shared" si="132"/>
        <v>-</v>
      </c>
      <c r="BD190" s="356" t="e">
        <f t="shared" si="133"/>
        <v>#VALUE!</v>
      </c>
      <c r="BE190" s="357" t="str">
        <f t="shared" si="134"/>
        <v>-</v>
      </c>
      <c r="BF190" s="357" t="str">
        <f t="shared" si="135"/>
        <v>-</v>
      </c>
      <c r="BG190" s="356">
        <f t="shared" si="136"/>
        <v>0</v>
      </c>
    </row>
    <row r="191" spans="1:59" x14ac:dyDescent="0.25">
      <c r="A191" s="355">
        <f t="shared" si="137"/>
        <v>164</v>
      </c>
      <c r="B191" s="363"/>
      <c r="C191" s="363"/>
      <c r="D191" s="363"/>
      <c r="E191" s="363"/>
      <c r="F191" s="363"/>
      <c r="G191" s="363"/>
      <c r="H191" s="359"/>
      <c r="I191" s="359"/>
      <c r="J191" s="362"/>
      <c r="K191" s="359"/>
      <c r="L191" s="359"/>
      <c r="M191" s="359"/>
      <c r="N191" s="359"/>
      <c r="O191" s="359"/>
      <c r="P191" s="359"/>
      <c r="Q191" s="359"/>
      <c r="R191" s="359"/>
      <c r="S191" s="359"/>
      <c r="T191" s="359"/>
      <c r="U191" s="359"/>
      <c r="V191" s="359"/>
      <c r="W191" s="359"/>
      <c r="X191" s="359"/>
      <c r="Y191" s="359"/>
      <c r="Z191" s="359"/>
      <c r="AA191" s="356">
        <f t="shared" si="113"/>
        <v>0</v>
      </c>
      <c r="AB191" s="356">
        <f t="shared" si="105"/>
        <v>0</v>
      </c>
      <c r="AC191" s="356">
        <f t="shared" si="106"/>
        <v>0</v>
      </c>
      <c r="AD191" s="356">
        <f t="shared" si="107"/>
        <v>0</v>
      </c>
      <c r="AE191" s="356">
        <f t="shared" si="108"/>
        <v>0</v>
      </c>
      <c r="AF191" s="356">
        <f t="shared" si="109"/>
        <v>0</v>
      </c>
      <c r="AG191" s="356">
        <f t="shared" si="110"/>
        <v>0</v>
      </c>
      <c r="AH191" s="361">
        <f t="shared" si="114"/>
        <v>1.1000000000000001</v>
      </c>
      <c r="AI191" s="356">
        <f t="shared" si="115"/>
        <v>0</v>
      </c>
      <c r="AJ191" s="356">
        <f t="shared" si="116"/>
        <v>0</v>
      </c>
      <c r="AK191" s="360">
        <f t="shared" si="117"/>
        <v>0</v>
      </c>
      <c r="AL191" s="356" t="str">
        <f t="shared" si="118"/>
        <v>-</v>
      </c>
      <c r="AM191" s="356" t="str">
        <f t="shared" si="119"/>
        <v>-</v>
      </c>
      <c r="AN191" s="356" t="str">
        <f t="shared" si="120"/>
        <v>-</v>
      </c>
      <c r="AO191" s="356" t="e">
        <f t="shared" si="121"/>
        <v>#VALUE!</v>
      </c>
      <c r="AP191" s="358" t="str">
        <f t="shared" si="122"/>
        <v>-</v>
      </c>
      <c r="AQ191" s="357" t="str">
        <f t="shared" si="111"/>
        <v>-</v>
      </c>
      <c r="AR191" s="357" t="str">
        <f t="shared" si="112"/>
        <v>-</v>
      </c>
      <c r="AS191" s="356" t="str">
        <f t="shared" si="123"/>
        <v>-</v>
      </c>
      <c r="AT191" s="355" t="str">
        <f t="shared" si="124"/>
        <v>-</v>
      </c>
      <c r="AU191" s="356" t="str">
        <f t="shared" si="125"/>
        <v>-</v>
      </c>
      <c r="AV191" s="356" t="e">
        <f t="shared" si="126"/>
        <v>#DIV/0!</v>
      </c>
      <c r="AW191" s="355" t="str">
        <f t="shared" si="127"/>
        <v>-</v>
      </c>
      <c r="AX191" s="359"/>
      <c r="AY191" s="356" t="str">
        <f t="shared" si="128"/>
        <v>-</v>
      </c>
      <c r="AZ191" s="356" t="str">
        <f t="shared" si="129"/>
        <v>-</v>
      </c>
      <c r="BA191" s="356">
        <f t="shared" si="130"/>
        <v>0</v>
      </c>
      <c r="BB191" s="356" t="e">
        <f t="shared" si="131"/>
        <v>#VALUE!</v>
      </c>
      <c r="BC191" s="358" t="str">
        <f t="shared" si="132"/>
        <v>-</v>
      </c>
      <c r="BD191" s="356" t="e">
        <f t="shared" si="133"/>
        <v>#VALUE!</v>
      </c>
      <c r="BE191" s="357" t="str">
        <f t="shared" si="134"/>
        <v>-</v>
      </c>
      <c r="BF191" s="357" t="str">
        <f t="shared" si="135"/>
        <v>-</v>
      </c>
      <c r="BG191" s="356">
        <f t="shared" si="136"/>
        <v>0</v>
      </c>
    </row>
    <row r="192" spans="1:59" x14ac:dyDescent="0.25">
      <c r="A192" s="355">
        <f t="shared" si="137"/>
        <v>165</v>
      </c>
      <c r="B192" s="363"/>
      <c r="C192" s="363"/>
      <c r="D192" s="363"/>
      <c r="E192" s="363"/>
      <c r="F192" s="363"/>
      <c r="G192" s="363"/>
      <c r="H192" s="359"/>
      <c r="I192" s="359"/>
      <c r="J192" s="362"/>
      <c r="K192" s="359"/>
      <c r="L192" s="359"/>
      <c r="M192" s="359"/>
      <c r="N192" s="359"/>
      <c r="O192" s="359"/>
      <c r="P192" s="359"/>
      <c r="Q192" s="359"/>
      <c r="R192" s="359"/>
      <c r="S192" s="359"/>
      <c r="T192" s="359"/>
      <c r="U192" s="359"/>
      <c r="V192" s="359"/>
      <c r="W192" s="359"/>
      <c r="X192" s="359"/>
      <c r="Y192" s="359"/>
      <c r="Z192" s="359"/>
      <c r="AA192" s="356">
        <f t="shared" si="113"/>
        <v>0</v>
      </c>
      <c r="AB192" s="356">
        <f t="shared" ref="AB192:AB227" si="138">IF(OR(Q192=0,Q192=""),0.9*R192,MIN(Q192:R192))</f>
        <v>0</v>
      </c>
      <c r="AC192" s="356">
        <f t="shared" ref="AC192:AC227" si="139">IF(OR(S192=0,S192=""),0.9*T192,MIN(S192:T192))</f>
        <v>0</v>
      </c>
      <c r="AD192" s="356">
        <f t="shared" ref="AD192:AD227" si="140">IF(OR(U192=0,U192=""),0.9*V192,MIN(U192:V192))</f>
        <v>0</v>
      </c>
      <c r="AE192" s="356">
        <f t="shared" ref="AE192:AE227" si="141">IF(OR(W192=0,W192=""),0.9*X192,MIN(W192:X192))</f>
        <v>0</v>
      </c>
      <c r="AF192" s="356">
        <f t="shared" ref="AF192:AF227" si="142">Y192/12</f>
        <v>0</v>
      </c>
      <c r="AG192" s="356">
        <f t="shared" ref="AG192:AG227" si="143">SUM(AB192:AF192)</f>
        <v>0</v>
      </c>
      <c r="AH192" s="361">
        <f t="shared" si="114"/>
        <v>1.1000000000000001</v>
      </c>
      <c r="AI192" s="356">
        <f t="shared" si="115"/>
        <v>0</v>
      </c>
      <c r="AJ192" s="356">
        <f t="shared" si="116"/>
        <v>0</v>
      </c>
      <c r="AK192" s="360">
        <f t="shared" si="117"/>
        <v>0</v>
      </c>
      <c r="AL192" s="356" t="str">
        <f t="shared" si="118"/>
        <v>-</v>
      </c>
      <c r="AM192" s="356" t="str">
        <f t="shared" si="119"/>
        <v>-</v>
      </c>
      <c r="AN192" s="356" t="str">
        <f t="shared" si="120"/>
        <v>-</v>
      </c>
      <c r="AO192" s="356" t="e">
        <f t="shared" si="121"/>
        <v>#VALUE!</v>
      </c>
      <c r="AP192" s="358" t="str">
        <f t="shared" si="122"/>
        <v>-</v>
      </c>
      <c r="AQ192" s="357" t="str">
        <f t="shared" ref="AQ192:AQ227" si="144">IF(AP192="-","-",$AQ$26)</f>
        <v>-</v>
      </c>
      <c r="AR192" s="357" t="str">
        <f t="shared" ref="AR192:AR227" si="145">IF(AP192="-","-",$AR$26)</f>
        <v>-</v>
      </c>
      <c r="AS192" s="356" t="str">
        <f t="shared" si="123"/>
        <v>-</v>
      </c>
      <c r="AT192" s="355" t="str">
        <f t="shared" si="124"/>
        <v>-</v>
      </c>
      <c r="AU192" s="356" t="str">
        <f t="shared" si="125"/>
        <v>-</v>
      </c>
      <c r="AV192" s="356" t="e">
        <f t="shared" si="126"/>
        <v>#DIV/0!</v>
      </c>
      <c r="AW192" s="355" t="str">
        <f t="shared" si="127"/>
        <v>-</v>
      </c>
      <c r="AX192" s="359"/>
      <c r="AY192" s="356" t="str">
        <f t="shared" si="128"/>
        <v>-</v>
      </c>
      <c r="AZ192" s="356" t="str">
        <f t="shared" si="129"/>
        <v>-</v>
      </c>
      <c r="BA192" s="356">
        <f t="shared" si="130"/>
        <v>0</v>
      </c>
      <c r="BB192" s="356" t="e">
        <f t="shared" si="131"/>
        <v>#VALUE!</v>
      </c>
      <c r="BC192" s="358" t="str">
        <f t="shared" si="132"/>
        <v>-</v>
      </c>
      <c r="BD192" s="356" t="e">
        <f t="shared" si="133"/>
        <v>#VALUE!</v>
      </c>
      <c r="BE192" s="357" t="str">
        <f t="shared" si="134"/>
        <v>-</v>
      </c>
      <c r="BF192" s="357" t="str">
        <f t="shared" si="135"/>
        <v>-</v>
      </c>
      <c r="BG192" s="356">
        <f t="shared" si="136"/>
        <v>0</v>
      </c>
    </row>
    <row r="193" spans="1:59" x14ac:dyDescent="0.25">
      <c r="A193" s="355">
        <f t="shared" si="137"/>
        <v>166</v>
      </c>
      <c r="B193" s="363"/>
      <c r="C193" s="363"/>
      <c r="D193" s="363"/>
      <c r="E193" s="363"/>
      <c r="F193" s="363"/>
      <c r="G193" s="363"/>
      <c r="H193" s="359"/>
      <c r="I193" s="359"/>
      <c r="J193" s="362"/>
      <c r="K193" s="359"/>
      <c r="L193" s="359"/>
      <c r="M193" s="359"/>
      <c r="N193" s="359"/>
      <c r="O193" s="359"/>
      <c r="P193" s="359"/>
      <c r="Q193" s="359"/>
      <c r="R193" s="359"/>
      <c r="S193" s="359"/>
      <c r="T193" s="359"/>
      <c r="U193" s="359"/>
      <c r="V193" s="359"/>
      <c r="W193" s="359"/>
      <c r="X193" s="359"/>
      <c r="Y193" s="359"/>
      <c r="Z193" s="359"/>
      <c r="AA193" s="356">
        <f t="shared" si="113"/>
        <v>0</v>
      </c>
      <c r="AB193" s="356">
        <f t="shared" si="138"/>
        <v>0</v>
      </c>
      <c r="AC193" s="356">
        <f t="shared" si="139"/>
        <v>0</v>
      </c>
      <c r="AD193" s="356">
        <f t="shared" si="140"/>
        <v>0</v>
      </c>
      <c r="AE193" s="356">
        <f t="shared" si="141"/>
        <v>0</v>
      </c>
      <c r="AF193" s="356">
        <f t="shared" si="142"/>
        <v>0</v>
      </c>
      <c r="AG193" s="356">
        <f t="shared" si="143"/>
        <v>0</v>
      </c>
      <c r="AH193" s="361">
        <f t="shared" si="114"/>
        <v>1.1000000000000001</v>
      </c>
      <c r="AI193" s="356">
        <f t="shared" si="115"/>
        <v>0</v>
      </c>
      <c r="AJ193" s="356">
        <f t="shared" si="116"/>
        <v>0</v>
      </c>
      <c r="AK193" s="360">
        <f t="shared" si="117"/>
        <v>0</v>
      </c>
      <c r="AL193" s="356" t="str">
        <f t="shared" si="118"/>
        <v>-</v>
      </c>
      <c r="AM193" s="356" t="str">
        <f t="shared" si="119"/>
        <v>-</v>
      </c>
      <c r="AN193" s="356" t="str">
        <f t="shared" si="120"/>
        <v>-</v>
      </c>
      <c r="AO193" s="356" t="e">
        <f t="shared" si="121"/>
        <v>#VALUE!</v>
      </c>
      <c r="AP193" s="358" t="str">
        <f t="shared" si="122"/>
        <v>-</v>
      </c>
      <c r="AQ193" s="357" t="str">
        <f t="shared" si="144"/>
        <v>-</v>
      </c>
      <c r="AR193" s="357" t="str">
        <f t="shared" si="145"/>
        <v>-</v>
      </c>
      <c r="AS193" s="356" t="str">
        <f t="shared" si="123"/>
        <v>-</v>
      </c>
      <c r="AT193" s="355" t="str">
        <f t="shared" si="124"/>
        <v>-</v>
      </c>
      <c r="AU193" s="356" t="str">
        <f t="shared" si="125"/>
        <v>-</v>
      </c>
      <c r="AV193" s="356" t="e">
        <f t="shared" si="126"/>
        <v>#DIV/0!</v>
      </c>
      <c r="AW193" s="355" t="str">
        <f t="shared" si="127"/>
        <v>-</v>
      </c>
      <c r="AX193" s="359"/>
      <c r="AY193" s="356" t="str">
        <f t="shared" si="128"/>
        <v>-</v>
      </c>
      <c r="AZ193" s="356" t="str">
        <f t="shared" si="129"/>
        <v>-</v>
      </c>
      <c r="BA193" s="356">
        <f t="shared" si="130"/>
        <v>0</v>
      </c>
      <c r="BB193" s="356" t="e">
        <f t="shared" si="131"/>
        <v>#VALUE!</v>
      </c>
      <c r="BC193" s="358" t="str">
        <f t="shared" si="132"/>
        <v>-</v>
      </c>
      <c r="BD193" s="356" t="e">
        <f t="shared" si="133"/>
        <v>#VALUE!</v>
      </c>
      <c r="BE193" s="357" t="str">
        <f t="shared" si="134"/>
        <v>-</v>
      </c>
      <c r="BF193" s="357" t="str">
        <f t="shared" si="135"/>
        <v>-</v>
      </c>
      <c r="BG193" s="356">
        <f t="shared" si="136"/>
        <v>0</v>
      </c>
    </row>
    <row r="194" spans="1:59" x14ac:dyDescent="0.25">
      <c r="A194" s="355">
        <f t="shared" si="137"/>
        <v>167</v>
      </c>
      <c r="B194" s="363"/>
      <c r="C194" s="363"/>
      <c r="D194" s="363"/>
      <c r="E194" s="363"/>
      <c r="F194" s="363"/>
      <c r="G194" s="363"/>
      <c r="H194" s="359"/>
      <c r="I194" s="359"/>
      <c r="J194" s="362"/>
      <c r="K194" s="359"/>
      <c r="L194" s="359"/>
      <c r="M194" s="359"/>
      <c r="N194" s="359"/>
      <c r="O194" s="359"/>
      <c r="P194" s="359"/>
      <c r="Q194" s="359"/>
      <c r="R194" s="359"/>
      <c r="S194" s="359"/>
      <c r="T194" s="359"/>
      <c r="U194" s="359"/>
      <c r="V194" s="359"/>
      <c r="W194" s="359"/>
      <c r="X194" s="359"/>
      <c r="Y194" s="359"/>
      <c r="Z194" s="359"/>
      <c r="AA194" s="356">
        <f t="shared" si="113"/>
        <v>0</v>
      </c>
      <c r="AB194" s="356">
        <f t="shared" si="138"/>
        <v>0</v>
      </c>
      <c r="AC194" s="356">
        <f t="shared" si="139"/>
        <v>0</v>
      </c>
      <c r="AD194" s="356">
        <f t="shared" si="140"/>
        <v>0</v>
      </c>
      <c r="AE194" s="356">
        <f t="shared" si="141"/>
        <v>0</v>
      </c>
      <c r="AF194" s="356">
        <f t="shared" si="142"/>
        <v>0</v>
      </c>
      <c r="AG194" s="356">
        <f t="shared" si="143"/>
        <v>0</v>
      </c>
      <c r="AH194" s="361">
        <f t="shared" si="114"/>
        <v>1.1000000000000001</v>
      </c>
      <c r="AI194" s="356">
        <f t="shared" si="115"/>
        <v>0</v>
      </c>
      <c r="AJ194" s="356">
        <f t="shared" si="116"/>
        <v>0</v>
      </c>
      <c r="AK194" s="360">
        <f t="shared" si="117"/>
        <v>0</v>
      </c>
      <c r="AL194" s="356" t="str">
        <f t="shared" si="118"/>
        <v>-</v>
      </c>
      <c r="AM194" s="356" t="str">
        <f t="shared" si="119"/>
        <v>-</v>
      </c>
      <c r="AN194" s="356" t="str">
        <f t="shared" si="120"/>
        <v>-</v>
      </c>
      <c r="AO194" s="356" t="e">
        <f t="shared" si="121"/>
        <v>#VALUE!</v>
      </c>
      <c r="AP194" s="358" t="str">
        <f t="shared" si="122"/>
        <v>-</v>
      </c>
      <c r="AQ194" s="357" t="str">
        <f t="shared" si="144"/>
        <v>-</v>
      </c>
      <c r="AR194" s="357" t="str">
        <f t="shared" si="145"/>
        <v>-</v>
      </c>
      <c r="AS194" s="356" t="str">
        <f t="shared" si="123"/>
        <v>-</v>
      </c>
      <c r="AT194" s="355" t="str">
        <f t="shared" si="124"/>
        <v>-</v>
      </c>
      <c r="AU194" s="356" t="str">
        <f t="shared" si="125"/>
        <v>-</v>
      </c>
      <c r="AV194" s="356" t="e">
        <f t="shared" si="126"/>
        <v>#DIV/0!</v>
      </c>
      <c r="AW194" s="355" t="str">
        <f t="shared" si="127"/>
        <v>-</v>
      </c>
      <c r="AX194" s="359"/>
      <c r="AY194" s="356" t="str">
        <f t="shared" si="128"/>
        <v>-</v>
      </c>
      <c r="AZ194" s="356" t="str">
        <f t="shared" si="129"/>
        <v>-</v>
      </c>
      <c r="BA194" s="356">
        <f t="shared" si="130"/>
        <v>0</v>
      </c>
      <c r="BB194" s="356" t="e">
        <f t="shared" si="131"/>
        <v>#VALUE!</v>
      </c>
      <c r="BC194" s="358" t="str">
        <f t="shared" si="132"/>
        <v>-</v>
      </c>
      <c r="BD194" s="356" t="e">
        <f t="shared" si="133"/>
        <v>#VALUE!</v>
      </c>
      <c r="BE194" s="357" t="str">
        <f t="shared" si="134"/>
        <v>-</v>
      </c>
      <c r="BF194" s="357" t="str">
        <f t="shared" si="135"/>
        <v>-</v>
      </c>
      <c r="BG194" s="356">
        <f t="shared" si="136"/>
        <v>0</v>
      </c>
    </row>
    <row r="195" spans="1:59" x14ac:dyDescent="0.25">
      <c r="A195" s="355">
        <f t="shared" si="137"/>
        <v>168</v>
      </c>
      <c r="B195" s="363"/>
      <c r="C195" s="363"/>
      <c r="D195" s="363"/>
      <c r="E195" s="363"/>
      <c r="F195" s="363"/>
      <c r="G195" s="363"/>
      <c r="H195" s="359"/>
      <c r="I195" s="359"/>
      <c r="J195" s="362"/>
      <c r="K195" s="359"/>
      <c r="L195" s="359"/>
      <c r="M195" s="359"/>
      <c r="N195" s="359"/>
      <c r="O195" s="359"/>
      <c r="P195" s="359"/>
      <c r="Q195" s="359"/>
      <c r="R195" s="359"/>
      <c r="S195" s="359"/>
      <c r="T195" s="359"/>
      <c r="U195" s="359"/>
      <c r="V195" s="359"/>
      <c r="W195" s="359"/>
      <c r="X195" s="359"/>
      <c r="Y195" s="359"/>
      <c r="Z195" s="359"/>
      <c r="AA195" s="356">
        <f t="shared" si="113"/>
        <v>0</v>
      </c>
      <c r="AB195" s="356">
        <f t="shared" si="138"/>
        <v>0</v>
      </c>
      <c r="AC195" s="356">
        <f t="shared" si="139"/>
        <v>0</v>
      </c>
      <c r="AD195" s="356">
        <f t="shared" si="140"/>
        <v>0</v>
      </c>
      <c r="AE195" s="356">
        <f t="shared" si="141"/>
        <v>0</v>
      </c>
      <c r="AF195" s="356">
        <f t="shared" si="142"/>
        <v>0</v>
      </c>
      <c r="AG195" s="356">
        <f t="shared" si="143"/>
        <v>0</v>
      </c>
      <c r="AH195" s="361">
        <f t="shared" si="114"/>
        <v>1.1000000000000001</v>
      </c>
      <c r="AI195" s="356">
        <f t="shared" si="115"/>
        <v>0</v>
      </c>
      <c r="AJ195" s="356">
        <f t="shared" si="116"/>
        <v>0</v>
      </c>
      <c r="AK195" s="360">
        <f t="shared" si="117"/>
        <v>0</v>
      </c>
      <c r="AL195" s="356" t="str">
        <f t="shared" si="118"/>
        <v>-</v>
      </c>
      <c r="AM195" s="356" t="str">
        <f t="shared" si="119"/>
        <v>-</v>
      </c>
      <c r="AN195" s="356" t="str">
        <f t="shared" si="120"/>
        <v>-</v>
      </c>
      <c r="AO195" s="356" t="e">
        <f t="shared" si="121"/>
        <v>#VALUE!</v>
      </c>
      <c r="AP195" s="358" t="str">
        <f t="shared" si="122"/>
        <v>-</v>
      </c>
      <c r="AQ195" s="357" t="str">
        <f t="shared" si="144"/>
        <v>-</v>
      </c>
      <c r="AR195" s="357" t="str">
        <f t="shared" si="145"/>
        <v>-</v>
      </c>
      <c r="AS195" s="356" t="str">
        <f t="shared" si="123"/>
        <v>-</v>
      </c>
      <c r="AT195" s="355" t="str">
        <f t="shared" si="124"/>
        <v>-</v>
      </c>
      <c r="AU195" s="356" t="str">
        <f t="shared" si="125"/>
        <v>-</v>
      </c>
      <c r="AV195" s="356" t="e">
        <f t="shared" si="126"/>
        <v>#DIV/0!</v>
      </c>
      <c r="AW195" s="355" t="str">
        <f t="shared" si="127"/>
        <v>-</v>
      </c>
      <c r="AX195" s="359"/>
      <c r="AY195" s="356" t="str">
        <f t="shared" si="128"/>
        <v>-</v>
      </c>
      <c r="AZ195" s="356" t="str">
        <f t="shared" si="129"/>
        <v>-</v>
      </c>
      <c r="BA195" s="356">
        <f t="shared" si="130"/>
        <v>0</v>
      </c>
      <c r="BB195" s="356" t="e">
        <f t="shared" si="131"/>
        <v>#VALUE!</v>
      </c>
      <c r="BC195" s="358" t="str">
        <f t="shared" si="132"/>
        <v>-</v>
      </c>
      <c r="BD195" s="356" t="e">
        <f t="shared" si="133"/>
        <v>#VALUE!</v>
      </c>
      <c r="BE195" s="357" t="str">
        <f t="shared" si="134"/>
        <v>-</v>
      </c>
      <c r="BF195" s="357" t="str">
        <f t="shared" si="135"/>
        <v>-</v>
      </c>
      <c r="BG195" s="356">
        <f t="shared" si="136"/>
        <v>0</v>
      </c>
    </row>
    <row r="196" spans="1:59" x14ac:dyDescent="0.25">
      <c r="A196" s="355">
        <f t="shared" si="137"/>
        <v>169</v>
      </c>
      <c r="B196" s="363"/>
      <c r="C196" s="363"/>
      <c r="D196" s="363"/>
      <c r="E196" s="363"/>
      <c r="F196" s="363"/>
      <c r="G196" s="363"/>
      <c r="H196" s="359"/>
      <c r="I196" s="359"/>
      <c r="J196" s="362"/>
      <c r="K196" s="359"/>
      <c r="L196" s="359"/>
      <c r="M196" s="359"/>
      <c r="N196" s="359"/>
      <c r="O196" s="359"/>
      <c r="P196" s="359"/>
      <c r="Q196" s="359"/>
      <c r="R196" s="359"/>
      <c r="S196" s="359"/>
      <c r="T196" s="359"/>
      <c r="U196" s="359"/>
      <c r="V196" s="359"/>
      <c r="W196" s="359"/>
      <c r="X196" s="359"/>
      <c r="Y196" s="359"/>
      <c r="Z196" s="359"/>
      <c r="AA196" s="356">
        <f t="shared" si="113"/>
        <v>0</v>
      </c>
      <c r="AB196" s="356">
        <f t="shared" si="138"/>
        <v>0</v>
      </c>
      <c r="AC196" s="356">
        <f t="shared" si="139"/>
        <v>0</v>
      </c>
      <c r="AD196" s="356">
        <f t="shared" si="140"/>
        <v>0</v>
      </c>
      <c r="AE196" s="356">
        <f t="shared" si="141"/>
        <v>0</v>
      </c>
      <c r="AF196" s="356">
        <f t="shared" si="142"/>
        <v>0</v>
      </c>
      <c r="AG196" s="356">
        <f t="shared" si="143"/>
        <v>0</v>
      </c>
      <c r="AH196" s="361">
        <f t="shared" si="114"/>
        <v>1.1000000000000001</v>
      </c>
      <c r="AI196" s="356">
        <f t="shared" si="115"/>
        <v>0</v>
      </c>
      <c r="AJ196" s="356">
        <f t="shared" si="116"/>
        <v>0</v>
      </c>
      <c r="AK196" s="360">
        <f t="shared" si="117"/>
        <v>0</v>
      </c>
      <c r="AL196" s="356" t="str">
        <f t="shared" si="118"/>
        <v>-</v>
      </c>
      <c r="AM196" s="356" t="str">
        <f t="shared" si="119"/>
        <v>-</v>
      </c>
      <c r="AN196" s="356" t="str">
        <f t="shared" si="120"/>
        <v>-</v>
      </c>
      <c r="AO196" s="356" t="e">
        <f t="shared" si="121"/>
        <v>#VALUE!</v>
      </c>
      <c r="AP196" s="358" t="str">
        <f t="shared" si="122"/>
        <v>-</v>
      </c>
      <c r="AQ196" s="357" t="str">
        <f t="shared" si="144"/>
        <v>-</v>
      </c>
      <c r="AR196" s="357" t="str">
        <f t="shared" si="145"/>
        <v>-</v>
      </c>
      <c r="AS196" s="356" t="str">
        <f t="shared" si="123"/>
        <v>-</v>
      </c>
      <c r="AT196" s="355" t="str">
        <f t="shared" si="124"/>
        <v>-</v>
      </c>
      <c r="AU196" s="356" t="str">
        <f t="shared" si="125"/>
        <v>-</v>
      </c>
      <c r="AV196" s="356" t="e">
        <f t="shared" si="126"/>
        <v>#DIV/0!</v>
      </c>
      <c r="AW196" s="355" t="str">
        <f t="shared" si="127"/>
        <v>-</v>
      </c>
      <c r="AX196" s="359"/>
      <c r="AY196" s="356" t="str">
        <f t="shared" si="128"/>
        <v>-</v>
      </c>
      <c r="AZ196" s="356" t="str">
        <f t="shared" si="129"/>
        <v>-</v>
      </c>
      <c r="BA196" s="356">
        <f t="shared" si="130"/>
        <v>0</v>
      </c>
      <c r="BB196" s="356" t="e">
        <f t="shared" si="131"/>
        <v>#VALUE!</v>
      </c>
      <c r="BC196" s="358" t="str">
        <f t="shared" si="132"/>
        <v>-</v>
      </c>
      <c r="BD196" s="356" t="e">
        <f t="shared" si="133"/>
        <v>#VALUE!</v>
      </c>
      <c r="BE196" s="357" t="str">
        <f t="shared" si="134"/>
        <v>-</v>
      </c>
      <c r="BF196" s="357" t="str">
        <f t="shared" si="135"/>
        <v>-</v>
      </c>
      <c r="BG196" s="356">
        <f t="shared" si="136"/>
        <v>0</v>
      </c>
    </row>
    <row r="197" spans="1:59" x14ac:dyDescent="0.25">
      <c r="A197" s="355">
        <f t="shared" si="137"/>
        <v>170</v>
      </c>
      <c r="B197" s="363"/>
      <c r="C197" s="363"/>
      <c r="D197" s="363"/>
      <c r="E197" s="363"/>
      <c r="F197" s="363"/>
      <c r="G197" s="363"/>
      <c r="H197" s="359"/>
      <c r="I197" s="359"/>
      <c r="J197" s="362"/>
      <c r="K197" s="359"/>
      <c r="L197" s="359"/>
      <c r="M197" s="359"/>
      <c r="N197" s="359"/>
      <c r="O197" s="359"/>
      <c r="P197" s="359"/>
      <c r="Q197" s="359"/>
      <c r="R197" s="359"/>
      <c r="S197" s="359"/>
      <c r="T197" s="359"/>
      <c r="U197" s="359"/>
      <c r="V197" s="359"/>
      <c r="W197" s="359"/>
      <c r="X197" s="359"/>
      <c r="Y197" s="359"/>
      <c r="Z197" s="359"/>
      <c r="AA197" s="356">
        <f t="shared" si="113"/>
        <v>0</v>
      </c>
      <c r="AB197" s="356">
        <f t="shared" si="138"/>
        <v>0</v>
      </c>
      <c r="AC197" s="356">
        <f t="shared" si="139"/>
        <v>0</v>
      </c>
      <c r="AD197" s="356">
        <f t="shared" si="140"/>
        <v>0</v>
      </c>
      <c r="AE197" s="356">
        <f t="shared" si="141"/>
        <v>0</v>
      </c>
      <c r="AF197" s="356">
        <f t="shared" si="142"/>
        <v>0</v>
      </c>
      <c r="AG197" s="356">
        <f t="shared" si="143"/>
        <v>0</v>
      </c>
      <c r="AH197" s="361">
        <f t="shared" si="114"/>
        <v>1.1000000000000001</v>
      </c>
      <c r="AI197" s="356">
        <f t="shared" si="115"/>
        <v>0</v>
      </c>
      <c r="AJ197" s="356">
        <f t="shared" si="116"/>
        <v>0</v>
      </c>
      <c r="AK197" s="360">
        <f t="shared" si="117"/>
        <v>0</v>
      </c>
      <c r="AL197" s="356" t="str">
        <f t="shared" si="118"/>
        <v>-</v>
      </c>
      <c r="AM197" s="356" t="str">
        <f t="shared" si="119"/>
        <v>-</v>
      </c>
      <c r="AN197" s="356" t="str">
        <f t="shared" si="120"/>
        <v>-</v>
      </c>
      <c r="AO197" s="356" t="e">
        <f t="shared" si="121"/>
        <v>#VALUE!</v>
      </c>
      <c r="AP197" s="358" t="str">
        <f t="shared" si="122"/>
        <v>-</v>
      </c>
      <c r="AQ197" s="357" t="str">
        <f t="shared" si="144"/>
        <v>-</v>
      </c>
      <c r="AR197" s="357" t="str">
        <f t="shared" si="145"/>
        <v>-</v>
      </c>
      <c r="AS197" s="356" t="str">
        <f t="shared" si="123"/>
        <v>-</v>
      </c>
      <c r="AT197" s="355" t="str">
        <f t="shared" si="124"/>
        <v>-</v>
      </c>
      <c r="AU197" s="356" t="str">
        <f t="shared" si="125"/>
        <v>-</v>
      </c>
      <c r="AV197" s="356" t="e">
        <f t="shared" si="126"/>
        <v>#DIV/0!</v>
      </c>
      <c r="AW197" s="355" t="str">
        <f t="shared" si="127"/>
        <v>-</v>
      </c>
      <c r="AX197" s="359"/>
      <c r="AY197" s="356" t="str">
        <f t="shared" si="128"/>
        <v>-</v>
      </c>
      <c r="AZ197" s="356" t="str">
        <f t="shared" si="129"/>
        <v>-</v>
      </c>
      <c r="BA197" s="356">
        <f t="shared" si="130"/>
        <v>0</v>
      </c>
      <c r="BB197" s="356" t="e">
        <f t="shared" si="131"/>
        <v>#VALUE!</v>
      </c>
      <c r="BC197" s="358" t="str">
        <f t="shared" si="132"/>
        <v>-</v>
      </c>
      <c r="BD197" s="356" t="e">
        <f t="shared" si="133"/>
        <v>#VALUE!</v>
      </c>
      <c r="BE197" s="357" t="str">
        <f t="shared" si="134"/>
        <v>-</v>
      </c>
      <c r="BF197" s="357" t="str">
        <f t="shared" si="135"/>
        <v>-</v>
      </c>
      <c r="BG197" s="356">
        <f t="shared" si="136"/>
        <v>0</v>
      </c>
    </row>
    <row r="198" spans="1:59" x14ac:dyDescent="0.25">
      <c r="A198" s="355">
        <f t="shared" si="137"/>
        <v>171</v>
      </c>
      <c r="B198" s="363"/>
      <c r="C198" s="363"/>
      <c r="D198" s="363"/>
      <c r="E198" s="363"/>
      <c r="F198" s="363"/>
      <c r="G198" s="363"/>
      <c r="H198" s="359"/>
      <c r="I198" s="359"/>
      <c r="J198" s="362"/>
      <c r="K198" s="359"/>
      <c r="L198" s="359"/>
      <c r="M198" s="359"/>
      <c r="N198" s="359"/>
      <c r="O198" s="359"/>
      <c r="P198" s="359"/>
      <c r="Q198" s="359"/>
      <c r="R198" s="359"/>
      <c r="S198" s="359"/>
      <c r="T198" s="359"/>
      <c r="U198" s="359"/>
      <c r="V198" s="359"/>
      <c r="W198" s="359"/>
      <c r="X198" s="359"/>
      <c r="Y198" s="359"/>
      <c r="Z198" s="359"/>
      <c r="AA198" s="356">
        <f t="shared" si="113"/>
        <v>0</v>
      </c>
      <c r="AB198" s="356">
        <f t="shared" si="138"/>
        <v>0</v>
      </c>
      <c r="AC198" s="356">
        <f t="shared" si="139"/>
        <v>0</v>
      </c>
      <c r="AD198" s="356">
        <f t="shared" si="140"/>
        <v>0</v>
      </c>
      <c r="AE198" s="356">
        <f t="shared" si="141"/>
        <v>0</v>
      </c>
      <c r="AF198" s="356">
        <f t="shared" si="142"/>
        <v>0</v>
      </c>
      <c r="AG198" s="356">
        <f t="shared" si="143"/>
        <v>0</v>
      </c>
      <c r="AH198" s="361">
        <f t="shared" si="114"/>
        <v>1.1000000000000001</v>
      </c>
      <c r="AI198" s="356">
        <f t="shared" si="115"/>
        <v>0</v>
      </c>
      <c r="AJ198" s="356">
        <f t="shared" si="116"/>
        <v>0</v>
      </c>
      <c r="AK198" s="360">
        <f t="shared" si="117"/>
        <v>0</v>
      </c>
      <c r="AL198" s="356" t="str">
        <f t="shared" si="118"/>
        <v>-</v>
      </c>
      <c r="AM198" s="356" t="str">
        <f t="shared" si="119"/>
        <v>-</v>
      </c>
      <c r="AN198" s="356" t="str">
        <f t="shared" si="120"/>
        <v>-</v>
      </c>
      <c r="AO198" s="356" t="e">
        <f t="shared" si="121"/>
        <v>#VALUE!</v>
      </c>
      <c r="AP198" s="358" t="str">
        <f t="shared" si="122"/>
        <v>-</v>
      </c>
      <c r="AQ198" s="357" t="str">
        <f t="shared" si="144"/>
        <v>-</v>
      </c>
      <c r="AR198" s="357" t="str">
        <f t="shared" si="145"/>
        <v>-</v>
      </c>
      <c r="AS198" s="356" t="str">
        <f t="shared" si="123"/>
        <v>-</v>
      </c>
      <c r="AT198" s="355" t="str">
        <f t="shared" si="124"/>
        <v>-</v>
      </c>
      <c r="AU198" s="356" t="str">
        <f t="shared" si="125"/>
        <v>-</v>
      </c>
      <c r="AV198" s="356" t="e">
        <f t="shared" si="126"/>
        <v>#DIV/0!</v>
      </c>
      <c r="AW198" s="355" t="str">
        <f t="shared" si="127"/>
        <v>-</v>
      </c>
      <c r="AX198" s="359"/>
      <c r="AY198" s="356" t="str">
        <f t="shared" si="128"/>
        <v>-</v>
      </c>
      <c r="AZ198" s="356" t="str">
        <f t="shared" si="129"/>
        <v>-</v>
      </c>
      <c r="BA198" s="356">
        <f t="shared" si="130"/>
        <v>0</v>
      </c>
      <c r="BB198" s="356" t="e">
        <f t="shared" si="131"/>
        <v>#VALUE!</v>
      </c>
      <c r="BC198" s="358" t="str">
        <f t="shared" si="132"/>
        <v>-</v>
      </c>
      <c r="BD198" s="356" t="e">
        <f t="shared" si="133"/>
        <v>#VALUE!</v>
      </c>
      <c r="BE198" s="357" t="str">
        <f t="shared" si="134"/>
        <v>-</v>
      </c>
      <c r="BF198" s="357" t="str">
        <f t="shared" si="135"/>
        <v>-</v>
      </c>
      <c r="BG198" s="356">
        <f t="shared" si="136"/>
        <v>0</v>
      </c>
    </row>
    <row r="199" spans="1:59" x14ac:dyDescent="0.25">
      <c r="A199" s="355">
        <f t="shared" si="137"/>
        <v>172</v>
      </c>
      <c r="B199" s="363"/>
      <c r="C199" s="363"/>
      <c r="D199" s="363"/>
      <c r="E199" s="363"/>
      <c r="F199" s="363"/>
      <c r="G199" s="363"/>
      <c r="H199" s="359"/>
      <c r="I199" s="359"/>
      <c r="J199" s="362"/>
      <c r="K199" s="359"/>
      <c r="L199" s="359"/>
      <c r="M199" s="359"/>
      <c r="N199" s="359"/>
      <c r="O199" s="359"/>
      <c r="P199" s="359"/>
      <c r="Q199" s="359"/>
      <c r="R199" s="359"/>
      <c r="S199" s="359"/>
      <c r="T199" s="359"/>
      <c r="U199" s="359"/>
      <c r="V199" s="359"/>
      <c r="W199" s="359"/>
      <c r="X199" s="359"/>
      <c r="Y199" s="359"/>
      <c r="Z199" s="359"/>
      <c r="AA199" s="356">
        <f t="shared" si="113"/>
        <v>0</v>
      </c>
      <c r="AB199" s="356">
        <f t="shared" si="138"/>
        <v>0</v>
      </c>
      <c r="AC199" s="356">
        <f t="shared" si="139"/>
        <v>0</v>
      </c>
      <c r="AD199" s="356">
        <f t="shared" si="140"/>
        <v>0</v>
      </c>
      <c r="AE199" s="356">
        <f t="shared" si="141"/>
        <v>0</v>
      </c>
      <c r="AF199" s="356">
        <f t="shared" si="142"/>
        <v>0</v>
      </c>
      <c r="AG199" s="356">
        <f t="shared" si="143"/>
        <v>0</v>
      </c>
      <c r="AH199" s="361">
        <f t="shared" si="114"/>
        <v>1.1000000000000001</v>
      </c>
      <c r="AI199" s="356">
        <f t="shared" si="115"/>
        <v>0</v>
      </c>
      <c r="AJ199" s="356">
        <f t="shared" si="116"/>
        <v>0</v>
      </c>
      <c r="AK199" s="360">
        <f t="shared" si="117"/>
        <v>0</v>
      </c>
      <c r="AL199" s="356" t="str">
        <f t="shared" si="118"/>
        <v>-</v>
      </c>
      <c r="AM199" s="356" t="str">
        <f t="shared" si="119"/>
        <v>-</v>
      </c>
      <c r="AN199" s="356" t="str">
        <f t="shared" si="120"/>
        <v>-</v>
      </c>
      <c r="AO199" s="356" t="e">
        <f t="shared" si="121"/>
        <v>#VALUE!</v>
      </c>
      <c r="AP199" s="358" t="str">
        <f t="shared" si="122"/>
        <v>-</v>
      </c>
      <c r="AQ199" s="357" t="str">
        <f t="shared" si="144"/>
        <v>-</v>
      </c>
      <c r="AR199" s="357" t="str">
        <f t="shared" si="145"/>
        <v>-</v>
      </c>
      <c r="AS199" s="356" t="str">
        <f t="shared" si="123"/>
        <v>-</v>
      </c>
      <c r="AT199" s="355" t="str">
        <f t="shared" si="124"/>
        <v>-</v>
      </c>
      <c r="AU199" s="356" t="str">
        <f t="shared" si="125"/>
        <v>-</v>
      </c>
      <c r="AV199" s="356" t="e">
        <f t="shared" si="126"/>
        <v>#DIV/0!</v>
      </c>
      <c r="AW199" s="355" t="str">
        <f t="shared" si="127"/>
        <v>-</v>
      </c>
      <c r="AX199" s="359"/>
      <c r="AY199" s="356" t="str">
        <f t="shared" si="128"/>
        <v>-</v>
      </c>
      <c r="AZ199" s="356" t="str">
        <f t="shared" si="129"/>
        <v>-</v>
      </c>
      <c r="BA199" s="356">
        <f t="shared" si="130"/>
        <v>0</v>
      </c>
      <c r="BB199" s="356" t="e">
        <f t="shared" si="131"/>
        <v>#VALUE!</v>
      </c>
      <c r="BC199" s="358" t="str">
        <f t="shared" si="132"/>
        <v>-</v>
      </c>
      <c r="BD199" s="356" t="e">
        <f t="shared" si="133"/>
        <v>#VALUE!</v>
      </c>
      <c r="BE199" s="357" t="str">
        <f t="shared" si="134"/>
        <v>-</v>
      </c>
      <c r="BF199" s="357" t="str">
        <f t="shared" si="135"/>
        <v>-</v>
      </c>
      <c r="BG199" s="356">
        <f t="shared" si="136"/>
        <v>0</v>
      </c>
    </row>
    <row r="200" spans="1:59" x14ac:dyDescent="0.25">
      <c r="A200" s="355">
        <f t="shared" si="137"/>
        <v>173</v>
      </c>
      <c r="B200" s="363"/>
      <c r="C200" s="363"/>
      <c r="D200" s="363"/>
      <c r="E200" s="363"/>
      <c r="F200" s="363"/>
      <c r="G200" s="363"/>
      <c r="H200" s="359"/>
      <c r="I200" s="359"/>
      <c r="J200" s="362"/>
      <c r="K200" s="359"/>
      <c r="L200" s="359"/>
      <c r="M200" s="359"/>
      <c r="N200" s="359"/>
      <c r="O200" s="359"/>
      <c r="P200" s="359"/>
      <c r="Q200" s="359"/>
      <c r="R200" s="359"/>
      <c r="S200" s="359"/>
      <c r="T200" s="359"/>
      <c r="U200" s="359"/>
      <c r="V200" s="359"/>
      <c r="W200" s="359"/>
      <c r="X200" s="359"/>
      <c r="Y200" s="359"/>
      <c r="Z200" s="359"/>
      <c r="AA200" s="356">
        <f t="shared" si="113"/>
        <v>0</v>
      </c>
      <c r="AB200" s="356">
        <f t="shared" si="138"/>
        <v>0</v>
      </c>
      <c r="AC200" s="356">
        <f t="shared" si="139"/>
        <v>0</v>
      </c>
      <c r="AD200" s="356">
        <f t="shared" si="140"/>
        <v>0</v>
      </c>
      <c r="AE200" s="356">
        <f t="shared" si="141"/>
        <v>0</v>
      </c>
      <c r="AF200" s="356">
        <f t="shared" si="142"/>
        <v>0</v>
      </c>
      <c r="AG200" s="356">
        <f t="shared" si="143"/>
        <v>0</v>
      </c>
      <c r="AH200" s="361">
        <f t="shared" si="114"/>
        <v>1.1000000000000001</v>
      </c>
      <c r="AI200" s="356">
        <f t="shared" si="115"/>
        <v>0</v>
      </c>
      <c r="AJ200" s="356">
        <f t="shared" si="116"/>
        <v>0</v>
      </c>
      <c r="AK200" s="360">
        <f t="shared" si="117"/>
        <v>0</v>
      </c>
      <c r="AL200" s="356" t="str">
        <f t="shared" si="118"/>
        <v>-</v>
      </c>
      <c r="AM200" s="356" t="str">
        <f t="shared" si="119"/>
        <v>-</v>
      </c>
      <c r="AN200" s="356" t="str">
        <f t="shared" si="120"/>
        <v>-</v>
      </c>
      <c r="AO200" s="356" t="e">
        <f t="shared" si="121"/>
        <v>#VALUE!</v>
      </c>
      <c r="AP200" s="358" t="str">
        <f t="shared" si="122"/>
        <v>-</v>
      </c>
      <c r="AQ200" s="357" t="str">
        <f t="shared" si="144"/>
        <v>-</v>
      </c>
      <c r="AR200" s="357" t="str">
        <f t="shared" si="145"/>
        <v>-</v>
      </c>
      <c r="AS200" s="356" t="str">
        <f t="shared" si="123"/>
        <v>-</v>
      </c>
      <c r="AT200" s="355" t="str">
        <f t="shared" si="124"/>
        <v>-</v>
      </c>
      <c r="AU200" s="356" t="str">
        <f t="shared" si="125"/>
        <v>-</v>
      </c>
      <c r="AV200" s="356" t="e">
        <f t="shared" si="126"/>
        <v>#DIV/0!</v>
      </c>
      <c r="AW200" s="355" t="str">
        <f t="shared" si="127"/>
        <v>-</v>
      </c>
      <c r="AX200" s="359"/>
      <c r="AY200" s="356" t="str">
        <f t="shared" si="128"/>
        <v>-</v>
      </c>
      <c r="AZ200" s="356" t="str">
        <f t="shared" si="129"/>
        <v>-</v>
      </c>
      <c r="BA200" s="356">
        <f t="shared" si="130"/>
        <v>0</v>
      </c>
      <c r="BB200" s="356" t="e">
        <f t="shared" si="131"/>
        <v>#VALUE!</v>
      </c>
      <c r="BC200" s="358" t="str">
        <f t="shared" si="132"/>
        <v>-</v>
      </c>
      <c r="BD200" s="356" t="e">
        <f t="shared" si="133"/>
        <v>#VALUE!</v>
      </c>
      <c r="BE200" s="357" t="str">
        <f t="shared" si="134"/>
        <v>-</v>
      </c>
      <c r="BF200" s="357" t="str">
        <f t="shared" si="135"/>
        <v>-</v>
      </c>
      <c r="BG200" s="356">
        <f t="shared" si="136"/>
        <v>0</v>
      </c>
    </row>
    <row r="201" spans="1:59" x14ac:dyDescent="0.25">
      <c r="A201" s="355">
        <f t="shared" si="137"/>
        <v>174</v>
      </c>
      <c r="B201" s="363"/>
      <c r="C201" s="363"/>
      <c r="D201" s="363"/>
      <c r="E201" s="363"/>
      <c r="F201" s="363"/>
      <c r="G201" s="363"/>
      <c r="H201" s="359"/>
      <c r="I201" s="359"/>
      <c r="J201" s="362"/>
      <c r="K201" s="359"/>
      <c r="L201" s="359"/>
      <c r="M201" s="359"/>
      <c r="N201" s="359"/>
      <c r="O201" s="359"/>
      <c r="P201" s="359"/>
      <c r="Q201" s="359"/>
      <c r="R201" s="359"/>
      <c r="S201" s="359"/>
      <c r="T201" s="359"/>
      <c r="U201" s="359"/>
      <c r="V201" s="359"/>
      <c r="W201" s="359"/>
      <c r="X201" s="359"/>
      <c r="Y201" s="359"/>
      <c r="Z201" s="359"/>
      <c r="AA201" s="356">
        <f t="shared" si="113"/>
        <v>0</v>
      </c>
      <c r="AB201" s="356">
        <f t="shared" si="138"/>
        <v>0</v>
      </c>
      <c r="AC201" s="356">
        <f t="shared" si="139"/>
        <v>0</v>
      </c>
      <c r="AD201" s="356">
        <f t="shared" si="140"/>
        <v>0</v>
      </c>
      <c r="AE201" s="356">
        <f t="shared" si="141"/>
        <v>0</v>
      </c>
      <c r="AF201" s="356">
        <f t="shared" si="142"/>
        <v>0</v>
      </c>
      <c r="AG201" s="356">
        <f t="shared" si="143"/>
        <v>0</v>
      </c>
      <c r="AH201" s="361">
        <f t="shared" si="114"/>
        <v>1.1000000000000001</v>
      </c>
      <c r="AI201" s="356">
        <f t="shared" si="115"/>
        <v>0</v>
      </c>
      <c r="AJ201" s="356">
        <f t="shared" si="116"/>
        <v>0</v>
      </c>
      <c r="AK201" s="360">
        <f t="shared" si="117"/>
        <v>0</v>
      </c>
      <c r="AL201" s="356" t="str">
        <f t="shared" si="118"/>
        <v>-</v>
      </c>
      <c r="AM201" s="356" t="str">
        <f t="shared" si="119"/>
        <v>-</v>
      </c>
      <c r="AN201" s="356" t="str">
        <f t="shared" si="120"/>
        <v>-</v>
      </c>
      <c r="AO201" s="356" t="e">
        <f t="shared" si="121"/>
        <v>#VALUE!</v>
      </c>
      <c r="AP201" s="358" t="str">
        <f t="shared" si="122"/>
        <v>-</v>
      </c>
      <c r="AQ201" s="357" t="str">
        <f t="shared" si="144"/>
        <v>-</v>
      </c>
      <c r="AR201" s="357" t="str">
        <f t="shared" si="145"/>
        <v>-</v>
      </c>
      <c r="AS201" s="356" t="str">
        <f t="shared" si="123"/>
        <v>-</v>
      </c>
      <c r="AT201" s="355" t="str">
        <f t="shared" si="124"/>
        <v>-</v>
      </c>
      <c r="AU201" s="356" t="str">
        <f t="shared" si="125"/>
        <v>-</v>
      </c>
      <c r="AV201" s="356" t="e">
        <f t="shared" si="126"/>
        <v>#DIV/0!</v>
      </c>
      <c r="AW201" s="355" t="str">
        <f t="shared" si="127"/>
        <v>-</v>
      </c>
      <c r="AX201" s="359"/>
      <c r="AY201" s="356" t="str">
        <f t="shared" si="128"/>
        <v>-</v>
      </c>
      <c r="AZ201" s="356" t="str">
        <f t="shared" si="129"/>
        <v>-</v>
      </c>
      <c r="BA201" s="356">
        <f t="shared" si="130"/>
        <v>0</v>
      </c>
      <c r="BB201" s="356" t="e">
        <f t="shared" si="131"/>
        <v>#VALUE!</v>
      </c>
      <c r="BC201" s="358" t="str">
        <f t="shared" si="132"/>
        <v>-</v>
      </c>
      <c r="BD201" s="356" t="e">
        <f t="shared" si="133"/>
        <v>#VALUE!</v>
      </c>
      <c r="BE201" s="357" t="str">
        <f t="shared" si="134"/>
        <v>-</v>
      </c>
      <c r="BF201" s="357" t="str">
        <f t="shared" si="135"/>
        <v>-</v>
      </c>
      <c r="BG201" s="356">
        <f t="shared" si="136"/>
        <v>0</v>
      </c>
    </row>
    <row r="202" spans="1:59" x14ac:dyDescent="0.25">
      <c r="A202" s="355">
        <f t="shared" si="137"/>
        <v>175</v>
      </c>
      <c r="B202" s="363"/>
      <c r="C202" s="363"/>
      <c r="D202" s="363"/>
      <c r="E202" s="363"/>
      <c r="F202" s="363"/>
      <c r="G202" s="363"/>
      <c r="H202" s="359"/>
      <c r="I202" s="359"/>
      <c r="J202" s="362"/>
      <c r="K202" s="359"/>
      <c r="L202" s="359"/>
      <c r="M202" s="359"/>
      <c r="N202" s="359"/>
      <c r="O202" s="359"/>
      <c r="P202" s="359"/>
      <c r="Q202" s="359"/>
      <c r="R202" s="359"/>
      <c r="S202" s="359"/>
      <c r="T202" s="359"/>
      <c r="U202" s="359"/>
      <c r="V202" s="359"/>
      <c r="W202" s="359"/>
      <c r="X202" s="359"/>
      <c r="Y202" s="359"/>
      <c r="Z202" s="359"/>
      <c r="AA202" s="356">
        <f t="shared" si="113"/>
        <v>0</v>
      </c>
      <c r="AB202" s="356">
        <f t="shared" si="138"/>
        <v>0</v>
      </c>
      <c r="AC202" s="356">
        <f t="shared" si="139"/>
        <v>0</v>
      </c>
      <c r="AD202" s="356">
        <f t="shared" si="140"/>
        <v>0</v>
      </c>
      <c r="AE202" s="356">
        <f t="shared" si="141"/>
        <v>0</v>
      </c>
      <c r="AF202" s="356">
        <f t="shared" si="142"/>
        <v>0</v>
      </c>
      <c r="AG202" s="356">
        <f t="shared" si="143"/>
        <v>0</v>
      </c>
      <c r="AH202" s="361">
        <f t="shared" si="114"/>
        <v>1.1000000000000001</v>
      </c>
      <c r="AI202" s="356">
        <f t="shared" si="115"/>
        <v>0</v>
      </c>
      <c r="AJ202" s="356">
        <f t="shared" si="116"/>
        <v>0</v>
      </c>
      <c r="AK202" s="360">
        <f t="shared" si="117"/>
        <v>0</v>
      </c>
      <c r="AL202" s="356" t="str">
        <f t="shared" si="118"/>
        <v>-</v>
      </c>
      <c r="AM202" s="356" t="str">
        <f t="shared" si="119"/>
        <v>-</v>
      </c>
      <c r="AN202" s="356" t="str">
        <f t="shared" si="120"/>
        <v>-</v>
      </c>
      <c r="AO202" s="356" t="e">
        <f t="shared" si="121"/>
        <v>#VALUE!</v>
      </c>
      <c r="AP202" s="358" t="str">
        <f t="shared" si="122"/>
        <v>-</v>
      </c>
      <c r="AQ202" s="357" t="str">
        <f t="shared" si="144"/>
        <v>-</v>
      </c>
      <c r="AR202" s="357" t="str">
        <f t="shared" si="145"/>
        <v>-</v>
      </c>
      <c r="AS202" s="356" t="str">
        <f t="shared" si="123"/>
        <v>-</v>
      </c>
      <c r="AT202" s="355" t="str">
        <f t="shared" si="124"/>
        <v>-</v>
      </c>
      <c r="AU202" s="356" t="str">
        <f t="shared" si="125"/>
        <v>-</v>
      </c>
      <c r="AV202" s="356" t="e">
        <f t="shared" si="126"/>
        <v>#DIV/0!</v>
      </c>
      <c r="AW202" s="355" t="str">
        <f t="shared" si="127"/>
        <v>-</v>
      </c>
      <c r="AX202" s="359"/>
      <c r="AY202" s="356" t="str">
        <f t="shared" si="128"/>
        <v>-</v>
      </c>
      <c r="AZ202" s="356" t="str">
        <f t="shared" si="129"/>
        <v>-</v>
      </c>
      <c r="BA202" s="356">
        <f t="shared" si="130"/>
        <v>0</v>
      </c>
      <c r="BB202" s="356" t="e">
        <f t="shared" si="131"/>
        <v>#VALUE!</v>
      </c>
      <c r="BC202" s="358" t="str">
        <f t="shared" si="132"/>
        <v>-</v>
      </c>
      <c r="BD202" s="356" t="e">
        <f t="shared" si="133"/>
        <v>#VALUE!</v>
      </c>
      <c r="BE202" s="357" t="str">
        <f t="shared" si="134"/>
        <v>-</v>
      </c>
      <c r="BF202" s="357" t="str">
        <f t="shared" si="135"/>
        <v>-</v>
      </c>
      <c r="BG202" s="356">
        <f t="shared" si="136"/>
        <v>0</v>
      </c>
    </row>
    <row r="203" spans="1:59" x14ac:dyDescent="0.25">
      <c r="A203" s="355">
        <f t="shared" si="137"/>
        <v>176</v>
      </c>
      <c r="B203" s="363"/>
      <c r="C203" s="363"/>
      <c r="D203" s="363"/>
      <c r="E203" s="363"/>
      <c r="F203" s="363"/>
      <c r="G203" s="363"/>
      <c r="H203" s="359"/>
      <c r="I203" s="359"/>
      <c r="J203" s="362"/>
      <c r="K203" s="359"/>
      <c r="L203" s="359"/>
      <c r="M203" s="359"/>
      <c r="N203" s="359"/>
      <c r="O203" s="359"/>
      <c r="P203" s="359"/>
      <c r="Q203" s="359"/>
      <c r="R203" s="359"/>
      <c r="S203" s="359"/>
      <c r="T203" s="359"/>
      <c r="U203" s="359"/>
      <c r="V203" s="359"/>
      <c r="W203" s="359"/>
      <c r="X203" s="359"/>
      <c r="Y203" s="359"/>
      <c r="Z203" s="359"/>
      <c r="AA203" s="356">
        <f t="shared" si="113"/>
        <v>0</v>
      </c>
      <c r="AB203" s="356">
        <f t="shared" si="138"/>
        <v>0</v>
      </c>
      <c r="AC203" s="356">
        <f t="shared" si="139"/>
        <v>0</v>
      </c>
      <c r="AD203" s="356">
        <f t="shared" si="140"/>
        <v>0</v>
      </c>
      <c r="AE203" s="356">
        <f t="shared" si="141"/>
        <v>0</v>
      </c>
      <c r="AF203" s="356">
        <f t="shared" si="142"/>
        <v>0</v>
      </c>
      <c r="AG203" s="356">
        <f t="shared" si="143"/>
        <v>0</v>
      </c>
      <c r="AH203" s="361">
        <f t="shared" si="114"/>
        <v>1.1000000000000001</v>
      </c>
      <c r="AI203" s="356">
        <f t="shared" si="115"/>
        <v>0</v>
      </c>
      <c r="AJ203" s="356">
        <f t="shared" si="116"/>
        <v>0</v>
      </c>
      <c r="AK203" s="360">
        <f t="shared" si="117"/>
        <v>0</v>
      </c>
      <c r="AL203" s="356" t="str">
        <f t="shared" si="118"/>
        <v>-</v>
      </c>
      <c r="AM203" s="356" t="str">
        <f t="shared" si="119"/>
        <v>-</v>
      </c>
      <c r="AN203" s="356" t="str">
        <f t="shared" si="120"/>
        <v>-</v>
      </c>
      <c r="AO203" s="356" t="e">
        <f t="shared" si="121"/>
        <v>#VALUE!</v>
      </c>
      <c r="AP203" s="358" t="str">
        <f t="shared" si="122"/>
        <v>-</v>
      </c>
      <c r="AQ203" s="357" t="str">
        <f t="shared" si="144"/>
        <v>-</v>
      </c>
      <c r="AR203" s="357" t="str">
        <f t="shared" si="145"/>
        <v>-</v>
      </c>
      <c r="AS203" s="356" t="str">
        <f t="shared" si="123"/>
        <v>-</v>
      </c>
      <c r="AT203" s="355" t="str">
        <f t="shared" si="124"/>
        <v>-</v>
      </c>
      <c r="AU203" s="356" t="str">
        <f t="shared" si="125"/>
        <v>-</v>
      </c>
      <c r="AV203" s="356" t="e">
        <f t="shared" si="126"/>
        <v>#DIV/0!</v>
      </c>
      <c r="AW203" s="355" t="str">
        <f t="shared" si="127"/>
        <v>-</v>
      </c>
      <c r="AX203" s="359"/>
      <c r="AY203" s="356" t="str">
        <f t="shared" si="128"/>
        <v>-</v>
      </c>
      <c r="AZ203" s="356" t="str">
        <f t="shared" si="129"/>
        <v>-</v>
      </c>
      <c r="BA203" s="356">
        <f t="shared" si="130"/>
        <v>0</v>
      </c>
      <c r="BB203" s="356" t="e">
        <f t="shared" si="131"/>
        <v>#VALUE!</v>
      </c>
      <c r="BC203" s="358" t="str">
        <f t="shared" si="132"/>
        <v>-</v>
      </c>
      <c r="BD203" s="356" t="e">
        <f t="shared" si="133"/>
        <v>#VALUE!</v>
      </c>
      <c r="BE203" s="357" t="str">
        <f t="shared" si="134"/>
        <v>-</v>
      </c>
      <c r="BF203" s="357" t="str">
        <f t="shared" si="135"/>
        <v>-</v>
      </c>
      <c r="BG203" s="356">
        <f t="shared" si="136"/>
        <v>0</v>
      </c>
    </row>
    <row r="204" spans="1:59" x14ac:dyDescent="0.25">
      <c r="A204" s="355">
        <f t="shared" si="137"/>
        <v>177</v>
      </c>
      <c r="B204" s="363"/>
      <c r="C204" s="363"/>
      <c r="D204" s="363"/>
      <c r="E204" s="363"/>
      <c r="F204" s="363"/>
      <c r="G204" s="363"/>
      <c r="H204" s="359"/>
      <c r="I204" s="359"/>
      <c r="J204" s="362"/>
      <c r="K204" s="359"/>
      <c r="L204" s="359"/>
      <c r="M204" s="359"/>
      <c r="N204" s="359"/>
      <c r="O204" s="359"/>
      <c r="P204" s="359"/>
      <c r="Q204" s="359"/>
      <c r="R204" s="359"/>
      <c r="S204" s="359"/>
      <c r="T204" s="359"/>
      <c r="U204" s="359"/>
      <c r="V204" s="359"/>
      <c r="W204" s="359"/>
      <c r="X204" s="359"/>
      <c r="Y204" s="359"/>
      <c r="Z204" s="359"/>
      <c r="AA204" s="356">
        <f t="shared" si="113"/>
        <v>0</v>
      </c>
      <c r="AB204" s="356">
        <f t="shared" si="138"/>
        <v>0</v>
      </c>
      <c r="AC204" s="356">
        <f t="shared" si="139"/>
        <v>0</v>
      </c>
      <c r="AD204" s="356">
        <f t="shared" si="140"/>
        <v>0</v>
      </c>
      <c r="AE204" s="356">
        <f t="shared" si="141"/>
        <v>0</v>
      </c>
      <c r="AF204" s="356">
        <f t="shared" si="142"/>
        <v>0</v>
      </c>
      <c r="AG204" s="356">
        <f t="shared" si="143"/>
        <v>0</v>
      </c>
      <c r="AH204" s="361">
        <f t="shared" si="114"/>
        <v>1.1000000000000001</v>
      </c>
      <c r="AI204" s="356">
        <f t="shared" si="115"/>
        <v>0</v>
      </c>
      <c r="AJ204" s="356">
        <f t="shared" si="116"/>
        <v>0</v>
      </c>
      <c r="AK204" s="360">
        <f t="shared" si="117"/>
        <v>0</v>
      </c>
      <c r="AL204" s="356" t="str">
        <f t="shared" si="118"/>
        <v>-</v>
      </c>
      <c r="AM204" s="356" t="str">
        <f t="shared" si="119"/>
        <v>-</v>
      </c>
      <c r="AN204" s="356" t="str">
        <f t="shared" si="120"/>
        <v>-</v>
      </c>
      <c r="AO204" s="356" t="e">
        <f t="shared" si="121"/>
        <v>#VALUE!</v>
      </c>
      <c r="AP204" s="358" t="str">
        <f t="shared" si="122"/>
        <v>-</v>
      </c>
      <c r="AQ204" s="357" t="str">
        <f t="shared" si="144"/>
        <v>-</v>
      </c>
      <c r="AR204" s="357" t="str">
        <f t="shared" si="145"/>
        <v>-</v>
      </c>
      <c r="AS204" s="356" t="str">
        <f t="shared" si="123"/>
        <v>-</v>
      </c>
      <c r="AT204" s="355" t="str">
        <f t="shared" si="124"/>
        <v>-</v>
      </c>
      <c r="AU204" s="356" t="str">
        <f t="shared" si="125"/>
        <v>-</v>
      </c>
      <c r="AV204" s="356" t="e">
        <f t="shared" si="126"/>
        <v>#DIV/0!</v>
      </c>
      <c r="AW204" s="355" t="str">
        <f t="shared" si="127"/>
        <v>-</v>
      </c>
      <c r="AX204" s="359"/>
      <c r="AY204" s="356" t="str">
        <f t="shared" si="128"/>
        <v>-</v>
      </c>
      <c r="AZ204" s="356" t="str">
        <f t="shared" si="129"/>
        <v>-</v>
      </c>
      <c r="BA204" s="356">
        <f t="shared" si="130"/>
        <v>0</v>
      </c>
      <c r="BB204" s="356" t="e">
        <f t="shared" si="131"/>
        <v>#VALUE!</v>
      </c>
      <c r="BC204" s="358" t="str">
        <f t="shared" si="132"/>
        <v>-</v>
      </c>
      <c r="BD204" s="356" t="e">
        <f t="shared" si="133"/>
        <v>#VALUE!</v>
      </c>
      <c r="BE204" s="357" t="str">
        <f t="shared" si="134"/>
        <v>-</v>
      </c>
      <c r="BF204" s="357" t="str">
        <f t="shared" si="135"/>
        <v>-</v>
      </c>
      <c r="BG204" s="356">
        <f t="shared" si="136"/>
        <v>0</v>
      </c>
    </row>
    <row r="205" spans="1:59" x14ac:dyDescent="0.25">
      <c r="A205" s="355">
        <f t="shared" si="137"/>
        <v>178</v>
      </c>
      <c r="B205" s="363"/>
      <c r="C205" s="363"/>
      <c r="D205" s="363"/>
      <c r="E205" s="363"/>
      <c r="F205" s="363"/>
      <c r="G205" s="363"/>
      <c r="H205" s="359"/>
      <c r="I205" s="359"/>
      <c r="J205" s="362"/>
      <c r="K205" s="359"/>
      <c r="L205" s="359"/>
      <c r="M205" s="359"/>
      <c r="N205" s="359"/>
      <c r="O205" s="359"/>
      <c r="P205" s="359"/>
      <c r="Q205" s="359"/>
      <c r="R205" s="359"/>
      <c r="S205" s="359"/>
      <c r="T205" s="359"/>
      <c r="U205" s="359"/>
      <c r="V205" s="359"/>
      <c r="W205" s="359"/>
      <c r="X205" s="359"/>
      <c r="Y205" s="359"/>
      <c r="Z205" s="359"/>
      <c r="AA205" s="356">
        <f t="shared" si="113"/>
        <v>0</v>
      </c>
      <c r="AB205" s="356">
        <f t="shared" si="138"/>
        <v>0</v>
      </c>
      <c r="AC205" s="356">
        <f t="shared" si="139"/>
        <v>0</v>
      </c>
      <c r="AD205" s="356">
        <f t="shared" si="140"/>
        <v>0</v>
      </c>
      <c r="AE205" s="356">
        <f t="shared" si="141"/>
        <v>0</v>
      </c>
      <c r="AF205" s="356">
        <f t="shared" si="142"/>
        <v>0</v>
      </c>
      <c r="AG205" s="356">
        <f t="shared" si="143"/>
        <v>0</v>
      </c>
      <c r="AH205" s="361">
        <f t="shared" si="114"/>
        <v>1.1000000000000001</v>
      </c>
      <c r="AI205" s="356">
        <f t="shared" si="115"/>
        <v>0</v>
      </c>
      <c r="AJ205" s="356">
        <f t="shared" si="116"/>
        <v>0</v>
      </c>
      <c r="AK205" s="360">
        <f t="shared" si="117"/>
        <v>0</v>
      </c>
      <c r="AL205" s="356" t="str">
        <f t="shared" si="118"/>
        <v>-</v>
      </c>
      <c r="AM205" s="356" t="str">
        <f t="shared" si="119"/>
        <v>-</v>
      </c>
      <c r="AN205" s="356" t="str">
        <f t="shared" si="120"/>
        <v>-</v>
      </c>
      <c r="AO205" s="356" t="e">
        <f t="shared" si="121"/>
        <v>#VALUE!</v>
      </c>
      <c r="AP205" s="358" t="str">
        <f t="shared" si="122"/>
        <v>-</v>
      </c>
      <c r="AQ205" s="357" t="str">
        <f t="shared" si="144"/>
        <v>-</v>
      </c>
      <c r="AR205" s="357" t="str">
        <f t="shared" si="145"/>
        <v>-</v>
      </c>
      <c r="AS205" s="356" t="str">
        <f t="shared" si="123"/>
        <v>-</v>
      </c>
      <c r="AT205" s="355" t="str">
        <f t="shared" si="124"/>
        <v>-</v>
      </c>
      <c r="AU205" s="356" t="str">
        <f t="shared" si="125"/>
        <v>-</v>
      </c>
      <c r="AV205" s="356" t="e">
        <f t="shared" si="126"/>
        <v>#DIV/0!</v>
      </c>
      <c r="AW205" s="355" t="str">
        <f t="shared" si="127"/>
        <v>-</v>
      </c>
      <c r="AX205" s="359"/>
      <c r="AY205" s="356" t="str">
        <f t="shared" si="128"/>
        <v>-</v>
      </c>
      <c r="AZ205" s="356" t="str">
        <f t="shared" si="129"/>
        <v>-</v>
      </c>
      <c r="BA205" s="356">
        <f t="shared" si="130"/>
        <v>0</v>
      </c>
      <c r="BB205" s="356" t="e">
        <f t="shared" si="131"/>
        <v>#VALUE!</v>
      </c>
      <c r="BC205" s="358" t="str">
        <f t="shared" si="132"/>
        <v>-</v>
      </c>
      <c r="BD205" s="356" t="e">
        <f t="shared" si="133"/>
        <v>#VALUE!</v>
      </c>
      <c r="BE205" s="357" t="str">
        <f t="shared" si="134"/>
        <v>-</v>
      </c>
      <c r="BF205" s="357" t="str">
        <f t="shared" si="135"/>
        <v>-</v>
      </c>
      <c r="BG205" s="356">
        <f t="shared" si="136"/>
        <v>0</v>
      </c>
    </row>
    <row r="206" spans="1:59" x14ac:dyDescent="0.25">
      <c r="A206" s="355">
        <f t="shared" si="137"/>
        <v>179</v>
      </c>
      <c r="B206" s="363"/>
      <c r="C206" s="363"/>
      <c r="D206" s="363"/>
      <c r="E206" s="363"/>
      <c r="F206" s="363"/>
      <c r="G206" s="363"/>
      <c r="H206" s="359"/>
      <c r="I206" s="359"/>
      <c r="J206" s="362"/>
      <c r="K206" s="359"/>
      <c r="L206" s="359"/>
      <c r="M206" s="359"/>
      <c r="N206" s="359"/>
      <c r="O206" s="359"/>
      <c r="P206" s="359"/>
      <c r="Q206" s="359"/>
      <c r="R206" s="359"/>
      <c r="S206" s="359"/>
      <c r="T206" s="359"/>
      <c r="U206" s="359"/>
      <c r="V206" s="359"/>
      <c r="W206" s="359"/>
      <c r="X206" s="359"/>
      <c r="Y206" s="359"/>
      <c r="Z206" s="359"/>
      <c r="AA206" s="356">
        <f t="shared" si="113"/>
        <v>0</v>
      </c>
      <c r="AB206" s="356">
        <f t="shared" si="138"/>
        <v>0</v>
      </c>
      <c r="AC206" s="356">
        <f t="shared" si="139"/>
        <v>0</v>
      </c>
      <c r="AD206" s="356">
        <f t="shared" si="140"/>
        <v>0</v>
      </c>
      <c r="AE206" s="356">
        <f t="shared" si="141"/>
        <v>0</v>
      </c>
      <c r="AF206" s="356">
        <f t="shared" si="142"/>
        <v>0</v>
      </c>
      <c r="AG206" s="356">
        <f t="shared" si="143"/>
        <v>0</v>
      </c>
      <c r="AH206" s="361">
        <f t="shared" si="114"/>
        <v>1.1000000000000001</v>
      </c>
      <c r="AI206" s="356">
        <f t="shared" si="115"/>
        <v>0</v>
      </c>
      <c r="AJ206" s="356">
        <f t="shared" si="116"/>
        <v>0</v>
      </c>
      <c r="AK206" s="360">
        <f t="shared" si="117"/>
        <v>0</v>
      </c>
      <c r="AL206" s="356" t="str">
        <f t="shared" si="118"/>
        <v>-</v>
      </c>
      <c r="AM206" s="356" t="str">
        <f t="shared" si="119"/>
        <v>-</v>
      </c>
      <c r="AN206" s="356" t="str">
        <f t="shared" si="120"/>
        <v>-</v>
      </c>
      <c r="AO206" s="356" t="e">
        <f t="shared" si="121"/>
        <v>#VALUE!</v>
      </c>
      <c r="AP206" s="358" t="str">
        <f t="shared" si="122"/>
        <v>-</v>
      </c>
      <c r="AQ206" s="357" t="str">
        <f t="shared" si="144"/>
        <v>-</v>
      </c>
      <c r="AR206" s="357" t="str">
        <f t="shared" si="145"/>
        <v>-</v>
      </c>
      <c r="AS206" s="356" t="str">
        <f t="shared" si="123"/>
        <v>-</v>
      </c>
      <c r="AT206" s="355" t="str">
        <f t="shared" si="124"/>
        <v>-</v>
      </c>
      <c r="AU206" s="356" t="str">
        <f t="shared" si="125"/>
        <v>-</v>
      </c>
      <c r="AV206" s="356" t="e">
        <f t="shared" si="126"/>
        <v>#DIV/0!</v>
      </c>
      <c r="AW206" s="355" t="str">
        <f t="shared" si="127"/>
        <v>-</v>
      </c>
      <c r="AX206" s="359"/>
      <c r="AY206" s="356" t="str">
        <f t="shared" si="128"/>
        <v>-</v>
      </c>
      <c r="AZ206" s="356" t="str">
        <f t="shared" si="129"/>
        <v>-</v>
      </c>
      <c r="BA206" s="356">
        <f t="shared" si="130"/>
        <v>0</v>
      </c>
      <c r="BB206" s="356" t="e">
        <f t="shared" si="131"/>
        <v>#VALUE!</v>
      </c>
      <c r="BC206" s="358" t="str">
        <f t="shared" si="132"/>
        <v>-</v>
      </c>
      <c r="BD206" s="356" t="e">
        <f t="shared" si="133"/>
        <v>#VALUE!</v>
      </c>
      <c r="BE206" s="357" t="str">
        <f t="shared" si="134"/>
        <v>-</v>
      </c>
      <c r="BF206" s="357" t="str">
        <f t="shared" si="135"/>
        <v>-</v>
      </c>
      <c r="BG206" s="356">
        <f t="shared" si="136"/>
        <v>0</v>
      </c>
    </row>
    <row r="207" spans="1:59" x14ac:dyDescent="0.25">
      <c r="A207" s="355">
        <f t="shared" si="137"/>
        <v>180</v>
      </c>
      <c r="B207" s="363"/>
      <c r="C207" s="363"/>
      <c r="D207" s="363"/>
      <c r="E207" s="363"/>
      <c r="F207" s="363"/>
      <c r="G207" s="363"/>
      <c r="H207" s="359"/>
      <c r="I207" s="359"/>
      <c r="J207" s="362"/>
      <c r="K207" s="359"/>
      <c r="L207" s="359"/>
      <c r="M207" s="359"/>
      <c r="N207" s="359"/>
      <c r="O207" s="359"/>
      <c r="P207" s="359"/>
      <c r="Q207" s="359"/>
      <c r="R207" s="359"/>
      <c r="S207" s="359"/>
      <c r="T207" s="359"/>
      <c r="U207" s="359"/>
      <c r="V207" s="359"/>
      <c r="W207" s="359"/>
      <c r="X207" s="359"/>
      <c r="Y207" s="359"/>
      <c r="Z207" s="359"/>
      <c r="AA207" s="356">
        <f t="shared" si="113"/>
        <v>0</v>
      </c>
      <c r="AB207" s="356">
        <f t="shared" si="138"/>
        <v>0</v>
      </c>
      <c r="AC207" s="356">
        <f t="shared" si="139"/>
        <v>0</v>
      </c>
      <c r="AD207" s="356">
        <f t="shared" si="140"/>
        <v>0</v>
      </c>
      <c r="AE207" s="356">
        <f t="shared" si="141"/>
        <v>0</v>
      </c>
      <c r="AF207" s="356">
        <f t="shared" si="142"/>
        <v>0</v>
      </c>
      <c r="AG207" s="356">
        <f t="shared" si="143"/>
        <v>0</v>
      </c>
      <c r="AH207" s="361">
        <f t="shared" si="114"/>
        <v>1.1000000000000001</v>
      </c>
      <c r="AI207" s="356">
        <f t="shared" si="115"/>
        <v>0</v>
      </c>
      <c r="AJ207" s="356">
        <f t="shared" si="116"/>
        <v>0</v>
      </c>
      <c r="AK207" s="360">
        <f t="shared" si="117"/>
        <v>0</v>
      </c>
      <c r="AL207" s="356" t="str">
        <f t="shared" si="118"/>
        <v>-</v>
      </c>
      <c r="AM207" s="356" t="str">
        <f t="shared" si="119"/>
        <v>-</v>
      </c>
      <c r="AN207" s="356" t="str">
        <f t="shared" si="120"/>
        <v>-</v>
      </c>
      <c r="AO207" s="356" t="e">
        <f t="shared" si="121"/>
        <v>#VALUE!</v>
      </c>
      <c r="AP207" s="358" t="str">
        <f t="shared" si="122"/>
        <v>-</v>
      </c>
      <c r="AQ207" s="357" t="str">
        <f t="shared" si="144"/>
        <v>-</v>
      </c>
      <c r="AR207" s="357" t="str">
        <f t="shared" si="145"/>
        <v>-</v>
      </c>
      <c r="AS207" s="356" t="str">
        <f t="shared" si="123"/>
        <v>-</v>
      </c>
      <c r="AT207" s="355" t="str">
        <f t="shared" si="124"/>
        <v>-</v>
      </c>
      <c r="AU207" s="356" t="str">
        <f t="shared" si="125"/>
        <v>-</v>
      </c>
      <c r="AV207" s="356" t="e">
        <f t="shared" si="126"/>
        <v>#DIV/0!</v>
      </c>
      <c r="AW207" s="355" t="str">
        <f t="shared" si="127"/>
        <v>-</v>
      </c>
      <c r="AX207" s="359"/>
      <c r="AY207" s="356" t="str">
        <f t="shared" si="128"/>
        <v>-</v>
      </c>
      <c r="AZ207" s="356" t="str">
        <f t="shared" si="129"/>
        <v>-</v>
      </c>
      <c r="BA207" s="356">
        <f t="shared" si="130"/>
        <v>0</v>
      </c>
      <c r="BB207" s="356" t="e">
        <f t="shared" si="131"/>
        <v>#VALUE!</v>
      </c>
      <c r="BC207" s="358" t="str">
        <f t="shared" si="132"/>
        <v>-</v>
      </c>
      <c r="BD207" s="356" t="e">
        <f t="shared" si="133"/>
        <v>#VALUE!</v>
      </c>
      <c r="BE207" s="357" t="str">
        <f t="shared" si="134"/>
        <v>-</v>
      </c>
      <c r="BF207" s="357" t="str">
        <f t="shared" si="135"/>
        <v>-</v>
      </c>
      <c r="BG207" s="356">
        <f t="shared" si="136"/>
        <v>0</v>
      </c>
    </row>
    <row r="208" spans="1:59" x14ac:dyDescent="0.25">
      <c r="A208" s="355">
        <f t="shared" si="137"/>
        <v>181</v>
      </c>
      <c r="B208" s="363"/>
      <c r="C208" s="363"/>
      <c r="D208" s="363"/>
      <c r="E208" s="363"/>
      <c r="F208" s="363"/>
      <c r="G208" s="363"/>
      <c r="H208" s="359"/>
      <c r="I208" s="359"/>
      <c r="J208" s="362"/>
      <c r="K208" s="359"/>
      <c r="L208" s="359"/>
      <c r="M208" s="359"/>
      <c r="N208" s="359"/>
      <c r="O208" s="359"/>
      <c r="P208" s="359"/>
      <c r="Q208" s="359"/>
      <c r="R208" s="359"/>
      <c r="S208" s="359"/>
      <c r="T208" s="359"/>
      <c r="U208" s="359"/>
      <c r="V208" s="359"/>
      <c r="W208" s="359"/>
      <c r="X208" s="359"/>
      <c r="Y208" s="359"/>
      <c r="Z208" s="359"/>
      <c r="AA208" s="356">
        <f t="shared" si="113"/>
        <v>0</v>
      </c>
      <c r="AB208" s="356">
        <f t="shared" si="138"/>
        <v>0</v>
      </c>
      <c r="AC208" s="356">
        <f t="shared" si="139"/>
        <v>0</v>
      </c>
      <c r="AD208" s="356">
        <f t="shared" si="140"/>
        <v>0</v>
      </c>
      <c r="AE208" s="356">
        <f t="shared" si="141"/>
        <v>0</v>
      </c>
      <c r="AF208" s="356">
        <f t="shared" si="142"/>
        <v>0</v>
      </c>
      <c r="AG208" s="356">
        <f t="shared" si="143"/>
        <v>0</v>
      </c>
      <c r="AH208" s="361">
        <f t="shared" si="114"/>
        <v>1.1000000000000001</v>
      </c>
      <c r="AI208" s="356">
        <f t="shared" si="115"/>
        <v>0</v>
      </c>
      <c r="AJ208" s="356">
        <f t="shared" si="116"/>
        <v>0</v>
      </c>
      <c r="AK208" s="360">
        <f t="shared" si="117"/>
        <v>0</v>
      </c>
      <c r="AL208" s="356" t="str">
        <f t="shared" si="118"/>
        <v>-</v>
      </c>
      <c r="AM208" s="356" t="str">
        <f t="shared" si="119"/>
        <v>-</v>
      </c>
      <c r="AN208" s="356" t="str">
        <f t="shared" si="120"/>
        <v>-</v>
      </c>
      <c r="AO208" s="356" t="e">
        <f t="shared" si="121"/>
        <v>#VALUE!</v>
      </c>
      <c r="AP208" s="358" t="str">
        <f t="shared" si="122"/>
        <v>-</v>
      </c>
      <c r="AQ208" s="357" t="str">
        <f t="shared" si="144"/>
        <v>-</v>
      </c>
      <c r="AR208" s="357" t="str">
        <f t="shared" si="145"/>
        <v>-</v>
      </c>
      <c r="AS208" s="356" t="str">
        <f t="shared" si="123"/>
        <v>-</v>
      </c>
      <c r="AT208" s="355" t="str">
        <f t="shared" si="124"/>
        <v>-</v>
      </c>
      <c r="AU208" s="356" t="str">
        <f t="shared" si="125"/>
        <v>-</v>
      </c>
      <c r="AV208" s="356" t="e">
        <f t="shared" si="126"/>
        <v>#DIV/0!</v>
      </c>
      <c r="AW208" s="355" t="str">
        <f t="shared" si="127"/>
        <v>-</v>
      </c>
      <c r="AX208" s="359"/>
      <c r="AY208" s="356" t="str">
        <f t="shared" si="128"/>
        <v>-</v>
      </c>
      <c r="AZ208" s="356" t="str">
        <f t="shared" si="129"/>
        <v>-</v>
      </c>
      <c r="BA208" s="356">
        <f t="shared" si="130"/>
        <v>0</v>
      </c>
      <c r="BB208" s="356" t="e">
        <f t="shared" si="131"/>
        <v>#VALUE!</v>
      </c>
      <c r="BC208" s="358" t="str">
        <f t="shared" si="132"/>
        <v>-</v>
      </c>
      <c r="BD208" s="356" t="e">
        <f t="shared" si="133"/>
        <v>#VALUE!</v>
      </c>
      <c r="BE208" s="357" t="str">
        <f t="shared" si="134"/>
        <v>-</v>
      </c>
      <c r="BF208" s="357" t="str">
        <f t="shared" si="135"/>
        <v>-</v>
      </c>
      <c r="BG208" s="356">
        <f t="shared" si="136"/>
        <v>0</v>
      </c>
    </row>
    <row r="209" spans="1:59" x14ac:dyDescent="0.25">
      <c r="A209" s="355">
        <f t="shared" si="137"/>
        <v>182</v>
      </c>
      <c r="B209" s="363"/>
      <c r="C209" s="363"/>
      <c r="D209" s="363"/>
      <c r="E209" s="363"/>
      <c r="F209" s="363"/>
      <c r="G209" s="363"/>
      <c r="H209" s="359"/>
      <c r="I209" s="359"/>
      <c r="J209" s="362"/>
      <c r="K209" s="359"/>
      <c r="L209" s="359"/>
      <c r="M209" s="359"/>
      <c r="N209" s="359"/>
      <c r="O209" s="359"/>
      <c r="P209" s="359"/>
      <c r="Q209" s="359"/>
      <c r="R209" s="359"/>
      <c r="S209" s="359"/>
      <c r="T209" s="359"/>
      <c r="U209" s="359"/>
      <c r="V209" s="359"/>
      <c r="W209" s="359"/>
      <c r="X209" s="359"/>
      <c r="Y209" s="359"/>
      <c r="Z209" s="359"/>
      <c r="AA209" s="356">
        <f t="shared" si="113"/>
        <v>0</v>
      </c>
      <c r="AB209" s="356">
        <f t="shared" si="138"/>
        <v>0</v>
      </c>
      <c r="AC209" s="356">
        <f t="shared" si="139"/>
        <v>0</v>
      </c>
      <c r="AD209" s="356">
        <f t="shared" si="140"/>
        <v>0</v>
      </c>
      <c r="AE209" s="356">
        <f t="shared" si="141"/>
        <v>0</v>
      </c>
      <c r="AF209" s="356">
        <f t="shared" si="142"/>
        <v>0</v>
      </c>
      <c r="AG209" s="356">
        <f t="shared" si="143"/>
        <v>0</v>
      </c>
      <c r="AH209" s="361">
        <f t="shared" si="114"/>
        <v>1.1000000000000001</v>
      </c>
      <c r="AI209" s="356">
        <f t="shared" si="115"/>
        <v>0</v>
      </c>
      <c r="AJ209" s="356">
        <f t="shared" si="116"/>
        <v>0</v>
      </c>
      <c r="AK209" s="360">
        <f t="shared" si="117"/>
        <v>0</v>
      </c>
      <c r="AL209" s="356" t="str">
        <f t="shared" si="118"/>
        <v>-</v>
      </c>
      <c r="AM209" s="356" t="str">
        <f t="shared" si="119"/>
        <v>-</v>
      </c>
      <c r="AN209" s="356" t="str">
        <f t="shared" si="120"/>
        <v>-</v>
      </c>
      <c r="AO209" s="356" t="e">
        <f t="shared" si="121"/>
        <v>#VALUE!</v>
      </c>
      <c r="AP209" s="358" t="str">
        <f t="shared" si="122"/>
        <v>-</v>
      </c>
      <c r="AQ209" s="357" t="str">
        <f t="shared" si="144"/>
        <v>-</v>
      </c>
      <c r="AR209" s="357" t="str">
        <f t="shared" si="145"/>
        <v>-</v>
      </c>
      <c r="AS209" s="356" t="str">
        <f t="shared" si="123"/>
        <v>-</v>
      </c>
      <c r="AT209" s="355" t="str">
        <f t="shared" si="124"/>
        <v>-</v>
      </c>
      <c r="AU209" s="356" t="str">
        <f t="shared" si="125"/>
        <v>-</v>
      </c>
      <c r="AV209" s="356" t="e">
        <f t="shared" si="126"/>
        <v>#DIV/0!</v>
      </c>
      <c r="AW209" s="355" t="str">
        <f t="shared" si="127"/>
        <v>-</v>
      </c>
      <c r="AX209" s="359"/>
      <c r="AY209" s="356" t="str">
        <f t="shared" si="128"/>
        <v>-</v>
      </c>
      <c r="AZ209" s="356" t="str">
        <f t="shared" si="129"/>
        <v>-</v>
      </c>
      <c r="BA209" s="356">
        <f t="shared" si="130"/>
        <v>0</v>
      </c>
      <c r="BB209" s="356" t="e">
        <f t="shared" si="131"/>
        <v>#VALUE!</v>
      </c>
      <c r="BC209" s="358" t="str">
        <f t="shared" si="132"/>
        <v>-</v>
      </c>
      <c r="BD209" s="356" t="e">
        <f t="shared" si="133"/>
        <v>#VALUE!</v>
      </c>
      <c r="BE209" s="357" t="str">
        <f t="shared" si="134"/>
        <v>-</v>
      </c>
      <c r="BF209" s="357" t="str">
        <f t="shared" si="135"/>
        <v>-</v>
      </c>
      <c r="BG209" s="356">
        <f t="shared" si="136"/>
        <v>0</v>
      </c>
    </row>
    <row r="210" spans="1:59" x14ac:dyDescent="0.25">
      <c r="A210" s="355">
        <f t="shared" si="137"/>
        <v>183</v>
      </c>
      <c r="B210" s="363"/>
      <c r="C210" s="363"/>
      <c r="D210" s="363"/>
      <c r="E210" s="363"/>
      <c r="F210" s="363"/>
      <c r="G210" s="363"/>
      <c r="H210" s="359"/>
      <c r="I210" s="359"/>
      <c r="J210" s="362"/>
      <c r="K210" s="359"/>
      <c r="L210" s="359"/>
      <c r="M210" s="359"/>
      <c r="N210" s="359"/>
      <c r="O210" s="359"/>
      <c r="P210" s="359"/>
      <c r="Q210" s="359"/>
      <c r="R210" s="359"/>
      <c r="S210" s="359"/>
      <c r="T210" s="359"/>
      <c r="U210" s="359"/>
      <c r="V210" s="359"/>
      <c r="W210" s="359"/>
      <c r="X210" s="359"/>
      <c r="Y210" s="359"/>
      <c r="Z210" s="359"/>
      <c r="AA210" s="356">
        <f t="shared" si="113"/>
        <v>0</v>
      </c>
      <c r="AB210" s="356">
        <f t="shared" si="138"/>
        <v>0</v>
      </c>
      <c r="AC210" s="356">
        <f t="shared" si="139"/>
        <v>0</v>
      </c>
      <c r="AD210" s="356">
        <f t="shared" si="140"/>
        <v>0</v>
      </c>
      <c r="AE210" s="356">
        <f t="shared" si="141"/>
        <v>0</v>
      </c>
      <c r="AF210" s="356">
        <f t="shared" si="142"/>
        <v>0</v>
      </c>
      <c r="AG210" s="356">
        <f t="shared" si="143"/>
        <v>0</v>
      </c>
      <c r="AH210" s="361">
        <f t="shared" si="114"/>
        <v>1.1000000000000001</v>
      </c>
      <c r="AI210" s="356">
        <f t="shared" si="115"/>
        <v>0</v>
      </c>
      <c r="AJ210" s="356">
        <f t="shared" si="116"/>
        <v>0</v>
      </c>
      <c r="AK210" s="360">
        <f t="shared" si="117"/>
        <v>0</v>
      </c>
      <c r="AL210" s="356" t="str">
        <f t="shared" si="118"/>
        <v>-</v>
      </c>
      <c r="AM210" s="356" t="str">
        <f t="shared" si="119"/>
        <v>-</v>
      </c>
      <c r="AN210" s="356" t="str">
        <f t="shared" si="120"/>
        <v>-</v>
      </c>
      <c r="AO210" s="356" t="e">
        <f t="shared" si="121"/>
        <v>#VALUE!</v>
      </c>
      <c r="AP210" s="358" t="str">
        <f t="shared" si="122"/>
        <v>-</v>
      </c>
      <c r="AQ210" s="357" t="str">
        <f t="shared" si="144"/>
        <v>-</v>
      </c>
      <c r="AR210" s="357" t="str">
        <f t="shared" si="145"/>
        <v>-</v>
      </c>
      <c r="AS210" s="356" t="str">
        <f t="shared" si="123"/>
        <v>-</v>
      </c>
      <c r="AT210" s="355" t="str">
        <f t="shared" si="124"/>
        <v>-</v>
      </c>
      <c r="AU210" s="356" t="str">
        <f t="shared" si="125"/>
        <v>-</v>
      </c>
      <c r="AV210" s="356" t="e">
        <f t="shared" si="126"/>
        <v>#DIV/0!</v>
      </c>
      <c r="AW210" s="355" t="str">
        <f t="shared" si="127"/>
        <v>-</v>
      </c>
      <c r="AX210" s="359"/>
      <c r="AY210" s="356" t="str">
        <f t="shared" si="128"/>
        <v>-</v>
      </c>
      <c r="AZ210" s="356" t="str">
        <f t="shared" si="129"/>
        <v>-</v>
      </c>
      <c r="BA210" s="356">
        <f t="shared" si="130"/>
        <v>0</v>
      </c>
      <c r="BB210" s="356" t="e">
        <f t="shared" si="131"/>
        <v>#VALUE!</v>
      </c>
      <c r="BC210" s="358" t="str">
        <f t="shared" si="132"/>
        <v>-</v>
      </c>
      <c r="BD210" s="356" t="e">
        <f t="shared" si="133"/>
        <v>#VALUE!</v>
      </c>
      <c r="BE210" s="357" t="str">
        <f t="shared" si="134"/>
        <v>-</v>
      </c>
      <c r="BF210" s="357" t="str">
        <f t="shared" si="135"/>
        <v>-</v>
      </c>
      <c r="BG210" s="356">
        <f t="shared" si="136"/>
        <v>0</v>
      </c>
    </row>
    <row r="211" spans="1:59" x14ac:dyDescent="0.25">
      <c r="A211" s="355">
        <f t="shared" si="137"/>
        <v>184</v>
      </c>
      <c r="B211" s="363"/>
      <c r="C211" s="363"/>
      <c r="D211" s="363"/>
      <c r="E211" s="363"/>
      <c r="F211" s="363"/>
      <c r="G211" s="363"/>
      <c r="H211" s="359"/>
      <c r="I211" s="359"/>
      <c r="J211" s="362"/>
      <c r="K211" s="359"/>
      <c r="L211" s="359"/>
      <c r="M211" s="359"/>
      <c r="N211" s="359"/>
      <c r="O211" s="359"/>
      <c r="P211" s="359"/>
      <c r="Q211" s="359"/>
      <c r="R211" s="359"/>
      <c r="S211" s="359"/>
      <c r="T211" s="359"/>
      <c r="U211" s="359"/>
      <c r="V211" s="359"/>
      <c r="W211" s="359"/>
      <c r="X211" s="359"/>
      <c r="Y211" s="359"/>
      <c r="Z211" s="359"/>
      <c r="AA211" s="356">
        <f t="shared" si="113"/>
        <v>0</v>
      </c>
      <c r="AB211" s="356">
        <f t="shared" si="138"/>
        <v>0</v>
      </c>
      <c r="AC211" s="356">
        <f t="shared" si="139"/>
        <v>0</v>
      </c>
      <c r="AD211" s="356">
        <f t="shared" si="140"/>
        <v>0</v>
      </c>
      <c r="AE211" s="356">
        <f t="shared" si="141"/>
        <v>0</v>
      </c>
      <c r="AF211" s="356">
        <f t="shared" si="142"/>
        <v>0</v>
      </c>
      <c r="AG211" s="356">
        <f t="shared" si="143"/>
        <v>0</v>
      </c>
      <c r="AH211" s="361">
        <f t="shared" si="114"/>
        <v>1.1000000000000001</v>
      </c>
      <c r="AI211" s="356">
        <f t="shared" si="115"/>
        <v>0</v>
      </c>
      <c r="AJ211" s="356">
        <f t="shared" si="116"/>
        <v>0</v>
      </c>
      <c r="AK211" s="360">
        <f t="shared" si="117"/>
        <v>0</v>
      </c>
      <c r="AL211" s="356" t="str">
        <f t="shared" si="118"/>
        <v>-</v>
      </c>
      <c r="AM211" s="356" t="str">
        <f t="shared" si="119"/>
        <v>-</v>
      </c>
      <c r="AN211" s="356" t="str">
        <f t="shared" si="120"/>
        <v>-</v>
      </c>
      <c r="AO211" s="356" t="e">
        <f t="shared" si="121"/>
        <v>#VALUE!</v>
      </c>
      <c r="AP211" s="358" t="str">
        <f t="shared" si="122"/>
        <v>-</v>
      </c>
      <c r="AQ211" s="357" t="str">
        <f t="shared" si="144"/>
        <v>-</v>
      </c>
      <c r="AR211" s="357" t="str">
        <f t="shared" si="145"/>
        <v>-</v>
      </c>
      <c r="AS211" s="356" t="str">
        <f t="shared" si="123"/>
        <v>-</v>
      </c>
      <c r="AT211" s="355" t="str">
        <f t="shared" si="124"/>
        <v>-</v>
      </c>
      <c r="AU211" s="356" t="str">
        <f t="shared" si="125"/>
        <v>-</v>
      </c>
      <c r="AV211" s="356" t="e">
        <f t="shared" si="126"/>
        <v>#DIV/0!</v>
      </c>
      <c r="AW211" s="355" t="str">
        <f t="shared" si="127"/>
        <v>-</v>
      </c>
      <c r="AX211" s="359"/>
      <c r="AY211" s="356" t="str">
        <f t="shared" si="128"/>
        <v>-</v>
      </c>
      <c r="AZ211" s="356" t="str">
        <f t="shared" si="129"/>
        <v>-</v>
      </c>
      <c r="BA211" s="356">
        <f t="shared" si="130"/>
        <v>0</v>
      </c>
      <c r="BB211" s="356" t="e">
        <f t="shared" si="131"/>
        <v>#VALUE!</v>
      </c>
      <c r="BC211" s="358" t="str">
        <f t="shared" si="132"/>
        <v>-</v>
      </c>
      <c r="BD211" s="356" t="e">
        <f t="shared" si="133"/>
        <v>#VALUE!</v>
      </c>
      <c r="BE211" s="357" t="str">
        <f t="shared" si="134"/>
        <v>-</v>
      </c>
      <c r="BF211" s="357" t="str">
        <f t="shared" si="135"/>
        <v>-</v>
      </c>
      <c r="BG211" s="356">
        <f t="shared" si="136"/>
        <v>0</v>
      </c>
    </row>
    <row r="212" spans="1:59" x14ac:dyDescent="0.25">
      <c r="A212" s="355">
        <f t="shared" si="137"/>
        <v>185</v>
      </c>
      <c r="B212" s="363"/>
      <c r="C212" s="363"/>
      <c r="D212" s="363"/>
      <c r="E212" s="363"/>
      <c r="F212" s="363"/>
      <c r="G212" s="363"/>
      <c r="H212" s="359"/>
      <c r="I212" s="359"/>
      <c r="J212" s="362"/>
      <c r="K212" s="359"/>
      <c r="L212" s="359"/>
      <c r="M212" s="359"/>
      <c r="N212" s="359"/>
      <c r="O212" s="359"/>
      <c r="P212" s="359"/>
      <c r="Q212" s="359"/>
      <c r="R212" s="359"/>
      <c r="S212" s="359"/>
      <c r="T212" s="359"/>
      <c r="U212" s="359"/>
      <c r="V212" s="359"/>
      <c r="W212" s="359"/>
      <c r="X212" s="359"/>
      <c r="Y212" s="359"/>
      <c r="Z212" s="359"/>
      <c r="AA212" s="356">
        <f t="shared" si="113"/>
        <v>0</v>
      </c>
      <c r="AB212" s="356">
        <f t="shared" si="138"/>
        <v>0</v>
      </c>
      <c r="AC212" s="356">
        <f t="shared" si="139"/>
        <v>0</v>
      </c>
      <c r="AD212" s="356">
        <f t="shared" si="140"/>
        <v>0</v>
      </c>
      <c r="AE212" s="356">
        <f t="shared" si="141"/>
        <v>0</v>
      </c>
      <c r="AF212" s="356">
        <f t="shared" si="142"/>
        <v>0</v>
      </c>
      <c r="AG212" s="356">
        <f t="shared" si="143"/>
        <v>0</v>
      </c>
      <c r="AH212" s="361">
        <f t="shared" si="114"/>
        <v>1.1000000000000001</v>
      </c>
      <c r="AI212" s="356">
        <f t="shared" si="115"/>
        <v>0</v>
      </c>
      <c r="AJ212" s="356">
        <f t="shared" si="116"/>
        <v>0</v>
      </c>
      <c r="AK212" s="360">
        <f t="shared" si="117"/>
        <v>0</v>
      </c>
      <c r="AL212" s="356" t="str">
        <f t="shared" si="118"/>
        <v>-</v>
      </c>
      <c r="AM212" s="356" t="str">
        <f t="shared" si="119"/>
        <v>-</v>
      </c>
      <c r="AN212" s="356" t="str">
        <f t="shared" si="120"/>
        <v>-</v>
      </c>
      <c r="AO212" s="356" t="e">
        <f t="shared" si="121"/>
        <v>#VALUE!</v>
      </c>
      <c r="AP212" s="358" t="str">
        <f t="shared" si="122"/>
        <v>-</v>
      </c>
      <c r="AQ212" s="357" t="str">
        <f t="shared" si="144"/>
        <v>-</v>
      </c>
      <c r="AR212" s="357" t="str">
        <f t="shared" si="145"/>
        <v>-</v>
      </c>
      <c r="AS212" s="356" t="str">
        <f t="shared" si="123"/>
        <v>-</v>
      </c>
      <c r="AT212" s="355" t="str">
        <f t="shared" si="124"/>
        <v>-</v>
      </c>
      <c r="AU212" s="356" t="str">
        <f t="shared" si="125"/>
        <v>-</v>
      </c>
      <c r="AV212" s="356" t="e">
        <f t="shared" si="126"/>
        <v>#DIV/0!</v>
      </c>
      <c r="AW212" s="355" t="str">
        <f t="shared" si="127"/>
        <v>-</v>
      </c>
      <c r="AX212" s="359"/>
      <c r="AY212" s="356" t="str">
        <f t="shared" si="128"/>
        <v>-</v>
      </c>
      <c r="AZ212" s="356" t="str">
        <f t="shared" si="129"/>
        <v>-</v>
      </c>
      <c r="BA212" s="356">
        <f t="shared" si="130"/>
        <v>0</v>
      </c>
      <c r="BB212" s="356" t="e">
        <f t="shared" si="131"/>
        <v>#VALUE!</v>
      </c>
      <c r="BC212" s="358" t="str">
        <f t="shared" si="132"/>
        <v>-</v>
      </c>
      <c r="BD212" s="356" t="e">
        <f t="shared" si="133"/>
        <v>#VALUE!</v>
      </c>
      <c r="BE212" s="357" t="str">
        <f t="shared" si="134"/>
        <v>-</v>
      </c>
      <c r="BF212" s="357" t="str">
        <f t="shared" si="135"/>
        <v>-</v>
      </c>
      <c r="BG212" s="356">
        <f t="shared" si="136"/>
        <v>0</v>
      </c>
    </row>
    <row r="213" spans="1:59" x14ac:dyDescent="0.25">
      <c r="A213" s="355">
        <f t="shared" si="137"/>
        <v>186</v>
      </c>
      <c r="B213" s="363"/>
      <c r="C213" s="363"/>
      <c r="D213" s="363"/>
      <c r="E213" s="363"/>
      <c r="F213" s="363"/>
      <c r="G213" s="363"/>
      <c r="H213" s="359"/>
      <c r="I213" s="359"/>
      <c r="J213" s="362"/>
      <c r="K213" s="359"/>
      <c r="L213" s="359"/>
      <c r="M213" s="359"/>
      <c r="N213" s="359"/>
      <c r="O213" s="359"/>
      <c r="P213" s="359"/>
      <c r="Q213" s="359"/>
      <c r="R213" s="359"/>
      <c r="S213" s="359"/>
      <c r="T213" s="359"/>
      <c r="U213" s="359"/>
      <c r="V213" s="359"/>
      <c r="W213" s="359"/>
      <c r="X213" s="359"/>
      <c r="Y213" s="359"/>
      <c r="Z213" s="359"/>
      <c r="AA213" s="356">
        <f t="shared" si="113"/>
        <v>0</v>
      </c>
      <c r="AB213" s="356">
        <f t="shared" si="138"/>
        <v>0</v>
      </c>
      <c r="AC213" s="356">
        <f t="shared" si="139"/>
        <v>0</v>
      </c>
      <c r="AD213" s="356">
        <f t="shared" si="140"/>
        <v>0</v>
      </c>
      <c r="AE213" s="356">
        <f t="shared" si="141"/>
        <v>0</v>
      </c>
      <c r="AF213" s="356">
        <f t="shared" si="142"/>
        <v>0</v>
      </c>
      <c r="AG213" s="356">
        <f t="shared" si="143"/>
        <v>0</v>
      </c>
      <c r="AH213" s="361">
        <f t="shared" si="114"/>
        <v>1.1000000000000001</v>
      </c>
      <c r="AI213" s="356">
        <f t="shared" si="115"/>
        <v>0</v>
      </c>
      <c r="AJ213" s="356">
        <f t="shared" si="116"/>
        <v>0</v>
      </c>
      <c r="AK213" s="360">
        <f t="shared" si="117"/>
        <v>0</v>
      </c>
      <c r="AL213" s="356" t="str">
        <f t="shared" si="118"/>
        <v>-</v>
      </c>
      <c r="AM213" s="356" t="str">
        <f t="shared" si="119"/>
        <v>-</v>
      </c>
      <c r="AN213" s="356" t="str">
        <f t="shared" si="120"/>
        <v>-</v>
      </c>
      <c r="AO213" s="356" t="e">
        <f t="shared" si="121"/>
        <v>#VALUE!</v>
      </c>
      <c r="AP213" s="358" t="str">
        <f t="shared" si="122"/>
        <v>-</v>
      </c>
      <c r="AQ213" s="357" t="str">
        <f t="shared" si="144"/>
        <v>-</v>
      </c>
      <c r="AR213" s="357" t="str">
        <f t="shared" si="145"/>
        <v>-</v>
      </c>
      <c r="AS213" s="356" t="str">
        <f t="shared" si="123"/>
        <v>-</v>
      </c>
      <c r="AT213" s="355" t="str">
        <f t="shared" si="124"/>
        <v>-</v>
      </c>
      <c r="AU213" s="356" t="str">
        <f t="shared" si="125"/>
        <v>-</v>
      </c>
      <c r="AV213" s="356" t="e">
        <f t="shared" si="126"/>
        <v>#DIV/0!</v>
      </c>
      <c r="AW213" s="355" t="str">
        <f t="shared" si="127"/>
        <v>-</v>
      </c>
      <c r="AX213" s="359"/>
      <c r="AY213" s="356" t="str">
        <f t="shared" si="128"/>
        <v>-</v>
      </c>
      <c r="AZ213" s="356" t="str">
        <f t="shared" si="129"/>
        <v>-</v>
      </c>
      <c r="BA213" s="356">
        <f t="shared" si="130"/>
        <v>0</v>
      </c>
      <c r="BB213" s="356" t="e">
        <f t="shared" si="131"/>
        <v>#VALUE!</v>
      </c>
      <c r="BC213" s="358" t="str">
        <f t="shared" si="132"/>
        <v>-</v>
      </c>
      <c r="BD213" s="356" t="e">
        <f t="shared" si="133"/>
        <v>#VALUE!</v>
      </c>
      <c r="BE213" s="357" t="str">
        <f t="shared" si="134"/>
        <v>-</v>
      </c>
      <c r="BF213" s="357" t="str">
        <f t="shared" si="135"/>
        <v>-</v>
      </c>
      <c r="BG213" s="356">
        <f t="shared" si="136"/>
        <v>0</v>
      </c>
    </row>
    <row r="214" spans="1:59" x14ac:dyDescent="0.25">
      <c r="A214" s="355">
        <f t="shared" si="137"/>
        <v>187</v>
      </c>
      <c r="B214" s="363"/>
      <c r="C214" s="363"/>
      <c r="D214" s="363"/>
      <c r="E214" s="363"/>
      <c r="F214" s="363"/>
      <c r="G214" s="363"/>
      <c r="H214" s="359"/>
      <c r="I214" s="359"/>
      <c r="J214" s="362"/>
      <c r="K214" s="359"/>
      <c r="L214" s="359"/>
      <c r="M214" s="359"/>
      <c r="N214" s="359"/>
      <c r="O214" s="359"/>
      <c r="P214" s="359"/>
      <c r="Q214" s="359"/>
      <c r="R214" s="359"/>
      <c r="S214" s="359"/>
      <c r="T214" s="359"/>
      <c r="U214" s="359"/>
      <c r="V214" s="359"/>
      <c r="W214" s="359"/>
      <c r="X214" s="359"/>
      <c r="Y214" s="359"/>
      <c r="Z214" s="359"/>
      <c r="AA214" s="356">
        <f t="shared" si="113"/>
        <v>0</v>
      </c>
      <c r="AB214" s="356">
        <f t="shared" si="138"/>
        <v>0</v>
      </c>
      <c r="AC214" s="356">
        <f t="shared" si="139"/>
        <v>0</v>
      </c>
      <c r="AD214" s="356">
        <f t="shared" si="140"/>
        <v>0</v>
      </c>
      <c r="AE214" s="356">
        <f t="shared" si="141"/>
        <v>0</v>
      </c>
      <c r="AF214" s="356">
        <f t="shared" si="142"/>
        <v>0</v>
      </c>
      <c r="AG214" s="356">
        <f t="shared" si="143"/>
        <v>0</v>
      </c>
      <c r="AH214" s="361">
        <f t="shared" si="114"/>
        <v>1.1000000000000001</v>
      </c>
      <c r="AI214" s="356">
        <f t="shared" si="115"/>
        <v>0</v>
      </c>
      <c r="AJ214" s="356">
        <f t="shared" si="116"/>
        <v>0</v>
      </c>
      <c r="AK214" s="360">
        <f t="shared" si="117"/>
        <v>0</v>
      </c>
      <c r="AL214" s="356" t="str">
        <f t="shared" si="118"/>
        <v>-</v>
      </c>
      <c r="AM214" s="356" t="str">
        <f t="shared" si="119"/>
        <v>-</v>
      </c>
      <c r="AN214" s="356" t="str">
        <f t="shared" si="120"/>
        <v>-</v>
      </c>
      <c r="AO214" s="356" t="e">
        <f t="shared" si="121"/>
        <v>#VALUE!</v>
      </c>
      <c r="AP214" s="358" t="str">
        <f t="shared" si="122"/>
        <v>-</v>
      </c>
      <c r="AQ214" s="357" t="str">
        <f t="shared" si="144"/>
        <v>-</v>
      </c>
      <c r="AR214" s="357" t="str">
        <f t="shared" si="145"/>
        <v>-</v>
      </c>
      <c r="AS214" s="356" t="str">
        <f t="shared" si="123"/>
        <v>-</v>
      </c>
      <c r="AT214" s="355" t="str">
        <f t="shared" si="124"/>
        <v>-</v>
      </c>
      <c r="AU214" s="356" t="str">
        <f t="shared" si="125"/>
        <v>-</v>
      </c>
      <c r="AV214" s="356" t="e">
        <f t="shared" si="126"/>
        <v>#DIV/0!</v>
      </c>
      <c r="AW214" s="355" t="str">
        <f t="shared" si="127"/>
        <v>-</v>
      </c>
      <c r="AX214" s="359"/>
      <c r="AY214" s="356" t="str">
        <f t="shared" si="128"/>
        <v>-</v>
      </c>
      <c r="AZ214" s="356" t="str">
        <f t="shared" si="129"/>
        <v>-</v>
      </c>
      <c r="BA214" s="356">
        <f t="shared" si="130"/>
        <v>0</v>
      </c>
      <c r="BB214" s="356" t="e">
        <f t="shared" si="131"/>
        <v>#VALUE!</v>
      </c>
      <c r="BC214" s="358" t="str">
        <f t="shared" si="132"/>
        <v>-</v>
      </c>
      <c r="BD214" s="356" t="e">
        <f t="shared" si="133"/>
        <v>#VALUE!</v>
      </c>
      <c r="BE214" s="357" t="str">
        <f t="shared" si="134"/>
        <v>-</v>
      </c>
      <c r="BF214" s="357" t="str">
        <f t="shared" si="135"/>
        <v>-</v>
      </c>
      <c r="BG214" s="356">
        <f t="shared" si="136"/>
        <v>0</v>
      </c>
    </row>
    <row r="215" spans="1:59" x14ac:dyDescent="0.25">
      <c r="A215" s="355">
        <f t="shared" si="137"/>
        <v>188</v>
      </c>
      <c r="B215" s="363"/>
      <c r="C215" s="363"/>
      <c r="D215" s="363"/>
      <c r="E215" s="363"/>
      <c r="F215" s="363"/>
      <c r="G215" s="363"/>
      <c r="H215" s="359"/>
      <c r="I215" s="359"/>
      <c r="J215" s="362"/>
      <c r="K215" s="359"/>
      <c r="L215" s="359"/>
      <c r="M215" s="359"/>
      <c r="N215" s="359"/>
      <c r="O215" s="359"/>
      <c r="P215" s="359"/>
      <c r="Q215" s="359"/>
      <c r="R215" s="359"/>
      <c r="S215" s="359"/>
      <c r="T215" s="359"/>
      <c r="U215" s="359"/>
      <c r="V215" s="359"/>
      <c r="W215" s="359"/>
      <c r="X215" s="359"/>
      <c r="Y215" s="359"/>
      <c r="Z215" s="359"/>
      <c r="AA215" s="356">
        <f t="shared" si="113"/>
        <v>0</v>
      </c>
      <c r="AB215" s="356">
        <f t="shared" si="138"/>
        <v>0</v>
      </c>
      <c r="AC215" s="356">
        <f t="shared" si="139"/>
        <v>0</v>
      </c>
      <c r="AD215" s="356">
        <f t="shared" si="140"/>
        <v>0</v>
      </c>
      <c r="AE215" s="356">
        <f t="shared" si="141"/>
        <v>0</v>
      </c>
      <c r="AF215" s="356">
        <f t="shared" si="142"/>
        <v>0</v>
      </c>
      <c r="AG215" s="356">
        <f t="shared" si="143"/>
        <v>0</v>
      </c>
      <c r="AH215" s="361">
        <f t="shared" si="114"/>
        <v>1.1000000000000001</v>
      </c>
      <c r="AI215" s="356">
        <f t="shared" si="115"/>
        <v>0</v>
      </c>
      <c r="AJ215" s="356">
        <f t="shared" si="116"/>
        <v>0</v>
      </c>
      <c r="AK215" s="360">
        <f t="shared" si="117"/>
        <v>0</v>
      </c>
      <c r="AL215" s="356" t="str">
        <f t="shared" si="118"/>
        <v>-</v>
      </c>
      <c r="AM215" s="356" t="str">
        <f t="shared" si="119"/>
        <v>-</v>
      </c>
      <c r="AN215" s="356" t="str">
        <f t="shared" si="120"/>
        <v>-</v>
      </c>
      <c r="AO215" s="356" t="e">
        <f t="shared" si="121"/>
        <v>#VALUE!</v>
      </c>
      <c r="AP215" s="358" t="str">
        <f t="shared" si="122"/>
        <v>-</v>
      </c>
      <c r="AQ215" s="357" t="str">
        <f t="shared" si="144"/>
        <v>-</v>
      </c>
      <c r="AR215" s="357" t="str">
        <f t="shared" si="145"/>
        <v>-</v>
      </c>
      <c r="AS215" s="356" t="str">
        <f t="shared" si="123"/>
        <v>-</v>
      </c>
      <c r="AT215" s="355" t="str">
        <f t="shared" si="124"/>
        <v>-</v>
      </c>
      <c r="AU215" s="356" t="str">
        <f t="shared" si="125"/>
        <v>-</v>
      </c>
      <c r="AV215" s="356" t="e">
        <f t="shared" si="126"/>
        <v>#DIV/0!</v>
      </c>
      <c r="AW215" s="355" t="str">
        <f t="shared" si="127"/>
        <v>-</v>
      </c>
      <c r="AX215" s="359"/>
      <c r="AY215" s="356" t="str">
        <f t="shared" si="128"/>
        <v>-</v>
      </c>
      <c r="AZ215" s="356" t="str">
        <f t="shared" si="129"/>
        <v>-</v>
      </c>
      <c r="BA215" s="356">
        <f t="shared" si="130"/>
        <v>0</v>
      </c>
      <c r="BB215" s="356" t="e">
        <f t="shared" si="131"/>
        <v>#VALUE!</v>
      </c>
      <c r="BC215" s="358" t="str">
        <f t="shared" si="132"/>
        <v>-</v>
      </c>
      <c r="BD215" s="356" t="e">
        <f t="shared" si="133"/>
        <v>#VALUE!</v>
      </c>
      <c r="BE215" s="357" t="str">
        <f t="shared" si="134"/>
        <v>-</v>
      </c>
      <c r="BF215" s="357" t="str">
        <f t="shared" si="135"/>
        <v>-</v>
      </c>
      <c r="BG215" s="356">
        <f t="shared" si="136"/>
        <v>0</v>
      </c>
    </row>
    <row r="216" spans="1:59" x14ac:dyDescent="0.25">
      <c r="A216" s="355">
        <f t="shared" si="137"/>
        <v>189</v>
      </c>
      <c r="B216" s="363"/>
      <c r="C216" s="363"/>
      <c r="D216" s="363"/>
      <c r="E216" s="363"/>
      <c r="F216" s="363"/>
      <c r="G216" s="363"/>
      <c r="H216" s="359"/>
      <c r="I216" s="359"/>
      <c r="J216" s="362"/>
      <c r="K216" s="359"/>
      <c r="L216" s="359"/>
      <c r="M216" s="359"/>
      <c r="N216" s="359"/>
      <c r="O216" s="359"/>
      <c r="P216" s="359"/>
      <c r="Q216" s="359"/>
      <c r="R216" s="359"/>
      <c r="S216" s="359"/>
      <c r="T216" s="359"/>
      <c r="U216" s="359"/>
      <c r="V216" s="359"/>
      <c r="W216" s="359"/>
      <c r="X216" s="359"/>
      <c r="Y216" s="359"/>
      <c r="Z216" s="359"/>
      <c r="AA216" s="356">
        <f t="shared" si="113"/>
        <v>0</v>
      </c>
      <c r="AB216" s="356">
        <f t="shared" si="138"/>
        <v>0</v>
      </c>
      <c r="AC216" s="356">
        <f t="shared" si="139"/>
        <v>0</v>
      </c>
      <c r="AD216" s="356">
        <f t="shared" si="140"/>
        <v>0</v>
      </c>
      <c r="AE216" s="356">
        <f t="shared" si="141"/>
        <v>0</v>
      </c>
      <c r="AF216" s="356">
        <f t="shared" si="142"/>
        <v>0</v>
      </c>
      <c r="AG216" s="356">
        <f t="shared" si="143"/>
        <v>0</v>
      </c>
      <c r="AH216" s="361">
        <f t="shared" si="114"/>
        <v>1.1000000000000001</v>
      </c>
      <c r="AI216" s="356">
        <f t="shared" si="115"/>
        <v>0</v>
      </c>
      <c r="AJ216" s="356">
        <f t="shared" si="116"/>
        <v>0</v>
      </c>
      <c r="AK216" s="360">
        <f t="shared" si="117"/>
        <v>0</v>
      </c>
      <c r="AL216" s="356" t="str">
        <f t="shared" si="118"/>
        <v>-</v>
      </c>
      <c r="AM216" s="356" t="str">
        <f t="shared" si="119"/>
        <v>-</v>
      </c>
      <c r="AN216" s="356" t="str">
        <f t="shared" si="120"/>
        <v>-</v>
      </c>
      <c r="AO216" s="356" t="e">
        <f t="shared" si="121"/>
        <v>#VALUE!</v>
      </c>
      <c r="AP216" s="358" t="str">
        <f t="shared" si="122"/>
        <v>-</v>
      </c>
      <c r="AQ216" s="357" t="str">
        <f t="shared" si="144"/>
        <v>-</v>
      </c>
      <c r="AR216" s="357" t="str">
        <f t="shared" si="145"/>
        <v>-</v>
      </c>
      <c r="AS216" s="356" t="str">
        <f t="shared" si="123"/>
        <v>-</v>
      </c>
      <c r="AT216" s="355" t="str">
        <f t="shared" si="124"/>
        <v>-</v>
      </c>
      <c r="AU216" s="356" t="str">
        <f t="shared" si="125"/>
        <v>-</v>
      </c>
      <c r="AV216" s="356" t="e">
        <f t="shared" si="126"/>
        <v>#DIV/0!</v>
      </c>
      <c r="AW216" s="355" t="str">
        <f t="shared" si="127"/>
        <v>-</v>
      </c>
      <c r="AX216" s="359"/>
      <c r="AY216" s="356" t="str">
        <f t="shared" si="128"/>
        <v>-</v>
      </c>
      <c r="AZ216" s="356" t="str">
        <f t="shared" si="129"/>
        <v>-</v>
      </c>
      <c r="BA216" s="356">
        <f t="shared" si="130"/>
        <v>0</v>
      </c>
      <c r="BB216" s="356" t="e">
        <f t="shared" si="131"/>
        <v>#VALUE!</v>
      </c>
      <c r="BC216" s="358" t="str">
        <f t="shared" si="132"/>
        <v>-</v>
      </c>
      <c r="BD216" s="356" t="e">
        <f t="shared" si="133"/>
        <v>#VALUE!</v>
      </c>
      <c r="BE216" s="357" t="str">
        <f t="shared" si="134"/>
        <v>-</v>
      </c>
      <c r="BF216" s="357" t="str">
        <f t="shared" si="135"/>
        <v>-</v>
      </c>
      <c r="BG216" s="356">
        <f t="shared" si="136"/>
        <v>0</v>
      </c>
    </row>
    <row r="217" spans="1:59" x14ac:dyDescent="0.25">
      <c r="A217" s="355">
        <f t="shared" si="137"/>
        <v>190</v>
      </c>
      <c r="B217" s="363"/>
      <c r="C217" s="363"/>
      <c r="D217" s="363"/>
      <c r="E217" s="363"/>
      <c r="F217" s="363"/>
      <c r="G217" s="363"/>
      <c r="H217" s="359"/>
      <c r="I217" s="359"/>
      <c r="J217" s="362"/>
      <c r="K217" s="359"/>
      <c r="L217" s="359"/>
      <c r="M217" s="359"/>
      <c r="N217" s="359"/>
      <c r="O217" s="359"/>
      <c r="P217" s="359"/>
      <c r="Q217" s="359"/>
      <c r="R217" s="359"/>
      <c r="S217" s="359"/>
      <c r="T217" s="359"/>
      <c r="U217" s="359"/>
      <c r="V217" s="359"/>
      <c r="W217" s="359"/>
      <c r="X217" s="359"/>
      <c r="Y217" s="359"/>
      <c r="Z217" s="359"/>
      <c r="AA217" s="356">
        <f t="shared" si="113"/>
        <v>0</v>
      </c>
      <c r="AB217" s="356">
        <f t="shared" si="138"/>
        <v>0</v>
      </c>
      <c r="AC217" s="356">
        <f t="shared" si="139"/>
        <v>0</v>
      </c>
      <c r="AD217" s="356">
        <f t="shared" si="140"/>
        <v>0</v>
      </c>
      <c r="AE217" s="356">
        <f t="shared" si="141"/>
        <v>0</v>
      </c>
      <c r="AF217" s="356">
        <f t="shared" si="142"/>
        <v>0</v>
      </c>
      <c r="AG217" s="356">
        <f t="shared" si="143"/>
        <v>0</v>
      </c>
      <c r="AH217" s="361">
        <f t="shared" si="114"/>
        <v>1.1000000000000001</v>
      </c>
      <c r="AI217" s="356">
        <f t="shared" si="115"/>
        <v>0</v>
      </c>
      <c r="AJ217" s="356">
        <f t="shared" si="116"/>
        <v>0</v>
      </c>
      <c r="AK217" s="360">
        <f t="shared" si="117"/>
        <v>0</v>
      </c>
      <c r="AL217" s="356" t="str">
        <f t="shared" si="118"/>
        <v>-</v>
      </c>
      <c r="AM217" s="356" t="str">
        <f t="shared" si="119"/>
        <v>-</v>
      </c>
      <c r="AN217" s="356" t="str">
        <f t="shared" si="120"/>
        <v>-</v>
      </c>
      <c r="AO217" s="356" t="e">
        <f t="shared" si="121"/>
        <v>#VALUE!</v>
      </c>
      <c r="AP217" s="358" t="str">
        <f t="shared" si="122"/>
        <v>-</v>
      </c>
      <c r="AQ217" s="357" t="str">
        <f t="shared" si="144"/>
        <v>-</v>
      </c>
      <c r="AR217" s="357" t="str">
        <f t="shared" si="145"/>
        <v>-</v>
      </c>
      <c r="AS217" s="356" t="str">
        <f t="shared" si="123"/>
        <v>-</v>
      </c>
      <c r="AT217" s="355" t="str">
        <f t="shared" si="124"/>
        <v>-</v>
      </c>
      <c r="AU217" s="356" t="str">
        <f t="shared" si="125"/>
        <v>-</v>
      </c>
      <c r="AV217" s="356" t="e">
        <f t="shared" si="126"/>
        <v>#DIV/0!</v>
      </c>
      <c r="AW217" s="355" t="str">
        <f t="shared" si="127"/>
        <v>-</v>
      </c>
      <c r="AX217" s="359"/>
      <c r="AY217" s="356" t="str">
        <f t="shared" si="128"/>
        <v>-</v>
      </c>
      <c r="AZ217" s="356" t="str">
        <f t="shared" si="129"/>
        <v>-</v>
      </c>
      <c r="BA217" s="356">
        <f t="shared" si="130"/>
        <v>0</v>
      </c>
      <c r="BB217" s="356" t="e">
        <f t="shared" si="131"/>
        <v>#VALUE!</v>
      </c>
      <c r="BC217" s="358" t="str">
        <f t="shared" si="132"/>
        <v>-</v>
      </c>
      <c r="BD217" s="356" t="e">
        <f t="shared" si="133"/>
        <v>#VALUE!</v>
      </c>
      <c r="BE217" s="357" t="str">
        <f t="shared" si="134"/>
        <v>-</v>
      </c>
      <c r="BF217" s="357" t="str">
        <f t="shared" si="135"/>
        <v>-</v>
      </c>
      <c r="BG217" s="356">
        <f t="shared" si="136"/>
        <v>0</v>
      </c>
    </row>
    <row r="218" spans="1:59" x14ac:dyDescent="0.25">
      <c r="A218" s="355">
        <f t="shared" si="137"/>
        <v>191</v>
      </c>
      <c r="B218" s="363"/>
      <c r="C218" s="363"/>
      <c r="D218" s="363"/>
      <c r="E218" s="363"/>
      <c r="F218" s="363"/>
      <c r="G218" s="363"/>
      <c r="H218" s="359"/>
      <c r="I218" s="359"/>
      <c r="J218" s="362"/>
      <c r="K218" s="359"/>
      <c r="L218" s="359"/>
      <c r="M218" s="359"/>
      <c r="N218" s="359"/>
      <c r="O218" s="359"/>
      <c r="P218" s="359"/>
      <c r="Q218" s="359"/>
      <c r="R218" s="359"/>
      <c r="S218" s="359"/>
      <c r="T218" s="359"/>
      <c r="U218" s="359"/>
      <c r="V218" s="359"/>
      <c r="W218" s="359"/>
      <c r="X218" s="359"/>
      <c r="Y218" s="359"/>
      <c r="Z218" s="359"/>
      <c r="AA218" s="356">
        <f t="shared" si="113"/>
        <v>0</v>
      </c>
      <c r="AB218" s="356">
        <f t="shared" si="138"/>
        <v>0</v>
      </c>
      <c r="AC218" s="356">
        <f t="shared" si="139"/>
        <v>0</v>
      </c>
      <c r="AD218" s="356">
        <f t="shared" si="140"/>
        <v>0</v>
      </c>
      <c r="AE218" s="356">
        <f t="shared" si="141"/>
        <v>0</v>
      </c>
      <c r="AF218" s="356">
        <f t="shared" si="142"/>
        <v>0</v>
      </c>
      <c r="AG218" s="356">
        <f t="shared" si="143"/>
        <v>0</v>
      </c>
      <c r="AH218" s="361">
        <f t="shared" si="114"/>
        <v>1.1000000000000001</v>
      </c>
      <c r="AI218" s="356">
        <f t="shared" si="115"/>
        <v>0</v>
      </c>
      <c r="AJ218" s="356">
        <f t="shared" si="116"/>
        <v>0</v>
      </c>
      <c r="AK218" s="360">
        <f t="shared" si="117"/>
        <v>0</v>
      </c>
      <c r="AL218" s="356" t="str">
        <f t="shared" si="118"/>
        <v>-</v>
      </c>
      <c r="AM218" s="356" t="str">
        <f t="shared" si="119"/>
        <v>-</v>
      </c>
      <c r="AN218" s="356" t="str">
        <f t="shared" si="120"/>
        <v>-</v>
      </c>
      <c r="AO218" s="356" t="e">
        <f t="shared" si="121"/>
        <v>#VALUE!</v>
      </c>
      <c r="AP218" s="358" t="str">
        <f t="shared" si="122"/>
        <v>-</v>
      </c>
      <c r="AQ218" s="357" t="str">
        <f t="shared" si="144"/>
        <v>-</v>
      </c>
      <c r="AR218" s="357" t="str">
        <f t="shared" si="145"/>
        <v>-</v>
      </c>
      <c r="AS218" s="356" t="str">
        <f t="shared" si="123"/>
        <v>-</v>
      </c>
      <c r="AT218" s="355" t="str">
        <f t="shared" si="124"/>
        <v>-</v>
      </c>
      <c r="AU218" s="356" t="str">
        <f t="shared" si="125"/>
        <v>-</v>
      </c>
      <c r="AV218" s="356" t="e">
        <f t="shared" si="126"/>
        <v>#DIV/0!</v>
      </c>
      <c r="AW218" s="355" t="str">
        <f t="shared" si="127"/>
        <v>-</v>
      </c>
      <c r="AX218" s="359"/>
      <c r="AY218" s="356" t="str">
        <f t="shared" si="128"/>
        <v>-</v>
      </c>
      <c r="AZ218" s="356" t="str">
        <f t="shared" si="129"/>
        <v>-</v>
      </c>
      <c r="BA218" s="356">
        <f t="shared" si="130"/>
        <v>0</v>
      </c>
      <c r="BB218" s="356" t="e">
        <f t="shared" si="131"/>
        <v>#VALUE!</v>
      </c>
      <c r="BC218" s="358" t="str">
        <f t="shared" si="132"/>
        <v>-</v>
      </c>
      <c r="BD218" s="356" t="e">
        <f t="shared" si="133"/>
        <v>#VALUE!</v>
      </c>
      <c r="BE218" s="357" t="str">
        <f t="shared" si="134"/>
        <v>-</v>
      </c>
      <c r="BF218" s="357" t="str">
        <f t="shared" si="135"/>
        <v>-</v>
      </c>
      <c r="BG218" s="356">
        <f t="shared" si="136"/>
        <v>0</v>
      </c>
    </row>
    <row r="219" spans="1:59" x14ac:dyDescent="0.25">
      <c r="A219" s="355">
        <f t="shared" si="137"/>
        <v>192</v>
      </c>
      <c r="B219" s="363"/>
      <c r="C219" s="363"/>
      <c r="D219" s="363"/>
      <c r="E219" s="363"/>
      <c r="F219" s="363"/>
      <c r="G219" s="363"/>
      <c r="H219" s="359"/>
      <c r="I219" s="359"/>
      <c r="J219" s="362"/>
      <c r="K219" s="359"/>
      <c r="L219" s="359"/>
      <c r="M219" s="359"/>
      <c r="N219" s="359"/>
      <c r="O219" s="359"/>
      <c r="P219" s="359"/>
      <c r="Q219" s="359"/>
      <c r="R219" s="359"/>
      <c r="S219" s="359"/>
      <c r="T219" s="359"/>
      <c r="U219" s="359"/>
      <c r="V219" s="359"/>
      <c r="W219" s="359"/>
      <c r="X219" s="359"/>
      <c r="Y219" s="359"/>
      <c r="Z219" s="359"/>
      <c r="AA219" s="356">
        <f t="shared" si="113"/>
        <v>0</v>
      </c>
      <c r="AB219" s="356">
        <f t="shared" si="138"/>
        <v>0</v>
      </c>
      <c r="AC219" s="356">
        <f t="shared" si="139"/>
        <v>0</v>
      </c>
      <c r="AD219" s="356">
        <f t="shared" si="140"/>
        <v>0</v>
      </c>
      <c r="AE219" s="356">
        <f t="shared" si="141"/>
        <v>0</v>
      </c>
      <c r="AF219" s="356">
        <f t="shared" si="142"/>
        <v>0</v>
      </c>
      <c r="AG219" s="356">
        <f t="shared" si="143"/>
        <v>0</v>
      </c>
      <c r="AH219" s="361">
        <f t="shared" si="114"/>
        <v>1.1000000000000001</v>
      </c>
      <c r="AI219" s="356">
        <f t="shared" si="115"/>
        <v>0</v>
      </c>
      <c r="AJ219" s="356">
        <f t="shared" si="116"/>
        <v>0</v>
      </c>
      <c r="AK219" s="360">
        <f t="shared" si="117"/>
        <v>0</v>
      </c>
      <c r="AL219" s="356" t="str">
        <f t="shared" si="118"/>
        <v>-</v>
      </c>
      <c r="AM219" s="356" t="str">
        <f t="shared" si="119"/>
        <v>-</v>
      </c>
      <c r="AN219" s="356" t="str">
        <f t="shared" si="120"/>
        <v>-</v>
      </c>
      <c r="AO219" s="356" t="e">
        <f t="shared" si="121"/>
        <v>#VALUE!</v>
      </c>
      <c r="AP219" s="358" t="str">
        <f t="shared" si="122"/>
        <v>-</v>
      </c>
      <c r="AQ219" s="357" t="str">
        <f t="shared" si="144"/>
        <v>-</v>
      </c>
      <c r="AR219" s="357" t="str">
        <f t="shared" si="145"/>
        <v>-</v>
      </c>
      <c r="AS219" s="356" t="str">
        <f t="shared" si="123"/>
        <v>-</v>
      </c>
      <c r="AT219" s="355" t="str">
        <f t="shared" si="124"/>
        <v>-</v>
      </c>
      <c r="AU219" s="356" t="str">
        <f t="shared" si="125"/>
        <v>-</v>
      </c>
      <c r="AV219" s="356" t="e">
        <f t="shared" si="126"/>
        <v>#DIV/0!</v>
      </c>
      <c r="AW219" s="355" t="str">
        <f t="shared" si="127"/>
        <v>-</v>
      </c>
      <c r="AX219" s="359"/>
      <c r="AY219" s="356" t="str">
        <f t="shared" si="128"/>
        <v>-</v>
      </c>
      <c r="AZ219" s="356" t="str">
        <f t="shared" si="129"/>
        <v>-</v>
      </c>
      <c r="BA219" s="356">
        <f t="shared" si="130"/>
        <v>0</v>
      </c>
      <c r="BB219" s="356" t="e">
        <f t="shared" si="131"/>
        <v>#VALUE!</v>
      </c>
      <c r="BC219" s="358" t="str">
        <f t="shared" si="132"/>
        <v>-</v>
      </c>
      <c r="BD219" s="356" t="e">
        <f t="shared" si="133"/>
        <v>#VALUE!</v>
      </c>
      <c r="BE219" s="357" t="str">
        <f t="shared" si="134"/>
        <v>-</v>
      </c>
      <c r="BF219" s="357" t="str">
        <f t="shared" si="135"/>
        <v>-</v>
      </c>
      <c r="BG219" s="356">
        <f t="shared" si="136"/>
        <v>0</v>
      </c>
    </row>
    <row r="220" spans="1:59" x14ac:dyDescent="0.25">
      <c r="A220" s="355">
        <f t="shared" si="137"/>
        <v>193</v>
      </c>
      <c r="B220" s="363"/>
      <c r="C220" s="363"/>
      <c r="D220" s="363"/>
      <c r="E220" s="363"/>
      <c r="F220" s="363"/>
      <c r="G220" s="363"/>
      <c r="H220" s="359"/>
      <c r="I220" s="359"/>
      <c r="J220" s="362"/>
      <c r="K220" s="359"/>
      <c r="L220" s="359"/>
      <c r="M220" s="359"/>
      <c r="N220" s="359"/>
      <c r="O220" s="359"/>
      <c r="P220" s="359"/>
      <c r="Q220" s="359"/>
      <c r="R220" s="359"/>
      <c r="S220" s="359"/>
      <c r="T220" s="359"/>
      <c r="U220" s="359"/>
      <c r="V220" s="359"/>
      <c r="W220" s="359"/>
      <c r="X220" s="359"/>
      <c r="Y220" s="359"/>
      <c r="Z220" s="359"/>
      <c r="AA220" s="356">
        <f t="shared" ref="AA220:AA227" si="146">600*COUNT($L220)</f>
        <v>0</v>
      </c>
      <c r="AB220" s="356">
        <f t="shared" si="138"/>
        <v>0</v>
      </c>
      <c r="AC220" s="356">
        <f t="shared" si="139"/>
        <v>0</v>
      </c>
      <c r="AD220" s="356">
        <f t="shared" si="140"/>
        <v>0</v>
      </c>
      <c r="AE220" s="356">
        <f t="shared" si="141"/>
        <v>0</v>
      </c>
      <c r="AF220" s="356">
        <f t="shared" si="142"/>
        <v>0</v>
      </c>
      <c r="AG220" s="356">
        <f t="shared" si="143"/>
        <v>0</v>
      </c>
      <c r="AH220" s="361">
        <f t="shared" ref="AH220:AH227" si="147">+$AH$27</f>
        <v>1.1000000000000001</v>
      </c>
      <c r="AI220" s="356">
        <f t="shared" ref="AI220:AI227" si="148">($AG220/$AH220)-$AJ220</f>
        <v>0</v>
      </c>
      <c r="AJ220" s="356">
        <f t="shared" ref="AJ220:AJ227" si="149">SUM($M220:$P220,$Z220:$AA220)/12</f>
        <v>0</v>
      </c>
      <c r="AK220" s="360">
        <f t="shared" ref="AK220:AK227" si="150">$F$11</f>
        <v>0</v>
      </c>
      <c r="AL220" s="356" t="str">
        <f t="shared" ref="AL220:AL227" si="151">IF(OR($C$12="Purchase",$C$12="Delayed Purchase"),MIN($AL$26*($I220+$K220),$AL$27*$L$28),IF(OR($C$12="Refinance (Rate/Term)",$C$12="Refinance (Cash Out)"),$AL$27*$L220,"-"))</f>
        <v>-</v>
      </c>
      <c r="AM220" s="356" t="str">
        <f t="shared" ref="AM220:AM227" si="152">IF($F$5="No IO",PMT($AK220/12,360,-$AL220),"-")</f>
        <v>-</v>
      </c>
      <c r="AN220" s="356" t="str">
        <f t="shared" ref="AN220:AN227" si="153">IF($F$5="Term IO",$AL220*($AK220/12),"-")</f>
        <v>-</v>
      </c>
      <c r="AO220" s="356" t="e">
        <f t="shared" ref="AO220:AO227" si="154">IF($F$5="No IO",$AM220+$AJ220,$AN220+$AJ220)</f>
        <v>#VALUE!</v>
      </c>
      <c r="AP220" s="358" t="str">
        <f t="shared" ref="AP220:AP227" si="155">IFERROR($AG220/$AO220,"-")</f>
        <v>-</v>
      </c>
      <c r="AQ220" s="357" t="str">
        <f t="shared" si="144"/>
        <v>-</v>
      </c>
      <c r="AR220" s="357" t="str">
        <f t="shared" si="145"/>
        <v>-</v>
      </c>
      <c r="AS220" s="356" t="str">
        <f t="shared" ref="AS220:AS227" si="156">IF(OR($C$12="Purchase",$C$12="Delayed Purchase"),MIN($L220*$AQ220,$AR220*($I220+$K220)),IF(OR($C$12="Refinance (Rate/Term)",$C$12="Refinance (Cash Out)"),$L220*$AQ220,"-"))</f>
        <v>-</v>
      </c>
      <c r="AT220" s="355" t="str">
        <f t="shared" ref="AT220:AT227" si="157">IF(OR($C$12="Purchase",$C$12="Delayed Purchase",$C$12="Refinance (Cash Out)"),"-",IF($C$12="Refinance (Rate/Term)",102%*$H220,"-"))</f>
        <v>-</v>
      </c>
      <c r="AU220" s="356" t="str">
        <f t="shared" ref="AU220:AU227" si="158">IF($C$12="Refinance (Rate/Term)",MIN($AT220,$AS220),$AS220)</f>
        <v>-</v>
      </c>
      <c r="AV220" s="356" t="e">
        <f t="shared" ref="AV220:AV227" si="159">ROUNDDOWN(IF($F$5="No IO",PV($AK220/12,360,-$AI220),$AG220/($AH220*($AK220/12))-($AJ220/($AK220/12))),0)</f>
        <v>#DIV/0!</v>
      </c>
      <c r="AW220" s="355" t="str">
        <f t="shared" ref="AW220:AW227" si="160">IFERROR(IF($AV220&gt;$AL220,"-",$AV220),"-")</f>
        <v>-</v>
      </c>
      <c r="AX220" s="359"/>
      <c r="AY220" s="356" t="str">
        <f t="shared" ref="AY220:AY227" si="161">IF($F$5="No IO",PMT($AK220/12,360,-$AX220),"-")</f>
        <v>-</v>
      </c>
      <c r="AZ220" s="356" t="str">
        <f t="shared" ref="AZ220:AZ227" si="162">IF($F$5="Term IO",$AX220*($AK220/12),"-")</f>
        <v>-</v>
      </c>
      <c r="BA220" s="356">
        <f t="shared" ref="BA220:BA227" si="163">$AJ220</f>
        <v>0</v>
      </c>
      <c r="BB220" s="356" t="e">
        <f t="shared" ref="BB220:BB227" si="164">IF($F$5="No IO",$AY220+$BA220,$AZ220+$BA220)</f>
        <v>#VALUE!</v>
      </c>
      <c r="BC220" s="358" t="str">
        <f t="shared" ref="BC220:BC227" si="165">IFERROR($AG220/$BB220,"-")</f>
        <v>-</v>
      </c>
      <c r="BD220" s="356" t="e">
        <f t="shared" ref="BD220:BD227" si="166">IF($F$5="No IO",$AY220+(SUM($M220:$O220)/12),$AZ220+(SUM($M220:$O220)/12))</f>
        <v>#VALUE!</v>
      </c>
      <c r="BE220" s="357" t="str">
        <f t="shared" ref="BE220:BE227" si="167">IFERROR($AX220/$L220,"-")</f>
        <v>-</v>
      </c>
      <c r="BF220" s="357" t="str">
        <f t="shared" ref="BF220:BF227" si="168">IFERROR(IF(OR($C$12="Refinance (Rate/Term)",$C$12="Refinance (Cash Out)"),"-",$AX220/($I220+$K220)),"-")</f>
        <v>-</v>
      </c>
      <c r="BG220" s="356">
        <f t="shared" ref="BG220:BG227" si="169">IFERROR($BG$26*$AX220,"-")</f>
        <v>0</v>
      </c>
    </row>
    <row r="221" spans="1:59" x14ac:dyDescent="0.25">
      <c r="A221" s="355">
        <f t="shared" ref="A221:A227" si="170">+A220+1</f>
        <v>194</v>
      </c>
      <c r="B221" s="363"/>
      <c r="C221" s="363"/>
      <c r="D221" s="363"/>
      <c r="E221" s="363"/>
      <c r="F221" s="363"/>
      <c r="G221" s="363"/>
      <c r="H221" s="359"/>
      <c r="I221" s="359"/>
      <c r="J221" s="362"/>
      <c r="K221" s="359"/>
      <c r="L221" s="359"/>
      <c r="M221" s="359"/>
      <c r="N221" s="359"/>
      <c r="O221" s="359"/>
      <c r="P221" s="359"/>
      <c r="Q221" s="359"/>
      <c r="R221" s="359"/>
      <c r="S221" s="359"/>
      <c r="T221" s="359"/>
      <c r="U221" s="359"/>
      <c r="V221" s="359"/>
      <c r="W221" s="359"/>
      <c r="X221" s="359"/>
      <c r="Y221" s="359"/>
      <c r="Z221" s="359"/>
      <c r="AA221" s="356">
        <f t="shared" si="146"/>
        <v>0</v>
      </c>
      <c r="AB221" s="356">
        <f t="shared" si="138"/>
        <v>0</v>
      </c>
      <c r="AC221" s="356">
        <f t="shared" si="139"/>
        <v>0</v>
      </c>
      <c r="AD221" s="356">
        <f t="shared" si="140"/>
        <v>0</v>
      </c>
      <c r="AE221" s="356">
        <f t="shared" si="141"/>
        <v>0</v>
      </c>
      <c r="AF221" s="356">
        <f t="shared" si="142"/>
        <v>0</v>
      </c>
      <c r="AG221" s="356">
        <f t="shared" si="143"/>
        <v>0</v>
      </c>
      <c r="AH221" s="361">
        <f t="shared" si="147"/>
        <v>1.1000000000000001</v>
      </c>
      <c r="AI221" s="356">
        <f t="shared" si="148"/>
        <v>0</v>
      </c>
      <c r="AJ221" s="356">
        <f t="shared" si="149"/>
        <v>0</v>
      </c>
      <c r="AK221" s="360">
        <f t="shared" si="150"/>
        <v>0</v>
      </c>
      <c r="AL221" s="356" t="str">
        <f t="shared" si="151"/>
        <v>-</v>
      </c>
      <c r="AM221" s="356" t="str">
        <f t="shared" si="152"/>
        <v>-</v>
      </c>
      <c r="AN221" s="356" t="str">
        <f t="shared" si="153"/>
        <v>-</v>
      </c>
      <c r="AO221" s="356" t="e">
        <f t="shared" si="154"/>
        <v>#VALUE!</v>
      </c>
      <c r="AP221" s="358" t="str">
        <f t="shared" si="155"/>
        <v>-</v>
      </c>
      <c r="AQ221" s="357" t="str">
        <f t="shared" si="144"/>
        <v>-</v>
      </c>
      <c r="AR221" s="357" t="str">
        <f t="shared" si="145"/>
        <v>-</v>
      </c>
      <c r="AS221" s="356" t="str">
        <f t="shared" si="156"/>
        <v>-</v>
      </c>
      <c r="AT221" s="355" t="str">
        <f t="shared" si="157"/>
        <v>-</v>
      </c>
      <c r="AU221" s="356" t="str">
        <f t="shared" si="158"/>
        <v>-</v>
      </c>
      <c r="AV221" s="356" t="e">
        <f t="shared" si="159"/>
        <v>#DIV/0!</v>
      </c>
      <c r="AW221" s="355" t="str">
        <f t="shared" si="160"/>
        <v>-</v>
      </c>
      <c r="AX221" s="359"/>
      <c r="AY221" s="356" t="str">
        <f t="shared" si="161"/>
        <v>-</v>
      </c>
      <c r="AZ221" s="356" t="str">
        <f t="shared" si="162"/>
        <v>-</v>
      </c>
      <c r="BA221" s="356">
        <f t="shared" si="163"/>
        <v>0</v>
      </c>
      <c r="BB221" s="356" t="e">
        <f t="shared" si="164"/>
        <v>#VALUE!</v>
      </c>
      <c r="BC221" s="358" t="str">
        <f t="shared" si="165"/>
        <v>-</v>
      </c>
      <c r="BD221" s="356" t="e">
        <f t="shared" si="166"/>
        <v>#VALUE!</v>
      </c>
      <c r="BE221" s="357" t="str">
        <f t="shared" si="167"/>
        <v>-</v>
      </c>
      <c r="BF221" s="357" t="str">
        <f t="shared" si="168"/>
        <v>-</v>
      </c>
      <c r="BG221" s="356">
        <f t="shared" si="169"/>
        <v>0</v>
      </c>
    </row>
    <row r="222" spans="1:59" x14ac:dyDescent="0.25">
      <c r="A222" s="355">
        <f t="shared" si="170"/>
        <v>195</v>
      </c>
      <c r="B222" s="363"/>
      <c r="C222" s="363"/>
      <c r="D222" s="363"/>
      <c r="E222" s="363"/>
      <c r="F222" s="363"/>
      <c r="G222" s="363"/>
      <c r="H222" s="359"/>
      <c r="I222" s="359"/>
      <c r="J222" s="362"/>
      <c r="K222" s="359"/>
      <c r="L222" s="359"/>
      <c r="M222" s="359"/>
      <c r="N222" s="359"/>
      <c r="O222" s="359"/>
      <c r="P222" s="359"/>
      <c r="Q222" s="359"/>
      <c r="R222" s="359"/>
      <c r="S222" s="359"/>
      <c r="T222" s="359"/>
      <c r="U222" s="359"/>
      <c r="V222" s="359"/>
      <c r="W222" s="359"/>
      <c r="X222" s="359"/>
      <c r="Y222" s="359"/>
      <c r="Z222" s="359"/>
      <c r="AA222" s="356">
        <f t="shared" si="146"/>
        <v>0</v>
      </c>
      <c r="AB222" s="356">
        <f t="shared" si="138"/>
        <v>0</v>
      </c>
      <c r="AC222" s="356">
        <f t="shared" si="139"/>
        <v>0</v>
      </c>
      <c r="AD222" s="356">
        <f t="shared" si="140"/>
        <v>0</v>
      </c>
      <c r="AE222" s="356">
        <f t="shared" si="141"/>
        <v>0</v>
      </c>
      <c r="AF222" s="356">
        <f t="shared" si="142"/>
        <v>0</v>
      </c>
      <c r="AG222" s="356">
        <f t="shared" si="143"/>
        <v>0</v>
      </c>
      <c r="AH222" s="361">
        <f t="shared" si="147"/>
        <v>1.1000000000000001</v>
      </c>
      <c r="AI222" s="356">
        <f t="shared" si="148"/>
        <v>0</v>
      </c>
      <c r="AJ222" s="356">
        <f t="shared" si="149"/>
        <v>0</v>
      </c>
      <c r="AK222" s="360">
        <f t="shared" si="150"/>
        <v>0</v>
      </c>
      <c r="AL222" s="356" t="str">
        <f t="shared" si="151"/>
        <v>-</v>
      </c>
      <c r="AM222" s="356" t="str">
        <f t="shared" si="152"/>
        <v>-</v>
      </c>
      <c r="AN222" s="356" t="str">
        <f t="shared" si="153"/>
        <v>-</v>
      </c>
      <c r="AO222" s="356" t="e">
        <f t="shared" si="154"/>
        <v>#VALUE!</v>
      </c>
      <c r="AP222" s="358" t="str">
        <f t="shared" si="155"/>
        <v>-</v>
      </c>
      <c r="AQ222" s="357" t="str">
        <f t="shared" si="144"/>
        <v>-</v>
      </c>
      <c r="AR222" s="357" t="str">
        <f t="shared" si="145"/>
        <v>-</v>
      </c>
      <c r="AS222" s="356" t="str">
        <f t="shared" si="156"/>
        <v>-</v>
      </c>
      <c r="AT222" s="355" t="str">
        <f t="shared" si="157"/>
        <v>-</v>
      </c>
      <c r="AU222" s="356" t="str">
        <f t="shared" si="158"/>
        <v>-</v>
      </c>
      <c r="AV222" s="356" t="e">
        <f t="shared" si="159"/>
        <v>#DIV/0!</v>
      </c>
      <c r="AW222" s="355" t="str">
        <f t="shared" si="160"/>
        <v>-</v>
      </c>
      <c r="AX222" s="359"/>
      <c r="AY222" s="356" t="str">
        <f t="shared" si="161"/>
        <v>-</v>
      </c>
      <c r="AZ222" s="356" t="str">
        <f t="shared" si="162"/>
        <v>-</v>
      </c>
      <c r="BA222" s="356">
        <f t="shared" si="163"/>
        <v>0</v>
      </c>
      <c r="BB222" s="356" t="e">
        <f t="shared" si="164"/>
        <v>#VALUE!</v>
      </c>
      <c r="BC222" s="358" t="str">
        <f t="shared" si="165"/>
        <v>-</v>
      </c>
      <c r="BD222" s="356" t="e">
        <f t="shared" si="166"/>
        <v>#VALUE!</v>
      </c>
      <c r="BE222" s="357" t="str">
        <f t="shared" si="167"/>
        <v>-</v>
      </c>
      <c r="BF222" s="357" t="str">
        <f t="shared" si="168"/>
        <v>-</v>
      </c>
      <c r="BG222" s="356">
        <f t="shared" si="169"/>
        <v>0</v>
      </c>
    </row>
    <row r="223" spans="1:59" x14ac:dyDescent="0.25">
      <c r="A223" s="355">
        <f t="shared" si="170"/>
        <v>196</v>
      </c>
      <c r="B223" s="363"/>
      <c r="C223" s="363"/>
      <c r="D223" s="363"/>
      <c r="E223" s="363"/>
      <c r="F223" s="363"/>
      <c r="G223" s="363"/>
      <c r="H223" s="359"/>
      <c r="I223" s="359"/>
      <c r="J223" s="362"/>
      <c r="K223" s="359"/>
      <c r="L223" s="359"/>
      <c r="M223" s="359"/>
      <c r="N223" s="359"/>
      <c r="O223" s="359"/>
      <c r="P223" s="359"/>
      <c r="Q223" s="359"/>
      <c r="R223" s="359"/>
      <c r="S223" s="359"/>
      <c r="T223" s="359"/>
      <c r="U223" s="359"/>
      <c r="V223" s="359"/>
      <c r="W223" s="359"/>
      <c r="X223" s="359"/>
      <c r="Y223" s="359"/>
      <c r="Z223" s="359"/>
      <c r="AA223" s="356">
        <f t="shared" si="146"/>
        <v>0</v>
      </c>
      <c r="AB223" s="356">
        <f t="shared" si="138"/>
        <v>0</v>
      </c>
      <c r="AC223" s="356">
        <f t="shared" si="139"/>
        <v>0</v>
      </c>
      <c r="AD223" s="356">
        <f t="shared" si="140"/>
        <v>0</v>
      </c>
      <c r="AE223" s="356">
        <f t="shared" si="141"/>
        <v>0</v>
      </c>
      <c r="AF223" s="356">
        <f t="shared" si="142"/>
        <v>0</v>
      </c>
      <c r="AG223" s="356">
        <f t="shared" si="143"/>
        <v>0</v>
      </c>
      <c r="AH223" s="361">
        <f t="shared" si="147"/>
        <v>1.1000000000000001</v>
      </c>
      <c r="AI223" s="356">
        <f t="shared" si="148"/>
        <v>0</v>
      </c>
      <c r="AJ223" s="356">
        <f t="shared" si="149"/>
        <v>0</v>
      </c>
      <c r="AK223" s="360">
        <f t="shared" si="150"/>
        <v>0</v>
      </c>
      <c r="AL223" s="356" t="str">
        <f t="shared" si="151"/>
        <v>-</v>
      </c>
      <c r="AM223" s="356" t="str">
        <f t="shared" si="152"/>
        <v>-</v>
      </c>
      <c r="AN223" s="356" t="str">
        <f t="shared" si="153"/>
        <v>-</v>
      </c>
      <c r="AO223" s="356" t="e">
        <f t="shared" si="154"/>
        <v>#VALUE!</v>
      </c>
      <c r="AP223" s="358" t="str">
        <f t="shared" si="155"/>
        <v>-</v>
      </c>
      <c r="AQ223" s="357" t="str">
        <f t="shared" si="144"/>
        <v>-</v>
      </c>
      <c r="AR223" s="357" t="str">
        <f t="shared" si="145"/>
        <v>-</v>
      </c>
      <c r="AS223" s="356" t="str">
        <f t="shared" si="156"/>
        <v>-</v>
      </c>
      <c r="AT223" s="355" t="str">
        <f t="shared" si="157"/>
        <v>-</v>
      </c>
      <c r="AU223" s="356" t="str">
        <f t="shared" si="158"/>
        <v>-</v>
      </c>
      <c r="AV223" s="356" t="e">
        <f t="shared" si="159"/>
        <v>#DIV/0!</v>
      </c>
      <c r="AW223" s="355" t="str">
        <f t="shared" si="160"/>
        <v>-</v>
      </c>
      <c r="AX223" s="359"/>
      <c r="AY223" s="356" t="str">
        <f t="shared" si="161"/>
        <v>-</v>
      </c>
      <c r="AZ223" s="356" t="str">
        <f t="shared" si="162"/>
        <v>-</v>
      </c>
      <c r="BA223" s="356">
        <f t="shared" si="163"/>
        <v>0</v>
      </c>
      <c r="BB223" s="356" t="e">
        <f t="shared" si="164"/>
        <v>#VALUE!</v>
      </c>
      <c r="BC223" s="358" t="str">
        <f t="shared" si="165"/>
        <v>-</v>
      </c>
      <c r="BD223" s="356" t="e">
        <f t="shared" si="166"/>
        <v>#VALUE!</v>
      </c>
      <c r="BE223" s="357" t="str">
        <f t="shared" si="167"/>
        <v>-</v>
      </c>
      <c r="BF223" s="357" t="str">
        <f t="shared" si="168"/>
        <v>-</v>
      </c>
      <c r="BG223" s="356">
        <f t="shared" si="169"/>
        <v>0</v>
      </c>
    </row>
    <row r="224" spans="1:59" x14ac:dyDescent="0.25">
      <c r="A224" s="355">
        <f t="shared" si="170"/>
        <v>197</v>
      </c>
      <c r="B224" s="363"/>
      <c r="C224" s="363"/>
      <c r="D224" s="363"/>
      <c r="E224" s="363"/>
      <c r="F224" s="363"/>
      <c r="G224" s="363"/>
      <c r="H224" s="359"/>
      <c r="I224" s="359"/>
      <c r="J224" s="362"/>
      <c r="K224" s="359"/>
      <c r="L224" s="359"/>
      <c r="M224" s="359"/>
      <c r="N224" s="359"/>
      <c r="O224" s="359"/>
      <c r="P224" s="359"/>
      <c r="Q224" s="359"/>
      <c r="R224" s="359"/>
      <c r="S224" s="359"/>
      <c r="T224" s="359"/>
      <c r="U224" s="359"/>
      <c r="V224" s="359"/>
      <c r="W224" s="359"/>
      <c r="X224" s="359"/>
      <c r="Y224" s="359"/>
      <c r="Z224" s="359"/>
      <c r="AA224" s="356">
        <f t="shared" si="146"/>
        <v>0</v>
      </c>
      <c r="AB224" s="356">
        <f t="shared" si="138"/>
        <v>0</v>
      </c>
      <c r="AC224" s="356">
        <f t="shared" si="139"/>
        <v>0</v>
      </c>
      <c r="AD224" s="356">
        <f t="shared" si="140"/>
        <v>0</v>
      </c>
      <c r="AE224" s="356">
        <f t="shared" si="141"/>
        <v>0</v>
      </c>
      <c r="AF224" s="356">
        <f t="shared" si="142"/>
        <v>0</v>
      </c>
      <c r="AG224" s="356">
        <f t="shared" si="143"/>
        <v>0</v>
      </c>
      <c r="AH224" s="361">
        <f t="shared" si="147"/>
        <v>1.1000000000000001</v>
      </c>
      <c r="AI224" s="356">
        <f t="shared" si="148"/>
        <v>0</v>
      </c>
      <c r="AJ224" s="356">
        <f t="shared" si="149"/>
        <v>0</v>
      </c>
      <c r="AK224" s="360">
        <f t="shared" si="150"/>
        <v>0</v>
      </c>
      <c r="AL224" s="356" t="str">
        <f t="shared" si="151"/>
        <v>-</v>
      </c>
      <c r="AM224" s="356" t="str">
        <f t="shared" si="152"/>
        <v>-</v>
      </c>
      <c r="AN224" s="356" t="str">
        <f t="shared" si="153"/>
        <v>-</v>
      </c>
      <c r="AO224" s="356" t="e">
        <f t="shared" si="154"/>
        <v>#VALUE!</v>
      </c>
      <c r="AP224" s="358" t="str">
        <f t="shared" si="155"/>
        <v>-</v>
      </c>
      <c r="AQ224" s="357" t="str">
        <f t="shared" si="144"/>
        <v>-</v>
      </c>
      <c r="AR224" s="357" t="str">
        <f t="shared" si="145"/>
        <v>-</v>
      </c>
      <c r="AS224" s="356" t="str">
        <f t="shared" si="156"/>
        <v>-</v>
      </c>
      <c r="AT224" s="355" t="str">
        <f t="shared" si="157"/>
        <v>-</v>
      </c>
      <c r="AU224" s="356" t="str">
        <f t="shared" si="158"/>
        <v>-</v>
      </c>
      <c r="AV224" s="356" t="e">
        <f t="shared" si="159"/>
        <v>#DIV/0!</v>
      </c>
      <c r="AW224" s="355" t="str">
        <f t="shared" si="160"/>
        <v>-</v>
      </c>
      <c r="AX224" s="359"/>
      <c r="AY224" s="356" t="str">
        <f t="shared" si="161"/>
        <v>-</v>
      </c>
      <c r="AZ224" s="356" t="str">
        <f t="shared" si="162"/>
        <v>-</v>
      </c>
      <c r="BA224" s="356">
        <f t="shared" si="163"/>
        <v>0</v>
      </c>
      <c r="BB224" s="356" t="e">
        <f t="shared" si="164"/>
        <v>#VALUE!</v>
      </c>
      <c r="BC224" s="358" t="str">
        <f t="shared" si="165"/>
        <v>-</v>
      </c>
      <c r="BD224" s="356" t="e">
        <f t="shared" si="166"/>
        <v>#VALUE!</v>
      </c>
      <c r="BE224" s="357" t="str">
        <f t="shared" si="167"/>
        <v>-</v>
      </c>
      <c r="BF224" s="357" t="str">
        <f t="shared" si="168"/>
        <v>-</v>
      </c>
      <c r="BG224" s="356">
        <f t="shared" si="169"/>
        <v>0</v>
      </c>
    </row>
    <row r="225" spans="1:59" x14ac:dyDescent="0.25">
      <c r="A225" s="355">
        <f t="shared" si="170"/>
        <v>198</v>
      </c>
      <c r="B225" s="363"/>
      <c r="C225" s="363"/>
      <c r="D225" s="363"/>
      <c r="E225" s="363"/>
      <c r="F225" s="363"/>
      <c r="G225" s="363"/>
      <c r="H225" s="359"/>
      <c r="I225" s="359"/>
      <c r="J225" s="362"/>
      <c r="K225" s="359"/>
      <c r="L225" s="359"/>
      <c r="M225" s="359"/>
      <c r="N225" s="359"/>
      <c r="O225" s="359"/>
      <c r="P225" s="359"/>
      <c r="Q225" s="359"/>
      <c r="R225" s="359"/>
      <c r="S225" s="359"/>
      <c r="T225" s="359"/>
      <c r="U225" s="359"/>
      <c r="V225" s="359"/>
      <c r="W225" s="359"/>
      <c r="X225" s="359"/>
      <c r="Y225" s="359"/>
      <c r="Z225" s="359"/>
      <c r="AA225" s="356">
        <f t="shared" si="146"/>
        <v>0</v>
      </c>
      <c r="AB225" s="356">
        <f t="shared" si="138"/>
        <v>0</v>
      </c>
      <c r="AC225" s="356">
        <f t="shared" si="139"/>
        <v>0</v>
      </c>
      <c r="AD225" s="356">
        <f t="shared" si="140"/>
        <v>0</v>
      </c>
      <c r="AE225" s="356">
        <f t="shared" si="141"/>
        <v>0</v>
      </c>
      <c r="AF225" s="356">
        <f t="shared" si="142"/>
        <v>0</v>
      </c>
      <c r="AG225" s="356">
        <f t="shared" si="143"/>
        <v>0</v>
      </c>
      <c r="AH225" s="361">
        <f t="shared" si="147"/>
        <v>1.1000000000000001</v>
      </c>
      <c r="AI225" s="356">
        <f t="shared" si="148"/>
        <v>0</v>
      </c>
      <c r="AJ225" s="356">
        <f t="shared" si="149"/>
        <v>0</v>
      </c>
      <c r="AK225" s="360">
        <f t="shared" si="150"/>
        <v>0</v>
      </c>
      <c r="AL225" s="356" t="str">
        <f t="shared" si="151"/>
        <v>-</v>
      </c>
      <c r="AM225" s="356" t="str">
        <f t="shared" si="152"/>
        <v>-</v>
      </c>
      <c r="AN225" s="356" t="str">
        <f t="shared" si="153"/>
        <v>-</v>
      </c>
      <c r="AO225" s="356" t="e">
        <f t="shared" si="154"/>
        <v>#VALUE!</v>
      </c>
      <c r="AP225" s="358" t="str">
        <f t="shared" si="155"/>
        <v>-</v>
      </c>
      <c r="AQ225" s="357" t="str">
        <f t="shared" si="144"/>
        <v>-</v>
      </c>
      <c r="AR225" s="357" t="str">
        <f t="shared" si="145"/>
        <v>-</v>
      </c>
      <c r="AS225" s="356" t="str">
        <f t="shared" si="156"/>
        <v>-</v>
      </c>
      <c r="AT225" s="355" t="str">
        <f t="shared" si="157"/>
        <v>-</v>
      </c>
      <c r="AU225" s="356" t="str">
        <f t="shared" si="158"/>
        <v>-</v>
      </c>
      <c r="AV225" s="356" t="e">
        <f t="shared" si="159"/>
        <v>#DIV/0!</v>
      </c>
      <c r="AW225" s="355" t="str">
        <f t="shared" si="160"/>
        <v>-</v>
      </c>
      <c r="AX225" s="359"/>
      <c r="AY225" s="356" t="str">
        <f t="shared" si="161"/>
        <v>-</v>
      </c>
      <c r="AZ225" s="356" t="str">
        <f t="shared" si="162"/>
        <v>-</v>
      </c>
      <c r="BA225" s="356">
        <f t="shared" si="163"/>
        <v>0</v>
      </c>
      <c r="BB225" s="356" t="e">
        <f t="shared" si="164"/>
        <v>#VALUE!</v>
      </c>
      <c r="BC225" s="358" t="str">
        <f t="shared" si="165"/>
        <v>-</v>
      </c>
      <c r="BD225" s="356" t="e">
        <f t="shared" si="166"/>
        <v>#VALUE!</v>
      </c>
      <c r="BE225" s="357" t="str">
        <f t="shared" si="167"/>
        <v>-</v>
      </c>
      <c r="BF225" s="357" t="str">
        <f t="shared" si="168"/>
        <v>-</v>
      </c>
      <c r="BG225" s="356">
        <f t="shared" si="169"/>
        <v>0</v>
      </c>
    </row>
    <row r="226" spans="1:59" x14ac:dyDescent="0.25">
      <c r="A226" s="355">
        <f t="shared" si="170"/>
        <v>199</v>
      </c>
      <c r="B226" s="363"/>
      <c r="C226" s="363"/>
      <c r="D226" s="363"/>
      <c r="E226" s="363"/>
      <c r="F226" s="363"/>
      <c r="G226" s="363"/>
      <c r="H226" s="359"/>
      <c r="I226" s="359"/>
      <c r="J226" s="362"/>
      <c r="K226" s="359"/>
      <c r="L226" s="359"/>
      <c r="M226" s="359"/>
      <c r="N226" s="359"/>
      <c r="O226" s="359"/>
      <c r="P226" s="359"/>
      <c r="Q226" s="359"/>
      <c r="R226" s="359"/>
      <c r="S226" s="359"/>
      <c r="T226" s="359"/>
      <c r="U226" s="359"/>
      <c r="V226" s="359"/>
      <c r="W226" s="359"/>
      <c r="X226" s="359"/>
      <c r="Y226" s="359"/>
      <c r="Z226" s="359"/>
      <c r="AA226" s="356">
        <f t="shared" si="146"/>
        <v>0</v>
      </c>
      <c r="AB226" s="356">
        <f t="shared" si="138"/>
        <v>0</v>
      </c>
      <c r="AC226" s="356">
        <f t="shared" si="139"/>
        <v>0</v>
      </c>
      <c r="AD226" s="356">
        <f t="shared" si="140"/>
        <v>0</v>
      </c>
      <c r="AE226" s="356">
        <f t="shared" si="141"/>
        <v>0</v>
      </c>
      <c r="AF226" s="356">
        <f t="shared" si="142"/>
        <v>0</v>
      </c>
      <c r="AG226" s="356">
        <f t="shared" si="143"/>
        <v>0</v>
      </c>
      <c r="AH226" s="361">
        <f t="shared" si="147"/>
        <v>1.1000000000000001</v>
      </c>
      <c r="AI226" s="356">
        <f t="shared" si="148"/>
        <v>0</v>
      </c>
      <c r="AJ226" s="356">
        <f t="shared" si="149"/>
        <v>0</v>
      </c>
      <c r="AK226" s="360">
        <f t="shared" si="150"/>
        <v>0</v>
      </c>
      <c r="AL226" s="356" t="str">
        <f t="shared" si="151"/>
        <v>-</v>
      </c>
      <c r="AM226" s="356" t="str">
        <f t="shared" si="152"/>
        <v>-</v>
      </c>
      <c r="AN226" s="356" t="str">
        <f t="shared" si="153"/>
        <v>-</v>
      </c>
      <c r="AO226" s="356" t="e">
        <f t="shared" si="154"/>
        <v>#VALUE!</v>
      </c>
      <c r="AP226" s="358" t="str">
        <f t="shared" si="155"/>
        <v>-</v>
      </c>
      <c r="AQ226" s="357" t="str">
        <f t="shared" si="144"/>
        <v>-</v>
      </c>
      <c r="AR226" s="357" t="str">
        <f t="shared" si="145"/>
        <v>-</v>
      </c>
      <c r="AS226" s="356" t="str">
        <f t="shared" si="156"/>
        <v>-</v>
      </c>
      <c r="AT226" s="355" t="str">
        <f t="shared" si="157"/>
        <v>-</v>
      </c>
      <c r="AU226" s="356" t="str">
        <f t="shared" si="158"/>
        <v>-</v>
      </c>
      <c r="AV226" s="356" t="e">
        <f t="shared" si="159"/>
        <v>#DIV/0!</v>
      </c>
      <c r="AW226" s="355" t="str">
        <f t="shared" si="160"/>
        <v>-</v>
      </c>
      <c r="AX226" s="359"/>
      <c r="AY226" s="356" t="str">
        <f t="shared" si="161"/>
        <v>-</v>
      </c>
      <c r="AZ226" s="356" t="str">
        <f t="shared" si="162"/>
        <v>-</v>
      </c>
      <c r="BA226" s="356">
        <f t="shared" si="163"/>
        <v>0</v>
      </c>
      <c r="BB226" s="356" t="e">
        <f t="shared" si="164"/>
        <v>#VALUE!</v>
      </c>
      <c r="BC226" s="358" t="str">
        <f t="shared" si="165"/>
        <v>-</v>
      </c>
      <c r="BD226" s="356" t="e">
        <f t="shared" si="166"/>
        <v>#VALUE!</v>
      </c>
      <c r="BE226" s="357" t="str">
        <f t="shared" si="167"/>
        <v>-</v>
      </c>
      <c r="BF226" s="357" t="str">
        <f t="shared" si="168"/>
        <v>-</v>
      </c>
      <c r="BG226" s="356">
        <f t="shared" si="169"/>
        <v>0</v>
      </c>
    </row>
    <row r="227" spans="1:59" x14ac:dyDescent="0.25">
      <c r="A227" s="355">
        <f t="shared" si="170"/>
        <v>200</v>
      </c>
      <c r="B227" s="363"/>
      <c r="C227" s="363"/>
      <c r="D227" s="363"/>
      <c r="E227" s="363"/>
      <c r="F227" s="363"/>
      <c r="G227" s="363"/>
      <c r="H227" s="359"/>
      <c r="I227" s="359"/>
      <c r="J227" s="362"/>
      <c r="K227" s="359"/>
      <c r="L227" s="359"/>
      <c r="M227" s="359"/>
      <c r="N227" s="359"/>
      <c r="O227" s="359"/>
      <c r="P227" s="359"/>
      <c r="Q227" s="359"/>
      <c r="R227" s="359"/>
      <c r="S227" s="359"/>
      <c r="T227" s="359"/>
      <c r="U227" s="359"/>
      <c r="V227" s="359"/>
      <c r="W227" s="359"/>
      <c r="X227" s="359"/>
      <c r="Y227" s="359"/>
      <c r="Z227" s="359"/>
      <c r="AA227" s="356">
        <f t="shared" si="146"/>
        <v>0</v>
      </c>
      <c r="AB227" s="356">
        <f t="shared" si="138"/>
        <v>0</v>
      </c>
      <c r="AC227" s="356">
        <f t="shared" si="139"/>
        <v>0</v>
      </c>
      <c r="AD227" s="356">
        <f t="shared" si="140"/>
        <v>0</v>
      </c>
      <c r="AE227" s="356">
        <f t="shared" si="141"/>
        <v>0</v>
      </c>
      <c r="AF227" s="356">
        <f t="shared" si="142"/>
        <v>0</v>
      </c>
      <c r="AG227" s="356">
        <f t="shared" si="143"/>
        <v>0</v>
      </c>
      <c r="AH227" s="361">
        <f t="shared" si="147"/>
        <v>1.1000000000000001</v>
      </c>
      <c r="AI227" s="356">
        <f t="shared" si="148"/>
        <v>0</v>
      </c>
      <c r="AJ227" s="356">
        <f t="shared" si="149"/>
        <v>0</v>
      </c>
      <c r="AK227" s="360">
        <f t="shared" si="150"/>
        <v>0</v>
      </c>
      <c r="AL227" s="356" t="str">
        <f t="shared" si="151"/>
        <v>-</v>
      </c>
      <c r="AM227" s="356" t="str">
        <f t="shared" si="152"/>
        <v>-</v>
      </c>
      <c r="AN227" s="356" t="str">
        <f t="shared" si="153"/>
        <v>-</v>
      </c>
      <c r="AO227" s="356" t="e">
        <f t="shared" si="154"/>
        <v>#VALUE!</v>
      </c>
      <c r="AP227" s="358" t="str">
        <f t="shared" si="155"/>
        <v>-</v>
      </c>
      <c r="AQ227" s="357" t="str">
        <f t="shared" si="144"/>
        <v>-</v>
      </c>
      <c r="AR227" s="357" t="str">
        <f t="shared" si="145"/>
        <v>-</v>
      </c>
      <c r="AS227" s="356" t="str">
        <f t="shared" si="156"/>
        <v>-</v>
      </c>
      <c r="AT227" s="355" t="str">
        <f t="shared" si="157"/>
        <v>-</v>
      </c>
      <c r="AU227" s="356" t="str">
        <f t="shared" si="158"/>
        <v>-</v>
      </c>
      <c r="AV227" s="356" t="e">
        <f t="shared" si="159"/>
        <v>#DIV/0!</v>
      </c>
      <c r="AW227" s="355" t="str">
        <f t="shared" si="160"/>
        <v>-</v>
      </c>
      <c r="AX227" s="359"/>
      <c r="AY227" s="356" t="str">
        <f t="shared" si="161"/>
        <v>-</v>
      </c>
      <c r="AZ227" s="356" t="str">
        <f t="shared" si="162"/>
        <v>-</v>
      </c>
      <c r="BA227" s="356">
        <f t="shared" si="163"/>
        <v>0</v>
      </c>
      <c r="BB227" s="356" t="e">
        <f t="shared" si="164"/>
        <v>#VALUE!</v>
      </c>
      <c r="BC227" s="358" t="str">
        <f t="shared" si="165"/>
        <v>-</v>
      </c>
      <c r="BD227" s="356" t="e">
        <f t="shared" si="166"/>
        <v>#VALUE!</v>
      </c>
      <c r="BE227" s="357" t="str">
        <f t="shared" si="167"/>
        <v>-</v>
      </c>
      <c r="BF227" s="357" t="str">
        <f t="shared" si="168"/>
        <v>-</v>
      </c>
      <c r="BG227" s="356">
        <f t="shared" si="169"/>
        <v>0</v>
      </c>
    </row>
  </sheetData>
  <sheetProtection algorithmName="SHA-512" hashValue="Y8F4SJ5fMBuGaLdYNwJ7Qz/3AKpMyK+0UWF4EkUWaKTwVN5Dp24XmUdTNNvu3G8WHr3Cu4MPtfbvgfMh/f2JzA==" saltValue="CwOCppBpnhiElPjpYE0iVA==" spinCount="100000" sheet="1" formatCells="0" selectLockedCells="1"/>
  <mergeCells count="60">
    <mergeCell ref="A1:D2"/>
    <mergeCell ref="E1:F2"/>
    <mergeCell ref="AI24:AI25"/>
    <mergeCell ref="AJ24:AJ25"/>
    <mergeCell ref="AK24:AK25"/>
    <mergeCell ref="AB23:AB25"/>
    <mergeCell ref="Z23:AA24"/>
    <mergeCell ref="B3:C3"/>
    <mergeCell ref="B9:C9"/>
    <mergeCell ref="E3:F3"/>
    <mergeCell ref="I3:O3"/>
    <mergeCell ref="M23:P24"/>
    <mergeCell ref="Q23:Y23"/>
    <mergeCell ref="E7:F7"/>
    <mergeCell ref="B16:F16"/>
    <mergeCell ref="AG23:AG25"/>
    <mergeCell ref="E9:F9"/>
    <mergeCell ref="AC23:AC25"/>
    <mergeCell ref="AD23:AD25"/>
    <mergeCell ref="AE23:AE25"/>
    <mergeCell ref="AF23:AF25"/>
    <mergeCell ref="B23:G24"/>
    <mergeCell ref="W24:X24"/>
    <mergeCell ref="U24:V24"/>
    <mergeCell ref="S24:T24"/>
    <mergeCell ref="Q24:R24"/>
    <mergeCell ref="H23:L24"/>
    <mergeCell ref="AQ26:AQ27"/>
    <mergeCell ref="AR26:AR27"/>
    <mergeCell ref="AM24:AM25"/>
    <mergeCell ref="AN24:AN25"/>
    <mergeCell ref="AO24:AO25"/>
    <mergeCell ref="AP24:AP25"/>
    <mergeCell ref="AQ24:AQ25"/>
    <mergeCell ref="AR24:AR25"/>
    <mergeCell ref="AP26:AP27"/>
    <mergeCell ref="BG24:BG25"/>
    <mergeCell ref="AX23:BG23"/>
    <mergeCell ref="BG26:BG27"/>
    <mergeCell ref="AH23:AW23"/>
    <mergeCell ref="AH24:AH25"/>
    <mergeCell ref="AV26:AV27"/>
    <mergeCell ref="BC26:BC27"/>
    <mergeCell ref="BE26:BE27"/>
    <mergeCell ref="BF26:BF27"/>
    <mergeCell ref="BC24:BC25"/>
    <mergeCell ref="AS24:AS25"/>
    <mergeCell ref="AT24:AT25"/>
    <mergeCell ref="AU24:AU25"/>
    <mergeCell ref="AV24:AV25"/>
    <mergeCell ref="AW24:AW25"/>
    <mergeCell ref="AS26:AS27"/>
    <mergeCell ref="BD24:BD25"/>
    <mergeCell ref="BE24:BE25"/>
    <mergeCell ref="BF24:BF25"/>
    <mergeCell ref="AX24:AX25"/>
    <mergeCell ref="AY24:AY25"/>
    <mergeCell ref="AZ24:AZ25"/>
    <mergeCell ref="BA24:BA25"/>
    <mergeCell ref="BB24:BB25"/>
  </mergeCells>
  <conditionalFormatting sqref="L27">
    <cfRule type="expression" dxfId="10" priority="11">
      <formula>$L$27&lt;100000</formula>
    </cfRule>
  </conditionalFormatting>
  <conditionalFormatting sqref="L28:L227">
    <cfRule type="cellIs" dxfId="9" priority="10" operator="between">
      <formula>0.1</formula>
      <formula>75000</formula>
    </cfRule>
  </conditionalFormatting>
  <conditionalFormatting sqref="AP28:AP227">
    <cfRule type="cellIs" dxfId="8" priority="9" operator="lessThan">
      <formula>1.1</formula>
    </cfRule>
  </conditionalFormatting>
  <conditionalFormatting sqref="AX28:AX227">
    <cfRule type="cellIs" dxfId="7" priority="6" operator="between">
      <formula>0.01</formula>
      <formula>55000</formula>
    </cfRule>
  </conditionalFormatting>
  <conditionalFormatting sqref="AP26:AP27">
    <cfRule type="cellIs" dxfId="6" priority="5" operator="lessThan">
      <formula>1.2</formula>
    </cfRule>
  </conditionalFormatting>
  <conditionalFormatting sqref="BC26:BC27">
    <cfRule type="cellIs" dxfId="5" priority="4" operator="lessThan">
      <formula>1.2</formula>
    </cfRule>
  </conditionalFormatting>
  <conditionalFormatting sqref="BC28:BC227">
    <cfRule type="cellIs" dxfId="4" priority="3" operator="lessThan">
      <formula>1.1</formula>
    </cfRule>
  </conditionalFormatting>
  <dataValidations count="3">
    <dataValidation type="list" allowBlank="1" showInputMessage="1" showErrorMessage="1" sqref="F12" xr:uid="{DC64E0CF-356F-499F-8CD5-A71C7D115F37}">
      <formula1>INDIRECT($G$12)</formula1>
    </dataValidation>
    <dataValidation type="list" allowBlank="1" showInputMessage="1" showErrorMessage="1" sqref="F6" xr:uid="{AF2D101B-7BCA-4C4B-9565-27D2CD285F27}">
      <formula1>INDIRECT($G$6)</formula1>
    </dataValidation>
    <dataValidation type="list" allowBlank="1" showInputMessage="1" showErrorMessage="1" sqref="F4" xr:uid="{F36D5206-356C-4900-90C1-30E46BE064A9}">
      <formula1>IRPTerm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PasIRPlamts">
                <anchor moveWithCells="1" sizeWithCells="1">
                  <from>
                    <xdr:col>49</xdr:col>
                    <xdr:colOff>485775</xdr:colOff>
                    <xdr:row>7</xdr:row>
                    <xdr:rowOff>66675</xdr:rowOff>
                  </from>
                  <to>
                    <xdr:col>57</xdr:col>
                    <xdr:colOff>628650</xdr:colOff>
                    <xdr:row>20</xdr:row>
                    <xdr:rowOff>38100</xdr:rowOff>
                  </to>
                </anchor>
              </controlPr>
            </control>
          </mc:Choice>
        </mc:AlternateContent>
        <mc:AlternateContent xmlns:mc="http://schemas.openxmlformats.org/markup-compatibility/2006">
          <mc:Choice Requires="x14">
            <control shapeId="9218" r:id="rId5" name="Button 2">
              <controlPr defaultSize="0" print="0" autoFill="0" autoPict="0" macro="[0]!CopPasIRPpx">
                <anchor moveWithCells="1" sizeWithCells="1">
                  <from>
                    <xdr:col>14</xdr:col>
                    <xdr:colOff>295275</xdr:colOff>
                    <xdr:row>0</xdr:row>
                    <xdr:rowOff>114300</xdr:rowOff>
                  </from>
                  <to>
                    <xdr:col>16</xdr:col>
                    <xdr:colOff>933450</xdr:colOff>
                    <xdr:row>1</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 operator="greaterThan" id="{CC6A06EC-B665-44F6-9575-74254C047C84}">
            <xm:f>'IRP (Calc)'!$C$15</xm:f>
            <x14:dxf>
              <fill>
                <patternFill>
                  <bgColor rgb="FFC00000"/>
                </patternFill>
              </fill>
            </x14:dxf>
          </x14:cfRule>
          <xm:sqref>AQ26:AQ227</xm:sqref>
        </x14:conditionalFormatting>
        <x14:conditionalFormatting xmlns:xm="http://schemas.microsoft.com/office/excel/2006/main">
          <x14:cfRule type="cellIs" priority="7" operator="greaterThan" id="{03D3818B-F5DE-4701-A122-2A8F5A2FD845}">
            <xm:f>'IRP (Calc)'!$C$16</xm:f>
            <x14:dxf>
              <fill>
                <patternFill>
                  <bgColor rgb="FFC00000"/>
                </patternFill>
              </fill>
            </x14:dxf>
          </x14:cfRule>
          <xm:sqref>AR26:AR227</xm:sqref>
        </x14:conditionalFormatting>
        <x14:conditionalFormatting xmlns:xm="http://schemas.microsoft.com/office/excel/2006/main">
          <x14:cfRule type="cellIs" priority="2" operator="greaterThan" id="{E552DB54-65B6-4B52-8C26-DFC259F6C5BC}">
            <xm:f>'IRP (Calc)'!$C$15</xm:f>
            <x14:dxf>
              <fill>
                <patternFill>
                  <bgColor rgb="FFC00000"/>
                </patternFill>
              </fill>
            </x14:dxf>
          </x14:cfRule>
          <xm:sqref>BE26:BE227</xm:sqref>
        </x14:conditionalFormatting>
        <x14:conditionalFormatting xmlns:xm="http://schemas.microsoft.com/office/excel/2006/main">
          <x14:cfRule type="cellIs" priority="1" operator="greaterThan" id="{96BF4BAE-1D57-46F0-88A5-1F33E498E47F}">
            <xm:f>'IRP (Calc)'!$C$16</xm:f>
            <x14:dxf>
              <fill>
                <patternFill>
                  <bgColor rgb="FFC00000"/>
                </patternFill>
              </fill>
            </x14:dxf>
          </x14:cfRule>
          <xm:sqref>BF26:BF227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8D52D0E9-6D9D-4F49-B1D8-C30621A0C200}">
          <x14:formula1>
            <xm:f>'IRP (Legend)'!$J$2:$J$7</xm:f>
          </x14:formula1>
          <xm:sqref>H3</xm:sqref>
        </x14:dataValidation>
        <x14:dataValidation type="list" allowBlank="1" showInputMessage="1" showErrorMessage="1" xr:uid="{1DB07B88-8FC7-4F66-9212-B79C65D87433}">
          <x14:formula1>
            <xm:f>'IRP (Legend)'!$K$2:$K$4</xm:f>
          </x14:formula1>
          <xm:sqref>C13</xm:sqref>
        </x14:dataValidation>
        <x14:dataValidation type="list" allowBlank="1" showInputMessage="1" showErrorMessage="1" xr:uid="{6AFF124A-5684-4A73-8DEE-3F673F1F5720}">
          <x14:formula1>
            <xm:f>'IRP (Legend)'!$M$2:$M$5</xm:f>
          </x14:formula1>
          <xm:sqref>C12</xm:sqref>
        </x14:dataValidation>
        <x14:dataValidation type="list" allowBlank="1" showInputMessage="1" showErrorMessage="1" xr:uid="{6C239FC1-5006-4302-960E-2E96EDE8D3E7}">
          <x14:formula1>
            <xm:f>'IRP (Legend)'!$P$2:$P$3</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604BE-C7DF-4C15-8DAF-3A66068E6A17}">
  <sheetPr codeName="Sheet18">
    <tabColor rgb="FF9BACBF"/>
  </sheetPr>
  <dimension ref="A2:CB79"/>
  <sheetViews>
    <sheetView topLeftCell="CC1" zoomScale="70" zoomScaleNormal="70" workbookViewId="0">
      <selection activeCell="CK50" sqref="CK50"/>
    </sheetView>
  </sheetViews>
  <sheetFormatPr defaultColWidth="27.140625" defaultRowHeight="15.75" x14ac:dyDescent="0.25"/>
  <cols>
    <col min="1" max="1" width="8.5703125" style="51" hidden="1" customWidth="1"/>
    <col min="2" max="80" width="27.140625" style="51" hidden="1" customWidth="1"/>
    <col min="81" max="16384" width="27.140625" style="51"/>
  </cols>
  <sheetData>
    <row r="2" spans="2:79" x14ac:dyDescent="0.25">
      <c r="B2" s="731" t="s">
        <v>1821</v>
      </c>
      <c r="C2" s="730"/>
      <c r="D2" s="713" t="s">
        <v>2037</v>
      </c>
      <c r="E2" s="714"/>
      <c r="F2" s="714"/>
      <c r="G2" s="714"/>
      <c r="H2" s="714"/>
      <c r="I2" s="714"/>
      <c r="J2" s="715"/>
      <c r="L2" s="500" t="str">
        <f>$A$48</f>
        <v>-</v>
      </c>
      <c r="M2" s="499">
        <f>$B$48</f>
        <v>103.5</v>
      </c>
      <c r="N2" s="498">
        <f>$C$48/100</f>
        <v>1.0349999999999999</v>
      </c>
      <c r="O2" s="900" t="s">
        <v>2036</v>
      </c>
      <c r="P2" s="900" t="s">
        <v>168</v>
      </c>
      <c r="Q2" s="900" t="s">
        <v>2035</v>
      </c>
      <c r="R2" s="900" t="s">
        <v>156</v>
      </c>
      <c r="S2" s="900" t="s">
        <v>1742</v>
      </c>
      <c r="T2" s="497" t="s">
        <v>110</v>
      </c>
      <c r="U2" s="497" t="s">
        <v>2013</v>
      </c>
      <c r="V2" s="497" t="s">
        <v>2012</v>
      </c>
      <c r="W2" s="497" t="s">
        <v>90</v>
      </c>
      <c r="X2" s="497" t="s">
        <v>1993</v>
      </c>
      <c r="Y2" s="900" t="s">
        <v>1416</v>
      </c>
      <c r="Z2" s="900" t="s">
        <v>1731</v>
      </c>
      <c r="AA2" s="900" t="s">
        <v>2031</v>
      </c>
      <c r="AB2" s="900" t="s">
        <v>1760</v>
      </c>
      <c r="AC2" s="900" t="s">
        <v>2030</v>
      </c>
      <c r="AD2" s="900" t="s">
        <v>1790</v>
      </c>
      <c r="AE2" s="900" t="s">
        <v>1789</v>
      </c>
      <c r="AF2" s="900" t="s">
        <v>1788</v>
      </c>
      <c r="AG2" s="918" t="s">
        <v>2034</v>
      </c>
      <c r="AH2" s="921" t="s">
        <v>2032</v>
      </c>
      <c r="AI2" s="908" t="s">
        <v>156</v>
      </c>
      <c r="AJ2" s="908" t="s">
        <v>1742</v>
      </c>
      <c r="AK2" s="496" t="s">
        <v>110</v>
      </c>
      <c r="AL2" s="496" t="s">
        <v>2013</v>
      </c>
      <c r="AM2" s="496" t="s">
        <v>2012</v>
      </c>
      <c r="AN2" s="496" t="s">
        <v>90</v>
      </c>
      <c r="AO2" s="496" t="s">
        <v>1993</v>
      </c>
      <c r="AP2" s="908" t="s">
        <v>1416</v>
      </c>
      <c r="AQ2" s="908" t="s">
        <v>1731</v>
      </c>
      <c r="AR2" s="908" t="s">
        <v>2031</v>
      </c>
      <c r="AS2" s="908" t="s">
        <v>1760</v>
      </c>
      <c r="AT2" s="908" t="s">
        <v>2030</v>
      </c>
      <c r="AU2" s="908" t="s">
        <v>1790</v>
      </c>
      <c r="AV2" s="908" t="s">
        <v>1789</v>
      </c>
      <c r="AW2" s="925" t="s">
        <v>1788</v>
      </c>
      <c r="AX2" s="927" t="s">
        <v>2033</v>
      </c>
      <c r="AY2" s="928" t="s">
        <v>2032</v>
      </c>
      <c r="AZ2" s="923" t="s">
        <v>156</v>
      </c>
      <c r="BA2" s="923" t="s">
        <v>1742</v>
      </c>
      <c r="BB2" s="495" t="s">
        <v>110</v>
      </c>
      <c r="BC2" s="495" t="s">
        <v>2013</v>
      </c>
      <c r="BD2" s="495" t="s">
        <v>2012</v>
      </c>
      <c r="BE2" s="495" t="s">
        <v>90</v>
      </c>
      <c r="BF2" s="495" t="s">
        <v>1993</v>
      </c>
      <c r="BG2" s="923" t="s">
        <v>1416</v>
      </c>
      <c r="BH2" s="923" t="s">
        <v>1731</v>
      </c>
      <c r="BI2" s="923" t="s">
        <v>2031</v>
      </c>
      <c r="BJ2" s="923" t="s">
        <v>1760</v>
      </c>
      <c r="BK2" s="923" t="s">
        <v>2030</v>
      </c>
      <c r="BL2" s="923" t="s">
        <v>1790</v>
      </c>
      <c r="BM2" s="923" t="s">
        <v>1789</v>
      </c>
      <c r="BN2" s="910" t="s">
        <v>1788</v>
      </c>
      <c r="BO2" s="912" t="s">
        <v>2029</v>
      </c>
      <c r="BP2" s="914" t="s">
        <v>1814</v>
      </c>
      <c r="BQ2" s="916" t="s">
        <v>1778</v>
      </c>
      <c r="BR2" s="916" t="s">
        <v>156</v>
      </c>
      <c r="BS2" s="916" t="s">
        <v>1742</v>
      </c>
      <c r="BT2" s="916" t="s">
        <v>1813</v>
      </c>
      <c r="BU2" s="916" t="s">
        <v>1812</v>
      </c>
      <c r="BV2" s="916" t="s">
        <v>1539</v>
      </c>
      <c r="BW2" s="930" t="s">
        <v>1811</v>
      </c>
      <c r="BX2" s="912" t="s">
        <v>2028</v>
      </c>
      <c r="BY2" s="936" t="s">
        <v>1901</v>
      </c>
      <c r="BZ2" s="934" t="s">
        <v>2027</v>
      </c>
      <c r="CA2" s="932" t="s">
        <v>1739</v>
      </c>
    </row>
    <row r="3" spans="2:79" x14ac:dyDescent="0.25">
      <c r="B3" s="482" t="s">
        <v>110</v>
      </c>
      <c r="C3" s="159">
        <f>'Investor Portfolio (IRP)'!$C$12</f>
        <v>0</v>
      </c>
      <c r="D3" s="66" t="s">
        <v>1698</v>
      </c>
      <c r="E3" s="65" t="s">
        <v>1697</v>
      </c>
      <c r="F3" s="65" t="s">
        <v>1696</v>
      </c>
      <c r="G3" s="65" t="s">
        <v>1695</v>
      </c>
      <c r="H3" s="65" t="s">
        <v>1694</v>
      </c>
      <c r="I3" s="65" t="s">
        <v>1693</v>
      </c>
      <c r="J3" s="156" t="s">
        <v>1692</v>
      </c>
      <c r="L3" s="494" t="s">
        <v>2011</v>
      </c>
      <c r="M3" s="493" t="s">
        <v>1778</v>
      </c>
      <c r="N3" s="493" t="s">
        <v>2026</v>
      </c>
      <c r="O3" s="901"/>
      <c r="P3" s="901"/>
      <c r="Q3" s="901"/>
      <c r="R3" s="901"/>
      <c r="S3" s="901"/>
      <c r="T3" s="493">
        <f>$C$39</f>
        <v>0</v>
      </c>
      <c r="U3" s="493">
        <f>$C$40</f>
        <v>0</v>
      </c>
      <c r="V3" s="493" t="e">
        <f>$C$41</f>
        <v>#DIV/0!</v>
      </c>
      <c r="W3" s="493" t="str">
        <f>$C$42</f>
        <v>SFR</v>
      </c>
      <c r="X3" s="493">
        <f>$C$43</f>
        <v>0</v>
      </c>
      <c r="Y3" s="901"/>
      <c r="Z3" s="901"/>
      <c r="AA3" s="901"/>
      <c r="AB3" s="901"/>
      <c r="AC3" s="901"/>
      <c r="AD3" s="901"/>
      <c r="AE3" s="901"/>
      <c r="AF3" s="901"/>
      <c r="AG3" s="919"/>
      <c r="AH3" s="922"/>
      <c r="AI3" s="909"/>
      <c r="AJ3" s="909"/>
      <c r="AK3" s="492">
        <f>$C$39</f>
        <v>0</v>
      </c>
      <c r="AL3" s="492">
        <f>$C$40</f>
        <v>0</v>
      </c>
      <c r="AM3" s="492" t="e">
        <f>$C$41</f>
        <v>#DIV/0!</v>
      </c>
      <c r="AN3" s="492" t="str">
        <f>$C$42</f>
        <v>SFR</v>
      </c>
      <c r="AO3" s="492">
        <f>$C$43</f>
        <v>0</v>
      </c>
      <c r="AP3" s="909"/>
      <c r="AQ3" s="909"/>
      <c r="AR3" s="909"/>
      <c r="AS3" s="909"/>
      <c r="AT3" s="909"/>
      <c r="AU3" s="909"/>
      <c r="AV3" s="909"/>
      <c r="AW3" s="926"/>
      <c r="AX3" s="640"/>
      <c r="AY3" s="929"/>
      <c r="AZ3" s="924"/>
      <c r="BA3" s="924"/>
      <c r="BB3" s="491">
        <f>$C$39</f>
        <v>0</v>
      </c>
      <c r="BC3" s="491">
        <f>$C$40</f>
        <v>0</v>
      </c>
      <c r="BD3" s="491" t="e">
        <f>$C$41</f>
        <v>#DIV/0!</v>
      </c>
      <c r="BE3" s="491" t="str">
        <f>$C$42</f>
        <v>SFR</v>
      </c>
      <c r="BF3" s="491">
        <f>$C$43</f>
        <v>0</v>
      </c>
      <c r="BG3" s="924"/>
      <c r="BH3" s="924"/>
      <c r="BI3" s="924"/>
      <c r="BJ3" s="924"/>
      <c r="BK3" s="924"/>
      <c r="BL3" s="924"/>
      <c r="BM3" s="924"/>
      <c r="BN3" s="911"/>
      <c r="BO3" s="913"/>
      <c r="BP3" s="915"/>
      <c r="BQ3" s="917"/>
      <c r="BR3" s="917"/>
      <c r="BS3" s="917"/>
      <c r="BT3" s="917"/>
      <c r="BU3" s="917"/>
      <c r="BV3" s="917"/>
      <c r="BW3" s="931"/>
      <c r="BX3" s="913"/>
      <c r="BY3" s="937"/>
      <c r="BZ3" s="935"/>
      <c r="CA3" s="933"/>
    </row>
    <row r="4" spans="2:79" x14ac:dyDescent="0.25">
      <c r="B4" s="452" t="s">
        <v>107</v>
      </c>
      <c r="C4" s="120">
        <f>'Investor Portfolio (IRP)'!$C$13</f>
        <v>0</v>
      </c>
      <c r="D4" s="482" t="s">
        <v>1687</v>
      </c>
      <c r="E4" s="112" t="s">
        <v>2</v>
      </c>
      <c r="F4" s="112" t="s">
        <v>2</v>
      </c>
      <c r="G4" s="112" t="s">
        <v>2</v>
      </c>
      <c r="H4" s="112" t="s">
        <v>2</v>
      </c>
      <c r="I4" s="112" t="s">
        <v>2</v>
      </c>
      <c r="J4" s="111" t="s">
        <v>2</v>
      </c>
      <c r="L4" s="158">
        <v>0</v>
      </c>
      <c r="M4" s="428">
        <f t="shared" ref="M4:M26" si="0">($M$2/100)-L4</f>
        <v>1.0349999999999999</v>
      </c>
      <c r="N4" s="489" t="e">
        <f t="shared" ref="N4:N26" si="1">((M4-$N$2)/$L$2)</f>
        <v>#VALUE!</v>
      </c>
      <c r="O4" s="160" t="str">
        <f t="shared" ref="O4:O26" si="2">IF(OR($C$3="Purchase",$C$3="Delayed Purchase"),MIN($C$15*$C$9,$C$16*$C$14),IF(OR($C$3="Refinance (Rate/Term)",$C$3="Refinance (Cash Out)"),$C$9*$C$15,"-"))</f>
        <v>-</v>
      </c>
      <c r="P4" s="113" t="str">
        <f t="shared" ref="P4:P26" si="3">IF(O4="-","-",IF(OR($C$3="Purchase",$C$3="Delayed Purchase",$C$3="Refinance (Cash Out)"),"-",IF($C$3="Refinance (Rate/Term)",102%*$C$17,"-")))</f>
        <v>-</v>
      </c>
      <c r="Q4" s="160" t="str">
        <f t="shared" ref="Q4:Q26" si="4">IF(O4="-","-",IF($C$3="Refinance (Rate/Term)",MIN(O4:P4),O4))</f>
        <v>-</v>
      </c>
      <c r="R4" s="63" t="str">
        <f t="shared" ref="R4:R26" si="5">IF(Q4="-","-",Q4/$C$9)</f>
        <v>-</v>
      </c>
      <c r="S4" s="113" t="str">
        <f>IF(R4="-","-",IF(R4&lt;=INDEX('IRP (Legend)'!$D$3:$F$13,MATCH(R4,'IRP (Legend)'!$D$3:$D$13,1),2),INDEX('IRP (Legend)'!$D$3:$F$13,MATCH(R4,'IRP (Legend)'!$D$3:$D$13,1),3),"-"))</f>
        <v>-</v>
      </c>
      <c r="T4" s="489" t="str">
        <f>IF($S4="-","-",IFERROR(VLOOKUP(T$3,'IRP (LLPA)'!$AE$4:$AL$50,MATCH($S4,'IRP (LLPA)'!$AE$4:$AL$4,0),FALSE),"-"))</f>
        <v>-</v>
      </c>
      <c r="U4" s="489" t="str">
        <f>IF($S4="-","-",IFERROR(VLOOKUP(U$3,'IRP (LLPA)'!$AE$4:$AL$50,MATCH($S4,'IRP (LLPA)'!$AE$4:$AL$4,0),FALSE),"-"))</f>
        <v>-</v>
      </c>
      <c r="V4" s="489" t="str">
        <f>IF($S4="-","-",IFERROR(VLOOKUP(V$3,'IRP (LLPA)'!$AE$4:$AL$50,MATCH($S4,'IRP (LLPA)'!$AE$4:$AL$4,0),FALSE),"-"))</f>
        <v>-</v>
      </c>
      <c r="W4" s="489" t="str">
        <f>IF($S4="-","-",IFERROR(VLOOKUP(W$3,'IRP (LLPA)'!$AE$4:$AL$50,MATCH($S4,'IRP (LLPA)'!$AE$4:$AL$4,0),FALSE),"-"))</f>
        <v>-</v>
      </c>
      <c r="X4" s="489" t="str">
        <f>IF($S4="-","-",IFERROR(VLOOKUP(X$3,'IRP (LLPA)'!$AE$4:$AL$50,MATCH($S4,'IRP (LLPA)'!$AE$4:$AL$4,0),FALSE),"-"))</f>
        <v>-</v>
      </c>
      <c r="Y4" s="489" t="str">
        <f t="shared" ref="Y4:Y26" si="6">IF(S4="-","-",SUM(T4:X4))</f>
        <v>-</v>
      </c>
      <c r="Z4" s="489" t="str">
        <f>IF(Y4="-","-",VLOOKUP($C$6,'IRP (LLPA)'!$D$17:$K$27,MATCH($S4,'IRP (LLPA)'!$D$17:$K$17,0),FALSE))</f>
        <v>-</v>
      </c>
      <c r="AA4" s="489" t="str">
        <f t="shared" ref="AA4:AA26" si="7">IF(Z4="-","-",MAX(SUM(Z4,Y4,$N4),$C$73))</f>
        <v>-</v>
      </c>
      <c r="AB4" s="299">
        <f t="shared" ref="AB4:AB26" si="8">$C$27</f>
        <v>0</v>
      </c>
      <c r="AC4" s="298">
        <f t="shared" ref="AC4:AC26" si="9">$C$26</f>
        <v>1.2</v>
      </c>
      <c r="AD4" s="299">
        <f t="shared" ref="AD4:AD26" si="10">$C$20</f>
        <v>0</v>
      </c>
      <c r="AE4" s="299">
        <f t="shared" ref="AE4:AE26" si="11">SUM($C$21:$C$24)</f>
        <v>0</v>
      </c>
      <c r="AF4" s="160" t="e">
        <f t="shared" ref="AF4:AF26" si="12">ROUNDDOWN(IF(S4="-","-",IF($C$8="No IO",PV($AA4/12,360,-$AB4),($AB4/($AA4/12)))),0)</f>
        <v>#VALUE!</v>
      </c>
      <c r="AG4" s="919"/>
      <c r="AH4" s="490" t="e">
        <f t="shared" ref="AH4:AH26" si="13">IF(OR(Q4="-",AF4="-"),"-",MIN($Q4,$AF4))</f>
        <v>#VALUE!</v>
      </c>
      <c r="AI4" s="63" t="e">
        <f t="shared" ref="AI4:AI26" si="14">IF(AH4="-","-",AH4/$C$9)</f>
        <v>#VALUE!</v>
      </c>
      <c r="AJ4" s="113" t="e">
        <f>IF(AI4="-","-",IF(AI4&lt;=INDEX('IRP (Legend)'!$D$3:$F$13,MATCH(AI4,'IRP (Legend)'!$D$3:$D$13,1),2),INDEX('IRP (Legend)'!$D$3:$F$13,MATCH(AI4,'IRP (Legend)'!$D$3:$D$13,1),3),"-"))</f>
        <v>#VALUE!</v>
      </c>
      <c r="AK4" s="489" t="e">
        <f>IF($AJ4="-","-",IFERROR(VLOOKUP(AK$3,'IRP (LLPA)'!$AE$4:$AL$50,MATCH($AJ4,'IRP (LLPA)'!$AE$4:$AL$4,0),FALSE),"-"))</f>
        <v>#VALUE!</v>
      </c>
      <c r="AL4" s="489" t="e">
        <f>IF($AJ4="-","-",IFERROR(VLOOKUP(AL$3,'IRP (LLPA)'!$AE$4:$AL$50,MATCH($AJ4,'IRP (LLPA)'!$AE$4:$AL$4,0),FALSE),"-"))</f>
        <v>#VALUE!</v>
      </c>
      <c r="AM4" s="489" t="e">
        <f>IF($AJ4="-","-",IFERROR(VLOOKUP(AM$3,'IRP (LLPA)'!$AE$4:$AL$50,MATCH($AJ4,'IRP (LLPA)'!$AE$4:$AL$4,0),FALSE),"-"))</f>
        <v>#VALUE!</v>
      </c>
      <c r="AN4" s="489" t="e">
        <f>IF($AJ4="-","-",IFERROR(VLOOKUP(AN$3,'IRP (LLPA)'!$AE$4:$AL$50,MATCH($AJ4,'IRP (LLPA)'!$AE$4:$AL$4,0),FALSE),"-"))</f>
        <v>#VALUE!</v>
      </c>
      <c r="AO4" s="489" t="e">
        <f>IF($AJ4="-","-",IFERROR(VLOOKUP(AO$3,'IRP (LLPA)'!$AE$4:$AL$50,MATCH($AJ4,'IRP (LLPA)'!$AE$4:$AL$4,0),FALSE),"-"))</f>
        <v>#VALUE!</v>
      </c>
      <c r="AP4" s="489" t="e">
        <f t="shared" ref="AP4:AP26" si="15">IF(AJ4="-","-",SUM(AK4:AO4))</f>
        <v>#VALUE!</v>
      </c>
      <c r="AQ4" s="489" t="e">
        <f>IF(AP4="-","-",VLOOKUP($C$6,'IRP (LLPA)'!$D$17:$K$27,MATCH($AJ4,'IRP (LLPA)'!$D$17:$K$17,0),FALSE))</f>
        <v>#VALUE!</v>
      </c>
      <c r="AR4" s="489" t="e">
        <f t="shared" ref="AR4:AR26" si="16">IF(AQ4="-","-",MAX(SUM(AQ4,AP4,$N4),$C$73))</f>
        <v>#VALUE!</v>
      </c>
      <c r="AS4" s="299">
        <f t="shared" ref="AS4:AS26" si="17">$C$27</f>
        <v>0</v>
      </c>
      <c r="AT4" s="298">
        <f t="shared" ref="AT4:AT26" si="18">$C$26</f>
        <v>1.2</v>
      </c>
      <c r="AU4" s="299">
        <f t="shared" ref="AU4:AU26" si="19">$C$20</f>
        <v>0</v>
      </c>
      <c r="AV4" s="299">
        <f t="shared" ref="AV4:AV26" si="20">SUM($C$21:$C$24)</f>
        <v>0</v>
      </c>
      <c r="AW4" s="142" t="e">
        <f t="shared" ref="AW4:AW26" si="21">ROUNDDOWN(IF(AJ4="-","-",IF($C$8="No IO",PV($AR4/12,360,-$AS4),($AS4/($AR4/12)))),0)</f>
        <v>#VALUE!</v>
      </c>
      <c r="AX4" s="640"/>
      <c r="AY4" s="490" t="e">
        <f t="shared" ref="AY4:AY26" si="22">IF(OR(Q4="-",AW4="-"),"-",MIN($Q4,$AW4))</f>
        <v>#VALUE!</v>
      </c>
      <c r="AZ4" s="63" t="e">
        <f t="shared" ref="AZ4:AZ26" si="23">IF(AY4="-","-",AY4/$C$9)</f>
        <v>#VALUE!</v>
      </c>
      <c r="BA4" s="113" t="e">
        <f>IF(AZ4="-","-",IF(AZ4&lt;=INDEX('IRP (Legend)'!$D$3:$F$13,MATCH(AZ4,'IRP (Legend)'!$D$3:$D$13,1),2),INDEX('IRP (Legend)'!$D$3:$F$13,MATCH(AZ4,'IRP (Legend)'!$D$3:$D$13,1),3),"-"))</f>
        <v>#VALUE!</v>
      </c>
      <c r="BB4" s="489" t="e">
        <f>IF($AJ4="-","-",IFERROR(VLOOKUP(BB$3,'IRP (LLPA)'!$AE$4:$AL$50,MATCH($BA4,'IRP (LLPA)'!$AE$4:$AL$4,0),FALSE),"-"))</f>
        <v>#VALUE!</v>
      </c>
      <c r="BC4" s="489" t="e">
        <f>IF($AJ4="-","-",IFERROR(VLOOKUP(BC$3,'IRP (LLPA)'!$AE$4:$AL$50,MATCH($BA4,'IRP (LLPA)'!$AE$4:$AL$4,0),FALSE),"-"))</f>
        <v>#VALUE!</v>
      </c>
      <c r="BD4" s="489" t="e">
        <f>IF($AJ4="-","-",IFERROR(VLOOKUP(BD$3,'IRP (LLPA)'!$AE$4:$AL$50,MATCH($BA4,'IRP (LLPA)'!$AE$4:$AL$4,0),FALSE),"-"))</f>
        <v>#VALUE!</v>
      </c>
      <c r="BE4" s="489" t="e">
        <f>IF($AJ4="-","-",IFERROR(VLOOKUP(BE$3,'IRP (LLPA)'!$AE$4:$AL$50,MATCH($BA4,'IRP (LLPA)'!$AE$4:$AL$4,0),FALSE),"-"))</f>
        <v>#VALUE!</v>
      </c>
      <c r="BF4" s="489" t="e">
        <f>IF($AJ4="-","-",IFERROR(VLOOKUP(BF$3,'IRP (LLPA)'!$AE$4:$AL$50,MATCH($BA4,'IRP (LLPA)'!$AE$4:$AL$4,0),FALSE),"-"))</f>
        <v>#VALUE!</v>
      </c>
      <c r="BG4" s="489" t="e">
        <f t="shared" ref="BG4:BG26" si="24">IF(BA4="-","-",SUM(BB4:BF4))</f>
        <v>#VALUE!</v>
      </c>
      <c r="BH4" s="489" t="e">
        <f>IF(BG4="-","-",VLOOKUP($C$6,'IRP (LLPA)'!$D$17:$K$27,MATCH($BA4,'IRP (LLPA)'!$D$17:$K$17,0),FALSE))</f>
        <v>#VALUE!</v>
      </c>
      <c r="BI4" s="489" t="e">
        <f t="shared" ref="BI4:BI26" si="25">IF(BH4="-","-",MAX(SUM(BH4,BG4,$N4),$C$73))</f>
        <v>#VALUE!</v>
      </c>
      <c r="BJ4" s="299">
        <f t="shared" ref="BJ4:BJ26" si="26">$C$27</f>
        <v>0</v>
      </c>
      <c r="BK4" s="298">
        <f t="shared" ref="BK4:BK26" si="27">$C$26</f>
        <v>1.2</v>
      </c>
      <c r="BL4" s="299">
        <f t="shared" ref="BL4:BL26" si="28">$C$20</f>
        <v>0</v>
      </c>
      <c r="BM4" s="299">
        <f t="shared" ref="BM4:BM26" si="29">SUM($C$21:$C$24)</f>
        <v>0</v>
      </c>
      <c r="BN4" s="142" t="e">
        <f t="shared" ref="BN4:BN26" si="30">ROUNDDOWN(IF(BA4="-","-",IF($C$8="No IO",PV($BI4/12,360,-$BJ4),($BJ4/($BI4/12)))),0)</f>
        <v>#VALUE!</v>
      </c>
      <c r="BO4" s="913"/>
      <c r="BP4" s="488" t="e">
        <f t="shared" ref="BP4:BP26" si="31">IF(OR(Q4="-",BN4="-"),"-",MIN($Q4,$BN4))</f>
        <v>#VALUE!</v>
      </c>
      <c r="BQ4" s="487">
        <v>103.5</v>
      </c>
      <c r="BR4" s="486" t="e">
        <f t="shared" ref="BR4:BR26" si="32">IF(BP4="-","-",BP4/$C$9)</f>
        <v>#VALUE!</v>
      </c>
      <c r="BS4" s="485" t="e">
        <f>IF(BR4="-","-",IF(BR4&lt;=INDEX('IRP (Legend)'!$D$3:$F$13,MATCH(BR4,'IRP (Legend)'!$D$3:$D$13,1),2),INDEX('IRP (Legend)'!$D$3:$F$13,MATCH(BR4,'IRP (Legend)'!$D$3:$D$13,1),3),"-"))</f>
        <v>#VALUE!</v>
      </c>
      <c r="BT4" s="485" t="e">
        <f t="shared" ref="BT4:BT26" si="33">BS4&lt;BA4</f>
        <v>#VALUE!</v>
      </c>
      <c r="BU4" s="485" t="e">
        <f t="shared" ref="BU4:BU26" si="34">_xlfn.CONCAT(VLOOKUP(BS4,$BY$2:$CA$10,2,FALSE)," ","Rate")</f>
        <v>#VALUE!</v>
      </c>
      <c r="BV4" s="484" t="str">
        <f t="shared" ref="BV4:BV26" si="35">IFERROR(IF($BT4,VLOOKUP($BS4,$BY$2:$CA$10,3,FALSE),$BP4),"-")</f>
        <v>-</v>
      </c>
      <c r="BW4" s="483" t="str">
        <f t="shared" ref="BW4:BW26" si="36">IFERROR(IF(BT4,VLOOKUP($BQ4,$B$47:$X$71,MATCH($BU4,$B$47:$X$47,0),FALSE),$BI4),"-")</f>
        <v>-</v>
      </c>
      <c r="BX4" s="913"/>
      <c r="BY4" s="64" t="s">
        <v>1640</v>
      </c>
      <c r="BZ4" s="113" t="s">
        <v>1756</v>
      </c>
      <c r="CA4" s="142" t="str">
        <f t="shared" ref="CA4:CA10" si="37">VLOOKUP($B$35,$B$29:$X$45,MATCH($BZ4,$B$29:$X$29,0),FALSE)</f>
        <v>-</v>
      </c>
    </row>
    <row r="5" spans="2:79" x14ac:dyDescent="0.25">
      <c r="B5" s="452" t="s">
        <v>1805</v>
      </c>
      <c r="C5" s="120">
        <f>'Investor Portfolio (IRP)'!$C$14</f>
        <v>0</v>
      </c>
      <c r="D5" s="452" t="s">
        <v>1686</v>
      </c>
      <c r="E5" s="110" t="s">
        <v>2</v>
      </c>
      <c r="F5" s="110" t="s">
        <v>2</v>
      </c>
      <c r="G5" s="110" t="s">
        <v>2</v>
      </c>
      <c r="H5" s="110" t="s">
        <v>2</v>
      </c>
      <c r="I5" s="110" t="s">
        <v>2</v>
      </c>
      <c r="J5" s="109" t="s">
        <v>2</v>
      </c>
      <c r="L5" s="416">
        <f t="shared" ref="L5:L26" si="38">+L4+0.25%</f>
        <v>2.5000000000000001E-3</v>
      </c>
      <c r="M5" s="67">
        <f t="shared" si="0"/>
        <v>1.0325</v>
      </c>
      <c r="N5" s="480" t="e">
        <f t="shared" si="1"/>
        <v>#VALUE!</v>
      </c>
      <c r="O5" s="57" t="str">
        <f t="shared" si="2"/>
        <v>-</v>
      </c>
      <c r="P5" s="51" t="str">
        <f t="shared" si="3"/>
        <v>-</v>
      </c>
      <c r="Q5" s="57" t="str">
        <f t="shared" si="4"/>
        <v>-</v>
      </c>
      <c r="R5" s="61" t="str">
        <f t="shared" si="5"/>
        <v>-</v>
      </c>
      <c r="S5" s="51" t="str">
        <f>IF(R5="-","-",IF(R5&lt;=INDEX('IRP (Legend)'!$D$3:$F$13,MATCH(R5,'IRP (Legend)'!$D$3:$D$13,1),2),INDEX('IRP (Legend)'!$D$3:$F$13,MATCH(R5,'IRP (Legend)'!$D$3:$D$13,1),3),"-"))</f>
        <v>-</v>
      </c>
      <c r="T5" s="480" t="str">
        <f>IF($S5="-","-",IFERROR(VLOOKUP(T$3,'IRP (LLPA)'!$AE$4:$AL$50,MATCH($S5,'IRP (LLPA)'!$AE$4:$AL$4,0),FALSE),"-"))</f>
        <v>-</v>
      </c>
      <c r="U5" s="480" t="str">
        <f>IF($S5="-","-",IFERROR(VLOOKUP(U$3,'IRP (LLPA)'!$AE$4:$AL$50,MATCH($S5,'IRP (LLPA)'!$AE$4:$AL$4,0),FALSE),"-"))</f>
        <v>-</v>
      </c>
      <c r="V5" s="480" t="str">
        <f>IF($S5="-","-",IFERROR(VLOOKUP(V$3,'IRP (LLPA)'!$AE$4:$AL$50,MATCH($S5,'IRP (LLPA)'!$AE$4:$AL$4,0),FALSE),"-"))</f>
        <v>-</v>
      </c>
      <c r="W5" s="480" t="str">
        <f>IF($S5="-","-",IFERROR(VLOOKUP(W$3,'IRP (LLPA)'!$AE$4:$AL$50,MATCH($S5,'IRP (LLPA)'!$AE$4:$AL$4,0),FALSE),"-"))</f>
        <v>-</v>
      </c>
      <c r="X5" s="480" t="str">
        <f>IF($S5="-","-",IFERROR(VLOOKUP(X$3,'IRP (LLPA)'!$AE$4:$AL$50,MATCH($S5,'IRP (LLPA)'!$AE$4:$AL$4,0),FALSE),"-"))</f>
        <v>-</v>
      </c>
      <c r="Y5" s="480" t="str">
        <f t="shared" si="6"/>
        <v>-</v>
      </c>
      <c r="Z5" s="480" t="str">
        <f>IF(Y5="-","-",VLOOKUP($C$6,'IRP (LLPA)'!$D$17:$K$27,MATCH($S5,'IRP (LLPA)'!$D$17:$K$17,0),FALSE))</f>
        <v>-</v>
      </c>
      <c r="AA5" s="480" t="str">
        <f t="shared" si="7"/>
        <v>-</v>
      </c>
      <c r="AB5" s="52">
        <f t="shared" si="8"/>
        <v>0</v>
      </c>
      <c r="AC5" s="214">
        <f t="shared" si="9"/>
        <v>1.2</v>
      </c>
      <c r="AD5" s="52">
        <f t="shared" si="10"/>
        <v>0</v>
      </c>
      <c r="AE5" s="52">
        <f t="shared" si="11"/>
        <v>0</v>
      </c>
      <c r="AF5" s="57" t="e">
        <f t="shared" si="12"/>
        <v>#VALUE!</v>
      </c>
      <c r="AG5" s="919"/>
      <c r="AH5" s="481" t="e">
        <f t="shared" si="13"/>
        <v>#VALUE!</v>
      </c>
      <c r="AI5" s="61" t="e">
        <f t="shared" si="14"/>
        <v>#VALUE!</v>
      </c>
      <c r="AJ5" s="51" t="e">
        <f>IF(AI5="-","-",IF(AI5&lt;=INDEX('IRP (Legend)'!$D$3:$F$13,MATCH(AI5,'IRP (Legend)'!$D$3:$D$13,1),2),INDEX('IRP (Legend)'!$D$3:$F$13,MATCH(AI5,'IRP (Legend)'!$D$3:$D$13,1),3),"-"))</f>
        <v>#VALUE!</v>
      </c>
      <c r="AK5" s="480" t="e">
        <f>IF($AJ5="-","-",IFERROR(VLOOKUP(AK$3,'IRP (LLPA)'!$AE$4:$AL$50,MATCH($AJ5,'IRP (LLPA)'!$AE$4:$AL$4,0),FALSE),"-"))</f>
        <v>#VALUE!</v>
      </c>
      <c r="AL5" s="480" t="e">
        <f>IF($AJ5="-","-",IFERROR(VLOOKUP(AL$3,'IRP (LLPA)'!$AE$4:$AL$50,MATCH($AJ5,'IRP (LLPA)'!$AE$4:$AL$4,0),FALSE),"-"))</f>
        <v>#VALUE!</v>
      </c>
      <c r="AM5" s="480" t="e">
        <f>IF($AJ5="-","-",IFERROR(VLOOKUP(AM$3,'IRP (LLPA)'!$AE$4:$AL$50,MATCH($AJ5,'IRP (LLPA)'!$AE$4:$AL$4,0),FALSE),"-"))</f>
        <v>#VALUE!</v>
      </c>
      <c r="AN5" s="480" t="e">
        <f>IF($AJ5="-","-",IFERROR(VLOOKUP(AN$3,'IRP (LLPA)'!$AE$4:$AL$50,MATCH($AJ5,'IRP (LLPA)'!$AE$4:$AL$4,0),FALSE),"-"))</f>
        <v>#VALUE!</v>
      </c>
      <c r="AO5" s="480" t="e">
        <f>IF($AJ5="-","-",IFERROR(VLOOKUP(AO$3,'IRP (LLPA)'!$AE$4:$AL$50,MATCH($AJ5,'IRP (LLPA)'!$AE$4:$AL$4,0),FALSE),"-"))</f>
        <v>#VALUE!</v>
      </c>
      <c r="AP5" s="480" t="e">
        <f t="shared" si="15"/>
        <v>#VALUE!</v>
      </c>
      <c r="AQ5" s="480" t="e">
        <f>IF(AP5="-","-",VLOOKUP($C$6,'IRP (LLPA)'!$D$17:$K$27,MATCH($AJ5,'IRP (LLPA)'!$D$17:$K$17,0),FALSE))</f>
        <v>#VALUE!</v>
      </c>
      <c r="AR5" s="480" t="e">
        <f t="shared" si="16"/>
        <v>#VALUE!</v>
      </c>
      <c r="AS5" s="52">
        <f t="shared" si="17"/>
        <v>0</v>
      </c>
      <c r="AT5" s="214">
        <f t="shared" si="18"/>
        <v>1.2</v>
      </c>
      <c r="AU5" s="52">
        <f t="shared" si="19"/>
        <v>0</v>
      </c>
      <c r="AV5" s="52">
        <f t="shared" si="20"/>
        <v>0</v>
      </c>
      <c r="AW5" s="139" t="e">
        <f t="shared" si="21"/>
        <v>#VALUE!</v>
      </c>
      <c r="AX5" s="640"/>
      <c r="AY5" s="481" t="e">
        <f t="shared" si="22"/>
        <v>#VALUE!</v>
      </c>
      <c r="AZ5" s="61" t="e">
        <f t="shared" si="23"/>
        <v>#VALUE!</v>
      </c>
      <c r="BA5" s="51" t="e">
        <f>IF(AZ5="-","-",IF(AZ5&lt;=INDEX('IRP (Legend)'!$D$3:$F$13,MATCH(AZ5,'IRP (Legend)'!$D$3:$D$13,1),2),INDEX('IRP (Legend)'!$D$3:$F$13,MATCH(AZ5,'IRP (Legend)'!$D$3:$D$13,1),3),"-"))</f>
        <v>#VALUE!</v>
      </c>
      <c r="BB5" s="480" t="e">
        <f>IF($AJ5="-","-",IFERROR(VLOOKUP(BB$3,'IRP (LLPA)'!$AE$4:$AL$50,MATCH($BA5,'IRP (LLPA)'!$AE$4:$AL$4,0),FALSE),"-"))</f>
        <v>#VALUE!</v>
      </c>
      <c r="BC5" s="480" t="e">
        <f>IF($AJ5="-","-",IFERROR(VLOOKUP(BC$3,'IRP (LLPA)'!$AE$4:$AL$50,MATCH($BA5,'IRP (LLPA)'!$AE$4:$AL$4,0),FALSE),"-"))</f>
        <v>#VALUE!</v>
      </c>
      <c r="BD5" s="480" t="e">
        <f>IF($AJ5="-","-",IFERROR(VLOOKUP(BD$3,'IRP (LLPA)'!$AE$4:$AL$50,MATCH($BA5,'IRP (LLPA)'!$AE$4:$AL$4,0),FALSE),"-"))</f>
        <v>#VALUE!</v>
      </c>
      <c r="BE5" s="480" t="e">
        <f>IF($AJ5="-","-",IFERROR(VLOOKUP(BE$3,'IRP (LLPA)'!$AE$4:$AL$50,MATCH($BA5,'IRP (LLPA)'!$AE$4:$AL$4,0),FALSE),"-"))</f>
        <v>#VALUE!</v>
      </c>
      <c r="BF5" s="480" t="e">
        <f>IF($AJ5="-","-",IFERROR(VLOOKUP(BF$3,'IRP (LLPA)'!$AE$4:$AL$50,MATCH($BA5,'IRP (LLPA)'!$AE$4:$AL$4,0),FALSE),"-"))</f>
        <v>#VALUE!</v>
      </c>
      <c r="BG5" s="480" t="e">
        <f t="shared" si="24"/>
        <v>#VALUE!</v>
      </c>
      <c r="BH5" s="480" t="e">
        <f>IF(BG5="-","-",VLOOKUP($C$6,'IRP (LLPA)'!$D$17:$K$27,MATCH($BA5,'IRP (LLPA)'!$D$17:$K$17,0),FALSE))</f>
        <v>#VALUE!</v>
      </c>
      <c r="BI5" s="480" t="e">
        <f t="shared" si="25"/>
        <v>#VALUE!</v>
      </c>
      <c r="BJ5" s="52">
        <f t="shared" si="26"/>
        <v>0</v>
      </c>
      <c r="BK5" s="214">
        <f t="shared" si="27"/>
        <v>1.2</v>
      </c>
      <c r="BL5" s="52">
        <f t="shared" si="28"/>
        <v>0</v>
      </c>
      <c r="BM5" s="52">
        <f t="shared" si="29"/>
        <v>0</v>
      </c>
      <c r="BN5" s="139" t="e">
        <f t="shared" si="30"/>
        <v>#VALUE!</v>
      </c>
      <c r="BO5" s="913"/>
      <c r="BP5" s="479" t="e">
        <f t="shared" si="31"/>
        <v>#VALUE!</v>
      </c>
      <c r="BQ5" s="478">
        <v>103.25</v>
      </c>
      <c r="BR5" s="477" t="e">
        <f t="shared" si="32"/>
        <v>#VALUE!</v>
      </c>
      <c r="BS5" s="476" t="e">
        <f>IF(BR5="-","-",IF(BR5&lt;=INDEX('IRP (Legend)'!$D$3:$F$13,MATCH(BR5,'IRP (Legend)'!$D$3:$D$13,1),2),INDEX('IRP (Legend)'!$D$3:$F$13,MATCH(BR5,'IRP (Legend)'!$D$3:$D$13,1),3),"-"))</f>
        <v>#VALUE!</v>
      </c>
      <c r="BT5" s="476" t="e">
        <f t="shared" si="33"/>
        <v>#VALUE!</v>
      </c>
      <c r="BU5" s="476" t="e">
        <f t="shared" si="34"/>
        <v>#VALUE!</v>
      </c>
      <c r="BV5" s="475" t="str">
        <f t="shared" si="35"/>
        <v>-</v>
      </c>
      <c r="BW5" s="474" t="str">
        <f t="shared" si="36"/>
        <v>-</v>
      </c>
      <c r="BX5" s="913"/>
      <c r="BY5" s="62" t="s">
        <v>1639</v>
      </c>
      <c r="BZ5" s="51" t="s">
        <v>1755</v>
      </c>
      <c r="CA5" s="139" t="str">
        <f t="shared" si="37"/>
        <v>-</v>
      </c>
    </row>
    <row r="6" spans="2:79" x14ac:dyDescent="0.25">
      <c r="B6" s="452" t="s">
        <v>1698</v>
      </c>
      <c r="C6" s="120" t="str">
        <f>IF(OR($C$4="Foreign National",$C$5=""),"FN",IF($C$5&lt;=INDEX('IRP (Legend)'!$A$3:$C$16,MATCH($C$5,'IRP (Legend)'!$A$3:$A$15,1),2),INDEX('IRP (Legend)'!$A$3:$C$16,MATCH($C$5,'IRP (Legend)'!$A$3:$A$15,1),3),"-"))</f>
        <v>&lt; 575</v>
      </c>
      <c r="D6" s="452" t="s">
        <v>1476</v>
      </c>
      <c r="E6" s="110">
        <v>0.6</v>
      </c>
      <c r="F6" s="110">
        <v>0.6</v>
      </c>
      <c r="G6" s="110">
        <v>0.6</v>
      </c>
      <c r="H6" s="110">
        <v>0.6</v>
      </c>
      <c r="I6" s="110">
        <v>0.55000000000000004</v>
      </c>
      <c r="J6" s="109">
        <v>0.55000000000000004</v>
      </c>
      <c r="L6" s="416">
        <f t="shared" si="38"/>
        <v>5.0000000000000001E-3</v>
      </c>
      <c r="M6" s="67">
        <f t="shared" si="0"/>
        <v>1.03</v>
      </c>
      <c r="N6" s="480" t="e">
        <f t="shared" si="1"/>
        <v>#VALUE!</v>
      </c>
      <c r="O6" s="57" t="str">
        <f t="shared" si="2"/>
        <v>-</v>
      </c>
      <c r="P6" s="51" t="str">
        <f t="shared" si="3"/>
        <v>-</v>
      </c>
      <c r="Q6" s="57" t="str">
        <f t="shared" si="4"/>
        <v>-</v>
      </c>
      <c r="R6" s="61" t="str">
        <f t="shared" si="5"/>
        <v>-</v>
      </c>
      <c r="S6" s="51" t="str">
        <f>IF(R6="-","-",IF(R6&lt;=INDEX('IRP (Legend)'!$D$3:$F$13,MATCH(R6,'IRP (Legend)'!$D$3:$D$13,1),2),INDEX('IRP (Legend)'!$D$3:$F$13,MATCH(R6,'IRP (Legend)'!$D$3:$D$13,1),3),"-"))</f>
        <v>-</v>
      </c>
      <c r="T6" s="480" t="str">
        <f>IF($S6="-","-",IFERROR(VLOOKUP(T$3,'IRP (LLPA)'!$AE$4:$AL$50,MATCH($S6,'IRP (LLPA)'!$AE$4:$AL$4,0),FALSE),"-"))</f>
        <v>-</v>
      </c>
      <c r="U6" s="480" t="str">
        <f>IF($S6="-","-",IFERROR(VLOOKUP(U$3,'IRP (LLPA)'!$AE$4:$AL$50,MATCH($S6,'IRP (LLPA)'!$AE$4:$AL$4,0),FALSE),"-"))</f>
        <v>-</v>
      </c>
      <c r="V6" s="480" t="str">
        <f>IF($S6="-","-",IFERROR(VLOOKUP(V$3,'IRP (LLPA)'!$AE$4:$AL$50,MATCH($S6,'IRP (LLPA)'!$AE$4:$AL$4,0),FALSE),"-"))</f>
        <v>-</v>
      </c>
      <c r="W6" s="480" t="str">
        <f>IF($S6="-","-",IFERROR(VLOOKUP(W$3,'IRP (LLPA)'!$AE$4:$AL$50,MATCH($S6,'IRP (LLPA)'!$AE$4:$AL$4,0),FALSE),"-"))</f>
        <v>-</v>
      </c>
      <c r="X6" s="480" t="str">
        <f>IF($S6="-","-",IFERROR(VLOOKUP(X$3,'IRP (LLPA)'!$AE$4:$AL$50,MATCH($S6,'IRP (LLPA)'!$AE$4:$AL$4,0),FALSE),"-"))</f>
        <v>-</v>
      </c>
      <c r="Y6" s="480" t="str">
        <f t="shared" si="6"/>
        <v>-</v>
      </c>
      <c r="Z6" s="480" t="str">
        <f>IF(Y6="-","-",VLOOKUP($C$6,'IRP (LLPA)'!$D$17:$K$27,MATCH($S6,'IRP (LLPA)'!$D$17:$K$17,0),FALSE))</f>
        <v>-</v>
      </c>
      <c r="AA6" s="480" t="str">
        <f t="shared" si="7"/>
        <v>-</v>
      </c>
      <c r="AB6" s="52">
        <f t="shared" si="8"/>
        <v>0</v>
      </c>
      <c r="AC6" s="214">
        <f t="shared" si="9"/>
        <v>1.2</v>
      </c>
      <c r="AD6" s="52">
        <f t="shared" si="10"/>
        <v>0</v>
      </c>
      <c r="AE6" s="52">
        <f t="shared" si="11"/>
        <v>0</v>
      </c>
      <c r="AF6" s="57" t="e">
        <f t="shared" si="12"/>
        <v>#VALUE!</v>
      </c>
      <c r="AG6" s="919"/>
      <c r="AH6" s="481" t="e">
        <f t="shared" si="13"/>
        <v>#VALUE!</v>
      </c>
      <c r="AI6" s="61" t="e">
        <f t="shared" si="14"/>
        <v>#VALUE!</v>
      </c>
      <c r="AJ6" s="51" t="e">
        <f>IF(AI6="-","-",IF(AI6&lt;=INDEX('IRP (Legend)'!$D$3:$F$13,MATCH(AI6,'IRP (Legend)'!$D$3:$D$13,1),2),INDEX('IRP (Legend)'!$D$3:$F$13,MATCH(AI6,'IRP (Legend)'!$D$3:$D$13,1),3),"-"))</f>
        <v>#VALUE!</v>
      </c>
      <c r="AK6" s="480" t="e">
        <f>IF($AJ6="-","-",IFERROR(VLOOKUP(AK$3,'IRP (LLPA)'!$AE$4:$AL$50,MATCH($AJ6,'IRP (LLPA)'!$AE$4:$AL$4,0),FALSE),"-"))</f>
        <v>#VALUE!</v>
      </c>
      <c r="AL6" s="480" t="e">
        <f>IF($AJ6="-","-",IFERROR(VLOOKUP(AL$3,'IRP (LLPA)'!$AE$4:$AL$50,MATCH($AJ6,'IRP (LLPA)'!$AE$4:$AL$4,0),FALSE),"-"))</f>
        <v>#VALUE!</v>
      </c>
      <c r="AM6" s="480" t="e">
        <f>IF($AJ6="-","-",IFERROR(VLOOKUP(AM$3,'IRP (LLPA)'!$AE$4:$AL$50,MATCH($AJ6,'IRP (LLPA)'!$AE$4:$AL$4,0),FALSE),"-"))</f>
        <v>#VALUE!</v>
      </c>
      <c r="AN6" s="480" t="e">
        <f>IF($AJ6="-","-",IFERROR(VLOOKUP(AN$3,'IRP (LLPA)'!$AE$4:$AL$50,MATCH($AJ6,'IRP (LLPA)'!$AE$4:$AL$4,0),FALSE),"-"))</f>
        <v>#VALUE!</v>
      </c>
      <c r="AO6" s="480" t="e">
        <f>IF($AJ6="-","-",IFERROR(VLOOKUP(AO$3,'IRP (LLPA)'!$AE$4:$AL$50,MATCH($AJ6,'IRP (LLPA)'!$AE$4:$AL$4,0),FALSE),"-"))</f>
        <v>#VALUE!</v>
      </c>
      <c r="AP6" s="480" t="e">
        <f t="shared" si="15"/>
        <v>#VALUE!</v>
      </c>
      <c r="AQ6" s="480" t="e">
        <f>IF(AP6="-","-",VLOOKUP($C$6,'IRP (LLPA)'!$D$17:$K$27,MATCH($AJ6,'IRP (LLPA)'!$D$17:$K$17,0),FALSE))</f>
        <v>#VALUE!</v>
      </c>
      <c r="AR6" s="480" t="e">
        <f t="shared" si="16"/>
        <v>#VALUE!</v>
      </c>
      <c r="AS6" s="52">
        <f t="shared" si="17"/>
        <v>0</v>
      </c>
      <c r="AT6" s="214">
        <f t="shared" si="18"/>
        <v>1.2</v>
      </c>
      <c r="AU6" s="52">
        <f t="shared" si="19"/>
        <v>0</v>
      </c>
      <c r="AV6" s="52">
        <f t="shared" si="20"/>
        <v>0</v>
      </c>
      <c r="AW6" s="139" t="e">
        <f t="shared" si="21"/>
        <v>#VALUE!</v>
      </c>
      <c r="AX6" s="640"/>
      <c r="AY6" s="481" t="e">
        <f t="shared" si="22"/>
        <v>#VALUE!</v>
      </c>
      <c r="AZ6" s="61" t="e">
        <f t="shared" si="23"/>
        <v>#VALUE!</v>
      </c>
      <c r="BA6" s="51" t="e">
        <f>IF(AZ6="-","-",IF(AZ6&lt;=INDEX('IRP (Legend)'!$D$3:$F$13,MATCH(AZ6,'IRP (Legend)'!$D$3:$D$13,1),2),INDEX('IRP (Legend)'!$D$3:$F$13,MATCH(AZ6,'IRP (Legend)'!$D$3:$D$13,1),3),"-"))</f>
        <v>#VALUE!</v>
      </c>
      <c r="BB6" s="480" t="e">
        <f>IF($AJ6="-","-",IFERROR(VLOOKUP(BB$3,'IRP (LLPA)'!$AE$4:$AL$50,MATCH($BA6,'IRP (LLPA)'!$AE$4:$AL$4,0),FALSE),"-"))</f>
        <v>#VALUE!</v>
      </c>
      <c r="BC6" s="480" t="e">
        <f>IF($AJ6="-","-",IFERROR(VLOOKUP(BC$3,'IRP (LLPA)'!$AE$4:$AL$50,MATCH($BA6,'IRP (LLPA)'!$AE$4:$AL$4,0),FALSE),"-"))</f>
        <v>#VALUE!</v>
      </c>
      <c r="BD6" s="480" t="e">
        <f>IF($AJ6="-","-",IFERROR(VLOOKUP(BD$3,'IRP (LLPA)'!$AE$4:$AL$50,MATCH($BA6,'IRP (LLPA)'!$AE$4:$AL$4,0),FALSE),"-"))</f>
        <v>#VALUE!</v>
      </c>
      <c r="BE6" s="480" t="e">
        <f>IF($AJ6="-","-",IFERROR(VLOOKUP(BE$3,'IRP (LLPA)'!$AE$4:$AL$50,MATCH($BA6,'IRP (LLPA)'!$AE$4:$AL$4,0),FALSE),"-"))</f>
        <v>#VALUE!</v>
      </c>
      <c r="BF6" s="480" t="e">
        <f>IF($AJ6="-","-",IFERROR(VLOOKUP(BF$3,'IRP (LLPA)'!$AE$4:$AL$50,MATCH($BA6,'IRP (LLPA)'!$AE$4:$AL$4,0),FALSE),"-"))</f>
        <v>#VALUE!</v>
      </c>
      <c r="BG6" s="480" t="e">
        <f t="shared" si="24"/>
        <v>#VALUE!</v>
      </c>
      <c r="BH6" s="480" t="e">
        <f>IF(BG6="-","-",VLOOKUP($C$6,'IRP (LLPA)'!$D$17:$K$27,MATCH($BA6,'IRP (LLPA)'!$D$17:$K$17,0),FALSE))</f>
        <v>#VALUE!</v>
      </c>
      <c r="BI6" s="480" t="e">
        <f t="shared" si="25"/>
        <v>#VALUE!</v>
      </c>
      <c r="BJ6" s="52">
        <f t="shared" si="26"/>
        <v>0</v>
      </c>
      <c r="BK6" s="214">
        <f t="shared" si="27"/>
        <v>1.2</v>
      </c>
      <c r="BL6" s="52">
        <f t="shared" si="28"/>
        <v>0</v>
      </c>
      <c r="BM6" s="52">
        <f t="shared" si="29"/>
        <v>0</v>
      </c>
      <c r="BN6" s="139" t="e">
        <f t="shared" si="30"/>
        <v>#VALUE!</v>
      </c>
      <c r="BO6" s="913"/>
      <c r="BP6" s="479" t="e">
        <f t="shared" si="31"/>
        <v>#VALUE!</v>
      </c>
      <c r="BQ6" s="478">
        <v>103</v>
      </c>
      <c r="BR6" s="477" t="e">
        <f t="shared" si="32"/>
        <v>#VALUE!</v>
      </c>
      <c r="BS6" s="476" t="e">
        <f>IF(BR6="-","-",IF(BR6&lt;=INDEX('IRP (Legend)'!$D$3:$F$13,MATCH(BR6,'IRP (Legend)'!$D$3:$D$13,1),2),INDEX('IRP (Legend)'!$D$3:$F$13,MATCH(BR6,'IRP (Legend)'!$D$3:$D$13,1),3),"-"))</f>
        <v>#VALUE!</v>
      </c>
      <c r="BT6" s="476" t="e">
        <f t="shared" si="33"/>
        <v>#VALUE!</v>
      </c>
      <c r="BU6" s="476" t="e">
        <f t="shared" si="34"/>
        <v>#VALUE!</v>
      </c>
      <c r="BV6" s="475" t="str">
        <f t="shared" si="35"/>
        <v>-</v>
      </c>
      <c r="BW6" s="474" t="str">
        <f t="shared" si="36"/>
        <v>-</v>
      </c>
      <c r="BX6" s="913"/>
      <c r="BY6" s="62" t="s">
        <v>1638</v>
      </c>
      <c r="BZ6" s="51" t="s">
        <v>1754</v>
      </c>
      <c r="CA6" s="139" t="str">
        <f t="shared" si="37"/>
        <v>-</v>
      </c>
    </row>
    <row r="7" spans="2:79" x14ac:dyDescent="0.25">
      <c r="B7" s="452" t="s">
        <v>106</v>
      </c>
      <c r="C7" s="120">
        <f>'Investor Portfolio (IRP)'!$F$4</f>
        <v>0</v>
      </c>
      <c r="D7" s="452" t="s">
        <v>1685</v>
      </c>
      <c r="E7" s="110">
        <v>0.65</v>
      </c>
      <c r="F7" s="110">
        <v>0.65</v>
      </c>
      <c r="G7" s="110">
        <v>0.65</v>
      </c>
      <c r="H7" s="110">
        <v>0.65</v>
      </c>
      <c r="I7" s="110">
        <v>0.6</v>
      </c>
      <c r="J7" s="109">
        <v>0.6</v>
      </c>
      <c r="L7" s="416">
        <f t="shared" si="38"/>
        <v>7.4999999999999997E-3</v>
      </c>
      <c r="M7" s="67">
        <f t="shared" si="0"/>
        <v>1.0274999999999999</v>
      </c>
      <c r="N7" s="480" t="e">
        <f t="shared" si="1"/>
        <v>#VALUE!</v>
      </c>
      <c r="O7" s="57" t="str">
        <f t="shared" si="2"/>
        <v>-</v>
      </c>
      <c r="P7" s="51" t="str">
        <f t="shared" si="3"/>
        <v>-</v>
      </c>
      <c r="Q7" s="57" t="str">
        <f t="shared" si="4"/>
        <v>-</v>
      </c>
      <c r="R7" s="61" t="str">
        <f t="shared" si="5"/>
        <v>-</v>
      </c>
      <c r="S7" s="51" t="str">
        <f>IF(R7="-","-",IF(R7&lt;=INDEX('IRP (Legend)'!$D$3:$F$13,MATCH(R7,'IRP (Legend)'!$D$3:$D$13,1),2),INDEX('IRP (Legend)'!$D$3:$F$13,MATCH(R7,'IRP (Legend)'!$D$3:$D$13,1),3),"-"))</f>
        <v>-</v>
      </c>
      <c r="T7" s="480" t="str">
        <f>IF($S7="-","-",IFERROR(VLOOKUP(T$3,'IRP (LLPA)'!$AE$4:$AL$50,MATCH($S7,'IRP (LLPA)'!$AE$4:$AL$4,0),FALSE),"-"))</f>
        <v>-</v>
      </c>
      <c r="U7" s="480" t="str">
        <f>IF($S7="-","-",IFERROR(VLOOKUP(U$3,'IRP (LLPA)'!$AE$4:$AL$50,MATCH($S7,'IRP (LLPA)'!$AE$4:$AL$4,0),FALSE),"-"))</f>
        <v>-</v>
      </c>
      <c r="V7" s="480" t="str">
        <f>IF($S7="-","-",IFERROR(VLOOKUP(V$3,'IRP (LLPA)'!$AE$4:$AL$50,MATCH($S7,'IRP (LLPA)'!$AE$4:$AL$4,0),FALSE),"-"))</f>
        <v>-</v>
      </c>
      <c r="W7" s="480" t="str">
        <f>IF($S7="-","-",IFERROR(VLOOKUP(W$3,'IRP (LLPA)'!$AE$4:$AL$50,MATCH($S7,'IRP (LLPA)'!$AE$4:$AL$4,0),FALSE),"-"))</f>
        <v>-</v>
      </c>
      <c r="X7" s="480" t="str">
        <f>IF($S7="-","-",IFERROR(VLOOKUP(X$3,'IRP (LLPA)'!$AE$4:$AL$50,MATCH($S7,'IRP (LLPA)'!$AE$4:$AL$4,0),FALSE),"-"))</f>
        <v>-</v>
      </c>
      <c r="Y7" s="480" t="str">
        <f t="shared" si="6"/>
        <v>-</v>
      </c>
      <c r="Z7" s="480" t="str">
        <f>IF(Y7="-","-",VLOOKUP($C$6,'IRP (LLPA)'!$D$17:$K$27,MATCH($S7,'IRP (LLPA)'!$D$17:$K$17,0),FALSE))</f>
        <v>-</v>
      </c>
      <c r="AA7" s="480" t="str">
        <f t="shared" si="7"/>
        <v>-</v>
      </c>
      <c r="AB7" s="52">
        <f t="shared" si="8"/>
        <v>0</v>
      </c>
      <c r="AC7" s="214">
        <f t="shared" si="9"/>
        <v>1.2</v>
      </c>
      <c r="AD7" s="52">
        <f t="shared" si="10"/>
        <v>0</v>
      </c>
      <c r="AE7" s="52">
        <f t="shared" si="11"/>
        <v>0</v>
      </c>
      <c r="AF7" s="57" t="e">
        <f t="shared" si="12"/>
        <v>#VALUE!</v>
      </c>
      <c r="AG7" s="919"/>
      <c r="AH7" s="481" t="e">
        <f t="shared" si="13"/>
        <v>#VALUE!</v>
      </c>
      <c r="AI7" s="61" t="e">
        <f t="shared" si="14"/>
        <v>#VALUE!</v>
      </c>
      <c r="AJ7" s="51" t="e">
        <f>IF(AI7="-","-",IF(AI7&lt;=INDEX('IRP (Legend)'!$D$3:$F$13,MATCH(AI7,'IRP (Legend)'!$D$3:$D$13,1),2),INDEX('IRP (Legend)'!$D$3:$F$13,MATCH(AI7,'IRP (Legend)'!$D$3:$D$13,1),3),"-"))</f>
        <v>#VALUE!</v>
      </c>
      <c r="AK7" s="480" t="e">
        <f>IF($AJ7="-","-",IFERROR(VLOOKUP(AK$3,'IRP (LLPA)'!$AE$4:$AL$50,MATCH($AJ7,'IRP (LLPA)'!$AE$4:$AL$4,0),FALSE),"-"))</f>
        <v>#VALUE!</v>
      </c>
      <c r="AL7" s="480" t="e">
        <f>IF($AJ7="-","-",IFERROR(VLOOKUP(AL$3,'IRP (LLPA)'!$AE$4:$AL$50,MATCH($AJ7,'IRP (LLPA)'!$AE$4:$AL$4,0),FALSE),"-"))</f>
        <v>#VALUE!</v>
      </c>
      <c r="AM7" s="480" t="e">
        <f>IF($AJ7="-","-",IFERROR(VLOOKUP(AM$3,'IRP (LLPA)'!$AE$4:$AL$50,MATCH($AJ7,'IRP (LLPA)'!$AE$4:$AL$4,0),FALSE),"-"))</f>
        <v>#VALUE!</v>
      </c>
      <c r="AN7" s="480" t="e">
        <f>IF($AJ7="-","-",IFERROR(VLOOKUP(AN$3,'IRP (LLPA)'!$AE$4:$AL$50,MATCH($AJ7,'IRP (LLPA)'!$AE$4:$AL$4,0),FALSE),"-"))</f>
        <v>#VALUE!</v>
      </c>
      <c r="AO7" s="480" t="e">
        <f>IF($AJ7="-","-",IFERROR(VLOOKUP(AO$3,'IRP (LLPA)'!$AE$4:$AL$50,MATCH($AJ7,'IRP (LLPA)'!$AE$4:$AL$4,0),FALSE),"-"))</f>
        <v>#VALUE!</v>
      </c>
      <c r="AP7" s="480" t="e">
        <f t="shared" si="15"/>
        <v>#VALUE!</v>
      </c>
      <c r="AQ7" s="480" t="e">
        <f>IF(AP7="-","-",VLOOKUP($C$6,'IRP (LLPA)'!$D$17:$K$27,MATCH($AJ7,'IRP (LLPA)'!$D$17:$K$17,0),FALSE))</f>
        <v>#VALUE!</v>
      </c>
      <c r="AR7" s="480" t="e">
        <f t="shared" si="16"/>
        <v>#VALUE!</v>
      </c>
      <c r="AS7" s="52">
        <f t="shared" si="17"/>
        <v>0</v>
      </c>
      <c r="AT7" s="214">
        <f t="shared" si="18"/>
        <v>1.2</v>
      </c>
      <c r="AU7" s="52">
        <f t="shared" si="19"/>
        <v>0</v>
      </c>
      <c r="AV7" s="52">
        <f t="shared" si="20"/>
        <v>0</v>
      </c>
      <c r="AW7" s="139" t="e">
        <f t="shared" si="21"/>
        <v>#VALUE!</v>
      </c>
      <c r="AX7" s="640"/>
      <c r="AY7" s="481" t="e">
        <f t="shared" si="22"/>
        <v>#VALUE!</v>
      </c>
      <c r="AZ7" s="61" t="e">
        <f t="shared" si="23"/>
        <v>#VALUE!</v>
      </c>
      <c r="BA7" s="51" t="e">
        <f>IF(AZ7="-","-",IF(AZ7&lt;=INDEX('IRP (Legend)'!$D$3:$F$13,MATCH(AZ7,'IRP (Legend)'!$D$3:$D$13,1),2),INDEX('IRP (Legend)'!$D$3:$F$13,MATCH(AZ7,'IRP (Legend)'!$D$3:$D$13,1),3),"-"))</f>
        <v>#VALUE!</v>
      </c>
      <c r="BB7" s="480" t="e">
        <f>IF($AJ7="-","-",IFERROR(VLOOKUP(BB$3,'IRP (LLPA)'!$AE$4:$AL$50,MATCH($BA7,'IRP (LLPA)'!$AE$4:$AL$4,0),FALSE),"-"))</f>
        <v>#VALUE!</v>
      </c>
      <c r="BC7" s="480" t="e">
        <f>IF($AJ7="-","-",IFERROR(VLOOKUP(BC$3,'IRP (LLPA)'!$AE$4:$AL$50,MATCH($BA7,'IRP (LLPA)'!$AE$4:$AL$4,0),FALSE),"-"))</f>
        <v>#VALUE!</v>
      </c>
      <c r="BD7" s="480" t="e">
        <f>IF($AJ7="-","-",IFERROR(VLOOKUP(BD$3,'IRP (LLPA)'!$AE$4:$AL$50,MATCH($BA7,'IRP (LLPA)'!$AE$4:$AL$4,0),FALSE),"-"))</f>
        <v>#VALUE!</v>
      </c>
      <c r="BE7" s="480" t="e">
        <f>IF($AJ7="-","-",IFERROR(VLOOKUP(BE$3,'IRP (LLPA)'!$AE$4:$AL$50,MATCH($BA7,'IRP (LLPA)'!$AE$4:$AL$4,0),FALSE),"-"))</f>
        <v>#VALUE!</v>
      </c>
      <c r="BF7" s="480" t="e">
        <f>IF($AJ7="-","-",IFERROR(VLOOKUP(BF$3,'IRP (LLPA)'!$AE$4:$AL$50,MATCH($BA7,'IRP (LLPA)'!$AE$4:$AL$4,0),FALSE),"-"))</f>
        <v>#VALUE!</v>
      </c>
      <c r="BG7" s="480" t="e">
        <f t="shared" si="24"/>
        <v>#VALUE!</v>
      </c>
      <c r="BH7" s="480" t="e">
        <f>IF(BG7="-","-",VLOOKUP($C$6,'IRP (LLPA)'!$D$17:$K$27,MATCH($BA7,'IRP (LLPA)'!$D$17:$K$17,0),FALSE))</f>
        <v>#VALUE!</v>
      </c>
      <c r="BI7" s="480" t="e">
        <f t="shared" si="25"/>
        <v>#VALUE!</v>
      </c>
      <c r="BJ7" s="52">
        <f t="shared" si="26"/>
        <v>0</v>
      </c>
      <c r="BK7" s="214">
        <f t="shared" si="27"/>
        <v>1.2</v>
      </c>
      <c r="BL7" s="52">
        <f t="shared" si="28"/>
        <v>0</v>
      </c>
      <c r="BM7" s="52">
        <f t="shared" si="29"/>
        <v>0</v>
      </c>
      <c r="BN7" s="139" t="e">
        <f t="shared" si="30"/>
        <v>#VALUE!</v>
      </c>
      <c r="BO7" s="913"/>
      <c r="BP7" s="479" t="e">
        <f t="shared" si="31"/>
        <v>#VALUE!</v>
      </c>
      <c r="BQ7" s="478">
        <v>102.75</v>
      </c>
      <c r="BR7" s="477" t="e">
        <f t="shared" si="32"/>
        <v>#VALUE!</v>
      </c>
      <c r="BS7" s="476" t="e">
        <f>IF(BR7="-","-",IF(BR7&lt;=INDEX('IRP (Legend)'!$D$3:$F$13,MATCH(BR7,'IRP (Legend)'!$D$3:$D$13,1),2),INDEX('IRP (Legend)'!$D$3:$F$13,MATCH(BR7,'IRP (Legend)'!$D$3:$D$13,1),3),"-"))</f>
        <v>#VALUE!</v>
      </c>
      <c r="BT7" s="476" t="e">
        <f t="shared" si="33"/>
        <v>#VALUE!</v>
      </c>
      <c r="BU7" s="476" t="e">
        <f t="shared" si="34"/>
        <v>#VALUE!</v>
      </c>
      <c r="BV7" s="475" t="str">
        <f t="shared" si="35"/>
        <v>-</v>
      </c>
      <c r="BW7" s="474" t="str">
        <f t="shared" si="36"/>
        <v>-</v>
      </c>
      <c r="BX7" s="913"/>
      <c r="BY7" s="62" t="s">
        <v>1637</v>
      </c>
      <c r="BZ7" s="51" t="s">
        <v>1753</v>
      </c>
      <c r="CA7" s="139" t="str">
        <f t="shared" si="37"/>
        <v>-</v>
      </c>
    </row>
    <row r="8" spans="2:79" x14ac:dyDescent="0.25">
      <c r="B8" s="452" t="s">
        <v>2013</v>
      </c>
      <c r="C8" s="120">
        <f>'Investor Portfolio (IRP)'!$F$5</f>
        <v>0</v>
      </c>
      <c r="D8" s="452" t="s">
        <v>1684</v>
      </c>
      <c r="E8" s="110">
        <v>0.7</v>
      </c>
      <c r="F8" s="110">
        <v>0.7</v>
      </c>
      <c r="G8" s="110">
        <v>0.7</v>
      </c>
      <c r="H8" s="110">
        <v>0.7</v>
      </c>
      <c r="I8" s="110">
        <v>0.65</v>
      </c>
      <c r="J8" s="109">
        <v>0.65</v>
      </c>
      <c r="L8" s="416">
        <f t="shared" si="38"/>
        <v>0.01</v>
      </c>
      <c r="M8" s="67">
        <f t="shared" si="0"/>
        <v>1.0249999999999999</v>
      </c>
      <c r="N8" s="480" t="e">
        <f t="shared" si="1"/>
        <v>#VALUE!</v>
      </c>
      <c r="O8" s="57" t="str">
        <f t="shared" si="2"/>
        <v>-</v>
      </c>
      <c r="P8" s="51" t="str">
        <f t="shared" si="3"/>
        <v>-</v>
      </c>
      <c r="Q8" s="57" t="str">
        <f t="shared" si="4"/>
        <v>-</v>
      </c>
      <c r="R8" s="61" t="str">
        <f t="shared" si="5"/>
        <v>-</v>
      </c>
      <c r="S8" s="51" t="str">
        <f>IF(R8="-","-",IF(R8&lt;=INDEX('IRP (Legend)'!$D$3:$F$13,MATCH(R8,'IRP (Legend)'!$D$3:$D$13,1),2),INDEX('IRP (Legend)'!$D$3:$F$13,MATCH(R8,'IRP (Legend)'!$D$3:$D$13,1),3),"-"))</f>
        <v>-</v>
      </c>
      <c r="T8" s="480" t="str">
        <f>IF($S8="-","-",IFERROR(VLOOKUP(T$3,'IRP (LLPA)'!$AE$4:$AL$50,MATCH($S8,'IRP (LLPA)'!$AE$4:$AL$4,0),FALSE),"-"))</f>
        <v>-</v>
      </c>
      <c r="U8" s="480" t="str">
        <f>IF($S8="-","-",IFERROR(VLOOKUP(U$3,'IRP (LLPA)'!$AE$4:$AL$50,MATCH($S8,'IRP (LLPA)'!$AE$4:$AL$4,0),FALSE),"-"))</f>
        <v>-</v>
      </c>
      <c r="V8" s="480" t="str">
        <f>IF($S8="-","-",IFERROR(VLOOKUP(V$3,'IRP (LLPA)'!$AE$4:$AL$50,MATCH($S8,'IRP (LLPA)'!$AE$4:$AL$4,0),FALSE),"-"))</f>
        <v>-</v>
      </c>
      <c r="W8" s="480" t="str">
        <f>IF($S8="-","-",IFERROR(VLOOKUP(W$3,'IRP (LLPA)'!$AE$4:$AL$50,MATCH($S8,'IRP (LLPA)'!$AE$4:$AL$4,0),FALSE),"-"))</f>
        <v>-</v>
      </c>
      <c r="X8" s="480" t="str">
        <f>IF($S8="-","-",IFERROR(VLOOKUP(X$3,'IRP (LLPA)'!$AE$4:$AL$50,MATCH($S8,'IRP (LLPA)'!$AE$4:$AL$4,0),FALSE),"-"))</f>
        <v>-</v>
      </c>
      <c r="Y8" s="480" t="str">
        <f t="shared" si="6"/>
        <v>-</v>
      </c>
      <c r="Z8" s="480" t="str">
        <f>IF(Y8="-","-",VLOOKUP($C$6,'IRP (LLPA)'!$D$17:$K$27,MATCH($S8,'IRP (LLPA)'!$D$17:$K$17,0),FALSE))</f>
        <v>-</v>
      </c>
      <c r="AA8" s="480" t="str">
        <f t="shared" si="7"/>
        <v>-</v>
      </c>
      <c r="AB8" s="52">
        <f t="shared" si="8"/>
        <v>0</v>
      </c>
      <c r="AC8" s="214">
        <f t="shared" si="9"/>
        <v>1.2</v>
      </c>
      <c r="AD8" s="52">
        <f t="shared" si="10"/>
        <v>0</v>
      </c>
      <c r="AE8" s="52">
        <f t="shared" si="11"/>
        <v>0</v>
      </c>
      <c r="AF8" s="57" t="e">
        <f t="shared" si="12"/>
        <v>#VALUE!</v>
      </c>
      <c r="AG8" s="919"/>
      <c r="AH8" s="481" t="e">
        <f t="shared" si="13"/>
        <v>#VALUE!</v>
      </c>
      <c r="AI8" s="61" t="e">
        <f t="shared" si="14"/>
        <v>#VALUE!</v>
      </c>
      <c r="AJ8" s="51" t="e">
        <f>IF(AI8="-","-",IF(AI8&lt;=INDEX('IRP (Legend)'!$D$3:$F$13,MATCH(AI8,'IRP (Legend)'!$D$3:$D$13,1),2),INDEX('IRP (Legend)'!$D$3:$F$13,MATCH(AI8,'IRP (Legend)'!$D$3:$D$13,1),3),"-"))</f>
        <v>#VALUE!</v>
      </c>
      <c r="AK8" s="480" t="e">
        <f>IF($AJ8="-","-",IFERROR(VLOOKUP(AK$3,'IRP (LLPA)'!$AE$4:$AL$50,MATCH($AJ8,'IRP (LLPA)'!$AE$4:$AL$4,0),FALSE),"-"))</f>
        <v>#VALUE!</v>
      </c>
      <c r="AL8" s="480" t="e">
        <f>IF($AJ8="-","-",IFERROR(VLOOKUP(AL$3,'IRP (LLPA)'!$AE$4:$AL$50,MATCH($AJ8,'IRP (LLPA)'!$AE$4:$AL$4,0),FALSE),"-"))</f>
        <v>#VALUE!</v>
      </c>
      <c r="AM8" s="480" t="e">
        <f>IF($AJ8="-","-",IFERROR(VLOOKUP(AM$3,'IRP (LLPA)'!$AE$4:$AL$50,MATCH($AJ8,'IRP (LLPA)'!$AE$4:$AL$4,0),FALSE),"-"))</f>
        <v>#VALUE!</v>
      </c>
      <c r="AN8" s="480" t="e">
        <f>IF($AJ8="-","-",IFERROR(VLOOKUP(AN$3,'IRP (LLPA)'!$AE$4:$AL$50,MATCH($AJ8,'IRP (LLPA)'!$AE$4:$AL$4,0),FALSE),"-"))</f>
        <v>#VALUE!</v>
      </c>
      <c r="AO8" s="480" t="e">
        <f>IF($AJ8="-","-",IFERROR(VLOOKUP(AO$3,'IRP (LLPA)'!$AE$4:$AL$50,MATCH($AJ8,'IRP (LLPA)'!$AE$4:$AL$4,0),FALSE),"-"))</f>
        <v>#VALUE!</v>
      </c>
      <c r="AP8" s="480" t="e">
        <f t="shared" si="15"/>
        <v>#VALUE!</v>
      </c>
      <c r="AQ8" s="480" t="e">
        <f>IF(AP8="-","-",VLOOKUP($C$6,'IRP (LLPA)'!$D$17:$K$27,MATCH($AJ8,'IRP (LLPA)'!$D$17:$K$17,0),FALSE))</f>
        <v>#VALUE!</v>
      </c>
      <c r="AR8" s="480" t="e">
        <f t="shared" si="16"/>
        <v>#VALUE!</v>
      </c>
      <c r="AS8" s="52">
        <f t="shared" si="17"/>
        <v>0</v>
      </c>
      <c r="AT8" s="214">
        <f t="shared" si="18"/>
        <v>1.2</v>
      </c>
      <c r="AU8" s="52">
        <f t="shared" si="19"/>
        <v>0</v>
      </c>
      <c r="AV8" s="52">
        <f t="shared" si="20"/>
        <v>0</v>
      </c>
      <c r="AW8" s="139" t="e">
        <f t="shared" si="21"/>
        <v>#VALUE!</v>
      </c>
      <c r="AX8" s="640"/>
      <c r="AY8" s="481" t="e">
        <f t="shared" si="22"/>
        <v>#VALUE!</v>
      </c>
      <c r="AZ8" s="61" t="e">
        <f t="shared" si="23"/>
        <v>#VALUE!</v>
      </c>
      <c r="BA8" s="51" t="e">
        <f>IF(AZ8="-","-",IF(AZ8&lt;=INDEX('IRP (Legend)'!$D$3:$F$13,MATCH(AZ8,'IRP (Legend)'!$D$3:$D$13,1),2),INDEX('IRP (Legend)'!$D$3:$F$13,MATCH(AZ8,'IRP (Legend)'!$D$3:$D$13,1),3),"-"))</f>
        <v>#VALUE!</v>
      </c>
      <c r="BB8" s="480" t="e">
        <f>IF($AJ8="-","-",IFERROR(VLOOKUP(BB$3,'IRP (LLPA)'!$AE$4:$AL$50,MATCH($BA8,'IRP (LLPA)'!$AE$4:$AL$4,0),FALSE),"-"))</f>
        <v>#VALUE!</v>
      </c>
      <c r="BC8" s="480" t="e">
        <f>IF($AJ8="-","-",IFERROR(VLOOKUP(BC$3,'IRP (LLPA)'!$AE$4:$AL$50,MATCH($BA8,'IRP (LLPA)'!$AE$4:$AL$4,0),FALSE),"-"))</f>
        <v>#VALUE!</v>
      </c>
      <c r="BD8" s="480" t="e">
        <f>IF($AJ8="-","-",IFERROR(VLOOKUP(BD$3,'IRP (LLPA)'!$AE$4:$AL$50,MATCH($BA8,'IRP (LLPA)'!$AE$4:$AL$4,0),FALSE),"-"))</f>
        <v>#VALUE!</v>
      </c>
      <c r="BE8" s="480" t="e">
        <f>IF($AJ8="-","-",IFERROR(VLOOKUP(BE$3,'IRP (LLPA)'!$AE$4:$AL$50,MATCH($BA8,'IRP (LLPA)'!$AE$4:$AL$4,0),FALSE),"-"))</f>
        <v>#VALUE!</v>
      </c>
      <c r="BF8" s="480" t="e">
        <f>IF($AJ8="-","-",IFERROR(VLOOKUP(BF$3,'IRP (LLPA)'!$AE$4:$AL$50,MATCH($BA8,'IRP (LLPA)'!$AE$4:$AL$4,0),FALSE),"-"))</f>
        <v>#VALUE!</v>
      </c>
      <c r="BG8" s="480" t="e">
        <f t="shared" si="24"/>
        <v>#VALUE!</v>
      </c>
      <c r="BH8" s="480" t="e">
        <f>IF(BG8="-","-",VLOOKUP($C$6,'IRP (LLPA)'!$D$17:$K$27,MATCH($BA8,'IRP (LLPA)'!$D$17:$K$17,0),FALSE))</f>
        <v>#VALUE!</v>
      </c>
      <c r="BI8" s="480" t="e">
        <f t="shared" si="25"/>
        <v>#VALUE!</v>
      </c>
      <c r="BJ8" s="52">
        <f t="shared" si="26"/>
        <v>0</v>
      </c>
      <c r="BK8" s="214">
        <f t="shared" si="27"/>
        <v>1.2</v>
      </c>
      <c r="BL8" s="52">
        <f t="shared" si="28"/>
        <v>0</v>
      </c>
      <c r="BM8" s="52">
        <f t="shared" si="29"/>
        <v>0</v>
      </c>
      <c r="BN8" s="139" t="e">
        <f t="shared" si="30"/>
        <v>#VALUE!</v>
      </c>
      <c r="BO8" s="913"/>
      <c r="BP8" s="479" t="e">
        <f t="shared" si="31"/>
        <v>#VALUE!</v>
      </c>
      <c r="BQ8" s="478">
        <v>102.5</v>
      </c>
      <c r="BR8" s="477" t="e">
        <f t="shared" si="32"/>
        <v>#VALUE!</v>
      </c>
      <c r="BS8" s="476" t="e">
        <f>IF(BR8="-","-",IF(BR8&lt;=INDEX('IRP (Legend)'!$D$3:$F$13,MATCH(BR8,'IRP (Legend)'!$D$3:$D$13,1),2),INDEX('IRP (Legend)'!$D$3:$F$13,MATCH(BR8,'IRP (Legend)'!$D$3:$D$13,1),3),"-"))</f>
        <v>#VALUE!</v>
      </c>
      <c r="BT8" s="476" t="e">
        <f t="shared" si="33"/>
        <v>#VALUE!</v>
      </c>
      <c r="BU8" s="476" t="e">
        <f t="shared" si="34"/>
        <v>#VALUE!</v>
      </c>
      <c r="BV8" s="475" t="str">
        <f t="shared" si="35"/>
        <v>-</v>
      </c>
      <c r="BW8" s="474" t="str">
        <f t="shared" si="36"/>
        <v>-</v>
      </c>
      <c r="BX8" s="913"/>
      <c r="BY8" s="62" t="s">
        <v>1636</v>
      </c>
      <c r="BZ8" s="51" t="s">
        <v>1752</v>
      </c>
      <c r="CA8" s="139" t="str">
        <f t="shared" si="37"/>
        <v>-</v>
      </c>
    </row>
    <row r="9" spans="2:79" x14ac:dyDescent="0.25">
      <c r="B9" s="452" t="s">
        <v>2025</v>
      </c>
      <c r="C9" s="139">
        <f>'Investor Portfolio (IRP)'!$L$26</f>
        <v>0</v>
      </c>
      <c r="D9" s="452" t="s">
        <v>1683</v>
      </c>
      <c r="E9" s="110">
        <v>0.7</v>
      </c>
      <c r="F9" s="110">
        <v>0.7</v>
      </c>
      <c r="G9" s="110">
        <v>0.7</v>
      </c>
      <c r="H9" s="110">
        <v>0.7</v>
      </c>
      <c r="I9" s="110">
        <v>0.65</v>
      </c>
      <c r="J9" s="109">
        <v>0.65</v>
      </c>
      <c r="L9" s="416">
        <f t="shared" si="38"/>
        <v>1.2500000000000001E-2</v>
      </c>
      <c r="M9" s="67">
        <f t="shared" si="0"/>
        <v>1.0225</v>
      </c>
      <c r="N9" s="480" t="e">
        <f t="shared" si="1"/>
        <v>#VALUE!</v>
      </c>
      <c r="O9" s="57" t="str">
        <f t="shared" si="2"/>
        <v>-</v>
      </c>
      <c r="P9" s="51" t="str">
        <f t="shared" si="3"/>
        <v>-</v>
      </c>
      <c r="Q9" s="57" t="str">
        <f t="shared" si="4"/>
        <v>-</v>
      </c>
      <c r="R9" s="61" t="str">
        <f t="shared" si="5"/>
        <v>-</v>
      </c>
      <c r="S9" s="51" t="str">
        <f>IF(R9="-","-",IF(R9&lt;=INDEX('IRP (Legend)'!$D$3:$F$13,MATCH(R9,'IRP (Legend)'!$D$3:$D$13,1),2),INDEX('IRP (Legend)'!$D$3:$F$13,MATCH(R9,'IRP (Legend)'!$D$3:$D$13,1),3),"-"))</f>
        <v>-</v>
      </c>
      <c r="T9" s="480" t="str">
        <f>IF($S9="-","-",IFERROR(VLOOKUP(T$3,'IRP (LLPA)'!$AE$4:$AL$50,MATCH($S9,'IRP (LLPA)'!$AE$4:$AL$4,0),FALSE),"-"))</f>
        <v>-</v>
      </c>
      <c r="U9" s="480" t="str">
        <f>IF($S9="-","-",IFERROR(VLOOKUP(U$3,'IRP (LLPA)'!$AE$4:$AL$50,MATCH($S9,'IRP (LLPA)'!$AE$4:$AL$4,0),FALSE),"-"))</f>
        <v>-</v>
      </c>
      <c r="V9" s="480" t="str">
        <f>IF($S9="-","-",IFERROR(VLOOKUP(V$3,'IRP (LLPA)'!$AE$4:$AL$50,MATCH($S9,'IRP (LLPA)'!$AE$4:$AL$4,0),FALSE),"-"))</f>
        <v>-</v>
      </c>
      <c r="W9" s="480" t="str">
        <f>IF($S9="-","-",IFERROR(VLOOKUP(W$3,'IRP (LLPA)'!$AE$4:$AL$50,MATCH($S9,'IRP (LLPA)'!$AE$4:$AL$4,0),FALSE),"-"))</f>
        <v>-</v>
      </c>
      <c r="X9" s="480" t="str">
        <f>IF($S9="-","-",IFERROR(VLOOKUP(X$3,'IRP (LLPA)'!$AE$4:$AL$50,MATCH($S9,'IRP (LLPA)'!$AE$4:$AL$4,0),FALSE),"-"))</f>
        <v>-</v>
      </c>
      <c r="Y9" s="480" t="str">
        <f t="shared" si="6"/>
        <v>-</v>
      </c>
      <c r="Z9" s="480" t="str">
        <f>IF(Y9="-","-",VLOOKUP($C$6,'IRP (LLPA)'!$D$17:$K$27,MATCH($S9,'IRP (LLPA)'!$D$17:$K$17,0),FALSE))</f>
        <v>-</v>
      </c>
      <c r="AA9" s="480" t="str">
        <f t="shared" si="7"/>
        <v>-</v>
      </c>
      <c r="AB9" s="52">
        <f t="shared" si="8"/>
        <v>0</v>
      </c>
      <c r="AC9" s="214">
        <f t="shared" si="9"/>
        <v>1.2</v>
      </c>
      <c r="AD9" s="52">
        <f t="shared" si="10"/>
        <v>0</v>
      </c>
      <c r="AE9" s="52">
        <f t="shared" si="11"/>
        <v>0</v>
      </c>
      <c r="AF9" s="57" t="e">
        <f t="shared" si="12"/>
        <v>#VALUE!</v>
      </c>
      <c r="AG9" s="919"/>
      <c r="AH9" s="481" t="e">
        <f t="shared" si="13"/>
        <v>#VALUE!</v>
      </c>
      <c r="AI9" s="61" t="e">
        <f t="shared" si="14"/>
        <v>#VALUE!</v>
      </c>
      <c r="AJ9" s="51" t="e">
        <f>IF(AI9="-","-",IF(AI9&lt;=INDEX('IRP (Legend)'!$D$3:$F$13,MATCH(AI9,'IRP (Legend)'!$D$3:$D$13,1),2),INDEX('IRP (Legend)'!$D$3:$F$13,MATCH(AI9,'IRP (Legend)'!$D$3:$D$13,1),3),"-"))</f>
        <v>#VALUE!</v>
      </c>
      <c r="AK9" s="480" t="e">
        <f>IF($AJ9="-","-",IFERROR(VLOOKUP(AK$3,'IRP (LLPA)'!$AE$4:$AL$50,MATCH($AJ9,'IRP (LLPA)'!$AE$4:$AL$4,0),FALSE),"-"))</f>
        <v>#VALUE!</v>
      </c>
      <c r="AL9" s="480" t="e">
        <f>IF($AJ9="-","-",IFERROR(VLOOKUP(AL$3,'IRP (LLPA)'!$AE$4:$AL$50,MATCH($AJ9,'IRP (LLPA)'!$AE$4:$AL$4,0),FALSE),"-"))</f>
        <v>#VALUE!</v>
      </c>
      <c r="AM9" s="480" t="e">
        <f>IF($AJ9="-","-",IFERROR(VLOOKUP(AM$3,'IRP (LLPA)'!$AE$4:$AL$50,MATCH($AJ9,'IRP (LLPA)'!$AE$4:$AL$4,0),FALSE),"-"))</f>
        <v>#VALUE!</v>
      </c>
      <c r="AN9" s="480" t="e">
        <f>IF($AJ9="-","-",IFERROR(VLOOKUP(AN$3,'IRP (LLPA)'!$AE$4:$AL$50,MATCH($AJ9,'IRP (LLPA)'!$AE$4:$AL$4,0),FALSE),"-"))</f>
        <v>#VALUE!</v>
      </c>
      <c r="AO9" s="480" t="e">
        <f>IF($AJ9="-","-",IFERROR(VLOOKUP(AO$3,'IRP (LLPA)'!$AE$4:$AL$50,MATCH($AJ9,'IRP (LLPA)'!$AE$4:$AL$4,0),FALSE),"-"))</f>
        <v>#VALUE!</v>
      </c>
      <c r="AP9" s="480" t="e">
        <f t="shared" si="15"/>
        <v>#VALUE!</v>
      </c>
      <c r="AQ9" s="480" t="e">
        <f>IF(AP9="-","-",VLOOKUP($C$6,'IRP (LLPA)'!$D$17:$K$27,MATCH($AJ9,'IRP (LLPA)'!$D$17:$K$17,0),FALSE))</f>
        <v>#VALUE!</v>
      </c>
      <c r="AR9" s="480" t="e">
        <f t="shared" si="16"/>
        <v>#VALUE!</v>
      </c>
      <c r="AS9" s="52">
        <f t="shared" si="17"/>
        <v>0</v>
      </c>
      <c r="AT9" s="214">
        <f t="shared" si="18"/>
        <v>1.2</v>
      </c>
      <c r="AU9" s="52">
        <f t="shared" si="19"/>
        <v>0</v>
      </c>
      <c r="AV9" s="52">
        <f t="shared" si="20"/>
        <v>0</v>
      </c>
      <c r="AW9" s="139" t="e">
        <f t="shared" si="21"/>
        <v>#VALUE!</v>
      </c>
      <c r="AX9" s="640"/>
      <c r="AY9" s="481" t="e">
        <f t="shared" si="22"/>
        <v>#VALUE!</v>
      </c>
      <c r="AZ9" s="61" t="e">
        <f t="shared" si="23"/>
        <v>#VALUE!</v>
      </c>
      <c r="BA9" s="51" t="e">
        <f>IF(AZ9="-","-",IF(AZ9&lt;=INDEX('IRP (Legend)'!$D$3:$F$13,MATCH(AZ9,'IRP (Legend)'!$D$3:$D$13,1),2),INDEX('IRP (Legend)'!$D$3:$F$13,MATCH(AZ9,'IRP (Legend)'!$D$3:$D$13,1),3),"-"))</f>
        <v>#VALUE!</v>
      </c>
      <c r="BB9" s="480" t="e">
        <f>IF($AJ9="-","-",IFERROR(VLOOKUP(BB$3,'IRP (LLPA)'!$AE$4:$AL$50,MATCH($BA9,'IRP (LLPA)'!$AE$4:$AL$4,0),FALSE),"-"))</f>
        <v>#VALUE!</v>
      </c>
      <c r="BC9" s="480" t="e">
        <f>IF($AJ9="-","-",IFERROR(VLOOKUP(BC$3,'IRP (LLPA)'!$AE$4:$AL$50,MATCH($BA9,'IRP (LLPA)'!$AE$4:$AL$4,0),FALSE),"-"))</f>
        <v>#VALUE!</v>
      </c>
      <c r="BD9" s="480" t="e">
        <f>IF($AJ9="-","-",IFERROR(VLOOKUP(BD$3,'IRP (LLPA)'!$AE$4:$AL$50,MATCH($BA9,'IRP (LLPA)'!$AE$4:$AL$4,0),FALSE),"-"))</f>
        <v>#VALUE!</v>
      </c>
      <c r="BE9" s="480" t="e">
        <f>IF($AJ9="-","-",IFERROR(VLOOKUP(BE$3,'IRP (LLPA)'!$AE$4:$AL$50,MATCH($BA9,'IRP (LLPA)'!$AE$4:$AL$4,0),FALSE),"-"))</f>
        <v>#VALUE!</v>
      </c>
      <c r="BF9" s="480" t="e">
        <f>IF($AJ9="-","-",IFERROR(VLOOKUP(BF$3,'IRP (LLPA)'!$AE$4:$AL$50,MATCH($BA9,'IRP (LLPA)'!$AE$4:$AL$4,0),FALSE),"-"))</f>
        <v>#VALUE!</v>
      </c>
      <c r="BG9" s="480" t="e">
        <f t="shared" si="24"/>
        <v>#VALUE!</v>
      </c>
      <c r="BH9" s="480" t="e">
        <f>IF(BG9="-","-",VLOOKUP($C$6,'IRP (LLPA)'!$D$17:$K$27,MATCH($BA9,'IRP (LLPA)'!$D$17:$K$17,0),FALSE))</f>
        <v>#VALUE!</v>
      </c>
      <c r="BI9" s="480" t="e">
        <f t="shared" si="25"/>
        <v>#VALUE!</v>
      </c>
      <c r="BJ9" s="52">
        <f t="shared" si="26"/>
        <v>0</v>
      </c>
      <c r="BK9" s="214">
        <f t="shared" si="27"/>
        <v>1.2</v>
      </c>
      <c r="BL9" s="52">
        <f t="shared" si="28"/>
        <v>0</v>
      </c>
      <c r="BM9" s="52">
        <f t="shared" si="29"/>
        <v>0</v>
      </c>
      <c r="BN9" s="139" t="e">
        <f t="shared" si="30"/>
        <v>#VALUE!</v>
      </c>
      <c r="BO9" s="913"/>
      <c r="BP9" s="479" t="e">
        <f t="shared" si="31"/>
        <v>#VALUE!</v>
      </c>
      <c r="BQ9" s="478">
        <v>102.25</v>
      </c>
      <c r="BR9" s="477" t="e">
        <f t="shared" si="32"/>
        <v>#VALUE!</v>
      </c>
      <c r="BS9" s="476" t="e">
        <f>IF(BR9="-","-",IF(BR9&lt;=INDEX('IRP (Legend)'!$D$3:$F$13,MATCH(BR9,'IRP (Legend)'!$D$3:$D$13,1),2),INDEX('IRP (Legend)'!$D$3:$F$13,MATCH(BR9,'IRP (Legend)'!$D$3:$D$13,1),3),"-"))</f>
        <v>#VALUE!</v>
      </c>
      <c r="BT9" s="476" t="e">
        <f t="shared" si="33"/>
        <v>#VALUE!</v>
      </c>
      <c r="BU9" s="476" t="e">
        <f t="shared" si="34"/>
        <v>#VALUE!</v>
      </c>
      <c r="BV9" s="475" t="str">
        <f t="shared" si="35"/>
        <v>-</v>
      </c>
      <c r="BW9" s="474" t="str">
        <f t="shared" si="36"/>
        <v>-</v>
      </c>
      <c r="BX9" s="913"/>
      <c r="BY9" s="62" t="s">
        <v>1635</v>
      </c>
      <c r="BZ9" s="51" t="s">
        <v>1751</v>
      </c>
      <c r="CA9" s="139" t="str">
        <f t="shared" si="37"/>
        <v>-</v>
      </c>
    </row>
    <row r="10" spans="2:79" x14ac:dyDescent="0.25">
      <c r="B10" s="452" t="s">
        <v>2024</v>
      </c>
      <c r="C10" s="265" t="e">
        <f>'Investor Portfolio (IRP)'!$L$27</f>
        <v>#DIV/0!</v>
      </c>
      <c r="D10" s="452" t="s">
        <v>1682</v>
      </c>
      <c r="E10" s="110">
        <v>0.7</v>
      </c>
      <c r="F10" s="110">
        <v>0.7</v>
      </c>
      <c r="G10" s="110">
        <v>0.7</v>
      </c>
      <c r="H10" s="110">
        <v>0.7</v>
      </c>
      <c r="I10" s="110">
        <v>0.65</v>
      </c>
      <c r="J10" s="109">
        <v>0.65</v>
      </c>
      <c r="L10" s="416">
        <f t="shared" si="38"/>
        <v>1.5000000000000001E-2</v>
      </c>
      <c r="M10" s="67">
        <f t="shared" si="0"/>
        <v>1.02</v>
      </c>
      <c r="N10" s="480" t="e">
        <f t="shared" si="1"/>
        <v>#VALUE!</v>
      </c>
      <c r="O10" s="57" t="str">
        <f t="shared" si="2"/>
        <v>-</v>
      </c>
      <c r="P10" s="51" t="str">
        <f t="shared" si="3"/>
        <v>-</v>
      </c>
      <c r="Q10" s="57" t="str">
        <f t="shared" si="4"/>
        <v>-</v>
      </c>
      <c r="R10" s="61" t="str">
        <f t="shared" si="5"/>
        <v>-</v>
      </c>
      <c r="S10" s="51" t="str">
        <f>IF(R10="-","-",IF(R10&lt;=INDEX('IRP (Legend)'!$D$3:$F$13,MATCH(R10,'IRP (Legend)'!$D$3:$D$13,1),2),INDEX('IRP (Legend)'!$D$3:$F$13,MATCH(R10,'IRP (Legend)'!$D$3:$D$13,1),3),"-"))</f>
        <v>-</v>
      </c>
      <c r="T10" s="480" t="str">
        <f>IF($S10="-","-",IFERROR(VLOOKUP(T$3,'IRP (LLPA)'!$AE$4:$AL$50,MATCH($S10,'IRP (LLPA)'!$AE$4:$AL$4,0),FALSE),"-"))</f>
        <v>-</v>
      </c>
      <c r="U10" s="480" t="str">
        <f>IF($S10="-","-",IFERROR(VLOOKUP(U$3,'IRP (LLPA)'!$AE$4:$AL$50,MATCH($S10,'IRP (LLPA)'!$AE$4:$AL$4,0),FALSE),"-"))</f>
        <v>-</v>
      </c>
      <c r="V10" s="480" t="str">
        <f>IF($S10="-","-",IFERROR(VLOOKUP(V$3,'IRP (LLPA)'!$AE$4:$AL$50,MATCH($S10,'IRP (LLPA)'!$AE$4:$AL$4,0),FALSE),"-"))</f>
        <v>-</v>
      </c>
      <c r="W10" s="480" t="str">
        <f>IF($S10="-","-",IFERROR(VLOOKUP(W$3,'IRP (LLPA)'!$AE$4:$AL$50,MATCH($S10,'IRP (LLPA)'!$AE$4:$AL$4,0),FALSE),"-"))</f>
        <v>-</v>
      </c>
      <c r="X10" s="480" t="str">
        <f>IF($S10="-","-",IFERROR(VLOOKUP(X$3,'IRP (LLPA)'!$AE$4:$AL$50,MATCH($S10,'IRP (LLPA)'!$AE$4:$AL$4,0),FALSE),"-"))</f>
        <v>-</v>
      </c>
      <c r="Y10" s="480" t="str">
        <f t="shared" si="6"/>
        <v>-</v>
      </c>
      <c r="Z10" s="480" t="str">
        <f>IF(Y10="-","-",VLOOKUP($C$6,'IRP (LLPA)'!$D$17:$K$27,MATCH($S10,'IRP (LLPA)'!$D$17:$K$17,0),FALSE))</f>
        <v>-</v>
      </c>
      <c r="AA10" s="480" t="str">
        <f t="shared" si="7"/>
        <v>-</v>
      </c>
      <c r="AB10" s="52">
        <f t="shared" si="8"/>
        <v>0</v>
      </c>
      <c r="AC10" s="214">
        <f t="shared" si="9"/>
        <v>1.2</v>
      </c>
      <c r="AD10" s="52">
        <f t="shared" si="10"/>
        <v>0</v>
      </c>
      <c r="AE10" s="52">
        <f t="shared" si="11"/>
        <v>0</v>
      </c>
      <c r="AF10" s="57" t="e">
        <f t="shared" si="12"/>
        <v>#VALUE!</v>
      </c>
      <c r="AG10" s="919"/>
      <c r="AH10" s="481" t="e">
        <f t="shared" si="13"/>
        <v>#VALUE!</v>
      </c>
      <c r="AI10" s="61" t="e">
        <f t="shared" si="14"/>
        <v>#VALUE!</v>
      </c>
      <c r="AJ10" s="51" t="e">
        <f>IF(AI10="-","-",IF(AI10&lt;=INDEX('IRP (Legend)'!$D$3:$F$13,MATCH(AI10,'IRP (Legend)'!$D$3:$D$13,1),2),INDEX('IRP (Legend)'!$D$3:$F$13,MATCH(AI10,'IRP (Legend)'!$D$3:$D$13,1),3),"-"))</f>
        <v>#VALUE!</v>
      </c>
      <c r="AK10" s="480" t="e">
        <f>IF($AJ10="-","-",IFERROR(VLOOKUP(AK$3,'IRP (LLPA)'!$AE$4:$AL$50,MATCH($AJ10,'IRP (LLPA)'!$AE$4:$AL$4,0),FALSE),"-"))</f>
        <v>#VALUE!</v>
      </c>
      <c r="AL10" s="480" t="e">
        <f>IF($AJ10="-","-",IFERROR(VLOOKUP(AL$3,'IRP (LLPA)'!$AE$4:$AL$50,MATCH($AJ10,'IRP (LLPA)'!$AE$4:$AL$4,0),FALSE),"-"))</f>
        <v>#VALUE!</v>
      </c>
      <c r="AM10" s="480" t="e">
        <f>IF($AJ10="-","-",IFERROR(VLOOKUP(AM$3,'IRP (LLPA)'!$AE$4:$AL$50,MATCH($AJ10,'IRP (LLPA)'!$AE$4:$AL$4,0),FALSE),"-"))</f>
        <v>#VALUE!</v>
      </c>
      <c r="AN10" s="480" t="e">
        <f>IF($AJ10="-","-",IFERROR(VLOOKUP(AN$3,'IRP (LLPA)'!$AE$4:$AL$50,MATCH($AJ10,'IRP (LLPA)'!$AE$4:$AL$4,0),FALSE),"-"))</f>
        <v>#VALUE!</v>
      </c>
      <c r="AO10" s="480" t="e">
        <f>IF($AJ10="-","-",IFERROR(VLOOKUP(AO$3,'IRP (LLPA)'!$AE$4:$AL$50,MATCH($AJ10,'IRP (LLPA)'!$AE$4:$AL$4,0),FALSE),"-"))</f>
        <v>#VALUE!</v>
      </c>
      <c r="AP10" s="480" t="e">
        <f t="shared" si="15"/>
        <v>#VALUE!</v>
      </c>
      <c r="AQ10" s="480" t="e">
        <f>IF(AP10="-","-",VLOOKUP($C$6,'IRP (LLPA)'!$D$17:$K$27,MATCH($AJ10,'IRP (LLPA)'!$D$17:$K$17,0),FALSE))</f>
        <v>#VALUE!</v>
      </c>
      <c r="AR10" s="480" t="e">
        <f t="shared" si="16"/>
        <v>#VALUE!</v>
      </c>
      <c r="AS10" s="52">
        <f t="shared" si="17"/>
        <v>0</v>
      </c>
      <c r="AT10" s="214">
        <f t="shared" si="18"/>
        <v>1.2</v>
      </c>
      <c r="AU10" s="52">
        <f t="shared" si="19"/>
        <v>0</v>
      </c>
      <c r="AV10" s="52">
        <f t="shared" si="20"/>
        <v>0</v>
      </c>
      <c r="AW10" s="139" t="e">
        <f t="shared" si="21"/>
        <v>#VALUE!</v>
      </c>
      <c r="AX10" s="640"/>
      <c r="AY10" s="481" t="e">
        <f t="shared" si="22"/>
        <v>#VALUE!</v>
      </c>
      <c r="AZ10" s="61" t="e">
        <f t="shared" si="23"/>
        <v>#VALUE!</v>
      </c>
      <c r="BA10" s="51" t="e">
        <f>IF(AZ10="-","-",IF(AZ10&lt;=INDEX('IRP (Legend)'!$D$3:$F$13,MATCH(AZ10,'IRP (Legend)'!$D$3:$D$13,1),2),INDEX('IRP (Legend)'!$D$3:$F$13,MATCH(AZ10,'IRP (Legend)'!$D$3:$D$13,1),3),"-"))</f>
        <v>#VALUE!</v>
      </c>
      <c r="BB10" s="480" t="e">
        <f>IF($AJ10="-","-",IFERROR(VLOOKUP(BB$3,'IRP (LLPA)'!$AE$4:$AL$50,MATCH($BA10,'IRP (LLPA)'!$AE$4:$AL$4,0),FALSE),"-"))</f>
        <v>#VALUE!</v>
      </c>
      <c r="BC10" s="480" t="e">
        <f>IF($AJ10="-","-",IFERROR(VLOOKUP(BC$3,'IRP (LLPA)'!$AE$4:$AL$50,MATCH($BA10,'IRP (LLPA)'!$AE$4:$AL$4,0),FALSE),"-"))</f>
        <v>#VALUE!</v>
      </c>
      <c r="BD10" s="480" t="e">
        <f>IF($AJ10="-","-",IFERROR(VLOOKUP(BD$3,'IRP (LLPA)'!$AE$4:$AL$50,MATCH($BA10,'IRP (LLPA)'!$AE$4:$AL$4,0),FALSE),"-"))</f>
        <v>#VALUE!</v>
      </c>
      <c r="BE10" s="480" t="e">
        <f>IF($AJ10="-","-",IFERROR(VLOOKUP(BE$3,'IRP (LLPA)'!$AE$4:$AL$50,MATCH($BA10,'IRP (LLPA)'!$AE$4:$AL$4,0),FALSE),"-"))</f>
        <v>#VALUE!</v>
      </c>
      <c r="BF10" s="480" t="e">
        <f>IF($AJ10="-","-",IFERROR(VLOOKUP(BF$3,'IRP (LLPA)'!$AE$4:$AL$50,MATCH($BA10,'IRP (LLPA)'!$AE$4:$AL$4,0),FALSE),"-"))</f>
        <v>#VALUE!</v>
      </c>
      <c r="BG10" s="480" t="e">
        <f t="shared" si="24"/>
        <v>#VALUE!</v>
      </c>
      <c r="BH10" s="480" t="e">
        <f>IF(BG10="-","-",VLOOKUP($C$6,'IRP (LLPA)'!$D$17:$K$27,MATCH($BA10,'IRP (LLPA)'!$D$17:$K$17,0),FALSE))</f>
        <v>#VALUE!</v>
      </c>
      <c r="BI10" s="480" t="e">
        <f t="shared" si="25"/>
        <v>#VALUE!</v>
      </c>
      <c r="BJ10" s="52">
        <f t="shared" si="26"/>
        <v>0</v>
      </c>
      <c r="BK10" s="214">
        <f t="shared" si="27"/>
        <v>1.2</v>
      </c>
      <c r="BL10" s="52">
        <f t="shared" si="28"/>
        <v>0</v>
      </c>
      <c r="BM10" s="52">
        <f t="shared" si="29"/>
        <v>0</v>
      </c>
      <c r="BN10" s="139" t="e">
        <f t="shared" si="30"/>
        <v>#VALUE!</v>
      </c>
      <c r="BO10" s="913"/>
      <c r="BP10" s="479" t="e">
        <f t="shared" si="31"/>
        <v>#VALUE!</v>
      </c>
      <c r="BQ10" s="478">
        <v>102</v>
      </c>
      <c r="BR10" s="477" t="e">
        <f t="shared" si="32"/>
        <v>#VALUE!</v>
      </c>
      <c r="BS10" s="476" t="e">
        <f>IF(BR10="-","-",IF(BR10&lt;=INDEX('IRP (Legend)'!$D$3:$F$13,MATCH(BR10,'IRP (Legend)'!$D$3:$D$13,1),2),INDEX('IRP (Legend)'!$D$3:$F$13,MATCH(BR10,'IRP (Legend)'!$D$3:$D$13,1),3),"-"))</f>
        <v>#VALUE!</v>
      </c>
      <c r="BT10" s="476" t="e">
        <f t="shared" si="33"/>
        <v>#VALUE!</v>
      </c>
      <c r="BU10" s="476" t="e">
        <f t="shared" si="34"/>
        <v>#VALUE!</v>
      </c>
      <c r="BV10" s="475" t="str">
        <f t="shared" si="35"/>
        <v>-</v>
      </c>
      <c r="BW10" s="474" t="str">
        <f t="shared" si="36"/>
        <v>-</v>
      </c>
      <c r="BX10" s="913"/>
      <c r="BY10" s="60" t="s">
        <v>1634</v>
      </c>
      <c r="BZ10" s="108" t="s">
        <v>1750</v>
      </c>
      <c r="CA10" s="135" t="str">
        <f t="shared" si="37"/>
        <v>-</v>
      </c>
    </row>
    <row r="11" spans="2:79" x14ac:dyDescent="0.25">
      <c r="B11" s="452" t="s">
        <v>2023</v>
      </c>
      <c r="C11" s="120" t="e">
        <f>IF(C10&lt;100000,"&lt; $100k",IF(AND(C10&gt;=100000,C10&lt;150000),"&lt; $150k",IF(AND(C10&gt;=150000,C10&lt;250000),"&lt; $250k",IF(C10&gt;=250000,"$250k+","-"))))</f>
        <v>#DIV/0!</v>
      </c>
      <c r="D11" s="452" t="s">
        <v>1681</v>
      </c>
      <c r="E11" s="110">
        <v>0.7</v>
      </c>
      <c r="F11" s="110">
        <v>0.7</v>
      </c>
      <c r="G11" s="110">
        <v>0.7</v>
      </c>
      <c r="H11" s="110">
        <v>0.7</v>
      </c>
      <c r="I11" s="110">
        <v>0.65</v>
      </c>
      <c r="J11" s="109">
        <v>0.65</v>
      </c>
      <c r="L11" s="416">
        <f t="shared" si="38"/>
        <v>1.7500000000000002E-2</v>
      </c>
      <c r="M11" s="67">
        <f t="shared" si="0"/>
        <v>1.0174999999999998</v>
      </c>
      <c r="N11" s="480" t="e">
        <f t="shared" si="1"/>
        <v>#VALUE!</v>
      </c>
      <c r="O11" s="57" t="str">
        <f t="shared" si="2"/>
        <v>-</v>
      </c>
      <c r="P11" s="51" t="str">
        <f t="shared" si="3"/>
        <v>-</v>
      </c>
      <c r="Q11" s="57" t="str">
        <f t="shared" si="4"/>
        <v>-</v>
      </c>
      <c r="R11" s="61" t="str">
        <f t="shared" si="5"/>
        <v>-</v>
      </c>
      <c r="S11" s="51" t="str">
        <f>IF(R11="-","-",IF(R11&lt;=INDEX('IRP (Legend)'!$D$3:$F$13,MATCH(R11,'IRP (Legend)'!$D$3:$D$13,1),2),INDEX('IRP (Legend)'!$D$3:$F$13,MATCH(R11,'IRP (Legend)'!$D$3:$D$13,1),3),"-"))</f>
        <v>-</v>
      </c>
      <c r="T11" s="480" t="str">
        <f>IF($S11="-","-",IFERROR(VLOOKUP(T$3,'IRP (LLPA)'!$AE$4:$AL$50,MATCH($S11,'IRP (LLPA)'!$AE$4:$AL$4,0),FALSE),"-"))</f>
        <v>-</v>
      </c>
      <c r="U11" s="480" t="str">
        <f>IF($S11="-","-",IFERROR(VLOOKUP(U$3,'IRP (LLPA)'!$AE$4:$AL$50,MATCH($S11,'IRP (LLPA)'!$AE$4:$AL$4,0),FALSE),"-"))</f>
        <v>-</v>
      </c>
      <c r="V11" s="480" t="str">
        <f>IF($S11="-","-",IFERROR(VLOOKUP(V$3,'IRP (LLPA)'!$AE$4:$AL$50,MATCH($S11,'IRP (LLPA)'!$AE$4:$AL$4,0),FALSE),"-"))</f>
        <v>-</v>
      </c>
      <c r="W11" s="480" t="str">
        <f>IF($S11="-","-",IFERROR(VLOOKUP(W$3,'IRP (LLPA)'!$AE$4:$AL$50,MATCH($S11,'IRP (LLPA)'!$AE$4:$AL$4,0),FALSE),"-"))</f>
        <v>-</v>
      </c>
      <c r="X11" s="480" t="str">
        <f>IF($S11="-","-",IFERROR(VLOOKUP(X$3,'IRP (LLPA)'!$AE$4:$AL$50,MATCH($S11,'IRP (LLPA)'!$AE$4:$AL$4,0),FALSE),"-"))</f>
        <v>-</v>
      </c>
      <c r="Y11" s="480" t="str">
        <f t="shared" si="6"/>
        <v>-</v>
      </c>
      <c r="Z11" s="480" t="str">
        <f>IF(Y11="-","-",VLOOKUP($C$6,'IRP (LLPA)'!$D$17:$K$27,MATCH($S11,'IRP (LLPA)'!$D$17:$K$17,0),FALSE))</f>
        <v>-</v>
      </c>
      <c r="AA11" s="480" t="str">
        <f t="shared" si="7"/>
        <v>-</v>
      </c>
      <c r="AB11" s="52">
        <f t="shared" si="8"/>
        <v>0</v>
      </c>
      <c r="AC11" s="214">
        <f t="shared" si="9"/>
        <v>1.2</v>
      </c>
      <c r="AD11" s="52">
        <f t="shared" si="10"/>
        <v>0</v>
      </c>
      <c r="AE11" s="52">
        <f t="shared" si="11"/>
        <v>0</v>
      </c>
      <c r="AF11" s="57" t="e">
        <f t="shared" si="12"/>
        <v>#VALUE!</v>
      </c>
      <c r="AG11" s="919"/>
      <c r="AH11" s="481" t="e">
        <f t="shared" si="13"/>
        <v>#VALUE!</v>
      </c>
      <c r="AI11" s="61" t="e">
        <f t="shared" si="14"/>
        <v>#VALUE!</v>
      </c>
      <c r="AJ11" s="51" t="e">
        <f>IF(AI11="-","-",IF(AI11&lt;=INDEX('IRP (Legend)'!$D$3:$F$13,MATCH(AI11,'IRP (Legend)'!$D$3:$D$13,1),2),INDEX('IRP (Legend)'!$D$3:$F$13,MATCH(AI11,'IRP (Legend)'!$D$3:$D$13,1),3),"-"))</f>
        <v>#VALUE!</v>
      </c>
      <c r="AK11" s="480" t="e">
        <f>IF($AJ11="-","-",IFERROR(VLOOKUP(AK$3,'IRP (LLPA)'!$AE$4:$AL$50,MATCH($AJ11,'IRP (LLPA)'!$AE$4:$AL$4,0),FALSE),"-"))</f>
        <v>#VALUE!</v>
      </c>
      <c r="AL11" s="480" t="e">
        <f>IF($AJ11="-","-",IFERROR(VLOOKUP(AL$3,'IRP (LLPA)'!$AE$4:$AL$50,MATCH($AJ11,'IRP (LLPA)'!$AE$4:$AL$4,0),FALSE),"-"))</f>
        <v>#VALUE!</v>
      </c>
      <c r="AM11" s="480" t="e">
        <f>IF($AJ11="-","-",IFERROR(VLOOKUP(AM$3,'IRP (LLPA)'!$AE$4:$AL$50,MATCH($AJ11,'IRP (LLPA)'!$AE$4:$AL$4,0),FALSE),"-"))</f>
        <v>#VALUE!</v>
      </c>
      <c r="AN11" s="480" t="e">
        <f>IF($AJ11="-","-",IFERROR(VLOOKUP(AN$3,'IRP (LLPA)'!$AE$4:$AL$50,MATCH($AJ11,'IRP (LLPA)'!$AE$4:$AL$4,0),FALSE),"-"))</f>
        <v>#VALUE!</v>
      </c>
      <c r="AO11" s="480" t="e">
        <f>IF($AJ11="-","-",IFERROR(VLOOKUP(AO$3,'IRP (LLPA)'!$AE$4:$AL$50,MATCH($AJ11,'IRP (LLPA)'!$AE$4:$AL$4,0),FALSE),"-"))</f>
        <v>#VALUE!</v>
      </c>
      <c r="AP11" s="480" t="e">
        <f t="shared" si="15"/>
        <v>#VALUE!</v>
      </c>
      <c r="AQ11" s="480" t="e">
        <f>IF(AP11="-","-",VLOOKUP($C$6,'IRP (LLPA)'!$D$17:$K$27,MATCH($AJ11,'IRP (LLPA)'!$D$17:$K$17,0),FALSE))</f>
        <v>#VALUE!</v>
      </c>
      <c r="AR11" s="480" t="e">
        <f t="shared" si="16"/>
        <v>#VALUE!</v>
      </c>
      <c r="AS11" s="52">
        <f t="shared" si="17"/>
        <v>0</v>
      </c>
      <c r="AT11" s="214">
        <f t="shared" si="18"/>
        <v>1.2</v>
      </c>
      <c r="AU11" s="52">
        <f t="shared" si="19"/>
        <v>0</v>
      </c>
      <c r="AV11" s="52">
        <f t="shared" si="20"/>
        <v>0</v>
      </c>
      <c r="AW11" s="139" t="e">
        <f t="shared" si="21"/>
        <v>#VALUE!</v>
      </c>
      <c r="AX11" s="640"/>
      <c r="AY11" s="481" t="e">
        <f t="shared" si="22"/>
        <v>#VALUE!</v>
      </c>
      <c r="AZ11" s="61" t="e">
        <f t="shared" si="23"/>
        <v>#VALUE!</v>
      </c>
      <c r="BA11" s="51" t="e">
        <f>IF(AZ11="-","-",IF(AZ11&lt;=INDEX('IRP (Legend)'!$D$3:$F$13,MATCH(AZ11,'IRP (Legend)'!$D$3:$D$13,1),2),INDEX('IRP (Legend)'!$D$3:$F$13,MATCH(AZ11,'IRP (Legend)'!$D$3:$D$13,1),3),"-"))</f>
        <v>#VALUE!</v>
      </c>
      <c r="BB11" s="480" t="e">
        <f>IF($AJ11="-","-",IFERROR(VLOOKUP(BB$3,'IRP (LLPA)'!$AE$4:$AL$50,MATCH($BA11,'IRP (LLPA)'!$AE$4:$AL$4,0),FALSE),"-"))</f>
        <v>#VALUE!</v>
      </c>
      <c r="BC11" s="480" t="e">
        <f>IF($AJ11="-","-",IFERROR(VLOOKUP(BC$3,'IRP (LLPA)'!$AE$4:$AL$50,MATCH($BA11,'IRP (LLPA)'!$AE$4:$AL$4,0),FALSE),"-"))</f>
        <v>#VALUE!</v>
      </c>
      <c r="BD11" s="480" t="e">
        <f>IF($AJ11="-","-",IFERROR(VLOOKUP(BD$3,'IRP (LLPA)'!$AE$4:$AL$50,MATCH($BA11,'IRP (LLPA)'!$AE$4:$AL$4,0),FALSE),"-"))</f>
        <v>#VALUE!</v>
      </c>
      <c r="BE11" s="480" t="e">
        <f>IF($AJ11="-","-",IFERROR(VLOOKUP(BE$3,'IRP (LLPA)'!$AE$4:$AL$50,MATCH($BA11,'IRP (LLPA)'!$AE$4:$AL$4,0),FALSE),"-"))</f>
        <v>#VALUE!</v>
      </c>
      <c r="BF11" s="480" t="e">
        <f>IF($AJ11="-","-",IFERROR(VLOOKUP(BF$3,'IRP (LLPA)'!$AE$4:$AL$50,MATCH($BA11,'IRP (LLPA)'!$AE$4:$AL$4,0),FALSE),"-"))</f>
        <v>#VALUE!</v>
      </c>
      <c r="BG11" s="480" t="e">
        <f t="shared" si="24"/>
        <v>#VALUE!</v>
      </c>
      <c r="BH11" s="480" t="e">
        <f>IF(BG11="-","-",VLOOKUP($C$6,'IRP (LLPA)'!$D$17:$K$27,MATCH($BA11,'IRP (LLPA)'!$D$17:$K$17,0),FALSE))</f>
        <v>#VALUE!</v>
      </c>
      <c r="BI11" s="480" t="e">
        <f t="shared" si="25"/>
        <v>#VALUE!</v>
      </c>
      <c r="BJ11" s="52">
        <f t="shared" si="26"/>
        <v>0</v>
      </c>
      <c r="BK11" s="214">
        <f t="shared" si="27"/>
        <v>1.2</v>
      </c>
      <c r="BL11" s="52">
        <f t="shared" si="28"/>
        <v>0</v>
      </c>
      <c r="BM11" s="52">
        <f t="shared" si="29"/>
        <v>0</v>
      </c>
      <c r="BN11" s="139" t="e">
        <f t="shared" si="30"/>
        <v>#VALUE!</v>
      </c>
      <c r="BO11" s="913"/>
      <c r="BP11" s="479" t="e">
        <f t="shared" si="31"/>
        <v>#VALUE!</v>
      </c>
      <c r="BQ11" s="478">
        <v>101.75</v>
      </c>
      <c r="BR11" s="477" t="e">
        <f t="shared" si="32"/>
        <v>#VALUE!</v>
      </c>
      <c r="BS11" s="476" t="e">
        <f>IF(BR11="-","-",IF(BR11&lt;=INDEX('IRP (Legend)'!$D$3:$F$13,MATCH(BR11,'IRP (Legend)'!$D$3:$D$13,1),2),INDEX('IRP (Legend)'!$D$3:$F$13,MATCH(BR11,'IRP (Legend)'!$D$3:$D$13,1),3),"-"))</f>
        <v>#VALUE!</v>
      </c>
      <c r="BT11" s="476" t="e">
        <f t="shared" si="33"/>
        <v>#VALUE!</v>
      </c>
      <c r="BU11" s="476" t="e">
        <f t="shared" si="34"/>
        <v>#VALUE!</v>
      </c>
      <c r="BV11" s="475" t="str">
        <f t="shared" si="35"/>
        <v>-</v>
      </c>
      <c r="BW11" s="474" t="str">
        <f t="shared" si="36"/>
        <v>-</v>
      </c>
      <c r="BX11" s="913"/>
    </row>
    <row r="12" spans="2:79" x14ac:dyDescent="0.25">
      <c r="B12" s="452" t="s">
        <v>2022</v>
      </c>
      <c r="C12" s="265">
        <f>'Investor Portfolio (IRP)'!$I$26</f>
        <v>0</v>
      </c>
      <c r="D12" s="452" t="s">
        <v>1680</v>
      </c>
      <c r="E12" s="110">
        <v>0.7</v>
      </c>
      <c r="F12" s="110">
        <v>0.7</v>
      </c>
      <c r="G12" s="110">
        <v>0.7</v>
      </c>
      <c r="H12" s="110">
        <v>0.7</v>
      </c>
      <c r="I12" s="110">
        <v>0.65</v>
      </c>
      <c r="J12" s="109">
        <v>0.65</v>
      </c>
      <c r="L12" s="416">
        <f t="shared" si="38"/>
        <v>0.02</v>
      </c>
      <c r="M12" s="67">
        <f t="shared" si="0"/>
        <v>1.0149999999999999</v>
      </c>
      <c r="N12" s="480" t="e">
        <f t="shared" si="1"/>
        <v>#VALUE!</v>
      </c>
      <c r="O12" s="57" t="str">
        <f t="shared" si="2"/>
        <v>-</v>
      </c>
      <c r="P12" s="51" t="str">
        <f t="shared" si="3"/>
        <v>-</v>
      </c>
      <c r="Q12" s="57" t="str">
        <f t="shared" si="4"/>
        <v>-</v>
      </c>
      <c r="R12" s="61" t="str">
        <f t="shared" si="5"/>
        <v>-</v>
      </c>
      <c r="S12" s="51" t="str">
        <f>IF(R12="-","-",IF(R12&lt;=INDEX('IRP (Legend)'!$D$3:$F$13,MATCH(R12,'IRP (Legend)'!$D$3:$D$13,1),2),INDEX('IRP (Legend)'!$D$3:$F$13,MATCH(R12,'IRP (Legend)'!$D$3:$D$13,1),3),"-"))</f>
        <v>-</v>
      </c>
      <c r="T12" s="480" t="str">
        <f>IF($S12="-","-",IFERROR(VLOOKUP(T$3,'IRP (LLPA)'!$AE$4:$AL$50,MATCH($S12,'IRP (LLPA)'!$AE$4:$AL$4,0),FALSE),"-"))</f>
        <v>-</v>
      </c>
      <c r="U12" s="480" t="str">
        <f>IF($S12="-","-",IFERROR(VLOOKUP(U$3,'IRP (LLPA)'!$AE$4:$AL$50,MATCH($S12,'IRP (LLPA)'!$AE$4:$AL$4,0),FALSE),"-"))</f>
        <v>-</v>
      </c>
      <c r="V12" s="480" t="str">
        <f>IF($S12="-","-",IFERROR(VLOOKUP(V$3,'IRP (LLPA)'!$AE$4:$AL$50,MATCH($S12,'IRP (LLPA)'!$AE$4:$AL$4,0),FALSE),"-"))</f>
        <v>-</v>
      </c>
      <c r="W12" s="480" t="str">
        <f>IF($S12="-","-",IFERROR(VLOOKUP(W$3,'IRP (LLPA)'!$AE$4:$AL$50,MATCH($S12,'IRP (LLPA)'!$AE$4:$AL$4,0),FALSE),"-"))</f>
        <v>-</v>
      </c>
      <c r="X12" s="480" t="str">
        <f>IF($S12="-","-",IFERROR(VLOOKUP(X$3,'IRP (LLPA)'!$AE$4:$AL$50,MATCH($S12,'IRP (LLPA)'!$AE$4:$AL$4,0),FALSE),"-"))</f>
        <v>-</v>
      </c>
      <c r="Y12" s="480" t="str">
        <f t="shared" si="6"/>
        <v>-</v>
      </c>
      <c r="Z12" s="480" t="str">
        <f>IF(Y12="-","-",VLOOKUP($C$6,'IRP (LLPA)'!$D$17:$K$27,MATCH($S12,'IRP (LLPA)'!$D$17:$K$17,0),FALSE))</f>
        <v>-</v>
      </c>
      <c r="AA12" s="480" t="str">
        <f t="shared" si="7"/>
        <v>-</v>
      </c>
      <c r="AB12" s="52">
        <f t="shared" si="8"/>
        <v>0</v>
      </c>
      <c r="AC12" s="214">
        <f t="shared" si="9"/>
        <v>1.2</v>
      </c>
      <c r="AD12" s="52">
        <f t="shared" si="10"/>
        <v>0</v>
      </c>
      <c r="AE12" s="52">
        <f t="shared" si="11"/>
        <v>0</v>
      </c>
      <c r="AF12" s="57" t="e">
        <f t="shared" si="12"/>
        <v>#VALUE!</v>
      </c>
      <c r="AG12" s="919"/>
      <c r="AH12" s="481" t="e">
        <f t="shared" si="13"/>
        <v>#VALUE!</v>
      </c>
      <c r="AI12" s="61" t="e">
        <f t="shared" si="14"/>
        <v>#VALUE!</v>
      </c>
      <c r="AJ12" s="51" t="e">
        <f>IF(AI12="-","-",IF(AI12&lt;=INDEX('IRP (Legend)'!$D$3:$F$13,MATCH(AI12,'IRP (Legend)'!$D$3:$D$13,1),2),INDEX('IRP (Legend)'!$D$3:$F$13,MATCH(AI12,'IRP (Legend)'!$D$3:$D$13,1),3),"-"))</f>
        <v>#VALUE!</v>
      </c>
      <c r="AK12" s="480" t="e">
        <f>IF($AJ12="-","-",IFERROR(VLOOKUP(AK$3,'IRP (LLPA)'!$AE$4:$AL$50,MATCH($AJ12,'IRP (LLPA)'!$AE$4:$AL$4,0),FALSE),"-"))</f>
        <v>#VALUE!</v>
      </c>
      <c r="AL12" s="480" t="e">
        <f>IF($AJ12="-","-",IFERROR(VLOOKUP(AL$3,'IRP (LLPA)'!$AE$4:$AL$50,MATCH($AJ12,'IRP (LLPA)'!$AE$4:$AL$4,0),FALSE),"-"))</f>
        <v>#VALUE!</v>
      </c>
      <c r="AM12" s="480" t="e">
        <f>IF($AJ12="-","-",IFERROR(VLOOKUP(AM$3,'IRP (LLPA)'!$AE$4:$AL$50,MATCH($AJ12,'IRP (LLPA)'!$AE$4:$AL$4,0),FALSE),"-"))</f>
        <v>#VALUE!</v>
      </c>
      <c r="AN12" s="480" t="e">
        <f>IF($AJ12="-","-",IFERROR(VLOOKUP(AN$3,'IRP (LLPA)'!$AE$4:$AL$50,MATCH($AJ12,'IRP (LLPA)'!$AE$4:$AL$4,0),FALSE),"-"))</f>
        <v>#VALUE!</v>
      </c>
      <c r="AO12" s="480" t="e">
        <f>IF($AJ12="-","-",IFERROR(VLOOKUP(AO$3,'IRP (LLPA)'!$AE$4:$AL$50,MATCH($AJ12,'IRP (LLPA)'!$AE$4:$AL$4,0),FALSE),"-"))</f>
        <v>#VALUE!</v>
      </c>
      <c r="AP12" s="480" t="e">
        <f t="shared" si="15"/>
        <v>#VALUE!</v>
      </c>
      <c r="AQ12" s="480" t="e">
        <f>IF(AP12="-","-",VLOOKUP($C$6,'IRP (LLPA)'!$D$17:$K$27,MATCH($AJ12,'IRP (LLPA)'!$D$17:$K$17,0),FALSE))</f>
        <v>#VALUE!</v>
      </c>
      <c r="AR12" s="480" t="e">
        <f t="shared" si="16"/>
        <v>#VALUE!</v>
      </c>
      <c r="AS12" s="52">
        <f t="shared" si="17"/>
        <v>0</v>
      </c>
      <c r="AT12" s="214">
        <f t="shared" si="18"/>
        <v>1.2</v>
      </c>
      <c r="AU12" s="52">
        <f t="shared" si="19"/>
        <v>0</v>
      </c>
      <c r="AV12" s="52">
        <f t="shared" si="20"/>
        <v>0</v>
      </c>
      <c r="AW12" s="139" t="e">
        <f t="shared" si="21"/>
        <v>#VALUE!</v>
      </c>
      <c r="AX12" s="640"/>
      <c r="AY12" s="481" t="e">
        <f t="shared" si="22"/>
        <v>#VALUE!</v>
      </c>
      <c r="AZ12" s="61" t="e">
        <f t="shared" si="23"/>
        <v>#VALUE!</v>
      </c>
      <c r="BA12" s="51" t="e">
        <f>IF(AZ12="-","-",IF(AZ12&lt;=INDEX('IRP (Legend)'!$D$3:$F$13,MATCH(AZ12,'IRP (Legend)'!$D$3:$D$13,1),2),INDEX('IRP (Legend)'!$D$3:$F$13,MATCH(AZ12,'IRP (Legend)'!$D$3:$D$13,1),3),"-"))</f>
        <v>#VALUE!</v>
      </c>
      <c r="BB12" s="480" t="e">
        <f>IF($AJ12="-","-",IFERROR(VLOOKUP(BB$3,'IRP (LLPA)'!$AE$4:$AL$50,MATCH($BA12,'IRP (LLPA)'!$AE$4:$AL$4,0),FALSE),"-"))</f>
        <v>#VALUE!</v>
      </c>
      <c r="BC12" s="480" t="e">
        <f>IF($AJ12="-","-",IFERROR(VLOOKUP(BC$3,'IRP (LLPA)'!$AE$4:$AL$50,MATCH($BA12,'IRP (LLPA)'!$AE$4:$AL$4,0),FALSE),"-"))</f>
        <v>#VALUE!</v>
      </c>
      <c r="BD12" s="480" t="e">
        <f>IF($AJ12="-","-",IFERROR(VLOOKUP(BD$3,'IRP (LLPA)'!$AE$4:$AL$50,MATCH($BA12,'IRP (LLPA)'!$AE$4:$AL$4,0),FALSE),"-"))</f>
        <v>#VALUE!</v>
      </c>
      <c r="BE12" s="480" t="e">
        <f>IF($AJ12="-","-",IFERROR(VLOOKUP(BE$3,'IRP (LLPA)'!$AE$4:$AL$50,MATCH($BA12,'IRP (LLPA)'!$AE$4:$AL$4,0),FALSE),"-"))</f>
        <v>#VALUE!</v>
      </c>
      <c r="BF12" s="480" t="e">
        <f>IF($AJ12="-","-",IFERROR(VLOOKUP(BF$3,'IRP (LLPA)'!$AE$4:$AL$50,MATCH($BA12,'IRP (LLPA)'!$AE$4:$AL$4,0),FALSE),"-"))</f>
        <v>#VALUE!</v>
      </c>
      <c r="BG12" s="480" t="e">
        <f t="shared" si="24"/>
        <v>#VALUE!</v>
      </c>
      <c r="BH12" s="480" t="e">
        <f>IF(BG12="-","-",VLOOKUP($C$6,'IRP (LLPA)'!$D$17:$K$27,MATCH($BA12,'IRP (LLPA)'!$D$17:$K$17,0),FALSE))</f>
        <v>#VALUE!</v>
      </c>
      <c r="BI12" s="480" t="e">
        <f t="shared" si="25"/>
        <v>#VALUE!</v>
      </c>
      <c r="BJ12" s="52">
        <f t="shared" si="26"/>
        <v>0</v>
      </c>
      <c r="BK12" s="214">
        <f t="shared" si="27"/>
        <v>1.2</v>
      </c>
      <c r="BL12" s="52">
        <f t="shared" si="28"/>
        <v>0</v>
      </c>
      <c r="BM12" s="52">
        <f t="shared" si="29"/>
        <v>0</v>
      </c>
      <c r="BN12" s="139" t="e">
        <f t="shared" si="30"/>
        <v>#VALUE!</v>
      </c>
      <c r="BO12" s="913"/>
      <c r="BP12" s="479" t="e">
        <f t="shared" si="31"/>
        <v>#VALUE!</v>
      </c>
      <c r="BQ12" s="478">
        <v>101.5</v>
      </c>
      <c r="BR12" s="477" t="e">
        <f t="shared" si="32"/>
        <v>#VALUE!</v>
      </c>
      <c r="BS12" s="476" t="e">
        <f>IF(BR12="-","-",IF(BR12&lt;=INDEX('IRP (Legend)'!$D$3:$F$13,MATCH(BR12,'IRP (Legend)'!$D$3:$D$13,1),2),INDEX('IRP (Legend)'!$D$3:$F$13,MATCH(BR12,'IRP (Legend)'!$D$3:$D$13,1),3),"-"))</f>
        <v>#VALUE!</v>
      </c>
      <c r="BT12" s="476" t="e">
        <f t="shared" si="33"/>
        <v>#VALUE!</v>
      </c>
      <c r="BU12" s="476" t="e">
        <f t="shared" si="34"/>
        <v>#VALUE!</v>
      </c>
      <c r="BV12" s="475" t="str">
        <f t="shared" si="35"/>
        <v>-</v>
      </c>
      <c r="BW12" s="474" t="str">
        <f t="shared" si="36"/>
        <v>-</v>
      </c>
      <c r="BX12" s="913"/>
    </row>
    <row r="13" spans="2:79" x14ac:dyDescent="0.25">
      <c r="B13" s="452" t="s">
        <v>2021</v>
      </c>
      <c r="C13" s="265">
        <f>'Investor Portfolio (IRP)'!$K$26</f>
        <v>0</v>
      </c>
      <c r="D13" s="464" t="s">
        <v>1679</v>
      </c>
      <c r="E13" s="107" t="s">
        <v>2</v>
      </c>
      <c r="F13" s="107" t="s">
        <v>2</v>
      </c>
      <c r="G13" s="107" t="s">
        <v>2</v>
      </c>
      <c r="H13" s="107" t="s">
        <v>2</v>
      </c>
      <c r="I13" s="107" t="s">
        <v>2</v>
      </c>
      <c r="J13" s="106" t="s">
        <v>2</v>
      </c>
      <c r="L13" s="416">
        <f t="shared" si="38"/>
        <v>2.2499999999999999E-2</v>
      </c>
      <c r="M13" s="67">
        <f t="shared" si="0"/>
        <v>1.0125</v>
      </c>
      <c r="N13" s="480" t="e">
        <f t="shared" si="1"/>
        <v>#VALUE!</v>
      </c>
      <c r="O13" s="57" t="str">
        <f t="shared" si="2"/>
        <v>-</v>
      </c>
      <c r="P13" s="51" t="str">
        <f t="shared" si="3"/>
        <v>-</v>
      </c>
      <c r="Q13" s="57" t="str">
        <f t="shared" si="4"/>
        <v>-</v>
      </c>
      <c r="R13" s="61" t="str">
        <f t="shared" si="5"/>
        <v>-</v>
      </c>
      <c r="S13" s="51" t="str">
        <f>IF(R13="-","-",IF(R13&lt;=INDEX('IRP (Legend)'!$D$3:$F$13,MATCH(R13,'IRP (Legend)'!$D$3:$D$13,1),2),INDEX('IRP (Legend)'!$D$3:$F$13,MATCH(R13,'IRP (Legend)'!$D$3:$D$13,1),3),"-"))</f>
        <v>-</v>
      </c>
      <c r="T13" s="480" t="str">
        <f>IF($S13="-","-",IFERROR(VLOOKUP(T$3,'IRP (LLPA)'!$AE$4:$AL$50,MATCH($S13,'IRP (LLPA)'!$AE$4:$AL$4,0),FALSE),"-"))</f>
        <v>-</v>
      </c>
      <c r="U13" s="480" t="str">
        <f>IF($S13="-","-",IFERROR(VLOOKUP(U$3,'IRP (LLPA)'!$AE$4:$AL$50,MATCH($S13,'IRP (LLPA)'!$AE$4:$AL$4,0),FALSE),"-"))</f>
        <v>-</v>
      </c>
      <c r="V13" s="480" t="str">
        <f>IF($S13="-","-",IFERROR(VLOOKUP(V$3,'IRP (LLPA)'!$AE$4:$AL$50,MATCH($S13,'IRP (LLPA)'!$AE$4:$AL$4,0),FALSE),"-"))</f>
        <v>-</v>
      </c>
      <c r="W13" s="480" t="str">
        <f>IF($S13="-","-",IFERROR(VLOOKUP(W$3,'IRP (LLPA)'!$AE$4:$AL$50,MATCH($S13,'IRP (LLPA)'!$AE$4:$AL$4,0),FALSE),"-"))</f>
        <v>-</v>
      </c>
      <c r="X13" s="480" t="str">
        <f>IF($S13="-","-",IFERROR(VLOOKUP(X$3,'IRP (LLPA)'!$AE$4:$AL$50,MATCH($S13,'IRP (LLPA)'!$AE$4:$AL$4,0),FALSE),"-"))</f>
        <v>-</v>
      </c>
      <c r="Y13" s="480" t="str">
        <f t="shared" si="6"/>
        <v>-</v>
      </c>
      <c r="Z13" s="480" t="str">
        <f>IF(Y13="-","-",VLOOKUP($C$6,'IRP (LLPA)'!$D$17:$K$27,MATCH($S13,'IRP (LLPA)'!$D$17:$K$17,0),FALSE))</f>
        <v>-</v>
      </c>
      <c r="AA13" s="480" t="str">
        <f t="shared" si="7"/>
        <v>-</v>
      </c>
      <c r="AB13" s="52">
        <f t="shared" si="8"/>
        <v>0</v>
      </c>
      <c r="AC13" s="214">
        <f t="shared" si="9"/>
        <v>1.2</v>
      </c>
      <c r="AD13" s="52">
        <f t="shared" si="10"/>
        <v>0</v>
      </c>
      <c r="AE13" s="52">
        <f t="shared" si="11"/>
        <v>0</v>
      </c>
      <c r="AF13" s="57" t="e">
        <f t="shared" si="12"/>
        <v>#VALUE!</v>
      </c>
      <c r="AG13" s="919"/>
      <c r="AH13" s="481" t="e">
        <f t="shared" si="13"/>
        <v>#VALUE!</v>
      </c>
      <c r="AI13" s="61" t="e">
        <f t="shared" si="14"/>
        <v>#VALUE!</v>
      </c>
      <c r="AJ13" s="51" t="e">
        <f>IF(AI13="-","-",IF(AI13&lt;=INDEX('IRP (Legend)'!$D$3:$F$13,MATCH(AI13,'IRP (Legend)'!$D$3:$D$13,1),2),INDEX('IRP (Legend)'!$D$3:$F$13,MATCH(AI13,'IRP (Legend)'!$D$3:$D$13,1),3),"-"))</f>
        <v>#VALUE!</v>
      </c>
      <c r="AK13" s="480" t="e">
        <f>IF($AJ13="-","-",IFERROR(VLOOKUP(AK$3,'IRP (LLPA)'!$AE$4:$AL$50,MATCH($AJ13,'IRP (LLPA)'!$AE$4:$AL$4,0),FALSE),"-"))</f>
        <v>#VALUE!</v>
      </c>
      <c r="AL13" s="480" t="e">
        <f>IF($AJ13="-","-",IFERROR(VLOOKUP(AL$3,'IRP (LLPA)'!$AE$4:$AL$50,MATCH($AJ13,'IRP (LLPA)'!$AE$4:$AL$4,0),FALSE),"-"))</f>
        <v>#VALUE!</v>
      </c>
      <c r="AM13" s="480" t="e">
        <f>IF($AJ13="-","-",IFERROR(VLOOKUP(AM$3,'IRP (LLPA)'!$AE$4:$AL$50,MATCH($AJ13,'IRP (LLPA)'!$AE$4:$AL$4,0),FALSE),"-"))</f>
        <v>#VALUE!</v>
      </c>
      <c r="AN13" s="480" t="e">
        <f>IF($AJ13="-","-",IFERROR(VLOOKUP(AN$3,'IRP (LLPA)'!$AE$4:$AL$50,MATCH($AJ13,'IRP (LLPA)'!$AE$4:$AL$4,0),FALSE),"-"))</f>
        <v>#VALUE!</v>
      </c>
      <c r="AO13" s="480" t="e">
        <f>IF($AJ13="-","-",IFERROR(VLOOKUP(AO$3,'IRP (LLPA)'!$AE$4:$AL$50,MATCH($AJ13,'IRP (LLPA)'!$AE$4:$AL$4,0),FALSE),"-"))</f>
        <v>#VALUE!</v>
      </c>
      <c r="AP13" s="480" t="e">
        <f t="shared" si="15"/>
        <v>#VALUE!</v>
      </c>
      <c r="AQ13" s="480" t="e">
        <f>IF(AP13="-","-",VLOOKUP($C$6,'IRP (LLPA)'!$D$17:$K$27,MATCH($AJ13,'IRP (LLPA)'!$D$17:$K$17,0),FALSE))</f>
        <v>#VALUE!</v>
      </c>
      <c r="AR13" s="480" t="e">
        <f t="shared" si="16"/>
        <v>#VALUE!</v>
      </c>
      <c r="AS13" s="52">
        <f t="shared" si="17"/>
        <v>0</v>
      </c>
      <c r="AT13" s="214">
        <f t="shared" si="18"/>
        <v>1.2</v>
      </c>
      <c r="AU13" s="52">
        <f t="shared" si="19"/>
        <v>0</v>
      </c>
      <c r="AV13" s="52">
        <f t="shared" si="20"/>
        <v>0</v>
      </c>
      <c r="AW13" s="139" t="e">
        <f t="shared" si="21"/>
        <v>#VALUE!</v>
      </c>
      <c r="AX13" s="640"/>
      <c r="AY13" s="481" t="e">
        <f t="shared" si="22"/>
        <v>#VALUE!</v>
      </c>
      <c r="AZ13" s="61" t="e">
        <f t="shared" si="23"/>
        <v>#VALUE!</v>
      </c>
      <c r="BA13" s="51" t="e">
        <f>IF(AZ13="-","-",IF(AZ13&lt;=INDEX('IRP (Legend)'!$D$3:$F$13,MATCH(AZ13,'IRP (Legend)'!$D$3:$D$13,1),2),INDEX('IRP (Legend)'!$D$3:$F$13,MATCH(AZ13,'IRP (Legend)'!$D$3:$D$13,1),3),"-"))</f>
        <v>#VALUE!</v>
      </c>
      <c r="BB13" s="480" t="e">
        <f>IF($AJ13="-","-",IFERROR(VLOOKUP(BB$3,'IRP (LLPA)'!$AE$4:$AL$50,MATCH($BA13,'IRP (LLPA)'!$AE$4:$AL$4,0),FALSE),"-"))</f>
        <v>#VALUE!</v>
      </c>
      <c r="BC13" s="480" t="e">
        <f>IF($AJ13="-","-",IFERROR(VLOOKUP(BC$3,'IRP (LLPA)'!$AE$4:$AL$50,MATCH($BA13,'IRP (LLPA)'!$AE$4:$AL$4,0),FALSE),"-"))</f>
        <v>#VALUE!</v>
      </c>
      <c r="BD13" s="480" t="e">
        <f>IF($AJ13="-","-",IFERROR(VLOOKUP(BD$3,'IRP (LLPA)'!$AE$4:$AL$50,MATCH($BA13,'IRP (LLPA)'!$AE$4:$AL$4,0),FALSE),"-"))</f>
        <v>#VALUE!</v>
      </c>
      <c r="BE13" s="480" t="e">
        <f>IF($AJ13="-","-",IFERROR(VLOOKUP(BE$3,'IRP (LLPA)'!$AE$4:$AL$50,MATCH($BA13,'IRP (LLPA)'!$AE$4:$AL$4,0),FALSE),"-"))</f>
        <v>#VALUE!</v>
      </c>
      <c r="BF13" s="480" t="e">
        <f>IF($AJ13="-","-",IFERROR(VLOOKUP(BF$3,'IRP (LLPA)'!$AE$4:$AL$50,MATCH($BA13,'IRP (LLPA)'!$AE$4:$AL$4,0),FALSE),"-"))</f>
        <v>#VALUE!</v>
      </c>
      <c r="BG13" s="480" t="e">
        <f t="shared" si="24"/>
        <v>#VALUE!</v>
      </c>
      <c r="BH13" s="480" t="e">
        <f>IF(BG13="-","-",VLOOKUP($C$6,'IRP (LLPA)'!$D$17:$K$27,MATCH($BA13,'IRP (LLPA)'!$D$17:$K$17,0),FALSE))</f>
        <v>#VALUE!</v>
      </c>
      <c r="BI13" s="480" t="e">
        <f t="shared" si="25"/>
        <v>#VALUE!</v>
      </c>
      <c r="BJ13" s="52">
        <f t="shared" si="26"/>
        <v>0</v>
      </c>
      <c r="BK13" s="214">
        <f t="shared" si="27"/>
        <v>1.2</v>
      </c>
      <c r="BL13" s="52">
        <f t="shared" si="28"/>
        <v>0</v>
      </c>
      <c r="BM13" s="52">
        <f t="shared" si="29"/>
        <v>0</v>
      </c>
      <c r="BN13" s="139" t="e">
        <f t="shared" si="30"/>
        <v>#VALUE!</v>
      </c>
      <c r="BO13" s="913"/>
      <c r="BP13" s="479" t="e">
        <f t="shared" si="31"/>
        <v>#VALUE!</v>
      </c>
      <c r="BQ13" s="478">
        <v>101.25</v>
      </c>
      <c r="BR13" s="477" t="e">
        <f t="shared" si="32"/>
        <v>#VALUE!</v>
      </c>
      <c r="BS13" s="476" t="e">
        <f>IF(BR13="-","-",IF(BR13&lt;=INDEX('IRP (Legend)'!$D$3:$F$13,MATCH(BR13,'IRP (Legend)'!$D$3:$D$13,1),2),INDEX('IRP (Legend)'!$D$3:$F$13,MATCH(BR13,'IRP (Legend)'!$D$3:$D$13,1),3),"-"))</f>
        <v>#VALUE!</v>
      </c>
      <c r="BT13" s="476" t="e">
        <f t="shared" si="33"/>
        <v>#VALUE!</v>
      </c>
      <c r="BU13" s="476" t="e">
        <f t="shared" si="34"/>
        <v>#VALUE!</v>
      </c>
      <c r="BV13" s="475" t="str">
        <f t="shared" si="35"/>
        <v>-</v>
      </c>
      <c r="BW13" s="474" t="str">
        <f t="shared" si="36"/>
        <v>-</v>
      </c>
      <c r="BX13" s="913"/>
    </row>
    <row r="14" spans="2:79" x14ac:dyDescent="0.25">
      <c r="B14" s="452" t="s">
        <v>2020</v>
      </c>
      <c r="C14" s="265">
        <f>C12+C13</f>
        <v>0</v>
      </c>
      <c r="L14" s="416">
        <f t="shared" si="38"/>
        <v>2.4999999999999998E-2</v>
      </c>
      <c r="M14" s="67">
        <f t="shared" si="0"/>
        <v>1.01</v>
      </c>
      <c r="N14" s="480" t="e">
        <f t="shared" si="1"/>
        <v>#VALUE!</v>
      </c>
      <c r="O14" s="57" t="str">
        <f t="shared" si="2"/>
        <v>-</v>
      </c>
      <c r="P14" s="51" t="str">
        <f t="shared" si="3"/>
        <v>-</v>
      </c>
      <c r="Q14" s="57" t="str">
        <f t="shared" si="4"/>
        <v>-</v>
      </c>
      <c r="R14" s="61" t="str">
        <f t="shared" si="5"/>
        <v>-</v>
      </c>
      <c r="S14" s="51" t="str">
        <f>IF(R14="-","-",IF(R14&lt;=INDEX('IRP (Legend)'!$D$3:$F$13,MATCH(R14,'IRP (Legend)'!$D$3:$D$13,1),2),INDEX('IRP (Legend)'!$D$3:$F$13,MATCH(R14,'IRP (Legend)'!$D$3:$D$13,1),3),"-"))</f>
        <v>-</v>
      </c>
      <c r="T14" s="480" t="str">
        <f>IF($S14="-","-",IFERROR(VLOOKUP(T$3,'IRP (LLPA)'!$AE$4:$AL$50,MATCH($S14,'IRP (LLPA)'!$AE$4:$AL$4,0),FALSE),"-"))</f>
        <v>-</v>
      </c>
      <c r="U14" s="480" t="str">
        <f>IF($S14="-","-",IFERROR(VLOOKUP(U$3,'IRP (LLPA)'!$AE$4:$AL$50,MATCH($S14,'IRP (LLPA)'!$AE$4:$AL$4,0),FALSE),"-"))</f>
        <v>-</v>
      </c>
      <c r="V14" s="480" t="str">
        <f>IF($S14="-","-",IFERROR(VLOOKUP(V$3,'IRP (LLPA)'!$AE$4:$AL$50,MATCH($S14,'IRP (LLPA)'!$AE$4:$AL$4,0),FALSE),"-"))</f>
        <v>-</v>
      </c>
      <c r="W14" s="480" t="str">
        <f>IF($S14="-","-",IFERROR(VLOOKUP(W$3,'IRP (LLPA)'!$AE$4:$AL$50,MATCH($S14,'IRP (LLPA)'!$AE$4:$AL$4,0),FALSE),"-"))</f>
        <v>-</v>
      </c>
      <c r="X14" s="480" t="str">
        <f>IF($S14="-","-",IFERROR(VLOOKUP(X$3,'IRP (LLPA)'!$AE$4:$AL$50,MATCH($S14,'IRP (LLPA)'!$AE$4:$AL$4,0),FALSE),"-"))</f>
        <v>-</v>
      </c>
      <c r="Y14" s="480" t="str">
        <f t="shared" si="6"/>
        <v>-</v>
      </c>
      <c r="Z14" s="480" t="str">
        <f>IF(Y14="-","-",VLOOKUP($C$6,'IRP (LLPA)'!$D$17:$K$27,MATCH($S14,'IRP (LLPA)'!$D$17:$K$17,0),FALSE))</f>
        <v>-</v>
      </c>
      <c r="AA14" s="480" t="str">
        <f t="shared" si="7"/>
        <v>-</v>
      </c>
      <c r="AB14" s="52">
        <f t="shared" si="8"/>
        <v>0</v>
      </c>
      <c r="AC14" s="214">
        <f t="shared" si="9"/>
        <v>1.2</v>
      </c>
      <c r="AD14" s="52">
        <f t="shared" si="10"/>
        <v>0</v>
      </c>
      <c r="AE14" s="52">
        <f t="shared" si="11"/>
        <v>0</v>
      </c>
      <c r="AF14" s="57" t="e">
        <f t="shared" si="12"/>
        <v>#VALUE!</v>
      </c>
      <c r="AG14" s="919"/>
      <c r="AH14" s="481" t="e">
        <f t="shared" si="13"/>
        <v>#VALUE!</v>
      </c>
      <c r="AI14" s="61" t="e">
        <f t="shared" si="14"/>
        <v>#VALUE!</v>
      </c>
      <c r="AJ14" s="51" t="e">
        <f>IF(AI14="-","-",IF(AI14&lt;=INDEX('IRP (Legend)'!$D$3:$F$13,MATCH(AI14,'IRP (Legend)'!$D$3:$D$13,1),2),INDEX('IRP (Legend)'!$D$3:$F$13,MATCH(AI14,'IRP (Legend)'!$D$3:$D$13,1),3),"-"))</f>
        <v>#VALUE!</v>
      </c>
      <c r="AK14" s="480" t="e">
        <f>IF($AJ14="-","-",IFERROR(VLOOKUP(AK$3,'IRP (LLPA)'!$AE$4:$AL$50,MATCH($AJ14,'IRP (LLPA)'!$AE$4:$AL$4,0),FALSE),"-"))</f>
        <v>#VALUE!</v>
      </c>
      <c r="AL14" s="480" t="e">
        <f>IF($AJ14="-","-",IFERROR(VLOOKUP(AL$3,'IRP (LLPA)'!$AE$4:$AL$50,MATCH($AJ14,'IRP (LLPA)'!$AE$4:$AL$4,0),FALSE),"-"))</f>
        <v>#VALUE!</v>
      </c>
      <c r="AM14" s="480" t="e">
        <f>IF($AJ14="-","-",IFERROR(VLOOKUP(AM$3,'IRP (LLPA)'!$AE$4:$AL$50,MATCH($AJ14,'IRP (LLPA)'!$AE$4:$AL$4,0),FALSE),"-"))</f>
        <v>#VALUE!</v>
      </c>
      <c r="AN14" s="480" t="e">
        <f>IF($AJ14="-","-",IFERROR(VLOOKUP(AN$3,'IRP (LLPA)'!$AE$4:$AL$50,MATCH($AJ14,'IRP (LLPA)'!$AE$4:$AL$4,0),FALSE),"-"))</f>
        <v>#VALUE!</v>
      </c>
      <c r="AO14" s="480" t="e">
        <f>IF($AJ14="-","-",IFERROR(VLOOKUP(AO$3,'IRP (LLPA)'!$AE$4:$AL$50,MATCH($AJ14,'IRP (LLPA)'!$AE$4:$AL$4,0),FALSE),"-"))</f>
        <v>#VALUE!</v>
      </c>
      <c r="AP14" s="480" t="e">
        <f t="shared" si="15"/>
        <v>#VALUE!</v>
      </c>
      <c r="AQ14" s="480" t="e">
        <f>IF(AP14="-","-",VLOOKUP($C$6,'IRP (LLPA)'!$D$17:$K$27,MATCH($AJ14,'IRP (LLPA)'!$D$17:$K$17,0),FALSE))</f>
        <v>#VALUE!</v>
      </c>
      <c r="AR14" s="480" t="e">
        <f t="shared" si="16"/>
        <v>#VALUE!</v>
      </c>
      <c r="AS14" s="52">
        <f t="shared" si="17"/>
        <v>0</v>
      </c>
      <c r="AT14" s="214">
        <f t="shared" si="18"/>
        <v>1.2</v>
      </c>
      <c r="AU14" s="52">
        <f t="shared" si="19"/>
        <v>0</v>
      </c>
      <c r="AV14" s="52">
        <f t="shared" si="20"/>
        <v>0</v>
      </c>
      <c r="AW14" s="139" t="e">
        <f t="shared" si="21"/>
        <v>#VALUE!</v>
      </c>
      <c r="AX14" s="640"/>
      <c r="AY14" s="481" t="e">
        <f t="shared" si="22"/>
        <v>#VALUE!</v>
      </c>
      <c r="AZ14" s="61" t="e">
        <f t="shared" si="23"/>
        <v>#VALUE!</v>
      </c>
      <c r="BA14" s="51" t="e">
        <f>IF(AZ14="-","-",IF(AZ14&lt;=INDEX('IRP (Legend)'!$D$3:$F$13,MATCH(AZ14,'IRP (Legend)'!$D$3:$D$13,1),2),INDEX('IRP (Legend)'!$D$3:$F$13,MATCH(AZ14,'IRP (Legend)'!$D$3:$D$13,1),3),"-"))</f>
        <v>#VALUE!</v>
      </c>
      <c r="BB14" s="480" t="e">
        <f>IF($AJ14="-","-",IFERROR(VLOOKUP(BB$3,'IRP (LLPA)'!$AE$4:$AL$50,MATCH($BA14,'IRP (LLPA)'!$AE$4:$AL$4,0),FALSE),"-"))</f>
        <v>#VALUE!</v>
      </c>
      <c r="BC14" s="480" t="e">
        <f>IF($AJ14="-","-",IFERROR(VLOOKUP(BC$3,'IRP (LLPA)'!$AE$4:$AL$50,MATCH($BA14,'IRP (LLPA)'!$AE$4:$AL$4,0),FALSE),"-"))</f>
        <v>#VALUE!</v>
      </c>
      <c r="BD14" s="480" t="e">
        <f>IF($AJ14="-","-",IFERROR(VLOOKUP(BD$3,'IRP (LLPA)'!$AE$4:$AL$50,MATCH($BA14,'IRP (LLPA)'!$AE$4:$AL$4,0),FALSE),"-"))</f>
        <v>#VALUE!</v>
      </c>
      <c r="BE14" s="480" t="e">
        <f>IF($AJ14="-","-",IFERROR(VLOOKUP(BE$3,'IRP (LLPA)'!$AE$4:$AL$50,MATCH($BA14,'IRP (LLPA)'!$AE$4:$AL$4,0),FALSE),"-"))</f>
        <v>#VALUE!</v>
      </c>
      <c r="BF14" s="480" t="e">
        <f>IF($AJ14="-","-",IFERROR(VLOOKUP(BF$3,'IRP (LLPA)'!$AE$4:$AL$50,MATCH($BA14,'IRP (LLPA)'!$AE$4:$AL$4,0),FALSE),"-"))</f>
        <v>#VALUE!</v>
      </c>
      <c r="BG14" s="480" t="e">
        <f t="shared" si="24"/>
        <v>#VALUE!</v>
      </c>
      <c r="BH14" s="480" t="e">
        <f>IF(BG14="-","-",VLOOKUP($C$6,'IRP (LLPA)'!$D$17:$K$27,MATCH($BA14,'IRP (LLPA)'!$D$17:$K$17,0),FALSE))</f>
        <v>#VALUE!</v>
      </c>
      <c r="BI14" s="480" t="e">
        <f t="shared" si="25"/>
        <v>#VALUE!</v>
      </c>
      <c r="BJ14" s="52">
        <f t="shared" si="26"/>
        <v>0</v>
      </c>
      <c r="BK14" s="214">
        <f t="shared" si="27"/>
        <v>1.2</v>
      </c>
      <c r="BL14" s="52">
        <f t="shared" si="28"/>
        <v>0</v>
      </c>
      <c r="BM14" s="52">
        <f t="shared" si="29"/>
        <v>0</v>
      </c>
      <c r="BN14" s="139" t="e">
        <f t="shared" si="30"/>
        <v>#VALUE!</v>
      </c>
      <c r="BO14" s="913"/>
      <c r="BP14" s="479" t="e">
        <f t="shared" si="31"/>
        <v>#VALUE!</v>
      </c>
      <c r="BQ14" s="478">
        <v>101</v>
      </c>
      <c r="BR14" s="477" t="e">
        <f t="shared" si="32"/>
        <v>#VALUE!</v>
      </c>
      <c r="BS14" s="476" t="e">
        <f>IF(BR14="-","-",IF(BR14&lt;=INDEX('IRP (Legend)'!$D$3:$F$13,MATCH(BR14,'IRP (Legend)'!$D$3:$D$13,1),2),INDEX('IRP (Legend)'!$D$3:$F$13,MATCH(BR14,'IRP (Legend)'!$D$3:$D$13,1),3),"-"))</f>
        <v>#VALUE!</v>
      </c>
      <c r="BT14" s="476" t="e">
        <f t="shared" si="33"/>
        <v>#VALUE!</v>
      </c>
      <c r="BU14" s="476" t="e">
        <f t="shared" si="34"/>
        <v>#VALUE!</v>
      </c>
      <c r="BV14" s="475" t="str">
        <f t="shared" si="35"/>
        <v>-</v>
      </c>
      <c r="BW14" s="474" t="str">
        <f t="shared" si="36"/>
        <v>-</v>
      </c>
      <c r="BX14" s="913"/>
    </row>
    <row r="15" spans="2:79" x14ac:dyDescent="0.25">
      <c r="B15" s="452" t="str">
        <f>$C$3&amp;" "&amp;"LTV"</f>
        <v>0 LTV</v>
      </c>
      <c r="C15" s="109" t="str">
        <f>IFERROR(VLOOKUP($C$6,$D$16:$J$26,MATCH(B15,$D$16:$J$16,0),FALSE),"-")</f>
        <v>-</v>
      </c>
      <c r="D15" s="713" t="s">
        <v>2019</v>
      </c>
      <c r="E15" s="714"/>
      <c r="F15" s="714"/>
      <c r="G15" s="714"/>
      <c r="H15" s="714"/>
      <c r="I15" s="714"/>
      <c r="J15" s="715"/>
      <c r="L15" s="416">
        <f t="shared" si="38"/>
        <v>2.7499999999999997E-2</v>
      </c>
      <c r="M15" s="67">
        <f t="shared" si="0"/>
        <v>1.0074999999999998</v>
      </c>
      <c r="N15" s="480" t="e">
        <f t="shared" si="1"/>
        <v>#VALUE!</v>
      </c>
      <c r="O15" s="57" t="str">
        <f t="shared" si="2"/>
        <v>-</v>
      </c>
      <c r="P15" s="51" t="str">
        <f t="shared" si="3"/>
        <v>-</v>
      </c>
      <c r="Q15" s="57" t="str">
        <f t="shared" si="4"/>
        <v>-</v>
      </c>
      <c r="R15" s="61" t="str">
        <f t="shared" si="5"/>
        <v>-</v>
      </c>
      <c r="S15" s="51" t="str">
        <f>IF(R15="-","-",IF(R15&lt;=INDEX('IRP (Legend)'!$D$3:$F$13,MATCH(R15,'IRP (Legend)'!$D$3:$D$13,1),2),INDEX('IRP (Legend)'!$D$3:$F$13,MATCH(R15,'IRP (Legend)'!$D$3:$D$13,1),3),"-"))</f>
        <v>-</v>
      </c>
      <c r="T15" s="480" t="str">
        <f>IF($S15="-","-",IFERROR(VLOOKUP(T$3,'IRP (LLPA)'!$AE$4:$AL$50,MATCH($S15,'IRP (LLPA)'!$AE$4:$AL$4,0),FALSE),"-"))</f>
        <v>-</v>
      </c>
      <c r="U15" s="480" t="str">
        <f>IF($S15="-","-",IFERROR(VLOOKUP(U$3,'IRP (LLPA)'!$AE$4:$AL$50,MATCH($S15,'IRP (LLPA)'!$AE$4:$AL$4,0),FALSE),"-"))</f>
        <v>-</v>
      </c>
      <c r="V15" s="480" t="str">
        <f>IF($S15="-","-",IFERROR(VLOOKUP(V$3,'IRP (LLPA)'!$AE$4:$AL$50,MATCH($S15,'IRP (LLPA)'!$AE$4:$AL$4,0),FALSE),"-"))</f>
        <v>-</v>
      </c>
      <c r="W15" s="480" t="str">
        <f>IF($S15="-","-",IFERROR(VLOOKUP(W$3,'IRP (LLPA)'!$AE$4:$AL$50,MATCH($S15,'IRP (LLPA)'!$AE$4:$AL$4,0),FALSE),"-"))</f>
        <v>-</v>
      </c>
      <c r="X15" s="480" t="str">
        <f>IF($S15="-","-",IFERROR(VLOOKUP(X$3,'IRP (LLPA)'!$AE$4:$AL$50,MATCH($S15,'IRP (LLPA)'!$AE$4:$AL$4,0),FALSE),"-"))</f>
        <v>-</v>
      </c>
      <c r="Y15" s="480" t="str">
        <f t="shared" si="6"/>
        <v>-</v>
      </c>
      <c r="Z15" s="480" t="str">
        <f>IF(Y15="-","-",VLOOKUP($C$6,'IRP (LLPA)'!$D$17:$K$27,MATCH($S15,'IRP (LLPA)'!$D$17:$K$17,0),FALSE))</f>
        <v>-</v>
      </c>
      <c r="AA15" s="480" t="str">
        <f t="shared" si="7"/>
        <v>-</v>
      </c>
      <c r="AB15" s="52">
        <f t="shared" si="8"/>
        <v>0</v>
      </c>
      <c r="AC15" s="214">
        <f t="shared" si="9"/>
        <v>1.2</v>
      </c>
      <c r="AD15" s="52">
        <f t="shared" si="10"/>
        <v>0</v>
      </c>
      <c r="AE15" s="52">
        <f t="shared" si="11"/>
        <v>0</v>
      </c>
      <c r="AF15" s="57" t="e">
        <f t="shared" si="12"/>
        <v>#VALUE!</v>
      </c>
      <c r="AG15" s="919"/>
      <c r="AH15" s="481" t="e">
        <f t="shared" si="13"/>
        <v>#VALUE!</v>
      </c>
      <c r="AI15" s="61" t="e">
        <f t="shared" si="14"/>
        <v>#VALUE!</v>
      </c>
      <c r="AJ15" s="51" t="e">
        <f>IF(AI15="-","-",IF(AI15&lt;=INDEX('IRP (Legend)'!$D$3:$F$13,MATCH(AI15,'IRP (Legend)'!$D$3:$D$13,1),2),INDEX('IRP (Legend)'!$D$3:$F$13,MATCH(AI15,'IRP (Legend)'!$D$3:$D$13,1),3),"-"))</f>
        <v>#VALUE!</v>
      </c>
      <c r="AK15" s="480" t="e">
        <f>IF($AJ15="-","-",IFERROR(VLOOKUP(AK$3,'IRP (LLPA)'!$AE$4:$AL$50,MATCH($AJ15,'IRP (LLPA)'!$AE$4:$AL$4,0),FALSE),"-"))</f>
        <v>#VALUE!</v>
      </c>
      <c r="AL15" s="480" t="e">
        <f>IF($AJ15="-","-",IFERROR(VLOOKUP(AL$3,'IRP (LLPA)'!$AE$4:$AL$50,MATCH($AJ15,'IRP (LLPA)'!$AE$4:$AL$4,0),FALSE),"-"))</f>
        <v>#VALUE!</v>
      </c>
      <c r="AM15" s="480" t="e">
        <f>IF($AJ15="-","-",IFERROR(VLOOKUP(AM$3,'IRP (LLPA)'!$AE$4:$AL$50,MATCH($AJ15,'IRP (LLPA)'!$AE$4:$AL$4,0),FALSE),"-"))</f>
        <v>#VALUE!</v>
      </c>
      <c r="AN15" s="480" t="e">
        <f>IF($AJ15="-","-",IFERROR(VLOOKUP(AN$3,'IRP (LLPA)'!$AE$4:$AL$50,MATCH($AJ15,'IRP (LLPA)'!$AE$4:$AL$4,0),FALSE),"-"))</f>
        <v>#VALUE!</v>
      </c>
      <c r="AO15" s="480" t="e">
        <f>IF($AJ15="-","-",IFERROR(VLOOKUP(AO$3,'IRP (LLPA)'!$AE$4:$AL$50,MATCH($AJ15,'IRP (LLPA)'!$AE$4:$AL$4,0),FALSE),"-"))</f>
        <v>#VALUE!</v>
      </c>
      <c r="AP15" s="480" t="e">
        <f t="shared" si="15"/>
        <v>#VALUE!</v>
      </c>
      <c r="AQ15" s="480" t="e">
        <f>IF(AP15="-","-",VLOOKUP($C$6,'IRP (LLPA)'!$D$17:$K$27,MATCH($AJ15,'IRP (LLPA)'!$D$17:$K$17,0),FALSE))</f>
        <v>#VALUE!</v>
      </c>
      <c r="AR15" s="480" t="e">
        <f t="shared" si="16"/>
        <v>#VALUE!</v>
      </c>
      <c r="AS15" s="52">
        <f t="shared" si="17"/>
        <v>0</v>
      </c>
      <c r="AT15" s="214">
        <f t="shared" si="18"/>
        <v>1.2</v>
      </c>
      <c r="AU15" s="52">
        <f t="shared" si="19"/>
        <v>0</v>
      </c>
      <c r="AV15" s="52">
        <f t="shared" si="20"/>
        <v>0</v>
      </c>
      <c r="AW15" s="139" t="e">
        <f t="shared" si="21"/>
        <v>#VALUE!</v>
      </c>
      <c r="AX15" s="640"/>
      <c r="AY15" s="481" t="e">
        <f t="shared" si="22"/>
        <v>#VALUE!</v>
      </c>
      <c r="AZ15" s="61" t="e">
        <f t="shared" si="23"/>
        <v>#VALUE!</v>
      </c>
      <c r="BA15" s="51" t="e">
        <f>IF(AZ15="-","-",IF(AZ15&lt;=INDEX('IRP (Legend)'!$D$3:$F$13,MATCH(AZ15,'IRP (Legend)'!$D$3:$D$13,1),2),INDEX('IRP (Legend)'!$D$3:$F$13,MATCH(AZ15,'IRP (Legend)'!$D$3:$D$13,1),3),"-"))</f>
        <v>#VALUE!</v>
      </c>
      <c r="BB15" s="480" t="e">
        <f>IF($AJ15="-","-",IFERROR(VLOOKUP(BB$3,'IRP (LLPA)'!$AE$4:$AL$50,MATCH($BA15,'IRP (LLPA)'!$AE$4:$AL$4,0),FALSE),"-"))</f>
        <v>#VALUE!</v>
      </c>
      <c r="BC15" s="480" t="e">
        <f>IF($AJ15="-","-",IFERROR(VLOOKUP(BC$3,'IRP (LLPA)'!$AE$4:$AL$50,MATCH($BA15,'IRP (LLPA)'!$AE$4:$AL$4,0),FALSE),"-"))</f>
        <v>#VALUE!</v>
      </c>
      <c r="BD15" s="480" t="e">
        <f>IF($AJ15="-","-",IFERROR(VLOOKUP(BD$3,'IRP (LLPA)'!$AE$4:$AL$50,MATCH($BA15,'IRP (LLPA)'!$AE$4:$AL$4,0),FALSE),"-"))</f>
        <v>#VALUE!</v>
      </c>
      <c r="BE15" s="480" t="e">
        <f>IF($AJ15="-","-",IFERROR(VLOOKUP(BE$3,'IRP (LLPA)'!$AE$4:$AL$50,MATCH($BA15,'IRP (LLPA)'!$AE$4:$AL$4,0),FALSE),"-"))</f>
        <v>#VALUE!</v>
      </c>
      <c r="BF15" s="480" t="e">
        <f>IF($AJ15="-","-",IFERROR(VLOOKUP(BF$3,'IRP (LLPA)'!$AE$4:$AL$50,MATCH($BA15,'IRP (LLPA)'!$AE$4:$AL$4,0),FALSE),"-"))</f>
        <v>#VALUE!</v>
      </c>
      <c r="BG15" s="480" t="e">
        <f t="shared" si="24"/>
        <v>#VALUE!</v>
      </c>
      <c r="BH15" s="480" t="e">
        <f>IF(BG15="-","-",VLOOKUP($C$6,'IRP (LLPA)'!$D$17:$K$27,MATCH($BA15,'IRP (LLPA)'!$D$17:$K$17,0),FALSE))</f>
        <v>#VALUE!</v>
      </c>
      <c r="BI15" s="480" t="e">
        <f t="shared" si="25"/>
        <v>#VALUE!</v>
      </c>
      <c r="BJ15" s="52">
        <f t="shared" si="26"/>
        <v>0</v>
      </c>
      <c r="BK15" s="214">
        <f t="shared" si="27"/>
        <v>1.2</v>
      </c>
      <c r="BL15" s="52">
        <f t="shared" si="28"/>
        <v>0</v>
      </c>
      <c r="BM15" s="52">
        <f t="shared" si="29"/>
        <v>0</v>
      </c>
      <c r="BN15" s="139" t="e">
        <f t="shared" si="30"/>
        <v>#VALUE!</v>
      </c>
      <c r="BO15" s="913"/>
      <c r="BP15" s="479" t="e">
        <f t="shared" si="31"/>
        <v>#VALUE!</v>
      </c>
      <c r="BQ15" s="478">
        <v>100.75</v>
      </c>
      <c r="BR15" s="477" t="e">
        <f t="shared" si="32"/>
        <v>#VALUE!</v>
      </c>
      <c r="BS15" s="476" t="e">
        <f>IF(BR15="-","-",IF(BR15&lt;=INDEX('IRP (Legend)'!$D$3:$F$13,MATCH(BR15,'IRP (Legend)'!$D$3:$D$13,1),2),INDEX('IRP (Legend)'!$D$3:$F$13,MATCH(BR15,'IRP (Legend)'!$D$3:$D$13,1),3),"-"))</f>
        <v>#VALUE!</v>
      </c>
      <c r="BT15" s="476" t="e">
        <f t="shared" si="33"/>
        <v>#VALUE!</v>
      </c>
      <c r="BU15" s="476" t="e">
        <f t="shared" si="34"/>
        <v>#VALUE!</v>
      </c>
      <c r="BV15" s="475" t="str">
        <f t="shared" si="35"/>
        <v>-</v>
      </c>
      <c r="BW15" s="474" t="str">
        <f t="shared" si="36"/>
        <v>-</v>
      </c>
      <c r="BX15" s="913"/>
    </row>
    <row r="16" spans="2:79" x14ac:dyDescent="0.25">
      <c r="B16" s="452" t="str">
        <f>$C$3&amp;" "&amp;"LTC"</f>
        <v>0 LTC</v>
      </c>
      <c r="C16" s="109" t="str">
        <f>IFERROR(VLOOKUP($C$6,$D$16:$J$26,MATCH(B16,$D$16:$J$16,0),FALSE),"-")</f>
        <v>-</v>
      </c>
      <c r="D16" s="66" t="s">
        <v>1698</v>
      </c>
      <c r="E16" s="65" t="s">
        <v>1697</v>
      </c>
      <c r="F16" s="65" t="s">
        <v>1696</v>
      </c>
      <c r="G16" s="65" t="s">
        <v>1695</v>
      </c>
      <c r="H16" s="65" t="s">
        <v>1694</v>
      </c>
      <c r="I16" s="65" t="s">
        <v>1693</v>
      </c>
      <c r="J16" s="156" t="s">
        <v>1692</v>
      </c>
      <c r="L16" s="416">
        <f t="shared" si="38"/>
        <v>2.9999999999999995E-2</v>
      </c>
      <c r="M16" s="67">
        <f t="shared" si="0"/>
        <v>1.0049999999999999</v>
      </c>
      <c r="N16" s="480" t="e">
        <f t="shared" si="1"/>
        <v>#VALUE!</v>
      </c>
      <c r="O16" s="57" t="str">
        <f t="shared" si="2"/>
        <v>-</v>
      </c>
      <c r="P16" s="51" t="str">
        <f t="shared" si="3"/>
        <v>-</v>
      </c>
      <c r="Q16" s="57" t="str">
        <f t="shared" si="4"/>
        <v>-</v>
      </c>
      <c r="R16" s="61" t="str">
        <f t="shared" si="5"/>
        <v>-</v>
      </c>
      <c r="S16" s="51" t="str">
        <f>IF(R16="-","-",IF(R16&lt;=INDEX('IRP (Legend)'!$D$3:$F$13,MATCH(R16,'IRP (Legend)'!$D$3:$D$13,1),2),INDEX('IRP (Legend)'!$D$3:$F$13,MATCH(R16,'IRP (Legend)'!$D$3:$D$13,1),3),"-"))</f>
        <v>-</v>
      </c>
      <c r="T16" s="480" t="str">
        <f>IF($S16="-","-",IFERROR(VLOOKUP(T$3,'IRP (LLPA)'!$AE$4:$AL$50,MATCH($S16,'IRP (LLPA)'!$AE$4:$AL$4,0),FALSE),"-"))</f>
        <v>-</v>
      </c>
      <c r="U16" s="480" t="str">
        <f>IF($S16="-","-",IFERROR(VLOOKUP(U$3,'IRP (LLPA)'!$AE$4:$AL$50,MATCH($S16,'IRP (LLPA)'!$AE$4:$AL$4,0),FALSE),"-"))</f>
        <v>-</v>
      </c>
      <c r="V16" s="480" t="str">
        <f>IF($S16="-","-",IFERROR(VLOOKUP(V$3,'IRP (LLPA)'!$AE$4:$AL$50,MATCH($S16,'IRP (LLPA)'!$AE$4:$AL$4,0),FALSE),"-"))</f>
        <v>-</v>
      </c>
      <c r="W16" s="480" t="str">
        <f>IF($S16="-","-",IFERROR(VLOOKUP(W$3,'IRP (LLPA)'!$AE$4:$AL$50,MATCH($S16,'IRP (LLPA)'!$AE$4:$AL$4,0),FALSE),"-"))</f>
        <v>-</v>
      </c>
      <c r="X16" s="480" t="str">
        <f>IF($S16="-","-",IFERROR(VLOOKUP(X$3,'IRP (LLPA)'!$AE$4:$AL$50,MATCH($S16,'IRP (LLPA)'!$AE$4:$AL$4,0),FALSE),"-"))</f>
        <v>-</v>
      </c>
      <c r="Y16" s="480" t="str">
        <f t="shared" si="6"/>
        <v>-</v>
      </c>
      <c r="Z16" s="480" t="str">
        <f>IF(Y16="-","-",VLOOKUP($C$6,'IRP (LLPA)'!$D$17:$K$27,MATCH($S16,'IRP (LLPA)'!$D$17:$K$17,0),FALSE))</f>
        <v>-</v>
      </c>
      <c r="AA16" s="480" t="str">
        <f t="shared" si="7"/>
        <v>-</v>
      </c>
      <c r="AB16" s="52">
        <f t="shared" si="8"/>
        <v>0</v>
      </c>
      <c r="AC16" s="214">
        <f t="shared" si="9"/>
        <v>1.2</v>
      </c>
      <c r="AD16" s="52">
        <f t="shared" si="10"/>
        <v>0</v>
      </c>
      <c r="AE16" s="52">
        <f t="shared" si="11"/>
        <v>0</v>
      </c>
      <c r="AF16" s="57" t="e">
        <f t="shared" si="12"/>
        <v>#VALUE!</v>
      </c>
      <c r="AG16" s="919"/>
      <c r="AH16" s="481" t="e">
        <f t="shared" si="13"/>
        <v>#VALUE!</v>
      </c>
      <c r="AI16" s="61" t="e">
        <f t="shared" si="14"/>
        <v>#VALUE!</v>
      </c>
      <c r="AJ16" s="51" t="e">
        <f>IF(AI16="-","-",IF(AI16&lt;=INDEX('IRP (Legend)'!$D$3:$F$13,MATCH(AI16,'IRP (Legend)'!$D$3:$D$13,1),2),INDEX('IRP (Legend)'!$D$3:$F$13,MATCH(AI16,'IRP (Legend)'!$D$3:$D$13,1),3),"-"))</f>
        <v>#VALUE!</v>
      </c>
      <c r="AK16" s="480" t="e">
        <f>IF($AJ16="-","-",IFERROR(VLOOKUP(AK$3,'IRP (LLPA)'!$AE$4:$AL$50,MATCH($AJ16,'IRP (LLPA)'!$AE$4:$AL$4,0),FALSE),"-"))</f>
        <v>#VALUE!</v>
      </c>
      <c r="AL16" s="480" t="e">
        <f>IF($AJ16="-","-",IFERROR(VLOOKUP(AL$3,'IRP (LLPA)'!$AE$4:$AL$50,MATCH($AJ16,'IRP (LLPA)'!$AE$4:$AL$4,0),FALSE),"-"))</f>
        <v>#VALUE!</v>
      </c>
      <c r="AM16" s="480" t="e">
        <f>IF($AJ16="-","-",IFERROR(VLOOKUP(AM$3,'IRP (LLPA)'!$AE$4:$AL$50,MATCH($AJ16,'IRP (LLPA)'!$AE$4:$AL$4,0),FALSE),"-"))</f>
        <v>#VALUE!</v>
      </c>
      <c r="AN16" s="480" t="e">
        <f>IF($AJ16="-","-",IFERROR(VLOOKUP(AN$3,'IRP (LLPA)'!$AE$4:$AL$50,MATCH($AJ16,'IRP (LLPA)'!$AE$4:$AL$4,0),FALSE),"-"))</f>
        <v>#VALUE!</v>
      </c>
      <c r="AO16" s="480" t="e">
        <f>IF($AJ16="-","-",IFERROR(VLOOKUP(AO$3,'IRP (LLPA)'!$AE$4:$AL$50,MATCH($AJ16,'IRP (LLPA)'!$AE$4:$AL$4,0),FALSE),"-"))</f>
        <v>#VALUE!</v>
      </c>
      <c r="AP16" s="480" t="e">
        <f t="shared" si="15"/>
        <v>#VALUE!</v>
      </c>
      <c r="AQ16" s="480" t="e">
        <f>IF(AP16="-","-",VLOOKUP($C$6,'IRP (LLPA)'!$D$17:$K$27,MATCH($AJ16,'IRP (LLPA)'!$D$17:$K$17,0),FALSE))</f>
        <v>#VALUE!</v>
      </c>
      <c r="AR16" s="480" t="e">
        <f t="shared" si="16"/>
        <v>#VALUE!</v>
      </c>
      <c r="AS16" s="52">
        <f t="shared" si="17"/>
        <v>0</v>
      </c>
      <c r="AT16" s="214">
        <f t="shared" si="18"/>
        <v>1.2</v>
      </c>
      <c r="AU16" s="52">
        <f t="shared" si="19"/>
        <v>0</v>
      </c>
      <c r="AV16" s="52">
        <f t="shared" si="20"/>
        <v>0</v>
      </c>
      <c r="AW16" s="139" t="e">
        <f t="shared" si="21"/>
        <v>#VALUE!</v>
      </c>
      <c r="AX16" s="640"/>
      <c r="AY16" s="481" t="e">
        <f t="shared" si="22"/>
        <v>#VALUE!</v>
      </c>
      <c r="AZ16" s="61" t="e">
        <f t="shared" si="23"/>
        <v>#VALUE!</v>
      </c>
      <c r="BA16" s="51" t="e">
        <f>IF(AZ16="-","-",IF(AZ16&lt;=INDEX('IRP (Legend)'!$D$3:$F$13,MATCH(AZ16,'IRP (Legend)'!$D$3:$D$13,1),2),INDEX('IRP (Legend)'!$D$3:$F$13,MATCH(AZ16,'IRP (Legend)'!$D$3:$D$13,1),3),"-"))</f>
        <v>#VALUE!</v>
      </c>
      <c r="BB16" s="480" t="e">
        <f>IF($AJ16="-","-",IFERROR(VLOOKUP(BB$3,'IRP (LLPA)'!$AE$4:$AL$50,MATCH($BA16,'IRP (LLPA)'!$AE$4:$AL$4,0),FALSE),"-"))</f>
        <v>#VALUE!</v>
      </c>
      <c r="BC16" s="480" t="e">
        <f>IF($AJ16="-","-",IFERROR(VLOOKUP(BC$3,'IRP (LLPA)'!$AE$4:$AL$50,MATCH($BA16,'IRP (LLPA)'!$AE$4:$AL$4,0),FALSE),"-"))</f>
        <v>#VALUE!</v>
      </c>
      <c r="BD16" s="480" t="e">
        <f>IF($AJ16="-","-",IFERROR(VLOOKUP(BD$3,'IRP (LLPA)'!$AE$4:$AL$50,MATCH($BA16,'IRP (LLPA)'!$AE$4:$AL$4,0),FALSE),"-"))</f>
        <v>#VALUE!</v>
      </c>
      <c r="BE16" s="480" t="e">
        <f>IF($AJ16="-","-",IFERROR(VLOOKUP(BE$3,'IRP (LLPA)'!$AE$4:$AL$50,MATCH($BA16,'IRP (LLPA)'!$AE$4:$AL$4,0),FALSE),"-"))</f>
        <v>#VALUE!</v>
      </c>
      <c r="BF16" s="480" t="e">
        <f>IF($AJ16="-","-",IFERROR(VLOOKUP(BF$3,'IRP (LLPA)'!$AE$4:$AL$50,MATCH($BA16,'IRP (LLPA)'!$AE$4:$AL$4,0),FALSE),"-"))</f>
        <v>#VALUE!</v>
      </c>
      <c r="BG16" s="480" t="e">
        <f t="shared" si="24"/>
        <v>#VALUE!</v>
      </c>
      <c r="BH16" s="480" t="e">
        <f>IF(BG16="-","-",VLOOKUP($C$6,'IRP (LLPA)'!$D$17:$K$27,MATCH($BA16,'IRP (LLPA)'!$D$17:$K$17,0),FALSE))</f>
        <v>#VALUE!</v>
      </c>
      <c r="BI16" s="480" t="e">
        <f t="shared" si="25"/>
        <v>#VALUE!</v>
      </c>
      <c r="BJ16" s="52">
        <f t="shared" si="26"/>
        <v>0</v>
      </c>
      <c r="BK16" s="214">
        <f t="shared" si="27"/>
        <v>1.2</v>
      </c>
      <c r="BL16" s="52">
        <f t="shared" si="28"/>
        <v>0</v>
      </c>
      <c r="BM16" s="52">
        <f t="shared" si="29"/>
        <v>0</v>
      </c>
      <c r="BN16" s="139" t="e">
        <f t="shared" si="30"/>
        <v>#VALUE!</v>
      </c>
      <c r="BO16" s="913"/>
      <c r="BP16" s="479" t="e">
        <f t="shared" si="31"/>
        <v>#VALUE!</v>
      </c>
      <c r="BQ16" s="478">
        <v>100.5</v>
      </c>
      <c r="BR16" s="477" t="e">
        <f t="shared" si="32"/>
        <v>#VALUE!</v>
      </c>
      <c r="BS16" s="476" t="e">
        <f>IF(BR16="-","-",IF(BR16&lt;=INDEX('IRP (Legend)'!$D$3:$F$13,MATCH(BR16,'IRP (Legend)'!$D$3:$D$13,1),2),INDEX('IRP (Legend)'!$D$3:$F$13,MATCH(BR16,'IRP (Legend)'!$D$3:$D$13,1),3),"-"))</f>
        <v>#VALUE!</v>
      </c>
      <c r="BT16" s="476" t="e">
        <f t="shared" si="33"/>
        <v>#VALUE!</v>
      </c>
      <c r="BU16" s="476" t="e">
        <f t="shared" si="34"/>
        <v>#VALUE!</v>
      </c>
      <c r="BV16" s="475" t="str">
        <f t="shared" si="35"/>
        <v>-</v>
      </c>
      <c r="BW16" s="474" t="str">
        <f t="shared" si="36"/>
        <v>-</v>
      </c>
      <c r="BX16" s="913"/>
    </row>
    <row r="17" spans="2:76" x14ac:dyDescent="0.25">
      <c r="B17" s="452" t="s">
        <v>1930</v>
      </c>
      <c r="C17" s="265">
        <f>'Investor Portfolio (IRP)'!$H$26</f>
        <v>0</v>
      </c>
      <c r="D17" s="482" t="s">
        <v>1687</v>
      </c>
      <c r="E17" s="112" t="s">
        <v>2</v>
      </c>
      <c r="F17" s="112" t="s">
        <v>2</v>
      </c>
      <c r="G17" s="112" t="s">
        <v>2</v>
      </c>
      <c r="H17" s="112" t="s">
        <v>2</v>
      </c>
      <c r="I17" s="112" t="s">
        <v>2</v>
      </c>
      <c r="J17" s="111" t="s">
        <v>2</v>
      </c>
      <c r="L17" s="416">
        <f t="shared" si="38"/>
        <v>3.2499999999999994E-2</v>
      </c>
      <c r="M17" s="67">
        <f t="shared" si="0"/>
        <v>1.0024999999999999</v>
      </c>
      <c r="N17" s="480" t="e">
        <f t="shared" si="1"/>
        <v>#VALUE!</v>
      </c>
      <c r="O17" s="57" t="str">
        <f t="shared" si="2"/>
        <v>-</v>
      </c>
      <c r="P17" s="51" t="str">
        <f t="shared" si="3"/>
        <v>-</v>
      </c>
      <c r="Q17" s="57" t="str">
        <f t="shared" si="4"/>
        <v>-</v>
      </c>
      <c r="R17" s="61" t="str">
        <f t="shared" si="5"/>
        <v>-</v>
      </c>
      <c r="S17" s="51" t="str">
        <f>IF(R17="-","-",IF(R17&lt;=INDEX('IRP (Legend)'!$D$3:$F$13,MATCH(R17,'IRP (Legend)'!$D$3:$D$13,1),2),INDEX('IRP (Legend)'!$D$3:$F$13,MATCH(R17,'IRP (Legend)'!$D$3:$D$13,1),3),"-"))</f>
        <v>-</v>
      </c>
      <c r="T17" s="480" t="str">
        <f>IF($S17="-","-",IFERROR(VLOOKUP(T$3,'IRP (LLPA)'!$AE$4:$AL$50,MATCH($S17,'IRP (LLPA)'!$AE$4:$AL$4,0),FALSE),"-"))</f>
        <v>-</v>
      </c>
      <c r="U17" s="480" t="str">
        <f>IF($S17="-","-",IFERROR(VLOOKUP(U$3,'IRP (LLPA)'!$AE$4:$AL$50,MATCH($S17,'IRP (LLPA)'!$AE$4:$AL$4,0),FALSE),"-"))</f>
        <v>-</v>
      </c>
      <c r="V17" s="480" t="str">
        <f>IF($S17="-","-",IFERROR(VLOOKUP(V$3,'IRP (LLPA)'!$AE$4:$AL$50,MATCH($S17,'IRP (LLPA)'!$AE$4:$AL$4,0),FALSE),"-"))</f>
        <v>-</v>
      </c>
      <c r="W17" s="480" t="str">
        <f>IF($S17="-","-",IFERROR(VLOOKUP(W$3,'IRP (LLPA)'!$AE$4:$AL$50,MATCH($S17,'IRP (LLPA)'!$AE$4:$AL$4,0),FALSE),"-"))</f>
        <v>-</v>
      </c>
      <c r="X17" s="480" t="str">
        <f>IF($S17="-","-",IFERROR(VLOOKUP(X$3,'IRP (LLPA)'!$AE$4:$AL$50,MATCH($S17,'IRP (LLPA)'!$AE$4:$AL$4,0),FALSE),"-"))</f>
        <v>-</v>
      </c>
      <c r="Y17" s="480" t="str">
        <f t="shared" si="6"/>
        <v>-</v>
      </c>
      <c r="Z17" s="480" t="str">
        <f>IF(Y17="-","-",VLOOKUP($C$6,'IRP (LLPA)'!$D$17:$K$27,MATCH($S17,'IRP (LLPA)'!$D$17:$K$17,0),FALSE))</f>
        <v>-</v>
      </c>
      <c r="AA17" s="480" t="str">
        <f t="shared" si="7"/>
        <v>-</v>
      </c>
      <c r="AB17" s="52">
        <f t="shared" si="8"/>
        <v>0</v>
      </c>
      <c r="AC17" s="214">
        <f t="shared" si="9"/>
        <v>1.2</v>
      </c>
      <c r="AD17" s="52">
        <f t="shared" si="10"/>
        <v>0</v>
      </c>
      <c r="AE17" s="52">
        <f t="shared" si="11"/>
        <v>0</v>
      </c>
      <c r="AF17" s="57" t="e">
        <f t="shared" si="12"/>
        <v>#VALUE!</v>
      </c>
      <c r="AG17" s="919"/>
      <c r="AH17" s="481" t="e">
        <f t="shared" si="13"/>
        <v>#VALUE!</v>
      </c>
      <c r="AI17" s="61" t="e">
        <f t="shared" si="14"/>
        <v>#VALUE!</v>
      </c>
      <c r="AJ17" s="51" t="e">
        <f>IF(AI17="-","-",IF(AI17&lt;=INDEX('IRP (Legend)'!$D$3:$F$13,MATCH(AI17,'IRP (Legend)'!$D$3:$D$13,1),2),INDEX('IRP (Legend)'!$D$3:$F$13,MATCH(AI17,'IRP (Legend)'!$D$3:$D$13,1),3),"-"))</f>
        <v>#VALUE!</v>
      </c>
      <c r="AK17" s="480" t="e">
        <f>IF($AJ17="-","-",IFERROR(VLOOKUP(AK$3,'IRP (LLPA)'!$AE$4:$AL$50,MATCH($AJ17,'IRP (LLPA)'!$AE$4:$AL$4,0),FALSE),"-"))</f>
        <v>#VALUE!</v>
      </c>
      <c r="AL17" s="480" t="e">
        <f>IF($AJ17="-","-",IFERROR(VLOOKUP(AL$3,'IRP (LLPA)'!$AE$4:$AL$50,MATCH($AJ17,'IRP (LLPA)'!$AE$4:$AL$4,0),FALSE),"-"))</f>
        <v>#VALUE!</v>
      </c>
      <c r="AM17" s="480" t="e">
        <f>IF($AJ17="-","-",IFERROR(VLOOKUP(AM$3,'IRP (LLPA)'!$AE$4:$AL$50,MATCH($AJ17,'IRP (LLPA)'!$AE$4:$AL$4,0),FALSE),"-"))</f>
        <v>#VALUE!</v>
      </c>
      <c r="AN17" s="480" t="e">
        <f>IF($AJ17="-","-",IFERROR(VLOOKUP(AN$3,'IRP (LLPA)'!$AE$4:$AL$50,MATCH($AJ17,'IRP (LLPA)'!$AE$4:$AL$4,0),FALSE),"-"))</f>
        <v>#VALUE!</v>
      </c>
      <c r="AO17" s="480" t="e">
        <f>IF($AJ17="-","-",IFERROR(VLOOKUP(AO$3,'IRP (LLPA)'!$AE$4:$AL$50,MATCH($AJ17,'IRP (LLPA)'!$AE$4:$AL$4,0),FALSE),"-"))</f>
        <v>#VALUE!</v>
      </c>
      <c r="AP17" s="480" t="e">
        <f t="shared" si="15"/>
        <v>#VALUE!</v>
      </c>
      <c r="AQ17" s="480" t="e">
        <f>IF(AP17="-","-",VLOOKUP($C$6,'IRP (LLPA)'!$D$17:$K$27,MATCH($AJ17,'IRP (LLPA)'!$D$17:$K$17,0),FALSE))</f>
        <v>#VALUE!</v>
      </c>
      <c r="AR17" s="480" t="e">
        <f t="shared" si="16"/>
        <v>#VALUE!</v>
      </c>
      <c r="AS17" s="52">
        <f t="shared" si="17"/>
        <v>0</v>
      </c>
      <c r="AT17" s="214">
        <f t="shared" si="18"/>
        <v>1.2</v>
      </c>
      <c r="AU17" s="52">
        <f t="shared" si="19"/>
        <v>0</v>
      </c>
      <c r="AV17" s="52">
        <f t="shared" si="20"/>
        <v>0</v>
      </c>
      <c r="AW17" s="139" t="e">
        <f t="shared" si="21"/>
        <v>#VALUE!</v>
      </c>
      <c r="AX17" s="640"/>
      <c r="AY17" s="481" t="e">
        <f t="shared" si="22"/>
        <v>#VALUE!</v>
      </c>
      <c r="AZ17" s="61" t="e">
        <f t="shared" si="23"/>
        <v>#VALUE!</v>
      </c>
      <c r="BA17" s="51" t="e">
        <f>IF(AZ17="-","-",IF(AZ17&lt;=INDEX('IRP (Legend)'!$D$3:$F$13,MATCH(AZ17,'IRP (Legend)'!$D$3:$D$13,1),2),INDEX('IRP (Legend)'!$D$3:$F$13,MATCH(AZ17,'IRP (Legend)'!$D$3:$D$13,1),3),"-"))</f>
        <v>#VALUE!</v>
      </c>
      <c r="BB17" s="480" t="e">
        <f>IF($AJ17="-","-",IFERROR(VLOOKUP(BB$3,'IRP (LLPA)'!$AE$4:$AL$50,MATCH($BA17,'IRP (LLPA)'!$AE$4:$AL$4,0),FALSE),"-"))</f>
        <v>#VALUE!</v>
      </c>
      <c r="BC17" s="480" t="e">
        <f>IF($AJ17="-","-",IFERROR(VLOOKUP(BC$3,'IRP (LLPA)'!$AE$4:$AL$50,MATCH($BA17,'IRP (LLPA)'!$AE$4:$AL$4,0),FALSE),"-"))</f>
        <v>#VALUE!</v>
      </c>
      <c r="BD17" s="480" t="e">
        <f>IF($AJ17="-","-",IFERROR(VLOOKUP(BD$3,'IRP (LLPA)'!$AE$4:$AL$50,MATCH($BA17,'IRP (LLPA)'!$AE$4:$AL$4,0),FALSE),"-"))</f>
        <v>#VALUE!</v>
      </c>
      <c r="BE17" s="480" t="e">
        <f>IF($AJ17="-","-",IFERROR(VLOOKUP(BE$3,'IRP (LLPA)'!$AE$4:$AL$50,MATCH($BA17,'IRP (LLPA)'!$AE$4:$AL$4,0),FALSE),"-"))</f>
        <v>#VALUE!</v>
      </c>
      <c r="BF17" s="480" t="e">
        <f>IF($AJ17="-","-",IFERROR(VLOOKUP(BF$3,'IRP (LLPA)'!$AE$4:$AL$50,MATCH($BA17,'IRP (LLPA)'!$AE$4:$AL$4,0),FALSE),"-"))</f>
        <v>#VALUE!</v>
      </c>
      <c r="BG17" s="480" t="e">
        <f t="shared" si="24"/>
        <v>#VALUE!</v>
      </c>
      <c r="BH17" s="480" t="e">
        <f>IF(BG17="-","-",VLOOKUP($C$6,'IRP (LLPA)'!$D$17:$K$27,MATCH($BA17,'IRP (LLPA)'!$D$17:$K$17,0),FALSE))</f>
        <v>#VALUE!</v>
      </c>
      <c r="BI17" s="480" t="e">
        <f t="shared" si="25"/>
        <v>#VALUE!</v>
      </c>
      <c r="BJ17" s="52">
        <f t="shared" si="26"/>
        <v>0</v>
      </c>
      <c r="BK17" s="214">
        <f t="shared" si="27"/>
        <v>1.2</v>
      </c>
      <c r="BL17" s="52">
        <f t="shared" si="28"/>
        <v>0</v>
      </c>
      <c r="BM17" s="52">
        <f t="shared" si="29"/>
        <v>0</v>
      </c>
      <c r="BN17" s="139" t="e">
        <f t="shared" si="30"/>
        <v>#VALUE!</v>
      </c>
      <c r="BO17" s="913"/>
      <c r="BP17" s="479" t="e">
        <f t="shared" si="31"/>
        <v>#VALUE!</v>
      </c>
      <c r="BQ17" s="478">
        <v>100.25</v>
      </c>
      <c r="BR17" s="477" t="e">
        <f t="shared" si="32"/>
        <v>#VALUE!</v>
      </c>
      <c r="BS17" s="476" t="e">
        <f>IF(BR17="-","-",IF(BR17&lt;=INDEX('IRP (Legend)'!$D$3:$F$13,MATCH(BR17,'IRP (Legend)'!$D$3:$D$13,1),2),INDEX('IRP (Legend)'!$D$3:$F$13,MATCH(BR17,'IRP (Legend)'!$D$3:$D$13,1),3),"-"))</f>
        <v>#VALUE!</v>
      </c>
      <c r="BT17" s="476" t="e">
        <f t="shared" si="33"/>
        <v>#VALUE!</v>
      </c>
      <c r="BU17" s="476" t="e">
        <f t="shared" si="34"/>
        <v>#VALUE!</v>
      </c>
      <c r="BV17" s="475" t="str">
        <f t="shared" si="35"/>
        <v>-</v>
      </c>
      <c r="BW17" s="474" t="str">
        <f t="shared" si="36"/>
        <v>-</v>
      </c>
      <c r="BX17" s="913"/>
    </row>
    <row r="18" spans="2:76" x14ac:dyDescent="0.25">
      <c r="B18" s="452" t="s">
        <v>2018</v>
      </c>
      <c r="C18" s="120">
        <f>'Investor Portfolio (IRP)'!$F$6</f>
        <v>0</v>
      </c>
      <c r="D18" s="452" t="s">
        <v>1686</v>
      </c>
      <c r="E18" s="110" t="s">
        <v>2</v>
      </c>
      <c r="F18" s="110" t="s">
        <v>2</v>
      </c>
      <c r="G18" s="110" t="s">
        <v>2</v>
      </c>
      <c r="H18" s="110" t="s">
        <v>2</v>
      </c>
      <c r="I18" s="110" t="s">
        <v>2</v>
      </c>
      <c r="J18" s="109" t="s">
        <v>2</v>
      </c>
      <c r="L18" s="416">
        <f t="shared" si="38"/>
        <v>3.4999999999999996E-2</v>
      </c>
      <c r="M18" s="67">
        <f t="shared" si="0"/>
        <v>0.99999999999999989</v>
      </c>
      <c r="N18" s="480" t="e">
        <f t="shared" si="1"/>
        <v>#VALUE!</v>
      </c>
      <c r="O18" s="57" t="str">
        <f t="shared" si="2"/>
        <v>-</v>
      </c>
      <c r="P18" s="51" t="str">
        <f t="shared" si="3"/>
        <v>-</v>
      </c>
      <c r="Q18" s="57" t="str">
        <f t="shared" si="4"/>
        <v>-</v>
      </c>
      <c r="R18" s="61" t="str">
        <f t="shared" si="5"/>
        <v>-</v>
      </c>
      <c r="S18" s="51" t="str">
        <f>IF(R18="-","-",IF(R18&lt;=INDEX('IRP (Legend)'!$D$3:$F$13,MATCH(R18,'IRP (Legend)'!$D$3:$D$13,1),2),INDEX('IRP (Legend)'!$D$3:$F$13,MATCH(R18,'IRP (Legend)'!$D$3:$D$13,1),3),"-"))</f>
        <v>-</v>
      </c>
      <c r="T18" s="480" t="str">
        <f>IF($S18="-","-",IFERROR(VLOOKUP(T$3,'IRP (LLPA)'!$AE$4:$AL$50,MATCH($S18,'IRP (LLPA)'!$AE$4:$AL$4,0),FALSE),"-"))</f>
        <v>-</v>
      </c>
      <c r="U18" s="480" t="str">
        <f>IF($S18="-","-",IFERROR(VLOOKUP(U$3,'IRP (LLPA)'!$AE$4:$AL$50,MATCH($S18,'IRP (LLPA)'!$AE$4:$AL$4,0),FALSE),"-"))</f>
        <v>-</v>
      </c>
      <c r="V18" s="480" t="str">
        <f>IF($S18="-","-",IFERROR(VLOOKUP(V$3,'IRP (LLPA)'!$AE$4:$AL$50,MATCH($S18,'IRP (LLPA)'!$AE$4:$AL$4,0),FALSE),"-"))</f>
        <v>-</v>
      </c>
      <c r="W18" s="480" t="str">
        <f>IF($S18="-","-",IFERROR(VLOOKUP(W$3,'IRP (LLPA)'!$AE$4:$AL$50,MATCH($S18,'IRP (LLPA)'!$AE$4:$AL$4,0),FALSE),"-"))</f>
        <v>-</v>
      </c>
      <c r="X18" s="480" t="str">
        <f>IF($S18="-","-",IFERROR(VLOOKUP(X$3,'IRP (LLPA)'!$AE$4:$AL$50,MATCH($S18,'IRP (LLPA)'!$AE$4:$AL$4,0),FALSE),"-"))</f>
        <v>-</v>
      </c>
      <c r="Y18" s="480" t="str">
        <f t="shared" si="6"/>
        <v>-</v>
      </c>
      <c r="Z18" s="480" t="str">
        <f>IF(Y18="-","-",VLOOKUP($C$6,'IRP (LLPA)'!$D$17:$K$27,MATCH($S18,'IRP (LLPA)'!$D$17:$K$17,0),FALSE))</f>
        <v>-</v>
      </c>
      <c r="AA18" s="480" t="str">
        <f t="shared" si="7"/>
        <v>-</v>
      </c>
      <c r="AB18" s="52">
        <f t="shared" si="8"/>
        <v>0</v>
      </c>
      <c r="AC18" s="214">
        <f t="shared" si="9"/>
        <v>1.2</v>
      </c>
      <c r="AD18" s="52">
        <f t="shared" si="10"/>
        <v>0</v>
      </c>
      <c r="AE18" s="52">
        <f t="shared" si="11"/>
        <v>0</v>
      </c>
      <c r="AF18" s="57" t="e">
        <f t="shared" si="12"/>
        <v>#VALUE!</v>
      </c>
      <c r="AG18" s="919"/>
      <c r="AH18" s="481" t="e">
        <f t="shared" si="13"/>
        <v>#VALUE!</v>
      </c>
      <c r="AI18" s="61" t="e">
        <f t="shared" si="14"/>
        <v>#VALUE!</v>
      </c>
      <c r="AJ18" s="51" t="e">
        <f>IF(AI18="-","-",IF(AI18&lt;=INDEX('IRP (Legend)'!$D$3:$F$13,MATCH(AI18,'IRP (Legend)'!$D$3:$D$13,1),2),INDEX('IRP (Legend)'!$D$3:$F$13,MATCH(AI18,'IRP (Legend)'!$D$3:$D$13,1),3),"-"))</f>
        <v>#VALUE!</v>
      </c>
      <c r="AK18" s="480" t="e">
        <f>IF($AJ18="-","-",IFERROR(VLOOKUP(AK$3,'IRP (LLPA)'!$AE$4:$AL$50,MATCH($AJ18,'IRP (LLPA)'!$AE$4:$AL$4,0),FALSE),"-"))</f>
        <v>#VALUE!</v>
      </c>
      <c r="AL18" s="480" t="e">
        <f>IF($AJ18="-","-",IFERROR(VLOOKUP(AL$3,'IRP (LLPA)'!$AE$4:$AL$50,MATCH($AJ18,'IRP (LLPA)'!$AE$4:$AL$4,0),FALSE),"-"))</f>
        <v>#VALUE!</v>
      </c>
      <c r="AM18" s="480" t="e">
        <f>IF($AJ18="-","-",IFERROR(VLOOKUP(AM$3,'IRP (LLPA)'!$AE$4:$AL$50,MATCH($AJ18,'IRP (LLPA)'!$AE$4:$AL$4,0),FALSE),"-"))</f>
        <v>#VALUE!</v>
      </c>
      <c r="AN18" s="480" t="e">
        <f>IF($AJ18="-","-",IFERROR(VLOOKUP(AN$3,'IRP (LLPA)'!$AE$4:$AL$50,MATCH($AJ18,'IRP (LLPA)'!$AE$4:$AL$4,0),FALSE),"-"))</f>
        <v>#VALUE!</v>
      </c>
      <c r="AO18" s="480" t="e">
        <f>IF($AJ18="-","-",IFERROR(VLOOKUP(AO$3,'IRP (LLPA)'!$AE$4:$AL$50,MATCH($AJ18,'IRP (LLPA)'!$AE$4:$AL$4,0),FALSE),"-"))</f>
        <v>#VALUE!</v>
      </c>
      <c r="AP18" s="480" t="e">
        <f t="shared" si="15"/>
        <v>#VALUE!</v>
      </c>
      <c r="AQ18" s="480" t="e">
        <f>IF(AP18="-","-",VLOOKUP($C$6,'IRP (LLPA)'!$D$17:$K$27,MATCH($AJ18,'IRP (LLPA)'!$D$17:$K$17,0),FALSE))</f>
        <v>#VALUE!</v>
      </c>
      <c r="AR18" s="480" t="e">
        <f t="shared" si="16"/>
        <v>#VALUE!</v>
      </c>
      <c r="AS18" s="52">
        <f t="shared" si="17"/>
        <v>0</v>
      </c>
      <c r="AT18" s="214">
        <f t="shared" si="18"/>
        <v>1.2</v>
      </c>
      <c r="AU18" s="52">
        <f t="shared" si="19"/>
        <v>0</v>
      </c>
      <c r="AV18" s="52">
        <f t="shared" si="20"/>
        <v>0</v>
      </c>
      <c r="AW18" s="139" t="e">
        <f t="shared" si="21"/>
        <v>#VALUE!</v>
      </c>
      <c r="AX18" s="640"/>
      <c r="AY18" s="481" t="e">
        <f t="shared" si="22"/>
        <v>#VALUE!</v>
      </c>
      <c r="AZ18" s="61" t="e">
        <f t="shared" si="23"/>
        <v>#VALUE!</v>
      </c>
      <c r="BA18" s="51" t="e">
        <f>IF(AZ18="-","-",IF(AZ18&lt;=INDEX('IRP (Legend)'!$D$3:$F$13,MATCH(AZ18,'IRP (Legend)'!$D$3:$D$13,1),2),INDEX('IRP (Legend)'!$D$3:$F$13,MATCH(AZ18,'IRP (Legend)'!$D$3:$D$13,1),3),"-"))</f>
        <v>#VALUE!</v>
      </c>
      <c r="BB18" s="480" t="e">
        <f>IF($AJ18="-","-",IFERROR(VLOOKUP(BB$3,'IRP (LLPA)'!$AE$4:$AL$50,MATCH($BA18,'IRP (LLPA)'!$AE$4:$AL$4,0),FALSE),"-"))</f>
        <v>#VALUE!</v>
      </c>
      <c r="BC18" s="480" t="e">
        <f>IF($AJ18="-","-",IFERROR(VLOOKUP(BC$3,'IRP (LLPA)'!$AE$4:$AL$50,MATCH($BA18,'IRP (LLPA)'!$AE$4:$AL$4,0),FALSE),"-"))</f>
        <v>#VALUE!</v>
      </c>
      <c r="BD18" s="480" t="e">
        <f>IF($AJ18="-","-",IFERROR(VLOOKUP(BD$3,'IRP (LLPA)'!$AE$4:$AL$50,MATCH($BA18,'IRP (LLPA)'!$AE$4:$AL$4,0),FALSE),"-"))</f>
        <v>#VALUE!</v>
      </c>
      <c r="BE18" s="480" t="e">
        <f>IF($AJ18="-","-",IFERROR(VLOOKUP(BE$3,'IRP (LLPA)'!$AE$4:$AL$50,MATCH($BA18,'IRP (LLPA)'!$AE$4:$AL$4,0),FALSE),"-"))</f>
        <v>#VALUE!</v>
      </c>
      <c r="BF18" s="480" t="e">
        <f>IF($AJ18="-","-",IFERROR(VLOOKUP(BF$3,'IRP (LLPA)'!$AE$4:$AL$50,MATCH($BA18,'IRP (LLPA)'!$AE$4:$AL$4,0),FALSE),"-"))</f>
        <v>#VALUE!</v>
      </c>
      <c r="BG18" s="480" t="e">
        <f t="shared" si="24"/>
        <v>#VALUE!</v>
      </c>
      <c r="BH18" s="480" t="e">
        <f>IF(BG18="-","-",VLOOKUP($C$6,'IRP (LLPA)'!$D$17:$K$27,MATCH($BA18,'IRP (LLPA)'!$D$17:$K$17,0),FALSE))</f>
        <v>#VALUE!</v>
      </c>
      <c r="BI18" s="480" t="e">
        <f t="shared" si="25"/>
        <v>#VALUE!</v>
      </c>
      <c r="BJ18" s="52">
        <f t="shared" si="26"/>
        <v>0</v>
      </c>
      <c r="BK18" s="214">
        <f t="shared" si="27"/>
        <v>1.2</v>
      </c>
      <c r="BL18" s="52">
        <f t="shared" si="28"/>
        <v>0</v>
      </c>
      <c r="BM18" s="52">
        <f t="shared" si="29"/>
        <v>0</v>
      </c>
      <c r="BN18" s="139" t="e">
        <f t="shared" si="30"/>
        <v>#VALUE!</v>
      </c>
      <c r="BO18" s="913"/>
      <c r="BP18" s="479" t="e">
        <f t="shared" si="31"/>
        <v>#VALUE!</v>
      </c>
      <c r="BQ18" s="478">
        <v>100</v>
      </c>
      <c r="BR18" s="477" t="e">
        <f t="shared" si="32"/>
        <v>#VALUE!</v>
      </c>
      <c r="BS18" s="476" t="e">
        <f>IF(BR18="-","-",IF(BR18&lt;=INDEX('IRP (Legend)'!$D$3:$F$13,MATCH(BR18,'IRP (Legend)'!$D$3:$D$13,1),2),INDEX('IRP (Legend)'!$D$3:$F$13,MATCH(BR18,'IRP (Legend)'!$D$3:$D$13,1),3),"-"))</f>
        <v>#VALUE!</v>
      </c>
      <c r="BT18" s="476" t="e">
        <f t="shared" si="33"/>
        <v>#VALUE!</v>
      </c>
      <c r="BU18" s="476" t="e">
        <f t="shared" si="34"/>
        <v>#VALUE!</v>
      </c>
      <c r="BV18" s="475" t="str">
        <f t="shared" si="35"/>
        <v>-</v>
      </c>
      <c r="BW18" s="474" t="str">
        <f t="shared" si="36"/>
        <v>-</v>
      </c>
      <c r="BX18" s="913"/>
    </row>
    <row r="19" spans="2:76" x14ac:dyDescent="0.25">
      <c r="B19" s="731" t="s">
        <v>2017</v>
      </c>
      <c r="C19" s="730"/>
      <c r="D19" s="452" t="s">
        <v>1476</v>
      </c>
      <c r="E19" s="110">
        <f t="shared" ref="E19:J25" si="39">IF($C$8="Term IO",E6-5%,E6)</f>
        <v>0.6</v>
      </c>
      <c r="F19" s="110">
        <f t="shared" si="39"/>
        <v>0.6</v>
      </c>
      <c r="G19" s="110">
        <f t="shared" si="39"/>
        <v>0.6</v>
      </c>
      <c r="H19" s="110">
        <f t="shared" si="39"/>
        <v>0.6</v>
      </c>
      <c r="I19" s="110">
        <f t="shared" si="39"/>
        <v>0.55000000000000004</v>
      </c>
      <c r="J19" s="109">
        <f t="shared" si="39"/>
        <v>0.55000000000000004</v>
      </c>
      <c r="L19" s="416">
        <f t="shared" si="38"/>
        <v>3.7499999999999999E-2</v>
      </c>
      <c r="M19" s="67">
        <f t="shared" si="0"/>
        <v>0.99749999999999994</v>
      </c>
      <c r="N19" s="480" t="e">
        <f t="shared" si="1"/>
        <v>#VALUE!</v>
      </c>
      <c r="O19" s="57" t="str">
        <f t="shared" si="2"/>
        <v>-</v>
      </c>
      <c r="P19" s="51" t="str">
        <f t="shared" si="3"/>
        <v>-</v>
      </c>
      <c r="Q19" s="57" t="str">
        <f t="shared" si="4"/>
        <v>-</v>
      </c>
      <c r="R19" s="61" t="str">
        <f t="shared" si="5"/>
        <v>-</v>
      </c>
      <c r="S19" s="51" t="str">
        <f>IF(R19="-","-",IF(R19&lt;=INDEX('IRP (Legend)'!$D$3:$F$13,MATCH(R19,'IRP (Legend)'!$D$3:$D$13,1),2),INDEX('IRP (Legend)'!$D$3:$F$13,MATCH(R19,'IRP (Legend)'!$D$3:$D$13,1),3),"-"))</f>
        <v>-</v>
      </c>
      <c r="T19" s="480" t="str">
        <f>IF($S19="-","-",IFERROR(VLOOKUP(T$3,'IRP (LLPA)'!$AE$4:$AL$50,MATCH($S19,'IRP (LLPA)'!$AE$4:$AL$4,0),FALSE),"-"))</f>
        <v>-</v>
      </c>
      <c r="U19" s="480" t="str">
        <f>IF($S19="-","-",IFERROR(VLOOKUP(U$3,'IRP (LLPA)'!$AE$4:$AL$50,MATCH($S19,'IRP (LLPA)'!$AE$4:$AL$4,0),FALSE),"-"))</f>
        <v>-</v>
      </c>
      <c r="V19" s="480" t="str">
        <f>IF($S19="-","-",IFERROR(VLOOKUP(V$3,'IRP (LLPA)'!$AE$4:$AL$50,MATCH($S19,'IRP (LLPA)'!$AE$4:$AL$4,0),FALSE),"-"))</f>
        <v>-</v>
      </c>
      <c r="W19" s="480" t="str">
        <f>IF($S19="-","-",IFERROR(VLOOKUP(W$3,'IRP (LLPA)'!$AE$4:$AL$50,MATCH($S19,'IRP (LLPA)'!$AE$4:$AL$4,0),FALSE),"-"))</f>
        <v>-</v>
      </c>
      <c r="X19" s="480" t="str">
        <f>IF($S19="-","-",IFERROR(VLOOKUP(X$3,'IRP (LLPA)'!$AE$4:$AL$50,MATCH($S19,'IRP (LLPA)'!$AE$4:$AL$4,0),FALSE),"-"))</f>
        <v>-</v>
      </c>
      <c r="Y19" s="480" t="str">
        <f t="shared" si="6"/>
        <v>-</v>
      </c>
      <c r="Z19" s="480" t="str">
        <f>IF(Y19="-","-",VLOOKUP($C$6,'IRP (LLPA)'!$D$17:$K$27,MATCH($S19,'IRP (LLPA)'!$D$17:$K$17,0),FALSE))</f>
        <v>-</v>
      </c>
      <c r="AA19" s="480" t="str">
        <f t="shared" si="7"/>
        <v>-</v>
      </c>
      <c r="AB19" s="52">
        <f t="shared" si="8"/>
        <v>0</v>
      </c>
      <c r="AC19" s="214">
        <f t="shared" si="9"/>
        <v>1.2</v>
      </c>
      <c r="AD19" s="52">
        <f t="shared" si="10"/>
        <v>0</v>
      </c>
      <c r="AE19" s="52">
        <f t="shared" si="11"/>
        <v>0</v>
      </c>
      <c r="AF19" s="57" t="e">
        <f t="shared" si="12"/>
        <v>#VALUE!</v>
      </c>
      <c r="AG19" s="919"/>
      <c r="AH19" s="481" t="e">
        <f t="shared" si="13"/>
        <v>#VALUE!</v>
      </c>
      <c r="AI19" s="61" t="e">
        <f t="shared" si="14"/>
        <v>#VALUE!</v>
      </c>
      <c r="AJ19" s="51" t="e">
        <f>IF(AI19="-","-",IF(AI19&lt;=INDEX('IRP (Legend)'!$D$3:$F$13,MATCH(AI19,'IRP (Legend)'!$D$3:$D$13,1),2),INDEX('IRP (Legend)'!$D$3:$F$13,MATCH(AI19,'IRP (Legend)'!$D$3:$D$13,1),3),"-"))</f>
        <v>#VALUE!</v>
      </c>
      <c r="AK19" s="480" t="e">
        <f>IF($AJ19="-","-",IFERROR(VLOOKUP(AK$3,'IRP (LLPA)'!$AE$4:$AL$50,MATCH($AJ19,'IRP (LLPA)'!$AE$4:$AL$4,0),FALSE),"-"))</f>
        <v>#VALUE!</v>
      </c>
      <c r="AL19" s="480" t="e">
        <f>IF($AJ19="-","-",IFERROR(VLOOKUP(AL$3,'IRP (LLPA)'!$AE$4:$AL$50,MATCH($AJ19,'IRP (LLPA)'!$AE$4:$AL$4,0),FALSE),"-"))</f>
        <v>#VALUE!</v>
      </c>
      <c r="AM19" s="480" t="e">
        <f>IF($AJ19="-","-",IFERROR(VLOOKUP(AM$3,'IRP (LLPA)'!$AE$4:$AL$50,MATCH($AJ19,'IRP (LLPA)'!$AE$4:$AL$4,0),FALSE),"-"))</f>
        <v>#VALUE!</v>
      </c>
      <c r="AN19" s="480" t="e">
        <f>IF($AJ19="-","-",IFERROR(VLOOKUP(AN$3,'IRP (LLPA)'!$AE$4:$AL$50,MATCH($AJ19,'IRP (LLPA)'!$AE$4:$AL$4,0),FALSE),"-"))</f>
        <v>#VALUE!</v>
      </c>
      <c r="AO19" s="480" t="e">
        <f>IF($AJ19="-","-",IFERROR(VLOOKUP(AO$3,'IRP (LLPA)'!$AE$4:$AL$50,MATCH($AJ19,'IRP (LLPA)'!$AE$4:$AL$4,0),FALSE),"-"))</f>
        <v>#VALUE!</v>
      </c>
      <c r="AP19" s="480" t="e">
        <f t="shared" si="15"/>
        <v>#VALUE!</v>
      </c>
      <c r="AQ19" s="480" t="e">
        <f>IF(AP19="-","-",VLOOKUP($C$6,'IRP (LLPA)'!$D$17:$K$27,MATCH($AJ19,'IRP (LLPA)'!$D$17:$K$17,0),FALSE))</f>
        <v>#VALUE!</v>
      </c>
      <c r="AR19" s="480" t="e">
        <f t="shared" si="16"/>
        <v>#VALUE!</v>
      </c>
      <c r="AS19" s="52">
        <f t="shared" si="17"/>
        <v>0</v>
      </c>
      <c r="AT19" s="214">
        <f t="shared" si="18"/>
        <v>1.2</v>
      </c>
      <c r="AU19" s="52">
        <f t="shared" si="19"/>
        <v>0</v>
      </c>
      <c r="AV19" s="52">
        <f t="shared" si="20"/>
        <v>0</v>
      </c>
      <c r="AW19" s="139" t="e">
        <f t="shared" si="21"/>
        <v>#VALUE!</v>
      </c>
      <c r="AX19" s="640"/>
      <c r="AY19" s="481" t="e">
        <f t="shared" si="22"/>
        <v>#VALUE!</v>
      </c>
      <c r="AZ19" s="61" t="e">
        <f t="shared" si="23"/>
        <v>#VALUE!</v>
      </c>
      <c r="BA19" s="51" t="e">
        <f>IF(AZ19="-","-",IF(AZ19&lt;=INDEX('IRP (Legend)'!$D$3:$F$13,MATCH(AZ19,'IRP (Legend)'!$D$3:$D$13,1),2),INDEX('IRP (Legend)'!$D$3:$F$13,MATCH(AZ19,'IRP (Legend)'!$D$3:$D$13,1),3),"-"))</f>
        <v>#VALUE!</v>
      </c>
      <c r="BB19" s="480" t="e">
        <f>IF($AJ19="-","-",IFERROR(VLOOKUP(BB$3,'IRP (LLPA)'!$AE$4:$AL$50,MATCH($BA19,'IRP (LLPA)'!$AE$4:$AL$4,0),FALSE),"-"))</f>
        <v>#VALUE!</v>
      </c>
      <c r="BC19" s="480" t="e">
        <f>IF($AJ19="-","-",IFERROR(VLOOKUP(BC$3,'IRP (LLPA)'!$AE$4:$AL$50,MATCH($BA19,'IRP (LLPA)'!$AE$4:$AL$4,0),FALSE),"-"))</f>
        <v>#VALUE!</v>
      </c>
      <c r="BD19" s="480" t="e">
        <f>IF($AJ19="-","-",IFERROR(VLOOKUP(BD$3,'IRP (LLPA)'!$AE$4:$AL$50,MATCH($BA19,'IRP (LLPA)'!$AE$4:$AL$4,0),FALSE),"-"))</f>
        <v>#VALUE!</v>
      </c>
      <c r="BE19" s="480" t="e">
        <f>IF($AJ19="-","-",IFERROR(VLOOKUP(BE$3,'IRP (LLPA)'!$AE$4:$AL$50,MATCH($BA19,'IRP (LLPA)'!$AE$4:$AL$4,0),FALSE),"-"))</f>
        <v>#VALUE!</v>
      </c>
      <c r="BF19" s="480" t="e">
        <f>IF($AJ19="-","-",IFERROR(VLOOKUP(BF$3,'IRP (LLPA)'!$AE$4:$AL$50,MATCH($BA19,'IRP (LLPA)'!$AE$4:$AL$4,0),FALSE),"-"))</f>
        <v>#VALUE!</v>
      </c>
      <c r="BG19" s="480" t="e">
        <f t="shared" si="24"/>
        <v>#VALUE!</v>
      </c>
      <c r="BH19" s="480" t="e">
        <f>IF(BG19="-","-",VLOOKUP($C$6,'IRP (LLPA)'!$D$17:$K$27,MATCH($BA19,'IRP (LLPA)'!$D$17:$K$17,0),FALSE))</f>
        <v>#VALUE!</v>
      </c>
      <c r="BI19" s="480" t="e">
        <f t="shared" si="25"/>
        <v>#VALUE!</v>
      </c>
      <c r="BJ19" s="52">
        <f t="shared" si="26"/>
        <v>0</v>
      </c>
      <c r="BK19" s="214">
        <f t="shared" si="27"/>
        <v>1.2</v>
      </c>
      <c r="BL19" s="52">
        <f t="shared" si="28"/>
        <v>0</v>
      </c>
      <c r="BM19" s="52">
        <f t="shared" si="29"/>
        <v>0</v>
      </c>
      <c r="BN19" s="139" t="e">
        <f t="shared" si="30"/>
        <v>#VALUE!</v>
      </c>
      <c r="BO19" s="913"/>
      <c r="BP19" s="479" t="e">
        <f t="shared" si="31"/>
        <v>#VALUE!</v>
      </c>
      <c r="BQ19" s="478">
        <v>99.75</v>
      </c>
      <c r="BR19" s="477" t="e">
        <f t="shared" si="32"/>
        <v>#VALUE!</v>
      </c>
      <c r="BS19" s="476" t="e">
        <f>IF(BR19="-","-",IF(BR19&lt;=INDEX('IRP (Legend)'!$D$3:$F$13,MATCH(BR19,'IRP (Legend)'!$D$3:$D$13,1),2),INDEX('IRP (Legend)'!$D$3:$F$13,MATCH(BR19,'IRP (Legend)'!$D$3:$D$13,1),3),"-"))</f>
        <v>#VALUE!</v>
      </c>
      <c r="BT19" s="476" t="e">
        <f t="shared" si="33"/>
        <v>#VALUE!</v>
      </c>
      <c r="BU19" s="476" t="e">
        <f t="shared" si="34"/>
        <v>#VALUE!</v>
      </c>
      <c r="BV19" s="475" t="str">
        <f t="shared" si="35"/>
        <v>-</v>
      </c>
      <c r="BW19" s="474" t="str">
        <f t="shared" si="36"/>
        <v>-</v>
      </c>
      <c r="BX19" s="913"/>
    </row>
    <row r="20" spans="2:76" x14ac:dyDescent="0.25">
      <c r="B20" s="482" t="s">
        <v>1796</v>
      </c>
      <c r="C20" s="295">
        <f>'Investor Portfolio (IRP)'!$AG$26</f>
        <v>0</v>
      </c>
      <c r="D20" s="452" t="s">
        <v>1685</v>
      </c>
      <c r="E20" s="110">
        <f t="shared" si="39"/>
        <v>0.65</v>
      </c>
      <c r="F20" s="110">
        <f t="shared" si="39"/>
        <v>0.65</v>
      </c>
      <c r="G20" s="110">
        <f t="shared" si="39"/>
        <v>0.65</v>
      </c>
      <c r="H20" s="110">
        <f t="shared" si="39"/>
        <v>0.65</v>
      </c>
      <c r="I20" s="110">
        <f t="shared" si="39"/>
        <v>0.6</v>
      </c>
      <c r="J20" s="109">
        <f t="shared" si="39"/>
        <v>0.6</v>
      </c>
      <c r="L20" s="416">
        <f t="shared" si="38"/>
        <v>0.04</v>
      </c>
      <c r="M20" s="67">
        <f t="shared" si="0"/>
        <v>0.99499999999999988</v>
      </c>
      <c r="N20" s="480" t="e">
        <f t="shared" si="1"/>
        <v>#VALUE!</v>
      </c>
      <c r="O20" s="57" t="str">
        <f t="shared" si="2"/>
        <v>-</v>
      </c>
      <c r="P20" s="51" t="str">
        <f t="shared" si="3"/>
        <v>-</v>
      </c>
      <c r="Q20" s="57" t="str">
        <f t="shared" si="4"/>
        <v>-</v>
      </c>
      <c r="R20" s="61" t="str">
        <f t="shared" si="5"/>
        <v>-</v>
      </c>
      <c r="S20" s="51" t="str">
        <f>IF(R20="-","-",IF(R20&lt;=INDEX('IRP (Legend)'!$D$3:$F$13,MATCH(R20,'IRP (Legend)'!$D$3:$D$13,1),2),INDEX('IRP (Legend)'!$D$3:$F$13,MATCH(R20,'IRP (Legend)'!$D$3:$D$13,1),3),"-"))</f>
        <v>-</v>
      </c>
      <c r="T20" s="480" t="str">
        <f>IF($S20="-","-",IFERROR(VLOOKUP(T$3,'IRP (LLPA)'!$AE$4:$AL$50,MATCH($S20,'IRP (LLPA)'!$AE$4:$AL$4,0),FALSE),"-"))</f>
        <v>-</v>
      </c>
      <c r="U20" s="480" t="str">
        <f>IF($S20="-","-",IFERROR(VLOOKUP(U$3,'IRP (LLPA)'!$AE$4:$AL$50,MATCH($S20,'IRP (LLPA)'!$AE$4:$AL$4,0),FALSE),"-"))</f>
        <v>-</v>
      </c>
      <c r="V20" s="480" t="str">
        <f>IF($S20="-","-",IFERROR(VLOOKUP(V$3,'IRP (LLPA)'!$AE$4:$AL$50,MATCH($S20,'IRP (LLPA)'!$AE$4:$AL$4,0),FALSE),"-"))</f>
        <v>-</v>
      </c>
      <c r="W20" s="480" t="str">
        <f>IF($S20="-","-",IFERROR(VLOOKUP(W$3,'IRP (LLPA)'!$AE$4:$AL$50,MATCH($S20,'IRP (LLPA)'!$AE$4:$AL$4,0),FALSE),"-"))</f>
        <v>-</v>
      </c>
      <c r="X20" s="480" t="str">
        <f>IF($S20="-","-",IFERROR(VLOOKUP(X$3,'IRP (LLPA)'!$AE$4:$AL$50,MATCH($S20,'IRP (LLPA)'!$AE$4:$AL$4,0),FALSE),"-"))</f>
        <v>-</v>
      </c>
      <c r="Y20" s="480" t="str">
        <f t="shared" si="6"/>
        <v>-</v>
      </c>
      <c r="Z20" s="480" t="str">
        <f>IF(Y20="-","-",VLOOKUP($C$6,'IRP (LLPA)'!$D$17:$K$27,MATCH($S20,'IRP (LLPA)'!$D$17:$K$17,0),FALSE))</f>
        <v>-</v>
      </c>
      <c r="AA20" s="480" t="str">
        <f t="shared" si="7"/>
        <v>-</v>
      </c>
      <c r="AB20" s="52">
        <f t="shared" si="8"/>
        <v>0</v>
      </c>
      <c r="AC20" s="214">
        <f t="shared" si="9"/>
        <v>1.2</v>
      </c>
      <c r="AD20" s="52">
        <f t="shared" si="10"/>
        <v>0</v>
      </c>
      <c r="AE20" s="52">
        <f t="shared" si="11"/>
        <v>0</v>
      </c>
      <c r="AF20" s="57" t="e">
        <f t="shared" si="12"/>
        <v>#VALUE!</v>
      </c>
      <c r="AG20" s="919"/>
      <c r="AH20" s="481" t="e">
        <f t="shared" si="13"/>
        <v>#VALUE!</v>
      </c>
      <c r="AI20" s="61" t="e">
        <f t="shared" si="14"/>
        <v>#VALUE!</v>
      </c>
      <c r="AJ20" s="51" t="e">
        <f>IF(AI20="-","-",IF(AI20&lt;=INDEX('IRP (Legend)'!$D$3:$F$13,MATCH(AI20,'IRP (Legend)'!$D$3:$D$13,1),2),INDEX('IRP (Legend)'!$D$3:$F$13,MATCH(AI20,'IRP (Legend)'!$D$3:$D$13,1),3),"-"))</f>
        <v>#VALUE!</v>
      </c>
      <c r="AK20" s="480" t="e">
        <f>IF($AJ20="-","-",IFERROR(VLOOKUP(AK$3,'IRP (LLPA)'!$AE$4:$AL$50,MATCH($AJ20,'IRP (LLPA)'!$AE$4:$AL$4,0),FALSE),"-"))</f>
        <v>#VALUE!</v>
      </c>
      <c r="AL20" s="480" t="e">
        <f>IF($AJ20="-","-",IFERROR(VLOOKUP(AL$3,'IRP (LLPA)'!$AE$4:$AL$50,MATCH($AJ20,'IRP (LLPA)'!$AE$4:$AL$4,0),FALSE),"-"))</f>
        <v>#VALUE!</v>
      </c>
      <c r="AM20" s="480" t="e">
        <f>IF($AJ20="-","-",IFERROR(VLOOKUP(AM$3,'IRP (LLPA)'!$AE$4:$AL$50,MATCH($AJ20,'IRP (LLPA)'!$AE$4:$AL$4,0),FALSE),"-"))</f>
        <v>#VALUE!</v>
      </c>
      <c r="AN20" s="480" t="e">
        <f>IF($AJ20="-","-",IFERROR(VLOOKUP(AN$3,'IRP (LLPA)'!$AE$4:$AL$50,MATCH($AJ20,'IRP (LLPA)'!$AE$4:$AL$4,0),FALSE),"-"))</f>
        <v>#VALUE!</v>
      </c>
      <c r="AO20" s="480" t="e">
        <f>IF($AJ20="-","-",IFERROR(VLOOKUP(AO$3,'IRP (LLPA)'!$AE$4:$AL$50,MATCH($AJ20,'IRP (LLPA)'!$AE$4:$AL$4,0),FALSE),"-"))</f>
        <v>#VALUE!</v>
      </c>
      <c r="AP20" s="480" t="e">
        <f t="shared" si="15"/>
        <v>#VALUE!</v>
      </c>
      <c r="AQ20" s="480" t="e">
        <f>IF(AP20="-","-",VLOOKUP($C$6,'IRP (LLPA)'!$D$17:$K$27,MATCH($AJ20,'IRP (LLPA)'!$D$17:$K$17,0),FALSE))</f>
        <v>#VALUE!</v>
      </c>
      <c r="AR20" s="480" t="e">
        <f t="shared" si="16"/>
        <v>#VALUE!</v>
      </c>
      <c r="AS20" s="52">
        <f t="shared" si="17"/>
        <v>0</v>
      </c>
      <c r="AT20" s="214">
        <f t="shared" si="18"/>
        <v>1.2</v>
      </c>
      <c r="AU20" s="52">
        <f t="shared" si="19"/>
        <v>0</v>
      </c>
      <c r="AV20" s="52">
        <f t="shared" si="20"/>
        <v>0</v>
      </c>
      <c r="AW20" s="139" t="e">
        <f t="shared" si="21"/>
        <v>#VALUE!</v>
      </c>
      <c r="AX20" s="640"/>
      <c r="AY20" s="481" t="e">
        <f t="shared" si="22"/>
        <v>#VALUE!</v>
      </c>
      <c r="AZ20" s="61" t="e">
        <f t="shared" si="23"/>
        <v>#VALUE!</v>
      </c>
      <c r="BA20" s="51" t="e">
        <f>IF(AZ20="-","-",IF(AZ20&lt;=INDEX('IRP (Legend)'!$D$3:$F$13,MATCH(AZ20,'IRP (Legend)'!$D$3:$D$13,1),2),INDEX('IRP (Legend)'!$D$3:$F$13,MATCH(AZ20,'IRP (Legend)'!$D$3:$D$13,1),3),"-"))</f>
        <v>#VALUE!</v>
      </c>
      <c r="BB20" s="480" t="e">
        <f>IF($AJ20="-","-",IFERROR(VLOOKUP(BB$3,'IRP (LLPA)'!$AE$4:$AL$50,MATCH($BA20,'IRP (LLPA)'!$AE$4:$AL$4,0),FALSE),"-"))</f>
        <v>#VALUE!</v>
      </c>
      <c r="BC20" s="480" t="e">
        <f>IF($AJ20="-","-",IFERROR(VLOOKUP(BC$3,'IRP (LLPA)'!$AE$4:$AL$50,MATCH($BA20,'IRP (LLPA)'!$AE$4:$AL$4,0),FALSE),"-"))</f>
        <v>#VALUE!</v>
      </c>
      <c r="BD20" s="480" t="e">
        <f>IF($AJ20="-","-",IFERROR(VLOOKUP(BD$3,'IRP (LLPA)'!$AE$4:$AL$50,MATCH($BA20,'IRP (LLPA)'!$AE$4:$AL$4,0),FALSE),"-"))</f>
        <v>#VALUE!</v>
      </c>
      <c r="BE20" s="480" t="e">
        <f>IF($AJ20="-","-",IFERROR(VLOOKUP(BE$3,'IRP (LLPA)'!$AE$4:$AL$50,MATCH($BA20,'IRP (LLPA)'!$AE$4:$AL$4,0),FALSE),"-"))</f>
        <v>#VALUE!</v>
      </c>
      <c r="BF20" s="480" t="e">
        <f>IF($AJ20="-","-",IFERROR(VLOOKUP(BF$3,'IRP (LLPA)'!$AE$4:$AL$50,MATCH($BA20,'IRP (LLPA)'!$AE$4:$AL$4,0),FALSE),"-"))</f>
        <v>#VALUE!</v>
      </c>
      <c r="BG20" s="480" t="e">
        <f t="shared" si="24"/>
        <v>#VALUE!</v>
      </c>
      <c r="BH20" s="480" t="e">
        <f>IF(BG20="-","-",VLOOKUP($C$6,'IRP (LLPA)'!$D$17:$K$27,MATCH($BA20,'IRP (LLPA)'!$D$17:$K$17,0),FALSE))</f>
        <v>#VALUE!</v>
      </c>
      <c r="BI20" s="480" t="e">
        <f t="shared" si="25"/>
        <v>#VALUE!</v>
      </c>
      <c r="BJ20" s="52">
        <f t="shared" si="26"/>
        <v>0</v>
      </c>
      <c r="BK20" s="214">
        <f t="shared" si="27"/>
        <v>1.2</v>
      </c>
      <c r="BL20" s="52">
        <f t="shared" si="28"/>
        <v>0</v>
      </c>
      <c r="BM20" s="52">
        <f t="shared" si="29"/>
        <v>0</v>
      </c>
      <c r="BN20" s="139" t="e">
        <f t="shared" si="30"/>
        <v>#VALUE!</v>
      </c>
      <c r="BO20" s="913"/>
      <c r="BP20" s="479" t="e">
        <f t="shared" si="31"/>
        <v>#VALUE!</v>
      </c>
      <c r="BQ20" s="478">
        <v>99.5</v>
      </c>
      <c r="BR20" s="477" t="e">
        <f t="shared" si="32"/>
        <v>#VALUE!</v>
      </c>
      <c r="BS20" s="476" t="e">
        <f>IF(BR20="-","-",IF(BR20&lt;=INDEX('IRP (Legend)'!$D$3:$F$13,MATCH(BR20,'IRP (Legend)'!$D$3:$D$13,1),2),INDEX('IRP (Legend)'!$D$3:$F$13,MATCH(BR20,'IRP (Legend)'!$D$3:$D$13,1),3),"-"))</f>
        <v>#VALUE!</v>
      </c>
      <c r="BT20" s="476" t="e">
        <f t="shared" si="33"/>
        <v>#VALUE!</v>
      </c>
      <c r="BU20" s="476" t="e">
        <f t="shared" si="34"/>
        <v>#VALUE!</v>
      </c>
      <c r="BV20" s="475" t="str">
        <f t="shared" si="35"/>
        <v>-</v>
      </c>
      <c r="BW20" s="474" t="str">
        <f t="shared" si="36"/>
        <v>-</v>
      </c>
      <c r="BX20" s="913"/>
    </row>
    <row r="21" spans="2:76" x14ac:dyDescent="0.25">
      <c r="B21" s="452" t="s">
        <v>1787</v>
      </c>
      <c r="C21" s="265">
        <f>'Investor Portfolio (IRP)'!$M$26/12</f>
        <v>0</v>
      </c>
      <c r="D21" s="452" t="s">
        <v>1684</v>
      </c>
      <c r="E21" s="110">
        <f t="shared" si="39"/>
        <v>0.7</v>
      </c>
      <c r="F21" s="110">
        <f t="shared" si="39"/>
        <v>0.7</v>
      </c>
      <c r="G21" s="110">
        <f t="shared" si="39"/>
        <v>0.7</v>
      </c>
      <c r="H21" s="110">
        <f t="shared" si="39"/>
        <v>0.7</v>
      </c>
      <c r="I21" s="110">
        <f t="shared" si="39"/>
        <v>0.65</v>
      </c>
      <c r="J21" s="109">
        <f t="shared" si="39"/>
        <v>0.65</v>
      </c>
      <c r="L21" s="416">
        <f t="shared" si="38"/>
        <v>4.2500000000000003E-2</v>
      </c>
      <c r="M21" s="67">
        <f t="shared" si="0"/>
        <v>0.99249999999999994</v>
      </c>
      <c r="N21" s="480" t="e">
        <f t="shared" si="1"/>
        <v>#VALUE!</v>
      </c>
      <c r="O21" s="57" t="str">
        <f t="shared" si="2"/>
        <v>-</v>
      </c>
      <c r="P21" s="51" t="str">
        <f t="shared" si="3"/>
        <v>-</v>
      </c>
      <c r="Q21" s="57" t="str">
        <f t="shared" si="4"/>
        <v>-</v>
      </c>
      <c r="R21" s="61" t="str">
        <f t="shared" si="5"/>
        <v>-</v>
      </c>
      <c r="S21" s="51" t="str">
        <f>IF(R21="-","-",IF(R21&lt;=INDEX('IRP (Legend)'!$D$3:$F$13,MATCH(R21,'IRP (Legend)'!$D$3:$D$13,1),2),INDEX('IRP (Legend)'!$D$3:$F$13,MATCH(R21,'IRP (Legend)'!$D$3:$D$13,1),3),"-"))</f>
        <v>-</v>
      </c>
      <c r="T21" s="480" t="str">
        <f>IF($S21="-","-",IFERROR(VLOOKUP(T$3,'IRP (LLPA)'!$AE$4:$AL$50,MATCH($S21,'IRP (LLPA)'!$AE$4:$AL$4,0),FALSE),"-"))</f>
        <v>-</v>
      </c>
      <c r="U21" s="480" t="str">
        <f>IF($S21="-","-",IFERROR(VLOOKUP(U$3,'IRP (LLPA)'!$AE$4:$AL$50,MATCH($S21,'IRP (LLPA)'!$AE$4:$AL$4,0),FALSE),"-"))</f>
        <v>-</v>
      </c>
      <c r="V21" s="480" t="str">
        <f>IF($S21="-","-",IFERROR(VLOOKUP(V$3,'IRP (LLPA)'!$AE$4:$AL$50,MATCH($S21,'IRP (LLPA)'!$AE$4:$AL$4,0),FALSE),"-"))</f>
        <v>-</v>
      </c>
      <c r="W21" s="480" t="str">
        <f>IF($S21="-","-",IFERROR(VLOOKUP(W$3,'IRP (LLPA)'!$AE$4:$AL$50,MATCH($S21,'IRP (LLPA)'!$AE$4:$AL$4,0),FALSE),"-"))</f>
        <v>-</v>
      </c>
      <c r="X21" s="480" t="str">
        <f>IF($S21="-","-",IFERROR(VLOOKUP(X$3,'IRP (LLPA)'!$AE$4:$AL$50,MATCH($S21,'IRP (LLPA)'!$AE$4:$AL$4,0),FALSE),"-"))</f>
        <v>-</v>
      </c>
      <c r="Y21" s="480" t="str">
        <f t="shared" si="6"/>
        <v>-</v>
      </c>
      <c r="Z21" s="480" t="str">
        <f>IF(Y21="-","-",VLOOKUP($C$6,'IRP (LLPA)'!$D$17:$K$27,MATCH($S21,'IRP (LLPA)'!$D$17:$K$17,0),FALSE))</f>
        <v>-</v>
      </c>
      <c r="AA21" s="480" t="str">
        <f t="shared" si="7"/>
        <v>-</v>
      </c>
      <c r="AB21" s="52">
        <f t="shared" si="8"/>
        <v>0</v>
      </c>
      <c r="AC21" s="214">
        <f t="shared" si="9"/>
        <v>1.2</v>
      </c>
      <c r="AD21" s="52">
        <f t="shared" si="10"/>
        <v>0</v>
      </c>
      <c r="AE21" s="52">
        <f t="shared" si="11"/>
        <v>0</v>
      </c>
      <c r="AF21" s="57" t="e">
        <f t="shared" si="12"/>
        <v>#VALUE!</v>
      </c>
      <c r="AG21" s="919"/>
      <c r="AH21" s="481" t="e">
        <f t="shared" si="13"/>
        <v>#VALUE!</v>
      </c>
      <c r="AI21" s="61" t="e">
        <f t="shared" si="14"/>
        <v>#VALUE!</v>
      </c>
      <c r="AJ21" s="51" t="e">
        <f>IF(AI21="-","-",IF(AI21&lt;=INDEX('IRP (Legend)'!$D$3:$F$13,MATCH(AI21,'IRP (Legend)'!$D$3:$D$13,1),2),INDEX('IRP (Legend)'!$D$3:$F$13,MATCH(AI21,'IRP (Legend)'!$D$3:$D$13,1),3),"-"))</f>
        <v>#VALUE!</v>
      </c>
      <c r="AK21" s="480" t="e">
        <f>IF($AJ21="-","-",IFERROR(VLOOKUP(AK$3,'IRP (LLPA)'!$AE$4:$AL$50,MATCH($AJ21,'IRP (LLPA)'!$AE$4:$AL$4,0),FALSE),"-"))</f>
        <v>#VALUE!</v>
      </c>
      <c r="AL21" s="480" t="e">
        <f>IF($AJ21="-","-",IFERROR(VLOOKUP(AL$3,'IRP (LLPA)'!$AE$4:$AL$50,MATCH($AJ21,'IRP (LLPA)'!$AE$4:$AL$4,0),FALSE),"-"))</f>
        <v>#VALUE!</v>
      </c>
      <c r="AM21" s="480" t="e">
        <f>IF($AJ21="-","-",IFERROR(VLOOKUP(AM$3,'IRP (LLPA)'!$AE$4:$AL$50,MATCH($AJ21,'IRP (LLPA)'!$AE$4:$AL$4,0),FALSE),"-"))</f>
        <v>#VALUE!</v>
      </c>
      <c r="AN21" s="480" t="e">
        <f>IF($AJ21="-","-",IFERROR(VLOOKUP(AN$3,'IRP (LLPA)'!$AE$4:$AL$50,MATCH($AJ21,'IRP (LLPA)'!$AE$4:$AL$4,0),FALSE),"-"))</f>
        <v>#VALUE!</v>
      </c>
      <c r="AO21" s="480" t="e">
        <f>IF($AJ21="-","-",IFERROR(VLOOKUP(AO$3,'IRP (LLPA)'!$AE$4:$AL$50,MATCH($AJ21,'IRP (LLPA)'!$AE$4:$AL$4,0),FALSE),"-"))</f>
        <v>#VALUE!</v>
      </c>
      <c r="AP21" s="480" t="e">
        <f t="shared" si="15"/>
        <v>#VALUE!</v>
      </c>
      <c r="AQ21" s="480" t="e">
        <f>IF(AP21="-","-",VLOOKUP($C$6,'IRP (LLPA)'!$D$17:$K$27,MATCH($AJ21,'IRP (LLPA)'!$D$17:$K$17,0),FALSE))</f>
        <v>#VALUE!</v>
      </c>
      <c r="AR21" s="480" t="e">
        <f t="shared" si="16"/>
        <v>#VALUE!</v>
      </c>
      <c r="AS21" s="52">
        <f t="shared" si="17"/>
        <v>0</v>
      </c>
      <c r="AT21" s="214">
        <f t="shared" si="18"/>
        <v>1.2</v>
      </c>
      <c r="AU21" s="52">
        <f t="shared" si="19"/>
        <v>0</v>
      </c>
      <c r="AV21" s="52">
        <f t="shared" si="20"/>
        <v>0</v>
      </c>
      <c r="AW21" s="139" t="e">
        <f t="shared" si="21"/>
        <v>#VALUE!</v>
      </c>
      <c r="AX21" s="640"/>
      <c r="AY21" s="481" t="e">
        <f t="shared" si="22"/>
        <v>#VALUE!</v>
      </c>
      <c r="AZ21" s="61" t="e">
        <f t="shared" si="23"/>
        <v>#VALUE!</v>
      </c>
      <c r="BA21" s="51" t="e">
        <f>IF(AZ21="-","-",IF(AZ21&lt;=INDEX('IRP (Legend)'!$D$3:$F$13,MATCH(AZ21,'IRP (Legend)'!$D$3:$D$13,1),2),INDEX('IRP (Legend)'!$D$3:$F$13,MATCH(AZ21,'IRP (Legend)'!$D$3:$D$13,1),3),"-"))</f>
        <v>#VALUE!</v>
      </c>
      <c r="BB21" s="480" t="e">
        <f>IF($AJ21="-","-",IFERROR(VLOOKUP(BB$3,'IRP (LLPA)'!$AE$4:$AL$50,MATCH($BA21,'IRP (LLPA)'!$AE$4:$AL$4,0),FALSE),"-"))</f>
        <v>#VALUE!</v>
      </c>
      <c r="BC21" s="480" t="e">
        <f>IF($AJ21="-","-",IFERROR(VLOOKUP(BC$3,'IRP (LLPA)'!$AE$4:$AL$50,MATCH($BA21,'IRP (LLPA)'!$AE$4:$AL$4,0),FALSE),"-"))</f>
        <v>#VALUE!</v>
      </c>
      <c r="BD21" s="480" t="e">
        <f>IF($AJ21="-","-",IFERROR(VLOOKUP(BD$3,'IRP (LLPA)'!$AE$4:$AL$50,MATCH($BA21,'IRP (LLPA)'!$AE$4:$AL$4,0),FALSE),"-"))</f>
        <v>#VALUE!</v>
      </c>
      <c r="BE21" s="480" t="e">
        <f>IF($AJ21="-","-",IFERROR(VLOOKUP(BE$3,'IRP (LLPA)'!$AE$4:$AL$50,MATCH($BA21,'IRP (LLPA)'!$AE$4:$AL$4,0),FALSE),"-"))</f>
        <v>#VALUE!</v>
      </c>
      <c r="BF21" s="480" t="e">
        <f>IF($AJ21="-","-",IFERROR(VLOOKUP(BF$3,'IRP (LLPA)'!$AE$4:$AL$50,MATCH($BA21,'IRP (LLPA)'!$AE$4:$AL$4,0),FALSE),"-"))</f>
        <v>#VALUE!</v>
      </c>
      <c r="BG21" s="480" t="e">
        <f t="shared" si="24"/>
        <v>#VALUE!</v>
      </c>
      <c r="BH21" s="480" t="e">
        <f>IF(BG21="-","-",VLOOKUP($C$6,'IRP (LLPA)'!$D$17:$K$27,MATCH($BA21,'IRP (LLPA)'!$D$17:$K$17,0),FALSE))</f>
        <v>#VALUE!</v>
      </c>
      <c r="BI21" s="480" t="e">
        <f t="shared" si="25"/>
        <v>#VALUE!</v>
      </c>
      <c r="BJ21" s="52">
        <f t="shared" si="26"/>
        <v>0</v>
      </c>
      <c r="BK21" s="214">
        <f t="shared" si="27"/>
        <v>1.2</v>
      </c>
      <c r="BL21" s="52">
        <f t="shared" si="28"/>
        <v>0</v>
      </c>
      <c r="BM21" s="52">
        <f t="shared" si="29"/>
        <v>0</v>
      </c>
      <c r="BN21" s="139" t="e">
        <f t="shared" si="30"/>
        <v>#VALUE!</v>
      </c>
      <c r="BO21" s="913"/>
      <c r="BP21" s="479" t="e">
        <f t="shared" si="31"/>
        <v>#VALUE!</v>
      </c>
      <c r="BQ21" s="478">
        <v>99.25</v>
      </c>
      <c r="BR21" s="477" t="e">
        <f t="shared" si="32"/>
        <v>#VALUE!</v>
      </c>
      <c r="BS21" s="476" t="e">
        <f>IF(BR21="-","-",IF(BR21&lt;=INDEX('IRP (Legend)'!$D$3:$F$13,MATCH(BR21,'IRP (Legend)'!$D$3:$D$13,1),2),INDEX('IRP (Legend)'!$D$3:$F$13,MATCH(BR21,'IRP (Legend)'!$D$3:$D$13,1),3),"-"))</f>
        <v>#VALUE!</v>
      </c>
      <c r="BT21" s="476" t="e">
        <f t="shared" si="33"/>
        <v>#VALUE!</v>
      </c>
      <c r="BU21" s="476" t="e">
        <f t="shared" si="34"/>
        <v>#VALUE!</v>
      </c>
      <c r="BV21" s="475" t="str">
        <f t="shared" si="35"/>
        <v>-</v>
      </c>
      <c r="BW21" s="474" t="str">
        <f t="shared" si="36"/>
        <v>-</v>
      </c>
      <c r="BX21" s="913"/>
    </row>
    <row r="22" spans="2:76" x14ac:dyDescent="0.25">
      <c r="B22" s="452" t="s">
        <v>1779</v>
      </c>
      <c r="C22" s="265">
        <f>SUM('Investor Portfolio (IRP)'!$N$26:$O$26)/12</f>
        <v>0</v>
      </c>
      <c r="D22" s="452" t="s">
        <v>1683</v>
      </c>
      <c r="E22" s="110">
        <f t="shared" si="39"/>
        <v>0.7</v>
      </c>
      <c r="F22" s="110">
        <f t="shared" si="39"/>
        <v>0.7</v>
      </c>
      <c r="G22" s="110">
        <f t="shared" si="39"/>
        <v>0.7</v>
      </c>
      <c r="H22" s="110">
        <f t="shared" si="39"/>
        <v>0.7</v>
      </c>
      <c r="I22" s="110">
        <f t="shared" si="39"/>
        <v>0.65</v>
      </c>
      <c r="J22" s="109">
        <f t="shared" si="39"/>
        <v>0.65</v>
      </c>
      <c r="L22" s="416">
        <f t="shared" si="38"/>
        <v>4.5000000000000005E-2</v>
      </c>
      <c r="M22" s="67">
        <f t="shared" si="0"/>
        <v>0.98999999999999988</v>
      </c>
      <c r="N22" s="480" t="e">
        <f t="shared" si="1"/>
        <v>#VALUE!</v>
      </c>
      <c r="O22" s="57" t="str">
        <f t="shared" si="2"/>
        <v>-</v>
      </c>
      <c r="P22" s="51" t="str">
        <f t="shared" si="3"/>
        <v>-</v>
      </c>
      <c r="Q22" s="57" t="str">
        <f t="shared" si="4"/>
        <v>-</v>
      </c>
      <c r="R22" s="61" t="str">
        <f t="shared" si="5"/>
        <v>-</v>
      </c>
      <c r="S22" s="51" t="str">
        <f>IF(R22="-","-",IF(R22&lt;=INDEX('IRP (Legend)'!$D$3:$F$13,MATCH(R22,'IRP (Legend)'!$D$3:$D$13,1),2),INDEX('IRP (Legend)'!$D$3:$F$13,MATCH(R22,'IRP (Legend)'!$D$3:$D$13,1),3),"-"))</f>
        <v>-</v>
      </c>
      <c r="T22" s="480" t="str">
        <f>IF($S22="-","-",IFERROR(VLOOKUP(T$3,'IRP (LLPA)'!$AE$4:$AL$50,MATCH($S22,'IRP (LLPA)'!$AE$4:$AL$4,0),FALSE),"-"))</f>
        <v>-</v>
      </c>
      <c r="U22" s="480" t="str">
        <f>IF($S22="-","-",IFERROR(VLOOKUP(U$3,'IRP (LLPA)'!$AE$4:$AL$50,MATCH($S22,'IRP (LLPA)'!$AE$4:$AL$4,0),FALSE),"-"))</f>
        <v>-</v>
      </c>
      <c r="V22" s="480" t="str">
        <f>IF($S22="-","-",IFERROR(VLOOKUP(V$3,'IRP (LLPA)'!$AE$4:$AL$50,MATCH($S22,'IRP (LLPA)'!$AE$4:$AL$4,0),FALSE),"-"))</f>
        <v>-</v>
      </c>
      <c r="W22" s="480" t="str">
        <f>IF($S22="-","-",IFERROR(VLOOKUP(W$3,'IRP (LLPA)'!$AE$4:$AL$50,MATCH($S22,'IRP (LLPA)'!$AE$4:$AL$4,0),FALSE),"-"))</f>
        <v>-</v>
      </c>
      <c r="X22" s="480" t="str">
        <f>IF($S22="-","-",IFERROR(VLOOKUP(X$3,'IRP (LLPA)'!$AE$4:$AL$50,MATCH($S22,'IRP (LLPA)'!$AE$4:$AL$4,0),FALSE),"-"))</f>
        <v>-</v>
      </c>
      <c r="Y22" s="480" t="str">
        <f t="shared" si="6"/>
        <v>-</v>
      </c>
      <c r="Z22" s="480" t="str">
        <f>IF(Y22="-","-",VLOOKUP($C$6,'IRP (LLPA)'!$D$17:$K$27,MATCH($S22,'IRP (LLPA)'!$D$17:$K$17,0),FALSE))</f>
        <v>-</v>
      </c>
      <c r="AA22" s="480" t="str">
        <f t="shared" si="7"/>
        <v>-</v>
      </c>
      <c r="AB22" s="52">
        <f t="shared" si="8"/>
        <v>0</v>
      </c>
      <c r="AC22" s="214">
        <f t="shared" si="9"/>
        <v>1.2</v>
      </c>
      <c r="AD22" s="52">
        <f t="shared" si="10"/>
        <v>0</v>
      </c>
      <c r="AE22" s="52">
        <f t="shared" si="11"/>
        <v>0</v>
      </c>
      <c r="AF22" s="57" t="e">
        <f t="shared" si="12"/>
        <v>#VALUE!</v>
      </c>
      <c r="AG22" s="919"/>
      <c r="AH22" s="481" t="e">
        <f t="shared" si="13"/>
        <v>#VALUE!</v>
      </c>
      <c r="AI22" s="61" t="e">
        <f t="shared" si="14"/>
        <v>#VALUE!</v>
      </c>
      <c r="AJ22" s="51" t="e">
        <f>IF(AI22="-","-",IF(AI22&lt;=INDEX('IRP (Legend)'!$D$3:$F$13,MATCH(AI22,'IRP (Legend)'!$D$3:$D$13,1),2),INDEX('IRP (Legend)'!$D$3:$F$13,MATCH(AI22,'IRP (Legend)'!$D$3:$D$13,1),3),"-"))</f>
        <v>#VALUE!</v>
      </c>
      <c r="AK22" s="480" t="e">
        <f>IF($AJ22="-","-",IFERROR(VLOOKUP(AK$3,'IRP (LLPA)'!$AE$4:$AL$50,MATCH($AJ22,'IRP (LLPA)'!$AE$4:$AL$4,0),FALSE),"-"))</f>
        <v>#VALUE!</v>
      </c>
      <c r="AL22" s="480" t="e">
        <f>IF($AJ22="-","-",IFERROR(VLOOKUP(AL$3,'IRP (LLPA)'!$AE$4:$AL$50,MATCH($AJ22,'IRP (LLPA)'!$AE$4:$AL$4,0),FALSE),"-"))</f>
        <v>#VALUE!</v>
      </c>
      <c r="AM22" s="480" t="e">
        <f>IF($AJ22="-","-",IFERROR(VLOOKUP(AM$3,'IRP (LLPA)'!$AE$4:$AL$50,MATCH($AJ22,'IRP (LLPA)'!$AE$4:$AL$4,0),FALSE),"-"))</f>
        <v>#VALUE!</v>
      </c>
      <c r="AN22" s="480" t="e">
        <f>IF($AJ22="-","-",IFERROR(VLOOKUP(AN$3,'IRP (LLPA)'!$AE$4:$AL$50,MATCH($AJ22,'IRP (LLPA)'!$AE$4:$AL$4,0),FALSE),"-"))</f>
        <v>#VALUE!</v>
      </c>
      <c r="AO22" s="480" t="e">
        <f>IF($AJ22="-","-",IFERROR(VLOOKUP(AO$3,'IRP (LLPA)'!$AE$4:$AL$50,MATCH($AJ22,'IRP (LLPA)'!$AE$4:$AL$4,0),FALSE),"-"))</f>
        <v>#VALUE!</v>
      </c>
      <c r="AP22" s="480" t="e">
        <f t="shared" si="15"/>
        <v>#VALUE!</v>
      </c>
      <c r="AQ22" s="480" t="e">
        <f>IF(AP22="-","-",VLOOKUP($C$6,'IRP (LLPA)'!$D$17:$K$27,MATCH($AJ22,'IRP (LLPA)'!$D$17:$K$17,0),FALSE))</f>
        <v>#VALUE!</v>
      </c>
      <c r="AR22" s="480" t="e">
        <f t="shared" si="16"/>
        <v>#VALUE!</v>
      </c>
      <c r="AS22" s="52">
        <f t="shared" si="17"/>
        <v>0</v>
      </c>
      <c r="AT22" s="214">
        <f t="shared" si="18"/>
        <v>1.2</v>
      </c>
      <c r="AU22" s="52">
        <f t="shared" si="19"/>
        <v>0</v>
      </c>
      <c r="AV22" s="52">
        <f t="shared" si="20"/>
        <v>0</v>
      </c>
      <c r="AW22" s="139" t="e">
        <f t="shared" si="21"/>
        <v>#VALUE!</v>
      </c>
      <c r="AX22" s="640"/>
      <c r="AY22" s="481" t="e">
        <f t="shared" si="22"/>
        <v>#VALUE!</v>
      </c>
      <c r="AZ22" s="61" t="e">
        <f t="shared" si="23"/>
        <v>#VALUE!</v>
      </c>
      <c r="BA22" s="51" t="e">
        <f>IF(AZ22="-","-",IF(AZ22&lt;=INDEX('IRP (Legend)'!$D$3:$F$13,MATCH(AZ22,'IRP (Legend)'!$D$3:$D$13,1),2),INDEX('IRP (Legend)'!$D$3:$F$13,MATCH(AZ22,'IRP (Legend)'!$D$3:$D$13,1),3),"-"))</f>
        <v>#VALUE!</v>
      </c>
      <c r="BB22" s="480" t="e">
        <f>IF($AJ22="-","-",IFERROR(VLOOKUP(BB$3,'IRP (LLPA)'!$AE$4:$AL$50,MATCH($BA22,'IRP (LLPA)'!$AE$4:$AL$4,0),FALSE),"-"))</f>
        <v>#VALUE!</v>
      </c>
      <c r="BC22" s="480" t="e">
        <f>IF($AJ22="-","-",IFERROR(VLOOKUP(BC$3,'IRP (LLPA)'!$AE$4:$AL$50,MATCH($BA22,'IRP (LLPA)'!$AE$4:$AL$4,0),FALSE),"-"))</f>
        <v>#VALUE!</v>
      </c>
      <c r="BD22" s="480" t="e">
        <f>IF($AJ22="-","-",IFERROR(VLOOKUP(BD$3,'IRP (LLPA)'!$AE$4:$AL$50,MATCH($BA22,'IRP (LLPA)'!$AE$4:$AL$4,0),FALSE),"-"))</f>
        <v>#VALUE!</v>
      </c>
      <c r="BE22" s="480" t="e">
        <f>IF($AJ22="-","-",IFERROR(VLOOKUP(BE$3,'IRP (LLPA)'!$AE$4:$AL$50,MATCH($BA22,'IRP (LLPA)'!$AE$4:$AL$4,0),FALSE),"-"))</f>
        <v>#VALUE!</v>
      </c>
      <c r="BF22" s="480" t="e">
        <f>IF($AJ22="-","-",IFERROR(VLOOKUP(BF$3,'IRP (LLPA)'!$AE$4:$AL$50,MATCH($BA22,'IRP (LLPA)'!$AE$4:$AL$4,0),FALSE),"-"))</f>
        <v>#VALUE!</v>
      </c>
      <c r="BG22" s="480" t="e">
        <f t="shared" si="24"/>
        <v>#VALUE!</v>
      </c>
      <c r="BH22" s="480" t="e">
        <f>IF(BG22="-","-",VLOOKUP($C$6,'IRP (LLPA)'!$D$17:$K$27,MATCH($BA22,'IRP (LLPA)'!$D$17:$K$17,0),FALSE))</f>
        <v>#VALUE!</v>
      </c>
      <c r="BI22" s="480" t="e">
        <f t="shared" si="25"/>
        <v>#VALUE!</v>
      </c>
      <c r="BJ22" s="52">
        <f t="shared" si="26"/>
        <v>0</v>
      </c>
      <c r="BK22" s="214">
        <f t="shared" si="27"/>
        <v>1.2</v>
      </c>
      <c r="BL22" s="52">
        <f t="shared" si="28"/>
        <v>0</v>
      </c>
      <c r="BM22" s="52">
        <f t="shared" si="29"/>
        <v>0</v>
      </c>
      <c r="BN22" s="139" t="e">
        <f t="shared" si="30"/>
        <v>#VALUE!</v>
      </c>
      <c r="BO22" s="913"/>
      <c r="BP22" s="479" t="e">
        <f t="shared" si="31"/>
        <v>#VALUE!</v>
      </c>
      <c r="BQ22" s="478">
        <v>99</v>
      </c>
      <c r="BR22" s="477" t="e">
        <f t="shared" si="32"/>
        <v>#VALUE!</v>
      </c>
      <c r="BS22" s="476" t="e">
        <f>IF(BR22="-","-",IF(BR22&lt;=INDEX('IRP (Legend)'!$D$3:$F$13,MATCH(BR22,'IRP (Legend)'!$D$3:$D$13,1),2),INDEX('IRP (Legend)'!$D$3:$F$13,MATCH(BR22,'IRP (Legend)'!$D$3:$D$13,1),3),"-"))</f>
        <v>#VALUE!</v>
      </c>
      <c r="BT22" s="476" t="e">
        <f t="shared" si="33"/>
        <v>#VALUE!</v>
      </c>
      <c r="BU22" s="476" t="e">
        <f t="shared" si="34"/>
        <v>#VALUE!</v>
      </c>
      <c r="BV22" s="475" t="str">
        <f t="shared" si="35"/>
        <v>-</v>
      </c>
      <c r="BW22" s="474" t="str">
        <f t="shared" si="36"/>
        <v>-</v>
      </c>
      <c r="BX22" s="913"/>
    </row>
    <row r="23" spans="2:76" x14ac:dyDescent="0.25">
      <c r="B23" s="452" t="s">
        <v>1765</v>
      </c>
      <c r="C23" s="265">
        <f>('Investor Portfolio (IRP)'!$Z$26+'Investor Portfolio (IRP)'!$P$26)/12</f>
        <v>0</v>
      </c>
      <c r="D23" s="452" t="s">
        <v>1682</v>
      </c>
      <c r="E23" s="110">
        <f t="shared" si="39"/>
        <v>0.7</v>
      </c>
      <c r="F23" s="110">
        <f t="shared" si="39"/>
        <v>0.7</v>
      </c>
      <c r="G23" s="110">
        <f t="shared" si="39"/>
        <v>0.7</v>
      </c>
      <c r="H23" s="110">
        <f t="shared" si="39"/>
        <v>0.7</v>
      </c>
      <c r="I23" s="110">
        <f t="shared" si="39"/>
        <v>0.65</v>
      </c>
      <c r="J23" s="109">
        <f t="shared" si="39"/>
        <v>0.65</v>
      </c>
      <c r="L23" s="416">
        <f t="shared" si="38"/>
        <v>4.7500000000000007E-2</v>
      </c>
      <c r="M23" s="67">
        <f t="shared" si="0"/>
        <v>0.98749999999999993</v>
      </c>
      <c r="N23" s="480" t="e">
        <f t="shared" si="1"/>
        <v>#VALUE!</v>
      </c>
      <c r="O23" s="57" t="str">
        <f t="shared" si="2"/>
        <v>-</v>
      </c>
      <c r="P23" s="51" t="str">
        <f t="shared" si="3"/>
        <v>-</v>
      </c>
      <c r="Q23" s="57" t="str">
        <f t="shared" si="4"/>
        <v>-</v>
      </c>
      <c r="R23" s="61" t="str">
        <f t="shared" si="5"/>
        <v>-</v>
      </c>
      <c r="S23" s="51" t="str">
        <f>IF(R23="-","-",IF(R23&lt;=INDEX('IRP (Legend)'!$D$3:$F$13,MATCH(R23,'IRP (Legend)'!$D$3:$D$13,1),2),INDEX('IRP (Legend)'!$D$3:$F$13,MATCH(R23,'IRP (Legend)'!$D$3:$D$13,1),3),"-"))</f>
        <v>-</v>
      </c>
      <c r="T23" s="480" t="str">
        <f>IF($S23="-","-",IFERROR(VLOOKUP(T$3,'IRP (LLPA)'!$AE$4:$AL$50,MATCH($S23,'IRP (LLPA)'!$AE$4:$AL$4,0),FALSE),"-"))</f>
        <v>-</v>
      </c>
      <c r="U23" s="480" t="str">
        <f>IF($S23="-","-",IFERROR(VLOOKUP(U$3,'IRP (LLPA)'!$AE$4:$AL$50,MATCH($S23,'IRP (LLPA)'!$AE$4:$AL$4,0),FALSE),"-"))</f>
        <v>-</v>
      </c>
      <c r="V23" s="480" t="str">
        <f>IF($S23="-","-",IFERROR(VLOOKUP(V$3,'IRP (LLPA)'!$AE$4:$AL$50,MATCH($S23,'IRP (LLPA)'!$AE$4:$AL$4,0),FALSE),"-"))</f>
        <v>-</v>
      </c>
      <c r="W23" s="480" t="str">
        <f>IF($S23="-","-",IFERROR(VLOOKUP(W$3,'IRP (LLPA)'!$AE$4:$AL$50,MATCH($S23,'IRP (LLPA)'!$AE$4:$AL$4,0),FALSE),"-"))</f>
        <v>-</v>
      </c>
      <c r="X23" s="480" t="str">
        <f>IF($S23="-","-",IFERROR(VLOOKUP(X$3,'IRP (LLPA)'!$AE$4:$AL$50,MATCH($S23,'IRP (LLPA)'!$AE$4:$AL$4,0),FALSE),"-"))</f>
        <v>-</v>
      </c>
      <c r="Y23" s="480" t="str">
        <f t="shared" si="6"/>
        <v>-</v>
      </c>
      <c r="Z23" s="480" t="str">
        <f>IF(Y23="-","-",VLOOKUP($C$6,'IRP (LLPA)'!$D$17:$K$27,MATCH($S23,'IRP (LLPA)'!$D$17:$K$17,0),FALSE))</f>
        <v>-</v>
      </c>
      <c r="AA23" s="480" t="str">
        <f t="shared" si="7"/>
        <v>-</v>
      </c>
      <c r="AB23" s="52">
        <f t="shared" si="8"/>
        <v>0</v>
      </c>
      <c r="AC23" s="214">
        <f t="shared" si="9"/>
        <v>1.2</v>
      </c>
      <c r="AD23" s="52">
        <f t="shared" si="10"/>
        <v>0</v>
      </c>
      <c r="AE23" s="52">
        <f t="shared" si="11"/>
        <v>0</v>
      </c>
      <c r="AF23" s="57" t="e">
        <f t="shared" si="12"/>
        <v>#VALUE!</v>
      </c>
      <c r="AG23" s="919"/>
      <c r="AH23" s="481" t="e">
        <f t="shared" si="13"/>
        <v>#VALUE!</v>
      </c>
      <c r="AI23" s="61" t="e">
        <f t="shared" si="14"/>
        <v>#VALUE!</v>
      </c>
      <c r="AJ23" s="51" t="e">
        <f>IF(AI23="-","-",IF(AI23&lt;=INDEX('IRP (Legend)'!$D$3:$F$13,MATCH(AI23,'IRP (Legend)'!$D$3:$D$13,1),2),INDEX('IRP (Legend)'!$D$3:$F$13,MATCH(AI23,'IRP (Legend)'!$D$3:$D$13,1),3),"-"))</f>
        <v>#VALUE!</v>
      </c>
      <c r="AK23" s="480" t="e">
        <f>IF($AJ23="-","-",IFERROR(VLOOKUP(AK$3,'IRP (LLPA)'!$AE$4:$AL$50,MATCH($AJ23,'IRP (LLPA)'!$AE$4:$AL$4,0),FALSE),"-"))</f>
        <v>#VALUE!</v>
      </c>
      <c r="AL23" s="480" t="e">
        <f>IF($AJ23="-","-",IFERROR(VLOOKUP(AL$3,'IRP (LLPA)'!$AE$4:$AL$50,MATCH($AJ23,'IRP (LLPA)'!$AE$4:$AL$4,0),FALSE),"-"))</f>
        <v>#VALUE!</v>
      </c>
      <c r="AM23" s="480" t="e">
        <f>IF($AJ23="-","-",IFERROR(VLOOKUP(AM$3,'IRP (LLPA)'!$AE$4:$AL$50,MATCH($AJ23,'IRP (LLPA)'!$AE$4:$AL$4,0),FALSE),"-"))</f>
        <v>#VALUE!</v>
      </c>
      <c r="AN23" s="480" t="e">
        <f>IF($AJ23="-","-",IFERROR(VLOOKUP(AN$3,'IRP (LLPA)'!$AE$4:$AL$50,MATCH($AJ23,'IRP (LLPA)'!$AE$4:$AL$4,0),FALSE),"-"))</f>
        <v>#VALUE!</v>
      </c>
      <c r="AO23" s="480" t="e">
        <f>IF($AJ23="-","-",IFERROR(VLOOKUP(AO$3,'IRP (LLPA)'!$AE$4:$AL$50,MATCH($AJ23,'IRP (LLPA)'!$AE$4:$AL$4,0),FALSE),"-"))</f>
        <v>#VALUE!</v>
      </c>
      <c r="AP23" s="480" t="e">
        <f t="shared" si="15"/>
        <v>#VALUE!</v>
      </c>
      <c r="AQ23" s="480" t="e">
        <f>IF(AP23="-","-",VLOOKUP($C$6,'IRP (LLPA)'!$D$17:$K$27,MATCH($AJ23,'IRP (LLPA)'!$D$17:$K$17,0),FALSE))</f>
        <v>#VALUE!</v>
      </c>
      <c r="AR23" s="480" t="e">
        <f t="shared" si="16"/>
        <v>#VALUE!</v>
      </c>
      <c r="AS23" s="52">
        <f t="shared" si="17"/>
        <v>0</v>
      </c>
      <c r="AT23" s="214">
        <f t="shared" si="18"/>
        <v>1.2</v>
      </c>
      <c r="AU23" s="52">
        <f t="shared" si="19"/>
        <v>0</v>
      </c>
      <c r="AV23" s="52">
        <f t="shared" si="20"/>
        <v>0</v>
      </c>
      <c r="AW23" s="139" t="e">
        <f t="shared" si="21"/>
        <v>#VALUE!</v>
      </c>
      <c r="AX23" s="640"/>
      <c r="AY23" s="481" t="e">
        <f t="shared" si="22"/>
        <v>#VALUE!</v>
      </c>
      <c r="AZ23" s="61" t="e">
        <f t="shared" si="23"/>
        <v>#VALUE!</v>
      </c>
      <c r="BA23" s="51" t="e">
        <f>IF(AZ23="-","-",IF(AZ23&lt;=INDEX('IRP (Legend)'!$D$3:$F$13,MATCH(AZ23,'IRP (Legend)'!$D$3:$D$13,1),2),INDEX('IRP (Legend)'!$D$3:$F$13,MATCH(AZ23,'IRP (Legend)'!$D$3:$D$13,1),3),"-"))</f>
        <v>#VALUE!</v>
      </c>
      <c r="BB23" s="480" t="e">
        <f>IF($AJ23="-","-",IFERROR(VLOOKUP(BB$3,'IRP (LLPA)'!$AE$4:$AL$50,MATCH($BA23,'IRP (LLPA)'!$AE$4:$AL$4,0),FALSE),"-"))</f>
        <v>#VALUE!</v>
      </c>
      <c r="BC23" s="480" t="e">
        <f>IF($AJ23="-","-",IFERROR(VLOOKUP(BC$3,'IRP (LLPA)'!$AE$4:$AL$50,MATCH($BA23,'IRP (LLPA)'!$AE$4:$AL$4,0),FALSE),"-"))</f>
        <v>#VALUE!</v>
      </c>
      <c r="BD23" s="480" t="e">
        <f>IF($AJ23="-","-",IFERROR(VLOOKUP(BD$3,'IRP (LLPA)'!$AE$4:$AL$50,MATCH($BA23,'IRP (LLPA)'!$AE$4:$AL$4,0),FALSE),"-"))</f>
        <v>#VALUE!</v>
      </c>
      <c r="BE23" s="480" t="e">
        <f>IF($AJ23="-","-",IFERROR(VLOOKUP(BE$3,'IRP (LLPA)'!$AE$4:$AL$50,MATCH($BA23,'IRP (LLPA)'!$AE$4:$AL$4,0),FALSE),"-"))</f>
        <v>#VALUE!</v>
      </c>
      <c r="BF23" s="480" t="e">
        <f>IF($AJ23="-","-",IFERROR(VLOOKUP(BF$3,'IRP (LLPA)'!$AE$4:$AL$50,MATCH($BA23,'IRP (LLPA)'!$AE$4:$AL$4,0),FALSE),"-"))</f>
        <v>#VALUE!</v>
      </c>
      <c r="BG23" s="480" t="e">
        <f t="shared" si="24"/>
        <v>#VALUE!</v>
      </c>
      <c r="BH23" s="480" t="e">
        <f>IF(BG23="-","-",VLOOKUP($C$6,'IRP (LLPA)'!$D$17:$K$27,MATCH($BA23,'IRP (LLPA)'!$D$17:$K$17,0),FALSE))</f>
        <v>#VALUE!</v>
      </c>
      <c r="BI23" s="480" t="e">
        <f t="shared" si="25"/>
        <v>#VALUE!</v>
      </c>
      <c r="BJ23" s="52">
        <f t="shared" si="26"/>
        <v>0</v>
      </c>
      <c r="BK23" s="214">
        <f t="shared" si="27"/>
        <v>1.2</v>
      </c>
      <c r="BL23" s="52">
        <f t="shared" si="28"/>
        <v>0</v>
      </c>
      <c r="BM23" s="52">
        <f t="shared" si="29"/>
        <v>0</v>
      </c>
      <c r="BN23" s="139" t="e">
        <f t="shared" si="30"/>
        <v>#VALUE!</v>
      </c>
      <c r="BO23" s="913"/>
      <c r="BP23" s="479" t="e">
        <f t="shared" si="31"/>
        <v>#VALUE!</v>
      </c>
      <c r="BQ23" s="478">
        <v>98.75</v>
      </c>
      <c r="BR23" s="477" t="e">
        <f t="shared" si="32"/>
        <v>#VALUE!</v>
      </c>
      <c r="BS23" s="476" t="e">
        <f>IF(BR23="-","-",IF(BR23&lt;=INDEX('IRP (Legend)'!$D$3:$F$13,MATCH(BR23,'IRP (Legend)'!$D$3:$D$13,1),2),INDEX('IRP (Legend)'!$D$3:$F$13,MATCH(BR23,'IRP (Legend)'!$D$3:$D$13,1),3),"-"))</f>
        <v>#VALUE!</v>
      </c>
      <c r="BT23" s="476" t="e">
        <f t="shared" si="33"/>
        <v>#VALUE!</v>
      </c>
      <c r="BU23" s="476" t="e">
        <f t="shared" si="34"/>
        <v>#VALUE!</v>
      </c>
      <c r="BV23" s="475" t="str">
        <f t="shared" si="35"/>
        <v>-</v>
      </c>
      <c r="BW23" s="474" t="str">
        <f t="shared" si="36"/>
        <v>-</v>
      </c>
      <c r="BX23" s="913"/>
    </row>
    <row r="24" spans="2:76" x14ac:dyDescent="0.25">
      <c r="B24" s="452" t="s">
        <v>2016</v>
      </c>
      <c r="C24" s="265">
        <f>'Investor Portfolio (IRP)'!$AA$26/12</f>
        <v>0</v>
      </c>
      <c r="D24" s="452" t="s">
        <v>1681</v>
      </c>
      <c r="E24" s="110">
        <f t="shared" si="39"/>
        <v>0.7</v>
      </c>
      <c r="F24" s="110">
        <f t="shared" si="39"/>
        <v>0.7</v>
      </c>
      <c r="G24" s="110">
        <f t="shared" si="39"/>
        <v>0.7</v>
      </c>
      <c r="H24" s="110">
        <f t="shared" si="39"/>
        <v>0.7</v>
      </c>
      <c r="I24" s="110">
        <f t="shared" si="39"/>
        <v>0.65</v>
      </c>
      <c r="J24" s="109">
        <f t="shared" si="39"/>
        <v>0.65</v>
      </c>
      <c r="L24" s="416">
        <f t="shared" si="38"/>
        <v>5.000000000000001E-2</v>
      </c>
      <c r="M24" s="67">
        <f t="shared" si="0"/>
        <v>0.98499999999999988</v>
      </c>
      <c r="N24" s="480" t="e">
        <f t="shared" si="1"/>
        <v>#VALUE!</v>
      </c>
      <c r="O24" s="57" t="str">
        <f t="shared" si="2"/>
        <v>-</v>
      </c>
      <c r="P24" s="51" t="str">
        <f t="shared" si="3"/>
        <v>-</v>
      </c>
      <c r="Q24" s="57" t="str">
        <f t="shared" si="4"/>
        <v>-</v>
      </c>
      <c r="R24" s="61" t="str">
        <f t="shared" si="5"/>
        <v>-</v>
      </c>
      <c r="S24" s="51" t="str">
        <f>IF(R24="-","-",IF(R24&lt;=INDEX('IRP (Legend)'!$D$3:$F$13,MATCH(R24,'IRP (Legend)'!$D$3:$D$13,1),2),INDEX('IRP (Legend)'!$D$3:$F$13,MATCH(R24,'IRP (Legend)'!$D$3:$D$13,1),3),"-"))</f>
        <v>-</v>
      </c>
      <c r="T24" s="480" t="str">
        <f>IF($S24="-","-",IFERROR(VLOOKUP(T$3,'IRP (LLPA)'!$AE$4:$AL$50,MATCH($S24,'IRP (LLPA)'!$AE$4:$AL$4,0),FALSE),"-"))</f>
        <v>-</v>
      </c>
      <c r="U24" s="480" t="str">
        <f>IF($S24="-","-",IFERROR(VLOOKUP(U$3,'IRP (LLPA)'!$AE$4:$AL$50,MATCH($S24,'IRP (LLPA)'!$AE$4:$AL$4,0),FALSE),"-"))</f>
        <v>-</v>
      </c>
      <c r="V24" s="480" t="str">
        <f>IF($S24="-","-",IFERROR(VLOOKUP(V$3,'IRP (LLPA)'!$AE$4:$AL$50,MATCH($S24,'IRP (LLPA)'!$AE$4:$AL$4,0),FALSE),"-"))</f>
        <v>-</v>
      </c>
      <c r="W24" s="480" t="str">
        <f>IF($S24="-","-",IFERROR(VLOOKUP(W$3,'IRP (LLPA)'!$AE$4:$AL$50,MATCH($S24,'IRP (LLPA)'!$AE$4:$AL$4,0),FALSE),"-"))</f>
        <v>-</v>
      </c>
      <c r="X24" s="480" t="str">
        <f>IF($S24="-","-",IFERROR(VLOOKUP(X$3,'IRP (LLPA)'!$AE$4:$AL$50,MATCH($S24,'IRP (LLPA)'!$AE$4:$AL$4,0),FALSE),"-"))</f>
        <v>-</v>
      </c>
      <c r="Y24" s="480" t="str">
        <f t="shared" si="6"/>
        <v>-</v>
      </c>
      <c r="Z24" s="480" t="str">
        <f>IF(Y24="-","-",VLOOKUP($C$6,'IRP (LLPA)'!$D$17:$K$27,MATCH($S24,'IRP (LLPA)'!$D$17:$K$17,0),FALSE))</f>
        <v>-</v>
      </c>
      <c r="AA24" s="480" t="str">
        <f t="shared" si="7"/>
        <v>-</v>
      </c>
      <c r="AB24" s="52">
        <f t="shared" si="8"/>
        <v>0</v>
      </c>
      <c r="AC24" s="214">
        <f t="shared" si="9"/>
        <v>1.2</v>
      </c>
      <c r="AD24" s="52">
        <f t="shared" si="10"/>
        <v>0</v>
      </c>
      <c r="AE24" s="52">
        <f t="shared" si="11"/>
        <v>0</v>
      </c>
      <c r="AF24" s="57" t="e">
        <f t="shared" si="12"/>
        <v>#VALUE!</v>
      </c>
      <c r="AG24" s="919"/>
      <c r="AH24" s="481" t="e">
        <f t="shared" si="13"/>
        <v>#VALUE!</v>
      </c>
      <c r="AI24" s="61" t="e">
        <f t="shared" si="14"/>
        <v>#VALUE!</v>
      </c>
      <c r="AJ24" s="51" t="e">
        <f>IF(AI24="-","-",IF(AI24&lt;=INDEX('IRP (Legend)'!$D$3:$F$13,MATCH(AI24,'IRP (Legend)'!$D$3:$D$13,1),2),INDEX('IRP (Legend)'!$D$3:$F$13,MATCH(AI24,'IRP (Legend)'!$D$3:$D$13,1),3),"-"))</f>
        <v>#VALUE!</v>
      </c>
      <c r="AK24" s="480" t="e">
        <f>IF($AJ24="-","-",IFERROR(VLOOKUP(AK$3,'IRP (LLPA)'!$AE$4:$AL$50,MATCH($AJ24,'IRP (LLPA)'!$AE$4:$AL$4,0),FALSE),"-"))</f>
        <v>#VALUE!</v>
      </c>
      <c r="AL24" s="480" t="e">
        <f>IF($AJ24="-","-",IFERROR(VLOOKUP(AL$3,'IRP (LLPA)'!$AE$4:$AL$50,MATCH($AJ24,'IRP (LLPA)'!$AE$4:$AL$4,0),FALSE),"-"))</f>
        <v>#VALUE!</v>
      </c>
      <c r="AM24" s="480" t="e">
        <f>IF($AJ24="-","-",IFERROR(VLOOKUP(AM$3,'IRP (LLPA)'!$AE$4:$AL$50,MATCH($AJ24,'IRP (LLPA)'!$AE$4:$AL$4,0),FALSE),"-"))</f>
        <v>#VALUE!</v>
      </c>
      <c r="AN24" s="480" t="e">
        <f>IF($AJ24="-","-",IFERROR(VLOOKUP(AN$3,'IRP (LLPA)'!$AE$4:$AL$50,MATCH($AJ24,'IRP (LLPA)'!$AE$4:$AL$4,0),FALSE),"-"))</f>
        <v>#VALUE!</v>
      </c>
      <c r="AO24" s="480" t="e">
        <f>IF($AJ24="-","-",IFERROR(VLOOKUP(AO$3,'IRP (LLPA)'!$AE$4:$AL$50,MATCH($AJ24,'IRP (LLPA)'!$AE$4:$AL$4,0),FALSE),"-"))</f>
        <v>#VALUE!</v>
      </c>
      <c r="AP24" s="480" t="e">
        <f t="shared" si="15"/>
        <v>#VALUE!</v>
      </c>
      <c r="AQ24" s="480" t="e">
        <f>IF(AP24="-","-",VLOOKUP($C$6,'IRP (LLPA)'!$D$17:$K$27,MATCH($AJ24,'IRP (LLPA)'!$D$17:$K$17,0),FALSE))</f>
        <v>#VALUE!</v>
      </c>
      <c r="AR24" s="480" t="e">
        <f t="shared" si="16"/>
        <v>#VALUE!</v>
      </c>
      <c r="AS24" s="52">
        <f t="shared" si="17"/>
        <v>0</v>
      </c>
      <c r="AT24" s="214">
        <f t="shared" si="18"/>
        <v>1.2</v>
      </c>
      <c r="AU24" s="52">
        <f t="shared" si="19"/>
        <v>0</v>
      </c>
      <c r="AV24" s="52">
        <f t="shared" si="20"/>
        <v>0</v>
      </c>
      <c r="AW24" s="139" t="e">
        <f t="shared" si="21"/>
        <v>#VALUE!</v>
      </c>
      <c r="AX24" s="640"/>
      <c r="AY24" s="481" t="e">
        <f t="shared" si="22"/>
        <v>#VALUE!</v>
      </c>
      <c r="AZ24" s="61" t="e">
        <f t="shared" si="23"/>
        <v>#VALUE!</v>
      </c>
      <c r="BA24" s="51" t="e">
        <f>IF(AZ24="-","-",IF(AZ24&lt;=INDEX('IRP (Legend)'!$D$3:$F$13,MATCH(AZ24,'IRP (Legend)'!$D$3:$D$13,1),2),INDEX('IRP (Legend)'!$D$3:$F$13,MATCH(AZ24,'IRP (Legend)'!$D$3:$D$13,1),3),"-"))</f>
        <v>#VALUE!</v>
      </c>
      <c r="BB24" s="480" t="e">
        <f>IF($AJ24="-","-",IFERROR(VLOOKUP(BB$3,'IRP (LLPA)'!$AE$4:$AL$50,MATCH($BA24,'IRP (LLPA)'!$AE$4:$AL$4,0),FALSE),"-"))</f>
        <v>#VALUE!</v>
      </c>
      <c r="BC24" s="480" t="e">
        <f>IF($AJ24="-","-",IFERROR(VLOOKUP(BC$3,'IRP (LLPA)'!$AE$4:$AL$50,MATCH($BA24,'IRP (LLPA)'!$AE$4:$AL$4,0),FALSE),"-"))</f>
        <v>#VALUE!</v>
      </c>
      <c r="BD24" s="480" t="e">
        <f>IF($AJ24="-","-",IFERROR(VLOOKUP(BD$3,'IRP (LLPA)'!$AE$4:$AL$50,MATCH($BA24,'IRP (LLPA)'!$AE$4:$AL$4,0),FALSE),"-"))</f>
        <v>#VALUE!</v>
      </c>
      <c r="BE24" s="480" t="e">
        <f>IF($AJ24="-","-",IFERROR(VLOOKUP(BE$3,'IRP (LLPA)'!$AE$4:$AL$50,MATCH($BA24,'IRP (LLPA)'!$AE$4:$AL$4,0),FALSE),"-"))</f>
        <v>#VALUE!</v>
      </c>
      <c r="BF24" s="480" t="e">
        <f>IF($AJ24="-","-",IFERROR(VLOOKUP(BF$3,'IRP (LLPA)'!$AE$4:$AL$50,MATCH($BA24,'IRP (LLPA)'!$AE$4:$AL$4,0),FALSE),"-"))</f>
        <v>#VALUE!</v>
      </c>
      <c r="BG24" s="480" t="e">
        <f t="shared" si="24"/>
        <v>#VALUE!</v>
      </c>
      <c r="BH24" s="480" t="e">
        <f>IF(BG24="-","-",VLOOKUP($C$6,'IRP (LLPA)'!$D$17:$K$27,MATCH($BA24,'IRP (LLPA)'!$D$17:$K$17,0),FALSE))</f>
        <v>#VALUE!</v>
      </c>
      <c r="BI24" s="480" t="e">
        <f t="shared" si="25"/>
        <v>#VALUE!</v>
      </c>
      <c r="BJ24" s="52">
        <f t="shared" si="26"/>
        <v>0</v>
      </c>
      <c r="BK24" s="214">
        <f t="shared" si="27"/>
        <v>1.2</v>
      </c>
      <c r="BL24" s="52">
        <f t="shared" si="28"/>
        <v>0</v>
      </c>
      <c r="BM24" s="52">
        <f t="shared" si="29"/>
        <v>0</v>
      </c>
      <c r="BN24" s="139" t="e">
        <f t="shared" si="30"/>
        <v>#VALUE!</v>
      </c>
      <c r="BO24" s="913"/>
      <c r="BP24" s="479" t="e">
        <f t="shared" si="31"/>
        <v>#VALUE!</v>
      </c>
      <c r="BQ24" s="478">
        <v>98.499999999999986</v>
      </c>
      <c r="BR24" s="477" t="e">
        <f t="shared" si="32"/>
        <v>#VALUE!</v>
      </c>
      <c r="BS24" s="476" t="e">
        <f>IF(BR24="-","-",IF(BR24&lt;=INDEX('IRP (Legend)'!$D$3:$F$13,MATCH(BR24,'IRP (Legend)'!$D$3:$D$13,1),2),INDEX('IRP (Legend)'!$D$3:$F$13,MATCH(BR24,'IRP (Legend)'!$D$3:$D$13,1),3),"-"))</f>
        <v>#VALUE!</v>
      </c>
      <c r="BT24" s="476" t="e">
        <f t="shared" si="33"/>
        <v>#VALUE!</v>
      </c>
      <c r="BU24" s="476" t="e">
        <f t="shared" si="34"/>
        <v>#VALUE!</v>
      </c>
      <c r="BV24" s="475" t="str">
        <f t="shared" si="35"/>
        <v>-</v>
      </c>
      <c r="BW24" s="474" t="str">
        <f t="shared" si="36"/>
        <v>-</v>
      </c>
      <c r="BX24" s="913"/>
    </row>
    <row r="25" spans="2:76" x14ac:dyDescent="0.25">
      <c r="B25" s="482" t="s">
        <v>1762</v>
      </c>
      <c r="C25" s="295">
        <f>$C$20-SUM($C$21:$C$24)</f>
        <v>0</v>
      </c>
      <c r="D25" s="452" t="s">
        <v>1680</v>
      </c>
      <c r="E25" s="110">
        <f t="shared" si="39"/>
        <v>0.7</v>
      </c>
      <c r="F25" s="110">
        <f t="shared" si="39"/>
        <v>0.7</v>
      </c>
      <c r="G25" s="110">
        <f t="shared" si="39"/>
        <v>0.7</v>
      </c>
      <c r="H25" s="110">
        <f t="shared" si="39"/>
        <v>0.7</v>
      </c>
      <c r="I25" s="110">
        <f t="shared" si="39"/>
        <v>0.65</v>
      </c>
      <c r="J25" s="109">
        <f t="shared" si="39"/>
        <v>0.65</v>
      </c>
      <c r="L25" s="416">
        <f t="shared" si="38"/>
        <v>5.2500000000000012E-2</v>
      </c>
      <c r="M25" s="67">
        <f t="shared" si="0"/>
        <v>0.98249999999999993</v>
      </c>
      <c r="N25" s="480" t="e">
        <f t="shared" si="1"/>
        <v>#VALUE!</v>
      </c>
      <c r="O25" s="57" t="str">
        <f t="shared" si="2"/>
        <v>-</v>
      </c>
      <c r="P25" s="51" t="str">
        <f t="shared" si="3"/>
        <v>-</v>
      </c>
      <c r="Q25" s="57" t="str">
        <f t="shared" si="4"/>
        <v>-</v>
      </c>
      <c r="R25" s="61" t="str">
        <f t="shared" si="5"/>
        <v>-</v>
      </c>
      <c r="S25" s="51" t="str">
        <f>IF(R25="-","-",IF(R25&lt;=INDEX('IRP (Legend)'!$D$3:$F$13,MATCH(R25,'IRP (Legend)'!$D$3:$D$13,1),2),INDEX('IRP (Legend)'!$D$3:$F$13,MATCH(R25,'IRP (Legend)'!$D$3:$D$13,1),3),"-"))</f>
        <v>-</v>
      </c>
      <c r="T25" s="480" t="str">
        <f>IF($S25="-","-",IFERROR(VLOOKUP(T$3,'IRP (LLPA)'!$AE$4:$AL$50,MATCH($S25,'IRP (LLPA)'!$AE$4:$AL$4,0),FALSE),"-"))</f>
        <v>-</v>
      </c>
      <c r="U25" s="480" t="str">
        <f>IF($S25="-","-",IFERROR(VLOOKUP(U$3,'IRP (LLPA)'!$AE$4:$AL$50,MATCH($S25,'IRP (LLPA)'!$AE$4:$AL$4,0),FALSE),"-"))</f>
        <v>-</v>
      </c>
      <c r="V25" s="480" t="str">
        <f>IF($S25="-","-",IFERROR(VLOOKUP(V$3,'IRP (LLPA)'!$AE$4:$AL$50,MATCH($S25,'IRP (LLPA)'!$AE$4:$AL$4,0),FALSE),"-"))</f>
        <v>-</v>
      </c>
      <c r="W25" s="480" t="str">
        <f>IF($S25="-","-",IFERROR(VLOOKUP(W$3,'IRP (LLPA)'!$AE$4:$AL$50,MATCH($S25,'IRP (LLPA)'!$AE$4:$AL$4,0),FALSE),"-"))</f>
        <v>-</v>
      </c>
      <c r="X25" s="480" t="str">
        <f>IF($S25="-","-",IFERROR(VLOOKUP(X$3,'IRP (LLPA)'!$AE$4:$AL$50,MATCH($S25,'IRP (LLPA)'!$AE$4:$AL$4,0),FALSE),"-"))</f>
        <v>-</v>
      </c>
      <c r="Y25" s="480" t="str">
        <f t="shared" si="6"/>
        <v>-</v>
      </c>
      <c r="Z25" s="480" t="str">
        <f>IF(Y25="-","-",VLOOKUP($C$6,'IRP (LLPA)'!$D$17:$K$27,MATCH($S25,'IRP (LLPA)'!$D$17:$K$17,0),FALSE))</f>
        <v>-</v>
      </c>
      <c r="AA25" s="480" t="str">
        <f t="shared" si="7"/>
        <v>-</v>
      </c>
      <c r="AB25" s="52">
        <f t="shared" si="8"/>
        <v>0</v>
      </c>
      <c r="AC25" s="214">
        <f t="shared" si="9"/>
        <v>1.2</v>
      </c>
      <c r="AD25" s="52">
        <f t="shared" si="10"/>
        <v>0</v>
      </c>
      <c r="AE25" s="52">
        <f t="shared" si="11"/>
        <v>0</v>
      </c>
      <c r="AF25" s="57" t="e">
        <f t="shared" si="12"/>
        <v>#VALUE!</v>
      </c>
      <c r="AG25" s="919"/>
      <c r="AH25" s="481" t="e">
        <f t="shared" si="13"/>
        <v>#VALUE!</v>
      </c>
      <c r="AI25" s="61" t="e">
        <f t="shared" si="14"/>
        <v>#VALUE!</v>
      </c>
      <c r="AJ25" s="51" t="e">
        <f>IF(AI25="-","-",IF(AI25&lt;=INDEX('IRP (Legend)'!$D$3:$F$13,MATCH(AI25,'IRP (Legend)'!$D$3:$D$13,1),2),INDEX('IRP (Legend)'!$D$3:$F$13,MATCH(AI25,'IRP (Legend)'!$D$3:$D$13,1),3),"-"))</f>
        <v>#VALUE!</v>
      </c>
      <c r="AK25" s="480" t="e">
        <f>IF($AJ25="-","-",IFERROR(VLOOKUP(AK$3,'IRP (LLPA)'!$AE$4:$AL$50,MATCH($AJ25,'IRP (LLPA)'!$AE$4:$AL$4,0),FALSE),"-"))</f>
        <v>#VALUE!</v>
      </c>
      <c r="AL25" s="480" t="e">
        <f>IF($AJ25="-","-",IFERROR(VLOOKUP(AL$3,'IRP (LLPA)'!$AE$4:$AL$50,MATCH($AJ25,'IRP (LLPA)'!$AE$4:$AL$4,0),FALSE),"-"))</f>
        <v>#VALUE!</v>
      </c>
      <c r="AM25" s="480" t="e">
        <f>IF($AJ25="-","-",IFERROR(VLOOKUP(AM$3,'IRP (LLPA)'!$AE$4:$AL$50,MATCH($AJ25,'IRP (LLPA)'!$AE$4:$AL$4,0),FALSE),"-"))</f>
        <v>#VALUE!</v>
      </c>
      <c r="AN25" s="480" t="e">
        <f>IF($AJ25="-","-",IFERROR(VLOOKUP(AN$3,'IRP (LLPA)'!$AE$4:$AL$50,MATCH($AJ25,'IRP (LLPA)'!$AE$4:$AL$4,0),FALSE),"-"))</f>
        <v>#VALUE!</v>
      </c>
      <c r="AO25" s="480" t="e">
        <f>IF($AJ25="-","-",IFERROR(VLOOKUP(AO$3,'IRP (LLPA)'!$AE$4:$AL$50,MATCH($AJ25,'IRP (LLPA)'!$AE$4:$AL$4,0),FALSE),"-"))</f>
        <v>#VALUE!</v>
      </c>
      <c r="AP25" s="480" t="e">
        <f t="shared" si="15"/>
        <v>#VALUE!</v>
      </c>
      <c r="AQ25" s="480" t="e">
        <f>IF(AP25="-","-",VLOOKUP($C$6,'IRP (LLPA)'!$D$17:$K$27,MATCH($AJ25,'IRP (LLPA)'!$D$17:$K$17,0),FALSE))</f>
        <v>#VALUE!</v>
      </c>
      <c r="AR25" s="480" t="e">
        <f t="shared" si="16"/>
        <v>#VALUE!</v>
      </c>
      <c r="AS25" s="52">
        <f t="shared" si="17"/>
        <v>0</v>
      </c>
      <c r="AT25" s="214">
        <f t="shared" si="18"/>
        <v>1.2</v>
      </c>
      <c r="AU25" s="52">
        <f t="shared" si="19"/>
        <v>0</v>
      </c>
      <c r="AV25" s="52">
        <f t="shared" si="20"/>
        <v>0</v>
      </c>
      <c r="AW25" s="139" t="e">
        <f t="shared" si="21"/>
        <v>#VALUE!</v>
      </c>
      <c r="AX25" s="640"/>
      <c r="AY25" s="481" t="e">
        <f t="shared" si="22"/>
        <v>#VALUE!</v>
      </c>
      <c r="AZ25" s="61" t="e">
        <f t="shared" si="23"/>
        <v>#VALUE!</v>
      </c>
      <c r="BA25" s="51" t="e">
        <f>IF(AZ25="-","-",IF(AZ25&lt;=INDEX('IRP (Legend)'!$D$3:$F$13,MATCH(AZ25,'IRP (Legend)'!$D$3:$D$13,1),2),INDEX('IRP (Legend)'!$D$3:$F$13,MATCH(AZ25,'IRP (Legend)'!$D$3:$D$13,1),3),"-"))</f>
        <v>#VALUE!</v>
      </c>
      <c r="BB25" s="480" t="e">
        <f>IF($AJ25="-","-",IFERROR(VLOOKUP(BB$3,'IRP (LLPA)'!$AE$4:$AL$50,MATCH($BA25,'IRP (LLPA)'!$AE$4:$AL$4,0),FALSE),"-"))</f>
        <v>#VALUE!</v>
      </c>
      <c r="BC25" s="480" t="e">
        <f>IF($AJ25="-","-",IFERROR(VLOOKUP(BC$3,'IRP (LLPA)'!$AE$4:$AL$50,MATCH($BA25,'IRP (LLPA)'!$AE$4:$AL$4,0),FALSE),"-"))</f>
        <v>#VALUE!</v>
      </c>
      <c r="BD25" s="480" t="e">
        <f>IF($AJ25="-","-",IFERROR(VLOOKUP(BD$3,'IRP (LLPA)'!$AE$4:$AL$50,MATCH($BA25,'IRP (LLPA)'!$AE$4:$AL$4,0),FALSE),"-"))</f>
        <v>#VALUE!</v>
      </c>
      <c r="BE25" s="480" t="e">
        <f>IF($AJ25="-","-",IFERROR(VLOOKUP(BE$3,'IRP (LLPA)'!$AE$4:$AL$50,MATCH($BA25,'IRP (LLPA)'!$AE$4:$AL$4,0),FALSE),"-"))</f>
        <v>#VALUE!</v>
      </c>
      <c r="BF25" s="480" t="e">
        <f>IF($AJ25="-","-",IFERROR(VLOOKUP(BF$3,'IRP (LLPA)'!$AE$4:$AL$50,MATCH($BA25,'IRP (LLPA)'!$AE$4:$AL$4,0),FALSE),"-"))</f>
        <v>#VALUE!</v>
      </c>
      <c r="BG25" s="480" t="e">
        <f t="shared" si="24"/>
        <v>#VALUE!</v>
      </c>
      <c r="BH25" s="480" t="e">
        <f>IF(BG25="-","-",VLOOKUP($C$6,'IRP (LLPA)'!$D$17:$K$27,MATCH($BA25,'IRP (LLPA)'!$D$17:$K$17,0),FALSE))</f>
        <v>#VALUE!</v>
      </c>
      <c r="BI25" s="480" t="e">
        <f t="shared" si="25"/>
        <v>#VALUE!</v>
      </c>
      <c r="BJ25" s="52">
        <f t="shared" si="26"/>
        <v>0</v>
      </c>
      <c r="BK25" s="214">
        <f t="shared" si="27"/>
        <v>1.2</v>
      </c>
      <c r="BL25" s="52">
        <f t="shared" si="28"/>
        <v>0</v>
      </c>
      <c r="BM25" s="52">
        <f t="shared" si="29"/>
        <v>0</v>
      </c>
      <c r="BN25" s="139" t="e">
        <f t="shared" si="30"/>
        <v>#VALUE!</v>
      </c>
      <c r="BO25" s="913"/>
      <c r="BP25" s="479" t="e">
        <f t="shared" si="31"/>
        <v>#VALUE!</v>
      </c>
      <c r="BQ25" s="478">
        <v>98.25</v>
      </c>
      <c r="BR25" s="477" t="e">
        <f t="shared" si="32"/>
        <v>#VALUE!</v>
      </c>
      <c r="BS25" s="476" t="e">
        <f>IF(BR25="-","-",IF(BR25&lt;=INDEX('IRP (Legend)'!$D$3:$F$13,MATCH(BR25,'IRP (Legend)'!$D$3:$D$13,1),2),INDEX('IRP (Legend)'!$D$3:$F$13,MATCH(BR25,'IRP (Legend)'!$D$3:$D$13,1),3),"-"))</f>
        <v>#VALUE!</v>
      </c>
      <c r="BT25" s="476" t="e">
        <f t="shared" si="33"/>
        <v>#VALUE!</v>
      </c>
      <c r="BU25" s="476" t="e">
        <f t="shared" si="34"/>
        <v>#VALUE!</v>
      </c>
      <c r="BV25" s="475" t="str">
        <f t="shared" si="35"/>
        <v>-</v>
      </c>
      <c r="BW25" s="474" t="str">
        <f t="shared" si="36"/>
        <v>-</v>
      </c>
      <c r="BX25" s="913"/>
    </row>
    <row r="26" spans="2:76" x14ac:dyDescent="0.25">
      <c r="B26" s="452" t="s">
        <v>1761</v>
      </c>
      <c r="C26" s="473">
        <v>1.2</v>
      </c>
      <c r="D26" s="464" t="s">
        <v>1679</v>
      </c>
      <c r="E26" s="107" t="s">
        <v>2</v>
      </c>
      <c r="F26" s="107" t="s">
        <v>2</v>
      </c>
      <c r="G26" s="107" t="s">
        <v>2</v>
      </c>
      <c r="H26" s="107" t="s">
        <v>2</v>
      </c>
      <c r="I26" s="107" t="s">
        <v>2</v>
      </c>
      <c r="J26" s="106" t="s">
        <v>2</v>
      </c>
      <c r="L26" s="410">
        <f t="shared" si="38"/>
        <v>5.5000000000000014E-2</v>
      </c>
      <c r="M26" s="408">
        <f t="shared" si="0"/>
        <v>0.97999999999999987</v>
      </c>
      <c r="N26" s="471" t="e">
        <f t="shared" si="1"/>
        <v>#VALUE!</v>
      </c>
      <c r="O26" s="136" t="str">
        <f t="shared" si="2"/>
        <v>-</v>
      </c>
      <c r="P26" s="108" t="str">
        <f t="shared" si="3"/>
        <v>-</v>
      </c>
      <c r="Q26" s="136" t="str">
        <f t="shared" si="4"/>
        <v>-</v>
      </c>
      <c r="R26" s="59" t="str">
        <f t="shared" si="5"/>
        <v>-</v>
      </c>
      <c r="S26" s="108" t="str">
        <f>IF(R26="-","-",IF(R26&lt;=INDEX('IRP (Legend)'!$D$3:$F$13,MATCH(R26,'IRP (Legend)'!$D$3:$D$13,1),2),INDEX('IRP (Legend)'!$D$3:$F$13,MATCH(R26,'IRP (Legend)'!$D$3:$D$13,1),3),"-"))</f>
        <v>-</v>
      </c>
      <c r="T26" s="471" t="str">
        <f>IF($S26="-","-",IFERROR(VLOOKUP(T$3,'IRP (LLPA)'!$AE$4:$AL$50,MATCH($S26,'IRP (LLPA)'!$AE$4:$AL$4,0),FALSE),"-"))</f>
        <v>-</v>
      </c>
      <c r="U26" s="471" t="str">
        <f>IF($S26="-","-",IFERROR(VLOOKUP(U$3,'IRP (LLPA)'!$AE$4:$AL$50,MATCH($S26,'IRP (LLPA)'!$AE$4:$AL$4,0),FALSE),"-"))</f>
        <v>-</v>
      </c>
      <c r="V26" s="471" t="str">
        <f>IF($S26="-","-",IFERROR(VLOOKUP(V$3,'IRP (LLPA)'!$AE$4:$AL$50,MATCH($S26,'IRP (LLPA)'!$AE$4:$AL$4,0),FALSE),"-"))</f>
        <v>-</v>
      </c>
      <c r="W26" s="471" t="str">
        <f>IF($S26="-","-",IFERROR(VLOOKUP(W$3,'IRP (LLPA)'!$AE$4:$AL$50,MATCH($S26,'IRP (LLPA)'!$AE$4:$AL$4,0),FALSE),"-"))</f>
        <v>-</v>
      </c>
      <c r="X26" s="471" t="str">
        <f>IF($S26="-","-",IFERROR(VLOOKUP(X$3,'IRP (LLPA)'!$AE$4:$AL$50,MATCH($S26,'IRP (LLPA)'!$AE$4:$AL$4,0),FALSE),"-"))</f>
        <v>-</v>
      </c>
      <c r="Y26" s="471" t="str">
        <f t="shared" si="6"/>
        <v>-</v>
      </c>
      <c r="Z26" s="471" t="str">
        <f>IF(Y26="-","-",VLOOKUP($C$6,'IRP (LLPA)'!$D$17:$K$27,MATCH($S26,'IRP (LLPA)'!$D$17:$K$17,0),FALSE))</f>
        <v>-</v>
      </c>
      <c r="AA26" s="471" t="str">
        <f t="shared" si="7"/>
        <v>-</v>
      </c>
      <c r="AB26" s="200">
        <f t="shared" si="8"/>
        <v>0</v>
      </c>
      <c r="AC26" s="409">
        <f t="shared" si="9"/>
        <v>1.2</v>
      </c>
      <c r="AD26" s="200">
        <f t="shared" si="10"/>
        <v>0</v>
      </c>
      <c r="AE26" s="200">
        <f t="shared" si="11"/>
        <v>0</v>
      </c>
      <c r="AF26" s="136" t="e">
        <f t="shared" si="12"/>
        <v>#VALUE!</v>
      </c>
      <c r="AG26" s="920"/>
      <c r="AH26" s="472" t="e">
        <f t="shared" si="13"/>
        <v>#VALUE!</v>
      </c>
      <c r="AI26" s="59" t="e">
        <f t="shared" si="14"/>
        <v>#VALUE!</v>
      </c>
      <c r="AJ26" s="108" t="e">
        <f>IF(AI26="-","-",IF(AI26&lt;=INDEX('IRP (Legend)'!$D$3:$F$13,MATCH(AI26,'IRP (Legend)'!$D$3:$D$13,1),2),INDEX('IRP (Legend)'!$D$3:$F$13,MATCH(AI26,'IRP (Legend)'!$D$3:$D$13,1),3),"-"))</f>
        <v>#VALUE!</v>
      </c>
      <c r="AK26" s="471" t="e">
        <f>IF($AJ26="-","-",IFERROR(VLOOKUP(AK$3,'IRP (LLPA)'!$AE$4:$AL$50,MATCH($AJ26,'IRP (LLPA)'!$AE$4:$AL$4,0),FALSE),"-"))</f>
        <v>#VALUE!</v>
      </c>
      <c r="AL26" s="471" t="e">
        <f>IF($AJ26="-","-",IFERROR(VLOOKUP(AL$3,'IRP (LLPA)'!$AE$4:$AL$50,MATCH($AJ26,'IRP (LLPA)'!$AE$4:$AL$4,0),FALSE),"-"))</f>
        <v>#VALUE!</v>
      </c>
      <c r="AM26" s="471" t="e">
        <f>IF($AJ26="-","-",IFERROR(VLOOKUP(AM$3,'IRP (LLPA)'!$AE$4:$AL$50,MATCH($AJ26,'IRP (LLPA)'!$AE$4:$AL$4,0),FALSE),"-"))</f>
        <v>#VALUE!</v>
      </c>
      <c r="AN26" s="471" t="e">
        <f>IF($AJ26="-","-",IFERROR(VLOOKUP(AN$3,'IRP (LLPA)'!$AE$4:$AL$50,MATCH($AJ26,'IRP (LLPA)'!$AE$4:$AL$4,0),FALSE),"-"))</f>
        <v>#VALUE!</v>
      </c>
      <c r="AO26" s="471" t="e">
        <f>IF($AJ26="-","-",IFERROR(VLOOKUP(AO$3,'IRP (LLPA)'!$AE$4:$AL$50,MATCH($AJ26,'IRP (LLPA)'!$AE$4:$AL$4,0),FALSE),"-"))</f>
        <v>#VALUE!</v>
      </c>
      <c r="AP26" s="471" t="e">
        <f t="shared" si="15"/>
        <v>#VALUE!</v>
      </c>
      <c r="AQ26" s="471" t="e">
        <f>IF(AP26="-","-",VLOOKUP($C$6,'IRP (LLPA)'!$D$17:$K$27,MATCH($AJ26,'IRP (LLPA)'!$D$17:$K$17,0),FALSE))</f>
        <v>#VALUE!</v>
      </c>
      <c r="AR26" s="471" t="e">
        <f t="shared" si="16"/>
        <v>#VALUE!</v>
      </c>
      <c r="AS26" s="200">
        <f t="shared" si="17"/>
        <v>0</v>
      </c>
      <c r="AT26" s="409">
        <f t="shared" si="18"/>
        <v>1.2</v>
      </c>
      <c r="AU26" s="200">
        <f t="shared" si="19"/>
        <v>0</v>
      </c>
      <c r="AV26" s="200">
        <f t="shared" si="20"/>
        <v>0</v>
      </c>
      <c r="AW26" s="135" t="e">
        <f t="shared" si="21"/>
        <v>#VALUE!</v>
      </c>
      <c r="AX26" s="640"/>
      <c r="AY26" s="472" t="e">
        <f t="shared" si="22"/>
        <v>#VALUE!</v>
      </c>
      <c r="AZ26" s="59" t="e">
        <f t="shared" si="23"/>
        <v>#VALUE!</v>
      </c>
      <c r="BA26" s="108" t="e">
        <f>IF(AZ26="-","-",IF(AZ26&lt;=INDEX('IRP (Legend)'!$D$3:$F$13,MATCH(AZ26,'IRP (Legend)'!$D$3:$D$13,1),2),INDEX('IRP (Legend)'!$D$3:$F$13,MATCH(AZ26,'IRP (Legend)'!$D$3:$D$13,1),3),"-"))</f>
        <v>#VALUE!</v>
      </c>
      <c r="BB26" s="471" t="e">
        <f>IF($AJ26="-","-",IFERROR(VLOOKUP(BB$3,'IRP (LLPA)'!$AE$4:$AL$50,MATCH($BA26,'IRP (LLPA)'!$AE$4:$AL$4,0),FALSE),"-"))</f>
        <v>#VALUE!</v>
      </c>
      <c r="BC26" s="471" t="e">
        <f>IF($AJ26="-","-",IFERROR(VLOOKUP(BC$3,'IRP (LLPA)'!$AE$4:$AL$50,MATCH($BA26,'IRP (LLPA)'!$AE$4:$AL$4,0),FALSE),"-"))</f>
        <v>#VALUE!</v>
      </c>
      <c r="BD26" s="471" t="e">
        <f>IF($AJ26="-","-",IFERROR(VLOOKUP(BD$3,'IRP (LLPA)'!$AE$4:$AL$50,MATCH($BA26,'IRP (LLPA)'!$AE$4:$AL$4,0),FALSE),"-"))</f>
        <v>#VALUE!</v>
      </c>
      <c r="BE26" s="471" t="e">
        <f>IF($AJ26="-","-",IFERROR(VLOOKUP(BE$3,'IRP (LLPA)'!$AE$4:$AL$50,MATCH($BA26,'IRP (LLPA)'!$AE$4:$AL$4,0),FALSE),"-"))</f>
        <v>#VALUE!</v>
      </c>
      <c r="BF26" s="471" t="e">
        <f>IF($AJ26="-","-",IFERROR(VLOOKUP(BF$3,'IRP (LLPA)'!$AE$4:$AL$50,MATCH($BA26,'IRP (LLPA)'!$AE$4:$AL$4,0),FALSE),"-"))</f>
        <v>#VALUE!</v>
      </c>
      <c r="BG26" s="471" t="e">
        <f t="shared" si="24"/>
        <v>#VALUE!</v>
      </c>
      <c r="BH26" s="471" t="e">
        <f>IF(BG26="-","-",VLOOKUP($C$6,'IRP (LLPA)'!$D$17:$K$27,MATCH($BA26,'IRP (LLPA)'!$D$17:$K$17,0),FALSE))</f>
        <v>#VALUE!</v>
      </c>
      <c r="BI26" s="471" t="e">
        <f t="shared" si="25"/>
        <v>#VALUE!</v>
      </c>
      <c r="BJ26" s="200">
        <f t="shared" si="26"/>
        <v>0</v>
      </c>
      <c r="BK26" s="409">
        <f t="shared" si="27"/>
        <v>1.2</v>
      </c>
      <c r="BL26" s="200">
        <f t="shared" si="28"/>
        <v>0</v>
      </c>
      <c r="BM26" s="200">
        <f t="shared" si="29"/>
        <v>0</v>
      </c>
      <c r="BN26" s="135" t="e">
        <f t="shared" si="30"/>
        <v>#VALUE!</v>
      </c>
      <c r="BO26" s="913"/>
      <c r="BP26" s="470" t="e">
        <f t="shared" si="31"/>
        <v>#VALUE!</v>
      </c>
      <c r="BQ26" s="469">
        <v>97.999999999999986</v>
      </c>
      <c r="BR26" s="468" t="e">
        <f t="shared" si="32"/>
        <v>#VALUE!</v>
      </c>
      <c r="BS26" s="467" t="e">
        <f>IF(BR26="-","-",IF(BR26&lt;=INDEX('IRP (Legend)'!$D$3:$F$13,MATCH(BR26,'IRP (Legend)'!$D$3:$D$13,1),2),INDEX('IRP (Legend)'!$D$3:$F$13,MATCH(BR26,'IRP (Legend)'!$D$3:$D$13,1),3),"-"))</f>
        <v>#VALUE!</v>
      </c>
      <c r="BT26" s="467" t="e">
        <f t="shared" si="33"/>
        <v>#VALUE!</v>
      </c>
      <c r="BU26" s="467" t="e">
        <f t="shared" si="34"/>
        <v>#VALUE!</v>
      </c>
      <c r="BV26" s="466" t="str">
        <f t="shared" si="35"/>
        <v>-</v>
      </c>
      <c r="BW26" s="465" t="str">
        <f t="shared" si="36"/>
        <v>-</v>
      </c>
      <c r="BX26" s="913"/>
    </row>
    <row r="27" spans="2:76" x14ac:dyDescent="0.25">
      <c r="B27" s="464" t="s">
        <v>1760</v>
      </c>
      <c r="C27" s="463">
        <f>C25/C26</f>
        <v>0</v>
      </c>
      <c r="D27" s="334"/>
      <c r="E27" s="70"/>
      <c r="F27" s="70"/>
      <c r="G27" s="70"/>
      <c r="H27" s="70"/>
      <c r="I27" s="70"/>
      <c r="J27" s="70"/>
    </row>
    <row r="29" spans="2:76" x14ac:dyDescent="0.25">
      <c r="B29" s="133" t="s">
        <v>1757</v>
      </c>
      <c r="C29" s="161"/>
      <c r="D29" s="133" t="s">
        <v>1756</v>
      </c>
      <c r="E29" s="162"/>
      <c r="F29" s="162"/>
      <c r="G29" s="133" t="s">
        <v>1755</v>
      </c>
      <c r="H29" s="162"/>
      <c r="I29" s="161"/>
      <c r="J29" s="133" t="s">
        <v>1754</v>
      </c>
      <c r="K29" s="162"/>
      <c r="L29" s="161"/>
      <c r="M29" s="133" t="s">
        <v>1753</v>
      </c>
      <c r="N29" s="162"/>
      <c r="O29" s="161"/>
      <c r="P29" s="133" t="s">
        <v>1752</v>
      </c>
      <c r="Q29" s="162"/>
      <c r="R29" s="161"/>
      <c r="S29" s="133" t="s">
        <v>1751</v>
      </c>
      <c r="T29" s="162"/>
      <c r="U29" s="161"/>
      <c r="V29" s="133" t="s">
        <v>1750</v>
      </c>
      <c r="W29" s="162"/>
      <c r="X29" s="161"/>
      <c r="Z29" s="906" t="s">
        <v>1675</v>
      </c>
      <c r="AA29" s="907"/>
      <c r="AB29" s="907"/>
      <c r="AC29" s="907"/>
      <c r="AD29" s="907"/>
      <c r="AE29" s="907"/>
      <c r="AF29" s="907"/>
      <c r="AG29" s="907" t="s">
        <v>1786</v>
      </c>
      <c r="AH29" s="907"/>
      <c r="AI29" s="907" t="s">
        <v>2008</v>
      </c>
      <c r="AJ29" s="907" t="s">
        <v>2007</v>
      </c>
      <c r="AK29" s="907" t="s">
        <v>1783</v>
      </c>
      <c r="AL29" s="907"/>
      <c r="AM29" s="462" t="s">
        <v>1782</v>
      </c>
      <c r="AN29" s="462"/>
      <c r="AO29" s="944" t="s">
        <v>1700</v>
      </c>
      <c r="AP29" s="927" t="s">
        <v>2006</v>
      </c>
      <c r="AQ29" s="906" t="s">
        <v>2005</v>
      </c>
      <c r="AR29" s="907"/>
      <c r="AS29" s="907"/>
      <c r="AT29" s="907"/>
      <c r="AU29" s="944"/>
    </row>
    <row r="30" spans="2:76" x14ac:dyDescent="0.25">
      <c r="B30" s="897" t="s">
        <v>156</v>
      </c>
      <c r="C30" s="898"/>
      <c r="D30" s="742">
        <v>0.5</v>
      </c>
      <c r="E30" s="743"/>
      <c r="F30" s="743"/>
      <c r="G30" s="742">
        <v>0.55000000000000004</v>
      </c>
      <c r="H30" s="743"/>
      <c r="I30" s="744"/>
      <c r="J30" s="742">
        <v>0.6</v>
      </c>
      <c r="K30" s="743"/>
      <c r="L30" s="744"/>
      <c r="M30" s="742">
        <v>0.65</v>
      </c>
      <c r="N30" s="743"/>
      <c r="O30" s="744"/>
      <c r="P30" s="742">
        <v>0.7</v>
      </c>
      <c r="Q30" s="743"/>
      <c r="R30" s="744"/>
      <c r="S30" s="742">
        <v>0.75</v>
      </c>
      <c r="T30" s="743"/>
      <c r="U30" s="744"/>
      <c r="V30" s="742">
        <v>0.8</v>
      </c>
      <c r="W30" s="743"/>
      <c r="X30" s="744"/>
      <c r="Z30" s="436" t="s">
        <v>2004</v>
      </c>
      <c r="AA30" s="461" t="s">
        <v>1778</v>
      </c>
      <c r="AB30" s="461" t="s">
        <v>62</v>
      </c>
      <c r="AC30" s="461" t="s">
        <v>1674</v>
      </c>
      <c r="AD30" s="461" t="s">
        <v>156</v>
      </c>
      <c r="AE30" s="461" t="s">
        <v>155</v>
      </c>
      <c r="AF30" s="461" t="s">
        <v>1777</v>
      </c>
      <c r="AG30" s="461" t="s">
        <v>1776</v>
      </c>
      <c r="AH30" s="461" t="s">
        <v>1736</v>
      </c>
      <c r="AI30" s="943"/>
      <c r="AJ30" s="943"/>
      <c r="AK30" s="461" t="s">
        <v>1776</v>
      </c>
      <c r="AL30" s="461" t="s">
        <v>1736</v>
      </c>
      <c r="AM30" s="461" t="s">
        <v>1776</v>
      </c>
      <c r="AN30" s="461" t="s">
        <v>1736</v>
      </c>
      <c r="AO30" s="945"/>
      <c r="AP30" s="640"/>
      <c r="AQ30" s="436" t="s">
        <v>1769</v>
      </c>
      <c r="AR30" s="461" t="s">
        <v>1768</v>
      </c>
      <c r="AS30" s="461" t="s">
        <v>161</v>
      </c>
      <c r="AT30" s="461" t="s">
        <v>140</v>
      </c>
      <c r="AU30" s="460" t="s">
        <v>1767</v>
      </c>
    </row>
    <row r="31" spans="2:76" x14ac:dyDescent="0.25">
      <c r="B31" s="897" t="s">
        <v>1749</v>
      </c>
      <c r="C31" s="898"/>
      <c r="D31" s="742" t="str">
        <f>IF($C$15="-","-",IF(D30&gt;$C$15,"-",D30))</f>
        <v>-</v>
      </c>
      <c r="E31" s="743"/>
      <c r="F31" s="743"/>
      <c r="G31" s="742">
        <f>IF(G30&gt;$C$15,"-",G30)</f>
        <v>0.55000000000000004</v>
      </c>
      <c r="H31" s="743"/>
      <c r="I31" s="744"/>
      <c r="J31" s="742">
        <f>IF(J30&gt;$C$15,"-",J30)</f>
        <v>0.6</v>
      </c>
      <c r="K31" s="743"/>
      <c r="L31" s="744"/>
      <c r="M31" s="742">
        <f>IF(M30&gt;$C$15,"-",M30)</f>
        <v>0.65</v>
      </c>
      <c r="N31" s="743"/>
      <c r="O31" s="744"/>
      <c r="P31" s="742">
        <f>IF(P30&gt;$C$15,"-",P30)</f>
        <v>0.7</v>
      </c>
      <c r="Q31" s="743"/>
      <c r="R31" s="744"/>
      <c r="S31" s="742">
        <f>IF(S30&gt;$C$15,"-",S30)</f>
        <v>0.75</v>
      </c>
      <c r="T31" s="743"/>
      <c r="U31" s="744"/>
      <c r="V31" s="742">
        <f>IF(V30&gt;$C$15,"-",V30)</f>
        <v>0.8</v>
      </c>
      <c r="W31" s="743"/>
      <c r="X31" s="744"/>
      <c r="Z31" s="158">
        <v>0</v>
      </c>
      <c r="AA31" s="428">
        <f t="shared" ref="AA31:AA53" si="40">($M$2/100)-Z31</f>
        <v>1.0349999999999999</v>
      </c>
      <c r="AB31" s="160" t="str">
        <f t="shared" ref="AB31:AB53" si="41">IF(OR($Q4="-",$BV4="-"),"-",MIN($Q4,$BV4))</f>
        <v>-</v>
      </c>
      <c r="AC31" s="428" t="str">
        <f t="shared" ref="AC31:AC53" si="42">$BW4</f>
        <v>-</v>
      </c>
      <c r="AD31" s="427" t="str">
        <f t="shared" ref="AD31:AD53" si="43">IFERROR(ROUND(($AB31/$C$9)*100,1),"-")</f>
        <v>-</v>
      </c>
      <c r="AE31" s="427" t="str">
        <f t="shared" ref="AE31:AE53" si="44">IFERROR(IF(OR($C$3="Refinance (Rate/Term)",$C$3="Refinance (Cash Out)"),"-",ROUND(($AB31/$C$14)*100,1)),"-")</f>
        <v>-</v>
      </c>
      <c r="AF31" s="113" t="str">
        <f t="shared" ref="AF31:AF53" si="45">$AD31&amp;" | "&amp;AE31</f>
        <v>- | -</v>
      </c>
      <c r="AG31" s="299" t="str">
        <f t="shared" ref="AG31:AG53" si="46">IFERROR(PMT($AC31/12,360,-AB31),"-")</f>
        <v>-</v>
      </c>
      <c r="AH31" s="299" t="str">
        <f t="shared" ref="AH31:AH53" si="47">IFERROR(IF($C$8="No IO","-",$AB31*($AC31/12)),"-")</f>
        <v>-</v>
      </c>
      <c r="AI31" s="299">
        <f t="shared" ref="AI31:AI53" si="48">SUM($C$21:$C$22)</f>
        <v>0</v>
      </c>
      <c r="AJ31" s="299">
        <f t="shared" ref="AJ31:AJ53" si="49">SUM($C$21:$C$24)</f>
        <v>0</v>
      </c>
      <c r="AK31" s="299" t="str">
        <f t="shared" ref="AK31:AK53" si="50">IF($AG31="-","-",$AG31+$AI31)</f>
        <v>-</v>
      </c>
      <c r="AL31" s="113" t="str">
        <f t="shared" ref="AL31:AL53" si="51">IF($AH31="-","-",$AH31+$AI31)</f>
        <v>-</v>
      </c>
      <c r="AM31" s="299" t="str">
        <f t="shared" ref="AM31:AM53" si="52">IF($AG31="-","-",$AG31)</f>
        <v>-</v>
      </c>
      <c r="AN31" s="113" t="str">
        <f t="shared" ref="AN31:AN53" si="53">IF($AH31="-","-",$AH31)</f>
        <v>-</v>
      </c>
      <c r="AO31" s="426" t="e">
        <f t="shared" ref="AO31:AO53" si="54">IF($C$8="No IO",$C$25/$AM31,$C$25/$AN31)</f>
        <v>#VALUE!</v>
      </c>
      <c r="AP31" s="640"/>
      <c r="AQ31" s="459">
        <f>IFERROR(IF($C$8="No IO",MAX($AG31:$AG53),MAX($AH31:$AH53)),"-")</f>
        <v>0</v>
      </c>
      <c r="AR31" s="458" t="s">
        <v>2</v>
      </c>
      <c r="AS31" s="458" t="str">
        <f t="shared" ref="AS31:AS53" si="55">IFERROR($Z31*$AB31,"-")</f>
        <v>-</v>
      </c>
      <c r="AT31" s="457" t="str">
        <f t="shared" ref="AT31:AT53" si="56">IFERROR(IF(OR($AR31="-",$AR31&lt;1),"-",$AS31/$AR31),"-")</f>
        <v>-</v>
      </c>
      <c r="AU31" s="456" t="str">
        <f t="shared" ref="AU31:AU53" si="57">IF(AT31="-","-",ROUND($AT31/12,2))</f>
        <v>-</v>
      </c>
    </row>
    <row r="32" spans="2:76" x14ac:dyDescent="0.25">
      <c r="B32" s="897" t="s">
        <v>1748</v>
      </c>
      <c r="C32" s="898"/>
      <c r="D32" s="742" t="str">
        <f>IF(OR($C$3="Refinance (Rate/Term)",$C$3="Refinance (Cash Out)"),"-",D31)</f>
        <v>-</v>
      </c>
      <c r="E32" s="743"/>
      <c r="F32" s="743"/>
      <c r="G32" s="742">
        <f>IF(OR($C$3="Refinance (Rate/Term)",$C$3="Refinance (Cash Out)"),"-",G31)</f>
        <v>0.55000000000000004</v>
      </c>
      <c r="H32" s="743"/>
      <c r="I32" s="744"/>
      <c r="J32" s="742">
        <f>IF(OR($C$3="Refinance (Rate/Term)",$C$3="Refinance (Cash Out)"),"-",J31)</f>
        <v>0.6</v>
      </c>
      <c r="K32" s="743"/>
      <c r="L32" s="744"/>
      <c r="M32" s="742">
        <f>IF(OR($C$3="Refinance (Rate/Term)",$C$3="Refinance (Cash Out)"),"-",M31)</f>
        <v>0.65</v>
      </c>
      <c r="N32" s="743"/>
      <c r="O32" s="744"/>
      <c r="P32" s="742">
        <f>IF(OR($C$3="Refinance (Rate/Term)",$C$3="Refinance (Cash Out)"),"-",P31)</f>
        <v>0.7</v>
      </c>
      <c r="Q32" s="743"/>
      <c r="R32" s="744"/>
      <c r="S32" s="742">
        <f>IF(OR($C$3="Refinance (Rate/Term)",$C$3="Refinance (Cash Out)"),"-",S31)</f>
        <v>0.75</v>
      </c>
      <c r="T32" s="743"/>
      <c r="U32" s="744"/>
      <c r="V32" s="742">
        <f>IF(OR($C$3="Refinance (Rate/Term)",$C$3="Refinance (Cash Out)"),"-",V31)</f>
        <v>0.8</v>
      </c>
      <c r="W32" s="743"/>
      <c r="X32" s="744"/>
      <c r="Z32" s="416">
        <f t="shared" ref="Z32:Z53" si="58">+Z31+0.25%</f>
        <v>2.5000000000000001E-3</v>
      </c>
      <c r="AA32" s="67">
        <f t="shared" si="40"/>
        <v>1.0325</v>
      </c>
      <c r="AB32" s="57" t="str">
        <f t="shared" si="41"/>
        <v>-</v>
      </c>
      <c r="AC32" s="67" t="str">
        <f t="shared" si="42"/>
        <v>-</v>
      </c>
      <c r="AD32" s="115" t="str">
        <f t="shared" si="43"/>
        <v>-</v>
      </c>
      <c r="AE32" s="115" t="str">
        <f t="shared" si="44"/>
        <v>-</v>
      </c>
      <c r="AF32" s="51" t="str">
        <f t="shared" si="45"/>
        <v>- | -</v>
      </c>
      <c r="AG32" s="52" t="str">
        <f t="shared" si="46"/>
        <v>-</v>
      </c>
      <c r="AH32" s="52" t="str">
        <f t="shared" si="47"/>
        <v>-</v>
      </c>
      <c r="AI32" s="52">
        <f t="shared" si="48"/>
        <v>0</v>
      </c>
      <c r="AJ32" s="52">
        <f t="shared" si="49"/>
        <v>0</v>
      </c>
      <c r="AK32" s="52" t="str">
        <f t="shared" si="50"/>
        <v>-</v>
      </c>
      <c r="AL32" s="51" t="str">
        <f t="shared" si="51"/>
        <v>-</v>
      </c>
      <c r="AM32" s="52" t="str">
        <f t="shared" si="52"/>
        <v>-</v>
      </c>
      <c r="AN32" s="51" t="str">
        <f t="shared" si="53"/>
        <v>-</v>
      </c>
      <c r="AO32" s="415" t="e">
        <f t="shared" si="54"/>
        <v>#VALUE!</v>
      </c>
      <c r="AP32" s="640"/>
      <c r="AQ32" s="440"/>
      <c r="AR32" s="439" t="e">
        <f t="shared" ref="AR32:AR53" si="59">IF($C$8="No IO",IF($AB32&gt;$AB31,"-",IF($AB32=$AB31,ABS($AG32-$AQ$31),"-")),IF($AB32&gt;$AB31,"-",IF($AB32=$AB31,ABS($AH32-$AQ$31),"-")))</f>
        <v>#VALUE!</v>
      </c>
      <c r="AS32" s="439" t="str">
        <f t="shared" si="55"/>
        <v>-</v>
      </c>
      <c r="AT32" s="438" t="str">
        <f t="shared" si="56"/>
        <v>-</v>
      </c>
      <c r="AU32" s="437" t="str">
        <f t="shared" si="57"/>
        <v>-</v>
      </c>
    </row>
    <row r="33" spans="1:47" x14ac:dyDescent="0.25">
      <c r="B33" s="897" t="s">
        <v>2015</v>
      </c>
      <c r="C33" s="898"/>
      <c r="D33" s="737" t="str">
        <f>IF(D31="-","-",IF(OR($C$3="Purchase",$C$3="Delayed Purchase"),MIN(D31*$C$9,D32*$C$14),IF(OR($C$3="Refinance (Rate/Term)",$C$3="Refinance (Cash Out)"),$C$9*D31,"-")))</f>
        <v>-</v>
      </c>
      <c r="E33" s="738"/>
      <c r="F33" s="738"/>
      <c r="G33" s="737" t="str">
        <f>IF(G31="-","-",IF(OR($C$3="Purchase",$C$3="Delayed Purchase"),MIN(G31*$C$9,G32*$C$14),IF(OR($C$3="Refinance (Rate/Term)",$C$3="Refinance (Cash Out)"),$C$9*G31,"-")))</f>
        <v>-</v>
      </c>
      <c r="H33" s="738"/>
      <c r="I33" s="739"/>
      <c r="J33" s="737" t="str">
        <f>IF(J31="-","-",IF(OR($C$3="Purchase",$C$3="Delayed Purchase"),MIN(J31*$C$9,J32*$C$14),IF(OR($C$3="Refinance (Rate/Term)",$C$3="Refinance (Cash Out)"),$C$9*J31,"-")))</f>
        <v>-</v>
      </c>
      <c r="K33" s="738"/>
      <c r="L33" s="739"/>
      <c r="M33" s="737" t="str">
        <f>IF(M31="-","-",IF(OR($C$3="Purchase",$C$3="Delayed Purchase"),MIN(M31*$C$9,M32*$C$14),IF(OR($C$3="Refinance (Rate/Term)",$C$3="Refinance (Cash Out)"),$C$9*M31,"-")))</f>
        <v>-</v>
      </c>
      <c r="N33" s="738"/>
      <c r="O33" s="739"/>
      <c r="P33" s="737" t="str">
        <f>IF(P31="-","-",IF(OR($C$3="Purchase",$C$3="Delayed Purchase"),MIN(P31*$C$9,P32*$C$14),IF(OR($C$3="Refinance (Rate/Term)",$C$3="Refinance (Cash Out)"),$C$9*P31,"-")))</f>
        <v>-</v>
      </c>
      <c r="Q33" s="738"/>
      <c r="R33" s="739"/>
      <c r="S33" s="737" t="str">
        <f>IF(S31="-","-",IF(OR($C$3="Purchase",$C$3="Delayed Purchase"),MIN(S31*$C$9,S32*$C$14),IF(OR($C$3="Refinance (Rate/Term)",$C$3="Refinance (Cash Out)"),$C$9*S31,"-")))</f>
        <v>-</v>
      </c>
      <c r="T33" s="738"/>
      <c r="U33" s="739"/>
      <c r="V33" s="737" t="str">
        <f>IF(V31="-","-",IF(OR($C$3="Purchase",$C$3="Delayed Purchase"),MIN(V31*$C$9,V32*$C$14),IF(OR($C$3="Refinance (Rate/Term)",$C$3="Refinance (Cash Out)"),$C$9*V31,"-")))</f>
        <v>-</v>
      </c>
      <c r="W33" s="738"/>
      <c r="X33" s="739"/>
      <c r="Z33" s="416">
        <f t="shared" si="58"/>
        <v>5.0000000000000001E-3</v>
      </c>
      <c r="AA33" s="67">
        <f t="shared" si="40"/>
        <v>1.03</v>
      </c>
      <c r="AB33" s="57" t="str">
        <f t="shared" si="41"/>
        <v>-</v>
      </c>
      <c r="AC33" s="67" t="str">
        <f t="shared" si="42"/>
        <v>-</v>
      </c>
      <c r="AD33" s="115" t="str">
        <f t="shared" si="43"/>
        <v>-</v>
      </c>
      <c r="AE33" s="115" t="str">
        <f t="shared" si="44"/>
        <v>-</v>
      </c>
      <c r="AF33" s="51" t="str">
        <f t="shared" si="45"/>
        <v>- | -</v>
      </c>
      <c r="AG33" s="52" t="str">
        <f t="shared" si="46"/>
        <v>-</v>
      </c>
      <c r="AH33" s="52" t="str">
        <f t="shared" si="47"/>
        <v>-</v>
      </c>
      <c r="AI33" s="52">
        <f t="shared" si="48"/>
        <v>0</v>
      </c>
      <c r="AJ33" s="52">
        <f t="shared" si="49"/>
        <v>0</v>
      </c>
      <c r="AK33" s="52" t="str">
        <f t="shared" si="50"/>
        <v>-</v>
      </c>
      <c r="AL33" s="51" t="str">
        <f t="shared" si="51"/>
        <v>-</v>
      </c>
      <c r="AM33" s="52" t="str">
        <f t="shared" si="52"/>
        <v>-</v>
      </c>
      <c r="AN33" s="51" t="str">
        <f t="shared" si="53"/>
        <v>-</v>
      </c>
      <c r="AO33" s="415" t="e">
        <f t="shared" si="54"/>
        <v>#VALUE!</v>
      </c>
      <c r="AP33" s="640"/>
      <c r="AQ33" s="440"/>
      <c r="AR33" s="439" t="e">
        <f t="shared" si="59"/>
        <v>#VALUE!</v>
      </c>
      <c r="AS33" s="439" t="str">
        <f t="shared" si="55"/>
        <v>-</v>
      </c>
      <c r="AT33" s="438" t="str">
        <f t="shared" si="56"/>
        <v>-</v>
      </c>
      <c r="AU33" s="437" t="str">
        <f t="shared" si="57"/>
        <v>-</v>
      </c>
    </row>
    <row r="34" spans="1:47" x14ac:dyDescent="0.25">
      <c r="B34" s="897" t="s">
        <v>1745</v>
      </c>
      <c r="C34" s="898"/>
      <c r="D34" s="737" t="str">
        <f>IF(OR($C$3="Purchase",$C$3="Delayed Purchase",$C$3="Refinance (Cash Out)"),"-",IF($C$3="Refinance (Rate/Term)",102%*$C$17,"-"))</f>
        <v>-</v>
      </c>
      <c r="E34" s="738"/>
      <c r="F34" s="738"/>
      <c r="G34" s="737" t="str">
        <f>IF(OR($C$3="Purchase",$C$3="Delayed Purchase",$C$3="Refinance (Cash Out)"),"-",IF($C$3="Refinance (Rate/Term)",102%*$C$17,"-"))</f>
        <v>-</v>
      </c>
      <c r="H34" s="738"/>
      <c r="I34" s="739"/>
      <c r="J34" s="737" t="str">
        <f>IF(OR($C$3="Purchase",$C$3="Delayed Purchase",$C$3="Refinance (Cash Out)"),"-",IF($C$3="Refinance (Rate/Term)",102%*$C$17,"-"))</f>
        <v>-</v>
      </c>
      <c r="K34" s="738"/>
      <c r="L34" s="739"/>
      <c r="M34" s="737" t="str">
        <f>IF(OR($C$3="Purchase",$C$3="Delayed Purchase",$C$3="Refinance (Cash Out)"),"-",IF($C$3="Refinance (Rate/Term)",102%*$C$17,"-"))</f>
        <v>-</v>
      </c>
      <c r="N34" s="738"/>
      <c r="O34" s="739"/>
      <c r="P34" s="737" t="str">
        <f>IF(OR($C$3="Purchase",$C$3="Delayed Purchase",$C$3="Refinance (Cash Out)"),"-",IF($C$3="Refinance (Rate/Term)",102%*$C$17,"-"))</f>
        <v>-</v>
      </c>
      <c r="Q34" s="738"/>
      <c r="R34" s="739"/>
      <c r="S34" s="737" t="str">
        <f>IF(OR($C$3="Purchase",$C$3="Delayed Purchase",$C$3="Refinance (Cash Out)"),"-",IF($C$3="Refinance (Rate/Term)",102%*$C$17,"-"))</f>
        <v>-</v>
      </c>
      <c r="T34" s="738"/>
      <c r="U34" s="739"/>
      <c r="V34" s="737" t="str">
        <f>IF(OR($C$3="Purchase",$C$3="Delayed Purchase",$C$3="Refinance (Cash Out)"),"-",IF($C$3="Refinance (Rate/Term)",102%*$C$17,"-"))</f>
        <v>-</v>
      </c>
      <c r="W34" s="738"/>
      <c r="X34" s="739"/>
      <c r="Z34" s="416">
        <f t="shared" si="58"/>
        <v>7.4999999999999997E-3</v>
      </c>
      <c r="AA34" s="67">
        <f t="shared" si="40"/>
        <v>1.0274999999999999</v>
      </c>
      <c r="AB34" s="57" t="str">
        <f t="shared" si="41"/>
        <v>-</v>
      </c>
      <c r="AC34" s="67" t="str">
        <f t="shared" si="42"/>
        <v>-</v>
      </c>
      <c r="AD34" s="115" t="str">
        <f t="shared" si="43"/>
        <v>-</v>
      </c>
      <c r="AE34" s="115" t="str">
        <f t="shared" si="44"/>
        <v>-</v>
      </c>
      <c r="AF34" s="51" t="str">
        <f t="shared" si="45"/>
        <v>- | -</v>
      </c>
      <c r="AG34" s="52" t="str">
        <f t="shared" si="46"/>
        <v>-</v>
      </c>
      <c r="AH34" s="52" t="str">
        <f t="shared" si="47"/>
        <v>-</v>
      </c>
      <c r="AI34" s="52">
        <f t="shared" si="48"/>
        <v>0</v>
      </c>
      <c r="AJ34" s="52">
        <f t="shared" si="49"/>
        <v>0</v>
      </c>
      <c r="AK34" s="52" t="str">
        <f t="shared" si="50"/>
        <v>-</v>
      </c>
      <c r="AL34" s="51" t="str">
        <f t="shared" si="51"/>
        <v>-</v>
      </c>
      <c r="AM34" s="52" t="str">
        <f t="shared" si="52"/>
        <v>-</v>
      </c>
      <c r="AN34" s="51" t="str">
        <f t="shared" si="53"/>
        <v>-</v>
      </c>
      <c r="AO34" s="415" t="e">
        <f t="shared" si="54"/>
        <v>#VALUE!</v>
      </c>
      <c r="AP34" s="640"/>
      <c r="AQ34" s="440"/>
      <c r="AR34" s="439" t="e">
        <f t="shared" si="59"/>
        <v>#VALUE!</v>
      </c>
      <c r="AS34" s="439" t="str">
        <f t="shared" si="55"/>
        <v>-</v>
      </c>
      <c r="AT34" s="438" t="str">
        <f t="shared" si="56"/>
        <v>-</v>
      </c>
      <c r="AU34" s="437" t="str">
        <f t="shared" si="57"/>
        <v>-</v>
      </c>
    </row>
    <row r="35" spans="1:47" x14ac:dyDescent="0.25">
      <c r="B35" s="897" t="s">
        <v>2014</v>
      </c>
      <c r="C35" s="898"/>
      <c r="D35" s="737" t="str">
        <f>IF(D34="-",D33,IF(D33&gt;D34,"-",IF(D34&gt;D33,D33,)))</f>
        <v>-</v>
      </c>
      <c r="E35" s="738"/>
      <c r="F35" s="738"/>
      <c r="G35" s="737" t="str">
        <f>IF(G34="-",G33,IF(G33&gt;G34,"-",IF(G34&gt;G33,G33,)))</f>
        <v>-</v>
      </c>
      <c r="H35" s="738"/>
      <c r="I35" s="739"/>
      <c r="J35" s="737" t="str">
        <f>IF(J34="-",J33,IF(J33&gt;J34,"-",IF(J34&gt;J33,J33,)))</f>
        <v>-</v>
      </c>
      <c r="K35" s="738"/>
      <c r="L35" s="739"/>
      <c r="M35" s="737" t="str">
        <f>IF(M34="-",M33,IF(M33&gt;M34,"-",IF(M34&gt;M33,M33,)))</f>
        <v>-</v>
      </c>
      <c r="N35" s="738"/>
      <c r="O35" s="739"/>
      <c r="P35" s="737" t="str">
        <f>IF(P34="-",P33,IF(P33&gt;P34,"-",IF(P34&gt;P33,P33,)))</f>
        <v>-</v>
      </c>
      <c r="Q35" s="738"/>
      <c r="R35" s="739"/>
      <c r="S35" s="737" t="str">
        <f>IF(S34="-",S33,IF(S33&gt;S34,"-",IF(S34&gt;S33,S33,)))</f>
        <v>-</v>
      </c>
      <c r="T35" s="738"/>
      <c r="U35" s="739"/>
      <c r="V35" s="737" t="str">
        <f>IF(V34="-",V33,IF(V33&gt;V34,"-",IF(V34&gt;V33,V33,)))</f>
        <v>-</v>
      </c>
      <c r="W35" s="738"/>
      <c r="X35" s="739"/>
      <c r="Z35" s="416">
        <f t="shared" si="58"/>
        <v>0.01</v>
      </c>
      <c r="AA35" s="67">
        <f t="shared" si="40"/>
        <v>1.0249999999999999</v>
      </c>
      <c r="AB35" s="57" t="str">
        <f t="shared" si="41"/>
        <v>-</v>
      </c>
      <c r="AC35" s="67" t="str">
        <f t="shared" si="42"/>
        <v>-</v>
      </c>
      <c r="AD35" s="115" t="str">
        <f t="shared" si="43"/>
        <v>-</v>
      </c>
      <c r="AE35" s="115" t="str">
        <f t="shared" si="44"/>
        <v>-</v>
      </c>
      <c r="AF35" s="51" t="str">
        <f t="shared" si="45"/>
        <v>- | -</v>
      </c>
      <c r="AG35" s="52" t="str">
        <f t="shared" si="46"/>
        <v>-</v>
      </c>
      <c r="AH35" s="52" t="str">
        <f t="shared" si="47"/>
        <v>-</v>
      </c>
      <c r="AI35" s="52">
        <f t="shared" si="48"/>
        <v>0</v>
      </c>
      <c r="AJ35" s="52">
        <f t="shared" si="49"/>
        <v>0</v>
      </c>
      <c r="AK35" s="52" t="str">
        <f t="shared" si="50"/>
        <v>-</v>
      </c>
      <c r="AL35" s="51" t="str">
        <f t="shared" si="51"/>
        <v>-</v>
      </c>
      <c r="AM35" s="52" t="str">
        <f t="shared" si="52"/>
        <v>-</v>
      </c>
      <c r="AN35" s="51" t="str">
        <f t="shared" si="53"/>
        <v>-</v>
      </c>
      <c r="AO35" s="415" t="e">
        <f t="shared" si="54"/>
        <v>#VALUE!</v>
      </c>
      <c r="AP35" s="640"/>
      <c r="AQ35" s="440"/>
      <c r="AR35" s="439" t="e">
        <f t="shared" si="59"/>
        <v>#VALUE!</v>
      </c>
      <c r="AS35" s="439" t="str">
        <f t="shared" si="55"/>
        <v>-</v>
      </c>
      <c r="AT35" s="438" t="str">
        <f t="shared" si="56"/>
        <v>-</v>
      </c>
      <c r="AU35" s="437" t="str">
        <f t="shared" si="57"/>
        <v>-</v>
      </c>
    </row>
    <row r="36" spans="1:47" x14ac:dyDescent="0.25">
      <c r="B36" s="897" t="s">
        <v>1743</v>
      </c>
      <c r="C36" s="898"/>
      <c r="D36" s="749" t="str">
        <f>IF(D35="-","-",D35/$C$9)</f>
        <v>-</v>
      </c>
      <c r="E36" s="745"/>
      <c r="F36" s="745"/>
      <c r="G36" s="749" t="str">
        <f>IF(G35="-","-",G35/$C$9)</f>
        <v>-</v>
      </c>
      <c r="H36" s="745"/>
      <c r="I36" s="746"/>
      <c r="J36" s="749" t="str">
        <f>IF(J35="-","-",J35/$C$9)</f>
        <v>-</v>
      </c>
      <c r="K36" s="745"/>
      <c r="L36" s="746"/>
      <c r="M36" s="749" t="str">
        <f>IF(M35="-","-",M35/$C$9)</f>
        <v>-</v>
      </c>
      <c r="N36" s="745"/>
      <c r="O36" s="746"/>
      <c r="P36" s="749" t="str">
        <f>IF(P35="-","-",P35/$C$9)</f>
        <v>-</v>
      </c>
      <c r="Q36" s="745"/>
      <c r="R36" s="746"/>
      <c r="S36" s="749" t="str">
        <f>IF(S35="-","-",S35/$C$9)</f>
        <v>-</v>
      </c>
      <c r="T36" s="745"/>
      <c r="U36" s="746"/>
      <c r="V36" s="749" t="str">
        <f>IF(V35="-","-",V35/$C$9)</f>
        <v>-</v>
      </c>
      <c r="W36" s="745"/>
      <c r="X36" s="746"/>
      <c r="Z36" s="416">
        <f t="shared" si="58"/>
        <v>1.2500000000000001E-2</v>
      </c>
      <c r="AA36" s="67">
        <f t="shared" si="40"/>
        <v>1.0225</v>
      </c>
      <c r="AB36" s="57" t="str">
        <f t="shared" si="41"/>
        <v>-</v>
      </c>
      <c r="AC36" s="67" t="str">
        <f t="shared" si="42"/>
        <v>-</v>
      </c>
      <c r="AD36" s="115" t="str">
        <f t="shared" si="43"/>
        <v>-</v>
      </c>
      <c r="AE36" s="115" t="str">
        <f t="shared" si="44"/>
        <v>-</v>
      </c>
      <c r="AF36" s="51" t="str">
        <f t="shared" si="45"/>
        <v>- | -</v>
      </c>
      <c r="AG36" s="52" t="str">
        <f t="shared" si="46"/>
        <v>-</v>
      </c>
      <c r="AH36" s="52" t="str">
        <f t="shared" si="47"/>
        <v>-</v>
      </c>
      <c r="AI36" s="52">
        <f t="shared" si="48"/>
        <v>0</v>
      </c>
      <c r="AJ36" s="52">
        <f t="shared" si="49"/>
        <v>0</v>
      </c>
      <c r="AK36" s="52" t="str">
        <f t="shared" si="50"/>
        <v>-</v>
      </c>
      <c r="AL36" s="51" t="str">
        <f t="shared" si="51"/>
        <v>-</v>
      </c>
      <c r="AM36" s="52" t="str">
        <f t="shared" si="52"/>
        <v>-</v>
      </c>
      <c r="AN36" s="51" t="str">
        <f t="shared" si="53"/>
        <v>-</v>
      </c>
      <c r="AO36" s="415" t="e">
        <f t="shared" si="54"/>
        <v>#VALUE!</v>
      </c>
      <c r="AP36" s="640"/>
      <c r="AQ36" s="440"/>
      <c r="AR36" s="439" t="e">
        <f t="shared" si="59"/>
        <v>#VALUE!</v>
      </c>
      <c r="AS36" s="439" t="str">
        <f t="shared" si="55"/>
        <v>-</v>
      </c>
      <c r="AT36" s="438" t="str">
        <f t="shared" si="56"/>
        <v>-</v>
      </c>
      <c r="AU36" s="437" t="str">
        <f t="shared" si="57"/>
        <v>-</v>
      </c>
    </row>
    <row r="37" spans="1:47" x14ac:dyDescent="0.25">
      <c r="B37" s="897" t="s">
        <v>1742</v>
      </c>
      <c r="C37" s="898"/>
      <c r="D37" s="712" t="str">
        <f>IF(D36="-","-",IF(D36&lt;=INDEX('IRP (Legend)'!$D$3:$F$13,MATCH(D36,'IRP (Legend)'!$D$3:$D$13,1),2),INDEX('IRP (Legend)'!$D$3:$F$13,MATCH(D36,'IRP (Legend)'!$D$3:$D$13,1),3),"-"))</f>
        <v>-</v>
      </c>
      <c r="E37" s="639"/>
      <c r="F37" s="639"/>
      <c r="G37" s="712" t="str">
        <f>IF(G36="-","-",IF(G36&lt;=INDEX('IRP (Legend)'!$D$3:$F$13,MATCH(G36,'IRP (Legend)'!$D$3:$D$13,1),2),INDEX('IRP (Legend)'!$D$3:$F$13,MATCH(G36,'IRP (Legend)'!$D$3:$D$13,1),3),"-"))</f>
        <v>-</v>
      </c>
      <c r="H37" s="639"/>
      <c r="I37" s="733"/>
      <c r="J37" s="712" t="str">
        <f>IF(J36="-","-",IF(J36&lt;=INDEX('IRP (Legend)'!$D$3:$F$13,MATCH(J36,'IRP (Legend)'!$D$3:$D$13,1),2),INDEX('IRP (Legend)'!$D$3:$F$13,MATCH(J36,'IRP (Legend)'!$D$3:$D$13,1),3),"-"))</f>
        <v>-</v>
      </c>
      <c r="K37" s="639"/>
      <c r="L37" s="733"/>
      <c r="M37" s="712" t="str">
        <f>IF(M36="-","-",IF(M36&lt;=INDEX('IRP (Legend)'!$D$3:$F$13,MATCH(M36,'IRP (Legend)'!$D$3:$D$13,1),2),INDEX('IRP (Legend)'!$D$3:$F$13,MATCH(M36,'IRP (Legend)'!$D$3:$D$13,1),3),"-"))</f>
        <v>-</v>
      </c>
      <c r="N37" s="639"/>
      <c r="O37" s="733"/>
      <c r="P37" s="712" t="str">
        <f>IF(P36="-","-",IF(P36&lt;=INDEX('IRP (Legend)'!$D$3:$F$13,MATCH(P36,'IRP (Legend)'!$D$3:$D$13,1),2),INDEX('IRP (Legend)'!$D$3:$F$13,MATCH(P36,'IRP (Legend)'!$D$3:$D$13,1),3),"-"))</f>
        <v>-</v>
      </c>
      <c r="Q37" s="639"/>
      <c r="R37" s="733"/>
      <c r="S37" s="712" t="str">
        <f>IF(S36="-","-",IF(S36&lt;=INDEX('IRP (Legend)'!$D$3:$F$13,MATCH(S36,'IRP (Legend)'!$D$3:$D$13,1),2),INDEX('IRP (Legend)'!$D$3:$F$13,MATCH(S36,'IRP (Legend)'!$D$3:$D$13,1),3),"-"))</f>
        <v>-</v>
      </c>
      <c r="T37" s="639"/>
      <c r="U37" s="733"/>
      <c r="V37" s="712" t="str">
        <f>IF(V36="-","-",IF(V36&lt;=INDEX('IRP (Legend)'!$D$3:$F$13,MATCH(V36,'IRP (Legend)'!$D$3:$D$13,1),2),INDEX('IRP (Legend)'!$D$3:$F$13,MATCH(V36,'IRP (Legend)'!$D$3:$D$13,1),3),"-"))</f>
        <v>-</v>
      </c>
      <c r="W37" s="639"/>
      <c r="X37" s="733"/>
      <c r="Z37" s="416">
        <f t="shared" si="58"/>
        <v>1.5000000000000001E-2</v>
      </c>
      <c r="AA37" s="67">
        <f t="shared" si="40"/>
        <v>1.02</v>
      </c>
      <c r="AB37" s="57" t="str">
        <f t="shared" si="41"/>
        <v>-</v>
      </c>
      <c r="AC37" s="67" t="str">
        <f t="shared" si="42"/>
        <v>-</v>
      </c>
      <c r="AD37" s="115" t="str">
        <f t="shared" si="43"/>
        <v>-</v>
      </c>
      <c r="AE37" s="115" t="str">
        <f t="shared" si="44"/>
        <v>-</v>
      </c>
      <c r="AF37" s="51" t="str">
        <f t="shared" si="45"/>
        <v>- | -</v>
      </c>
      <c r="AG37" s="52" t="str">
        <f t="shared" si="46"/>
        <v>-</v>
      </c>
      <c r="AH37" s="52" t="str">
        <f t="shared" si="47"/>
        <v>-</v>
      </c>
      <c r="AI37" s="52">
        <f t="shared" si="48"/>
        <v>0</v>
      </c>
      <c r="AJ37" s="52">
        <f t="shared" si="49"/>
        <v>0</v>
      </c>
      <c r="AK37" s="52" t="str">
        <f t="shared" si="50"/>
        <v>-</v>
      </c>
      <c r="AL37" s="51" t="str">
        <f t="shared" si="51"/>
        <v>-</v>
      </c>
      <c r="AM37" s="52" t="str">
        <f t="shared" si="52"/>
        <v>-</v>
      </c>
      <c r="AN37" s="51" t="str">
        <f t="shared" si="53"/>
        <v>-</v>
      </c>
      <c r="AO37" s="415" t="e">
        <f t="shared" si="54"/>
        <v>#VALUE!</v>
      </c>
      <c r="AP37" s="640"/>
      <c r="AQ37" s="440"/>
      <c r="AR37" s="439" t="e">
        <f t="shared" si="59"/>
        <v>#VALUE!</v>
      </c>
      <c r="AS37" s="439" t="str">
        <f t="shared" si="55"/>
        <v>-</v>
      </c>
      <c r="AT37" s="438" t="str">
        <f t="shared" si="56"/>
        <v>-</v>
      </c>
      <c r="AU37" s="437" t="str">
        <f t="shared" si="57"/>
        <v>-</v>
      </c>
    </row>
    <row r="38" spans="1:47" x14ac:dyDescent="0.25">
      <c r="B38" s="897" t="s">
        <v>1741</v>
      </c>
      <c r="C38" s="898"/>
      <c r="D38" s="904"/>
      <c r="E38" s="905"/>
      <c r="F38" s="905"/>
      <c r="G38" s="455"/>
      <c r="H38" s="454"/>
      <c r="I38" s="453"/>
      <c r="J38" s="455"/>
      <c r="K38" s="454"/>
      <c r="L38" s="453"/>
      <c r="M38" s="455"/>
      <c r="N38" s="454"/>
      <c r="O38" s="453"/>
      <c r="P38" s="455"/>
      <c r="Q38" s="454"/>
      <c r="R38" s="453"/>
      <c r="S38" s="455"/>
      <c r="T38" s="454"/>
      <c r="U38" s="453"/>
      <c r="V38" s="455"/>
      <c r="W38" s="454"/>
      <c r="X38" s="453"/>
      <c r="Z38" s="416">
        <f t="shared" si="58"/>
        <v>1.7500000000000002E-2</v>
      </c>
      <c r="AA38" s="67">
        <f t="shared" si="40"/>
        <v>1.0174999999999998</v>
      </c>
      <c r="AB38" s="57" t="str">
        <f t="shared" si="41"/>
        <v>-</v>
      </c>
      <c r="AC38" s="67" t="str">
        <f t="shared" si="42"/>
        <v>-</v>
      </c>
      <c r="AD38" s="115" t="str">
        <f t="shared" si="43"/>
        <v>-</v>
      </c>
      <c r="AE38" s="115" t="str">
        <f t="shared" si="44"/>
        <v>-</v>
      </c>
      <c r="AF38" s="51" t="str">
        <f t="shared" si="45"/>
        <v>- | -</v>
      </c>
      <c r="AG38" s="52" t="str">
        <f t="shared" si="46"/>
        <v>-</v>
      </c>
      <c r="AH38" s="52" t="str">
        <f t="shared" si="47"/>
        <v>-</v>
      </c>
      <c r="AI38" s="52">
        <f t="shared" si="48"/>
        <v>0</v>
      </c>
      <c r="AJ38" s="52">
        <f t="shared" si="49"/>
        <v>0</v>
      </c>
      <c r="AK38" s="52" t="str">
        <f t="shared" si="50"/>
        <v>-</v>
      </c>
      <c r="AL38" s="51" t="str">
        <f t="shared" si="51"/>
        <v>-</v>
      </c>
      <c r="AM38" s="52" t="str">
        <f t="shared" si="52"/>
        <v>-</v>
      </c>
      <c r="AN38" s="51" t="str">
        <f t="shared" si="53"/>
        <v>-</v>
      </c>
      <c r="AO38" s="415" t="e">
        <f t="shared" si="54"/>
        <v>#VALUE!</v>
      </c>
      <c r="AP38" s="640"/>
      <c r="AQ38" s="440"/>
      <c r="AR38" s="439" t="e">
        <f t="shared" si="59"/>
        <v>#VALUE!</v>
      </c>
      <c r="AS38" s="439" t="str">
        <f t="shared" si="55"/>
        <v>-</v>
      </c>
      <c r="AT38" s="438" t="str">
        <f t="shared" si="56"/>
        <v>-</v>
      </c>
      <c r="AU38" s="437" t="str">
        <f t="shared" si="57"/>
        <v>-</v>
      </c>
    </row>
    <row r="39" spans="1:47" x14ac:dyDescent="0.25">
      <c r="B39" s="452" t="s">
        <v>110</v>
      </c>
      <c r="C39" s="451">
        <f>$C$3</f>
        <v>0</v>
      </c>
      <c r="D39" s="788" t="str">
        <f>IFERROR(VLOOKUP($C$39,'IRP (LLPA)'!$AE$4:$AL$50,MATCH('IRP (Calc)'!D37,'IRP (LLPA)'!$AE$4:$AL$4,0),FALSE),"-")</f>
        <v>-</v>
      </c>
      <c r="E39" s="789"/>
      <c r="F39" s="789"/>
      <c r="G39" s="788" t="str">
        <f>IFERROR(VLOOKUP($C$39,'IRP (LLPA)'!$AE$4:$AL$50,MATCH('IRP (Calc)'!G37,'IRP (LLPA)'!$AE$4:$AL$4,0),FALSE),"-")</f>
        <v>-</v>
      </c>
      <c r="H39" s="789"/>
      <c r="I39" s="790"/>
      <c r="J39" s="788" t="str">
        <f>IFERROR(VLOOKUP($C$39,'IRP (LLPA)'!$AE$4:$AL$50,MATCH('IRP (Calc)'!J37,'IRP (LLPA)'!$AE$4:$AL$4,0),FALSE),"-")</f>
        <v>-</v>
      </c>
      <c r="K39" s="789"/>
      <c r="L39" s="790"/>
      <c r="M39" s="788" t="str">
        <f>IFERROR(VLOOKUP($C$39,'IRP (LLPA)'!$AE$4:$AL$50,MATCH('IRP (Calc)'!M37,'IRP (LLPA)'!$AE$4:$AL$4,0),FALSE),"-")</f>
        <v>-</v>
      </c>
      <c r="N39" s="789"/>
      <c r="O39" s="790"/>
      <c r="P39" s="788" t="str">
        <f>IFERROR(VLOOKUP($C$39,'IRP (LLPA)'!$AE$4:$AL$50,MATCH('IRP (Calc)'!P37,'IRP (LLPA)'!$AE$4:$AL$4,0),FALSE),"-")</f>
        <v>-</v>
      </c>
      <c r="Q39" s="789"/>
      <c r="R39" s="790"/>
      <c r="S39" s="788" t="str">
        <f>IFERROR(VLOOKUP($C$39,'IRP (LLPA)'!$AE$4:$AL$50,MATCH('IRP (Calc)'!S37,'IRP (LLPA)'!$AE$4:$AL$4,0),FALSE),"-")</f>
        <v>-</v>
      </c>
      <c r="T39" s="789"/>
      <c r="U39" s="790"/>
      <c r="V39" s="788" t="str">
        <f>IFERROR(VLOOKUP($C$39,'IRP (LLPA)'!$AE$4:$AL$50,MATCH('IRP (Calc)'!V37,'IRP (LLPA)'!$AE$4:$AL$4,0),FALSE),"-")</f>
        <v>-</v>
      </c>
      <c r="W39" s="789"/>
      <c r="X39" s="790"/>
      <c r="Z39" s="416">
        <f t="shared" si="58"/>
        <v>0.02</v>
      </c>
      <c r="AA39" s="67">
        <f t="shared" si="40"/>
        <v>1.0149999999999999</v>
      </c>
      <c r="AB39" s="57" t="str">
        <f t="shared" si="41"/>
        <v>-</v>
      </c>
      <c r="AC39" s="67" t="str">
        <f t="shared" si="42"/>
        <v>-</v>
      </c>
      <c r="AD39" s="115" t="str">
        <f t="shared" si="43"/>
        <v>-</v>
      </c>
      <c r="AE39" s="115" t="str">
        <f t="shared" si="44"/>
        <v>-</v>
      </c>
      <c r="AF39" s="51" t="str">
        <f t="shared" si="45"/>
        <v>- | -</v>
      </c>
      <c r="AG39" s="52" t="str">
        <f t="shared" si="46"/>
        <v>-</v>
      </c>
      <c r="AH39" s="52" t="str">
        <f t="shared" si="47"/>
        <v>-</v>
      </c>
      <c r="AI39" s="52">
        <f t="shared" si="48"/>
        <v>0</v>
      </c>
      <c r="AJ39" s="52">
        <f t="shared" si="49"/>
        <v>0</v>
      </c>
      <c r="AK39" s="52" t="str">
        <f t="shared" si="50"/>
        <v>-</v>
      </c>
      <c r="AL39" s="51" t="str">
        <f t="shared" si="51"/>
        <v>-</v>
      </c>
      <c r="AM39" s="52" t="str">
        <f t="shared" si="52"/>
        <v>-</v>
      </c>
      <c r="AN39" s="51" t="str">
        <f t="shared" si="53"/>
        <v>-</v>
      </c>
      <c r="AO39" s="415" t="e">
        <f t="shared" si="54"/>
        <v>#VALUE!</v>
      </c>
      <c r="AP39" s="640"/>
      <c r="AQ39" s="440"/>
      <c r="AR39" s="439" t="e">
        <f t="shared" si="59"/>
        <v>#VALUE!</v>
      </c>
      <c r="AS39" s="439" t="str">
        <f t="shared" si="55"/>
        <v>-</v>
      </c>
      <c r="AT39" s="438" t="str">
        <f t="shared" si="56"/>
        <v>-</v>
      </c>
      <c r="AU39" s="437" t="str">
        <f t="shared" si="57"/>
        <v>-</v>
      </c>
    </row>
    <row r="40" spans="1:47" x14ac:dyDescent="0.25">
      <c r="B40" s="452" t="s">
        <v>2013</v>
      </c>
      <c r="C40" s="451">
        <f>$C$8</f>
        <v>0</v>
      </c>
      <c r="D40" s="788" t="str">
        <f>IFERROR(VLOOKUP($C$40,'IRP (LLPA)'!$AE$4:$AL$50,MATCH('IRP (Calc)'!D37,'IRP (LLPA)'!$AE$4:$AL$4,0),FALSE),"-")</f>
        <v>-</v>
      </c>
      <c r="E40" s="789"/>
      <c r="F40" s="789"/>
      <c r="G40" s="788" t="str">
        <f>IFERROR(VLOOKUP($C$40,'IRP (LLPA)'!$AE$4:$AL$50,MATCH('IRP (Calc)'!G37,'IRP (LLPA)'!$AE$4:$AL$4,0),FALSE),"-")</f>
        <v>-</v>
      </c>
      <c r="H40" s="789"/>
      <c r="I40" s="790"/>
      <c r="J40" s="788" t="str">
        <f>IFERROR(VLOOKUP($C$40,'IRP (LLPA)'!$AE$4:$AL$50,MATCH('IRP (Calc)'!J37,'IRP (LLPA)'!$AE$4:$AL$4,0),FALSE),"-")</f>
        <v>-</v>
      </c>
      <c r="K40" s="789"/>
      <c r="L40" s="790"/>
      <c r="M40" s="788" t="str">
        <f>IFERROR(VLOOKUP($C$40,'IRP (LLPA)'!$AE$4:$AL$50,MATCH('IRP (Calc)'!M37,'IRP (LLPA)'!$AE$4:$AL$4,0),FALSE),"-")</f>
        <v>-</v>
      </c>
      <c r="N40" s="789"/>
      <c r="O40" s="790"/>
      <c r="P40" s="788" t="str">
        <f>IFERROR(VLOOKUP($C$40,'IRP (LLPA)'!$AE$4:$AL$50,MATCH('IRP (Calc)'!P37,'IRP (LLPA)'!$AE$4:$AL$4,0),FALSE),"-")</f>
        <v>-</v>
      </c>
      <c r="Q40" s="789"/>
      <c r="R40" s="790"/>
      <c r="S40" s="788" t="str">
        <f>IFERROR(VLOOKUP($C$40,'IRP (LLPA)'!$AE$4:$AL$50,MATCH('IRP (Calc)'!S37,'IRP (LLPA)'!$AE$4:$AL$4,0),FALSE),"-")</f>
        <v>-</v>
      </c>
      <c r="T40" s="789"/>
      <c r="U40" s="790"/>
      <c r="V40" s="788" t="str">
        <f>IFERROR(VLOOKUP($C$40,'IRP (LLPA)'!$AE$4:$AL$50,MATCH('IRP (Calc)'!V37,'IRP (LLPA)'!$AE$4:$AL$4,0),FALSE),"-")</f>
        <v>-</v>
      </c>
      <c r="W40" s="789"/>
      <c r="X40" s="790"/>
      <c r="Z40" s="416">
        <f t="shared" si="58"/>
        <v>2.2499999999999999E-2</v>
      </c>
      <c r="AA40" s="67">
        <f t="shared" si="40"/>
        <v>1.0125</v>
      </c>
      <c r="AB40" s="57" t="str">
        <f t="shared" si="41"/>
        <v>-</v>
      </c>
      <c r="AC40" s="67" t="str">
        <f t="shared" si="42"/>
        <v>-</v>
      </c>
      <c r="AD40" s="115" t="str">
        <f t="shared" si="43"/>
        <v>-</v>
      </c>
      <c r="AE40" s="115" t="str">
        <f t="shared" si="44"/>
        <v>-</v>
      </c>
      <c r="AF40" s="51" t="str">
        <f t="shared" si="45"/>
        <v>- | -</v>
      </c>
      <c r="AG40" s="52" t="str">
        <f t="shared" si="46"/>
        <v>-</v>
      </c>
      <c r="AH40" s="52" t="str">
        <f t="shared" si="47"/>
        <v>-</v>
      </c>
      <c r="AI40" s="52">
        <f t="shared" si="48"/>
        <v>0</v>
      </c>
      <c r="AJ40" s="52">
        <f t="shared" si="49"/>
        <v>0</v>
      </c>
      <c r="AK40" s="52" t="str">
        <f t="shared" si="50"/>
        <v>-</v>
      </c>
      <c r="AL40" s="51" t="str">
        <f t="shared" si="51"/>
        <v>-</v>
      </c>
      <c r="AM40" s="52" t="str">
        <f t="shared" si="52"/>
        <v>-</v>
      </c>
      <c r="AN40" s="51" t="str">
        <f t="shared" si="53"/>
        <v>-</v>
      </c>
      <c r="AO40" s="415" t="e">
        <f t="shared" si="54"/>
        <v>#VALUE!</v>
      </c>
      <c r="AP40" s="640"/>
      <c r="AQ40" s="440"/>
      <c r="AR40" s="439" t="e">
        <f t="shared" si="59"/>
        <v>#VALUE!</v>
      </c>
      <c r="AS40" s="439" t="str">
        <f t="shared" si="55"/>
        <v>-</v>
      </c>
      <c r="AT40" s="438" t="str">
        <f t="shared" si="56"/>
        <v>-</v>
      </c>
      <c r="AU40" s="437" t="str">
        <f t="shared" si="57"/>
        <v>-</v>
      </c>
    </row>
    <row r="41" spans="1:47" x14ac:dyDescent="0.25">
      <c r="B41" s="452" t="s">
        <v>2012</v>
      </c>
      <c r="C41" s="451" t="e">
        <f>$C$11</f>
        <v>#DIV/0!</v>
      </c>
      <c r="D41" s="788" t="str">
        <f>IFERROR(VLOOKUP($C$41,'IRP (LLPA)'!$AE$4:$AL$50,MATCH('IRP (Calc)'!D37,'IRP (LLPA)'!$AE$4:$AL$4,0),FALSE),"-")</f>
        <v>-</v>
      </c>
      <c r="E41" s="789"/>
      <c r="F41" s="789"/>
      <c r="G41" s="788" t="str">
        <f>IFERROR(VLOOKUP($C$41,'IRP (LLPA)'!$AE$4:$AL$50,MATCH('IRP (Calc)'!G37,'IRP (LLPA)'!$AE$4:$AL$4,0),FALSE),"-")</f>
        <v>-</v>
      </c>
      <c r="H41" s="789"/>
      <c r="I41" s="790"/>
      <c r="J41" s="788" t="str">
        <f>IFERROR(VLOOKUP($C$41,'IRP (LLPA)'!$AE$4:$AL$50,MATCH('IRP (Calc)'!J37,'IRP (LLPA)'!$AE$4:$AL$4,0),FALSE),"-")</f>
        <v>-</v>
      </c>
      <c r="K41" s="789"/>
      <c r="L41" s="790"/>
      <c r="M41" s="788" t="str">
        <f>IFERROR(VLOOKUP($C$41,'IRP (LLPA)'!$AE$4:$AL$50,MATCH('IRP (Calc)'!M37,'IRP (LLPA)'!$AE$4:$AL$4,0),FALSE),"-")</f>
        <v>-</v>
      </c>
      <c r="N41" s="789"/>
      <c r="O41" s="790"/>
      <c r="P41" s="788" t="str">
        <f>IFERROR(VLOOKUP($C$41,'IRP (LLPA)'!$AE$4:$AL$50,MATCH('IRP (Calc)'!P37,'IRP (LLPA)'!$AE$4:$AL$4,0),FALSE),"-")</f>
        <v>-</v>
      </c>
      <c r="Q41" s="789"/>
      <c r="R41" s="790"/>
      <c r="S41" s="788" t="str">
        <f>IFERROR(VLOOKUP($C$41,'IRP (LLPA)'!$AE$4:$AL$50,MATCH('IRP (Calc)'!S37,'IRP (LLPA)'!$AE$4:$AL$4,0),FALSE),"-")</f>
        <v>-</v>
      </c>
      <c r="T41" s="789"/>
      <c r="U41" s="790"/>
      <c r="V41" s="788" t="str">
        <f>IFERROR(VLOOKUP($C$41,'IRP (LLPA)'!$AE$4:$AL$50,MATCH('IRP (Calc)'!V37,'IRP (LLPA)'!$AE$4:$AL$4,0),FALSE),"-")</f>
        <v>-</v>
      </c>
      <c r="W41" s="789"/>
      <c r="X41" s="790"/>
      <c r="Z41" s="416">
        <f t="shared" si="58"/>
        <v>2.4999999999999998E-2</v>
      </c>
      <c r="AA41" s="67">
        <f t="shared" si="40"/>
        <v>1.01</v>
      </c>
      <c r="AB41" s="57" t="str">
        <f t="shared" si="41"/>
        <v>-</v>
      </c>
      <c r="AC41" s="67" t="str">
        <f t="shared" si="42"/>
        <v>-</v>
      </c>
      <c r="AD41" s="115" t="str">
        <f t="shared" si="43"/>
        <v>-</v>
      </c>
      <c r="AE41" s="115" t="str">
        <f t="shared" si="44"/>
        <v>-</v>
      </c>
      <c r="AF41" s="51" t="str">
        <f t="shared" si="45"/>
        <v>- | -</v>
      </c>
      <c r="AG41" s="52" t="str">
        <f t="shared" si="46"/>
        <v>-</v>
      </c>
      <c r="AH41" s="52" t="str">
        <f t="shared" si="47"/>
        <v>-</v>
      </c>
      <c r="AI41" s="52">
        <f t="shared" si="48"/>
        <v>0</v>
      </c>
      <c r="AJ41" s="52">
        <f t="shared" si="49"/>
        <v>0</v>
      </c>
      <c r="AK41" s="52" t="str">
        <f t="shared" si="50"/>
        <v>-</v>
      </c>
      <c r="AL41" s="51" t="str">
        <f t="shared" si="51"/>
        <v>-</v>
      </c>
      <c r="AM41" s="52" t="str">
        <f t="shared" si="52"/>
        <v>-</v>
      </c>
      <c r="AN41" s="51" t="str">
        <f t="shared" si="53"/>
        <v>-</v>
      </c>
      <c r="AO41" s="415" t="e">
        <f t="shared" si="54"/>
        <v>#VALUE!</v>
      </c>
      <c r="AP41" s="640"/>
      <c r="AQ41" s="440"/>
      <c r="AR41" s="439" t="e">
        <f t="shared" si="59"/>
        <v>#VALUE!</v>
      </c>
      <c r="AS41" s="439" t="str">
        <f t="shared" si="55"/>
        <v>-</v>
      </c>
      <c r="AT41" s="438" t="str">
        <f t="shared" si="56"/>
        <v>-</v>
      </c>
      <c r="AU41" s="437" t="str">
        <f t="shared" si="57"/>
        <v>-</v>
      </c>
    </row>
    <row r="42" spans="1:47" x14ac:dyDescent="0.25">
      <c r="B42" s="452" t="s">
        <v>90</v>
      </c>
      <c r="C42" s="451" t="str">
        <f>IF('Investor Portfolio (IRP)'!$G$22=0,"SFR",IF('Investor Portfolio (IRP)'!$G$22&gt;0,"MULTI","-"))</f>
        <v>SFR</v>
      </c>
      <c r="D42" s="788" t="str">
        <f>IFERROR(VLOOKUP($C$42,'IRP (LLPA)'!$AE$4:$AL$50,MATCH('IRP (Calc)'!D37,'IRP (LLPA)'!$AE$4:$AL$4,0),FALSE),"-")</f>
        <v>-</v>
      </c>
      <c r="E42" s="789"/>
      <c r="F42" s="789"/>
      <c r="G42" s="788" t="str">
        <f>IFERROR(VLOOKUP($C$42,'IRP (LLPA)'!$AE$4:$AL$50,MATCH('IRP (Calc)'!G37,'IRP (LLPA)'!$AE$4:$AL$4,0),FALSE),"-")</f>
        <v>-</v>
      </c>
      <c r="H42" s="789"/>
      <c r="I42" s="790"/>
      <c r="J42" s="788" t="str">
        <f>IFERROR(VLOOKUP($C$42,'IRP (LLPA)'!$AE$4:$AL$50,MATCH('IRP (Calc)'!J37,'IRP (LLPA)'!$AE$4:$AL$4,0),FALSE),"-")</f>
        <v>-</v>
      </c>
      <c r="K42" s="789"/>
      <c r="L42" s="790"/>
      <c r="M42" s="788" t="str">
        <f>IFERROR(VLOOKUP($C$42,'IRP (LLPA)'!$AE$4:$AL$50,MATCH('IRP (Calc)'!M37,'IRP (LLPA)'!$AE$4:$AL$4,0),FALSE),"-")</f>
        <v>-</v>
      </c>
      <c r="N42" s="789"/>
      <c r="O42" s="790"/>
      <c r="P42" s="788" t="str">
        <f>IFERROR(VLOOKUP($C$42,'IRP (LLPA)'!$AE$4:$AL$50,MATCH('IRP (Calc)'!P37,'IRP (LLPA)'!$AE$4:$AL$4,0),FALSE),"-")</f>
        <v>-</v>
      </c>
      <c r="Q42" s="789"/>
      <c r="R42" s="790"/>
      <c r="S42" s="788" t="str">
        <f>IFERROR(VLOOKUP($C$42,'IRP (LLPA)'!$AE$4:$AL$50,MATCH('IRP (Calc)'!S37,'IRP (LLPA)'!$AE$4:$AL$4,0),FALSE),"-")</f>
        <v>-</v>
      </c>
      <c r="T42" s="789"/>
      <c r="U42" s="790"/>
      <c r="V42" s="788" t="str">
        <f>IFERROR(VLOOKUP($C$42,'IRP (LLPA)'!$AE$4:$AL$50,MATCH('IRP (Calc)'!V37,'IRP (LLPA)'!$AE$4:$AL$4,0),FALSE),"-")</f>
        <v>-</v>
      </c>
      <c r="W42" s="789"/>
      <c r="X42" s="790"/>
      <c r="Z42" s="416">
        <f t="shared" si="58"/>
        <v>2.7499999999999997E-2</v>
      </c>
      <c r="AA42" s="67">
        <f t="shared" si="40"/>
        <v>1.0074999999999998</v>
      </c>
      <c r="AB42" s="57" t="str">
        <f t="shared" si="41"/>
        <v>-</v>
      </c>
      <c r="AC42" s="67" t="str">
        <f t="shared" si="42"/>
        <v>-</v>
      </c>
      <c r="AD42" s="115" t="str">
        <f t="shared" si="43"/>
        <v>-</v>
      </c>
      <c r="AE42" s="115" t="str">
        <f t="shared" si="44"/>
        <v>-</v>
      </c>
      <c r="AF42" s="51" t="str">
        <f t="shared" si="45"/>
        <v>- | -</v>
      </c>
      <c r="AG42" s="52" t="str">
        <f t="shared" si="46"/>
        <v>-</v>
      </c>
      <c r="AH42" s="52" t="str">
        <f t="shared" si="47"/>
        <v>-</v>
      </c>
      <c r="AI42" s="52">
        <f t="shared" si="48"/>
        <v>0</v>
      </c>
      <c r="AJ42" s="52">
        <f t="shared" si="49"/>
        <v>0</v>
      </c>
      <c r="AK42" s="52" t="str">
        <f t="shared" si="50"/>
        <v>-</v>
      </c>
      <c r="AL42" s="51" t="str">
        <f t="shared" si="51"/>
        <v>-</v>
      </c>
      <c r="AM42" s="52" t="str">
        <f t="shared" si="52"/>
        <v>-</v>
      </c>
      <c r="AN42" s="51" t="str">
        <f t="shared" si="53"/>
        <v>-</v>
      </c>
      <c r="AO42" s="415" t="e">
        <f t="shared" si="54"/>
        <v>#VALUE!</v>
      </c>
      <c r="AP42" s="640"/>
      <c r="AQ42" s="440"/>
      <c r="AR42" s="439" t="e">
        <f t="shared" si="59"/>
        <v>#VALUE!</v>
      </c>
      <c r="AS42" s="439" t="str">
        <f t="shared" si="55"/>
        <v>-</v>
      </c>
      <c r="AT42" s="438" t="str">
        <f t="shared" si="56"/>
        <v>-</v>
      </c>
      <c r="AU42" s="437" t="str">
        <f t="shared" si="57"/>
        <v>-</v>
      </c>
    </row>
    <row r="43" spans="1:47" x14ac:dyDescent="0.25">
      <c r="B43" s="452" t="s">
        <v>1993</v>
      </c>
      <c r="C43" s="451">
        <f>$C$18</f>
        <v>0</v>
      </c>
      <c r="D43" s="788" t="str">
        <f>IFERROR(VLOOKUP($C$43,'IRP (LLPA)'!$AE$4:$AL$50,MATCH('IRP (Calc)'!D37,'IRP (LLPA)'!$AE$4:$AL$4,0),FALSE),"-")</f>
        <v>-</v>
      </c>
      <c r="E43" s="789"/>
      <c r="F43" s="789"/>
      <c r="G43" s="788" t="str">
        <f>IFERROR(VLOOKUP($C$43,'IRP (LLPA)'!$AE$4:$AL$50,MATCH('IRP (Calc)'!G37,'IRP (LLPA)'!$AE$4:$AL$4,0),FALSE),"-")</f>
        <v>-</v>
      </c>
      <c r="H43" s="789"/>
      <c r="I43" s="790"/>
      <c r="J43" s="788" t="str">
        <f>IFERROR(VLOOKUP($C$43,'IRP (LLPA)'!$AE$4:$AL$50,MATCH('IRP (Calc)'!J37,'IRP (LLPA)'!$AE$4:$AL$4,0),FALSE),"-")</f>
        <v>-</v>
      </c>
      <c r="K43" s="789"/>
      <c r="L43" s="790"/>
      <c r="M43" s="788" t="str">
        <f>IFERROR(VLOOKUP($C$43,'IRP (LLPA)'!$AE$4:$AL$50,MATCH('IRP (Calc)'!M37,'IRP (LLPA)'!$AE$4:$AL$4,0),FALSE),"-")</f>
        <v>-</v>
      </c>
      <c r="N43" s="789"/>
      <c r="O43" s="790"/>
      <c r="P43" s="788" t="str">
        <f>IFERROR(VLOOKUP($C$43,'IRP (LLPA)'!$AE$4:$AL$50,MATCH('IRP (Calc)'!P37,'IRP (LLPA)'!$AE$4:$AL$4,0),FALSE),"-")</f>
        <v>-</v>
      </c>
      <c r="Q43" s="789"/>
      <c r="R43" s="790"/>
      <c r="S43" s="788" t="str">
        <f>IFERROR(VLOOKUP($C$43,'IRP (LLPA)'!$AE$4:$AL$50,MATCH('IRP (Calc)'!S37,'IRP (LLPA)'!$AE$4:$AL$4,0),FALSE),"-")</f>
        <v>-</v>
      </c>
      <c r="T43" s="789"/>
      <c r="U43" s="790"/>
      <c r="V43" s="788" t="str">
        <f>IFERROR(VLOOKUP($C$43,'IRP (LLPA)'!$AE$4:$AL$50,MATCH('IRP (Calc)'!V37,'IRP (LLPA)'!$AE$4:$AL$4,0),FALSE),"-")</f>
        <v>-</v>
      </c>
      <c r="W43" s="789"/>
      <c r="X43" s="790"/>
      <c r="Z43" s="416">
        <f t="shared" si="58"/>
        <v>2.9999999999999995E-2</v>
      </c>
      <c r="AA43" s="67">
        <f t="shared" si="40"/>
        <v>1.0049999999999999</v>
      </c>
      <c r="AB43" s="57" t="str">
        <f t="shared" si="41"/>
        <v>-</v>
      </c>
      <c r="AC43" s="67" t="str">
        <f t="shared" si="42"/>
        <v>-</v>
      </c>
      <c r="AD43" s="115" t="str">
        <f t="shared" si="43"/>
        <v>-</v>
      </c>
      <c r="AE43" s="115" t="str">
        <f t="shared" si="44"/>
        <v>-</v>
      </c>
      <c r="AF43" s="51" t="str">
        <f t="shared" si="45"/>
        <v>- | -</v>
      </c>
      <c r="AG43" s="52" t="str">
        <f t="shared" si="46"/>
        <v>-</v>
      </c>
      <c r="AH43" s="52" t="str">
        <f t="shared" si="47"/>
        <v>-</v>
      </c>
      <c r="AI43" s="52">
        <f t="shared" si="48"/>
        <v>0</v>
      </c>
      <c r="AJ43" s="52">
        <f t="shared" si="49"/>
        <v>0</v>
      </c>
      <c r="AK43" s="52" t="str">
        <f t="shared" si="50"/>
        <v>-</v>
      </c>
      <c r="AL43" s="51" t="str">
        <f t="shared" si="51"/>
        <v>-</v>
      </c>
      <c r="AM43" s="52" t="str">
        <f t="shared" si="52"/>
        <v>-</v>
      </c>
      <c r="AN43" s="51" t="str">
        <f t="shared" si="53"/>
        <v>-</v>
      </c>
      <c r="AO43" s="415" t="e">
        <f t="shared" si="54"/>
        <v>#VALUE!</v>
      </c>
      <c r="AP43" s="640"/>
      <c r="AQ43" s="440"/>
      <c r="AR43" s="439" t="e">
        <f t="shared" si="59"/>
        <v>#VALUE!</v>
      </c>
      <c r="AS43" s="439" t="str">
        <f t="shared" si="55"/>
        <v>-</v>
      </c>
      <c r="AT43" s="438" t="str">
        <f t="shared" si="56"/>
        <v>-</v>
      </c>
      <c r="AU43" s="437" t="str">
        <f t="shared" si="57"/>
        <v>-</v>
      </c>
    </row>
    <row r="44" spans="1:47" x14ac:dyDescent="0.25">
      <c r="B44" s="897" t="s">
        <v>1416</v>
      </c>
      <c r="C44" s="898"/>
      <c r="D44" s="788" t="str">
        <f>IF(OR(D39="-",D40="-",D41="-",D42="-",D43="-"),"-",SUM(D39:F43))</f>
        <v>-</v>
      </c>
      <c r="E44" s="789"/>
      <c r="F44" s="789"/>
      <c r="G44" s="788" t="str">
        <f>IF(OR(G39="-",G40="-",G41="-",G42="-",G43="-"),"-",SUM(G39:I43))</f>
        <v>-</v>
      </c>
      <c r="H44" s="789"/>
      <c r="I44" s="790"/>
      <c r="J44" s="788" t="str">
        <f>IF(OR(J39="-",J40="-",J41="-",J42="-",J43="-"),"-",SUM(J39:L43))</f>
        <v>-</v>
      </c>
      <c r="K44" s="789"/>
      <c r="L44" s="790"/>
      <c r="M44" s="788" t="str">
        <f>IF(OR(M39="-",M40="-",M41="-",M42="-",M43="-"),"-",SUM(M39:O43))</f>
        <v>-</v>
      </c>
      <c r="N44" s="789"/>
      <c r="O44" s="790"/>
      <c r="P44" s="788" t="str">
        <f>IF(OR(P39="-",P40="-",P41="-",P42="-",P43="-"),"-",SUM(P39:R43))</f>
        <v>-</v>
      </c>
      <c r="Q44" s="789"/>
      <c r="R44" s="790"/>
      <c r="S44" s="788" t="str">
        <f>IF(OR(S39="-",S40="-",S41="-",S42="-",S43="-"),"-",SUM(S39:U43))</f>
        <v>-</v>
      </c>
      <c r="T44" s="789"/>
      <c r="U44" s="790"/>
      <c r="V44" s="788" t="str">
        <f>IF(OR(V39="-",V40="-",V41="-",V42="-",V43="-"),"-",SUM(V39:X43))</f>
        <v>-</v>
      </c>
      <c r="W44" s="789"/>
      <c r="X44" s="790"/>
      <c r="Z44" s="416">
        <f t="shared" si="58"/>
        <v>3.2499999999999994E-2</v>
      </c>
      <c r="AA44" s="67">
        <f t="shared" si="40"/>
        <v>1.0024999999999999</v>
      </c>
      <c r="AB44" s="57" t="str">
        <f t="shared" si="41"/>
        <v>-</v>
      </c>
      <c r="AC44" s="67" t="str">
        <f t="shared" si="42"/>
        <v>-</v>
      </c>
      <c r="AD44" s="115" t="str">
        <f t="shared" si="43"/>
        <v>-</v>
      </c>
      <c r="AE44" s="115" t="str">
        <f t="shared" si="44"/>
        <v>-</v>
      </c>
      <c r="AF44" s="51" t="str">
        <f t="shared" si="45"/>
        <v>- | -</v>
      </c>
      <c r="AG44" s="52" t="str">
        <f t="shared" si="46"/>
        <v>-</v>
      </c>
      <c r="AH44" s="52" t="str">
        <f t="shared" si="47"/>
        <v>-</v>
      </c>
      <c r="AI44" s="52">
        <f t="shared" si="48"/>
        <v>0</v>
      </c>
      <c r="AJ44" s="52">
        <f t="shared" si="49"/>
        <v>0</v>
      </c>
      <c r="AK44" s="52" t="str">
        <f t="shared" si="50"/>
        <v>-</v>
      </c>
      <c r="AL44" s="51" t="str">
        <f t="shared" si="51"/>
        <v>-</v>
      </c>
      <c r="AM44" s="52" t="str">
        <f t="shared" si="52"/>
        <v>-</v>
      </c>
      <c r="AN44" s="51" t="str">
        <f t="shared" si="53"/>
        <v>-</v>
      </c>
      <c r="AO44" s="415" t="e">
        <f t="shared" si="54"/>
        <v>#VALUE!</v>
      </c>
      <c r="AP44" s="640"/>
      <c r="AQ44" s="440"/>
      <c r="AR44" s="439" t="e">
        <f t="shared" si="59"/>
        <v>#VALUE!</v>
      </c>
      <c r="AS44" s="439" t="str">
        <f t="shared" si="55"/>
        <v>-</v>
      </c>
      <c r="AT44" s="438" t="str">
        <f t="shared" si="56"/>
        <v>-</v>
      </c>
      <c r="AU44" s="437" t="str">
        <f t="shared" si="57"/>
        <v>-</v>
      </c>
    </row>
    <row r="45" spans="1:47" x14ac:dyDescent="0.25">
      <c r="B45" s="902" t="s">
        <v>1731</v>
      </c>
      <c r="C45" s="903"/>
      <c r="D45" s="795" t="str">
        <f>IF(D44="-","-",VLOOKUP($C$6,'IRP (LLPA)'!$D$17:$K$27,MATCH('IRP (Calc)'!D37,'IRP (LLPA)'!$D$17:$K$17,0),FALSE))</f>
        <v>-</v>
      </c>
      <c r="E45" s="796"/>
      <c r="F45" s="796"/>
      <c r="G45" s="795" t="str">
        <f>IF(G44="-","-",VLOOKUP($C$6,'IRP (LLPA)'!$D$17:$K$27,MATCH('IRP (Calc)'!G37,'IRP (LLPA)'!$D$17:$K$17,0),FALSE))</f>
        <v>-</v>
      </c>
      <c r="H45" s="796"/>
      <c r="I45" s="797"/>
      <c r="J45" s="795" t="str">
        <f>IF(J44="-","-",VLOOKUP($C$6,'IRP (LLPA)'!$D$17:$K$27,MATCH('IRP (Calc)'!J37,'IRP (LLPA)'!$D$17:$K$17,0),FALSE))</f>
        <v>-</v>
      </c>
      <c r="K45" s="796"/>
      <c r="L45" s="797"/>
      <c r="M45" s="795" t="str">
        <f>IF(M44="-","-",VLOOKUP($C$6,'IRP (LLPA)'!$D$17:$K$27,MATCH('IRP (Calc)'!M37,'IRP (LLPA)'!$D$17:$K$17,0),FALSE))</f>
        <v>-</v>
      </c>
      <c r="N45" s="796"/>
      <c r="O45" s="797"/>
      <c r="P45" s="795" t="str">
        <f>IF(P44="-","-",VLOOKUP($C$6,'IRP (LLPA)'!$D$17:$K$27,MATCH('IRP (Calc)'!P37,'IRP (LLPA)'!$D$17:$K$17,0),FALSE))</f>
        <v>-</v>
      </c>
      <c r="Q45" s="796"/>
      <c r="R45" s="797"/>
      <c r="S45" s="795" t="str">
        <f>IF(S44="-","-",VLOOKUP($C$6,'IRP (LLPA)'!$D$17:$K$27,MATCH('IRP (Calc)'!S37,'IRP (LLPA)'!$D$17:$K$17,0),FALSE))</f>
        <v>-</v>
      </c>
      <c r="T45" s="796"/>
      <c r="U45" s="797"/>
      <c r="V45" s="795" t="str">
        <f>IF(V44="-","-",VLOOKUP($C$6,'IRP (LLPA)'!$D$17:$K$27,MATCH('IRP (Calc)'!V37,'IRP (LLPA)'!$D$17:$K$17,0),FALSE))</f>
        <v>-</v>
      </c>
      <c r="W45" s="796"/>
      <c r="X45" s="797"/>
      <c r="Z45" s="416">
        <f t="shared" si="58"/>
        <v>3.4999999999999996E-2</v>
      </c>
      <c r="AA45" s="67">
        <f t="shared" si="40"/>
        <v>0.99999999999999989</v>
      </c>
      <c r="AB45" s="57" t="str">
        <f t="shared" si="41"/>
        <v>-</v>
      </c>
      <c r="AC45" s="67" t="str">
        <f t="shared" si="42"/>
        <v>-</v>
      </c>
      <c r="AD45" s="115" t="str">
        <f t="shared" si="43"/>
        <v>-</v>
      </c>
      <c r="AE45" s="115" t="str">
        <f t="shared" si="44"/>
        <v>-</v>
      </c>
      <c r="AF45" s="51" t="str">
        <f t="shared" si="45"/>
        <v>- | -</v>
      </c>
      <c r="AG45" s="52" t="str">
        <f t="shared" si="46"/>
        <v>-</v>
      </c>
      <c r="AH45" s="52" t="str">
        <f t="shared" si="47"/>
        <v>-</v>
      </c>
      <c r="AI45" s="52">
        <f t="shared" si="48"/>
        <v>0</v>
      </c>
      <c r="AJ45" s="52">
        <f t="shared" si="49"/>
        <v>0</v>
      </c>
      <c r="AK45" s="52" t="str">
        <f t="shared" si="50"/>
        <v>-</v>
      </c>
      <c r="AL45" s="51" t="str">
        <f t="shared" si="51"/>
        <v>-</v>
      </c>
      <c r="AM45" s="52" t="str">
        <f t="shared" si="52"/>
        <v>-</v>
      </c>
      <c r="AN45" s="51" t="str">
        <f t="shared" si="53"/>
        <v>-</v>
      </c>
      <c r="AO45" s="415" t="e">
        <f t="shared" si="54"/>
        <v>#VALUE!</v>
      </c>
      <c r="AP45" s="640"/>
      <c r="AQ45" s="440"/>
      <c r="AR45" s="439" t="e">
        <f t="shared" si="59"/>
        <v>#VALUE!</v>
      </c>
      <c r="AS45" s="439" t="str">
        <f t="shared" si="55"/>
        <v>-</v>
      </c>
      <c r="AT45" s="438" t="str">
        <f t="shared" si="56"/>
        <v>-</v>
      </c>
      <c r="AU45" s="437" t="str">
        <f t="shared" si="57"/>
        <v>-</v>
      </c>
    </row>
    <row r="46" spans="1:47" x14ac:dyDescent="0.25">
      <c r="Z46" s="416">
        <f t="shared" si="58"/>
        <v>3.7499999999999999E-2</v>
      </c>
      <c r="AA46" s="67">
        <f t="shared" si="40"/>
        <v>0.99749999999999994</v>
      </c>
      <c r="AB46" s="57" t="str">
        <f t="shared" si="41"/>
        <v>-</v>
      </c>
      <c r="AC46" s="67" t="str">
        <f t="shared" si="42"/>
        <v>-</v>
      </c>
      <c r="AD46" s="115" t="str">
        <f t="shared" si="43"/>
        <v>-</v>
      </c>
      <c r="AE46" s="115" t="str">
        <f t="shared" si="44"/>
        <v>-</v>
      </c>
      <c r="AF46" s="51" t="str">
        <f t="shared" si="45"/>
        <v>- | -</v>
      </c>
      <c r="AG46" s="52" t="str">
        <f t="shared" si="46"/>
        <v>-</v>
      </c>
      <c r="AH46" s="52" t="str">
        <f t="shared" si="47"/>
        <v>-</v>
      </c>
      <c r="AI46" s="52">
        <f t="shared" si="48"/>
        <v>0</v>
      </c>
      <c r="AJ46" s="52">
        <f t="shared" si="49"/>
        <v>0</v>
      </c>
      <c r="AK46" s="52" t="str">
        <f t="shared" si="50"/>
        <v>-</v>
      </c>
      <c r="AL46" s="51" t="str">
        <f t="shared" si="51"/>
        <v>-</v>
      </c>
      <c r="AM46" s="52" t="str">
        <f t="shared" si="52"/>
        <v>-</v>
      </c>
      <c r="AN46" s="51" t="str">
        <f t="shared" si="53"/>
        <v>-</v>
      </c>
      <c r="AO46" s="415" t="e">
        <f t="shared" si="54"/>
        <v>#VALUE!</v>
      </c>
      <c r="AP46" s="640"/>
      <c r="AQ46" s="440"/>
      <c r="AR46" s="439" t="e">
        <f t="shared" si="59"/>
        <v>#VALUE!</v>
      </c>
      <c r="AS46" s="439" t="str">
        <f t="shared" si="55"/>
        <v>-</v>
      </c>
      <c r="AT46" s="438" t="str">
        <f t="shared" si="56"/>
        <v>-</v>
      </c>
      <c r="AU46" s="437" t="str">
        <f t="shared" si="57"/>
        <v>-</v>
      </c>
    </row>
    <row r="47" spans="1:47" x14ac:dyDescent="0.25">
      <c r="A47" s="450" t="s">
        <v>2011</v>
      </c>
      <c r="B47" s="449" t="s">
        <v>1729</v>
      </c>
      <c r="C47" s="447" t="s">
        <v>2010</v>
      </c>
      <c r="D47" s="449" t="s">
        <v>1714</v>
      </c>
      <c r="E47" s="448" t="s">
        <v>1727</v>
      </c>
      <c r="F47" s="447" t="s">
        <v>1725</v>
      </c>
      <c r="G47" s="449" t="s">
        <v>1714</v>
      </c>
      <c r="H47" s="448" t="s">
        <v>1727</v>
      </c>
      <c r="I47" s="447" t="s">
        <v>1723</v>
      </c>
      <c r="J47" s="449" t="s">
        <v>1714</v>
      </c>
      <c r="K47" s="448" t="s">
        <v>1727</v>
      </c>
      <c r="L47" s="447" t="s">
        <v>1721</v>
      </c>
      <c r="M47" s="449" t="s">
        <v>1714</v>
      </c>
      <c r="N47" s="448" t="s">
        <v>1727</v>
      </c>
      <c r="O47" s="447" t="s">
        <v>1719</v>
      </c>
      <c r="P47" s="449" t="s">
        <v>1714</v>
      </c>
      <c r="Q47" s="448" t="s">
        <v>1727</v>
      </c>
      <c r="R47" s="447" t="s">
        <v>1717</v>
      </c>
      <c r="S47" s="449" t="s">
        <v>1714</v>
      </c>
      <c r="T47" s="448" t="s">
        <v>1727</v>
      </c>
      <c r="U47" s="447" t="s">
        <v>1715</v>
      </c>
      <c r="V47" s="449" t="s">
        <v>1714</v>
      </c>
      <c r="W47" s="448" t="s">
        <v>1727</v>
      </c>
      <c r="X47" s="447" t="s">
        <v>1712</v>
      </c>
      <c r="Z47" s="416">
        <f t="shared" si="58"/>
        <v>0.04</v>
      </c>
      <c r="AA47" s="67">
        <f t="shared" si="40"/>
        <v>0.99499999999999988</v>
      </c>
      <c r="AB47" s="57" t="str">
        <f t="shared" si="41"/>
        <v>-</v>
      </c>
      <c r="AC47" s="67" t="str">
        <f t="shared" si="42"/>
        <v>-</v>
      </c>
      <c r="AD47" s="115" t="str">
        <f t="shared" si="43"/>
        <v>-</v>
      </c>
      <c r="AE47" s="115" t="str">
        <f t="shared" si="44"/>
        <v>-</v>
      </c>
      <c r="AF47" s="51" t="str">
        <f t="shared" si="45"/>
        <v>- | -</v>
      </c>
      <c r="AG47" s="52" t="str">
        <f t="shared" si="46"/>
        <v>-</v>
      </c>
      <c r="AH47" s="52" t="str">
        <f t="shared" si="47"/>
        <v>-</v>
      </c>
      <c r="AI47" s="52">
        <f t="shared" si="48"/>
        <v>0</v>
      </c>
      <c r="AJ47" s="52">
        <f t="shared" si="49"/>
        <v>0</v>
      </c>
      <c r="AK47" s="52" t="str">
        <f t="shared" si="50"/>
        <v>-</v>
      </c>
      <c r="AL47" s="51" t="str">
        <f t="shared" si="51"/>
        <v>-</v>
      </c>
      <c r="AM47" s="52" t="str">
        <f t="shared" si="52"/>
        <v>-</v>
      </c>
      <c r="AN47" s="51" t="str">
        <f t="shared" si="53"/>
        <v>-</v>
      </c>
      <c r="AO47" s="415" t="e">
        <f t="shared" si="54"/>
        <v>#VALUE!</v>
      </c>
      <c r="AP47" s="640"/>
      <c r="AQ47" s="440"/>
      <c r="AR47" s="439" t="e">
        <f t="shared" si="59"/>
        <v>#VALUE!</v>
      </c>
      <c r="AS47" s="439" t="str">
        <f t="shared" si="55"/>
        <v>-</v>
      </c>
      <c r="AT47" s="438" t="str">
        <f t="shared" si="56"/>
        <v>-</v>
      </c>
      <c r="AU47" s="437" t="str">
        <f t="shared" si="57"/>
        <v>-</v>
      </c>
    </row>
    <row r="48" spans="1:47" x14ac:dyDescent="0.25">
      <c r="A48" s="446" t="str">
        <f>IFERROR(VLOOKUP($C$7,'IRP (LLPA)'!$A$19:$B$24,2,FALSE),"-")</f>
        <v>-</v>
      </c>
      <c r="B48" s="445">
        <v>103.5</v>
      </c>
      <c r="C48" s="444">
        <v>103.5</v>
      </c>
      <c r="D48" s="218" t="s">
        <v>1714</v>
      </c>
      <c r="E48" s="195" t="s">
        <v>1726</v>
      </c>
      <c r="F48" s="337" t="s">
        <v>1725</v>
      </c>
      <c r="G48" s="218" t="s">
        <v>1714</v>
      </c>
      <c r="H48" s="195" t="s">
        <v>1724</v>
      </c>
      <c r="I48" s="337" t="s">
        <v>1723</v>
      </c>
      <c r="J48" s="218" t="s">
        <v>1714</v>
      </c>
      <c r="K48" s="195" t="s">
        <v>1722</v>
      </c>
      <c r="L48" s="337" t="s">
        <v>1721</v>
      </c>
      <c r="M48" s="218" t="s">
        <v>1714</v>
      </c>
      <c r="N48" s="195" t="s">
        <v>1720</v>
      </c>
      <c r="O48" s="337" t="s">
        <v>1719</v>
      </c>
      <c r="P48" s="218" t="s">
        <v>1714</v>
      </c>
      <c r="Q48" s="195" t="s">
        <v>1718</v>
      </c>
      <c r="R48" s="337" t="s">
        <v>1717</v>
      </c>
      <c r="S48" s="218" t="s">
        <v>1714</v>
      </c>
      <c r="T48" s="195" t="s">
        <v>1716</v>
      </c>
      <c r="U48" s="337" t="s">
        <v>1715</v>
      </c>
      <c r="V48" s="218" t="s">
        <v>1714</v>
      </c>
      <c r="W48" s="195" t="s">
        <v>1713</v>
      </c>
      <c r="X48" s="337" t="s">
        <v>1712</v>
      </c>
      <c r="Z48" s="416">
        <f t="shared" si="58"/>
        <v>4.2500000000000003E-2</v>
      </c>
      <c r="AA48" s="67">
        <f t="shared" si="40"/>
        <v>0.99249999999999994</v>
      </c>
      <c r="AB48" s="57" t="str">
        <f t="shared" si="41"/>
        <v>-</v>
      </c>
      <c r="AC48" s="67" t="str">
        <f t="shared" si="42"/>
        <v>-</v>
      </c>
      <c r="AD48" s="115" t="str">
        <f t="shared" si="43"/>
        <v>-</v>
      </c>
      <c r="AE48" s="115" t="str">
        <f t="shared" si="44"/>
        <v>-</v>
      </c>
      <c r="AF48" s="51" t="str">
        <f t="shared" si="45"/>
        <v>- | -</v>
      </c>
      <c r="AG48" s="52" t="str">
        <f t="shared" si="46"/>
        <v>-</v>
      </c>
      <c r="AH48" s="52" t="str">
        <f t="shared" si="47"/>
        <v>-</v>
      </c>
      <c r="AI48" s="52">
        <f t="shared" si="48"/>
        <v>0</v>
      </c>
      <c r="AJ48" s="52">
        <f t="shared" si="49"/>
        <v>0</v>
      </c>
      <c r="AK48" s="52" t="str">
        <f t="shared" si="50"/>
        <v>-</v>
      </c>
      <c r="AL48" s="51" t="str">
        <f t="shared" si="51"/>
        <v>-</v>
      </c>
      <c r="AM48" s="52" t="str">
        <f t="shared" si="52"/>
        <v>-</v>
      </c>
      <c r="AN48" s="51" t="str">
        <f t="shared" si="53"/>
        <v>-</v>
      </c>
      <c r="AO48" s="415" t="e">
        <f t="shared" si="54"/>
        <v>#VALUE!</v>
      </c>
      <c r="AP48" s="640"/>
      <c r="AQ48" s="440"/>
      <c r="AR48" s="439" t="e">
        <f t="shared" si="59"/>
        <v>#VALUE!</v>
      </c>
      <c r="AS48" s="439" t="str">
        <f t="shared" si="55"/>
        <v>-</v>
      </c>
      <c r="AT48" s="438" t="str">
        <f t="shared" si="56"/>
        <v>-</v>
      </c>
      <c r="AU48" s="437" t="str">
        <f t="shared" si="57"/>
        <v>-</v>
      </c>
    </row>
    <row r="49" spans="1:47" x14ac:dyDescent="0.25">
      <c r="A49" s="443">
        <v>0</v>
      </c>
      <c r="B49" s="298">
        <v>103.5</v>
      </c>
      <c r="C49" s="441" t="str">
        <f t="shared" ref="C49:C71" si="60">IF($A$48="-","-",((B49-$C$48)/$A$48)/100)</f>
        <v>-</v>
      </c>
      <c r="D49" s="442" t="str">
        <f t="shared" ref="D49:D71" si="61">IF(OR(D$45="-",D$44="-"),"-",MAX((D$44+D$45+$C49),$C$73))</f>
        <v>-</v>
      </c>
      <c r="E49" s="299" t="str">
        <f t="shared" ref="E49:E71" si="62">IF(D49="-","-",IF($C$8="No IO",PV(D49/12,360,-$C$27),(($C$25/$C$26)/D49/12)))</f>
        <v>-</v>
      </c>
      <c r="F49" s="441" t="str">
        <f t="shared" ref="F49:F71" si="63">IF(E49="-","-",IF(E49&lt;D$35,"-",D49))</f>
        <v>-</v>
      </c>
      <c r="G49" s="442" t="str">
        <f t="shared" ref="G49:G71" si="64">IF(OR(G$45="-",G$44="-"),"-",MAX((G$44+G$45+$C49),$C$73))</f>
        <v>-</v>
      </c>
      <c r="H49" s="299" t="str">
        <f t="shared" ref="H49:H71" si="65">IF(G49="-","-",IF($C$8="No IO",PV(G49/12,360,-$C$27),(($C$25/$C$26)/G49/12)))</f>
        <v>-</v>
      </c>
      <c r="I49" s="441" t="str">
        <f t="shared" ref="I49:I71" si="66">IF(H49="-","-",IF(H49&lt;G$35,"-",G49))</f>
        <v>-</v>
      </c>
      <c r="J49" s="442" t="str">
        <f t="shared" ref="J49:J71" si="67">IF(OR(J$45="-",J$44="-"),"-",MAX((J$44+J$45+$C49),$C$73))</f>
        <v>-</v>
      </c>
      <c r="K49" s="299" t="str">
        <f t="shared" ref="K49:K71" si="68">IF(J49="-","-",IF($C$8="No IO",PV(J49/12,360,-$C$27),(($C$25/$C$26)/J49/12)))</f>
        <v>-</v>
      </c>
      <c r="L49" s="441" t="str">
        <f t="shared" ref="L49:L71" si="69">IF(K49="-","-",IF(K49&lt;J$35,"-",J49))</f>
        <v>-</v>
      </c>
      <c r="M49" s="442" t="str">
        <f t="shared" ref="M49:M71" si="70">IF(OR(M$45="-",M$44="-"),"-",MAX((M$44+M$45+$C49),$C$73))</f>
        <v>-</v>
      </c>
      <c r="N49" s="299" t="str">
        <f t="shared" ref="N49:N71" si="71">IF(M49="-","-",IF($C$8="No IO",PV(M49/12,360,-$C$27),(($C$25/$C$26)/M49/12)))</f>
        <v>-</v>
      </c>
      <c r="O49" s="441" t="str">
        <f t="shared" ref="O49:O71" si="72">IF(N49="-","-",IF(N49&lt;M$35,"-",M49))</f>
        <v>-</v>
      </c>
      <c r="P49" s="442" t="str">
        <f t="shared" ref="P49:P71" si="73">IF(OR(P$45="-",P$44="-"),"-",MAX((P$44+P$45+$C49),$C$73))</f>
        <v>-</v>
      </c>
      <c r="Q49" s="299" t="str">
        <f t="shared" ref="Q49:Q71" si="74">IF(P49="-","-",IF($C$8="No IO",PV(P49/12,360,-$C$27),(($C$25/$C$26)/P49/12)))</f>
        <v>-</v>
      </c>
      <c r="R49" s="441" t="str">
        <f t="shared" ref="R49:R71" si="75">IF(Q49="-","-",IF(Q49&lt;P$35,"-",P49))</f>
        <v>-</v>
      </c>
      <c r="S49" s="442" t="str">
        <f t="shared" ref="S49:S71" si="76">IF(OR(S$45="-",S$44="-"),"-",MAX((S$44+S$45+$C49),$C$73))</f>
        <v>-</v>
      </c>
      <c r="T49" s="299" t="str">
        <f t="shared" ref="T49:T71" si="77">IF(S49="-","-",IF($C$8="No IO",PV(S49/12,360,-$C$27),(($C$25/$C$26)/S49/12)))</f>
        <v>-</v>
      </c>
      <c r="U49" s="441" t="str">
        <f t="shared" ref="U49:U71" si="78">IF(T49="-","-",IF(T49&lt;S$35,"-",S49))</f>
        <v>-</v>
      </c>
      <c r="V49" s="442" t="str">
        <f t="shared" ref="V49:V71" si="79">IF(OR(V$45="-",V$44="-"),"-",MAX((V$44+V$45+$C49),$C$73))</f>
        <v>-</v>
      </c>
      <c r="W49" s="299" t="str">
        <f t="shared" ref="W49:W71" si="80">IF(V49="-","-",IF($C$8="No IO",PV(V49/12,360,-$C$27),(($C$25/$C$26)/V49/12)))</f>
        <v>-</v>
      </c>
      <c r="X49" s="441" t="str">
        <f t="shared" ref="X49:X71" si="81">IF(W49="-","-",IF(W49&lt;V$35,"-",V49))</f>
        <v>-</v>
      </c>
      <c r="Z49" s="416">
        <f t="shared" si="58"/>
        <v>4.5000000000000005E-2</v>
      </c>
      <c r="AA49" s="67">
        <f t="shared" si="40"/>
        <v>0.98999999999999988</v>
      </c>
      <c r="AB49" s="57" t="str">
        <f t="shared" si="41"/>
        <v>-</v>
      </c>
      <c r="AC49" s="67" t="str">
        <f t="shared" si="42"/>
        <v>-</v>
      </c>
      <c r="AD49" s="115" t="str">
        <f t="shared" si="43"/>
        <v>-</v>
      </c>
      <c r="AE49" s="115" t="str">
        <f t="shared" si="44"/>
        <v>-</v>
      </c>
      <c r="AF49" s="51" t="str">
        <f t="shared" si="45"/>
        <v>- | -</v>
      </c>
      <c r="AG49" s="52" t="str">
        <f t="shared" si="46"/>
        <v>-</v>
      </c>
      <c r="AH49" s="52" t="str">
        <f t="shared" si="47"/>
        <v>-</v>
      </c>
      <c r="AI49" s="52">
        <f t="shared" si="48"/>
        <v>0</v>
      </c>
      <c r="AJ49" s="52">
        <f t="shared" si="49"/>
        <v>0</v>
      </c>
      <c r="AK49" s="52" t="str">
        <f t="shared" si="50"/>
        <v>-</v>
      </c>
      <c r="AL49" s="51" t="str">
        <f t="shared" si="51"/>
        <v>-</v>
      </c>
      <c r="AM49" s="52" t="str">
        <f t="shared" si="52"/>
        <v>-</v>
      </c>
      <c r="AN49" s="51" t="str">
        <f t="shared" si="53"/>
        <v>-</v>
      </c>
      <c r="AO49" s="415" t="e">
        <f t="shared" si="54"/>
        <v>#VALUE!</v>
      </c>
      <c r="AP49" s="640"/>
      <c r="AQ49" s="440"/>
      <c r="AR49" s="439" t="e">
        <f t="shared" si="59"/>
        <v>#VALUE!</v>
      </c>
      <c r="AS49" s="439" t="str">
        <f t="shared" si="55"/>
        <v>-</v>
      </c>
      <c r="AT49" s="438" t="str">
        <f t="shared" si="56"/>
        <v>-</v>
      </c>
      <c r="AU49" s="437" t="str">
        <f t="shared" si="57"/>
        <v>-</v>
      </c>
    </row>
    <row r="50" spans="1:47" x14ac:dyDescent="0.25">
      <c r="A50" s="421">
        <v>0.25</v>
      </c>
      <c r="B50" s="214">
        <v>103.25</v>
      </c>
      <c r="C50" s="204" t="str">
        <f t="shared" si="60"/>
        <v>-</v>
      </c>
      <c r="D50" s="420" t="str">
        <f t="shared" si="61"/>
        <v>-</v>
      </c>
      <c r="E50" s="52" t="str">
        <f t="shared" si="62"/>
        <v>-</v>
      </c>
      <c r="F50" s="204" t="str">
        <f t="shared" si="63"/>
        <v>-</v>
      </c>
      <c r="G50" s="420" t="str">
        <f t="shared" si="64"/>
        <v>-</v>
      </c>
      <c r="H50" s="52" t="str">
        <f t="shared" si="65"/>
        <v>-</v>
      </c>
      <c r="I50" s="204" t="str">
        <f t="shared" si="66"/>
        <v>-</v>
      </c>
      <c r="J50" s="420" t="str">
        <f t="shared" si="67"/>
        <v>-</v>
      </c>
      <c r="K50" s="52" t="str">
        <f t="shared" si="68"/>
        <v>-</v>
      </c>
      <c r="L50" s="204" t="str">
        <f t="shared" si="69"/>
        <v>-</v>
      </c>
      <c r="M50" s="420" t="str">
        <f t="shared" si="70"/>
        <v>-</v>
      </c>
      <c r="N50" s="52" t="str">
        <f t="shared" si="71"/>
        <v>-</v>
      </c>
      <c r="O50" s="204" t="str">
        <f t="shared" si="72"/>
        <v>-</v>
      </c>
      <c r="P50" s="420" t="str">
        <f t="shared" si="73"/>
        <v>-</v>
      </c>
      <c r="Q50" s="52" t="str">
        <f t="shared" si="74"/>
        <v>-</v>
      </c>
      <c r="R50" s="204" t="str">
        <f t="shared" si="75"/>
        <v>-</v>
      </c>
      <c r="S50" s="420" t="str">
        <f t="shared" si="76"/>
        <v>-</v>
      </c>
      <c r="T50" s="52" t="str">
        <f t="shared" si="77"/>
        <v>-</v>
      </c>
      <c r="U50" s="204" t="str">
        <f t="shared" si="78"/>
        <v>-</v>
      </c>
      <c r="V50" s="420" t="str">
        <f t="shared" si="79"/>
        <v>-</v>
      </c>
      <c r="W50" s="52" t="str">
        <f t="shared" si="80"/>
        <v>-</v>
      </c>
      <c r="X50" s="204" t="str">
        <f t="shared" si="81"/>
        <v>-</v>
      </c>
      <c r="Z50" s="416">
        <f t="shared" si="58"/>
        <v>4.7500000000000007E-2</v>
      </c>
      <c r="AA50" s="67">
        <f t="shared" si="40"/>
        <v>0.98749999999999993</v>
      </c>
      <c r="AB50" s="57" t="str">
        <f t="shared" si="41"/>
        <v>-</v>
      </c>
      <c r="AC50" s="67" t="str">
        <f t="shared" si="42"/>
        <v>-</v>
      </c>
      <c r="AD50" s="115" t="str">
        <f t="shared" si="43"/>
        <v>-</v>
      </c>
      <c r="AE50" s="115" t="str">
        <f t="shared" si="44"/>
        <v>-</v>
      </c>
      <c r="AF50" s="51" t="str">
        <f t="shared" si="45"/>
        <v>- | -</v>
      </c>
      <c r="AG50" s="52" t="str">
        <f t="shared" si="46"/>
        <v>-</v>
      </c>
      <c r="AH50" s="52" t="str">
        <f t="shared" si="47"/>
        <v>-</v>
      </c>
      <c r="AI50" s="52">
        <f t="shared" si="48"/>
        <v>0</v>
      </c>
      <c r="AJ50" s="52">
        <f t="shared" si="49"/>
        <v>0</v>
      </c>
      <c r="AK50" s="52" t="str">
        <f t="shared" si="50"/>
        <v>-</v>
      </c>
      <c r="AL50" s="51" t="str">
        <f t="shared" si="51"/>
        <v>-</v>
      </c>
      <c r="AM50" s="52" t="str">
        <f t="shared" si="52"/>
        <v>-</v>
      </c>
      <c r="AN50" s="51" t="str">
        <f t="shared" si="53"/>
        <v>-</v>
      </c>
      <c r="AO50" s="415" t="e">
        <f t="shared" si="54"/>
        <v>#VALUE!</v>
      </c>
      <c r="AP50" s="640"/>
      <c r="AQ50" s="440"/>
      <c r="AR50" s="439" t="e">
        <f t="shared" si="59"/>
        <v>#VALUE!</v>
      </c>
      <c r="AS50" s="439" t="str">
        <f t="shared" si="55"/>
        <v>-</v>
      </c>
      <c r="AT50" s="438" t="str">
        <f t="shared" si="56"/>
        <v>-</v>
      </c>
      <c r="AU50" s="437" t="str">
        <f t="shared" si="57"/>
        <v>-</v>
      </c>
    </row>
    <row r="51" spans="1:47" x14ac:dyDescent="0.25">
      <c r="A51" s="421">
        <v>0.5</v>
      </c>
      <c r="B51" s="214">
        <v>103</v>
      </c>
      <c r="C51" s="204" t="str">
        <f t="shared" si="60"/>
        <v>-</v>
      </c>
      <c r="D51" s="420" t="str">
        <f t="shared" si="61"/>
        <v>-</v>
      </c>
      <c r="E51" s="52" t="str">
        <f t="shared" si="62"/>
        <v>-</v>
      </c>
      <c r="F51" s="204" t="str">
        <f t="shared" si="63"/>
        <v>-</v>
      </c>
      <c r="G51" s="420" t="str">
        <f t="shared" si="64"/>
        <v>-</v>
      </c>
      <c r="H51" s="52" t="str">
        <f t="shared" si="65"/>
        <v>-</v>
      </c>
      <c r="I51" s="204" t="str">
        <f t="shared" si="66"/>
        <v>-</v>
      </c>
      <c r="J51" s="420" t="str">
        <f t="shared" si="67"/>
        <v>-</v>
      </c>
      <c r="K51" s="52" t="str">
        <f t="shared" si="68"/>
        <v>-</v>
      </c>
      <c r="L51" s="204" t="str">
        <f t="shared" si="69"/>
        <v>-</v>
      </c>
      <c r="M51" s="420" t="str">
        <f t="shared" si="70"/>
        <v>-</v>
      </c>
      <c r="N51" s="52" t="str">
        <f t="shared" si="71"/>
        <v>-</v>
      </c>
      <c r="O51" s="204" t="str">
        <f t="shared" si="72"/>
        <v>-</v>
      </c>
      <c r="P51" s="420" t="str">
        <f t="shared" si="73"/>
        <v>-</v>
      </c>
      <c r="Q51" s="52" t="str">
        <f t="shared" si="74"/>
        <v>-</v>
      </c>
      <c r="R51" s="204" t="str">
        <f t="shared" si="75"/>
        <v>-</v>
      </c>
      <c r="S51" s="420" t="str">
        <f t="shared" si="76"/>
        <v>-</v>
      </c>
      <c r="T51" s="52" t="str">
        <f t="shared" si="77"/>
        <v>-</v>
      </c>
      <c r="U51" s="204" t="str">
        <f t="shared" si="78"/>
        <v>-</v>
      </c>
      <c r="V51" s="420" t="str">
        <f t="shared" si="79"/>
        <v>-</v>
      </c>
      <c r="W51" s="52" t="str">
        <f t="shared" si="80"/>
        <v>-</v>
      </c>
      <c r="X51" s="204" t="str">
        <f t="shared" si="81"/>
        <v>-</v>
      </c>
      <c r="Z51" s="416">
        <f t="shared" si="58"/>
        <v>5.000000000000001E-2</v>
      </c>
      <c r="AA51" s="67">
        <f t="shared" si="40"/>
        <v>0.98499999999999988</v>
      </c>
      <c r="AB51" s="57" t="str">
        <f t="shared" si="41"/>
        <v>-</v>
      </c>
      <c r="AC51" s="67" t="str">
        <f t="shared" si="42"/>
        <v>-</v>
      </c>
      <c r="AD51" s="115" t="str">
        <f t="shared" si="43"/>
        <v>-</v>
      </c>
      <c r="AE51" s="115" t="str">
        <f t="shared" si="44"/>
        <v>-</v>
      </c>
      <c r="AF51" s="51" t="str">
        <f t="shared" si="45"/>
        <v>- | -</v>
      </c>
      <c r="AG51" s="52" t="str">
        <f t="shared" si="46"/>
        <v>-</v>
      </c>
      <c r="AH51" s="52" t="str">
        <f t="shared" si="47"/>
        <v>-</v>
      </c>
      <c r="AI51" s="52">
        <f t="shared" si="48"/>
        <v>0</v>
      </c>
      <c r="AJ51" s="52">
        <f t="shared" si="49"/>
        <v>0</v>
      </c>
      <c r="AK51" s="52" t="str">
        <f t="shared" si="50"/>
        <v>-</v>
      </c>
      <c r="AL51" s="51" t="str">
        <f t="shared" si="51"/>
        <v>-</v>
      </c>
      <c r="AM51" s="52" t="str">
        <f t="shared" si="52"/>
        <v>-</v>
      </c>
      <c r="AN51" s="51" t="str">
        <f t="shared" si="53"/>
        <v>-</v>
      </c>
      <c r="AO51" s="415" t="e">
        <f t="shared" si="54"/>
        <v>#VALUE!</v>
      </c>
      <c r="AP51" s="640"/>
      <c r="AQ51" s="440"/>
      <c r="AR51" s="439" t="e">
        <f t="shared" si="59"/>
        <v>#VALUE!</v>
      </c>
      <c r="AS51" s="439" t="str">
        <f t="shared" si="55"/>
        <v>-</v>
      </c>
      <c r="AT51" s="438" t="str">
        <f t="shared" si="56"/>
        <v>-</v>
      </c>
      <c r="AU51" s="437" t="str">
        <f t="shared" si="57"/>
        <v>-</v>
      </c>
    </row>
    <row r="52" spans="1:47" x14ac:dyDescent="0.25">
      <c r="A52" s="421">
        <v>0.75</v>
      </c>
      <c r="B52" s="214">
        <v>102.75</v>
      </c>
      <c r="C52" s="204" t="str">
        <f t="shared" si="60"/>
        <v>-</v>
      </c>
      <c r="D52" s="420" t="str">
        <f t="shared" si="61"/>
        <v>-</v>
      </c>
      <c r="E52" s="52" t="str">
        <f t="shared" si="62"/>
        <v>-</v>
      </c>
      <c r="F52" s="204" t="str">
        <f t="shared" si="63"/>
        <v>-</v>
      </c>
      <c r="G52" s="420" t="str">
        <f t="shared" si="64"/>
        <v>-</v>
      </c>
      <c r="H52" s="52" t="str">
        <f t="shared" si="65"/>
        <v>-</v>
      </c>
      <c r="I52" s="204" t="str">
        <f t="shared" si="66"/>
        <v>-</v>
      </c>
      <c r="J52" s="420" t="str">
        <f t="shared" si="67"/>
        <v>-</v>
      </c>
      <c r="K52" s="52" t="str">
        <f t="shared" si="68"/>
        <v>-</v>
      </c>
      <c r="L52" s="204" t="str">
        <f t="shared" si="69"/>
        <v>-</v>
      </c>
      <c r="M52" s="420" t="str">
        <f t="shared" si="70"/>
        <v>-</v>
      </c>
      <c r="N52" s="52" t="str">
        <f t="shared" si="71"/>
        <v>-</v>
      </c>
      <c r="O52" s="204" t="str">
        <f t="shared" si="72"/>
        <v>-</v>
      </c>
      <c r="P52" s="420" t="str">
        <f t="shared" si="73"/>
        <v>-</v>
      </c>
      <c r="Q52" s="52" t="str">
        <f t="shared" si="74"/>
        <v>-</v>
      </c>
      <c r="R52" s="204" t="str">
        <f t="shared" si="75"/>
        <v>-</v>
      </c>
      <c r="S52" s="420" t="str">
        <f t="shared" si="76"/>
        <v>-</v>
      </c>
      <c r="T52" s="52" t="str">
        <f t="shared" si="77"/>
        <v>-</v>
      </c>
      <c r="U52" s="204" t="str">
        <f t="shared" si="78"/>
        <v>-</v>
      </c>
      <c r="V52" s="420" t="str">
        <f t="shared" si="79"/>
        <v>-</v>
      </c>
      <c r="W52" s="52" t="str">
        <f t="shared" si="80"/>
        <v>-</v>
      </c>
      <c r="X52" s="204" t="str">
        <f t="shared" si="81"/>
        <v>-</v>
      </c>
      <c r="Z52" s="416">
        <f t="shared" si="58"/>
        <v>5.2500000000000012E-2</v>
      </c>
      <c r="AA52" s="67">
        <f t="shared" si="40"/>
        <v>0.98249999999999993</v>
      </c>
      <c r="AB52" s="57" t="str">
        <f t="shared" si="41"/>
        <v>-</v>
      </c>
      <c r="AC52" s="67" t="str">
        <f t="shared" si="42"/>
        <v>-</v>
      </c>
      <c r="AD52" s="115" t="str">
        <f t="shared" si="43"/>
        <v>-</v>
      </c>
      <c r="AE52" s="115" t="str">
        <f t="shared" si="44"/>
        <v>-</v>
      </c>
      <c r="AF52" s="51" t="str">
        <f t="shared" si="45"/>
        <v>- | -</v>
      </c>
      <c r="AG52" s="52" t="str">
        <f t="shared" si="46"/>
        <v>-</v>
      </c>
      <c r="AH52" s="52" t="str">
        <f t="shared" si="47"/>
        <v>-</v>
      </c>
      <c r="AI52" s="52">
        <f t="shared" si="48"/>
        <v>0</v>
      </c>
      <c r="AJ52" s="52">
        <f t="shared" si="49"/>
        <v>0</v>
      </c>
      <c r="AK52" s="52" t="str">
        <f t="shared" si="50"/>
        <v>-</v>
      </c>
      <c r="AL52" s="51" t="str">
        <f t="shared" si="51"/>
        <v>-</v>
      </c>
      <c r="AM52" s="52" t="str">
        <f t="shared" si="52"/>
        <v>-</v>
      </c>
      <c r="AN52" s="51" t="str">
        <f t="shared" si="53"/>
        <v>-</v>
      </c>
      <c r="AO52" s="415" t="e">
        <f t="shared" si="54"/>
        <v>#VALUE!</v>
      </c>
      <c r="AP52" s="640"/>
      <c r="AQ52" s="440"/>
      <c r="AR52" s="439" t="e">
        <f t="shared" si="59"/>
        <v>#VALUE!</v>
      </c>
      <c r="AS52" s="439" t="str">
        <f t="shared" si="55"/>
        <v>-</v>
      </c>
      <c r="AT52" s="438" t="str">
        <f t="shared" si="56"/>
        <v>-</v>
      </c>
      <c r="AU52" s="437" t="str">
        <f t="shared" si="57"/>
        <v>-</v>
      </c>
    </row>
    <row r="53" spans="1:47" x14ac:dyDescent="0.25">
      <c r="A53" s="421">
        <v>1</v>
      </c>
      <c r="B53" s="214">
        <v>102.5</v>
      </c>
      <c r="C53" s="204" t="str">
        <f t="shared" si="60"/>
        <v>-</v>
      </c>
      <c r="D53" s="420" t="str">
        <f t="shared" si="61"/>
        <v>-</v>
      </c>
      <c r="E53" s="52" t="str">
        <f t="shared" si="62"/>
        <v>-</v>
      </c>
      <c r="F53" s="204" t="str">
        <f t="shared" si="63"/>
        <v>-</v>
      </c>
      <c r="G53" s="420" t="str">
        <f t="shared" si="64"/>
        <v>-</v>
      </c>
      <c r="H53" s="52" t="str">
        <f t="shared" si="65"/>
        <v>-</v>
      </c>
      <c r="I53" s="204" t="str">
        <f t="shared" si="66"/>
        <v>-</v>
      </c>
      <c r="J53" s="420" t="str">
        <f t="shared" si="67"/>
        <v>-</v>
      </c>
      <c r="K53" s="52" t="str">
        <f t="shared" si="68"/>
        <v>-</v>
      </c>
      <c r="L53" s="204" t="str">
        <f t="shared" si="69"/>
        <v>-</v>
      </c>
      <c r="M53" s="420" t="str">
        <f t="shared" si="70"/>
        <v>-</v>
      </c>
      <c r="N53" s="52" t="str">
        <f t="shared" si="71"/>
        <v>-</v>
      </c>
      <c r="O53" s="204" t="str">
        <f t="shared" si="72"/>
        <v>-</v>
      </c>
      <c r="P53" s="420" t="str">
        <f t="shared" si="73"/>
        <v>-</v>
      </c>
      <c r="Q53" s="52" t="str">
        <f t="shared" si="74"/>
        <v>-</v>
      </c>
      <c r="R53" s="204" t="str">
        <f t="shared" si="75"/>
        <v>-</v>
      </c>
      <c r="S53" s="420" t="str">
        <f t="shared" si="76"/>
        <v>-</v>
      </c>
      <c r="T53" s="52" t="str">
        <f t="shared" si="77"/>
        <v>-</v>
      </c>
      <c r="U53" s="204" t="str">
        <f t="shared" si="78"/>
        <v>-</v>
      </c>
      <c r="V53" s="420" t="str">
        <f t="shared" si="79"/>
        <v>-</v>
      </c>
      <c r="W53" s="52" t="str">
        <f t="shared" si="80"/>
        <v>-</v>
      </c>
      <c r="X53" s="204" t="str">
        <f t="shared" si="81"/>
        <v>-</v>
      </c>
      <c r="Z53" s="410">
        <f t="shared" si="58"/>
        <v>5.5000000000000014E-2</v>
      </c>
      <c r="AA53" s="408">
        <f t="shared" si="40"/>
        <v>0.97999999999999987</v>
      </c>
      <c r="AB53" s="136" t="str">
        <f t="shared" si="41"/>
        <v>-</v>
      </c>
      <c r="AC53" s="408" t="str">
        <f t="shared" si="42"/>
        <v>-</v>
      </c>
      <c r="AD53" s="407" t="str">
        <f t="shared" si="43"/>
        <v>-</v>
      </c>
      <c r="AE53" s="407" t="str">
        <f t="shared" si="44"/>
        <v>-</v>
      </c>
      <c r="AF53" s="108" t="str">
        <f t="shared" si="45"/>
        <v>- | -</v>
      </c>
      <c r="AG53" s="200" t="str">
        <f t="shared" si="46"/>
        <v>-</v>
      </c>
      <c r="AH53" s="200" t="str">
        <f t="shared" si="47"/>
        <v>-</v>
      </c>
      <c r="AI53" s="200">
        <f t="shared" si="48"/>
        <v>0</v>
      </c>
      <c r="AJ53" s="200">
        <f t="shared" si="49"/>
        <v>0</v>
      </c>
      <c r="AK53" s="200" t="str">
        <f t="shared" si="50"/>
        <v>-</v>
      </c>
      <c r="AL53" s="108" t="str">
        <f t="shared" si="51"/>
        <v>-</v>
      </c>
      <c r="AM53" s="200" t="str">
        <f t="shared" si="52"/>
        <v>-</v>
      </c>
      <c r="AN53" s="108" t="str">
        <f t="shared" si="53"/>
        <v>-</v>
      </c>
      <c r="AO53" s="406" t="e">
        <f t="shared" si="54"/>
        <v>#VALUE!</v>
      </c>
      <c r="AP53" s="640"/>
      <c r="AQ53" s="436"/>
      <c r="AR53" s="435" t="e">
        <f t="shared" si="59"/>
        <v>#VALUE!</v>
      </c>
      <c r="AS53" s="435" t="str">
        <f t="shared" si="55"/>
        <v>-</v>
      </c>
      <c r="AT53" s="434" t="str">
        <f t="shared" si="56"/>
        <v>-</v>
      </c>
      <c r="AU53" s="433" t="str">
        <f t="shared" si="57"/>
        <v>-</v>
      </c>
    </row>
    <row r="54" spans="1:47" x14ac:dyDescent="0.25">
      <c r="A54" s="421">
        <v>1.25</v>
      </c>
      <c r="B54" s="214">
        <v>102.25</v>
      </c>
      <c r="C54" s="204" t="str">
        <f t="shared" si="60"/>
        <v>-</v>
      </c>
      <c r="D54" s="420" t="str">
        <f t="shared" si="61"/>
        <v>-</v>
      </c>
      <c r="E54" s="52" t="str">
        <f t="shared" si="62"/>
        <v>-</v>
      </c>
      <c r="F54" s="204" t="str">
        <f t="shared" si="63"/>
        <v>-</v>
      </c>
      <c r="G54" s="420" t="str">
        <f t="shared" si="64"/>
        <v>-</v>
      </c>
      <c r="H54" s="52" t="str">
        <f t="shared" si="65"/>
        <v>-</v>
      </c>
      <c r="I54" s="204" t="str">
        <f t="shared" si="66"/>
        <v>-</v>
      </c>
      <c r="J54" s="420" t="str">
        <f t="shared" si="67"/>
        <v>-</v>
      </c>
      <c r="K54" s="52" t="str">
        <f t="shared" si="68"/>
        <v>-</v>
      </c>
      <c r="L54" s="204" t="str">
        <f t="shared" si="69"/>
        <v>-</v>
      </c>
      <c r="M54" s="420" t="str">
        <f t="shared" si="70"/>
        <v>-</v>
      </c>
      <c r="N54" s="52" t="str">
        <f t="shared" si="71"/>
        <v>-</v>
      </c>
      <c r="O54" s="204" t="str">
        <f t="shared" si="72"/>
        <v>-</v>
      </c>
      <c r="P54" s="420" t="str">
        <f t="shared" si="73"/>
        <v>-</v>
      </c>
      <c r="Q54" s="52" t="str">
        <f t="shared" si="74"/>
        <v>-</v>
      </c>
      <c r="R54" s="204" t="str">
        <f t="shared" si="75"/>
        <v>-</v>
      </c>
      <c r="S54" s="420" t="str">
        <f t="shared" si="76"/>
        <v>-</v>
      </c>
      <c r="T54" s="52" t="str">
        <f t="shared" si="77"/>
        <v>-</v>
      </c>
      <c r="U54" s="204" t="str">
        <f t="shared" si="78"/>
        <v>-</v>
      </c>
      <c r="V54" s="420" t="str">
        <f t="shared" si="79"/>
        <v>-</v>
      </c>
      <c r="W54" s="52" t="str">
        <f t="shared" si="80"/>
        <v>-</v>
      </c>
      <c r="X54" s="204" t="str">
        <f t="shared" si="81"/>
        <v>-</v>
      </c>
    </row>
    <row r="55" spans="1:47" x14ac:dyDescent="0.25">
      <c r="A55" s="421">
        <v>1.5</v>
      </c>
      <c r="B55" s="214">
        <v>102</v>
      </c>
      <c r="C55" s="204" t="str">
        <f t="shared" si="60"/>
        <v>-</v>
      </c>
      <c r="D55" s="420" t="str">
        <f t="shared" si="61"/>
        <v>-</v>
      </c>
      <c r="E55" s="52" t="str">
        <f t="shared" si="62"/>
        <v>-</v>
      </c>
      <c r="F55" s="204" t="str">
        <f t="shared" si="63"/>
        <v>-</v>
      </c>
      <c r="G55" s="420" t="str">
        <f t="shared" si="64"/>
        <v>-</v>
      </c>
      <c r="H55" s="52" t="str">
        <f t="shared" si="65"/>
        <v>-</v>
      </c>
      <c r="I55" s="204" t="str">
        <f t="shared" si="66"/>
        <v>-</v>
      </c>
      <c r="J55" s="420" t="str">
        <f t="shared" si="67"/>
        <v>-</v>
      </c>
      <c r="K55" s="52" t="str">
        <f t="shared" si="68"/>
        <v>-</v>
      </c>
      <c r="L55" s="204" t="str">
        <f t="shared" si="69"/>
        <v>-</v>
      </c>
      <c r="M55" s="420" t="str">
        <f t="shared" si="70"/>
        <v>-</v>
      </c>
      <c r="N55" s="52" t="str">
        <f t="shared" si="71"/>
        <v>-</v>
      </c>
      <c r="O55" s="204" t="str">
        <f t="shared" si="72"/>
        <v>-</v>
      </c>
      <c r="P55" s="420" t="str">
        <f t="shared" si="73"/>
        <v>-</v>
      </c>
      <c r="Q55" s="52" t="str">
        <f t="shared" si="74"/>
        <v>-</v>
      </c>
      <c r="R55" s="204" t="str">
        <f t="shared" si="75"/>
        <v>-</v>
      </c>
      <c r="S55" s="420" t="str">
        <f t="shared" si="76"/>
        <v>-</v>
      </c>
      <c r="T55" s="52" t="str">
        <f t="shared" si="77"/>
        <v>-</v>
      </c>
      <c r="U55" s="204" t="str">
        <f t="shared" si="78"/>
        <v>-</v>
      </c>
      <c r="V55" s="420" t="str">
        <f t="shared" si="79"/>
        <v>-</v>
      </c>
      <c r="W55" s="52" t="str">
        <f t="shared" si="80"/>
        <v>-</v>
      </c>
      <c r="X55" s="204" t="str">
        <f t="shared" si="81"/>
        <v>-</v>
      </c>
      <c r="Z55" s="432" t="str">
        <f>'Investor Portfolio (IRP)'!$H$3</f>
        <v>Max Proceeds</v>
      </c>
      <c r="AA55" s="939" t="s">
        <v>2009</v>
      </c>
      <c r="AB55" s="939"/>
      <c r="AC55" s="939"/>
      <c r="AD55" s="939"/>
      <c r="AE55" s="939"/>
      <c r="AF55" s="939"/>
      <c r="AG55" s="939" t="s">
        <v>1786</v>
      </c>
      <c r="AH55" s="939"/>
      <c r="AI55" s="939" t="s">
        <v>2008</v>
      </c>
      <c r="AJ55" s="939" t="s">
        <v>2007</v>
      </c>
      <c r="AK55" s="939" t="s">
        <v>1783</v>
      </c>
      <c r="AL55" s="939"/>
      <c r="AM55" s="431" t="s">
        <v>1782</v>
      </c>
      <c r="AN55" s="431"/>
      <c r="AO55" s="940" t="s">
        <v>1700</v>
      </c>
      <c r="AP55" s="927" t="s">
        <v>2006</v>
      </c>
      <c r="AQ55" s="938" t="s">
        <v>2005</v>
      </c>
      <c r="AR55" s="939"/>
      <c r="AS55" s="939"/>
      <c r="AT55" s="939"/>
      <c r="AU55" s="940"/>
    </row>
    <row r="56" spans="1:47" x14ac:dyDescent="0.25">
      <c r="A56" s="421">
        <v>1.75</v>
      </c>
      <c r="B56" s="214">
        <v>101.75</v>
      </c>
      <c r="C56" s="204" t="str">
        <f t="shared" si="60"/>
        <v>-</v>
      </c>
      <c r="D56" s="420" t="str">
        <f t="shared" si="61"/>
        <v>-</v>
      </c>
      <c r="E56" s="52" t="str">
        <f t="shared" si="62"/>
        <v>-</v>
      </c>
      <c r="F56" s="204" t="str">
        <f t="shared" si="63"/>
        <v>-</v>
      </c>
      <c r="G56" s="420" t="str">
        <f t="shared" si="64"/>
        <v>-</v>
      </c>
      <c r="H56" s="52" t="str">
        <f t="shared" si="65"/>
        <v>-</v>
      </c>
      <c r="I56" s="204" t="str">
        <f t="shared" si="66"/>
        <v>-</v>
      </c>
      <c r="J56" s="420" t="str">
        <f t="shared" si="67"/>
        <v>-</v>
      </c>
      <c r="K56" s="52" t="str">
        <f t="shared" si="68"/>
        <v>-</v>
      </c>
      <c r="L56" s="204" t="str">
        <f t="shared" si="69"/>
        <v>-</v>
      </c>
      <c r="M56" s="420" t="str">
        <f t="shared" si="70"/>
        <v>-</v>
      </c>
      <c r="N56" s="52" t="str">
        <f t="shared" si="71"/>
        <v>-</v>
      </c>
      <c r="O56" s="204" t="str">
        <f t="shared" si="72"/>
        <v>-</v>
      </c>
      <c r="P56" s="420" t="str">
        <f t="shared" si="73"/>
        <v>-</v>
      </c>
      <c r="Q56" s="52" t="str">
        <f t="shared" si="74"/>
        <v>-</v>
      </c>
      <c r="R56" s="204" t="str">
        <f t="shared" si="75"/>
        <v>-</v>
      </c>
      <c r="S56" s="420" t="str">
        <f t="shared" si="76"/>
        <v>-</v>
      </c>
      <c r="T56" s="52" t="str">
        <f t="shared" si="77"/>
        <v>-</v>
      </c>
      <c r="U56" s="204" t="str">
        <f t="shared" si="78"/>
        <v>-</v>
      </c>
      <c r="V56" s="420" t="str">
        <f t="shared" si="79"/>
        <v>-</v>
      </c>
      <c r="W56" s="52" t="str">
        <f t="shared" si="80"/>
        <v>-</v>
      </c>
      <c r="X56" s="204" t="str">
        <f t="shared" si="81"/>
        <v>-</v>
      </c>
      <c r="Z56" s="405" t="s">
        <v>2004</v>
      </c>
      <c r="AA56" s="430" t="s">
        <v>1778</v>
      </c>
      <c r="AB56" s="430" t="str">
        <f>_xlfn.CONCAT($Z$55," ","Loan")</f>
        <v>Max Proceeds Loan</v>
      </c>
      <c r="AC56" s="430" t="str">
        <f>_xlfn.CONCAT($Z$55," ","Rate")</f>
        <v>Max Proceeds Rate</v>
      </c>
      <c r="AD56" s="430" t="s">
        <v>156</v>
      </c>
      <c r="AE56" s="430" t="s">
        <v>155</v>
      </c>
      <c r="AF56" s="430" t="s">
        <v>1777</v>
      </c>
      <c r="AG56" s="430" t="s">
        <v>1776</v>
      </c>
      <c r="AH56" s="430" t="s">
        <v>1736</v>
      </c>
      <c r="AI56" s="941"/>
      <c r="AJ56" s="941"/>
      <c r="AK56" s="430" t="s">
        <v>1776</v>
      </c>
      <c r="AL56" s="430" t="s">
        <v>1736</v>
      </c>
      <c r="AM56" s="430" t="s">
        <v>1776</v>
      </c>
      <c r="AN56" s="430" t="s">
        <v>1736</v>
      </c>
      <c r="AO56" s="942"/>
      <c r="AP56" s="640"/>
      <c r="AQ56" s="405" t="s">
        <v>1769</v>
      </c>
      <c r="AR56" s="430" t="s">
        <v>1768</v>
      </c>
      <c r="AS56" s="430" t="s">
        <v>161</v>
      </c>
      <c r="AT56" s="430" t="s">
        <v>140</v>
      </c>
      <c r="AU56" s="429" t="s">
        <v>1767</v>
      </c>
    </row>
    <row r="57" spans="1:47" x14ac:dyDescent="0.25">
      <c r="A57" s="421">
        <v>2</v>
      </c>
      <c r="B57" s="214">
        <v>101.5</v>
      </c>
      <c r="C57" s="204" t="str">
        <f t="shared" si="60"/>
        <v>-</v>
      </c>
      <c r="D57" s="420" t="str">
        <f t="shared" si="61"/>
        <v>-</v>
      </c>
      <c r="E57" s="52" t="str">
        <f t="shared" si="62"/>
        <v>-</v>
      </c>
      <c r="F57" s="204" t="str">
        <f t="shared" si="63"/>
        <v>-</v>
      </c>
      <c r="G57" s="420" t="str">
        <f t="shared" si="64"/>
        <v>-</v>
      </c>
      <c r="H57" s="52" t="str">
        <f t="shared" si="65"/>
        <v>-</v>
      </c>
      <c r="I57" s="204" t="str">
        <f t="shared" si="66"/>
        <v>-</v>
      </c>
      <c r="J57" s="420" t="str">
        <f t="shared" si="67"/>
        <v>-</v>
      </c>
      <c r="K57" s="52" t="str">
        <f t="shared" si="68"/>
        <v>-</v>
      </c>
      <c r="L57" s="204" t="str">
        <f t="shared" si="69"/>
        <v>-</v>
      </c>
      <c r="M57" s="420" t="str">
        <f t="shared" si="70"/>
        <v>-</v>
      </c>
      <c r="N57" s="52" t="str">
        <f t="shared" si="71"/>
        <v>-</v>
      </c>
      <c r="O57" s="204" t="str">
        <f t="shared" si="72"/>
        <v>-</v>
      </c>
      <c r="P57" s="420" t="str">
        <f t="shared" si="73"/>
        <v>-</v>
      </c>
      <c r="Q57" s="52" t="str">
        <f t="shared" si="74"/>
        <v>-</v>
      </c>
      <c r="R57" s="204" t="str">
        <f t="shared" si="75"/>
        <v>-</v>
      </c>
      <c r="S57" s="420" t="str">
        <f t="shared" si="76"/>
        <v>-</v>
      </c>
      <c r="T57" s="52" t="str">
        <f t="shared" si="77"/>
        <v>-</v>
      </c>
      <c r="U57" s="204" t="str">
        <f t="shared" si="78"/>
        <v>-</v>
      </c>
      <c r="V57" s="420" t="str">
        <f t="shared" si="79"/>
        <v>-</v>
      </c>
      <c r="W57" s="52" t="str">
        <f t="shared" si="80"/>
        <v>-</v>
      </c>
      <c r="X57" s="204" t="str">
        <f t="shared" si="81"/>
        <v>-</v>
      </c>
      <c r="Y57" s="214"/>
      <c r="Z57" s="158">
        <v>0</v>
      </c>
      <c r="AA57" s="298">
        <v>103.5</v>
      </c>
      <c r="AB57" s="160" t="str">
        <f t="shared" ref="AB57:AB79" si="82">IFERROR(IF($AC57="-","-",VLOOKUP($Z$55,$BZ$2:$CA$10,2,FALSE)),"-")</f>
        <v>-</v>
      </c>
      <c r="AC57" s="428" t="str">
        <f t="shared" ref="AC57:AC79" si="83">IFERROR(VLOOKUP(AA57,$B$49:$X$71,MATCH($AC$56,$B$48:$X$48,0),FALSE),"-")</f>
        <v>-</v>
      </c>
      <c r="AD57" s="427" t="str">
        <f t="shared" ref="AD57:AD79" si="84">IFERROR(ROUND(($AB57/$C$9)*100,1),"-")</f>
        <v>-</v>
      </c>
      <c r="AE57" s="427" t="str">
        <f t="shared" ref="AE57:AE79" si="85">IFERROR(IF(OR($C$3="Refinance (Rate/Term)",$C$3="Refinance (Cash Out)"),"-",ROUND(($AB57/$C$14)*100,1)),"-")</f>
        <v>-</v>
      </c>
      <c r="AF57" s="113" t="str">
        <f t="shared" ref="AF57:AF79" si="86">$AD57&amp;" | "&amp;AE57</f>
        <v>- | -</v>
      </c>
      <c r="AG57" s="299" t="str">
        <f t="shared" ref="AG57:AG79" si="87">IFERROR(PMT($AC57/12,360,-AB57),"-")</f>
        <v>-</v>
      </c>
      <c r="AH57" s="299" t="str">
        <f t="shared" ref="AH57:AH79" si="88">IFERROR(IF($C$8="No IO","-",$AB57*($AC57/12)),"-")</f>
        <v>-</v>
      </c>
      <c r="AI57" s="299">
        <f t="shared" ref="AI57:AI79" si="89">SUM($C$21:$C$22)</f>
        <v>0</v>
      </c>
      <c r="AJ57" s="299">
        <f t="shared" ref="AJ57:AJ79" si="90">SUM($C$21:$C$24)</f>
        <v>0</v>
      </c>
      <c r="AK57" s="299" t="str">
        <f t="shared" ref="AK57:AK79" si="91">IF($AG57="-","-",$AG57+$AI57)</f>
        <v>-</v>
      </c>
      <c r="AL57" s="113" t="str">
        <f t="shared" ref="AL57:AL79" si="92">IF($AH57="-","-",$AH57+$AI57)</f>
        <v>-</v>
      </c>
      <c r="AM57" s="299" t="str">
        <f t="shared" ref="AM57:AM79" si="93">IF($AG57="-","-",$AG57)</f>
        <v>-</v>
      </c>
      <c r="AN57" s="113" t="str">
        <f t="shared" ref="AN57:AN79" si="94">IF($AH57="-","-",$AH57)</f>
        <v>-</v>
      </c>
      <c r="AO57" s="426" t="e">
        <f t="shared" ref="AO57:AO79" si="95">IF($C$8="No IO",$C$25/$AM57,$C$25/$AN57)</f>
        <v>#VALUE!</v>
      </c>
      <c r="AP57" s="640"/>
      <c r="AQ57" s="425">
        <f>IFERROR(IF($C$8="No IO",MAX($AG57:$AG79),MAX($AH57:$AH79)),"-")</f>
        <v>0</v>
      </c>
      <c r="AR57" s="424" t="s">
        <v>2</v>
      </c>
      <c r="AS57" s="424" t="str">
        <f t="shared" ref="AS57:AS79" si="96">IFERROR($Z57*$AB57,"-")</f>
        <v>-</v>
      </c>
      <c r="AT57" s="423" t="str">
        <f t="shared" ref="AT57:AT79" si="97">IFERROR(IF(OR($AR57="-",$AR57&lt;1),"-",$AS57/$AR57),"-")</f>
        <v>-</v>
      </c>
      <c r="AU57" s="422" t="str">
        <f t="shared" ref="AU57:AU79" si="98">IF(AT57="-","-",ROUND($AT57/12,2))</f>
        <v>-</v>
      </c>
    </row>
    <row r="58" spans="1:47" x14ac:dyDescent="0.25">
      <c r="A58" s="421">
        <v>2.25</v>
      </c>
      <c r="B58" s="214">
        <v>101.25</v>
      </c>
      <c r="C58" s="204" t="str">
        <f t="shared" si="60"/>
        <v>-</v>
      </c>
      <c r="D58" s="420" t="str">
        <f t="shared" si="61"/>
        <v>-</v>
      </c>
      <c r="E58" s="52" t="str">
        <f t="shared" si="62"/>
        <v>-</v>
      </c>
      <c r="F58" s="204" t="str">
        <f t="shared" si="63"/>
        <v>-</v>
      </c>
      <c r="G58" s="420" t="str">
        <f t="shared" si="64"/>
        <v>-</v>
      </c>
      <c r="H58" s="52" t="str">
        <f t="shared" si="65"/>
        <v>-</v>
      </c>
      <c r="I58" s="204" t="str">
        <f t="shared" si="66"/>
        <v>-</v>
      </c>
      <c r="J58" s="420" t="str">
        <f t="shared" si="67"/>
        <v>-</v>
      </c>
      <c r="K58" s="52" t="str">
        <f t="shared" si="68"/>
        <v>-</v>
      </c>
      <c r="L58" s="204" t="str">
        <f t="shared" si="69"/>
        <v>-</v>
      </c>
      <c r="M58" s="420" t="str">
        <f t="shared" si="70"/>
        <v>-</v>
      </c>
      <c r="N58" s="52" t="str">
        <f t="shared" si="71"/>
        <v>-</v>
      </c>
      <c r="O58" s="204" t="str">
        <f t="shared" si="72"/>
        <v>-</v>
      </c>
      <c r="P58" s="420" t="str">
        <f t="shared" si="73"/>
        <v>-</v>
      </c>
      <c r="Q58" s="52" t="str">
        <f t="shared" si="74"/>
        <v>-</v>
      </c>
      <c r="R58" s="204" t="str">
        <f t="shared" si="75"/>
        <v>-</v>
      </c>
      <c r="S58" s="420" t="str">
        <f t="shared" si="76"/>
        <v>-</v>
      </c>
      <c r="T58" s="52" t="str">
        <f t="shared" si="77"/>
        <v>-</v>
      </c>
      <c r="U58" s="204" t="str">
        <f t="shared" si="78"/>
        <v>-</v>
      </c>
      <c r="V58" s="420" t="str">
        <f t="shared" si="79"/>
        <v>-</v>
      </c>
      <c r="W58" s="52" t="str">
        <f t="shared" si="80"/>
        <v>-</v>
      </c>
      <c r="X58" s="204" t="str">
        <f t="shared" si="81"/>
        <v>-</v>
      </c>
      <c r="Y58" s="214"/>
      <c r="Z58" s="416">
        <f t="shared" ref="Z58:Z79" si="99">+Z57+0.25%</f>
        <v>2.5000000000000001E-3</v>
      </c>
      <c r="AA58" s="214">
        <v>103.25</v>
      </c>
      <c r="AB58" s="57" t="str">
        <f t="shared" si="82"/>
        <v>-</v>
      </c>
      <c r="AC58" s="67" t="str">
        <f t="shared" si="83"/>
        <v>-</v>
      </c>
      <c r="AD58" s="115" t="str">
        <f t="shared" si="84"/>
        <v>-</v>
      </c>
      <c r="AE58" s="115" t="str">
        <f t="shared" si="85"/>
        <v>-</v>
      </c>
      <c r="AF58" s="51" t="str">
        <f t="shared" si="86"/>
        <v>- | -</v>
      </c>
      <c r="AG58" s="52" t="str">
        <f t="shared" si="87"/>
        <v>-</v>
      </c>
      <c r="AH58" s="52" t="str">
        <f t="shared" si="88"/>
        <v>-</v>
      </c>
      <c r="AI58" s="52">
        <f t="shared" si="89"/>
        <v>0</v>
      </c>
      <c r="AJ58" s="52">
        <f t="shared" si="90"/>
        <v>0</v>
      </c>
      <c r="AK58" s="52" t="str">
        <f t="shared" si="91"/>
        <v>-</v>
      </c>
      <c r="AL58" s="51" t="str">
        <f t="shared" si="92"/>
        <v>-</v>
      </c>
      <c r="AM58" s="52" t="str">
        <f t="shared" si="93"/>
        <v>-</v>
      </c>
      <c r="AN58" s="51" t="str">
        <f t="shared" si="94"/>
        <v>-</v>
      </c>
      <c r="AO58" s="415" t="e">
        <f t="shared" si="95"/>
        <v>#VALUE!</v>
      </c>
      <c r="AP58" s="640"/>
      <c r="AQ58" s="414"/>
      <c r="AR58" s="413" t="e">
        <f t="shared" ref="AR58:AR79" si="100">IF($C$8="No IO",IF($AB58&gt;$AB57,"-",IF($AB58=$AB57,ABS($AG58-$AQ$31),"-")),IF($AB58&gt;$AB57,"-",IF($AB58=$AB57,ABS($AH58-$AQ$31),"-")))</f>
        <v>#VALUE!</v>
      </c>
      <c r="AS58" s="413" t="str">
        <f t="shared" si="96"/>
        <v>-</v>
      </c>
      <c r="AT58" s="412" t="str">
        <f t="shared" si="97"/>
        <v>-</v>
      </c>
      <c r="AU58" s="411" t="str">
        <f t="shared" si="98"/>
        <v>-</v>
      </c>
    </row>
    <row r="59" spans="1:47" x14ac:dyDescent="0.25">
      <c r="A59" s="421">
        <v>2.5</v>
      </c>
      <c r="B59" s="214">
        <v>101</v>
      </c>
      <c r="C59" s="204" t="str">
        <f t="shared" si="60"/>
        <v>-</v>
      </c>
      <c r="D59" s="420" t="str">
        <f t="shared" si="61"/>
        <v>-</v>
      </c>
      <c r="E59" s="52" t="str">
        <f t="shared" si="62"/>
        <v>-</v>
      </c>
      <c r="F59" s="204" t="str">
        <f t="shared" si="63"/>
        <v>-</v>
      </c>
      <c r="G59" s="420" t="str">
        <f t="shared" si="64"/>
        <v>-</v>
      </c>
      <c r="H59" s="52" t="str">
        <f t="shared" si="65"/>
        <v>-</v>
      </c>
      <c r="I59" s="204" t="str">
        <f t="shared" si="66"/>
        <v>-</v>
      </c>
      <c r="J59" s="420" t="str">
        <f t="shared" si="67"/>
        <v>-</v>
      </c>
      <c r="K59" s="52" t="str">
        <f t="shared" si="68"/>
        <v>-</v>
      </c>
      <c r="L59" s="204" t="str">
        <f t="shared" si="69"/>
        <v>-</v>
      </c>
      <c r="M59" s="420" t="str">
        <f t="shared" si="70"/>
        <v>-</v>
      </c>
      <c r="N59" s="52" t="str">
        <f t="shared" si="71"/>
        <v>-</v>
      </c>
      <c r="O59" s="204" t="str">
        <f t="shared" si="72"/>
        <v>-</v>
      </c>
      <c r="P59" s="420" t="str">
        <f t="shared" si="73"/>
        <v>-</v>
      </c>
      <c r="Q59" s="52" t="str">
        <f t="shared" si="74"/>
        <v>-</v>
      </c>
      <c r="R59" s="204" t="str">
        <f t="shared" si="75"/>
        <v>-</v>
      </c>
      <c r="S59" s="420" t="str">
        <f t="shared" si="76"/>
        <v>-</v>
      </c>
      <c r="T59" s="52" t="str">
        <f t="shared" si="77"/>
        <v>-</v>
      </c>
      <c r="U59" s="204" t="str">
        <f t="shared" si="78"/>
        <v>-</v>
      </c>
      <c r="V59" s="420" t="str">
        <f t="shared" si="79"/>
        <v>-</v>
      </c>
      <c r="W59" s="52" t="str">
        <f t="shared" si="80"/>
        <v>-</v>
      </c>
      <c r="X59" s="204" t="str">
        <f t="shared" si="81"/>
        <v>-</v>
      </c>
      <c r="Y59" s="214"/>
      <c r="Z59" s="416">
        <f t="shared" si="99"/>
        <v>5.0000000000000001E-3</v>
      </c>
      <c r="AA59" s="214">
        <v>103</v>
      </c>
      <c r="AB59" s="57" t="str">
        <f t="shared" si="82"/>
        <v>-</v>
      </c>
      <c r="AC59" s="67" t="str">
        <f t="shared" si="83"/>
        <v>-</v>
      </c>
      <c r="AD59" s="115" t="str">
        <f t="shared" si="84"/>
        <v>-</v>
      </c>
      <c r="AE59" s="115" t="str">
        <f t="shared" si="85"/>
        <v>-</v>
      </c>
      <c r="AF59" s="51" t="str">
        <f t="shared" si="86"/>
        <v>- | -</v>
      </c>
      <c r="AG59" s="52" t="str">
        <f t="shared" si="87"/>
        <v>-</v>
      </c>
      <c r="AH59" s="52" t="str">
        <f t="shared" si="88"/>
        <v>-</v>
      </c>
      <c r="AI59" s="52">
        <f t="shared" si="89"/>
        <v>0</v>
      </c>
      <c r="AJ59" s="52">
        <f t="shared" si="90"/>
        <v>0</v>
      </c>
      <c r="AK59" s="52" t="str">
        <f t="shared" si="91"/>
        <v>-</v>
      </c>
      <c r="AL59" s="51" t="str">
        <f t="shared" si="92"/>
        <v>-</v>
      </c>
      <c r="AM59" s="52" t="str">
        <f t="shared" si="93"/>
        <v>-</v>
      </c>
      <c r="AN59" s="51" t="str">
        <f t="shared" si="94"/>
        <v>-</v>
      </c>
      <c r="AO59" s="415" t="e">
        <f t="shared" si="95"/>
        <v>#VALUE!</v>
      </c>
      <c r="AP59" s="640"/>
      <c r="AQ59" s="414"/>
      <c r="AR59" s="413" t="e">
        <f t="shared" si="100"/>
        <v>#VALUE!</v>
      </c>
      <c r="AS59" s="413" t="str">
        <f t="shared" si="96"/>
        <v>-</v>
      </c>
      <c r="AT59" s="412" t="str">
        <f t="shared" si="97"/>
        <v>-</v>
      </c>
      <c r="AU59" s="411" t="str">
        <f t="shared" si="98"/>
        <v>-</v>
      </c>
    </row>
    <row r="60" spans="1:47" x14ac:dyDescent="0.25">
      <c r="A60" s="421">
        <v>2.75</v>
      </c>
      <c r="B60" s="214">
        <v>100.75</v>
      </c>
      <c r="C60" s="204" t="str">
        <f t="shared" si="60"/>
        <v>-</v>
      </c>
      <c r="D60" s="420" t="str">
        <f t="shared" si="61"/>
        <v>-</v>
      </c>
      <c r="E60" s="52" t="str">
        <f t="shared" si="62"/>
        <v>-</v>
      </c>
      <c r="F60" s="204" t="str">
        <f t="shared" si="63"/>
        <v>-</v>
      </c>
      <c r="G60" s="420" t="str">
        <f t="shared" si="64"/>
        <v>-</v>
      </c>
      <c r="H60" s="52" t="str">
        <f t="shared" si="65"/>
        <v>-</v>
      </c>
      <c r="I60" s="204" t="str">
        <f t="shared" si="66"/>
        <v>-</v>
      </c>
      <c r="J60" s="420" t="str">
        <f t="shared" si="67"/>
        <v>-</v>
      </c>
      <c r="K60" s="52" t="str">
        <f t="shared" si="68"/>
        <v>-</v>
      </c>
      <c r="L60" s="204" t="str">
        <f t="shared" si="69"/>
        <v>-</v>
      </c>
      <c r="M60" s="420" t="str">
        <f t="shared" si="70"/>
        <v>-</v>
      </c>
      <c r="N60" s="52" t="str">
        <f t="shared" si="71"/>
        <v>-</v>
      </c>
      <c r="O60" s="204" t="str">
        <f t="shared" si="72"/>
        <v>-</v>
      </c>
      <c r="P60" s="420" t="str">
        <f t="shared" si="73"/>
        <v>-</v>
      </c>
      <c r="Q60" s="52" t="str">
        <f t="shared" si="74"/>
        <v>-</v>
      </c>
      <c r="R60" s="204" t="str">
        <f t="shared" si="75"/>
        <v>-</v>
      </c>
      <c r="S60" s="420" t="str">
        <f t="shared" si="76"/>
        <v>-</v>
      </c>
      <c r="T60" s="52" t="str">
        <f t="shared" si="77"/>
        <v>-</v>
      </c>
      <c r="U60" s="204" t="str">
        <f t="shared" si="78"/>
        <v>-</v>
      </c>
      <c r="V60" s="420" t="str">
        <f t="shared" si="79"/>
        <v>-</v>
      </c>
      <c r="W60" s="52" t="str">
        <f t="shared" si="80"/>
        <v>-</v>
      </c>
      <c r="X60" s="204" t="str">
        <f t="shared" si="81"/>
        <v>-</v>
      </c>
      <c r="Y60" s="214"/>
      <c r="Z60" s="416">
        <f t="shared" si="99"/>
        <v>7.4999999999999997E-3</v>
      </c>
      <c r="AA60" s="214">
        <v>102.75</v>
      </c>
      <c r="AB60" s="57" t="str">
        <f t="shared" si="82"/>
        <v>-</v>
      </c>
      <c r="AC60" s="67" t="str">
        <f t="shared" si="83"/>
        <v>-</v>
      </c>
      <c r="AD60" s="115" t="str">
        <f t="shared" si="84"/>
        <v>-</v>
      </c>
      <c r="AE60" s="115" t="str">
        <f t="shared" si="85"/>
        <v>-</v>
      </c>
      <c r="AF60" s="51" t="str">
        <f t="shared" si="86"/>
        <v>- | -</v>
      </c>
      <c r="AG60" s="52" t="str">
        <f t="shared" si="87"/>
        <v>-</v>
      </c>
      <c r="AH60" s="52" t="str">
        <f t="shared" si="88"/>
        <v>-</v>
      </c>
      <c r="AI60" s="52">
        <f t="shared" si="89"/>
        <v>0</v>
      </c>
      <c r="AJ60" s="52">
        <f t="shared" si="90"/>
        <v>0</v>
      </c>
      <c r="AK60" s="52" t="str">
        <f t="shared" si="91"/>
        <v>-</v>
      </c>
      <c r="AL60" s="51" t="str">
        <f t="shared" si="92"/>
        <v>-</v>
      </c>
      <c r="AM60" s="52" t="str">
        <f t="shared" si="93"/>
        <v>-</v>
      </c>
      <c r="AN60" s="51" t="str">
        <f t="shared" si="94"/>
        <v>-</v>
      </c>
      <c r="AO60" s="415" t="e">
        <f t="shared" si="95"/>
        <v>#VALUE!</v>
      </c>
      <c r="AP60" s="640"/>
      <c r="AQ60" s="414"/>
      <c r="AR60" s="413" t="e">
        <f t="shared" si="100"/>
        <v>#VALUE!</v>
      </c>
      <c r="AS60" s="413" t="str">
        <f t="shared" si="96"/>
        <v>-</v>
      </c>
      <c r="AT60" s="412" t="str">
        <f t="shared" si="97"/>
        <v>-</v>
      </c>
      <c r="AU60" s="411" t="str">
        <f t="shared" si="98"/>
        <v>-</v>
      </c>
    </row>
    <row r="61" spans="1:47" x14ac:dyDescent="0.25">
      <c r="A61" s="421">
        <v>3</v>
      </c>
      <c r="B61" s="214">
        <v>100.5</v>
      </c>
      <c r="C61" s="204" t="str">
        <f t="shared" si="60"/>
        <v>-</v>
      </c>
      <c r="D61" s="420" t="str">
        <f t="shared" si="61"/>
        <v>-</v>
      </c>
      <c r="E61" s="52" t="str">
        <f t="shared" si="62"/>
        <v>-</v>
      </c>
      <c r="F61" s="204" t="str">
        <f t="shared" si="63"/>
        <v>-</v>
      </c>
      <c r="G61" s="420" t="str">
        <f t="shared" si="64"/>
        <v>-</v>
      </c>
      <c r="H61" s="52" t="str">
        <f t="shared" si="65"/>
        <v>-</v>
      </c>
      <c r="I61" s="204" t="str">
        <f t="shared" si="66"/>
        <v>-</v>
      </c>
      <c r="J61" s="420" t="str">
        <f t="shared" si="67"/>
        <v>-</v>
      </c>
      <c r="K61" s="52" t="str">
        <f t="shared" si="68"/>
        <v>-</v>
      </c>
      <c r="L61" s="204" t="str">
        <f t="shared" si="69"/>
        <v>-</v>
      </c>
      <c r="M61" s="420" t="str">
        <f t="shared" si="70"/>
        <v>-</v>
      </c>
      <c r="N61" s="52" t="str">
        <f t="shared" si="71"/>
        <v>-</v>
      </c>
      <c r="O61" s="204" t="str">
        <f t="shared" si="72"/>
        <v>-</v>
      </c>
      <c r="P61" s="420" t="str">
        <f t="shared" si="73"/>
        <v>-</v>
      </c>
      <c r="Q61" s="52" t="str">
        <f t="shared" si="74"/>
        <v>-</v>
      </c>
      <c r="R61" s="204" t="str">
        <f t="shared" si="75"/>
        <v>-</v>
      </c>
      <c r="S61" s="420" t="str">
        <f t="shared" si="76"/>
        <v>-</v>
      </c>
      <c r="T61" s="52" t="str">
        <f t="shared" si="77"/>
        <v>-</v>
      </c>
      <c r="U61" s="204" t="str">
        <f t="shared" si="78"/>
        <v>-</v>
      </c>
      <c r="V61" s="420" t="str">
        <f t="shared" si="79"/>
        <v>-</v>
      </c>
      <c r="W61" s="52" t="str">
        <f t="shared" si="80"/>
        <v>-</v>
      </c>
      <c r="X61" s="204" t="str">
        <f t="shared" si="81"/>
        <v>-</v>
      </c>
      <c r="Y61" s="214"/>
      <c r="Z61" s="416">
        <f t="shared" si="99"/>
        <v>0.01</v>
      </c>
      <c r="AA61" s="214">
        <v>102.5</v>
      </c>
      <c r="AB61" s="57" t="str">
        <f t="shared" si="82"/>
        <v>-</v>
      </c>
      <c r="AC61" s="67" t="str">
        <f t="shared" si="83"/>
        <v>-</v>
      </c>
      <c r="AD61" s="115" t="str">
        <f t="shared" si="84"/>
        <v>-</v>
      </c>
      <c r="AE61" s="115" t="str">
        <f t="shared" si="85"/>
        <v>-</v>
      </c>
      <c r="AF61" s="51" t="str">
        <f t="shared" si="86"/>
        <v>- | -</v>
      </c>
      <c r="AG61" s="52" t="str">
        <f t="shared" si="87"/>
        <v>-</v>
      </c>
      <c r="AH61" s="52" t="str">
        <f t="shared" si="88"/>
        <v>-</v>
      </c>
      <c r="AI61" s="52">
        <f t="shared" si="89"/>
        <v>0</v>
      </c>
      <c r="AJ61" s="52">
        <f t="shared" si="90"/>
        <v>0</v>
      </c>
      <c r="AK61" s="52" t="str">
        <f t="shared" si="91"/>
        <v>-</v>
      </c>
      <c r="AL61" s="51" t="str">
        <f t="shared" si="92"/>
        <v>-</v>
      </c>
      <c r="AM61" s="52" t="str">
        <f t="shared" si="93"/>
        <v>-</v>
      </c>
      <c r="AN61" s="51" t="str">
        <f t="shared" si="94"/>
        <v>-</v>
      </c>
      <c r="AO61" s="415" t="e">
        <f t="shared" si="95"/>
        <v>#VALUE!</v>
      </c>
      <c r="AP61" s="640"/>
      <c r="AQ61" s="414"/>
      <c r="AR61" s="413" t="e">
        <f t="shared" si="100"/>
        <v>#VALUE!</v>
      </c>
      <c r="AS61" s="413" t="str">
        <f t="shared" si="96"/>
        <v>-</v>
      </c>
      <c r="AT61" s="412" t="str">
        <f t="shared" si="97"/>
        <v>-</v>
      </c>
      <c r="AU61" s="411" t="str">
        <f t="shared" si="98"/>
        <v>-</v>
      </c>
    </row>
    <row r="62" spans="1:47" x14ac:dyDescent="0.25">
      <c r="A62" s="421">
        <v>3.25</v>
      </c>
      <c r="B62" s="214">
        <v>100.25</v>
      </c>
      <c r="C62" s="204" t="str">
        <f t="shared" si="60"/>
        <v>-</v>
      </c>
      <c r="D62" s="420" t="str">
        <f t="shared" si="61"/>
        <v>-</v>
      </c>
      <c r="E62" s="52" t="str">
        <f t="shared" si="62"/>
        <v>-</v>
      </c>
      <c r="F62" s="204" t="str">
        <f t="shared" si="63"/>
        <v>-</v>
      </c>
      <c r="G62" s="420" t="str">
        <f t="shared" si="64"/>
        <v>-</v>
      </c>
      <c r="H62" s="52" t="str">
        <f t="shared" si="65"/>
        <v>-</v>
      </c>
      <c r="I62" s="204" t="str">
        <f t="shared" si="66"/>
        <v>-</v>
      </c>
      <c r="J62" s="420" t="str">
        <f t="shared" si="67"/>
        <v>-</v>
      </c>
      <c r="K62" s="52" t="str">
        <f t="shared" si="68"/>
        <v>-</v>
      </c>
      <c r="L62" s="204" t="str">
        <f t="shared" si="69"/>
        <v>-</v>
      </c>
      <c r="M62" s="420" t="str">
        <f t="shared" si="70"/>
        <v>-</v>
      </c>
      <c r="N62" s="52" t="str">
        <f t="shared" si="71"/>
        <v>-</v>
      </c>
      <c r="O62" s="204" t="str">
        <f t="shared" si="72"/>
        <v>-</v>
      </c>
      <c r="P62" s="420" t="str">
        <f t="shared" si="73"/>
        <v>-</v>
      </c>
      <c r="Q62" s="52" t="str">
        <f t="shared" si="74"/>
        <v>-</v>
      </c>
      <c r="R62" s="204" t="str">
        <f t="shared" si="75"/>
        <v>-</v>
      </c>
      <c r="S62" s="420" t="str">
        <f t="shared" si="76"/>
        <v>-</v>
      </c>
      <c r="T62" s="52" t="str">
        <f t="shared" si="77"/>
        <v>-</v>
      </c>
      <c r="U62" s="204" t="str">
        <f t="shared" si="78"/>
        <v>-</v>
      </c>
      <c r="V62" s="420" t="str">
        <f t="shared" si="79"/>
        <v>-</v>
      </c>
      <c r="W62" s="52" t="str">
        <f t="shared" si="80"/>
        <v>-</v>
      </c>
      <c r="X62" s="204" t="str">
        <f t="shared" si="81"/>
        <v>-</v>
      </c>
      <c r="Y62" s="214"/>
      <c r="Z62" s="416">
        <f t="shared" si="99"/>
        <v>1.2500000000000001E-2</v>
      </c>
      <c r="AA62" s="214">
        <v>102.25</v>
      </c>
      <c r="AB62" s="57" t="str">
        <f t="shared" si="82"/>
        <v>-</v>
      </c>
      <c r="AC62" s="67" t="str">
        <f t="shared" si="83"/>
        <v>-</v>
      </c>
      <c r="AD62" s="115" t="str">
        <f t="shared" si="84"/>
        <v>-</v>
      </c>
      <c r="AE62" s="115" t="str">
        <f t="shared" si="85"/>
        <v>-</v>
      </c>
      <c r="AF62" s="51" t="str">
        <f t="shared" si="86"/>
        <v>- | -</v>
      </c>
      <c r="AG62" s="52" t="str">
        <f t="shared" si="87"/>
        <v>-</v>
      </c>
      <c r="AH62" s="52" t="str">
        <f t="shared" si="88"/>
        <v>-</v>
      </c>
      <c r="AI62" s="52">
        <f t="shared" si="89"/>
        <v>0</v>
      </c>
      <c r="AJ62" s="52">
        <f t="shared" si="90"/>
        <v>0</v>
      </c>
      <c r="AK62" s="52" t="str">
        <f t="shared" si="91"/>
        <v>-</v>
      </c>
      <c r="AL62" s="51" t="str">
        <f t="shared" si="92"/>
        <v>-</v>
      </c>
      <c r="AM62" s="52" t="str">
        <f t="shared" si="93"/>
        <v>-</v>
      </c>
      <c r="AN62" s="51" t="str">
        <f t="shared" si="94"/>
        <v>-</v>
      </c>
      <c r="AO62" s="415" t="e">
        <f t="shared" si="95"/>
        <v>#VALUE!</v>
      </c>
      <c r="AP62" s="640"/>
      <c r="AQ62" s="414"/>
      <c r="AR62" s="413" t="e">
        <f t="shared" si="100"/>
        <v>#VALUE!</v>
      </c>
      <c r="AS62" s="413" t="str">
        <f t="shared" si="96"/>
        <v>-</v>
      </c>
      <c r="AT62" s="412" t="str">
        <f t="shared" si="97"/>
        <v>-</v>
      </c>
      <c r="AU62" s="411" t="str">
        <f t="shared" si="98"/>
        <v>-</v>
      </c>
    </row>
    <row r="63" spans="1:47" x14ac:dyDescent="0.25">
      <c r="A63" s="421">
        <v>3.5</v>
      </c>
      <c r="B63" s="214">
        <v>100</v>
      </c>
      <c r="C63" s="204" t="str">
        <f t="shared" si="60"/>
        <v>-</v>
      </c>
      <c r="D63" s="420" t="str">
        <f t="shared" si="61"/>
        <v>-</v>
      </c>
      <c r="E63" s="52" t="str">
        <f t="shared" si="62"/>
        <v>-</v>
      </c>
      <c r="F63" s="204" t="str">
        <f t="shared" si="63"/>
        <v>-</v>
      </c>
      <c r="G63" s="420" t="str">
        <f t="shared" si="64"/>
        <v>-</v>
      </c>
      <c r="H63" s="52" t="str">
        <f t="shared" si="65"/>
        <v>-</v>
      </c>
      <c r="I63" s="204" t="str">
        <f t="shared" si="66"/>
        <v>-</v>
      </c>
      <c r="J63" s="420" t="str">
        <f t="shared" si="67"/>
        <v>-</v>
      </c>
      <c r="K63" s="52" t="str">
        <f t="shared" si="68"/>
        <v>-</v>
      </c>
      <c r="L63" s="204" t="str">
        <f t="shared" si="69"/>
        <v>-</v>
      </c>
      <c r="M63" s="420" t="str">
        <f t="shared" si="70"/>
        <v>-</v>
      </c>
      <c r="N63" s="52" t="str">
        <f t="shared" si="71"/>
        <v>-</v>
      </c>
      <c r="O63" s="204" t="str">
        <f t="shared" si="72"/>
        <v>-</v>
      </c>
      <c r="P63" s="420" t="str">
        <f t="shared" si="73"/>
        <v>-</v>
      </c>
      <c r="Q63" s="52" t="str">
        <f t="shared" si="74"/>
        <v>-</v>
      </c>
      <c r="R63" s="204" t="str">
        <f t="shared" si="75"/>
        <v>-</v>
      </c>
      <c r="S63" s="420" t="str">
        <f t="shared" si="76"/>
        <v>-</v>
      </c>
      <c r="T63" s="52" t="str">
        <f t="shared" si="77"/>
        <v>-</v>
      </c>
      <c r="U63" s="204" t="str">
        <f t="shared" si="78"/>
        <v>-</v>
      </c>
      <c r="V63" s="420" t="str">
        <f t="shared" si="79"/>
        <v>-</v>
      </c>
      <c r="W63" s="52" t="str">
        <f t="shared" si="80"/>
        <v>-</v>
      </c>
      <c r="X63" s="204" t="str">
        <f t="shared" si="81"/>
        <v>-</v>
      </c>
      <c r="Y63" s="214"/>
      <c r="Z63" s="416">
        <f t="shared" si="99"/>
        <v>1.5000000000000001E-2</v>
      </c>
      <c r="AA63" s="214">
        <v>102</v>
      </c>
      <c r="AB63" s="57" t="str">
        <f t="shared" si="82"/>
        <v>-</v>
      </c>
      <c r="AC63" s="67" t="str">
        <f t="shared" si="83"/>
        <v>-</v>
      </c>
      <c r="AD63" s="115" t="str">
        <f t="shared" si="84"/>
        <v>-</v>
      </c>
      <c r="AE63" s="115" t="str">
        <f t="shared" si="85"/>
        <v>-</v>
      </c>
      <c r="AF63" s="51" t="str">
        <f t="shared" si="86"/>
        <v>- | -</v>
      </c>
      <c r="AG63" s="52" t="str">
        <f t="shared" si="87"/>
        <v>-</v>
      </c>
      <c r="AH63" s="52" t="str">
        <f t="shared" si="88"/>
        <v>-</v>
      </c>
      <c r="AI63" s="52">
        <f t="shared" si="89"/>
        <v>0</v>
      </c>
      <c r="AJ63" s="52">
        <f t="shared" si="90"/>
        <v>0</v>
      </c>
      <c r="AK63" s="52" t="str">
        <f t="shared" si="91"/>
        <v>-</v>
      </c>
      <c r="AL63" s="51" t="str">
        <f t="shared" si="92"/>
        <v>-</v>
      </c>
      <c r="AM63" s="52" t="str">
        <f t="shared" si="93"/>
        <v>-</v>
      </c>
      <c r="AN63" s="51" t="str">
        <f t="shared" si="94"/>
        <v>-</v>
      </c>
      <c r="AO63" s="415" t="e">
        <f t="shared" si="95"/>
        <v>#VALUE!</v>
      </c>
      <c r="AP63" s="640"/>
      <c r="AQ63" s="414"/>
      <c r="AR63" s="413" t="e">
        <f t="shared" si="100"/>
        <v>#VALUE!</v>
      </c>
      <c r="AS63" s="413" t="str">
        <f t="shared" si="96"/>
        <v>-</v>
      </c>
      <c r="AT63" s="412" t="str">
        <f t="shared" si="97"/>
        <v>-</v>
      </c>
      <c r="AU63" s="411" t="str">
        <f t="shared" si="98"/>
        <v>-</v>
      </c>
    </row>
    <row r="64" spans="1:47" x14ac:dyDescent="0.25">
      <c r="A64" s="421">
        <v>3.75</v>
      </c>
      <c r="B64" s="214">
        <v>99.75</v>
      </c>
      <c r="C64" s="204" t="str">
        <f t="shared" si="60"/>
        <v>-</v>
      </c>
      <c r="D64" s="420" t="str">
        <f t="shared" si="61"/>
        <v>-</v>
      </c>
      <c r="E64" s="52" t="str">
        <f t="shared" si="62"/>
        <v>-</v>
      </c>
      <c r="F64" s="204" t="str">
        <f t="shared" si="63"/>
        <v>-</v>
      </c>
      <c r="G64" s="420" t="str">
        <f t="shared" si="64"/>
        <v>-</v>
      </c>
      <c r="H64" s="52" t="str">
        <f t="shared" si="65"/>
        <v>-</v>
      </c>
      <c r="I64" s="204" t="str">
        <f t="shared" si="66"/>
        <v>-</v>
      </c>
      <c r="J64" s="420" t="str">
        <f t="shared" si="67"/>
        <v>-</v>
      </c>
      <c r="K64" s="52" t="str">
        <f t="shared" si="68"/>
        <v>-</v>
      </c>
      <c r="L64" s="204" t="str">
        <f t="shared" si="69"/>
        <v>-</v>
      </c>
      <c r="M64" s="420" t="str">
        <f t="shared" si="70"/>
        <v>-</v>
      </c>
      <c r="N64" s="52" t="str">
        <f t="shared" si="71"/>
        <v>-</v>
      </c>
      <c r="O64" s="204" t="str">
        <f t="shared" si="72"/>
        <v>-</v>
      </c>
      <c r="P64" s="420" t="str">
        <f t="shared" si="73"/>
        <v>-</v>
      </c>
      <c r="Q64" s="52" t="str">
        <f t="shared" si="74"/>
        <v>-</v>
      </c>
      <c r="R64" s="204" t="str">
        <f t="shared" si="75"/>
        <v>-</v>
      </c>
      <c r="S64" s="420" t="str">
        <f t="shared" si="76"/>
        <v>-</v>
      </c>
      <c r="T64" s="52" t="str">
        <f t="shared" si="77"/>
        <v>-</v>
      </c>
      <c r="U64" s="204" t="str">
        <f t="shared" si="78"/>
        <v>-</v>
      </c>
      <c r="V64" s="420" t="str">
        <f t="shared" si="79"/>
        <v>-</v>
      </c>
      <c r="W64" s="52" t="str">
        <f t="shared" si="80"/>
        <v>-</v>
      </c>
      <c r="X64" s="204" t="str">
        <f t="shared" si="81"/>
        <v>-</v>
      </c>
      <c r="Y64" s="214"/>
      <c r="Z64" s="416">
        <f t="shared" si="99"/>
        <v>1.7500000000000002E-2</v>
      </c>
      <c r="AA64" s="214">
        <v>101.75</v>
      </c>
      <c r="AB64" s="57" t="str">
        <f t="shared" si="82"/>
        <v>-</v>
      </c>
      <c r="AC64" s="67" t="str">
        <f t="shared" si="83"/>
        <v>-</v>
      </c>
      <c r="AD64" s="115" t="str">
        <f t="shared" si="84"/>
        <v>-</v>
      </c>
      <c r="AE64" s="115" t="str">
        <f t="shared" si="85"/>
        <v>-</v>
      </c>
      <c r="AF64" s="51" t="str">
        <f t="shared" si="86"/>
        <v>- | -</v>
      </c>
      <c r="AG64" s="52" t="str">
        <f t="shared" si="87"/>
        <v>-</v>
      </c>
      <c r="AH64" s="52" t="str">
        <f t="shared" si="88"/>
        <v>-</v>
      </c>
      <c r="AI64" s="52">
        <f t="shared" si="89"/>
        <v>0</v>
      </c>
      <c r="AJ64" s="52">
        <f t="shared" si="90"/>
        <v>0</v>
      </c>
      <c r="AK64" s="52" t="str">
        <f t="shared" si="91"/>
        <v>-</v>
      </c>
      <c r="AL64" s="51" t="str">
        <f t="shared" si="92"/>
        <v>-</v>
      </c>
      <c r="AM64" s="52" t="str">
        <f t="shared" si="93"/>
        <v>-</v>
      </c>
      <c r="AN64" s="51" t="str">
        <f t="shared" si="94"/>
        <v>-</v>
      </c>
      <c r="AO64" s="415" t="e">
        <f t="shared" si="95"/>
        <v>#VALUE!</v>
      </c>
      <c r="AP64" s="640"/>
      <c r="AQ64" s="414"/>
      <c r="AR64" s="413" t="e">
        <f t="shared" si="100"/>
        <v>#VALUE!</v>
      </c>
      <c r="AS64" s="413" t="str">
        <f t="shared" si="96"/>
        <v>-</v>
      </c>
      <c r="AT64" s="412" t="str">
        <f t="shared" si="97"/>
        <v>-</v>
      </c>
      <c r="AU64" s="411" t="str">
        <f t="shared" si="98"/>
        <v>-</v>
      </c>
    </row>
    <row r="65" spans="1:47" x14ac:dyDescent="0.25">
      <c r="A65" s="421">
        <v>4</v>
      </c>
      <c r="B65" s="214">
        <v>99.5</v>
      </c>
      <c r="C65" s="204" t="str">
        <f t="shared" si="60"/>
        <v>-</v>
      </c>
      <c r="D65" s="420" t="str">
        <f t="shared" si="61"/>
        <v>-</v>
      </c>
      <c r="E65" s="52" t="str">
        <f t="shared" si="62"/>
        <v>-</v>
      </c>
      <c r="F65" s="204" t="str">
        <f t="shared" si="63"/>
        <v>-</v>
      </c>
      <c r="G65" s="420" t="str">
        <f t="shared" si="64"/>
        <v>-</v>
      </c>
      <c r="H65" s="52" t="str">
        <f t="shared" si="65"/>
        <v>-</v>
      </c>
      <c r="I65" s="204" t="str">
        <f t="shared" si="66"/>
        <v>-</v>
      </c>
      <c r="J65" s="420" t="str">
        <f t="shared" si="67"/>
        <v>-</v>
      </c>
      <c r="K65" s="52" t="str">
        <f t="shared" si="68"/>
        <v>-</v>
      </c>
      <c r="L65" s="204" t="str">
        <f t="shared" si="69"/>
        <v>-</v>
      </c>
      <c r="M65" s="420" t="str">
        <f t="shared" si="70"/>
        <v>-</v>
      </c>
      <c r="N65" s="52" t="str">
        <f t="shared" si="71"/>
        <v>-</v>
      </c>
      <c r="O65" s="204" t="str">
        <f t="shared" si="72"/>
        <v>-</v>
      </c>
      <c r="P65" s="420" t="str">
        <f t="shared" si="73"/>
        <v>-</v>
      </c>
      <c r="Q65" s="52" t="str">
        <f t="shared" si="74"/>
        <v>-</v>
      </c>
      <c r="R65" s="204" t="str">
        <f t="shared" si="75"/>
        <v>-</v>
      </c>
      <c r="S65" s="420" t="str">
        <f t="shared" si="76"/>
        <v>-</v>
      </c>
      <c r="T65" s="52" t="str">
        <f t="shared" si="77"/>
        <v>-</v>
      </c>
      <c r="U65" s="204" t="str">
        <f t="shared" si="78"/>
        <v>-</v>
      </c>
      <c r="V65" s="420" t="str">
        <f t="shared" si="79"/>
        <v>-</v>
      </c>
      <c r="W65" s="52" t="str">
        <f t="shared" si="80"/>
        <v>-</v>
      </c>
      <c r="X65" s="204" t="str">
        <f t="shared" si="81"/>
        <v>-</v>
      </c>
      <c r="Y65" s="214"/>
      <c r="Z65" s="416">
        <f t="shared" si="99"/>
        <v>0.02</v>
      </c>
      <c r="AA65" s="214">
        <v>101.5</v>
      </c>
      <c r="AB65" s="57" t="str">
        <f t="shared" si="82"/>
        <v>-</v>
      </c>
      <c r="AC65" s="67" t="str">
        <f t="shared" si="83"/>
        <v>-</v>
      </c>
      <c r="AD65" s="115" t="str">
        <f t="shared" si="84"/>
        <v>-</v>
      </c>
      <c r="AE65" s="115" t="str">
        <f t="shared" si="85"/>
        <v>-</v>
      </c>
      <c r="AF65" s="51" t="str">
        <f t="shared" si="86"/>
        <v>- | -</v>
      </c>
      <c r="AG65" s="52" t="str">
        <f t="shared" si="87"/>
        <v>-</v>
      </c>
      <c r="AH65" s="52" t="str">
        <f t="shared" si="88"/>
        <v>-</v>
      </c>
      <c r="AI65" s="52">
        <f t="shared" si="89"/>
        <v>0</v>
      </c>
      <c r="AJ65" s="52">
        <f t="shared" si="90"/>
        <v>0</v>
      </c>
      <c r="AK65" s="52" t="str">
        <f t="shared" si="91"/>
        <v>-</v>
      </c>
      <c r="AL65" s="51" t="str">
        <f t="shared" si="92"/>
        <v>-</v>
      </c>
      <c r="AM65" s="52" t="str">
        <f t="shared" si="93"/>
        <v>-</v>
      </c>
      <c r="AN65" s="51" t="str">
        <f t="shared" si="94"/>
        <v>-</v>
      </c>
      <c r="AO65" s="415" t="e">
        <f t="shared" si="95"/>
        <v>#VALUE!</v>
      </c>
      <c r="AP65" s="640"/>
      <c r="AQ65" s="414"/>
      <c r="AR65" s="413" t="e">
        <f t="shared" si="100"/>
        <v>#VALUE!</v>
      </c>
      <c r="AS65" s="413" t="str">
        <f t="shared" si="96"/>
        <v>-</v>
      </c>
      <c r="AT65" s="412" t="str">
        <f t="shared" si="97"/>
        <v>-</v>
      </c>
      <c r="AU65" s="411" t="str">
        <f t="shared" si="98"/>
        <v>-</v>
      </c>
    </row>
    <row r="66" spans="1:47" x14ac:dyDescent="0.25">
      <c r="A66" s="421">
        <v>4.25</v>
      </c>
      <c r="B66" s="214">
        <v>99.25</v>
      </c>
      <c r="C66" s="204" t="str">
        <f t="shared" si="60"/>
        <v>-</v>
      </c>
      <c r="D66" s="420" t="str">
        <f t="shared" si="61"/>
        <v>-</v>
      </c>
      <c r="E66" s="52" t="str">
        <f t="shared" si="62"/>
        <v>-</v>
      </c>
      <c r="F66" s="204" t="str">
        <f t="shared" si="63"/>
        <v>-</v>
      </c>
      <c r="G66" s="420" t="str">
        <f t="shared" si="64"/>
        <v>-</v>
      </c>
      <c r="H66" s="52" t="str">
        <f t="shared" si="65"/>
        <v>-</v>
      </c>
      <c r="I66" s="204" t="str">
        <f t="shared" si="66"/>
        <v>-</v>
      </c>
      <c r="J66" s="420" t="str">
        <f t="shared" si="67"/>
        <v>-</v>
      </c>
      <c r="K66" s="52" t="str">
        <f t="shared" si="68"/>
        <v>-</v>
      </c>
      <c r="L66" s="204" t="str">
        <f t="shared" si="69"/>
        <v>-</v>
      </c>
      <c r="M66" s="420" t="str">
        <f t="shared" si="70"/>
        <v>-</v>
      </c>
      <c r="N66" s="52" t="str">
        <f t="shared" si="71"/>
        <v>-</v>
      </c>
      <c r="O66" s="204" t="str">
        <f t="shared" si="72"/>
        <v>-</v>
      </c>
      <c r="P66" s="420" t="str">
        <f t="shared" si="73"/>
        <v>-</v>
      </c>
      <c r="Q66" s="52" t="str">
        <f t="shared" si="74"/>
        <v>-</v>
      </c>
      <c r="R66" s="204" t="str">
        <f t="shared" si="75"/>
        <v>-</v>
      </c>
      <c r="S66" s="420" t="str">
        <f t="shared" si="76"/>
        <v>-</v>
      </c>
      <c r="T66" s="52" t="str">
        <f t="shared" si="77"/>
        <v>-</v>
      </c>
      <c r="U66" s="204" t="str">
        <f t="shared" si="78"/>
        <v>-</v>
      </c>
      <c r="V66" s="420" t="str">
        <f t="shared" si="79"/>
        <v>-</v>
      </c>
      <c r="W66" s="52" t="str">
        <f t="shared" si="80"/>
        <v>-</v>
      </c>
      <c r="X66" s="204" t="str">
        <f t="shared" si="81"/>
        <v>-</v>
      </c>
      <c r="Y66" s="214"/>
      <c r="Z66" s="416">
        <f t="shared" si="99"/>
        <v>2.2499999999999999E-2</v>
      </c>
      <c r="AA66" s="214">
        <v>101.25</v>
      </c>
      <c r="AB66" s="57" t="str">
        <f t="shared" si="82"/>
        <v>-</v>
      </c>
      <c r="AC66" s="67" t="str">
        <f t="shared" si="83"/>
        <v>-</v>
      </c>
      <c r="AD66" s="115" t="str">
        <f t="shared" si="84"/>
        <v>-</v>
      </c>
      <c r="AE66" s="115" t="str">
        <f t="shared" si="85"/>
        <v>-</v>
      </c>
      <c r="AF66" s="51" t="str">
        <f t="shared" si="86"/>
        <v>- | -</v>
      </c>
      <c r="AG66" s="52" t="str">
        <f t="shared" si="87"/>
        <v>-</v>
      </c>
      <c r="AH66" s="52" t="str">
        <f t="shared" si="88"/>
        <v>-</v>
      </c>
      <c r="AI66" s="52">
        <f t="shared" si="89"/>
        <v>0</v>
      </c>
      <c r="AJ66" s="52">
        <f t="shared" si="90"/>
        <v>0</v>
      </c>
      <c r="AK66" s="52" t="str">
        <f t="shared" si="91"/>
        <v>-</v>
      </c>
      <c r="AL66" s="51" t="str">
        <f t="shared" si="92"/>
        <v>-</v>
      </c>
      <c r="AM66" s="52" t="str">
        <f t="shared" si="93"/>
        <v>-</v>
      </c>
      <c r="AN66" s="51" t="str">
        <f t="shared" si="94"/>
        <v>-</v>
      </c>
      <c r="AO66" s="415" t="e">
        <f t="shared" si="95"/>
        <v>#VALUE!</v>
      </c>
      <c r="AP66" s="640"/>
      <c r="AQ66" s="414"/>
      <c r="AR66" s="413" t="e">
        <f t="shared" si="100"/>
        <v>#VALUE!</v>
      </c>
      <c r="AS66" s="413" t="str">
        <f t="shared" si="96"/>
        <v>-</v>
      </c>
      <c r="AT66" s="412" t="str">
        <f t="shared" si="97"/>
        <v>-</v>
      </c>
      <c r="AU66" s="411" t="str">
        <f t="shared" si="98"/>
        <v>-</v>
      </c>
    </row>
    <row r="67" spans="1:47" x14ac:dyDescent="0.25">
      <c r="A67" s="421">
        <v>4.5</v>
      </c>
      <c r="B67" s="214">
        <v>99</v>
      </c>
      <c r="C67" s="204" t="str">
        <f t="shared" si="60"/>
        <v>-</v>
      </c>
      <c r="D67" s="420" t="str">
        <f t="shared" si="61"/>
        <v>-</v>
      </c>
      <c r="E67" s="52" t="str">
        <f t="shared" si="62"/>
        <v>-</v>
      </c>
      <c r="F67" s="204" t="str">
        <f t="shared" si="63"/>
        <v>-</v>
      </c>
      <c r="G67" s="420" t="str">
        <f t="shared" si="64"/>
        <v>-</v>
      </c>
      <c r="H67" s="52" t="str">
        <f t="shared" si="65"/>
        <v>-</v>
      </c>
      <c r="I67" s="204" t="str">
        <f t="shared" si="66"/>
        <v>-</v>
      </c>
      <c r="J67" s="420" t="str">
        <f t="shared" si="67"/>
        <v>-</v>
      </c>
      <c r="K67" s="52" t="str">
        <f t="shared" si="68"/>
        <v>-</v>
      </c>
      <c r="L67" s="204" t="str">
        <f t="shared" si="69"/>
        <v>-</v>
      </c>
      <c r="M67" s="420" t="str">
        <f t="shared" si="70"/>
        <v>-</v>
      </c>
      <c r="N67" s="52" t="str">
        <f t="shared" si="71"/>
        <v>-</v>
      </c>
      <c r="O67" s="204" t="str">
        <f t="shared" si="72"/>
        <v>-</v>
      </c>
      <c r="P67" s="420" t="str">
        <f t="shared" si="73"/>
        <v>-</v>
      </c>
      <c r="Q67" s="52" t="str">
        <f t="shared" si="74"/>
        <v>-</v>
      </c>
      <c r="R67" s="204" t="str">
        <f t="shared" si="75"/>
        <v>-</v>
      </c>
      <c r="S67" s="420" t="str">
        <f t="shared" si="76"/>
        <v>-</v>
      </c>
      <c r="T67" s="52" t="str">
        <f t="shared" si="77"/>
        <v>-</v>
      </c>
      <c r="U67" s="204" t="str">
        <f t="shared" si="78"/>
        <v>-</v>
      </c>
      <c r="V67" s="420" t="str">
        <f t="shared" si="79"/>
        <v>-</v>
      </c>
      <c r="W67" s="52" t="str">
        <f t="shared" si="80"/>
        <v>-</v>
      </c>
      <c r="X67" s="204" t="str">
        <f t="shared" si="81"/>
        <v>-</v>
      </c>
      <c r="Y67" s="214"/>
      <c r="Z67" s="416">
        <f t="shared" si="99"/>
        <v>2.4999999999999998E-2</v>
      </c>
      <c r="AA67" s="214">
        <v>101</v>
      </c>
      <c r="AB67" s="57" t="str">
        <f t="shared" si="82"/>
        <v>-</v>
      </c>
      <c r="AC67" s="67" t="str">
        <f t="shared" si="83"/>
        <v>-</v>
      </c>
      <c r="AD67" s="115" t="str">
        <f t="shared" si="84"/>
        <v>-</v>
      </c>
      <c r="AE67" s="115" t="str">
        <f t="shared" si="85"/>
        <v>-</v>
      </c>
      <c r="AF67" s="51" t="str">
        <f t="shared" si="86"/>
        <v>- | -</v>
      </c>
      <c r="AG67" s="52" t="str">
        <f t="shared" si="87"/>
        <v>-</v>
      </c>
      <c r="AH67" s="52" t="str">
        <f t="shared" si="88"/>
        <v>-</v>
      </c>
      <c r="AI67" s="52">
        <f t="shared" si="89"/>
        <v>0</v>
      </c>
      <c r="AJ67" s="52">
        <f t="shared" si="90"/>
        <v>0</v>
      </c>
      <c r="AK67" s="52" t="str">
        <f t="shared" si="91"/>
        <v>-</v>
      </c>
      <c r="AL67" s="51" t="str">
        <f t="shared" si="92"/>
        <v>-</v>
      </c>
      <c r="AM67" s="52" t="str">
        <f t="shared" si="93"/>
        <v>-</v>
      </c>
      <c r="AN67" s="51" t="str">
        <f t="shared" si="94"/>
        <v>-</v>
      </c>
      <c r="AO67" s="415" t="e">
        <f t="shared" si="95"/>
        <v>#VALUE!</v>
      </c>
      <c r="AP67" s="640"/>
      <c r="AQ67" s="414"/>
      <c r="AR67" s="413" t="e">
        <f t="shared" si="100"/>
        <v>#VALUE!</v>
      </c>
      <c r="AS67" s="413" t="str">
        <f t="shared" si="96"/>
        <v>-</v>
      </c>
      <c r="AT67" s="412" t="str">
        <f t="shared" si="97"/>
        <v>-</v>
      </c>
      <c r="AU67" s="411" t="str">
        <f t="shared" si="98"/>
        <v>-</v>
      </c>
    </row>
    <row r="68" spans="1:47" x14ac:dyDescent="0.25">
      <c r="A68" s="421">
        <v>4.75</v>
      </c>
      <c r="B68" s="214">
        <v>98.75</v>
      </c>
      <c r="C68" s="204" t="str">
        <f t="shared" si="60"/>
        <v>-</v>
      </c>
      <c r="D68" s="420" t="str">
        <f t="shared" si="61"/>
        <v>-</v>
      </c>
      <c r="E68" s="52" t="str">
        <f t="shared" si="62"/>
        <v>-</v>
      </c>
      <c r="F68" s="204" t="str">
        <f t="shared" si="63"/>
        <v>-</v>
      </c>
      <c r="G68" s="420" t="str">
        <f t="shared" si="64"/>
        <v>-</v>
      </c>
      <c r="H68" s="52" t="str">
        <f t="shared" si="65"/>
        <v>-</v>
      </c>
      <c r="I68" s="204" t="str">
        <f t="shared" si="66"/>
        <v>-</v>
      </c>
      <c r="J68" s="420" t="str">
        <f t="shared" si="67"/>
        <v>-</v>
      </c>
      <c r="K68" s="52" t="str">
        <f t="shared" si="68"/>
        <v>-</v>
      </c>
      <c r="L68" s="204" t="str">
        <f t="shared" si="69"/>
        <v>-</v>
      </c>
      <c r="M68" s="420" t="str">
        <f t="shared" si="70"/>
        <v>-</v>
      </c>
      <c r="N68" s="52" t="str">
        <f t="shared" si="71"/>
        <v>-</v>
      </c>
      <c r="O68" s="204" t="str">
        <f t="shared" si="72"/>
        <v>-</v>
      </c>
      <c r="P68" s="420" t="str">
        <f t="shared" si="73"/>
        <v>-</v>
      </c>
      <c r="Q68" s="52" t="str">
        <f t="shared" si="74"/>
        <v>-</v>
      </c>
      <c r="R68" s="204" t="str">
        <f t="shared" si="75"/>
        <v>-</v>
      </c>
      <c r="S68" s="420" t="str">
        <f t="shared" si="76"/>
        <v>-</v>
      </c>
      <c r="T68" s="52" t="str">
        <f t="shared" si="77"/>
        <v>-</v>
      </c>
      <c r="U68" s="204" t="str">
        <f t="shared" si="78"/>
        <v>-</v>
      </c>
      <c r="V68" s="420" t="str">
        <f t="shared" si="79"/>
        <v>-</v>
      </c>
      <c r="W68" s="52" t="str">
        <f t="shared" si="80"/>
        <v>-</v>
      </c>
      <c r="X68" s="204" t="str">
        <f t="shared" si="81"/>
        <v>-</v>
      </c>
      <c r="Y68" s="214"/>
      <c r="Z68" s="416">
        <f t="shared" si="99"/>
        <v>2.7499999999999997E-2</v>
      </c>
      <c r="AA68" s="214">
        <v>100.75</v>
      </c>
      <c r="AB68" s="57" t="str">
        <f t="shared" si="82"/>
        <v>-</v>
      </c>
      <c r="AC68" s="67" t="str">
        <f t="shared" si="83"/>
        <v>-</v>
      </c>
      <c r="AD68" s="115" t="str">
        <f t="shared" si="84"/>
        <v>-</v>
      </c>
      <c r="AE68" s="115" t="str">
        <f t="shared" si="85"/>
        <v>-</v>
      </c>
      <c r="AF68" s="51" t="str">
        <f t="shared" si="86"/>
        <v>- | -</v>
      </c>
      <c r="AG68" s="52" t="str">
        <f t="shared" si="87"/>
        <v>-</v>
      </c>
      <c r="AH68" s="52" t="str">
        <f t="shared" si="88"/>
        <v>-</v>
      </c>
      <c r="AI68" s="52">
        <f t="shared" si="89"/>
        <v>0</v>
      </c>
      <c r="AJ68" s="52">
        <f t="shared" si="90"/>
        <v>0</v>
      </c>
      <c r="AK68" s="52" t="str">
        <f t="shared" si="91"/>
        <v>-</v>
      </c>
      <c r="AL68" s="51" t="str">
        <f t="shared" si="92"/>
        <v>-</v>
      </c>
      <c r="AM68" s="52" t="str">
        <f t="shared" si="93"/>
        <v>-</v>
      </c>
      <c r="AN68" s="51" t="str">
        <f t="shared" si="94"/>
        <v>-</v>
      </c>
      <c r="AO68" s="415" t="e">
        <f t="shared" si="95"/>
        <v>#VALUE!</v>
      </c>
      <c r="AP68" s="640"/>
      <c r="AQ68" s="414"/>
      <c r="AR68" s="413" t="e">
        <f t="shared" si="100"/>
        <v>#VALUE!</v>
      </c>
      <c r="AS68" s="413" t="str">
        <f t="shared" si="96"/>
        <v>-</v>
      </c>
      <c r="AT68" s="412" t="str">
        <f t="shared" si="97"/>
        <v>-</v>
      </c>
      <c r="AU68" s="411" t="str">
        <f t="shared" si="98"/>
        <v>-</v>
      </c>
    </row>
    <row r="69" spans="1:47" x14ac:dyDescent="0.25">
      <c r="A69" s="421">
        <v>5</v>
      </c>
      <c r="B69" s="214">
        <v>98.5</v>
      </c>
      <c r="C69" s="204" t="str">
        <f t="shared" si="60"/>
        <v>-</v>
      </c>
      <c r="D69" s="420" t="str">
        <f t="shared" si="61"/>
        <v>-</v>
      </c>
      <c r="E69" s="52" t="str">
        <f t="shared" si="62"/>
        <v>-</v>
      </c>
      <c r="F69" s="204" t="str">
        <f t="shared" si="63"/>
        <v>-</v>
      </c>
      <c r="G69" s="420" t="str">
        <f t="shared" si="64"/>
        <v>-</v>
      </c>
      <c r="H69" s="52" t="str">
        <f t="shared" si="65"/>
        <v>-</v>
      </c>
      <c r="I69" s="204" t="str">
        <f t="shared" si="66"/>
        <v>-</v>
      </c>
      <c r="J69" s="420" t="str">
        <f t="shared" si="67"/>
        <v>-</v>
      </c>
      <c r="K69" s="52" t="str">
        <f t="shared" si="68"/>
        <v>-</v>
      </c>
      <c r="L69" s="204" t="str">
        <f t="shared" si="69"/>
        <v>-</v>
      </c>
      <c r="M69" s="420" t="str">
        <f t="shared" si="70"/>
        <v>-</v>
      </c>
      <c r="N69" s="52" t="str">
        <f t="shared" si="71"/>
        <v>-</v>
      </c>
      <c r="O69" s="204" t="str">
        <f t="shared" si="72"/>
        <v>-</v>
      </c>
      <c r="P69" s="420" t="str">
        <f t="shared" si="73"/>
        <v>-</v>
      </c>
      <c r="Q69" s="52" t="str">
        <f t="shared" si="74"/>
        <v>-</v>
      </c>
      <c r="R69" s="204" t="str">
        <f t="shared" si="75"/>
        <v>-</v>
      </c>
      <c r="S69" s="420" t="str">
        <f t="shared" si="76"/>
        <v>-</v>
      </c>
      <c r="T69" s="52" t="str">
        <f t="shared" si="77"/>
        <v>-</v>
      </c>
      <c r="U69" s="204" t="str">
        <f t="shared" si="78"/>
        <v>-</v>
      </c>
      <c r="V69" s="420" t="str">
        <f t="shared" si="79"/>
        <v>-</v>
      </c>
      <c r="W69" s="52" t="str">
        <f t="shared" si="80"/>
        <v>-</v>
      </c>
      <c r="X69" s="204" t="str">
        <f t="shared" si="81"/>
        <v>-</v>
      </c>
      <c r="Y69" s="214"/>
      <c r="Z69" s="416">
        <f t="shared" si="99"/>
        <v>2.9999999999999995E-2</v>
      </c>
      <c r="AA69" s="214">
        <v>100.5</v>
      </c>
      <c r="AB69" s="57" t="str">
        <f t="shared" si="82"/>
        <v>-</v>
      </c>
      <c r="AC69" s="67" t="str">
        <f t="shared" si="83"/>
        <v>-</v>
      </c>
      <c r="AD69" s="115" t="str">
        <f t="shared" si="84"/>
        <v>-</v>
      </c>
      <c r="AE69" s="115" t="str">
        <f t="shared" si="85"/>
        <v>-</v>
      </c>
      <c r="AF69" s="51" t="str">
        <f t="shared" si="86"/>
        <v>- | -</v>
      </c>
      <c r="AG69" s="52" t="str">
        <f t="shared" si="87"/>
        <v>-</v>
      </c>
      <c r="AH69" s="52" t="str">
        <f t="shared" si="88"/>
        <v>-</v>
      </c>
      <c r="AI69" s="52">
        <f t="shared" si="89"/>
        <v>0</v>
      </c>
      <c r="AJ69" s="52">
        <f t="shared" si="90"/>
        <v>0</v>
      </c>
      <c r="AK69" s="52" t="str">
        <f t="shared" si="91"/>
        <v>-</v>
      </c>
      <c r="AL69" s="51" t="str">
        <f t="shared" si="92"/>
        <v>-</v>
      </c>
      <c r="AM69" s="52" t="str">
        <f t="shared" si="93"/>
        <v>-</v>
      </c>
      <c r="AN69" s="51" t="str">
        <f t="shared" si="94"/>
        <v>-</v>
      </c>
      <c r="AO69" s="415" t="e">
        <f t="shared" si="95"/>
        <v>#VALUE!</v>
      </c>
      <c r="AP69" s="640"/>
      <c r="AQ69" s="414"/>
      <c r="AR69" s="413" t="e">
        <f t="shared" si="100"/>
        <v>#VALUE!</v>
      </c>
      <c r="AS69" s="413" t="str">
        <f t="shared" si="96"/>
        <v>-</v>
      </c>
      <c r="AT69" s="412" t="str">
        <f t="shared" si="97"/>
        <v>-</v>
      </c>
      <c r="AU69" s="411" t="str">
        <f t="shared" si="98"/>
        <v>-</v>
      </c>
    </row>
    <row r="70" spans="1:47" x14ac:dyDescent="0.25">
      <c r="A70" s="421">
        <v>5.25</v>
      </c>
      <c r="B70" s="214">
        <v>98.25</v>
      </c>
      <c r="C70" s="204" t="str">
        <f t="shared" si="60"/>
        <v>-</v>
      </c>
      <c r="D70" s="420" t="str">
        <f t="shared" si="61"/>
        <v>-</v>
      </c>
      <c r="E70" s="52" t="str">
        <f t="shared" si="62"/>
        <v>-</v>
      </c>
      <c r="F70" s="204" t="str">
        <f t="shared" si="63"/>
        <v>-</v>
      </c>
      <c r="G70" s="420" t="str">
        <f t="shared" si="64"/>
        <v>-</v>
      </c>
      <c r="H70" s="52" t="str">
        <f t="shared" si="65"/>
        <v>-</v>
      </c>
      <c r="I70" s="204" t="str">
        <f t="shared" si="66"/>
        <v>-</v>
      </c>
      <c r="J70" s="420" t="str">
        <f t="shared" si="67"/>
        <v>-</v>
      </c>
      <c r="K70" s="52" t="str">
        <f t="shared" si="68"/>
        <v>-</v>
      </c>
      <c r="L70" s="204" t="str">
        <f t="shared" si="69"/>
        <v>-</v>
      </c>
      <c r="M70" s="420" t="str">
        <f t="shared" si="70"/>
        <v>-</v>
      </c>
      <c r="N70" s="52" t="str">
        <f t="shared" si="71"/>
        <v>-</v>
      </c>
      <c r="O70" s="204" t="str">
        <f t="shared" si="72"/>
        <v>-</v>
      </c>
      <c r="P70" s="420" t="str">
        <f t="shared" si="73"/>
        <v>-</v>
      </c>
      <c r="Q70" s="52" t="str">
        <f t="shared" si="74"/>
        <v>-</v>
      </c>
      <c r="R70" s="204" t="str">
        <f t="shared" si="75"/>
        <v>-</v>
      </c>
      <c r="S70" s="420" t="str">
        <f t="shared" si="76"/>
        <v>-</v>
      </c>
      <c r="T70" s="52" t="str">
        <f t="shared" si="77"/>
        <v>-</v>
      </c>
      <c r="U70" s="204" t="str">
        <f t="shared" si="78"/>
        <v>-</v>
      </c>
      <c r="V70" s="420" t="str">
        <f t="shared" si="79"/>
        <v>-</v>
      </c>
      <c r="W70" s="52" t="str">
        <f t="shared" si="80"/>
        <v>-</v>
      </c>
      <c r="X70" s="204" t="str">
        <f t="shared" si="81"/>
        <v>-</v>
      </c>
      <c r="Y70" s="214"/>
      <c r="Z70" s="416">
        <f t="shared" si="99"/>
        <v>3.2499999999999994E-2</v>
      </c>
      <c r="AA70" s="214">
        <v>100.25</v>
      </c>
      <c r="AB70" s="57" t="str">
        <f t="shared" si="82"/>
        <v>-</v>
      </c>
      <c r="AC70" s="67" t="str">
        <f t="shared" si="83"/>
        <v>-</v>
      </c>
      <c r="AD70" s="115" t="str">
        <f t="shared" si="84"/>
        <v>-</v>
      </c>
      <c r="AE70" s="115" t="str">
        <f t="shared" si="85"/>
        <v>-</v>
      </c>
      <c r="AF70" s="51" t="str">
        <f t="shared" si="86"/>
        <v>- | -</v>
      </c>
      <c r="AG70" s="52" t="str">
        <f t="shared" si="87"/>
        <v>-</v>
      </c>
      <c r="AH70" s="52" t="str">
        <f t="shared" si="88"/>
        <v>-</v>
      </c>
      <c r="AI70" s="52">
        <f t="shared" si="89"/>
        <v>0</v>
      </c>
      <c r="AJ70" s="52">
        <f t="shared" si="90"/>
        <v>0</v>
      </c>
      <c r="AK70" s="52" t="str">
        <f t="shared" si="91"/>
        <v>-</v>
      </c>
      <c r="AL70" s="51" t="str">
        <f t="shared" si="92"/>
        <v>-</v>
      </c>
      <c r="AM70" s="52" t="str">
        <f t="shared" si="93"/>
        <v>-</v>
      </c>
      <c r="AN70" s="51" t="str">
        <f t="shared" si="94"/>
        <v>-</v>
      </c>
      <c r="AO70" s="415" t="e">
        <f t="shared" si="95"/>
        <v>#VALUE!</v>
      </c>
      <c r="AP70" s="640"/>
      <c r="AQ70" s="414"/>
      <c r="AR70" s="413" t="e">
        <f t="shared" si="100"/>
        <v>#VALUE!</v>
      </c>
      <c r="AS70" s="413" t="str">
        <f t="shared" si="96"/>
        <v>-</v>
      </c>
      <c r="AT70" s="412" t="str">
        <f t="shared" si="97"/>
        <v>-</v>
      </c>
      <c r="AU70" s="411" t="str">
        <f t="shared" si="98"/>
        <v>-</v>
      </c>
    </row>
    <row r="71" spans="1:47" x14ac:dyDescent="0.25">
      <c r="A71" s="419">
        <v>5.5</v>
      </c>
      <c r="B71" s="409">
        <v>98</v>
      </c>
      <c r="C71" s="199" t="str">
        <f t="shared" si="60"/>
        <v>-</v>
      </c>
      <c r="D71" s="418" t="str">
        <f t="shared" si="61"/>
        <v>-</v>
      </c>
      <c r="E71" s="200" t="str">
        <f t="shared" si="62"/>
        <v>-</v>
      </c>
      <c r="F71" s="199" t="str">
        <f t="shared" si="63"/>
        <v>-</v>
      </c>
      <c r="G71" s="418" t="str">
        <f t="shared" si="64"/>
        <v>-</v>
      </c>
      <c r="H71" s="200" t="str">
        <f t="shared" si="65"/>
        <v>-</v>
      </c>
      <c r="I71" s="199" t="str">
        <f t="shared" si="66"/>
        <v>-</v>
      </c>
      <c r="J71" s="418" t="str">
        <f t="shared" si="67"/>
        <v>-</v>
      </c>
      <c r="K71" s="200" t="str">
        <f t="shared" si="68"/>
        <v>-</v>
      </c>
      <c r="L71" s="199" t="str">
        <f t="shared" si="69"/>
        <v>-</v>
      </c>
      <c r="M71" s="418" t="str">
        <f t="shared" si="70"/>
        <v>-</v>
      </c>
      <c r="N71" s="200" t="str">
        <f t="shared" si="71"/>
        <v>-</v>
      </c>
      <c r="O71" s="199" t="str">
        <f t="shared" si="72"/>
        <v>-</v>
      </c>
      <c r="P71" s="418" t="str">
        <f t="shared" si="73"/>
        <v>-</v>
      </c>
      <c r="Q71" s="200" t="str">
        <f t="shared" si="74"/>
        <v>-</v>
      </c>
      <c r="R71" s="199" t="str">
        <f t="shared" si="75"/>
        <v>-</v>
      </c>
      <c r="S71" s="418" t="str">
        <f t="shared" si="76"/>
        <v>-</v>
      </c>
      <c r="T71" s="200" t="str">
        <f t="shared" si="77"/>
        <v>-</v>
      </c>
      <c r="U71" s="199" t="str">
        <f t="shared" si="78"/>
        <v>-</v>
      </c>
      <c r="V71" s="418" t="str">
        <f t="shared" si="79"/>
        <v>-</v>
      </c>
      <c r="W71" s="200" t="str">
        <f t="shared" si="80"/>
        <v>-</v>
      </c>
      <c r="X71" s="199" t="str">
        <f t="shared" si="81"/>
        <v>-</v>
      </c>
      <c r="Y71" s="214"/>
      <c r="Z71" s="416">
        <f t="shared" si="99"/>
        <v>3.4999999999999996E-2</v>
      </c>
      <c r="AA71" s="214">
        <v>100</v>
      </c>
      <c r="AB71" s="57" t="str">
        <f t="shared" si="82"/>
        <v>-</v>
      </c>
      <c r="AC71" s="67" t="str">
        <f t="shared" si="83"/>
        <v>-</v>
      </c>
      <c r="AD71" s="115" t="str">
        <f t="shared" si="84"/>
        <v>-</v>
      </c>
      <c r="AE71" s="115" t="str">
        <f t="shared" si="85"/>
        <v>-</v>
      </c>
      <c r="AF71" s="51" t="str">
        <f t="shared" si="86"/>
        <v>- | -</v>
      </c>
      <c r="AG71" s="52" t="str">
        <f t="shared" si="87"/>
        <v>-</v>
      </c>
      <c r="AH71" s="52" t="str">
        <f t="shared" si="88"/>
        <v>-</v>
      </c>
      <c r="AI71" s="52">
        <f t="shared" si="89"/>
        <v>0</v>
      </c>
      <c r="AJ71" s="52">
        <f t="shared" si="90"/>
        <v>0</v>
      </c>
      <c r="AK71" s="52" t="str">
        <f t="shared" si="91"/>
        <v>-</v>
      </c>
      <c r="AL71" s="51" t="str">
        <f t="shared" si="92"/>
        <v>-</v>
      </c>
      <c r="AM71" s="52" t="str">
        <f t="shared" si="93"/>
        <v>-</v>
      </c>
      <c r="AN71" s="51" t="str">
        <f t="shared" si="94"/>
        <v>-</v>
      </c>
      <c r="AO71" s="415" t="e">
        <f t="shared" si="95"/>
        <v>#VALUE!</v>
      </c>
      <c r="AP71" s="640"/>
      <c r="AQ71" s="414"/>
      <c r="AR71" s="413" t="e">
        <f t="shared" si="100"/>
        <v>#VALUE!</v>
      </c>
      <c r="AS71" s="413" t="str">
        <f t="shared" si="96"/>
        <v>-</v>
      </c>
      <c r="AT71" s="412" t="str">
        <f t="shared" si="97"/>
        <v>-</v>
      </c>
      <c r="AU71" s="411" t="str">
        <f t="shared" si="98"/>
        <v>-</v>
      </c>
    </row>
    <row r="72" spans="1:47" x14ac:dyDescent="0.25">
      <c r="A72" s="206"/>
      <c r="Y72" s="214"/>
      <c r="Z72" s="416">
        <f t="shared" si="99"/>
        <v>3.7499999999999999E-2</v>
      </c>
      <c r="AA72" s="214">
        <v>99.75</v>
      </c>
      <c r="AB72" s="57" t="str">
        <f t="shared" si="82"/>
        <v>-</v>
      </c>
      <c r="AC72" s="67" t="str">
        <f t="shared" si="83"/>
        <v>-</v>
      </c>
      <c r="AD72" s="115" t="str">
        <f t="shared" si="84"/>
        <v>-</v>
      </c>
      <c r="AE72" s="115" t="str">
        <f t="shared" si="85"/>
        <v>-</v>
      </c>
      <c r="AF72" s="51" t="str">
        <f t="shared" si="86"/>
        <v>- | -</v>
      </c>
      <c r="AG72" s="52" t="str">
        <f t="shared" si="87"/>
        <v>-</v>
      </c>
      <c r="AH72" s="52" t="str">
        <f t="shared" si="88"/>
        <v>-</v>
      </c>
      <c r="AI72" s="52">
        <f t="shared" si="89"/>
        <v>0</v>
      </c>
      <c r="AJ72" s="52">
        <f t="shared" si="90"/>
        <v>0</v>
      </c>
      <c r="AK72" s="52" t="str">
        <f t="shared" si="91"/>
        <v>-</v>
      </c>
      <c r="AL72" s="51" t="str">
        <f t="shared" si="92"/>
        <v>-</v>
      </c>
      <c r="AM72" s="52" t="str">
        <f t="shared" si="93"/>
        <v>-</v>
      </c>
      <c r="AN72" s="51" t="str">
        <f t="shared" si="94"/>
        <v>-</v>
      </c>
      <c r="AO72" s="415" t="e">
        <f t="shared" si="95"/>
        <v>#VALUE!</v>
      </c>
      <c r="AP72" s="640"/>
      <c r="AQ72" s="414"/>
      <c r="AR72" s="413" t="e">
        <f t="shared" si="100"/>
        <v>#VALUE!</v>
      </c>
      <c r="AS72" s="413" t="str">
        <f t="shared" si="96"/>
        <v>-</v>
      </c>
      <c r="AT72" s="412" t="str">
        <f t="shared" si="97"/>
        <v>-</v>
      </c>
      <c r="AU72" s="411" t="str">
        <f t="shared" si="98"/>
        <v>-</v>
      </c>
    </row>
    <row r="73" spans="1:47" x14ac:dyDescent="0.25">
      <c r="A73" s="899" t="s">
        <v>1706</v>
      </c>
      <c r="B73" s="899"/>
      <c r="C73" s="417">
        <v>4.2500000000000003E-2</v>
      </c>
      <c r="Y73" s="214"/>
      <c r="Z73" s="416">
        <f t="shared" si="99"/>
        <v>0.04</v>
      </c>
      <c r="AA73" s="214">
        <v>99.5</v>
      </c>
      <c r="AB73" s="57" t="str">
        <f t="shared" si="82"/>
        <v>-</v>
      </c>
      <c r="AC73" s="67" t="str">
        <f t="shared" si="83"/>
        <v>-</v>
      </c>
      <c r="AD73" s="115" t="str">
        <f t="shared" si="84"/>
        <v>-</v>
      </c>
      <c r="AE73" s="115" t="str">
        <f t="shared" si="85"/>
        <v>-</v>
      </c>
      <c r="AF73" s="51" t="str">
        <f t="shared" si="86"/>
        <v>- | -</v>
      </c>
      <c r="AG73" s="52" t="str">
        <f t="shared" si="87"/>
        <v>-</v>
      </c>
      <c r="AH73" s="52" t="str">
        <f t="shared" si="88"/>
        <v>-</v>
      </c>
      <c r="AI73" s="52">
        <f t="shared" si="89"/>
        <v>0</v>
      </c>
      <c r="AJ73" s="52">
        <f t="shared" si="90"/>
        <v>0</v>
      </c>
      <c r="AK73" s="52" t="str">
        <f t="shared" si="91"/>
        <v>-</v>
      </c>
      <c r="AL73" s="51" t="str">
        <f t="shared" si="92"/>
        <v>-</v>
      </c>
      <c r="AM73" s="52" t="str">
        <f t="shared" si="93"/>
        <v>-</v>
      </c>
      <c r="AN73" s="51" t="str">
        <f t="shared" si="94"/>
        <v>-</v>
      </c>
      <c r="AO73" s="415" t="e">
        <f t="shared" si="95"/>
        <v>#VALUE!</v>
      </c>
      <c r="AP73" s="640"/>
      <c r="AQ73" s="414"/>
      <c r="AR73" s="413" t="e">
        <f t="shared" si="100"/>
        <v>#VALUE!</v>
      </c>
      <c r="AS73" s="413" t="str">
        <f t="shared" si="96"/>
        <v>-</v>
      </c>
      <c r="AT73" s="412" t="str">
        <f t="shared" si="97"/>
        <v>-</v>
      </c>
      <c r="AU73" s="411" t="str">
        <f t="shared" si="98"/>
        <v>-</v>
      </c>
    </row>
    <row r="74" spans="1:47" x14ac:dyDescent="0.25">
      <c r="A74" s="206"/>
      <c r="Y74" s="214"/>
      <c r="Z74" s="416">
        <f t="shared" si="99"/>
        <v>4.2500000000000003E-2</v>
      </c>
      <c r="AA74" s="214">
        <v>99.25</v>
      </c>
      <c r="AB74" s="57" t="str">
        <f t="shared" si="82"/>
        <v>-</v>
      </c>
      <c r="AC74" s="67" t="str">
        <f t="shared" si="83"/>
        <v>-</v>
      </c>
      <c r="AD74" s="115" t="str">
        <f t="shared" si="84"/>
        <v>-</v>
      </c>
      <c r="AE74" s="115" t="str">
        <f t="shared" si="85"/>
        <v>-</v>
      </c>
      <c r="AF74" s="51" t="str">
        <f t="shared" si="86"/>
        <v>- | -</v>
      </c>
      <c r="AG74" s="52" t="str">
        <f t="shared" si="87"/>
        <v>-</v>
      </c>
      <c r="AH74" s="52" t="str">
        <f t="shared" si="88"/>
        <v>-</v>
      </c>
      <c r="AI74" s="52">
        <f t="shared" si="89"/>
        <v>0</v>
      </c>
      <c r="AJ74" s="52">
        <f t="shared" si="90"/>
        <v>0</v>
      </c>
      <c r="AK74" s="52" t="str">
        <f t="shared" si="91"/>
        <v>-</v>
      </c>
      <c r="AL74" s="51" t="str">
        <f t="shared" si="92"/>
        <v>-</v>
      </c>
      <c r="AM74" s="52" t="str">
        <f t="shared" si="93"/>
        <v>-</v>
      </c>
      <c r="AN74" s="51" t="str">
        <f t="shared" si="94"/>
        <v>-</v>
      </c>
      <c r="AO74" s="415" t="e">
        <f t="shared" si="95"/>
        <v>#VALUE!</v>
      </c>
      <c r="AP74" s="640"/>
      <c r="AQ74" s="414"/>
      <c r="AR74" s="413" t="e">
        <f t="shared" si="100"/>
        <v>#VALUE!</v>
      </c>
      <c r="AS74" s="413" t="str">
        <f t="shared" si="96"/>
        <v>-</v>
      </c>
      <c r="AT74" s="412" t="str">
        <f t="shared" si="97"/>
        <v>-</v>
      </c>
      <c r="AU74" s="411" t="str">
        <f t="shared" si="98"/>
        <v>-</v>
      </c>
    </row>
    <row r="75" spans="1:47" x14ac:dyDescent="0.25">
      <c r="A75" s="206"/>
      <c r="Y75" s="214"/>
      <c r="Z75" s="416">
        <f t="shared" si="99"/>
        <v>4.5000000000000005E-2</v>
      </c>
      <c r="AA75" s="214">
        <v>99</v>
      </c>
      <c r="AB75" s="57" t="str">
        <f t="shared" si="82"/>
        <v>-</v>
      </c>
      <c r="AC75" s="67" t="str">
        <f t="shared" si="83"/>
        <v>-</v>
      </c>
      <c r="AD75" s="115" t="str">
        <f t="shared" si="84"/>
        <v>-</v>
      </c>
      <c r="AE75" s="115" t="str">
        <f t="shared" si="85"/>
        <v>-</v>
      </c>
      <c r="AF75" s="51" t="str">
        <f t="shared" si="86"/>
        <v>- | -</v>
      </c>
      <c r="AG75" s="52" t="str">
        <f t="shared" si="87"/>
        <v>-</v>
      </c>
      <c r="AH75" s="52" t="str">
        <f t="shared" si="88"/>
        <v>-</v>
      </c>
      <c r="AI75" s="52">
        <f t="shared" si="89"/>
        <v>0</v>
      </c>
      <c r="AJ75" s="52">
        <f t="shared" si="90"/>
        <v>0</v>
      </c>
      <c r="AK75" s="52" t="str">
        <f t="shared" si="91"/>
        <v>-</v>
      </c>
      <c r="AL75" s="51" t="str">
        <f t="shared" si="92"/>
        <v>-</v>
      </c>
      <c r="AM75" s="52" t="str">
        <f t="shared" si="93"/>
        <v>-</v>
      </c>
      <c r="AN75" s="51" t="str">
        <f t="shared" si="94"/>
        <v>-</v>
      </c>
      <c r="AO75" s="415" t="e">
        <f t="shared" si="95"/>
        <v>#VALUE!</v>
      </c>
      <c r="AP75" s="640"/>
      <c r="AQ75" s="414"/>
      <c r="AR75" s="413" t="e">
        <f t="shared" si="100"/>
        <v>#VALUE!</v>
      </c>
      <c r="AS75" s="413" t="str">
        <f t="shared" si="96"/>
        <v>-</v>
      </c>
      <c r="AT75" s="412" t="str">
        <f t="shared" si="97"/>
        <v>-</v>
      </c>
      <c r="AU75" s="411" t="str">
        <f t="shared" si="98"/>
        <v>-</v>
      </c>
    </row>
    <row r="76" spans="1:47" x14ac:dyDescent="0.25">
      <c r="Y76" s="214"/>
      <c r="Z76" s="416">
        <f t="shared" si="99"/>
        <v>4.7500000000000007E-2</v>
      </c>
      <c r="AA76" s="214">
        <v>98.75</v>
      </c>
      <c r="AB76" s="57" t="str">
        <f t="shared" si="82"/>
        <v>-</v>
      </c>
      <c r="AC76" s="67" t="str">
        <f t="shared" si="83"/>
        <v>-</v>
      </c>
      <c r="AD76" s="115" t="str">
        <f t="shared" si="84"/>
        <v>-</v>
      </c>
      <c r="AE76" s="115" t="str">
        <f t="shared" si="85"/>
        <v>-</v>
      </c>
      <c r="AF76" s="51" t="str">
        <f t="shared" si="86"/>
        <v>- | -</v>
      </c>
      <c r="AG76" s="52" t="str">
        <f t="shared" si="87"/>
        <v>-</v>
      </c>
      <c r="AH76" s="52" t="str">
        <f t="shared" si="88"/>
        <v>-</v>
      </c>
      <c r="AI76" s="52">
        <f t="shared" si="89"/>
        <v>0</v>
      </c>
      <c r="AJ76" s="52">
        <f t="shared" si="90"/>
        <v>0</v>
      </c>
      <c r="AK76" s="52" t="str">
        <f t="shared" si="91"/>
        <v>-</v>
      </c>
      <c r="AL76" s="51" t="str">
        <f t="shared" si="92"/>
        <v>-</v>
      </c>
      <c r="AM76" s="52" t="str">
        <f t="shared" si="93"/>
        <v>-</v>
      </c>
      <c r="AN76" s="51" t="str">
        <f t="shared" si="94"/>
        <v>-</v>
      </c>
      <c r="AO76" s="415" t="e">
        <f t="shared" si="95"/>
        <v>#VALUE!</v>
      </c>
      <c r="AP76" s="640"/>
      <c r="AQ76" s="414"/>
      <c r="AR76" s="413" t="e">
        <f t="shared" si="100"/>
        <v>#VALUE!</v>
      </c>
      <c r="AS76" s="413" t="str">
        <f t="shared" si="96"/>
        <v>-</v>
      </c>
      <c r="AT76" s="412" t="str">
        <f t="shared" si="97"/>
        <v>-</v>
      </c>
      <c r="AU76" s="411" t="str">
        <f t="shared" si="98"/>
        <v>-</v>
      </c>
    </row>
    <row r="77" spans="1:47" x14ac:dyDescent="0.25">
      <c r="Y77" s="214"/>
      <c r="Z77" s="416">
        <f t="shared" si="99"/>
        <v>5.000000000000001E-2</v>
      </c>
      <c r="AA77" s="214">
        <v>98.5</v>
      </c>
      <c r="AB77" s="57" t="str">
        <f t="shared" si="82"/>
        <v>-</v>
      </c>
      <c r="AC77" s="67" t="str">
        <f t="shared" si="83"/>
        <v>-</v>
      </c>
      <c r="AD77" s="115" t="str">
        <f t="shared" si="84"/>
        <v>-</v>
      </c>
      <c r="AE77" s="115" t="str">
        <f t="shared" si="85"/>
        <v>-</v>
      </c>
      <c r="AF77" s="51" t="str">
        <f t="shared" si="86"/>
        <v>- | -</v>
      </c>
      <c r="AG77" s="52" t="str">
        <f t="shared" si="87"/>
        <v>-</v>
      </c>
      <c r="AH77" s="52" t="str">
        <f t="shared" si="88"/>
        <v>-</v>
      </c>
      <c r="AI77" s="52">
        <f t="shared" si="89"/>
        <v>0</v>
      </c>
      <c r="AJ77" s="52">
        <f t="shared" si="90"/>
        <v>0</v>
      </c>
      <c r="AK77" s="52" t="str">
        <f t="shared" si="91"/>
        <v>-</v>
      </c>
      <c r="AL77" s="51" t="str">
        <f t="shared" si="92"/>
        <v>-</v>
      </c>
      <c r="AM77" s="52" t="str">
        <f t="shared" si="93"/>
        <v>-</v>
      </c>
      <c r="AN77" s="51" t="str">
        <f t="shared" si="94"/>
        <v>-</v>
      </c>
      <c r="AO77" s="415" t="e">
        <f t="shared" si="95"/>
        <v>#VALUE!</v>
      </c>
      <c r="AP77" s="640"/>
      <c r="AQ77" s="414"/>
      <c r="AR77" s="413" t="e">
        <f t="shared" si="100"/>
        <v>#VALUE!</v>
      </c>
      <c r="AS77" s="413" t="str">
        <f t="shared" si="96"/>
        <v>-</v>
      </c>
      <c r="AT77" s="412" t="str">
        <f t="shared" si="97"/>
        <v>-</v>
      </c>
      <c r="AU77" s="411" t="str">
        <f t="shared" si="98"/>
        <v>-</v>
      </c>
    </row>
    <row r="78" spans="1:47" x14ac:dyDescent="0.25">
      <c r="Y78" s="214"/>
      <c r="Z78" s="416">
        <f t="shared" si="99"/>
        <v>5.2500000000000012E-2</v>
      </c>
      <c r="AA78" s="214">
        <v>98.25</v>
      </c>
      <c r="AB78" s="57" t="str">
        <f t="shared" si="82"/>
        <v>-</v>
      </c>
      <c r="AC78" s="67" t="str">
        <f t="shared" si="83"/>
        <v>-</v>
      </c>
      <c r="AD78" s="115" t="str">
        <f t="shared" si="84"/>
        <v>-</v>
      </c>
      <c r="AE78" s="115" t="str">
        <f t="shared" si="85"/>
        <v>-</v>
      </c>
      <c r="AF78" s="51" t="str">
        <f t="shared" si="86"/>
        <v>- | -</v>
      </c>
      <c r="AG78" s="52" t="str">
        <f t="shared" si="87"/>
        <v>-</v>
      </c>
      <c r="AH78" s="52" t="str">
        <f t="shared" si="88"/>
        <v>-</v>
      </c>
      <c r="AI78" s="52">
        <f t="shared" si="89"/>
        <v>0</v>
      </c>
      <c r="AJ78" s="52">
        <f t="shared" si="90"/>
        <v>0</v>
      </c>
      <c r="AK78" s="52" t="str">
        <f t="shared" si="91"/>
        <v>-</v>
      </c>
      <c r="AL78" s="51" t="str">
        <f t="shared" si="92"/>
        <v>-</v>
      </c>
      <c r="AM78" s="52" t="str">
        <f t="shared" si="93"/>
        <v>-</v>
      </c>
      <c r="AN78" s="51" t="str">
        <f t="shared" si="94"/>
        <v>-</v>
      </c>
      <c r="AO78" s="415" t="e">
        <f t="shared" si="95"/>
        <v>#VALUE!</v>
      </c>
      <c r="AP78" s="640"/>
      <c r="AQ78" s="414"/>
      <c r="AR78" s="413" t="e">
        <f t="shared" si="100"/>
        <v>#VALUE!</v>
      </c>
      <c r="AS78" s="413" t="str">
        <f t="shared" si="96"/>
        <v>-</v>
      </c>
      <c r="AT78" s="412" t="str">
        <f t="shared" si="97"/>
        <v>-</v>
      </c>
      <c r="AU78" s="411" t="str">
        <f t="shared" si="98"/>
        <v>-</v>
      </c>
    </row>
    <row r="79" spans="1:47" x14ac:dyDescent="0.25">
      <c r="Y79" s="214"/>
      <c r="Z79" s="410">
        <f t="shared" si="99"/>
        <v>5.5000000000000014E-2</v>
      </c>
      <c r="AA79" s="409">
        <v>98</v>
      </c>
      <c r="AB79" s="136" t="str">
        <f t="shared" si="82"/>
        <v>-</v>
      </c>
      <c r="AC79" s="408" t="str">
        <f t="shared" si="83"/>
        <v>-</v>
      </c>
      <c r="AD79" s="407" t="str">
        <f t="shared" si="84"/>
        <v>-</v>
      </c>
      <c r="AE79" s="407" t="str">
        <f t="shared" si="85"/>
        <v>-</v>
      </c>
      <c r="AF79" s="108" t="str">
        <f t="shared" si="86"/>
        <v>- | -</v>
      </c>
      <c r="AG79" s="200" t="str">
        <f t="shared" si="87"/>
        <v>-</v>
      </c>
      <c r="AH79" s="200" t="str">
        <f t="shared" si="88"/>
        <v>-</v>
      </c>
      <c r="AI79" s="200">
        <f t="shared" si="89"/>
        <v>0</v>
      </c>
      <c r="AJ79" s="200">
        <f t="shared" si="90"/>
        <v>0</v>
      </c>
      <c r="AK79" s="200" t="str">
        <f t="shared" si="91"/>
        <v>-</v>
      </c>
      <c r="AL79" s="108" t="str">
        <f t="shared" si="92"/>
        <v>-</v>
      </c>
      <c r="AM79" s="200" t="str">
        <f t="shared" si="93"/>
        <v>-</v>
      </c>
      <c r="AN79" s="108" t="str">
        <f t="shared" si="94"/>
        <v>-</v>
      </c>
      <c r="AO79" s="406" t="e">
        <f t="shared" si="95"/>
        <v>#VALUE!</v>
      </c>
      <c r="AP79" s="640"/>
      <c r="AQ79" s="405"/>
      <c r="AR79" s="404" t="e">
        <f t="shared" si="100"/>
        <v>#VALUE!</v>
      </c>
      <c r="AS79" s="404" t="str">
        <f t="shared" si="96"/>
        <v>-</v>
      </c>
      <c r="AT79" s="403" t="str">
        <f t="shared" si="97"/>
        <v>-</v>
      </c>
      <c r="AU79" s="402" t="str">
        <f t="shared" si="98"/>
        <v>-</v>
      </c>
    </row>
  </sheetData>
  <sheetProtection algorithmName="SHA-512" hashValue="1m/hJo+cFa/Q03H57wx4GLMMD+MzqMetIvQE6/p6w1tErrD2JvJ7gjYEcQQhNM4a7QX0MJvwD5csHwrHQkG7pA==" saltValue="jy/Sj6O158l41jG8iTE+kA==" spinCount="100000" sheet="1" objects="1" scenarios="1" selectLockedCells="1" selectUnlockedCells="1"/>
  <mergeCells count="188">
    <mergeCell ref="AG29:AH29"/>
    <mergeCell ref="AA55:AF55"/>
    <mergeCell ref="BT2:BT3"/>
    <mergeCell ref="BU2:BU3"/>
    <mergeCell ref="BV2:BV3"/>
    <mergeCell ref="BJ2:BJ3"/>
    <mergeCell ref="BK2:BK3"/>
    <mergeCell ref="BL2:BL3"/>
    <mergeCell ref="BM2:BM3"/>
    <mergeCell ref="AG55:AH55"/>
    <mergeCell ref="AI55:AI56"/>
    <mergeCell ref="AJ55:AJ56"/>
    <mergeCell ref="AK55:AL55"/>
    <mergeCell ref="AO55:AO56"/>
    <mergeCell ref="AP55:AP79"/>
    <mergeCell ref="AI29:AI30"/>
    <mergeCell ref="AJ29:AJ30"/>
    <mergeCell ref="AK29:AL29"/>
    <mergeCell ref="AO29:AO30"/>
    <mergeCell ref="AP29:AP53"/>
    <mergeCell ref="AQ29:AU29"/>
    <mergeCell ref="BS2:BS3"/>
    <mergeCell ref="AV2:AV3"/>
    <mergeCell ref="AI2:AI3"/>
    <mergeCell ref="BW2:BW3"/>
    <mergeCell ref="CA2:CA3"/>
    <mergeCell ref="BZ2:BZ3"/>
    <mergeCell ref="BY2:BY3"/>
    <mergeCell ref="BX2:BX26"/>
    <mergeCell ref="BQ2:BQ3"/>
    <mergeCell ref="BH2:BH3"/>
    <mergeCell ref="BI2:BI3"/>
    <mergeCell ref="AQ55:AU55"/>
    <mergeCell ref="AJ2:AJ3"/>
    <mergeCell ref="AU2:AU3"/>
    <mergeCell ref="BN2:BN3"/>
    <mergeCell ref="BO2:BO26"/>
    <mergeCell ref="BP2:BP3"/>
    <mergeCell ref="BR2:BR3"/>
    <mergeCell ref="AG2:AG26"/>
    <mergeCell ref="AP2:AP3"/>
    <mergeCell ref="AQ2:AQ3"/>
    <mergeCell ref="AR2:AR3"/>
    <mergeCell ref="AS2:AS3"/>
    <mergeCell ref="AT2:AT3"/>
    <mergeCell ref="AH2:AH3"/>
    <mergeCell ref="BA2:BA3"/>
    <mergeCell ref="BG2:BG3"/>
    <mergeCell ref="AW2:AW3"/>
    <mergeCell ref="AX2:AX26"/>
    <mergeCell ref="AY2:AY3"/>
    <mergeCell ref="AZ2:AZ3"/>
    <mergeCell ref="P2:P3"/>
    <mergeCell ref="Q2:Q3"/>
    <mergeCell ref="R2:R3"/>
    <mergeCell ref="S2:S3"/>
    <mergeCell ref="B31:C31"/>
    <mergeCell ref="B32:C32"/>
    <mergeCell ref="B30:C30"/>
    <mergeCell ref="Z29:AF29"/>
    <mergeCell ref="M30:O30"/>
    <mergeCell ref="P30:R30"/>
    <mergeCell ref="S30:U30"/>
    <mergeCell ref="V30:X30"/>
    <mergeCell ref="AC2:AC3"/>
    <mergeCell ref="AD2:AD3"/>
    <mergeCell ref="AE2:AE3"/>
    <mergeCell ref="AF2:AF3"/>
    <mergeCell ref="O2:O3"/>
    <mergeCell ref="B33:C33"/>
    <mergeCell ref="D33:F33"/>
    <mergeCell ref="G33:I33"/>
    <mergeCell ref="J33:L33"/>
    <mergeCell ref="B2:C2"/>
    <mergeCell ref="D2:J2"/>
    <mergeCell ref="D15:J15"/>
    <mergeCell ref="D30:F30"/>
    <mergeCell ref="G30:I30"/>
    <mergeCell ref="J30:L30"/>
    <mergeCell ref="M33:O33"/>
    <mergeCell ref="P33:R33"/>
    <mergeCell ref="S33:U33"/>
    <mergeCell ref="V33:X33"/>
    <mergeCell ref="D31:F31"/>
    <mergeCell ref="G31:I31"/>
    <mergeCell ref="J31:L31"/>
    <mergeCell ref="M31:O31"/>
    <mergeCell ref="P31:R31"/>
    <mergeCell ref="S31:U31"/>
    <mergeCell ref="V31:X31"/>
    <mergeCell ref="D32:F32"/>
    <mergeCell ref="G32:I32"/>
    <mergeCell ref="J32:L32"/>
    <mergeCell ref="M32:O32"/>
    <mergeCell ref="P32:R32"/>
    <mergeCell ref="S32:U32"/>
    <mergeCell ref="V32:X32"/>
    <mergeCell ref="S34:U34"/>
    <mergeCell ref="V34:X34"/>
    <mergeCell ref="B35:C35"/>
    <mergeCell ref="D35:F35"/>
    <mergeCell ref="B36:C36"/>
    <mergeCell ref="D36:F36"/>
    <mergeCell ref="M35:O35"/>
    <mergeCell ref="M36:O36"/>
    <mergeCell ref="V35:X35"/>
    <mergeCell ref="V36:X36"/>
    <mergeCell ref="B34:C34"/>
    <mergeCell ref="D34:F34"/>
    <mergeCell ref="G34:I34"/>
    <mergeCell ref="J34:L34"/>
    <mergeCell ref="M34:O34"/>
    <mergeCell ref="P34:R34"/>
    <mergeCell ref="S35:U35"/>
    <mergeCell ref="S36:U36"/>
    <mergeCell ref="G35:I35"/>
    <mergeCell ref="G36:I36"/>
    <mergeCell ref="J35:L35"/>
    <mergeCell ref="J36:L36"/>
    <mergeCell ref="P35:R35"/>
    <mergeCell ref="P36:R36"/>
    <mergeCell ref="S37:U37"/>
    <mergeCell ref="V37:X37"/>
    <mergeCell ref="B38:C38"/>
    <mergeCell ref="G39:I39"/>
    <mergeCell ref="B37:C37"/>
    <mergeCell ref="D37:F37"/>
    <mergeCell ref="M37:O37"/>
    <mergeCell ref="D38:F38"/>
    <mergeCell ref="D39:F39"/>
    <mergeCell ref="M39:O39"/>
    <mergeCell ref="G37:I37"/>
    <mergeCell ref="J37:L37"/>
    <mergeCell ref="P37:R37"/>
    <mergeCell ref="V41:X41"/>
    <mergeCell ref="V42:X42"/>
    <mergeCell ref="V43:X43"/>
    <mergeCell ref="S41:U41"/>
    <mergeCell ref="S42:U42"/>
    <mergeCell ref="S39:U39"/>
    <mergeCell ref="S40:U40"/>
    <mergeCell ref="D40:F40"/>
    <mergeCell ref="D41:F41"/>
    <mergeCell ref="D42:F42"/>
    <mergeCell ref="D43:F43"/>
    <mergeCell ref="G40:I40"/>
    <mergeCell ref="G41:I41"/>
    <mergeCell ref="G42:I42"/>
    <mergeCell ref="G43:I43"/>
    <mergeCell ref="J39:L39"/>
    <mergeCell ref="J40:L40"/>
    <mergeCell ref="J41:L41"/>
    <mergeCell ref="J42:L42"/>
    <mergeCell ref="J43:L43"/>
    <mergeCell ref="S45:U45"/>
    <mergeCell ref="V45:X45"/>
    <mergeCell ref="A73:B73"/>
    <mergeCell ref="B19:C19"/>
    <mergeCell ref="Y2:Y3"/>
    <mergeCell ref="Z2:Z3"/>
    <mergeCell ref="AA2:AA3"/>
    <mergeCell ref="AB2:AB3"/>
    <mergeCell ref="S44:U44"/>
    <mergeCell ref="V44:X44"/>
    <mergeCell ref="B45:C45"/>
    <mergeCell ref="D45:F45"/>
    <mergeCell ref="M40:O40"/>
    <mergeCell ref="M41:O41"/>
    <mergeCell ref="M42:O42"/>
    <mergeCell ref="M43:O43"/>
    <mergeCell ref="P39:R39"/>
    <mergeCell ref="P40:R40"/>
    <mergeCell ref="P41:R41"/>
    <mergeCell ref="P42:R42"/>
    <mergeCell ref="P43:R43"/>
    <mergeCell ref="S43:U43"/>
    <mergeCell ref="V39:X39"/>
    <mergeCell ref="V40:X40"/>
    <mergeCell ref="B44:C44"/>
    <mergeCell ref="D44:F44"/>
    <mergeCell ref="G44:I44"/>
    <mergeCell ref="J44:L44"/>
    <mergeCell ref="M44:O44"/>
    <mergeCell ref="P44:R44"/>
    <mergeCell ref="G45:I45"/>
    <mergeCell ref="J45:L45"/>
    <mergeCell ref="M45:O45"/>
    <mergeCell ref="P45:R45"/>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C7F6B-E7F0-459C-89B1-6605E8B3975F}">
  <sheetPr codeName="Sheet19">
    <tabColor rgb="FF9BACBF"/>
  </sheetPr>
  <dimension ref="A3:AL50"/>
  <sheetViews>
    <sheetView topLeftCell="AN1" zoomScale="70" zoomScaleNormal="70" workbookViewId="0">
      <selection activeCell="BB34" sqref="BB34"/>
    </sheetView>
  </sheetViews>
  <sheetFormatPr defaultColWidth="9.7109375" defaultRowHeight="15.75" x14ac:dyDescent="0.25"/>
  <cols>
    <col min="1" max="1" width="12" style="51" hidden="1" customWidth="1"/>
    <col min="2" max="12" width="0" style="51" hidden="1" customWidth="1"/>
    <col min="13" max="13" width="11" style="334" hidden="1" customWidth="1"/>
    <col min="14" max="21" width="0" style="51" hidden="1" customWidth="1"/>
    <col min="22" max="22" width="11" style="334" hidden="1" customWidth="1"/>
    <col min="23" max="30" width="0" style="51" hidden="1" customWidth="1"/>
    <col min="31" max="31" width="25.42578125" style="334" hidden="1" customWidth="1"/>
    <col min="32" max="39" width="0" style="51" hidden="1" customWidth="1"/>
    <col min="40" max="16384" width="9.7109375" style="51"/>
  </cols>
  <sheetData>
    <row r="3" spans="1:38" x14ac:dyDescent="0.25">
      <c r="A3" s="794" t="s">
        <v>2070</v>
      </c>
      <c r="B3" s="794"/>
      <c r="D3" s="195">
        <f>'Investor Portfolio (IRP)'!$F$4</f>
        <v>0</v>
      </c>
      <c r="E3" s="794" t="s">
        <v>2069</v>
      </c>
      <c r="F3" s="794"/>
      <c r="G3" s="794"/>
      <c r="H3" s="794"/>
      <c r="I3" s="794"/>
      <c r="J3" s="794"/>
      <c r="K3" s="794"/>
      <c r="M3" s="794" t="s">
        <v>2068</v>
      </c>
      <c r="N3" s="794"/>
      <c r="O3" s="794"/>
      <c r="P3" s="794"/>
      <c r="Q3" s="794"/>
      <c r="R3" s="794"/>
      <c r="S3" s="794"/>
      <c r="T3" s="794"/>
      <c r="V3" s="794" t="s">
        <v>2068</v>
      </c>
      <c r="W3" s="794"/>
      <c r="X3" s="794"/>
      <c r="Y3" s="794"/>
      <c r="Z3" s="794"/>
      <c r="AA3" s="794"/>
      <c r="AB3" s="794"/>
      <c r="AC3" s="794"/>
      <c r="AE3" s="794" t="s">
        <v>2067</v>
      </c>
      <c r="AF3" s="794"/>
      <c r="AG3" s="794"/>
      <c r="AH3" s="794"/>
      <c r="AI3" s="794"/>
      <c r="AJ3" s="794"/>
      <c r="AK3" s="794"/>
      <c r="AL3" s="794"/>
    </row>
    <row r="4" spans="1:38" x14ac:dyDescent="0.25">
      <c r="A4" s="334" t="s">
        <v>2058</v>
      </c>
      <c r="B4" s="56">
        <f>'Investor Portfolio (IRP)'!$C$4</f>
        <v>0</v>
      </c>
      <c r="D4" s="195">
        <v>103</v>
      </c>
      <c r="E4" s="195" t="s">
        <v>1640</v>
      </c>
      <c r="F4" s="195" t="s">
        <v>1639</v>
      </c>
      <c r="G4" s="195" t="s">
        <v>1638</v>
      </c>
      <c r="H4" s="195" t="s">
        <v>1637</v>
      </c>
      <c r="I4" s="195" t="s">
        <v>1636</v>
      </c>
      <c r="J4" s="195" t="s">
        <v>1635</v>
      </c>
      <c r="K4" s="195" t="s">
        <v>1634</v>
      </c>
      <c r="M4" s="195" t="s">
        <v>2058</v>
      </c>
      <c r="N4" s="195" t="s">
        <v>1640</v>
      </c>
      <c r="O4" s="195" t="s">
        <v>1639</v>
      </c>
      <c r="P4" s="195" t="s">
        <v>1638</v>
      </c>
      <c r="Q4" s="195" t="s">
        <v>1637</v>
      </c>
      <c r="R4" s="195" t="s">
        <v>1636</v>
      </c>
      <c r="S4" s="195" t="s">
        <v>1635</v>
      </c>
      <c r="T4" s="195" t="s">
        <v>1634</v>
      </c>
      <c r="V4" s="195" t="s">
        <v>2058</v>
      </c>
      <c r="W4" s="195" t="s">
        <v>1640</v>
      </c>
      <c r="X4" s="195" t="s">
        <v>1639</v>
      </c>
      <c r="Y4" s="195" t="s">
        <v>1638</v>
      </c>
      <c r="Z4" s="195" t="s">
        <v>1637</v>
      </c>
      <c r="AA4" s="195" t="s">
        <v>1636</v>
      </c>
      <c r="AB4" s="195" t="s">
        <v>1635</v>
      </c>
      <c r="AC4" s="195" t="s">
        <v>1634</v>
      </c>
      <c r="AE4" s="195" t="s">
        <v>2066</v>
      </c>
      <c r="AF4" s="195" t="s">
        <v>1640</v>
      </c>
      <c r="AG4" s="195" t="s">
        <v>1639</v>
      </c>
      <c r="AH4" s="195" t="s">
        <v>1638</v>
      </c>
      <c r="AI4" s="195" t="s">
        <v>1637</v>
      </c>
      <c r="AJ4" s="195" t="s">
        <v>1636</v>
      </c>
      <c r="AK4" s="195" t="s">
        <v>1635</v>
      </c>
      <c r="AL4" s="195" t="s">
        <v>1634</v>
      </c>
    </row>
    <row r="5" spans="1:38" x14ac:dyDescent="0.25">
      <c r="A5" s="334" t="s">
        <v>2056</v>
      </c>
      <c r="B5" s="56">
        <f>'Investor Portfolio (IRP)'!$C$5</f>
        <v>0</v>
      </c>
      <c r="D5" s="334" t="s">
        <v>1687</v>
      </c>
      <c r="E5" s="51" t="str">
        <f t="shared" ref="E5:E14" si="0">IF($D$3="3Y (36M)",W5,IF($D$3="5Y (60M)",W17,IF($D$3="7Y (84M)",W29,IF($D$3="10Y (120M)",W41,"-"))))</f>
        <v>-</v>
      </c>
      <c r="F5" s="51" t="str">
        <f t="shared" ref="F5:F14" si="1">IF($D$3="3Y (36M)",X5,IF($D$3="5Y (60M)",X17,IF($D$3="7Y (84M)",X29,IF($D$3="10Y (120M)",X41,"-"))))</f>
        <v>-</v>
      </c>
      <c r="G5" s="51" t="str">
        <f t="shared" ref="G5:G14" si="2">IF($D$3="3Y (36M)",Y5,IF($D$3="5Y (60M)",Y17,IF($D$3="7Y (84M)",Y29,IF($D$3="10Y (120M)",Y41,"-"))))</f>
        <v>-</v>
      </c>
      <c r="H5" s="51" t="str">
        <f t="shared" ref="H5:H14" si="3">IF($D$3="3Y (36M)",Z5,IF($D$3="5Y (60M)",Z17,IF($D$3="7Y (84M)",Z29,IF($D$3="10Y (120M)",Z41,"-"))))</f>
        <v>-</v>
      </c>
      <c r="I5" s="51" t="str">
        <f t="shared" ref="I5:I14" si="4">IF($D$3="3Y (36M)",AA5,IF($D$3="5Y (60M)",AA17,IF($D$3="7Y (84M)",AA29,IF($D$3="10Y (120M)",AA41,"-"))))</f>
        <v>-</v>
      </c>
      <c r="J5" s="51" t="str">
        <f t="shared" ref="J5:J14" si="5">IF($D$3="3Y (36M)",AB5,IF($D$3="5Y (60M)",AB17,IF($D$3="7Y (84M)",AB29,IF($D$3="10Y (120M)",AB41,"-"))))</f>
        <v>-</v>
      </c>
      <c r="K5" s="51" t="str">
        <f t="shared" ref="K5:K14" si="6">IF($D$3="3Y (36M)",AC5,IF($D$3="5Y (60M)",AC17,IF($D$3="7Y (84M)",AC29,IF($D$3="10Y (120M)",AC41,"-"))))</f>
        <v>-</v>
      </c>
      <c r="M5" s="334" t="s">
        <v>1687</v>
      </c>
      <c r="N5" s="214" t="s">
        <v>2</v>
      </c>
      <c r="O5" s="214" t="s">
        <v>2</v>
      </c>
      <c r="P5" s="214" t="s">
        <v>2</v>
      </c>
      <c r="Q5" s="214" t="s">
        <v>2</v>
      </c>
      <c r="R5" s="214" t="s">
        <v>2</v>
      </c>
      <c r="S5" s="214" t="s">
        <v>2</v>
      </c>
      <c r="T5" s="214" t="s">
        <v>2</v>
      </c>
      <c r="V5" s="334" t="s">
        <v>1687</v>
      </c>
      <c r="W5" s="56" t="str">
        <f t="shared" ref="W5:W14" si="7">IF(N5="-","-",N5+$B$4)</f>
        <v>-</v>
      </c>
      <c r="X5" s="56" t="str">
        <f t="shared" ref="X5:X14" si="8">IF(O5="-","-",O5+$B$4)</f>
        <v>-</v>
      </c>
      <c r="Y5" s="56" t="str">
        <f t="shared" ref="Y5:Y14" si="9">IF(P5="-","-",P5+$B$4)</f>
        <v>-</v>
      </c>
      <c r="Z5" s="56" t="str">
        <f t="shared" ref="Z5:Z14" si="10">IF(Q5="-","-",Q5+$B$4)</f>
        <v>-</v>
      </c>
      <c r="AA5" s="56" t="str">
        <f t="shared" ref="AA5:AA14" si="11">IF(R5="-","-",R5+$B$4)</f>
        <v>-</v>
      </c>
      <c r="AB5" s="56" t="str">
        <f t="shared" ref="AB5:AB14" si="12">IF(S5="-","-",S5+$B$4)</f>
        <v>-</v>
      </c>
      <c r="AC5" s="56" t="str">
        <f t="shared" ref="AC5:AC14" si="13">IF(T5="-","-",T5+$B$4)</f>
        <v>-</v>
      </c>
      <c r="AE5" s="946" t="s">
        <v>2012</v>
      </c>
      <c r="AF5" s="946"/>
      <c r="AG5" s="946"/>
      <c r="AH5" s="946"/>
      <c r="AI5" s="946"/>
      <c r="AJ5" s="946"/>
      <c r="AK5" s="946"/>
      <c r="AL5" s="946"/>
    </row>
    <row r="6" spans="1:38" x14ac:dyDescent="0.25">
      <c r="A6" s="334" t="s">
        <v>2047</v>
      </c>
      <c r="B6" s="56">
        <f>'Investor Portfolio (IRP)'!$C$6</f>
        <v>0</v>
      </c>
      <c r="D6" s="334" t="s">
        <v>1686</v>
      </c>
      <c r="E6" s="51" t="str">
        <f t="shared" si="0"/>
        <v>-</v>
      </c>
      <c r="F6" s="51" t="str">
        <f t="shared" si="1"/>
        <v>-</v>
      </c>
      <c r="G6" s="51" t="str">
        <f t="shared" si="2"/>
        <v>-</v>
      </c>
      <c r="H6" s="51" t="str">
        <f t="shared" si="3"/>
        <v>-</v>
      </c>
      <c r="I6" s="51" t="str">
        <f t="shared" si="4"/>
        <v>-</v>
      </c>
      <c r="J6" s="51" t="str">
        <f t="shared" si="5"/>
        <v>-</v>
      </c>
      <c r="K6" s="51" t="str">
        <f t="shared" si="6"/>
        <v>-</v>
      </c>
      <c r="M6" s="334" t="s">
        <v>1686</v>
      </c>
      <c r="N6" s="214" t="s">
        <v>2</v>
      </c>
      <c r="O6" s="214" t="s">
        <v>2</v>
      </c>
      <c r="P6" s="214" t="s">
        <v>2</v>
      </c>
      <c r="Q6" s="214" t="s">
        <v>2</v>
      </c>
      <c r="R6" s="214" t="s">
        <v>2</v>
      </c>
      <c r="S6" s="214" t="s">
        <v>2</v>
      </c>
      <c r="T6" s="214" t="s">
        <v>2</v>
      </c>
      <c r="V6" s="334" t="s">
        <v>1686</v>
      </c>
      <c r="W6" s="56" t="str">
        <f t="shared" si="7"/>
        <v>-</v>
      </c>
      <c r="X6" s="56" t="str">
        <f t="shared" si="8"/>
        <v>-</v>
      </c>
      <c r="Y6" s="56" t="str">
        <f t="shared" si="9"/>
        <v>-</v>
      </c>
      <c r="Z6" s="56" t="str">
        <f t="shared" si="10"/>
        <v>-</v>
      </c>
      <c r="AA6" s="56" t="str">
        <f t="shared" si="11"/>
        <v>-</v>
      </c>
      <c r="AB6" s="56" t="str">
        <f t="shared" si="12"/>
        <v>-</v>
      </c>
      <c r="AC6" s="56" t="str">
        <f t="shared" si="13"/>
        <v>-</v>
      </c>
      <c r="AE6" s="334" t="s">
        <v>2065</v>
      </c>
      <c r="AF6" s="67">
        <v>1.75E-3</v>
      </c>
      <c r="AG6" s="67">
        <v>1.75E-3</v>
      </c>
      <c r="AH6" s="67">
        <v>1.75E-3</v>
      </c>
      <c r="AI6" s="67">
        <v>1.75E-3</v>
      </c>
      <c r="AJ6" s="67">
        <v>1.75E-3</v>
      </c>
      <c r="AK6" s="67">
        <v>1.75E-3</v>
      </c>
      <c r="AL6" s="67">
        <v>1.75E-3</v>
      </c>
    </row>
    <row r="7" spans="1:38" x14ac:dyDescent="0.25">
      <c r="A7" s="334" t="s">
        <v>2039</v>
      </c>
      <c r="B7" s="56">
        <f>'Investor Portfolio (IRP)'!$C$7</f>
        <v>0</v>
      </c>
      <c r="D7" s="334" t="s">
        <v>1476</v>
      </c>
      <c r="E7" s="51" t="str">
        <f t="shared" si="0"/>
        <v>-</v>
      </c>
      <c r="F7" s="51" t="str">
        <f t="shared" si="1"/>
        <v>-</v>
      </c>
      <c r="G7" s="51" t="str">
        <f t="shared" si="2"/>
        <v>-</v>
      </c>
      <c r="H7" s="51" t="str">
        <f t="shared" si="3"/>
        <v>-</v>
      </c>
      <c r="I7" s="51" t="str">
        <f t="shared" si="4"/>
        <v>-</v>
      </c>
      <c r="J7" s="51" t="str">
        <f t="shared" si="5"/>
        <v>-</v>
      </c>
      <c r="K7" s="51" t="str">
        <f t="shared" si="6"/>
        <v>-</v>
      </c>
      <c r="M7" s="334" t="s">
        <v>1476</v>
      </c>
      <c r="N7" s="56">
        <v>4.3249999999999997E-2</v>
      </c>
      <c r="O7" s="56">
        <v>4.3999999999999997E-2</v>
      </c>
      <c r="P7" s="56">
        <v>4.4749999999999998E-2</v>
      </c>
      <c r="Q7" s="56">
        <v>4.5499999999999999E-2</v>
      </c>
      <c r="R7" s="56">
        <v>4.6249999999999999E-2</v>
      </c>
      <c r="S7" s="214" t="s">
        <v>2</v>
      </c>
      <c r="T7" s="214" t="s">
        <v>2</v>
      </c>
      <c r="V7" s="334" t="s">
        <v>1476</v>
      </c>
      <c r="W7" s="56">
        <f t="shared" si="7"/>
        <v>4.3249999999999997E-2</v>
      </c>
      <c r="X7" s="56">
        <f t="shared" si="8"/>
        <v>4.3999999999999997E-2</v>
      </c>
      <c r="Y7" s="56">
        <f t="shared" si="9"/>
        <v>4.4749999999999998E-2</v>
      </c>
      <c r="Z7" s="56">
        <f t="shared" si="10"/>
        <v>4.5499999999999999E-2</v>
      </c>
      <c r="AA7" s="56">
        <f t="shared" si="11"/>
        <v>4.6249999999999999E-2</v>
      </c>
      <c r="AB7" s="56" t="str">
        <f t="shared" si="12"/>
        <v>-</v>
      </c>
      <c r="AC7" s="56" t="str">
        <f t="shared" si="13"/>
        <v>-</v>
      </c>
      <c r="AE7" s="334" t="s">
        <v>2064</v>
      </c>
      <c r="AF7" s="67">
        <v>1E-3</v>
      </c>
      <c r="AG7" s="67">
        <v>1E-3</v>
      </c>
      <c r="AH7" s="67">
        <v>1E-3</v>
      </c>
      <c r="AI7" s="67">
        <v>1E-3</v>
      </c>
      <c r="AJ7" s="67">
        <v>1E-3</v>
      </c>
      <c r="AK7" s="67">
        <v>1E-3</v>
      </c>
      <c r="AL7" s="67">
        <v>1E-3</v>
      </c>
    </row>
    <row r="8" spans="1:38" x14ac:dyDescent="0.25">
      <c r="A8" s="334" t="s">
        <v>2052</v>
      </c>
      <c r="D8" s="334" t="s">
        <v>1685</v>
      </c>
      <c r="E8" s="51" t="str">
        <f t="shared" si="0"/>
        <v>-</v>
      </c>
      <c r="F8" s="51" t="str">
        <f t="shared" si="1"/>
        <v>-</v>
      </c>
      <c r="G8" s="51" t="str">
        <f t="shared" si="2"/>
        <v>-</v>
      </c>
      <c r="H8" s="51" t="str">
        <f t="shared" si="3"/>
        <v>-</v>
      </c>
      <c r="I8" s="51" t="str">
        <f t="shared" si="4"/>
        <v>-</v>
      </c>
      <c r="J8" s="51" t="str">
        <f t="shared" si="5"/>
        <v>-</v>
      </c>
      <c r="K8" s="51" t="str">
        <f t="shared" si="6"/>
        <v>-</v>
      </c>
      <c r="M8" s="334" t="s">
        <v>1685</v>
      </c>
      <c r="N8" s="56">
        <v>4.1999999999999996E-2</v>
      </c>
      <c r="O8" s="56">
        <v>4.2749999999999996E-2</v>
      </c>
      <c r="P8" s="56">
        <v>4.3499999999999997E-2</v>
      </c>
      <c r="Q8" s="56">
        <v>4.4249999999999998E-2</v>
      </c>
      <c r="R8" s="56">
        <v>4.4999999999999998E-2</v>
      </c>
      <c r="S8" s="214" t="s">
        <v>2</v>
      </c>
      <c r="T8" s="214" t="s">
        <v>2</v>
      </c>
      <c r="V8" s="334" t="s">
        <v>1685</v>
      </c>
      <c r="W8" s="56">
        <f t="shared" si="7"/>
        <v>4.1999999999999996E-2</v>
      </c>
      <c r="X8" s="56">
        <f t="shared" si="8"/>
        <v>4.2749999999999996E-2</v>
      </c>
      <c r="Y8" s="56">
        <f t="shared" si="9"/>
        <v>4.3499999999999997E-2</v>
      </c>
      <c r="Z8" s="56">
        <f t="shared" si="10"/>
        <v>4.4249999999999998E-2</v>
      </c>
      <c r="AA8" s="56">
        <f t="shared" si="11"/>
        <v>4.4999999999999998E-2</v>
      </c>
      <c r="AB8" s="56" t="str">
        <f t="shared" si="12"/>
        <v>-</v>
      </c>
      <c r="AC8" s="56" t="str">
        <f t="shared" si="13"/>
        <v>-</v>
      </c>
      <c r="AE8" s="334" t="s">
        <v>2063</v>
      </c>
      <c r="AF8" s="67">
        <v>5.0000000000000001E-4</v>
      </c>
      <c r="AG8" s="67">
        <v>5.0000000000000001E-4</v>
      </c>
      <c r="AH8" s="67">
        <v>5.0000000000000001E-4</v>
      </c>
      <c r="AI8" s="67">
        <v>5.0000000000000001E-4</v>
      </c>
      <c r="AJ8" s="67">
        <v>5.0000000000000001E-4</v>
      </c>
      <c r="AK8" s="67">
        <v>5.0000000000000001E-4</v>
      </c>
      <c r="AL8" s="67">
        <v>5.0000000000000001E-4</v>
      </c>
    </row>
    <row r="9" spans="1:38" x14ac:dyDescent="0.25">
      <c r="A9" s="334"/>
      <c r="D9" s="334" t="s">
        <v>1684</v>
      </c>
      <c r="E9" s="51" t="str">
        <f t="shared" si="0"/>
        <v>-</v>
      </c>
      <c r="F9" s="51" t="str">
        <f t="shared" si="1"/>
        <v>-</v>
      </c>
      <c r="G9" s="51" t="str">
        <f t="shared" si="2"/>
        <v>-</v>
      </c>
      <c r="H9" s="51" t="str">
        <f t="shared" si="3"/>
        <v>-</v>
      </c>
      <c r="I9" s="51" t="str">
        <f t="shared" si="4"/>
        <v>-</v>
      </c>
      <c r="J9" s="51" t="str">
        <f t="shared" si="5"/>
        <v>-</v>
      </c>
      <c r="K9" s="51" t="str">
        <f t="shared" si="6"/>
        <v>-</v>
      </c>
      <c r="M9" s="334" t="s">
        <v>1684</v>
      </c>
      <c r="N9" s="56">
        <v>4.0749999999999995E-2</v>
      </c>
      <c r="O9" s="56">
        <v>4.1499999999999995E-2</v>
      </c>
      <c r="P9" s="56">
        <v>4.2249999999999996E-2</v>
      </c>
      <c r="Q9" s="56">
        <v>4.2999999999999997E-2</v>
      </c>
      <c r="R9" s="56">
        <v>4.3749999999999997E-2</v>
      </c>
      <c r="S9" s="214" t="s">
        <v>2</v>
      </c>
      <c r="T9" s="214" t="s">
        <v>2</v>
      </c>
      <c r="V9" s="334" t="s">
        <v>1684</v>
      </c>
      <c r="W9" s="56">
        <f t="shared" si="7"/>
        <v>4.0749999999999995E-2</v>
      </c>
      <c r="X9" s="56">
        <f t="shared" si="8"/>
        <v>4.1499999999999995E-2</v>
      </c>
      <c r="Y9" s="56">
        <f t="shared" si="9"/>
        <v>4.2249999999999996E-2</v>
      </c>
      <c r="Z9" s="56">
        <f t="shared" si="10"/>
        <v>4.2999999999999997E-2</v>
      </c>
      <c r="AA9" s="56">
        <f t="shared" si="11"/>
        <v>4.3749999999999997E-2</v>
      </c>
      <c r="AB9" s="56" t="str">
        <f t="shared" si="12"/>
        <v>-</v>
      </c>
      <c r="AC9" s="56" t="str">
        <f t="shared" si="13"/>
        <v>-</v>
      </c>
      <c r="AE9" s="334" t="s">
        <v>132</v>
      </c>
      <c r="AF9" s="67">
        <v>0</v>
      </c>
      <c r="AG9" s="67">
        <v>0</v>
      </c>
      <c r="AH9" s="67">
        <v>0</v>
      </c>
      <c r="AI9" s="67">
        <v>0</v>
      </c>
      <c r="AJ9" s="67">
        <v>0</v>
      </c>
      <c r="AK9" s="67">
        <v>0</v>
      </c>
      <c r="AL9" s="67">
        <v>0</v>
      </c>
    </row>
    <row r="10" spans="1:38" x14ac:dyDescent="0.25">
      <c r="A10" s="794" t="s">
        <v>2062</v>
      </c>
      <c r="B10" s="794"/>
      <c r="D10" s="334" t="s">
        <v>1683</v>
      </c>
      <c r="E10" s="51" t="str">
        <f t="shared" si="0"/>
        <v>-</v>
      </c>
      <c r="F10" s="51" t="str">
        <f t="shared" si="1"/>
        <v>-</v>
      </c>
      <c r="G10" s="51" t="str">
        <f t="shared" si="2"/>
        <v>-</v>
      </c>
      <c r="H10" s="51" t="str">
        <f t="shared" si="3"/>
        <v>-</v>
      </c>
      <c r="I10" s="51" t="str">
        <f t="shared" si="4"/>
        <v>-</v>
      </c>
      <c r="J10" s="51" t="str">
        <f t="shared" si="5"/>
        <v>-</v>
      </c>
      <c r="K10" s="51" t="str">
        <f t="shared" si="6"/>
        <v>-</v>
      </c>
      <c r="M10" s="334" t="s">
        <v>1683</v>
      </c>
      <c r="N10" s="56">
        <v>4.0624999999999994E-2</v>
      </c>
      <c r="O10" s="56">
        <v>4.1374999999999995E-2</v>
      </c>
      <c r="P10" s="56">
        <v>4.2124999999999996E-2</v>
      </c>
      <c r="Q10" s="56">
        <v>4.2874999999999996E-2</v>
      </c>
      <c r="R10" s="56">
        <v>4.3624999999999997E-2</v>
      </c>
      <c r="S10" s="214" t="s">
        <v>2</v>
      </c>
      <c r="T10" s="214" t="s">
        <v>2</v>
      </c>
      <c r="V10" s="334" t="s">
        <v>1683</v>
      </c>
      <c r="W10" s="56">
        <f t="shared" si="7"/>
        <v>4.0624999999999994E-2</v>
      </c>
      <c r="X10" s="56">
        <f t="shared" si="8"/>
        <v>4.1374999999999995E-2</v>
      </c>
      <c r="Y10" s="56">
        <f t="shared" si="9"/>
        <v>4.2124999999999996E-2</v>
      </c>
      <c r="Z10" s="56">
        <f t="shared" si="10"/>
        <v>4.2874999999999996E-2</v>
      </c>
      <c r="AA10" s="56">
        <f t="shared" si="11"/>
        <v>4.3624999999999997E-2</v>
      </c>
      <c r="AB10" s="56" t="str">
        <f t="shared" si="12"/>
        <v>-</v>
      </c>
      <c r="AC10" s="56" t="str">
        <f t="shared" si="13"/>
        <v>-</v>
      </c>
      <c r="AE10" s="946" t="s">
        <v>30</v>
      </c>
      <c r="AF10" s="946"/>
      <c r="AG10" s="946"/>
      <c r="AH10" s="946"/>
      <c r="AI10" s="946"/>
      <c r="AJ10" s="946"/>
      <c r="AK10" s="946"/>
      <c r="AL10" s="946"/>
    </row>
    <row r="11" spans="1:38" x14ac:dyDescent="0.25">
      <c r="A11" s="334" t="s">
        <v>2058</v>
      </c>
      <c r="B11" s="214">
        <v>2.5</v>
      </c>
      <c r="D11" s="334" t="s">
        <v>1682</v>
      </c>
      <c r="E11" s="51" t="str">
        <f t="shared" si="0"/>
        <v>-</v>
      </c>
      <c r="F11" s="51" t="str">
        <f t="shared" si="1"/>
        <v>-</v>
      </c>
      <c r="G11" s="51" t="str">
        <f t="shared" si="2"/>
        <v>-</v>
      </c>
      <c r="H11" s="51" t="str">
        <f t="shared" si="3"/>
        <v>-</v>
      </c>
      <c r="I11" s="51" t="str">
        <f t="shared" si="4"/>
        <v>-</v>
      </c>
      <c r="J11" s="51" t="str">
        <f t="shared" si="5"/>
        <v>-</v>
      </c>
      <c r="K11" s="51" t="str">
        <f t="shared" si="6"/>
        <v>-</v>
      </c>
      <c r="M11" s="334" t="s">
        <v>1682</v>
      </c>
      <c r="N11" s="56">
        <v>4.0499999999999994E-2</v>
      </c>
      <c r="O11" s="56">
        <v>4.1249999999999995E-2</v>
      </c>
      <c r="P11" s="56">
        <v>4.1999999999999996E-2</v>
      </c>
      <c r="Q11" s="56">
        <v>4.2749999999999996E-2</v>
      </c>
      <c r="R11" s="56">
        <v>4.3499999999999997E-2</v>
      </c>
      <c r="S11" s="214" t="s">
        <v>2</v>
      </c>
      <c r="T11" s="214" t="s">
        <v>2</v>
      </c>
      <c r="V11" s="334" t="s">
        <v>1682</v>
      </c>
      <c r="W11" s="56">
        <f t="shared" si="7"/>
        <v>4.0499999999999994E-2</v>
      </c>
      <c r="X11" s="56">
        <f t="shared" si="8"/>
        <v>4.1249999999999995E-2</v>
      </c>
      <c r="Y11" s="56">
        <f t="shared" si="9"/>
        <v>4.1999999999999996E-2</v>
      </c>
      <c r="Z11" s="56">
        <f t="shared" si="10"/>
        <v>4.2749999999999996E-2</v>
      </c>
      <c r="AA11" s="56">
        <f t="shared" si="11"/>
        <v>4.3499999999999997E-2</v>
      </c>
      <c r="AB11" s="56" t="str">
        <f t="shared" si="12"/>
        <v>-</v>
      </c>
      <c r="AC11" s="56" t="str">
        <f t="shared" si="13"/>
        <v>-</v>
      </c>
      <c r="AE11" s="334" t="s">
        <v>202</v>
      </c>
      <c r="AF11" s="56">
        <v>-1E-3</v>
      </c>
      <c r="AG11" s="56">
        <v>-1E-3</v>
      </c>
      <c r="AH11" s="56">
        <v>-1E-3</v>
      </c>
      <c r="AI11" s="56">
        <v>-1E-3</v>
      </c>
      <c r="AJ11" s="56">
        <v>-1E-3</v>
      </c>
      <c r="AK11" s="56">
        <v>-1E-3</v>
      </c>
      <c r="AL11" s="56">
        <v>-1E-3</v>
      </c>
    </row>
    <row r="12" spans="1:38" x14ac:dyDescent="0.25">
      <c r="A12" s="334" t="s">
        <v>2056</v>
      </c>
      <c r="B12" s="214">
        <v>3</v>
      </c>
      <c r="D12" s="334" t="s">
        <v>1681</v>
      </c>
      <c r="E12" s="51" t="str">
        <f t="shared" si="0"/>
        <v>-</v>
      </c>
      <c r="F12" s="51" t="str">
        <f t="shared" si="1"/>
        <v>-</v>
      </c>
      <c r="G12" s="51" t="str">
        <f t="shared" si="2"/>
        <v>-</v>
      </c>
      <c r="H12" s="51" t="str">
        <f t="shared" si="3"/>
        <v>-</v>
      </c>
      <c r="I12" s="51" t="str">
        <f t="shared" si="4"/>
        <v>-</v>
      </c>
      <c r="J12" s="51" t="str">
        <f t="shared" si="5"/>
        <v>-</v>
      </c>
      <c r="K12" s="51" t="str">
        <f t="shared" si="6"/>
        <v>-</v>
      </c>
      <c r="M12" s="334" t="s">
        <v>1681</v>
      </c>
      <c r="N12" s="56">
        <v>4.0375000000000008E-2</v>
      </c>
      <c r="O12" s="56">
        <v>4.1124999999999995E-2</v>
      </c>
      <c r="P12" s="56">
        <v>4.1874999999999996E-2</v>
      </c>
      <c r="Q12" s="56">
        <v>4.2624999999999996E-2</v>
      </c>
      <c r="R12" s="56">
        <v>4.3374999999999997E-2</v>
      </c>
      <c r="S12" s="214" t="s">
        <v>2</v>
      </c>
      <c r="T12" s="214" t="s">
        <v>2</v>
      </c>
      <c r="V12" s="334" t="s">
        <v>1681</v>
      </c>
      <c r="W12" s="56">
        <f t="shared" si="7"/>
        <v>4.0375000000000008E-2</v>
      </c>
      <c r="X12" s="56">
        <f t="shared" si="8"/>
        <v>4.1124999999999995E-2</v>
      </c>
      <c r="Y12" s="56">
        <f t="shared" si="9"/>
        <v>4.1874999999999996E-2</v>
      </c>
      <c r="Z12" s="56">
        <f t="shared" si="10"/>
        <v>4.2624999999999996E-2</v>
      </c>
      <c r="AA12" s="56">
        <f t="shared" si="11"/>
        <v>4.3374999999999997E-2</v>
      </c>
      <c r="AB12" s="56" t="str">
        <f t="shared" si="12"/>
        <v>-</v>
      </c>
      <c r="AC12" s="56" t="str">
        <f t="shared" si="13"/>
        <v>-</v>
      </c>
      <c r="AE12" s="334" t="s">
        <v>200</v>
      </c>
      <c r="AF12" s="56">
        <v>0</v>
      </c>
      <c r="AG12" s="56">
        <v>0</v>
      </c>
      <c r="AH12" s="56">
        <v>0</v>
      </c>
      <c r="AI12" s="56">
        <v>0</v>
      </c>
      <c r="AJ12" s="56">
        <v>0</v>
      </c>
      <c r="AK12" s="56">
        <v>0</v>
      </c>
      <c r="AL12" s="56">
        <v>0</v>
      </c>
    </row>
    <row r="13" spans="1:38" x14ac:dyDescent="0.25">
      <c r="A13" s="334" t="s">
        <v>2047</v>
      </c>
      <c r="B13" s="214">
        <v>3.5</v>
      </c>
      <c r="D13" s="334" t="s">
        <v>1680</v>
      </c>
      <c r="E13" s="51" t="str">
        <f t="shared" si="0"/>
        <v>-</v>
      </c>
      <c r="F13" s="51" t="str">
        <f t="shared" si="1"/>
        <v>-</v>
      </c>
      <c r="G13" s="51" t="str">
        <f t="shared" si="2"/>
        <v>-</v>
      </c>
      <c r="H13" s="51" t="str">
        <f t="shared" si="3"/>
        <v>-</v>
      </c>
      <c r="I13" s="51" t="str">
        <f t="shared" si="4"/>
        <v>-</v>
      </c>
      <c r="J13" s="51" t="str">
        <f t="shared" si="5"/>
        <v>-</v>
      </c>
      <c r="K13" s="51" t="str">
        <f t="shared" si="6"/>
        <v>-</v>
      </c>
      <c r="M13" s="334" t="s">
        <v>1680</v>
      </c>
      <c r="N13" s="56">
        <v>4.0249999999999994E-2</v>
      </c>
      <c r="O13" s="56">
        <v>4.1000000000000009E-2</v>
      </c>
      <c r="P13" s="56">
        <v>4.1749999999999995E-2</v>
      </c>
      <c r="Q13" s="56">
        <v>4.2499999999999996E-2</v>
      </c>
      <c r="R13" s="56">
        <v>4.3249999999999997E-2</v>
      </c>
      <c r="S13" s="214" t="s">
        <v>2</v>
      </c>
      <c r="T13" s="214" t="s">
        <v>2</v>
      </c>
      <c r="V13" s="334" t="s">
        <v>1680</v>
      </c>
      <c r="W13" s="56">
        <f t="shared" si="7"/>
        <v>4.0249999999999994E-2</v>
      </c>
      <c r="X13" s="56">
        <f t="shared" si="8"/>
        <v>4.1000000000000009E-2</v>
      </c>
      <c r="Y13" s="56">
        <f t="shared" si="9"/>
        <v>4.1749999999999995E-2</v>
      </c>
      <c r="Z13" s="56">
        <f t="shared" si="10"/>
        <v>4.2499999999999996E-2</v>
      </c>
      <c r="AA13" s="56">
        <f t="shared" si="11"/>
        <v>4.3249999999999997E-2</v>
      </c>
      <c r="AB13" s="56" t="str">
        <f t="shared" si="12"/>
        <v>-</v>
      </c>
      <c r="AC13" s="56" t="str">
        <f t="shared" si="13"/>
        <v>-</v>
      </c>
      <c r="AE13" s="334" t="s">
        <v>3</v>
      </c>
      <c r="AF13" s="56">
        <v>0</v>
      </c>
      <c r="AG13" s="56">
        <v>0</v>
      </c>
      <c r="AH13" s="56">
        <v>0</v>
      </c>
      <c r="AI13" s="56">
        <v>0</v>
      </c>
      <c r="AJ13" s="56">
        <v>0</v>
      </c>
      <c r="AK13" s="56">
        <v>0</v>
      </c>
      <c r="AL13" s="56">
        <v>0</v>
      </c>
    </row>
    <row r="14" spans="1:38" x14ac:dyDescent="0.25">
      <c r="A14" s="334" t="s">
        <v>2039</v>
      </c>
      <c r="B14" s="214">
        <v>4</v>
      </c>
      <c r="D14" s="334" t="s">
        <v>1679</v>
      </c>
      <c r="E14" s="51" t="str">
        <f t="shared" si="0"/>
        <v>-</v>
      </c>
      <c r="F14" s="51" t="str">
        <f t="shared" si="1"/>
        <v>-</v>
      </c>
      <c r="G14" s="51" t="str">
        <f t="shared" si="2"/>
        <v>-</v>
      </c>
      <c r="H14" s="51" t="str">
        <f t="shared" si="3"/>
        <v>-</v>
      </c>
      <c r="I14" s="51" t="str">
        <f t="shared" si="4"/>
        <v>-</v>
      </c>
      <c r="J14" s="51" t="str">
        <f t="shared" si="5"/>
        <v>-</v>
      </c>
      <c r="K14" s="51" t="str">
        <f t="shared" si="6"/>
        <v>-</v>
      </c>
      <c r="M14" s="334" t="s">
        <v>1679</v>
      </c>
      <c r="N14" s="214" t="s">
        <v>2</v>
      </c>
      <c r="O14" s="214" t="s">
        <v>2</v>
      </c>
      <c r="P14" s="214" t="s">
        <v>2</v>
      </c>
      <c r="Q14" s="214" t="s">
        <v>2</v>
      </c>
      <c r="R14" s="214" t="s">
        <v>2</v>
      </c>
      <c r="S14" s="214" t="s">
        <v>2</v>
      </c>
      <c r="T14" s="214" t="s">
        <v>2</v>
      </c>
      <c r="V14" s="334" t="s">
        <v>1679</v>
      </c>
      <c r="W14" s="56" t="str">
        <f t="shared" si="7"/>
        <v>-</v>
      </c>
      <c r="X14" s="56" t="str">
        <f t="shared" si="8"/>
        <v>-</v>
      </c>
      <c r="Y14" s="56" t="str">
        <f t="shared" si="9"/>
        <v>-</v>
      </c>
      <c r="Z14" s="56" t="str">
        <f t="shared" si="10"/>
        <v>-</v>
      </c>
      <c r="AA14" s="56" t="str">
        <f t="shared" si="11"/>
        <v>-</v>
      </c>
      <c r="AB14" s="56" t="str">
        <f t="shared" si="12"/>
        <v>-</v>
      </c>
      <c r="AC14" s="56" t="str">
        <f t="shared" si="13"/>
        <v>-</v>
      </c>
      <c r="AE14" s="334" t="s">
        <v>274</v>
      </c>
      <c r="AF14" s="56">
        <v>0</v>
      </c>
      <c r="AG14" s="56">
        <v>0</v>
      </c>
      <c r="AH14" s="56">
        <v>0</v>
      </c>
      <c r="AI14" s="56">
        <v>0</v>
      </c>
      <c r="AJ14" s="56">
        <v>0</v>
      </c>
      <c r="AK14" s="56">
        <v>0</v>
      </c>
      <c r="AL14" s="56">
        <v>0</v>
      </c>
    </row>
    <row r="15" spans="1:38" x14ac:dyDescent="0.25">
      <c r="A15" s="334" t="s">
        <v>2052</v>
      </c>
      <c r="AE15" s="946" t="s">
        <v>2013</v>
      </c>
      <c r="AF15" s="946"/>
      <c r="AG15" s="946"/>
      <c r="AH15" s="946"/>
      <c r="AI15" s="946"/>
      <c r="AJ15" s="946"/>
      <c r="AK15" s="946"/>
      <c r="AL15" s="946"/>
    </row>
    <row r="16" spans="1:38" x14ac:dyDescent="0.25">
      <c r="A16" s="334"/>
      <c r="M16" s="195" t="s">
        <v>2056</v>
      </c>
      <c r="N16" s="195" t="s">
        <v>1640</v>
      </c>
      <c r="O16" s="195" t="s">
        <v>1639</v>
      </c>
      <c r="P16" s="195" t="s">
        <v>1638</v>
      </c>
      <c r="Q16" s="195" t="s">
        <v>1637</v>
      </c>
      <c r="R16" s="195" t="s">
        <v>1636</v>
      </c>
      <c r="S16" s="195" t="s">
        <v>1635</v>
      </c>
      <c r="T16" s="195" t="s">
        <v>1634</v>
      </c>
      <c r="V16" s="195" t="s">
        <v>2056</v>
      </c>
      <c r="W16" s="195" t="s">
        <v>1640</v>
      </c>
      <c r="X16" s="195" t="s">
        <v>1639</v>
      </c>
      <c r="Y16" s="195" t="s">
        <v>1638</v>
      </c>
      <c r="Z16" s="195" t="s">
        <v>1637</v>
      </c>
      <c r="AA16" s="195" t="s">
        <v>1636</v>
      </c>
      <c r="AB16" s="195" t="s">
        <v>1635</v>
      </c>
      <c r="AC16" s="195" t="s">
        <v>1634</v>
      </c>
      <c r="AE16" s="334" t="s">
        <v>1853</v>
      </c>
      <c r="AF16" s="56">
        <v>0</v>
      </c>
      <c r="AG16" s="56">
        <v>0</v>
      </c>
      <c r="AH16" s="56">
        <v>0</v>
      </c>
      <c r="AI16" s="56">
        <v>0</v>
      </c>
      <c r="AJ16" s="56">
        <v>0</v>
      </c>
      <c r="AK16" s="56">
        <v>0</v>
      </c>
      <c r="AL16" s="56">
        <v>0</v>
      </c>
    </row>
    <row r="17" spans="1:38" x14ac:dyDescent="0.25">
      <c r="A17" s="502" t="s">
        <v>1991</v>
      </c>
      <c r="B17" s="501">
        <f>'Investor Portfolio (IRP)'!$F$12</f>
        <v>0</v>
      </c>
      <c r="D17" s="195" t="e">
        <f>VLOOKUP('Investor Portfolio (IRP)'!$F$4,'IRP (LLPA)'!$A$11:$B$15,2,FALSE)</f>
        <v>#N/A</v>
      </c>
      <c r="E17" s="195" t="s">
        <v>1640</v>
      </c>
      <c r="F17" s="195" t="s">
        <v>1639</v>
      </c>
      <c r="G17" s="195" t="s">
        <v>1638</v>
      </c>
      <c r="H17" s="195" t="s">
        <v>1637</v>
      </c>
      <c r="I17" s="195" t="s">
        <v>1636</v>
      </c>
      <c r="J17" s="195" t="s">
        <v>1635</v>
      </c>
      <c r="K17" s="195" t="s">
        <v>1634</v>
      </c>
      <c r="M17" s="334" t="s">
        <v>1687</v>
      </c>
      <c r="N17" s="214" t="s">
        <v>2</v>
      </c>
      <c r="O17" s="214" t="s">
        <v>2</v>
      </c>
      <c r="P17" s="214" t="s">
        <v>2</v>
      </c>
      <c r="Q17" s="214" t="s">
        <v>2</v>
      </c>
      <c r="R17" s="214" t="s">
        <v>2</v>
      </c>
      <c r="S17" s="214" t="s">
        <v>2</v>
      </c>
      <c r="T17" s="214" t="s">
        <v>2</v>
      </c>
      <c r="V17" s="334" t="s">
        <v>1687</v>
      </c>
      <c r="W17" s="56" t="str">
        <f t="shared" ref="W17:W26" si="14">IF(N17="-","-",N17+$B$5)</f>
        <v>-</v>
      </c>
      <c r="X17" s="56" t="str">
        <f t="shared" ref="X17:X26" si="15">IF(O17="-","-",O17+$B$5)</f>
        <v>-</v>
      </c>
      <c r="Y17" s="56" t="str">
        <f t="shared" ref="Y17:Y26" si="16">IF(P17="-","-",P17+$B$5)</f>
        <v>-</v>
      </c>
      <c r="Z17" s="56" t="str">
        <f t="shared" ref="Z17:Z26" si="17">IF(Q17="-","-",Q17+$B$5)</f>
        <v>-</v>
      </c>
      <c r="AA17" s="56" t="str">
        <f t="shared" ref="AA17:AA26" si="18">IF(R17="-","-",R17+$B$5)</f>
        <v>-</v>
      </c>
      <c r="AB17" s="56" t="str">
        <f t="shared" ref="AB17:AB26" si="19">IF(S17="-","-",S17+$B$5)</f>
        <v>-</v>
      </c>
      <c r="AC17" s="56" t="str">
        <f t="shared" ref="AC17:AC26" si="20">IF(T17="-","-",T17+$B$5)</f>
        <v>-</v>
      </c>
      <c r="AE17" s="334" t="s">
        <v>2061</v>
      </c>
      <c r="AF17" s="56">
        <v>1E-3</v>
      </c>
      <c r="AG17" s="56">
        <v>1E-3</v>
      </c>
      <c r="AH17" s="56">
        <v>1E-3</v>
      </c>
      <c r="AI17" s="56">
        <v>1E-3</v>
      </c>
      <c r="AJ17" s="56">
        <v>1E-3</v>
      </c>
      <c r="AK17" s="56">
        <v>1E-3</v>
      </c>
      <c r="AL17" s="56">
        <v>1E-3</v>
      </c>
    </row>
    <row r="18" spans="1:38" x14ac:dyDescent="0.25">
      <c r="D18" s="334" t="s">
        <v>1687</v>
      </c>
      <c r="E18" s="51" t="str">
        <f t="shared" ref="E18:K27" si="21">IF(E5="-","-",E5+($B$17/$D$17))</f>
        <v>-</v>
      </c>
      <c r="F18" s="51" t="str">
        <f t="shared" si="21"/>
        <v>-</v>
      </c>
      <c r="G18" s="51" t="str">
        <f t="shared" si="21"/>
        <v>-</v>
      </c>
      <c r="H18" s="51" t="str">
        <f t="shared" si="21"/>
        <v>-</v>
      </c>
      <c r="I18" s="51" t="str">
        <f t="shared" si="21"/>
        <v>-</v>
      </c>
      <c r="J18" s="51" t="str">
        <f t="shared" si="21"/>
        <v>-</v>
      </c>
      <c r="K18" s="51" t="str">
        <f t="shared" si="21"/>
        <v>-</v>
      </c>
      <c r="M18" s="334" t="s">
        <v>1686</v>
      </c>
      <c r="N18" s="214" t="s">
        <v>2</v>
      </c>
      <c r="O18" s="214" t="s">
        <v>2</v>
      </c>
      <c r="P18" s="214" t="s">
        <v>2</v>
      </c>
      <c r="Q18" s="214" t="s">
        <v>2</v>
      </c>
      <c r="R18" s="214" t="s">
        <v>2</v>
      </c>
      <c r="S18" s="214" t="s">
        <v>2</v>
      </c>
      <c r="T18" s="214" t="s">
        <v>2</v>
      </c>
      <c r="V18" s="334" t="s">
        <v>1686</v>
      </c>
      <c r="W18" s="56" t="str">
        <f t="shared" si="14"/>
        <v>-</v>
      </c>
      <c r="X18" s="56" t="str">
        <f t="shared" si="15"/>
        <v>-</v>
      </c>
      <c r="Y18" s="56" t="str">
        <f t="shared" si="16"/>
        <v>-</v>
      </c>
      <c r="Z18" s="56" t="str">
        <f t="shared" si="17"/>
        <v>-</v>
      </c>
      <c r="AA18" s="56" t="str">
        <f t="shared" si="18"/>
        <v>-</v>
      </c>
      <c r="AB18" s="56" t="str">
        <f t="shared" si="19"/>
        <v>-</v>
      </c>
      <c r="AC18" s="56" t="str">
        <f t="shared" si="20"/>
        <v>-</v>
      </c>
      <c r="AE18" s="946" t="s">
        <v>1849</v>
      </c>
      <c r="AF18" s="946"/>
      <c r="AG18" s="946"/>
      <c r="AH18" s="946"/>
      <c r="AI18" s="946"/>
      <c r="AJ18" s="946"/>
      <c r="AK18" s="946"/>
      <c r="AL18" s="946"/>
    </row>
    <row r="19" spans="1:38" x14ac:dyDescent="0.25">
      <c r="A19" s="794" t="s">
        <v>2060</v>
      </c>
      <c r="B19" s="794"/>
      <c r="D19" s="334" t="s">
        <v>1686</v>
      </c>
      <c r="E19" s="51" t="str">
        <f t="shared" si="21"/>
        <v>-</v>
      </c>
      <c r="F19" s="51" t="str">
        <f t="shared" si="21"/>
        <v>-</v>
      </c>
      <c r="G19" s="51" t="str">
        <f t="shared" si="21"/>
        <v>-</v>
      </c>
      <c r="H19" s="51" t="str">
        <f t="shared" si="21"/>
        <v>-</v>
      </c>
      <c r="I19" s="51" t="str">
        <f t="shared" si="21"/>
        <v>-</v>
      </c>
      <c r="J19" s="51" t="str">
        <f t="shared" si="21"/>
        <v>-</v>
      </c>
      <c r="K19" s="51" t="str">
        <f t="shared" si="21"/>
        <v>-</v>
      </c>
      <c r="M19" s="334" t="s">
        <v>1476</v>
      </c>
      <c r="N19" s="56">
        <v>4.0249999999999994E-2</v>
      </c>
      <c r="O19" s="56">
        <v>4.0999999999999995E-2</v>
      </c>
      <c r="P19" s="56">
        <v>4.1749999999999995E-2</v>
      </c>
      <c r="Q19" s="56">
        <v>4.2499999999999996E-2</v>
      </c>
      <c r="R19" s="56">
        <v>4.3249999999999997E-2</v>
      </c>
      <c r="S19" s="214" t="s">
        <v>2</v>
      </c>
      <c r="T19" s="214" t="s">
        <v>2</v>
      </c>
      <c r="V19" s="334" t="s">
        <v>1476</v>
      </c>
      <c r="W19" s="56">
        <f t="shared" si="14"/>
        <v>4.0249999999999994E-2</v>
      </c>
      <c r="X19" s="56">
        <f t="shared" si="15"/>
        <v>4.0999999999999995E-2</v>
      </c>
      <c r="Y19" s="56">
        <f t="shared" si="16"/>
        <v>4.1749999999999995E-2</v>
      </c>
      <c r="Z19" s="56">
        <f t="shared" si="17"/>
        <v>4.2499999999999996E-2</v>
      </c>
      <c r="AA19" s="56">
        <f t="shared" si="18"/>
        <v>4.3249999999999997E-2</v>
      </c>
      <c r="AB19" s="56" t="str">
        <f t="shared" si="19"/>
        <v>-</v>
      </c>
      <c r="AC19" s="56" t="str">
        <f t="shared" si="20"/>
        <v>-</v>
      </c>
      <c r="AE19" s="334" t="s">
        <v>2059</v>
      </c>
      <c r="AF19" s="56">
        <v>-2.5000000000000001E-3</v>
      </c>
      <c r="AG19" s="56">
        <v>-2.5000000000000001E-3</v>
      </c>
      <c r="AH19" s="56">
        <v>-2.5000000000000001E-3</v>
      </c>
      <c r="AI19" s="56">
        <v>-2.5000000000000001E-3</v>
      </c>
      <c r="AJ19" s="56">
        <v>-2.5000000000000001E-3</v>
      </c>
      <c r="AK19" s="56">
        <v>-2.5000000000000001E-3</v>
      </c>
      <c r="AL19" s="56">
        <v>-2.5000000000000001E-3</v>
      </c>
    </row>
    <row r="20" spans="1:38" x14ac:dyDescent="0.25">
      <c r="A20" s="334" t="s">
        <v>2058</v>
      </c>
      <c r="B20" s="214">
        <v>3</v>
      </c>
      <c r="D20" s="334" t="s">
        <v>1476</v>
      </c>
      <c r="E20" s="51" t="str">
        <f t="shared" si="21"/>
        <v>-</v>
      </c>
      <c r="F20" s="51" t="str">
        <f t="shared" si="21"/>
        <v>-</v>
      </c>
      <c r="G20" s="51" t="str">
        <f t="shared" si="21"/>
        <v>-</v>
      </c>
      <c r="H20" s="51" t="str">
        <f t="shared" si="21"/>
        <v>-</v>
      </c>
      <c r="I20" s="51" t="str">
        <f t="shared" si="21"/>
        <v>-</v>
      </c>
      <c r="J20" s="51" t="str">
        <f t="shared" si="21"/>
        <v>-</v>
      </c>
      <c r="K20" s="51" t="str">
        <f t="shared" si="21"/>
        <v>-</v>
      </c>
      <c r="M20" s="334" t="s">
        <v>1685</v>
      </c>
      <c r="N20" s="56">
        <v>3.8999999999999993E-2</v>
      </c>
      <c r="O20" s="56">
        <v>3.9749999999999994E-2</v>
      </c>
      <c r="P20" s="56">
        <v>4.0499999999999994E-2</v>
      </c>
      <c r="Q20" s="56">
        <v>4.1249999999999995E-2</v>
      </c>
      <c r="R20" s="56">
        <v>4.1999999999999996E-2</v>
      </c>
      <c r="S20" s="214" t="s">
        <v>2</v>
      </c>
      <c r="T20" s="214" t="s">
        <v>2</v>
      </c>
      <c r="V20" s="334" t="s">
        <v>1685</v>
      </c>
      <c r="W20" s="56">
        <f t="shared" si="14"/>
        <v>3.8999999999999993E-2</v>
      </c>
      <c r="X20" s="56">
        <f t="shared" si="15"/>
        <v>3.9749999999999994E-2</v>
      </c>
      <c r="Y20" s="56">
        <f t="shared" si="16"/>
        <v>4.0499999999999994E-2</v>
      </c>
      <c r="Z20" s="56">
        <f t="shared" si="17"/>
        <v>4.1249999999999995E-2</v>
      </c>
      <c r="AA20" s="56">
        <f t="shared" si="18"/>
        <v>4.1999999999999996E-2</v>
      </c>
      <c r="AB20" s="56" t="str">
        <f t="shared" si="19"/>
        <v>-</v>
      </c>
      <c r="AC20" s="56" t="str">
        <f t="shared" si="20"/>
        <v>-</v>
      </c>
      <c r="AE20" s="334" t="s">
        <v>2057</v>
      </c>
      <c r="AF20" s="56">
        <v>-2.5000000000000001E-3</v>
      </c>
      <c r="AG20" s="56">
        <v>-2.5000000000000001E-3</v>
      </c>
      <c r="AH20" s="56">
        <v>-2.5000000000000001E-3</v>
      </c>
      <c r="AI20" s="56">
        <v>-2.5000000000000001E-3</v>
      </c>
      <c r="AJ20" s="56">
        <v>-2.5000000000000001E-3</v>
      </c>
      <c r="AK20" s="56">
        <v>-2.5000000000000001E-3</v>
      </c>
      <c r="AL20" s="56">
        <v>-2.5000000000000001E-3</v>
      </c>
    </row>
    <row r="21" spans="1:38" x14ac:dyDescent="0.25">
      <c r="A21" s="334" t="s">
        <v>2056</v>
      </c>
      <c r="B21" s="214">
        <v>4.5</v>
      </c>
      <c r="D21" s="334" t="s">
        <v>1685</v>
      </c>
      <c r="E21" s="51" t="str">
        <f t="shared" si="21"/>
        <v>-</v>
      </c>
      <c r="F21" s="51" t="str">
        <f t="shared" si="21"/>
        <v>-</v>
      </c>
      <c r="G21" s="51" t="str">
        <f t="shared" si="21"/>
        <v>-</v>
      </c>
      <c r="H21" s="51" t="str">
        <f t="shared" si="21"/>
        <v>-</v>
      </c>
      <c r="I21" s="51" t="str">
        <f t="shared" si="21"/>
        <v>-</v>
      </c>
      <c r="J21" s="51" t="str">
        <f t="shared" si="21"/>
        <v>-</v>
      </c>
      <c r="K21" s="51" t="str">
        <f t="shared" si="21"/>
        <v>-</v>
      </c>
      <c r="M21" s="334" t="s">
        <v>1684</v>
      </c>
      <c r="N21" s="56">
        <v>3.7750000000000006E-2</v>
      </c>
      <c r="O21" s="56">
        <v>3.8500000000000006E-2</v>
      </c>
      <c r="P21" s="56">
        <v>3.9249999999999993E-2</v>
      </c>
      <c r="Q21" s="56">
        <v>3.9999999999999994E-2</v>
      </c>
      <c r="R21" s="56">
        <v>4.0749999999999995E-2</v>
      </c>
      <c r="S21" s="214" t="s">
        <v>2</v>
      </c>
      <c r="T21" s="214" t="s">
        <v>2</v>
      </c>
      <c r="V21" s="334" t="s">
        <v>1684</v>
      </c>
      <c r="W21" s="56">
        <f t="shared" si="14"/>
        <v>3.7750000000000006E-2</v>
      </c>
      <c r="X21" s="56">
        <f t="shared" si="15"/>
        <v>3.8500000000000006E-2</v>
      </c>
      <c r="Y21" s="56">
        <f t="shared" si="16"/>
        <v>3.9249999999999993E-2</v>
      </c>
      <c r="Z21" s="56">
        <f t="shared" si="17"/>
        <v>3.9999999999999994E-2</v>
      </c>
      <c r="AA21" s="56">
        <f t="shared" si="18"/>
        <v>4.0749999999999995E-2</v>
      </c>
      <c r="AB21" s="56" t="str">
        <f t="shared" si="19"/>
        <v>-</v>
      </c>
      <c r="AC21" s="56" t="str">
        <f t="shared" si="20"/>
        <v>-</v>
      </c>
      <c r="AE21" s="334" t="s">
        <v>2055</v>
      </c>
      <c r="AF21" s="56">
        <v>-2.5000000000000001E-3</v>
      </c>
      <c r="AG21" s="56">
        <v>-2.5000000000000001E-3</v>
      </c>
      <c r="AH21" s="56">
        <v>-2.5000000000000001E-3</v>
      </c>
      <c r="AI21" s="56">
        <v>-2.5000000000000001E-3</v>
      </c>
      <c r="AJ21" s="56">
        <v>-2.5000000000000001E-3</v>
      </c>
      <c r="AK21" s="56">
        <v>-2.5000000000000001E-3</v>
      </c>
      <c r="AL21" s="56">
        <v>-2.5000000000000001E-3</v>
      </c>
    </row>
    <row r="22" spans="1:38" x14ac:dyDescent="0.25">
      <c r="A22" s="334" t="s">
        <v>2047</v>
      </c>
      <c r="B22" s="214">
        <v>5</v>
      </c>
      <c r="D22" s="334" t="s">
        <v>1684</v>
      </c>
      <c r="E22" s="51" t="str">
        <f t="shared" si="21"/>
        <v>-</v>
      </c>
      <c r="F22" s="51" t="str">
        <f t="shared" si="21"/>
        <v>-</v>
      </c>
      <c r="G22" s="51" t="str">
        <f t="shared" si="21"/>
        <v>-</v>
      </c>
      <c r="H22" s="51" t="str">
        <f t="shared" si="21"/>
        <v>-</v>
      </c>
      <c r="I22" s="51" t="str">
        <f t="shared" si="21"/>
        <v>-</v>
      </c>
      <c r="J22" s="51" t="str">
        <f t="shared" si="21"/>
        <v>-</v>
      </c>
      <c r="K22" s="51" t="str">
        <f t="shared" si="21"/>
        <v>-</v>
      </c>
      <c r="M22" s="334" t="s">
        <v>1683</v>
      </c>
      <c r="N22" s="56">
        <v>3.7625000000000006E-2</v>
      </c>
      <c r="O22" s="56">
        <v>3.8375000000000006E-2</v>
      </c>
      <c r="P22" s="56">
        <v>3.9124999999999993E-2</v>
      </c>
      <c r="Q22" s="56">
        <v>3.9874999999999994E-2</v>
      </c>
      <c r="R22" s="56">
        <v>4.0624999999999994E-2</v>
      </c>
      <c r="S22" s="214" t="s">
        <v>2</v>
      </c>
      <c r="T22" s="214" t="s">
        <v>2</v>
      </c>
      <c r="V22" s="334" t="s">
        <v>1683</v>
      </c>
      <c r="W22" s="56">
        <f t="shared" si="14"/>
        <v>3.7625000000000006E-2</v>
      </c>
      <c r="X22" s="56">
        <f t="shared" si="15"/>
        <v>3.8375000000000006E-2</v>
      </c>
      <c r="Y22" s="56">
        <f t="shared" si="16"/>
        <v>3.9124999999999993E-2</v>
      </c>
      <c r="Z22" s="56">
        <f t="shared" si="17"/>
        <v>3.9874999999999994E-2</v>
      </c>
      <c r="AA22" s="56">
        <f t="shared" si="18"/>
        <v>4.0624999999999994E-2</v>
      </c>
      <c r="AB22" s="56" t="str">
        <f t="shared" si="19"/>
        <v>-</v>
      </c>
      <c r="AC22" s="56" t="str">
        <f t="shared" si="20"/>
        <v>-</v>
      </c>
      <c r="AE22" s="334" t="s">
        <v>2054</v>
      </c>
      <c r="AF22" s="56">
        <v>4.0000000000000001E-3</v>
      </c>
      <c r="AG22" s="56">
        <v>4.0000000000000001E-3</v>
      </c>
      <c r="AH22" s="56">
        <v>4.0000000000000001E-3</v>
      </c>
      <c r="AI22" s="56">
        <v>4.0000000000000001E-3</v>
      </c>
      <c r="AJ22" s="56">
        <v>4.0000000000000001E-3</v>
      </c>
      <c r="AK22" s="56">
        <v>4.0000000000000001E-3</v>
      </c>
      <c r="AL22" s="56">
        <v>4.0000000000000001E-3</v>
      </c>
    </row>
    <row r="23" spans="1:38" x14ac:dyDescent="0.25">
      <c r="A23" s="334" t="s">
        <v>2039</v>
      </c>
      <c r="B23" s="214">
        <v>5.5</v>
      </c>
      <c r="D23" s="334" t="s">
        <v>1683</v>
      </c>
      <c r="E23" s="51" t="str">
        <f t="shared" si="21"/>
        <v>-</v>
      </c>
      <c r="F23" s="51" t="str">
        <f t="shared" si="21"/>
        <v>-</v>
      </c>
      <c r="G23" s="51" t="str">
        <f t="shared" si="21"/>
        <v>-</v>
      </c>
      <c r="H23" s="51" t="str">
        <f t="shared" si="21"/>
        <v>-</v>
      </c>
      <c r="I23" s="51" t="str">
        <f t="shared" si="21"/>
        <v>-</v>
      </c>
      <c r="J23" s="51" t="str">
        <f t="shared" si="21"/>
        <v>-</v>
      </c>
      <c r="K23" s="51" t="str">
        <f t="shared" si="21"/>
        <v>-</v>
      </c>
      <c r="M23" s="334" t="s">
        <v>1682</v>
      </c>
      <c r="N23" s="56">
        <v>3.7500000000000006E-2</v>
      </c>
      <c r="O23" s="56">
        <v>3.8250000000000006E-2</v>
      </c>
      <c r="P23" s="56">
        <v>3.8999999999999993E-2</v>
      </c>
      <c r="Q23" s="56">
        <v>3.9749999999999994E-2</v>
      </c>
      <c r="R23" s="56">
        <v>4.0499999999999994E-2</v>
      </c>
      <c r="S23" s="214" t="s">
        <v>2</v>
      </c>
      <c r="T23" s="214" t="s">
        <v>2</v>
      </c>
      <c r="V23" s="334" t="s">
        <v>1682</v>
      </c>
      <c r="W23" s="56">
        <f t="shared" si="14"/>
        <v>3.7500000000000006E-2</v>
      </c>
      <c r="X23" s="56">
        <f t="shared" si="15"/>
        <v>3.8250000000000006E-2</v>
      </c>
      <c r="Y23" s="56">
        <f t="shared" si="16"/>
        <v>3.8999999999999993E-2</v>
      </c>
      <c r="Z23" s="56">
        <f t="shared" si="17"/>
        <v>3.9749999999999994E-2</v>
      </c>
      <c r="AA23" s="56">
        <f t="shared" si="18"/>
        <v>4.0499999999999994E-2</v>
      </c>
      <c r="AB23" s="56" t="str">
        <f t="shared" si="19"/>
        <v>-</v>
      </c>
      <c r="AC23" s="56" t="str">
        <f t="shared" si="20"/>
        <v>-</v>
      </c>
      <c r="AE23" s="334" t="s">
        <v>2053</v>
      </c>
      <c r="AF23" s="56">
        <v>-3.5000000000000001E-3</v>
      </c>
      <c r="AG23" s="56">
        <v>-3.5000000000000001E-3</v>
      </c>
      <c r="AH23" s="56">
        <v>-3.5000000000000001E-3</v>
      </c>
      <c r="AI23" s="56">
        <v>-3.5000000000000001E-3</v>
      </c>
      <c r="AJ23" s="56">
        <v>-3.5000000000000001E-3</v>
      </c>
      <c r="AK23" s="56">
        <v>-3.5000000000000001E-3</v>
      </c>
      <c r="AL23" s="56">
        <v>-3.5000000000000001E-3</v>
      </c>
    </row>
    <row r="24" spans="1:38" x14ac:dyDescent="0.25">
      <c r="A24" s="334" t="s">
        <v>2052</v>
      </c>
      <c r="D24" s="334" t="s">
        <v>1682</v>
      </c>
      <c r="E24" s="51" t="str">
        <f t="shared" si="21"/>
        <v>-</v>
      </c>
      <c r="F24" s="51" t="str">
        <f t="shared" si="21"/>
        <v>-</v>
      </c>
      <c r="G24" s="51" t="str">
        <f t="shared" si="21"/>
        <v>-</v>
      </c>
      <c r="H24" s="51" t="str">
        <f t="shared" si="21"/>
        <v>-</v>
      </c>
      <c r="I24" s="51" t="str">
        <f t="shared" si="21"/>
        <v>-</v>
      </c>
      <c r="J24" s="51" t="str">
        <f t="shared" si="21"/>
        <v>-</v>
      </c>
      <c r="K24" s="51" t="str">
        <f t="shared" si="21"/>
        <v>-</v>
      </c>
      <c r="M24" s="334" t="s">
        <v>1681</v>
      </c>
      <c r="N24" s="56">
        <v>3.7375000000000005E-2</v>
      </c>
      <c r="O24" s="56">
        <v>3.8125000000000006E-2</v>
      </c>
      <c r="P24" s="56">
        <v>3.8874999999999993E-2</v>
      </c>
      <c r="Q24" s="56">
        <v>3.9624999999999994E-2</v>
      </c>
      <c r="R24" s="56">
        <v>4.0374999999999994E-2</v>
      </c>
      <c r="S24" s="214" t="s">
        <v>2</v>
      </c>
      <c r="T24" s="214" t="s">
        <v>2</v>
      </c>
      <c r="V24" s="334" t="s">
        <v>1681</v>
      </c>
      <c r="W24" s="56">
        <f t="shared" si="14"/>
        <v>3.7375000000000005E-2</v>
      </c>
      <c r="X24" s="56">
        <f t="shared" si="15"/>
        <v>3.8125000000000006E-2</v>
      </c>
      <c r="Y24" s="56">
        <f t="shared" si="16"/>
        <v>3.8874999999999993E-2</v>
      </c>
      <c r="Z24" s="56">
        <f t="shared" si="17"/>
        <v>3.9624999999999994E-2</v>
      </c>
      <c r="AA24" s="56">
        <f t="shared" si="18"/>
        <v>4.0374999999999994E-2</v>
      </c>
      <c r="AB24" s="56" t="str">
        <f t="shared" si="19"/>
        <v>-</v>
      </c>
      <c r="AC24" s="56" t="str">
        <f t="shared" si="20"/>
        <v>-</v>
      </c>
      <c r="AE24" s="334" t="s">
        <v>2051</v>
      </c>
      <c r="AF24" s="56">
        <v>4.0000000000000001E-3</v>
      </c>
      <c r="AG24" s="56">
        <v>4.0000000000000001E-3</v>
      </c>
      <c r="AH24" s="56">
        <v>4.0000000000000001E-3</v>
      </c>
      <c r="AI24" s="56">
        <v>4.0000000000000001E-3</v>
      </c>
      <c r="AJ24" s="56">
        <v>4.0000000000000001E-3</v>
      </c>
      <c r="AK24" s="56">
        <v>4.0000000000000001E-3</v>
      </c>
      <c r="AL24" s="56">
        <v>4.0000000000000001E-3</v>
      </c>
    </row>
    <row r="25" spans="1:38" x14ac:dyDescent="0.25">
      <c r="D25" s="334" t="s">
        <v>1681</v>
      </c>
      <c r="E25" s="51" t="str">
        <f t="shared" si="21"/>
        <v>-</v>
      </c>
      <c r="F25" s="51" t="str">
        <f t="shared" si="21"/>
        <v>-</v>
      </c>
      <c r="G25" s="51" t="str">
        <f t="shared" si="21"/>
        <v>-</v>
      </c>
      <c r="H25" s="51" t="str">
        <f t="shared" si="21"/>
        <v>-</v>
      </c>
      <c r="I25" s="51" t="str">
        <f t="shared" si="21"/>
        <v>-</v>
      </c>
      <c r="J25" s="51" t="str">
        <f t="shared" si="21"/>
        <v>-</v>
      </c>
      <c r="K25" s="51" t="str">
        <f t="shared" si="21"/>
        <v>-</v>
      </c>
      <c r="M25" s="334" t="s">
        <v>1680</v>
      </c>
      <c r="N25" s="56">
        <v>3.7250000000000005E-2</v>
      </c>
      <c r="O25" s="56">
        <v>3.8000000000000006E-2</v>
      </c>
      <c r="P25" s="56">
        <v>3.8749999999999993E-2</v>
      </c>
      <c r="Q25" s="56">
        <v>3.9499999999999993E-2</v>
      </c>
      <c r="R25" s="56">
        <v>4.0249999999999994E-2</v>
      </c>
      <c r="S25" s="214" t="s">
        <v>2</v>
      </c>
      <c r="T25" s="214" t="s">
        <v>2</v>
      </c>
      <c r="V25" s="334" t="s">
        <v>1680</v>
      </c>
      <c r="W25" s="56">
        <f t="shared" si="14"/>
        <v>3.7250000000000005E-2</v>
      </c>
      <c r="X25" s="56">
        <f t="shared" si="15"/>
        <v>3.8000000000000006E-2</v>
      </c>
      <c r="Y25" s="56">
        <f t="shared" si="16"/>
        <v>3.8749999999999993E-2</v>
      </c>
      <c r="Z25" s="56">
        <f t="shared" si="17"/>
        <v>3.9499999999999993E-2</v>
      </c>
      <c r="AA25" s="56">
        <f t="shared" si="18"/>
        <v>4.0249999999999994E-2</v>
      </c>
      <c r="AB25" s="56" t="str">
        <f t="shared" si="19"/>
        <v>-</v>
      </c>
      <c r="AC25" s="56" t="str">
        <f t="shared" si="20"/>
        <v>-</v>
      </c>
      <c r="AE25" s="334" t="s">
        <v>2050</v>
      </c>
      <c r="AF25" s="56">
        <v>-2.5000000000000001E-3</v>
      </c>
      <c r="AG25" s="56">
        <v>-2.5000000000000001E-3</v>
      </c>
      <c r="AH25" s="56">
        <v>-2.5000000000000001E-3</v>
      </c>
      <c r="AI25" s="56">
        <v>-2.5000000000000001E-3</v>
      </c>
      <c r="AJ25" s="56">
        <v>-2.5000000000000001E-3</v>
      </c>
      <c r="AK25" s="56">
        <v>-2.5000000000000001E-3</v>
      </c>
      <c r="AL25" s="56">
        <v>-2.5000000000000001E-3</v>
      </c>
    </row>
    <row r="26" spans="1:38" x14ac:dyDescent="0.25">
      <c r="D26" s="334" t="s">
        <v>1680</v>
      </c>
      <c r="E26" s="51" t="str">
        <f t="shared" si="21"/>
        <v>-</v>
      </c>
      <c r="F26" s="51" t="str">
        <f t="shared" si="21"/>
        <v>-</v>
      </c>
      <c r="G26" s="51" t="str">
        <f t="shared" si="21"/>
        <v>-</v>
      </c>
      <c r="H26" s="51" t="str">
        <f t="shared" si="21"/>
        <v>-</v>
      </c>
      <c r="I26" s="51" t="str">
        <f t="shared" si="21"/>
        <v>-</v>
      </c>
      <c r="J26" s="51" t="str">
        <f t="shared" si="21"/>
        <v>-</v>
      </c>
      <c r="K26" s="51" t="str">
        <f t="shared" si="21"/>
        <v>-</v>
      </c>
      <c r="M26" s="334" t="s">
        <v>1679</v>
      </c>
      <c r="N26" s="214" t="s">
        <v>2</v>
      </c>
      <c r="O26" s="214" t="s">
        <v>2</v>
      </c>
      <c r="P26" s="214" t="s">
        <v>2</v>
      </c>
      <c r="Q26" s="214" t="s">
        <v>2</v>
      </c>
      <c r="R26" s="214" t="s">
        <v>2</v>
      </c>
      <c r="S26" s="214" t="s">
        <v>2</v>
      </c>
      <c r="T26" s="214" t="s">
        <v>2</v>
      </c>
      <c r="V26" s="334" t="s">
        <v>1679</v>
      </c>
      <c r="W26" s="56" t="str">
        <f t="shared" si="14"/>
        <v>-</v>
      </c>
      <c r="X26" s="56" t="str">
        <f t="shared" si="15"/>
        <v>-</v>
      </c>
      <c r="Y26" s="56" t="str">
        <f t="shared" si="16"/>
        <v>-</v>
      </c>
      <c r="Z26" s="56" t="str">
        <f t="shared" si="17"/>
        <v>-</v>
      </c>
      <c r="AA26" s="56" t="str">
        <f t="shared" si="18"/>
        <v>-</v>
      </c>
      <c r="AB26" s="56" t="str">
        <f t="shared" si="19"/>
        <v>-</v>
      </c>
      <c r="AC26" s="56" t="str">
        <f t="shared" si="20"/>
        <v>-</v>
      </c>
      <c r="AE26" s="334" t="s">
        <v>2049</v>
      </c>
      <c r="AF26" s="56">
        <v>4.0000000000000001E-3</v>
      </c>
      <c r="AG26" s="56">
        <v>4.0000000000000001E-3</v>
      </c>
      <c r="AH26" s="56">
        <v>4.0000000000000001E-3</v>
      </c>
      <c r="AI26" s="56">
        <v>4.0000000000000001E-3</v>
      </c>
      <c r="AJ26" s="56">
        <v>4.0000000000000001E-3</v>
      </c>
      <c r="AK26" s="56">
        <v>4.0000000000000001E-3</v>
      </c>
      <c r="AL26" s="56">
        <v>4.0000000000000001E-3</v>
      </c>
    </row>
    <row r="27" spans="1:38" x14ac:dyDescent="0.25">
      <c r="D27" s="334" t="s">
        <v>1679</v>
      </c>
      <c r="E27" s="51" t="str">
        <f t="shared" si="21"/>
        <v>-</v>
      </c>
      <c r="F27" s="51" t="str">
        <f t="shared" si="21"/>
        <v>-</v>
      </c>
      <c r="G27" s="51" t="str">
        <f t="shared" si="21"/>
        <v>-</v>
      </c>
      <c r="H27" s="51" t="str">
        <f t="shared" si="21"/>
        <v>-</v>
      </c>
      <c r="I27" s="51" t="str">
        <f t="shared" si="21"/>
        <v>-</v>
      </c>
      <c r="J27" s="51" t="str">
        <f t="shared" si="21"/>
        <v>-</v>
      </c>
      <c r="K27" s="51" t="str">
        <f t="shared" si="21"/>
        <v>-</v>
      </c>
      <c r="AE27" s="334" t="s">
        <v>2048</v>
      </c>
      <c r="AF27" s="56">
        <v>-5.4999999999999997E-3</v>
      </c>
      <c r="AG27" s="56">
        <v>-5.4999999999999997E-3</v>
      </c>
      <c r="AH27" s="56">
        <v>-5.4999999999999997E-3</v>
      </c>
      <c r="AI27" s="56">
        <v>-5.4999999999999997E-3</v>
      </c>
      <c r="AJ27" s="56">
        <v>-5.4999999999999997E-3</v>
      </c>
      <c r="AK27" s="56">
        <v>-5.4999999999999997E-3</v>
      </c>
      <c r="AL27" s="56">
        <v>-5.4999999999999997E-3</v>
      </c>
    </row>
    <row r="28" spans="1:38" x14ac:dyDescent="0.25">
      <c r="M28" s="195" t="s">
        <v>2047</v>
      </c>
      <c r="N28" s="195" t="s">
        <v>1640</v>
      </c>
      <c r="O28" s="195" t="s">
        <v>1639</v>
      </c>
      <c r="P28" s="195" t="s">
        <v>1638</v>
      </c>
      <c r="Q28" s="195" t="s">
        <v>1637</v>
      </c>
      <c r="R28" s="195" t="s">
        <v>1636</v>
      </c>
      <c r="S28" s="195" t="s">
        <v>1635</v>
      </c>
      <c r="T28" s="195" t="s">
        <v>1634</v>
      </c>
      <c r="V28" s="195" t="s">
        <v>2047</v>
      </c>
      <c r="W28" s="195" t="s">
        <v>1640</v>
      </c>
      <c r="X28" s="195" t="s">
        <v>1639</v>
      </c>
      <c r="Y28" s="195" t="s">
        <v>1638</v>
      </c>
      <c r="Z28" s="195" t="s">
        <v>1637</v>
      </c>
      <c r="AA28" s="195" t="s">
        <v>1636</v>
      </c>
      <c r="AB28" s="195" t="s">
        <v>1635</v>
      </c>
      <c r="AC28" s="195" t="s">
        <v>1634</v>
      </c>
      <c r="AE28" s="334" t="s">
        <v>2046</v>
      </c>
      <c r="AF28" s="56">
        <v>4.0000000000000001E-3</v>
      </c>
      <c r="AG28" s="56">
        <v>4.0000000000000001E-3</v>
      </c>
      <c r="AH28" s="56">
        <v>4.0000000000000001E-3</v>
      </c>
      <c r="AI28" s="56">
        <v>4.0000000000000001E-3</v>
      </c>
      <c r="AJ28" s="56">
        <v>4.0000000000000001E-3</v>
      </c>
      <c r="AK28" s="56">
        <v>4.0000000000000001E-3</v>
      </c>
      <c r="AL28" s="56">
        <v>4.0000000000000001E-3</v>
      </c>
    </row>
    <row r="29" spans="1:38" x14ac:dyDescent="0.25">
      <c r="M29" s="334" t="s">
        <v>1687</v>
      </c>
      <c r="N29" s="56" t="s">
        <v>2</v>
      </c>
      <c r="O29" s="56" t="s">
        <v>2</v>
      </c>
      <c r="P29" s="56" t="s">
        <v>2</v>
      </c>
      <c r="Q29" s="56" t="s">
        <v>2</v>
      </c>
      <c r="R29" s="56" t="s">
        <v>2</v>
      </c>
      <c r="S29" s="56" t="s">
        <v>2</v>
      </c>
      <c r="T29" s="56" t="s">
        <v>2</v>
      </c>
      <c r="V29" s="334" t="s">
        <v>1687</v>
      </c>
      <c r="W29" s="56" t="str">
        <f t="shared" ref="W29:W38" si="22">IF(N29="-","-",N29+$B$6)</f>
        <v>-</v>
      </c>
      <c r="X29" s="56" t="str">
        <f t="shared" ref="X29:X38" si="23">IF(O29="-","-",O29+$B$6)</f>
        <v>-</v>
      </c>
      <c r="Y29" s="56" t="str">
        <f t="shared" ref="Y29:Y38" si="24">IF(P29="-","-",P29+$B$6)</f>
        <v>-</v>
      </c>
      <c r="Z29" s="56" t="str">
        <f t="shared" ref="Z29:Z38" si="25">IF(Q29="-","-",Q29+$B$6)</f>
        <v>-</v>
      </c>
      <c r="AA29" s="56" t="str">
        <f t="shared" ref="AA29:AA38" si="26">IF(R29="-","-",R29+$B$6)</f>
        <v>-</v>
      </c>
      <c r="AB29" s="56" t="str">
        <f t="shared" ref="AB29:AB38" si="27">IF(S29="-","-",S29+$B$6)</f>
        <v>-</v>
      </c>
      <c r="AC29" s="56" t="str">
        <f t="shared" ref="AC29:AC38" si="28">IF(T29="-","-",T29+$B$6)</f>
        <v>-</v>
      </c>
      <c r="AE29" s="334" t="s">
        <v>2045</v>
      </c>
      <c r="AF29" s="56">
        <v>-2.5000000000000001E-3</v>
      </c>
      <c r="AG29" s="56">
        <v>-2.5000000000000001E-3</v>
      </c>
      <c r="AH29" s="56">
        <v>-2.5000000000000001E-3</v>
      </c>
      <c r="AI29" s="56">
        <v>-2.5000000000000001E-3</v>
      </c>
      <c r="AJ29" s="56">
        <v>-2.5000000000000001E-3</v>
      </c>
      <c r="AK29" s="56">
        <v>-2.5000000000000001E-3</v>
      </c>
      <c r="AL29" s="56">
        <v>-2.5000000000000001E-3</v>
      </c>
    </row>
    <row r="30" spans="1:38" x14ac:dyDescent="0.25">
      <c r="M30" s="334" t="s">
        <v>1686</v>
      </c>
      <c r="N30" s="56" t="s">
        <v>2</v>
      </c>
      <c r="O30" s="56" t="s">
        <v>2</v>
      </c>
      <c r="P30" s="56" t="s">
        <v>2</v>
      </c>
      <c r="Q30" s="56" t="s">
        <v>2</v>
      </c>
      <c r="R30" s="56" t="s">
        <v>2</v>
      </c>
      <c r="S30" s="56" t="s">
        <v>2</v>
      </c>
      <c r="T30" s="56" t="s">
        <v>2</v>
      </c>
      <c r="V30" s="334" t="s">
        <v>1686</v>
      </c>
      <c r="W30" s="56" t="str">
        <f t="shared" si="22"/>
        <v>-</v>
      </c>
      <c r="X30" s="56" t="str">
        <f t="shared" si="23"/>
        <v>-</v>
      </c>
      <c r="Y30" s="56" t="str">
        <f t="shared" si="24"/>
        <v>-</v>
      </c>
      <c r="Z30" s="56" t="str">
        <f t="shared" si="25"/>
        <v>-</v>
      </c>
      <c r="AA30" s="56" t="str">
        <f t="shared" si="26"/>
        <v>-</v>
      </c>
      <c r="AB30" s="56" t="str">
        <f t="shared" si="27"/>
        <v>-</v>
      </c>
      <c r="AC30" s="56" t="str">
        <f t="shared" si="28"/>
        <v>-</v>
      </c>
      <c r="AE30" s="334" t="s">
        <v>2044</v>
      </c>
      <c r="AF30" s="56">
        <v>4.0000000000000001E-3</v>
      </c>
      <c r="AG30" s="56">
        <v>4.0000000000000001E-3</v>
      </c>
      <c r="AH30" s="56">
        <v>4.0000000000000001E-3</v>
      </c>
      <c r="AI30" s="56">
        <v>4.0000000000000001E-3</v>
      </c>
      <c r="AJ30" s="56">
        <v>4.0000000000000001E-3</v>
      </c>
      <c r="AK30" s="56">
        <v>4.0000000000000001E-3</v>
      </c>
      <c r="AL30" s="56">
        <v>4.0000000000000001E-3</v>
      </c>
    </row>
    <row r="31" spans="1:38" x14ac:dyDescent="0.25">
      <c r="M31" s="334" t="s">
        <v>1476</v>
      </c>
      <c r="N31" s="56">
        <v>3.8099999999999995E-2</v>
      </c>
      <c r="O31" s="56">
        <v>3.8849999999999996E-2</v>
      </c>
      <c r="P31" s="56">
        <v>3.9599999999999996E-2</v>
      </c>
      <c r="Q31" s="56">
        <v>4.0349999999999997E-2</v>
      </c>
      <c r="R31" s="56">
        <v>4.1099999999999998E-2</v>
      </c>
      <c r="S31" s="56" t="s">
        <v>2</v>
      </c>
      <c r="T31" s="56" t="s">
        <v>2</v>
      </c>
      <c r="V31" s="334" t="s">
        <v>1476</v>
      </c>
      <c r="W31" s="56">
        <f t="shared" si="22"/>
        <v>3.8099999999999995E-2</v>
      </c>
      <c r="X31" s="56">
        <f t="shared" si="23"/>
        <v>3.8849999999999996E-2</v>
      </c>
      <c r="Y31" s="56">
        <f t="shared" si="24"/>
        <v>3.9599999999999996E-2</v>
      </c>
      <c r="Z31" s="56">
        <f t="shared" si="25"/>
        <v>4.0349999999999997E-2</v>
      </c>
      <c r="AA31" s="56">
        <f t="shared" si="26"/>
        <v>4.1099999999999998E-2</v>
      </c>
      <c r="AB31" s="56" t="str">
        <f t="shared" si="27"/>
        <v>-</v>
      </c>
      <c r="AC31" s="56" t="str">
        <f t="shared" si="28"/>
        <v>-</v>
      </c>
      <c r="AE31" s="334" t="s">
        <v>2043</v>
      </c>
      <c r="AF31" s="56">
        <v>-6.4999999999999997E-3</v>
      </c>
      <c r="AG31" s="56">
        <v>-6.4999999999999997E-3</v>
      </c>
      <c r="AH31" s="56">
        <v>-6.4999999999999997E-3</v>
      </c>
      <c r="AI31" s="56">
        <v>-6.4999999999999997E-3</v>
      </c>
      <c r="AJ31" s="56">
        <v>-6.4999999999999997E-3</v>
      </c>
      <c r="AK31" s="56">
        <v>-6.4999999999999997E-3</v>
      </c>
      <c r="AL31" s="56">
        <v>-6.4999999999999997E-3</v>
      </c>
    </row>
    <row r="32" spans="1:38" x14ac:dyDescent="0.25">
      <c r="M32" s="334" t="s">
        <v>1685</v>
      </c>
      <c r="N32" s="56">
        <v>3.6850000000000001E-2</v>
      </c>
      <c r="O32" s="56">
        <v>3.7600000000000001E-2</v>
      </c>
      <c r="P32" s="56">
        <v>3.8349999999999995E-2</v>
      </c>
      <c r="Q32" s="56">
        <v>3.9099999999999996E-2</v>
      </c>
      <c r="R32" s="56">
        <v>3.9849999999999997E-2</v>
      </c>
      <c r="S32" s="56" t="s">
        <v>2</v>
      </c>
      <c r="T32" s="56" t="s">
        <v>2</v>
      </c>
      <c r="V32" s="334" t="s">
        <v>1685</v>
      </c>
      <c r="W32" s="56">
        <f t="shared" si="22"/>
        <v>3.6850000000000001E-2</v>
      </c>
      <c r="X32" s="56">
        <f t="shared" si="23"/>
        <v>3.7600000000000001E-2</v>
      </c>
      <c r="Y32" s="56">
        <f t="shared" si="24"/>
        <v>3.8349999999999995E-2</v>
      </c>
      <c r="Z32" s="56">
        <f t="shared" si="25"/>
        <v>3.9099999999999996E-2</v>
      </c>
      <c r="AA32" s="56">
        <f t="shared" si="26"/>
        <v>3.9849999999999997E-2</v>
      </c>
      <c r="AB32" s="56" t="str">
        <f t="shared" si="27"/>
        <v>-</v>
      </c>
      <c r="AC32" s="56" t="str">
        <f t="shared" si="28"/>
        <v>-</v>
      </c>
      <c r="AE32" s="334" t="s">
        <v>2042</v>
      </c>
      <c r="AF32" s="56">
        <v>4.0000000000000001E-3</v>
      </c>
      <c r="AG32" s="56">
        <v>4.0000000000000001E-3</v>
      </c>
      <c r="AH32" s="56">
        <v>4.0000000000000001E-3</v>
      </c>
      <c r="AI32" s="56">
        <v>4.0000000000000001E-3</v>
      </c>
      <c r="AJ32" s="56">
        <v>4.0000000000000001E-3</v>
      </c>
      <c r="AK32" s="56">
        <v>4.0000000000000001E-3</v>
      </c>
      <c r="AL32" s="56">
        <v>4.0000000000000001E-3</v>
      </c>
    </row>
    <row r="33" spans="13:38" x14ac:dyDescent="0.25">
      <c r="M33" s="334" t="s">
        <v>1684</v>
      </c>
      <c r="N33" s="56">
        <v>3.56E-2</v>
      </c>
      <c r="O33" s="56">
        <v>3.635E-2</v>
      </c>
      <c r="P33" s="56">
        <v>3.7100000000000001E-2</v>
      </c>
      <c r="Q33" s="56">
        <v>3.7850000000000002E-2</v>
      </c>
      <c r="R33" s="56">
        <v>3.8599999999999995E-2</v>
      </c>
      <c r="S33" s="56" t="s">
        <v>2</v>
      </c>
      <c r="T33" s="56" t="s">
        <v>2</v>
      </c>
      <c r="V33" s="334" t="s">
        <v>1684</v>
      </c>
      <c r="W33" s="56">
        <f t="shared" si="22"/>
        <v>3.56E-2</v>
      </c>
      <c r="X33" s="56">
        <f t="shared" si="23"/>
        <v>3.635E-2</v>
      </c>
      <c r="Y33" s="56">
        <f t="shared" si="24"/>
        <v>3.7100000000000001E-2</v>
      </c>
      <c r="Z33" s="56">
        <f t="shared" si="25"/>
        <v>3.7850000000000002E-2</v>
      </c>
      <c r="AA33" s="56">
        <f t="shared" si="26"/>
        <v>3.8599999999999995E-2</v>
      </c>
      <c r="AB33" s="56" t="str">
        <f t="shared" si="27"/>
        <v>-</v>
      </c>
      <c r="AC33" s="56" t="str">
        <f t="shared" si="28"/>
        <v>-</v>
      </c>
      <c r="AE33" s="334" t="s">
        <v>2041</v>
      </c>
      <c r="AF33" s="56">
        <v>-2.5000000000000001E-3</v>
      </c>
      <c r="AG33" s="56">
        <v>-2.5000000000000001E-3</v>
      </c>
      <c r="AH33" s="56">
        <v>-2.5000000000000001E-3</v>
      </c>
      <c r="AI33" s="56">
        <v>-2.5000000000000001E-3</v>
      </c>
      <c r="AJ33" s="56">
        <v>-2.5000000000000001E-3</v>
      </c>
      <c r="AK33" s="56">
        <v>-2.5000000000000001E-3</v>
      </c>
      <c r="AL33" s="56">
        <v>-2.5000000000000001E-3</v>
      </c>
    </row>
    <row r="34" spans="13:38" x14ac:dyDescent="0.25">
      <c r="M34" s="334" t="s">
        <v>1683</v>
      </c>
      <c r="N34" s="56">
        <v>3.5475E-2</v>
      </c>
      <c r="O34" s="56">
        <v>3.6225E-2</v>
      </c>
      <c r="P34" s="56">
        <v>3.6975000000000001E-2</v>
      </c>
      <c r="Q34" s="56">
        <v>3.7725000000000002E-2</v>
      </c>
      <c r="R34" s="56">
        <v>3.8474999999999995E-2</v>
      </c>
      <c r="S34" s="56" t="s">
        <v>2</v>
      </c>
      <c r="T34" s="56" t="s">
        <v>2</v>
      </c>
      <c r="V34" s="334" t="s">
        <v>1683</v>
      </c>
      <c r="W34" s="56">
        <f t="shared" si="22"/>
        <v>3.5475E-2</v>
      </c>
      <c r="X34" s="56">
        <f t="shared" si="23"/>
        <v>3.6225E-2</v>
      </c>
      <c r="Y34" s="56">
        <f t="shared" si="24"/>
        <v>3.6975000000000001E-2</v>
      </c>
      <c r="Z34" s="56">
        <f t="shared" si="25"/>
        <v>3.7725000000000002E-2</v>
      </c>
      <c r="AA34" s="56">
        <f t="shared" si="26"/>
        <v>3.8474999999999995E-2</v>
      </c>
      <c r="AB34" s="56" t="str">
        <f t="shared" si="27"/>
        <v>-</v>
      </c>
      <c r="AC34" s="56" t="str">
        <f t="shared" si="28"/>
        <v>-</v>
      </c>
      <c r="AE34" s="946" t="s">
        <v>90</v>
      </c>
      <c r="AF34" s="946"/>
      <c r="AG34" s="946"/>
      <c r="AH34" s="946"/>
      <c r="AI34" s="946"/>
      <c r="AJ34" s="946"/>
      <c r="AK34" s="946"/>
      <c r="AL34" s="946"/>
    </row>
    <row r="35" spans="13:38" x14ac:dyDescent="0.25">
      <c r="M35" s="334" t="s">
        <v>1682</v>
      </c>
      <c r="N35" s="56">
        <v>3.5349999999999999E-2</v>
      </c>
      <c r="O35" s="56">
        <v>3.61E-2</v>
      </c>
      <c r="P35" s="56">
        <v>3.6850000000000001E-2</v>
      </c>
      <c r="Q35" s="56">
        <v>3.7600000000000001E-2</v>
      </c>
      <c r="R35" s="56">
        <v>3.8349999999999995E-2</v>
      </c>
      <c r="S35" s="56" t="s">
        <v>2</v>
      </c>
      <c r="T35" s="56" t="s">
        <v>2</v>
      </c>
      <c r="V35" s="334" t="s">
        <v>1682</v>
      </c>
      <c r="W35" s="56">
        <f t="shared" si="22"/>
        <v>3.5349999999999999E-2</v>
      </c>
      <c r="X35" s="56">
        <f t="shared" si="23"/>
        <v>3.61E-2</v>
      </c>
      <c r="Y35" s="56">
        <f t="shared" si="24"/>
        <v>3.6850000000000001E-2</v>
      </c>
      <c r="Z35" s="56">
        <f t="shared" si="25"/>
        <v>3.7600000000000001E-2</v>
      </c>
      <c r="AA35" s="56">
        <f t="shared" si="26"/>
        <v>3.8349999999999995E-2</v>
      </c>
      <c r="AB35" s="56" t="str">
        <f t="shared" si="27"/>
        <v>-</v>
      </c>
      <c r="AC35" s="56" t="str">
        <f t="shared" si="28"/>
        <v>-</v>
      </c>
      <c r="AE35" s="334" t="s">
        <v>1771</v>
      </c>
      <c r="AF35" s="67">
        <v>0</v>
      </c>
      <c r="AG35" s="67">
        <v>0</v>
      </c>
      <c r="AH35" s="67">
        <v>0</v>
      </c>
      <c r="AI35" s="67">
        <v>0</v>
      </c>
      <c r="AJ35" s="67">
        <v>0</v>
      </c>
      <c r="AK35" s="67">
        <v>0</v>
      </c>
      <c r="AL35" s="67">
        <v>0</v>
      </c>
    </row>
    <row r="36" spans="13:38" x14ac:dyDescent="0.25">
      <c r="M36" s="334" t="s">
        <v>1681</v>
      </c>
      <c r="N36" s="56">
        <v>3.5224999999999999E-2</v>
      </c>
      <c r="O36" s="56">
        <v>3.5975E-2</v>
      </c>
      <c r="P36" s="56">
        <v>3.6725000000000001E-2</v>
      </c>
      <c r="Q36" s="56">
        <v>3.7475000000000001E-2</v>
      </c>
      <c r="R36" s="56">
        <v>3.8224999999999995E-2</v>
      </c>
      <c r="S36" s="56" t="s">
        <v>2</v>
      </c>
      <c r="T36" s="56" t="s">
        <v>2</v>
      </c>
      <c r="V36" s="334" t="s">
        <v>1681</v>
      </c>
      <c r="W36" s="56">
        <f t="shared" si="22"/>
        <v>3.5224999999999999E-2</v>
      </c>
      <c r="X36" s="56">
        <f t="shared" si="23"/>
        <v>3.5975E-2</v>
      </c>
      <c r="Y36" s="56">
        <f t="shared" si="24"/>
        <v>3.6725000000000001E-2</v>
      </c>
      <c r="Z36" s="56">
        <f t="shared" si="25"/>
        <v>3.7475000000000001E-2</v>
      </c>
      <c r="AA36" s="56">
        <f t="shared" si="26"/>
        <v>3.8224999999999995E-2</v>
      </c>
      <c r="AB36" s="56" t="str">
        <f t="shared" si="27"/>
        <v>-</v>
      </c>
      <c r="AC36" s="56" t="str">
        <f t="shared" si="28"/>
        <v>-</v>
      </c>
      <c r="AE36" s="334" t="s">
        <v>2040</v>
      </c>
      <c r="AF36" s="67">
        <v>2.5000000000000001E-3</v>
      </c>
      <c r="AG36" s="67">
        <v>2.5000000000000001E-3</v>
      </c>
      <c r="AH36" s="67">
        <v>2.5000000000000001E-3</v>
      </c>
      <c r="AI36" s="67">
        <v>2.5000000000000001E-3</v>
      </c>
      <c r="AJ36" s="67">
        <v>2.5000000000000001E-3</v>
      </c>
      <c r="AK36" s="67">
        <v>2.5000000000000001E-3</v>
      </c>
      <c r="AL36" s="67">
        <v>2.5000000000000001E-3</v>
      </c>
    </row>
    <row r="37" spans="13:38" x14ac:dyDescent="0.25">
      <c r="M37" s="334" t="s">
        <v>1680</v>
      </c>
      <c r="N37" s="56">
        <v>3.5099999999999999E-2</v>
      </c>
      <c r="O37" s="56">
        <v>3.585E-2</v>
      </c>
      <c r="P37" s="56">
        <v>3.6600000000000001E-2</v>
      </c>
      <c r="Q37" s="56">
        <v>3.7350000000000001E-2</v>
      </c>
      <c r="R37" s="56">
        <v>3.8099999999999995E-2</v>
      </c>
      <c r="S37" s="56" t="s">
        <v>2</v>
      </c>
      <c r="T37" s="56" t="s">
        <v>2</v>
      </c>
      <c r="V37" s="334" t="s">
        <v>1680</v>
      </c>
      <c r="W37" s="56">
        <f t="shared" si="22"/>
        <v>3.5099999999999999E-2</v>
      </c>
      <c r="X37" s="56">
        <f t="shared" si="23"/>
        <v>3.585E-2</v>
      </c>
      <c r="Y37" s="56">
        <f t="shared" si="24"/>
        <v>3.6600000000000001E-2</v>
      </c>
      <c r="Z37" s="56">
        <f t="shared" si="25"/>
        <v>3.7350000000000001E-2</v>
      </c>
      <c r="AA37" s="56">
        <f t="shared" si="26"/>
        <v>3.8099999999999995E-2</v>
      </c>
      <c r="AB37" s="56" t="str">
        <f t="shared" si="27"/>
        <v>-</v>
      </c>
      <c r="AC37" s="56" t="str">
        <f t="shared" si="28"/>
        <v>-</v>
      </c>
      <c r="AE37" s="946" t="s">
        <v>1890</v>
      </c>
      <c r="AF37" s="946"/>
      <c r="AG37" s="946"/>
      <c r="AH37" s="946"/>
      <c r="AI37" s="946"/>
      <c r="AJ37" s="946"/>
      <c r="AK37" s="946"/>
      <c r="AL37" s="946"/>
    </row>
    <row r="38" spans="13:38" x14ac:dyDescent="0.25">
      <c r="M38" s="334" t="s">
        <v>1679</v>
      </c>
      <c r="N38" s="56" t="s">
        <v>2</v>
      </c>
      <c r="O38" s="56" t="s">
        <v>2</v>
      </c>
      <c r="P38" s="56" t="s">
        <v>2</v>
      </c>
      <c r="Q38" s="56" t="s">
        <v>2</v>
      </c>
      <c r="R38" s="56" t="s">
        <v>2</v>
      </c>
      <c r="S38" s="56" t="s">
        <v>2</v>
      </c>
      <c r="T38" s="56" t="s">
        <v>2</v>
      </c>
      <c r="V38" s="334" t="s">
        <v>1679</v>
      </c>
      <c r="W38" s="56" t="str">
        <f t="shared" si="22"/>
        <v>-</v>
      </c>
      <c r="X38" s="56" t="str">
        <f t="shared" si="23"/>
        <v>-</v>
      </c>
      <c r="Y38" s="56" t="str">
        <f t="shared" si="24"/>
        <v>-</v>
      </c>
      <c r="Z38" s="56" t="str">
        <f t="shared" si="25"/>
        <v>-</v>
      </c>
      <c r="AA38" s="56" t="str">
        <f t="shared" si="26"/>
        <v>-</v>
      </c>
      <c r="AB38" s="56" t="str">
        <f t="shared" si="27"/>
        <v>-</v>
      </c>
      <c r="AC38" s="56" t="str">
        <f t="shared" si="28"/>
        <v>-</v>
      </c>
      <c r="AE38" s="334" t="s">
        <v>2038</v>
      </c>
      <c r="AF38" s="67">
        <v>0</v>
      </c>
      <c r="AG38" s="67">
        <v>0</v>
      </c>
      <c r="AH38" s="67">
        <v>0</v>
      </c>
      <c r="AI38" s="67">
        <v>0</v>
      </c>
      <c r="AJ38" s="67">
        <v>0</v>
      </c>
      <c r="AK38" s="67">
        <v>0</v>
      </c>
      <c r="AL38" s="67">
        <v>0</v>
      </c>
    </row>
    <row r="39" spans="13:38" x14ac:dyDescent="0.25">
      <c r="AE39" s="334" t="s">
        <v>2038</v>
      </c>
      <c r="AF39" s="67">
        <v>0</v>
      </c>
      <c r="AG39" s="67">
        <v>0</v>
      </c>
      <c r="AH39" s="67">
        <v>0</v>
      </c>
      <c r="AI39" s="67">
        <v>0</v>
      </c>
      <c r="AJ39" s="67">
        <v>0</v>
      </c>
      <c r="AK39" s="67">
        <v>0</v>
      </c>
      <c r="AL39" s="67">
        <v>0</v>
      </c>
    </row>
    <row r="40" spans="13:38" x14ac:dyDescent="0.25">
      <c r="M40" s="195" t="s">
        <v>2039</v>
      </c>
      <c r="N40" s="195" t="s">
        <v>1640</v>
      </c>
      <c r="O40" s="195" t="s">
        <v>1639</v>
      </c>
      <c r="P40" s="195" t="s">
        <v>1638</v>
      </c>
      <c r="Q40" s="195" t="s">
        <v>1637</v>
      </c>
      <c r="R40" s="195" t="s">
        <v>1636</v>
      </c>
      <c r="S40" s="195" t="s">
        <v>1635</v>
      </c>
      <c r="T40" s="195" t="s">
        <v>1634</v>
      </c>
      <c r="V40" s="195" t="s">
        <v>2039</v>
      </c>
      <c r="W40" s="195" t="s">
        <v>1640</v>
      </c>
      <c r="X40" s="195" t="s">
        <v>1639</v>
      </c>
      <c r="Y40" s="195" t="s">
        <v>1638</v>
      </c>
      <c r="Z40" s="195" t="s">
        <v>1637</v>
      </c>
      <c r="AA40" s="195" t="s">
        <v>1636</v>
      </c>
      <c r="AB40" s="195" t="s">
        <v>1635</v>
      </c>
      <c r="AC40" s="195" t="s">
        <v>1634</v>
      </c>
      <c r="AE40" s="334" t="s">
        <v>2038</v>
      </c>
      <c r="AF40" s="67">
        <v>0</v>
      </c>
      <c r="AG40" s="67">
        <v>0</v>
      </c>
      <c r="AH40" s="67">
        <v>0</v>
      </c>
      <c r="AI40" s="67">
        <v>0</v>
      </c>
      <c r="AJ40" s="67">
        <v>0</v>
      </c>
      <c r="AK40" s="67">
        <v>0</v>
      </c>
      <c r="AL40" s="67">
        <v>0</v>
      </c>
    </row>
    <row r="41" spans="13:38" x14ac:dyDescent="0.25">
      <c r="M41" s="334" t="s">
        <v>1687</v>
      </c>
      <c r="N41" s="56" t="s">
        <v>2</v>
      </c>
      <c r="O41" s="56" t="s">
        <v>2</v>
      </c>
      <c r="P41" s="56" t="s">
        <v>2</v>
      </c>
      <c r="Q41" s="56" t="s">
        <v>2</v>
      </c>
      <c r="R41" s="56" t="s">
        <v>2</v>
      </c>
      <c r="S41" s="56" t="s">
        <v>2</v>
      </c>
      <c r="T41" s="56" t="s">
        <v>2</v>
      </c>
      <c r="V41" s="334" t="s">
        <v>1687</v>
      </c>
      <c r="W41" s="56" t="str">
        <f t="shared" ref="W41:W50" si="29">IF(N41="-","-",N41+$B$7)</f>
        <v>-</v>
      </c>
      <c r="X41" s="56" t="str">
        <f t="shared" ref="X41:X50" si="30">IF(O41="-","-",O41+$B$7)</f>
        <v>-</v>
      </c>
      <c r="Y41" s="56" t="str">
        <f t="shared" ref="Y41:Y50" si="31">IF(P41="-","-",P41+$B$7)</f>
        <v>-</v>
      </c>
      <c r="Z41" s="56" t="str">
        <f t="shared" ref="Z41:Z50" si="32">IF(Q41="-","-",Q41+$B$7)</f>
        <v>-</v>
      </c>
      <c r="AA41" s="56" t="str">
        <f t="shared" ref="AA41:AA50" si="33">IF(R41="-","-",R41+$B$7)</f>
        <v>-</v>
      </c>
      <c r="AB41" s="56" t="str">
        <f t="shared" ref="AB41:AB50" si="34">IF(S41="-","-",S41+$B$7)</f>
        <v>-</v>
      </c>
      <c r="AC41" s="56" t="str">
        <f t="shared" ref="AC41:AC50" si="35">IF(T41="-","-",T41+$B$7)</f>
        <v>-</v>
      </c>
      <c r="AE41" s="334" t="s">
        <v>2038</v>
      </c>
      <c r="AF41" s="67">
        <v>0</v>
      </c>
      <c r="AG41" s="67">
        <v>0</v>
      </c>
      <c r="AH41" s="67">
        <v>0</v>
      </c>
      <c r="AI41" s="67">
        <v>0</v>
      </c>
      <c r="AJ41" s="67">
        <v>0</v>
      </c>
      <c r="AK41" s="67">
        <v>0</v>
      </c>
      <c r="AL41" s="67">
        <v>0</v>
      </c>
    </row>
    <row r="42" spans="13:38" x14ac:dyDescent="0.25">
      <c r="M42" s="334" t="s">
        <v>1686</v>
      </c>
      <c r="N42" s="56" t="s">
        <v>2</v>
      </c>
      <c r="O42" s="56" t="s">
        <v>2</v>
      </c>
      <c r="P42" s="56" t="s">
        <v>2</v>
      </c>
      <c r="Q42" s="56" t="s">
        <v>2</v>
      </c>
      <c r="R42" s="56" t="s">
        <v>2</v>
      </c>
      <c r="S42" s="56" t="s">
        <v>2</v>
      </c>
      <c r="T42" s="56" t="s">
        <v>2</v>
      </c>
      <c r="V42" s="334" t="s">
        <v>1686</v>
      </c>
      <c r="W42" s="56" t="str">
        <f t="shared" si="29"/>
        <v>-</v>
      </c>
      <c r="X42" s="56" t="str">
        <f t="shared" si="30"/>
        <v>-</v>
      </c>
      <c r="Y42" s="56" t="str">
        <f t="shared" si="31"/>
        <v>-</v>
      </c>
      <c r="Z42" s="56" t="str">
        <f t="shared" si="32"/>
        <v>-</v>
      </c>
      <c r="AA42" s="56" t="str">
        <f t="shared" si="33"/>
        <v>-</v>
      </c>
      <c r="AB42" s="56" t="str">
        <f t="shared" si="34"/>
        <v>-</v>
      </c>
      <c r="AC42" s="56" t="str">
        <f t="shared" si="35"/>
        <v>-</v>
      </c>
      <c r="AE42" s="334" t="s">
        <v>2038</v>
      </c>
      <c r="AF42" s="67">
        <v>0</v>
      </c>
      <c r="AG42" s="67">
        <v>0</v>
      </c>
      <c r="AH42" s="67">
        <v>0</v>
      </c>
      <c r="AI42" s="67">
        <v>0</v>
      </c>
      <c r="AJ42" s="67">
        <v>0</v>
      </c>
      <c r="AK42" s="67">
        <v>0</v>
      </c>
      <c r="AL42" s="67">
        <v>0</v>
      </c>
    </row>
    <row r="43" spans="13:38" x14ac:dyDescent="0.25">
      <c r="M43" s="334" t="s">
        <v>1476</v>
      </c>
      <c r="N43" s="56">
        <v>3.5250000000000004E-2</v>
      </c>
      <c r="O43" s="56">
        <v>3.6000000000000004E-2</v>
      </c>
      <c r="P43" s="56">
        <v>3.6750000000000005E-2</v>
      </c>
      <c r="Q43" s="56">
        <v>3.7500000000000006E-2</v>
      </c>
      <c r="R43" s="56">
        <v>3.8249999999999999E-2</v>
      </c>
      <c r="S43" s="56" t="s">
        <v>2</v>
      </c>
      <c r="T43" s="56" t="s">
        <v>2</v>
      </c>
      <c r="V43" s="334" t="s">
        <v>1476</v>
      </c>
      <c r="W43" s="56">
        <f t="shared" si="29"/>
        <v>3.5250000000000004E-2</v>
      </c>
      <c r="X43" s="56">
        <f t="shared" si="30"/>
        <v>3.6000000000000004E-2</v>
      </c>
      <c r="Y43" s="56">
        <f t="shared" si="31"/>
        <v>3.6750000000000005E-2</v>
      </c>
      <c r="Z43" s="56">
        <f t="shared" si="32"/>
        <v>3.7500000000000006E-2</v>
      </c>
      <c r="AA43" s="56">
        <f t="shared" si="33"/>
        <v>3.8249999999999999E-2</v>
      </c>
      <c r="AB43" s="56" t="str">
        <f t="shared" si="34"/>
        <v>-</v>
      </c>
      <c r="AC43" s="56" t="str">
        <f t="shared" si="35"/>
        <v>-</v>
      </c>
      <c r="AE43" s="334" t="s">
        <v>2038</v>
      </c>
      <c r="AF43" s="67">
        <v>0</v>
      </c>
      <c r="AG43" s="67">
        <v>0</v>
      </c>
      <c r="AH43" s="67">
        <v>0</v>
      </c>
      <c r="AI43" s="67">
        <v>0</v>
      </c>
      <c r="AJ43" s="67">
        <v>0</v>
      </c>
      <c r="AK43" s="67">
        <v>0</v>
      </c>
      <c r="AL43" s="67">
        <v>0</v>
      </c>
    </row>
    <row r="44" spans="13:38" x14ac:dyDescent="0.25">
      <c r="M44" s="334" t="s">
        <v>1685</v>
      </c>
      <c r="N44" s="56">
        <v>3.4000000000000002E-2</v>
      </c>
      <c r="O44" s="56">
        <v>3.4750000000000003E-2</v>
      </c>
      <c r="P44" s="56">
        <v>3.5500000000000004E-2</v>
      </c>
      <c r="Q44" s="56">
        <v>3.6250000000000004E-2</v>
      </c>
      <c r="R44" s="56">
        <v>3.7000000000000005E-2</v>
      </c>
      <c r="S44" s="56" t="s">
        <v>2</v>
      </c>
      <c r="T44" s="56" t="s">
        <v>2</v>
      </c>
      <c r="V44" s="334" t="s">
        <v>1685</v>
      </c>
      <c r="W44" s="56">
        <f t="shared" si="29"/>
        <v>3.4000000000000002E-2</v>
      </c>
      <c r="X44" s="56">
        <f t="shared" si="30"/>
        <v>3.4750000000000003E-2</v>
      </c>
      <c r="Y44" s="56">
        <f t="shared" si="31"/>
        <v>3.5500000000000004E-2</v>
      </c>
      <c r="Z44" s="56">
        <f t="shared" si="32"/>
        <v>3.6250000000000004E-2</v>
      </c>
      <c r="AA44" s="56">
        <f t="shared" si="33"/>
        <v>3.7000000000000005E-2</v>
      </c>
      <c r="AB44" s="56" t="str">
        <f t="shared" si="34"/>
        <v>-</v>
      </c>
      <c r="AC44" s="56" t="str">
        <f t="shared" si="35"/>
        <v>-</v>
      </c>
      <c r="AE44" s="334" t="s">
        <v>2038</v>
      </c>
      <c r="AF44" s="67">
        <v>0</v>
      </c>
      <c r="AG44" s="67">
        <v>0</v>
      </c>
      <c r="AH44" s="67">
        <v>0</v>
      </c>
      <c r="AI44" s="67">
        <v>0</v>
      </c>
      <c r="AJ44" s="67">
        <v>0</v>
      </c>
      <c r="AK44" s="67">
        <v>0</v>
      </c>
      <c r="AL44" s="67">
        <v>0</v>
      </c>
    </row>
    <row r="45" spans="13:38" x14ac:dyDescent="0.25">
      <c r="M45" s="334" t="s">
        <v>1684</v>
      </c>
      <c r="N45" s="56">
        <v>3.2750000000000001E-2</v>
      </c>
      <c r="O45" s="56">
        <v>3.3500000000000002E-2</v>
      </c>
      <c r="P45" s="56">
        <v>3.4250000000000003E-2</v>
      </c>
      <c r="Q45" s="56">
        <v>3.5000000000000003E-2</v>
      </c>
      <c r="R45" s="56">
        <v>3.5750000000000004E-2</v>
      </c>
      <c r="S45" s="56" t="s">
        <v>2</v>
      </c>
      <c r="T45" s="56" t="s">
        <v>2</v>
      </c>
      <c r="V45" s="334" t="s">
        <v>1684</v>
      </c>
      <c r="W45" s="56">
        <f t="shared" si="29"/>
        <v>3.2750000000000001E-2</v>
      </c>
      <c r="X45" s="56">
        <f t="shared" si="30"/>
        <v>3.3500000000000002E-2</v>
      </c>
      <c r="Y45" s="56">
        <f t="shared" si="31"/>
        <v>3.4250000000000003E-2</v>
      </c>
      <c r="Z45" s="56">
        <f t="shared" si="32"/>
        <v>3.5000000000000003E-2</v>
      </c>
      <c r="AA45" s="56">
        <f t="shared" si="33"/>
        <v>3.5750000000000004E-2</v>
      </c>
      <c r="AB45" s="56" t="str">
        <f t="shared" si="34"/>
        <v>-</v>
      </c>
      <c r="AC45" s="56" t="str">
        <f t="shared" si="35"/>
        <v>-</v>
      </c>
      <c r="AE45" s="334" t="s">
        <v>2038</v>
      </c>
      <c r="AF45" s="67">
        <v>0</v>
      </c>
      <c r="AG45" s="67">
        <v>0</v>
      </c>
      <c r="AH45" s="67">
        <v>0</v>
      </c>
      <c r="AI45" s="67">
        <v>0</v>
      </c>
      <c r="AJ45" s="67">
        <v>0</v>
      </c>
      <c r="AK45" s="67">
        <v>0</v>
      </c>
      <c r="AL45" s="67">
        <v>0</v>
      </c>
    </row>
    <row r="46" spans="13:38" x14ac:dyDescent="0.25">
      <c r="M46" s="334" t="s">
        <v>1683</v>
      </c>
      <c r="N46" s="56">
        <v>3.2625000000000001E-2</v>
      </c>
      <c r="O46" s="56">
        <v>3.3375000000000002E-2</v>
      </c>
      <c r="P46" s="56">
        <v>3.4125000000000003E-2</v>
      </c>
      <c r="Q46" s="56">
        <v>3.4875000000000003E-2</v>
      </c>
      <c r="R46" s="56">
        <v>3.5625000000000004E-2</v>
      </c>
      <c r="S46" s="56" t="s">
        <v>2</v>
      </c>
      <c r="T46" s="56" t="s">
        <v>2</v>
      </c>
      <c r="V46" s="334" t="s">
        <v>1683</v>
      </c>
      <c r="W46" s="56">
        <f t="shared" si="29"/>
        <v>3.2625000000000001E-2</v>
      </c>
      <c r="X46" s="56">
        <f t="shared" si="30"/>
        <v>3.3375000000000002E-2</v>
      </c>
      <c r="Y46" s="56">
        <f t="shared" si="31"/>
        <v>3.4125000000000003E-2</v>
      </c>
      <c r="Z46" s="56">
        <f t="shared" si="32"/>
        <v>3.4875000000000003E-2</v>
      </c>
      <c r="AA46" s="56">
        <f t="shared" si="33"/>
        <v>3.5625000000000004E-2</v>
      </c>
      <c r="AB46" s="56" t="str">
        <f t="shared" si="34"/>
        <v>-</v>
      </c>
      <c r="AC46" s="56" t="str">
        <f t="shared" si="35"/>
        <v>-</v>
      </c>
      <c r="AE46" s="334" t="s">
        <v>2038</v>
      </c>
      <c r="AF46" s="67">
        <v>0</v>
      </c>
      <c r="AG46" s="67">
        <v>0</v>
      </c>
      <c r="AH46" s="67">
        <v>0</v>
      </c>
      <c r="AI46" s="67">
        <v>0</v>
      </c>
      <c r="AJ46" s="67">
        <v>0</v>
      </c>
      <c r="AK46" s="67">
        <v>0</v>
      </c>
      <c r="AL46" s="67">
        <v>0</v>
      </c>
    </row>
    <row r="47" spans="13:38" x14ac:dyDescent="0.25">
      <c r="M47" s="334" t="s">
        <v>1682</v>
      </c>
      <c r="N47" s="56">
        <v>3.2500000000000001E-2</v>
      </c>
      <c r="O47" s="56">
        <v>3.3250000000000002E-2</v>
      </c>
      <c r="P47" s="56">
        <v>3.4000000000000002E-2</v>
      </c>
      <c r="Q47" s="56">
        <v>3.4750000000000003E-2</v>
      </c>
      <c r="R47" s="56">
        <v>3.5500000000000004E-2</v>
      </c>
      <c r="S47" s="56" t="s">
        <v>2</v>
      </c>
      <c r="T47" s="56" t="s">
        <v>2</v>
      </c>
      <c r="V47" s="334" t="s">
        <v>1682</v>
      </c>
      <c r="W47" s="56">
        <f t="shared" si="29"/>
        <v>3.2500000000000001E-2</v>
      </c>
      <c r="X47" s="56">
        <f t="shared" si="30"/>
        <v>3.3250000000000002E-2</v>
      </c>
      <c r="Y47" s="56">
        <f t="shared" si="31"/>
        <v>3.4000000000000002E-2</v>
      </c>
      <c r="Z47" s="56">
        <f t="shared" si="32"/>
        <v>3.4750000000000003E-2</v>
      </c>
      <c r="AA47" s="56">
        <f t="shared" si="33"/>
        <v>3.5500000000000004E-2</v>
      </c>
      <c r="AB47" s="56" t="str">
        <f t="shared" si="34"/>
        <v>-</v>
      </c>
      <c r="AC47" s="56" t="str">
        <f t="shared" si="35"/>
        <v>-</v>
      </c>
      <c r="AE47" s="334" t="s">
        <v>2038</v>
      </c>
      <c r="AF47" s="67">
        <v>0</v>
      </c>
      <c r="AG47" s="67">
        <v>0</v>
      </c>
      <c r="AH47" s="67">
        <v>0</v>
      </c>
      <c r="AI47" s="67">
        <v>0</v>
      </c>
      <c r="AJ47" s="67">
        <v>0</v>
      </c>
      <c r="AK47" s="67">
        <v>0</v>
      </c>
      <c r="AL47" s="67">
        <v>0</v>
      </c>
    </row>
    <row r="48" spans="13:38" x14ac:dyDescent="0.25">
      <c r="M48" s="334" t="s">
        <v>1681</v>
      </c>
      <c r="N48" s="56">
        <v>3.2375000000000001E-2</v>
      </c>
      <c r="O48" s="56">
        <v>3.3125000000000002E-2</v>
      </c>
      <c r="P48" s="56">
        <v>3.3875000000000002E-2</v>
      </c>
      <c r="Q48" s="56">
        <v>3.4625000000000003E-2</v>
      </c>
      <c r="R48" s="56">
        <v>3.5375000000000004E-2</v>
      </c>
      <c r="S48" s="56" t="s">
        <v>2</v>
      </c>
      <c r="T48" s="56" t="s">
        <v>2</v>
      </c>
      <c r="V48" s="334" t="s">
        <v>1681</v>
      </c>
      <c r="W48" s="56">
        <f t="shared" si="29"/>
        <v>3.2375000000000001E-2</v>
      </c>
      <c r="X48" s="56">
        <f t="shared" si="30"/>
        <v>3.3125000000000002E-2</v>
      </c>
      <c r="Y48" s="56">
        <f t="shared" si="31"/>
        <v>3.3875000000000002E-2</v>
      </c>
      <c r="Z48" s="56">
        <f t="shared" si="32"/>
        <v>3.4625000000000003E-2</v>
      </c>
      <c r="AA48" s="56">
        <f t="shared" si="33"/>
        <v>3.5375000000000004E-2</v>
      </c>
      <c r="AB48" s="56" t="str">
        <f t="shared" si="34"/>
        <v>-</v>
      </c>
      <c r="AC48" s="56" t="str">
        <f t="shared" si="35"/>
        <v>-</v>
      </c>
      <c r="AE48" s="334" t="s">
        <v>2038</v>
      </c>
      <c r="AF48" s="67">
        <v>0</v>
      </c>
      <c r="AG48" s="67">
        <v>0</v>
      </c>
      <c r="AH48" s="67">
        <v>0</v>
      </c>
      <c r="AI48" s="67">
        <v>0</v>
      </c>
      <c r="AJ48" s="67">
        <v>0</v>
      </c>
      <c r="AK48" s="67">
        <v>0</v>
      </c>
      <c r="AL48" s="67">
        <v>0</v>
      </c>
    </row>
    <row r="49" spans="13:38" x14ac:dyDescent="0.25">
      <c r="M49" s="334" t="s">
        <v>1680</v>
      </c>
      <c r="N49" s="56">
        <v>3.2250000000000001E-2</v>
      </c>
      <c r="O49" s="56">
        <v>3.3000000000000002E-2</v>
      </c>
      <c r="P49" s="56">
        <v>3.3750000000000002E-2</v>
      </c>
      <c r="Q49" s="56">
        <v>3.4500000000000003E-2</v>
      </c>
      <c r="R49" s="56">
        <v>3.5250000000000004E-2</v>
      </c>
      <c r="S49" s="56" t="s">
        <v>2</v>
      </c>
      <c r="T49" s="56" t="s">
        <v>2</v>
      </c>
      <c r="V49" s="334" t="s">
        <v>1680</v>
      </c>
      <c r="W49" s="56">
        <f t="shared" si="29"/>
        <v>3.2250000000000001E-2</v>
      </c>
      <c r="X49" s="56">
        <f t="shared" si="30"/>
        <v>3.3000000000000002E-2</v>
      </c>
      <c r="Y49" s="56">
        <f t="shared" si="31"/>
        <v>3.3750000000000002E-2</v>
      </c>
      <c r="Z49" s="56">
        <f t="shared" si="32"/>
        <v>3.4500000000000003E-2</v>
      </c>
      <c r="AA49" s="56">
        <f t="shared" si="33"/>
        <v>3.5250000000000004E-2</v>
      </c>
      <c r="AB49" s="56" t="str">
        <f t="shared" si="34"/>
        <v>-</v>
      </c>
      <c r="AC49" s="56" t="str">
        <f t="shared" si="35"/>
        <v>-</v>
      </c>
      <c r="AE49" s="334" t="s">
        <v>2038</v>
      </c>
      <c r="AF49" s="67">
        <v>0</v>
      </c>
      <c r="AG49" s="67">
        <v>0</v>
      </c>
      <c r="AH49" s="67">
        <v>0</v>
      </c>
      <c r="AI49" s="67">
        <v>0</v>
      </c>
      <c r="AJ49" s="67">
        <v>0</v>
      </c>
      <c r="AK49" s="67">
        <v>0</v>
      </c>
      <c r="AL49" s="67">
        <v>0</v>
      </c>
    </row>
    <row r="50" spans="13:38" x14ac:dyDescent="0.25">
      <c r="M50" s="334" t="s">
        <v>1679</v>
      </c>
      <c r="N50" s="56" t="s">
        <v>2</v>
      </c>
      <c r="O50" s="56" t="s">
        <v>2</v>
      </c>
      <c r="P50" s="56" t="s">
        <v>2</v>
      </c>
      <c r="Q50" s="56" t="s">
        <v>2</v>
      </c>
      <c r="R50" s="56" t="s">
        <v>2</v>
      </c>
      <c r="S50" s="56" t="s">
        <v>2</v>
      </c>
      <c r="T50" s="56" t="s">
        <v>2</v>
      </c>
      <c r="V50" s="334" t="s">
        <v>1679</v>
      </c>
      <c r="W50" s="56" t="str">
        <f t="shared" si="29"/>
        <v>-</v>
      </c>
      <c r="X50" s="56" t="str">
        <f t="shared" si="30"/>
        <v>-</v>
      </c>
      <c r="Y50" s="56" t="str">
        <f t="shared" si="31"/>
        <v>-</v>
      </c>
      <c r="Z50" s="56" t="str">
        <f t="shared" si="32"/>
        <v>-</v>
      </c>
      <c r="AA50" s="56" t="str">
        <f t="shared" si="33"/>
        <v>-</v>
      </c>
      <c r="AB50" s="56" t="str">
        <f t="shared" si="34"/>
        <v>-</v>
      </c>
      <c r="AC50" s="56" t="str">
        <f t="shared" si="35"/>
        <v>-</v>
      </c>
      <c r="AE50" s="334" t="s">
        <v>2038</v>
      </c>
      <c r="AF50" s="67">
        <v>0</v>
      </c>
      <c r="AG50" s="67">
        <v>0</v>
      </c>
      <c r="AH50" s="67">
        <v>0</v>
      </c>
      <c r="AI50" s="67">
        <v>0</v>
      </c>
      <c r="AJ50" s="67">
        <v>0</v>
      </c>
      <c r="AK50" s="67">
        <v>0</v>
      </c>
      <c r="AL50" s="67">
        <v>0</v>
      </c>
    </row>
  </sheetData>
  <sheetProtection algorithmName="SHA-512" hashValue="LYU0t+Fi2dVG8s9BC4uWo9DOaLq/snZ/dwS5vivoRa1H+Ez42dnLP92/r22s7wJbEWI3R/E3PtmcBRCw30cSPw==" saltValue="NZCJa4psYCjIehGDxXd+ZA==" spinCount="100000" sheet="1" objects="1" scenarios="1" selectLockedCells="1" selectUnlockedCells="1"/>
  <mergeCells count="13">
    <mergeCell ref="A10:B10"/>
    <mergeCell ref="A19:B19"/>
    <mergeCell ref="A3:B3"/>
    <mergeCell ref="E3:K3"/>
    <mergeCell ref="V3:AC3"/>
    <mergeCell ref="M3:T3"/>
    <mergeCell ref="AE3:AL3"/>
    <mergeCell ref="AE37:AL37"/>
    <mergeCell ref="AE5:AL5"/>
    <mergeCell ref="AE10:AL10"/>
    <mergeCell ref="AE15:AL15"/>
    <mergeCell ref="AE18:AL18"/>
    <mergeCell ref="AE34:AL3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030C9-E657-4EA1-83A9-94D5B6D70D5E}">
  <sheetPr codeName="Sheet20">
    <tabColor rgb="FF9BACBF"/>
  </sheetPr>
  <dimension ref="A1:Z52"/>
  <sheetViews>
    <sheetView topLeftCell="AA1" zoomScale="70" zoomScaleNormal="70" workbookViewId="0">
      <selection activeCell="AS45" sqref="AS45"/>
    </sheetView>
  </sheetViews>
  <sheetFormatPr defaultColWidth="9.140625" defaultRowHeight="15.75" x14ac:dyDescent="0.25"/>
  <cols>
    <col min="1" max="3" width="12" style="51" hidden="1" customWidth="1"/>
    <col min="4" max="6" width="13" style="51" hidden="1" customWidth="1"/>
    <col min="7" max="9" width="19.42578125" style="51" hidden="1" customWidth="1"/>
    <col min="10" max="10" width="16.28515625" style="51" hidden="1" customWidth="1"/>
    <col min="11" max="11" width="22.7109375" style="51" hidden="1" customWidth="1"/>
    <col min="12" max="12" width="25.42578125" style="51" hidden="1" customWidth="1"/>
    <col min="13" max="13" width="25.5703125" style="51" hidden="1" customWidth="1"/>
    <col min="14" max="14" width="0" style="51" hidden="1" customWidth="1"/>
    <col min="15" max="15" width="14.85546875" style="51" hidden="1" customWidth="1"/>
    <col min="16" max="16" width="14.42578125" style="51" hidden="1" customWidth="1"/>
    <col min="17" max="20" width="21.28515625" style="51" hidden="1" customWidth="1"/>
    <col min="21" max="21" width="22" style="51" hidden="1" customWidth="1"/>
    <col min="22" max="22" width="52.5703125" style="51" hidden="1" customWidth="1"/>
    <col min="23" max="26" width="12.5703125" style="51" hidden="1" customWidth="1"/>
    <col min="27" max="16384" width="9.140625" style="51"/>
  </cols>
  <sheetData>
    <row r="1" spans="1:26" x14ac:dyDescent="0.25">
      <c r="A1" s="639" t="s">
        <v>1910</v>
      </c>
      <c r="B1" s="639"/>
      <c r="C1" s="639"/>
      <c r="D1" s="639" t="s">
        <v>188</v>
      </c>
      <c r="E1" s="639"/>
      <c r="F1" s="639"/>
      <c r="G1" s="639" t="s">
        <v>1909</v>
      </c>
      <c r="H1" s="639"/>
      <c r="I1" s="639"/>
      <c r="J1" s="51" t="s">
        <v>2091</v>
      </c>
      <c r="K1" s="51" t="s">
        <v>107</v>
      </c>
      <c r="L1" s="51" t="s">
        <v>2090</v>
      </c>
      <c r="M1" s="51" t="s">
        <v>2089</v>
      </c>
      <c r="N1" s="51" t="s">
        <v>82</v>
      </c>
      <c r="O1" s="51" t="s">
        <v>2088</v>
      </c>
      <c r="P1" s="51" t="s">
        <v>2013</v>
      </c>
      <c r="Q1" s="51" t="s">
        <v>2087</v>
      </c>
      <c r="R1" s="51" t="s">
        <v>2086</v>
      </c>
      <c r="S1" s="51" t="s">
        <v>2085</v>
      </c>
      <c r="T1" s="51" t="s">
        <v>2084</v>
      </c>
      <c r="U1" s="639" t="s">
        <v>2083</v>
      </c>
      <c r="V1" s="639"/>
      <c r="W1" s="51" t="s">
        <v>2082</v>
      </c>
      <c r="X1" s="51" t="s">
        <v>2081</v>
      </c>
      <c r="Y1" s="51" t="s">
        <v>2080</v>
      </c>
      <c r="Z1" s="51" t="s">
        <v>2079</v>
      </c>
    </row>
    <row r="2" spans="1:26" x14ac:dyDescent="0.25">
      <c r="A2" s="51" t="s">
        <v>1902</v>
      </c>
      <c r="B2" s="51" t="s">
        <v>915</v>
      </c>
      <c r="C2" s="51" t="s">
        <v>1901</v>
      </c>
      <c r="D2" s="51" t="s">
        <v>1902</v>
      </c>
      <c r="E2" s="51" t="s">
        <v>915</v>
      </c>
      <c r="F2" s="51" t="s">
        <v>1901</v>
      </c>
      <c r="G2" s="51" t="s">
        <v>1902</v>
      </c>
      <c r="H2" s="51" t="s">
        <v>915</v>
      </c>
      <c r="I2" s="51" t="s">
        <v>1901</v>
      </c>
      <c r="J2" s="51" t="s">
        <v>1756</v>
      </c>
      <c r="K2" s="51" t="s">
        <v>287</v>
      </c>
      <c r="L2" s="51" t="s">
        <v>1597</v>
      </c>
      <c r="M2" s="51" t="s">
        <v>202</v>
      </c>
      <c r="N2" s="51" t="s">
        <v>286</v>
      </c>
      <c r="O2" s="51" t="s">
        <v>2058</v>
      </c>
      <c r="P2" s="51" t="s">
        <v>1853</v>
      </c>
      <c r="Q2" s="503" t="s">
        <v>2059</v>
      </c>
      <c r="R2" s="503" t="s">
        <v>2055</v>
      </c>
      <c r="S2" s="503" t="s">
        <v>2050</v>
      </c>
      <c r="T2" s="503" t="s">
        <v>2045</v>
      </c>
      <c r="U2" s="503" t="s">
        <v>2059</v>
      </c>
      <c r="V2" s="51" t="s">
        <v>1893</v>
      </c>
      <c r="W2" s="67">
        <v>0</v>
      </c>
      <c r="X2" s="67">
        <v>0</v>
      </c>
      <c r="Y2" s="67">
        <v>0</v>
      </c>
      <c r="Z2" s="67">
        <v>0</v>
      </c>
    </row>
    <row r="3" spans="1:26" x14ac:dyDescent="0.25">
      <c r="A3" s="51">
        <v>0</v>
      </c>
      <c r="B3" s="51">
        <v>574</v>
      </c>
      <c r="C3" s="51" t="s">
        <v>1691</v>
      </c>
      <c r="D3" s="71">
        <v>0</v>
      </c>
      <c r="E3" s="71">
        <v>0.5</v>
      </c>
      <c r="F3" s="51" t="s">
        <v>1640</v>
      </c>
      <c r="G3" s="57">
        <v>0</v>
      </c>
      <c r="H3" s="57">
        <v>50000</v>
      </c>
      <c r="I3" s="51" t="s">
        <v>1844</v>
      </c>
      <c r="J3" s="51" t="s">
        <v>1755</v>
      </c>
      <c r="K3" s="51" t="s">
        <v>282</v>
      </c>
      <c r="L3" s="51" t="s">
        <v>1595</v>
      </c>
      <c r="M3" s="51" t="s">
        <v>200</v>
      </c>
      <c r="N3" s="51" t="s">
        <v>281</v>
      </c>
      <c r="O3" s="51" t="s">
        <v>2056</v>
      </c>
      <c r="P3" s="51" t="s">
        <v>2061</v>
      </c>
      <c r="Q3" s="51" t="s">
        <v>2057</v>
      </c>
      <c r="R3" s="51" t="s">
        <v>2054</v>
      </c>
      <c r="S3" s="51" t="s">
        <v>2049</v>
      </c>
      <c r="T3" s="51" t="s">
        <v>2044</v>
      </c>
      <c r="U3" s="51" t="s">
        <v>2057</v>
      </c>
      <c r="V3" s="51" t="s">
        <v>2078</v>
      </c>
      <c r="W3" s="67">
        <v>1.25E-3</v>
      </c>
      <c r="X3" s="67">
        <v>1.25E-3</v>
      </c>
      <c r="Y3" s="67">
        <v>1.25E-3</v>
      </c>
      <c r="Z3" s="67">
        <v>1.25E-3</v>
      </c>
    </row>
    <row r="4" spans="1:26" x14ac:dyDescent="0.25">
      <c r="A4" s="51">
        <v>575</v>
      </c>
      <c r="B4" s="51">
        <v>599</v>
      </c>
      <c r="C4" s="51" t="s">
        <v>1690</v>
      </c>
      <c r="D4" s="70">
        <f t="shared" ref="D4:D13" si="0">+E3+0.00000001%</f>
        <v>0.50000000010000001</v>
      </c>
      <c r="E4" s="71">
        <f t="shared" ref="E4:E13" si="1">+E3+5%</f>
        <v>0.55000000000000004</v>
      </c>
      <c r="F4" s="51" t="s">
        <v>1639</v>
      </c>
      <c r="G4" s="57">
        <f t="shared" ref="G4:G16" si="2">+H3+0.0000000000001</f>
        <v>50000</v>
      </c>
      <c r="H4" s="57">
        <f>+H3+25000</f>
        <v>75000</v>
      </c>
      <c r="I4" s="51" t="s">
        <v>1842</v>
      </c>
      <c r="J4" s="51" t="s">
        <v>1754</v>
      </c>
      <c r="K4" s="51" t="s">
        <v>277</v>
      </c>
      <c r="L4" s="51" t="s">
        <v>1592</v>
      </c>
      <c r="M4" s="51" t="s">
        <v>3</v>
      </c>
      <c r="N4" s="51" t="s">
        <v>276</v>
      </c>
      <c r="O4" s="51" t="s">
        <v>2047</v>
      </c>
      <c r="R4" s="51" t="s">
        <v>2053</v>
      </c>
      <c r="S4" s="51" t="s">
        <v>2048</v>
      </c>
      <c r="T4" s="51" t="s">
        <v>2043</v>
      </c>
      <c r="U4" s="503" t="s">
        <v>2055</v>
      </c>
      <c r="V4" s="51" t="s">
        <v>1875</v>
      </c>
      <c r="W4" s="67">
        <v>2.5000000000000001E-3</v>
      </c>
      <c r="X4" s="67">
        <v>2.5000000000000001E-3</v>
      </c>
      <c r="Y4" s="67">
        <v>2.5000000000000001E-3</v>
      </c>
      <c r="Z4" s="67">
        <v>2.5000000000000001E-3</v>
      </c>
    </row>
    <row r="5" spans="1:26" x14ac:dyDescent="0.25">
      <c r="A5" s="51">
        <v>600</v>
      </c>
      <c r="B5" s="51">
        <v>619</v>
      </c>
      <c r="C5" s="51" t="s">
        <v>1689</v>
      </c>
      <c r="D5" s="70">
        <f t="shared" si="0"/>
        <v>0.55000000010000005</v>
      </c>
      <c r="E5" s="71">
        <f t="shared" si="1"/>
        <v>0.60000000000000009</v>
      </c>
      <c r="F5" s="51" t="s">
        <v>1638</v>
      </c>
      <c r="G5" s="57">
        <f t="shared" si="2"/>
        <v>75000</v>
      </c>
      <c r="H5" s="57">
        <f>+H4+25000</f>
        <v>100000</v>
      </c>
      <c r="I5" s="51" t="s">
        <v>1839</v>
      </c>
      <c r="J5" s="51" t="s">
        <v>1753</v>
      </c>
      <c r="L5" s="51" t="s">
        <v>1591</v>
      </c>
      <c r="M5" s="51" t="s">
        <v>274</v>
      </c>
      <c r="N5" s="51" t="s">
        <v>273</v>
      </c>
      <c r="O5" s="51" t="s">
        <v>2039</v>
      </c>
      <c r="R5" s="51" t="s">
        <v>2051</v>
      </c>
      <c r="S5" s="51" t="s">
        <v>2046</v>
      </c>
      <c r="T5" s="51" t="s">
        <v>2042</v>
      </c>
      <c r="U5" s="51" t="s">
        <v>2054</v>
      </c>
      <c r="V5" s="51" t="s">
        <v>1893</v>
      </c>
      <c r="W5" s="67"/>
      <c r="X5" s="67">
        <v>3.7499999999999999E-3</v>
      </c>
      <c r="Y5" s="67">
        <v>3.7499999999999999E-3</v>
      </c>
      <c r="Z5" s="67">
        <v>3.7499999999999999E-3</v>
      </c>
    </row>
    <row r="6" spans="1:26" x14ac:dyDescent="0.25">
      <c r="A6" s="51">
        <v>620</v>
      </c>
      <c r="B6" s="51">
        <v>639</v>
      </c>
      <c r="C6" s="51" t="s">
        <v>1688</v>
      </c>
      <c r="D6" s="70">
        <f t="shared" si="0"/>
        <v>0.6000000001000001</v>
      </c>
      <c r="E6" s="71">
        <f t="shared" si="1"/>
        <v>0.65000000000000013</v>
      </c>
      <c r="F6" s="51" t="s">
        <v>1637</v>
      </c>
      <c r="G6" s="57">
        <f t="shared" si="2"/>
        <v>100000</v>
      </c>
      <c r="H6" s="57">
        <f>+H5+25000</f>
        <v>125000</v>
      </c>
      <c r="I6" s="51" t="s">
        <v>1838</v>
      </c>
      <c r="J6" s="51" t="s">
        <v>1752</v>
      </c>
      <c r="L6" s="51" t="s">
        <v>1588</v>
      </c>
      <c r="N6" s="51" t="s">
        <v>272</v>
      </c>
      <c r="T6" s="51" t="s">
        <v>2041</v>
      </c>
      <c r="U6" s="51" t="s">
        <v>2053</v>
      </c>
      <c r="V6" s="51" t="s">
        <v>2076</v>
      </c>
      <c r="W6" s="67"/>
      <c r="X6" s="67">
        <v>5.0000000000000001E-3</v>
      </c>
      <c r="Y6" s="67">
        <v>5.0000000000000001E-3</v>
      </c>
      <c r="Z6" s="67">
        <v>5.0000000000000001E-3</v>
      </c>
    </row>
    <row r="7" spans="1:26" x14ac:dyDescent="0.25">
      <c r="A7" s="51">
        <v>640</v>
      </c>
      <c r="B7" s="51">
        <v>659</v>
      </c>
      <c r="C7" s="51" t="s">
        <v>1687</v>
      </c>
      <c r="D7" s="70">
        <f t="shared" si="0"/>
        <v>0.65000000010000014</v>
      </c>
      <c r="E7" s="71">
        <f t="shared" si="1"/>
        <v>0.70000000000000018</v>
      </c>
      <c r="F7" s="51" t="s">
        <v>1636</v>
      </c>
      <c r="G7" s="57">
        <f t="shared" si="2"/>
        <v>125000</v>
      </c>
      <c r="H7" s="57">
        <f>+H6+25000</f>
        <v>150000</v>
      </c>
      <c r="I7" s="51" t="s">
        <v>1837</v>
      </c>
      <c r="J7" s="51" t="s">
        <v>1675</v>
      </c>
      <c r="L7" s="51" t="s">
        <v>1871</v>
      </c>
      <c r="N7" s="51" t="s">
        <v>271</v>
      </c>
      <c r="U7" s="51" t="s">
        <v>2051</v>
      </c>
      <c r="V7" s="51" t="s">
        <v>2078</v>
      </c>
      <c r="W7" s="67"/>
      <c r="X7" s="67"/>
      <c r="Y7" s="67">
        <v>6.2500000000000003E-3</v>
      </c>
      <c r="Z7" s="67">
        <v>6.2500000000000003E-3</v>
      </c>
    </row>
    <row r="8" spans="1:26" x14ac:dyDescent="0.25">
      <c r="A8" s="51">
        <v>660</v>
      </c>
      <c r="B8" s="51">
        <v>679</v>
      </c>
      <c r="C8" s="51" t="s">
        <v>1686</v>
      </c>
      <c r="D8" s="70">
        <f t="shared" si="0"/>
        <v>0.70000000010000019</v>
      </c>
      <c r="E8" s="71">
        <f t="shared" si="1"/>
        <v>0.75000000000000022</v>
      </c>
      <c r="F8" s="51" t="s">
        <v>1635</v>
      </c>
      <c r="G8" s="57">
        <f t="shared" si="2"/>
        <v>150000</v>
      </c>
      <c r="H8" s="57">
        <v>250000</v>
      </c>
      <c r="I8" s="51" t="s">
        <v>1836</v>
      </c>
      <c r="L8" s="51" t="s">
        <v>1870</v>
      </c>
      <c r="N8" s="51" t="s">
        <v>270</v>
      </c>
      <c r="U8" s="503" t="s">
        <v>2050</v>
      </c>
      <c r="V8" s="55" t="s">
        <v>2074</v>
      </c>
      <c r="W8" s="67"/>
      <c r="X8" s="67"/>
      <c r="Y8" s="67">
        <v>7.5000000000000006E-3</v>
      </c>
      <c r="Z8" s="67">
        <v>7.5000000000000006E-3</v>
      </c>
    </row>
    <row r="9" spans="1:26" x14ac:dyDescent="0.25">
      <c r="A9" s="51">
        <v>680</v>
      </c>
      <c r="B9" s="51">
        <v>699</v>
      </c>
      <c r="C9" s="51" t="s">
        <v>1476</v>
      </c>
      <c r="D9" s="70">
        <f t="shared" si="0"/>
        <v>0.75000000010000023</v>
      </c>
      <c r="E9" s="71">
        <f t="shared" si="1"/>
        <v>0.80000000000000027</v>
      </c>
      <c r="F9" s="51" t="s">
        <v>1634</v>
      </c>
      <c r="G9" s="57">
        <f t="shared" si="2"/>
        <v>250000</v>
      </c>
      <c r="H9" s="57">
        <v>500000</v>
      </c>
      <c r="I9" s="51" t="s">
        <v>1835</v>
      </c>
      <c r="N9" s="51" t="s">
        <v>269</v>
      </c>
      <c r="U9" s="51" t="s">
        <v>2049</v>
      </c>
      <c r="V9" s="51" t="s">
        <v>1875</v>
      </c>
      <c r="W9" s="67"/>
      <c r="X9" s="67"/>
      <c r="Y9" s="67"/>
      <c r="Z9" s="67">
        <v>8.7500000000000008E-3</v>
      </c>
    </row>
    <row r="10" spans="1:26" x14ac:dyDescent="0.25">
      <c r="A10" s="51">
        <v>700</v>
      </c>
      <c r="B10" s="51">
        <v>719</v>
      </c>
      <c r="C10" s="51" t="s">
        <v>1685</v>
      </c>
      <c r="D10" s="70">
        <f t="shared" si="0"/>
        <v>0.80000000010000027</v>
      </c>
      <c r="E10" s="71">
        <f t="shared" si="1"/>
        <v>0.85000000000000031</v>
      </c>
      <c r="F10" s="51" t="s">
        <v>1841</v>
      </c>
      <c r="G10" s="57">
        <f t="shared" si="2"/>
        <v>500000</v>
      </c>
      <c r="H10" s="57">
        <v>750000</v>
      </c>
      <c r="I10" s="51" t="s">
        <v>1834</v>
      </c>
      <c r="N10" s="51" t="s">
        <v>268</v>
      </c>
      <c r="U10" s="51" t="s">
        <v>2048</v>
      </c>
      <c r="V10" s="51" t="s">
        <v>2077</v>
      </c>
      <c r="W10" s="67"/>
      <c r="X10" s="67"/>
      <c r="Y10" s="67"/>
      <c r="Z10" s="67">
        <v>0.01</v>
      </c>
    </row>
    <row r="11" spans="1:26" x14ac:dyDescent="0.25">
      <c r="A11" s="51">
        <v>720</v>
      </c>
      <c r="B11" s="51">
        <v>739</v>
      </c>
      <c r="C11" s="51" t="s">
        <v>1684</v>
      </c>
      <c r="D11" s="70">
        <f t="shared" si="0"/>
        <v>0.85000000010000032</v>
      </c>
      <c r="E11" s="71">
        <f t="shared" si="1"/>
        <v>0.90000000000000036</v>
      </c>
      <c r="F11" s="51" t="s">
        <v>1840</v>
      </c>
      <c r="G11" s="57">
        <f t="shared" si="2"/>
        <v>750000</v>
      </c>
      <c r="H11" s="57">
        <v>1000000</v>
      </c>
      <c r="I11" s="51" t="s">
        <v>1833</v>
      </c>
      <c r="N11" s="51" t="s">
        <v>267</v>
      </c>
      <c r="U11" s="51" t="s">
        <v>2046</v>
      </c>
      <c r="V11" s="51" t="s">
        <v>2076</v>
      </c>
      <c r="W11" s="67"/>
      <c r="X11" s="67"/>
      <c r="Y11" s="67"/>
      <c r="Z11" s="67"/>
    </row>
    <row r="12" spans="1:26" x14ac:dyDescent="0.25">
      <c r="A12" s="51">
        <v>740</v>
      </c>
      <c r="B12" s="51">
        <v>759</v>
      </c>
      <c r="C12" s="51" t="s">
        <v>1683</v>
      </c>
      <c r="D12" s="70">
        <f t="shared" si="0"/>
        <v>0.90000000010000036</v>
      </c>
      <c r="E12" s="71">
        <f t="shared" si="1"/>
        <v>0.9500000000000004</v>
      </c>
      <c r="F12" s="51" t="s">
        <v>1881</v>
      </c>
      <c r="G12" s="57">
        <f t="shared" si="2"/>
        <v>1000000</v>
      </c>
      <c r="H12" s="57">
        <v>1250000</v>
      </c>
      <c r="I12" s="51" t="s">
        <v>1832</v>
      </c>
      <c r="N12" s="51" t="s">
        <v>266</v>
      </c>
      <c r="U12" s="503" t="s">
        <v>2045</v>
      </c>
      <c r="V12" s="55" t="s">
        <v>2075</v>
      </c>
      <c r="W12" s="67"/>
      <c r="X12" s="67"/>
      <c r="Y12" s="67"/>
      <c r="Z12" s="67"/>
    </row>
    <row r="13" spans="1:26" x14ac:dyDescent="0.25">
      <c r="A13" s="51">
        <v>760</v>
      </c>
      <c r="B13" s="51">
        <v>779</v>
      </c>
      <c r="C13" s="51" t="s">
        <v>1682</v>
      </c>
      <c r="D13" s="70">
        <f t="shared" si="0"/>
        <v>0.95000000010000041</v>
      </c>
      <c r="E13" s="71">
        <f t="shared" si="1"/>
        <v>1.0000000000000004</v>
      </c>
      <c r="F13" s="51" t="s">
        <v>1877</v>
      </c>
      <c r="G13" s="57">
        <f t="shared" si="2"/>
        <v>1250000</v>
      </c>
      <c r="H13" s="57">
        <v>1500000</v>
      </c>
      <c r="I13" s="51" t="s">
        <v>1831</v>
      </c>
      <c r="N13" s="51" t="s">
        <v>265</v>
      </c>
      <c r="U13" s="51" t="s">
        <v>2044</v>
      </c>
      <c r="V13" s="55" t="s">
        <v>2074</v>
      </c>
      <c r="W13" s="67"/>
      <c r="X13" s="67"/>
      <c r="Y13" s="67"/>
      <c r="Z13" s="67"/>
    </row>
    <row r="14" spans="1:26" x14ac:dyDescent="0.25">
      <c r="A14" s="51">
        <v>780</v>
      </c>
      <c r="B14" s="51">
        <v>799</v>
      </c>
      <c r="C14" s="51" t="s">
        <v>1681</v>
      </c>
      <c r="D14" s="70"/>
      <c r="E14" s="71"/>
      <c r="G14" s="57">
        <f t="shared" si="2"/>
        <v>1500000</v>
      </c>
      <c r="H14" s="57">
        <v>1750000</v>
      </c>
      <c r="I14" s="51" t="s">
        <v>1830</v>
      </c>
      <c r="N14" s="51" t="s">
        <v>145</v>
      </c>
      <c r="U14" s="51" t="s">
        <v>2043</v>
      </c>
      <c r="V14" s="51" t="s">
        <v>2073</v>
      </c>
      <c r="W14" s="67"/>
      <c r="X14" s="67"/>
      <c r="Y14" s="67"/>
      <c r="Z14" s="67"/>
    </row>
    <row r="15" spans="1:26" x14ac:dyDescent="0.25">
      <c r="A15" s="51">
        <v>800</v>
      </c>
      <c r="B15" s="51">
        <v>1000</v>
      </c>
      <c r="C15" s="51" t="s">
        <v>1680</v>
      </c>
      <c r="D15" s="70"/>
      <c r="E15" s="71"/>
      <c r="G15" s="57">
        <f t="shared" si="2"/>
        <v>1750000</v>
      </c>
      <c r="H15" s="57">
        <v>2000000</v>
      </c>
      <c r="I15" s="51" t="s">
        <v>1829</v>
      </c>
      <c r="N15" s="51" t="s">
        <v>264</v>
      </c>
      <c r="U15" s="51" t="s">
        <v>2042</v>
      </c>
      <c r="V15" s="51" t="s">
        <v>2072</v>
      </c>
      <c r="W15" s="67"/>
      <c r="X15" s="67"/>
      <c r="Y15" s="67"/>
      <c r="Z15" s="67"/>
    </row>
    <row r="16" spans="1:26" x14ac:dyDescent="0.25">
      <c r="C16" s="51" t="s">
        <v>1679</v>
      </c>
      <c r="G16" s="57">
        <f t="shared" si="2"/>
        <v>2000000</v>
      </c>
      <c r="H16" s="57">
        <v>100000000</v>
      </c>
      <c r="I16" s="51" t="s">
        <v>1828</v>
      </c>
      <c r="N16" s="51" t="s">
        <v>263</v>
      </c>
      <c r="U16" s="51" t="s">
        <v>2041</v>
      </c>
      <c r="V16" s="51" t="s">
        <v>2071</v>
      </c>
      <c r="W16" s="67"/>
      <c r="X16" s="67"/>
      <c r="Y16" s="67"/>
      <c r="Z16" s="67"/>
    </row>
    <row r="17" spans="14:14" x14ac:dyDescent="0.25">
      <c r="N17" s="51" t="s">
        <v>262</v>
      </c>
    </row>
    <row r="18" spans="14:14" x14ac:dyDescent="0.25">
      <c r="N18" s="51" t="s">
        <v>261</v>
      </c>
    </row>
    <row r="19" spans="14:14" x14ac:dyDescent="0.25">
      <c r="N19" s="51" t="s">
        <v>260</v>
      </c>
    </row>
    <row r="20" spans="14:14" x14ac:dyDescent="0.25">
      <c r="N20" s="51" t="s">
        <v>259</v>
      </c>
    </row>
    <row r="21" spans="14:14" x14ac:dyDescent="0.25">
      <c r="N21" s="51" t="s">
        <v>258</v>
      </c>
    </row>
    <row r="22" spans="14:14" x14ac:dyDescent="0.25">
      <c r="N22" s="51" t="s">
        <v>257</v>
      </c>
    </row>
    <row r="23" spans="14:14" x14ac:dyDescent="0.25">
      <c r="N23" s="51" t="s">
        <v>256</v>
      </c>
    </row>
    <row r="24" spans="14:14" x14ac:dyDescent="0.25">
      <c r="N24" s="51" t="s">
        <v>255</v>
      </c>
    </row>
    <row r="25" spans="14:14" x14ac:dyDescent="0.25">
      <c r="N25" s="51" t="s">
        <v>254</v>
      </c>
    </row>
    <row r="26" spans="14:14" x14ac:dyDescent="0.25">
      <c r="N26" s="51" t="s">
        <v>253</v>
      </c>
    </row>
    <row r="27" spans="14:14" x14ac:dyDescent="0.25">
      <c r="N27" s="51" t="s">
        <v>252</v>
      </c>
    </row>
    <row r="28" spans="14:14" x14ac:dyDescent="0.25">
      <c r="N28" s="51" t="s">
        <v>251</v>
      </c>
    </row>
    <row r="29" spans="14:14" x14ac:dyDescent="0.25">
      <c r="N29" s="51" t="s">
        <v>250</v>
      </c>
    </row>
    <row r="30" spans="14:14" x14ac:dyDescent="0.25">
      <c r="N30" s="51" t="s">
        <v>249</v>
      </c>
    </row>
    <row r="31" spans="14:14" x14ac:dyDescent="0.25">
      <c r="N31" s="51" t="s">
        <v>248</v>
      </c>
    </row>
    <row r="32" spans="14:14" x14ac:dyDescent="0.25">
      <c r="N32" s="51" t="s">
        <v>247</v>
      </c>
    </row>
    <row r="33" spans="14:14" x14ac:dyDescent="0.25">
      <c r="N33" s="51" t="s">
        <v>246</v>
      </c>
    </row>
    <row r="34" spans="14:14" x14ac:dyDescent="0.25">
      <c r="N34" s="51" t="s">
        <v>245</v>
      </c>
    </row>
    <row r="35" spans="14:14" x14ac:dyDescent="0.25">
      <c r="N35" s="51" t="s">
        <v>244</v>
      </c>
    </row>
    <row r="36" spans="14:14" x14ac:dyDescent="0.25">
      <c r="N36" s="51" t="s">
        <v>243</v>
      </c>
    </row>
    <row r="37" spans="14:14" x14ac:dyDescent="0.25">
      <c r="N37" s="51" t="s">
        <v>242</v>
      </c>
    </row>
    <row r="38" spans="14:14" x14ac:dyDescent="0.25">
      <c r="N38" s="51" t="s">
        <v>241</v>
      </c>
    </row>
    <row r="39" spans="14:14" x14ac:dyDescent="0.25">
      <c r="N39" s="51" t="s">
        <v>240</v>
      </c>
    </row>
    <row r="40" spans="14:14" x14ac:dyDescent="0.25">
      <c r="N40" s="51" t="s">
        <v>239</v>
      </c>
    </row>
    <row r="41" spans="14:14" x14ac:dyDescent="0.25">
      <c r="N41" s="51" t="s">
        <v>238</v>
      </c>
    </row>
    <row r="42" spans="14:14" x14ac:dyDescent="0.25">
      <c r="N42" s="51" t="s">
        <v>237</v>
      </c>
    </row>
    <row r="43" spans="14:14" x14ac:dyDescent="0.25">
      <c r="N43" s="51" t="s">
        <v>236</v>
      </c>
    </row>
    <row r="44" spans="14:14" x14ac:dyDescent="0.25">
      <c r="N44" s="51" t="s">
        <v>235</v>
      </c>
    </row>
    <row r="45" spans="14:14" x14ac:dyDescent="0.25">
      <c r="N45" s="51" t="s">
        <v>234</v>
      </c>
    </row>
    <row r="46" spans="14:14" x14ac:dyDescent="0.25">
      <c r="N46" s="51" t="s">
        <v>233</v>
      </c>
    </row>
    <row r="47" spans="14:14" x14ac:dyDescent="0.25">
      <c r="N47" s="51" t="s">
        <v>232</v>
      </c>
    </row>
    <row r="48" spans="14:14" x14ac:dyDescent="0.25">
      <c r="N48" s="51" t="s">
        <v>231</v>
      </c>
    </row>
    <row r="49" spans="14:14" x14ac:dyDescent="0.25">
      <c r="N49" s="51" t="s">
        <v>230</v>
      </c>
    </row>
    <row r="50" spans="14:14" x14ac:dyDescent="0.25">
      <c r="N50" s="51" t="s">
        <v>229</v>
      </c>
    </row>
    <row r="51" spans="14:14" x14ac:dyDescent="0.25">
      <c r="N51" s="51" t="s">
        <v>228</v>
      </c>
    </row>
    <row r="52" spans="14:14" x14ac:dyDescent="0.25">
      <c r="N52" s="51" t="s">
        <v>227</v>
      </c>
    </row>
  </sheetData>
  <sheetProtection algorithmName="SHA-512" hashValue="YQy6NmCowU2qC4b5mnNJ1x6TNF4+vC3Oxiu5zIZRTFws5sQy8yz+9taBRoffMZm/Qp5kzWlSqFcAhShqtXQJmQ==" saltValue="wDo2fZoeQ+WMpXf3OCwdNA==" spinCount="100000" sheet="1" objects="1" scenarios="1" selectLockedCells="1" selectUnlockedCells="1"/>
  <mergeCells count="4">
    <mergeCell ref="A1:C1"/>
    <mergeCell ref="D1:F1"/>
    <mergeCell ref="G1:I1"/>
    <mergeCell ref="U1:V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BF644-A7BB-4DE1-9212-1EC69EDF0723}">
  <sheetPr codeName="Sheet4">
    <tabColor theme="5" tint="0.39997558519241921"/>
  </sheetPr>
  <dimension ref="C3:S43"/>
  <sheetViews>
    <sheetView showGridLines="0" zoomScale="80" zoomScaleNormal="80" workbookViewId="0">
      <selection activeCell="M26" sqref="M26:S26"/>
    </sheetView>
  </sheetViews>
  <sheetFormatPr defaultColWidth="9.140625" defaultRowHeight="12.75" x14ac:dyDescent="0.2"/>
  <cols>
    <col min="1" max="2" width="16" style="504" customWidth="1"/>
    <col min="3" max="19" width="14.28515625" style="504" customWidth="1"/>
    <col min="20" max="16384" width="9.140625" style="504"/>
  </cols>
  <sheetData>
    <row r="3" spans="3:19" x14ac:dyDescent="0.2">
      <c r="C3" s="884" t="s">
        <v>1963</v>
      </c>
      <c r="D3" s="885"/>
      <c r="E3" s="885"/>
      <c r="F3" s="885"/>
      <c r="G3" s="885"/>
      <c r="H3" s="885"/>
      <c r="I3" s="885"/>
      <c r="J3" s="886"/>
      <c r="L3" s="884" t="s">
        <v>1963</v>
      </c>
      <c r="M3" s="885"/>
      <c r="N3" s="885"/>
      <c r="O3" s="885"/>
      <c r="P3" s="885"/>
      <c r="Q3" s="885"/>
      <c r="R3" s="885"/>
      <c r="S3" s="886"/>
    </row>
    <row r="4" spans="3:19" ht="15" customHeight="1" x14ac:dyDescent="0.2">
      <c r="C4" s="947" t="s">
        <v>1632</v>
      </c>
      <c r="D4" s="949" t="s">
        <v>1641</v>
      </c>
      <c r="E4" s="949" t="s">
        <v>1674</v>
      </c>
      <c r="F4" s="949" t="s">
        <v>1673</v>
      </c>
      <c r="G4" s="949" t="s">
        <v>2093</v>
      </c>
      <c r="H4" s="949" t="s">
        <v>2094</v>
      </c>
      <c r="I4" s="949" t="s">
        <v>2095</v>
      </c>
      <c r="J4" s="951" t="s">
        <v>1669</v>
      </c>
      <c r="L4" s="947" t="s">
        <v>1632</v>
      </c>
      <c r="M4" s="949" t="s">
        <v>1641</v>
      </c>
      <c r="N4" s="949" t="s">
        <v>1674</v>
      </c>
      <c r="O4" s="949" t="s">
        <v>1673</v>
      </c>
      <c r="P4" s="949" t="s">
        <v>2093</v>
      </c>
      <c r="Q4" s="949" t="s">
        <v>2094</v>
      </c>
      <c r="R4" s="949" t="s">
        <v>2095</v>
      </c>
      <c r="S4" s="951" t="s">
        <v>1669</v>
      </c>
    </row>
    <row r="5" spans="3:19" ht="15" customHeight="1" x14ac:dyDescent="0.2">
      <c r="C5" s="948"/>
      <c r="D5" s="950"/>
      <c r="E5" s="950"/>
      <c r="F5" s="950"/>
      <c r="G5" s="950"/>
      <c r="H5" s="950"/>
      <c r="I5" s="950"/>
      <c r="J5" s="952"/>
      <c r="L5" s="948"/>
      <c r="M5" s="950"/>
      <c r="N5" s="950"/>
      <c r="O5" s="950"/>
      <c r="P5" s="950"/>
      <c r="Q5" s="950"/>
      <c r="R5" s="950"/>
      <c r="S5" s="952"/>
    </row>
    <row r="6" spans="3:19" x14ac:dyDescent="0.2">
      <c r="C6" s="388"/>
      <c r="D6" s="389"/>
      <c r="E6" s="387"/>
      <c r="F6" s="355"/>
      <c r="G6" s="356"/>
      <c r="H6" s="356"/>
      <c r="I6" s="361"/>
      <c r="J6" s="361"/>
      <c r="L6" s="388"/>
      <c r="M6" s="389"/>
      <c r="N6" s="387"/>
      <c r="O6" s="355"/>
      <c r="P6" s="356"/>
      <c r="Q6" s="356"/>
      <c r="R6" s="361"/>
      <c r="S6" s="361"/>
    </row>
    <row r="7" spans="3:19" x14ac:dyDescent="0.2">
      <c r="C7" s="388"/>
      <c r="D7" s="389"/>
      <c r="E7" s="387"/>
      <c r="F7" s="355"/>
      <c r="G7" s="356"/>
      <c r="H7" s="356"/>
      <c r="I7" s="361"/>
      <c r="J7" s="361"/>
      <c r="L7" s="388"/>
      <c r="M7" s="389"/>
      <c r="N7" s="387"/>
      <c r="O7" s="355"/>
      <c r="P7" s="356"/>
      <c r="Q7" s="356"/>
      <c r="R7" s="361"/>
      <c r="S7" s="361"/>
    </row>
    <row r="8" spans="3:19" x14ac:dyDescent="0.2">
      <c r="C8" s="388"/>
      <c r="D8" s="389"/>
      <c r="E8" s="387"/>
      <c r="F8" s="355"/>
      <c r="G8" s="356"/>
      <c r="H8" s="356"/>
      <c r="I8" s="361"/>
      <c r="J8" s="361"/>
      <c r="L8" s="388"/>
      <c r="M8" s="389"/>
      <c r="N8" s="387"/>
      <c r="O8" s="355"/>
      <c r="P8" s="356"/>
      <c r="Q8" s="356"/>
      <c r="R8" s="361"/>
      <c r="S8" s="361"/>
    </row>
    <row r="9" spans="3:19" x14ac:dyDescent="0.2">
      <c r="C9" s="388"/>
      <c r="D9" s="389"/>
      <c r="E9" s="387"/>
      <c r="F9" s="355"/>
      <c r="G9" s="356"/>
      <c r="H9" s="356"/>
      <c r="I9" s="361"/>
      <c r="J9" s="361"/>
      <c r="L9" s="388"/>
      <c r="M9" s="389"/>
      <c r="N9" s="387"/>
      <c r="O9" s="355"/>
      <c r="P9" s="356"/>
      <c r="Q9" s="356"/>
      <c r="R9" s="361"/>
      <c r="S9" s="361"/>
    </row>
    <row r="10" spans="3:19" x14ac:dyDescent="0.2">
      <c r="C10" s="388"/>
      <c r="D10" s="389"/>
      <c r="E10" s="387"/>
      <c r="F10" s="355"/>
      <c r="G10" s="356"/>
      <c r="H10" s="356"/>
      <c r="I10" s="361"/>
      <c r="J10" s="361"/>
      <c r="L10" s="388"/>
      <c r="M10" s="389"/>
      <c r="N10" s="387"/>
      <c r="O10" s="355"/>
      <c r="P10" s="356"/>
      <c r="Q10" s="356"/>
      <c r="R10" s="361"/>
      <c r="S10" s="361"/>
    </row>
    <row r="11" spans="3:19" x14ac:dyDescent="0.2">
      <c r="C11" s="388"/>
      <c r="D11" s="389"/>
      <c r="E11" s="387"/>
      <c r="F11" s="355"/>
      <c r="G11" s="356"/>
      <c r="H11" s="356"/>
      <c r="I11" s="361"/>
      <c r="J11" s="361"/>
      <c r="L11" s="388"/>
      <c r="M11" s="389"/>
      <c r="N11" s="387"/>
      <c r="O11" s="355"/>
      <c r="P11" s="356"/>
      <c r="Q11" s="356"/>
      <c r="R11" s="361"/>
      <c r="S11" s="361"/>
    </row>
    <row r="12" spans="3:19" x14ac:dyDescent="0.2">
      <c r="C12" s="388"/>
      <c r="D12" s="389"/>
      <c r="E12" s="387"/>
      <c r="F12" s="355"/>
      <c r="G12" s="356"/>
      <c r="H12" s="356"/>
      <c r="I12" s="361"/>
      <c r="J12" s="361"/>
      <c r="L12" s="388"/>
      <c r="M12" s="389"/>
      <c r="N12" s="387"/>
      <c r="O12" s="355"/>
      <c r="P12" s="356"/>
      <c r="Q12" s="356"/>
      <c r="R12" s="361"/>
      <c r="S12" s="361"/>
    </row>
    <row r="13" spans="3:19" x14ac:dyDescent="0.2">
      <c r="C13" s="388"/>
      <c r="D13" s="389"/>
      <c r="E13" s="387"/>
      <c r="F13" s="355"/>
      <c r="G13" s="356"/>
      <c r="H13" s="356"/>
      <c r="I13" s="361"/>
      <c r="J13" s="361"/>
      <c r="L13" s="388"/>
      <c r="M13" s="389"/>
      <c r="N13" s="387"/>
      <c r="O13" s="355"/>
      <c r="P13" s="356"/>
      <c r="Q13" s="356"/>
      <c r="R13" s="361"/>
      <c r="S13" s="361"/>
    </row>
    <row r="14" spans="3:19" x14ac:dyDescent="0.2">
      <c r="C14" s="388"/>
      <c r="D14" s="389"/>
      <c r="E14" s="387"/>
      <c r="F14" s="355"/>
      <c r="G14" s="356"/>
      <c r="H14" s="356"/>
      <c r="I14" s="361"/>
      <c r="J14" s="361"/>
      <c r="L14" s="388"/>
      <c r="M14" s="389"/>
      <c r="N14" s="387"/>
      <c r="O14" s="355"/>
      <c r="P14" s="356"/>
      <c r="Q14" s="356"/>
      <c r="R14" s="361"/>
      <c r="S14" s="361"/>
    </row>
    <row r="15" spans="3:19" x14ac:dyDescent="0.2">
      <c r="C15" s="388"/>
      <c r="D15" s="389"/>
      <c r="E15" s="387"/>
      <c r="F15" s="355"/>
      <c r="G15" s="356"/>
      <c r="H15" s="356"/>
      <c r="I15" s="361"/>
      <c r="J15" s="361"/>
      <c r="L15" s="388"/>
      <c r="M15" s="389"/>
      <c r="N15" s="387"/>
      <c r="O15" s="355"/>
      <c r="P15" s="356"/>
      <c r="Q15" s="356"/>
      <c r="R15" s="361"/>
      <c r="S15" s="361"/>
    </row>
    <row r="16" spans="3:19" x14ac:dyDescent="0.2">
      <c r="C16" s="388"/>
      <c r="D16" s="389"/>
      <c r="E16" s="387"/>
      <c r="F16" s="355"/>
      <c r="G16" s="356"/>
      <c r="H16" s="356"/>
      <c r="I16" s="361"/>
      <c r="J16" s="361"/>
      <c r="L16" s="388"/>
      <c r="M16" s="389"/>
      <c r="N16" s="387"/>
      <c r="O16" s="355"/>
      <c r="P16" s="356"/>
      <c r="Q16" s="356"/>
      <c r="R16" s="361"/>
      <c r="S16" s="361"/>
    </row>
    <row r="17" spans="3:19" x14ac:dyDescent="0.2">
      <c r="C17" s="388"/>
      <c r="D17" s="389"/>
      <c r="E17" s="387"/>
      <c r="F17" s="355"/>
      <c r="G17" s="356"/>
      <c r="H17" s="356"/>
      <c r="I17" s="361"/>
      <c r="J17" s="361"/>
      <c r="L17" s="388"/>
      <c r="M17" s="389"/>
      <c r="N17" s="387"/>
      <c r="O17" s="355"/>
      <c r="P17" s="356"/>
      <c r="Q17" s="356"/>
      <c r="R17" s="361"/>
      <c r="S17" s="361"/>
    </row>
    <row r="18" spans="3:19" x14ac:dyDescent="0.2">
      <c r="C18" s="388"/>
      <c r="D18" s="389"/>
      <c r="E18" s="387"/>
      <c r="F18" s="355"/>
      <c r="G18" s="356"/>
      <c r="H18" s="356"/>
      <c r="I18" s="361"/>
      <c r="J18" s="361"/>
      <c r="L18" s="388"/>
      <c r="M18" s="389"/>
      <c r="N18" s="387"/>
      <c r="O18" s="355"/>
      <c r="P18" s="356"/>
      <c r="Q18" s="356"/>
      <c r="R18" s="361"/>
      <c r="S18" s="361"/>
    </row>
    <row r="19" spans="3:19" x14ac:dyDescent="0.2">
      <c r="C19" s="388"/>
      <c r="D19" s="389"/>
      <c r="E19" s="387"/>
      <c r="F19" s="355"/>
      <c r="G19" s="356"/>
      <c r="H19" s="356"/>
      <c r="I19" s="361"/>
      <c r="J19" s="361"/>
      <c r="L19" s="388"/>
      <c r="M19" s="389"/>
      <c r="N19" s="387"/>
      <c r="O19" s="355"/>
      <c r="P19" s="356"/>
      <c r="Q19" s="356"/>
      <c r="R19" s="361"/>
      <c r="S19" s="361"/>
    </row>
    <row r="20" spans="3:19" x14ac:dyDescent="0.2">
      <c r="C20" s="388"/>
      <c r="D20" s="389"/>
      <c r="E20" s="387"/>
      <c r="F20" s="355"/>
      <c r="G20" s="356"/>
      <c r="H20" s="356"/>
      <c r="I20" s="361"/>
      <c r="J20" s="361"/>
      <c r="L20" s="388"/>
      <c r="M20" s="389"/>
      <c r="N20" s="387"/>
      <c r="O20" s="355"/>
      <c r="P20" s="356"/>
      <c r="Q20" s="356"/>
      <c r="R20" s="361"/>
      <c r="S20" s="361"/>
    </row>
    <row r="21" spans="3:19" x14ac:dyDescent="0.2">
      <c r="C21" s="388"/>
      <c r="D21" s="389"/>
      <c r="E21" s="387"/>
      <c r="F21" s="355"/>
      <c r="G21" s="356"/>
      <c r="H21" s="356"/>
      <c r="I21" s="361"/>
      <c r="J21" s="361"/>
      <c r="L21" s="388"/>
      <c r="M21" s="389"/>
      <c r="N21" s="387"/>
      <c r="O21" s="355"/>
      <c r="P21" s="356"/>
      <c r="Q21" s="356"/>
      <c r="R21" s="361"/>
      <c r="S21" s="361"/>
    </row>
    <row r="22" spans="3:19" x14ac:dyDescent="0.2">
      <c r="C22" s="388"/>
      <c r="D22" s="389"/>
      <c r="E22" s="387"/>
      <c r="F22" s="355"/>
      <c r="G22" s="356"/>
      <c r="H22" s="356"/>
      <c r="I22" s="361"/>
      <c r="J22" s="361"/>
      <c r="L22" s="388"/>
      <c r="M22" s="389"/>
      <c r="N22" s="387"/>
      <c r="O22" s="355"/>
      <c r="P22" s="356"/>
      <c r="Q22" s="356"/>
      <c r="R22" s="361"/>
      <c r="S22" s="361"/>
    </row>
    <row r="23" spans="3:19" x14ac:dyDescent="0.2">
      <c r="C23" s="355"/>
      <c r="D23" s="355"/>
      <c r="E23" s="355"/>
      <c r="F23" s="355"/>
      <c r="G23" s="355"/>
      <c r="H23" s="355"/>
      <c r="I23" s="355"/>
      <c r="J23" s="355"/>
      <c r="L23" s="355"/>
      <c r="M23" s="355"/>
      <c r="N23" s="355"/>
      <c r="O23" s="355"/>
      <c r="P23" s="355"/>
      <c r="Q23" s="355"/>
      <c r="R23" s="355"/>
      <c r="S23" s="355"/>
    </row>
    <row r="24" spans="3:19" x14ac:dyDescent="0.2">
      <c r="C24" s="884" t="s">
        <v>1644</v>
      </c>
      <c r="D24" s="885"/>
      <c r="E24" s="885"/>
      <c r="F24" s="885"/>
      <c r="G24" s="885"/>
      <c r="H24" s="885"/>
      <c r="I24" s="885"/>
      <c r="J24" s="886"/>
      <c r="L24" s="884" t="s">
        <v>1644</v>
      </c>
      <c r="M24" s="885"/>
      <c r="N24" s="885"/>
      <c r="O24" s="885"/>
      <c r="P24" s="885"/>
      <c r="Q24" s="885"/>
      <c r="R24" s="885"/>
      <c r="S24" s="886"/>
    </row>
    <row r="25" spans="3:19" x14ac:dyDescent="0.2">
      <c r="C25" s="505" t="s">
        <v>1641</v>
      </c>
      <c r="D25" s="398" t="s">
        <v>1640</v>
      </c>
      <c r="E25" s="398" t="s">
        <v>1639</v>
      </c>
      <c r="F25" s="398" t="s">
        <v>1638</v>
      </c>
      <c r="G25" s="398" t="s">
        <v>1637</v>
      </c>
      <c r="H25" s="398" t="s">
        <v>1636</v>
      </c>
      <c r="I25" s="398" t="s">
        <v>1635</v>
      </c>
      <c r="J25" s="385" t="s">
        <v>1634</v>
      </c>
      <c r="L25" s="505" t="s">
        <v>1641</v>
      </c>
      <c r="M25" s="398" t="s">
        <v>1640</v>
      </c>
      <c r="N25" s="398" t="s">
        <v>1639</v>
      </c>
      <c r="O25" s="398" t="s">
        <v>1638</v>
      </c>
      <c r="P25" s="398" t="s">
        <v>1637</v>
      </c>
      <c r="Q25" s="398" t="s">
        <v>1636</v>
      </c>
      <c r="R25" s="398" t="s">
        <v>1635</v>
      </c>
      <c r="S25" s="385" t="s">
        <v>1634</v>
      </c>
    </row>
    <row r="26" spans="3:19" x14ac:dyDescent="0.2">
      <c r="C26" s="382" t="s">
        <v>1632</v>
      </c>
      <c r="D26" s="506"/>
      <c r="E26" s="506"/>
      <c r="F26" s="506"/>
      <c r="G26" s="506"/>
      <c r="H26" s="506"/>
      <c r="I26" s="506"/>
      <c r="J26" s="507"/>
      <c r="L26" s="382" t="s">
        <v>1632</v>
      </c>
      <c r="M26" s="506"/>
      <c r="N26" s="506"/>
      <c r="O26" s="506"/>
      <c r="P26" s="506"/>
      <c r="Q26" s="506"/>
      <c r="R26" s="506"/>
      <c r="S26" s="507"/>
    </row>
    <row r="27" spans="3:19" x14ac:dyDescent="0.2">
      <c r="C27" s="388"/>
      <c r="D27" s="387"/>
      <c r="E27" s="387"/>
      <c r="F27" s="387"/>
      <c r="G27" s="387"/>
      <c r="H27" s="387"/>
      <c r="I27" s="387"/>
      <c r="J27" s="387"/>
      <c r="L27" s="388"/>
      <c r="M27" s="387"/>
      <c r="N27" s="387"/>
      <c r="O27" s="387"/>
      <c r="P27" s="387"/>
      <c r="Q27" s="387"/>
      <c r="R27" s="387"/>
      <c r="S27" s="387"/>
    </row>
    <row r="28" spans="3:19" x14ac:dyDescent="0.2">
      <c r="C28" s="388"/>
      <c r="D28" s="387"/>
      <c r="E28" s="387"/>
      <c r="F28" s="387"/>
      <c r="G28" s="387"/>
      <c r="H28" s="387"/>
      <c r="I28" s="387"/>
      <c r="J28" s="387"/>
      <c r="L28" s="388"/>
      <c r="M28" s="387"/>
      <c r="N28" s="387"/>
      <c r="O28" s="387"/>
      <c r="P28" s="387"/>
      <c r="Q28" s="387"/>
      <c r="R28" s="387"/>
      <c r="S28" s="387"/>
    </row>
    <row r="29" spans="3:19" x14ac:dyDescent="0.2">
      <c r="C29" s="388"/>
      <c r="D29" s="387"/>
      <c r="E29" s="387"/>
      <c r="F29" s="387"/>
      <c r="G29" s="387"/>
      <c r="H29" s="387"/>
      <c r="I29" s="387"/>
      <c r="J29" s="387"/>
      <c r="L29" s="388"/>
      <c r="M29" s="387"/>
      <c r="N29" s="387"/>
      <c r="O29" s="387"/>
      <c r="P29" s="387"/>
      <c r="Q29" s="387"/>
      <c r="R29" s="387"/>
      <c r="S29" s="387"/>
    </row>
    <row r="30" spans="3:19" x14ac:dyDescent="0.2">
      <c r="C30" s="388"/>
      <c r="D30" s="387"/>
      <c r="E30" s="387"/>
      <c r="F30" s="387"/>
      <c r="G30" s="387"/>
      <c r="H30" s="387"/>
      <c r="I30" s="387"/>
      <c r="J30" s="387"/>
      <c r="L30" s="388"/>
      <c r="M30" s="387"/>
      <c r="N30" s="387"/>
      <c r="O30" s="387"/>
      <c r="P30" s="387"/>
      <c r="Q30" s="387"/>
      <c r="R30" s="387"/>
      <c r="S30" s="387"/>
    </row>
    <row r="31" spans="3:19" x14ac:dyDescent="0.2">
      <c r="C31" s="388"/>
      <c r="D31" s="387"/>
      <c r="E31" s="387"/>
      <c r="F31" s="387"/>
      <c r="G31" s="387"/>
      <c r="H31" s="387"/>
      <c r="I31" s="387"/>
      <c r="J31" s="387"/>
      <c r="L31" s="388"/>
      <c r="M31" s="387"/>
      <c r="N31" s="387"/>
      <c r="O31" s="387"/>
      <c r="P31" s="387"/>
      <c r="Q31" s="387"/>
      <c r="R31" s="387"/>
      <c r="S31" s="387"/>
    </row>
    <row r="32" spans="3:19" x14ac:dyDescent="0.2">
      <c r="C32" s="388"/>
      <c r="D32" s="387"/>
      <c r="E32" s="387"/>
      <c r="F32" s="387"/>
      <c r="G32" s="387"/>
      <c r="H32" s="387"/>
      <c r="I32" s="387"/>
      <c r="J32" s="387"/>
      <c r="L32" s="388"/>
      <c r="M32" s="387"/>
      <c r="N32" s="387"/>
      <c r="O32" s="387"/>
      <c r="P32" s="387"/>
      <c r="Q32" s="387"/>
      <c r="R32" s="387"/>
      <c r="S32" s="387"/>
    </row>
    <row r="33" spans="3:19" x14ac:dyDescent="0.2">
      <c r="C33" s="388"/>
      <c r="D33" s="387"/>
      <c r="E33" s="387"/>
      <c r="F33" s="387"/>
      <c r="G33" s="387"/>
      <c r="H33" s="387"/>
      <c r="I33" s="387"/>
      <c r="J33" s="387"/>
      <c r="L33" s="388"/>
      <c r="M33" s="387"/>
      <c r="N33" s="387"/>
      <c r="O33" s="387"/>
      <c r="P33" s="387"/>
      <c r="Q33" s="387"/>
      <c r="R33" s="387"/>
      <c r="S33" s="387"/>
    </row>
    <row r="34" spans="3:19" x14ac:dyDescent="0.2">
      <c r="C34" s="388"/>
      <c r="D34" s="387"/>
      <c r="E34" s="387"/>
      <c r="F34" s="387"/>
      <c r="G34" s="387"/>
      <c r="H34" s="387"/>
      <c r="I34" s="387"/>
      <c r="J34" s="387"/>
      <c r="L34" s="388"/>
      <c r="M34" s="387"/>
      <c r="N34" s="387"/>
      <c r="O34" s="387"/>
      <c r="P34" s="387"/>
      <c r="Q34" s="387"/>
      <c r="R34" s="387"/>
      <c r="S34" s="387"/>
    </row>
    <row r="35" spans="3:19" x14ac:dyDescent="0.2">
      <c r="C35" s="388"/>
      <c r="D35" s="387"/>
      <c r="E35" s="387"/>
      <c r="F35" s="387"/>
      <c r="G35" s="387"/>
      <c r="H35" s="387"/>
      <c r="I35" s="387"/>
      <c r="J35" s="387"/>
      <c r="L35" s="388"/>
      <c r="M35" s="387"/>
      <c r="N35" s="387"/>
      <c r="O35" s="387"/>
      <c r="P35" s="387"/>
      <c r="Q35" s="387"/>
      <c r="R35" s="387"/>
      <c r="S35" s="387"/>
    </row>
    <row r="36" spans="3:19" x14ac:dyDescent="0.2">
      <c r="C36" s="388"/>
      <c r="D36" s="387"/>
      <c r="E36" s="387"/>
      <c r="F36" s="387"/>
      <c r="G36" s="387"/>
      <c r="H36" s="387"/>
      <c r="I36" s="387"/>
      <c r="J36" s="387"/>
      <c r="L36" s="388"/>
      <c r="M36" s="387"/>
      <c r="N36" s="387"/>
      <c r="O36" s="387"/>
      <c r="P36" s="387"/>
      <c r="Q36" s="387"/>
      <c r="R36" s="387"/>
      <c r="S36" s="387"/>
    </row>
    <row r="37" spans="3:19" x14ac:dyDescent="0.2">
      <c r="C37" s="388"/>
      <c r="D37" s="387"/>
      <c r="E37" s="387"/>
      <c r="F37" s="387"/>
      <c r="G37" s="387"/>
      <c r="H37" s="387"/>
      <c r="I37" s="387"/>
      <c r="J37" s="387"/>
      <c r="L37" s="388"/>
      <c r="M37" s="387"/>
      <c r="N37" s="387"/>
      <c r="O37" s="387"/>
      <c r="P37" s="387"/>
      <c r="Q37" s="387"/>
      <c r="R37" s="387"/>
      <c r="S37" s="387"/>
    </row>
    <row r="38" spans="3:19" x14ac:dyDescent="0.2">
      <c r="C38" s="388"/>
      <c r="D38" s="387"/>
      <c r="E38" s="387"/>
      <c r="F38" s="387"/>
      <c r="G38" s="387"/>
      <c r="H38" s="387"/>
      <c r="I38" s="387"/>
      <c r="J38" s="387"/>
      <c r="L38" s="388"/>
      <c r="M38" s="387"/>
      <c r="N38" s="387"/>
      <c r="O38" s="387"/>
      <c r="P38" s="387"/>
      <c r="Q38" s="387"/>
      <c r="R38" s="387"/>
      <c r="S38" s="387"/>
    </row>
    <row r="39" spans="3:19" x14ac:dyDescent="0.2">
      <c r="C39" s="388"/>
      <c r="D39" s="387"/>
      <c r="E39" s="387"/>
      <c r="F39" s="387"/>
      <c r="G39" s="387"/>
      <c r="H39" s="387"/>
      <c r="I39" s="387"/>
      <c r="J39" s="387"/>
      <c r="L39" s="388"/>
      <c r="M39" s="387"/>
      <c r="N39" s="387"/>
      <c r="O39" s="387"/>
      <c r="P39" s="387"/>
      <c r="Q39" s="387"/>
      <c r="R39" s="387"/>
      <c r="S39" s="387"/>
    </row>
    <row r="40" spans="3:19" x14ac:dyDescent="0.2">
      <c r="C40" s="388"/>
      <c r="D40" s="387"/>
      <c r="E40" s="387"/>
      <c r="F40" s="387"/>
      <c r="G40" s="387"/>
      <c r="H40" s="387"/>
      <c r="I40" s="387"/>
      <c r="J40" s="387"/>
      <c r="L40" s="388"/>
      <c r="M40" s="387"/>
      <c r="N40" s="387"/>
      <c r="O40" s="387"/>
      <c r="P40" s="387"/>
      <c r="Q40" s="387"/>
      <c r="R40" s="387"/>
      <c r="S40" s="387"/>
    </row>
    <row r="41" spans="3:19" x14ac:dyDescent="0.2">
      <c r="C41" s="388"/>
      <c r="D41" s="387"/>
      <c r="E41" s="387"/>
      <c r="F41" s="387"/>
      <c r="G41" s="387"/>
      <c r="H41" s="387"/>
      <c r="I41" s="387"/>
      <c r="J41" s="387"/>
      <c r="L41" s="388"/>
      <c r="M41" s="387"/>
      <c r="N41" s="387"/>
      <c r="O41" s="387"/>
      <c r="P41" s="387"/>
      <c r="Q41" s="387"/>
      <c r="R41" s="387"/>
      <c r="S41" s="387"/>
    </row>
    <row r="42" spans="3:19" x14ac:dyDescent="0.2">
      <c r="C42" s="388"/>
      <c r="D42" s="387"/>
      <c r="E42" s="387"/>
      <c r="F42" s="387"/>
      <c r="G42" s="387"/>
      <c r="H42" s="387"/>
      <c r="I42" s="387"/>
      <c r="J42" s="387"/>
      <c r="L42" s="388"/>
      <c r="M42" s="387"/>
      <c r="N42" s="387"/>
      <c r="O42" s="387"/>
      <c r="P42" s="387"/>
      <c r="Q42" s="387"/>
      <c r="R42" s="387"/>
      <c r="S42" s="387"/>
    </row>
    <row r="43" spans="3:19" x14ac:dyDescent="0.2">
      <c r="C43" s="388"/>
      <c r="D43" s="387"/>
      <c r="E43" s="387"/>
      <c r="F43" s="387"/>
      <c r="G43" s="387"/>
      <c r="H43" s="387"/>
      <c r="I43" s="387"/>
      <c r="J43" s="387"/>
      <c r="L43" s="388"/>
      <c r="M43" s="387"/>
      <c r="N43" s="387"/>
      <c r="O43" s="387"/>
      <c r="P43" s="387"/>
      <c r="Q43" s="387"/>
      <c r="R43" s="387"/>
      <c r="S43" s="387"/>
    </row>
  </sheetData>
  <mergeCells count="20">
    <mergeCell ref="C24:J24"/>
    <mergeCell ref="C3:J3"/>
    <mergeCell ref="C4:C5"/>
    <mergeCell ref="D4:D5"/>
    <mergeCell ref="E4:E5"/>
    <mergeCell ref="F4:F5"/>
    <mergeCell ref="G4:G5"/>
    <mergeCell ref="H4:H5"/>
    <mergeCell ref="I4:I5"/>
    <mergeCell ref="J4:J5"/>
    <mergeCell ref="L24:S24"/>
    <mergeCell ref="L3:S3"/>
    <mergeCell ref="L4:L5"/>
    <mergeCell ref="M4:M5"/>
    <mergeCell ref="N4:N5"/>
    <mergeCell ref="O4:O5"/>
    <mergeCell ref="P4:P5"/>
    <mergeCell ref="Q4:Q5"/>
    <mergeCell ref="R4:R5"/>
    <mergeCell ref="S4:S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learDSCRQS">
                <anchor moveWithCells="1" sizeWithCells="1">
                  <from>
                    <xdr:col>0</xdr:col>
                    <xdr:colOff>104775</xdr:colOff>
                    <xdr:row>0</xdr:row>
                    <xdr:rowOff>142875</xdr:rowOff>
                  </from>
                  <to>
                    <xdr:col>1</xdr:col>
                    <xdr:colOff>952500</xdr:colOff>
                    <xdr:row>7</xdr:row>
                    <xdr:rowOff>142875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EAE7F-5CE8-4A63-898F-C72CD00F982C}">
  <sheetPr codeName="Sheet21">
    <tabColor theme="5" tint="0.59999389629810485"/>
  </sheetPr>
  <dimension ref="B3:R49"/>
  <sheetViews>
    <sheetView zoomScale="80" zoomScaleNormal="80" workbookViewId="0">
      <selection activeCell="L5" sqref="L5:R5"/>
    </sheetView>
  </sheetViews>
  <sheetFormatPr defaultColWidth="9.140625" defaultRowHeight="12.75" x14ac:dyDescent="0.2"/>
  <cols>
    <col min="1" max="1" width="6.85546875" style="504" customWidth="1"/>
    <col min="2" max="9" width="15.28515625" style="504" customWidth="1"/>
    <col min="10" max="10" width="9.140625" style="504"/>
    <col min="11" max="18" width="15.28515625" style="504" customWidth="1"/>
    <col min="19" max="16384" width="9.140625" style="504"/>
  </cols>
  <sheetData>
    <row r="3" spans="2:18" x14ac:dyDescent="0.2">
      <c r="B3" s="884" t="s">
        <v>1963</v>
      </c>
      <c r="C3" s="885"/>
      <c r="D3" s="885"/>
      <c r="E3" s="885"/>
      <c r="F3" s="885"/>
      <c r="G3" s="885"/>
      <c r="H3" s="885"/>
      <c r="I3" s="886"/>
      <c r="K3" s="884" t="s">
        <v>2092</v>
      </c>
      <c r="L3" s="885"/>
      <c r="M3" s="885"/>
      <c r="N3" s="885"/>
      <c r="O3" s="885"/>
      <c r="P3" s="885"/>
      <c r="Q3" s="885"/>
      <c r="R3" s="886"/>
    </row>
    <row r="4" spans="2:18" ht="12.75" customHeight="1" x14ac:dyDescent="0.2">
      <c r="B4" s="947" t="s">
        <v>1632</v>
      </c>
      <c r="C4" s="949" t="s">
        <v>1641</v>
      </c>
      <c r="D4" s="949" t="s">
        <v>1674</v>
      </c>
      <c r="E4" s="949" t="s">
        <v>1673</v>
      </c>
      <c r="F4" s="949" t="s">
        <v>1989</v>
      </c>
      <c r="G4" s="949" t="s">
        <v>1969</v>
      </c>
      <c r="H4" s="949" t="s">
        <v>1700</v>
      </c>
      <c r="I4" s="951" t="s">
        <v>1669</v>
      </c>
      <c r="K4" s="398" t="s">
        <v>2000</v>
      </c>
      <c r="L4" s="398" t="s">
        <v>1640</v>
      </c>
      <c r="M4" s="398" t="s">
        <v>1639</v>
      </c>
      <c r="N4" s="398" t="s">
        <v>1638</v>
      </c>
      <c r="O4" s="398" t="s">
        <v>1637</v>
      </c>
      <c r="P4" s="398" t="s">
        <v>1636</v>
      </c>
      <c r="Q4" s="398" t="s">
        <v>1635</v>
      </c>
      <c r="R4" s="398" t="s">
        <v>1634</v>
      </c>
    </row>
    <row r="5" spans="2:18" x14ac:dyDescent="0.2">
      <c r="B5" s="948"/>
      <c r="C5" s="950"/>
      <c r="D5" s="950"/>
      <c r="E5" s="950"/>
      <c r="F5" s="950"/>
      <c r="G5" s="950"/>
      <c r="H5" s="950"/>
      <c r="I5" s="952"/>
      <c r="K5" s="398" t="s">
        <v>109</v>
      </c>
      <c r="L5" s="397"/>
      <c r="M5" s="397"/>
      <c r="N5" s="397"/>
      <c r="O5" s="397"/>
      <c r="P5" s="397"/>
      <c r="Q5" s="397"/>
      <c r="R5" s="397"/>
    </row>
    <row r="6" spans="2:18" x14ac:dyDescent="0.2">
      <c r="B6" s="388"/>
      <c r="C6" s="389"/>
      <c r="D6" s="387"/>
      <c r="E6" s="355"/>
      <c r="F6" s="356"/>
      <c r="G6" s="356"/>
      <c r="H6" s="358"/>
      <c r="I6" s="361"/>
      <c r="K6" s="388"/>
      <c r="L6" s="387"/>
      <c r="M6" s="387"/>
      <c r="N6" s="387"/>
      <c r="O6" s="387"/>
      <c r="P6" s="387"/>
      <c r="Q6" s="387"/>
      <c r="R6" s="387"/>
    </row>
    <row r="7" spans="2:18" x14ac:dyDescent="0.2">
      <c r="B7" s="388"/>
      <c r="C7" s="389"/>
      <c r="D7" s="387"/>
      <c r="E7" s="355"/>
      <c r="F7" s="356"/>
      <c r="G7" s="356"/>
      <c r="H7" s="358"/>
      <c r="I7" s="361"/>
      <c r="K7" s="388"/>
      <c r="L7" s="387"/>
      <c r="M7" s="387"/>
      <c r="N7" s="387"/>
      <c r="O7" s="387"/>
      <c r="P7" s="387"/>
      <c r="Q7" s="387"/>
      <c r="R7" s="387"/>
    </row>
    <row r="8" spans="2:18" x14ac:dyDescent="0.2">
      <c r="B8" s="388"/>
      <c r="C8" s="389"/>
      <c r="D8" s="387"/>
      <c r="E8" s="355"/>
      <c r="F8" s="356"/>
      <c r="G8" s="356"/>
      <c r="H8" s="358"/>
      <c r="I8" s="361"/>
      <c r="K8" s="388"/>
      <c r="L8" s="387"/>
      <c r="M8" s="387"/>
      <c r="N8" s="387"/>
      <c r="O8" s="387"/>
      <c r="P8" s="387"/>
      <c r="Q8" s="387"/>
      <c r="R8" s="387"/>
    </row>
    <row r="9" spans="2:18" x14ac:dyDescent="0.2">
      <c r="B9" s="388"/>
      <c r="C9" s="389"/>
      <c r="D9" s="387"/>
      <c r="E9" s="355"/>
      <c r="F9" s="356"/>
      <c r="G9" s="356"/>
      <c r="H9" s="358"/>
      <c r="I9" s="361"/>
      <c r="K9" s="388"/>
      <c r="L9" s="387"/>
      <c r="M9" s="387"/>
      <c r="N9" s="387"/>
      <c r="O9" s="387"/>
      <c r="P9" s="387"/>
      <c r="Q9" s="387"/>
      <c r="R9" s="387"/>
    </row>
    <row r="10" spans="2:18" x14ac:dyDescent="0.2">
      <c r="B10" s="388"/>
      <c r="C10" s="389"/>
      <c r="D10" s="387"/>
      <c r="E10" s="355"/>
      <c r="F10" s="356"/>
      <c r="G10" s="356"/>
      <c r="H10" s="358"/>
      <c r="I10" s="361"/>
      <c r="K10" s="388"/>
      <c r="L10" s="387"/>
      <c r="M10" s="387"/>
      <c r="N10" s="387"/>
      <c r="O10" s="387"/>
      <c r="P10" s="387"/>
      <c r="Q10" s="387"/>
      <c r="R10" s="387"/>
    </row>
    <row r="11" spans="2:18" x14ac:dyDescent="0.2">
      <c r="B11" s="388"/>
      <c r="C11" s="389"/>
      <c r="D11" s="387"/>
      <c r="E11" s="355"/>
      <c r="F11" s="356"/>
      <c r="G11" s="356"/>
      <c r="H11" s="358"/>
      <c r="I11" s="361"/>
      <c r="K11" s="388"/>
      <c r="L11" s="387"/>
      <c r="M11" s="387"/>
      <c r="N11" s="387"/>
      <c r="O11" s="387"/>
      <c r="P11" s="387"/>
      <c r="Q11" s="387"/>
      <c r="R11" s="387"/>
    </row>
    <row r="12" spans="2:18" x14ac:dyDescent="0.2">
      <c r="B12" s="388"/>
      <c r="C12" s="389"/>
      <c r="D12" s="387"/>
      <c r="E12" s="355"/>
      <c r="F12" s="356"/>
      <c r="G12" s="356"/>
      <c r="H12" s="358"/>
      <c r="I12" s="361"/>
      <c r="K12" s="388"/>
      <c r="L12" s="387"/>
      <c r="M12" s="387"/>
      <c r="N12" s="387"/>
      <c r="O12" s="387"/>
      <c r="P12" s="387"/>
      <c r="Q12" s="387"/>
      <c r="R12" s="387"/>
    </row>
    <row r="13" spans="2:18" x14ac:dyDescent="0.2">
      <c r="B13" s="388"/>
      <c r="C13" s="389"/>
      <c r="D13" s="387"/>
      <c r="E13" s="355"/>
      <c r="F13" s="356"/>
      <c r="G13" s="356"/>
      <c r="H13" s="358"/>
      <c r="I13" s="361"/>
      <c r="K13" s="388"/>
      <c r="L13" s="387"/>
      <c r="M13" s="387"/>
      <c r="N13" s="387"/>
      <c r="O13" s="387"/>
      <c r="P13" s="387"/>
      <c r="Q13" s="387"/>
      <c r="R13" s="387"/>
    </row>
    <row r="14" spans="2:18" x14ac:dyDescent="0.2">
      <c r="B14" s="388"/>
      <c r="C14" s="389"/>
      <c r="D14" s="387"/>
      <c r="E14" s="355"/>
      <c r="F14" s="356"/>
      <c r="G14" s="356"/>
      <c r="H14" s="358"/>
      <c r="I14" s="361"/>
      <c r="K14" s="388"/>
      <c r="L14" s="387"/>
      <c r="M14" s="387"/>
      <c r="N14" s="387"/>
      <c r="O14" s="387"/>
      <c r="P14" s="387"/>
      <c r="Q14" s="387"/>
      <c r="R14" s="387"/>
    </row>
    <row r="15" spans="2:18" x14ac:dyDescent="0.2">
      <c r="B15" s="388"/>
      <c r="C15" s="389"/>
      <c r="D15" s="387"/>
      <c r="E15" s="355"/>
      <c r="F15" s="356"/>
      <c r="G15" s="356"/>
      <c r="H15" s="358"/>
      <c r="I15" s="361"/>
      <c r="K15" s="388"/>
      <c r="L15" s="387"/>
      <c r="M15" s="387"/>
      <c r="N15" s="387"/>
      <c r="O15" s="387"/>
      <c r="P15" s="387"/>
      <c r="Q15" s="387"/>
      <c r="R15" s="387"/>
    </row>
    <row r="16" spans="2:18" x14ac:dyDescent="0.2">
      <c r="B16" s="388"/>
      <c r="C16" s="389"/>
      <c r="D16" s="387"/>
      <c r="E16" s="355"/>
      <c r="F16" s="356"/>
      <c r="G16" s="356"/>
      <c r="H16" s="358"/>
      <c r="I16" s="361"/>
      <c r="K16" s="388"/>
      <c r="L16" s="387"/>
      <c r="M16" s="387"/>
      <c r="N16" s="387"/>
      <c r="O16" s="387"/>
      <c r="P16" s="387"/>
      <c r="Q16" s="387"/>
      <c r="R16" s="387"/>
    </row>
    <row r="17" spans="2:18" x14ac:dyDescent="0.2">
      <c r="B17" s="388"/>
      <c r="C17" s="389"/>
      <c r="D17" s="387"/>
      <c r="E17" s="355"/>
      <c r="F17" s="356"/>
      <c r="G17" s="356"/>
      <c r="H17" s="358"/>
      <c r="I17" s="361"/>
      <c r="K17" s="388"/>
      <c r="L17" s="387"/>
      <c r="M17" s="387"/>
      <c r="N17" s="387"/>
      <c r="O17" s="387"/>
      <c r="P17" s="387"/>
      <c r="Q17" s="387"/>
      <c r="R17" s="387"/>
    </row>
    <row r="18" spans="2:18" x14ac:dyDescent="0.2">
      <c r="B18" s="388"/>
      <c r="C18" s="389"/>
      <c r="D18" s="387"/>
      <c r="E18" s="355"/>
      <c r="F18" s="356"/>
      <c r="G18" s="356"/>
      <c r="H18" s="358"/>
      <c r="I18" s="361"/>
      <c r="K18" s="388"/>
      <c r="L18" s="387"/>
      <c r="M18" s="387"/>
      <c r="N18" s="387"/>
      <c r="O18" s="387"/>
      <c r="P18" s="387"/>
      <c r="Q18" s="387"/>
      <c r="R18" s="387"/>
    </row>
    <row r="19" spans="2:18" x14ac:dyDescent="0.2">
      <c r="B19" s="388"/>
      <c r="C19" s="389"/>
      <c r="D19" s="387"/>
      <c r="E19" s="355"/>
      <c r="F19" s="356"/>
      <c r="G19" s="356"/>
      <c r="H19" s="358"/>
      <c r="I19" s="361"/>
      <c r="K19" s="388"/>
      <c r="L19" s="387"/>
      <c r="M19" s="387"/>
      <c r="N19" s="387"/>
      <c r="O19" s="387"/>
      <c r="P19" s="387"/>
      <c r="Q19" s="387"/>
      <c r="R19" s="387"/>
    </row>
    <row r="20" spans="2:18" x14ac:dyDescent="0.2">
      <c r="B20" s="388"/>
      <c r="C20" s="389"/>
      <c r="D20" s="387"/>
      <c r="E20" s="355"/>
      <c r="F20" s="356"/>
      <c r="G20" s="356"/>
      <c r="H20" s="358"/>
      <c r="I20" s="361"/>
      <c r="K20" s="388"/>
      <c r="L20" s="387"/>
      <c r="M20" s="387"/>
      <c r="N20" s="387"/>
      <c r="O20" s="387"/>
      <c r="P20" s="387"/>
      <c r="Q20" s="387"/>
      <c r="R20" s="387"/>
    </row>
    <row r="21" spans="2:18" x14ac:dyDescent="0.2">
      <c r="B21" s="388"/>
      <c r="C21" s="389"/>
      <c r="D21" s="387"/>
      <c r="E21" s="355"/>
      <c r="F21" s="356"/>
      <c r="G21" s="356"/>
      <c r="H21" s="358"/>
      <c r="I21" s="361"/>
      <c r="K21" s="388"/>
      <c r="L21" s="387"/>
      <c r="M21" s="387"/>
      <c r="N21" s="387"/>
      <c r="O21" s="387"/>
      <c r="P21" s="387"/>
      <c r="Q21" s="387"/>
      <c r="R21" s="387"/>
    </row>
    <row r="22" spans="2:18" x14ac:dyDescent="0.2">
      <c r="B22" s="388"/>
      <c r="C22" s="389"/>
      <c r="D22" s="387"/>
      <c r="E22" s="355"/>
      <c r="F22" s="356"/>
      <c r="G22" s="356"/>
      <c r="H22" s="358"/>
      <c r="I22" s="361"/>
      <c r="K22" s="388"/>
      <c r="L22" s="387"/>
      <c r="M22" s="387"/>
      <c r="N22" s="387"/>
      <c r="O22" s="387"/>
      <c r="P22" s="387"/>
      <c r="Q22" s="387"/>
      <c r="R22" s="387"/>
    </row>
    <row r="23" spans="2:18" x14ac:dyDescent="0.2">
      <c r="B23" s="388"/>
      <c r="C23" s="389"/>
      <c r="D23" s="387"/>
      <c r="E23" s="355"/>
      <c r="F23" s="356"/>
      <c r="G23" s="356"/>
      <c r="H23" s="358"/>
      <c r="I23" s="361"/>
      <c r="K23" s="388"/>
      <c r="L23" s="387"/>
      <c r="M23" s="387"/>
      <c r="N23" s="387"/>
      <c r="O23" s="387"/>
      <c r="P23" s="387"/>
      <c r="Q23" s="387"/>
      <c r="R23" s="387"/>
    </row>
    <row r="24" spans="2:18" x14ac:dyDescent="0.2">
      <c r="B24" s="388"/>
      <c r="C24" s="389"/>
      <c r="D24" s="387"/>
      <c r="E24" s="355"/>
      <c r="F24" s="356"/>
      <c r="G24" s="356"/>
      <c r="H24" s="358"/>
      <c r="I24" s="361"/>
      <c r="K24" s="388"/>
      <c r="L24" s="387"/>
      <c r="M24" s="387"/>
      <c r="N24" s="387"/>
      <c r="O24" s="387"/>
      <c r="P24" s="387"/>
      <c r="Q24" s="387"/>
      <c r="R24" s="387"/>
    </row>
    <row r="25" spans="2:18" x14ac:dyDescent="0.2">
      <c r="B25" s="388"/>
      <c r="C25" s="389"/>
      <c r="D25" s="387"/>
      <c r="E25" s="355"/>
      <c r="F25" s="356"/>
      <c r="G25" s="356"/>
      <c r="H25" s="358"/>
      <c r="I25" s="361"/>
      <c r="K25" s="388"/>
      <c r="L25" s="387"/>
      <c r="M25" s="387"/>
      <c r="N25" s="387"/>
      <c r="O25" s="387"/>
      <c r="P25" s="387"/>
      <c r="Q25" s="387"/>
      <c r="R25" s="387"/>
    </row>
    <row r="26" spans="2:18" x14ac:dyDescent="0.2">
      <c r="B26" s="388"/>
      <c r="C26" s="389"/>
      <c r="D26" s="387"/>
      <c r="E26" s="355"/>
      <c r="F26" s="356"/>
      <c r="G26" s="356"/>
      <c r="H26" s="358"/>
      <c r="I26" s="361"/>
      <c r="K26" s="388"/>
      <c r="L26" s="387"/>
      <c r="M26" s="387"/>
      <c r="N26" s="387"/>
      <c r="O26" s="387"/>
      <c r="P26" s="387"/>
      <c r="Q26" s="387"/>
      <c r="R26" s="387"/>
    </row>
    <row r="27" spans="2:18" x14ac:dyDescent="0.2">
      <c r="B27" s="388"/>
      <c r="C27" s="389"/>
      <c r="D27" s="387"/>
      <c r="E27" s="355"/>
      <c r="F27" s="356"/>
      <c r="G27" s="356"/>
      <c r="H27" s="358"/>
      <c r="I27" s="361"/>
      <c r="K27" s="388"/>
      <c r="L27" s="387"/>
      <c r="M27" s="387"/>
      <c r="N27" s="387"/>
      <c r="O27" s="387"/>
      <c r="P27" s="387"/>
      <c r="Q27" s="387"/>
      <c r="R27" s="387"/>
    </row>
    <row r="28" spans="2:18" x14ac:dyDescent="0.2">
      <c r="B28" s="388"/>
      <c r="C28" s="389"/>
      <c r="D28" s="387"/>
      <c r="E28" s="355"/>
      <c r="F28" s="356"/>
      <c r="G28" s="356"/>
      <c r="H28" s="358"/>
      <c r="I28" s="361"/>
      <c r="K28" s="388"/>
      <c r="L28" s="387"/>
      <c r="M28" s="387"/>
      <c r="N28" s="387"/>
      <c r="O28" s="387"/>
      <c r="P28" s="387"/>
      <c r="Q28" s="387"/>
      <c r="R28" s="387"/>
    </row>
    <row r="29" spans="2:18" x14ac:dyDescent="0.2">
      <c r="B29" s="388"/>
      <c r="C29" s="389"/>
      <c r="D29" s="387"/>
      <c r="E29" s="355"/>
      <c r="F29" s="356"/>
      <c r="G29" s="356"/>
      <c r="H29" s="358"/>
      <c r="I29" s="361"/>
      <c r="K29" s="388"/>
      <c r="L29" s="387"/>
      <c r="M29" s="387"/>
      <c r="N29" s="387"/>
      <c r="O29" s="387"/>
      <c r="P29" s="387"/>
      <c r="Q29" s="387"/>
      <c r="R29" s="387"/>
    </row>
    <row r="30" spans="2:18" x14ac:dyDescent="0.2">
      <c r="B30" s="388"/>
      <c r="C30" s="389"/>
      <c r="D30" s="387"/>
      <c r="E30" s="355"/>
      <c r="F30" s="356"/>
      <c r="G30" s="356"/>
      <c r="H30" s="358"/>
      <c r="I30" s="361"/>
      <c r="K30" s="388"/>
      <c r="L30" s="387"/>
      <c r="M30" s="387"/>
      <c r="N30" s="387"/>
      <c r="O30" s="387"/>
      <c r="P30" s="387"/>
      <c r="Q30" s="387"/>
      <c r="R30" s="387"/>
    </row>
    <row r="31" spans="2:18" x14ac:dyDescent="0.2">
      <c r="B31" s="388"/>
      <c r="C31" s="389"/>
      <c r="D31" s="387"/>
      <c r="E31" s="355"/>
      <c r="F31" s="356"/>
      <c r="G31" s="356"/>
      <c r="H31" s="358"/>
      <c r="I31" s="361"/>
      <c r="K31" s="388"/>
      <c r="L31" s="387"/>
      <c r="M31" s="387"/>
      <c r="N31" s="387"/>
      <c r="O31" s="387"/>
      <c r="P31" s="387"/>
      <c r="Q31" s="387"/>
      <c r="R31" s="387"/>
    </row>
    <row r="32" spans="2:18" x14ac:dyDescent="0.2">
      <c r="B32" s="388"/>
      <c r="C32" s="389"/>
      <c r="D32" s="387"/>
      <c r="E32" s="355"/>
      <c r="F32" s="356"/>
      <c r="G32" s="356"/>
      <c r="H32" s="358"/>
      <c r="I32" s="361"/>
      <c r="K32" s="388"/>
      <c r="L32" s="387"/>
      <c r="M32" s="387"/>
      <c r="N32" s="387"/>
      <c r="O32" s="387"/>
      <c r="P32" s="387"/>
      <c r="Q32" s="387"/>
      <c r="R32" s="387"/>
    </row>
    <row r="33" spans="2:18" x14ac:dyDescent="0.2">
      <c r="B33" s="388"/>
      <c r="C33" s="389"/>
      <c r="D33" s="387"/>
      <c r="E33" s="355"/>
      <c r="F33" s="356"/>
      <c r="G33" s="356"/>
      <c r="H33" s="358"/>
      <c r="I33" s="361"/>
      <c r="K33" s="388"/>
      <c r="L33" s="387"/>
      <c r="M33" s="387"/>
      <c r="N33" s="387"/>
      <c r="O33" s="387"/>
      <c r="P33" s="387"/>
      <c r="Q33" s="387"/>
      <c r="R33" s="387"/>
    </row>
    <row r="34" spans="2:18" x14ac:dyDescent="0.2">
      <c r="B34" s="388"/>
      <c r="C34" s="389"/>
      <c r="D34" s="387"/>
      <c r="E34" s="355"/>
      <c r="F34" s="356"/>
      <c r="G34" s="356"/>
      <c r="H34" s="358"/>
      <c r="I34" s="361"/>
      <c r="K34" s="388"/>
      <c r="L34" s="387"/>
      <c r="M34" s="387"/>
      <c r="N34" s="387"/>
      <c r="O34" s="387"/>
      <c r="P34" s="387"/>
      <c r="Q34" s="387"/>
      <c r="R34" s="387"/>
    </row>
    <row r="35" spans="2:18" x14ac:dyDescent="0.2">
      <c r="B35" s="388"/>
      <c r="C35" s="389"/>
      <c r="D35" s="387"/>
      <c r="E35" s="355"/>
      <c r="F35" s="356"/>
      <c r="G35" s="356"/>
      <c r="H35" s="358"/>
      <c r="I35" s="361"/>
      <c r="K35" s="388"/>
      <c r="L35" s="387"/>
      <c r="M35" s="387"/>
      <c r="N35" s="387"/>
      <c r="O35" s="387"/>
      <c r="P35" s="387"/>
      <c r="Q35" s="387"/>
      <c r="R35" s="387"/>
    </row>
    <row r="36" spans="2:18" x14ac:dyDescent="0.2">
      <c r="B36" s="388"/>
      <c r="C36" s="389"/>
      <c r="D36" s="387"/>
      <c r="E36" s="355"/>
      <c r="F36" s="356"/>
      <c r="G36" s="356"/>
      <c r="H36" s="358"/>
      <c r="I36" s="361"/>
      <c r="K36" s="388"/>
      <c r="L36" s="387"/>
      <c r="M36" s="387"/>
      <c r="N36" s="387"/>
      <c r="O36" s="387"/>
      <c r="P36" s="387"/>
      <c r="Q36" s="387"/>
      <c r="R36" s="387"/>
    </row>
    <row r="37" spans="2:18" x14ac:dyDescent="0.2">
      <c r="B37" s="388"/>
      <c r="C37" s="389"/>
      <c r="D37" s="387"/>
      <c r="E37" s="355"/>
      <c r="F37" s="356"/>
      <c r="G37" s="356"/>
      <c r="H37" s="358"/>
      <c r="I37" s="361"/>
      <c r="K37" s="388"/>
      <c r="L37" s="387"/>
      <c r="M37" s="387"/>
      <c r="N37" s="387"/>
      <c r="O37" s="387"/>
      <c r="P37" s="387"/>
      <c r="Q37" s="387"/>
      <c r="R37" s="387"/>
    </row>
    <row r="38" spans="2:18" x14ac:dyDescent="0.2">
      <c r="B38" s="388"/>
      <c r="C38" s="389"/>
      <c r="D38" s="387"/>
      <c r="E38" s="355"/>
      <c r="F38" s="356"/>
      <c r="G38" s="356"/>
      <c r="H38" s="358"/>
      <c r="I38" s="361"/>
      <c r="K38" s="388"/>
      <c r="L38" s="387"/>
      <c r="M38" s="387"/>
      <c r="N38" s="387"/>
      <c r="O38" s="387"/>
      <c r="P38" s="387"/>
      <c r="Q38" s="387"/>
      <c r="R38" s="387"/>
    </row>
    <row r="39" spans="2:18" x14ac:dyDescent="0.2">
      <c r="B39" s="388"/>
      <c r="C39" s="389"/>
      <c r="D39" s="387"/>
      <c r="E39" s="355"/>
      <c r="F39" s="356"/>
      <c r="G39" s="356"/>
      <c r="H39" s="358"/>
      <c r="I39" s="361"/>
      <c r="K39" s="388"/>
      <c r="L39" s="387"/>
      <c r="M39" s="387"/>
      <c r="N39" s="387"/>
      <c r="O39" s="387"/>
      <c r="P39" s="387"/>
      <c r="Q39" s="387"/>
      <c r="R39" s="387"/>
    </row>
    <row r="40" spans="2:18" x14ac:dyDescent="0.2">
      <c r="B40" s="388"/>
      <c r="C40" s="389"/>
      <c r="D40" s="387"/>
      <c r="E40" s="355"/>
      <c r="F40" s="356"/>
      <c r="G40" s="356"/>
      <c r="H40" s="358"/>
      <c r="I40" s="361"/>
      <c r="K40" s="388"/>
      <c r="L40" s="387"/>
      <c r="M40" s="387"/>
      <c r="N40" s="387"/>
      <c r="O40" s="387"/>
      <c r="P40" s="387"/>
      <c r="Q40" s="387"/>
      <c r="R40" s="387"/>
    </row>
    <row r="41" spans="2:18" x14ac:dyDescent="0.2">
      <c r="K41" s="388"/>
      <c r="L41" s="387"/>
      <c r="M41" s="387"/>
      <c r="N41" s="387"/>
      <c r="O41" s="387"/>
      <c r="P41" s="387"/>
      <c r="Q41" s="387"/>
      <c r="R41" s="387"/>
    </row>
    <row r="42" spans="2:18" x14ac:dyDescent="0.2">
      <c r="K42" s="388"/>
      <c r="L42" s="387"/>
      <c r="M42" s="387"/>
      <c r="N42" s="387"/>
      <c r="O42" s="387"/>
      <c r="P42" s="387"/>
      <c r="Q42" s="387"/>
      <c r="R42" s="387"/>
    </row>
    <row r="43" spans="2:18" x14ac:dyDescent="0.2">
      <c r="K43" s="388"/>
      <c r="L43" s="387"/>
      <c r="M43" s="387"/>
      <c r="N43" s="387"/>
      <c r="O43" s="387"/>
      <c r="P43" s="387"/>
      <c r="Q43" s="387"/>
      <c r="R43" s="387"/>
    </row>
    <row r="44" spans="2:18" x14ac:dyDescent="0.2">
      <c r="K44" s="388"/>
      <c r="L44" s="387"/>
      <c r="M44" s="387"/>
      <c r="N44" s="387"/>
      <c r="O44" s="387"/>
      <c r="P44" s="387"/>
      <c r="Q44" s="387"/>
      <c r="R44" s="387"/>
    </row>
    <row r="45" spans="2:18" x14ac:dyDescent="0.2">
      <c r="K45" s="388"/>
      <c r="L45" s="387"/>
      <c r="M45" s="387"/>
      <c r="N45" s="387"/>
      <c r="O45" s="387"/>
      <c r="P45" s="387"/>
      <c r="Q45" s="387"/>
      <c r="R45" s="387"/>
    </row>
    <row r="46" spans="2:18" x14ac:dyDescent="0.2">
      <c r="K46" s="388"/>
      <c r="L46" s="387"/>
      <c r="M46" s="387"/>
      <c r="N46" s="387"/>
      <c r="O46" s="387"/>
      <c r="P46" s="387"/>
      <c r="Q46" s="387"/>
      <c r="R46" s="387"/>
    </row>
    <row r="47" spans="2:18" x14ac:dyDescent="0.2">
      <c r="K47" s="388"/>
      <c r="L47" s="387"/>
      <c r="M47" s="387"/>
      <c r="N47" s="387"/>
      <c r="O47" s="387"/>
      <c r="P47" s="387"/>
      <c r="Q47" s="387"/>
      <c r="R47" s="387"/>
    </row>
    <row r="48" spans="2:18" x14ac:dyDescent="0.2">
      <c r="K48" s="388"/>
      <c r="L48" s="387"/>
      <c r="M48" s="387"/>
      <c r="N48" s="387"/>
      <c r="O48" s="387"/>
      <c r="P48" s="387"/>
      <c r="Q48" s="387"/>
      <c r="R48" s="387"/>
    </row>
    <row r="49" spans="11:18" x14ac:dyDescent="0.2">
      <c r="K49" s="388"/>
      <c r="L49" s="387"/>
      <c r="M49" s="387"/>
      <c r="N49" s="387"/>
      <c r="O49" s="387"/>
      <c r="P49" s="387"/>
      <c r="Q49" s="387"/>
      <c r="R49" s="387"/>
    </row>
  </sheetData>
  <mergeCells count="10">
    <mergeCell ref="B3:I3"/>
    <mergeCell ref="K3:R3"/>
    <mergeCell ref="B4:B5"/>
    <mergeCell ref="C4:C5"/>
    <mergeCell ref="D4:D5"/>
    <mergeCell ref="E4:E5"/>
    <mergeCell ref="F4:F5"/>
    <mergeCell ref="G4:G5"/>
    <mergeCell ref="H4:H5"/>
    <mergeCell ref="I4:I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learIRPquote">
                <anchor moveWithCells="1" sizeWithCells="1">
                  <from>
                    <xdr:col>7</xdr:col>
                    <xdr:colOff>485775</xdr:colOff>
                    <xdr:row>26</xdr:row>
                    <xdr:rowOff>47625</xdr:rowOff>
                  </from>
                  <to>
                    <xdr:col>11</xdr:col>
                    <xdr:colOff>590550</xdr:colOff>
                    <xdr:row>38</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A13E5-72D2-44B6-94DA-4481B3131590}">
  <sheetPr codeName="Sheet22">
    <tabColor rgb="FF7030A0"/>
  </sheetPr>
  <dimension ref="A1:O27022"/>
  <sheetViews>
    <sheetView topLeftCell="R1" zoomScale="70" zoomScaleNormal="70" workbookViewId="0">
      <selection activeCell="R1" sqref="A1:XFD1048576"/>
    </sheetView>
  </sheetViews>
  <sheetFormatPr defaultColWidth="9.28515625" defaultRowHeight="15.75" x14ac:dyDescent="0.25"/>
  <cols>
    <col min="1" max="1" width="13.5703125" style="515" hidden="1" customWidth="1"/>
    <col min="2" max="2" width="50.28515625" style="515" hidden="1" customWidth="1"/>
    <col min="3" max="3" width="15.42578125" style="515" hidden="1" customWidth="1"/>
    <col min="4" max="4" width="10.28515625" style="515" hidden="1" customWidth="1"/>
    <col min="5" max="5" width="14.85546875" style="515" hidden="1" customWidth="1"/>
    <col min="6" max="6" width="38.5703125" style="515" hidden="1" customWidth="1"/>
    <col min="7" max="7" width="15.42578125" style="515" hidden="1" customWidth="1"/>
    <col min="8" max="8" width="12.5703125" style="515" hidden="1" customWidth="1"/>
    <col min="9" max="9" width="16.140625" style="515" hidden="1" customWidth="1"/>
    <col min="10" max="10" width="0" style="518" hidden="1" customWidth="1"/>
    <col min="11" max="11" width="16.42578125" style="519" hidden="1" customWidth="1"/>
    <col min="12" max="12" width="9.42578125" style="519" hidden="1" customWidth="1"/>
    <col min="13" max="13" width="27.42578125" style="519" hidden="1" customWidth="1"/>
    <col min="14" max="14" width="42" style="519" hidden="1" customWidth="1"/>
    <col min="15" max="17" width="0" style="518" hidden="1" customWidth="1"/>
    <col min="18" max="16384" width="9.28515625" style="518"/>
  </cols>
  <sheetData>
    <row r="1" spans="1:15" x14ac:dyDescent="0.25">
      <c r="A1" s="516" t="s">
        <v>1413</v>
      </c>
      <c r="B1" s="516" t="s">
        <v>1414</v>
      </c>
      <c r="C1" s="517">
        <v>44957</v>
      </c>
      <c r="D1" s="516" t="s">
        <v>187</v>
      </c>
      <c r="E1" s="516" t="s">
        <v>2096</v>
      </c>
      <c r="F1" s="516" t="s">
        <v>2097</v>
      </c>
      <c r="G1" s="517">
        <v>44957</v>
      </c>
      <c r="H1" s="516" t="s">
        <v>187</v>
      </c>
      <c r="I1" s="516" t="s">
        <v>2096</v>
      </c>
      <c r="K1" s="516" t="s">
        <v>23561</v>
      </c>
      <c r="L1" s="519">
        <f>RTL!$E$11</f>
        <v>0</v>
      </c>
      <c r="M1" s="519" t="str">
        <f>RTL!$D$21</f>
        <v xml:space="preserve">, </v>
      </c>
      <c r="N1" s="519" t="str">
        <f>RTL!$D$24</f>
        <v>-</v>
      </c>
    </row>
    <row r="2" spans="1:15" s="515" customFormat="1" x14ac:dyDescent="0.25">
      <c r="A2" s="515">
        <v>77449</v>
      </c>
      <c r="B2" s="515" t="s">
        <v>314</v>
      </c>
      <c r="C2" s="52">
        <v>274671.967838838</v>
      </c>
      <c r="D2" s="56">
        <v>9.3006954141541878E-2</v>
      </c>
      <c r="E2" s="224">
        <v>1852.4056956115701</v>
      </c>
      <c r="F2" s="515" t="s">
        <v>1412</v>
      </c>
      <c r="G2" s="52">
        <v>629516.30334113096</v>
      </c>
      <c r="H2" s="56">
        <v>4.0659689811954162E-2</v>
      </c>
      <c r="I2" s="224">
        <v>3272.6104750663999</v>
      </c>
      <c r="K2" s="515" t="s">
        <v>23562</v>
      </c>
      <c r="L2" s="515" t="s">
        <v>246</v>
      </c>
      <c r="M2" s="515" t="str">
        <f>K2&amp;", "&amp;L2</f>
        <v>Newark, NJ</v>
      </c>
      <c r="N2" s="58">
        <f>IF($M$1=M2,-5%,0%)</f>
        <v>0</v>
      </c>
    </row>
    <row r="3" spans="1:15" x14ac:dyDescent="0.25">
      <c r="A3" s="515">
        <v>77494</v>
      </c>
      <c r="B3" s="515" t="s">
        <v>314</v>
      </c>
      <c r="C3" s="52">
        <v>469380.29691502597</v>
      </c>
      <c r="D3" s="56">
        <v>7.5370697855170879E-2</v>
      </c>
      <c r="E3" s="224">
        <v>1938.3504459713599</v>
      </c>
      <c r="F3" s="515" t="s">
        <v>1411</v>
      </c>
      <c r="G3" s="52">
        <v>890194.16450894799</v>
      </c>
      <c r="H3" s="56">
        <v>2.3929326327482063E-2</v>
      </c>
      <c r="I3" s="224">
        <v>2857.8717088297899</v>
      </c>
      <c r="K3" s="519" t="s">
        <v>23563</v>
      </c>
      <c r="L3" s="515" t="s">
        <v>246</v>
      </c>
      <c r="M3" s="515" t="str">
        <f t="shared" ref="M3:M21" si="0">K3&amp;", "&amp;L3</f>
        <v>Paterson, NJ</v>
      </c>
      <c r="N3" s="58">
        <f t="shared" ref="N3:N21" si="1">IF($M$1=M3,-5%,0%)</f>
        <v>0</v>
      </c>
    </row>
    <row r="4" spans="1:15" x14ac:dyDescent="0.25">
      <c r="A4" s="515">
        <v>79936</v>
      </c>
      <c r="B4" s="515" t="s">
        <v>1119</v>
      </c>
      <c r="C4" s="52">
        <v>192365.84216012701</v>
      </c>
      <c r="D4" s="56">
        <v>0.11524840628487205</v>
      </c>
      <c r="E4" s="224">
        <v>1438.3597883597799</v>
      </c>
      <c r="F4" s="515" t="s">
        <v>1408</v>
      </c>
      <c r="G4" s="52">
        <v>255921.337782691</v>
      </c>
      <c r="H4" s="56">
        <v>9.9995674098325035E-2</v>
      </c>
      <c r="I4" s="224">
        <v>1620.8015674195999</v>
      </c>
      <c r="K4" s="519" t="s">
        <v>23564</v>
      </c>
      <c r="L4" s="515" t="s">
        <v>246</v>
      </c>
      <c r="M4" s="515" t="str">
        <f t="shared" si="0"/>
        <v>Irvington, NJ</v>
      </c>
      <c r="N4" s="58">
        <f t="shared" si="1"/>
        <v>0</v>
      </c>
    </row>
    <row r="5" spans="1:15" x14ac:dyDescent="0.25">
      <c r="A5" s="515">
        <v>11368</v>
      </c>
      <c r="B5" s="515" t="s">
        <v>324</v>
      </c>
      <c r="C5" s="52">
        <v>331082.536088439</v>
      </c>
      <c r="D5" s="56">
        <v>-2.1231716479604833E-2</v>
      </c>
      <c r="E5" s="224" t="s">
        <v>2</v>
      </c>
      <c r="F5" s="515" t="s">
        <v>1410</v>
      </c>
      <c r="G5" s="52">
        <v>276299.08503953298</v>
      </c>
      <c r="H5" s="56">
        <v>-5.8337664264115664E-3</v>
      </c>
      <c r="I5" s="224">
        <v>1975.0017856439299</v>
      </c>
      <c r="K5" s="519" t="s">
        <v>23565</v>
      </c>
      <c r="L5" s="515" t="s">
        <v>246</v>
      </c>
      <c r="M5" s="515" t="str">
        <f t="shared" si="0"/>
        <v>Elizabeth, NJ</v>
      </c>
      <c r="N5" s="58">
        <f t="shared" si="1"/>
        <v>0</v>
      </c>
    </row>
    <row r="6" spans="1:15" x14ac:dyDescent="0.25">
      <c r="A6" s="515">
        <v>11385</v>
      </c>
      <c r="B6" s="515" t="s">
        <v>324</v>
      </c>
      <c r="C6" s="52">
        <v>750163.62965639401</v>
      </c>
      <c r="D6" s="56">
        <v>1.1970793944460736E-2</v>
      </c>
      <c r="E6" s="224">
        <v>2922.2260493827098</v>
      </c>
      <c r="F6" s="515" t="s">
        <v>1389</v>
      </c>
      <c r="G6" s="52">
        <v>257774.984016295</v>
      </c>
      <c r="H6" s="56">
        <v>9.0632042860812653E-2</v>
      </c>
      <c r="I6" s="224">
        <v>1441.08107533511</v>
      </c>
      <c r="K6" s="519" t="s">
        <v>23566</v>
      </c>
      <c r="L6" s="515" t="s">
        <v>246</v>
      </c>
      <c r="M6" s="515" t="str">
        <f t="shared" si="0"/>
        <v>East Orange, NJ</v>
      </c>
      <c r="N6" s="58">
        <f t="shared" si="1"/>
        <v>0</v>
      </c>
    </row>
    <row r="7" spans="1:15" x14ac:dyDescent="0.25">
      <c r="A7" s="515">
        <v>90011</v>
      </c>
      <c r="B7" s="515" t="s">
        <v>375</v>
      </c>
      <c r="C7" s="52">
        <v>566307.98349486</v>
      </c>
      <c r="D7" s="56">
        <v>5.7873347418384548E-2</v>
      </c>
      <c r="E7" s="224">
        <v>1899.44444444444</v>
      </c>
      <c r="F7" s="515" t="s">
        <v>1403</v>
      </c>
      <c r="G7" s="52">
        <v>398898.98961489298</v>
      </c>
      <c r="H7" s="56">
        <v>4.6281681932717395E-2</v>
      </c>
      <c r="I7" s="224">
        <v>1755.8667282148999</v>
      </c>
      <c r="K7" s="519" t="s">
        <v>23567</v>
      </c>
      <c r="L7" s="515" t="s">
        <v>243</v>
      </c>
      <c r="M7" s="515" t="str">
        <f t="shared" si="0"/>
        <v>New York, NY</v>
      </c>
      <c r="N7" s="58">
        <f t="shared" si="1"/>
        <v>0</v>
      </c>
    </row>
    <row r="8" spans="1:15" x14ac:dyDescent="0.25">
      <c r="A8" s="515">
        <v>60629</v>
      </c>
      <c r="B8" s="515" t="s">
        <v>394</v>
      </c>
      <c r="C8" s="52">
        <v>230061.75797232299</v>
      </c>
      <c r="D8" s="56">
        <v>3.8175952657282949E-2</v>
      </c>
      <c r="E8" s="224">
        <v>1147.2916666666599</v>
      </c>
      <c r="F8" s="515" t="s">
        <v>1405</v>
      </c>
      <c r="G8" s="52">
        <v>216524.336139958</v>
      </c>
      <c r="H8" s="56">
        <v>7.2221552980998652E-2</v>
      </c>
      <c r="I8" s="224">
        <v>1663.5393089997499</v>
      </c>
      <c r="K8" s="519" t="s">
        <v>23568</v>
      </c>
      <c r="L8" s="515" t="s">
        <v>243</v>
      </c>
      <c r="M8" s="515" t="str">
        <f t="shared" si="0"/>
        <v>Brooklyn, NY</v>
      </c>
      <c r="N8" s="58">
        <f t="shared" si="1"/>
        <v>0</v>
      </c>
    </row>
    <row r="9" spans="1:15" x14ac:dyDescent="0.25">
      <c r="A9" s="515">
        <v>77084</v>
      </c>
      <c r="B9" s="515" t="s">
        <v>314</v>
      </c>
      <c r="C9" s="52">
        <v>266250.87050095701</v>
      </c>
      <c r="D9" s="56">
        <v>8.5053963046087977E-2</v>
      </c>
      <c r="E9" s="224">
        <v>1748.96593406593</v>
      </c>
      <c r="F9" s="515" t="s">
        <v>1386</v>
      </c>
      <c r="G9" s="52">
        <v>389830.31259959098</v>
      </c>
      <c r="H9" s="56">
        <v>4.417010671564793E-2</v>
      </c>
      <c r="I9" s="224">
        <v>1781.7519142505701</v>
      </c>
      <c r="K9" s="519" t="s">
        <v>23569</v>
      </c>
      <c r="L9" s="515" t="s">
        <v>243</v>
      </c>
      <c r="M9" s="515" t="str">
        <f t="shared" si="0"/>
        <v>Queens, NY</v>
      </c>
      <c r="N9" s="58">
        <f t="shared" si="1"/>
        <v>0</v>
      </c>
    </row>
    <row r="10" spans="1:15" x14ac:dyDescent="0.25">
      <c r="A10" s="515">
        <v>91331</v>
      </c>
      <c r="B10" s="515" t="s">
        <v>375</v>
      </c>
      <c r="C10" s="52">
        <v>642275.70455587003</v>
      </c>
      <c r="D10" s="56">
        <v>6.217191138753999E-2</v>
      </c>
      <c r="E10" s="224" t="s">
        <v>2</v>
      </c>
      <c r="F10" s="515" t="s">
        <v>1396</v>
      </c>
      <c r="G10" s="52">
        <v>873825.23848280695</v>
      </c>
      <c r="H10" s="56">
        <v>5.9693568418394335E-2</v>
      </c>
      <c r="I10" s="224">
        <v>3016.0345156503199</v>
      </c>
      <c r="K10" s="519" t="s">
        <v>23570</v>
      </c>
      <c r="L10" s="515" t="s">
        <v>243</v>
      </c>
      <c r="M10" s="515" t="str">
        <f t="shared" si="0"/>
        <v>Bronx, NY</v>
      </c>
      <c r="N10" s="58">
        <f t="shared" si="1"/>
        <v>0</v>
      </c>
    </row>
    <row r="11" spans="1:15" x14ac:dyDescent="0.25">
      <c r="A11" s="515">
        <v>90650</v>
      </c>
      <c r="B11" s="515" t="s">
        <v>375</v>
      </c>
      <c r="C11" s="52">
        <v>653620.61164504802</v>
      </c>
      <c r="D11" s="56">
        <v>4.1126731951949762E-2</v>
      </c>
      <c r="E11" s="224">
        <v>2652.25</v>
      </c>
      <c r="F11" s="515" t="s">
        <v>1409</v>
      </c>
      <c r="G11" s="52">
        <v>298411.00166907097</v>
      </c>
      <c r="H11" s="56">
        <v>9.4134796579322874E-2</v>
      </c>
      <c r="I11" s="224">
        <v>1754.4425076207201</v>
      </c>
      <c r="K11" s="519" t="s">
        <v>23571</v>
      </c>
      <c r="L11" s="515" t="s">
        <v>243</v>
      </c>
      <c r="M11" s="515" t="str">
        <f t="shared" si="0"/>
        <v>Jamaica, NY</v>
      </c>
      <c r="N11" s="58">
        <f t="shared" si="1"/>
        <v>0</v>
      </c>
    </row>
    <row r="12" spans="1:15" x14ac:dyDescent="0.25">
      <c r="A12" s="515">
        <v>8701</v>
      </c>
      <c r="B12" s="515" t="s">
        <v>324</v>
      </c>
      <c r="C12" s="52">
        <v>544430.05355542304</v>
      </c>
      <c r="D12" s="56">
        <v>0.19084515351082115</v>
      </c>
      <c r="E12" s="224" t="s">
        <v>2</v>
      </c>
      <c r="F12" s="515" t="s">
        <v>1385</v>
      </c>
      <c r="G12" s="52">
        <v>557909.70484407595</v>
      </c>
      <c r="H12" s="56">
        <v>4.2556492553566076E-2</v>
      </c>
      <c r="I12" s="224">
        <v>1840.23483286029</v>
      </c>
      <c r="K12" s="519" t="s">
        <v>23572</v>
      </c>
      <c r="L12" s="515" t="s">
        <v>243</v>
      </c>
      <c r="M12" s="515" t="str">
        <f t="shared" si="0"/>
        <v>Astoria, NY</v>
      </c>
      <c r="N12" s="58">
        <f t="shared" si="1"/>
        <v>0</v>
      </c>
    </row>
    <row r="13" spans="1:15" x14ac:dyDescent="0.25">
      <c r="A13" s="515">
        <v>11236</v>
      </c>
      <c r="B13" s="515" t="s">
        <v>324</v>
      </c>
      <c r="C13" s="52">
        <v>606485.13160682796</v>
      </c>
      <c r="D13" s="56">
        <v>7.0203467172561774E-3</v>
      </c>
      <c r="E13" s="224">
        <v>2306.9444444444398</v>
      </c>
      <c r="F13" s="515" t="s">
        <v>1380</v>
      </c>
      <c r="G13" s="52">
        <v>1242406.24891374</v>
      </c>
      <c r="H13" s="56">
        <v>4.9588929291706475E-2</v>
      </c>
      <c r="I13" s="224">
        <v>3016.2668000702902</v>
      </c>
      <c r="K13" s="519" t="s">
        <v>23573</v>
      </c>
      <c r="L13" s="515" t="s">
        <v>243</v>
      </c>
      <c r="M13" s="515" t="str">
        <f t="shared" si="0"/>
        <v>Long Island City, NY</v>
      </c>
      <c r="N13" s="58">
        <f t="shared" si="1"/>
        <v>0</v>
      </c>
    </row>
    <row r="14" spans="1:15" x14ac:dyDescent="0.25">
      <c r="A14" s="515">
        <v>90201</v>
      </c>
      <c r="B14" s="515" t="s">
        <v>375</v>
      </c>
      <c r="C14" s="52">
        <v>615444.15872531303</v>
      </c>
      <c r="D14" s="56">
        <v>6.2650155066732841E-2</v>
      </c>
      <c r="E14" s="224">
        <v>1875</v>
      </c>
      <c r="F14" s="515" t="s">
        <v>1158</v>
      </c>
      <c r="G14" s="52">
        <v>291858.91257642402</v>
      </c>
      <c r="H14" s="56">
        <v>0.15312962845627931</v>
      </c>
      <c r="I14" s="224">
        <v>1657.79337333784</v>
      </c>
      <c r="K14" s="519" t="s">
        <v>23574</v>
      </c>
      <c r="L14" s="515" t="s">
        <v>243</v>
      </c>
      <c r="M14" s="515" t="str">
        <f t="shared" si="0"/>
        <v>Flushing, NY</v>
      </c>
      <c r="N14" s="58">
        <f t="shared" si="1"/>
        <v>0</v>
      </c>
    </row>
    <row r="15" spans="1:15" x14ac:dyDescent="0.25">
      <c r="A15" s="515">
        <v>92335</v>
      </c>
      <c r="B15" s="515" t="s">
        <v>599</v>
      </c>
      <c r="C15" s="52">
        <v>498137.49648452399</v>
      </c>
      <c r="D15" s="56">
        <v>8.8123541630920718E-2</v>
      </c>
      <c r="E15" s="224">
        <v>2559.1666666666601</v>
      </c>
      <c r="F15" s="515" t="s">
        <v>1391</v>
      </c>
      <c r="G15" s="52">
        <v>368844.63333262602</v>
      </c>
      <c r="H15" s="56">
        <v>8.4684117703397413E-2</v>
      </c>
      <c r="I15" s="224">
        <v>1767.19427490252</v>
      </c>
      <c r="K15" s="519" t="s">
        <v>23575</v>
      </c>
      <c r="L15" s="515" t="s">
        <v>243</v>
      </c>
      <c r="M15" s="515" t="str">
        <f t="shared" si="0"/>
        <v>Rockaway, NY</v>
      </c>
      <c r="N15" s="58">
        <f t="shared" si="1"/>
        <v>0</v>
      </c>
    </row>
    <row r="16" spans="1:15" x14ac:dyDescent="0.25">
      <c r="A16" s="515">
        <v>11208</v>
      </c>
      <c r="B16" s="515" t="s">
        <v>324</v>
      </c>
      <c r="C16" s="52">
        <v>631764.29496325494</v>
      </c>
      <c r="D16" s="56">
        <v>1.4332079163913469E-2</v>
      </c>
      <c r="E16" s="224">
        <v>2658.9861111111099</v>
      </c>
      <c r="F16" s="515" t="s">
        <v>1401</v>
      </c>
      <c r="G16" s="52">
        <v>1287792.1359310399</v>
      </c>
      <c r="H16" s="56">
        <v>-9.2369447243626931E-2</v>
      </c>
      <c r="I16" s="224">
        <v>3422.54557156498</v>
      </c>
      <c r="K16" s="519" t="s">
        <v>23576</v>
      </c>
      <c r="L16" s="515" t="s">
        <v>243</v>
      </c>
      <c r="M16" s="515" t="str">
        <f t="shared" si="0"/>
        <v>Manhattan, NY</v>
      </c>
      <c r="N16" s="58">
        <f t="shared" si="1"/>
        <v>0</v>
      </c>
      <c r="O16" s="520">
        <f>IF(SUM($N$2:$N$16)&lt;0,-5%,0%)</f>
        <v>0</v>
      </c>
    </row>
    <row r="17" spans="1:15" x14ac:dyDescent="0.25">
      <c r="A17" s="515">
        <v>10467</v>
      </c>
      <c r="B17" s="515" t="s">
        <v>324</v>
      </c>
      <c r="C17" s="52">
        <v>239122.2354178</v>
      </c>
      <c r="D17" s="56">
        <v>6.4177031824927733E-2</v>
      </c>
      <c r="E17" s="224">
        <v>1974.0178571428501</v>
      </c>
      <c r="F17" s="515" t="s">
        <v>1382</v>
      </c>
      <c r="G17" s="52">
        <v>214432.821234723</v>
      </c>
      <c r="H17" s="56">
        <v>8.6008401341967924E-2</v>
      </c>
      <c r="I17" s="224">
        <v>1303.7822460150801</v>
      </c>
      <c r="K17" s="519" t="s">
        <v>23577</v>
      </c>
      <c r="L17" s="519" t="s">
        <v>257</v>
      </c>
      <c r="M17" s="515" t="str">
        <f t="shared" si="0"/>
        <v>Baltimore, MD</v>
      </c>
      <c r="N17" s="58">
        <f t="shared" si="1"/>
        <v>0</v>
      </c>
    </row>
    <row r="18" spans="1:15" x14ac:dyDescent="0.25">
      <c r="A18" s="515">
        <v>11226</v>
      </c>
      <c r="B18" s="515" t="s">
        <v>324</v>
      </c>
      <c r="C18" s="52">
        <v>626697.83307116304</v>
      </c>
      <c r="D18" s="56">
        <v>-4.9273179115876399E-2</v>
      </c>
      <c r="E18" s="224">
        <v>2575.15207663704</v>
      </c>
      <c r="F18" s="515" t="s">
        <v>2098</v>
      </c>
      <c r="G18" s="52">
        <v>305751.74038954702</v>
      </c>
      <c r="H18" s="56">
        <v>9.0280382848793667E-2</v>
      </c>
      <c r="I18" s="224">
        <v>1796.26832266778</v>
      </c>
      <c r="K18" s="519" t="s">
        <v>23578</v>
      </c>
      <c r="L18" s="519" t="s">
        <v>270</v>
      </c>
      <c r="M18" s="515" t="str">
        <f t="shared" si="0"/>
        <v>Hartford, CT</v>
      </c>
      <c r="N18" s="58">
        <f t="shared" si="1"/>
        <v>0</v>
      </c>
    </row>
    <row r="19" spans="1:15" x14ac:dyDescent="0.25">
      <c r="A19" s="515">
        <v>78660</v>
      </c>
      <c r="B19" s="515" t="s">
        <v>380</v>
      </c>
      <c r="C19" s="52">
        <v>422495.89510190598</v>
      </c>
      <c r="D19" s="56">
        <v>8.2877959462505299E-3</v>
      </c>
      <c r="E19" s="224">
        <v>1877.86666666666</v>
      </c>
      <c r="F19" s="515" t="s">
        <v>368</v>
      </c>
      <c r="G19" s="52">
        <v>312128.41632133001</v>
      </c>
      <c r="H19" s="56">
        <v>7.1855945651451508E-2</v>
      </c>
      <c r="I19" s="224">
        <v>1523.01166536254</v>
      </c>
      <c r="K19" s="519" t="s">
        <v>23579</v>
      </c>
      <c r="L19" s="519" t="s">
        <v>234</v>
      </c>
      <c r="M19" s="515" t="str">
        <f t="shared" si="0"/>
        <v>Houston, TX</v>
      </c>
      <c r="N19" s="58">
        <f t="shared" si="1"/>
        <v>0</v>
      </c>
    </row>
    <row r="20" spans="1:15" x14ac:dyDescent="0.25">
      <c r="A20" s="515">
        <v>92503</v>
      </c>
      <c r="B20" s="515" t="s">
        <v>599</v>
      </c>
      <c r="C20" s="52">
        <v>563063.85044985299</v>
      </c>
      <c r="D20" s="56">
        <v>5.4297297769616032E-2</v>
      </c>
      <c r="E20" s="224">
        <v>2453.6521164021101</v>
      </c>
      <c r="F20" s="515" t="s">
        <v>345</v>
      </c>
      <c r="G20" s="52">
        <v>230026.86157841599</v>
      </c>
      <c r="H20" s="56">
        <v>0.1105961711992203</v>
      </c>
      <c r="I20" s="224">
        <v>1343.0301065312999</v>
      </c>
      <c r="K20" s="519" t="s">
        <v>23580</v>
      </c>
      <c r="L20" s="519" t="s">
        <v>234</v>
      </c>
      <c r="M20" s="515" t="str">
        <f t="shared" si="0"/>
        <v>Austin, TX</v>
      </c>
      <c r="N20" s="58">
        <f t="shared" si="1"/>
        <v>0</v>
      </c>
    </row>
    <row r="21" spans="1:15" x14ac:dyDescent="0.25">
      <c r="A21" s="515">
        <v>90250</v>
      </c>
      <c r="B21" s="515" t="s">
        <v>375</v>
      </c>
      <c r="C21" s="52">
        <v>819054.65347984305</v>
      </c>
      <c r="D21" s="56">
        <v>2.5377223660551812E-2</v>
      </c>
      <c r="E21" s="224">
        <v>2091.9179894179802</v>
      </c>
      <c r="F21" s="515" t="s">
        <v>1372</v>
      </c>
      <c r="G21" s="52">
        <v>225963.493213715</v>
      </c>
      <c r="H21" s="56">
        <v>6.3873648563792434E-2</v>
      </c>
      <c r="I21" s="224">
        <v>1262.32436719827</v>
      </c>
      <c r="K21" s="519" t="s">
        <v>23581</v>
      </c>
      <c r="L21" s="519" t="s">
        <v>235</v>
      </c>
      <c r="M21" s="515" t="str">
        <f t="shared" si="0"/>
        <v>Nashville, TN</v>
      </c>
      <c r="N21" s="58">
        <f t="shared" si="1"/>
        <v>0</v>
      </c>
      <c r="O21" s="520">
        <f>IF(SUM($N$17:$N$21)&lt;0,-5%,0)</f>
        <v>0</v>
      </c>
    </row>
    <row r="22" spans="1:15" x14ac:dyDescent="0.25">
      <c r="A22" s="515">
        <v>90044</v>
      </c>
      <c r="B22" s="515" t="s">
        <v>375</v>
      </c>
      <c r="C22" s="52">
        <v>589035.21453001001</v>
      </c>
      <c r="D22" s="56">
        <v>3.1209123174886864E-2</v>
      </c>
      <c r="E22" s="224">
        <v>2417.13333333333</v>
      </c>
      <c r="F22" s="515" t="s">
        <v>1390</v>
      </c>
      <c r="G22" s="52">
        <v>357876.41176377097</v>
      </c>
      <c r="H22" s="56">
        <v>0.11335907139274656</v>
      </c>
      <c r="I22" s="224">
        <v>1974.52001839225</v>
      </c>
      <c r="K22" s="953" t="s">
        <v>375</v>
      </c>
      <c r="L22" s="953"/>
      <c r="M22" s="953"/>
      <c r="N22" s="520">
        <f>IF($N$1=K22,-5%,0%)</f>
        <v>0</v>
      </c>
    </row>
    <row r="23" spans="1:15" x14ac:dyDescent="0.25">
      <c r="A23" s="515">
        <v>90805</v>
      </c>
      <c r="B23" s="515" t="s">
        <v>375</v>
      </c>
      <c r="C23" s="52">
        <v>626409.20019608503</v>
      </c>
      <c r="D23" s="56">
        <v>3.9111565392939064E-2</v>
      </c>
      <c r="E23" s="224">
        <v>1984.0158730158701</v>
      </c>
      <c r="F23" s="515" t="s">
        <v>1398</v>
      </c>
      <c r="G23" s="52">
        <v>831101.86097971897</v>
      </c>
      <c r="H23" s="56">
        <v>2.2805380144802988E-3</v>
      </c>
      <c r="I23" s="224">
        <v>2162.9314510351701</v>
      </c>
      <c r="K23" s="953" t="s">
        <v>396</v>
      </c>
      <c r="L23" s="953"/>
      <c r="M23" s="953"/>
      <c r="N23" s="520">
        <f>IF($N$1=K23,-5%,0%)</f>
        <v>0</v>
      </c>
    </row>
    <row r="24" spans="1:15" x14ac:dyDescent="0.25">
      <c r="A24" s="515">
        <v>90280</v>
      </c>
      <c r="B24" s="515" t="s">
        <v>375</v>
      </c>
      <c r="C24" s="52">
        <v>609558.78105923894</v>
      </c>
      <c r="D24" s="56">
        <v>6.1762852404839912E-2</v>
      </c>
      <c r="E24" s="224">
        <v>1826.5</v>
      </c>
      <c r="F24" s="515" t="s">
        <v>1388</v>
      </c>
      <c r="G24" s="52">
        <v>525442.99563150795</v>
      </c>
      <c r="H24" s="56">
        <v>-1.5291113879182847E-2</v>
      </c>
      <c r="I24" s="224">
        <v>1793.4613605928701</v>
      </c>
      <c r="K24" s="953" t="s">
        <v>593</v>
      </c>
      <c r="L24" s="953"/>
      <c r="M24" s="953"/>
      <c r="N24" s="520">
        <f>IF($N$1=K24,-5%,0%)</f>
        <v>0</v>
      </c>
    </row>
    <row r="25" spans="1:15" x14ac:dyDescent="0.25">
      <c r="A25" s="515">
        <v>93307</v>
      </c>
      <c r="B25" s="515" t="s">
        <v>419</v>
      </c>
      <c r="C25" s="52">
        <v>274535.96726722998</v>
      </c>
      <c r="D25" s="56">
        <v>0.10039347059403061</v>
      </c>
      <c r="E25" s="224">
        <v>1459.0833333333301</v>
      </c>
      <c r="F25" s="515" t="s">
        <v>1394</v>
      </c>
      <c r="G25" s="52">
        <v>556165.06165723095</v>
      </c>
      <c r="H25" s="56">
        <v>2.5532053686871545E-2</v>
      </c>
      <c r="I25" s="224">
        <v>1956.1089376761399</v>
      </c>
      <c r="K25" s="953" t="s">
        <v>355</v>
      </c>
      <c r="L25" s="953"/>
      <c r="M25" s="953"/>
      <c r="N25" s="520">
        <f>IF($N$1=K25,-5%,0%)</f>
        <v>0</v>
      </c>
      <c r="O25" s="520">
        <f>IF(SUM($N$22:$N$25)&lt;0,-5%,0)</f>
        <v>0</v>
      </c>
    </row>
    <row r="26" spans="1:15" x14ac:dyDescent="0.25">
      <c r="A26" s="515">
        <v>91342</v>
      </c>
      <c r="B26" s="515" t="s">
        <v>375</v>
      </c>
      <c r="C26" s="52">
        <v>701794.04295640299</v>
      </c>
      <c r="D26" s="56">
        <v>3.3294020114461614E-2</v>
      </c>
      <c r="E26" s="224">
        <v>2651.9166666666601</v>
      </c>
      <c r="F26" s="515" t="s">
        <v>1119</v>
      </c>
      <c r="G26" s="52">
        <v>198193.678166611</v>
      </c>
      <c r="H26" s="56">
        <v>0.12831639284724825</v>
      </c>
      <c r="I26" s="224">
        <v>1467.8115161261501</v>
      </c>
      <c r="M26" s="515"/>
    </row>
    <row r="27" spans="1:15" x14ac:dyDescent="0.25">
      <c r="A27" s="515">
        <v>92683</v>
      </c>
      <c r="B27" s="515" t="s">
        <v>375</v>
      </c>
      <c r="C27" s="52">
        <v>884047.11949414096</v>
      </c>
      <c r="D27" s="56">
        <v>3.6493961502396463E-2</v>
      </c>
      <c r="E27" s="224">
        <v>2891.1111111111099</v>
      </c>
      <c r="F27" s="515" t="s">
        <v>1407</v>
      </c>
      <c r="G27" s="52">
        <v>615691.99167894304</v>
      </c>
      <c r="H27" s="56">
        <v>-2.1560475100957651E-2</v>
      </c>
      <c r="I27" s="224">
        <v>2421.40484219874</v>
      </c>
      <c r="K27" s="953" t="s">
        <v>23582</v>
      </c>
      <c r="L27" s="953"/>
      <c r="M27" s="953"/>
      <c r="N27" s="520">
        <f>IF(OR($L$1="3+",$L$1="5+",$L$1="10+",$L$1="30+"),0,$O$16)</f>
        <v>0</v>
      </c>
    </row>
    <row r="28" spans="1:15" x14ac:dyDescent="0.25">
      <c r="A28" s="515">
        <v>92336</v>
      </c>
      <c r="B28" s="515" t="s">
        <v>599</v>
      </c>
      <c r="C28" s="52">
        <v>646861.57439317799</v>
      </c>
      <c r="D28" s="56">
        <v>4.7219123964189529E-2</v>
      </c>
      <c r="E28" s="224">
        <v>3131.4523809523798</v>
      </c>
      <c r="F28" s="515" t="s">
        <v>1402</v>
      </c>
      <c r="G28" s="52">
        <v>665946.51588801702</v>
      </c>
      <c r="H28" s="56">
        <v>-8.1315376570401752E-3</v>
      </c>
      <c r="I28" s="224">
        <v>3419.9943983784701</v>
      </c>
      <c r="K28" s="953" t="s">
        <v>23583</v>
      </c>
      <c r="L28" s="953"/>
      <c r="M28" s="953"/>
      <c r="N28" s="520">
        <f>IF(OR($L$1="3+",$L$1="5+",$L$1="10+",$L$1="30+"),0,$O$25)</f>
        <v>0</v>
      </c>
    </row>
    <row r="29" spans="1:15" x14ac:dyDescent="0.25">
      <c r="A29" s="515">
        <v>11373</v>
      </c>
      <c r="B29" s="515" t="s">
        <v>324</v>
      </c>
      <c r="C29" s="52">
        <v>363055.33756338799</v>
      </c>
      <c r="D29" s="56">
        <v>-5.3567571112812365E-2</v>
      </c>
      <c r="E29" s="224">
        <v>2223.1666666666601</v>
      </c>
      <c r="F29" s="515" t="s">
        <v>1399</v>
      </c>
      <c r="G29" s="52">
        <v>71284.767460333504</v>
      </c>
      <c r="H29" s="56">
        <v>7.0989871796798582E-2</v>
      </c>
      <c r="I29" s="224">
        <v>1201.0874999999901</v>
      </c>
      <c r="K29" s="953" t="s">
        <v>23584</v>
      </c>
      <c r="L29" s="953"/>
      <c r="M29" s="953"/>
      <c r="N29" s="520">
        <f>IF(OR($L$1="3+",$L$1="5+",$L$1="10+",$L$1="30+"),0,$O$21)</f>
        <v>0</v>
      </c>
    </row>
    <row r="30" spans="1:15" x14ac:dyDescent="0.25">
      <c r="A30" s="515">
        <v>60618</v>
      </c>
      <c r="B30" s="515" t="s">
        <v>394</v>
      </c>
      <c r="C30" s="52">
        <v>434443.58883354999</v>
      </c>
      <c r="D30" s="56">
        <v>-5.4741471484973887E-2</v>
      </c>
      <c r="E30" s="224">
        <v>1766.05409356725</v>
      </c>
      <c r="F30" s="515" t="s">
        <v>1379</v>
      </c>
      <c r="G30" s="52">
        <v>417221.49513128301</v>
      </c>
      <c r="H30" s="56">
        <v>0.11178012836385455</v>
      </c>
      <c r="I30" s="224">
        <v>1830.71803138786</v>
      </c>
    </row>
    <row r="31" spans="1:15" x14ac:dyDescent="0.25">
      <c r="A31" s="515">
        <v>94565</v>
      </c>
      <c r="B31" s="515" t="s">
        <v>593</v>
      </c>
      <c r="C31" s="52">
        <v>555025.43471956102</v>
      </c>
      <c r="D31" s="56">
        <v>-8.1844072940120537E-3</v>
      </c>
      <c r="E31" s="224">
        <v>2815.2895299145298</v>
      </c>
      <c r="F31" s="515" t="s">
        <v>1406</v>
      </c>
      <c r="G31" s="52">
        <v>528788.39110791602</v>
      </c>
      <c r="H31" s="56">
        <v>0.18265031744698271</v>
      </c>
      <c r="I31" s="224">
        <v>3201.6948665960999</v>
      </c>
    </row>
    <row r="32" spans="1:15" x14ac:dyDescent="0.25">
      <c r="A32" s="515">
        <v>11234</v>
      </c>
      <c r="B32" s="515" t="s">
        <v>324</v>
      </c>
      <c r="C32" s="52">
        <v>689256.28725562105</v>
      </c>
      <c r="D32" s="56">
        <v>3.2686648730897869E-2</v>
      </c>
      <c r="E32" s="224">
        <v>2397.9047619047601</v>
      </c>
      <c r="F32" s="515" t="s">
        <v>1387</v>
      </c>
      <c r="G32" s="52">
        <v>447961.062181085</v>
      </c>
      <c r="H32" s="56">
        <v>2.4532283337638058E-2</v>
      </c>
      <c r="I32" s="224">
        <v>2068.3772741488901</v>
      </c>
    </row>
    <row r="33" spans="1:9" x14ac:dyDescent="0.25">
      <c r="A33" s="515">
        <v>11220</v>
      </c>
      <c r="B33" s="515" t="s">
        <v>324</v>
      </c>
      <c r="C33" s="52">
        <v>535938.07897032704</v>
      </c>
      <c r="D33" s="56">
        <v>-2.134992046322608E-2</v>
      </c>
      <c r="E33" s="224">
        <v>2177.9333333333302</v>
      </c>
      <c r="F33" s="515" t="s">
        <v>1374</v>
      </c>
      <c r="G33" s="52">
        <v>145968.25201660101</v>
      </c>
      <c r="H33" s="56">
        <v>0.1292908540409346</v>
      </c>
      <c r="I33" s="224">
        <v>1292.87762333813</v>
      </c>
    </row>
    <row r="34" spans="1:9" x14ac:dyDescent="0.25">
      <c r="A34" s="515">
        <v>78521</v>
      </c>
      <c r="B34" s="515" t="s">
        <v>444</v>
      </c>
      <c r="C34" s="52">
        <v>135128.94426244899</v>
      </c>
      <c r="D34" s="56">
        <v>0.13849165302704819</v>
      </c>
      <c r="E34" s="224" t="s">
        <v>2</v>
      </c>
      <c r="F34" s="515" t="s">
        <v>1392</v>
      </c>
      <c r="G34" s="52">
        <v>173751.32905896299</v>
      </c>
      <c r="H34" s="56">
        <v>5.2726250275589255E-2</v>
      </c>
      <c r="I34" s="224">
        <v>1611.8516905221099</v>
      </c>
    </row>
    <row r="35" spans="1:9" x14ac:dyDescent="0.25">
      <c r="A35" s="515">
        <v>60639</v>
      </c>
      <c r="B35" s="515" t="s">
        <v>394</v>
      </c>
      <c r="C35" s="52">
        <v>276161.21992865199</v>
      </c>
      <c r="D35" s="56">
        <v>1.6042454491096293E-2</v>
      </c>
      <c r="E35" s="224">
        <v>1365.2777777777701</v>
      </c>
      <c r="F35" s="515" t="s">
        <v>297</v>
      </c>
      <c r="G35" s="52">
        <v>213205.781815236</v>
      </c>
      <c r="H35" s="56">
        <v>5.0635249646578916E-2</v>
      </c>
      <c r="I35" s="224">
        <v>1403.0492820187901</v>
      </c>
    </row>
    <row r="36" spans="1:9" x14ac:dyDescent="0.25">
      <c r="A36" s="515">
        <v>75052</v>
      </c>
      <c r="B36" s="515" t="s">
        <v>458</v>
      </c>
      <c r="C36" s="52">
        <v>323564.84545138001</v>
      </c>
      <c r="D36" s="56">
        <v>7.0451962262889939E-2</v>
      </c>
      <c r="E36" s="224">
        <v>1736.6666666666599</v>
      </c>
      <c r="F36" s="515" t="s">
        <v>541</v>
      </c>
      <c r="G36" s="52">
        <v>350187.82604356</v>
      </c>
      <c r="H36" s="56">
        <v>6.1927331672013225E-2</v>
      </c>
      <c r="I36" s="224">
        <v>1747.94341962413</v>
      </c>
    </row>
    <row r="37" spans="1:9" x14ac:dyDescent="0.25">
      <c r="A37" s="515">
        <v>11207</v>
      </c>
      <c r="B37" s="515" t="s">
        <v>324</v>
      </c>
      <c r="C37" s="52">
        <v>540595.78872210498</v>
      </c>
      <c r="D37" s="56">
        <v>2.1395388287553531E-2</v>
      </c>
      <c r="E37" s="224">
        <v>2844.6281328320802</v>
      </c>
      <c r="F37" s="515" t="s">
        <v>1376</v>
      </c>
      <c r="G37" s="52">
        <v>174111.430789345</v>
      </c>
      <c r="H37" s="56">
        <v>7.3668025944537613E-2</v>
      </c>
      <c r="I37" s="224">
        <v>1130.61241905576</v>
      </c>
    </row>
    <row r="38" spans="1:9" x14ac:dyDescent="0.25">
      <c r="A38" s="515">
        <v>77433</v>
      </c>
      <c r="B38" s="515" t="s">
        <v>314</v>
      </c>
      <c r="C38" s="52">
        <v>417039.27377651201</v>
      </c>
      <c r="D38" s="56">
        <v>8.1950440321293977E-2</v>
      </c>
      <c r="E38" s="224">
        <v>1992.39142857142</v>
      </c>
      <c r="F38" s="515" t="s">
        <v>1367</v>
      </c>
      <c r="G38" s="52">
        <v>254937.372934974</v>
      </c>
      <c r="H38" s="56">
        <v>8.0659182624088277E-2</v>
      </c>
      <c r="I38" s="224">
        <v>1225.09699468757</v>
      </c>
    </row>
    <row r="39" spans="1:9" x14ac:dyDescent="0.25">
      <c r="A39" s="515">
        <v>11214</v>
      </c>
      <c r="B39" s="515" t="s">
        <v>324</v>
      </c>
      <c r="C39" s="52">
        <v>459269.35034835403</v>
      </c>
      <c r="D39" s="56">
        <v>-3.8599379195543772E-2</v>
      </c>
      <c r="E39" s="224">
        <v>2020.7222222222199</v>
      </c>
      <c r="F39" s="515" t="s">
        <v>385</v>
      </c>
      <c r="G39" s="52">
        <v>188078.76001141901</v>
      </c>
      <c r="H39" s="56">
        <v>0.11897398010597447</v>
      </c>
      <c r="I39" s="224">
        <v>1215.9976924759401</v>
      </c>
    </row>
    <row r="40" spans="1:9" x14ac:dyDescent="0.25">
      <c r="A40" s="515">
        <v>30044</v>
      </c>
      <c r="B40" s="515" t="s">
        <v>957</v>
      </c>
      <c r="C40" s="52">
        <v>335608.38913832</v>
      </c>
      <c r="D40" s="56">
        <v>7.2091006125473783E-2</v>
      </c>
      <c r="E40" s="224">
        <v>2016.06570881226</v>
      </c>
      <c r="F40" s="515" t="s">
        <v>406</v>
      </c>
      <c r="G40" s="52">
        <v>302545.22408319998</v>
      </c>
      <c r="H40" s="56">
        <v>8.2908553314366348E-2</v>
      </c>
      <c r="I40" s="224">
        <v>1503.2120629174201</v>
      </c>
    </row>
    <row r="41" spans="1:9" x14ac:dyDescent="0.25">
      <c r="A41" s="515">
        <v>10025</v>
      </c>
      <c r="B41" s="515" t="s">
        <v>324</v>
      </c>
      <c r="C41" s="52">
        <v>1047394.5382774</v>
      </c>
      <c r="D41" s="56">
        <v>-5.6785986679007527E-2</v>
      </c>
      <c r="E41" s="224">
        <v>3741.8925698405701</v>
      </c>
      <c r="F41" s="515" t="s">
        <v>2099</v>
      </c>
      <c r="G41" s="52">
        <v>412841.73979145498</v>
      </c>
      <c r="H41" s="56">
        <v>3.25704527465948E-2</v>
      </c>
      <c r="I41" s="224">
        <v>1718.0268436117599</v>
      </c>
    </row>
    <row r="42" spans="1:9" x14ac:dyDescent="0.25">
      <c r="A42" s="515">
        <v>91911</v>
      </c>
      <c r="B42" s="515" t="s">
        <v>396</v>
      </c>
      <c r="C42" s="52">
        <v>662156.65334687894</v>
      </c>
      <c r="D42" s="56">
        <v>7.423311754759887E-2</v>
      </c>
      <c r="E42" s="224">
        <v>2729.37037037037</v>
      </c>
      <c r="F42" s="515" t="s">
        <v>1375</v>
      </c>
      <c r="G42" s="52">
        <v>412507.18948755099</v>
      </c>
      <c r="H42" s="56">
        <v>7.1199533003772617E-2</v>
      </c>
      <c r="I42" s="224">
        <v>1640.0745243107101</v>
      </c>
    </row>
    <row r="43" spans="1:9" x14ac:dyDescent="0.25">
      <c r="A43" s="515">
        <v>10456</v>
      </c>
      <c r="B43" s="515" t="s">
        <v>324</v>
      </c>
      <c r="C43" s="52">
        <v>309657.93520630198</v>
      </c>
      <c r="D43" s="56">
        <v>-6.1573752731446579E-2</v>
      </c>
      <c r="E43" s="224">
        <v>2065.6944444444398</v>
      </c>
      <c r="F43" s="515" t="s">
        <v>701</v>
      </c>
      <c r="G43" s="52">
        <v>441644.576936503</v>
      </c>
      <c r="H43" s="56">
        <v>1.599772373181247E-2</v>
      </c>
      <c r="I43" s="224">
        <v>1784.2664511133</v>
      </c>
    </row>
    <row r="44" spans="1:9" x14ac:dyDescent="0.25">
      <c r="A44" s="515">
        <v>10314</v>
      </c>
      <c r="B44" s="515" t="s">
        <v>324</v>
      </c>
      <c r="C44" s="52">
        <v>620375.66203636304</v>
      </c>
      <c r="D44" s="56">
        <v>4.4751832621679533E-2</v>
      </c>
      <c r="E44" s="224">
        <v>2147.1666666666601</v>
      </c>
      <c r="F44" s="515" t="s">
        <v>1404</v>
      </c>
      <c r="G44" s="52">
        <v>367309.00160025101</v>
      </c>
      <c r="H44" s="56">
        <v>5.1900870054155536E-2</v>
      </c>
      <c r="I44" s="224">
        <v>1991.1465047863601</v>
      </c>
    </row>
    <row r="45" spans="1:9" x14ac:dyDescent="0.25">
      <c r="A45" s="515">
        <v>77479</v>
      </c>
      <c r="B45" s="515" t="s">
        <v>314</v>
      </c>
      <c r="C45" s="52">
        <v>496607.927483843</v>
      </c>
      <c r="D45" s="56">
        <v>7.0319144376934498E-2</v>
      </c>
      <c r="E45" s="224">
        <v>2187.5574074074002</v>
      </c>
      <c r="F45" s="515" t="s">
        <v>1370</v>
      </c>
      <c r="G45" s="52">
        <v>201075.758958597</v>
      </c>
      <c r="H45" s="56">
        <v>8.7301860582263538E-2</v>
      </c>
      <c r="I45" s="224">
        <v>1222.1395606132401</v>
      </c>
    </row>
    <row r="46" spans="1:9" x14ac:dyDescent="0.25">
      <c r="A46" s="515">
        <v>11219</v>
      </c>
      <c r="B46" s="515" t="s">
        <v>324</v>
      </c>
      <c r="C46" s="52">
        <v>780912.08458592498</v>
      </c>
      <c r="D46" s="56">
        <v>1.7880147663729383E-2</v>
      </c>
      <c r="E46" s="224">
        <v>2207.6666666666601</v>
      </c>
      <c r="F46" s="515" t="s">
        <v>1383</v>
      </c>
      <c r="G46" s="52">
        <v>216746.67562149599</v>
      </c>
      <c r="H46" s="56">
        <v>9.1662616817219211E-2</v>
      </c>
      <c r="I46" s="224">
        <v>1293.1266211985601</v>
      </c>
    </row>
    <row r="47" spans="1:9" x14ac:dyDescent="0.25">
      <c r="A47" s="515">
        <v>37013</v>
      </c>
      <c r="B47" s="515" t="s">
        <v>684</v>
      </c>
      <c r="C47" s="52">
        <v>350184.41601738101</v>
      </c>
      <c r="D47" s="56">
        <v>9.1242932530645415E-2</v>
      </c>
      <c r="E47" s="224">
        <v>1846.03358585858</v>
      </c>
      <c r="F47" s="515" t="s">
        <v>337</v>
      </c>
      <c r="G47" s="52">
        <v>182939.789358243</v>
      </c>
      <c r="H47" s="56">
        <v>0</v>
      </c>
      <c r="I47" s="224">
        <v>1303.5472260015099</v>
      </c>
    </row>
    <row r="48" spans="1:9" x14ac:dyDescent="0.25">
      <c r="A48" s="515">
        <v>60647</v>
      </c>
      <c r="B48" s="515" t="s">
        <v>394</v>
      </c>
      <c r="C48" s="52">
        <v>445697.96294005797</v>
      </c>
      <c r="D48" s="56">
        <v>-7.140761391929891E-2</v>
      </c>
      <c r="E48" s="224">
        <v>2012.5035725144401</v>
      </c>
      <c r="F48" s="515" t="s">
        <v>2100</v>
      </c>
      <c r="G48" s="52">
        <v>763730.39629216201</v>
      </c>
      <c r="H48" s="56">
        <v>2.8883219735750126E-2</v>
      </c>
      <c r="I48" s="224">
        <v>2204.5175921477398</v>
      </c>
    </row>
    <row r="49" spans="1:9" x14ac:dyDescent="0.25">
      <c r="A49" s="515">
        <v>60632</v>
      </c>
      <c r="B49" s="515" t="s">
        <v>394</v>
      </c>
      <c r="C49" s="52">
        <v>243322.771316142</v>
      </c>
      <c r="D49" s="56">
        <v>3.9173759892729407E-2</v>
      </c>
      <c r="E49" s="224">
        <v>1341.6666666666599</v>
      </c>
      <c r="F49" s="515" t="s">
        <v>1395</v>
      </c>
      <c r="G49" s="52">
        <v>373410.14943726797</v>
      </c>
      <c r="H49" s="56">
        <v>0.12304292720389078</v>
      </c>
      <c r="I49" s="224">
        <v>2146.9710769406302</v>
      </c>
    </row>
    <row r="50" spans="1:9" x14ac:dyDescent="0.25">
      <c r="A50" s="515">
        <v>92804</v>
      </c>
      <c r="B50" s="515" t="s">
        <v>375</v>
      </c>
      <c r="C50" s="52">
        <v>766191.67528952099</v>
      </c>
      <c r="D50" s="56">
        <v>6.0659037794112476E-2</v>
      </c>
      <c r="E50" s="224">
        <v>2374.5119047619</v>
      </c>
      <c r="F50" s="515" t="s">
        <v>1378</v>
      </c>
      <c r="G50" s="52">
        <v>360170.45231909701</v>
      </c>
      <c r="H50" s="56">
        <v>4.0854190578384859E-2</v>
      </c>
      <c r="I50" s="224">
        <v>1842.2200135226501</v>
      </c>
    </row>
    <row r="51" spans="1:9" x14ac:dyDescent="0.25">
      <c r="A51" s="515">
        <v>92154</v>
      </c>
      <c r="B51" s="515" t="s">
        <v>396</v>
      </c>
      <c r="C51" s="52">
        <v>652593.35947662999</v>
      </c>
      <c r="D51" s="56">
        <v>6.3404187918701949E-2</v>
      </c>
      <c r="E51" s="224">
        <v>2748.7688492063398</v>
      </c>
      <c r="F51" s="515" t="s">
        <v>1550</v>
      </c>
      <c r="G51" s="52">
        <v>797927.16657283599</v>
      </c>
      <c r="H51" s="56">
        <v>-6.3637333118028522E-2</v>
      </c>
      <c r="I51" s="224">
        <v>2693.03170963708</v>
      </c>
    </row>
    <row r="52" spans="1:9" x14ac:dyDescent="0.25">
      <c r="A52" s="515">
        <v>77573</v>
      </c>
      <c r="B52" s="515" t="s">
        <v>314</v>
      </c>
      <c r="C52" s="52">
        <v>361955.94704888802</v>
      </c>
      <c r="D52" s="56">
        <v>5.5345026551848628E-2</v>
      </c>
      <c r="E52" s="224">
        <v>1747.4784997611</v>
      </c>
      <c r="F52" s="515" t="s">
        <v>348</v>
      </c>
      <c r="G52" s="52">
        <v>183557.09852292901</v>
      </c>
      <c r="H52" s="56">
        <v>9.2645973145883742E-2</v>
      </c>
      <c r="I52" s="224">
        <v>1166.19505889322</v>
      </c>
    </row>
    <row r="53" spans="1:9" x14ac:dyDescent="0.25">
      <c r="A53" s="515">
        <v>11221</v>
      </c>
      <c r="B53" s="515" t="s">
        <v>324</v>
      </c>
      <c r="C53" s="52">
        <v>971079.109176361</v>
      </c>
      <c r="D53" s="56">
        <v>-3.0526912552163915E-2</v>
      </c>
      <c r="E53" s="224">
        <v>3002.2591680350301</v>
      </c>
      <c r="F53" s="515" t="s">
        <v>1397</v>
      </c>
      <c r="G53" s="52">
        <v>305598.17200353002</v>
      </c>
      <c r="H53" s="56">
        <v>1.2677733642682976E-2</v>
      </c>
      <c r="I53" s="224">
        <v>1625.5856770754101</v>
      </c>
    </row>
    <row r="54" spans="1:9" x14ac:dyDescent="0.25">
      <c r="A54" s="515">
        <v>77429</v>
      </c>
      <c r="B54" s="515" t="s">
        <v>314</v>
      </c>
      <c r="C54" s="52">
        <v>364242.95681860001</v>
      </c>
      <c r="D54" s="56">
        <v>8.7579688892930774E-2</v>
      </c>
      <c r="E54" s="224">
        <v>2008.80701754385</v>
      </c>
      <c r="F54" s="515" t="s">
        <v>2101</v>
      </c>
      <c r="G54" s="52">
        <v>471793.84984290798</v>
      </c>
      <c r="H54" s="56">
        <v>2.5811881296344243E-2</v>
      </c>
      <c r="I54" s="224">
        <v>1849.7392459733401</v>
      </c>
    </row>
    <row r="55" spans="1:9" x14ac:dyDescent="0.25">
      <c r="A55" s="515">
        <v>95076</v>
      </c>
      <c r="B55" s="515" t="s">
        <v>596</v>
      </c>
      <c r="C55" s="52">
        <v>781350.84684417001</v>
      </c>
      <c r="D55" s="56">
        <v>1.9576398617672682E-2</v>
      </c>
      <c r="E55" s="224" t="s">
        <v>2</v>
      </c>
      <c r="F55" s="515" t="s">
        <v>419</v>
      </c>
      <c r="G55" s="52">
        <v>364255.00277964398</v>
      </c>
      <c r="H55" s="56">
        <v>5.6298030747102219E-2</v>
      </c>
      <c r="I55" s="224">
        <v>1836.3713275766199</v>
      </c>
    </row>
    <row r="56" spans="1:9" x14ac:dyDescent="0.25">
      <c r="A56" s="515">
        <v>92704</v>
      </c>
      <c r="B56" s="515" t="s">
        <v>375</v>
      </c>
      <c r="C56" s="52">
        <v>706046.10693937296</v>
      </c>
      <c r="D56" s="56">
        <v>5.5913887732206555E-2</v>
      </c>
      <c r="E56" s="224">
        <v>2615.9166666666601</v>
      </c>
      <c r="F56" s="515" t="s">
        <v>2102</v>
      </c>
      <c r="G56" s="52">
        <v>786871.05111540295</v>
      </c>
      <c r="H56" s="56">
        <v>4.4677110197332302E-2</v>
      </c>
      <c r="I56" s="224">
        <v>2428.3184750733099</v>
      </c>
    </row>
    <row r="57" spans="1:9" x14ac:dyDescent="0.25">
      <c r="A57" s="515">
        <v>91710</v>
      </c>
      <c r="B57" s="515" t="s">
        <v>599</v>
      </c>
      <c r="C57" s="52">
        <v>680863.22310219798</v>
      </c>
      <c r="D57" s="56">
        <v>3.6579786855002162E-2</v>
      </c>
      <c r="E57" s="224">
        <v>3017.5</v>
      </c>
      <c r="F57" s="515" t="s">
        <v>2103</v>
      </c>
      <c r="G57" s="52">
        <v>310625.04456667899</v>
      </c>
      <c r="H57" s="56">
        <v>7.6355713042425569E-2</v>
      </c>
      <c r="I57" s="224">
        <v>1714.83335834387</v>
      </c>
    </row>
    <row r="58" spans="1:9" x14ac:dyDescent="0.25">
      <c r="A58" s="515">
        <v>93033</v>
      </c>
      <c r="B58" s="515" t="s">
        <v>1021</v>
      </c>
      <c r="C58" s="52">
        <v>588782.53727546101</v>
      </c>
      <c r="D58" s="56">
        <v>4.1561658751437615E-2</v>
      </c>
      <c r="E58" s="224">
        <v>2324</v>
      </c>
      <c r="F58" s="515" t="s">
        <v>1373</v>
      </c>
      <c r="G58" s="52">
        <v>263427.61335688102</v>
      </c>
      <c r="H58" s="56">
        <v>1.5291911411090825E-2</v>
      </c>
      <c r="I58" s="224">
        <v>1615.9871542250801</v>
      </c>
    </row>
    <row r="59" spans="1:9" x14ac:dyDescent="0.25">
      <c r="A59" s="515">
        <v>75217</v>
      </c>
      <c r="B59" s="515" t="s">
        <v>458</v>
      </c>
      <c r="C59" s="52">
        <v>201183.616684165</v>
      </c>
      <c r="D59" s="56">
        <v>0.19375674151066233</v>
      </c>
      <c r="E59" s="224">
        <v>1784.7777777777701</v>
      </c>
      <c r="F59" s="515" t="s">
        <v>907</v>
      </c>
      <c r="G59" s="52">
        <v>306133.04511098599</v>
      </c>
      <c r="H59" s="56">
        <v>0.13041768523315594</v>
      </c>
      <c r="I59" s="224">
        <v>1691.5087835134</v>
      </c>
    </row>
    <row r="60" spans="1:9" x14ac:dyDescent="0.25">
      <c r="A60" s="515">
        <v>10458</v>
      </c>
      <c r="B60" s="515" t="s">
        <v>324</v>
      </c>
      <c r="C60" s="52">
        <v>219383.014468048</v>
      </c>
      <c r="D60" s="56">
        <v>1.9346439242393321E-2</v>
      </c>
      <c r="E60" s="224">
        <v>1859.6428571428501</v>
      </c>
      <c r="F60" s="515" t="s">
        <v>1381</v>
      </c>
      <c r="G60" s="52">
        <v>99746.692440362298</v>
      </c>
      <c r="H60" s="56">
        <v>0.10828167799309461</v>
      </c>
      <c r="I60" s="224">
        <v>1273.1998808814701</v>
      </c>
    </row>
    <row r="61" spans="1:9" x14ac:dyDescent="0.25">
      <c r="A61" s="515">
        <v>30043</v>
      </c>
      <c r="B61" s="515" t="s">
        <v>957</v>
      </c>
      <c r="C61" s="52">
        <v>386959.049205077</v>
      </c>
      <c r="D61" s="56">
        <v>7.3862665937470803E-2</v>
      </c>
      <c r="E61" s="224">
        <v>1996.01111111111</v>
      </c>
      <c r="F61" s="515" t="s">
        <v>610</v>
      </c>
      <c r="G61" s="52">
        <v>203769.80917271401</v>
      </c>
      <c r="H61" s="56">
        <v>4.4011163356790867E-2</v>
      </c>
      <c r="I61" s="224">
        <v>1299.23890557959</v>
      </c>
    </row>
    <row r="62" spans="1:9" x14ac:dyDescent="0.25">
      <c r="A62" s="515">
        <v>94112</v>
      </c>
      <c r="B62" s="515" t="s">
        <v>593</v>
      </c>
      <c r="C62" s="52">
        <v>1094281.57851747</v>
      </c>
      <c r="D62" s="56">
        <v>-7.1253553119679847E-2</v>
      </c>
      <c r="E62" s="224">
        <v>2957.0833333333298</v>
      </c>
      <c r="F62" s="515" t="s">
        <v>1400</v>
      </c>
      <c r="G62" s="52">
        <v>573753.14406753599</v>
      </c>
      <c r="H62" s="56">
        <v>5.3941514434467083E-2</v>
      </c>
      <c r="I62" s="224">
        <v>2399.9111111111101</v>
      </c>
    </row>
    <row r="63" spans="1:9" x14ac:dyDescent="0.25">
      <c r="A63" s="515">
        <v>77584</v>
      </c>
      <c r="B63" s="515" t="s">
        <v>314</v>
      </c>
      <c r="C63" s="52">
        <v>356866.25999907602</v>
      </c>
      <c r="D63" s="56">
        <v>7.2980523096871086E-2</v>
      </c>
      <c r="E63" s="224">
        <v>1824.61512791991</v>
      </c>
      <c r="F63" s="515" t="s">
        <v>485</v>
      </c>
      <c r="G63" s="52">
        <v>180659.265546479</v>
      </c>
      <c r="H63" s="56">
        <v>8.9994635116950439E-2</v>
      </c>
      <c r="I63" s="224">
        <v>956.39369658119597</v>
      </c>
    </row>
    <row r="64" spans="1:9" x14ac:dyDescent="0.25">
      <c r="A64" s="515">
        <v>92376</v>
      </c>
      <c r="B64" s="515" t="s">
        <v>599</v>
      </c>
      <c r="C64" s="52">
        <v>496292.61024366802</v>
      </c>
      <c r="D64" s="56">
        <v>6.1439444181709532E-2</v>
      </c>
      <c r="E64" s="224">
        <v>2701.3333333333298</v>
      </c>
      <c r="F64" s="515" t="s">
        <v>2104</v>
      </c>
      <c r="G64" s="52">
        <v>790165.32395751996</v>
      </c>
      <c r="H64" s="56">
        <v>4.931545433015129E-2</v>
      </c>
      <c r="I64" s="224">
        <v>2741.6500403813002</v>
      </c>
    </row>
    <row r="65" spans="1:9" x14ac:dyDescent="0.25">
      <c r="A65" s="515">
        <v>87121</v>
      </c>
      <c r="B65" s="515" t="s">
        <v>406</v>
      </c>
      <c r="C65" s="52">
        <v>241796.68923768701</v>
      </c>
      <c r="D65" s="56">
        <v>8.8323943302950195E-2</v>
      </c>
      <c r="E65" s="224">
        <v>1597.1587301587299</v>
      </c>
      <c r="F65" s="515" t="s">
        <v>1384</v>
      </c>
      <c r="G65" s="52">
        <v>213515.22265834201</v>
      </c>
      <c r="H65" s="56">
        <v>5.6179456546198589E-2</v>
      </c>
      <c r="I65" s="224">
        <v>1395.79191089146</v>
      </c>
    </row>
    <row r="66" spans="1:9" x14ac:dyDescent="0.25">
      <c r="A66" s="515">
        <v>60804</v>
      </c>
      <c r="B66" s="515" t="s">
        <v>394</v>
      </c>
      <c r="C66" s="52">
        <v>229304.60063493199</v>
      </c>
      <c r="D66" s="56">
        <v>3.8779028087838688E-2</v>
      </c>
      <c r="E66" s="224" t="s">
        <v>2</v>
      </c>
      <c r="F66" s="515" t="s">
        <v>2105</v>
      </c>
      <c r="G66" s="52">
        <v>699473.93720621301</v>
      </c>
      <c r="H66" s="56">
        <v>5.5993312973102033E-2</v>
      </c>
      <c r="I66" s="224">
        <v>2797.9173707117202</v>
      </c>
    </row>
    <row r="67" spans="1:9" x14ac:dyDescent="0.25">
      <c r="A67" s="515">
        <v>30024</v>
      </c>
      <c r="B67" s="515" t="s">
        <v>957</v>
      </c>
      <c r="C67" s="52">
        <v>549133.85179918399</v>
      </c>
      <c r="D67" s="56">
        <v>8.2706364078350011E-2</v>
      </c>
      <c r="E67" s="224">
        <v>2082.7403508771899</v>
      </c>
      <c r="F67" s="515" t="s">
        <v>2106</v>
      </c>
      <c r="G67" s="52">
        <v>470181.854712828</v>
      </c>
      <c r="H67" s="56">
        <v>4.0199913600686157E-2</v>
      </c>
      <c r="I67" s="224">
        <v>1836.1250163249299</v>
      </c>
    </row>
    <row r="68" spans="1:9" x14ac:dyDescent="0.25">
      <c r="A68" s="515">
        <v>91744</v>
      </c>
      <c r="B68" s="515" t="s">
        <v>375</v>
      </c>
      <c r="C68" s="52">
        <v>627755.43029975402</v>
      </c>
      <c r="D68" s="56">
        <v>7.2433834232658673E-2</v>
      </c>
      <c r="E68" s="224">
        <v>2618.75</v>
      </c>
      <c r="F68" s="515" t="s">
        <v>762</v>
      </c>
      <c r="G68" s="52">
        <v>210800.13446069899</v>
      </c>
      <c r="H68" s="56">
        <v>0.14392855271178814</v>
      </c>
      <c r="I68" s="224">
        <v>1393.1720704310801</v>
      </c>
    </row>
    <row r="69" spans="1:9" x14ac:dyDescent="0.25">
      <c r="A69" s="515">
        <v>11235</v>
      </c>
      <c r="B69" s="515" t="s">
        <v>324</v>
      </c>
      <c r="C69" s="52">
        <v>346930.35576131998</v>
      </c>
      <c r="D69" s="56">
        <v>-4.0934957439417011E-2</v>
      </c>
      <c r="E69" s="224">
        <v>2410.5555555555502</v>
      </c>
      <c r="F69" s="515" t="s">
        <v>2107</v>
      </c>
      <c r="G69" s="52">
        <v>426888.37157777901</v>
      </c>
      <c r="H69" s="56">
        <v>9.1113600680660614E-2</v>
      </c>
      <c r="I69" s="224">
        <v>1925.27790898185</v>
      </c>
    </row>
    <row r="70" spans="1:9" x14ac:dyDescent="0.25">
      <c r="A70" s="515">
        <v>11223</v>
      </c>
      <c r="B70" s="515" t="s">
        <v>324</v>
      </c>
      <c r="C70" s="52">
        <v>792474.17188870301</v>
      </c>
      <c r="D70" s="56">
        <v>-4.4673502522123648E-3</v>
      </c>
      <c r="E70" s="224">
        <v>2253.4166666666601</v>
      </c>
      <c r="F70" s="515" t="s">
        <v>415</v>
      </c>
      <c r="G70" s="52">
        <v>207448.79138826299</v>
      </c>
      <c r="H70" s="56">
        <v>4.5764882779337449E-2</v>
      </c>
      <c r="I70" s="224">
        <v>1375.6934981684899</v>
      </c>
    </row>
    <row r="71" spans="1:9" x14ac:dyDescent="0.25">
      <c r="A71" s="515">
        <v>60623</v>
      </c>
      <c r="B71" s="515" t="s">
        <v>394</v>
      </c>
      <c r="C71" s="52">
        <v>182601.20083142299</v>
      </c>
      <c r="D71" s="56">
        <v>3.6053427998898366E-2</v>
      </c>
      <c r="E71" s="224">
        <v>1331.76388888888</v>
      </c>
      <c r="F71" s="515" t="s">
        <v>1354</v>
      </c>
      <c r="G71" s="52">
        <v>228448.02401531499</v>
      </c>
      <c r="H71" s="56">
        <v>0.12543881706647883</v>
      </c>
      <c r="I71" s="224">
        <v>1421.7865467865399</v>
      </c>
    </row>
    <row r="72" spans="1:9" x14ac:dyDescent="0.25">
      <c r="A72" s="515">
        <v>92345</v>
      </c>
      <c r="B72" s="515" t="s">
        <v>599</v>
      </c>
      <c r="C72" s="52">
        <v>399230.16663176799</v>
      </c>
      <c r="D72" s="56">
        <v>4.5981577801276201E-2</v>
      </c>
      <c r="E72" s="224">
        <v>2014</v>
      </c>
      <c r="F72" s="515" t="s">
        <v>1336</v>
      </c>
      <c r="G72" s="52">
        <v>266574.580793756</v>
      </c>
      <c r="H72" s="56">
        <v>9.0343813139429033E-2</v>
      </c>
      <c r="I72" s="224">
        <v>1369.1902682648399</v>
      </c>
    </row>
    <row r="73" spans="1:9" x14ac:dyDescent="0.25">
      <c r="A73" s="515">
        <v>11377</v>
      </c>
      <c r="B73" s="515" t="s">
        <v>324</v>
      </c>
      <c r="C73" s="52">
        <v>396804.27674465597</v>
      </c>
      <c r="D73" s="56">
        <v>2.0200254551208104E-2</v>
      </c>
      <c r="E73" s="224">
        <v>2115.4857142857099</v>
      </c>
      <c r="F73" s="515" t="s">
        <v>1031</v>
      </c>
      <c r="G73" s="52">
        <v>199471.85678894099</v>
      </c>
      <c r="H73" s="56">
        <v>8.7666864465511293E-2</v>
      </c>
      <c r="I73" s="224">
        <v>1078.6847974822099</v>
      </c>
    </row>
    <row r="74" spans="1:9" x14ac:dyDescent="0.25">
      <c r="A74" s="515">
        <v>95823</v>
      </c>
      <c r="B74" s="515" t="s">
        <v>355</v>
      </c>
      <c r="C74" s="52">
        <v>394481.19071068399</v>
      </c>
      <c r="D74" s="56">
        <v>4.9986757200372572E-2</v>
      </c>
      <c r="E74" s="224">
        <v>2258.9722222222199</v>
      </c>
      <c r="F74" s="515" t="s">
        <v>1324</v>
      </c>
      <c r="G74" s="52">
        <v>575301.73029290803</v>
      </c>
      <c r="H74" s="56">
        <v>0.16222582062853841</v>
      </c>
      <c r="I74" s="224">
        <v>3346.34723120017</v>
      </c>
    </row>
    <row r="75" spans="1:9" x14ac:dyDescent="0.25">
      <c r="A75" s="515">
        <v>11206</v>
      </c>
      <c r="B75" s="515" t="s">
        <v>324</v>
      </c>
      <c r="C75" s="52">
        <v>613800.39350875199</v>
      </c>
      <c r="D75" s="56">
        <v>5.1573068122506387E-2</v>
      </c>
      <c r="E75" s="224">
        <v>3475.4563334436698</v>
      </c>
      <c r="F75" s="515" t="s">
        <v>2108</v>
      </c>
      <c r="G75" s="52">
        <v>498383.04191944603</v>
      </c>
      <c r="H75" s="56">
        <v>2.0861952895171461E-2</v>
      </c>
      <c r="I75" s="224">
        <v>1904.7245776478201</v>
      </c>
    </row>
    <row r="76" spans="1:9" x14ac:dyDescent="0.25">
      <c r="A76" s="515">
        <v>92592</v>
      </c>
      <c r="B76" s="515" t="s">
        <v>599</v>
      </c>
      <c r="C76" s="52">
        <v>695563.079077692</v>
      </c>
      <c r="D76" s="56">
        <v>2.6275153853566796E-2</v>
      </c>
      <c r="E76" s="224">
        <v>3150.6865079365002</v>
      </c>
      <c r="F76" s="515" t="s">
        <v>852</v>
      </c>
      <c r="G76" s="52">
        <v>412640.30288312602</v>
      </c>
      <c r="H76" s="56">
        <v>3.7359025332623155E-2</v>
      </c>
      <c r="I76" s="224">
        <v>1915.05086419753</v>
      </c>
    </row>
    <row r="77" spans="1:9" x14ac:dyDescent="0.25">
      <c r="A77" s="515">
        <v>77379</v>
      </c>
      <c r="B77" s="515" t="s">
        <v>314</v>
      </c>
      <c r="C77" s="52">
        <v>355440.06447873602</v>
      </c>
      <c r="D77" s="56">
        <v>8.7025132994530921E-2</v>
      </c>
      <c r="E77" s="224">
        <v>1656.1363636363601</v>
      </c>
      <c r="F77" s="515" t="s">
        <v>2109</v>
      </c>
      <c r="G77" s="52">
        <v>158067.97577125501</v>
      </c>
      <c r="H77" s="56">
        <v>3.741985758183354E-2</v>
      </c>
      <c r="I77" s="224">
        <v>1217.8586893090501</v>
      </c>
    </row>
    <row r="78" spans="1:9" x14ac:dyDescent="0.25">
      <c r="A78" s="515">
        <v>60617</v>
      </c>
      <c r="B78" s="515" t="s">
        <v>394</v>
      </c>
      <c r="C78" s="52">
        <v>157914.588687752</v>
      </c>
      <c r="D78" s="56">
        <v>5.9578570710256268E-2</v>
      </c>
      <c r="E78" s="224">
        <v>1194.3939393939299</v>
      </c>
      <c r="F78" s="515" t="s">
        <v>2110</v>
      </c>
      <c r="G78" s="52">
        <v>265952.81132736697</v>
      </c>
      <c r="H78" s="56">
        <v>2.0222175471319371E-2</v>
      </c>
      <c r="I78" s="224">
        <v>1422.81906039054</v>
      </c>
    </row>
    <row r="79" spans="1:9" x14ac:dyDescent="0.25">
      <c r="A79" s="515">
        <v>93722</v>
      </c>
      <c r="B79" s="515" t="s">
        <v>541</v>
      </c>
      <c r="C79" s="52">
        <v>363084.879379422</v>
      </c>
      <c r="D79" s="56">
        <v>4.8771994752565849E-2</v>
      </c>
      <c r="E79" s="224">
        <v>1993.37301587301</v>
      </c>
      <c r="F79" s="515" t="s">
        <v>2111</v>
      </c>
      <c r="G79" s="52">
        <v>454182.15904998599</v>
      </c>
      <c r="H79" s="56">
        <v>3.7563338915306166E-2</v>
      </c>
      <c r="I79" s="224">
        <v>1808.0262197782499</v>
      </c>
    </row>
    <row r="80" spans="1:9" x14ac:dyDescent="0.25">
      <c r="A80" s="515">
        <v>37042</v>
      </c>
      <c r="B80" s="515" t="s">
        <v>651</v>
      </c>
      <c r="C80" s="52">
        <v>260057.36504848601</v>
      </c>
      <c r="D80" s="56">
        <v>0.12058436044635977</v>
      </c>
      <c r="E80" s="224">
        <v>1365.1690821256</v>
      </c>
      <c r="F80" s="515" t="s">
        <v>1347</v>
      </c>
      <c r="G80" s="52">
        <v>373856.86296503898</v>
      </c>
      <c r="H80" s="56">
        <v>8.7572499598492046E-2</v>
      </c>
      <c r="I80" s="224">
        <v>1617.8406193078299</v>
      </c>
    </row>
    <row r="81" spans="1:9" x14ac:dyDescent="0.25">
      <c r="A81" s="515">
        <v>95035</v>
      </c>
      <c r="B81" s="515" t="s">
        <v>850</v>
      </c>
      <c r="C81" s="52">
        <v>1257439.2468880899</v>
      </c>
      <c r="D81" s="56">
        <v>4.3664648969774511E-2</v>
      </c>
      <c r="E81" s="224">
        <v>3169.2971848225202</v>
      </c>
      <c r="F81" s="515" t="s">
        <v>2112</v>
      </c>
      <c r="G81" s="52">
        <v>349075.65164880699</v>
      </c>
      <c r="H81" s="56">
        <v>0.13822357231229082</v>
      </c>
      <c r="I81" s="224">
        <v>2011.2530741846099</v>
      </c>
    </row>
    <row r="82" spans="1:9" x14ac:dyDescent="0.25">
      <c r="A82" s="515">
        <v>34787</v>
      </c>
      <c r="B82" s="515" t="s">
        <v>517</v>
      </c>
      <c r="C82" s="52">
        <v>538065.67853586096</v>
      </c>
      <c r="D82" s="56">
        <v>0.11155940235925924</v>
      </c>
      <c r="E82" s="224">
        <v>2517.02053140096</v>
      </c>
      <c r="F82" s="515" t="s">
        <v>300</v>
      </c>
      <c r="G82" s="52">
        <v>102335.44334886401</v>
      </c>
      <c r="H82" s="56">
        <v>0.10662283311107212</v>
      </c>
      <c r="I82" s="224">
        <v>1056.92878787878</v>
      </c>
    </row>
    <row r="83" spans="1:9" x14ac:dyDescent="0.25">
      <c r="A83" s="515">
        <v>92509</v>
      </c>
      <c r="B83" s="515" t="s">
        <v>599</v>
      </c>
      <c r="C83" s="52">
        <v>556015.25186469301</v>
      </c>
      <c r="D83" s="56">
        <v>7.3173077721188265E-2</v>
      </c>
      <c r="E83" s="224">
        <v>2551.7857142857101</v>
      </c>
      <c r="F83" s="515" t="s">
        <v>405</v>
      </c>
      <c r="G83" s="52">
        <v>360597.92255519202</v>
      </c>
      <c r="H83" s="56">
        <v>4.0619405100511562E-2</v>
      </c>
      <c r="I83" s="224">
        <v>1546.1462764288799</v>
      </c>
    </row>
    <row r="84" spans="1:9" x14ac:dyDescent="0.25">
      <c r="A84" s="515">
        <v>91335</v>
      </c>
      <c r="B84" s="515" t="s">
        <v>375</v>
      </c>
      <c r="C84" s="52">
        <v>727320.59915310098</v>
      </c>
      <c r="D84" s="56">
        <v>5.3353489368732368E-2</v>
      </c>
      <c r="E84" s="224">
        <v>3016.63888888888</v>
      </c>
      <c r="F84" s="515" t="s">
        <v>335</v>
      </c>
      <c r="G84" s="52">
        <v>260360.041092481</v>
      </c>
      <c r="H84" s="56">
        <v>7.9921871804635752E-2</v>
      </c>
      <c r="I84" s="224">
        <v>1360.62888629397</v>
      </c>
    </row>
    <row r="85" spans="1:9" x14ac:dyDescent="0.25">
      <c r="A85" s="515">
        <v>10453</v>
      </c>
      <c r="B85" s="515" t="s">
        <v>324</v>
      </c>
      <c r="C85" s="52">
        <v>422605.73124290199</v>
      </c>
      <c r="D85" s="56">
        <v>-6.7272191183212524E-2</v>
      </c>
      <c r="E85" s="224">
        <v>1885.6666666666599</v>
      </c>
      <c r="F85" s="515" t="s">
        <v>486</v>
      </c>
      <c r="G85" s="52">
        <v>256178.288624999</v>
      </c>
      <c r="H85" s="56">
        <v>6.5493257216643022E-2</v>
      </c>
      <c r="I85" s="224">
        <v>1177.78427027783</v>
      </c>
    </row>
    <row r="86" spans="1:9" x14ac:dyDescent="0.25">
      <c r="A86" s="515">
        <v>11229</v>
      </c>
      <c r="B86" s="515" t="s">
        <v>324</v>
      </c>
      <c r="C86" s="52">
        <v>509583.28120105999</v>
      </c>
      <c r="D86" s="56">
        <v>-1.8873234730882107E-2</v>
      </c>
      <c r="E86" s="224">
        <v>2359.8444444444399</v>
      </c>
      <c r="F86" s="515" t="s">
        <v>2113</v>
      </c>
      <c r="G86" s="52">
        <v>485332.29531176598</v>
      </c>
      <c r="H86" s="56">
        <v>6.0939966782900173E-2</v>
      </c>
      <c r="I86" s="224">
        <v>1785.6716233280599</v>
      </c>
    </row>
    <row r="87" spans="1:9" x14ac:dyDescent="0.25">
      <c r="A87" s="515">
        <v>99301</v>
      </c>
      <c r="B87" s="515" t="s">
        <v>1068</v>
      </c>
      <c r="C87" s="52">
        <v>386353.46936381899</v>
      </c>
      <c r="D87" s="56">
        <v>6.2090994323351786E-2</v>
      </c>
      <c r="E87" s="224">
        <v>1904.1666666666599</v>
      </c>
      <c r="F87" s="515" t="s">
        <v>1563</v>
      </c>
      <c r="G87" s="52">
        <v>392300.85262804001</v>
      </c>
      <c r="H87" s="56">
        <v>7.7229660451434395E-2</v>
      </c>
      <c r="I87" s="224">
        <v>1895.3712793676</v>
      </c>
    </row>
    <row r="88" spans="1:9" x14ac:dyDescent="0.25">
      <c r="A88" s="515">
        <v>11355</v>
      </c>
      <c r="B88" s="515" t="s">
        <v>324</v>
      </c>
      <c r="C88" s="52">
        <v>432269.23294567299</v>
      </c>
      <c r="D88" s="56">
        <v>-2.5786664744607887E-2</v>
      </c>
      <c r="E88" s="224">
        <v>2173.7222222222199</v>
      </c>
      <c r="F88" s="515" t="s">
        <v>581</v>
      </c>
      <c r="G88" s="52">
        <v>510998.78031850298</v>
      </c>
      <c r="H88" s="56">
        <v>4.4969104465125455E-3</v>
      </c>
      <c r="I88" s="224">
        <v>1912.4505643683699</v>
      </c>
    </row>
    <row r="89" spans="1:9" x14ac:dyDescent="0.25">
      <c r="A89" s="515">
        <v>60625</v>
      </c>
      <c r="B89" s="515" t="s">
        <v>394</v>
      </c>
      <c r="C89" s="52">
        <v>321936.77687975601</v>
      </c>
      <c r="D89" s="56">
        <v>-7.1176477134926489E-2</v>
      </c>
      <c r="E89" s="224">
        <v>1451.58484848484</v>
      </c>
      <c r="F89" s="515" t="s">
        <v>797</v>
      </c>
      <c r="G89" s="52">
        <v>408905.93656590901</v>
      </c>
      <c r="H89" s="56">
        <v>2.7062780836566543E-2</v>
      </c>
      <c r="I89" s="224">
        <v>1867.49537037037</v>
      </c>
    </row>
    <row r="90" spans="1:9" x14ac:dyDescent="0.25">
      <c r="A90" s="515">
        <v>78666</v>
      </c>
      <c r="B90" s="515" t="s">
        <v>380</v>
      </c>
      <c r="C90" s="52">
        <v>343118.63425522798</v>
      </c>
      <c r="D90" s="56">
        <v>5.2638789632716676E-2</v>
      </c>
      <c r="E90" s="224">
        <v>1630.4980463980401</v>
      </c>
      <c r="F90" s="515" t="s">
        <v>2114</v>
      </c>
      <c r="G90" s="52">
        <v>494571.216745527</v>
      </c>
      <c r="H90" s="56">
        <v>3.5863680076090275E-2</v>
      </c>
      <c r="I90" s="224">
        <v>1975.5208597603901</v>
      </c>
    </row>
    <row r="91" spans="1:9" x14ac:dyDescent="0.25">
      <c r="A91" s="515">
        <v>78572</v>
      </c>
      <c r="B91" s="515" t="s">
        <v>550</v>
      </c>
      <c r="C91" s="52">
        <v>167644.44316699301</v>
      </c>
      <c r="D91" s="56">
        <v>0.14883532275566821</v>
      </c>
      <c r="E91" s="224">
        <v>1510</v>
      </c>
      <c r="F91" s="515" t="s">
        <v>354</v>
      </c>
      <c r="G91" s="52">
        <v>200424.27280583201</v>
      </c>
      <c r="H91" s="56">
        <v>0.10250807065888455</v>
      </c>
      <c r="I91" s="224">
        <v>1306.5321746226</v>
      </c>
    </row>
    <row r="92" spans="1:9" x14ac:dyDescent="0.25">
      <c r="A92" s="515">
        <v>93257</v>
      </c>
      <c r="B92" s="515" t="s">
        <v>358</v>
      </c>
      <c r="C92" s="52">
        <v>280715.29628183699</v>
      </c>
      <c r="D92" s="56">
        <v>6.6357438375479388E-2</v>
      </c>
      <c r="E92" s="224" t="s">
        <v>2</v>
      </c>
      <c r="F92" s="515" t="s">
        <v>1343</v>
      </c>
      <c r="G92" s="52">
        <v>370827.04732447199</v>
      </c>
      <c r="H92" s="56">
        <v>3.1941653444840269E-2</v>
      </c>
      <c r="I92" s="224">
        <v>1434.4994607347401</v>
      </c>
    </row>
    <row r="93" spans="1:9" x14ac:dyDescent="0.25">
      <c r="A93" s="515">
        <v>94544</v>
      </c>
      <c r="B93" s="515" t="s">
        <v>593</v>
      </c>
      <c r="C93" s="52">
        <v>802970.54446196603</v>
      </c>
      <c r="D93" s="56">
        <v>-2.5662372317112909E-4</v>
      </c>
      <c r="E93" s="224">
        <v>2528.7541125541102</v>
      </c>
      <c r="F93" s="515" t="s">
        <v>735</v>
      </c>
      <c r="G93" s="52">
        <v>222729.08759074399</v>
      </c>
      <c r="H93" s="56">
        <v>0.14181875639934163</v>
      </c>
      <c r="I93" s="224">
        <v>1507.5215184224401</v>
      </c>
    </row>
    <row r="94" spans="1:9" x14ac:dyDescent="0.25">
      <c r="A94" s="515">
        <v>11204</v>
      </c>
      <c r="B94" s="515" t="s">
        <v>324</v>
      </c>
      <c r="C94" s="52">
        <v>926884.67120254401</v>
      </c>
      <c r="D94" s="56">
        <v>2.149333713788297E-2</v>
      </c>
      <c r="E94" s="224" t="s">
        <v>2</v>
      </c>
      <c r="F94" s="515" t="s">
        <v>2115</v>
      </c>
      <c r="G94" s="52">
        <v>560573.29083778197</v>
      </c>
      <c r="H94" s="56">
        <v>1.2596531492196528E-2</v>
      </c>
      <c r="I94" s="224">
        <v>2890.4206736537899</v>
      </c>
    </row>
    <row r="95" spans="1:9" x14ac:dyDescent="0.25">
      <c r="A95" s="515">
        <v>22193</v>
      </c>
      <c r="B95" s="515" t="s">
        <v>321</v>
      </c>
      <c r="C95" s="52">
        <v>438107.45997684298</v>
      </c>
      <c r="D95" s="56">
        <v>2.3679744753981762E-2</v>
      </c>
      <c r="E95" s="224">
        <v>2083.4444444444398</v>
      </c>
      <c r="F95" s="515" t="s">
        <v>2116</v>
      </c>
      <c r="G95" s="52">
        <v>359702.73183782998</v>
      </c>
      <c r="H95" s="56">
        <v>7.5715741513321375E-2</v>
      </c>
      <c r="I95" s="224">
        <v>2046.6035714285699</v>
      </c>
    </row>
    <row r="96" spans="1:9" x14ac:dyDescent="0.25">
      <c r="A96" s="515">
        <v>75211</v>
      </c>
      <c r="B96" s="515" t="s">
        <v>458</v>
      </c>
      <c r="C96" s="52">
        <v>227919.80898467099</v>
      </c>
      <c r="D96" s="56">
        <v>0.14305362963999613</v>
      </c>
      <c r="E96" s="224">
        <v>1552.91830065359</v>
      </c>
      <c r="F96" s="515" t="s">
        <v>2117</v>
      </c>
      <c r="G96" s="52">
        <v>743908.00764286797</v>
      </c>
      <c r="H96" s="56">
        <v>4.0576436860021499E-2</v>
      </c>
      <c r="I96" s="224">
        <v>3003.5337163969298</v>
      </c>
    </row>
    <row r="97" spans="1:9" x14ac:dyDescent="0.25">
      <c r="A97" s="515">
        <v>78130</v>
      </c>
      <c r="B97" s="515" t="s">
        <v>717</v>
      </c>
      <c r="C97" s="52">
        <v>337620.82448928402</v>
      </c>
      <c r="D97" s="56">
        <v>6.0564240883211627E-2</v>
      </c>
      <c r="E97" s="224">
        <v>1656.3584813775899</v>
      </c>
      <c r="F97" s="515" t="s">
        <v>2118</v>
      </c>
      <c r="G97" s="52">
        <v>438839.19122746802</v>
      </c>
      <c r="H97" s="56">
        <v>8.2047365850395182E-2</v>
      </c>
      <c r="I97" s="224">
        <v>2262.51388888888</v>
      </c>
    </row>
    <row r="98" spans="1:9" x14ac:dyDescent="0.25">
      <c r="A98" s="515">
        <v>33024</v>
      </c>
      <c r="B98" s="515" t="s">
        <v>831</v>
      </c>
      <c r="C98" s="52">
        <v>420355.39389386203</v>
      </c>
      <c r="D98" s="56">
        <v>0.1324077330496958</v>
      </c>
      <c r="E98" s="224">
        <v>2422.1489898989898</v>
      </c>
      <c r="F98" s="515" t="s">
        <v>727</v>
      </c>
      <c r="G98" s="52">
        <v>352414.63172750903</v>
      </c>
      <c r="H98" s="56">
        <v>7.2897747418785949E-2</v>
      </c>
      <c r="I98" s="224">
        <v>1445.6109952194699</v>
      </c>
    </row>
    <row r="99" spans="1:9" x14ac:dyDescent="0.25">
      <c r="A99" s="515">
        <v>11230</v>
      </c>
      <c r="B99" s="515" t="s">
        <v>324</v>
      </c>
      <c r="C99" s="52">
        <v>430421.63774300402</v>
      </c>
      <c r="D99" s="56">
        <v>-9.0374630157672803E-2</v>
      </c>
      <c r="E99" s="224">
        <v>2394.0307692307601</v>
      </c>
      <c r="F99" s="515" t="s">
        <v>2119</v>
      </c>
      <c r="G99" s="52">
        <v>385255.63869441999</v>
      </c>
      <c r="H99" s="56">
        <v>3.758404870031417E-2</v>
      </c>
      <c r="I99" s="224">
        <v>1747.48794617402</v>
      </c>
    </row>
    <row r="100" spans="1:9" x14ac:dyDescent="0.25">
      <c r="A100" s="515">
        <v>95630</v>
      </c>
      <c r="B100" s="515" t="s">
        <v>355</v>
      </c>
      <c r="C100" s="52">
        <v>720040.22597266</v>
      </c>
      <c r="D100" s="56">
        <v>7.5766116451327662E-3</v>
      </c>
      <c r="E100" s="224">
        <v>2509.9196078431301</v>
      </c>
      <c r="F100" s="515" t="s">
        <v>815</v>
      </c>
      <c r="G100" s="52">
        <v>175700.025758815</v>
      </c>
      <c r="H100" s="56">
        <v>7.6793296582854095E-2</v>
      </c>
      <c r="I100" s="224">
        <v>1093.3491111587</v>
      </c>
    </row>
    <row r="101" spans="1:9" x14ac:dyDescent="0.25">
      <c r="A101" s="515">
        <v>79938</v>
      </c>
      <c r="B101" s="515" t="s">
        <v>1119</v>
      </c>
      <c r="C101" s="52">
        <v>229682.24742084101</v>
      </c>
      <c r="D101" s="56">
        <v>0.11017132419386763</v>
      </c>
      <c r="E101" s="224">
        <v>1664.3125</v>
      </c>
      <c r="F101" s="515" t="s">
        <v>2120</v>
      </c>
      <c r="G101" s="52">
        <v>1186691.95040702</v>
      </c>
      <c r="H101" s="56">
        <v>0.12234137758177606</v>
      </c>
      <c r="I101" s="224">
        <v>3146.91539061816</v>
      </c>
    </row>
    <row r="102" spans="1:9" x14ac:dyDescent="0.25">
      <c r="A102" s="515">
        <v>11233</v>
      </c>
      <c r="B102" s="515" t="s">
        <v>324</v>
      </c>
      <c r="C102" s="52">
        <v>869593.47029281897</v>
      </c>
      <c r="D102" s="56">
        <v>-2.0998297849970683E-2</v>
      </c>
      <c r="E102" s="224">
        <v>2730.79988799283</v>
      </c>
      <c r="F102" s="515" t="s">
        <v>2121</v>
      </c>
      <c r="G102" s="52">
        <v>460844.54399725498</v>
      </c>
      <c r="H102" s="56">
        <v>-3.0195219621460306E-2</v>
      </c>
      <c r="I102" s="224">
        <v>1757.9022401637501</v>
      </c>
    </row>
    <row r="103" spans="1:9" x14ac:dyDescent="0.25">
      <c r="A103" s="515">
        <v>79912</v>
      </c>
      <c r="B103" s="515" t="s">
        <v>1119</v>
      </c>
      <c r="C103" s="52">
        <v>270211.40381869097</v>
      </c>
      <c r="D103" s="56">
        <v>9.9904451512737441E-2</v>
      </c>
      <c r="E103" s="224">
        <v>1572.9393939393899</v>
      </c>
      <c r="F103" s="515" t="s">
        <v>2122</v>
      </c>
      <c r="G103" s="52">
        <v>360853.14367921901</v>
      </c>
      <c r="H103" s="56">
        <v>0.15123176084647527</v>
      </c>
      <c r="I103" s="224">
        <v>2095.2843214756199</v>
      </c>
    </row>
    <row r="104" spans="1:9" x14ac:dyDescent="0.25">
      <c r="A104" s="515">
        <v>78641</v>
      </c>
      <c r="B104" s="515" t="s">
        <v>380</v>
      </c>
      <c r="C104" s="52">
        <v>472474.13723244402</v>
      </c>
      <c r="D104" s="56">
        <v>1.4210370970890538E-2</v>
      </c>
      <c r="E104" s="224">
        <v>1974.5981554677201</v>
      </c>
      <c r="F104" s="515" t="s">
        <v>2123</v>
      </c>
      <c r="G104" s="52">
        <v>408721.88624908699</v>
      </c>
      <c r="H104" s="56">
        <v>0.16442089222518755</v>
      </c>
      <c r="I104" s="224">
        <v>2692.5925925925899</v>
      </c>
    </row>
    <row r="105" spans="1:9" x14ac:dyDescent="0.25">
      <c r="A105" s="515">
        <v>10468</v>
      </c>
      <c r="B105" s="515" t="s">
        <v>324</v>
      </c>
      <c r="C105" s="52">
        <v>230839.24373075899</v>
      </c>
      <c r="D105" s="56">
        <v>5.578465852061016E-2</v>
      </c>
      <c r="E105" s="224">
        <v>1792.7333333333299</v>
      </c>
      <c r="F105" s="515" t="s">
        <v>2124</v>
      </c>
      <c r="G105" s="52">
        <v>307222.60851196997</v>
      </c>
      <c r="H105" s="56">
        <v>8.3361443746212863E-2</v>
      </c>
      <c r="I105" s="224">
        <v>1739.6045204197101</v>
      </c>
    </row>
    <row r="106" spans="1:9" x14ac:dyDescent="0.25">
      <c r="A106" s="515">
        <v>10457</v>
      </c>
      <c r="B106" s="515" t="s">
        <v>324</v>
      </c>
      <c r="C106" s="52">
        <v>234752.37141013899</v>
      </c>
      <c r="D106" s="56">
        <v>-1.7775134696643727E-2</v>
      </c>
      <c r="E106" s="224">
        <v>1990.1</v>
      </c>
      <c r="F106" s="515" t="s">
        <v>1334</v>
      </c>
      <c r="G106" s="52">
        <v>244136.092453088</v>
      </c>
      <c r="H106" s="56">
        <v>0.11318696780156585</v>
      </c>
      <c r="I106" s="224">
        <v>1538.6606386445001</v>
      </c>
    </row>
    <row r="107" spans="1:9" x14ac:dyDescent="0.25">
      <c r="A107" s="515">
        <v>91706</v>
      </c>
      <c r="B107" s="515" t="s">
        <v>375</v>
      </c>
      <c r="C107" s="52">
        <v>617932.538016601</v>
      </c>
      <c r="D107" s="56">
        <v>7.5629374421101001E-2</v>
      </c>
      <c r="E107" s="224">
        <v>2624.1666666666601</v>
      </c>
      <c r="F107" s="515" t="s">
        <v>2125</v>
      </c>
      <c r="G107" s="52">
        <v>750908.11399693496</v>
      </c>
      <c r="H107" s="56">
        <v>6.2827684276371448E-2</v>
      </c>
      <c r="I107" s="224">
        <v>2161.2211703924299</v>
      </c>
    </row>
    <row r="108" spans="1:9" x14ac:dyDescent="0.25">
      <c r="A108" s="515">
        <v>90706</v>
      </c>
      <c r="B108" s="515" t="s">
        <v>375</v>
      </c>
      <c r="C108" s="52">
        <v>693887.41968805203</v>
      </c>
      <c r="D108" s="56">
        <v>2.3714741295203887E-2</v>
      </c>
      <c r="E108" s="224">
        <v>2020.1111111111099</v>
      </c>
      <c r="F108" s="515" t="s">
        <v>2126</v>
      </c>
      <c r="G108" s="52">
        <v>541693.29418894998</v>
      </c>
      <c r="H108" s="56">
        <v>3.2461396595376509E-2</v>
      </c>
      <c r="I108" s="224">
        <v>2119.3536088911001</v>
      </c>
    </row>
    <row r="109" spans="1:9" x14ac:dyDescent="0.25">
      <c r="A109" s="515">
        <v>78613</v>
      </c>
      <c r="B109" s="515" t="s">
        <v>380</v>
      </c>
      <c r="C109" s="52">
        <v>497644.70697036298</v>
      </c>
      <c r="D109" s="56">
        <v>6.2399821433254581E-3</v>
      </c>
      <c r="E109" s="224">
        <v>1746.0150747238399</v>
      </c>
      <c r="F109" s="515" t="s">
        <v>1149</v>
      </c>
      <c r="G109" s="52">
        <v>182252.54925010601</v>
      </c>
      <c r="H109" s="56">
        <v>0.20065660124658535</v>
      </c>
      <c r="I109" s="224">
        <v>1339.2239540607</v>
      </c>
    </row>
    <row r="110" spans="1:9" x14ac:dyDescent="0.25">
      <c r="A110" s="515">
        <v>78542</v>
      </c>
      <c r="B110" s="515" t="s">
        <v>550</v>
      </c>
      <c r="C110" s="52">
        <v>162181.74120471301</v>
      </c>
      <c r="D110" s="56">
        <v>0.15652666781818728</v>
      </c>
      <c r="E110" s="224">
        <v>1225</v>
      </c>
      <c r="F110" s="515" t="s">
        <v>2127</v>
      </c>
      <c r="G110" s="52">
        <v>451038.221625601</v>
      </c>
      <c r="H110" s="56">
        <v>0.16446352375504336</v>
      </c>
      <c r="I110" s="224">
        <v>2581.56292971734</v>
      </c>
    </row>
    <row r="111" spans="1:9" x14ac:dyDescent="0.25">
      <c r="A111" s="515">
        <v>10452</v>
      </c>
      <c r="B111" s="515" t="s">
        <v>324</v>
      </c>
      <c r="C111" s="52">
        <v>232586.49399883099</v>
      </c>
      <c r="D111" s="56">
        <v>0.14478395840394365</v>
      </c>
      <c r="E111" s="224">
        <v>2042.8333333333301</v>
      </c>
      <c r="F111" s="515" t="s">
        <v>2128</v>
      </c>
      <c r="G111" s="52">
        <v>265043.05086607602</v>
      </c>
      <c r="H111" s="56">
        <v>5.4318514812496499E-2</v>
      </c>
      <c r="I111" s="224">
        <v>1538.8424066355101</v>
      </c>
    </row>
    <row r="112" spans="1:9" x14ac:dyDescent="0.25">
      <c r="A112" s="515">
        <v>78245</v>
      </c>
      <c r="B112" s="515" t="s">
        <v>717</v>
      </c>
      <c r="C112" s="52">
        <v>269982.32447143702</v>
      </c>
      <c r="D112" s="56">
        <v>7.3673541038228652E-2</v>
      </c>
      <c r="E112" s="224">
        <v>1559.0332355816199</v>
      </c>
      <c r="F112" s="515" t="s">
        <v>2129</v>
      </c>
      <c r="G112" s="52">
        <v>376909.49865920702</v>
      </c>
      <c r="H112" s="56">
        <v>4.7253102073359497E-2</v>
      </c>
      <c r="I112" s="224">
        <v>1842.10521268616</v>
      </c>
    </row>
    <row r="113" spans="1:9" x14ac:dyDescent="0.25">
      <c r="A113" s="515">
        <v>60608</v>
      </c>
      <c r="B113" s="515" t="s">
        <v>394</v>
      </c>
      <c r="C113" s="52">
        <v>310357.93591783399</v>
      </c>
      <c r="D113" s="56">
        <v>-2.2769391678594084E-2</v>
      </c>
      <c r="E113" s="224">
        <v>1605.38528138528</v>
      </c>
      <c r="F113" s="515" t="s">
        <v>2130</v>
      </c>
      <c r="G113" s="52">
        <v>359372.76730212802</v>
      </c>
      <c r="H113" s="56">
        <v>5.2615230321496835E-2</v>
      </c>
      <c r="I113" s="224">
        <v>1778.61489898989</v>
      </c>
    </row>
    <row r="114" spans="1:9" x14ac:dyDescent="0.25">
      <c r="A114" s="515">
        <v>91709</v>
      </c>
      <c r="B114" s="515" t="s">
        <v>599</v>
      </c>
      <c r="C114" s="52">
        <v>876258.29813405697</v>
      </c>
      <c r="D114" s="56">
        <v>7.2449284616203952E-2</v>
      </c>
      <c r="E114" s="224">
        <v>3015.4111111111101</v>
      </c>
      <c r="F114" s="515" t="s">
        <v>588</v>
      </c>
      <c r="G114" s="52">
        <v>195917.559127035</v>
      </c>
      <c r="H114" s="56">
        <v>3.2250201027797257E-2</v>
      </c>
      <c r="I114" s="224">
        <v>1283.7222222222199</v>
      </c>
    </row>
    <row r="115" spans="1:9" x14ac:dyDescent="0.25">
      <c r="A115" s="515">
        <v>90003</v>
      </c>
      <c r="B115" s="515" t="s">
        <v>375</v>
      </c>
      <c r="C115" s="52">
        <v>554349.81634802697</v>
      </c>
      <c r="D115" s="56">
        <v>4.2951310376396039E-2</v>
      </c>
      <c r="E115" s="224">
        <v>2717.0666666666598</v>
      </c>
      <c r="F115" s="515" t="s">
        <v>2131</v>
      </c>
      <c r="G115" s="52">
        <v>1330888.2224373999</v>
      </c>
      <c r="H115" s="56">
        <v>3.7680110471615905E-3</v>
      </c>
      <c r="I115" s="224">
        <v>2937.1675839159102</v>
      </c>
    </row>
    <row r="116" spans="1:9" x14ac:dyDescent="0.25">
      <c r="A116" s="515">
        <v>98012</v>
      </c>
      <c r="B116" s="515" t="s">
        <v>384</v>
      </c>
      <c r="C116" s="52">
        <v>881503.78244620003</v>
      </c>
      <c r="D116" s="56">
        <v>5.357939514423489E-2</v>
      </c>
      <c r="E116" s="224">
        <v>2225.0833333333298</v>
      </c>
      <c r="F116" s="515" t="s">
        <v>2132</v>
      </c>
      <c r="G116" s="52">
        <v>325243.92090626998</v>
      </c>
      <c r="H116" s="56">
        <v>8.0731993808417862E-2</v>
      </c>
      <c r="I116" s="224">
        <v>1715.3134278002699</v>
      </c>
    </row>
    <row r="117" spans="1:9" x14ac:dyDescent="0.25">
      <c r="A117" s="515">
        <v>10462</v>
      </c>
      <c r="B117" s="515" t="s">
        <v>324</v>
      </c>
      <c r="C117" s="52">
        <v>202948.326466275</v>
      </c>
      <c r="D117" s="56">
        <v>-2.1471004075048778E-2</v>
      </c>
      <c r="E117" s="224">
        <v>1921.0370370370299</v>
      </c>
      <c r="F117" s="515" t="s">
        <v>2133</v>
      </c>
      <c r="G117" s="52">
        <v>288391.80551447498</v>
      </c>
      <c r="H117" s="56">
        <v>9.6107811886180533E-2</v>
      </c>
      <c r="I117" s="224">
        <v>1564.8555555555499</v>
      </c>
    </row>
    <row r="118" spans="1:9" x14ac:dyDescent="0.25">
      <c r="A118" s="515">
        <v>77083</v>
      </c>
      <c r="B118" s="515" t="s">
        <v>314</v>
      </c>
      <c r="C118" s="52">
        <v>259628.702258548</v>
      </c>
      <c r="D118" s="56">
        <v>9.8614723259050893E-2</v>
      </c>
      <c r="E118" s="224">
        <v>1839.0085470085401</v>
      </c>
      <c r="F118" s="515" t="s">
        <v>2134</v>
      </c>
      <c r="G118" s="52">
        <v>747334.628456112</v>
      </c>
      <c r="H118" s="56">
        <v>6.0844291451016986E-3</v>
      </c>
      <c r="I118" s="224">
        <v>2363.6487751702098</v>
      </c>
    </row>
    <row r="119" spans="1:9" x14ac:dyDescent="0.25">
      <c r="A119" s="515">
        <v>28269</v>
      </c>
      <c r="B119" s="515" t="s">
        <v>360</v>
      </c>
      <c r="C119" s="52">
        <v>341252.19863083301</v>
      </c>
      <c r="D119" s="56">
        <v>7.7972370840660263E-2</v>
      </c>
      <c r="E119" s="224">
        <v>1823.07850918145</v>
      </c>
      <c r="F119" s="515" t="s">
        <v>2135</v>
      </c>
      <c r="G119" s="52">
        <v>570319.06820086704</v>
      </c>
      <c r="H119" s="56">
        <v>4.6469534753326769E-2</v>
      </c>
      <c r="I119" s="224">
        <v>3011.3564814814799</v>
      </c>
    </row>
    <row r="120" spans="1:9" x14ac:dyDescent="0.25">
      <c r="A120" s="515">
        <v>78577</v>
      </c>
      <c r="B120" s="515" t="s">
        <v>550</v>
      </c>
      <c r="C120" s="52">
        <v>145116.707255519</v>
      </c>
      <c r="D120" s="56">
        <v>0.1517066079056307</v>
      </c>
      <c r="E120" s="224">
        <v>1143.75</v>
      </c>
      <c r="F120" s="515" t="s">
        <v>1364</v>
      </c>
      <c r="G120" s="52">
        <v>273108.45605552499</v>
      </c>
      <c r="H120" s="56">
        <v>0.12934651063178471</v>
      </c>
      <c r="I120" s="224">
        <v>1545.82566419002</v>
      </c>
    </row>
    <row r="121" spans="1:9" x14ac:dyDescent="0.25">
      <c r="A121" s="515">
        <v>23464</v>
      </c>
      <c r="B121" s="515" t="s">
        <v>301</v>
      </c>
      <c r="C121" s="52">
        <v>343496.66720781801</v>
      </c>
      <c r="D121" s="56">
        <v>4.1353233616918499E-2</v>
      </c>
      <c r="E121" s="224">
        <v>0</v>
      </c>
      <c r="F121" s="515" t="s">
        <v>1368</v>
      </c>
      <c r="G121" s="52">
        <v>241604.609051251</v>
      </c>
      <c r="H121" s="56">
        <v>4.827545773387093E-2</v>
      </c>
      <c r="I121" s="224">
        <v>1694.91909957198</v>
      </c>
    </row>
    <row r="122" spans="1:9" x14ac:dyDescent="0.25">
      <c r="A122" s="515">
        <v>66062</v>
      </c>
      <c r="B122" s="515" t="s">
        <v>455</v>
      </c>
      <c r="C122" s="52">
        <v>369950.74662798701</v>
      </c>
      <c r="D122" s="56">
        <v>7.0875172729250036E-2</v>
      </c>
      <c r="E122" s="224">
        <v>1741.80952380952</v>
      </c>
      <c r="F122" s="515" t="s">
        <v>667</v>
      </c>
      <c r="G122" s="52">
        <v>317619.62220176402</v>
      </c>
      <c r="H122" s="56">
        <v>0.1044321244450339</v>
      </c>
      <c r="I122" s="224">
        <v>1454.1721902162899</v>
      </c>
    </row>
    <row r="123" spans="1:9" x14ac:dyDescent="0.25">
      <c r="A123" s="515">
        <v>60634</v>
      </c>
      <c r="B123" s="515" t="s">
        <v>394</v>
      </c>
      <c r="C123" s="52">
        <v>313984.767613456</v>
      </c>
      <c r="D123" s="56">
        <v>7.4080556830674943E-3</v>
      </c>
      <c r="E123" s="224">
        <v>1555.55555555555</v>
      </c>
      <c r="F123" s="515" t="s">
        <v>603</v>
      </c>
      <c r="G123" s="52">
        <v>210441.372899818</v>
      </c>
      <c r="H123" s="56">
        <v>0.11850294217453403</v>
      </c>
      <c r="I123" s="224">
        <v>1225.04710144927</v>
      </c>
    </row>
    <row r="124" spans="1:9" x14ac:dyDescent="0.25">
      <c r="A124" s="515">
        <v>10029</v>
      </c>
      <c r="B124" s="515" t="s">
        <v>324</v>
      </c>
      <c r="C124" s="52">
        <v>717318.22368631104</v>
      </c>
      <c r="D124" s="56">
        <v>3.2394199957236448E-2</v>
      </c>
      <c r="E124" s="224">
        <v>2746.20147069322</v>
      </c>
      <c r="F124" s="515" t="s">
        <v>2136</v>
      </c>
      <c r="G124" s="52">
        <v>384525.73649138701</v>
      </c>
      <c r="H124" s="56">
        <v>0.18520580034968859</v>
      </c>
      <c r="I124" s="224">
        <v>2164.3590909090899</v>
      </c>
    </row>
    <row r="125" spans="1:9" x14ac:dyDescent="0.25">
      <c r="A125" s="515">
        <v>92882</v>
      </c>
      <c r="B125" s="515" t="s">
        <v>599</v>
      </c>
      <c r="C125" s="52">
        <v>696448.15714394895</v>
      </c>
      <c r="D125" s="56">
        <v>4.3319010075641859E-2</v>
      </c>
      <c r="E125" s="224">
        <v>2564.5333333333301</v>
      </c>
      <c r="F125" s="515" t="s">
        <v>475</v>
      </c>
      <c r="G125" s="52">
        <v>267993.38040442503</v>
      </c>
      <c r="H125" s="56">
        <v>0.16852742651660643</v>
      </c>
      <c r="I125" s="224">
        <v>1602.4095658158101</v>
      </c>
    </row>
    <row r="126" spans="1:9" x14ac:dyDescent="0.25">
      <c r="A126" s="515">
        <v>76063</v>
      </c>
      <c r="B126" s="515" t="s">
        <v>458</v>
      </c>
      <c r="C126" s="52">
        <v>418448.95095031802</v>
      </c>
      <c r="D126" s="56">
        <v>8.451944660299375E-2</v>
      </c>
      <c r="E126" s="224">
        <v>1838.4790005316299</v>
      </c>
      <c r="F126" s="515" t="s">
        <v>2137</v>
      </c>
      <c r="G126" s="52">
        <v>739374.133876084</v>
      </c>
      <c r="H126" s="56">
        <v>3.3719322426917782E-2</v>
      </c>
      <c r="I126" s="224">
        <v>2709.55984126984</v>
      </c>
    </row>
    <row r="127" spans="1:9" x14ac:dyDescent="0.25">
      <c r="A127" s="515">
        <v>11218</v>
      </c>
      <c r="B127" s="515" t="s">
        <v>324</v>
      </c>
      <c r="C127" s="52">
        <v>595555.36381826899</v>
      </c>
      <c r="D127" s="56">
        <v>-1.9308228120672191E-2</v>
      </c>
      <c r="E127" s="224">
        <v>2371.1299533799502</v>
      </c>
      <c r="F127" s="515" t="s">
        <v>1369</v>
      </c>
      <c r="G127" s="52">
        <v>100509.405780773</v>
      </c>
      <c r="H127" s="56">
        <v>0.10913467636171237</v>
      </c>
      <c r="I127" s="224">
        <v>1211.3484200339401</v>
      </c>
    </row>
    <row r="128" spans="1:9" x14ac:dyDescent="0.25">
      <c r="A128" s="515">
        <v>10469</v>
      </c>
      <c r="B128" s="515" t="s">
        <v>324</v>
      </c>
      <c r="C128" s="52">
        <v>592571.78628407198</v>
      </c>
      <c r="D128" s="56">
        <v>5.0654113332197923E-2</v>
      </c>
      <c r="E128" s="224">
        <v>1970.55555555555</v>
      </c>
      <c r="F128" s="515" t="s">
        <v>1358</v>
      </c>
      <c r="G128" s="52">
        <v>659675.18636410497</v>
      </c>
      <c r="H128" s="56">
        <v>1.9461273206692001E-2</v>
      </c>
      <c r="I128" s="224">
        <v>2837.3630008525101</v>
      </c>
    </row>
    <row r="129" spans="1:9" x14ac:dyDescent="0.25">
      <c r="A129" s="515">
        <v>27587</v>
      </c>
      <c r="B129" s="515" t="s">
        <v>484</v>
      </c>
      <c r="C129" s="52">
        <v>495702.13826298597</v>
      </c>
      <c r="D129" s="56">
        <v>7.8383704334596155E-2</v>
      </c>
      <c r="E129" s="224">
        <v>1858.4142857142799</v>
      </c>
      <c r="F129" s="515" t="s">
        <v>2138</v>
      </c>
      <c r="G129" s="52">
        <v>541873.60129724501</v>
      </c>
      <c r="H129" s="56">
        <v>0.14298860098030738</v>
      </c>
      <c r="I129" s="224">
        <v>2999.2376890843698</v>
      </c>
    </row>
    <row r="130" spans="1:9" x14ac:dyDescent="0.25">
      <c r="A130" s="515">
        <v>27610</v>
      </c>
      <c r="B130" s="515" t="s">
        <v>484</v>
      </c>
      <c r="C130" s="52">
        <v>308180.93890747899</v>
      </c>
      <c r="D130" s="56">
        <v>8.3937236511313518E-2</v>
      </c>
      <c r="E130" s="224">
        <v>1876.6570512820499</v>
      </c>
      <c r="F130" s="515" t="s">
        <v>1351</v>
      </c>
      <c r="G130" s="52">
        <v>184203.174374461</v>
      </c>
      <c r="H130" s="56">
        <v>8.3095910808968498E-2</v>
      </c>
      <c r="I130" s="224">
        <v>1091.7791414603</v>
      </c>
    </row>
    <row r="131" spans="1:9" x14ac:dyDescent="0.25">
      <c r="A131" s="515">
        <v>10466</v>
      </c>
      <c r="B131" s="515" t="s">
        <v>324</v>
      </c>
      <c r="C131" s="52">
        <v>551236.02730270498</v>
      </c>
      <c r="D131" s="56">
        <v>3.358476456806226E-2</v>
      </c>
      <c r="E131" s="224">
        <v>2542.3333333333298</v>
      </c>
      <c r="F131" s="515" t="s">
        <v>1333</v>
      </c>
      <c r="G131" s="52">
        <v>683937.708701642</v>
      </c>
      <c r="H131" s="56">
        <v>2.6233769039594318E-2</v>
      </c>
      <c r="I131" s="224">
        <v>2440.4211469533998</v>
      </c>
    </row>
    <row r="132" spans="1:9" x14ac:dyDescent="0.25">
      <c r="A132" s="515">
        <v>75228</v>
      </c>
      <c r="B132" s="515" t="s">
        <v>458</v>
      </c>
      <c r="C132" s="52">
        <v>273833.54753873701</v>
      </c>
      <c r="D132" s="56">
        <v>9.3355618667413029E-2</v>
      </c>
      <c r="E132" s="224">
        <v>1474.36666666666</v>
      </c>
      <c r="F132" s="515" t="s">
        <v>2139</v>
      </c>
      <c r="G132" s="52">
        <v>688614.540113086</v>
      </c>
      <c r="H132" s="56">
        <v>4.5902530331151596E-2</v>
      </c>
      <c r="I132" s="224">
        <v>2568.3106442577</v>
      </c>
    </row>
    <row r="133" spans="1:9" x14ac:dyDescent="0.25">
      <c r="A133" s="515">
        <v>93550</v>
      </c>
      <c r="B133" s="515" t="s">
        <v>375</v>
      </c>
      <c r="C133" s="52">
        <v>417986.65319307498</v>
      </c>
      <c r="D133" s="56">
        <v>3.0474621148818045E-2</v>
      </c>
      <c r="E133" s="224">
        <v>2319.35</v>
      </c>
      <c r="F133" s="515" t="s">
        <v>2140</v>
      </c>
      <c r="G133" s="52">
        <v>438231.64077297202</v>
      </c>
      <c r="H133" s="56">
        <v>1.8951117295695263E-2</v>
      </c>
      <c r="I133" s="224">
        <v>1970.65114379084</v>
      </c>
    </row>
    <row r="134" spans="1:9" x14ac:dyDescent="0.25">
      <c r="A134" s="515">
        <v>93274</v>
      </c>
      <c r="B134" s="515" t="s">
        <v>358</v>
      </c>
      <c r="C134" s="52">
        <v>311768.05680020002</v>
      </c>
      <c r="D134" s="56">
        <v>5.2634449737352734E-2</v>
      </c>
      <c r="E134" s="224">
        <v>1781.38888888888</v>
      </c>
      <c r="F134" s="515" t="s">
        <v>869</v>
      </c>
      <c r="G134" s="52">
        <v>186065.83978135799</v>
      </c>
      <c r="H134" s="56">
        <v>0.1003784788460132</v>
      </c>
      <c r="I134" s="224">
        <v>1359.49074074074</v>
      </c>
    </row>
    <row r="135" spans="1:9" x14ac:dyDescent="0.25">
      <c r="A135" s="515">
        <v>33311</v>
      </c>
      <c r="B135" s="515" t="s">
        <v>831</v>
      </c>
      <c r="C135" s="52">
        <v>311695.21899775701</v>
      </c>
      <c r="D135" s="56">
        <v>0.17000464432044407</v>
      </c>
      <c r="E135" s="224">
        <v>2253.4951267056499</v>
      </c>
      <c r="F135" s="515" t="s">
        <v>2141</v>
      </c>
      <c r="G135" s="52">
        <v>457095.83127758198</v>
      </c>
      <c r="H135" s="56">
        <v>1.4425284967888781E-2</v>
      </c>
      <c r="I135" s="224">
        <v>1705.0729766014499</v>
      </c>
    </row>
    <row r="136" spans="1:9" x14ac:dyDescent="0.25">
      <c r="A136" s="515">
        <v>92553</v>
      </c>
      <c r="B136" s="515" t="s">
        <v>599</v>
      </c>
      <c r="C136" s="52">
        <v>464079.47928717901</v>
      </c>
      <c r="D136" s="56">
        <v>6.816919496691197E-2</v>
      </c>
      <c r="E136" s="224">
        <v>2199.4537815126</v>
      </c>
      <c r="F136" s="515" t="s">
        <v>1353</v>
      </c>
      <c r="G136" s="52">
        <v>189946.75745793499</v>
      </c>
      <c r="H136" s="56">
        <v>6.8032444856687815E-2</v>
      </c>
      <c r="I136" s="224">
        <v>1108.7279309384501</v>
      </c>
    </row>
    <row r="137" spans="1:9" x14ac:dyDescent="0.25">
      <c r="A137" s="515">
        <v>96706</v>
      </c>
      <c r="B137" s="515" t="s">
        <v>1029</v>
      </c>
      <c r="C137" s="52">
        <v>818216.12347489595</v>
      </c>
      <c r="D137" s="56">
        <v>4.9701618169096393E-2</v>
      </c>
      <c r="E137" s="224">
        <v>3195.7494658119599</v>
      </c>
      <c r="F137" s="515" t="s">
        <v>577</v>
      </c>
      <c r="G137" s="52">
        <v>275481.78870725702</v>
      </c>
      <c r="H137" s="56">
        <v>0.10662806544319513</v>
      </c>
      <c r="I137" s="224">
        <v>1630.5629002549799</v>
      </c>
    </row>
    <row r="138" spans="1:9" x14ac:dyDescent="0.25">
      <c r="A138" s="515">
        <v>63376</v>
      </c>
      <c r="B138" s="515" t="s">
        <v>498</v>
      </c>
      <c r="C138" s="52">
        <v>277295.17295744998</v>
      </c>
      <c r="D138" s="56">
        <v>7.5390596714219424E-2</v>
      </c>
      <c r="E138" s="224">
        <v>1562.925</v>
      </c>
      <c r="F138" s="515" t="s">
        <v>1038</v>
      </c>
      <c r="G138" s="52">
        <v>365615.08918729099</v>
      </c>
      <c r="H138" s="56">
        <v>0.13391700429255091</v>
      </c>
      <c r="I138" s="224">
        <v>1718.3426670890001</v>
      </c>
    </row>
    <row r="139" spans="1:9" x14ac:dyDescent="0.25">
      <c r="A139" s="515">
        <v>85364</v>
      </c>
      <c r="B139" s="515" t="s">
        <v>524</v>
      </c>
      <c r="C139" s="52">
        <v>237933.27393892201</v>
      </c>
      <c r="D139" s="56">
        <v>0.13147932493379877</v>
      </c>
      <c r="E139" s="224">
        <v>1250</v>
      </c>
      <c r="F139" s="515" t="s">
        <v>1323</v>
      </c>
      <c r="G139" s="52">
        <v>125768.582136232</v>
      </c>
      <c r="H139" s="56">
        <v>5.1420078542434459E-2</v>
      </c>
      <c r="I139" s="224">
        <v>1076.18474215842</v>
      </c>
    </row>
    <row r="140" spans="1:9" x14ac:dyDescent="0.25">
      <c r="A140" s="515">
        <v>11203</v>
      </c>
      <c r="B140" s="515" t="s">
        <v>324</v>
      </c>
      <c r="C140" s="52">
        <v>630337.89575605502</v>
      </c>
      <c r="D140" s="56">
        <v>1.4641821849260132E-2</v>
      </c>
      <c r="E140" s="224">
        <v>2605.20879120879</v>
      </c>
      <c r="F140" s="515" t="s">
        <v>2142</v>
      </c>
      <c r="G140" s="52">
        <v>763823.21713770903</v>
      </c>
      <c r="H140" s="56">
        <v>6.2395977257574592E-2</v>
      </c>
      <c r="I140" s="224">
        <v>2842.3550724637598</v>
      </c>
    </row>
    <row r="141" spans="1:9" x14ac:dyDescent="0.25">
      <c r="A141" s="515">
        <v>90255</v>
      </c>
      <c r="B141" s="515" t="s">
        <v>375</v>
      </c>
      <c r="C141" s="52">
        <v>598688.86895129504</v>
      </c>
      <c r="D141" s="56">
        <v>6.180550156278352E-2</v>
      </c>
      <c r="E141" s="224">
        <v>1706.25</v>
      </c>
      <c r="F141" s="515" t="s">
        <v>2143</v>
      </c>
      <c r="G141" s="52">
        <v>375310.64894422702</v>
      </c>
      <c r="H141" s="56">
        <v>0.11261513827117887</v>
      </c>
      <c r="I141" s="224">
        <v>2320.7053763440799</v>
      </c>
    </row>
    <row r="142" spans="1:9" x14ac:dyDescent="0.25">
      <c r="A142" s="515">
        <v>11212</v>
      </c>
      <c r="B142" s="515" t="s">
        <v>324</v>
      </c>
      <c r="C142" s="52">
        <v>519784.44362412399</v>
      </c>
      <c r="D142" s="56">
        <v>1.5094865645119124E-2</v>
      </c>
      <c r="E142" s="224">
        <v>2430.5555555555502</v>
      </c>
      <c r="F142" s="515" t="s">
        <v>2144</v>
      </c>
      <c r="G142" s="52">
        <v>590053.51622647198</v>
      </c>
      <c r="H142" s="56">
        <v>1.2470348701527302E-2</v>
      </c>
      <c r="I142" s="224">
        <v>2027.9589406187699</v>
      </c>
    </row>
    <row r="143" spans="1:9" x14ac:dyDescent="0.25">
      <c r="A143" s="515">
        <v>10002</v>
      </c>
      <c r="B143" s="515" t="s">
        <v>324</v>
      </c>
      <c r="C143" s="52">
        <v>981436.69221755897</v>
      </c>
      <c r="D143" s="56">
        <v>-3.2584722685063301E-2</v>
      </c>
      <c r="E143" s="224">
        <v>3640.1751755189198</v>
      </c>
      <c r="F143" s="515" t="s">
        <v>2145</v>
      </c>
      <c r="G143" s="52">
        <v>251671.34674828601</v>
      </c>
      <c r="H143" s="56">
        <v>8.1159701061335063E-2</v>
      </c>
      <c r="I143" s="224">
        <v>1928.39926739926</v>
      </c>
    </row>
    <row r="144" spans="1:9" x14ac:dyDescent="0.25">
      <c r="A144" s="515">
        <v>94533</v>
      </c>
      <c r="B144" s="515" t="s">
        <v>835</v>
      </c>
      <c r="C144" s="52">
        <v>507859.700239375</v>
      </c>
      <c r="D144" s="56">
        <v>9.7554416429399828E-4</v>
      </c>
      <c r="E144" s="224">
        <v>2337.5898989898901</v>
      </c>
      <c r="F144" s="515" t="s">
        <v>806</v>
      </c>
      <c r="G144" s="52">
        <v>133049.330329819</v>
      </c>
      <c r="H144" s="56">
        <v>9.9370885320784016E-2</v>
      </c>
      <c r="I144" s="224">
        <v>1153.2072128851501</v>
      </c>
    </row>
    <row r="145" spans="1:9" x14ac:dyDescent="0.25">
      <c r="A145" s="515">
        <v>37211</v>
      </c>
      <c r="B145" s="515" t="s">
        <v>684</v>
      </c>
      <c r="C145" s="52">
        <v>381973.40319243103</v>
      </c>
      <c r="D145" s="56">
        <v>9.3089793091705425E-2</v>
      </c>
      <c r="E145" s="224">
        <v>1536.0907692307601</v>
      </c>
      <c r="F145" s="515" t="s">
        <v>1321</v>
      </c>
      <c r="G145" s="52">
        <v>451303.95312816597</v>
      </c>
      <c r="H145" s="56">
        <v>4.7615663137387416E-2</v>
      </c>
      <c r="I145" s="224">
        <v>1907.07046332046</v>
      </c>
    </row>
    <row r="146" spans="1:9" x14ac:dyDescent="0.25">
      <c r="A146" s="515">
        <v>94513</v>
      </c>
      <c r="B146" s="515" t="s">
        <v>593</v>
      </c>
      <c r="C146" s="52">
        <v>780226.30006628204</v>
      </c>
      <c r="D146" s="56">
        <v>-2.7320349825271775E-2</v>
      </c>
      <c r="E146" s="224">
        <v>3079.0096153846098</v>
      </c>
      <c r="F146" s="515" t="s">
        <v>2146</v>
      </c>
      <c r="G146" s="52">
        <v>498161.64611830801</v>
      </c>
      <c r="H146" s="56">
        <v>5.1188123664920628E-2</v>
      </c>
      <c r="I146" s="224">
        <v>2369.4203447399</v>
      </c>
    </row>
    <row r="147" spans="1:9" x14ac:dyDescent="0.25">
      <c r="A147" s="515">
        <v>33023</v>
      </c>
      <c r="B147" s="515" t="s">
        <v>831</v>
      </c>
      <c r="C147" s="52">
        <v>399678.42769283301</v>
      </c>
      <c r="D147" s="56">
        <v>0.12284206460173108</v>
      </c>
      <c r="E147" s="224">
        <v>2502.7777777777701</v>
      </c>
      <c r="F147" s="515" t="s">
        <v>361</v>
      </c>
      <c r="G147" s="52">
        <v>157661.67930287</v>
      </c>
      <c r="H147" s="56">
        <v>9.4085076480379684E-2</v>
      </c>
      <c r="I147" s="224">
        <v>1350.80303030303</v>
      </c>
    </row>
    <row r="148" spans="1:9" x14ac:dyDescent="0.25">
      <c r="A148" s="515">
        <v>75002</v>
      </c>
      <c r="B148" s="515" t="s">
        <v>458</v>
      </c>
      <c r="C148" s="52">
        <v>457901.07527382701</v>
      </c>
      <c r="D148" s="56">
        <v>6.2612595612148506E-2</v>
      </c>
      <c r="E148" s="224">
        <v>2394.8333333333298</v>
      </c>
      <c r="F148" s="515" t="s">
        <v>2147</v>
      </c>
      <c r="G148" s="52">
        <v>1062703.1258888999</v>
      </c>
      <c r="H148" s="56">
        <v>4.2450368766062868E-2</v>
      </c>
      <c r="I148" s="224">
        <v>2836.91251885369</v>
      </c>
    </row>
    <row r="149" spans="1:9" x14ac:dyDescent="0.25">
      <c r="A149" s="515">
        <v>28277</v>
      </c>
      <c r="B149" s="515" t="s">
        <v>360</v>
      </c>
      <c r="C149" s="52">
        <v>501522.15341654798</v>
      </c>
      <c r="D149" s="56">
        <v>8.2516791202873585E-2</v>
      </c>
      <c r="E149" s="224">
        <v>1932.3832527264101</v>
      </c>
      <c r="F149" s="515" t="s">
        <v>617</v>
      </c>
      <c r="G149" s="52">
        <v>526172.20354050095</v>
      </c>
      <c r="H149" s="56">
        <v>2.5823774496929592E-2</v>
      </c>
      <c r="I149" s="224">
        <v>1740.9812836021499</v>
      </c>
    </row>
    <row r="150" spans="1:9" x14ac:dyDescent="0.25">
      <c r="A150" s="515">
        <v>92703</v>
      </c>
      <c r="B150" s="515" t="s">
        <v>375</v>
      </c>
      <c r="C150" s="52">
        <v>675069.223235699</v>
      </c>
      <c r="D150" s="56">
        <v>5.290835115920127E-2</v>
      </c>
      <c r="E150" s="224">
        <v>2717.9166666666601</v>
      </c>
      <c r="F150" s="515" t="s">
        <v>2148</v>
      </c>
      <c r="G150" s="52">
        <v>599523.97799076105</v>
      </c>
      <c r="H150" s="56">
        <v>2.3483161810934239E-2</v>
      </c>
      <c r="I150" s="224">
        <v>2248.93115942029</v>
      </c>
    </row>
    <row r="151" spans="1:9" x14ac:dyDescent="0.25">
      <c r="A151" s="515">
        <v>33411</v>
      </c>
      <c r="B151" s="515" t="s">
        <v>831</v>
      </c>
      <c r="C151" s="52">
        <v>447991.406885328</v>
      </c>
      <c r="D151" s="56">
        <v>0.10794962051127001</v>
      </c>
      <c r="E151" s="224">
        <v>2410.0952380952299</v>
      </c>
      <c r="F151" s="515" t="s">
        <v>738</v>
      </c>
      <c r="G151" s="52">
        <v>533916.03741757094</v>
      </c>
      <c r="H151" s="56">
        <v>2.8962169947838314E-2</v>
      </c>
      <c r="I151" s="224">
        <v>1794.49042733807</v>
      </c>
    </row>
    <row r="152" spans="1:9" x14ac:dyDescent="0.25">
      <c r="A152" s="515">
        <v>33012</v>
      </c>
      <c r="B152" s="515" t="s">
        <v>831</v>
      </c>
      <c r="C152" s="52">
        <v>347723.13366853597</v>
      </c>
      <c r="D152" s="56">
        <v>0.16917891883434732</v>
      </c>
      <c r="E152" s="224">
        <v>2257.2222222222199</v>
      </c>
      <c r="F152" s="515" t="s">
        <v>1346</v>
      </c>
      <c r="G152" s="52">
        <v>168029.15137789401</v>
      </c>
      <c r="H152" s="56">
        <v>0.15569452160937089</v>
      </c>
      <c r="I152" s="224">
        <v>1280.20482603815</v>
      </c>
    </row>
    <row r="153" spans="1:9" x14ac:dyDescent="0.25">
      <c r="A153" s="515">
        <v>91910</v>
      </c>
      <c r="B153" s="515" t="s">
        <v>396</v>
      </c>
      <c r="C153" s="52">
        <v>722044.71218692302</v>
      </c>
      <c r="D153" s="56">
        <v>5.1165228168538537E-2</v>
      </c>
      <c r="E153" s="224">
        <v>2675.5722610722601</v>
      </c>
      <c r="F153" s="515" t="s">
        <v>997</v>
      </c>
      <c r="G153" s="52">
        <v>262671.19035601598</v>
      </c>
      <c r="H153" s="56">
        <v>8.4538818296409912E-2</v>
      </c>
      <c r="I153" s="224">
        <v>1456.8611690713999</v>
      </c>
    </row>
    <row r="154" spans="1:9" x14ac:dyDescent="0.25">
      <c r="A154" s="515">
        <v>94110</v>
      </c>
      <c r="B154" s="515" t="s">
        <v>593</v>
      </c>
      <c r="C154" s="52">
        <v>1269724.3410835899</v>
      </c>
      <c r="D154" s="56">
        <v>-0.11830557290551492</v>
      </c>
      <c r="E154" s="224">
        <v>3568.0733333333301</v>
      </c>
      <c r="F154" s="515" t="s">
        <v>1000</v>
      </c>
      <c r="G154" s="52">
        <v>108028.03061563399</v>
      </c>
      <c r="H154" s="56">
        <v>9.6822424858840572E-2</v>
      </c>
      <c r="I154" s="224">
        <v>977.60110722610705</v>
      </c>
    </row>
    <row r="155" spans="1:9" x14ac:dyDescent="0.25">
      <c r="A155" s="515">
        <v>89108</v>
      </c>
      <c r="B155" s="515" t="s">
        <v>323</v>
      </c>
      <c r="C155" s="52">
        <v>323692.05226475699</v>
      </c>
      <c r="D155" s="56">
        <v>6.0314230585307833E-2</v>
      </c>
      <c r="E155" s="224">
        <v>1476.79984711984</v>
      </c>
      <c r="F155" s="515" t="s">
        <v>1342</v>
      </c>
      <c r="G155" s="52">
        <v>268264.67322935502</v>
      </c>
      <c r="H155" s="56">
        <v>8.4849764454773158E-2</v>
      </c>
      <c r="I155" s="224">
        <v>1512.6922457166299</v>
      </c>
    </row>
    <row r="156" spans="1:9" x14ac:dyDescent="0.25">
      <c r="A156" s="515">
        <v>92126</v>
      </c>
      <c r="B156" s="515" t="s">
        <v>396</v>
      </c>
      <c r="C156" s="52">
        <v>845426.69032601104</v>
      </c>
      <c r="D156" s="56">
        <v>5.9442059937325778E-2</v>
      </c>
      <c r="E156" s="224">
        <v>2945.6112054329301</v>
      </c>
      <c r="F156" s="515" t="s">
        <v>351</v>
      </c>
      <c r="G156" s="52">
        <v>265880.67587351799</v>
      </c>
      <c r="H156" s="56">
        <v>0.18844640915905234</v>
      </c>
      <c r="I156" s="224">
        <v>1744.9462438498499</v>
      </c>
    </row>
    <row r="157" spans="1:9" x14ac:dyDescent="0.25">
      <c r="A157" s="515">
        <v>93535</v>
      </c>
      <c r="B157" s="515" t="s">
        <v>375</v>
      </c>
      <c r="C157" s="52">
        <v>402565.67937394697</v>
      </c>
      <c r="D157" s="56">
        <v>3.1250481305689616E-2</v>
      </c>
      <c r="E157" s="224">
        <v>2728.2666666666601</v>
      </c>
      <c r="F157" s="515" t="s">
        <v>2149</v>
      </c>
      <c r="G157" s="52">
        <v>1114987.27791126</v>
      </c>
      <c r="H157" s="56">
        <v>6.2919298400083729E-2</v>
      </c>
      <c r="I157" s="224">
        <v>3039.3531642960202</v>
      </c>
    </row>
    <row r="158" spans="1:9" x14ac:dyDescent="0.25">
      <c r="A158" s="515">
        <v>96797</v>
      </c>
      <c r="B158" s="515" t="s">
        <v>1029</v>
      </c>
      <c r="C158" s="52">
        <v>859181.15066323895</v>
      </c>
      <c r="D158" s="56">
        <v>9.1892728172415672E-2</v>
      </c>
      <c r="E158" s="224">
        <v>2120.3373015872999</v>
      </c>
      <c r="F158" s="515" t="s">
        <v>1318</v>
      </c>
      <c r="G158" s="52">
        <v>262825.36958045303</v>
      </c>
      <c r="H158" s="56">
        <v>9.6829814540218884E-2</v>
      </c>
      <c r="I158" s="224">
        <v>2042.13333333333</v>
      </c>
    </row>
    <row r="159" spans="1:9" x14ac:dyDescent="0.25">
      <c r="A159" s="515">
        <v>94538</v>
      </c>
      <c r="B159" s="515" t="s">
        <v>593</v>
      </c>
      <c r="C159" s="52">
        <v>1163484.0665816299</v>
      </c>
      <c r="D159" s="56">
        <v>1.6160960100579484E-2</v>
      </c>
      <c r="E159" s="224">
        <v>2834.4743867243801</v>
      </c>
      <c r="F159" s="515" t="s">
        <v>2150</v>
      </c>
      <c r="G159" s="52">
        <v>358674.94575380598</v>
      </c>
      <c r="H159" s="56">
        <v>0.144539146218604</v>
      </c>
      <c r="I159" s="224">
        <v>2099.0814334731199</v>
      </c>
    </row>
    <row r="160" spans="1:9" x14ac:dyDescent="0.25">
      <c r="A160" s="515">
        <v>11375</v>
      </c>
      <c r="B160" s="515" t="s">
        <v>324</v>
      </c>
      <c r="C160" s="52">
        <v>397042.63582875201</v>
      </c>
      <c r="D160" s="56">
        <v>-8.5153840921532803E-2</v>
      </c>
      <c r="E160" s="224">
        <v>2512.6888888888798</v>
      </c>
      <c r="F160" s="515" t="s">
        <v>443</v>
      </c>
      <c r="G160" s="52">
        <v>662333.24616295495</v>
      </c>
      <c r="H160" s="56">
        <v>3.198864016382727E-2</v>
      </c>
      <c r="I160" s="224">
        <v>2118.2822906940501</v>
      </c>
    </row>
    <row r="161" spans="1:9" x14ac:dyDescent="0.25">
      <c r="A161" s="515">
        <v>19120</v>
      </c>
      <c r="B161" s="515" t="s">
        <v>294</v>
      </c>
      <c r="C161" s="52">
        <v>154897.799364871</v>
      </c>
      <c r="D161" s="56">
        <v>0.1025954409185116</v>
      </c>
      <c r="E161" s="224">
        <v>1285.5</v>
      </c>
      <c r="F161" s="515" t="s">
        <v>2151</v>
      </c>
      <c r="G161" s="52">
        <v>391406.52025516902</v>
      </c>
      <c r="H161" s="56">
        <v>7.0823847329426995E-2</v>
      </c>
      <c r="I161" s="224">
        <v>1842.2072674176</v>
      </c>
    </row>
    <row r="162" spans="1:9" x14ac:dyDescent="0.25">
      <c r="A162" s="515">
        <v>47906</v>
      </c>
      <c r="B162" s="515" t="s">
        <v>433</v>
      </c>
      <c r="C162" s="52">
        <v>302043.84390984301</v>
      </c>
      <c r="D162" s="56">
        <v>3.8736000010633612E-2</v>
      </c>
      <c r="E162" s="224">
        <v>1603.7027777777701</v>
      </c>
      <c r="F162" s="515" t="s">
        <v>2152</v>
      </c>
      <c r="G162" s="52">
        <v>815068.062592456</v>
      </c>
      <c r="H162" s="56">
        <v>-7.5297282197172005E-3</v>
      </c>
      <c r="I162" s="224">
        <v>2476.81152521382</v>
      </c>
    </row>
    <row r="163" spans="1:9" x14ac:dyDescent="0.25">
      <c r="A163" s="515">
        <v>94587</v>
      </c>
      <c r="B163" s="515" t="s">
        <v>593</v>
      </c>
      <c r="C163" s="52">
        <v>1086278.3554575201</v>
      </c>
      <c r="D163" s="56">
        <v>4.0612927314099365E-2</v>
      </c>
      <c r="E163" s="224">
        <v>2558.13888888888</v>
      </c>
      <c r="F163" s="515" t="s">
        <v>2153</v>
      </c>
      <c r="G163" s="52">
        <v>515152.64227861702</v>
      </c>
      <c r="H163" s="56">
        <v>2.533599464571875E-2</v>
      </c>
      <c r="I163" s="224">
        <v>1920.72680272108</v>
      </c>
    </row>
    <row r="164" spans="1:9" x14ac:dyDescent="0.25">
      <c r="A164" s="515">
        <v>77036</v>
      </c>
      <c r="B164" s="515" t="s">
        <v>314</v>
      </c>
      <c r="C164" s="52">
        <v>175741.80639387199</v>
      </c>
      <c r="D164" s="56">
        <v>0.1380174708495997</v>
      </c>
      <c r="E164" s="224">
        <v>1250.2222222222199</v>
      </c>
      <c r="F164" s="515" t="s">
        <v>2154</v>
      </c>
      <c r="G164" s="52">
        <v>401098.61423941498</v>
      </c>
      <c r="H164" s="56">
        <v>6.506126143621474E-2</v>
      </c>
      <c r="I164" s="224">
        <v>1489.87083243553</v>
      </c>
    </row>
    <row r="165" spans="1:9" x14ac:dyDescent="0.25">
      <c r="A165" s="515">
        <v>92563</v>
      </c>
      <c r="B165" s="515" t="s">
        <v>599</v>
      </c>
      <c r="C165" s="52">
        <v>634394.79869151802</v>
      </c>
      <c r="D165" s="56">
        <v>2.950100247046087E-2</v>
      </c>
      <c r="E165" s="224">
        <v>2802.10836385836</v>
      </c>
      <c r="F165" s="515" t="s">
        <v>1329</v>
      </c>
      <c r="G165" s="52">
        <v>160561.69118458001</v>
      </c>
      <c r="H165" s="56">
        <v>0.11807996885530893</v>
      </c>
      <c r="I165" s="224">
        <v>1330.3333333333301</v>
      </c>
    </row>
    <row r="166" spans="1:9" x14ac:dyDescent="0.25">
      <c r="A166" s="515">
        <v>33025</v>
      </c>
      <c r="B166" s="515" t="s">
        <v>831</v>
      </c>
      <c r="C166" s="52">
        <v>373088.49084855802</v>
      </c>
      <c r="D166" s="56">
        <v>0.1329156326611661</v>
      </c>
      <c r="E166" s="224">
        <v>2331.73910507652</v>
      </c>
      <c r="F166" s="515" t="s">
        <v>2155</v>
      </c>
      <c r="G166" s="52">
        <v>493053.11735691701</v>
      </c>
      <c r="H166" s="56">
        <v>4.766504475385553E-2</v>
      </c>
      <c r="I166" s="224">
        <v>1883.49731541148</v>
      </c>
    </row>
    <row r="167" spans="1:9" x14ac:dyDescent="0.25">
      <c r="A167" s="515">
        <v>94536</v>
      </c>
      <c r="B167" s="515" t="s">
        <v>593</v>
      </c>
      <c r="C167" s="52">
        <v>1242559.21745662</v>
      </c>
      <c r="D167" s="56">
        <v>2.0093344507145026E-2</v>
      </c>
      <c r="E167" s="224">
        <v>3033.85042735042</v>
      </c>
      <c r="F167" s="515" t="s">
        <v>569</v>
      </c>
      <c r="G167" s="52">
        <v>212187.137662733</v>
      </c>
      <c r="H167" s="56">
        <v>0.14689819099901402</v>
      </c>
      <c r="I167" s="224">
        <v>1173.0158730158701</v>
      </c>
    </row>
    <row r="168" spans="1:9" x14ac:dyDescent="0.25">
      <c r="A168" s="515">
        <v>93727</v>
      </c>
      <c r="B168" s="515" t="s">
        <v>541</v>
      </c>
      <c r="C168" s="52">
        <v>381305.36542100197</v>
      </c>
      <c r="D168" s="56">
        <v>5.466374260706458E-2</v>
      </c>
      <c r="E168" s="224">
        <v>2055.4166666666601</v>
      </c>
      <c r="F168" s="515" t="s">
        <v>416</v>
      </c>
      <c r="G168" s="52">
        <v>400174.12234105798</v>
      </c>
      <c r="H168" s="56">
        <v>3.5591730969944085E-2</v>
      </c>
      <c r="I168" s="224">
        <v>1680.0836700336699</v>
      </c>
    </row>
    <row r="169" spans="1:9" x14ac:dyDescent="0.25">
      <c r="A169" s="515">
        <v>76244</v>
      </c>
      <c r="B169" s="515" t="s">
        <v>458</v>
      </c>
      <c r="C169" s="52">
        <v>388974.97144749499</v>
      </c>
      <c r="D169" s="56">
        <v>5.5154263592114137E-2</v>
      </c>
      <c r="E169" s="224">
        <v>2116.6300505050499</v>
      </c>
      <c r="F169" s="515" t="s">
        <v>2156</v>
      </c>
      <c r="G169" s="52">
        <v>718809.62926898804</v>
      </c>
      <c r="H169" s="56">
        <v>4.2914423327494858E-2</v>
      </c>
      <c r="I169" s="224">
        <v>2327.3376623376598</v>
      </c>
    </row>
    <row r="170" spans="1:9" x14ac:dyDescent="0.25">
      <c r="A170" s="515">
        <v>92105</v>
      </c>
      <c r="B170" s="515" t="s">
        <v>396</v>
      </c>
      <c r="C170" s="52">
        <v>602909.43714000797</v>
      </c>
      <c r="D170" s="56">
        <v>8.043860205636516E-2</v>
      </c>
      <c r="E170" s="224">
        <v>2002.5407407407399</v>
      </c>
      <c r="F170" s="515" t="s">
        <v>1355</v>
      </c>
      <c r="G170" s="52">
        <v>378976.27184823598</v>
      </c>
      <c r="H170" s="56">
        <v>0.11395378080249496</v>
      </c>
      <c r="I170" s="224">
        <v>2356.1503594186502</v>
      </c>
    </row>
    <row r="171" spans="1:9" x14ac:dyDescent="0.25">
      <c r="A171" s="515">
        <v>85032</v>
      </c>
      <c r="B171" s="515" t="s">
        <v>563</v>
      </c>
      <c r="C171" s="52">
        <v>424352.86371310201</v>
      </c>
      <c r="D171" s="56">
        <v>3.897039969025258E-2</v>
      </c>
      <c r="E171" s="224">
        <v>1892.74960127591</v>
      </c>
      <c r="F171" s="515" t="s">
        <v>2157</v>
      </c>
      <c r="G171" s="52">
        <v>310778.73174132599</v>
      </c>
      <c r="H171" s="56">
        <v>8.7018909101086797E-2</v>
      </c>
      <c r="I171" s="224">
        <v>1664.8271246573099</v>
      </c>
    </row>
    <row r="172" spans="1:9" x14ac:dyDescent="0.25">
      <c r="A172" s="515">
        <v>30349</v>
      </c>
      <c r="B172" s="515" t="s">
        <v>957</v>
      </c>
      <c r="C172" s="52">
        <v>268721.50013802602</v>
      </c>
      <c r="D172" s="56">
        <v>0.13521900358957137</v>
      </c>
      <c r="E172" s="224">
        <v>1957.31111111111</v>
      </c>
      <c r="F172" s="515" t="s">
        <v>2158</v>
      </c>
      <c r="G172" s="52">
        <v>447177.059538631</v>
      </c>
      <c r="H172" s="56">
        <v>3.7531377439791798E-2</v>
      </c>
      <c r="I172" s="224">
        <v>1740.8112043849101</v>
      </c>
    </row>
    <row r="173" spans="1:9" x14ac:dyDescent="0.25">
      <c r="A173" s="515">
        <v>60614</v>
      </c>
      <c r="B173" s="515" t="s">
        <v>394</v>
      </c>
      <c r="C173" s="52">
        <v>495484.45442560798</v>
      </c>
      <c r="D173" s="56">
        <v>-6.1458058252031968E-2</v>
      </c>
      <c r="E173" s="224">
        <v>2393.6616468253901</v>
      </c>
      <c r="F173" s="515" t="s">
        <v>2159</v>
      </c>
      <c r="G173" s="52">
        <v>600438.39113731601</v>
      </c>
      <c r="H173" s="56">
        <v>4.914069524325082E-2</v>
      </c>
      <c r="I173" s="224">
        <v>2472.61309523809</v>
      </c>
    </row>
    <row r="174" spans="1:9" x14ac:dyDescent="0.25">
      <c r="A174" s="515">
        <v>94558</v>
      </c>
      <c r="B174" s="515" t="s">
        <v>914</v>
      </c>
      <c r="C174" s="52">
        <v>858429.99985302903</v>
      </c>
      <c r="D174" s="56">
        <v>2.304589092410763E-2</v>
      </c>
      <c r="E174" s="224">
        <v>2954.62222222222</v>
      </c>
      <c r="F174" s="515" t="s">
        <v>579</v>
      </c>
      <c r="G174" s="52">
        <v>300398.47187583701</v>
      </c>
      <c r="H174" s="56">
        <v>7.7842800001143769E-2</v>
      </c>
      <c r="I174" s="224">
        <v>1161.9086419753</v>
      </c>
    </row>
    <row r="175" spans="1:9" x14ac:dyDescent="0.25">
      <c r="A175" s="515">
        <v>28027</v>
      </c>
      <c r="B175" s="515" t="s">
        <v>360</v>
      </c>
      <c r="C175" s="52">
        <v>388596.845014947</v>
      </c>
      <c r="D175" s="56">
        <v>0.10677374911060718</v>
      </c>
      <c r="E175" s="224">
        <v>1744.19869281045</v>
      </c>
      <c r="F175" s="515" t="s">
        <v>1366</v>
      </c>
      <c r="G175" s="52">
        <v>365166.07840467797</v>
      </c>
      <c r="H175" s="56">
        <v>7.7527361725217084E-2</v>
      </c>
      <c r="I175" s="224">
        <v>1813.1847578347499</v>
      </c>
    </row>
    <row r="176" spans="1:9" x14ac:dyDescent="0.25">
      <c r="A176" s="515">
        <v>30040</v>
      </c>
      <c r="B176" s="515" t="s">
        <v>957</v>
      </c>
      <c r="C176" s="52">
        <v>523931.39910755702</v>
      </c>
      <c r="D176" s="56">
        <v>9.4365985906679481E-2</v>
      </c>
      <c r="E176" s="224">
        <v>2241.5416666666601</v>
      </c>
      <c r="F176" s="515" t="s">
        <v>1314</v>
      </c>
      <c r="G176" s="52">
        <v>170510.44198095801</v>
      </c>
      <c r="H176" s="56">
        <v>6.4382245698693968E-2</v>
      </c>
      <c r="I176" s="224">
        <v>842.19999999999902</v>
      </c>
    </row>
    <row r="177" spans="1:9" x14ac:dyDescent="0.25">
      <c r="A177" s="515">
        <v>45011</v>
      </c>
      <c r="B177" s="515" t="s">
        <v>344</v>
      </c>
      <c r="C177" s="52">
        <v>301132.79401939298</v>
      </c>
      <c r="D177" s="56">
        <v>7.1635684656694232E-2</v>
      </c>
      <c r="E177" s="224">
        <v>1878.3333333333301</v>
      </c>
      <c r="F177" s="515" t="s">
        <v>2160</v>
      </c>
      <c r="G177" s="52">
        <v>432056.32910964498</v>
      </c>
      <c r="H177" s="56">
        <v>2.4063189049196194E-2</v>
      </c>
      <c r="I177" s="224">
        <v>2600.4202020202001</v>
      </c>
    </row>
    <row r="178" spans="1:9" x14ac:dyDescent="0.25">
      <c r="A178" s="515">
        <v>20906</v>
      </c>
      <c r="B178" s="515" t="s">
        <v>321</v>
      </c>
      <c r="C178" s="52">
        <v>410739.25747214799</v>
      </c>
      <c r="D178" s="56">
        <v>8.4456725573194592E-3</v>
      </c>
      <c r="E178" s="224">
        <v>1881.5873015873001</v>
      </c>
      <c r="F178" s="515" t="s">
        <v>1357</v>
      </c>
      <c r="G178" s="52">
        <v>485131.98893718602</v>
      </c>
      <c r="H178" s="56">
        <v>0.13319238525331042</v>
      </c>
      <c r="I178" s="224">
        <v>2166.8878263635302</v>
      </c>
    </row>
    <row r="179" spans="1:9" x14ac:dyDescent="0.25">
      <c r="A179" s="515">
        <v>93065</v>
      </c>
      <c r="B179" s="515" t="s">
        <v>1021</v>
      </c>
      <c r="C179" s="52">
        <v>755738.31293391495</v>
      </c>
      <c r="D179" s="56">
        <v>3.2422968732968736E-3</v>
      </c>
      <c r="E179" s="224">
        <v>3289.8333333333298</v>
      </c>
      <c r="F179" s="515" t="s">
        <v>2161</v>
      </c>
      <c r="G179" s="52">
        <v>501413.93747336301</v>
      </c>
      <c r="H179" s="56">
        <v>0.16458422179784568</v>
      </c>
      <c r="I179" s="224">
        <v>2734.8926920665099</v>
      </c>
    </row>
    <row r="180" spans="1:9" x14ac:dyDescent="0.25">
      <c r="A180" s="515">
        <v>80013</v>
      </c>
      <c r="B180" s="515" t="s">
        <v>401</v>
      </c>
      <c r="C180" s="52">
        <v>479893.26939158799</v>
      </c>
      <c r="D180" s="56">
        <v>2.6546759673271546E-2</v>
      </c>
      <c r="E180" s="224">
        <v>2019.5490196078399</v>
      </c>
      <c r="F180" s="515" t="s">
        <v>1104</v>
      </c>
      <c r="G180" s="52">
        <v>131046.458430855</v>
      </c>
      <c r="H180" s="56">
        <v>7.7841857262144779E-2</v>
      </c>
      <c r="I180" s="224">
        <v>890.54503367003304</v>
      </c>
    </row>
    <row r="181" spans="1:9" x14ac:dyDescent="0.25">
      <c r="A181" s="515">
        <v>10463</v>
      </c>
      <c r="B181" s="515" t="s">
        <v>324</v>
      </c>
      <c r="C181" s="52">
        <v>293433.27349769499</v>
      </c>
      <c r="D181" s="56">
        <v>-1.5495373828106762E-2</v>
      </c>
      <c r="E181" s="224">
        <v>2327.36388888888</v>
      </c>
      <c r="F181" s="515" t="s">
        <v>753</v>
      </c>
      <c r="G181" s="52">
        <v>155915.98917177701</v>
      </c>
      <c r="H181" s="56">
        <v>9.096735126722455E-2</v>
      </c>
      <c r="I181" s="224">
        <v>1036.3988095238001</v>
      </c>
    </row>
    <row r="182" spans="1:9" x14ac:dyDescent="0.25">
      <c r="A182" s="515">
        <v>34953</v>
      </c>
      <c r="B182" s="515" t="s">
        <v>1180</v>
      </c>
      <c r="C182" s="52">
        <v>387227.63378327101</v>
      </c>
      <c r="D182" s="56">
        <v>9.3332159749490343E-2</v>
      </c>
      <c r="E182" s="224">
        <v>2429.6209716209701</v>
      </c>
      <c r="F182" s="515" t="s">
        <v>2162</v>
      </c>
      <c r="G182" s="52">
        <v>409989.07728884398</v>
      </c>
      <c r="H182" s="56">
        <v>4.996569085427479E-2</v>
      </c>
      <c r="I182" s="224">
        <v>1769.11896436896</v>
      </c>
    </row>
    <row r="183" spans="1:9" x14ac:dyDescent="0.25">
      <c r="A183" s="515">
        <v>33647</v>
      </c>
      <c r="B183" s="515" t="s">
        <v>461</v>
      </c>
      <c r="C183" s="52">
        <v>470269.87657570298</v>
      </c>
      <c r="D183" s="56">
        <v>7.1927782346059788E-2</v>
      </c>
      <c r="E183" s="224">
        <v>2115.5996732026101</v>
      </c>
      <c r="F183" s="515" t="s">
        <v>2163</v>
      </c>
      <c r="G183" s="52">
        <v>632211.85327921098</v>
      </c>
      <c r="H183" s="56">
        <v>6.9016340966629647E-2</v>
      </c>
      <c r="I183" s="224">
        <v>1934.35175782593</v>
      </c>
    </row>
    <row r="184" spans="1:9" x14ac:dyDescent="0.25">
      <c r="A184" s="515">
        <v>77095</v>
      </c>
      <c r="B184" s="515" t="s">
        <v>314</v>
      </c>
      <c r="C184" s="52">
        <v>319722.255064397</v>
      </c>
      <c r="D184" s="56">
        <v>8.2423217432212481E-2</v>
      </c>
      <c r="E184" s="224">
        <v>1785.6055555555499</v>
      </c>
      <c r="F184" s="515" t="s">
        <v>1377</v>
      </c>
      <c r="G184" s="52">
        <v>341794.43073095701</v>
      </c>
      <c r="H184" s="56">
        <v>6.9566614508645194E-2</v>
      </c>
      <c r="I184" s="224">
        <v>1962.7155555555501</v>
      </c>
    </row>
    <row r="185" spans="1:9" x14ac:dyDescent="0.25">
      <c r="A185" s="515">
        <v>33186</v>
      </c>
      <c r="B185" s="515" t="s">
        <v>831</v>
      </c>
      <c r="C185" s="52">
        <v>468494.29698362801</v>
      </c>
      <c r="D185" s="56">
        <v>0.13797489005480784</v>
      </c>
      <c r="E185" s="224">
        <v>2657.6151918257101</v>
      </c>
      <c r="F185" s="515" t="s">
        <v>2164</v>
      </c>
      <c r="G185" s="52">
        <v>751088.47973638901</v>
      </c>
      <c r="H185" s="56">
        <v>4.7504021246552203E-2</v>
      </c>
      <c r="I185" s="224">
        <v>2392.3530701754298</v>
      </c>
    </row>
    <row r="186" spans="1:9" x14ac:dyDescent="0.25">
      <c r="A186" s="515">
        <v>89110</v>
      </c>
      <c r="B186" s="515" t="s">
        <v>323</v>
      </c>
      <c r="C186" s="52">
        <v>318275.97223509999</v>
      </c>
      <c r="D186" s="56">
        <v>6.46269855549262E-2</v>
      </c>
      <c r="E186" s="224">
        <v>1607.5</v>
      </c>
      <c r="F186" s="515" t="s">
        <v>2165</v>
      </c>
      <c r="G186" s="52">
        <v>805348.55110103998</v>
      </c>
      <c r="H186" s="56">
        <v>4.4801687438734014E-2</v>
      </c>
      <c r="I186" s="224">
        <v>2533.0555555555502</v>
      </c>
    </row>
    <row r="187" spans="1:9" x14ac:dyDescent="0.25">
      <c r="A187" s="515">
        <v>92021</v>
      </c>
      <c r="B187" s="515" t="s">
        <v>396</v>
      </c>
      <c r="C187" s="52">
        <v>664371.66988327005</v>
      </c>
      <c r="D187" s="56">
        <v>4.1204602736160612E-2</v>
      </c>
      <c r="E187" s="224">
        <v>2404.5</v>
      </c>
      <c r="F187" s="515" t="s">
        <v>1313</v>
      </c>
      <c r="G187" s="52">
        <v>288173.13194028498</v>
      </c>
      <c r="H187" s="56">
        <v>0.10802984764717563</v>
      </c>
      <c r="I187" s="224">
        <v>1385.6508139487601</v>
      </c>
    </row>
    <row r="188" spans="1:9" x14ac:dyDescent="0.25">
      <c r="A188" s="515">
        <v>30127</v>
      </c>
      <c r="B188" s="515" t="s">
        <v>957</v>
      </c>
      <c r="C188" s="52">
        <v>347138.30304353498</v>
      </c>
      <c r="D188" s="56">
        <v>9.4711532805256224E-2</v>
      </c>
      <c r="E188" s="224">
        <v>2001.7333333333299</v>
      </c>
      <c r="F188" s="515" t="s">
        <v>1331</v>
      </c>
      <c r="G188" s="52">
        <v>229742.289501372</v>
      </c>
      <c r="H188" s="56">
        <v>0.10740502243801514</v>
      </c>
      <c r="I188" s="224">
        <v>1191.7095959595899</v>
      </c>
    </row>
    <row r="189" spans="1:9" x14ac:dyDescent="0.25">
      <c r="A189" s="515">
        <v>93230</v>
      </c>
      <c r="B189" s="515" t="s">
        <v>942</v>
      </c>
      <c r="C189" s="52">
        <v>330837.61230347399</v>
      </c>
      <c r="D189" s="56">
        <v>4.7948540326724486E-2</v>
      </c>
      <c r="E189" s="224">
        <v>1735.2222222222199</v>
      </c>
      <c r="F189" s="515" t="s">
        <v>2166</v>
      </c>
      <c r="G189" s="52">
        <v>387537.42748104897</v>
      </c>
      <c r="H189" s="56">
        <v>8.7002693610702009E-2</v>
      </c>
      <c r="I189" s="224">
        <v>1989.53075178789</v>
      </c>
    </row>
    <row r="190" spans="1:9" x14ac:dyDescent="0.25">
      <c r="A190" s="515">
        <v>30022</v>
      </c>
      <c r="B190" s="515" t="s">
        <v>957</v>
      </c>
      <c r="C190" s="52">
        <v>585705.57586139801</v>
      </c>
      <c r="D190" s="56">
        <v>9.5417232126143087E-2</v>
      </c>
      <c r="E190" s="224">
        <v>1981.66484593837</v>
      </c>
      <c r="F190" s="515" t="s">
        <v>2167</v>
      </c>
      <c r="G190" s="52">
        <v>710858.40507668105</v>
      </c>
      <c r="H190" s="56">
        <v>4.8435961999671255E-2</v>
      </c>
      <c r="I190" s="224">
        <v>2667.9255892255801</v>
      </c>
    </row>
    <row r="191" spans="1:9" x14ac:dyDescent="0.25">
      <c r="A191" s="515">
        <v>60657</v>
      </c>
      <c r="B191" s="515" t="s">
        <v>394</v>
      </c>
      <c r="C191" s="52">
        <v>396976.12297350803</v>
      </c>
      <c r="D191" s="56">
        <v>-3.3048570524425634E-2</v>
      </c>
      <c r="E191" s="224">
        <v>1833.98691594305</v>
      </c>
      <c r="F191" s="515" t="s">
        <v>2168</v>
      </c>
      <c r="G191" s="52">
        <v>464496.33561982203</v>
      </c>
      <c r="H191" s="56">
        <v>3.9514502858179007E-2</v>
      </c>
      <c r="I191" s="224">
        <v>1851.9013653483901</v>
      </c>
    </row>
    <row r="192" spans="1:9" x14ac:dyDescent="0.25">
      <c r="A192" s="515">
        <v>19124</v>
      </c>
      <c r="B192" s="515" t="s">
        <v>294</v>
      </c>
      <c r="C192" s="52">
        <v>154331.52347494301</v>
      </c>
      <c r="D192" s="56">
        <v>9.4812095683687675E-2</v>
      </c>
      <c r="E192" s="224">
        <v>1203.98809523809</v>
      </c>
      <c r="F192" s="515" t="s">
        <v>1332</v>
      </c>
      <c r="G192" s="52">
        <v>220185.85398744399</v>
      </c>
      <c r="H192" s="56">
        <v>0.12802885296044383</v>
      </c>
      <c r="I192" s="224">
        <v>1271.0581157193999</v>
      </c>
    </row>
    <row r="193" spans="1:9" x14ac:dyDescent="0.25">
      <c r="A193" s="515">
        <v>91766</v>
      </c>
      <c r="B193" s="515" t="s">
        <v>375</v>
      </c>
      <c r="C193" s="52">
        <v>583234.00744117505</v>
      </c>
      <c r="D193" s="56">
        <v>4.9611811368340253E-2</v>
      </c>
      <c r="E193" s="224">
        <v>2611.38888888888</v>
      </c>
      <c r="F193" s="515" t="s">
        <v>2169</v>
      </c>
      <c r="G193" s="52">
        <v>414157.51341584901</v>
      </c>
      <c r="H193" s="56">
        <v>7.6404348067231842E-2</v>
      </c>
      <c r="I193" s="224">
        <v>2010.14114114114</v>
      </c>
    </row>
    <row r="194" spans="1:9" x14ac:dyDescent="0.25">
      <c r="A194" s="515">
        <v>90262</v>
      </c>
      <c r="B194" s="515" t="s">
        <v>375</v>
      </c>
      <c r="C194" s="52">
        <v>595075.83188928105</v>
      </c>
      <c r="D194" s="56">
        <v>6.3092895037153623E-2</v>
      </c>
      <c r="E194" s="224">
        <v>1872.5</v>
      </c>
      <c r="F194" s="515" t="s">
        <v>1315</v>
      </c>
      <c r="G194" s="52">
        <v>144005.59576363399</v>
      </c>
      <c r="H194" s="56">
        <v>0.10890926698542593</v>
      </c>
      <c r="I194" s="224">
        <v>1150.9374908505299</v>
      </c>
    </row>
    <row r="195" spans="1:9" x14ac:dyDescent="0.25">
      <c r="A195" s="515">
        <v>85142</v>
      </c>
      <c r="B195" s="515" t="s">
        <v>563</v>
      </c>
      <c r="C195" s="52">
        <v>554375.83654011902</v>
      </c>
      <c r="D195" s="56">
        <v>3.5473551498871096E-2</v>
      </c>
      <c r="E195" s="224">
        <v>2086.1178266178199</v>
      </c>
      <c r="F195" s="515" t="s">
        <v>2170</v>
      </c>
      <c r="G195" s="52">
        <v>464486.09972385498</v>
      </c>
      <c r="H195" s="56">
        <v>2.231189470796351E-2</v>
      </c>
      <c r="I195" s="224">
        <v>2738.0496632996601</v>
      </c>
    </row>
    <row r="196" spans="1:9" x14ac:dyDescent="0.25">
      <c r="A196" s="515">
        <v>91730</v>
      </c>
      <c r="B196" s="515" t="s">
        <v>599</v>
      </c>
      <c r="C196" s="52">
        <v>607228.40826225502</v>
      </c>
      <c r="D196" s="56">
        <v>6.4674775344079935E-2</v>
      </c>
      <c r="E196" s="224">
        <v>2631.42599203483</v>
      </c>
      <c r="F196" s="515" t="s">
        <v>2171</v>
      </c>
      <c r="G196" s="52">
        <v>531121.50053738605</v>
      </c>
      <c r="H196" s="56">
        <v>9.3262153176387377E-2</v>
      </c>
      <c r="I196" s="224">
        <v>2204.3279012345602</v>
      </c>
    </row>
    <row r="197" spans="1:9" x14ac:dyDescent="0.25">
      <c r="A197" s="515">
        <v>60505</v>
      </c>
      <c r="B197" s="515" t="s">
        <v>394</v>
      </c>
      <c r="C197" s="52">
        <v>189968.987996682</v>
      </c>
      <c r="D197" s="56">
        <v>0.12061098952352609</v>
      </c>
      <c r="E197" s="224" t="s">
        <v>2</v>
      </c>
      <c r="F197" s="515" t="s">
        <v>1359</v>
      </c>
      <c r="G197" s="52">
        <v>246449.36810431301</v>
      </c>
      <c r="H197" s="56">
        <v>8.6758950412296573E-2</v>
      </c>
      <c r="I197" s="224">
        <v>1608.738120968</v>
      </c>
    </row>
    <row r="198" spans="1:9" x14ac:dyDescent="0.25">
      <c r="A198" s="515">
        <v>11215</v>
      </c>
      <c r="B198" s="515" t="s">
        <v>324</v>
      </c>
      <c r="C198" s="52">
        <v>1089382.6037885</v>
      </c>
      <c r="D198" s="56">
        <v>9.1970563939524821E-3</v>
      </c>
      <c r="E198" s="224">
        <v>3510.3209586397902</v>
      </c>
      <c r="F198" s="515" t="s">
        <v>2172</v>
      </c>
      <c r="G198" s="52">
        <v>601951.34899366205</v>
      </c>
      <c r="H198" s="56">
        <v>1.5138417352803189E-2</v>
      </c>
      <c r="I198" s="224">
        <v>2501.30694444444</v>
      </c>
    </row>
    <row r="199" spans="1:9" x14ac:dyDescent="0.25">
      <c r="A199" s="515">
        <v>7055</v>
      </c>
      <c r="B199" s="515" t="s">
        <v>324</v>
      </c>
      <c r="C199" s="52">
        <v>428935.66622583999</v>
      </c>
      <c r="D199" s="56">
        <v>4.9700897985375379E-2</v>
      </c>
      <c r="E199" s="224">
        <v>2031.25</v>
      </c>
      <c r="F199" s="515" t="s">
        <v>2173</v>
      </c>
      <c r="G199" s="52">
        <v>318544.142979678</v>
      </c>
      <c r="H199" s="56">
        <v>9.2570683037295765E-2</v>
      </c>
      <c r="I199" s="224">
        <v>1621.6680297671601</v>
      </c>
    </row>
    <row r="200" spans="1:9" x14ac:dyDescent="0.25">
      <c r="A200" s="515">
        <v>73099</v>
      </c>
      <c r="B200" s="515" t="s">
        <v>385</v>
      </c>
      <c r="C200" s="52">
        <v>243609.162177989</v>
      </c>
      <c r="D200" s="56">
        <v>0.10000544993025716</v>
      </c>
      <c r="E200" s="224">
        <v>1513.6539682539601</v>
      </c>
      <c r="F200" s="515" t="s">
        <v>2174</v>
      </c>
      <c r="G200" s="52">
        <v>705977.64665452298</v>
      </c>
      <c r="H200" s="56">
        <v>3.0615006156926895E-2</v>
      </c>
      <c r="I200" s="224">
        <v>2557.88888888888</v>
      </c>
    </row>
    <row r="201" spans="1:9" x14ac:dyDescent="0.25">
      <c r="A201" s="515">
        <v>92801</v>
      </c>
      <c r="B201" s="515" t="s">
        <v>375</v>
      </c>
      <c r="C201" s="52">
        <v>720283.29309350403</v>
      </c>
      <c r="D201" s="56">
        <v>5.2733879767061349E-2</v>
      </c>
      <c r="E201" s="224">
        <v>2367.0555555555502</v>
      </c>
      <c r="F201" s="515" t="s">
        <v>861</v>
      </c>
      <c r="G201" s="52">
        <v>231336.234564782</v>
      </c>
      <c r="H201" s="56">
        <v>0.10926507065100446</v>
      </c>
      <c r="I201" s="224">
        <v>1268.63333333333</v>
      </c>
    </row>
    <row r="202" spans="1:9" x14ac:dyDescent="0.25">
      <c r="A202" s="515">
        <v>91402</v>
      </c>
      <c r="B202" s="515" t="s">
        <v>375</v>
      </c>
      <c r="C202" s="52">
        <v>645277.57089628396</v>
      </c>
      <c r="D202" s="56">
        <v>7.04616195681491E-2</v>
      </c>
      <c r="E202" s="224">
        <v>1949.43333333333</v>
      </c>
      <c r="F202" s="515" t="s">
        <v>2175</v>
      </c>
      <c r="G202" s="52">
        <v>409747.08299638203</v>
      </c>
      <c r="H202" s="56">
        <v>0.13739139921651022</v>
      </c>
      <c r="I202" s="224">
        <v>2456.7152777777701</v>
      </c>
    </row>
    <row r="203" spans="1:9" x14ac:dyDescent="0.25">
      <c r="A203" s="515">
        <v>20011</v>
      </c>
      <c r="B203" s="515" t="s">
        <v>321</v>
      </c>
      <c r="C203" s="52">
        <v>663078.20721222204</v>
      </c>
      <c r="D203" s="56">
        <v>1.2313826826270097E-2</v>
      </c>
      <c r="E203" s="224">
        <v>2102.0231481481401</v>
      </c>
      <c r="F203" s="515" t="s">
        <v>2176</v>
      </c>
      <c r="G203" s="52">
        <v>338459.60907337302</v>
      </c>
      <c r="H203" s="56">
        <v>9.9545859103890591E-2</v>
      </c>
      <c r="I203" s="224">
        <v>1648.98606352252</v>
      </c>
    </row>
    <row r="204" spans="1:9" x14ac:dyDescent="0.25">
      <c r="A204" s="515">
        <v>60620</v>
      </c>
      <c r="B204" s="515" t="s">
        <v>394</v>
      </c>
      <c r="C204" s="52">
        <v>161607.104020461</v>
      </c>
      <c r="D204" s="56">
        <v>2.6620122242327807E-2</v>
      </c>
      <c r="E204" s="224">
        <v>1124.88194444444</v>
      </c>
      <c r="F204" s="515" t="s">
        <v>2177</v>
      </c>
      <c r="G204" s="52">
        <v>249894.90529673401</v>
      </c>
      <c r="H204" s="56">
        <v>9.1924890728623573E-2</v>
      </c>
      <c r="I204" s="224">
        <v>1416.0861952861901</v>
      </c>
    </row>
    <row r="205" spans="1:9" x14ac:dyDescent="0.25">
      <c r="A205" s="515">
        <v>93536</v>
      </c>
      <c r="B205" s="515" t="s">
        <v>375</v>
      </c>
      <c r="C205" s="52">
        <v>501449.913004092</v>
      </c>
      <c r="D205" s="56">
        <v>1.3869170135032943E-2</v>
      </c>
      <c r="E205" s="224">
        <v>2668.9833333333299</v>
      </c>
      <c r="F205" s="515" t="s">
        <v>783</v>
      </c>
      <c r="G205" s="52">
        <v>444448.22650289402</v>
      </c>
      <c r="H205" s="56">
        <v>4.7135748620328183E-2</v>
      </c>
      <c r="I205" s="224">
        <v>2693.2581269349798</v>
      </c>
    </row>
    <row r="206" spans="1:9" x14ac:dyDescent="0.25">
      <c r="A206" s="515">
        <v>30052</v>
      </c>
      <c r="B206" s="515" t="s">
        <v>957</v>
      </c>
      <c r="C206" s="52">
        <v>368143.828001121</v>
      </c>
      <c r="D206" s="56">
        <v>9.1815999812065494E-2</v>
      </c>
      <c r="E206" s="224">
        <v>2178.8775252525202</v>
      </c>
      <c r="F206" s="515" t="s">
        <v>2178</v>
      </c>
      <c r="G206" s="52">
        <v>474891.45710166998</v>
      </c>
      <c r="H206" s="56">
        <v>6.2981417785360053E-2</v>
      </c>
      <c r="I206" s="224">
        <v>1918.54351204351</v>
      </c>
    </row>
    <row r="207" spans="1:9" x14ac:dyDescent="0.25">
      <c r="A207" s="515">
        <v>10472</v>
      </c>
      <c r="B207" s="515" t="s">
        <v>324</v>
      </c>
      <c r="C207" s="52">
        <v>409519.991411542</v>
      </c>
      <c r="D207" s="56">
        <v>1.9715717837818624E-3</v>
      </c>
      <c r="E207" s="224">
        <v>1770.875</v>
      </c>
      <c r="F207" s="515" t="s">
        <v>2179</v>
      </c>
      <c r="G207" s="52">
        <v>320955.53534994001</v>
      </c>
      <c r="H207" s="56">
        <v>7.9715181643227356E-2</v>
      </c>
      <c r="I207" s="224">
        <v>1601.38830409356</v>
      </c>
    </row>
    <row r="208" spans="1:9" x14ac:dyDescent="0.25">
      <c r="A208" s="515">
        <v>11706</v>
      </c>
      <c r="B208" s="515" t="s">
        <v>324</v>
      </c>
      <c r="C208" s="52">
        <v>489512.46316075802</v>
      </c>
      <c r="D208" s="56">
        <v>2.7736450151768764E-2</v>
      </c>
      <c r="E208" s="224">
        <v>2300</v>
      </c>
      <c r="F208" s="515" t="s">
        <v>2180</v>
      </c>
      <c r="G208" s="52">
        <v>670555.71666794701</v>
      </c>
      <c r="H208" s="56">
        <v>2.083003665472297E-2</v>
      </c>
      <c r="I208" s="224">
        <v>2089.8657883986898</v>
      </c>
    </row>
    <row r="209" spans="1:9" x14ac:dyDescent="0.25">
      <c r="A209" s="515">
        <v>90631</v>
      </c>
      <c r="B209" s="515" t="s">
        <v>375</v>
      </c>
      <c r="C209" s="52">
        <v>780964.68774371</v>
      </c>
      <c r="D209" s="56">
        <v>4.2427111112378874E-2</v>
      </c>
      <c r="E209" s="224">
        <v>2836.48888888888</v>
      </c>
      <c r="F209" s="515" t="s">
        <v>802</v>
      </c>
      <c r="G209" s="52">
        <v>280730.570538898</v>
      </c>
      <c r="H209" s="56">
        <v>1.1107076544288393E-2</v>
      </c>
      <c r="I209" s="224">
        <v>1349.72650186071</v>
      </c>
    </row>
    <row r="210" spans="1:9" x14ac:dyDescent="0.25">
      <c r="A210" s="515">
        <v>80015</v>
      </c>
      <c r="B210" s="515" t="s">
        <v>401</v>
      </c>
      <c r="C210" s="52">
        <v>555029.97519777506</v>
      </c>
      <c r="D210" s="56">
        <v>2.9630284596921509E-2</v>
      </c>
      <c r="E210" s="224">
        <v>2569.2777777777701</v>
      </c>
      <c r="F210" s="515" t="s">
        <v>2181</v>
      </c>
      <c r="G210" s="52">
        <v>452022.139460948</v>
      </c>
      <c r="H210" s="56">
        <v>0.13005059116722845</v>
      </c>
      <c r="I210" s="224">
        <v>2460.6291486291402</v>
      </c>
    </row>
    <row r="211" spans="1:9" x14ac:dyDescent="0.25">
      <c r="A211" s="515">
        <v>93306</v>
      </c>
      <c r="B211" s="515" t="s">
        <v>419</v>
      </c>
      <c r="C211" s="52">
        <v>308688.79188475502</v>
      </c>
      <c r="D211" s="56">
        <v>7.390965408400689E-2</v>
      </c>
      <c r="E211" s="224">
        <v>1481.5833333333301</v>
      </c>
      <c r="F211" s="515" t="s">
        <v>1356</v>
      </c>
      <c r="G211" s="52">
        <v>102744.628895526</v>
      </c>
      <c r="H211" s="56">
        <v>0.18746807646922425</v>
      </c>
      <c r="I211" s="224">
        <v>1047.5946947340799</v>
      </c>
    </row>
    <row r="212" spans="1:9" x14ac:dyDescent="0.25">
      <c r="A212" s="515">
        <v>85225</v>
      </c>
      <c r="B212" s="515" t="s">
        <v>563</v>
      </c>
      <c r="C212" s="52">
        <v>426504.56578313402</v>
      </c>
      <c r="D212" s="56">
        <v>3.83921894731242E-2</v>
      </c>
      <c r="E212" s="224">
        <v>1864.78661616161</v>
      </c>
      <c r="F212" s="515" t="s">
        <v>2182</v>
      </c>
      <c r="G212" s="52">
        <v>449067.34029967</v>
      </c>
      <c r="H212" s="56">
        <v>2.3666502085191415E-2</v>
      </c>
      <c r="I212" s="224">
        <v>1892.14522216503</v>
      </c>
    </row>
    <row r="213" spans="1:9" x14ac:dyDescent="0.25">
      <c r="A213" s="515">
        <v>60085</v>
      </c>
      <c r="B213" s="515" t="s">
        <v>394</v>
      </c>
      <c r="C213" s="52">
        <v>172852.09104149599</v>
      </c>
      <c r="D213" s="56">
        <v>9.870650604682589E-2</v>
      </c>
      <c r="E213" s="224">
        <v>1351.0476190476099</v>
      </c>
      <c r="F213" s="515" t="s">
        <v>1352</v>
      </c>
      <c r="G213" s="52">
        <v>281693.07619037299</v>
      </c>
      <c r="H213" s="56">
        <v>0.12557884409837478</v>
      </c>
      <c r="I213" s="224">
        <v>1674.1124046840901</v>
      </c>
    </row>
    <row r="214" spans="1:9" x14ac:dyDescent="0.25">
      <c r="A214" s="515">
        <v>30047</v>
      </c>
      <c r="B214" s="515" t="s">
        <v>957</v>
      </c>
      <c r="C214" s="52">
        <v>370882.45148061198</v>
      </c>
      <c r="D214" s="56">
        <v>8.1244498976448948E-2</v>
      </c>
      <c r="E214" s="224">
        <v>2040.11904761904</v>
      </c>
      <c r="F214" s="515" t="s">
        <v>1344</v>
      </c>
      <c r="G214" s="52">
        <v>212398.400908026</v>
      </c>
      <c r="H214" s="56">
        <v>0.12435400761108233</v>
      </c>
      <c r="I214" s="224">
        <v>1217.0018315018301</v>
      </c>
    </row>
    <row r="215" spans="1:9" x14ac:dyDescent="0.25">
      <c r="A215" s="515">
        <v>11691</v>
      </c>
      <c r="B215" s="515" t="s">
        <v>324</v>
      </c>
      <c r="C215" s="52">
        <v>596796.08888053999</v>
      </c>
      <c r="D215" s="56">
        <v>2.1841843815592104E-2</v>
      </c>
      <c r="E215" s="224" t="s">
        <v>2</v>
      </c>
      <c r="F215" s="515" t="s">
        <v>2183</v>
      </c>
      <c r="G215" s="52">
        <v>562821.132509585</v>
      </c>
      <c r="H215" s="56">
        <v>2.3027375487889155E-2</v>
      </c>
      <c r="I215" s="224">
        <v>1828.8488399626599</v>
      </c>
    </row>
    <row r="216" spans="1:9" x14ac:dyDescent="0.25">
      <c r="A216" s="515">
        <v>89031</v>
      </c>
      <c r="B216" s="515" t="s">
        <v>323</v>
      </c>
      <c r="C216" s="52">
        <v>378375.69750489597</v>
      </c>
      <c r="D216" s="56">
        <v>4.6855340359533273E-2</v>
      </c>
      <c r="E216" s="224">
        <v>1939.8528508771899</v>
      </c>
      <c r="F216" s="515" t="s">
        <v>1004</v>
      </c>
      <c r="G216" s="52">
        <v>201521.96695828199</v>
      </c>
      <c r="H216" s="56">
        <v>3.5816831811405575E-2</v>
      </c>
      <c r="I216" s="224">
        <v>1203.5257142857099</v>
      </c>
    </row>
    <row r="217" spans="1:9" x14ac:dyDescent="0.25">
      <c r="A217" s="515">
        <v>92805</v>
      </c>
      <c r="B217" s="515" t="s">
        <v>375</v>
      </c>
      <c r="C217" s="52">
        <v>728937.30117053899</v>
      </c>
      <c r="D217" s="56">
        <v>5.2328811547383385E-2</v>
      </c>
      <c r="E217" s="224">
        <v>2744.0859567901198</v>
      </c>
      <c r="F217" s="515" t="s">
        <v>851</v>
      </c>
      <c r="G217" s="52">
        <v>70078.180574183396</v>
      </c>
      <c r="H217" s="56">
        <v>3.0334100489017676E-2</v>
      </c>
      <c r="I217" s="224">
        <v>1158.74322169059</v>
      </c>
    </row>
    <row r="218" spans="1:9" x14ac:dyDescent="0.25">
      <c r="A218" s="515">
        <v>75035</v>
      </c>
      <c r="B218" s="515" t="s">
        <v>458</v>
      </c>
      <c r="C218" s="52">
        <v>620840.66418328905</v>
      </c>
      <c r="D218" s="56">
        <v>4.488569406322971E-2</v>
      </c>
      <c r="E218" s="224">
        <v>2491.8333333333298</v>
      </c>
      <c r="F218" s="515" t="s">
        <v>549</v>
      </c>
      <c r="G218" s="52">
        <v>163505.511952734</v>
      </c>
      <c r="H218" s="56">
        <v>8.6447235111199894E-2</v>
      </c>
      <c r="I218" s="224">
        <v>982.90470494417798</v>
      </c>
    </row>
    <row r="219" spans="1:9" x14ac:dyDescent="0.25">
      <c r="A219" s="515">
        <v>90026</v>
      </c>
      <c r="B219" s="515" t="s">
        <v>375</v>
      </c>
      <c r="C219" s="52">
        <v>1140308.78835032</v>
      </c>
      <c r="D219" s="56">
        <v>-9.2449089839335696E-3</v>
      </c>
      <c r="E219" s="224">
        <v>2728.9338235294099</v>
      </c>
      <c r="F219" s="515" t="s">
        <v>1001</v>
      </c>
      <c r="G219" s="52">
        <v>196579.32036550099</v>
      </c>
      <c r="H219" s="56">
        <v>-1.0757868609599449E-2</v>
      </c>
      <c r="I219" s="224">
        <v>1359.94530443756</v>
      </c>
    </row>
    <row r="220" spans="1:9" x14ac:dyDescent="0.25">
      <c r="A220" s="515">
        <v>75067</v>
      </c>
      <c r="B220" s="515" t="s">
        <v>458</v>
      </c>
      <c r="C220" s="52">
        <v>359821.05691071798</v>
      </c>
      <c r="D220" s="56">
        <v>5.8902211768727154E-2</v>
      </c>
      <c r="E220" s="224">
        <v>1675.9216480114301</v>
      </c>
      <c r="F220" s="515" t="s">
        <v>2184</v>
      </c>
      <c r="G220" s="52">
        <v>180359.05626725999</v>
      </c>
      <c r="H220" s="56">
        <v>0.14160052225435699</v>
      </c>
      <c r="I220" s="224">
        <v>977.04545454545405</v>
      </c>
    </row>
    <row r="221" spans="1:9" x14ac:dyDescent="0.25">
      <c r="A221" s="515">
        <v>30281</v>
      </c>
      <c r="B221" s="515" t="s">
        <v>957</v>
      </c>
      <c r="C221" s="52">
        <v>291327.17074649001</v>
      </c>
      <c r="D221" s="56">
        <v>0.11018664166989947</v>
      </c>
      <c r="E221" s="224">
        <v>1839.8044540000999</v>
      </c>
      <c r="F221" s="515" t="s">
        <v>1003</v>
      </c>
      <c r="G221" s="52">
        <v>284114.88674404402</v>
      </c>
      <c r="H221" s="56">
        <v>5.6789817240714149E-2</v>
      </c>
      <c r="I221" s="224">
        <v>1332.94925444925</v>
      </c>
    </row>
    <row r="222" spans="1:9" x14ac:dyDescent="0.25">
      <c r="A222" s="515">
        <v>77450</v>
      </c>
      <c r="B222" s="515" t="s">
        <v>314</v>
      </c>
      <c r="C222" s="52">
        <v>361818.008845306</v>
      </c>
      <c r="D222" s="56">
        <v>8.4681290614370811E-2</v>
      </c>
      <c r="E222" s="224">
        <v>1972.1662902314999</v>
      </c>
      <c r="F222" s="515" t="s">
        <v>1339</v>
      </c>
      <c r="G222" s="52">
        <v>131658.72278087999</v>
      </c>
      <c r="H222" s="56">
        <v>5.8869839305422694E-2</v>
      </c>
      <c r="I222" s="224">
        <v>1065.02307283359</v>
      </c>
    </row>
    <row r="223" spans="1:9" x14ac:dyDescent="0.25">
      <c r="A223" s="515">
        <v>95687</v>
      </c>
      <c r="B223" s="515" t="s">
        <v>835</v>
      </c>
      <c r="C223" s="52">
        <v>557739.07386752299</v>
      </c>
      <c r="D223" s="56">
        <v>2.4424602255526916E-3</v>
      </c>
      <c r="E223" s="224">
        <v>2381.95328282828</v>
      </c>
      <c r="F223" s="515" t="s">
        <v>1157</v>
      </c>
      <c r="G223" s="52">
        <v>232009.360163876</v>
      </c>
      <c r="H223" s="56">
        <v>0.10605855411034584</v>
      </c>
      <c r="I223" s="224">
        <v>1493.1539682539601</v>
      </c>
    </row>
    <row r="224" spans="1:9" x14ac:dyDescent="0.25">
      <c r="A224" s="515">
        <v>98052</v>
      </c>
      <c r="B224" s="515" t="s">
        <v>384</v>
      </c>
      <c r="C224" s="52">
        <v>1191484.30213462</v>
      </c>
      <c r="D224" s="56">
        <v>3.5281850519708252E-2</v>
      </c>
      <c r="E224" s="224">
        <v>2294.9927927067902</v>
      </c>
      <c r="F224" s="515" t="s">
        <v>358</v>
      </c>
      <c r="G224" s="52">
        <v>352074.99755032797</v>
      </c>
      <c r="H224" s="56">
        <v>4.8960308223131091E-2</v>
      </c>
      <c r="I224" s="224">
        <v>1748.5222222222201</v>
      </c>
    </row>
    <row r="225" spans="1:9" x14ac:dyDescent="0.25">
      <c r="A225" s="515">
        <v>20002</v>
      </c>
      <c r="B225" s="515" t="s">
        <v>321</v>
      </c>
      <c r="C225" s="52">
        <v>667182.918299902</v>
      </c>
      <c r="D225" s="56">
        <v>-2.8546098934475728E-2</v>
      </c>
      <c r="E225" s="224">
        <v>2344.9024740938999</v>
      </c>
      <c r="F225" s="515" t="s">
        <v>2185</v>
      </c>
      <c r="G225" s="52">
        <v>558143.716666352</v>
      </c>
      <c r="H225" s="56">
        <v>6.5149717993340683E-2</v>
      </c>
      <c r="I225" s="224">
        <v>1741.80411877394</v>
      </c>
    </row>
    <row r="226" spans="1:9" x14ac:dyDescent="0.25">
      <c r="A226" s="515">
        <v>60640</v>
      </c>
      <c r="B226" s="515" t="s">
        <v>394</v>
      </c>
      <c r="C226" s="52">
        <v>294511.16740341397</v>
      </c>
      <c r="D226" s="56">
        <v>-3.3348410865682442E-3</v>
      </c>
      <c r="E226" s="224">
        <v>1552.14373488147</v>
      </c>
      <c r="F226" s="515" t="s">
        <v>2186</v>
      </c>
      <c r="G226" s="52">
        <v>252112.80574404399</v>
      </c>
      <c r="H226" s="56">
        <v>6.7741887151427357E-2</v>
      </c>
      <c r="I226" s="224">
        <v>1252.2222222222199</v>
      </c>
    </row>
    <row r="227" spans="1:9" x14ac:dyDescent="0.25">
      <c r="A227" s="515">
        <v>60641</v>
      </c>
      <c r="B227" s="515" t="s">
        <v>394</v>
      </c>
      <c r="C227" s="52">
        <v>333477.56659690902</v>
      </c>
      <c r="D227" s="56">
        <v>4.3462021700662904E-3</v>
      </c>
      <c r="E227" s="224">
        <v>1311.9563492063401</v>
      </c>
      <c r="F227" s="515" t="s">
        <v>575</v>
      </c>
      <c r="G227" s="52">
        <v>246938.01051634701</v>
      </c>
      <c r="H227" s="56">
        <v>6.9938280400516417E-2</v>
      </c>
      <c r="I227" s="224">
        <v>1488.88888888888</v>
      </c>
    </row>
    <row r="228" spans="1:9" x14ac:dyDescent="0.25">
      <c r="A228" s="515">
        <v>92114</v>
      </c>
      <c r="B228" s="515" t="s">
        <v>396</v>
      </c>
      <c r="C228" s="52">
        <v>632324.27239559602</v>
      </c>
      <c r="D228" s="56">
        <v>6.6971637670474898E-2</v>
      </c>
      <c r="E228" s="224">
        <v>2976.8055555555502</v>
      </c>
      <c r="F228" s="515" t="s">
        <v>2187</v>
      </c>
      <c r="G228" s="52">
        <v>417885.45083825401</v>
      </c>
      <c r="H228" s="56">
        <v>0.14585007294533106</v>
      </c>
      <c r="I228" s="224">
        <v>2517.6450866250798</v>
      </c>
    </row>
    <row r="229" spans="1:9" x14ac:dyDescent="0.25">
      <c r="A229" s="515">
        <v>75243</v>
      </c>
      <c r="B229" s="515" t="s">
        <v>458</v>
      </c>
      <c r="C229" s="52">
        <v>280725.09119049401</v>
      </c>
      <c r="D229" s="56">
        <v>3.510344483771187E-2</v>
      </c>
      <c r="E229" s="224">
        <v>1183.1320447921401</v>
      </c>
      <c r="F229" s="515" t="s">
        <v>2188</v>
      </c>
      <c r="G229" s="52">
        <v>1771635.04517952</v>
      </c>
      <c r="H229" s="56">
        <v>2.6531496192194418E-2</v>
      </c>
      <c r="I229" s="224">
        <v>3179.1581529581499</v>
      </c>
    </row>
    <row r="230" spans="1:9" x14ac:dyDescent="0.25">
      <c r="A230" s="515">
        <v>80219</v>
      </c>
      <c r="B230" s="515" t="s">
        <v>401</v>
      </c>
      <c r="C230" s="52">
        <v>434068.937624418</v>
      </c>
      <c r="D230" s="56">
        <v>4.3564081766686982E-2</v>
      </c>
      <c r="E230" s="224">
        <v>2208.8333333333298</v>
      </c>
      <c r="F230" s="515" t="s">
        <v>2189</v>
      </c>
      <c r="G230" s="52">
        <v>166492.30683106699</v>
      </c>
      <c r="H230" s="56">
        <v>0.12216132527165584</v>
      </c>
      <c r="I230" s="224">
        <v>1157.6301282051199</v>
      </c>
    </row>
    <row r="231" spans="1:9" x14ac:dyDescent="0.25">
      <c r="A231" s="515">
        <v>19111</v>
      </c>
      <c r="B231" s="515" t="s">
        <v>294</v>
      </c>
      <c r="C231" s="52">
        <v>262382.52070515102</v>
      </c>
      <c r="D231" s="56">
        <v>5.0484573100785572E-2</v>
      </c>
      <c r="E231" s="224">
        <v>1382.5</v>
      </c>
      <c r="F231" s="515" t="s">
        <v>2190</v>
      </c>
      <c r="G231" s="52">
        <v>346907.00282888999</v>
      </c>
      <c r="H231" s="56">
        <v>0.11173937021957202</v>
      </c>
      <c r="I231" s="224">
        <v>2033.66128244017</v>
      </c>
    </row>
    <row r="232" spans="1:9" x14ac:dyDescent="0.25">
      <c r="A232" s="515">
        <v>96720</v>
      </c>
      <c r="B232" s="515" t="s">
        <v>399</v>
      </c>
      <c r="C232" s="52">
        <v>477756.20611709199</v>
      </c>
      <c r="D232" s="56">
        <v>0.14371840062419083</v>
      </c>
      <c r="E232" s="224">
        <v>1979</v>
      </c>
      <c r="F232" s="515" t="s">
        <v>2191</v>
      </c>
      <c r="G232" s="52">
        <v>587833.12319173105</v>
      </c>
      <c r="H232" s="56">
        <v>4.597836020657417E-2</v>
      </c>
      <c r="I232" s="224">
        <v>2468.7070105820098</v>
      </c>
    </row>
    <row r="233" spans="1:9" x14ac:dyDescent="0.25">
      <c r="A233" s="515">
        <v>7087</v>
      </c>
      <c r="B233" s="515" t="s">
        <v>324</v>
      </c>
      <c r="C233" s="52">
        <v>453590.52206120302</v>
      </c>
      <c r="D233" s="56">
        <v>-6.4818554981157283E-3</v>
      </c>
      <c r="E233" s="224">
        <v>2094.1825396825302</v>
      </c>
      <c r="F233" s="515" t="s">
        <v>1316</v>
      </c>
      <c r="G233" s="52">
        <v>155868.860940021</v>
      </c>
      <c r="H233" s="56">
        <v>0.1180759872959323</v>
      </c>
      <c r="I233" s="224">
        <v>1259.70142602495</v>
      </c>
    </row>
    <row r="234" spans="1:9" x14ac:dyDescent="0.25">
      <c r="A234" s="515">
        <v>78045</v>
      </c>
      <c r="B234" s="515" t="s">
        <v>588</v>
      </c>
      <c r="C234" s="52">
        <v>255488.02288137499</v>
      </c>
      <c r="D234" s="56">
        <v>3.3024764311367208E-2</v>
      </c>
      <c r="E234" s="224">
        <v>1302.5</v>
      </c>
      <c r="F234" s="515" t="s">
        <v>524</v>
      </c>
      <c r="G234" s="52">
        <v>270367.22655295301</v>
      </c>
      <c r="H234" s="56">
        <v>0.11014230329403471</v>
      </c>
      <c r="I234" s="224">
        <v>1535.81481481481</v>
      </c>
    </row>
    <row r="235" spans="1:9" x14ac:dyDescent="0.25">
      <c r="A235" s="515">
        <v>17603</v>
      </c>
      <c r="B235" s="515" t="s">
        <v>537</v>
      </c>
      <c r="C235" s="52">
        <v>258377.40484584699</v>
      </c>
      <c r="D235" s="56">
        <v>0.1097167488289871</v>
      </c>
      <c r="E235" s="224">
        <v>1254.6703296703199</v>
      </c>
      <c r="F235" s="515" t="s">
        <v>317</v>
      </c>
      <c r="G235" s="52">
        <v>264173.37672427302</v>
      </c>
      <c r="H235" s="56">
        <v>0.11821164638510483</v>
      </c>
      <c r="I235" s="224">
        <v>1358.47162097162</v>
      </c>
    </row>
    <row r="236" spans="1:9" x14ac:dyDescent="0.25">
      <c r="A236" s="515">
        <v>76028</v>
      </c>
      <c r="B236" s="515" t="s">
        <v>458</v>
      </c>
      <c r="C236" s="52">
        <v>333785.440782702</v>
      </c>
      <c r="D236" s="56">
        <v>9.4758912344410334E-2</v>
      </c>
      <c r="E236" s="224">
        <v>1990.12301587301</v>
      </c>
      <c r="F236" s="515" t="s">
        <v>2192</v>
      </c>
      <c r="G236" s="52">
        <v>209119.04704119699</v>
      </c>
      <c r="H236" s="56">
        <v>9.1833530384406059E-2</v>
      </c>
      <c r="I236" s="224">
        <v>1357.03708010335</v>
      </c>
    </row>
    <row r="237" spans="1:9" x14ac:dyDescent="0.25">
      <c r="A237" s="515">
        <v>48197</v>
      </c>
      <c r="B237" s="515" t="s">
        <v>783</v>
      </c>
      <c r="C237" s="52">
        <v>303564.34662467398</v>
      </c>
      <c r="D237" s="56">
        <v>7.5068580065053361E-2</v>
      </c>
      <c r="E237" s="224">
        <v>1341.1584249084201</v>
      </c>
      <c r="F237" s="515" t="s">
        <v>2193</v>
      </c>
      <c r="G237" s="52">
        <v>398322.91482591297</v>
      </c>
      <c r="H237" s="56">
        <v>0.16832667003454399</v>
      </c>
      <c r="I237" s="224">
        <v>2355.6405508072098</v>
      </c>
    </row>
    <row r="238" spans="1:9" x14ac:dyDescent="0.25">
      <c r="A238" s="515">
        <v>46307</v>
      </c>
      <c r="B238" s="515" t="s">
        <v>394</v>
      </c>
      <c r="C238" s="52">
        <v>314432.98443057598</v>
      </c>
      <c r="D238" s="56">
        <v>6.0481407265474865E-2</v>
      </c>
      <c r="E238" s="224">
        <v>1560</v>
      </c>
      <c r="F238" s="515" t="s">
        <v>785</v>
      </c>
      <c r="G238" s="52">
        <v>264365.18499958201</v>
      </c>
      <c r="H238" s="56">
        <v>8.7641818985465733E-2</v>
      </c>
      <c r="I238" s="224">
        <v>1181.7514367816</v>
      </c>
    </row>
    <row r="239" spans="1:9" x14ac:dyDescent="0.25">
      <c r="A239" s="515">
        <v>30041</v>
      </c>
      <c r="B239" s="515" t="s">
        <v>957</v>
      </c>
      <c r="C239" s="52">
        <v>563486.19755017699</v>
      </c>
      <c r="D239" s="56">
        <v>8.8369819421063228E-2</v>
      </c>
      <c r="E239" s="224">
        <v>2295.9027777777701</v>
      </c>
      <c r="F239" s="515" t="s">
        <v>1363</v>
      </c>
      <c r="G239" s="52">
        <v>260958.46594605001</v>
      </c>
      <c r="H239" s="56">
        <v>4.624325799191388E-2</v>
      </c>
      <c r="I239" s="224">
        <v>1475.3177933177899</v>
      </c>
    </row>
    <row r="240" spans="1:9" x14ac:dyDescent="0.25">
      <c r="A240" s="515">
        <v>30096</v>
      </c>
      <c r="B240" s="515" t="s">
        <v>957</v>
      </c>
      <c r="C240" s="52">
        <v>369744.06827592198</v>
      </c>
      <c r="D240" s="56">
        <v>9.1478573160826748E-2</v>
      </c>
      <c r="E240" s="224">
        <v>1746.0164380175499</v>
      </c>
      <c r="F240" s="515" t="s">
        <v>2194</v>
      </c>
      <c r="G240" s="52">
        <v>688050.21613289195</v>
      </c>
      <c r="H240" s="56">
        <v>2.5683119508419706E-2</v>
      </c>
      <c r="I240" s="224">
        <v>2199.6192234848399</v>
      </c>
    </row>
    <row r="241" spans="1:9" x14ac:dyDescent="0.25">
      <c r="A241" s="515">
        <v>11213</v>
      </c>
      <c r="B241" s="515" t="s">
        <v>324</v>
      </c>
      <c r="C241" s="52">
        <v>822471.68605876097</v>
      </c>
      <c r="D241" s="56">
        <v>-2.4340435672969864E-2</v>
      </c>
      <c r="E241" s="224">
        <v>2714.6706349206302</v>
      </c>
      <c r="F241" s="515" t="s">
        <v>1322</v>
      </c>
      <c r="G241" s="52">
        <v>144682.39579490901</v>
      </c>
      <c r="H241" s="56">
        <v>2.0461990121864761E-2</v>
      </c>
      <c r="I241" s="224">
        <v>1331.43518518518</v>
      </c>
    </row>
    <row r="242" spans="1:9" x14ac:dyDescent="0.25">
      <c r="A242" s="515">
        <v>85204</v>
      </c>
      <c r="B242" s="515" t="s">
        <v>563</v>
      </c>
      <c r="C242" s="52">
        <v>369622.443026611</v>
      </c>
      <c r="D242" s="56">
        <v>4.4285730754878599E-2</v>
      </c>
      <c r="E242" s="224">
        <v>1457.7046810819099</v>
      </c>
      <c r="F242" s="515" t="s">
        <v>1559</v>
      </c>
      <c r="G242" s="52">
        <v>402668.47143559298</v>
      </c>
      <c r="H242" s="56">
        <v>7.6281960113058725E-2</v>
      </c>
      <c r="I242" s="224">
        <v>1794</v>
      </c>
    </row>
    <row r="243" spans="1:9" x14ac:dyDescent="0.25">
      <c r="A243" s="515">
        <v>33015</v>
      </c>
      <c r="B243" s="515" t="s">
        <v>831</v>
      </c>
      <c r="C243" s="52">
        <v>384445.990304665</v>
      </c>
      <c r="D243" s="56">
        <v>0.11294028076359187</v>
      </c>
      <c r="E243" s="224">
        <v>2338.17094017094</v>
      </c>
      <c r="F243" s="515" t="s">
        <v>1330</v>
      </c>
      <c r="G243" s="52">
        <v>548599.64836698899</v>
      </c>
      <c r="H243" s="56">
        <v>5.1830159340938479E-2</v>
      </c>
      <c r="I243" s="224">
        <v>2733.6726190476102</v>
      </c>
    </row>
    <row r="244" spans="1:9" x14ac:dyDescent="0.25">
      <c r="A244" s="515">
        <v>11746</v>
      </c>
      <c r="B244" s="515" t="s">
        <v>324</v>
      </c>
      <c r="C244" s="52">
        <v>643951.35368669103</v>
      </c>
      <c r="D244" s="56">
        <v>2.9946389326410208E-2</v>
      </c>
      <c r="E244" s="224">
        <v>2962.5</v>
      </c>
      <c r="F244" s="515" t="s">
        <v>2195</v>
      </c>
      <c r="G244" s="52">
        <v>313632.84219541302</v>
      </c>
      <c r="H244" s="56">
        <v>7.9501057350489596E-2</v>
      </c>
      <c r="I244" s="224">
        <v>1826.67777777777</v>
      </c>
    </row>
    <row r="245" spans="1:9" x14ac:dyDescent="0.25">
      <c r="A245" s="515">
        <v>78046</v>
      </c>
      <c r="B245" s="515" t="s">
        <v>588</v>
      </c>
      <c r="C245" s="52">
        <v>168328.55936143</v>
      </c>
      <c r="D245" s="56">
        <v>2.7824914053934287E-2</v>
      </c>
      <c r="E245" s="224" t="s">
        <v>2</v>
      </c>
      <c r="F245" s="515" t="s">
        <v>2196</v>
      </c>
      <c r="G245" s="52">
        <v>1059065.69795325</v>
      </c>
      <c r="H245" s="56">
        <v>4.1993222839180742E-2</v>
      </c>
      <c r="I245" s="224">
        <v>2893.9990452809602</v>
      </c>
    </row>
    <row r="246" spans="1:9" x14ac:dyDescent="0.25">
      <c r="A246" s="515">
        <v>95127</v>
      </c>
      <c r="B246" s="515" t="s">
        <v>850</v>
      </c>
      <c r="C246" s="52">
        <v>980559.06360798702</v>
      </c>
      <c r="D246" s="56">
        <v>3.5611885531559848E-2</v>
      </c>
      <c r="E246" s="224">
        <v>2489</v>
      </c>
      <c r="F246" s="515" t="s">
        <v>2197</v>
      </c>
      <c r="G246" s="52">
        <v>1079040.84658766</v>
      </c>
      <c r="H246" s="56">
        <v>7.2998066986209226E-2</v>
      </c>
      <c r="I246" s="224">
        <v>2832.4687411196301</v>
      </c>
    </row>
    <row r="247" spans="1:9" x14ac:dyDescent="0.25">
      <c r="A247" s="515">
        <v>22191</v>
      </c>
      <c r="B247" s="515" t="s">
        <v>321</v>
      </c>
      <c r="C247" s="52">
        <v>424069.98993320297</v>
      </c>
      <c r="D247" s="56">
        <v>1.7467986227201825E-2</v>
      </c>
      <c r="E247" s="224">
        <v>2002.2880952380899</v>
      </c>
      <c r="F247" s="515" t="s">
        <v>2198</v>
      </c>
      <c r="G247" s="52">
        <v>591673.74567678105</v>
      </c>
      <c r="H247" s="56">
        <v>3.2424135243072062E-2</v>
      </c>
      <c r="I247" s="224">
        <v>1964.8088897407999</v>
      </c>
    </row>
    <row r="248" spans="1:9" x14ac:dyDescent="0.25">
      <c r="A248" s="515">
        <v>11210</v>
      </c>
      <c r="B248" s="515" t="s">
        <v>324</v>
      </c>
      <c r="C248" s="52">
        <v>694080.13735254901</v>
      </c>
      <c r="D248" s="56">
        <v>8.8001725927299261E-3</v>
      </c>
      <c r="E248" s="224">
        <v>2493.9666666666599</v>
      </c>
      <c r="F248" s="515" t="s">
        <v>2199</v>
      </c>
      <c r="G248" s="52">
        <v>1304517.00786359</v>
      </c>
      <c r="H248" s="56">
        <v>2.5950117377932971E-2</v>
      </c>
      <c r="I248" s="224">
        <v>2613.1898287048198</v>
      </c>
    </row>
    <row r="249" spans="1:9" x14ac:dyDescent="0.25">
      <c r="A249" s="515">
        <v>85308</v>
      </c>
      <c r="B249" s="515" t="s">
        <v>563</v>
      </c>
      <c r="C249" s="52">
        <v>454644.80746682902</v>
      </c>
      <c r="D249" s="56">
        <v>3.8412185593052914E-2</v>
      </c>
      <c r="E249" s="224">
        <v>1816.8651067323401</v>
      </c>
      <c r="F249" s="515" t="s">
        <v>2200</v>
      </c>
      <c r="G249" s="52">
        <v>264823.78082562698</v>
      </c>
      <c r="H249" s="56">
        <v>0.10167682464166439</v>
      </c>
      <c r="I249" s="224">
        <v>1826.5608225108199</v>
      </c>
    </row>
    <row r="250" spans="1:9" x14ac:dyDescent="0.25">
      <c r="A250" s="515">
        <v>90022</v>
      </c>
      <c r="B250" s="515" t="s">
        <v>375</v>
      </c>
      <c r="C250" s="52">
        <v>619563.24069180596</v>
      </c>
      <c r="D250" s="56">
        <v>8.0354728523624186E-2</v>
      </c>
      <c r="E250" s="224" t="s">
        <v>2</v>
      </c>
      <c r="F250" s="515" t="s">
        <v>2201</v>
      </c>
      <c r="G250" s="52">
        <v>305242.52360471099</v>
      </c>
      <c r="H250" s="56">
        <v>8.7764222286326563E-2</v>
      </c>
      <c r="I250" s="224">
        <v>1882.1190909090899</v>
      </c>
    </row>
    <row r="251" spans="1:9" x14ac:dyDescent="0.25">
      <c r="A251" s="515">
        <v>77346</v>
      </c>
      <c r="B251" s="515" t="s">
        <v>314</v>
      </c>
      <c r="C251" s="52">
        <v>313037.18633239198</v>
      </c>
      <c r="D251" s="56">
        <v>8.3339789173605433E-2</v>
      </c>
      <c r="E251" s="224">
        <v>1916.0208855471999</v>
      </c>
      <c r="F251" s="515" t="s">
        <v>1294</v>
      </c>
      <c r="G251" s="52">
        <v>141860.28127883299</v>
      </c>
      <c r="H251" s="56">
        <v>0.18805624748253555</v>
      </c>
      <c r="I251" s="224">
        <v>1122.9652777777701</v>
      </c>
    </row>
    <row r="252" spans="1:9" x14ac:dyDescent="0.25">
      <c r="A252" s="515">
        <v>94080</v>
      </c>
      <c r="B252" s="515" t="s">
        <v>593</v>
      </c>
      <c r="C252" s="52">
        <v>1158614.73934573</v>
      </c>
      <c r="D252" s="56">
        <v>9.1590407135157227E-4</v>
      </c>
      <c r="E252" s="224">
        <v>3316.0586080585999</v>
      </c>
      <c r="F252" s="515" t="s">
        <v>1365</v>
      </c>
      <c r="G252" s="52">
        <v>289144.68919816503</v>
      </c>
      <c r="H252" s="56">
        <v>0.11473698189844549</v>
      </c>
      <c r="I252" s="224">
        <v>1662.3280423280401</v>
      </c>
    </row>
    <row r="253" spans="1:9" x14ac:dyDescent="0.25">
      <c r="A253" s="515">
        <v>21234</v>
      </c>
      <c r="B253" s="515" t="s">
        <v>582</v>
      </c>
      <c r="C253" s="52">
        <v>263725.29931054998</v>
      </c>
      <c r="D253" s="56">
        <v>3.285062642346441E-2</v>
      </c>
      <c r="E253" s="224">
        <v>1591.1465201465201</v>
      </c>
      <c r="F253" s="515" t="s">
        <v>2202</v>
      </c>
      <c r="G253" s="52">
        <v>513956.67906104901</v>
      </c>
      <c r="H253" s="56">
        <v>2.3723683568344867E-2</v>
      </c>
      <c r="I253" s="224">
        <v>1886.09299516908</v>
      </c>
    </row>
    <row r="254" spans="1:9" x14ac:dyDescent="0.25">
      <c r="A254" s="515">
        <v>77845</v>
      </c>
      <c r="B254" s="515" t="s">
        <v>346</v>
      </c>
      <c r="C254" s="52">
        <v>332356.63284969499</v>
      </c>
      <c r="D254" s="56">
        <v>7.0667808385761754E-2</v>
      </c>
      <c r="E254" s="224">
        <v>1773.4023464458201</v>
      </c>
      <c r="F254" s="515" t="s">
        <v>2203</v>
      </c>
      <c r="G254" s="52">
        <v>598655.03939784004</v>
      </c>
      <c r="H254" s="56">
        <v>3.8697007892095417E-2</v>
      </c>
      <c r="I254" s="224">
        <v>1872.72979797979</v>
      </c>
    </row>
    <row r="255" spans="1:9" x14ac:dyDescent="0.25">
      <c r="A255" s="515">
        <v>11209</v>
      </c>
      <c r="B255" s="515" t="s">
        <v>324</v>
      </c>
      <c r="C255" s="52">
        <v>419161.29965457501</v>
      </c>
      <c r="D255" s="56">
        <v>-7.3906630702080908E-2</v>
      </c>
      <c r="E255" s="224">
        <v>2303.7202380952299</v>
      </c>
      <c r="F255" s="515" t="s">
        <v>2204</v>
      </c>
      <c r="G255" s="52">
        <v>466135.45564415999</v>
      </c>
      <c r="H255" s="56">
        <v>0.11229969856926161</v>
      </c>
      <c r="I255" s="224">
        <v>2679.9670585219301</v>
      </c>
    </row>
    <row r="256" spans="1:9" x14ac:dyDescent="0.25">
      <c r="A256" s="515">
        <v>30062</v>
      </c>
      <c r="B256" s="515" t="s">
        <v>957</v>
      </c>
      <c r="C256" s="52">
        <v>482106.67704406701</v>
      </c>
      <c r="D256" s="56">
        <v>8.4850195657389924E-2</v>
      </c>
      <c r="E256" s="224">
        <v>2050.9166666666601</v>
      </c>
      <c r="F256" s="515" t="s">
        <v>2205</v>
      </c>
      <c r="G256" s="52">
        <v>365590.359053761</v>
      </c>
      <c r="H256" s="56">
        <v>7.2497482740331146E-2</v>
      </c>
      <c r="I256" s="224">
        <v>1507.7058823529401</v>
      </c>
    </row>
    <row r="257" spans="1:9" x14ac:dyDescent="0.25">
      <c r="A257" s="515">
        <v>10027</v>
      </c>
      <c r="B257" s="515" t="s">
        <v>324</v>
      </c>
      <c r="C257" s="52">
        <v>838180.57764421799</v>
      </c>
      <c r="D257" s="56">
        <v>-4.4346706415355382E-2</v>
      </c>
      <c r="E257" s="224">
        <v>3005.5515873015802</v>
      </c>
      <c r="F257" s="515" t="s">
        <v>1325</v>
      </c>
      <c r="G257" s="52">
        <v>139101.42491285899</v>
      </c>
      <c r="H257" s="56">
        <v>6.9339758113095826E-2</v>
      </c>
      <c r="I257" s="224">
        <v>979.95978835978804</v>
      </c>
    </row>
    <row r="258" spans="1:9" x14ac:dyDescent="0.25">
      <c r="A258" s="515">
        <v>33157</v>
      </c>
      <c r="B258" s="515" t="s">
        <v>831</v>
      </c>
      <c r="C258" s="52">
        <v>523161.41105336399</v>
      </c>
      <c r="D258" s="56">
        <v>0.13497841328083365</v>
      </c>
      <c r="E258" s="224">
        <v>2867.0050505050499</v>
      </c>
      <c r="F258" s="515" t="s">
        <v>2206</v>
      </c>
      <c r="G258" s="52">
        <v>869934.35390259</v>
      </c>
      <c r="H258" s="56">
        <v>5.4317164392373295E-2</v>
      </c>
      <c r="I258" s="224">
        <v>2629.4770609318898</v>
      </c>
    </row>
    <row r="259" spans="1:9" x14ac:dyDescent="0.25">
      <c r="A259" s="515">
        <v>76179</v>
      </c>
      <c r="B259" s="515" t="s">
        <v>458</v>
      </c>
      <c r="C259" s="52">
        <v>331878.69509793603</v>
      </c>
      <c r="D259" s="56">
        <v>6.7268967422429493E-2</v>
      </c>
      <c r="E259" s="224">
        <v>1980.8931623931601</v>
      </c>
      <c r="F259" s="515" t="s">
        <v>1362</v>
      </c>
      <c r="G259" s="52">
        <v>202257.676434939</v>
      </c>
      <c r="H259" s="56">
        <v>0.15276182234571453</v>
      </c>
      <c r="I259" s="224">
        <v>1393.5574229691799</v>
      </c>
    </row>
    <row r="260" spans="1:9" x14ac:dyDescent="0.25">
      <c r="A260" s="515">
        <v>92407</v>
      </c>
      <c r="B260" s="515" t="s">
        <v>599</v>
      </c>
      <c r="C260" s="52">
        <v>494265.34871004499</v>
      </c>
      <c r="D260" s="56">
        <v>6.3700185404223439E-2</v>
      </c>
      <c r="E260" s="224">
        <v>2591.6666666666601</v>
      </c>
      <c r="F260" s="515" t="s">
        <v>2207</v>
      </c>
      <c r="G260" s="52">
        <v>293349.966547961</v>
      </c>
      <c r="H260" s="56">
        <v>-2.0596632173216538E-2</v>
      </c>
      <c r="I260" s="224">
        <v>1731.3519813519799</v>
      </c>
    </row>
    <row r="261" spans="1:9" x14ac:dyDescent="0.25">
      <c r="A261" s="515">
        <v>43081</v>
      </c>
      <c r="B261" s="515" t="s">
        <v>345</v>
      </c>
      <c r="C261" s="52">
        <v>324260.251616769</v>
      </c>
      <c r="D261" s="56">
        <v>9.1056237484748864E-2</v>
      </c>
      <c r="E261" s="224">
        <v>1632.38095238095</v>
      </c>
      <c r="F261" s="515" t="s">
        <v>2208</v>
      </c>
      <c r="G261" s="52">
        <v>353834.78607458202</v>
      </c>
      <c r="H261" s="56">
        <v>7.3679997353598564E-2</v>
      </c>
      <c r="I261" s="224">
        <v>1799.2259259259199</v>
      </c>
    </row>
    <row r="262" spans="1:9" x14ac:dyDescent="0.25">
      <c r="A262" s="515">
        <v>79928</v>
      </c>
      <c r="B262" s="515" t="s">
        <v>1119</v>
      </c>
      <c r="C262" s="52">
        <v>224047.394828171</v>
      </c>
      <c r="D262" s="56">
        <v>0.1132049696764387</v>
      </c>
      <c r="E262" s="224">
        <v>1635.69444444444</v>
      </c>
      <c r="F262" s="515" t="s">
        <v>2209</v>
      </c>
      <c r="G262" s="52">
        <v>926792.344316595</v>
      </c>
      <c r="H262" s="56">
        <v>5.3421918038899389E-2</v>
      </c>
      <c r="I262" s="224">
        <v>2910.7446208112801</v>
      </c>
    </row>
    <row r="263" spans="1:9" x14ac:dyDescent="0.25">
      <c r="A263" s="515">
        <v>30135</v>
      </c>
      <c r="B263" s="515" t="s">
        <v>957</v>
      </c>
      <c r="C263" s="52">
        <v>313879.08382690098</v>
      </c>
      <c r="D263" s="56">
        <v>8.5820250065719555E-2</v>
      </c>
      <c r="E263" s="224">
        <v>2044.6874057315199</v>
      </c>
      <c r="F263" s="515" t="s">
        <v>1301</v>
      </c>
      <c r="G263" s="52">
        <v>202389.82135764699</v>
      </c>
      <c r="H263" s="56">
        <v>7.3068670997428697E-2</v>
      </c>
      <c r="I263" s="224">
        <v>1320.2271825396799</v>
      </c>
    </row>
    <row r="264" spans="1:9" x14ac:dyDescent="0.25">
      <c r="A264" s="515">
        <v>97229</v>
      </c>
      <c r="B264" s="515" t="s">
        <v>659</v>
      </c>
      <c r="C264" s="52">
        <v>729364.27577231894</v>
      </c>
      <c r="D264" s="56">
        <v>4.5371534342234107E-2</v>
      </c>
      <c r="E264" s="224">
        <v>2247.6717391304301</v>
      </c>
      <c r="F264" s="515" t="s">
        <v>2210</v>
      </c>
      <c r="G264" s="52">
        <v>723695.278498973</v>
      </c>
      <c r="H264" s="56">
        <v>-8.538901758933742E-3</v>
      </c>
      <c r="I264" s="224">
        <v>2766.2046176046101</v>
      </c>
    </row>
    <row r="265" spans="1:9" x14ac:dyDescent="0.25">
      <c r="A265" s="515">
        <v>91343</v>
      </c>
      <c r="B265" s="515" t="s">
        <v>375</v>
      </c>
      <c r="C265" s="52">
        <v>785047.37849074404</v>
      </c>
      <c r="D265" s="56">
        <v>4.5276545082524738E-2</v>
      </c>
      <c r="E265" s="224">
        <v>3488.1111111111099</v>
      </c>
      <c r="F265" s="515" t="s">
        <v>2211</v>
      </c>
      <c r="G265" s="52">
        <v>560186.27274454304</v>
      </c>
      <c r="H265" s="56">
        <v>6.4962797507785511E-2</v>
      </c>
      <c r="I265" s="224">
        <v>2086.1666666666601</v>
      </c>
    </row>
    <row r="266" spans="1:9" x14ac:dyDescent="0.25">
      <c r="A266" s="515">
        <v>95624</v>
      </c>
      <c r="B266" s="515" t="s">
        <v>355</v>
      </c>
      <c r="C266" s="52">
        <v>599441.28697143297</v>
      </c>
      <c r="D266" s="56">
        <v>6.8599556075225679E-3</v>
      </c>
      <c r="E266" s="224">
        <v>2767.8333333333298</v>
      </c>
      <c r="F266" s="515" t="s">
        <v>704</v>
      </c>
      <c r="G266" s="52">
        <v>179078.194479203</v>
      </c>
      <c r="H266" s="56">
        <v>7.836638100000029E-2</v>
      </c>
      <c r="I266" s="224">
        <v>992.78150738150703</v>
      </c>
    </row>
    <row r="267" spans="1:9" x14ac:dyDescent="0.25">
      <c r="A267" s="515">
        <v>85301</v>
      </c>
      <c r="B267" s="515" t="s">
        <v>563</v>
      </c>
      <c r="C267" s="52">
        <v>297968.01194226701</v>
      </c>
      <c r="D267" s="56">
        <v>4.9615292395973037E-2</v>
      </c>
      <c r="E267" s="224">
        <v>1381.8346560846501</v>
      </c>
      <c r="F267" s="515" t="s">
        <v>2212</v>
      </c>
      <c r="G267" s="52">
        <v>399707.28314138798</v>
      </c>
      <c r="H267" s="56">
        <v>6.3684678474843451E-2</v>
      </c>
      <c r="I267" s="224">
        <v>1729.4099494949401</v>
      </c>
    </row>
    <row r="268" spans="1:9" x14ac:dyDescent="0.25">
      <c r="A268" s="515">
        <v>94541</v>
      </c>
      <c r="B268" s="515" t="s">
        <v>593</v>
      </c>
      <c r="C268" s="52">
        <v>767665.12871340697</v>
      </c>
      <c r="D268" s="56">
        <v>-1.5580178269967196E-2</v>
      </c>
      <c r="E268" s="224">
        <v>2506.7619047619</v>
      </c>
      <c r="F268" s="515" t="s">
        <v>404</v>
      </c>
      <c r="G268" s="52">
        <v>182388.79061100399</v>
      </c>
      <c r="H268" s="56">
        <v>7.0040391579408723E-2</v>
      </c>
      <c r="I268" s="224">
        <v>951.95220057719996</v>
      </c>
    </row>
    <row r="269" spans="1:9" x14ac:dyDescent="0.25">
      <c r="A269" s="515">
        <v>85033</v>
      </c>
      <c r="B269" s="515" t="s">
        <v>563</v>
      </c>
      <c r="C269" s="52">
        <v>308448.921243875</v>
      </c>
      <c r="D269" s="56">
        <v>6.035171002625489E-2</v>
      </c>
      <c r="E269" s="224">
        <v>1521.5912698412701</v>
      </c>
      <c r="F269" s="515" t="s">
        <v>2213</v>
      </c>
      <c r="G269" s="52">
        <v>424145.95564320398</v>
      </c>
      <c r="H269" s="56">
        <v>3.1801060607614957E-2</v>
      </c>
      <c r="I269" s="224">
        <v>2001.17103227232</v>
      </c>
    </row>
    <row r="270" spans="1:9" x14ac:dyDescent="0.25">
      <c r="A270" s="515">
        <v>85281</v>
      </c>
      <c r="B270" s="515" t="s">
        <v>563</v>
      </c>
      <c r="C270" s="52">
        <v>402062.65745922102</v>
      </c>
      <c r="D270" s="56">
        <v>5.0710734438346478E-2</v>
      </c>
      <c r="E270" s="224">
        <v>1807.12958595387</v>
      </c>
      <c r="F270" s="515" t="s">
        <v>2214</v>
      </c>
      <c r="G270" s="52">
        <v>428156.12228612002</v>
      </c>
      <c r="H270" s="56">
        <v>2.1462270210510195E-2</v>
      </c>
      <c r="I270" s="224">
        <v>1716.4845238095199</v>
      </c>
    </row>
    <row r="271" spans="1:9" x14ac:dyDescent="0.25">
      <c r="A271" s="515">
        <v>92677</v>
      </c>
      <c r="B271" s="515" t="s">
        <v>375</v>
      </c>
      <c r="C271" s="52">
        <v>1170503.5921535301</v>
      </c>
      <c r="D271" s="56">
        <v>8.5317871481987495E-2</v>
      </c>
      <c r="E271" s="224">
        <v>3037.6124867724802</v>
      </c>
      <c r="F271" s="515" t="s">
        <v>554</v>
      </c>
      <c r="G271" s="52">
        <v>284858.56661382999</v>
      </c>
      <c r="H271" s="56">
        <v>6.9913347709407228E-2</v>
      </c>
      <c r="I271" s="224">
        <v>1621.35666666666</v>
      </c>
    </row>
    <row r="272" spans="1:9" x14ac:dyDescent="0.25">
      <c r="A272" s="515">
        <v>30004</v>
      </c>
      <c r="B272" s="515" t="s">
        <v>957</v>
      </c>
      <c r="C272" s="52">
        <v>648884.94322452997</v>
      </c>
      <c r="D272" s="56">
        <v>0.11318021033093291</v>
      </c>
      <c r="E272" s="224">
        <v>2163.9413919413901</v>
      </c>
      <c r="F272" s="515" t="s">
        <v>2215</v>
      </c>
      <c r="G272" s="52">
        <v>238307.85798009101</v>
      </c>
      <c r="H272" s="56">
        <v>8.9290076001472679E-2</v>
      </c>
      <c r="I272" s="224">
        <v>1500.1147741147699</v>
      </c>
    </row>
    <row r="273" spans="1:9" x14ac:dyDescent="0.25">
      <c r="A273" s="515">
        <v>87114</v>
      </c>
      <c r="B273" s="515" t="s">
        <v>406</v>
      </c>
      <c r="C273" s="52">
        <v>333003.69659833098</v>
      </c>
      <c r="D273" s="56">
        <v>7.1911220366370696E-2</v>
      </c>
      <c r="E273" s="224">
        <v>1720.4787074523899</v>
      </c>
      <c r="F273" s="515" t="s">
        <v>2216</v>
      </c>
      <c r="G273" s="52">
        <v>182530.48242474499</v>
      </c>
      <c r="H273" s="56">
        <v>8.5627639293515551E-2</v>
      </c>
      <c r="I273" s="224">
        <v>1345.14047987616</v>
      </c>
    </row>
    <row r="274" spans="1:9" x14ac:dyDescent="0.25">
      <c r="A274" s="515">
        <v>90037</v>
      </c>
      <c r="B274" s="515" t="s">
        <v>375</v>
      </c>
      <c r="C274" s="52">
        <v>620799.26017519902</v>
      </c>
      <c r="D274" s="56">
        <v>1.2830490637028709E-2</v>
      </c>
      <c r="E274" s="224">
        <v>2165.7222222222199</v>
      </c>
      <c r="F274" s="515" t="s">
        <v>2217</v>
      </c>
      <c r="G274" s="52">
        <v>710854.57655513706</v>
      </c>
      <c r="H274" s="56">
        <v>1.3544148572738283E-2</v>
      </c>
      <c r="I274" s="224">
        <v>2384.0522875816901</v>
      </c>
    </row>
    <row r="275" spans="1:9" x14ac:dyDescent="0.25">
      <c r="A275" s="515">
        <v>78520</v>
      </c>
      <c r="B275" s="515" t="s">
        <v>444</v>
      </c>
      <c r="C275" s="52">
        <v>151348.30177386099</v>
      </c>
      <c r="D275" s="56">
        <v>9.9073795521249799E-2</v>
      </c>
      <c r="E275" s="224">
        <v>1300</v>
      </c>
      <c r="F275" s="515" t="s">
        <v>637</v>
      </c>
      <c r="G275" s="52">
        <v>359301.91733018198</v>
      </c>
      <c r="H275" s="56">
        <v>8.6436120376818831E-2</v>
      </c>
      <c r="I275" s="224">
        <v>1466.58501683501</v>
      </c>
    </row>
    <row r="276" spans="1:9" x14ac:dyDescent="0.25">
      <c r="A276" s="515">
        <v>60628</v>
      </c>
      <c r="B276" s="515" t="s">
        <v>394</v>
      </c>
      <c r="C276" s="52">
        <v>139823.41654754899</v>
      </c>
      <c r="D276" s="56">
        <v>8.7897580290291724E-2</v>
      </c>
      <c r="E276" s="224">
        <v>1403.9722222222199</v>
      </c>
      <c r="F276" s="515" t="s">
        <v>702</v>
      </c>
      <c r="G276" s="52">
        <v>966398.94294401805</v>
      </c>
      <c r="H276" s="56">
        <v>6.8528156795526915E-2</v>
      </c>
      <c r="I276" s="224">
        <v>2492.1979363252699</v>
      </c>
    </row>
    <row r="277" spans="1:9" x14ac:dyDescent="0.25">
      <c r="A277" s="515">
        <v>23322</v>
      </c>
      <c r="B277" s="515" t="s">
        <v>301</v>
      </c>
      <c r="C277" s="52">
        <v>462445.11700376897</v>
      </c>
      <c r="D277" s="56">
        <v>4.5870468537037058E-2</v>
      </c>
      <c r="E277" s="224">
        <v>2096.63888888888</v>
      </c>
      <c r="F277" s="515" t="s">
        <v>2218</v>
      </c>
      <c r="G277" s="52">
        <v>407853.84114167502</v>
      </c>
      <c r="H277" s="56">
        <v>0.17130412210882753</v>
      </c>
      <c r="I277" s="224">
        <v>2341.7541392303101</v>
      </c>
    </row>
    <row r="278" spans="1:9" x14ac:dyDescent="0.25">
      <c r="A278" s="515">
        <v>6902</v>
      </c>
      <c r="B278" s="515" t="s">
        <v>1173</v>
      </c>
      <c r="C278" s="52">
        <v>462512.632707057</v>
      </c>
      <c r="D278" s="56">
        <v>6.9429403421569322E-2</v>
      </c>
      <c r="E278" s="224">
        <v>2790.5246354952201</v>
      </c>
      <c r="F278" s="515" t="s">
        <v>2219</v>
      </c>
      <c r="G278" s="52">
        <v>351117.95655657299</v>
      </c>
      <c r="H278" s="56">
        <v>6.4794931048858612E-2</v>
      </c>
      <c r="I278" s="224">
        <v>1648.25752688172</v>
      </c>
    </row>
    <row r="279" spans="1:9" x14ac:dyDescent="0.25">
      <c r="A279" s="515">
        <v>43123</v>
      </c>
      <c r="B279" s="515" t="s">
        <v>345</v>
      </c>
      <c r="C279" s="52">
        <v>285656.47673244501</v>
      </c>
      <c r="D279" s="56">
        <v>9.4114690746622195E-2</v>
      </c>
      <c r="E279" s="224">
        <v>1758.44444444444</v>
      </c>
      <c r="F279" s="515" t="s">
        <v>2220</v>
      </c>
      <c r="G279" s="52">
        <v>502832.91331738699</v>
      </c>
      <c r="H279" s="56">
        <v>0.12063872197044709</v>
      </c>
      <c r="I279" s="224">
        <v>2345.5724747474701</v>
      </c>
    </row>
    <row r="280" spans="1:9" x14ac:dyDescent="0.25">
      <c r="A280" s="515">
        <v>91762</v>
      </c>
      <c r="B280" s="515" t="s">
        <v>599</v>
      </c>
      <c r="C280" s="52">
        <v>605439.27474779403</v>
      </c>
      <c r="D280" s="56">
        <v>5.9929987155824128E-2</v>
      </c>
      <c r="E280" s="224">
        <v>2175.23809523809</v>
      </c>
      <c r="F280" s="515" t="s">
        <v>1057</v>
      </c>
      <c r="G280" s="52">
        <v>209572.53513850601</v>
      </c>
      <c r="H280" s="56">
        <v>0.11420239011840441</v>
      </c>
      <c r="I280" s="224">
        <v>1538.8678587494301</v>
      </c>
    </row>
    <row r="281" spans="1:9" x14ac:dyDescent="0.25">
      <c r="A281" s="515">
        <v>89121</v>
      </c>
      <c r="B281" s="515" t="s">
        <v>323</v>
      </c>
      <c r="C281" s="52">
        <v>317016.28152241302</v>
      </c>
      <c r="D281" s="56">
        <v>7.4536791743368358E-2</v>
      </c>
      <c r="E281" s="224">
        <v>1552.68055555555</v>
      </c>
      <c r="F281" s="515" t="s">
        <v>2221</v>
      </c>
      <c r="G281" s="52">
        <v>268042.98092345498</v>
      </c>
      <c r="H281" s="56">
        <v>2.5227587692327982E-2</v>
      </c>
      <c r="I281" s="224">
        <v>1672.4074074073999</v>
      </c>
    </row>
    <row r="282" spans="1:9" x14ac:dyDescent="0.25">
      <c r="A282" s="515">
        <v>75068</v>
      </c>
      <c r="B282" s="515" t="s">
        <v>458</v>
      </c>
      <c r="C282" s="52">
        <v>419466.296761857</v>
      </c>
      <c r="D282" s="56">
        <v>5.5225619633126437E-2</v>
      </c>
      <c r="E282" s="224">
        <v>2302.52732683982</v>
      </c>
      <c r="F282" s="515" t="s">
        <v>2222</v>
      </c>
      <c r="G282" s="52">
        <v>614946.82056053495</v>
      </c>
      <c r="H282" s="56">
        <v>-1.2241205686858983E-3</v>
      </c>
      <c r="I282" s="224">
        <v>2448.69947596263</v>
      </c>
    </row>
    <row r="283" spans="1:9" x14ac:dyDescent="0.25">
      <c r="A283" s="515">
        <v>19143</v>
      </c>
      <c r="B283" s="515" t="s">
        <v>294</v>
      </c>
      <c r="C283" s="52">
        <v>132481.73019578701</v>
      </c>
      <c r="D283" s="56">
        <v>0.10978138348194844</v>
      </c>
      <c r="E283" s="224">
        <v>1334.4114774114701</v>
      </c>
      <c r="F283" s="515" t="s">
        <v>2223</v>
      </c>
      <c r="G283" s="52">
        <v>631743.50957384496</v>
      </c>
      <c r="H283" s="56">
        <v>3.4629072163647204E-2</v>
      </c>
      <c r="I283" s="224">
        <v>2637.0408305462602</v>
      </c>
    </row>
    <row r="284" spans="1:9" x14ac:dyDescent="0.25">
      <c r="A284" s="515">
        <v>11211</v>
      </c>
      <c r="B284" s="515" t="s">
        <v>324</v>
      </c>
      <c r="C284" s="52">
        <v>951311.85033222905</v>
      </c>
      <c r="D284" s="56">
        <v>1.7784361646378452E-4</v>
      </c>
      <c r="E284" s="224">
        <v>3853.58383838383</v>
      </c>
      <c r="F284" s="515" t="s">
        <v>2224</v>
      </c>
      <c r="G284" s="52">
        <v>411472.206966236</v>
      </c>
      <c r="H284" s="56">
        <v>5.4894019404107611E-2</v>
      </c>
      <c r="I284" s="224">
        <v>1907.5711161962799</v>
      </c>
    </row>
    <row r="285" spans="1:9" x14ac:dyDescent="0.25">
      <c r="A285" s="515">
        <v>94509</v>
      </c>
      <c r="B285" s="515" t="s">
        <v>593</v>
      </c>
      <c r="C285" s="52">
        <v>545254.64335623896</v>
      </c>
      <c r="D285" s="56">
        <v>-2.1606015495868429E-3</v>
      </c>
      <c r="E285" s="224">
        <v>2511.57288267288</v>
      </c>
      <c r="F285" s="515" t="s">
        <v>2225</v>
      </c>
      <c r="G285" s="52">
        <v>351361.43522404699</v>
      </c>
      <c r="H285" s="56">
        <v>9.4369388988967393E-2</v>
      </c>
      <c r="I285" s="224">
        <v>1745.1292215883</v>
      </c>
    </row>
    <row r="286" spans="1:9" x14ac:dyDescent="0.25">
      <c r="A286" s="515">
        <v>30318</v>
      </c>
      <c r="B286" s="515" t="s">
        <v>957</v>
      </c>
      <c r="C286" s="52">
        <v>364837.39139351802</v>
      </c>
      <c r="D286" s="56">
        <v>8.158411759646246E-2</v>
      </c>
      <c r="E286" s="224">
        <v>1848.56657633242</v>
      </c>
      <c r="F286" s="515" t="s">
        <v>2226</v>
      </c>
      <c r="G286" s="52">
        <v>399958.42290147801</v>
      </c>
      <c r="H286" s="56">
        <v>4.2640104445698601E-2</v>
      </c>
      <c r="I286" s="224">
        <v>2133.9710944026701</v>
      </c>
    </row>
    <row r="287" spans="1:9" x14ac:dyDescent="0.25">
      <c r="A287" s="515">
        <v>92115</v>
      </c>
      <c r="B287" s="515" t="s">
        <v>396</v>
      </c>
      <c r="C287" s="52">
        <v>717854.27784509805</v>
      </c>
      <c r="D287" s="56">
        <v>5.2489713930560525E-2</v>
      </c>
      <c r="E287" s="224">
        <v>3534.5638888888798</v>
      </c>
      <c r="F287" s="515" t="s">
        <v>1335</v>
      </c>
      <c r="G287" s="52">
        <v>298043.16803432902</v>
      </c>
      <c r="H287" s="56">
        <v>0.14823772143182004</v>
      </c>
      <c r="I287" s="224">
        <v>1837.81212121212</v>
      </c>
    </row>
    <row r="288" spans="1:9" x14ac:dyDescent="0.25">
      <c r="A288" s="515">
        <v>66061</v>
      </c>
      <c r="B288" s="515" t="s">
        <v>455</v>
      </c>
      <c r="C288" s="52">
        <v>363102.02176024101</v>
      </c>
      <c r="D288" s="56">
        <v>7.8396854589828854E-2</v>
      </c>
      <c r="E288" s="224">
        <v>1363.5349206349199</v>
      </c>
      <c r="F288" s="515" t="s">
        <v>1102</v>
      </c>
      <c r="G288" s="52">
        <v>327550.69018584001</v>
      </c>
      <c r="H288" s="56">
        <v>0.11757580580377336</v>
      </c>
      <c r="I288" s="224">
        <v>1666.14242424242</v>
      </c>
    </row>
    <row r="289" spans="1:9" x14ac:dyDescent="0.25">
      <c r="A289" s="515">
        <v>37075</v>
      </c>
      <c r="B289" s="515" t="s">
        <v>684</v>
      </c>
      <c r="C289" s="52">
        <v>464775.14062789298</v>
      </c>
      <c r="D289" s="56">
        <v>8.9203505676011818E-2</v>
      </c>
      <c r="E289" s="224">
        <v>1711.7764782326101</v>
      </c>
      <c r="F289" s="515" t="s">
        <v>2227</v>
      </c>
      <c r="G289" s="52">
        <v>241444.19671091001</v>
      </c>
      <c r="H289" s="56">
        <v>7.089190198064553E-2</v>
      </c>
      <c r="I289" s="224">
        <v>1463.2222222222199</v>
      </c>
    </row>
    <row r="290" spans="1:9" x14ac:dyDescent="0.25">
      <c r="A290" s="515">
        <v>80134</v>
      </c>
      <c r="B290" s="515" t="s">
        <v>401</v>
      </c>
      <c r="C290" s="52">
        <v>681360.72497275996</v>
      </c>
      <c r="D290" s="56">
        <v>2.6005796213037113E-2</v>
      </c>
      <c r="E290" s="224">
        <v>2230.4489576883302</v>
      </c>
      <c r="F290" s="515" t="s">
        <v>2228</v>
      </c>
      <c r="G290" s="52">
        <v>691270.44879127096</v>
      </c>
      <c r="H290" s="56">
        <v>2.9436690940686915E-2</v>
      </c>
      <c r="I290" s="224">
        <v>2804.0264351851802</v>
      </c>
    </row>
    <row r="291" spans="1:9" x14ac:dyDescent="0.25">
      <c r="A291" s="515">
        <v>32828</v>
      </c>
      <c r="B291" s="515" t="s">
        <v>517</v>
      </c>
      <c r="C291" s="52">
        <v>454089.475969691</v>
      </c>
      <c r="D291" s="56">
        <v>7.5893599501690251E-2</v>
      </c>
      <c r="E291" s="224">
        <v>2254.45138888888</v>
      </c>
      <c r="F291" s="515" t="s">
        <v>759</v>
      </c>
      <c r="G291" s="52">
        <v>46121.714209207101</v>
      </c>
      <c r="H291" s="56">
        <v>-1.54753984253017E-2</v>
      </c>
      <c r="I291" s="224">
        <v>781.08333333333303</v>
      </c>
    </row>
    <row r="292" spans="1:9" x14ac:dyDescent="0.25">
      <c r="A292" s="515">
        <v>32765</v>
      </c>
      <c r="B292" s="515" t="s">
        <v>517</v>
      </c>
      <c r="C292" s="52">
        <v>456770.56577397097</v>
      </c>
      <c r="D292" s="56">
        <v>0.11661880319990707</v>
      </c>
      <c r="E292" s="224">
        <v>2124.2105933282401</v>
      </c>
      <c r="F292" s="515" t="s">
        <v>2229</v>
      </c>
      <c r="G292" s="52">
        <v>563870.39314436505</v>
      </c>
      <c r="H292" s="56">
        <v>7.8541849340845349E-2</v>
      </c>
      <c r="I292" s="224">
        <v>2808.2251924001898</v>
      </c>
    </row>
    <row r="293" spans="1:9" x14ac:dyDescent="0.25">
      <c r="A293" s="515">
        <v>89115</v>
      </c>
      <c r="B293" s="515" t="s">
        <v>323</v>
      </c>
      <c r="C293" s="52">
        <v>293720.23341629503</v>
      </c>
      <c r="D293" s="56">
        <v>7.4135269061288339E-2</v>
      </c>
      <c r="E293" s="224">
        <v>1450.6</v>
      </c>
      <c r="F293" s="515" t="s">
        <v>904</v>
      </c>
      <c r="G293" s="52">
        <v>103611.96943780599</v>
      </c>
      <c r="H293" s="56">
        <v>0.14613555965412475</v>
      </c>
      <c r="I293" s="224">
        <v>847.16666666666595</v>
      </c>
    </row>
    <row r="294" spans="1:9" x14ac:dyDescent="0.25">
      <c r="A294" s="515">
        <v>77459</v>
      </c>
      <c r="B294" s="515" t="s">
        <v>314</v>
      </c>
      <c r="C294" s="52">
        <v>380561.21158052702</v>
      </c>
      <c r="D294" s="56">
        <v>7.8412220512129066E-2</v>
      </c>
      <c r="E294" s="224">
        <v>2205.3713131313102</v>
      </c>
      <c r="F294" s="515" t="s">
        <v>696</v>
      </c>
      <c r="G294" s="52">
        <v>180494.38570917101</v>
      </c>
      <c r="H294" s="56">
        <v>2.0997845192042869E-2</v>
      </c>
      <c r="I294" s="224">
        <v>1083.82949494949</v>
      </c>
    </row>
    <row r="295" spans="1:9" x14ac:dyDescent="0.25">
      <c r="A295" s="515">
        <v>95123</v>
      </c>
      <c r="B295" s="515" t="s">
        <v>850</v>
      </c>
      <c r="C295" s="52">
        <v>1172823.3660138</v>
      </c>
      <c r="D295" s="56">
        <v>5.9609311570859108E-2</v>
      </c>
      <c r="E295" s="224">
        <v>2994.12</v>
      </c>
      <c r="F295" s="515" t="s">
        <v>2230</v>
      </c>
      <c r="G295" s="52">
        <v>362094.34638576099</v>
      </c>
      <c r="H295" s="56">
        <v>0.11998957168772376</v>
      </c>
      <c r="I295" s="224">
        <v>1958.4458704694</v>
      </c>
    </row>
    <row r="296" spans="1:9" x14ac:dyDescent="0.25">
      <c r="A296" s="515">
        <v>44256</v>
      </c>
      <c r="B296" s="515" t="s">
        <v>520</v>
      </c>
      <c r="C296" s="52">
        <v>317486.85236942302</v>
      </c>
      <c r="D296" s="56">
        <v>7.4248560496994159E-2</v>
      </c>
      <c r="E296" s="224">
        <v>1784.8333333333301</v>
      </c>
      <c r="F296" s="515" t="s">
        <v>1360</v>
      </c>
      <c r="G296" s="52">
        <v>260226.14205103301</v>
      </c>
      <c r="H296" s="56">
        <v>0.11023914338460657</v>
      </c>
      <c r="I296" s="224">
        <v>1809.11728395061</v>
      </c>
    </row>
    <row r="297" spans="1:9" x14ac:dyDescent="0.25">
      <c r="A297" s="515">
        <v>92201</v>
      </c>
      <c r="B297" s="515" t="s">
        <v>599</v>
      </c>
      <c r="C297" s="52">
        <v>450023.17596602702</v>
      </c>
      <c r="D297" s="56">
        <v>0.12031569398526568</v>
      </c>
      <c r="E297" s="224">
        <v>2680.3333333333298</v>
      </c>
      <c r="F297" s="515" t="s">
        <v>2231</v>
      </c>
      <c r="G297" s="52">
        <v>357646.09022642899</v>
      </c>
      <c r="H297" s="56">
        <v>0.1176440840694923</v>
      </c>
      <c r="I297" s="224">
        <v>1763.24112903225</v>
      </c>
    </row>
    <row r="298" spans="1:9" x14ac:dyDescent="0.25">
      <c r="A298" s="515">
        <v>84043</v>
      </c>
      <c r="B298" s="515" t="s">
        <v>726</v>
      </c>
      <c r="C298" s="52">
        <v>574341.33088925504</v>
      </c>
      <c r="D298" s="56">
        <v>1.1213991453406996E-2</v>
      </c>
      <c r="E298" s="224">
        <v>2335.9523809523798</v>
      </c>
      <c r="F298" s="515" t="s">
        <v>2232</v>
      </c>
      <c r="G298" s="52">
        <v>447677.80077268201</v>
      </c>
      <c r="H298" s="56">
        <v>0.13607455941536223</v>
      </c>
      <c r="I298" s="224">
        <v>2354.2255892255798</v>
      </c>
    </row>
    <row r="299" spans="1:9" x14ac:dyDescent="0.25">
      <c r="A299" s="515">
        <v>11372</v>
      </c>
      <c r="B299" s="515" t="s">
        <v>324</v>
      </c>
      <c r="C299" s="52">
        <v>404419.73531384801</v>
      </c>
      <c r="D299" s="56">
        <v>1.7376178208125003E-3</v>
      </c>
      <c r="E299" s="224">
        <v>2145.6944444444398</v>
      </c>
      <c r="F299" s="515" t="s">
        <v>926</v>
      </c>
      <c r="G299" s="52">
        <v>520485.72678370099</v>
      </c>
      <c r="H299" s="56">
        <v>5.9937687894075567E-2</v>
      </c>
      <c r="I299" s="224">
        <v>1897.49166666666</v>
      </c>
    </row>
    <row r="300" spans="1:9" x14ac:dyDescent="0.25">
      <c r="A300" s="515">
        <v>23462</v>
      </c>
      <c r="B300" s="515" t="s">
        <v>301</v>
      </c>
      <c r="C300" s="52">
        <v>275601.70837714302</v>
      </c>
      <c r="D300" s="56">
        <v>6.3458362386183922E-2</v>
      </c>
      <c r="E300" s="224">
        <v>1630.1401397515499</v>
      </c>
      <c r="F300" s="515" t="s">
        <v>2233</v>
      </c>
      <c r="G300" s="52">
        <v>752728.61015410896</v>
      </c>
      <c r="H300" s="56">
        <v>1.0611738945968908E-2</v>
      </c>
      <c r="I300" s="224">
        <v>3132.4410173160099</v>
      </c>
    </row>
    <row r="301" spans="1:9" x14ac:dyDescent="0.25">
      <c r="A301" s="515">
        <v>91977</v>
      </c>
      <c r="B301" s="515" t="s">
        <v>396</v>
      </c>
      <c r="C301" s="52">
        <v>653560.68433958304</v>
      </c>
      <c r="D301" s="56">
        <v>5.2791103625994727E-2</v>
      </c>
      <c r="E301" s="224">
        <v>2109.4603174603099</v>
      </c>
      <c r="F301" s="515" t="s">
        <v>2234</v>
      </c>
      <c r="G301" s="52">
        <v>408061.56086930999</v>
      </c>
      <c r="H301" s="56">
        <v>6.8028190649658468E-2</v>
      </c>
      <c r="I301" s="224">
        <v>1880.40665584415</v>
      </c>
    </row>
    <row r="302" spans="1:9" x14ac:dyDescent="0.25">
      <c r="A302" s="515">
        <v>90660</v>
      </c>
      <c r="B302" s="515" t="s">
        <v>375</v>
      </c>
      <c r="C302" s="52">
        <v>655955.12413565104</v>
      </c>
      <c r="D302" s="56">
        <v>6.1341061635522394E-2</v>
      </c>
      <c r="E302" s="224">
        <v>1926.8333333333301</v>
      </c>
      <c r="F302" s="515" t="s">
        <v>2235</v>
      </c>
      <c r="G302" s="52">
        <v>929905.72886138898</v>
      </c>
      <c r="H302" s="56">
        <v>2.9436813569877408E-2</v>
      </c>
      <c r="I302" s="224">
        <v>3233.39580852583</v>
      </c>
    </row>
    <row r="303" spans="1:9" x14ac:dyDescent="0.25">
      <c r="A303" s="515">
        <v>84404</v>
      </c>
      <c r="B303" s="515" t="s">
        <v>628</v>
      </c>
      <c r="C303" s="52">
        <v>386800.98926572298</v>
      </c>
      <c r="D303" s="56">
        <v>2.8920811052578533E-2</v>
      </c>
      <c r="E303" s="224">
        <v>1740.8333333333301</v>
      </c>
      <c r="F303" s="515" t="s">
        <v>2236</v>
      </c>
      <c r="G303" s="52">
        <v>1440105.61141467</v>
      </c>
      <c r="H303" s="56">
        <v>4.0396494782338963E-2</v>
      </c>
      <c r="I303" s="224">
        <v>3221.1757654016901</v>
      </c>
    </row>
    <row r="304" spans="1:9" x14ac:dyDescent="0.25">
      <c r="A304" s="515">
        <v>10312</v>
      </c>
      <c r="B304" s="515" t="s">
        <v>324</v>
      </c>
      <c r="C304" s="52">
        <v>658518.52509923698</v>
      </c>
      <c r="D304" s="56">
        <v>5.3291639567284783E-2</v>
      </c>
      <c r="E304" s="224">
        <v>2002.7777777777701</v>
      </c>
      <c r="F304" s="515" t="s">
        <v>2237</v>
      </c>
      <c r="G304" s="52">
        <v>443435.97930336802</v>
      </c>
      <c r="H304" s="56">
        <v>6.8195976605385511E-2</v>
      </c>
      <c r="I304" s="224">
        <v>1685.05555555555</v>
      </c>
    </row>
    <row r="305" spans="1:9" x14ac:dyDescent="0.25">
      <c r="A305" s="515">
        <v>90019</v>
      </c>
      <c r="B305" s="515" t="s">
        <v>375</v>
      </c>
      <c r="C305" s="52">
        <v>1206197.9011113399</v>
      </c>
      <c r="D305" s="56">
        <v>-1.0920506726713559E-2</v>
      </c>
      <c r="E305" s="224">
        <v>2578.89102564102</v>
      </c>
      <c r="F305" s="515" t="s">
        <v>2238</v>
      </c>
      <c r="G305" s="52">
        <v>379433.43196138297</v>
      </c>
      <c r="H305" s="56">
        <v>-2.9802236511863235E-2</v>
      </c>
      <c r="I305" s="224">
        <v>1400.28657616892</v>
      </c>
    </row>
    <row r="306" spans="1:9" x14ac:dyDescent="0.25">
      <c r="A306" s="515">
        <v>11201</v>
      </c>
      <c r="B306" s="515" t="s">
        <v>324</v>
      </c>
      <c r="C306" s="52">
        <v>875336.75186513097</v>
      </c>
      <c r="D306" s="56">
        <v>1.7036607818099504E-2</v>
      </c>
      <c r="E306" s="224">
        <v>4082.84196969697</v>
      </c>
      <c r="F306" s="515" t="s">
        <v>2239</v>
      </c>
      <c r="G306" s="52">
        <v>476749.73941782501</v>
      </c>
      <c r="H306" s="56">
        <v>3.8951256546204516E-2</v>
      </c>
      <c r="I306" s="224">
        <v>2068.8988095238001</v>
      </c>
    </row>
    <row r="307" spans="1:9" x14ac:dyDescent="0.25">
      <c r="A307" s="515">
        <v>10032</v>
      </c>
      <c r="B307" s="515" t="s">
        <v>324</v>
      </c>
      <c r="C307" s="52">
        <v>598100.46582256095</v>
      </c>
      <c r="D307" s="56">
        <v>0.2463938562652094</v>
      </c>
      <c r="E307" s="224">
        <v>2314.7466491841401</v>
      </c>
      <c r="F307" s="515" t="s">
        <v>1190</v>
      </c>
      <c r="G307" s="52">
        <v>669628.64916518203</v>
      </c>
      <c r="H307" s="56">
        <v>-1.8729117352886885E-3</v>
      </c>
      <c r="I307" s="224">
        <v>2182.3635057471201</v>
      </c>
    </row>
    <row r="308" spans="1:9" x14ac:dyDescent="0.25">
      <c r="A308" s="515">
        <v>21740</v>
      </c>
      <c r="B308" s="515" t="s">
        <v>654</v>
      </c>
      <c r="C308" s="52">
        <v>242137.88439095399</v>
      </c>
      <c r="D308" s="56">
        <v>5.7770522030871935E-2</v>
      </c>
      <c r="E308" s="224">
        <v>1334.7222222222199</v>
      </c>
      <c r="F308" s="515" t="s">
        <v>2240</v>
      </c>
      <c r="G308" s="52">
        <v>283263.695782286</v>
      </c>
      <c r="H308" s="56">
        <v>8.6963297415360075E-2</v>
      </c>
      <c r="I308" s="224">
        <v>1585.2368989035599</v>
      </c>
    </row>
    <row r="309" spans="1:9" x14ac:dyDescent="0.25">
      <c r="A309" s="515">
        <v>33313</v>
      </c>
      <c r="B309" s="515" t="s">
        <v>831</v>
      </c>
      <c r="C309" s="52">
        <v>179700.732263685</v>
      </c>
      <c r="D309" s="56">
        <v>0.20782726253623501</v>
      </c>
      <c r="E309" s="224">
        <v>2001.61388888888</v>
      </c>
      <c r="F309" s="515" t="s">
        <v>2241</v>
      </c>
      <c r="G309" s="52">
        <v>207637.42738755801</v>
      </c>
      <c r="H309" s="56">
        <v>6.5864321015118771E-2</v>
      </c>
      <c r="I309" s="224">
        <v>1363.94444444444</v>
      </c>
    </row>
    <row r="310" spans="1:9" x14ac:dyDescent="0.25">
      <c r="A310" s="515">
        <v>10023</v>
      </c>
      <c r="B310" s="515" t="s">
        <v>324</v>
      </c>
      <c r="C310" s="52">
        <v>1404206.2710834399</v>
      </c>
      <c r="D310" s="56">
        <v>-6.1871937839729219E-2</v>
      </c>
      <c r="E310" s="224">
        <v>4090.4409416590102</v>
      </c>
      <c r="F310" s="515" t="s">
        <v>1287</v>
      </c>
      <c r="G310" s="52">
        <v>282636.33837536199</v>
      </c>
      <c r="H310" s="56">
        <v>0.10134441386912413</v>
      </c>
      <c r="I310" s="224">
        <v>1878.2854104104099</v>
      </c>
    </row>
    <row r="311" spans="1:9" x14ac:dyDescent="0.25">
      <c r="A311" s="515">
        <v>42101</v>
      </c>
      <c r="B311" s="515" t="s">
        <v>799</v>
      </c>
      <c r="C311" s="52">
        <v>199280.62973379099</v>
      </c>
      <c r="D311" s="56">
        <v>0.13242176541239425</v>
      </c>
      <c r="E311" s="224">
        <v>1215.4166666666599</v>
      </c>
      <c r="F311" s="515" t="s">
        <v>1302</v>
      </c>
      <c r="G311" s="52">
        <v>314446.47772206302</v>
      </c>
      <c r="H311" s="56">
        <v>8.1010856420829391E-2</v>
      </c>
      <c r="I311" s="224">
        <v>1793.3478350774899</v>
      </c>
    </row>
    <row r="312" spans="1:9" x14ac:dyDescent="0.25">
      <c r="A312" s="515">
        <v>7305</v>
      </c>
      <c r="B312" s="515" t="s">
        <v>324</v>
      </c>
      <c r="C312" s="52">
        <v>444482.37855538598</v>
      </c>
      <c r="D312" s="56">
        <v>3.2688992758897473E-2</v>
      </c>
      <c r="E312" s="224">
        <v>2012.9361245303201</v>
      </c>
      <c r="F312" s="515" t="s">
        <v>2242</v>
      </c>
      <c r="G312" s="52">
        <v>229694.288469049</v>
      </c>
      <c r="H312" s="56">
        <v>0.11896920035903796</v>
      </c>
      <c r="I312" s="224">
        <v>1344.9747474747401</v>
      </c>
    </row>
    <row r="313" spans="1:9" x14ac:dyDescent="0.25">
      <c r="A313" s="515">
        <v>60609</v>
      </c>
      <c r="B313" s="515" t="s">
        <v>394</v>
      </c>
      <c r="C313" s="52">
        <v>225622.507120517</v>
      </c>
      <c r="D313" s="56">
        <v>-2.9407078814239394E-2</v>
      </c>
      <c r="E313" s="224">
        <v>1273.1111111111099</v>
      </c>
      <c r="F313" s="515" t="s">
        <v>835</v>
      </c>
      <c r="G313" s="52">
        <v>523710.42585088802</v>
      </c>
      <c r="H313" s="56">
        <v>3.6301291099988834E-3</v>
      </c>
      <c r="I313" s="224">
        <v>2117.5014245014199</v>
      </c>
    </row>
    <row r="314" spans="1:9" x14ac:dyDescent="0.25">
      <c r="A314" s="515">
        <v>7093</v>
      </c>
      <c r="B314" s="515" t="s">
        <v>324</v>
      </c>
      <c r="C314" s="52">
        <v>395653.69770434801</v>
      </c>
      <c r="D314" s="56">
        <v>-3.9681436670518488E-2</v>
      </c>
      <c r="E314" s="224">
        <v>2874.7552115582998</v>
      </c>
      <c r="F314" s="515" t="s">
        <v>2243</v>
      </c>
      <c r="G314" s="52">
        <v>263439.44903400401</v>
      </c>
      <c r="H314" s="56">
        <v>6.2855944843125872E-2</v>
      </c>
      <c r="I314" s="224">
        <v>1471.38888888888</v>
      </c>
    </row>
    <row r="315" spans="1:9" x14ac:dyDescent="0.25">
      <c r="A315" s="515">
        <v>14850</v>
      </c>
      <c r="B315" s="515" t="s">
        <v>1115</v>
      </c>
      <c r="C315" s="52">
        <v>352472.97479364299</v>
      </c>
      <c r="D315" s="56">
        <v>5.544855951441767E-2</v>
      </c>
      <c r="E315" s="224">
        <v>1949.8238095238</v>
      </c>
      <c r="F315" s="515" t="s">
        <v>2244</v>
      </c>
      <c r="G315" s="52">
        <v>768939.66122565605</v>
      </c>
      <c r="H315" s="56">
        <v>6.1315229819558691E-2</v>
      </c>
      <c r="I315" s="224">
        <v>2594.2358024691298</v>
      </c>
    </row>
    <row r="316" spans="1:9" x14ac:dyDescent="0.25">
      <c r="A316" s="515">
        <v>94015</v>
      </c>
      <c r="B316" s="515" t="s">
        <v>593</v>
      </c>
      <c r="C316" s="52">
        <v>1153158.1581548799</v>
      </c>
      <c r="D316" s="56">
        <v>1.2308081783450704E-3</v>
      </c>
      <c r="E316" s="224">
        <v>3019.7666666666601</v>
      </c>
      <c r="F316" s="515" t="s">
        <v>1371</v>
      </c>
      <c r="G316" s="52">
        <v>186018.39756469501</v>
      </c>
      <c r="H316" s="56">
        <v>0.17806700856299895</v>
      </c>
      <c r="I316" s="224">
        <v>1396.19047619047</v>
      </c>
    </row>
    <row r="317" spans="1:9" x14ac:dyDescent="0.25">
      <c r="A317" s="515">
        <v>2301</v>
      </c>
      <c r="B317" s="515" t="s">
        <v>534</v>
      </c>
      <c r="C317" s="52">
        <v>439443.65039459901</v>
      </c>
      <c r="D317" s="56">
        <v>5.9409721372383005E-2</v>
      </c>
      <c r="E317" s="224" t="s">
        <v>2</v>
      </c>
      <c r="F317" s="515" t="s">
        <v>470</v>
      </c>
      <c r="G317" s="52">
        <v>295352.186358204</v>
      </c>
      <c r="H317" s="56">
        <v>3.6232764251561488E-2</v>
      </c>
      <c r="I317" s="224">
        <v>1472.1137820512799</v>
      </c>
    </row>
    <row r="318" spans="1:9" x14ac:dyDescent="0.25">
      <c r="A318" s="515">
        <v>27406</v>
      </c>
      <c r="B318" s="515" t="s">
        <v>1148</v>
      </c>
      <c r="C318" s="52">
        <v>192014.23929999699</v>
      </c>
      <c r="D318" s="56">
        <v>0.12718253098635651</v>
      </c>
      <c r="E318" s="224">
        <v>1456.7777777777701</v>
      </c>
      <c r="F318" s="515" t="s">
        <v>2245</v>
      </c>
      <c r="G318" s="52">
        <v>272264.29101416399</v>
      </c>
      <c r="H318" s="56">
        <v>0.10100322109907403</v>
      </c>
      <c r="I318" s="224">
        <v>1719.3392081736899</v>
      </c>
    </row>
    <row r="319" spans="1:9" x14ac:dyDescent="0.25">
      <c r="A319" s="515">
        <v>20019</v>
      </c>
      <c r="B319" s="515" t="s">
        <v>321</v>
      </c>
      <c r="C319" s="52">
        <v>388350.16434209701</v>
      </c>
      <c r="D319" s="56">
        <v>8.6644349911315713E-3</v>
      </c>
      <c r="E319" s="224">
        <v>1787.75</v>
      </c>
      <c r="F319" s="515" t="s">
        <v>2246</v>
      </c>
      <c r="G319" s="52">
        <v>728252.09866669204</v>
      </c>
      <c r="H319" s="56">
        <v>1.1498210585452997E-2</v>
      </c>
      <c r="I319" s="224">
        <v>2769.9532163742601</v>
      </c>
    </row>
    <row r="320" spans="1:9" x14ac:dyDescent="0.25">
      <c r="A320" s="515">
        <v>95020</v>
      </c>
      <c r="B320" s="515" t="s">
        <v>850</v>
      </c>
      <c r="C320" s="52">
        <v>998630.50836871902</v>
      </c>
      <c r="D320" s="56">
        <v>2.3623203744606105E-2</v>
      </c>
      <c r="E320" s="224">
        <v>2953.75</v>
      </c>
      <c r="F320" s="515" t="s">
        <v>2247</v>
      </c>
      <c r="G320" s="52">
        <v>252436.33718591899</v>
      </c>
      <c r="H320" s="56">
        <v>9.2608926878800429E-2</v>
      </c>
      <c r="I320" s="224">
        <v>1529.80853174603</v>
      </c>
    </row>
    <row r="321" spans="1:9" x14ac:dyDescent="0.25">
      <c r="A321" s="515">
        <v>77072</v>
      </c>
      <c r="B321" s="515" t="s">
        <v>314</v>
      </c>
      <c r="C321" s="52">
        <v>204765.13191494599</v>
      </c>
      <c r="D321" s="56">
        <v>0.16666055287545997</v>
      </c>
      <c r="E321" s="224">
        <v>1558.2857142857099</v>
      </c>
      <c r="F321" s="515" t="s">
        <v>412</v>
      </c>
      <c r="G321" s="52">
        <v>613973.778991331</v>
      </c>
      <c r="H321" s="56">
        <v>2.9170140728705097E-2</v>
      </c>
      <c r="I321" s="224">
        <v>1775.9761904761899</v>
      </c>
    </row>
    <row r="322" spans="1:9" x14ac:dyDescent="0.25">
      <c r="A322" s="515">
        <v>77407</v>
      </c>
      <c r="B322" s="515" t="s">
        <v>314</v>
      </c>
      <c r="C322" s="52">
        <v>375823.99025886803</v>
      </c>
      <c r="D322" s="56">
        <v>7.3738123585607426E-2</v>
      </c>
      <c r="E322" s="224">
        <v>1818.7286922015101</v>
      </c>
      <c r="F322" s="515" t="s">
        <v>2248</v>
      </c>
      <c r="G322" s="52">
        <v>334196.60994959599</v>
      </c>
      <c r="H322" s="56">
        <v>0.11624624441328435</v>
      </c>
      <c r="I322" s="224">
        <v>1717.1506172839499</v>
      </c>
    </row>
    <row r="323" spans="1:9" x14ac:dyDescent="0.25">
      <c r="A323" s="515">
        <v>11434</v>
      </c>
      <c r="B323" s="515" t="s">
        <v>324</v>
      </c>
      <c r="C323" s="52">
        <v>536613.288395904</v>
      </c>
      <c r="D323" s="56">
        <v>0</v>
      </c>
      <c r="E323" s="224" t="s">
        <v>2</v>
      </c>
      <c r="F323" s="515" t="s">
        <v>630</v>
      </c>
      <c r="G323" s="52">
        <v>431033.917309332</v>
      </c>
      <c r="H323" s="56">
        <v>7.6788883459757457E-2</v>
      </c>
      <c r="I323" s="224">
        <v>1593.50262725779</v>
      </c>
    </row>
    <row r="324" spans="1:9" x14ac:dyDescent="0.25">
      <c r="A324" s="515">
        <v>95758</v>
      </c>
      <c r="B324" s="515" t="s">
        <v>355</v>
      </c>
      <c r="C324" s="52">
        <v>545780.43189149501</v>
      </c>
      <c r="D324" s="56">
        <v>1.313369426375814E-2</v>
      </c>
      <c r="E324" s="224">
        <v>2455.125</v>
      </c>
      <c r="F324" s="515" t="s">
        <v>2249</v>
      </c>
      <c r="G324" s="52">
        <v>1375853.63657811</v>
      </c>
      <c r="H324" s="56">
        <v>-2.6238986161465361E-2</v>
      </c>
      <c r="I324" s="224">
        <v>2825.36468253968</v>
      </c>
    </row>
    <row r="325" spans="1:9" x14ac:dyDescent="0.25">
      <c r="A325" s="515">
        <v>91761</v>
      </c>
      <c r="B325" s="515" t="s">
        <v>599</v>
      </c>
      <c r="C325" s="52">
        <v>629861.029504815</v>
      </c>
      <c r="D325" s="56">
        <v>4.670982171324E-2</v>
      </c>
      <c r="E325" s="224">
        <v>2775.6571428571401</v>
      </c>
      <c r="F325" s="515" t="s">
        <v>2250</v>
      </c>
      <c r="G325" s="52">
        <v>479863.568691622</v>
      </c>
      <c r="H325" s="56">
        <v>8.7302650897719998E-3</v>
      </c>
      <c r="I325" s="224">
        <v>1868.5680158730099</v>
      </c>
    </row>
    <row r="326" spans="1:9" x14ac:dyDescent="0.25">
      <c r="A326" s="515">
        <v>43026</v>
      </c>
      <c r="B326" s="515" t="s">
        <v>345</v>
      </c>
      <c r="C326" s="52">
        <v>328564.85834899999</v>
      </c>
      <c r="D326" s="56">
        <v>8.1765067555476467E-2</v>
      </c>
      <c r="E326" s="224">
        <v>1381.62222222222</v>
      </c>
      <c r="F326" s="515" t="s">
        <v>819</v>
      </c>
      <c r="G326" s="52">
        <v>137322.27068916699</v>
      </c>
      <c r="H326" s="56">
        <v>4.1992216613139094E-2</v>
      </c>
      <c r="I326" s="224">
        <v>944.569444444444</v>
      </c>
    </row>
    <row r="327" spans="1:9" x14ac:dyDescent="0.25">
      <c r="A327" s="515">
        <v>44035</v>
      </c>
      <c r="B327" s="515" t="s">
        <v>520</v>
      </c>
      <c r="C327" s="52">
        <v>150752.28995629499</v>
      </c>
      <c r="D327" s="56">
        <v>7.5250282929442081E-2</v>
      </c>
      <c r="E327" s="224">
        <v>1107.1111111111099</v>
      </c>
      <c r="F327" s="515" t="s">
        <v>2251</v>
      </c>
      <c r="G327" s="52">
        <v>594403.60447885399</v>
      </c>
      <c r="H327" s="56">
        <v>1.7324511361159367E-2</v>
      </c>
      <c r="I327" s="224">
        <v>2047.74564102564</v>
      </c>
    </row>
    <row r="328" spans="1:9" x14ac:dyDescent="0.25">
      <c r="A328" s="515">
        <v>91770</v>
      </c>
      <c r="B328" s="515" t="s">
        <v>375</v>
      </c>
      <c r="C328" s="52">
        <v>785716.78542023804</v>
      </c>
      <c r="D328" s="56">
        <v>5.3044850971208382E-2</v>
      </c>
      <c r="E328" s="224">
        <v>2332.5</v>
      </c>
      <c r="F328" s="515" t="s">
        <v>2252</v>
      </c>
      <c r="G328" s="52">
        <v>383115.57901111699</v>
      </c>
      <c r="H328" s="56">
        <v>9.2239014837189368E-2</v>
      </c>
      <c r="I328" s="224">
        <v>2221.1135967207301</v>
      </c>
    </row>
    <row r="329" spans="1:9" x14ac:dyDescent="0.25">
      <c r="A329" s="515">
        <v>10977</v>
      </c>
      <c r="B329" s="515" t="s">
        <v>324</v>
      </c>
      <c r="C329" s="52">
        <v>675843.88655565598</v>
      </c>
      <c r="D329" s="56">
        <v>0.12602544542700841</v>
      </c>
      <c r="E329" s="224" t="s">
        <v>2</v>
      </c>
      <c r="F329" s="515" t="s">
        <v>841</v>
      </c>
      <c r="G329" s="52">
        <v>201429.092219271</v>
      </c>
      <c r="H329" s="56">
        <v>8.5496632118840579E-2</v>
      </c>
      <c r="I329" s="224">
        <v>1421.3549783549699</v>
      </c>
    </row>
    <row r="330" spans="1:9" x14ac:dyDescent="0.25">
      <c r="A330" s="515">
        <v>11432</v>
      </c>
      <c r="B330" s="515" t="s">
        <v>324</v>
      </c>
      <c r="C330" s="52">
        <v>543122.54132336495</v>
      </c>
      <c r="D330" s="56">
        <v>1.0340467872602151E-2</v>
      </c>
      <c r="E330" s="224">
        <v>2033.38888888888</v>
      </c>
      <c r="F330" s="515" t="s">
        <v>2253</v>
      </c>
      <c r="G330" s="52">
        <v>623049.19670208497</v>
      </c>
      <c r="H330" s="56">
        <v>7.0831817471487479E-2</v>
      </c>
      <c r="I330" s="224">
        <v>2499.1666666666601</v>
      </c>
    </row>
    <row r="331" spans="1:9" x14ac:dyDescent="0.25">
      <c r="A331" s="515">
        <v>78228</v>
      </c>
      <c r="B331" s="515" t="s">
        <v>717</v>
      </c>
      <c r="C331" s="52">
        <v>185266.06437845601</v>
      </c>
      <c r="D331" s="56">
        <v>9.1381823365173268E-2</v>
      </c>
      <c r="E331" s="224">
        <v>1151.6666666666599</v>
      </c>
      <c r="F331" s="515" t="s">
        <v>2254</v>
      </c>
      <c r="G331" s="52">
        <v>495146.832014377</v>
      </c>
      <c r="H331" s="56">
        <v>3.6901274144702657E-2</v>
      </c>
      <c r="I331" s="224">
        <v>1920.1828345373201</v>
      </c>
    </row>
    <row r="332" spans="1:9" x14ac:dyDescent="0.25">
      <c r="A332" s="515">
        <v>28078</v>
      </c>
      <c r="B332" s="515" t="s">
        <v>360</v>
      </c>
      <c r="C332" s="52">
        <v>485532.04682972899</v>
      </c>
      <c r="D332" s="56">
        <v>9.4674812775020267E-2</v>
      </c>
      <c r="E332" s="224">
        <v>1903.2395655806099</v>
      </c>
      <c r="F332" s="515" t="s">
        <v>2255</v>
      </c>
      <c r="G332" s="52">
        <v>668508.98794077802</v>
      </c>
      <c r="H332" s="56">
        <v>3.2237457668940477E-2</v>
      </c>
      <c r="I332" s="224">
        <v>2261.0577776022901</v>
      </c>
    </row>
    <row r="333" spans="1:9" x14ac:dyDescent="0.25">
      <c r="A333" s="515">
        <v>33463</v>
      </c>
      <c r="B333" s="515" t="s">
        <v>831</v>
      </c>
      <c r="C333" s="52">
        <v>366320.046808352</v>
      </c>
      <c r="D333" s="56">
        <v>0.11337430968952431</v>
      </c>
      <c r="E333" s="224">
        <v>2462.5238095238001</v>
      </c>
      <c r="F333" s="515" t="s">
        <v>2256</v>
      </c>
      <c r="G333" s="52">
        <v>622961.71774911601</v>
      </c>
      <c r="H333" s="56">
        <v>-3.8780062041562631E-4</v>
      </c>
      <c r="I333" s="224">
        <v>2725.4092503987199</v>
      </c>
    </row>
    <row r="334" spans="1:9" x14ac:dyDescent="0.25">
      <c r="A334" s="515">
        <v>75040</v>
      </c>
      <c r="B334" s="515" t="s">
        <v>458</v>
      </c>
      <c r="C334" s="52">
        <v>282246.15828282898</v>
      </c>
      <c r="D334" s="56">
        <v>0.1201317440101307</v>
      </c>
      <c r="E334" s="224">
        <v>1651.07112794612</v>
      </c>
      <c r="F334" s="515" t="s">
        <v>2257</v>
      </c>
      <c r="G334" s="52">
        <v>522098.712053806</v>
      </c>
      <c r="H334" s="56">
        <v>2.2689433811283612E-2</v>
      </c>
      <c r="I334" s="224">
        <v>1837.4944634312999</v>
      </c>
    </row>
    <row r="335" spans="1:9" x14ac:dyDescent="0.25">
      <c r="A335" s="515">
        <v>94501</v>
      </c>
      <c r="B335" s="515" t="s">
        <v>593</v>
      </c>
      <c r="C335" s="52">
        <v>1160398.1441641899</v>
      </c>
      <c r="D335" s="56">
        <v>-1.5709264741693402E-2</v>
      </c>
      <c r="E335" s="224">
        <v>2740.2608187134501</v>
      </c>
      <c r="F335" s="515" t="s">
        <v>948</v>
      </c>
      <c r="G335" s="52">
        <v>319617.60663414397</v>
      </c>
      <c r="H335" s="56">
        <v>3.7319929972323231E-2</v>
      </c>
      <c r="I335" s="224">
        <v>1368.6111111111099</v>
      </c>
    </row>
    <row r="336" spans="1:9" x14ac:dyDescent="0.25">
      <c r="A336" s="515">
        <v>29445</v>
      </c>
      <c r="B336" s="515" t="s">
        <v>1009</v>
      </c>
      <c r="C336" s="52">
        <v>288587.56630492199</v>
      </c>
      <c r="D336" s="56">
        <v>9.260806690396757E-2</v>
      </c>
      <c r="E336" s="224">
        <v>1857.0119047619</v>
      </c>
      <c r="F336" s="515" t="s">
        <v>2258</v>
      </c>
      <c r="G336" s="52">
        <v>379552.16670248401</v>
      </c>
      <c r="H336" s="56">
        <v>7.879362088417674E-2</v>
      </c>
      <c r="I336" s="224">
        <v>1853.44550770866</v>
      </c>
    </row>
    <row r="337" spans="1:9" x14ac:dyDescent="0.25">
      <c r="A337" s="515">
        <v>92404</v>
      </c>
      <c r="B337" s="515" t="s">
        <v>599</v>
      </c>
      <c r="C337" s="52">
        <v>431227.14216525498</v>
      </c>
      <c r="D337" s="56">
        <v>7.2858563908175022E-2</v>
      </c>
      <c r="E337" s="224" t="s">
        <v>2</v>
      </c>
      <c r="F337" s="515" t="s">
        <v>2259</v>
      </c>
      <c r="G337" s="52">
        <v>308645.81873113703</v>
      </c>
      <c r="H337" s="56">
        <v>0.12165428931001701</v>
      </c>
      <c r="I337" s="224">
        <v>1952.97525846702</v>
      </c>
    </row>
    <row r="338" spans="1:9" x14ac:dyDescent="0.25">
      <c r="A338" s="515">
        <v>8753</v>
      </c>
      <c r="B338" s="515" t="s">
        <v>324</v>
      </c>
      <c r="C338" s="52">
        <v>447633.94305052701</v>
      </c>
      <c r="D338" s="56">
        <v>0.11168600206441748</v>
      </c>
      <c r="E338" s="224">
        <v>2538.75</v>
      </c>
      <c r="F338" s="515" t="s">
        <v>799</v>
      </c>
      <c r="G338" s="52">
        <v>246677.344574566</v>
      </c>
      <c r="H338" s="56">
        <v>0.12218739027761648</v>
      </c>
      <c r="I338" s="224">
        <v>1325.27056277056</v>
      </c>
    </row>
    <row r="339" spans="1:9" x14ac:dyDescent="0.25">
      <c r="A339" s="515">
        <v>34744</v>
      </c>
      <c r="B339" s="515" t="s">
        <v>517</v>
      </c>
      <c r="C339" s="52">
        <v>375549.06629165198</v>
      </c>
      <c r="D339" s="56">
        <v>0.12778521579234423</v>
      </c>
      <c r="E339" s="224">
        <v>2243.4709595959598</v>
      </c>
      <c r="F339" s="515" t="s">
        <v>2260</v>
      </c>
      <c r="G339" s="52">
        <v>360990.46797670401</v>
      </c>
      <c r="H339" s="56">
        <v>0.17203421784463982</v>
      </c>
      <c r="I339" s="224">
        <v>2846.4706533776298</v>
      </c>
    </row>
    <row r="340" spans="1:9" x14ac:dyDescent="0.25">
      <c r="A340" s="515">
        <v>94806</v>
      </c>
      <c r="B340" s="515" t="s">
        <v>593</v>
      </c>
      <c r="C340" s="52">
        <v>577988.42186854896</v>
      </c>
      <c r="D340" s="56">
        <v>7.5853904761575717E-3</v>
      </c>
      <c r="E340" s="224">
        <v>2512.2666666666601</v>
      </c>
      <c r="F340" s="515" t="s">
        <v>2261</v>
      </c>
      <c r="G340" s="52">
        <v>292397.67955319397</v>
      </c>
      <c r="H340" s="56">
        <v>9.2081550908779092E-2</v>
      </c>
      <c r="I340" s="224">
        <v>1683.1722222222199</v>
      </c>
    </row>
    <row r="341" spans="1:9" x14ac:dyDescent="0.25">
      <c r="A341" s="515">
        <v>7047</v>
      </c>
      <c r="B341" s="515" t="s">
        <v>324</v>
      </c>
      <c r="C341" s="52">
        <v>515399.07746108802</v>
      </c>
      <c r="D341" s="56">
        <v>3.5487038470369978E-2</v>
      </c>
      <c r="E341" s="224">
        <v>3045.8743201243201</v>
      </c>
      <c r="F341" s="515" t="s">
        <v>580</v>
      </c>
      <c r="G341" s="52">
        <v>449363.85698901903</v>
      </c>
      <c r="H341" s="56">
        <v>7.0697019784941141E-3</v>
      </c>
      <c r="I341" s="224">
        <v>1620.87954837954</v>
      </c>
    </row>
    <row r="342" spans="1:9" x14ac:dyDescent="0.25">
      <c r="A342" s="515">
        <v>60651</v>
      </c>
      <c r="B342" s="515" t="s">
        <v>394</v>
      </c>
      <c r="C342" s="52">
        <v>216307.975242607</v>
      </c>
      <c r="D342" s="56">
        <v>-1.5975293263384798E-2</v>
      </c>
      <c r="E342" s="224">
        <v>1345.07407407407</v>
      </c>
      <c r="F342" s="515" t="s">
        <v>1348</v>
      </c>
      <c r="G342" s="52">
        <v>446892.13223689998</v>
      </c>
      <c r="H342" s="56">
        <v>3.3690966902072635E-2</v>
      </c>
      <c r="I342" s="224">
        <v>1376.0218253968201</v>
      </c>
    </row>
    <row r="343" spans="1:9" x14ac:dyDescent="0.25">
      <c r="A343" s="515">
        <v>92630</v>
      </c>
      <c r="B343" s="515" t="s">
        <v>375</v>
      </c>
      <c r="C343" s="52">
        <v>957024.19250309805</v>
      </c>
      <c r="D343" s="56">
        <v>7.7518258694390385E-2</v>
      </c>
      <c r="E343" s="224">
        <v>2844.3417249417198</v>
      </c>
      <c r="F343" s="515" t="s">
        <v>447</v>
      </c>
      <c r="G343" s="52">
        <v>198000.81324138999</v>
      </c>
      <c r="H343" s="56">
        <v>0.15022107616234806</v>
      </c>
      <c r="I343" s="224">
        <v>1227.1095669036799</v>
      </c>
    </row>
    <row r="344" spans="1:9" x14ac:dyDescent="0.25">
      <c r="A344" s="515">
        <v>95112</v>
      </c>
      <c r="B344" s="515" t="s">
        <v>850</v>
      </c>
      <c r="C344" s="52">
        <v>945543.48443640606</v>
      </c>
      <c r="D344" s="56">
        <v>2.6181312426050117E-3</v>
      </c>
      <c r="E344" s="224">
        <v>2624.6350922350898</v>
      </c>
      <c r="F344" s="515" t="s">
        <v>2262</v>
      </c>
      <c r="G344" s="52">
        <v>182267.350078135</v>
      </c>
      <c r="H344" s="56">
        <v>0.11210137660762313</v>
      </c>
      <c r="I344" s="224">
        <v>1169.3744434972</v>
      </c>
    </row>
    <row r="345" spans="1:9" x14ac:dyDescent="0.25">
      <c r="A345" s="515">
        <v>90640</v>
      </c>
      <c r="B345" s="515" t="s">
        <v>375</v>
      </c>
      <c r="C345" s="52">
        <v>711245.79313652101</v>
      </c>
      <c r="D345" s="56">
        <v>4.2655644241745505E-2</v>
      </c>
      <c r="E345" s="224">
        <v>2258.3333333333298</v>
      </c>
      <c r="F345" s="515" t="s">
        <v>2263</v>
      </c>
      <c r="G345" s="52">
        <v>384339.74406318302</v>
      </c>
      <c r="H345" s="56">
        <v>0.12008256235447104</v>
      </c>
      <c r="I345" s="224">
        <v>2852.62698412698</v>
      </c>
    </row>
    <row r="346" spans="1:9" x14ac:dyDescent="0.25">
      <c r="A346" s="515">
        <v>78249</v>
      </c>
      <c r="B346" s="515" t="s">
        <v>717</v>
      </c>
      <c r="C346" s="52">
        <v>305596.951915549</v>
      </c>
      <c r="D346" s="56">
        <v>9.7879165168217666E-2</v>
      </c>
      <c r="E346" s="224">
        <v>1405.5617949882601</v>
      </c>
      <c r="F346" s="515" t="s">
        <v>2264</v>
      </c>
      <c r="G346" s="52">
        <v>1109311.88895395</v>
      </c>
      <c r="H346" s="56">
        <v>7.6653769732157262E-2</v>
      </c>
      <c r="I346" s="224">
        <v>2761.6604732966498</v>
      </c>
    </row>
    <row r="347" spans="1:9" x14ac:dyDescent="0.25">
      <c r="A347" s="515">
        <v>78745</v>
      </c>
      <c r="B347" s="515" t="s">
        <v>380</v>
      </c>
      <c r="C347" s="52">
        <v>488745.27212722797</v>
      </c>
      <c r="D347" s="56">
        <v>5.3255773421810329E-2</v>
      </c>
      <c r="E347" s="224">
        <v>1703.7677790606001</v>
      </c>
      <c r="F347" s="515" t="s">
        <v>2265</v>
      </c>
      <c r="G347" s="52">
        <v>387103.94967969001</v>
      </c>
      <c r="H347" s="56">
        <v>6.6677012746894387E-2</v>
      </c>
      <c r="I347" s="224">
        <v>1712.9969834087401</v>
      </c>
    </row>
    <row r="348" spans="1:9" x14ac:dyDescent="0.25">
      <c r="A348" s="515">
        <v>77077</v>
      </c>
      <c r="B348" s="515" t="s">
        <v>314</v>
      </c>
      <c r="C348" s="52">
        <v>365782.252702403</v>
      </c>
      <c r="D348" s="56">
        <v>7.6225386407178936E-2</v>
      </c>
      <c r="E348" s="224">
        <v>1449.93647701703</v>
      </c>
      <c r="F348" s="515" t="s">
        <v>2266</v>
      </c>
      <c r="G348" s="52">
        <v>887294.64940943103</v>
      </c>
      <c r="H348" s="56">
        <v>-3.0116759446695857E-2</v>
      </c>
      <c r="I348" s="224">
        <v>3138.7464661980698</v>
      </c>
    </row>
    <row r="349" spans="1:9" x14ac:dyDescent="0.25">
      <c r="A349" s="515">
        <v>78501</v>
      </c>
      <c r="B349" s="515" t="s">
        <v>550</v>
      </c>
      <c r="C349" s="52">
        <v>176007.29669893</v>
      </c>
      <c r="D349" s="56">
        <v>0.18069568620323423</v>
      </c>
      <c r="E349" s="224">
        <v>1115.86666666666</v>
      </c>
      <c r="F349" s="515" t="s">
        <v>2267</v>
      </c>
      <c r="G349" s="52">
        <v>254144.751443257</v>
      </c>
      <c r="H349" s="56">
        <v>0.18905916341093421</v>
      </c>
      <c r="I349" s="224">
        <v>2034.29341491841</v>
      </c>
    </row>
    <row r="350" spans="1:9" x14ac:dyDescent="0.25">
      <c r="A350" s="515">
        <v>75098</v>
      </c>
      <c r="B350" s="515" t="s">
        <v>458</v>
      </c>
      <c r="C350" s="52">
        <v>417221.66068133898</v>
      </c>
      <c r="D350" s="56">
        <v>6.824098735448432E-2</v>
      </c>
      <c r="E350" s="224">
        <v>1852.0700187969901</v>
      </c>
      <c r="F350" s="515" t="s">
        <v>2268</v>
      </c>
      <c r="G350" s="52">
        <v>442744.77297291701</v>
      </c>
      <c r="H350" s="56">
        <v>9.1406111775820271E-3</v>
      </c>
      <c r="I350" s="224">
        <v>1665.68614718614</v>
      </c>
    </row>
    <row r="351" spans="1:9" x14ac:dyDescent="0.25">
      <c r="A351" s="515">
        <v>90042</v>
      </c>
      <c r="B351" s="515" t="s">
        <v>375</v>
      </c>
      <c r="C351" s="52">
        <v>935274.93332074897</v>
      </c>
      <c r="D351" s="56">
        <v>4.8994480813305707E-2</v>
      </c>
      <c r="E351" s="224">
        <v>2526.5833333333298</v>
      </c>
      <c r="F351" s="515" t="s">
        <v>2269</v>
      </c>
      <c r="G351" s="52">
        <v>666479.81841176702</v>
      </c>
      <c r="H351" s="56">
        <v>5.4408294514236191E-2</v>
      </c>
      <c r="I351" s="224">
        <v>2326.6666666666601</v>
      </c>
    </row>
    <row r="352" spans="1:9" x14ac:dyDescent="0.25">
      <c r="A352" s="515">
        <v>92507</v>
      </c>
      <c r="B352" s="515" t="s">
        <v>599</v>
      </c>
      <c r="C352" s="52">
        <v>527364.99072460097</v>
      </c>
      <c r="D352" s="56">
        <v>6.3008120445631768E-2</v>
      </c>
      <c r="E352" s="224">
        <v>2392.5061137692701</v>
      </c>
      <c r="F352" s="515" t="s">
        <v>2270</v>
      </c>
      <c r="G352" s="52">
        <v>292445.25794569298</v>
      </c>
      <c r="H352" s="56">
        <v>8.989743689298757E-2</v>
      </c>
      <c r="I352" s="224">
        <v>1460.0025252525199</v>
      </c>
    </row>
    <row r="353" spans="1:9" x14ac:dyDescent="0.25">
      <c r="A353" s="515">
        <v>95608</v>
      </c>
      <c r="B353" s="515" t="s">
        <v>355</v>
      </c>
      <c r="C353" s="52">
        <v>522762.67239483801</v>
      </c>
      <c r="D353" s="56">
        <v>8.9284019372864159E-3</v>
      </c>
      <c r="E353" s="224">
        <v>1905.1083333333299</v>
      </c>
      <c r="F353" s="515" t="s">
        <v>2271</v>
      </c>
      <c r="G353" s="52">
        <v>512950.13796812599</v>
      </c>
      <c r="H353" s="56">
        <v>3.9507159694319262E-2</v>
      </c>
      <c r="I353" s="224">
        <v>2079.58903133903</v>
      </c>
    </row>
    <row r="354" spans="1:9" x14ac:dyDescent="0.25">
      <c r="A354" s="515">
        <v>94122</v>
      </c>
      <c r="B354" s="515" t="s">
        <v>593</v>
      </c>
      <c r="C354" s="52">
        <v>1454427.00781292</v>
      </c>
      <c r="D354" s="56">
        <v>-5.8958032719438766E-2</v>
      </c>
      <c r="E354" s="224">
        <v>3409.2999999999902</v>
      </c>
      <c r="F354" s="515" t="s">
        <v>2272</v>
      </c>
      <c r="G354" s="52">
        <v>1518721.54567862</v>
      </c>
      <c r="H354" s="56">
        <v>8.0390079982196536E-2</v>
      </c>
      <c r="I354" s="224">
        <v>3937.8387635755998</v>
      </c>
    </row>
    <row r="355" spans="1:9" x14ac:dyDescent="0.25">
      <c r="A355" s="515">
        <v>85041</v>
      </c>
      <c r="B355" s="515" t="s">
        <v>563</v>
      </c>
      <c r="C355" s="52">
        <v>356603.25871130399</v>
      </c>
      <c r="D355" s="56">
        <v>4.8501951115571172E-2</v>
      </c>
      <c r="E355" s="224">
        <v>2103.2222222222199</v>
      </c>
      <c r="F355" s="515" t="s">
        <v>2273</v>
      </c>
      <c r="G355" s="52">
        <v>423870.72680705797</v>
      </c>
      <c r="H355" s="56">
        <v>7.4679262593502507E-2</v>
      </c>
      <c r="I355" s="224">
        <v>1772.6842700258301</v>
      </c>
    </row>
    <row r="356" spans="1:9" x14ac:dyDescent="0.25">
      <c r="A356" s="515">
        <v>92627</v>
      </c>
      <c r="B356" s="515" t="s">
        <v>375</v>
      </c>
      <c r="C356" s="52">
        <v>1102844.9016702899</v>
      </c>
      <c r="D356" s="56">
        <v>3.9129988536080011E-2</v>
      </c>
      <c r="E356" s="224">
        <v>2949.1507936507901</v>
      </c>
      <c r="F356" s="515" t="s">
        <v>2274</v>
      </c>
      <c r="G356" s="52">
        <v>364612.11540698598</v>
      </c>
      <c r="H356" s="56">
        <v>0.157691918675709</v>
      </c>
      <c r="I356" s="224">
        <v>2243.4415584415501</v>
      </c>
    </row>
    <row r="357" spans="1:9" x14ac:dyDescent="0.25">
      <c r="A357" s="515">
        <v>30058</v>
      </c>
      <c r="B357" s="515" t="s">
        <v>957</v>
      </c>
      <c r="C357" s="52">
        <v>259331.36133065401</v>
      </c>
      <c r="D357" s="56">
        <v>0.15383813436340035</v>
      </c>
      <c r="E357" s="224">
        <v>1916.5972222222199</v>
      </c>
      <c r="F357" s="515" t="s">
        <v>2275</v>
      </c>
      <c r="G357" s="52">
        <v>394942.628675493</v>
      </c>
      <c r="H357" s="56">
        <v>0.18295573651498392</v>
      </c>
      <c r="I357" s="224">
        <v>2545.9190476190402</v>
      </c>
    </row>
    <row r="358" spans="1:9" x14ac:dyDescent="0.25">
      <c r="A358" s="515">
        <v>20878</v>
      </c>
      <c r="B358" s="515" t="s">
        <v>321</v>
      </c>
      <c r="C358" s="52">
        <v>637613.42208571394</v>
      </c>
      <c r="D358" s="56">
        <v>2.1793627690023517E-2</v>
      </c>
      <c r="E358" s="224">
        <v>2224.0714795008898</v>
      </c>
      <c r="F358" s="515" t="s">
        <v>2276</v>
      </c>
      <c r="G358" s="52">
        <v>426231.13386976201</v>
      </c>
      <c r="H358" s="56">
        <v>3.8435057053480666E-2</v>
      </c>
      <c r="I358" s="224">
        <v>1797.26782051282</v>
      </c>
    </row>
    <row r="359" spans="1:9" x14ac:dyDescent="0.25">
      <c r="A359" s="515">
        <v>93906</v>
      </c>
      <c r="B359" s="515" t="s">
        <v>443</v>
      </c>
      <c r="C359" s="52">
        <v>618108.63472113397</v>
      </c>
      <c r="D359" s="56">
        <v>1.9716602809118838E-2</v>
      </c>
      <c r="E359" s="224">
        <v>2075.3367003366998</v>
      </c>
      <c r="F359" s="515" t="s">
        <v>2277</v>
      </c>
      <c r="G359" s="52">
        <v>787595.13704365701</v>
      </c>
      <c r="H359" s="56">
        <v>5.2462216736815802E-2</v>
      </c>
      <c r="I359" s="224">
        <v>2846.5733082706702</v>
      </c>
    </row>
    <row r="360" spans="1:9" x14ac:dyDescent="0.25">
      <c r="A360" s="515">
        <v>78251</v>
      </c>
      <c r="B360" s="515" t="s">
        <v>717</v>
      </c>
      <c r="C360" s="52">
        <v>273527.24455415201</v>
      </c>
      <c r="D360" s="56">
        <v>8.4562656765193533E-2</v>
      </c>
      <c r="E360" s="224">
        <v>1281.5374323420299</v>
      </c>
      <c r="F360" s="515" t="s">
        <v>2278</v>
      </c>
      <c r="G360" s="52">
        <v>300654.23939374799</v>
      </c>
      <c r="H360" s="56">
        <v>8.6664822848896053E-2</v>
      </c>
      <c r="I360" s="224">
        <v>1983.2522824397799</v>
      </c>
    </row>
    <row r="361" spans="1:9" x14ac:dyDescent="0.25">
      <c r="A361" s="515">
        <v>60402</v>
      </c>
      <c r="B361" s="515" t="s">
        <v>394</v>
      </c>
      <c r="C361" s="52">
        <v>258994.08540928201</v>
      </c>
      <c r="D361" s="56">
        <v>2.660302499047432E-2</v>
      </c>
      <c r="E361" s="224">
        <v>1256.48809523809</v>
      </c>
      <c r="F361" s="515" t="s">
        <v>2279</v>
      </c>
      <c r="G361" s="52">
        <v>510968.21258825902</v>
      </c>
      <c r="H361" s="56">
        <v>1.534257102181315E-2</v>
      </c>
      <c r="I361" s="224">
        <v>1834.4107142857099</v>
      </c>
    </row>
    <row r="362" spans="1:9" x14ac:dyDescent="0.25">
      <c r="A362" s="515">
        <v>40475</v>
      </c>
      <c r="B362" s="515" t="s">
        <v>1129</v>
      </c>
      <c r="C362" s="52">
        <v>242086.71553811501</v>
      </c>
      <c r="D362" s="56">
        <v>9.2206536882195114E-2</v>
      </c>
      <c r="E362" s="224">
        <v>1069.0873015873001</v>
      </c>
      <c r="F362" s="515" t="s">
        <v>1345</v>
      </c>
      <c r="G362" s="52">
        <v>302281.97936927999</v>
      </c>
      <c r="H362" s="56">
        <v>0.1110455826179122</v>
      </c>
      <c r="I362" s="224">
        <v>1874.0388007054601</v>
      </c>
    </row>
    <row r="363" spans="1:9" x14ac:dyDescent="0.25">
      <c r="A363" s="515">
        <v>90001</v>
      </c>
      <c r="B363" s="515" t="s">
        <v>375</v>
      </c>
      <c r="C363" s="52">
        <v>540996.46373895498</v>
      </c>
      <c r="D363" s="56">
        <v>7.5523173388101203E-2</v>
      </c>
      <c r="E363" s="224" t="s">
        <v>2</v>
      </c>
      <c r="F363" s="515" t="s">
        <v>1326</v>
      </c>
      <c r="G363" s="52">
        <v>362321.12033229897</v>
      </c>
      <c r="H363" s="56">
        <v>8.4666682949620944E-2</v>
      </c>
      <c r="I363" s="224">
        <v>1718.4722222222199</v>
      </c>
    </row>
    <row r="364" spans="1:9" x14ac:dyDescent="0.25">
      <c r="A364" s="515">
        <v>43130</v>
      </c>
      <c r="B364" s="515" t="s">
        <v>345</v>
      </c>
      <c r="C364" s="52">
        <v>219332.69218796599</v>
      </c>
      <c r="D364" s="56">
        <v>0.12326890632813617</v>
      </c>
      <c r="E364" s="224">
        <v>1245.8333333333301</v>
      </c>
      <c r="F364" s="515" t="s">
        <v>2280</v>
      </c>
      <c r="G364" s="52">
        <v>765409.02457760402</v>
      </c>
      <c r="H364" s="56">
        <v>3.5471225239555093E-2</v>
      </c>
      <c r="I364" s="224">
        <v>2139.3535353535299</v>
      </c>
    </row>
    <row r="365" spans="1:9" x14ac:dyDescent="0.25">
      <c r="A365" s="515">
        <v>87120</v>
      </c>
      <c r="B365" s="515" t="s">
        <v>406</v>
      </c>
      <c r="C365" s="52">
        <v>311040.08407236199</v>
      </c>
      <c r="D365" s="56">
        <v>7.1555626209983555E-2</v>
      </c>
      <c r="E365" s="224">
        <v>1553.9313131313099</v>
      </c>
      <c r="F365" s="515" t="s">
        <v>668</v>
      </c>
      <c r="G365" s="52">
        <v>428401.26564124599</v>
      </c>
      <c r="H365" s="56">
        <v>0.11429757024929017</v>
      </c>
      <c r="I365" s="224">
        <v>1811.11481481481</v>
      </c>
    </row>
    <row r="366" spans="1:9" x14ac:dyDescent="0.25">
      <c r="A366" s="515">
        <v>10701</v>
      </c>
      <c r="B366" s="515" t="s">
        <v>324</v>
      </c>
      <c r="C366" s="52">
        <v>546829.38403031603</v>
      </c>
      <c r="D366" s="56">
        <v>-1.1983813426817596E-3</v>
      </c>
      <c r="E366" s="224">
        <v>2308.98596491228</v>
      </c>
      <c r="F366" s="515" t="s">
        <v>2281</v>
      </c>
      <c r="G366" s="52">
        <v>275062.65090874297</v>
      </c>
      <c r="H366" s="56">
        <v>0.13586450174090414</v>
      </c>
      <c r="I366" s="224">
        <v>1557.4660628019301</v>
      </c>
    </row>
    <row r="367" spans="1:9" x14ac:dyDescent="0.25">
      <c r="A367" s="515">
        <v>19134</v>
      </c>
      <c r="B367" s="515" t="s">
        <v>294</v>
      </c>
      <c r="C367" s="52">
        <v>103836.533631196</v>
      </c>
      <c r="D367" s="56">
        <v>5.7716985621344967E-2</v>
      </c>
      <c r="E367" s="224">
        <v>1233.94047619047</v>
      </c>
      <c r="F367" s="515" t="s">
        <v>2282</v>
      </c>
      <c r="G367" s="52">
        <v>802976.54673712305</v>
      </c>
      <c r="H367" s="56">
        <v>0.10683083628831337</v>
      </c>
      <c r="I367" s="224">
        <v>1940.5619511672701</v>
      </c>
    </row>
    <row r="368" spans="1:9" x14ac:dyDescent="0.25">
      <c r="A368" s="515">
        <v>92392</v>
      </c>
      <c r="B368" s="515" t="s">
        <v>599</v>
      </c>
      <c r="C368" s="52">
        <v>413803.83357845398</v>
      </c>
      <c r="D368" s="56">
        <v>3.5438208480895322E-2</v>
      </c>
      <c r="E368" s="224">
        <v>2230.3238095238098</v>
      </c>
      <c r="F368" s="515" t="s">
        <v>2283</v>
      </c>
      <c r="G368" s="52">
        <v>397390.66061456001</v>
      </c>
      <c r="H368" s="56">
        <v>6.4399038316255458E-2</v>
      </c>
      <c r="I368" s="224">
        <v>1915.1555555555501</v>
      </c>
    </row>
    <row r="369" spans="1:9" x14ac:dyDescent="0.25">
      <c r="A369" s="515">
        <v>38401</v>
      </c>
      <c r="B369" s="515" t="s">
        <v>684</v>
      </c>
      <c r="C369" s="52">
        <v>337699.654957972</v>
      </c>
      <c r="D369" s="56">
        <v>7.9063456257336712E-2</v>
      </c>
      <c r="E369" s="224">
        <v>1515.5873015873001</v>
      </c>
      <c r="F369" s="515" t="s">
        <v>2284</v>
      </c>
      <c r="G369" s="52">
        <v>1287929.3851563099</v>
      </c>
      <c r="H369" s="56">
        <v>8.4943671591813291E-2</v>
      </c>
      <c r="I369" s="224">
        <v>3394.6470588235202</v>
      </c>
    </row>
    <row r="370" spans="1:9" x14ac:dyDescent="0.25">
      <c r="A370" s="515">
        <v>11717</v>
      </c>
      <c r="B370" s="515" t="s">
        <v>324</v>
      </c>
      <c r="C370" s="52">
        <v>474327.10452008998</v>
      </c>
      <c r="D370" s="56">
        <v>4.0435543755390296E-2</v>
      </c>
      <c r="E370" s="224" t="s">
        <v>2</v>
      </c>
      <c r="F370" s="515" t="s">
        <v>2285</v>
      </c>
      <c r="G370" s="52">
        <v>624861.92691856995</v>
      </c>
      <c r="H370" s="56">
        <v>2.9524804743860614E-2</v>
      </c>
      <c r="I370" s="224">
        <v>2109.65716374269</v>
      </c>
    </row>
    <row r="371" spans="1:9" x14ac:dyDescent="0.25">
      <c r="A371" s="515">
        <v>76137</v>
      </c>
      <c r="B371" s="515" t="s">
        <v>458</v>
      </c>
      <c r="C371" s="52">
        <v>325447.02014564298</v>
      </c>
      <c r="D371" s="56">
        <v>6.1420363864928745E-2</v>
      </c>
      <c r="E371" s="224">
        <v>1918.05972222222</v>
      </c>
      <c r="F371" s="515" t="s">
        <v>2286</v>
      </c>
      <c r="G371" s="52">
        <v>503827.74549579999</v>
      </c>
      <c r="H371" s="56">
        <v>-3.7196532405585389E-2</v>
      </c>
      <c r="I371" s="224">
        <v>2041.66905901116</v>
      </c>
    </row>
    <row r="372" spans="1:9" x14ac:dyDescent="0.25">
      <c r="A372" s="515">
        <v>48180</v>
      </c>
      <c r="B372" s="515" t="s">
        <v>685</v>
      </c>
      <c r="C372" s="52">
        <v>151610.87337784399</v>
      </c>
      <c r="D372" s="56">
        <v>5.6987095477241768E-2</v>
      </c>
      <c r="E372" s="224">
        <v>1300.4166666666599</v>
      </c>
      <c r="F372" s="515" t="s">
        <v>514</v>
      </c>
      <c r="G372" s="52">
        <v>369259.89870316401</v>
      </c>
      <c r="H372" s="56">
        <v>2.1269562373144934E-2</v>
      </c>
      <c r="I372" s="224">
        <v>1445.05555555555</v>
      </c>
    </row>
    <row r="373" spans="1:9" x14ac:dyDescent="0.25">
      <c r="A373" s="515">
        <v>90731</v>
      </c>
      <c r="B373" s="515" t="s">
        <v>375</v>
      </c>
      <c r="C373" s="52">
        <v>778139.53982517996</v>
      </c>
      <c r="D373" s="56">
        <v>2.4598238660547386E-2</v>
      </c>
      <c r="E373" s="224">
        <v>2519.2188180827802</v>
      </c>
      <c r="F373" s="515" t="s">
        <v>1101</v>
      </c>
      <c r="G373" s="52">
        <v>214528.19388255701</v>
      </c>
      <c r="H373" s="56">
        <v>0.12994788557168727</v>
      </c>
      <c r="I373" s="224">
        <v>1450.02108262108</v>
      </c>
    </row>
    <row r="374" spans="1:9" x14ac:dyDescent="0.25">
      <c r="A374" s="515">
        <v>60638</v>
      </c>
      <c r="B374" s="515" t="s">
        <v>394</v>
      </c>
      <c r="C374" s="52">
        <v>275250.313170682</v>
      </c>
      <c r="D374" s="56">
        <v>1.2121856507852755E-2</v>
      </c>
      <c r="E374" s="224">
        <v>1340</v>
      </c>
      <c r="F374" s="515" t="s">
        <v>2287</v>
      </c>
      <c r="G374" s="52">
        <v>209068.79311535199</v>
      </c>
      <c r="H374" s="56">
        <v>0.14188593445704831</v>
      </c>
      <c r="I374" s="224">
        <v>1458.31111111111</v>
      </c>
    </row>
    <row r="375" spans="1:9" x14ac:dyDescent="0.25">
      <c r="A375" s="515">
        <v>95111</v>
      </c>
      <c r="B375" s="515" t="s">
        <v>850</v>
      </c>
      <c r="C375" s="52">
        <v>950505.94456336601</v>
      </c>
      <c r="D375" s="56">
        <v>4.1501301624655172E-2</v>
      </c>
      <c r="E375" s="224">
        <v>3078.75</v>
      </c>
      <c r="F375" s="515" t="s">
        <v>2288</v>
      </c>
      <c r="G375" s="52">
        <v>377880.23262147798</v>
      </c>
      <c r="H375" s="56">
        <v>5.7859773302454079E-2</v>
      </c>
      <c r="I375" s="224">
        <v>1651.49737373737</v>
      </c>
    </row>
    <row r="376" spans="1:9" x14ac:dyDescent="0.25">
      <c r="A376" s="515">
        <v>75043</v>
      </c>
      <c r="B376" s="515" t="s">
        <v>458</v>
      </c>
      <c r="C376" s="52">
        <v>289423.99195694301</v>
      </c>
      <c r="D376" s="56">
        <v>7.2736070696860985E-2</v>
      </c>
      <c r="E376" s="224">
        <v>1437.7946428571399</v>
      </c>
      <c r="F376" s="515" t="s">
        <v>2289</v>
      </c>
      <c r="G376" s="52">
        <v>486668.82345225097</v>
      </c>
      <c r="H376" s="56">
        <v>6.384610596661873E-2</v>
      </c>
      <c r="I376" s="224">
        <v>2679.8055555555502</v>
      </c>
    </row>
    <row r="377" spans="1:9" x14ac:dyDescent="0.25">
      <c r="A377" s="515">
        <v>95206</v>
      </c>
      <c r="B377" s="515" t="s">
        <v>852</v>
      </c>
      <c r="C377" s="52">
        <v>405740.86950432899</v>
      </c>
      <c r="D377" s="56">
        <v>4.6271971707236709E-2</v>
      </c>
      <c r="E377" s="224">
        <v>2315.2777777777701</v>
      </c>
      <c r="F377" s="515" t="s">
        <v>2290</v>
      </c>
      <c r="G377" s="52">
        <v>587937.85987943795</v>
      </c>
      <c r="H377" s="56">
        <v>5.1329086654405493E-3</v>
      </c>
      <c r="I377" s="224">
        <v>2388.2470669427098</v>
      </c>
    </row>
    <row r="378" spans="1:9" x14ac:dyDescent="0.25">
      <c r="A378" s="515">
        <v>78250</v>
      </c>
      <c r="B378" s="515" t="s">
        <v>717</v>
      </c>
      <c r="C378" s="52">
        <v>252309.44936783501</v>
      </c>
      <c r="D378" s="56">
        <v>0.10047062541054112</v>
      </c>
      <c r="E378" s="224">
        <v>1510.63492063492</v>
      </c>
      <c r="F378" s="515" t="s">
        <v>2291</v>
      </c>
      <c r="G378" s="52">
        <v>807663.64847093006</v>
      </c>
      <c r="H378" s="56">
        <v>-1.2233938117027797E-2</v>
      </c>
      <c r="I378" s="224">
        <v>2540.65081585081</v>
      </c>
    </row>
    <row r="379" spans="1:9" x14ac:dyDescent="0.25">
      <c r="A379" s="515">
        <v>77373</v>
      </c>
      <c r="B379" s="515" t="s">
        <v>314</v>
      </c>
      <c r="C379" s="52">
        <v>243528.719267707</v>
      </c>
      <c r="D379" s="56">
        <v>9.6043617429038178E-2</v>
      </c>
      <c r="E379" s="224">
        <v>1617.92207376786</v>
      </c>
      <c r="F379" s="515" t="s">
        <v>2292</v>
      </c>
      <c r="G379" s="52">
        <v>742593.69663933106</v>
      </c>
      <c r="H379" s="56">
        <v>4.8837058166653749E-2</v>
      </c>
      <c r="I379" s="224">
        <v>2645.60968660968</v>
      </c>
    </row>
    <row r="380" spans="1:9" x14ac:dyDescent="0.25">
      <c r="A380" s="515">
        <v>92707</v>
      </c>
      <c r="B380" s="515" t="s">
        <v>375</v>
      </c>
      <c r="C380" s="52">
        <v>681155.05478064204</v>
      </c>
      <c r="D380" s="56">
        <v>6.5647780204112507E-2</v>
      </c>
      <c r="E380" s="224">
        <v>3063.43232323232</v>
      </c>
      <c r="F380" s="515" t="s">
        <v>2293</v>
      </c>
      <c r="G380" s="52">
        <v>343100.631286641</v>
      </c>
      <c r="H380" s="56">
        <v>0.16118857361118885</v>
      </c>
      <c r="I380" s="224">
        <v>2393.2577519379802</v>
      </c>
    </row>
    <row r="381" spans="1:9" x14ac:dyDescent="0.25">
      <c r="A381" s="515">
        <v>30188</v>
      </c>
      <c r="B381" s="515" t="s">
        <v>957</v>
      </c>
      <c r="C381" s="52">
        <v>412831.25808178203</v>
      </c>
      <c r="D381" s="56">
        <v>0.10296930319702803</v>
      </c>
      <c r="E381" s="224">
        <v>2028.7059829059799</v>
      </c>
      <c r="F381" s="515" t="s">
        <v>2294</v>
      </c>
      <c r="G381" s="52">
        <v>598596.18883608805</v>
      </c>
      <c r="H381" s="56">
        <v>-2.1812880538982688E-2</v>
      </c>
      <c r="I381" s="224">
        <v>2902.07043650793</v>
      </c>
    </row>
    <row r="382" spans="1:9" x14ac:dyDescent="0.25">
      <c r="A382" s="515">
        <v>32210</v>
      </c>
      <c r="B382" s="515" t="s">
        <v>1158</v>
      </c>
      <c r="C382" s="52">
        <v>230630.532351581</v>
      </c>
      <c r="D382" s="56">
        <v>0.14623249868531926</v>
      </c>
      <c r="E382" s="224">
        <v>1536.92808302808</v>
      </c>
      <c r="F382" s="515" t="s">
        <v>2295</v>
      </c>
      <c r="G382" s="52">
        <v>619333.752379518</v>
      </c>
      <c r="H382" s="56">
        <v>4.1952060012568369E-2</v>
      </c>
      <c r="I382" s="224">
        <v>2479.3365384615299</v>
      </c>
    </row>
    <row r="383" spans="1:9" x14ac:dyDescent="0.25">
      <c r="A383" s="515">
        <v>2148</v>
      </c>
      <c r="B383" s="515" t="s">
        <v>534</v>
      </c>
      <c r="C383" s="52">
        <v>565011.920028953</v>
      </c>
      <c r="D383" s="56">
        <v>4.6823382584899764E-2</v>
      </c>
      <c r="E383" s="224">
        <v>2461.4555555555498</v>
      </c>
      <c r="F383" s="515" t="s">
        <v>2296</v>
      </c>
      <c r="G383" s="52">
        <v>584990.37317673303</v>
      </c>
      <c r="H383" s="56">
        <v>7.0418343700238029E-2</v>
      </c>
      <c r="I383" s="224">
        <v>2638.5833333333298</v>
      </c>
    </row>
    <row r="384" spans="1:9" x14ac:dyDescent="0.25">
      <c r="A384" s="515">
        <v>20874</v>
      </c>
      <c r="B384" s="515" t="s">
        <v>321</v>
      </c>
      <c r="C384" s="52">
        <v>381600.772064074</v>
      </c>
      <c r="D384" s="56">
        <v>2.5282371689908698E-2</v>
      </c>
      <c r="E384" s="224">
        <v>1949.0849673202599</v>
      </c>
      <c r="F384" s="515" t="s">
        <v>2297</v>
      </c>
      <c r="G384" s="52">
        <v>212407.241545503</v>
      </c>
      <c r="H384" s="56">
        <v>0.14403518754316796</v>
      </c>
      <c r="I384" s="224">
        <v>1315.74074074074</v>
      </c>
    </row>
    <row r="385" spans="1:9" x14ac:dyDescent="0.25">
      <c r="A385" s="515">
        <v>92020</v>
      </c>
      <c r="B385" s="515" t="s">
        <v>396</v>
      </c>
      <c r="C385" s="52">
        <v>717533.408475801</v>
      </c>
      <c r="D385" s="56">
        <v>2.765558540125785E-2</v>
      </c>
      <c r="E385" s="224">
        <v>2367.7797619047601</v>
      </c>
      <c r="F385" s="515" t="s">
        <v>2298</v>
      </c>
      <c r="G385" s="52">
        <v>277064.116482271</v>
      </c>
      <c r="H385" s="56">
        <v>0.12590634457744462</v>
      </c>
      <c r="I385" s="224">
        <v>1631.60897435897</v>
      </c>
    </row>
    <row r="386" spans="1:9" x14ac:dyDescent="0.25">
      <c r="A386" s="515">
        <v>33027</v>
      </c>
      <c r="B386" s="515" t="s">
        <v>831</v>
      </c>
      <c r="C386" s="52">
        <v>452000.65632717102</v>
      </c>
      <c r="D386" s="56">
        <v>0.11128984832170825</v>
      </c>
      <c r="E386" s="224">
        <v>2756.5847953216298</v>
      </c>
      <c r="F386" s="515" t="s">
        <v>2299</v>
      </c>
      <c r="G386" s="52">
        <v>502769.45956212899</v>
      </c>
      <c r="H386" s="56">
        <v>8.8576335236629028E-2</v>
      </c>
      <c r="I386" s="224">
        <v>1928.52361678291</v>
      </c>
    </row>
    <row r="387" spans="1:9" x14ac:dyDescent="0.25">
      <c r="A387" s="515">
        <v>28215</v>
      </c>
      <c r="B387" s="515" t="s">
        <v>360</v>
      </c>
      <c r="C387" s="52">
        <v>321045.884663262</v>
      </c>
      <c r="D387" s="56">
        <v>8.2944886483678315E-2</v>
      </c>
      <c r="E387" s="224">
        <v>1893.84705882352</v>
      </c>
      <c r="F387" s="515" t="s">
        <v>2300</v>
      </c>
      <c r="G387" s="52">
        <v>1102848.9840796499</v>
      </c>
      <c r="H387" s="56">
        <v>-2.0314081863001556E-3</v>
      </c>
      <c r="I387" s="224">
        <v>3047.36904761904</v>
      </c>
    </row>
    <row r="388" spans="1:9" x14ac:dyDescent="0.25">
      <c r="A388" s="515">
        <v>92647</v>
      </c>
      <c r="B388" s="515" t="s">
        <v>375</v>
      </c>
      <c r="C388" s="52">
        <v>1009568.0206391</v>
      </c>
      <c r="D388" s="56">
        <v>4.8832284666234106E-2</v>
      </c>
      <c r="E388" s="224">
        <v>2848.4612654320899</v>
      </c>
      <c r="F388" s="515" t="s">
        <v>1297</v>
      </c>
      <c r="G388" s="52">
        <v>274492.84148652799</v>
      </c>
      <c r="H388" s="56">
        <v>5.4008461317385549E-2</v>
      </c>
      <c r="I388" s="224">
        <v>1209.05555555555</v>
      </c>
    </row>
    <row r="389" spans="1:9" x14ac:dyDescent="0.25">
      <c r="A389" s="515">
        <v>33414</v>
      </c>
      <c r="B389" s="515" t="s">
        <v>831</v>
      </c>
      <c r="C389" s="52">
        <v>596116.406043711</v>
      </c>
      <c r="D389" s="56">
        <v>0.12297109976821202</v>
      </c>
      <c r="E389" s="224">
        <v>3680.6557116773802</v>
      </c>
      <c r="F389" s="515" t="s">
        <v>2301</v>
      </c>
      <c r="G389" s="52">
        <v>582213.53387590998</v>
      </c>
      <c r="H389" s="56">
        <v>4.4450766801722216E-3</v>
      </c>
      <c r="I389" s="224">
        <v>2451.5995872033</v>
      </c>
    </row>
    <row r="390" spans="1:9" x14ac:dyDescent="0.25">
      <c r="A390" s="515">
        <v>95014</v>
      </c>
      <c r="B390" s="515" t="s">
        <v>850</v>
      </c>
      <c r="C390" s="52">
        <v>2492337.26855626</v>
      </c>
      <c r="D390" s="56">
        <v>3.3122012671162944E-2</v>
      </c>
      <c r="E390" s="224">
        <v>3675.3221887045402</v>
      </c>
      <c r="F390" s="515" t="s">
        <v>303</v>
      </c>
      <c r="G390" s="52">
        <v>108865.003336871</v>
      </c>
      <c r="H390" s="56">
        <v>9.0689927640138598E-2</v>
      </c>
      <c r="I390" s="224">
        <v>1107.38888888888</v>
      </c>
    </row>
    <row r="391" spans="1:9" x14ac:dyDescent="0.25">
      <c r="A391" s="515">
        <v>90066</v>
      </c>
      <c r="B391" s="515" t="s">
        <v>375</v>
      </c>
      <c r="C391" s="52">
        <v>1571415.5302931899</v>
      </c>
      <c r="D391" s="56">
        <v>1.9523458632552736E-2</v>
      </c>
      <c r="E391" s="224">
        <v>2780.1991848307598</v>
      </c>
      <c r="F391" s="515" t="s">
        <v>2302</v>
      </c>
      <c r="G391" s="52">
        <v>601849.55167632503</v>
      </c>
      <c r="H391" s="56">
        <v>8.4649155070686752E-2</v>
      </c>
      <c r="I391" s="224">
        <v>1878.74549019607</v>
      </c>
    </row>
    <row r="392" spans="1:9" x14ac:dyDescent="0.25">
      <c r="A392" s="515">
        <v>22192</v>
      </c>
      <c r="B392" s="515" t="s">
        <v>321</v>
      </c>
      <c r="C392" s="52">
        <v>458316.216257589</v>
      </c>
      <c r="D392" s="56">
        <v>2.1905142318880036E-2</v>
      </c>
      <c r="E392" s="224">
        <v>1832.1308922558901</v>
      </c>
      <c r="F392" s="515" t="s">
        <v>897</v>
      </c>
      <c r="G392" s="52">
        <v>211679.30491568899</v>
      </c>
      <c r="H392" s="56">
        <v>8.9463276283286111E-2</v>
      </c>
      <c r="I392" s="224">
        <v>911.90833333333296</v>
      </c>
    </row>
    <row r="393" spans="1:9" x14ac:dyDescent="0.25">
      <c r="A393" s="515">
        <v>92530</v>
      </c>
      <c r="B393" s="515" t="s">
        <v>599</v>
      </c>
      <c r="C393" s="52">
        <v>515545.715895659</v>
      </c>
      <c r="D393" s="56">
        <v>4.5217987152717729E-2</v>
      </c>
      <c r="E393" s="224">
        <v>2464.5</v>
      </c>
      <c r="F393" s="515" t="s">
        <v>2303</v>
      </c>
      <c r="G393" s="52">
        <v>350722.13712739001</v>
      </c>
      <c r="H393" s="56">
        <v>5.7247386449968268E-2</v>
      </c>
      <c r="I393" s="224">
        <v>1777.9247058823501</v>
      </c>
    </row>
    <row r="394" spans="1:9" x14ac:dyDescent="0.25">
      <c r="A394" s="515">
        <v>79924</v>
      </c>
      <c r="B394" s="515" t="s">
        <v>1119</v>
      </c>
      <c r="C394" s="52">
        <v>159466.489877121</v>
      </c>
      <c r="D394" s="56">
        <v>0.13005650585692868</v>
      </c>
      <c r="E394" s="224">
        <v>1289.80555555555</v>
      </c>
      <c r="F394" s="515" t="s">
        <v>619</v>
      </c>
      <c r="G394" s="52">
        <v>364222.92640548199</v>
      </c>
      <c r="H394" s="56">
        <v>4.1830086572124205E-2</v>
      </c>
      <c r="I394" s="224">
        <v>1506.5025252525199</v>
      </c>
    </row>
    <row r="395" spans="1:9" x14ac:dyDescent="0.25">
      <c r="A395" s="515">
        <v>33033</v>
      </c>
      <c r="B395" s="515" t="s">
        <v>831</v>
      </c>
      <c r="C395" s="52">
        <v>395875.77449031099</v>
      </c>
      <c r="D395" s="56">
        <v>0.17050318818301621</v>
      </c>
      <c r="E395" s="224">
        <v>2378.17803030303</v>
      </c>
      <c r="F395" s="515" t="s">
        <v>681</v>
      </c>
      <c r="G395" s="52">
        <v>365205.06011485698</v>
      </c>
      <c r="H395" s="56">
        <v>5.1848371806321868E-2</v>
      </c>
      <c r="I395" s="224">
        <v>1717.5</v>
      </c>
    </row>
    <row r="396" spans="1:9" x14ac:dyDescent="0.25">
      <c r="A396" s="515">
        <v>89123</v>
      </c>
      <c r="B396" s="515" t="s">
        <v>323</v>
      </c>
      <c r="C396" s="52">
        <v>406258.60422673798</v>
      </c>
      <c r="D396" s="56">
        <v>4.4704599264961425E-2</v>
      </c>
      <c r="E396" s="224">
        <v>1832.4331937734801</v>
      </c>
      <c r="F396" s="515" t="s">
        <v>2304</v>
      </c>
      <c r="G396" s="52">
        <v>539678.47096780001</v>
      </c>
      <c r="H396" s="56">
        <v>9.2044596369922904E-2</v>
      </c>
      <c r="I396" s="224">
        <v>1935.0486111111099</v>
      </c>
    </row>
    <row r="397" spans="1:9" x14ac:dyDescent="0.25">
      <c r="A397" s="515">
        <v>92570</v>
      </c>
      <c r="B397" s="515" t="s">
        <v>599</v>
      </c>
      <c r="C397" s="52">
        <v>503743.82367208001</v>
      </c>
      <c r="D397" s="56">
        <v>7.1787726607161165E-2</v>
      </c>
      <c r="E397" s="224">
        <v>2361.25</v>
      </c>
      <c r="F397" s="515" t="s">
        <v>2305</v>
      </c>
      <c r="G397" s="52">
        <v>653698.21404936397</v>
      </c>
      <c r="H397" s="56">
        <v>4.1184283528113201E-2</v>
      </c>
      <c r="I397" s="224">
        <v>2652.25</v>
      </c>
    </row>
    <row r="398" spans="1:9" x14ac:dyDescent="0.25">
      <c r="A398" s="515">
        <v>29072</v>
      </c>
      <c r="B398" s="515" t="s">
        <v>762</v>
      </c>
      <c r="C398" s="52">
        <v>327982.14018772298</v>
      </c>
      <c r="D398" s="56">
        <v>0.10705252779089536</v>
      </c>
      <c r="E398" s="224">
        <v>1593.89177489177</v>
      </c>
      <c r="F398" s="515" t="s">
        <v>2306</v>
      </c>
      <c r="G398" s="52">
        <v>478154.77204060601</v>
      </c>
      <c r="H398" s="56">
        <v>0.11221840608608605</v>
      </c>
      <c r="I398" s="224">
        <v>2487.7627401837899</v>
      </c>
    </row>
    <row r="399" spans="1:9" x14ac:dyDescent="0.25">
      <c r="A399" s="515">
        <v>91732</v>
      </c>
      <c r="B399" s="515" t="s">
        <v>375</v>
      </c>
      <c r="C399" s="52">
        <v>661961.322709259</v>
      </c>
      <c r="D399" s="56">
        <v>5.122714727762491E-2</v>
      </c>
      <c r="E399" s="224">
        <v>2382.5</v>
      </c>
      <c r="F399" s="515" t="s">
        <v>2307</v>
      </c>
      <c r="G399" s="52">
        <v>473812.16713413497</v>
      </c>
      <c r="H399" s="56">
        <v>3.2893180291330301E-2</v>
      </c>
      <c r="I399" s="224">
        <v>2023.91713286713</v>
      </c>
    </row>
    <row r="400" spans="1:9" x14ac:dyDescent="0.25">
      <c r="A400" s="515">
        <v>21122</v>
      </c>
      <c r="B400" s="515" t="s">
        <v>582</v>
      </c>
      <c r="C400" s="52">
        <v>400203.72757447202</v>
      </c>
      <c r="D400" s="56">
        <v>3.7586542569894181E-2</v>
      </c>
      <c r="E400" s="224">
        <v>2047.87037037037</v>
      </c>
      <c r="F400" s="515" t="s">
        <v>2308</v>
      </c>
      <c r="G400" s="52">
        <v>415142.95289696602</v>
      </c>
      <c r="H400" s="56">
        <v>4.166371105530222E-2</v>
      </c>
      <c r="I400" s="224">
        <v>2085.2777777777701</v>
      </c>
    </row>
    <row r="401" spans="1:9" x14ac:dyDescent="0.25">
      <c r="A401" s="515">
        <v>78664</v>
      </c>
      <c r="B401" s="515" t="s">
        <v>380</v>
      </c>
      <c r="C401" s="52">
        <v>376253.57623067999</v>
      </c>
      <c r="D401" s="56">
        <v>1.1909373915063559E-2</v>
      </c>
      <c r="E401" s="224">
        <v>1865.2685185185101</v>
      </c>
      <c r="F401" s="515" t="s">
        <v>2309</v>
      </c>
      <c r="G401" s="52">
        <v>917534.07070583198</v>
      </c>
      <c r="H401" s="56">
        <v>6.184471805200361E-2</v>
      </c>
      <c r="I401" s="224">
        <v>2360.3634408602102</v>
      </c>
    </row>
    <row r="402" spans="1:9" x14ac:dyDescent="0.25">
      <c r="A402" s="515">
        <v>85008</v>
      </c>
      <c r="B402" s="515" t="s">
        <v>563</v>
      </c>
      <c r="C402" s="52">
        <v>348934.219145938</v>
      </c>
      <c r="D402" s="56">
        <v>4.1589829181980197E-2</v>
      </c>
      <c r="E402" s="224">
        <v>1603.4074074073999</v>
      </c>
      <c r="F402" s="515" t="s">
        <v>1320</v>
      </c>
      <c r="G402" s="52">
        <v>160641.60661098699</v>
      </c>
      <c r="H402" s="56">
        <v>3.9257111785089109E-2</v>
      </c>
      <c r="I402" s="224">
        <v>882.659932659932</v>
      </c>
    </row>
    <row r="403" spans="1:9" x14ac:dyDescent="0.25">
      <c r="A403" s="515">
        <v>84015</v>
      </c>
      <c r="B403" s="515" t="s">
        <v>628</v>
      </c>
      <c r="C403" s="52">
        <v>416529.731209544</v>
      </c>
      <c r="D403" s="56">
        <v>1.7421814576863075E-2</v>
      </c>
      <c r="E403" s="224">
        <v>2121.1904761904698</v>
      </c>
      <c r="F403" s="515" t="s">
        <v>2310</v>
      </c>
      <c r="G403" s="52">
        <v>560009.52259747998</v>
      </c>
      <c r="H403" s="56">
        <v>0.10075462512396928</v>
      </c>
      <c r="I403" s="224">
        <v>1880.43333333333</v>
      </c>
    </row>
    <row r="404" spans="1:9" x14ac:dyDescent="0.25">
      <c r="A404" s="515">
        <v>92562</v>
      </c>
      <c r="B404" s="515" t="s">
        <v>599</v>
      </c>
      <c r="C404" s="52">
        <v>634242.65839727304</v>
      </c>
      <c r="D404" s="56">
        <v>4.0943339220623189E-2</v>
      </c>
      <c r="E404" s="224">
        <v>2352.12301587301</v>
      </c>
      <c r="F404" s="515" t="s">
        <v>1153</v>
      </c>
      <c r="G404" s="52">
        <v>216137.057826184</v>
      </c>
      <c r="H404" s="56">
        <v>0.14869242804930152</v>
      </c>
      <c r="I404" s="224">
        <v>1203.2787373737301</v>
      </c>
    </row>
    <row r="405" spans="1:9" x14ac:dyDescent="0.25">
      <c r="A405" s="515">
        <v>6010</v>
      </c>
      <c r="B405" s="515" t="s">
        <v>894</v>
      </c>
      <c r="C405" s="52">
        <v>259158.93732117701</v>
      </c>
      <c r="D405" s="56">
        <v>0.11183131756235713</v>
      </c>
      <c r="E405" s="224">
        <v>1262.32142857142</v>
      </c>
      <c r="F405" s="515" t="s">
        <v>2311</v>
      </c>
      <c r="G405" s="52">
        <v>1444555.5110835701</v>
      </c>
      <c r="H405" s="56">
        <v>-3.2893372830885226E-2</v>
      </c>
      <c r="I405" s="224">
        <v>3311.2332290294198</v>
      </c>
    </row>
    <row r="406" spans="1:9" x14ac:dyDescent="0.25">
      <c r="A406" s="515">
        <v>37064</v>
      </c>
      <c r="B406" s="515" t="s">
        <v>684</v>
      </c>
      <c r="C406" s="52">
        <v>791131.80298038502</v>
      </c>
      <c r="D406" s="56">
        <v>0.10893768149047753</v>
      </c>
      <c r="E406" s="224">
        <v>2208.4065656565599</v>
      </c>
      <c r="F406" s="515" t="s">
        <v>328</v>
      </c>
      <c r="G406" s="52">
        <v>150391.99335864701</v>
      </c>
      <c r="H406" s="56">
        <v>8.8599349643728689E-2</v>
      </c>
      <c r="I406" s="224">
        <v>1102.4652406417099</v>
      </c>
    </row>
    <row r="407" spans="1:9" x14ac:dyDescent="0.25">
      <c r="A407" s="515">
        <v>60619</v>
      </c>
      <c r="B407" s="515" t="s">
        <v>394</v>
      </c>
      <c r="C407" s="52">
        <v>162608.33180979101</v>
      </c>
      <c r="D407" s="56">
        <v>7.1391105925074586E-3</v>
      </c>
      <c r="E407" s="224">
        <v>1081.3533785055499</v>
      </c>
      <c r="F407" s="515" t="s">
        <v>382</v>
      </c>
      <c r="G407" s="52">
        <v>406867.31639383</v>
      </c>
      <c r="H407" s="56">
        <v>2.4346771608990195E-2</v>
      </c>
      <c r="I407" s="224">
        <v>1405.9597222222201</v>
      </c>
    </row>
    <row r="408" spans="1:9" x14ac:dyDescent="0.25">
      <c r="A408" s="515">
        <v>21117</v>
      </c>
      <c r="B408" s="515" t="s">
        <v>582</v>
      </c>
      <c r="C408" s="52">
        <v>344681.11157617997</v>
      </c>
      <c r="D408" s="56">
        <v>5.3404505539602597E-2</v>
      </c>
      <c r="E408" s="224">
        <v>1864.6794068504501</v>
      </c>
      <c r="F408" s="515" t="s">
        <v>2312</v>
      </c>
      <c r="G408" s="52">
        <v>302436.44195423898</v>
      </c>
      <c r="H408" s="56">
        <v>0.11359944728600947</v>
      </c>
      <c r="I408" s="224">
        <v>1978.16903594771</v>
      </c>
    </row>
    <row r="409" spans="1:9" x14ac:dyDescent="0.25">
      <c r="A409" s="515">
        <v>32808</v>
      </c>
      <c r="B409" s="515" t="s">
        <v>517</v>
      </c>
      <c r="C409" s="52">
        <v>244406.73379540601</v>
      </c>
      <c r="D409" s="56">
        <v>0.14274915204704294</v>
      </c>
      <c r="E409" s="224">
        <v>1797.2619047619</v>
      </c>
      <c r="F409" s="515" t="s">
        <v>2313</v>
      </c>
      <c r="G409" s="52">
        <v>462761.61871860101</v>
      </c>
      <c r="H409" s="56">
        <v>3.0795937884873729E-2</v>
      </c>
      <c r="I409" s="224">
        <v>1793.5760101010101</v>
      </c>
    </row>
    <row r="410" spans="1:9" x14ac:dyDescent="0.25">
      <c r="A410" s="515">
        <v>75056</v>
      </c>
      <c r="B410" s="515" t="s">
        <v>458</v>
      </c>
      <c r="C410" s="52">
        <v>464346.00364823098</v>
      </c>
      <c r="D410" s="56">
        <v>7.6876134473933808E-2</v>
      </c>
      <c r="E410" s="224">
        <v>1805.7974174174101</v>
      </c>
      <c r="F410" s="515" t="s">
        <v>2314</v>
      </c>
      <c r="G410" s="52">
        <v>702515.19152094005</v>
      </c>
      <c r="H410" s="56">
        <v>3.3315435129413359E-2</v>
      </c>
      <c r="I410" s="224">
        <v>1975.2046911503501</v>
      </c>
    </row>
    <row r="411" spans="1:9" x14ac:dyDescent="0.25">
      <c r="A411" s="515">
        <v>44060</v>
      </c>
      <c r="B411" s="515" t="s">
        <v>520</v>
      </c>
      <c r="C411" s="52">
        <v>229761.42903710701</v>
      </c>
      <c r="D411" s="56">
        <v>7.3539508729245945E-2</v>
      </c>
      <c r="E411" s="224" t="s">
        <v>2</v>
      </c>
      <c r="F411" s="515" t="s">
        <v>2315</v>
      </c>
      <c r="G411" s="52">
        <v>1069376.84142795</v>
      </c>
      <c r="H411" s="56">
        <v>3.6802696197222116E-2</v>
      </c>
      <c r="I411" s="224">
        <v>2854.8480618997801</v>
      </c>
    </row>
    <row r="412" spans="1:9" x14ac:dyDescent="0.25">
      <c r="A412" s="515">
        <v>92324</v>
      </c>
      <c r="B412" s="515" t="s">
        <v>599</v>
      </c>
      <c r="C412" s="52">
        <v>448311.31981758901</v>
      </c>
      <c r="D412" s="56">
        <v>8.5671539647321979E-2</v>
      </c>
      <c r="E412" s="224">
        <v>1965</v>
      </c>
      <c r="F412" s="515" t="s">
        <v>319</v>
      </c>
      <c r="G412" s="52">
        <v>206796.38551639</v>
      </c>
      <c r="H412" s="56">
        <v>9.6400621377881357E-2</v>
      </c>
      <c r="I412" s="224">
        <v>1286.49007936507</v>
      </c>
    </row>
    <row r="413" spans="1:9" x14ac:dyDescent="0.25">
      <c r="A413" s="515">
        <v>90004</v>
      </c>
      <c r="B413" s="515" t="s">
        <v>375</v>
      </c>
      <c r="C413" s="52">
        <v>1400343.8442597</v>
      </c>
      <c r="D413" s="56">
        <v>1.2201101822058745E-2</v>
      </c>
      <c r="E413" s="224">
        <v>2141.9231411862902</v>
      </c>
      <c r="F413" s="515" t="s">
        <v>1125</v>
      </c>
      <c r="G413" s="52">
        <v>160871.51171957099</v>
      </c>
      <c r="H413" s="56">
        <v>7.5170998506156883E-2</v>
      </c>
      <c r="I413" s="224">
        <v>1099.0999999999999</v>
      </c>
    </row>
    <row r="414" spans="1:9" x14ac:dyDescent="0.25">
      <c r="A414" s="515">
        <v>53215</v>
      </c>
      <c r="B414" s="515" t="s">
        <v>950</v>
      </c>
      <c r="C414" s="52">
        <v>164159.59631547</v>
      </c>
      <c r="D414" s="56">
        <v>6.60959251075037E-2</v>
      </c>
      <c r="E414" s="224">
        <v>950.83333333333303</v>
      </c>
      <c r="F414" s="515" t="s">
        <v>2316</v>
      </c>
      <c r="G414" s="52">
        <v>566763.69728468196</v>
      </c>
      <c r="H414" s="56">
        <v>0.10422154644811071</v>
      </c>
      <c r="I414" s="224">
        <v>1756.36231884057</v>
      </c>
    </row>
    <row r="415" spans="1:9" x14ac:dyDescent="0.25">
      <c r="A415" s="515">
        <v>23452</v>
      </c>
      <c r="B415" s="515" t="s">
        <v>301</v>
      </c>
      <c r="C415" s="52">
        <v>317977.96136486798</v>
      </c>
      <c r="D415" s="56">
        <v>3.6834156065725293E-2</v>
      </c>
      <c r="E415" s="224">
        <v>1764.8611111111099</v>
      </c>
      <c r="F415" s="515" t="s">
        <v>594</v>
      </c>
      <c r="G415" s="52">
        <v>365057.469724492</v>
      </c>
      <c r="H415" s="56">
        <v>2.5100305134772318E-2</v>
      </c>
      <c r="I415" s="224">
        <v>1830.3956043956</v>
      </c>
    </row>
    <row r="416" spans="1:9" x14ac:dyDescent="0.25">
      <c r="A416" s="515">
        <v>37129</v>
      </c>
      <c r="B416" s="515" t="s">
        <v>684</v>
      </c>
      <c r="C416" s="52">
        <v>402416.42796886998</v>
      </c>
      <c r="D416" s="56">
        <v>7.7765740864985722E-2</v>
      </c>
      <c r="E416" s="224">
        <v>1820.8974358974299</v>
      </c>
      <c r="F416" s="515" t="s">
        <v>2317</v>
      </c>
      <c r="G416" s="52">
        <v>518843.21523661801</v>
      </c>
      <c r="H416" s="56">
        <v>4.7512411014846621E-2</v>
      </c>
      <c r="I416" s="224">
        <v>2785.7222222222199</v>
      </c>
    </row>
    <row r="417" spans="1:9" x14ac:dyDescent="0.25">
      <c r="A417" s="515">
        <v>90006</v>
      </c>
      <c r="B417" s="515" t="s">
        <v>375</v>
      </c>
      <c r="C417" s="52">
        <v>764428.322326847</v>
      </c>
      <c r="D417" s="56">
        <v>-2.6247823993116912E-2</v>
      </c>
      <c r="E417" s="224">
        <v>2063.5277777777701</v>
      </c>
      <c r="F417" s="515" t="s">
        <v>2318</v>
      </c>
      <c r="G417" s="52">
        <v>544589.27632178098</v>
      </c>
      <c r="H417" s="56">
        <v>0.19004497934536957</v>
      </c>
      <c r="I417" s="224" t="s">
        <v>2</v>
      </c>
    </row>
    <row r="418" spans="1:9" x14ac:dyDescent="0.25">
      <c r="A418" s="515">
        <v>22003</v>
      </c>
      <c r="B418" s="515" t="s">
        <v>321</v>
      </c>
      <c r="C418" s="52">
        <v>660088.70808539004</v>
      </c>
      <c r="D418" s="56">
        <v>4.5307928419160794E-2</v>
      </c>
      <c r="E418" s="224">
        <v>2037.6402116402101</v>
      </c>
      <c r="F418" s="515" t="s">
        <v>2319</v>
      </c>
      <c r="G418" s="52">
        <v>410956.05978135602</v>
      </c>
      <c r="H418" s="56">
        <v>9.6137545280679221E-2</v>
      </c>
      <c r="I418" s="224">
        <v>1944.08561403508</v>
      </c>
    </row>
    <row r="419" spans="1:9" x14ac:dyDescent="0.25">
      <c r="A419" s="515">
        <v>75150</v>
      </c>
      <c r="B419" s="515" t="s">
        <v>458</v>
      </c>
      <c r="C419" s="52">
        <v>258898.42225340201</v>
      </c>
      <c r="D419" s="56">
        <v>0.11331355212014382</v>
      </c>
      <c r="E419" s="224">
        <v>1605.94047619047</v>
      </c>
      <c r="F419" s="515" t="s">
        <v>2320</v>
      </c>
      <c r="G419" s="52">
        <v>1033886.20147974</v>
      </c>
      <c r="H419" s="56">
        <v>-7.1191555953546539E-3</v>
      </c>
      <c r="I419" s="224">
        <v>3041.42174688057</v>
      </c>
    </row>
    <row r="420" spans="1:9" x14ac:dyDescent="0.25">
      <c r="A420" s="515">
        <v>2155</v>
      </c>
      <c r="B420" s="515" t="s">
        <v>534</v>
      </c>
      <c r="C420" s="52">
        <v>696394.90983231005</v>
      </c>
      <c r="D420" s="56">
        <v>3.3522828670104553E-2</v>
      </c>
      <c r="E420" s="224">
        <v>3030.8956486042698</v>
      </c>
      <c r="F420" s="515" t="s">
        <v>1116</v>
      </c>
      <c r="G420" s="52">
        <v>275694.24346099101</v>
      </c>
      <c r="H420" s="56">
        <v>5.3558725801502241E-2</v>
      </c>
      <c r="I420" s="224">
        <v>1454.1005291005199</v>
      </c>
    </row>
    <row r="421" spans="1:9" x14ac:dyDescent="0.25">
      <c r="A421" s="515">
        <v>75227</v>
      </c>
      <c r="B421" s="515" t="s">
        <v>458</v>
      </c>
      <c r="C421" s="52">
        <v>220913.15609015501</v>
      </c>
      <c r="D421" s="56">
        <v>0.15165528739435613</v>
      </c>
      <c r="E421" s="224">
        <v>1893.80555555555</v>
      </c>
      <c r="F421" s="515" t="s">
        <v>2321</v>
      </c>
      <c r="G421" s="52">
        <v>383553.35126598697</v>
      </c>
      <c r="H421" s="56">
        <v>8.1518851727953201E-2</v>
      </c>
      <c r="I421" s="224">
        <v>1837.4614121510599</v>
      </c>
    </row>
    <row r="422" spans="1:9" x14ac:dyDescent="0.25">
      <c r="A422" s="515">
        <v>22407</v>
      </c>
      <c r="B422" s="515" t="s">
        <v>321</v>
      </c>
      <c r="C422" s="52">
        <v>389571.38418515399</v>
      </c>
      <c r="D422" s="56">
        <v>4.3694841860733816E-2</v>
      </c>
      <c r="E422" s="224">
        <v>1740.13888888888</v>
      </c>
      <c r="F422" s="515" t="s">
        <v>2322</v>
      </c>
      <c r="G422" s="52">
        <v>341919.27015439997</v>
      </c>
      <c r="H422" s="56">
        <v>8.9497837366537686E-2</v>
      </c>
      <c r="I422" s="224">
        <v>2073.3406801926699</v>
      </c>
    </row>
    <row r="423" spans="1:9" x14ac:dyDescent="0.25">
      <c r="A423" s="515">
        <v>33142</v>
      </c>
      <c r="B423" s="515" t="s">
        <v>831</v>
      </c>
      <c r="C423" s="52">
        <v>350531.35648694501</v>
      </c>
      <c r="D423" s="56">
        <v>0.22264402378997378</v>
      </c>
      <c r="E423" s="224">
        <v>2371.88888888888</v>
      </c>
      <c r="F423" s="515" t="s">
        <v>2323</v>
      </c>
      <c r="G423" s="52">
        <v>375395.53105507302</v>
      </c>
      <c r="H423" s="56">
        <v>0.10364911874121596</v>
      </c>
      <c r="I423" s="224">
        <v>2063.15275562643</v>
      </c>
    </row>
    <row r="424" spans="1:9" x14ac:dyDescent="0.25">
      <c r="A424" s="515">
        <v>77375</v>
      </c>
      <c r="B424" s="515" t="s">
        <v>314</v>
      </c>
      <c r="C424" s="52">
        <v>332052.511897997</v>
      </c>
      <c r="D424" s="56">
        <v>8.2833347044638128E-2</v>
      </c>
      <c r="E424" s="224">
        <v>1990.4633732280699</v>
      </c>
      <c r="F424" s="515" t="s">
        <v>2324</v>
      </c>
      <c r="G424" s="52">
        <v>490429.05922042602</v>
      </c>
      <c r="H424" s="56">
        <v>6.2049964982349201E-2</v>
      </c>
      <c r="I424" s="224">
        <v>2376.5</v>
      </c>
    </row>
    <row r="425" spans="1:9" x14ac:dyDescent="0.25">
      <c r="A425" s="515">
        <v>92780</v>
      </c>
      <c r="B425" s="515" t="s">
        <v>375</v>
      </c>
      <c r="C425" s="52">
        <v>875873.49190987297</v>
      </c>
      <c r="D425" s="56">
        <v>8.2198837585846479E-2</v>
      </c>
      <c r="E425" s="224">
        <v>2686.62698412698</v>
      </c>
      <c r="F425" s="515" t="s">
        <v>2325</v>
      </c>
      <c r="G425" s="52">
        <v>226801.83404997</v>
      </c>
      <c r="H425" s="56">
        <v>4.6990283844200148E-2</v>
      </c>
      <c r="I425" s="224">
        <v>1209.1555555555501</v>
      </c>
    </row>
    <row r="426" spans="1:9" x14ac:dyDescent="0.25">
      <c r="A426" s="515">
        <v>76010</v>
      </c>
      <c r="B426" s="515" t="s">
        <v>458</v>
      </c>
      <c r="C426" s="52">
        <v>231456.74208624999</v>
      </c>
      <c r="D426" s="56">
        <v>9.9056669943418926E-2</v>
      </c>
      <c r="E426" s="224">
        <v>1391.2</v>
      </c>
      <c r="F426" s="515" t="s">
        <v>2326</v>
      </c>
      <c r="G426" s="52">
        <v>1651714.9103429399</v>
      </c>
      <c r="H426" s="56">
        <v>-1.2903983027713168E-2</v>
      </c>
      <c r="I426" s="224">
        <v>3303.1571768000299</v>
      </c>
    </row>
    <row r="427" spans="1:9" x14ac:dyDescent="0.25">
      <c r="A427" s="515">
        <v>28227</v>
      </c>
      <c r="B427" s="515" t="s">
        <v>360</v>
      </c>
      <c r="C427" s="52">
        <v>349210.32124909002</v>
      </c>
      <c r="D427" s="56">
        <v>8.134637178896785E-2</v>
      </c>
      <c r="E427" s="224">
        <v>1740.81944444444</v>
      </c>
      <c r="F427" s="515" t="s">
        <v>2327</v>
      </c>
      <c r="G427" s="52">
        <v>280113.62671724003</v>
      </c>
      <c r="H427" s="56">
        <v>0.1263348235727115</v>
      </c>
      <c r="I427" s="224">
        <v>1670.1850877192901</v>
      </c>
    </row>
    <row r="428" spans="1:9" x14ac:dyDescent="0.25">
      <c r="A428" s="515">
        <v>91950</v>
      </c>
      <c r="B428" s="515" t="s">
        <v>396</v>
      </c>
      <c r="C428" s="52">
        <v>601647.58103923895</v>
      </c>
      <c r="D428" s="56">
        <v>9.0900263485734378E-2</v>
      </c>
      <c r="E428" s="224">
        <v>2331.8333333333298</v>
      </c>
      <c r="F428" s="515" t="s">
        <v>2328</v>
      </c>
      <c r="G428" s="52">
        <v>449092.00254972599</v>
      </c>
      <c r="H428" s="56">
        <v>3.5642441452777472E-2</v>
      </c>
      <c r="I428" s="224">
        <v>2096.9979639448502</v>
      </c>
    </row>
    <row r="429" spans="1:9" x14ac:dyDescent="0.25">
      <c r="A429" s="515">
        <v>93905</v>
      </c>
      <c r="B429" s="515" t="s">
        <v>443</v>
      </c>
      <c r="C429" s="52">
        <v>565712.99193806702</v>
      </c>
      <c r="D429" s="56">
        <v>3.3970888983103367E-2</v>
      </c>
      <c r="E429" s="224" t="s">
        <v>2</v>
      </c>
      <c r="F429" s="515" t="s">
        <v>2329</v>
      </c>
      <c r="G429" s="52">
        <v>302657.53128035099</v>
      </c>
      <c r="H429" s="56">
        <v>8.9198421409560288E-2</v>
      </c>
      <c r="I429" s="224">
        <v>1745.46314102564</v>
      </c>
    </row>
    <row r="430" spans="1:9" x14ac:dyDescent="0.25">
      <c r="A430" s="515">
        <v>78240</v>
      </c>
      <c r="B430" s="515" t="s">
        <v>717</v>
      </c>
      <c r="C430" s="52">
        <v>268705.75151350198</v>
      </c>
      <c r="D430" s="56">
        <v>8.8570715881907541E-2</v>
      </c>
      <c r="E430" s="224">
        <v>1357.4619565217299</v>
      </c>
      <c r="F430" s="515" t="s">
        <v>409</v>
      </c>
      <c r="G430" s="52">
        <v>359262.89813193202</v>
      </c>
      <c r="H430" s="56">
        <v>-1.2613211815632923E-3</v>
      </c>
      <c r="I430" s="224">
        <v>1183.8277777777701</v>
      </c>
    </row>
    <row r="431" spans="1:9" x14ac:dyDescent="0.25">
      <c r="A431" s="515">
        <v>77521</v>
      </c>
      <c r="B431" s="515" t="s">
        <v>314</v>
      </c>
      <c r="C431" s="52">
        <v>248998.348188159</v>
      </c>
      <c r="D431" s="56">
        <v>8.6502702130306933E-2</v>
      </c>
      <c r="E431" s="224">
        <v>1505.5436507936499</v>
      </c>
      <c r="F431" s="515" t="s">
        <v>1285</v>
      </c>
      <c r="G431" s="52">
        <v>189071.75241966799</v>
      </c>
      <c r="H431" s="56">
        <v>9.2691173190611792E-2</v>
      </c>
      <c r="I431" s="224" t="s">
        <v>2</v>
      </c>
    </row>
    <row r="432" spans="1:9" x14ac:dyDescent="0.25">
      <c r="A432" s="515">
        <v>95051</v>
      </c>
      <c r="B432" s="515" t="s">
        <v>850</v>
      </c>
      <c r="C432" s="52">
        <v>1544243.57838434</v>
      </c>
      <c r="D432" s="56">
        <v>5.0641633667466705E-2</v>
      </c>
      <c r="E432" s="224">
        <v>3183.1211068211001</v>
      </c>
      <c r="F432" s="515" t="s">
        <v>1303</v>
      </c>
      <c r="G432" s="52">
        <v>1238782.5058500301</v>
      </c>
      <c r="H432" s="56">
        <v>2.6729397117704567E-2</v>
      </c>
      <c r="I432" s="224">
        <v>3350.9130952380901</v>
      </c>
    </row>
    <row r="433" spans="1:9" x14ac:dyDescent="0.25">
      <c r="A433" s="515">
        <v>10128</v>
      </c>
      <c r="B433" s="515" t="s">
        <v>324</v>
      </c>
      <c r="C433" s="52">
        <v>1231161.2357699799</v>
      </c>
      <c r="D433" s="56">
        <v>2.3722750669135733E-3</v>
      </c>
      <c r="E433" s="224">
        <v>3196.4533730158701</v>
      </c>
      <c r="F433" s="515" t="s">
        <v>2330</v>
      </c>
      <c r="G433" s="52">
        <v>242292.608391847</v>
      </c>
      <c r="H433" s="56">
        <v>7.5255295712448364E-2</v>
      </c>
      <c r="I433" s="224">
        <v>1394.6790123456699</v>
      </c>
    </row>
    <row r="434" spans="1:9" x14ac:dyDescent="0.25">
      <c r="A434" s="515">
        <v>32818</v>
      </c>
      <c r="B434" s="515" t="s">
        <v>517</v>
      </c>
      <c r="C434" s="52">
        <v>322701.22272083297</v>
      </c>
      <c r="D434" s="56">
        <v>0.11317425829709726</v>
      </c>
      <c r="E434" s="224">
        <v>2014.3333333333301</v>
      </c>
      <c r="F434" s="515" t="s">
        <v>2331</v>
      </c>
      <c r="G434" s="52">
        <v>557382.89484425297</v>
      </c>
      <c r="H434" s="56">
        <v>1.9974820921402143E-2</v>
      </c>
      <c r="I434" s="224">
        <v>1955.0014430014401</v>
      </c>
    </row>
    <row r="435" spans="1:9" x14ac:dyDescent="0.25">
      <c r="A435" s="515">
        <v>92571</v>
      </c>
      <c r="B435" s="515" t="s">
        <v>599</v>
      </c>
      <c r="C435" s="52">
        <v>480081.91150225099</v>
      </c>
      <c r="D435" s="56">
        <v>5.0115971411358567E-2</v>
      </c>
      <c r="E435" s="224">
        <v>2729.0833333333298</v>
      </c>
      <c r="F435" s="515" t="s">
        <v>2332</v>
      </c>
      <c r="G435" s="52">
        <v>719802.57916681899</v>
      </c>
      <c r="H435" s="56">
        <v>1.8094290738620174E-2</v>
      </c>
      <c r="I435" s="224">
        <v>2305.3911858974302</v>
      </c>
    </row>
    <row r="436" spans="1:9" x14ac:dyDescent="0.25">
      <c r="A436" s="515">
        <v>28173</v>
      </c>
      <c r="B436" s="515" t="s">
        <v>360</v>
      </c>
      <c r="C436" s="52">
        <v>600285.679554648</v>
      </c>
      <c r="D436" s="56">
        <v>0.10122019166006394</v>
      </c>
      <c r="E436" s="224">
        <v>2570.3222222222198</v>
      </c>
      <c r="F436" s="515" t="s">
        <v>2333</v>
      </c>
      <c r="G436" s="52">
        <v>494625.37632122898</v>
      </c>
      <c r="H436" s="56">
        <v>5.8592563009196033E-2</v>
      </c>
      <c r="I436" s="224">
        <v>1812.4948907499299</v>
      </c>
    </row>
    <row r="437" spans="1:9" x14ac:dyDescent="0.25">
      <c r="A437" s="515">
        <v>32218</v>
      </c>
      <c r="B437" s="515" t="s">
        <v>1158</v>
      </c>
      <c r="C437" s="52">
        <v>302157.60813557898</v>
      </c>
      <c r="D437" s="56">
        <v>0.13822161320917289</v>
      </c>
      <c r="E437" s="224">
        <v>1743.4653052261699</v>
      </c>
      <c r="F437" s="515" t="s">
        <v>705</v>
      </c>
      <c r="G437" s="52">
        <v>224937.97180459401</v>
      </c>
      <c r="H437" s="56">
        <v>0.11437329049573074</v>
      </c>
      <c r="I437" s="224">
        <v>1260.88888888888</v>
      </c>
    </row>
    <row r="438" spans="1:9" x14ac:dyDescent="0.25">
      <c r="A438" s="515">
        <v>92071</v>
      </c>
      <c r="B438" s="515" t="s">
        <v>396</v>
      </c>
      <c r="C438" s="52">
        <v>701169.21238179004</v>
      </c>
      <c r="D438" s="56">
        <v>5.326315303311361E-2</v>
      </c>
      <c r="E438" s="224">
        <v>2758.2301587301499</v>
      </c>
      <c r="F438" s="515" t="s">
        <v>2334</v>
      </c>
      <c r="G438" s="52">
        <v>262112.55654284099</v>
      </c>
      <c r="H438" s="56">
        <v>0.14675623269567023</v>
      </c>
      <c r="I438" s="224">
        <v>1832.6510647269599</v>
      </c>
    </row>
    <row r="439" spans="1:9" x14ac:dyDescent="0.25">
      <c r="A439" s="515">
        <v>55106</v>
      </c>
      <c r="B439" s="515" t="s">
        <v>532</v>
      </c>
      <c r="C439" s="52">
        <v>234882.84516332901</v>
      </c>
      <c r="D439" s="56">
        <v>2.3523484057764919E-2</v>
      </c>
      <c r="E439" s="224">
        <v>1360.1047619047599</v>
      </c>
      <c r="F439" s="515" t="s">
        <v>2335</v>
      </c>
      <c r="G439" s="52">
        <v>603377.691320771</v>
      </c>
      <c r="H439" s="56">
        <v>2.4875049409563553E-2</v>
      </c>
      <c r="I439" s="224">
        <v>1853.20256410256</v>
      </c>
    </row>
    <row r="440" spans="1:9" x14ac:dyDescent="0.25">
      <c r="A440" s="515">
        <v>92130</v>
      </c>
      <c r="B440" s="515" t="s">
        <v>396</v>
      </c>
      <c r="C440" s="52">
        <v>1736081.98045898</v>
      </c>
      <c r="D440" s="56">
        <v>7.8694181361018856E-2</v>
      </c>
      <c r="E440" s="224">
        <v>3868.2925400045001</v>
      </c>
      <c r="F440" s="515" t="s">
        <v>398</v>
      </c>
      <c r="G440" s="52">
        <v>149183.88091626001</v>
      </c>
      <c r="H440" s="56">
        <v>0.10795381932334863</v>
      </c>
      <c r="I440" s="224">
        <v>786.25</v>
      </c>
    </row>
    <row r="441" spans="1:9" x14ac:dyDescent="0.25">
      <c r="A441" s="515">
        <v>93309</v>
      </c>
      <c r="B441" s="515" t="s">
        <v>419</v>
      </c>
      <c r="C441" s="52">
        <v>313724.996308261</v>
      </c>
      <c r="D441" s="56">
        <v>6.7759747647410135E-2</v>
      </c>
      <c r="E441" s="224">
        <v>1372.42857142857</v>
      </c>
      <c r="F441" s="515" t="s">
        <v>1311</v>
      </c>
      <c r="G441" s="52">
        <v>394584.96481783601</v>
      </c>
      <c r="H441" s="56">
        <v>6.2523506670468326E-2</v>
      </c>
      <c r="I441" s="224">
        <v>1662.2738095238001</v>
      </c>
    </row>
    <row r="442" spans="1:9" x14ac:dyDescent="0.25">
      <c r="A442" s="515">
        <v>83646</v>
      </c>
      <c r="B442" s="515" t="s">
        <v>500</v>
      </c>
      <c r="C442" s="52">
        <v>504855.72289762902</v>
      </c>
      <c r="D442" s="56">
        <v>-3.6256345206306051E-2</v>
      </c>
      <c r="E442" s="224">
        <v>2127.1861111111102</v>
      </c>
      <c r="F442" s="515" t="s">
        <v>2336</v>
      </c>
      <c r="G442" s="52">
        <v>494301.64100746898</v>
      </c>
      <c r="H442" s="56">
        <v>5.6998514484858667E-2</v>
      </c>
      <c r="I442" s="224">
        <v>1748.3831501831501</v>
      </c>
    </row>
    <row r="443" spans="1:9" x14ac:dyDescent="0.25">
      <c r="A443" s="515">
        <v>11238</v>
      </c>
      <c r="B443" s="515" t="s">
        <v>324</v>
      </c>
      <c r="C443" s="52">
        <v>867164.59718566202</v>
      </c>
      <c r="D443" s="56">
        <v>2.3806890159224558E-2</v>
      </c>
      <c r="E443" s="224">
        <v>3402.5083214737501</v>
      </c>
      <c r="F443" s="515" t="s">
        <v>914</v>
      </c>
      <c r="G443" s="52">
        <v>843208.97818174597</v>
      </c>
      <c r="H443" s="56">
        <v>2.4488795885246512E-2</v>
      </c>
      <c r="I443" s="224">
        <v>2833.26959064327</v>
      </c>
    </row>
    <row r="444" spans="1:9" x14ac:dyDescent="0.25">
      <c r="A444" s="515">
        <v>93291</v>
      </c>
      <c r="B444" s="515" t="s">
        <v>358</v>
      </c>
      <c r="C444" s="52">
        <v>386455.33588821098</v>
      </c>
      <c r="D444" s="56">
        <v>6.1399709813853481E-2</v>
      </c>
      <c r="E444" s="224">
        <v>1897.32222222222</v>
      </c>
      <c r="F444" s="515" t="s">
        <v>2337</v>
      </c>
      <c r="G444" s="52">
        <v>549670.63628053595</v>
      </c>
      <c r="H444" s="56">
        <v>2.4979692391379427E-2</v>
      </c>
      <c r="I444" s="224">
        <v>2240.32828282828</v>
      </c>
    </row>
    <row r="445" spans="1:9" x14ac:dyDescent="0.25">
      <c r="A445" s="515">
        <v>33064</v>
      </c>
      <c r="B445" s="515" t="s">
        <v>831</v>
      </c>
      <c r="C445" s="52">
        <v>334874.38829535397</v>
      </c>
      <c r="D445" s="56">
        <v>0.13618800813215362</v>
      </c>
      <c r="E445" s="224">
        <v>2385.7142857142799</v>
      </c>
      <c r="F445" s="515" t="s">
        <v>2338</v>
      </c>
      <c r="G445" s="52">
        <v>543784.58843264903</v>
      </c>
      <c r="H445" s="56">
        <v>2.421119213363938E-2</v>
      </c>
      <c r="I445" s="224">
        <v>1953.0486021505301</v>
      </c>
    </row>
    <row r="446" spans="1:9" x14ac:dyDescent="0.25">
      <c r="A446" s="515">
        <v>89129</v>
      </c>
      <c r="B446" s="515" t="s">
        <v>323</v>
      </c>
      <c r="C446" s="52">
        <v>409962.91554067499</v>
      </c>
      <c r="D446" s="56">
        <v>2.6961550368574009E-2</v>
      </c>
      <c r="E446" s="224">
        <v>1793.79636363636</v>
      </c>
      <c r="F446" s="515" t="s">
        <v>2339</v>
      </c>
      <c r="G446" s="52">
        <v>533825.21667848004</v>
      </c>
      <c r="H446" s="56">
        <v>4.8343700067145882E-2</v>
      </c>
      <c r="I446" s="224">
        <v>2679.8522727272698</v>
      </c>
    </row>
    <row r="447" spans="1:9" x14ac:dyDescent="0.25">
      <c r="A447" s="515">
        <v>20147</v>
      </c>
      <c r="B447" s="515" t="s">
        <v>321</v>
      </c>
      <c r="C447" s="52">
        <v>663200.45620605198</v>
      </c>
      <c r="D447" s="56">
        <v>2.4638660902696643E-2</v>
      </c>
      <c r="E447" s="224">
        <v>2237.1734943977499</v>
      </c>
      <c r="F447" s="515" t="s">
        <v>2340</v>
      </c>
      <c r="G447" s="52">
        <v>225850.00588696601</v>
      </c>
      <c r="H447" s="56">
        <v>0.10287998362634267</v>
      </c>
      <c r="I447" s="224">
        <v>1148.4206349206299</v>
      </c>
    </row>
    <row r="448" spans="1:9" x14ac:dyDescent="0.25">
      <c r="A448" s="515">
        <v>32822</v>
      </c>
      <c r="B448" s="515" t="s">
        <v>517</v>
      </c>
      <c r="C448" s="52">
        <v>260726.25997834199</v>
      </c>
      <c r="D448" s="56">
        <v>0.13082875201735703</v>
      </c>
      <c r="E448" s="224">
        <v>1796.4633458646599</v>
      </c>
      <c r="F448" s="515" t="s">
        <v>1291</v>
      </c>
      <c r="G448" s="52">
        <v>187611.291569516</v>
      </c>
      <c r="H448" s="56">
        <v>5.7447897635787136E-2</v>
      </c>
      <c r="I448" s="224">
        <v>1010.51957671957</v>
      </c>
    </row>
    <row r="449" spans="1:9" x14ac:dyDescent="0.25">
      <c r="A449" s="515">
        <v>85705</v>
      </c>
      <c r="B449" s="515" t="s">
        <v>368</v>
      </c>
      <c r="C449" s="52">
        <v>242008.319027394</v>
      </c>
      <c r="D449" s="56">
        <v>7.9393076357599152E-2</v>
      </c>
      <c r="E449" s="224">
        <v>1291.1574074073999</v>
      </c>
      <c r="F449" s="515" t="s">
        <v>1341</v>
      </c>
      <c r="G449" s="52">
        <v>142473.85754610301</v>
      </c>
      <c r="H449" s="56">
        <v>7.8616195861594171E-2</v>
      </c>
      <c r="I449" s="224">
        <v>1204.4166666666599</v>
      </c>
    </row>
    <row r="450" spans="1:9" x14ac:dyDescent="0.25">
      <c r="A450" s="515">
        <v>91702</v>
      </c>
      <c r="B450" s="515" t="s">
        <v>375</v>
      </c>
      <c r="C450" s="52">
        <v>625222.37262508494</v>
      </c>
      <c r="D450" s="56">
        <v>3.8610786178531864E-2</v>
      </c>
      <c r="E450" s="224">
        <v>2625.4642857142799</v>
      </c>
      <c r="F450" s="515" t="s">
        <v>2341</v>
      </c>
      <c r="G450" s="52">
        <v>697551.79832220601</v>
      </c>
      <c r="H450" s="56">
        <v>3.6141497995574853E-2</v>
      </c>
      <c r="I450" s="224">
        <v>2361.6483970529598</v>
      </c>
    </row>
    <row r="451" spans="1:9" x14ac:dyDescent="0.25">
      <c r="A451" s="515">
        <v>10473</v>
      </c>
      <c r="B451" s="515" t="s">
        <v>324</v>
      </c>
      <c r="C451" s="52">
        <v>412254.72314702201</v>
      </c>
      <c r="D451" s="56">
        <v>2.4039594578713279E-3</v>
      </c>
      <c r="E451" s="224">
        <v>2600</v>
      </c>
      <c r="F451" s="515" t="s">
        <v>2342</v>
      </c>
      <c r="G451" s="52">
        <v>495563.780476254</v>
      </c>
      <c r="H451" s="56">
        <v>0.11304573906538068</v>
      </c>
      <c r="I451" s="224">
        <v>2788.2777777777701</v>
      </c>
    </row>
    <row r="452" spans="1:9" x14ac:dyDescent="0.25">
      <c r="A452" s="515">
        <v>31088</v>
      </c>
      <c r="B452" s="515" t="s">
        <v>1067</v>
      </c>
      <c r="C452" s="52">
        <v>201702.48472779299</v>
      </c>
      <c r="D452" s="56">
        <v>0.14796352991248149</v>
      </c>
      <c r="E452" s="224">
        <v>1340.7222222222199</v>
      </c>
      <c r="F452" s="515" t="s">
        <v>2343</v>
      </c>
      <c r="G452" s="52">
        <v>389604.29402340698</v>
      </c>
      <c r="H452" s="56">
        <v>3.3274023865307069E-2</v>
      </c>
      <c r="I452" s="224">
        <v>1697.60139860139</v>
      </c>
    </row>
    <row r="453" spans="1:9" x14ac:dyDescent="0.25">
      <c r="A453" s="515">
        <v>30331</v>
      </c>
      <c r="B453" s="515" t="s">
        <v>957</v>
      </c>
      <c r="C453" s="52">
        <v>284634.678564045</v>
      </c>
      <c r="D453" s="56">
        <v>0.11407237606918104</v>
      </c>
      <c r="E453" s="224">
        <v>1996.87222222222</v>
      </c>
      <c r="F453" s="515" t="s">
        <v>2344</v>
      </c>
      <c r="G453" s="52">
        <v>210245.15720679401</v>
      </c>
      <c r="H453" s="56">
        <v>7.6117461148120666E-2</v>
      </c>
      <c r="I453" s="224">
        <v>1292.59595959595</v>
      </c>
    </row>
    <row r="454" spans="1:9" x14ac:dyDescent="0.25">
      <c r="A454" s="515">
        <v>78640</v>
      </c>
      <c r="B454" s="515" t="s">
        <v>380</v>
      </c>
      <c r="C454" s="52">
        <v>344949.02138047299</v>
      </c>
      <c r="D454" s="56">
        <v>2.8834055903242648E-2</v>
      </c>
      <c r="E454" s="224">
        <v>1873.60222222222</v>
      </c>
      <c r="F454" s="515" t="s">
        <v>2345</v>
      </c>
      <c r="G454" s="52">
        <v>820569.52963100898</v>
      </c>
      <c r="H454" s="56">
        <v>2.6011754559002224E-2</v>
      </c>
      <c r="I454" s="224">
        <v>2073.8492063491999</v>
      </c>
    </row>
    <row r="455" spans="1:9" x14ac:dyDescent="0.25">
      <c r="A455" s="515">
        <v>11216</v>
      </c>
      <c r="B455" s="515" t="s">
        <v>324</v>
      </c>
      <c r="C455" s="52">
        <v>1025730.56308803</v>
      </c>
      <c r="D455" s="56">
        <v>-5.2835869507721941E-2</v>
      </c>
      <c r="E455" s="224">
        <v>3017.5994949494898</v>
      </c>
      <c r="F455" s="515" t="s">
        <v>775</v>
      </c>
      <c r="G455" s="52">
        <v>385611.385131635</v>
      </c>
      <c r="H455" s="56">
        <v>1.350987069861116E-2</v>
      </c>
      <c r="I455" s="224">
        <v>1822.9166666666599</v>
      </c>
    </row>
    <row r="456" spans="1:9" x14ac:dyDescent="0.25">
      <c r="A456" s="515">
        <v>90813</v>
      </c>
      <c r="B456" s="515" t="s">
        <v>375</v>
      </c>
      <c r="C456" s="52">
        <v>547211.64352436701</v>
      </c>
      <c r="D456" s="56">
        <v>1.9985561604127966E-3</v>
      </c>
      <c r="E456" s="224">
        <v>1827.2354497354399</v>
      </c>
      <c r="F456" s="515" t="s">
        <v>2346</v>
      </c>
      <c r="G456" s="52">
        <v>609612.65393115301</v>
      </c>
      <c r="H456" s="56">
        <v>6.1324600004705444E-2</v>
      </c>
      <c r="I456" s="224">
        <v>1826.5</v>
      </c>
    </row>
    <row r="457" spans="1:9" x14ac:dyDescent="0.25">
      <c r="A457" s="515">
        <v>43055</v>
      </c>
      <c r="B457" s="515" t="s">
        <v>345</v>
      </c>
      <c r="C457" s="52">
        <v>200407.69039951399</v>
      </c>
      <c r="D457" s="56">
        <v>0.10772976708210355</v>
      </c>
      <c r="E457" s="224">
        <v>1381</v>
      </c>
      <c r="F457" s="515" t="s">
        <v>2347</v>
      </c>
      <c r="G457" s="52">
        <v>338905.50976612698</v>
      </c>
      <c r="H457" s="56">
        <v>0.10569022056418119</v>
      </c>
      <c r="I457" s="224">
        <v>2100.69078144078</v>
      </c>
    </row>
    <row r="458" spans="1:9" x14ac:dyDescent="0.25">
      <c r="A458" s="515">
        <v>96818</v>
      </c>
      <c r="B458" s="515" t="s">
        <v>1029</v>
      </c>
      <c r="C458" s="52">
        <v>552999.37683889398</v>
      </c>
      <c r="D458" s="56">
        <v>3.108951964776336E-2</v>
      </c>
      <c r="E458" s="224">
        <v>2212.2222222222199</v>
      </c>
      <c r="F458" s="515" t="s">
        <v>2348</v>
      </c>
      <c r="G458" s="52">
        <v>485079.986415789</v>
      </c>
      <c r="H458" s="56">
        <v>2.0957387599631689E-2</v>
      </c>
      <c r="I458" s="224">
        <v>1891.39782790309</v>
      </c>
    </row>
    <row r="459" spans="1:9" x14ac:dyDescent="0.25">
      <c r="A459" s="515">
        <v>10009</v>
      </c>
      <c r="B459" s="515" t="s">
        <v>324</v>
      </c>
      <c r="C459" s="52">
        <v>907770.96913920797</v>
      </c>
      <c r="D459" s="56">
        <v>0.15335649183511169</v>
      </c>
      <c r="E459" s="224">
        <v>3772.49965156794</v>
      </c>
      <c r="F459" s="515" t="s">
        <v>2349</v>
      </c>
      <c r="G459" s="52">
        <v>427583.431197364</v>
      </c>
      <c r="H459" s="56">
        <v>4.7178254636062386E-2</v>
      </c>
      <c r="I459" s="224">
        <v>1956.25</v>
      </c>
    </row>
    <row r="460" spans="1:9" x14ac:dyDescent="0.25">
      <c r="A460" s="515">
        <v>80631</v>
      </c>
      <c r="B460" s="515" t="s">
        <v>382</v>
      </c>
      <c r="C460" s="52">
        <v>351271.30558085802</v>
      </c>
      <c r="D460" s="56">
        <v>3.4374126683010806E-2</v>
      </c>
      <c r="E460" s="224">
        <v>1237.8472222222199</v>
      </c>
      <c r="F460" s="515" t="s">
        <v>2350</v>
      </c>
      <c r="G460" s="52">
        <v>341519.26371611102</v>
      </c>
      <c r="H460" s="56">
        <v>7.8135894790340499E-2</v>
      </c>
      <c r="I460" s="224">
        <v>2123.25714285714</v>
      </c>
    </row>
    <row r="461" spans="1:9" x14ac:dyDescent="0.25">
      <c r="A461" s="515">
        <v>11550</v>
      </c>
      <c r="B461" s="515" t="s">
        <v>324</v>
      </c>
      <c r="C461" s="52">
        <v>488906.04722022603</v>
      </c>
      <c r="D461" s="56">
        <v>6.791554011152455E-2</v>
      </c>
      <c r="E461" s="224" t="s">
        <v>2</v>
      </c>
      <c r="F461" s="515" t="s">
        <v>2351</v>
      </c>
      <c r="G461" s="52">
        <v>538221.34577732102</v>
      </c>
      <c r="H461" s="56">
        <v>5.6353683776076545E-2</v>
      </c>
      <c r="I461" s="224">
        <v>2200.9975155279499</v>
      </c>
    </row>
    <row r="462" spans="1:9" x14ac:dyDescent="0.25">
      <c r="A462" s="515">
        <v>32244</v>
      </c>
      <c r="B462" s="515" t="s">
        <v>1158</v>
      </c>
      <c r="C462" s="52">
        <v>264041.786086387</v>
      </c>
      <c r="D462" s="56">
        <v>0.12861756957472781</v>
      </c>
      <c r="E462" s="224">
        <v>1723.15458225984</v>
      </c>
      <c r="F462" s="515" t="s">
        <v>2352</v>
      </c>
      <c r="G462" s="52">
        <v>472809.14573180699</v>
      </c>
      <c r="H462" s="56">
        <v>0.13204687060254966</v>
      </c>
      <c r="I462" s="224">
        <v>2441.2641269841201</v>
      </c>
    </row>
    <row r="463" spans="1:9" x14ac:dyDescent="0.25">
      <c r="A463" s="515">
        <v>11435</v>
      </c>
      <c r="B463" s="515" t="s">
        <v>324</v>
      </c>
      <c r="C463" s="52">
        <v>370442.35483795602</v>
      </c>
      <c r="D463" s="56">
        <v>-3.2248950430538319E-2</v>
      </c>
      <c r="E463" s="224">
        <v>1944.7157407407401</v>
      </c>
      <c r="F463" s="515" t="s">
        <v>2353</v>
      </c>
      <c r="G463" s="52">
        <v>847509.10132306104</v>
      </c>
      <c r="H463" s="56">
        <v>4.7568844769043682E-2</v>
      </c>
      <c r="I463" s="224">
        <v>3217.2325686009899</v>
      </c>
    </row>
    <row r="464" spans="1:9" x14ac:dyDescent="0.25">
      <c r="A464" s="515">
        <v>10024</v>
      </c>
      <c r="B464" s="515" t="s">
        <v>324</v>
      </c>
      <c r="C464" s="52">
        <v>1561501.05701387</v>
      </c>
      <c r="D464" s="56">
        <v>-2.7214123196367523E-2</v>
      </c>
      <c r="E464" s="224">
        <v>3725.2226259689901</v>
      </c>
      <c r="F464" s="515" t="s">
        <v>2354</v>
      </c>
      <c r="G464" s="52">
        <v>335066.17307727301</v>
      </c>
      <c r="H464" s="56">
        <v>7.1729877635298159E-2</v>
      </c>
      <c r="I464" s="224">
        <v>2281.6111111111099</v>
      </c>
    </row>
    <row r="465" spans="1:9" x14ac:dyDescent="0.25">
      <c r="A465" s="515">
        <v>45140</v>
      </c>
      <c r="B465" s="515" t="s">
        <v>344</v>
      </c>
      <c r="C465" s="52">
        <v>355331.34089349001</v>
      </c>
      <c r="D465" s="56">
        <v>6.2637340390646459E-2</v>
      </c>
      <c r="E465" s="224">
        <v>1716.1111111111099</v>
      </c>
      <c r="F465" s="515" t="s">
        <v>2355</v>
      </c>
      <c r="G465" s="52">
        <v>382953.681416045</v>
      </c>
      <c r="H465" s="56">
        <v>9.9423902150287125E-2</v>
      </c>
      <c r="I465" s="224">
        <v>2114.36904761904</v>
      </c>
    </row>
    <row r="466" spans="1:9" x14ac:dyDescent="0.25">
      <c r="A466" s="515">
        <v>20020</v>
      </c>
      <c r="B466" s="515" t="s">
        <v>321</v>
      </c>
      <c r="C466" s="52">
        <v>397700.09179800301</v>
      </c>
      <c r="D466" s="56">
        <v>2.8350121873149052E-2</v>
      </c>
      <c r="E466" s="224">
        <v>1601.3333333333301</v>
      </c>
      <c r="F466" s="515" t="s">
        <v>2356</v>
      </c>
      <c r="G466" s="52">
        <v>991561.032256103</v>
      </c>
      <c r="H466" s="56">
        <v>6.4782538349514862E-2</v>
      </c>
      <c r="I466" s="224">
        <v>2980.7004048582899</v>
      </c>
    </row>
    <row r="467" spans="1:9" x14ac:dyDescent="0.25">
      <c r="A467" s="515">
        <v>19149</v>
      </c>
      <c r="B467" s="515" t="s">
        <v>294</v>
      </c>
      <c r="C467" s="52">
        <v>217022.47020559901</v>
      </c>
      <c r="D467" s="56">
        <v>5.684513237251626E-2</v>
      </c>
      <c r="E467" s="224">
        <v>1447.7777777777701</v>
      </c>
      <c r="F467" s="515" t="s">
        <v>2357</v>
      </c>
      <c r="G467" s="52">
        <v>686605.74704529298</v>
      </c>
      <c r="H467" s="56">
        <v>2.3744574613865786E-2</v>
      </c>
      <c r="I467" s="224">
        <v>2197.05694235589</v>
      </c>
    </row>
    <row r="468" spans="1:9" x14ac:dyDescent="0.25">
      <c r="A468" s="515">
        <v>31907</v>
      </c>
      <c r="B468" s="515" t="s">
        <v>778</v>
      </c>
      <c r="C468" s="52">
        <v>134387.60696469899</v>
      </c>
      <c r="D468" s="56">
        <v>0.11730112893297003</v>
      </c>
      <c r="E468" s="224">
        <v>1095.24545454545</v>
      </c>
      <c r="F468" s="515" t="s">
        <v>2358</v>
      </c>
      <c r="G468" s="52">
        <v>469839.16417162801</v>
      </c>
      <c r="H468" s="56">
        <v>3.0936741296333361E-2</v>
      </c>
      <c r="I468" s="224">
        <v>1605.93809523809</v>
      </c>
    </row>
    <row r="469" spans="1:9" x14ac:dyDescent="0.25">
      <c r="A469" s="515">
        <v>15601</v>
      </c>
      <c r="B469" s="515" t="s">
        <v>297</v>
      </c>
      <c r="C469" s="52">
        <v>200745.569160977</v>
      </c>
      <c r="D469" s="56">
        <v>4.6469464196589476E-2</v>
      </c>
      <c r="E469" s="224">
        <v>887.85714285714198</v>
      </c>
      <c r="F469" s="515" t="s">
        <v>2359</v>
      </c>
      <c r="G469" s="52">
        <v>203335.48035517399</v>
      </c>
      <c r="H469" s="56">
        <v>8.2772647042190672E-2</v>
      </c>
      <c r="I469" s="224">
        <v>1671.2</v>
      </c>
    </row>
    <row r="470" spans="1:9" x14ac:dyDescent="0.25">
      <c r="A470" s="515">
        <v>37040</v>
      </c>
      <c r="B470" s="515" t="s">
        <v>651</v>
      </c>
      <c r="C470" s="52">
        <v>278900.39694963698</v>
      </c>
      <c r="D470" s="56">
        <v>0.11014186904801748</v>
      </c>
      <c r="E470" s="224">
        <v>1301.95909645909</v>
      </c>
      <c r="F470" s="515" t="s">
        <v>2360</v>
      </c>
      <c r="G470" s="52">
        <v>224188.22140999499</v>
      </c>
      <c r="H470" s="56">
        <v>8.0562617834507189E-2</v>
      </c>
      <c r="I470" s="224">
        <v>1354.82884615384</v>
      </c>
    </row>
    <row r="471" spans="1:9" x14ac:dyDescent="0.25">
      <c r="A471" s="515">
        <v>80525</v>
      </c>
      <c r="B471" s="515" t="s">
        <v>738</v>
      </c>
      <c r="C471" s="52">
        <v>542130.77873444697</v>
      </c>
      <c r="D471" s="56">
        <v>3.3446282507696767E-2</v>
      </c>
      <c r="E471" s="224">
        <v>1685.0426065162901</v>
      </c>
      <c r="F471" s="515" t="s">
        <v>2361</v>
      </c>
      <c r="G471" s="52">
        <v>421352.80103843397</v>
      </c>
      <c r="H471" s="56">
        <v>9.8934388054350078E-3</v>
      </c>
      <c r="I471" s="224">
        <v>1878.40703933747</v>
      </c>
    </row>
    <row r="472" spans="1:9" x14ac:dyDescent="0.25">
      <c r="A472" s="515">
        <v>92504</v>
      </c>
      <c r="B472" s="515" t="s">
        <v>599</v>
      </c>
      <c r="C472" s="52">
        <v>536032.51959241601</v>
      </c>
      <c r="D472" s="56">
        <v>4.8252471776524086E-2</v>
      </c>
      <c r="E472" s="224">
        <v>2666.8333333333298</v>
      </c>
      <c r="F472" s="515" t="s">
        <v>2362</v>
      </c>
      <c r="G472" s="52">
        <v>720526.45163162902</v>
      </c>
      <c r="H472" s="56">
        <v>3.413418617354317E-2</v>
      </c>
      <c r="I472" s="224">
        <v>2046.9142450142399</v>
      </c>
    </row>
    <row r="473" spans="1:9" x14ac:dyDescent="0.25">
      <c r="A473" s="515">
        <v>74012</v>
      </c>
      <c r="B473" s="515" t="s">
        <v>348</v>
      </c>
      <c r="C473" s="52">
        <v>238085.286220268</v>
      </c>
      <c r="D473" s="56">
        <v>0.10587454871576824</v>
      </c>
      <c r="E473" s="224">
        <v>1442.63047138047</v>
      </c>
      <c r="F473" s="515" t="s">
        <v>2363</v>
      </c>
      <c r="G473" s="52">
        <v>262351.45223490999</v>
      </c>
      <c r="H473" s="56">
        <v>4.0708739610237285E-2</v>
      </c>
      <c r="I473" s="224">
        <v>1656.55555555555</v>
      </c>
    </row>
    <row r="474" spans="1:9" x14ac:dyDescent="0.25">
      <c r="A474" s="515">
        <v>85345</v>
      </c>
      <c r="B474" s="515" t="s">
        <v>563</v>
      </c>
      <c r="C474" s="52">
        <v>352702.640828442</v>
      </c>
      <c r="D474" s="56">
        <v>5.0351551367696638E-2</v>
      </c>
      <c r="E474" s="224">
        <v>1704.49392271528</v>
      </c>
      <c r="F474" s="515" t="s">
        <v>988</v>
      </c>
      <c r="G474" s="52">
        <v>239281.991956916</v>
      </c>
      <c r="H474" s="56">
        <v>9.30712824240955E-2</v>
      </c>
      <c r="I474" s="224">
        <v>1174.18518518518</v>
      </c>
    </row>
    <row r="475" spans="1:9" x14ac:dyDescent="0.25">
      <c r="A475" s="515">
        <v>23456</v>
      </c>
      <c r="B475" s="515" t="s">
        <v>301</v>
      </c>
      <c r="C475" s="52">
        <v>468499.12448391202</v>
      </c>
      <c r="D475" s="56">
        <v>3.3038570249416602E-2</v>
      </c>
      <c r="E475" s="224">
        <v>2471.25</v>
      </c>
      <c r="F475" s="515" t="s">
        <v>1060</v>
      </c>
      <c r="G475" s="52">
        <v>508088.75936624402</v>
      </c>
      <c r="H475" s="56">
        <v>5.3806360966362987E-2</v>
      </c>
      <c r="I475" s="224">
        <v>1627.5416666666599</v>
      </c>
    </row>
    <row r="476" spans="1:9" x14ac:dyDescent="0.25">
      <c r="A476" s="515">
        <v>22030</v>
      </c>
      <c r="B476" s="515" t="s">
        <v>321</v>
      </c>
      <c r="C476" s="52">
        <v>688996.95968083595</v>
      </c>
      <c r="D476" s="56">
        <v>1.320847824163269E-2</v>
      </c>
      <c r="E476" s="224">
        <v>2102.8807129173501</v>
      </c>
      <c r="F476" s="515" t="s">
        <v>505</v>
      </c>
      <c r="G476" s="52">
        <v>168770.810763227</v>
      </c>
      <c r="H476" s="56">
        <v>0.10757549722791603</v>
      </c>
      <c r="I476" s="224">
        <v>1384.6666666666599</v>
      </c>
    </row>
    <row r="477" spans="1:9" x14ac:dyDescent="0.25">
      <c r="A477" s="515">
        <v>78574</v>
      </c>
      <c r="B477" s="515" t="s">
        <v>550</v>
      </c>
      <c r="C477" s="52">
        <v>156447.78423041801</v>
      </c>
      <c r="D477" s="56">
        <v>0.13153637459156647</v>
      </c>
      <c r="E477" s="224" t="s">
        <v>2</v>
      </c>
      <c r="F477" s="515" t="s">
        <v>2364</v>
      </c>
      <c r="G477" s="52">
        <v>344886.284478574</v>
      </c>
      <c r="H477" s="56">
        <v>6.39722186185082E-2</v>
      </c>
      <c r="I477" s="224">
        <v>1459.3333333333301</v>
      </c>
    </row>
    <row r="478" spans="1:9" x14ac:dyDescent="0.25">
      <c r="A478" s="515">
        <v>98682</v>
      </c>
      <c r="B478" s="515" t="s">
        <v>659</v>
      </c>
      <c r="C478" s="52">
        <v>464290.88039754803</v>
      </c>
      <c r="D478" s="56">
        <v>3.593688606917541E-2</v>
      </c>
      <c r="E478" s="224">
        <v>1797.2254079254001</v>
      </c>
      <c r="F478" s="515" t="s">
        <v>746</v>
      </c>
      <c r="G478" s="52">
        <v>119245.261949573</v>
      </c>
      <c r="H478" s="56">
        <v>0.14232573278962662</v>
      </c>
      <c r="I478" s="224">
        <v>859.93055555555497</v>
      </c>
    </row>
    <row r="479" spans="1:9" x14ac:dyDescent="0.25">
      <c r="A479" s="515">
        <v>11225</v>
      </c>
      <c r="B479" s="515" t="s">
        <v>324</v>
      </c>
      <c r="C479" s="52">
        <v>673385.44305808598</v>
      </c>
      <c r="D479" s="56">
        <v>-4.4923699514432154E-2</v>
      </c>
      <c r="E479" s="224">
        <v>2705.96503267973</v>
      </c>
      <c r="F479" s="515" t="s">
        <v>2365</v>
      </c>
      <c r="G479" s="52">
        <v>1218685.01309155</v>
      </c>
      <c r="H479" s="56">
        <v>2.9668653597871832E-2</v>
      </c>
      <c r="I479" s="224">
        <v>2308.3031546432499</v>
      </c>
    </row>
    <row r="480" spans="1:9" x14ac:dyDescent="0.25">
      <c r="A480" s="515">
        <v>93436</v>
      </c>
      <c r="B480" s="515" t="s">
        <v>847</v>
      </c>
      <c r="C480" s="52">
        <v>497699.73394812102</v>
      </c>
      <c r="D480" s="56">
        <v>5.0663615415070425E-2</v>
      </c>
      <c r="E480" s="224">
        <v>2342.7999999999902</v>
      </c>
      <c r="F480" s="515" t="s">
        <v>2366</v>
      </c>
      <c r="G480" s="52">
        <v>346156.55908112298</v>
      </c>
      <c r="H480" s="56">
        <v>0.13351608181226074</v>
      </c>
      <c r="I480" s="224">
        <v>2497.45675990675</v>
      </c>
    </row>
    <row r="481" spans="1:9" x14ac:dyDescent="0.25">
      <c r="A481" s="515">
        <v>75071</v>
      </c>
      <c r="B481" s="515" t="s">
        <v>458</v>
      </c>
      <c r="C481" s="52">
        <v>513144.145619335</v>
      </c>
      <c r="D481" s="56">
        <v>6.6861678853800233E-2</v>
      </c>
      <c r="E481" s="224">
        <v>2131.70272904483</v>
      </c>
      <c r="F481" s="515" t="s">
        <v>2367</v>
      </c>
      <c r="G481" s="52">
        <v>681666.95345509297</v>
      </c>
      <c r="H481" s="56">
        <v>3.6017015349273436E-2</v>
      </c>
      <c r="I481" s="224">
        <v>3179.8958078957999</v>
      </c>
    </row>
    <row r="482" spans="1:9" x14ac:dyDescent="0.25">
      <c r="A482" s="515">
        <v>19720</v>
      </c>
      <c r="B482" s="515" t="s">
        <v>294</v>
      </c>
      <c r="C482" s="52">
        <v>242222.14552405101</v>
      </c>
      <c r="D482" s="56">
        <v>8.457545661371578E-2</v>
      </c>
      <c r="E482" s="224">
        <v>1584.44444444444</v>
      </c>
      <c r="F482" s="515" t="s">
        <v>318</v>
      </c>
      <c r="G482" s="52">
        <v>129256.371462582</v>
      </c>
      <c r="H482" s="56">
        <v>7.1486583878863155E-2</v>
      </c>
      <c r="I482" s="224">
        <v>966.53968253968196</v>
      </c>
    </row>
    <row r="483" spans="1:9" x14ac:dyDescent="0.25">
      <c r="A483" s="515">
        <v>21215</v>
      </c>
      <c r="B483" s="515" t="s">
        <v>582</v>
      </c>
      <c r="C483" s="52">
        <v>148517.86376711301</v>
      </c>
      <c r="D483" s="56">
        <v>4.3202708832584924E-2</v>
      </c>
      <c r="E483" s="224">
        <v>1259.2037037037001</v>
      </c>
      <c r="F483" s="515" t="s">
        <v>639</v>
      </c>
      <c r="G483" s="52">
        <v>342161.98361159803</v>
      </c>
      <c r="H483" s="56">
        <v>3.067771362759748E-2</v>
      </c>
      <c r="I483" s="224">
        <v>1310.1126194067299</v>
      </c>
    </row>
    <row r="484" spans="1:9" x14ac:dyDescent="0.25">
      <c r="A484" s="515">
        <v>10033</v>
      </c>
      <c r="B484" s="515" t="s">
        <v>324</v>
      </c>
      <c r="C484" s="52">
        <v>614463.99557207106</v>
      </c>
      <c r="D484" s="56">
        <v>7.6735584035086263E-2</v>
      </c>
      <c r="E484" s="224">
        <v>2465.8886363636302</v>
      </c>
      <c r="F484" s="515" t="s">
        <v>2368</v>
      </c>
      <c r="G484" s="52">
        <v>282028.98449333501</v>
      </c>
      <c r="H484" s="56">
        <v>0.11286566865389144</v>
      </c>
      <c r="I484" s="224">
        <v>1854.1428571428501</v>
      </c>
    </row>
    <row r="485" spans="1:9" x14ac:dyDescent="0.25">
      <c r="A485" s="515">
        <v>33125</v>
      </c>
      <c r="B485" s="515" t="s">
        <v>831</v>
      </c>
      <c r="C485" s="52">
        <v>409964.918731805</v>
      </c>
      <c r="D485" s="56">
        <v>0.17599476896189101</v>
      </c>
      <c r="E485" s="224">
        <v>2529.4702380952299</v>
      </c>
      <c r="F485" s="515" t="s">
        <v>2369</v>
      </c>
      <c r="G485" s="52">
        <v>358866.20744974702</v>
      </c>
      <c r="H485" s="56">
        <v>8.3270753896949698E-2</v>
      </c>
      <c r="I485" s="224">
        <v>1621.1111111111099</v>
      </c>
    </row>
    <row r="486" spans="1:9" x14ac:dyDescent="0.25">
      <c r="A486" s="515">
        <v>93313</v>
      </c>
      <c r="B486" s="515" t="s">
        <v>419</v>
      </c>
      <c r="C486" s="52">
        <v>372969.09490342898</v>
      </c>
      <c r="D486" s="56">
        <v>4.9613306654194451E-2</v>
      </c>
      <c r="E486" s="224">
        <v>2182.2222222222199</v>
      </c>
      <c r="F486" s="515" t="s">
        <v>1154</v>
      </c>
      <c r="G486" s="52">
        <v>120898.677745129</v>
      </c>
      <c r="H486" s="56">
        <v>0.10501433872991733</v>
      </c>
      <c r="I486" s="224">
        <v>993.74821937321894</v>
      </c>
    </row>
    <row r="487" spans="1:9" x14ac:dyDescent="0.25">
      <c r="A487" s="515">
        <v>95355</v>
      </c>
      <c r="B487" s="515" t="s">
        <v>797</v>
      </c>
      <c r="C487" s="52">
        <v>453741.04319667403</v>
      </c>
      <c r="D487" s="56">
        <v>2.2716536852248316E-2</v>
      </c>
      <c r="E487" s="224">
        <v>2090.6944444444398</v>
      </c>
      <c r="F487" s="515" t="s">
        <v>2370</v>
      </c>
      <c r="G487" s="52">
        <v>555018.43702727195</v>
      </c>
      <c r="H487" s="56">
        <v>-8.5055875864506539E-3</v>
      </c>
      <c r="I487" s="224">
        <v>2823.23397435897</v>
      </c>
    </row>
    <row r="488" spans="1:9" x14ac:dyDescent="0.25">
      <c r="A488" s="515">
        <v>78753</v>
      </c>
      <c r="B488" s="515" t="s">
        <v>380</v>
      </c>
      <c r="C488" s="52">
        <v>389382.041741191</v>
      </c>
      <c r="D488" s="56">
        <v>3.3959339820764226E-2</v>
      </c>
      <c r="E488" s="224">
        <v>1525.7199338927001</v>
      </c>
      <c r="F488" s="515" t="s">
        <v>2371</v>
      </c>
      <c r="G488" s="52">
        <v>401562.847659814</v>
      </c>
      <c r="H488" s="56">
        <v>8.5368300565205696E-2</v>
      </c>
      <c r="I488" s="224">
        <v>1758.24901960784</v>
      </c>
    </row>
    <row r="489" spans="1:9" x14ac:dyDescent="0.25">
      <c r="A489" s="515">
        <v>7002</v>
      </c>
      <c r="B489" s="515" t="s">
        <v>324</v>
      </c>
      <c r="C489" s="52">
        <v>486390.78411243501</v>
      </c>
      <c r="D489" s="56">
        <v>3.3117301761270694E-2</v>
      </c>
      <c r="E489" s="224">
        <v>2146.9690362511001</v>
      </c>
      <c r="F489" s="515" t="s">
        <v>2372</v>
      </c>
      <c r="G489" s="52">
        <v>474909.51888937701</v>
      </c>
      <c r="H489" s="56">
        <v>5.302442428226784E-3</v>
      </c>
      <c r="I489" s="224">
        <v>1777.5116959064301</v>
      </c>
    </row>
    <row r="490" spans="1:9" x14ac:dyDescent="0.25">
      <c r="A490" s="515">
        <v>27703</v>
      </c>
      <c r="B490" s="515" t="s">
        <v>467</v>
      </c>
      <c r="C490" s="52">
        <v>372757.12939751602</v>
      </c>
      <c r="D490" s="56">
        <v>8.7460982848366453E-2</v>
      </c>
      <c r="E490" s="224">
        <v>1685.7433333333299</v>
      </c>
      <c r="F490" s="515" t="s">
        <v>1298</v>
      </c>
      <c r="G490" s="52">
        <v>153829.98371388399</v>
      </c>
      <c r="H490" s="56">
        <v>4.7864345853285528E-2</v>
      </c>
      <c r="I490" s="224">
        <v>1112.5</v>
      </c>
    </row>
    <row r="491" spans="1:9" x14ac:dyDescent="0.25">
      <c r="A491" s="515">
        <v>97301</v>
      </c>
      <c r="B491" s="515" t="s">
        <v>416</v>
      </c>
      <c r="C491" s="52">
        <v>334648.70161824202</v>
      </c>
      <c r="D491" s="56">
        <v>3.0458032020060772E-2</v>
      </c>
      <c r="E491" s="224">
        <v>1442.55555555555</v>
      </c>
      <c r="F491" s="515" t="s">
        <v>2373</v>
      </c>
      <c r="G491" s="52">
        <v>408198.23707047099</v>
      </c>
      <c r="H491" s="56">
        <v>1.376104677179384E-2</v>
      </c>
      <c r="I491" s="224">
        <v>1995.40333333333</v>
      </c>
    </row>
    <row r="492" spans="1:9" x14ac:dyDescent="0.25">
      <c r="A492" s="515">
        <v>29730</v>
      </c>
      <c r="B492" s="515" t="s">
        <v>360</v>
      </c>
      <c r="C492" s="52">
        <v>260654.027137483</v>
      </c>
      <c r="D492" s="56">
        <v>9.1199695225916394E-2</v>
      </c>
      <c r="E492" s="224">
        <v>1427.6452380952301</v>
      </c>
      <c r="F492" s="515" t="s">
        <v>2374</v>
      </c>
      <c r="G492" s="52">
        <v>266289.00235964899</v>
      </c>
      <c r="H492" s="56">
        <v>0.18393266542138015</v>
      </c>
      <c r="I492" s="224">
        <v>1844.9642857142801</v>
      </c>
    </row>
    <row r="493" spans="1:9" x14ac:dyDescent="0.25">
      <c r="A493" s="515">
        <v>30906</v>
      </c>
      <c r="B493" s="515" t="s">
        <v>888</v>
      </c>
      <c r="C493" s="52">
        <v>135214.50011887299</v>
      </c>
      <c r="D493" s="56">
        <v>0.20050550703673237</v>
      </c>
      <c r="E493" s="224">
        <v>1225.88888888888</v>
      </c>
      <c r="F493" s="515" t="s">
        <v>2375</v>
      </c>
      <c r="G493" s="52">
        <v>345143.001997824</v>
      </c>
      <c r="H493" s="56">
        <v>4.5683349758943566E-2</v>
      </c>
      <c r="I493" s="224">
        <v>1640.79393939393</v>
      </c>
    </row>
    <row r="494" spans="1:9" x14ac:dyDescent="0.25">
      <c r="A494" s="515">
        <v>43230</v>
      </c>
      <c r="B494" s="515" t="s">
        <v>345</v>
      </c>
      <c r="C494" s="52">
        <v>303164.42660128803</v>
      </c>
      <c r="D494" s="56">
        <v>7.7505622741197641E-2</v>
      </c>
      <c r="E494" s="224">
        <v>1243.75555555555</v>
      </c>
      <c r="F494" s="515" t="s">
        <v>918</v>
      </c>
      <c r="G494" s="52">
        <v>254342.835384973</v>
      </c>
      <c r="H494" s="56">
        <v>8.7801179635423193E-2</v>
      </c>
      <c r="I494" s="224">
        <v>1328.19696969696</v>
      </c>
    </row>
    <row r="495" spans="1:9" x14ac:dyDescent="0.25">
      <c r="A495" s="515">
        <v>60411</v>
      </c>
      <c r="B495" s="515" t="s">
        <v>394</v>
      </c>
      <c r="C495" s="52">
        <v>155248.86505747301</v>
      </c>
      <c r="D495" s="56">
        <v>8.508470090444023E-2</v>
      </c>
      <c r="E495" s="224">
        <v>1610.55555555555</v>
      </c>
      <c r="F495" s="515" t="s">
        <v>2376</v>
      </c>
      <c r="G495" s="52">
        <v>479590.53197493398</v>
      </c>
      <c r="H495" s="56">
        <v>4.682251274297692E-2</v>
      </c>
      <c r="I495" s="224">
        <v>2280.4165140415098</v>
      </c>
    </row>
    <row r="496" spans="1:9" x14ac:dyDescent="0.25">
      <c r="A496" s="515">
        <v>65203</v>
      </c>
      <c r="B496" s="515" t="s">
        <v>785</v>
      </c>
      <c r="C496" s="52">
        <v>316105.81263634498</v>
      </c>
      <c r="D496" s="56">
        <v>8.0814963131670678E-2</v>
      </c>
      <c r="E496" s="224">
        <v>1027.625</v>
      </c>
      <c r="F496" s="515" t="s">
        <v>2377</v>
      </c>
      <c r="G496" s="52">
        <v>1628629.3693800201</v>
      </c>
      <c r="H496" s="56">
        <v>-5.4232863589205614E-2</v>
      </c>
      <c r="I496" s="224">
        <v>3630.9737611968699</v>
      </c>
    </row>
    <row r="497" spans="1:9" x14ac:dyDescent="0.25">
      <c r="A497" s="515">
        <v>30101</v>
      </c>
      <c r="B497" s="515" t="s">
        <v>957</v>
      </c>
      <c r="C497" s="52">
        <v>406352.98140550201</v>
      </c>
      <c r="D497" s="56">
        <v>9.6996112630320958E-2</v>
      </c>
      <c r="E497" s="224">
        <v>2169.87619047619</v>
      </c>
      <c r="F497" s="515" t="s">
        <v>2378</v>
      </c>
      <c r="G497" s="52">
        <v>334882.01206922199</v>
      </c>
      <c r="H497" s="56">
        <v>6.9980010947706409E-2</v>
      </c>
      <c r="I497" s="224">
        <v>1988.6375497567401</v>
      </c>
    </row>
    <row r="498" spans="1:9" x14ac:dyDescent="0.25">
      <c r="A498" s="515">
        <v>10460</v>
      </c>
      <c r="B498" s="515" t="s">
        <v>324</v>
      </c>
      <c r="C498" s="52">
        <v>352753.82636597601</v>
      </c>
      <c r="D498" s="56">
        <v>-5.6823468810780015E-2</v>
      </c>
      <c r="E498" s="224">
        <v>1978.6666666666599</v>
      </c>
      <c r="F498" s="515" t="s">
        <v>2379</v>
      </c>
      <c r="G498" s="52">
        <v>883369.81993257499</v>
      </c>
      <c r="H498" s="56">
        <v>3.6623180517815802E-2</v>
      </c>
      <c r="I498" s="224">
        <v>2891.1111111111099</v>
      </c>
    </row>
    <row r="499" spans="1:9" x14ac:dyDescent="0.25">
      <c r="A499" s="515">
        <v>23320</v>
      </c>
      <c r="B499" s="515" t="s">
        <v>301</v>
      </c>
      <c r="C499" s="52">
        <v>334314.33807025</v>
      </c>
      <c r="D499" s="56">
        <v>5.8442810346382129E-2</v>
      </c>
      <c r="E499" s="224">
        <v>1769.9088319088301</v>
      </c>
      <c r="F499" s="515" t="s">
        <v>856</v>
      </c>
      <c r="G499" s="52">
        <v>305918.03925271798</v>
      </c>
      <c r="H499" s="56">
        <v>6.7859240370005666E-2</v>
      </c>
      <c r="I499" s="224">
        <v>1285.69444444444</v>
      </c>
    </row>
    <row r="500" spans="1:9" x14ac:dyDescent="0.25">
      <c r="A500" s="515">
        <v>8854</v>
      </c>
      <c r="B500" s="515" t="s">
        <v>324</v>
      </c>
      <c r="C500" s="52">
        <v>443964.51382251101</v>
      </c>
      <c r="D500" s="56">
        <v>4.5917093960337219E-2</v>
      </c>
      <c r="E500" s="224">
        <v>2488.8111111111102</v>
      </c>
      <c r="F500" s="515" t="s">
        <v>1340</v>
      </c>
      <c r="G500" s="52">
        <v>320579.853563121</v>
      </c>
      <c r="H500" s="56">
        <v>9.9495746171543054E-2</v>
      </c>
      <c r="I500" s="224">
        <v>1537.71862745098</v>
      </c>
    </row>
    <row r="501" spans="1:9" x14ac:dyDescent="0.25">
      <c r="A501" s="515">
        <v>33177</v>
      </c>
      <c r="B501" s="515" t="s">
        <v>831</v>
      </c>
      <c r="C501" s="52">
        <v>475261.833569268</v>
      </c>
      <c r="D501" s="56">
        <v>0.1286239921878943</v>
      </c>
      <c r="E501" s="224">
        <v>2669.7161616161602</v>
      </c>
      <c r="F501" s="515" t="s">
        <v>2380</v>
      </c>
      <c r="G501" s="52">
        <v>652173.94715175498</v>
      </c>
      <c r="H501" s="56">
        <v>2.8803676787725902E-2</v>
      </c>
      <c r="I501" s="224">
        <v>2046.1374643874601</v>
      </c>
    </row>
    <row r="502" spans="1:9" x14ac:dyDescent="0.25">
      <c r="A502" s="515">
        <v>32068</v>
      </c>
      <c r="B502" s="515" t="s">
        <v>1158</v>
      </c>
      <c r="C502" s="52">
        <v>327013.96609681402</v>
      </c>
      <c r="D502" s="56">
        <v>9.1846572534316245E-2</v>
      </c>
      <c r="E502" s="224">
        <v>2008.60227272727</v>
      </c>
      <c r="F502" s="515" t="s">
        <v>1327</v>
      </c>
      <c r="G502" s="52">
        <v>176048.775350732</v>
      </c>
      <c r="H502" s="56">
        <v>6.5522321722294011E-2</v>
      </c>
      <c r="I502" s="224">
        <v>1212.63888888888</v>
      </c>
    </row>
    <row r="503" spans="1:9" x14ac:dyDescent="0.25">
      <c r="A503" s="515">
        <v>93030</v>
      </c>
      <c r="B503" s="515" t="s">
        <v>1021</v>
      </c>
      <c r="C503" s="52">
        <v>680596.22566392098</v>
      </c>
      <c r="D503" s="56">
        <v>1.4874831464033185E-2</v>
      </c>
      <c r="E503" s="224">
        <v>2634.38095238095</v>
      </c>
      <c r="F503" s="515" t="s">
        <v>600</v>
      </c>
      <c r="G503" s="52">
        <v>583478.91531348799</v>
      </c>
      <c r="H503" s="56">
        <v>7.1691107159498585E-2</v>
      </c>
      <c r="I503" s="224">
        <v>2317.6964285714198</v>
      </c>
    </row>
    <row r="504" spans="1:9" x14ac:dyDescent="0.25">
      <c r="A504" s="515">
        <v>33458</v>
      </c>
      <c r="B504" s="515" t="s">
        <v>831</v>
      </c>
      <c r="C504" s="52">
        <v>583785.14759119996</v>
      </c>
      <c r="D504" s="56">
        <v>0.11812135942421445</v>
      </c>
      <c r="E504" s="224">
        <v>3027.3151515151499</v>
      </c>
      <c r="F504" s="515" t="s">
        <v>1067</v>
      </c>
      <c r="G504" s="52">
        <v>178839.03684307501</v>
      </c>
      <c r="H504" s="56">
        <v>0.16109022247142804</v>
      </c>
      <c r="I504" s="224">
        <v>1319.18518518518</v>
      </c>
    </row>
    <row r="505" spans="1:9" x14ac:dyDescent="0.25">
      <c r="A505" s="515">
        <v>28314</v>
      </c>
      <c r="B505" s="515" t="s">
        <v>1149</v>
      </c>
      <c r="C505" s="52">
        <v>189528.26864679999</v>
      </c>
      <c r="D505" s="56">
        <v>0.1921375981884772</v>
      </c>
      <c r="E505" s="224">
        <v>1373.23096511331</v>
      </c>
      <c r="F505" s="515" t="s">
        <v>2381</v>
      </c>
      <c r="G505" s="52">
        <v>344440.109227782</v>
      </c>
      <c r="H505" s="56">
        <v>0.11337750845031334</v>
      </c>
      <c r="I505" s="224">
        <v>1764.91965811965</v>
      </c>
    </row>
    <row r="506" spans="1:9" x14ac:dyDescent="0.25">
      <c r="A506" s="515">
        <v>91406</v>
      </c>
      <c r="B506" s="515" t="s">
        <v>375</v>
      </c>
      <c r="C506" s="52">
        <v>788135.89023529796</v>
      </c>
      <c r="D506" s="56">
        <v>3.26503062512533E-2</v>
      </c>
      <c r="E506" s="224">
        <v>2446.4555555555498</v>
      </c>
      <c r="F506" s="515" t="s">
        <v>821</v>
      </c>
      <c r="G506" s="52">
        <v>232871.33221026699</v>
      </c>
      <c r="H506" s="56">
        <v>7.3240845371595614E-2</v>
      </c>
      <c r="I506" s="224">
        <v>1135.1666666666599</v>
      </c>
    </row>
    <row r="507" spans="1:9" x14ac:dyDescent="0.25">
      <c r="A507" s="515">
        <v>37027</v>
      </c>
      <c r="B507" s="515" t="s">
        <v>684</v>
      </c>
      <c r="C507" s="52">
        <v>1022609.95610202</v>
      </c>
      <c r="D507" s="56">
        <v>0.12561199755491323</v>
      </c>
      <c r="E507" s="224">
        <v>2467.7999999999902</v>
      </c>
      <c r="F507" s="515" t="s">
        <v>1295</v>
      </c>
      <c r="G507" s="52">
        <v>207904.627174066</v>
      </c>
      <c r="H507" s="56">
        <v>5.1531458126600489E-2</v>
      </c>
      <c r="I507" s="224">
        <v>1056.2952380952299</v>
      </c>
    </row>
    <row r="508" spans="1:9" x14ac:dyDescent="0.25">
      <c r="A508" s="515">
        <v>77015</v>
      </c>
      <c r="B508" s="515" t="s">
        <v>314</v>
      </c>
      <c r="C508" s="52">
        <v>200945.450584537</v>
      </c>
      <c r="D508" s="56">
        <v>0.1500038704737677</v>
      </c>
      <c r="E508" s="224">
        <v>978.17765567765503</v>
      </c>
      <c r="F508" s="515" t="s">
        <v>551</v>
      </c>
      <c r="G508" s="52">
        <v>189984.46219182599</v>
      </c>
      <c r="H508" s="56">
        <v>2.0773180019455561E-2</v>
      </c>
      <c r="I508" s="224">
        <v>1301.7857142857099</v>
      </c>
    </row>
    <row r="509" spans="1:9" x14ac:dyDescent="0.25">
      <c r="A509" s="515">
        <v>29681</v>
      </c>
      <c r="B509" s="515" t="s">
        <v>613</v>
      </c>
      <c r="C509" s="52">
        <v>360853.010401042</v>
      </c>
      <c r="D509" s="56">
        <v>0.11611556217247403</v>
      </c>
      <c r="E509" s="224">
        <v>1819</v>
      </c>
      <c r="F509" s="515" t="s">
        <v>2382</v>
      </c>
      <c r="G509" s="52">
        <v>328784.86511293199</v>
      </c>
      <c r="H509" s="56">
        <v>7.5611700848480026E-2</v>
      </c>
      <c r="I509" s="224">
        <v>1651.0777777777701</v>
      </c>
    </row>
    <row r="510" spans="1:9" x14ac:dyDescent="0.25">
      <c r="A510" s="515">
        <v>77840</v>
      </c>
      <c r="B510" s="515" t="s">
        <v>346</v>
      </c>
      <c r="C510" s="52">
        <v>257657.32639784901</v>
      </c>
      <c r="D510" s="56">
        <v>9.0959560428626851E-2</v>
      </c>
      <c r="E510" s="224">
        <v>1728.6727982162699</v>
      </c>
      <c r="F510" s="515" t="s">
        <v>2383</v>
      </c>
      <c r="G510" s="52">
        <v>310588.01662890398</v>
      </c>
      <c r="H510" s="56">
        <v>0.12181411184747057</v>
      </c>
      <c r="I510" s="224">
        <v>2242.3449328449301</v>
      </c>
    </row>
    <row r="511" spans="1:9" x14ac:dyDescent="0.25">
      <c r="A511" s="515">
        <v>34711</v>
      </c>
      <c r="B511" s="515" t="s">
        <v>517</v>
      </c>
      <c r="C511" s="52">
        <v>418448.90968952997</v>
      </c>
      <c r="D511" s="56">
        <v>9.8400499219981147E-2</v>
      </c>
      <c r="E511" s="224">
        <v>2122.31011904761</v>
      </c>
      <c r="F511" s="515" t="s">
        <v>1307</v>
      </c>
      <c r="G511" s="52">
        <v>239993.70887145901</v>
      </c>
      <c r="H511" s="56">
        <v>4.417247302597576E-2</v>
      </c>
      <c r="I511" s="224">
        <v>1607.6996336996301</v>
      </c>
    </row>
    <row r="512" spans="1:9" x14ac:dyDescent="0.25">
      <c r="A512" s="515">
        <v>92346</v>
      </c>
      <c r="B512" s="515" t="s">
        <v>599</v>
      </c>
      <c r="C512" s="52">
        <v>504315.42798971798</v>
      </c>
      <c r="D512" s="56">
        <v>5.232891862560652E-2</v>
      </c>
      <c r="E512" s="224">
        <v>2300.2777777777701</v>
      </c>
      <c r="F512" s="515" t="s">
        <v>695</v>
      </c>
      <c r="G512" s="52">
        <v>134317.768512532</v>
      </c>
      <c r="H512" s="56">
        <v>0.11573835167542491</v>
      </c>
      <c r="I512" s="224">
        <v>1211.5</v>
      </c>
    </row>
    <row r="513" spans="1:9" x14ac:dyDescent="0.25">
      <c r="A513" s="515">
        <v>85035</v>
      </c>
      <c r="B513" s="515" t="s">
        <v>563</v>
      </c>
      <c r="C513" s="52">
        <v>305286.47401314398</v>
      </c>
      <c r="D513" s="56">
        <v>6.5937800595873203E-2</v>
      </c>
      <c r="E513" s="224">
        <v>1506.12222222222</v>
      </c>
      <c r="F513" s="515" t="s">
        <v>2384</v>
      </c>
      <c r="G513" s="52">
        <v>381039.45202838199</v>
      </c>
      <c r="H513" s="56">
        <v>3.9531252492721186E-2</v>
      </c>
      <c r="I513" s="224">
        <v>1763.0833333333301</v>
      </c>
    </row>
    <row r="514" spans="1:9" x14ac:dyDescent="0.25">
      <c r="A514" s="515">
        <v>33511</v>
      </c>
      <c r="B514" s="515" t="s">
        <v>461</v>
      </c>
      <c r="C514" s="52">
        <v>358414.393522272</v>
      </c>
      <c r="D514" s="56">
        <v>9.010840698472708E-2</v>
      </c>
      <c r="E514" s="224">
        <v>2051.6449714536602</v>
      </c>
      <c r="F514" s="515" t="s">
        <v>364</v>
      </c>
      <c r="G514" s="52">
        <v>116602.890025917</v>
      </c>
      <c r="H514" s="56">
        <v>0.10400658150575839</v>
      </c>
      <c r="I514" s="224">
        <v>927.06628787878697</v>
      </c>
    </row>
    <row r="515" spans="1:9" x14ac:dyDescent="0.25">
      <c r="A515" s="515">
        <v>60453</v>
      </c>
      <c r="B515" s="515" t="s">
        <v>394</v>
      </c>
      <c r="C515" s="52">
        <v>246236.07008027501</v>
      </c>
      <c r="D515" s="56">
        <v>2.974044983388208E-2</v>
      </c>
      <c r="E515" s="224">
        <v>1589.5</v>
      </c>
      <c r="F515" s="515" t="s">
        <v>2385</v>
      </c>
      <c r="G515" s="52">
        <v>455504.85376717598</v>
      </c>
      <c r="H515" s="56">
        <v>0.10722283206694573</v>
      </c>
      <c r="I515" s="224">
        <v>2065.3333333333298</v>
      </c>
    </row>
    <row r="516" spans="1:9" x14ac:dyDescent="0.25">
      <c r="A516" s="515">
        <v>92243</v>
      </c>
      <c r="B516" s="515" t="s">
        <v>621</v>
      </c>
      <c r="C516" s="52">
        <v>303608.483383952</v>
      </c>
      <c r="D516" s="56">
        <v>1.6829496014690692E-2</v>
      </c>
      <c r="E516" s="224" t="s">
        <v>2</v>
      </c>
      <c r="F516" s="515" t="s">
        <v>2386</v>
      </c>
      <c r="G516" s="52">
        <v>492900.12396298198</v>
      </c>
      <c r="H516" s="56">
        <v>0.14514401157747692</v>
      </c>
      <c r="I516" s="224">
        <v>2995.0482459088798</v>
      </c>
    </row>
    <row r="517" spans="1:9" x14ac:dyDescent="0.25">
      <c r="A517" s="515">
        <v>30066</v>
      </c>
      <c r="B517" s="515" t="s">
        <v>957</v>
      </c>
      <c r="C517" s="52">
        <v>401572.16418840701</v>
      </c>
      <c r="D517" s="56">
        <v>8.0878345915181088E-2</v>
      </c>
      <c r="E517" s="224">
        <v>1957.4494505494499</v>
      </c>
      <c r="F517" s="515" t="s">
        <v>930</v>
      </c>
      <c r="G517" s="52">
        <v>324960.79754816199</v>
      </c>
      <c r="H517" s="56">
        <v>5.0090509575010933E-2</v>
      </c>
      <c r="I517" s="224">
        <v>1236.2777777777701</v>
      </c>
    </row>
    <row r="518" spans="1:9" x14ac:dyDescent="0.25">
      <c r="A518" s="515">
        <v>30083</v>
      </c>
      <c r="B518" s="515" t="s">
        <v>957</v>
      </c>
      <c r="C518" s="52">
        <v>254945.56666378101</v>
      </c>
      <c r="D518" s="56">
        <v>0.13330026300918693</v>
      </c>
      <c r="E518" s="224">
        <v>1625.41934046345</v>
      </c>
      <c r="F518" s="515" t="s">
        <v>2387</v>
      </c>
      <c r="G518" s="52">
        <v>385855.20841615798</v>
      </c>
      <c r="H518" s="56">
        <v>4.431581539990357E-2</v>
      </c>
      <c r="I518" s="224">
        <v>1516.7645502645501</v>
      </c>
    </row>
    <row r="519" spans="1:9" x14ac:dyDescent="0.25">
      <c r="A519" s="515">
        <v>48228</v>
      </c>
      <c r="B519" s="515" t="s">
        <v>685</v>
      </c>
      <c r="C519" s="52">
        <v>58174.142790049998</v>
      </c>
      <c r="D519" s="56">
        <v>6.5513271237832557E-2</v>
      </c>
      <c r="E519" s="224">
        <v>1064.73809523809</v>
      </c>
      <c r="F519" s="515" t="s">
        <v>2388</v>
      </c>
      <c r="G519" s="52">
        <v>474139.65223757102</v>
      </c>
      <c r="H519" s="56">
        <v>3.3915255037837003E-2</v>
      </c>
      <c r="I519" s="224">
        <v>2142.7348484848399</v>
      </c>
    </row>
    <row r="520" spans="1:9" x14ac:dyDescent="0.25">
      <c r="A520" s="515">
        <v>85326</v>
      </c>
      <c r="B520" s="515" t="s">
        <v>563</v>
      </c>
      <c r="C520" s="52">
        <v>367787.51501882699</v>
      </c>
      <c r="D520" s="56">
        <v>3.3540615280439036E-2</v>
      </c>
      <c r="E520" s="224">
        <v>1928.0070707070699</v>
      </c>
      <c r="F520" s="515" t="s">
        <v>2389</v>
      </c>
      <c r="G520" s="52">
        <v>386282.80968848499</v>
      </c>
      <c r="H520" s="56">
        <v>2.4999315182968683E-2</v>
      </c>
      <c r="I520" s="224">
        <v>1954.46477272727</v>
      </c>
    </row>
    <row r="521" spans="1:9" x14ac:dyDescent="0.25">
      <c r="A521" s="515">
        <v>94087</v>
      </c>
      <c r="B521" s="515" t="s">
        <v>850</v>
      </c>
      <c r="C521" s="52">
        <v>2266964.8415584699</v>
      </c>
      <c r="D521" s="56">
        <v>4.9360289912810676E-2</v>
      </c>
      <c r="E521" s="224">
        <v>3251.9995782726</v>
      </c>
      <c r="F521" s="515" t="s">
        <v>2390</v>
      </c>
      <c r="G521" s="52">
        <v>1253629.9059403699</v>
      </c>
      <c r="H521" s="56">
        <v>5.0280634501452454E-2</v>
      </c>
      <c r="I521" s="224">
        <v>2969.3283730158701</v>
      </c>
    </row>
    <row r="522" spans="1:9" x14ac:dyDescent="0.25">
      <c r="A522" s="515">
        <v>92057</v>
      </c>
      <c r="B522" s="515" t="s">
        <v>396</v>
      </c>
      <c r="C522" s="52">
        <v>709541.44011891098</v>
      </c>
      <c r="D522" s="56">
        <v>4.4832264549451363E-2</v>
      </c>
      <c r="E522" s="224">
        <v>3044.5434981684898</v>
      </c>
      <c r="F522" s="515" t="s">
        <v>2391</v>
      </c>
      <c r="G522" s="52">
        <v>348837.31129172002</v>
      </c>
      <c r="H522" s="56">
        <v>9.1702746897069823E-2</v>
      </c>
      <c r="I522" s="224">
        <v>2058.6593895948699</v>
      </c>
    </row>
    <row r="523" spans="1:9" x14ac:dyDescent="0.25">
      <c r="A523" s="515">
        <v>60630</v>
      </c>
      <c r="B523" s="515" t="s">
        <v>394</v>
      </c>
      <c r="C523" s="52">
        <v>335688.344935245</v>
      </c>
      <c r="D523" s="56">
        <v>-3.8527554581969459E-3</v>
      </c>
      <c r="E523" s="224">
        <v>1511.1111111111099</v>
      </c>
      <c r="F523" s="515" t="s">
        <v>2392</v>
      </c>
      <c r="G523" s="52">
        <v>1058473.1356081599</v>
      </c>
      <c r="H523" s="56">
        <v>1.4856897751907383E-2</v>
      </c>
      <c r="I523" s="224">
        <v>2840.9318419675501</v>
      </c>
    </row>
    <row r="524" spans="1:9" x14ac:dyDescent="0.25">
      <c r="A524" s="515">
        <v>29732</v>
      </c>
      <c r="B524" s="515" t="s">
        <v>360</v>
      </c>
      <c r="C524" s="52">
        <v>316927.717208424</v>
      </c>
      <c r="D524" s="56">
        <v>7.9552796457335609E-2</v>
      </c>
      <c r="E524" s="224">
        <v>1497.51111111111</v>
      </c>
      <c r="F524" s="515" t="s">
        <v>2393</v>
      </c>
      <c r="G524" s="52">
        <v>182419.45046894299</v>
      </c>
      <c r="H524" s="56">
        <v>0.10088371790272248</v>
      </c>
      <c r="I524" s="224">
        <v>1363.57142857142</v>
      </c>
    </row>
    <row r="525" spans="1:9" x14ac:dyDescent="0.25">
      <c r="A525" s="515">
        <v>43015</v>
      </c>
      <c r="B525" s="515" t="s">
        <v>345</v>
      </c>
      <c r="C525" s="52">
        <v>345156.02635447</v>
      </c>
      <c r="D525" s="56">
        <v>9.5343669775894466E-2</v>
      </c>
      <c r="E525" s="224">
        <v>1788.32121212121</v>
      </c>
      <c r="F525" s="515" t="s">
        <v>2394</v>
      </c>
      <c r="G525" s="52">
        <v>412316.01685528998</v>
      </c>
      <c r="H525" s="56">
        <v>7.0279471333751578E-2</v>
      </c>
      <c r="I525" s="224">
        <v>1852.6734006734</v>
      </c>
    </row>
    <row r="526" spans="1:9" x14ac:dyDescent="0.25">
      <c r="A526" s="515">
        <v>55044</v>
      </c>
      <c r="B526" s="515" t="s">
        <v>532</v>
      </c>
      <c r="C526" s="52">
        <v>483104.45120034902</v>
      </c>
      <c r="D526" s="56">
        <v>4.4027773219356102E-2</v>
      </c>
      <c r="E526" s="224">
        <v>1946.4761904761899</v>
      </c>
      <c r="F526" s="515" t="s">
        <v>2395</v>
      </c>
      <c r="G526" s="52">
        <v>322962.89771030197</v>
      </c>
      <c r="H526" s="56">
        <v>0.13829364044915002</v>
      </c>
      <c r="I526" s="224">
        <v>1794.71186647173</v>
      </c>
    </row>
    <row r="527" spans="1:9" x14ac:dyDescent="0.25">
      <c r="A527" s="515">
        <v>37167</v>
      </c>
      <c r="B527" s="515" t="s">
        <v>684</v>
      </c>
      <c r="C527" s="52">
        <v>377668.57784426701</v>
      </c>
      <c r="D527" s="56">
        <v>6.6433194357936126E-2</v>
      </c>
      <c r="E527" s="224">
        <v>2015.74537037037</v>
      </c>
      <c r="F527" s="515" t="s">
        <v>2396</v>
      </c>
      <c r="G527" s="52">
        <v>345381.60055836802</v>
      </c>
      <c r="H527" s="56">
        <v>8.6027733805178405E-2</v>
      </c>
      <c r="I527" s="224">
        <v>1938.53247694334</v>
      </c>
    </row>
    <row r="528" spans="1:9" x14ac:dyDescent="0.25">
      <c r="A528" s="515">
        <v>27284</v>
      </c>
      <c r="B528" s="515" t="s">
        <v>735</v>
      </c>
      <c r="C528" s="52">
        <v>284754.920145938</v>
      </c>
      <c r="D528" s="56">
        <v>0.11168210317474177</v>
      </c>
      <c r="E528" s="224">
        <v>1752.3333333333301</v>
      </c>
      <c r="F528" s="515" t="s">
        <v>2397</v>
      </c>
      <c r="G528" s="52">
        <v>368888.199295656</v>
      </c>
      <c r="H528" s="56">
        <v>9.0602739858463052E-2</v>
      </c>
      <c r="I528" s="224">
        <v>1628.6071428571399</v>
      </c>
    </row>
    <row r="529" spans="1:9" x14ac:dyDescent="0.25">
      <c r="A529" s="515">
        <v>28655</v>
      </c>
      <c r="B529" s="515" t="s">
        <v>638</v>
      </c>
      <c r="C529" s="52">
        <v>216673.910403847</v>
      </c>
      <c r="D529" s="56">
        <v>0.15673456511831255</v>
      </c>
      <c r="E529" s="224" t="s">
        <v>2</v>
      </c>
      <c r="F529" s="515" t="s">
        <v>2398</v>
      </c>
      <c r="G529" s="52">
        <v>704681.00868164597</v>
      </c>
      <c r="H529" s="56">
        <v>0.14581591350416959</v>
      </c>
      <c r="I529" s="224">
        <v>2156.1131161236399</v>
      </c>
    </row>
    <row r="530" spans="1:9" x14ac:dyDescent="0.25">
      <c r="A530" s="515">
        <v>97045</v>
      </c>
      <c r="B530" s="515" t="s">
        <v>659</v>
      </c>
      <c r="C530" s="52">
        <v>567182.69264542602</v>
      </c>
      <c r="D530" s="56">
        <v>2.405566989508346E-2</v>
      </c>
      <c r="E530" s="224">
        <v>2001.38888888888</v>
      </c>
      <c r="F530" s="515" t="s">
        <v>2399</v>
      </c>
      <c r="G530" s="52">
        <v>357163.74969723599</v>
      </c>
      <c r="H530" s="56">
        <v>8.9736512813162875E-2</v>
      </c>
      <c r="I530" s="224">
        <v>2023.4203703703699</v>
      </c>
    </row>
    <row r="531" spans="1:9" x14ac:dyDescent="0.25">
      <c r="A531" s="515">
        <v>37122</v>
      </c>
      <c r="B531" s="515" t="s">
        <v>684</v>
      </c>
      <c r="C531" s="52">
        <v>527193.33677147899</v>
      </c>
      <c r="D531" s="56">
        <v>8.9003452334506725E-2</v>
      </c>
      <c r="E531" s="224">
        <v>2333.1666666666601</v>
      </c>
      <c r="F531" s="515" t="s">
        <v>2400</v>
      </c>
      <c r="G531" s="52">
        <v>550401.29619046405</v>
      </c>
      <c r="H531" s="56">
        <v>7.2918794953229921E-2</v>
      </c>
      <c r="I531" s="224">
        <v>1903.12011241446</v>
      </c>
    </row>
    <row r="532" spans="1:9" x14ac:dyDescent="0.25">
      <c r="A532" s="515">
        <v>95648</v>
      </c>
      <c r="B532" s="515" t="s">
        <v>355</v>
      </c>
      <c r="C532" s="52">
        <v>617806.38445058395</v>
      </c>
      <c r="D532" s="56">
        <v>6.0124543881150301E-3</v>
      </c>
      <c r="E532" s="224">
        <v>2608.1666666666601</v>
      </c>
      <c r="F532" s="515" t="s">
        <v>2401</v>
      </c>
      <c r="G532" s="52">
        <v>539888.81659572502</v>
      </c>
      <c r="H532" s="56">
        <v>2.6298499023876157E-2</v>
      </c>
      <c r="I532" s="224">
        <v>1844.71978021978</v>
      </c>
    </row>
    <row r="533" spans="1:9" x14ac:dyDescent="0.25">
      <c r="A533" s="515">
        <v>77386</v>
      </c>
      <c r="B533" s="515" t="s">
        <v>314</v>
      </c>
      <c r="C533" s="52">
        <v>356555.78795429697</v>
      </c>
      <c r="D533" s="56">
        <v>7.8599983184557548E-2</v>
      </c>
      <c r="E533" s="224">
        <v>2044.7083333333301</v>
      </c>
      <c r="F533" s="515" t="s">
        <v>1174</v>
      </c>
      <c r="G533" s="52">
        <v>198348.065276301</v>
      </c>
      <c r="H533" s="56">
        <v>7.6390639396316476E-2</v>
      </c>
      <c r="I533" s="224">
        <v>1167.88888888888</v>
      </c>
    </row>
    <row r="534" spans="1:9" x14ac:dyDescent="0.25">
      <c r="A534" s="515">
        <v>27713</v>
      </c>
      <c r="B534" s="515" t="s">
        <v>467</v>
      </c>
      <c r="C534" s="52">
        <v>406027.27746168303</v>
      </c>
      <c r="D534" s="56">
        <v>6.9362328076837079E-2</v>
      </c>
      <c r="E534" s="224">
        <v>1703.6902356902301</v>
      </c>
      <c r="F534" s="515" t="s">
        <v>2402</v>
      </c>
      <c r="G534" s="52">
        <v>295280.14633564302</v>
      </c>
      <c r="H534" s="56">
        <v>0.11126577034080763</v>
      </c>
      <c r="I534" s="224">
        <v>1747.2089947089901</v>
      </c>
    </row>
    <row r="535" spans="1:9" x14ac:dyDescent="0.25">
      <c r="A535" s="515">
        <v>33165</v>
      </c>
      <c r="B535" s="515" t="s">
        <v>831</v>
      </c>
      <c r="C535" s="52">
        <v>560215.78915905696</v>
      </c>
      <c r="D535" s="56">
        <v>0.14898082958614733</v>
      </c>
      <c r="E535" s="224">
        <v>3306.6666666666601</v>
      </c>
      <c r="F535" s="515" t="s">
        <v>2403</v>
      </c>
      <c r="G535" s="52">
        <v>496581.214614989</v>
      </c>
      <c r="H535" s="56">
        <v>2.0587688774655114E-2</v>
      </c>
      <c r="I535" s="224">
        <v>1721.35281385281</v>
      </c>
    </row>
    <row r="536" spans="1:9" x14ac:dyDescent="0.25">
      <c r="A536" s="515">
        <v>45601</v>
      </c>
      <c r="B536" s="515" t="s">
        <v>437</v>
      </c>
      <c r="C536" s="52">
        <v>163930.87689619599</v>
      </c>
      <c r="D536" s="56">
        <v>5.7292551000787985E-2</v>
      </c>
      <c r="E536" s="224" t="s">
        <v>2</v>
      </c>
      <c r="F536" s="515" t="s">
        <v>587</v>
      </c>
      <c r="G536" s="52">
        <v>278458.43320632802</v>
      </c>
      <c r="H536" s="56">
        <v>8.8513507694138835E-2</v>
      </c>
      <c r="I536" s="224">
        <v>1218.4050463989399</v>
      </c>
    </row>
    <row r="537" spans="1:9" x14ac:dyDescent="0.25">
      <c r="A537" s="515">
        <v>80504</v>
      </c>
      <c r="B537" s="515" t="s">
        <v>382</v>
      </c>
      <c r="C537" s="52">
        <v>579614.55147193104</v>
      </c>
      <c r="D537" s="56">
        <v>2.0797967929452117E-2</v>
      </c>
      <c r="E537" s="224">
        <v>2075.1666666666601</v>
      </c>
      <c r="F537" s="515" t="s">
        <v>1349</v>
      </c>
      <c r="G537" s="52">
        <v>292386.21984891902</v>
      </c>
      <c r="H537" s="56">
        <v>0.10600978107551366</v>
      </c>
      <c r="I537" s="224">
        <v>1863.1337068160501</v>
      </c>
    </row>
    <row r="538" spans="1:9" x14ac:dyDescent="0.25">
      <c r="A538" s="515">
        <v>33312</v>
      </c>
      <c r="B538" s="515" t="s">
        <v>831</v>
      </c>
      <c r="C538" s="52">
        <v>434008.05977428501</v>
      </c>
      <c r="D538" s="56">
        <v>0.13133859927162153</v>
      </c>
      <c r="E538" s="224">
        <v>2623.8864468864399</v>
      </c>
      <c r="F538" s="515" t="s">
        <v>2404</v>
      </c>
      <c r="G538" s="52">
        <v>570577.62386602501</v>
      </c>
      <c r="H538" s="56">
        <v>2.1033599787812666E-2</v>
      </c>
      <c r="I538" s="224">
        <v>2397.0879629629599</v>
      </c>
    </row>
    <row r="539" spans="1:9" x14ac:dyDescent="0.25">
      <c r="A539" s="515">
        <v>70726</v>
      </c>
      <c r="B539" s="515" t="s">
        <v>610</v>
      </c>
      <c r="C539" s="52">
        <v>225854.741866383</v>
      </c>
      <c r="D539" s="56">
        <v>4.2798040432512681E-2</v>
      </c>
      <c r="E539" s="224">
        <v>1325.2916666666599</v>
      </c>
      <c r="F539" s="515" t="s">
        <v>2405</v>
      </c>
      <c r="G539" s="52">
        <v>469862.365702949</v>
      </c>
      <c r="H539" s="56">
        <v>0.10076553391104533</v>
      </c>
      <c r="I539" s="224">
        <v>1862.1063011063</v>
      </c>
    </row>
    <row r="540" spans="1:9" x14ac:dyDescent="0.25">
      <c r="A540" s="515">
        <v>95376</v>
      </c>
      <c r="B540" s="515" t="s">
        <v>852</v>
      </c>
      <c r="C540" s="52">
        <v>595344.94704366405</v>
      </c>
      <c r="D540" s="56">
        <v>-1.8554287600148812E-3</v>
      </c>
      <c r="E540" s="224">
        <v>2398.5158730158701</v>
      </c>
      <c r="F540" s="515" t="s">
        <v>2406</v>
      </c>
      <c r="G540" s="52">
        <v>340430.43033484003</v>
      </c>
      <c r="H540" s="56">
        <v>4.708631897200468E-2</v>
      </c>
      <c r="I540" s="224">
        <v>1639.4707756012101</v>
      </c>
    </row>
    <row r="541" spans="1:9" x14ac:dyDescent="0.25">
      <c r="A541" s="515">
        <v>80016</v>
      </c>
      <c r="B541" s="515" t="s">
        <v>401</v>
      </c>
      <c r="C541" s="52">
        <v>739244.27612952504</v>
      </c>
      <c r="D541" s="56">
        <v>2.959361325165687E-2</v>
      </c>
      <c r="E541" s="224">
        <v>1929.2801769380701</v>
      </c>
      <c r="F541" s="515" t="s">
        <v>2407</v>
      </c>
      <c r="G541" s="52">
        <v>446113.30402899598</v>
      </c>
      <c r="H541" s="56">
        <v>2.3489216886436612E-2</v>
      </c>
      <c r="I541" s="224">
        <v>1865.6527777777701</v>
      </c>
    </row>
    <row r="542" spans="1:9" x14ac:dyDescent="0.25">
      <c r="A542" s="515">
        <v>37130</v>
      </c>
      <c r="B542" s="515" t="s">
        <v>684</v>
      </c>
      <c r="C542" s="52">
        <v>337132.08836421301</v>
      </c>
      <c r="D542" s="56">
        <v>6.6925018659325888E-2</v>
      </c>
      <c r="E542" s="224">
        <v>1685.4160052909999</v>
      </c>
      <c r="F542" s="515" t="s">
        <v>2408</v>
      </c>
      <c r="G542" s="52">
        <v>396444.63333259901</v>
      </c>
      <c r="H542" s="56">
        <v>8.9318520281209429E-2</v>
      </c>
      <c r="I542" s="224">
        <v>1761.0956160241799</v>
      </c>
    </row>
    <row r="543" spans="1:9" x14ac:dyDescent="0.25">
      <c r="A543" s="515">
        <v>60506</v>
      </c>
      <c r="B543" s="515" t="s">
        <v>394</v>
      </c>
      <c r="C543" s="52">
        <v>241407.17026665801</v>
      </c>
      <c r="D543" s="56">
        <v>7.4410926868604899E-2</v>
      </c>
      <c r="E543" s="224" t="s">
        <v>2</v>
      </c>
      <c r="F543" s="515" t="s">
        <v>2409</v>
      </c>
      <c r="G543" s="52">
        <v>646453.28316094796</v>
      </c>
      <c r="H543" s="56">
        <v>4.2790789534443326E-2</v>
      </c>
      <c r="I543" s="224">
        <v>2010.4112619406701</v>
      </c>
    </row>
    <row r="544" spans="1:9" x14ac:dyDescent="0.25">
      <c r="A544" s="515">
        <v>60016</v>
      </c>
      <c r="B544" s="515" t="s">
        <v>394</v>
      </c>
      <c r="C544" s="52">
        <v>258186.62147911399</v>
      </c>
      <c r="D544" s="56">
        <v>2.229155549176437E-2</v>
      </c>
      <c r="E544" s="224">
        <v>1804.69841269841</v>
      </c>
      <c r="F544" s="515" t="s">
        <v>2410</v>
      </c>
      <c r="G544" s="52">
        <v>2780107.7827244401</v>
      </c>
      <c r="H544" s="56">
        <v>6.4753767028371642E-2</v>
      </c>
      <c r="I544" s="224">
        <v>3691.5849952516601</v>
      </c>
    </row>
    <row r="545" spans="1:9" x14ac:dyDescent="0.25">
      <c r="A545" s="515">
        <v>33161</v>
      </c>
      <c r="B545" s="515" t="s">
        <v>831</v>
      </c>
      <c r="C545" s="52">
        <v>428958.020588418</v>
      </c>
      <c r="D545" s="56">
        <v>0.2095466765606161</v>
      </c>
      <c r="E545" s="224">
        <v>2312.5395763656602</v>
      </c>
      <c r="F545" s="515" t="s">
        <v>2411</v>
      </c>
      <c r="G545" s="52">
        <v>215235.650250354</v>
      </c>
      <c r="H545" s="56">
        <v>8.4504511985329281E-2</v>
      </c>
      <c r="I545" s="224">
        <v>1290.2336182336101</v>
      </c>
    </row>
    <row r="546" spans="1:9" x14ac:dyDescent="0.25">
      <c r="A546" s="515">
        <v>23454</v>
      </c>
      <c r="B546" s="515" t="s">
        <v>301</v>
      </c>
      <c r="C546" s="52">
        <v>383653.538388232</v>
      </c>
      <c r="D546" s="56">
        <v>4.1851894852670178E-2</v>
      </c>
      <c r="E546" s="224">
        <v>1887.2182539682501</v>
      </c>
      <c r="F546" s="515" t="s">
        <v>1024</v>
      </c>
      <c r="G546" s="52">
        <v>185152.84086613299</v>
      </c>
      <c r="H546" s="56">
        <v>0.10783660706672214</v>
      </c>
      <c r="I546" s="224" t="s">
        <v>2</v>
      </c>
    </row>
    <row r="547" spans="1:9" x14ac:dyDescent="0.25">
      <c r="A547" s="515">
        <v>30016</v>
      </c>
      <c r="B547" s="515" t="s">
        <v>957</v>
      </c>
      <c r="C547" s="52">
        <v>279390.41149775602</v>
      </c>
      <c r="D547" s="56">
        <v>0.10776699779203119</v>
      </c>
      <c r="E547" s="224">
        <v>1879.3795278795201</v>
      </c>
      <c r="F547" s="515" t="s">
        <v>645</v>
      </c>
      <c r="G547" s="52">
        <v>216804.91544012399</v>
      </c>
      <c r="H547" s="56">
        <v>0.13089233942196477</v>
      </c>
      <c r="I547" s="224">
        <v>1225.06944444444</v>
      </c>
    </row>
    <row r="548" spans="1:9" x14ac:dyDescent="0.25">
      <c r="A548" s="515">
        <v>78504</v>
      </c>
      <c r="B548" s="515" t="s">
        <v>550</v>
      </c>
      <c r="C548" s="52">
        <v>238144.13222443801</v>
      </c>
      <c r="D548" s="56">
        <v>0.12823568273269206</v>
      </c>
      <c r="E548" s="224">
        <v>1576.2301587301499</v>
      </c>
      <c r="F548" s="515" t="s">
        <v>2412</v>
      </c>
      <c r="G548" s="52">
        <v>301131.36817404098</v>
      </c>
      <c r="H548" s="56">
        <v>0.10873646680433414</v>
      </c>
      <c r="I548" s="224">
        <v>1654.7936507936499</v>
      </c>
    </row>
    <row r="549" spans="1:9" x14ac:dyDescent="0.25">
      <c r="A549" s="515">
        <v>95747</v>
      </c>
      <c r="B549" s="515" t="s">
        <v>355</v>
      </c>
      <c r="C549" s="52">
        <v>648647.72406436899</v>
      </c>
      <c r="D549" s="56">
        <v>1.5173340998324092E-3</v>
      </c>
      <c r="E549" s="224">
        <v>2707.7659932659899</v>
      </c>
      <c r="F549" s="515" t="s">
        <v>2413</v>
      </c>
      <c r="G549" s="52">
        <v>333440.78669089498</v>
      </c>
      <c r="H549" s="56">
        <v>3.7500739396776131E-2</v>
      </c>
      <c r="I549" s="224">
        <v>1671.9805555555499</v>
      </c>
    </row>
    <row r="550" spans="1:9" x14ac:dyDescent="0.25">
      <c r="A550" s="515">
        <v>78254</v>
      </c>
      <c r="B550" s="515" t="s">
        <v>717</v>
      </c>
      <c r="C550" s="52">
        <v>322502.80738562602</v>
      </c>
      <c r="D550" s="56">
        <v>6.3603706405842328E-2</v>
      </c>
      <c r="E550" s="224">
        <v>1763.4621212121201</v>
      </c>
      <c r="F550" s="515" t="s">
        <v>2414</v>
      </c>
      <c r="G550" s="52">
        <v>387618.14539781102</v>
      </c>
      <c r="H550" s="56">
        <v>4.8215435967530883E-2</v>
      </c>
      <c r="I550" s="224">
        <v>1775.4230769230701</v>
      </c>
    </row>
    <row r="551" spans="1:9" x14ac:dyDescent="0.25">
      <c r="A551" s="515">
        <v>97124</v>
      </c>
      <c r="B551" s="515" t="s">
        <v>659</v>
      </c>
      <c r="C551" s="52">
        <v>526846.17325265205</v>
      </c>
      <c r="D551" s="56">
        <v>4.8714636561932347E-2</v>
      </c>
      <c r="E551" s="224">
        <v>2040.87500258879</v>
      </c>
      <c r="F551" s="515" t="s">
        <v>2415</v>
      </c>
      <c r="G551" s="52">
        <v>350628.450825095</v>
      </c>
      <c r="H551" s="56">
        <v>0.11009674753097506</v>
      </c>
      <c r="I551" s="224">
        <v>1880.5652380952299</v>
      </c>
    </row>
    <row r="552" spans="1:9" x14ac:dyDescent="0.25">
      <c r="A552" s="515">
        <v>27603</v>
      </c>
      <c r="B552" s="515" t="s">
        <v>484</v>
      </c>
      <c r="C552" s="52">
        <v>387177.04008898302</v>
      </c>
      <c r="D552" s="56">
        <v>9.7162348521421374E-2</v>
      </c>
      <c r="E552" s="224">
        <v>1744.5722473604801</v>
      </c>
      <c r="F552" s="515" t="s">
        <v>540</v>
      </c>
      <c r="G552" s="52">
        <v>77559.918231492993</v>
      </c>
      <c r="H552" s="56">
        <v>2.5357001235940341E-2</v>
      </c>
      <c r="I552" s="224" t="s">
        <v>2</v>
      </c>
    </row>
    <row r="553" spans="1:9" x14ac:dyDescent="0.25">
      <c r="A553" s="515">
        <v>37128</v>
      </c>
      <c r="B553" s="515" t="s">
        <v>684</v>
      </c>
      <c r="C553" s="52">
        <v>416217.98080985399</v>
      </c>
      <c r="D553" s="56">
        <v>5.4782415862351871E-2</v>
      </c>
      <c r="E553" s="224">
        <v>1842.4228679962</v>
      </c>
      <c r="F553" s="515" t="s">
        <v>2416</v>
      </c>
      <c r="G553" s="52">
        <v>483095.12118858501</v>
      </c>
      <c r="H553" s="56">
        <v>3.1675311166244703E-2</v>
      </c>
      <c r="I553" s="224">
        <v>2186.3800505050499</v>
      </c>
    </row>
    <row r="554" spans="1:9" x14ac:dyDescent="0.25">
      <c r="A554" s="515">
        <v>95828</v>
      </c>
      <c r="B554" s="515" t="s">
        <v>355</v>
      </c>
      <c r="C554" s="52">
        <v>419196.36551477702</v>
      </c>
      <c r="D554" s="56">
        <v>4.082568931788598E-2</v>
      </c>
      <c r="E554" s="224">
        <v>2227.6666666666601</v>
      </c>
      <c r="F554" s="515" t="s">
        <v>2417</v>
      </c>
      <c r="G554" s="52">
        <v>471716.70757221599</v>
      </c>
      <c r="H554" s="56">
        <v>4.4211435475099772E-2</v>
      </c>
      <c r="I554" s="224">
        <v>2219.4444444444398</v>
      </c>
    </row>
    <row r="555" spans="1:9" x14ac:dyDescent="0.25">
      <c r="A555" s="515">
        <v>91764</v>
      </c>
      <c r="B555" s="515" t="s">
        <v>599</v>
      </c>
      <c r="C555" s="52">
        <v>562901.96023331897</v>
      </c>
      <c r="D555" s="56">
        <v>4.7089733918497342E-2</v>
      </c>
      <c r="E555" s="224">
        <v>2479.41913963653</v>
      </c>
      <c r="F555" s="515" t="s">
        <v>2418</v>
      </c>
      <c r="G555" s="52">
        <v>272453.13895191002</v>
      </c>
      <c r="H555" s="56">
        <v>0.11903696660704248</v>
      </c>
      <c r="I555" s="224">
        <v>1539.0131578947301</v>
      </c>
    </row>
    <row r="556" spans="1:9" x14ac:dyDescent="0.25">
      <c r="A556" s="515">
        <v>30263</v>
      </c>
      <c r="B556" s="515" t="s">
        <v>957</v>
      </c>
      <c r="C556" s="52">
        <v>303349.01829942502</v>
      </c>
      <c r="D556" s="56">
        <v>0.11550759314795661</v>
      </c>
      <c r="E556" s="224">
        <v>1883.2342592592499</v>
      </c>
      <c r="F556" s="515" t="s">
        <v>673</v>
      </c>
      <c r="G556" s="52">
        <v>200439.27568538499</v>
      </c>
      <c r="H556" s="56">
        <v>8.1933681824610638E-2</v>
      </c>
      <c r="I556" s="224">
        <v>1285.4583333333301</v>
      </c>
    </row>
    <row r="557" spans="1:9" x14ac:dyDescent="0.25">
      <c r="A557" s="515">
        <v>94551</v>
      </c>
      <c r="B557" s="515" t="s">
        <v>593</v>
      </c>
      <c r="C557" s="52">
        <v>940114.30929918203</v>
      </c>
      <c r="D557" s="56">
        <v>-6.1190913550666888E-3</v>
      </c>
      <c r="E557" s="224">
        <v>3070.0760582010498</v>
      </c>
      <c r="F557" s="515" t="s">
        <v>2419</v>
      </c>
      <c r="G557" s="52">
        <v>1086526.7566371099</v>
      </c>
      <c r="H557" s="56">
        <v>2.5013497298824589E-2</v>
      </c>
      <c r="I557" s="224">
        <v>2455.5739393939398</v>
      </c>
    </row>
    <row r="558" spans="1:9" x14ac:dyDescent="0.25">
      <c r="A558" s="515">
        <v>22554</v>
      </c>
      <c r="B558" s="515" t="s">
        <v>321</v>
      </c>
      <c r="C558" s="52">
        <v>494186.03839538002</v>
      </c>
      <c r="D558" s="56">
        <v>3.3502382541799679E-2</v>
      </c>
      <c r="E558" s="224">
        <v>2112.98809523809</v>
      </c>
      <c r="F558" s="515" t="s">
        <v>1270</v>
      </c>
      <c r="G558" s="52">
        <v>168451.72122286199</v>
      </c>
      <c r="H558" s="56">
        <v>7.4831961665101462E-2</v>
      </c>
      <c r="I558" s="224">
        <v>1237.5</v>
      </c>
    </row>
    <row r="559" spans="1:9" x14ac:dyDescent="0.25">
      <c r="A559" s="515">
        <v>85122</v>
      </c>
      <c r="B559" s="515" t="s">
        <v>563</v>
      </c>
      <c r="C559" s="52">
        <v>318424.36970041902</v>
      </c>
      <c r="D559" s="56">
        <v>5.0108506271385835E-2</v>
      </c>
      <c r="E559" s="224">
        <v>1783.3591269841199</v>
      </c>
      <c r="F559" s="515" t="s">
        <v>2420</v>
      </c>
      <c r="G559" s="52">
        <v>837404.43768214597</v>
      </c>
      <c r="H559" s="56">
        <v>6.5981492747363507E-2</v>
      </c>
      <c r="I559" s="224">
        <v>2513.4814560439499</v>
      </c>
    </row>
    <row r="560" spans="1:9" x14ac:dyDescent="0.25">
      <c r="A560" s="515">
        <v>19020</v>
      </c>
      <c r="B560" s="515" t="s">
        <v>294</v>
      </c>
      <c r="C560" s="52">
        <v>360295.18114658998</v>
      </c>
      <c r="D560" s="56">
        <v>6.1701400505238556E-2</v>
      </c>
      <c r="E560" s="224">
        <v>1717.8333333333301</v>
      </c>
      <c r="F560" s="515" t="s">
        <v>2421</v>
      </c>
      <c r="G560" s="52">
        <v>393612.15363027999</v>
      </c>
      <c r="H560" s="56">
        <v>8.4294098081497792E-2</v>
      </c>
      <c r="I560" s="224">
        <v>2311.9924242424199</v>
      </c>
    </row>
    <row r="561" spans="1:9" x14ac:dyDescent="0.25">
      <c r="A561" s="515">
        <v>94568</v>
      </c>
      <c r="B561" s="515" t="s">
        <v>593</v>
      </c>
      <c r="C561" s="52">
        <v>1208201.4224421601</v>
      </c>
      <c r="D561" s="56">
        <v>-5.227225237214924E-2</v>
      </c>
      <c r="E561" s="224">
        <v>3025.5024250440902</v>
      </c>
      <c r="F561" s="515" t="s">
        <v>691</v>
      </c>
      <c r="G561" s="52">
        <v>193164.83377104101</v>
      </c>
      <c r="H561" s="56">
        <v>7.475692108684634E-2</v>
      </c>
      <c r="I561" s="224">
        <v>1424.6666666666599</v>
      </c>
    </row>
    <row r="562" spans="1:9" x14ac:dyDescent="0.25">
      <c r="A562" s="515">
        <v>92027</v>
      </c>
      <c r="B562" s="515" t="s">
        <v>396</v>
      </c>
      <c r="C562" s="52">
        <v>692064.18086584704</v>
      </c>
      <c r="D562" s="56">
        <v>4.0993020701409907E-2</v>
      </c>
      <c r="E562" s="224">
        <v>2513.1623931623899</v>
      </c>
      <c r="F562" s="515" t="s">
        <v>2422</v>
      </c>
      <c r="G562" s="52">
        <v>379725.00671118102</v>
      </c>
      <c r="H562" s="56">
        <v>2.8321965405007511E-2</v>
      </c>
      <c r="I562" s="224">
        <v>1769.2</v>
      </c>
    </row>
    <row r="563" spans="1:9" x14ac:dyDescent="0.25">
      <c r="A563" s="515">
        <v>78247</v>
      </c>
      <c r="B563" s="515" t="s">
        <v>717</v>
      </c>
      <c r="C563" s="52">
        <v>285480.84464127902</v>
      </c>
      <c r="D563" s="56">
        <v>7.9080137062497308E-2</v>
      </c>
      <c r="E563" s="224">
        <v>1487.68055555555</v>
      </c>
      <c r="F563" s="515" t="s">
        <v>2423</v>
      </c>
      <c r="G563" s="52">
        <v>313960.06014788401</v>
      </c>
      <c r="H563" s="56">
        <v>0.12584957010241202</v>
      </c>
      <c r="I563" s="224">
        <v>1651.74814814814</v>
      </c>
    </row>
    <row r="564" spans="1:9" x14ac:dyDescent="0.25">
      <c r="A564" s="515">
        <v>94109</v>
      </c>
      <c r="B564" s="515" t="s">
        <v>593</v>
      </c>
      <c r="C564" s="52">
        <v>997830.42730623798</v>
      </c>
      <c r="D564" s="56">
        <v>-0.10137149705893912</v>
      </c>
      <c r="E564" s="224">
        <v>2880.4212564238801</v>
      </c>
      <c r="F564" s="515" t="s">
        <v>2424</v>
      </c>
      <c r="G564" s="52">
        <v>511547.96556766098</v>
      </c>
      <c r="H564" s="56">
        <v>7.4579085181277399E-2</v>
      </c>
      <c r="I564" s="224">
        <v>2412.3757002801099</v>
      </c>
    </row>
    <row r="565" spans="1:9" x14ac:dyDescent="0.25">
      <c r="A565" s="515">
        <v>87124</v>
      </c>
      <c r="B565" s="515" t="s">
        <v>406</v>
      </c>
      <c r="C565" s="52">
        <v>292135.685601153</v>
      </c>
      <c r="D565" s="56">
        <v>8.209030227833447E-2</v>
      </c>
      <c r="E565" s="224">
        <v>1664.8999999999901</v>
      </c>
      <c r="F565" s="515" t="s">
        <v>2425</v>
      </c>
      <c r="G565" s="52">
        <v>782347.11994760297</v>
      </c>
      <c r="H565" s="56">
        <v>4.5723917114127065E-2</v>
      </c>
      <c r="I565" s="224">
        <v>2703.7777777777701</v>
      </c>
    </row>
    <row r="566" spans="1:9" x14ac:dyDescent="0.25">
      <c r="A566" s="515">
        <v>27529</v>
      </c>
      <c r="B566" s="515" t="s">
        <v>484</v>
      </c>
      <c r="C566" s="52">
        <v>364093.85574470501</v>
      </c>
      <c r="D566" s="56">
        <v>7.6399760341204007E-2</v>
      </c>
      <c r="E566" s="224">
        <v>1742.4481792716999</v>
      </c>
      <c r="F566" s="515" t="s">
        <v>1350</v>
      </c>
      <c r="G566" s="52">
        <v>348045.60108108202</v>
      </c>
      <c r="H566" s="56">
        <v>2.4494732957857833E-2</v>
      </c>
      <c r="I566" s="224">
        <v>1313.32222222222</v>
      </c>
    </row>
    <row r="567" spans="1:9" x14ac:dyDescent="0.25">
      <c r="A567" s="515">
        <v>32771</v>
      </c>
      <c r="B567" s="515" t="s">
        <v>517</v>
      </c>
      <c r="C567" s="52">
        <v>345583.99790185702</v>
      </c>
      <c r="D567" s="56">
        <v>0.13303672813820464</v>
      </c>
      <c r="E567" s="224">
        <v>1790.4678235076001</v>
      </c>
      <c r="F567" s="515" t="s">
        <v>2426</v>
      </c>
      <c r="G567" s="52">
        <v>609965.42984213401</v>
      </c>
      <c r="H567" s="56">
        <v>0.11036541504445521</v>
      </c>
      <c r="I567" s="224">
        <v>2472.8125</v>
      </c>
    </row>
    <row r="568" spans="1:9" x14ac:dyDescent="0.25">
      <c r="A568" s="515">
        <v>92708</v>
      </c>
      <c r="B568" s="515" t="s">
        <v>375</v>
      </c>
      <c r="C568" s="52">
        <v>1093541.7234581499</v>
      </c>
      <c r="D568" s="56">
        <v>7.4375211365385371E-2</v>
      </c>
      <c r="E568" s="224">
        <v>3041.8746031746</v>
      </c>
      <c r="F568" s="515" t="s">
        <v>2427</v>
      </c>
      <c r="G568" s="52">
        <v>427284.6578782</v>
      </c>
      <c r="H568" s="56">
        <v>7.2074437638891597E-2</v>
      </c>
      <c r="I568" s="224">
        <v>1846.4564983888199</v>
      </c>
    </row>
    <row r="569" spans="1:9" x14ac:dyDescent="0.25">
      <c r="A569" s="515">
        <v>96744</v>
      </c>
      <c r="B569" s="515" t="s">
        <v>1029</v>
      </c>
      <c r="C569" s="52">
        <v>1048922.7881348501</v>
      </c>
      <c r="D569" s="56">
        <v>8.129971647470742E-2</v>
      </c>
      <c r="E569" s="224">
        <v>2882.5</v>
      </c>
      <c r="F569" s="515" t="s">
        <v>2428</v>
      </c>
      <c r="G569" s="52">
        <v>782517.21171347599</v>
      </c>
      <c r="H569" s="56">
        <v>2.0731410979527114E-2</v>
      </c>
      <c r="I569" s="224" t="s">
        <v>2</v>
      </c>
    </row>
    <row r="570" spans="1:9" x14ac:dyDescent="0.25">
      <c r="A570" s="515">
        <v>90744</v>
      </c>
      <c r="B570" s="515" t="s">
        <v>375</v>
      </c>
      <c r="C570" s="52">
        <v>612550.42126456602</v>
      </c>
      <c r="D570" s="56">
        <v>5.1773870895700763E-2</v>
      </c>
      <c r="E570" s="224">
        <v>2763.3333333333298</v>
      </c>
      <c r="F570" s="515" t="s">
        <v>2429</v>
      </c>
      <c r="G570" s="52">
        <v>470204.906374824</v>
      </c>
      <c r="H570" s="56">
        <v>0.11463874459108436</v>
      </c>
      <c r="I570" s="224">
        <v>2145.8746031746</v>
      </c>
    </row>
    <row r="571" spans="1:9" x14ac:dyDescent="0.25">
      <c r="A571" s="515">
        <v>63021</v>
      </c>
      <c r="B571" s="515" t="s">
        <v>498</v>
      </c>
      <c r="C571" s="52">
        <v>325723.51924593298</v>
      </c>
      <c r="D571" s="56">
        <v>6.0935484958745657E-2</v>
      </c>
      <c r="E571" s="224">
        <v>1674.4166666666599</v>
      </c>
      <c r="F571" s="515" t="s">
        <v>2430</v>
      </c>
      <c r="G571" s="52">
        <v>401215.90063488402</v>
      </c>
      <c r="H571" s="56">
        <v>2.7338092122472978E-2</v>
      </c>
      <c r="I571" s="224">
        <v>1938.7475490196</v>
      </c>
    </row>
    <row r="572" spans="1:9" x14ac:dyDescent="0.25">
      <c r="A572" s="515">
        <v>75115</v>
      </c>
      <c r="B572" s="515" t="s">
        <v>458</v>
      </c>
      <c r="C572" s="52">
        <v>324143.42312756</v>
      </c>
      <c r="D572" s="56">
        <v>7.8234388201480085E-2</v>
      </c>
      <c r="E572" s="224">
        <v>2068.0972222222199</v>
      </c>
      <c r="F572" s="515" t="s">
        <v>2431</v>
      </c>
      <c r="G572" s="52">
        <v>300042.849382182</v>
      </c>
      <c r="H572" s="56">
        <v>8.3460546930943735E-2</v>
      </c>
      <c r="I572" s="224">
        <v>1879.3935185185101</v>
      </c>
    </row>
    <row r="573" spans="1:9" x14ac:dyDescent="0.25">
      <c r="A573" s="515">
        <v>8527</v>
      </c>
      <c r="B573" s="515" t="s">
        <v>324</v>
      </c>
      <c r="C573" s="52">
        <v>537642.99812581704</v>
      </c>
      <c r="D573" s="56">
        <v>0.12141675106058987</v>
      </c>
      <c r="E573" s="224" t="s">
        <v>2</v>
      </c>
      <c r="F573" s="515" t="s">
        <v>2432</v>
      </c>
      <c r="G573" s="52">
        <v>390179.73335291003</v>
      </c>
      <c r="H573" s="56">
        <v>4.4024004844860208E-2</v>
      </c>
      <c r="I573" s="224">
        <v>1689.80158730158</v>
      </c>
    </row>
    <row r="574" spans="1:9" x14ac:dyDescent="0.25">
      <c r="A574" s="515">
        <v>32703</v>
      </c>
      <c r="B574" s="515" t="s">
        <v>517</v>
      </c>
      <c r="C574" s="52">
        <v>338574.16347303102</v>
      </c>
      <c r="D574" s="56">
        <v>0.1237391018158891</v>
      </c>
      <c r="E574" s="224">
        <v>1916.6213675213601</v>
      </c>
      <c r="F574" s="515" t="s">
        <v>1062</v>
      </c>
      <c r="G574" s="52">
        <v>146458.34586214999</v>
      </c>
      <c r="H574" s="56">
        <v>3.3474850662648145E-2</v>
      </c>
      <c r="I574" s="224">
        <v>1038.92857142857</v>
      </c>
    </row>
    <row r="575" spans="1:9" x14ac:dyDescent="0.25">
      <c r="A575" s="515">
        <v>73160</v>
      </c>
      <c r="B575" s="515" t="s">
        <v>385</v>
      </c>
      <c r="C575" s="52">
        <v>198560.14185997</v>
      </c>
      <c r="D575" s="56">
        <v>0.10785896520109722</v>
      </c>
      <c r="E575" s="224">
        <v>1492.5944444444399</v>
      </c>
      <c r="F575" s="515" t="s">
        <v>2433</v>
      </c>
      <c r="G575" s="52">
        <v>583106.58921819297</v>
      </c>
      <c r="H575" s="56">
        <v>5.4870482841047563E-2</v>
      </c>
      <c r="I575" s="224">
        <v>2472.3503325942302</v>
      </c>
    </row>
    <row r="576" spans="1:9" x14ac:dyDescent="0.25">
      <c r="A576" s="515">
        <v>38017</v>
      </c>
      <c r="B576" s="515" t="s">
        <v>951</v>
      </c>
      <c r="C576" s="52">
        <v>479857.37432110799</v>
      </c>
      <c r="D576" s="56">
        <v>5.2470458594426617E-2</v>
      </c>
      <c r="E576" s="224">
        <v>1937.25</v>
      </c>
      <c r="F576" s="515" t="s">
        <v>1065</v>
      </c>
      <c r="G576" s="52">
        <v>165188.08303614901</v>
      </c>
      <c r="H576" s="56">
        <v>6.6152947567967871E-2</v>
      </c>
      <c r="I576" s="224">
        <v>1144.49735449735</v>
      </c>
    </row>
    <row r="577" spans="1:9" x14ac:dyDescent="0.25">
      <c r="A577" s="515">
        <v>75007</v>
      </c>
      <c r="B577" s="515" t="s">
        <v>458</v>
      </c>
      <c r="C577" s="52">
        <v>398617.21988156502</v>
      </c>
      <c r="D577" s="56">
        <v>5.8499397497076958E-2</v>
      </c>
      <c r="E577" s="224">
        <v>1830.6666666666599</v>
      </c>
      <c r="F577" s="515" t="s">
        <v>2434</v>
      </c>
      <c r="G577" s="52">
        <v>795726.60727419204</v>
      </c>
      <c r="H577" s="56">
        <v>2.4319018055742544E-2</v>
      </c>
      <c r="I577" s="224">
        <v>2931.1595238095201</v>
      </c>
    </row>
    <row r="578" spans="1:9" x14ac:dyDescent="0.25">
      <c r="A578" s="515">
        <v>33065</v>
      </c>
      <c r="B578" s="515" t="s">
        <v>831</v>
      </c>
      <c r="C578" s="52">
        <v>341161.235250186</v>
      </c>
      <c r="D578" s="56">
        <v>8.3934744952428822E-2</v>
      </c>
      <c r="E578" s="224">
        <v>2194.3592592592499</v>
      </c>
      <c r="F578" s="515" t="s">
        <v>2435</v>
      </c>
      <c r="G578" s="52">
        <v>229315.44923030201</v>
      </c>
      <c r="H578" s="56">
        <v>3.8831354610973361E-2</v>
      </c>
      <c r="I578" s="224" t="s">
        <v>2</v>
      </c>
    </row>
    <row r="579" spans="1:9" x14ac:dyDescent="0.25">
      <c r="A579" s="515">
        <v>85037</v>
      </c>
      <c r="B579" s="515" t="s">
        <v>563</v>
      </c>
      <c r="C579" s="52">
        <v>335852.54841903999</v>
      </c>
      <c r="D579" s="56">
        <v>5.9988929260910054E-2</v>
      </c>
      <c r="E579" s="224">
        <v>1758.6507936507901</v>
      </c>
      <c r="F579" s="515" t="s">
        <v>1286</v>
      </c>
      <c r="G579" s="52">
        <v>164614.37026355101</v>
      </c>
      <c r="H579" s="56">
        <v>-5.8649696495980827E-2</v>
      </c>
      <c r="I579" s="224">
        <v>1208.2222222222199</v>
      </c>
    </row>
    <row r="580" spans="1:9" x14ac:dyDescent="0.25">
      <c r="A580" s="515">
        <v>89117</v>
      </c>
      <c r="B580" s="515" t="s">
        <v>323</v>
      </c>
      <c r="C580" s="52">
        <v>439854.60751260701</v>
      </c>
      <c r="D580" s="56">
        <v>2.9560683394743093E-2</v>
      </c>
      <c r="E580" s="224">
        <v>1567.4844893029599</v>
      </c>
      <c r="F580" s="515" t="s">
        <v>2436</v>
      </c>
      <c r="G580" s="52">
        <v>1746122.1805656799</v>
      </c>
      <c r="H580" s="56">
        <v>-1.5003704979358563E-2</v>
      </c>
      <c r="I580" s="224">
        <v>3574.1043164120902</v>
      </c>
    </row>
    <row r="581" spans="1:9" x14ac:dyDescent="0.25">
      <c r="A581" s="515">
        <v>92646</v>
      </c>
      <c r="B581" s="515" t="s">
        <v>375</v>
      </c>
      <c r="C581" s="52">
        <v>1113819.83357694</v>
      </c>
      <c r="D581" s="56">
        <v>7.6032532081737658E-2</v>
      </c>
      <c r="E581" s="224">
        <v>3036.6904761904698</v>
      </c>
      <c r="F581" s="515" t="s">
        <v>1312</v>
      </c>
      <c r="G581" s="52">
        <v>206669.866495786</v>
      </c>
      <c r="H581" s="56">
        <v>0.10212554451665715</v>
      </c>
      <c r="I581" s="224">
        <v>1238.05555555555</v>
      </c>
    </row>
    <row r="582" spans="1:9" x14ac:dyDescent="0.25">
      <c r="A582" s="515">
        <v>78852</v>
      </c>
      <c r="B582" s="515" t="s">
        <v>827</v>
      </c>
      <c r="C582" s="52">
        <v>158099.51413729999</v>
      </c>
      <c r="D582" s="56">
        <v>2.4655195314987347E-2</v>
      </c>
      <c r="E582" s="224" t="s">
        <v>2</v>
      </c>
      <c r="F582" s="515" t="s">
        <v>2437</v>
      </c>
      <c r="G582" s="52">
        <v>181491.47727970299</v>
      </c>
      <c r="H582" s="56">
        <v>5.632093928778982E-2</v>
      </c>
      <c r="I582" s="224">
        <v>1212.93518518518</v>
      </c>
    </row>
    <row r="583" spans="1:9" x14ac:dyDescent="0.25">
      <c r="A583" s="515">
        <v>7728</v>
      </c>
      <c r="B583" s="515" t="s">
        <v>324</v>
      </c>
      <c r="C583" s="52">
        <v>494915.77607439598</v>
      </c>
      <c r="D583" s="56">
        <v>9.0889346211508418E-2</v>
      </c>
      <c r="E583" s="224">
        <v>2526.25</v>
      </c>
      <c r="F583" s="515" t="s">
        <v>1074</v>
      </c>
      <c r="G583" s="52">
        <v>190083.29922514301</v>
      </c>
      <c r="H583" s="56">
        <v>4.4307525628212427E-2</v>
      </c>
      <c r="I583" s="224">
        <v>1293.4848484848401</v>
      </c>
    </row>
    <row r="584" spans="1:9" x14ac:dyDescent="0.25">
      <c r="A584" s="515">
        <v>48044</v>
      </c>
      <c r="B584" s="515" t="s">
        <v>685</v>
      </c>
      <c r="C584" s="52">
        <v>373410.39535737998</v>
      </c>
      <c r="D584" s="56">
        <v>2.9613675034434538E-2</v>
      </c>
      <c r="E584" s="224" t="s">
        <v>2</v>
      </c>
      <c r="F584" s="515" t="s">
        <v>1028</v>
      </c>
      <c r="G584" s="52">
        <v>265856.84804877901</v>
      </c>
      <c r="H584" s="56">
        <v>6.6191040650049313E-2</v>
      </c>
      <c r="I584" s="224">
        <v>1053.05952380952</v>
      </c>
    </row>
    <row r="585" spans="1:9" x14ac:dyDescent="0.25">
      <c r="A585" s="515">
        <v>59901</v>
      </c>
      <c r="B585" s="515" t="s">
        <v>459</v>
      </c>
      <c r="C585" s="52">
        <v>517882.755595194</v>
      </c>
      <c r="D585" s="56">
        <v>6.6457222937785096E-2</v>
      </c>
      <c r="E585" s="224" t="s">
        <v>2</v>
      </c>
      <c r="F585" s="515" t="s">
        <v>2438</v>
      </c>
      <c r="G585" s="52">
        <v>299293.63488040899</v>
      </c>
      <c r="H585" s="56">
        <v>7.3949414188135998E-2</v>
      </c>
      <c r="I585" s="224">
        <v>1606.70795870795</v>
      </c>
    </row>
    <row r="586" spans="1:9" x14ac:dyDescent="0.25">
      <c r="A586" s="515">
        <v>19711</v>
      </c>
      <c r="B586" s="515" t="s">
        <v>294</v>
      </c>
      <c r="C586" s="52">
        <v>367687.844084565</v>
      </c>
      <c r="D586" s="56">
        <v>7.0184093447080126E-2</v>
      </c>
      <c r="E586" s="224">
        <v>1881.3611111111099</v>
      </c>
      <c r="F586" s="515" t="s">
        <v>2439</v>
      </c>
      <c r="G586" s="52">
        <v>273204.64041075797</v>
      </c>
      <c r="H586" s="56">
        <v>2.8863109309529338E-2</v>
      </c>
      <c r="I586" s="224">
        <v>1855.88888888888</v>
      </c>
    </row>
    <row r="587" spans="1:9" x14ac:dyDescent="0.25">
      <c r="A587" s="515">
        <v>91605</v>
      </c>
      <c r="B587" s="515" t="s">
        <v>375</v>
      </c>
      <c r="C587" s="52">
        <v>757315.83883660904</v>
      </c>
      <c r="D587" s="56">
        <v>3.1584490470515841E-2</v>
      </c>
      <c r="E587" s="224">
        <v>1991.13333333333</v>
      </c>
      <c r="F587" s="515" t="s">
        <v>2440</v>
      </c>
      <c r="G587" s="52">
        <v>219580.64541446199</v>
      </c>
      <c r="H587" s="56">
        <v>3.4298408946617995E-2</v>
      </c>
      <c r="I587" s="224">
        <v>1581.16017316017</v>
      </c>
    </row>
    <row r="588" spans="1:9" x14ac:dyDescent="0.25">
      <c r="A588" s="515">
        <v>28025</v>
      </c>
      <c r="B588" s="515" t="s">
        <v>360</v>
      </c>
      <c r="C588" s="52">
        <v>323193.94936262601</v>
      </c>
      <c r="D588" s="56">
        <v>0.1316816426044575</v>
      </c>
      <c r="E588" s="224">
        <v>1784.7472943722901</v>
      </c>
      <c r="F588" s="515" t="s">
        <v>2441</v>
      </c>
      <c r="G588" s="52">
        <v>367500.81407870702</v>
      </c>
      <c r="H588" s="56">
        <v>7.5026387380336138E-2</v>
      </c>
      <c r="I588" s="224">
        <v>1840.2777777777701</v>
      </c>
    </row>
    <row r="589" spans="1:9" x14ac:dyDescent="0.25">
      <c r="A589" s="515">
        <v>45013</v>
      </c>
      <c r="B589" s="515" t="s">
        <v>344</v>
      </c>
      <c r="C589" s="52">
        <v>215835.49889710301</v>
      </c>
      <c r="D589" s="56">
        <v>7.5382527753041342E-2</v>
      </c>
      <c r="E589" s="224">
        <v>1317.5</v>
      </c>
      <c r="F589" s="515" t="s">
        <v>2442</v>
      </c>
      <c r="G589" s="52">
        <v>444529.932810636</v>
      </c>
      <c r="H589" s="56">
        <v>3.121745890828867E-2</v>
      </c>
      <c r="I589" s="224">
        <v>1979.55952380952</v>
      </c>
    </row>
    <row r="590" spans="1:9" x14ac:dyDescent="0.25">
      <c r="A590" s="515">
        <v>44077</v>
      </c>
      <c r="B590" s="515" t="s">
        <v>520</v>
      </c>
      <c r="C590" s="52">
        <v>204284.51534805901</v>
      </c>
      <c r="D590" s="56">
        <v>6.0229866082939752E-2</v>
      </c>
      <c r="E590" s="224">
        <v>1503</v>
      </c>
      <c r="F590" s="515" t="s">
        <v>2443</v>
      </c>
      <c r="G590" s="52">
        <v>371283.351128807</v>
      </c>
      <c r="H590" s="56">
        <v>4.0463032005856547E-2</v>
      </c>
      <c r="I590" s="224">
        <v>1773.9113756613699</v>
      </c>
    </row>
    <row r="591" spans="1:9" x14ac:dyDescent="0.25">
      <c r="A591" s="515">
        <v>30809</v>
      </c>
      <c r="B591" s="515" t="s">
        <v>888</v>
      </c>
      <c r="C591" s="52">
        <v>368243.10210978799</v>
      </c>
      <c r="D591" s="56">
        <v>6.7206130753020066E-2</v>
      </c>
      <c r="E591" s="224">
        <v>1419.0333333333299</v>
      </c>
      <c r="F591" s="515" t="s">
        <v>2444</v>
      </c>
      <c r="G591" s="52">
        <v>921116.58814276697</v>
      </c>
      <c r="H591" s="56">
        <v>7.564390782405811E-2</v>
      </c>
      <c r="I591" s="224">
        <v>3007.2933177933101</v>
      </c>
    </row>
    <row r="592" spans="1:9" x14ac:dyDescent="0.25">
      <c r="A592" s="515">
        <v>80634</v>
      </c>
      <c r="B592" s="515" t="s">
        <v>382</v>
      </c>
      <c r="C592" s="52">
        <v>437355.72423488798</v>
      </c>
      <c r="D592" s="56">
        <v>2.4901001106699905E-2</v>
      </c>
      <c r="E592" s="224">
        <v>1587.61904761904</v>
      </c>
      <c r="F592" s="515" t="s">
        <v>2445</v>
      </c>
      <c r="G592" s="52">
        <v>332635.884375503</v>
      </c>
      <c r="H592" s="56">
        <v>3.4599292106208893E-2</v>
      </c>
      <c r="I592" s="224">
        <v>1263.24814814814</v>
      </c>
    </row>
    <row r="593" spans="1:9" x14ac:dyDescent="0.25">
      <c r="A593" s="515">
        <v>19382</v>
      </c>
      <c r="B593" s="515" t="s">
        <v>294</v>
      </c>
      <c r="C593" s="52">
        <v>557745.18099060794</v>
      </c>
      <c r="D593" s="56">
        <v>8.847158812210372E-2</v>
      </c>
      <c r="E593" s="224">
        <v>2203.75</v>
      </c>
      <c r="F593" s="515" t="s">
        <v>2446</v>
      </c>
      <c r="G593" s="52">
        <v>307823.94554375898</v>
      </c>
      <c r="H593" s="56">
        <v>6.6160791605875291E-2</v>
      </c>
      <c r="I593" s="224">
        <v>1389.44444444444</v>
      </c>
    </row>
    <row r="594" spans="1:9" x14ac:dyDescent="0.25">
      <c r="A594" s="515">
        <v>80012</v>
      </c>
      <c r="B594" s="515" t="s">
        <v>401</v>
      </c>
      <c r="C594" s="52">
        <v>420509.21191954898</v>
      </c>
      <c r="D594" s="56">
        <v>4.8073567193030978E-2</v>
      </c>
      <c r="E594" s="224">
        <v>1669.5384615384601</v>
      </c>
      <c r="F594" s="515" t="s">
        <v>2447</v>
      </c>
      <c r="G594" s="52">
        <v>326689.39429529698</v>
      </c>
      <c r="H594" s="56">
        <v>0.11631602726351752</v>
      </c>
      <c r="I594" s="224">
        <v>1987.4821428571399</v>
      </c>
    </row>
    <row r="595" spans="1:9" x14ac:dyDescent="0.25">
      <c r="A595" s="515">
        <v>85383</v>
      </c>
      <c r="B595" s="515" t="s">
        <v>563</v>
      </c>
      <c r="C595" s="52">
        <v>627812.28796252899</v>
      </c>
      <c r="D595" s="56">
        <v>3.2182176123910285E-2</v>
      </c>
      <c r="E595" s="224">
        <v>2454.0158730158701</v>
      </c>
      <c r="F595" s="515" t="s">
        <v>2448</v>
      </c>
      <c r="G595" s="52">
        <v>229427.57193548701</v>
      </c>
      <c r="H595" s="56">
        <v>3.7980350145822031E-2</v>
      </c>
      <c r="I595" s="224">
        <v>1325.2916666666599</v>
      </c>
    </row>
    <row r="596" spans="1:9" x14ac:dyDescent="0.25">
      <c r="A596" s="515">
        <v>33063</v>
      </c>
      <c r="B596" s="515" t="s">
        <v>831</v>
      </c>
      <c r="C596" s="52">
        <v>299272.29434014001</v>
      </c>
      <c r="D596" s="56">
        <v>0.11787334291849424</v>
      </c>
      <c r="E596" s="224">
        <v>2065.9940170940099</v>
      </c>
      <c r="F596" s="515" t="s">
        <v>2449</v>
      </c>
      <c r="G596" s="52">
        <v>394866.33314556698</v>
      </c>
      <c r="H596" s="56">
        <v>0.11206656148082846</v>
      </c>
      <c r="I596" s="224">
        <v>2297.8150183150101</v>
      </c>
    </row>
    <row r="597" spans="1:9" x14ac:dyDescent="0.25">
      <c r="A597" s="515">
        <v>43701</v>
      </c>
      <c r="B597" s="515" t="s">
        <v>518</v>
      </c>
      <c r="C597" s="52">
        <v>154993.01511329401</v>
      </c>
      <c r="D597" s="56">
        <v>0.10791413409613791</v>
      </c>
      <c r="E597" s="224">
        <v>855</v>
      </c>
      <c r="F597" s="515" t="s">
        <v>2450</v>
      </c>
      <c r="G597" s="52">
        <v>1257282.15765637</v>
      </c>
      <c r="H597" s="56">
        <v>4.339785290419277E-2</v>
      </c>
      <c r="I597" s="224">
        <v>3169.2971848225202</v>
      </c>
    </row>
    <row r="598" spans="1:9" x14ac:dyDescent="0.25">
      <c r="A598" s="515">
        <v>43228</v>
      </c>
      <c r="B598" s="515" t="s">
        <v>345</v>
      </c>
      <c r="C598" s="52">
        <v>203031.00849707701</v>
      </c>
      <c r="D598" s="56">
        <v>8.9179685478400342E-2</v>
      </c>
      <c r="E598" s="224">
        <v>1206</v>
      </c>
      <c r="F598" s="515" t="s">
        <v>2451</v>
      </c>
      <c r="G598" s="52">
        <v>325679.558939674</v>
      </c>
      <c r="H598" s="56">
        <v>0.11104626115278347</v>
      </c>
      <c r="I598" s="224">
        <v>1799.5873015873001</v>
      </c>
    </row>
    <row r="599" spans="1:9" x14ac:dyDescent="0.25">
      <c r="A599" s="515">
        <v>92840</v>
      </c>
      <c r="B599" s="515" t="s">
        <v>375</v>
      </c>
      <c r="C599" s="52">
        <v>787123.94205513305</v>
      </c>
      <c r="D599" s="56">
        <v>4.4731745176335241E-2</v>
      </c>
      <c r="E599" s="224">
        <v>2587.5</v>
      </c>
      <c r="F599" s="515" t="s">
        <v>2452</v>
      </c>
      <c r="G599" s="52">
        <v>337276.514941398</v>
      </c>
      <c r="H599" s="56">
        <v>6.2082822349492015E-2</v>
      </c>
      <c r="I599" s="224">
        <v>1764.93589743589</v>
      </c>
    </row>
    <row r="600" spans="1:9" x14ac:dyDescent="0.25">
      <c r="A600" s="515">
        <v>10031</v>
      </c>
      <c r="B600" s="515" t="s">
        <v>324</v>
      </c>
      <c r="C600" s="52">
        <v>564008.41579671495</v>
      </c>
      <c r="D600" s="56">
        <v>5.63300310459472E-2</v>
      </c>
      <c r="E600" s="224">
        <v>2494.9900543900499</v>
      </c>
      <c r="F600" s="515" t="s">
        <v>643</v>
      </c>
      <c r="G600" s="52">
        <v>251066.68647673799</v>
      </c>
      <c r="H600" s="56">
        <v>4.1800763238082413E-2</v>
      </c>
      <c r="I600" s="224">
        <v>1300.2222222222199</v>
      </c>
    </row>
    <row r="601" spans="1:9" x14ac:dyDescent="0.25">
      <c r="A601" s="515">
        <v>91405</v>
      </c>
      <c r="B601" s="515" t="s">
        <v>375</v>
      </c>
      <c r="C601" s="52">
        <v>743984.65505473199</v>
      </c>
      <c r="D601" s="56">
        <v>3.9193216424924217E-2</v>
      </c>
      <c r="E601" s="224">
        <v>2498.2162393162298</v>
      </c>
      <c r="F601" s="515" t="s">
        <v>769</v>
      </c>
      <c r="G601" s="52">
        <v>200664.99649747901</v>
      </c>
      <c r="H601" s="56">
        <v>6.9057376036722601E-2</v>
      </c>
      <c r="I601" s="224" t="s">
        <v>2</v>
      </c>
    </row>
    <row r="602" spans="1:9" x14ac:dyDescent="0.25">
      <c r="A602" s="515">
        <v>75287</v>
      </c>
      <c r="B602" s="515" t="s">
        <v>458</v>
      </c>
      <c r="C602" s="52">
        <v>446281.54999388201</v>
      </c>
      <c r="D602" s="56">
        <v>4.9943358057969137E-2</v>
      </c>
      <c r="E602" s="224">
        <v>1445.11792328042</v>
      </c>
      <c r="F602" s="515" t="s">
        <v>2453</v>
      </c>
      <c r="G602" s="52">
        <v>748733.15077556705</v>
      </c>
      <c r="H602" s="56">
        <v>3.9589184524101151E-2</v>
      </c>
      <c r="I602" s="224">
        <v>2271.4355453851999</v>
      </c>
    </row>
    <row r="603" spans="1:9" x14ac:dyDescent="0.25">
      <c r="A603" s="515">
        <v>8901</v>
      </c>
      <c r="B603" s="515" t="s">
        <v>324</v>
      </c>
      <c r="C603" s="52">
        <v>337592.451812035</v>
      </c>
      <c r="D603" s="56">
        <v>4.1634686298419918E-2</v>
      </c>
      <c r="E603" s="224">
        <v>2514.2027777777698</v>
      </c>
      <c r="F603" s="515" t="s">
        <v>491</v>
      </c>
      <c r="G603" s="52">
        <v>364932.076233353</v>
      </c>
      <c r="H603" s="56">
        <v>6.50404400274886E-2</v>
      </c>
      <c r="I603" s="224">
        <v>1723.80555555555</v>
      </c>
    </row>
    <row r="604" spans="1:9" x14ac:dyDescent="0.25">
      <c r="A604" s="515">
        <v>2124</v>
      </c>
      <c r="B604" s="515" t="s">
        <v>534</v>
      </c>
      <c r="C604" s="52">
        <v>579292.64181136095</v>
      </c>
      <c r="D604" s="56">
        <v>1.8393878246771769E-2</v>
      </c>
      <c r="E604" s="224">
        <v>2771.4444444444398</v>
      </c>
      <c r="F604" s="515" t="s">
        <v>2454</v>
      </c>
      <c r="G604" s="52">
        <v>386814.80204160098</v>
      </c>
      <c r="H604" s="56">
        <v>4.1331749486068756E-2</v>
      </c>
      <c r="I604" s="224">
        <v>1836.3171945014001</v>
      </c>
    </row>
    <row r="605" spans="1:9" x14ac:dyDescent="0.25">
      <c r="A605" s="515">
        <v>14221</v>
      </c>
      <c r="B605" s="515" t="s">
        <v>336</v>
      </c>
      <c r="C605" s="52">
        <v>345584.066606896</v>
      </c>
      <c r="D605" s="56">
        <v>7.35414853664033E-2</v>
      </c>
      <c r="E605" s="224">
        <v>1785.0833333333301</v>
      </c>
      <c r="F605" s="515" t="s">
        <v>2455</v>
      </c>
      <c r="G605" s="52">
        <v>386589.579808357</v>
      </c>
      <c r="H605" s="56">
        <v>6.1875771682391605E-2</v>
      </c>
      <c r="I605" s="224">
        <v>1904.1666666666599</v>
      </c>
    </row>
    <row r="606" spans="1:9" x14ac:dyDescent="0.25">
      <c r="A606" s="515">
        <v>93063</v>
      </c>
      <c r="B606" s="515" t="s">
        <v>1021</v>
      </c>
      <c r="C606" s="52">
        <v>749517.968295097</v>
      </c>
      <c r="D606" s="56">
        <v>2.1712282195355929E-2</v>
      </c>
      <c r="E606" s="224">
        <v>3158.9650793650799</v>
      </c>
      <c r="F606" s="515" t="s">
        <v>2456</v>
      </c>
      <c r="G606" s="52">
        <v>276716.68421664601</v>
      </c>
      <c r="H606" s="56">
        <v>0.10488231887520132</v>
      </c>
      <c r="I606" s="224">
        <v>1648.3333333333301</v>
      </c>
    </row>
    <row r="607" spans="1:9" x14ac:dyDescent="0.25">
      <c r="A607" s="515">
        <v>91304</v>
      </c>
      <c r="B607" s="515" t="s">
        <v>375</v>
      </c>
      <c r="C607" s="52">
        <v>849740.78497278504</v>
      </c>
      <c r="D607" s="56">
        <v>2.7408479542856495E-2</v>
      </c>
      <c r="E607" s="224">
        <v>2308.5435305435299</v>
      </c>
      <c r="F607" s="515" t="s">
        <v>2457</v>
      </c>
      <c r="G607" s="52">
        <v>318557.09073436802</v>
      </c>
      <c r="H607" s="56">
        <v>2.5755516047072081E-2</v>
      </c>
      <c r="I607" s="224">
        <v>1718</v>
      </c>
    </row>
    <row r="608" spans="1:9" x14ac:dyDescent="0.25">
      <c r="A608" s="515">
        <v>31419</v>
      </c>
      <c r="B608" s="515" t="s">
        <v>351</v>
      </c>
      <c r="C608" s="52">
        <v>263622.72102238599</v>
      </c>
      <c r="D608" s="56">
        <v>0.16398987850964786</v>
      </c>
      <c r="E608" s="224">
        <v>1677.55079365079</v>
      </c>
      <c r="F608" s="515" t="s">
        <v>2458</v>
      </c>
      <c r="G608" s="52">
        <v>493001.94615856599</v>
      </c>
      <c r="H608" s="56">
        <v>1.2405092383835418E-2</v>
      </c>
      <c r="I608" s="224">
        <v>0</v>
      </c>
    </row>
    <row r="609" spans="1:9" x14ac:dyDescent="0.25">
      <c r="A609" s="515">
        <v>75149</v>
      </c>
      <c r="B609" s="515" t="s">
        <v>458</v>
      </c>
      <c r="C609" s="52">
        <v>242732.34503425201</v>
      </c>
      <c r="D609" s="56">
        <v>0.11012846610862555</v>
      </c>
      <c r="E609" s="224">
        <v>1817.5151515151499</v>
      </c>
      <c r="F609" s="515" t="s">
        <v>2459</v>
      </c>
      <c r="G609" s="52">
        <v>223414.14842847199</v>
      </c>
      <c r="H609" s="56">
        <v>0.18426014595959214</v>
      </c>
      <c r="I609" s="224">
        <v>1825</v>
      </c>
    </row>
    <row r="610" spans="1:9" x14ac:dyDescent="0.25">
      <c r="A610" s="515">
        <v>93215</v>
      </c>
      <c r="B610" s="515" t="s">
        <v>419</v>
      </c>
      <c r="C610" s="52">
        <v>295662.06597677199</v>
      </c>
      <c r="D610" s="56">
        <v>8.5464725314532849E-2</v>
      </c>
      <c r="E610" s="224" t="s">
        <v>2</v>
      </c>
      <c r="F610" s="515" t="s">
        <v>2460</v>
      </c>
      <c r="G610" s="52">
        <v>791979.59420504002</v>
      </c>
      <c r="H610" s="56">
        <v>-2.3599110054469401E-2</v>
      </c>
      <c r="I610" s="224">
        <v>2849.7188801597899</v>
      </c>
    </row>
    <row r="611" spans="1:9" x14ac:dyDescent="0.25">
      <c r="A611" s="515">
        <v>32225</v>
      </c>
      <c r="B611" s="515" t="s">
        <v>1158</v>
      </c>
      <c r="C611" s="52">
        <v>361755.64222334698</v>
      </c>
      <c r="D611" s="56">
        <v>0.10436375988045526</v>
      </c>
      <c r="E611" s="224">
        <v>1923.5414682539599</v>
      </c>
      <c r="F611" s="515" t="s">
        <v>2461</v>
      </c>
      <c r="G611" s="52">
        <v>647068.675831286</v>
      </c>
      <c r="H611" s="56">
        <v>0.13007159739518623</v>
      </c>
      <c r="I611" s="224">
        <v>3686.29059829059</v>
      </c>
    </row>
    <row r="612" spans="1:9" x14ac:dyDescent="0.25">
      <c r="A612" s="515">
        <v>95122</v>
      </c>
      <c r="B612" s="515" t="s">
        <v>850</v>
      </c>
      <c r="C612" s="52">
        <v>884134.84708836605</v>
      </c>
      <c r="D612" s="56">
        <v>2.5646787635103425E-2</v>
      </c>
      <c r="E612" s="224" t="s">
        <v>2</v>
      </c>
      <c r="F612" s="515" t="s">
        <v>2462</v>
      </c>
      <c r="G612" s="52">
        <v>483085.96780322498</v>
      </c>
      <c r="H612" s="56">
        <v>2.5670395670752945E-2</v>
      </c>
      <c r="I612" s="224">
        <v>2063.6666666666601</v>
      </c>
    </row>
    <row r="613" spans="1:9" x14ac:dyDescent="0.25">
      <c r="A613" s="515">
        <v>33467</v>
      </c>
      <c r="B613" s="515" t="s">
        <v>831</v>
      </c>
      <c r="C613" s="52">
        <v>483291.23482524598</v>
      </c>
      <c r="D613" s="56">
        <v>0.10971269152312137</v>
      </c>
      <c r="E613" s="224">
        <v>2774.0357142857101</v>
      </c>
      <c r="F613" s="515" t="s">
        <v>2463</v>
      </c>
      <c r="G613" s="52">
        <v>279025.04217861599</v>
      </c>
      <c r="H613" s="56">
        <v>1.2000397410422579E-2</v>
      </c>
      <c r="I613" s="224">
        <v>1813.88263736263</v>
      </c>
    </row>
    <row r="614" spans="1:9" x14ac:dyDescent="0.25">
      <c r="A614" s="515">
        <v>19446</v>
      </c>
      <c r="B614" s="515" t="s">
        <v>294</v>
      </c>
      <c r="C614" s="52">
        <v>426052.61663444398</v>
      </c>
      <c r="D614" s="56">
        <v>9.0825469237684309E-2</v>
      </c>
      <c r="E614" s="224">
        <v>1776.9695767195699</v>
      </c>
      <c r="F614" s="515" t="s">
        <v>2464</v>
      </c>
      <c r="G614" s="52">
        <v>339108.50942732202</v>
      </c>
      <c r="H614" s="56">
        <v>8.1738197089428491E-2</v>
      </c>
      <c r="I614" s="224">
        <v>2061.3777089783198</v>
      </c>
    </row>
    <row r="615" spans="1:9" x14ac:dyDescent="0.25">
      <c r="A615" s="515">
        <v>27858</v>
      </c>
      <c r="B615" s="515" t="s">
        <v>1101</v>
      </c>
      <c r="C615" s="52">
        <v>240692.27322434701</v>
      </c>
      <c r="D615" s="56">
        <v>0.10795422868868365</v>
      </c>
      <c r="E615" s="224">
        <v>1501.7821067821001</v>
      </c>
      <c r="F615" s="515" t="s">
        <v>2465</v>
      </c>
      <c r="G615" s="52">
        <v>701798.42922871897</v>
      </c>
      <c r="H615" s="56">
        <v>4.272051536569578E-2</v>
      </c>
      <c r="I615" s="224">
        <v>2545.3333333333298</v>
      </c>
    </row>
    <row r="616" spans="1:9" x14ac:dyDescent="0.25">
      <c r="A616" s="515">
        <v>99208</v>
      </c>
      <c r="B616" s="515" t="s">
        <v>820</v>
      </c>
      <c r="C616" s="52">
        <v>437212.840573514</v>
      </c>
      <c r="D616" s="56">
        <v>2.9542362180944397E-2</v>
      </c>
      <c r="E616" s="224">
        <v>1556.82539682539</v>
      </c>
      <c r="F616" s="515" t="s">
        <v>2466</v>
      </c>
      <c r="G616" s="52">
        <v>190196.52695070201</v>
      </c>
      <c r="H616" s="56">
        <v>0.1315998588643256</v>
      </c>
      <c r="I616" s="224">
        <v>1638.88888888888</v>
      </c>
    </row>
    <row r="617" spans="1:9" x14ac:dyDescent="0.25">
      <c r="A617" s="515">
        <v>21061</v>
      </c>
      <c r="B617" s="515" t="s">
        <v>582</v>
      </c>
      <c r="C617" s="52">
        <v>329951.98796138802</v>
      </c>
      <c r="D617" s="56">
        <v>4.7282949814858359E-2</v>
      </c>
      <c r="E617" s="224">
        <v>1613.5425783840101</v>
      </c>
      <c r="F617" s="515" t="s">
        <v>2467</v>
      </c>
      <c r="G617" s="52">
        <v>466233.76794788102</v>
      </c>
      <c r="H617" s="56">
        <v>3.0531354575270325E-2</v>
      </c>
      <c r="I617" s="224">
        <v>2051.6749865807801</v>
      </c>
    </row>
    <row r="618" spans="1:9" x14ac:dyDescent="0.25">
      <c r="A618" s="515">
        <v>92117</v>
      </c>
      <c r="B618" s="515" t="s">
        <v>396</v>
      </c>
      <c r="C618" s="52">
        <v>938208.70797436498</v>
      </c>
      <c r="D618" s="56">
        <v>9.1743328216749104E-2</v>
      </c>
      <c r="E618" s="224">
        <v>3433.5845959595899</v>
      </c>
      <c r="F618" s="515" t="s">
        <v>2468</v>
      </c>
      <c r="G618" s="52">
        <v>251627.614228021</v>
      </c>
      <c r="H618" s="56">
        <v>0.13066941579726454</v>
      </c>
      <c r="I618" s="224">
        <v>1555.2378787878699</v>
      </c>
    </row>
    <row r="619" spans="1:9" x14ac:dyDescent="0.25">
      <c r="A619" s="515">
        <v>65807</v>
      </c>
      <c r="B619" s="515" t="s">
        <v>603</v>
      </c>
      <c r="C619" s="52">
        <v>202583.95653072</v>
      </c>
      <c r="D619" s="56">
        <v>0.11577690645202091</v>
      </c>
      <c r="E619" s="224">
        <v>1247.37037037037</v>
      </c>
      <c r="F619" s="515" t="s">
        <v>2469</v>
      </c>
      <c r="G619" s="52">
        <v>775071.01551983098</v>
      </c>
      <c r="H619" s="56">
        <v>4.7624476948127381E-2</v>
      </c>
      <c r="I619" s="224">
        <v>2790.9603174603099</v>
      </c>
    </row>
    <row r="620" spans="1:9" x14ac:dyDescent="0.25">
      <c r="A620" s="515">
        <v>83301</v>
      </c>
      <c r="B620" s="515" t="s">
        <v>832</v>
      </c>
      <c r="C620" s="52">
        <v>339099.38163353998</v>
      </c>
      <c r="D620" s="56">
        <v>2.5587587413005687E-2</v>
      </c>
      <c r="E620" s="224">
        <v>1640</v>
      </c>
      <c r="F620" s="515" t="s">
        <v>2470</v>
      </c>
      <c r="G620" s="52">
        <v>339382.59801425802</v>
      </c>
      <c r="H620" s="56">
        <v>4.4245564135196341E-2</v>
      </c>
      <c r="I620" s="224">
        <v>1554.5833333333301</v>
      </c>
    </row>
    <row r="621" spans="1:9" x14ac:dyDescent="0.25">
      <c r="A621" s="515">
        <v>78681</v>
      </c>
      <c r="B621" s="515" t="s">
        <v>380</v>
      </c>
      <c r="C621" s="52">
        <v>509478.48823893099</v>
      </c>
      <c r="D621" s="56">
        <v>3.0460773268714887E-2</v>
      </c>
      <c r="E621" s="224">
        <v>2038.1249417249401</v>
      </c>
      <c r="F621" s="515" t="s">
        <v>2471</v>
      </c>
      <c r="G621" s="52">
        <v>170613.619467404</v>
      </c>
      <c r="H621" s="56">
        <v>6.9715146735909894E-2</v>
      </c>
      <c r="I621" s="224">
        <v>1081.2333333333299</v>
      </c>
    </row>
    <row r="622" spans="1:9" x14ac:dyDescent="0.25">
      <c r="A622" s="515">
        <v>93308</v>
      </c>
      <c r="B622" s="515" t="s">
        <v>419</v>
      </c>
      <c r="C622" s="52">
        <v>308564.024649892</v>
      </c>
      <c r="D622" s="56">
        <v>6.2284908638557505E-2</v>
      </c>
      <c r="E622" s="224">
        <v>1456.5</v>
      </c>
      <c r="F622" s="515" t="s">
        <v>2472</v>
      </c>
      <c r="G622" s="52">
        <v>406951.52745899401</v>
      </c>
      <c r="H622" s="56">
        <v>7.5581401231490555E-2</v>
      </c>
      <c r="I622" s="224">
        <v>2118.1666666666601</v>
      </c>
    </row>
    <row r="623" spans="1:9" x14ac:dyDescent="0.25">
      <c r="A623" s="515">
        <v>91801</v>
      </c>
      <c r="B623" s="515" t="s">
        <v>375</v>
      </c>
      <c r="C623" s="52">
        <v>814608.39628618304</v>
      </c>
      <c r="D623" s="56">
        <v>5.9978266579152374E-2</v>
      </c>
      <c r="E623" s="224">
        <v>2546.2713675213599</v>
      </c>
      <c r="F623" s="515" t="s">
        <v>2473</v>
      </c>
      <c r="G623" s="52">
        <v>399055.84965614101</v>
      </c>
      <c r="H623" s="56">
        <v>7.7069840282133636E-2</v>
      </c>
      <c r="I623" s="224">
        <v>1297.4775431540099</v>
      </c>
    </row>
    <row r="624" spans="1:9" x14ac:dyDescent="0.25">
      <c r="A624" s="515">
        <v>60056</v>
      </c>
      <c r="B624" s="515" t="s">
        <v>394</v>
      </c>
      <c r="C624" s="52">
        <v>348247.36955840798</v>
      </c>
      <c r="D624" s="56">
        <v>2.3081107235632375E-2</v>
      </c>
      <c r="E624" s="224">
        <v>1563.19444444444</v>
      </c>
      <c r="F624" s="515" t="s">
        <v>2474</v>
      </c>
      <c r="G624" s="52">
        <v>660860.88856353203</v>
      </c>
      <c r="H624" s="56">
        <v>5.0425269200098842E-2</v>
      </c>
      <c r="I624" s="224">
        <v>2169.6666666666601</v>
      </c>
    </row>
    <row r="625" spans="1:9" x14ac:dyDescent="0.25">
      <c r="A625" s="515">
        <v>77070</v>
      </c>
      <c r="B625" s="515" t="s">
        <v>314</v>
      </c>
      <c r="C625" s="52">
        <v>288717.02928570402</v>
      </c>
      <c r="D625" s="56">
        <v>9.9143215341697608E-2</v>
      </c>
      <c r="E625" s="224">
        <v>1404.66883876357</v>
      </c>
      <c r="F625" s="515" t="s">
        <v>2475</v>
      </c>
      <c r="G625" s="52">
        <v>79559.352081771503</v>
      </c>
      <c r="H625" s="56">
        <v>0.28646669931843333</v>
      </c>
      <c r="I625" s="224">
        <v>1072.0833333333301</v>
      </c>
    </row>
    <row r="626" spans="1:9" x14ac:dyDescent="0.25">
      <c r="A626" s="515">
        <v>85706</v>
      </c>
      <c r="B626" s="515" t="s">
        <v>368</v>
      </c>
      <c r="C626" s="52">
        <v>236046.63402264801</v>
      </c>
      <c r="D626" s="56">
        <v>7.8097326473535997E-2</v>
      </c>
      <c r="E626" s="224">
        <v>1052.7888888888799</v>
      </c>
      <c r="F626" s="515" t="s">
        <v>2476</v>
      </c>
      <c r="G626" s="52">
        <v>701374.42183491099</v>
      </c>
      <c r="H626" s="56">
        <v>5.8987982516628637E-2</v>
      </c>
      <c r="I626" s="224">
        <v>3171.6666666666601</v>
      </c>
    </row>
    <row r="627" spans="1:9" x14ac:dyDescent="0.25">
      <c r="A627" s="515">
        <v>75070</v>
      </c>
      <c r="B627" s="515" t="s">
        <v>458</v>
      </c>
      <c r="C627" s="52">
        <v>488144.60994521499</v>
      </c>
      <c r="D627" s="56">
        <v>3.3250394880720631E-2</v>
      </c>
      <c r="E627" s="224">
        <v>1813.06089743589</v>
      </c>
      <c r="F627" s="515" t="s">
        <v>2477</v>
      </c>
      <c r="G627" s="52">
        <v>720014.75533929199</v>
      </c>
      <c r="H627" s="56">
        <v>7.4971885317370486E-3</v>
      </c>
      <c r="I627" s="224">
        <v>2509.9196078431301</v>
      </c>
    </row>
    <row r="628" spans="1:9" x14ac:dyDescent="0.25">
      <c r="A628" s="515">
        <v>43068</v>
      </c>
      <c r="B628" s="515" t="s">
        <v>345</v>
      </c>
      <c r="C628" s="52">
        <v>258847.91987136501</v>
      </c>
      <c r="D628" s="56">
        <v>8.8296439006841032E-2</v>
      </c>
      <c r="E628" s="224">
        <v>1692.7142857142801</v>
      </c>
      <c r="F628" s="515" t="s">
        <v>2478</v>
      </c>
      <c r="G628" s="52">
        <v>277512.29594836797</v>
      </c>
      <c r="H628" s="56">
        <v>6.7497940133382534E-2</v>
      </c>
      <c r="I628" s="224">
        <v>1436.43783068783</v>
      </c>
    </row>
    <row r="629" spans="1:9" x14ac:dyDescent="0.25">
      <c r="A629" s="515">
        <v>7083</v>
      </c>
      <c r="B629" s="515" t="s">
        <v>324</v>
      </c>
      <c r="C629" s="52">
        <v>449369.46669831499</v>
      </c>
      <c r="D629" s="56">
        <v>2.3317246073025533E-2</v>
      </c>
      <c r="E629" s="224">
        <v>2451.11309523809</v>
      </c>
      <c r="F629" s="515" t="s">
        <v>2479</v>
      </c>
      <c r="G629" s="52">
        <v>281027.15262931702</v>
      </c>
      <c r="H629" s="56">
        <v>6.6283776505374939E-2</v>
      </c>
      <c r="I629" s="224" t="s">
        <v>2</v>
      </c>
    </row>
    <row r="630" spans="1:9" x14ac:dyDescent="0.25">
      <c r="A630" s="515">
        <v>77498</v>
      </c>
      <c r="B630" s="515" t="s">
        <v>314</v>
      </c>
      <c r="C630" s="52">
        <v>313910.454793179</v>
      </c>
      <c r="D630" s="56">
        <v>9.037627396033146E-2</v>
      </c>
      <c r="E630" s="224">
        <v>1867.86342592592</v>
      </c>
      <c r="F630" s="515" t="s">
        <v>2480</v>
      </c>
      <c r="G630" s="52">
        <v>132606.353392513</v>
      </c>
      <c r="H630" s="56">
        <v>5.8104458117179139E-2</v>
      </c>
      <c r="I630" s="224">
        <v>822.888888888888</v>
      </c>
    </row>
    <row r="631" spans="1:9" x14ac:dyDescent="0.25">
      <c r="A631" s="515">
        <v>45840</v>
      </c>
      <c r="B631" s="515" t="s">
        <v>448</v>
      </c>
      <c r="C631" s="52">
        <v>203517.57664615801</v>
      </c>
      <c r="D631" s="56">
        <v>6.5903616288790337E-2</v>
      </c>
      <c r="E631" s="224">
        <v>1265.1666666666599</v>
      </c>
      <c r="F631" s="515" t="s">
        <v>2481</v>
      </c>
      <c r="G631" s="52">
        <v>389816.93151652202</v>
      </c>
      <c r="H631" s="56">
        <v>-1.2198169655059042E-2</v>
      </c>
      <c r="I631" s="224">
        <v>2116.9606060606002</v>
      </c>
    </row>
    <row r="632" spans="1:9" x14ac:dyDescent="0.25">
      <c r="A632" s="515">
        <v>12550</v>
      </c>
      <c r="B632" s="515" t="s">
        <v>529</v>
      </c>
      <c r="C632" s="52">
        <v>328519.177599271</v>
      </c>
      <c r="D632" s="56">
        <v>0.10094468053746676</v>
      </c>
      <c r="E632" s="224">
        <v>1817.7777777777701</v>
      </c>
      <c r="F632" s="515" t="s">
        <v>2482</v>
      </c>
      <c r="G632" s="52">
        <v>554721.631314478</v>
      </c>
      <c r="H632" s="56">
        <v>2.7527922358368977E-2</v>
      </c>
      <c r="I632" s="224">
        <v>2274.5611111111102</v>
      </c>
    </row>
    <row r="633" spans="1:9" x14ac:dyDescent="0.25">
      <c r="A633" s="515">
        <v>43229</v>
      </c>
      <c r="B633" s="515" t="s">
        <v>345</v>
      </c>
      <c r="C633" s="52">
        <v>238870.06964475801</v>
      </c>
      <c r="D633" s="56">
        <v>8.7242704613900227E-2</v>
      </c>
      <c r="E633" s="224">
        <v>1164.9166666666599</v>
      </c>
      <c r="F633" s="515" t="s">
        <v>2483</v>
      </c>
      <c r="G633" s="52">
        <v>256183.112765506</v>
      </c>
      <c r="H633" s="56">
        <v>7.1239127350917253E-2</v>
      </c>
      <c r="I633" s="224">
        <v>1654.7222222222199</v>
      </c>
    </row>
    <row r="634" spans="1:9" x14ac:dyDescent="0.25">
      <c r="A634" s="515">
        <v>91745</v>
      </c>
      <c r="B634" s="515" t="s">
        <v>375</v>
      </c>
      <c r="C634" s="52">
        <v>821924.04657345603</v>
      </c>
      <c r="D634" s="56">
        <v>7.3721722706877643E-2</v>
      </c>
      <c r="E634" s="224">
        <v>2856.5277777777701</v>
      </c>
      <c r="F634" s="515" t="s">
        <v>2484</v>
      </c>
      <c r="G634" s="52">
        <v>285402.49078694597</v>
      </c>
      <c r="H634" s="56">
        <v>0.15622497062491303</v>
      </c>
      <c r="I634" s="224">
        <v>2435.3402777777701</v>
      </c>
    </row>
    <row r="635" spans="1:9" x14ac:dyDescent="0.25">
      <c r="A635" s="515">
        <v>6516</v>
      </c>
      <c r="B635" s="515" t="s">
        <v>1172</v>
      </c>
      <c r="C635" s="52">
        <v>275552.86943818402</v>
      </c>
      <c r="D635" s="56">
        <v>0.10264572453825077</v>
      </c>
      <c r="E635" s="224">
        <v>1762.6666666666599</v>
      </c>
      <c r="F635" s="515" t="s">
        <v>2485</v>
      </c>
      <c r="G635" s="52">
        <v>452648.072395864</v>
      </c>
      <c r="H635" s="56">
        <v>9.4378856141993817E-2</v>
      </c>
      <c r="I635" s="224">
        <v>1727.97298850574</v>
      </c>
    </row>
    <row r="636" spans="1:9" x14ac:dyDescent="0.25">
      <c r="A636" s="515">
        <v>21222</v>
      </c>
      <c r="B636" s="515" t="s">
        <v>582</v>
      </c>
      <c r="C636" s="52">
        <v>196429.38095374999</v>
      </c>
      <c r="D636" s="56">
        <v>8.6177040938397287E-2</v>
      </c>
      <c r="E636" s="224">
        <v>1514.1666666666599</v>
      </c>
      <c r="F636" s="515" t="s">
        <v>2486</v>
      </c>
      <c r="G636" s="52">
        <v>457485.83288076799</v>
      </c>
      <c r="H636" s="56">
        <v>4.5183029425167262E-2</v>
      </c>
      <c r="I636" s="224">
        <v>1791.5185185185101</v>
      </c>
    </row>
    <row r="637" spans="1:9" x14ac:dyDescent="0.25">
      <c r="A637" s="515">
        <v>37421</v>
      </c>
      <c r="B637" s="515" t="s">
        <v>622</v>
      </c>
      <c r="C637" s="52">
        <v>318112.57178905199</v>
      </c>
      <c r="D637" s="56">
        <v>6.4970831675803212E-2</v>
      </c>
      <c r="E637" s="224">
        <v>1530.9166666666599</v>
      </c>
      <c r="F637" s="515" t="s">
        <v>1138</v>
      </c>
      <c r="G637" s="52">
        <v>191717.932650289</v>
      </c>
      <c r="H637" s="56">
        <v>0.10226811489756953</v>
      </c>
      <c r="I637" s="224" t="s">
        <v>2</v>
      </c>
    </row>
    <row r="638" spans="1:9" x14ac:dyDescent="0.25">
      <c r="A638" s="515">
        <v>90723</v>
      </c>
      <c r="B638" s="515" t="s">
        <v>375</v>
      </c>
      <c r="C638" s="52">
        <v>576001.32808127499</v>
      </c>
      <c r="D638" s="56">
        <v>5.2335058228027753E-2</v>
      </c>
      <c r="E638" s="224">
        <v>2071.25</v>
      </c>
      <c r="F638" s="515" t="s">
        <v>2487</v>
      </c>
      <c r="G638" s="52">
        <v>297552.40909901599</v>
      </c>
      <c r="H638" s="56">
        <v>0.10266028338391182</v>
      </c>
      <c r="I638" s="224">
        <v>1760.96298701298</v>
      </c>
    </row>
    <row r="639" spans="1:9" x14ac:dyDescent="0.25">
      <c r="A639" s="515">
        <v>32256</v>
      </c>
      <c r="B639" s="515" t="s">
        <v>1158</v>
      </c>
      <c r="C639" s="52">
        <v>340517.73792760901</v>
      </c>
      <c r="D639" s="56">
        <v>0.14258088760683263</v>
      </c>
      <c r="E639" s="224">
        <v>1636.8840860215</v>
      </c>
      <c r="F639" s="515" t="s">
        <v>2488</v>
      </c>
      <c r="G639" s="52">
        <v>1458524.0494838001</v>
      </c>
      <c r="H639" s="56">
        <v>2.0731203499595542E-2</v>
      </c>
      <c r="I639" s="224">
        <v>2981.40678676162</v>
      </c>
    </row>
    <row r="640" spans="1:9" x14ac:dyDescent="0.25">
      <c r="A640" s="515">
        <v>92626</v>
      </c>
      <c r="B640" s="515" t="s">
        <v>375</v>
      </c>
      <c r="C640" s="52">
        <v>1110872.4062055801</v>
      </c>
      <c r="D640" s="56">
        <v>9.6338769201489635E-2</v>
      </c>
      <c r="E640" s="224">
        <v>2700.5396825396801</v>
      </c>
      <c r="F640" s="515" t="s">
        <v>2489</v>
      </c>
      <c r="G640" s="52">
        <v>542000.98245775094</v>
      </c>
      <c r="H640" s="56">
        <v>7.8967415383182221E-2</v>
      </c>
      <c r="I640" s="224">
        <v>2078.36587301587</v>
      </c>
    </row>
    <row r="641" spans="1:9" x14ac:dyDescent="0.25">
      <c r="A641" s="515">
        <v>77088</v>
      </c>
      <c r="B641" s="515" t="s">
        <v>314</v>
      </c>
      <c r="C641" s="52">
        <v>212116.14181520001</v>
      </c>
      <c r="D641" s="56">
        <v>0.15053413562427298</v>
      </c>
      <c r="E641" s="224">
        <v>1640.0202020202</v>
      </c>
      <c r="F641" s="515" t="s">
        <v>2490</v>
      </c>
      <c r="G641" s="52">
        <v>144879.257247095</v>
      </c>
      <c r="H641" s="56">
        <v>0.15172759377456299</v>
      </c>
      <c r="I641" s="224">
        <v>1171.5277777777701</v>
      </c>
    </row>
    <row r="642" spans="1:9" x14ac:dyDescent="0.25">
      <c r="A642" s="515">
        <v>27834</v>
      </c>
      <c r="B642" s="515" t="s">
        <v>1101</v>
      </c>
      <c r="C642" s="52">
        <v>184555.85117911</v>
      </c>
      <c r="D642" s="56">
        <v>0.1664922809726849</v>
      </c>
      <c r="E642" s="224">
        <v>1368.5370370370299</v>
      </c>
      <c r="F642" s="515" t="s">
        <v>2491</v>
      </c>
      <c r="G642" s="52">
        <v>344684.63980281499</v>
      </c>
      <c r="H642" s="56">
        <v>5.1974919684741848E-2</v>
      </c>
      <c r="I642" s="224">
        <v>1640.92136752136</v>
      </c>
    </row>
    <row r="643" spans="1:9" x14ac:dyDescent="0.25">
      <c r="A643" s="515">
        <v>78550</v>
      </c>
      <c r="B643" s="515" t="s">
        <v>444</v>
      </c>
      <c r="C643" s="52">
        <v>144758.40222979599</v>
      </c>
      <c r="D643" s="56">
        <v>6.8263382032648076E-2</v>
      </c>
      <c r="E643" s="224">
        <v>1091.2222222222199</v>
      </c>
      <c r="F643" s="515" t="s">
        <v>2492</v>
      </c>
      <c r="G643" s="52">
        <v>1469304.35147806</v>
      </c>
      <c r="H643" s="56">
        <v>5.9384043924937454E-3</v>
      </c>
      <c r="I643" s="224">
        <v>2924.3194417077102</v>
      </c>
    </row>
    <row r="644" spans="1:9" x14ac:dyDescent="0.25">
      <c r="A644" s="515">
        <v>78207</v>
      </c>
      <c r="B644" s="515" t="s">
        <v>717</v>
      </c>
      <c r="C644" s="52">
        <v>118626.711569381</v>
      </c>
      <c r="D644" s="56">
        <v>7.3616926015370274E-2</v>
      </c>
      <c r="E644" s="224">
        <v>1186.1111111111099</v>
      </c>
      <c r="F644" s="515" t="s">
        <v>2493</v>
      </c>
      <c r="G644" s="52">
        <v>424294.61888548301</v>
      </c>
      <c r="H644" s="56">
        <v>0.12385892870522494</v>
      </c>
      <c r="I644" s="224">
        <v>2019.9814102564101</v>
      </c>
    </row>
    <row r="645" spans="1:9" x14ac:dyDescent="0.25">
      <c r="A645" s="515">
        <v>80229</v>
      </c>
      <c r="B645" s="515" t="s">
        <v>401</v>
      </c>
      <c r="C645" s="52">
        <v>425708.38876335399</v>
      </c>
      <c r="D645" s="56">
        <v>2.9388053973650203E-2</v>
      </c>
      <c r="E645" s="224">
        <v>1689.9708994708899</v>
      </c>
      <c r="F645" s="515" t="s">
        <v>2494</v>
      </c>
      <c r="G645" s="52">
        <v>584155.83507091703</v>
      </c>
      <c r="H645" s="56">
        <v>4.7247823276186499E-2</v>
      </c>
      <c r="I645" s="224">
        <v>2440.4686609686601</v>
      </c>
    </row>
    <row r="646" spans="1:9" x14ac:dyDescent="0.25">
      <c r="A646" s="515">
        <v>11354</v>
      </c>
      <c r="B646" s="515" t="s">
        <v>324</v>
      </c>
      <c r="C646" s="52">
        <v>442882.803109687</v>
      </c>
      <c r="D646" s="56">
        <v>-1.6679825120085121E-2</v>
      </c>
      <c r="E646" s="224">
        <v>2344.7089947089898</v>
      </c>
      <c r="F646" s="515" t="s">
        <v>2495</v>
      </c>
      <c r="G646" s="52">
        <v>693846.31656456797</v>
      </c>
      <c r="H646" s="56">
        <v>2.4468998702714836E-2</v>
      </c>
      <c r="I646" s="224">
        <v>2045.38888888888</v>
      </c>
    </row>
    <row r="647" spans="1:9" x14ac:dyDescent="0.25">
      <c r="A647" s="515">
        <v>32825</v>
      </c>
      <c r="B647" s="515" t="s">
        <v>517</v>
      </c>
      <c r="C647" s="52">
        <v>371582.35980701301</v>
      </c>
      <c r="D647" s="56">
        <v>8.5359956373403045E-2</v>
      </c>
      <c r="E647" s="224">
        <v>1923.76993464052</v>
      </c>
      <c r="F647" s="515" t="s">
        <v>2496</v>
      </c>
      <c r="G647" s="52">
        <v>964249.95714746101</v>
      </c>
      <c r="H647" s="56">
        <v>7.847778082982626E-2</v>
      </c>
      <c r="I647" s="224">
        <v>2866.3764957264898</v>
      </c>
    </row>
    <row r="648" spans="1:9" x14ac:dyDescent="0.25">
      <c r="A648" s="515">
        <v>78526</v>
      </c>
      <c r="B648" s="515" t="s">
        <v>444</v>
      </c>
      <c r="C648" s="52">
        <v>196057.56832744699</v>
      </c>
      <c r="D648" s="56">
        <v>0.12366407536292635</v>
      </c>
      <c r="E648" s="224" t="s">
        <v>2</v>
      </c>
      <c r="F648" s="515" t="s">
        <v>2497</v>
      </c>
      <c r="G648" s="52">
        <v>539558.20769832004</v>
      </c>
      <c r="H648" s="56">
        <v>3.6756923418617166E-2</v>
      </c>
      <c r="I648" s="224">
        <v>2412.7948717948698</v>
      </c>
    </row>
    <row r="649" spans="1:9" x14ac:dyDescent="0.25">
      <c r="A649" s="515">
        <v>96817</v>
      </c>
      <c r="B649" s="515" t="s">
        <v>1029</v>
      </c>
      <c r="C649" s="52">
        <v>810087.68085707596</v>
      </c>
      <c r="D649" s="56">
        <v>3.7538098270581008E-2</v>
      </c>
      <c r="E649" s="224">
        <v>2169.4444444444398</v>
      </c>
      <c r="F649" s="515" t="s">
        <v>2498</v>
      </c>
      <c r="G649" s="52">
        <v>323136.36177774298</v>
      </c>
      <c r="H649" s="56">
        <v>6.7009625131681655E-2</v>
      </c>
      <c r="I649" s="224">
        <v>1828.4642857142801</v>
      </c>
    </row>
    <row r="650" spans="1:9" x14ac:dyDescent="0.25">
      <c r="A650" s="515">
        <v>8873</v>
      </c>
      <c r="B650" s="515" t="s">
        <v>324</v>
      </c>
      <c r="C650" s="52">
        <v>446111.89257594198</v>
      </c>
      <c r="D650" s="56">
        <v>6.4414614958541602E-2</v>
      </c>
      <c r="E650" s="224">
        <v>2537.9166666666601</v>
      </c>
      <c r="F650" s="515" t="s">
        <v>2499</v>
      </c>
      <c r="G650" s="52">
        <v>387932.93121495098</v>
      </c>
      <c r="H650" s="56">
        <v>5.1047102112015727E-2</v>
      </c>
      <c r="I650" s="224">
        <v>1588.30793650793</v>
      </c>
    </row>
    <row r="651" spans="1:9" x14ac:dyDescent="0.25">
      <c r="A651" s="515">
        <v>60440</v>
      </c>
      <c r="B651" s="515" t="s">
        <v>394</v>
      </c>
      <c r="C651" s="52">
        <v>266135.17907481798</v>
      </c>
      <c r="D651" s="56">
        <v>6.2531758582145519E-2</v>
      </c>
      <c r="E651" s="224">
        <v>2321.1666666666601</v>
      </c>
      <c r="F651" s="515" t="s">
        <v>854</v>
      </c>
      <c r="G651" s="52">
        <v>304366.57615009398</v>
      </c>
      <c r="H651" s="56">
        <v>8.3851054850051482E-2</v>
      </c>
      <c r="I651" s="224">
        <v>1391.39529914529</v>
      </c>
    </row>
    <row r="652" spans="1:9" x14ac:dyDescent="0.25">
      <c r="A652" s="515">
        <v>7470</v>
      </c>
      <c r="B652" s="515" t="s">
        <v>324</v>
      </c>
      <c r="C652" s="52">
        <v>576331.00423613098</v>
      </c>
      <c r="D652" s="56">
        <v>5.9740645158206949E-2</v>
      </c>
      <c r="E652" s="224">
        <v>2640.8333333333298</v>
      </c>
      <c r="F652" s="515" t="s">
        <v>2500</v>
      </c>
      <c r="G652" s="52">
        <v>316202.63177228399</v>
      </c>
      <c r="H652" s="56">
        <v>0.1190235544802859</v>
      </c>
      <c r="I652" s="224">
        <v>1421.8743589743499</v>
      </c>
    </row>
    <row r="653" spans="1:9" x14ac:dyDescent="0.25">
      <c r="A653" s="515">
        <v>29483</v>
      </c>
      <c r="B653" s="515" t="s">
        <v>1009</v>
      </c>
      <c r="C653" s="52">
        <v>341226.30460475298</v>
      </c>
      <c r="D653" s="56">
        <v>9.0869868959421646E-2</v>
      </c>
      <c r="E653" s="224">
        <v>1738.44166666666</v>
      </c>
      <c r="F653" s="515" t="s">
        <v>2501</v>
      </c>
      <c r="G653" s="52">
        <v>493536.80799843703</v>
      </c>
      <c r="H653" s="56">
        <v>7.6849416590234532E-2</v>
      </c>
      <c r="I653" s="224">
        <v>1864.44206349206</v>
      </c>
    </row>
    <row r="654" spans="1:9" x14ac:dyDescent="0.25">
      <c r="A654" s="515">
        <v>43302</v>
      </c>
      <c r="B654" s="515" t="s">
        <v>530</v>
      </c>
      <c r="C654" s="52">
        <v>134912.76389931401</v>
      </c>
      <c r="D654" s="56">
        <v>8.6864505526308741E-2</v>
      </c>
      <c r="E654" s="224" t="s">
        <v>2</v>
      </c>
      <c r="F654" s="515" t="s">
        <v>1151</v>
      </c>
      <c r="G654" s="52">
        <v>155557.40207560599</v>
      </c>
      <c r="H654" s="56">
        <v>6.2946355684639285E-2</v>
      </c>
      <c r="I654" s="224">
        <v>977.16666666666595</v>
      </c>
    </row>
    <row r="655" spans="1:9" x14ac:dyDescent="0.25">
      <c r="A655" s="515">
        <v>7111</v>
      </c>
      <c r="B655" s="515" t="s">
        <v>324</v>
      </c>
      <c r="C655" s="52">
        <v>316408.51093223499</v>
      </c>
      <c r="D655" s="56">
        <v>9.6608158299476499E-2</v>
      </c>
      <c r="E655" s="224">
        <v>1715.9166666666599</v>
      </c>
      <c r="F655" s="515" t="s">
        <v>2502</v>
      </c>
      <c r="G655" s="52">
        <v>302605.27972601901</v>
      </c>
      <c r="H655" s="56">
        <v>3.8518428839121877E-2</v>
      </c>
      <c r="I655" s="224">
        <v>1603.7027777777701</v>
      </c>
    </row>
    <row r="656" spans="1:9" x14ac:dyDescent="0.25">
      <c r="A656" s="515">
        <v>96819</v>
      </c>
      <c r="B656" s="515" t="s">
        <v>1029</v>
      </c>
      <c r="C656" s="52">
        <v>1010197.10939082</v>
      </c>
      <c r="D656" s="56">
        <v>6.1420463733553546E-2</v>
      </c>
      <c r="E656" s="224">
        <v>2658.3333333333298</v>
      </c>
      <c r="F656" s="515" t="s">
        <v>2503</v>
      </c>
      <c r="G656" s="52">
        <v>612933.46026439196</v>
      </c>
      <c r="H656" s="56">
        <v>0.11991525069572113</v>
      </c>
      <c r="I656" s="224">
        <v>2230.2494444444401</v>
      </c>
    </row>
    <row r="657" spans="1:9" x14ac:dyDescent="0.25">
      <c r="A657" s="515">
        <v>89103</v>
      </c>
      <c r="B657" s="515" t="s">
        <v>323</v>
      </c>
      <c r="C657" s="52">
        <v>255792.04287049299</v>
      </c>
      <c r="D657" s="56">
        <v>0.10696033878446752</v>
      </c>
      <c r="E657" s="224">
        <v>1447.81014492753</v>
      </c>
      <c r="F657" s="515" t="s">
        <v>2504</v>
      </c>
      <c r="G657" s="52">
        <v>241238.42891859199</v>
      </c>
      <c r="H657" s="56">
        <v>0.11791050059300724</v>
      </c>
      <c r="I657" s="224">
        <v>1151.3333333333301</v>
      </c>
    </row>
    <row r="658" spans="1:9" x14ac:dyDescent="0.25">
      <c r="A658" s="515">
        <v>97402</v>
      </c>
      <c r="B658" s="515" t="s">
        <v>801</v>
      </c>
      <c r="C658" s="52">
        <v>378439.28885452001</v>
      </c>
      <c r="D658" s="56">
        <v>4.0380775058267163E-2</v>
      </c>
      <c r="E658" s="224">
        <v>1771.96536796536</v>
      </c>
      <c r="F658" s="515" t="s">
        <v>2505</v>
      </c>
      <c r="G658" s="52">
        <v>575211.17624578497</v>
      </c>
      <c r="H658" s="56">
        <v>6.4760718794982894E-2</v>
      </c>
      <c r="I658" s="224">
        <v>2315.2777777777701</v>
      </c>
    </row>
    <row r="659" spans="1:9" x14ac:dyDescent="0.25">
      <c r="A659" s="515">
        <v>38654</v>
      </c>
      <c r="B659" s="515" t="s">
        <v>951</v>
      </c>
      <c r="C659" s="52">
        <v>313482.33012614597</v>
      </c>
      <c r="D659" s="56">
        <v>6.0225623053606923E-2</v>
      </c>
      <c r="E659" s="224">
        <v>2126.8518518518499</v>
      </c>
      <c r="F659" s="515" t="s">
        <v>2506</v>
      </c>
      <c r="G659" s="52">
        <v>618177.41908960894</v>
      </c>
      <c r="H659" s="56">
        <v>7.647184666853811E-2</v>
      </c>
      <c r="I659" s="224">
        <v>2624.1666666666601</v>
      </c>
    </row>
    <row r="660" spans="1:9" x14ac:dyDescent="0.25">
      <c r="A660" s="515">
        <v>77396</v>
      </c>
      <c r="B660" s="515" t="s">
        <v>314</v>
      </c>
      <c r="C660" s="52">
        <v>257777.78436933301</v>
      </c>
      <c r="D660" s="56">
        <v>9.9750715043697258E-2</v>
      </c>
      <c r="E660" s="224">
        <v>1600.80555555555</v>
      </c>
      <c r="F660" s="515" t="s">
        <v>2507</v>
      </c>
      <c r="G660" s="52">
        <v>875756.79109505599</v>
      </c>
      <c r="H660" s="56">
        <v>7.1798654387287997E-2</v>
      </c>
      <c r="I660" s="224">
        <v>3015.4111111111101</v>
      </c>
    </row>
    <row r="661" spans="1:9" x14ac:dyDescent="0.25">
      <c r="A661" s="515">
        <v>10003</v>
      </c>
      <c r="B661" s="515" t="s">
        <v>324</v>
      </c>
      <c r="C661" s="52">
        <v>1379885.3807389601</v>
      </c>
      <c r="D661" s="56">
        <v>-1.5382845534626932E-2</v>
      </c>
      <c r="E661" s="224">
        <v>4165.3339438339399</v>
      </c>
      <c r="F661" s="515" t="s">
        <v>2508</v>
      </c>
      <c r="G661" s="52">
        <v>869631.39822233503</v>
      </c>
      <c r="H661" s="56">
        <v>3.7766643623152095E-2</v>
      </c>
      <c r="I661" s="224">
        <v>2582.3333333333298</v>
      </c>
    </row>
    <row r="662" spans="1:9" x14ac:dyDescent="0.25">
      <c r="A662" s="515">
        <v>46227</v>
      </c>
      <c r="B662" s="515" t="s">
        <v>403</v>
      </c>
      <c r="C662" s="52">
        <v>215850.46784894899</v>
      </c>
      <c r="D662" s="56">
        <v>8.0277295578231406E-2</v>
      </c>
      <c r="E662" s="224">
        <v>1418.6111111111099</v>
      </c>
      <c r="F662" s="515" t="s">
        <v>2509</v>
      </c>
      <c r="G662" s="52">
        <v>275425.08145632199</v>
      </c>
      <c r="H662" s="56">
        <v>0.1554516708235858</v>
      </c>
      <c r="I662" s="224">
        <v>1737.2222222222199</v>
      </c>
    </row>
    <row r="663" spans="1:9" x14ac:dyDescent="0.25">
      <c r="A663" s="515">
        <v>84041</v>
      </c>
      <c r="B663" s="515" t="s">
        <v>628</v>
      </c>
      <c r="C663" s="52">
        <v>446269.75321406103</v>
      </c>
      <c r="D663" s="56">
        <v>2.6741318225191817E-2</v>
      </c>
      <c r="E663" s="224">
        <v>1732.26388888888</v>
      </c>
      <c r="F663" s="515" t="s">
        <v>1082</v>
      </c>
      <c r="G663" s="52">
        <v>224486.89105695501</v>
      </c>
      <c r="H663" s="56">
        <v>0.10084506205235086</v>
      </c>
      <c r="I663" s="224">
        <v>1034.1666666666599</v>
      </c>
    </row>
    <row r="664" spans="1:9" x14ac:dyDescent="0.25">
      <c r="A664" s="515">
        <v>78223</v>
      </c>
      <c r="B664" s="515" t="s">
        <v>717</v>
      </c>
      <c r="C664" s="52">
        <v>192185.26164313799</v>
      </c>
      <c r="D664" s="56">
        <v>8.7683820896669068E-2</v>
      </c>
      <c r="E664" s="224">
        <v>1430</v>
      </c>
      <c r="F664" s="515" t="s">
        <v>2510</v>
      </c>
      <c r="G664" s="52">
        <v>537414.84195366595</v>
      </c>
      <c r="H664" s="56">
        <v>0.11354041970477573</v>
      </c>
      <c r="I664" s="224">
        <v>2511.0690601668798</v>
      </c>
    </row>
    <row r="665" spans="1:9" x14ac:dyDescent="0.25">
      <c r="A665" s="515">
        <v>2360</v>
      </c>
      <c r="B665" s="515" t="s">
        <v>534</v>
      </c>
      <c r="C665" s="52">
        <v>526848.85992183001</v>
      </c>
      <c r="D665" s="56">
        <v>7.7633898211936878E-2</v>
      </c>
      <c r="E665" s="224">
        <v>2469.8201058200998</v>
      </c>
      <c r="F665" s="515" t="s">
        <v>2511</v>
      </c>
      <c r="G665" s="52">
        <v>1058739.67069078</v>
      </c>
      <c r="H665" s="56">
        <v>3.9291324907016548E-2</v>
      </c>
      <c r="I665" s="224">
        <v>2774.8190849673201</v>
      </c>
    </row>
    <row r="666" spans="1:9" x14ac:dyDescent="0.25">
      <c r="A666" s="515">
        <v>92111</v>
      </c>
      <c r="B666" s="515" t="s">
        <v>396</v>
      </c>
      <c r="C666" s="52">
        <v>822118.07441588398</v>
      </c>
      <c r="D666" s="56">
        <v>8.281065767021957E-2</v>
      </c>
      <c r="E666" s="224">
        <v>3092.86309523809</v>
      </c>
      <c r="F666" s="515" t="s">
        <v>2512</v>
      </c>
      <c r="G666" s="52">
        <v>334652.601510434</v>
      </c>
      <c r="H666" s="56">
        <v>9.9350609023510839E-2</v>
      </c>
      <c r="I666" s="224">
        <v>1671.2037037037001</v>
      </c>
    </row>
    <row r="667" spans="1:9" x14ac:dyDescent="0.25">
      <c r="A667" s="515">
        <v>28540</v>
      </c>
      <c r="B667" s="515" t="s">
        <v>1153</v>
      </c>
      <c r="C667" s="52">
        <v>215571.65829960399</v>
      </c>
      <c r="D667" s="56">
        <v>0.15974243280993333</v>
      </c>
      <c r="E667" s="224">
        <v>1238.3518518518499</v>
      </c>
      <c r="F667" s="515" t="s">
        <v>2513</v>
      </c>
      <c r="G667" s="52">
        <v>414351.77711050102</v>
      </c>
      <c r="H667" s="56">
        <v>9.0403485185750726E-2</v>
      </c>
      <c r="I667" s="224">
        <v>2118.4431372549002</v>
      </c>
    </row>
    <row r="668" spans="1:9" x14ac:dyDescent="0.25">
      <c r="A668" s="515">
        <v>91786</v>
      </c>
      <c r="B668" s="515" t="s">
        <v>599</v>
      </c>
      <c r="C668" s="52">
        <v>645961.54077767499</v>
      </c>
      <c r="D668" s="56">
        <v>4.2812159270552583E-2</v>
      </c>
      <c r="E668" s="224">
        <v>2206.2791666666599</v>
      </c>
      <c r="F668" s="515" t="s">
        <v>2514</v>
      </c>
      <c r="G668" s="52">
        <v>395755.15676314698</v>
      </c>
      <c r="H668" s="56">
        <v>3.7366835079358229E-2</v>
      </c>
      <c r="I668" s="224">
        <v>1744.4722222222199</v>
      </c>
    </row>
    <row r="669" spans="1:9" x14ac:dyDescent="0.25">
      <c r="A669" s="515">
        <v>29720</v>
      </c>
      <c r="B669" s="515" t="s">
        <v>360</v>
      </c>
      <c r="C669" s="52">
        <v>252958.88278289899</v>
      </c>
      <c r="D669" s="56">
        <v>0.11552418503608276</v>
      </c>
      <c r="E669" s="224" t="s">
        <v>2</v>
      </c>
      <c r="F669" s="515" t="s">
        <v>1304</v>
      </c>
      <c r="G669" s="52">
        <v>441166.83539175399</v>
      </c>
      <c r="H669" s="56">
        <v>1.5693928447661539E-2</v>
      </c>
      <c r="I669" s="224">
        <v>1821.9762745098001</v>
      </c>
    </row>
    <row r="670" spans="1:9" x14ac:dyDescent="0.25">
      <c r="A670" s="515">
        <v>78537</v>
      </c>
      <c r="B670" s="515" t="s">
        <v>550</v>
      </c>
      <c r="C670" s="52">
        <v>117209.188418876</v>
      </c>
      <c r="D670" s="56">
        <v>0.19693398192480888</v>
      </c>
      <c r="E670" s="224" t="s">
        <v>2</v>
      </c>
      <c r="F670" s="515" t="s">
        <v>2515</v>
      </c>
      <c r="G670" s="52">
        <v>160132.32844569199</v>
      </c>
      <c r="H670" s="56">
        <v>8.2314191839432699E-2</v>
      </c>
      <c r="I670" s="224">
        <v>1069.0833333333301</v>
      </c>
    </row>
    <row r="671" spans="1:9" x14ac:dyDescent="0.25">
      <c r="A671" s="515">
        <v>94591</v>
      </c>
      <c r="B671" s="515" t="s">
        <v>835</v>
      </c>
      <c r="C671" s="52">
        <v>582408.65947745799</v>
      </c>
      <c r="D671" s="56">
        <v>7.3051755106301672E-3</v>
      </c>
      <c r="E671" s="224">
        <v>2364.8068181818098</v>
      </c>
      <c r="F671" s="515" t="s">
        <v>1268</v>
      </c>
      <c r="G671" s="52">
        <v>338980.44091839599</v>
      </c>
      <c r="H671" s="56">
        <v>5.9677614684422696E-2</v>
      </c>
      <c r="I671" s="224">
        <v>1587.13888888888</v>
      </c>
    </row>
    <row r="672" spans="1:9" x14ac:dyDescent="0.25">
      <c r="A672" s="515">
        <v>93458</v>
      </c>
      <c r="B672" s="515" t="s">
        <v>847</v>
      </c>
      <c r="C672" s="52">
        <v>497474.79950085701</v>
      </c>
      <c r="D672" s="56">
        <v>6.4279310618492819E-2</v>
      </c>
      <c r="E672" s="224">
        <v>2025.55555555555</v>
      </c>
      <c r="F672" s="515" t="s">
        <v>2516</v>
      </c>
      <c r="G672" s="52">
        <v>658381.06467879401</v>
      </c>
      <c r="H672" s="56">
        <v>3.2327609719955694E-3</v>
      </c>
      <c r="I672" s="224">
        <v>2835.0253968253901</v>
      </c>
    </row>
    <row r="673" spans="1:9" x14ac:dyDescent="0.25">
      <c r="A673" s="515">
        <v>33018</v>
      </c>
      <c r="B673" s="515" t="s">
        <v>831</v>
      </c>
      <c r="C673" s="52">
        <v>475502.986288313</v>
      </c>
      <c r="D673" s="56">
        <v>0.13498741079411983</v>
      </c>
      <c r="E673" s="224">
        <v>3110.8333333333298</v>
      </c>
      <c r="F673" s="515" t="s">
        <v>2517</v>
      </c>
      <c r="G673" s="52">
        <v>310199.78107858403</v>
      </c>
      <c r="H673" s="56">
        <v>5.4198076561646311E-2</v>
      </c>
      <c r="I673" s="224">
        <v>1781.38888888888</v>
      </c>
    </row>
    <row r="674" spans="1:9" x14ac:dyDescent="0.25">
      <c r="A674" s="515">
        <v>95116</v>
      </c>
      <c r="B674" s="515" t="s">
        <v>850</v>
      </c>
      <c r="C674" s="52">
        <v>842750.84242844302</v>
      </c>
      <c r="D674" s="56">
        <v>5.2827889003375712E-2</v>
      </c>
      <c r="E674" s="224">
        <v>2822.2222222222199</v>
      </c>
      <c r="F674" s="515" t="s">
        <v>2518</v>
      </c>
      <c r="G674" s="52">
        <v>780099.62303687504</v>
      </c>
      <c r="H674" s="56">
        <v>-2.7991508492864827E-2</v>
      </c>
      <c r="I674" s="224">
        <v>3079.0096153846098</v>
      </c>
    </row>
    <row r="675" spans="1:9" x14ac:dyDescent="0.25">
      <c r="A675" s="515">
        <v>63129</v>
      </c>
      <c r="B675" s="515" t="s">
        <v>498</v>
      </c>
      <c r="C675" s="52">
        <v>291674.25976659497</v>
      </c>
      <c r="D675" s="56">
        <v>7.290666757627369E-2</v>
      </c>
      <c r="E675" s="224" t="s">
        <v>2</v>
      </c>
      <c r="F675" s="515" t="s">
        <v>2519</v>
      </c>
      <c r="G675" s="52">
        <v>215475.47533226601</v>
      </c>
      <c r="H675" s="56">
        <v>9.4966487782217002E-2</v>
      </c>
      <c r="I675" s="224">
        <v>1378.20591630591</v>
      </c>
    </row>
    <row r="676" spans="1:9" x14ac:dyDescent="0.25">
      <c r="A676" s="515">
        <v>19320</v>
      </c>
      <c r="B676" s="515" t="s">
        <v>294</v>
      </c>
      <c r="C676" s="52">
        <v>314599.80116692698</v>
      </c>
      <c r="D676" s="56">
        <v>0.10559218367117358</v>
      </c>
      <c r="E676" s="224">
        <v>1654.1666666666599</v>
      </c>
      <c r="F676" s="515" t="s">
        <v>2520</v>
      </c>
      <c r="G676" s="52">
        <v>482179.89303346199</v>
      </c>
      <c r="H676" s="56">
        <v>2.265851745058715E-2</v>
      </c>
      <c r="I676" s="224">
        <v>1801.80555555555</v>
      </c>
    </row>
    <row r="677" spans="1:9" x14ac:dyDescent="0.25">
      <c r="A677" s="515">
        <v>89147</v>
      </c>
      <c r="B677" s="515" t="s">
        <v>323</v>
      </c>
      <c r="C677" s="52">
        <v>378905.18656163802</v>
      </c>
      <c r="D677" s="56">
        <v>4.1568271807255128E-2</v>
      </c>
      <c r="E677" s="224">
        <v>1788.9463734567901</v>
      </c>
      <c r="F677" s="515" t="s">
        <v>2521</v>
      </c>
      <c r="G677" s="52">
        <v>422035.67017735098</v>
      </c>
      <c r="H677" s="56">
        <v>9.0261760616380499E-2</v>
      </c>
      <c r="I677" s="224">
        <v>2209.5760493827102</v>
      </c>
    </row>
    <row r="678" spans="1:9" x14ac:dyDescent="0.25">
      <c r="A678" s="515">
        <v>48103</v>
      </c>
      <c r="B678" s="515" t="s">
        <v>783</v>
      </c>
      <c r="C678" s="52">
        <v>445196.44276202802</v>
      </c>
      <c r="D678" s="56">
        <v>4.4990373678412895E-2</v>
      </c>
      <c r="E678" s="224">
        <v>2051.5357142857101</v>
      </c>
      <c r="F678" s="515" t="s">
        <v>2522</v>
      </c>
      <c r="G678" s="52">
        <v>419171.82447980403</v>
      </c>
      <c r="H678" s="56">
        <v>2.6129648995474892E-2</v>
      </c>
      <c r="I678" s="224">
        <v>1944.8277777777701</v>
      </c>
    </row>
    <row r="679" spans="1:9" x14ac:dyDescent="0.25">
      <c r="A679" s="515">
        <v>93551</v>
      </c>
      <c r="B679" s="515" t="s">
        <v>375</v>
      </c>
      <c r="C679" s="52">
        <v>552920.46163855004</v>
      </c>
      <c r="D679" s="56">
        <v>7.2884579784626372E-3</v>
      </c>
      <c r="E679" s="224">
        <v>3032.4444444444398</v>
      </c>
      <c r="F679" s="515" t="s">
        <v>2523</v>
      </c>
      <c r="G679" s="52">
        <v>198797.68526337101</v>
      </c>
      <c r="H679" s="56">
        <v>7.0042775609118785E-2</v>
      </c>
      <c r="I679" s="224">
        <v>1287.2714285714201</v>
      </c>
    </row>
    <row r="680" spans="1:9" x14ac:dyDescent="0.25">
      <c r="A680" s="515">
        <v>83709</v>
      </c>
      <c r="B680" s="515" t="s">
        <v>500</v>
      </c>
      <c r="C680" s="52">
        <v>443536.34830461198</v>
      </c>
      <c r="D680" s="56">
        <v>-3.0508989593936966E-2</v>
      </c>
      <c r="E680" s="224">
        <v>1952.5793650793601</v>
      </c>
      <c r="F680" s="515" t="s">
        <v>2524</v>
      </c>
      <c r="G680" s="52">
        <v>767526.62756597495</v>
      </c>
      <c r="H680" s="56">
        <v>5.2422198180410669E-2</v>
      </c>
      <c r="I680" s="224">
        <v>2531.1059163059099</v>
      </c>
    </row>
    <row r="681" spans="1:9" x14ac:dyDescent="0.25">
      <c r="A681" s="515">
        <v>76119</v>
      </c>
      <c r="B681" s="515" t="s">
        <v>458</v>
      </c>
      <c r="C681" s="52">
        <v>186725.397231896</v>
      </c>
      <c r="D681" s="56">
        <v>0.20947007131240264</v>
      </c>
      <c r="E681" s="224">
        <v>1378.1666666666599</v>
      </c>
      <c r="F681" s="515" t="s">
        <v>2525</v>
      </c>
      <c r="G681" s="52">
        <v>773893.63018682599</v>
      </c>
      <c r="H681" s="56">
        <v>4.3796189840129784E-2</v>
      </c>
      <c r="I681" s="224">
        <v>2562.4077777777702</v>
      </c>
    </row>
    <row r="682" spans="1:9" x14ac:dyDescent="0.25">
      <c r="A682" s="515">
        <v>77546</v>
      </c>
      <c r="B682" s="515" t="s">
        <v>314</v>
      </c>
      <c r="C682" s="52">
        <v>363454.27390136098</v>
      </c>
      <c r="D682" s="56">
        <v>7.5154266399190178E-2</v>
      </c>
      <c r="E682" s="224">
        <v>1973.5416666666599</v>
      </c>
      <c r="F682" s="515" t="s">
        <v>2526</v>
      </c>
      <c r="G682" s="52">
        <v>598914.95725040603</v>
      </c>
      <c r="H682" s="56">
        <v>6.2322581418566725E-2</v>
      </c>
      <c r="I682" s="224">
        <v>1706.25</v>
      </c>
    </row>
    <row r="683" spans="1:9" x14ac:dyDescent="0.25">
      <c r="A683" s="515">
        <v>92505</v>
      </c>
      <c r="B683" s="515" t="s">
        <v>599</v>
      </c>
      <c r="C683" s="52">
        <v>555633.57245979004</v>
      </c>
      <c r="D683" s="56">
        <v>6.4662674031374379E-2</v>
      </c>
      <c r="E683" s="224">
        <v>2077.75</v>
      </c>
      <c r="F683" s="515" t="s">
        <v>1317</v>
      </c>
      <c r="G683" s="52">
        <v>107635.045422233</v>
      </c>
      <c r="H683" s="56">
        <v>6.5055600029880423E-2</v>
      </c>
      <c r="I683" s="224">
        <v>916.194444444444</v>
      </c>
    </row>
    <row r="684" spans="1:9" x14ac:dyDescent="0.25">
      <c r="A684" s="515">
        <v>70072</v>
      </c>
      <c r="B684" s="515" t="s">
        <v>777</v>
      </c>
      <c r="C684" s="52">
        <v>185136.31770843</v>
      </c>
      <c r="D684" s="56">
        <v>-3.3687976605823291E-3</v>
      </c>
      <c r="E684" s="224">
        <v>1197.5</v>
      </c>
      <c r="F684" s="515" t="s">
        <v>2527</v>
      </c>
      <c r="G684" s="52">
        <v>502200.55762432498</v>
      </c>
      <c r="H684" s="56">
        <v>6.8886038926942641E-3</v>
      </c>
      <c r="I684" s="224">
        <v>1777.8988907753201</v>
      </c>
    </row>
    <row r="685" spans="1:9" x14ac:dyDescent="0.25">
      <c r="A685" s="515">
        <v>20904</v>
      </c>
      <c r="B685" s="515" t="s">
        <v>321</v>
      </c>
      <c r="C685" s="52">
        <v>524661.41027531202</v>
      </c>
      <c r="D685" s="56">
        <v>3.5482599230313064E-2</v>
      </c>
      <c r="E685" s="224">
        <v>1765.38888888888</v>
      </c>
      <c r="F685" s="515" t="s">
        <v>322</v>
      </c>
      <c r="G685" s="52">
        <v>151463.07639759401</v>
      </c>
      <c r="H685" s="56">
        <v>7.5297485178214024E-2</v>
      </c>
      <c r="I685" s="224">
        <v>819.55555555555497</v>
      </c>
    </row>
    <row r="686" spans="1:9" x14ac:dyDescent="0.25">
      <c r="A686" s="515">
        <v>85710</v>
      </c>
      <c r="B686" s="515" t="s">
        <v>368</v>
      </c>
      <c r="C686" s="52">
        <v>287596.70313549699</v>
      </c>
      <c r="D686" s="56">
        <v>5.9653352254674004E-2</v>
      </c>
      <c r="E686" s="224">
        <v>1294.68205128205</v>
      </c>
      <c r="F686" s="515" t="s">
        <v>2528</v>
      </c>
      <c r="G686" s="52">
        <v>410261.61682957399</v>
      </c>
      <c r="H686" s="56">
        <v>8.7917063368473866E-2</v>
      </c>
      <c r="I686" s="224">
        <v>2204.4444444444398</v>
      </c>
    </row>
    <row r="687" spans="1:9" x14ac:dyDescent="0.25">
      <c r="A687" s="515">
        <v>72764</v>
      </c>
      <c r="B687" s="515" t="s">
        <v>675</v>
      </c>
      <c r="C687" s="52">
        <v>263599.29038407898</v>
      </c>
      <c r="D687" s="56">
        <v>0.11780210568906593</v>
      </c>
      <c r="E687" s="224">
        <v>1600</v>
      </c>
      <c r="F687" s="515" t="s">
        <v>2529</v>
      </c>
      <c r="G687" s="52">
        <v>99664.491289130296</v>
      </c>
      <c r="H687" s="56">
        <v>0.1786924437394527</v>
      </c>
      <c r="I687" s="224" t="s">
        <v>2</v>
      </c>
    </row>
    <row r="688" spans="1:9" x14ac:dyDescent="0.25">
      <c r="A688" s="515">
        <v>17331</v>
      </c>
      <c r="B688" s="515" t="s">
        <v>509</v>
      </c>
      <c r="C688" s="52">
        <v>241119.65138646399</v>
      </c>
      <c r="D688" s="56">
        <v>9.4466957305339633E-2</v>
      </c>
      <c r="E688" s="224">
        <v>1224.44444444444</v>
      </c>
      <c r="F688" s="515" t="s">
        <v>840</v>
      </c>
      <c r="G688" s="52">
        <v>149903.13118241401</v>
      </c>
      <c r="H688" s="56">
        <v>0</v>
      </c>
      <c r="I688" s="224">
        <v>1743.5317460317401</v>
      </c>
    </row>
    <row r="689" spans="1:9" x14ac:dyDescent="0.25">
      <c r="A689" s="515">
        <v>98115</v>
      </c>
      <c r="B689" s="515" t="s">
        <v>384</v>
      </c>
      <c r="C689" s="52">
        <v>994961.24173392903</v>
      </c>
      <c r="D689" s="56">
        <v>2.7234411444875817E-2</v>
      </c>
      <c r="E689" s="224">
        <v>2122.12301587301</v>
      </c>
      <c r="F689" s="515" t="s">
        <v>2530</v>
      </c>
      <c r="G689" s="52">
        <v>226817.646676706</v>
      </c>
      <c r="H689" s="56">
        <v>0.13036376373749997</v>
      </c>
      <c r="I689" s="224">
        <v>1360</v>
      </c>
    </row>
    <row r="690" spans="1:9" x14ac:dyDescent="0.25">
      <c r="A690" s="515">
        <v>90018</v>
      </c>
      <c r="B690" s="515" t="s">
        <v>375</v>
      </c>
      <c r="C690" s="52">
        <v>823735.04379995703</v>
      </c>
      <c r="D690" s="56">
        <v>-8.3333483097927982E-3</v>
      </c>
      <c r="E690" s="224">
        <v>2379.1666666666601</v>
      </c>
      <c r="F690" s="515" t="s">
        <v>816</v>
      </c>
      <c r="G690" s="52">
        <v>174771.08132313099</v>
      </c>
      <c r="H690" s="56">
        <v>8.357198952869635E-2</v>
      </c>
      <c r="I690" s="224">
        <v>1450</v>
      </c>
    </row>
    <row r="691" spans="1:9" x14ac:dyDescent="0.25">
      <c r="A691" s="515">
        <v>83642</v>
      </c>
      <c r="B691" s="515" t="s">
        <v>500</v>
      </c>
      <c r="C691" s="52">
        <v>501604.83737291099</v>
      </c>
      <c r="D691" s="56">
        <v>-3.5120569856454446E-2</v>
      </c>
      <c r="E691" s="224">
        <v>1834.93981481481</v>
      </c>
      <c r="F691" s="515" t="s">
        <v>2531</v>
      </c>
      <c r="G691" s="52">
        <v>336836.13588686701</v>
      </c>
      <c r="H691" s="56">
        <v>8.8892913235135707E-2</v>
      </c>
      <c r="I691" s="224">
        <v>1888.80952380952</v>
      </c>
    </row>
    <row r="692" spans="1:9" x14ac:dyDescent="0.25">
      <c r="A692" s="515">
        <v>30075</v>
      </c>
      <c r="B692" s="515" t="s">
        <v>957</v>
      </c>
      <c r="C692" s="52">
        <v>605455.64920407103</v>
      </c>
      <c r="D692" s="56">
        <v>9.89195459539981E-2</v>
      </c>
      <c r="E692" s="224">
        <v>1981.11255411255</v>
      </c>
      <c r="F692" s="515" t="s">
        <v>561</v>
      </c>
      <c r="G692" s="52">
        <v>644741.46340308199</v>
      </c>
      <c r="H692" s="56">
        <v>4.0854043836956767E-2</v>
      </c>
      <c r="I692" s="224">
        <v>2431.26388888888</v>
      </c>
    </row>
    <row r="693" spans="1:9" x14ac:dyDescent="0.25">
      <c r="A693" s="515">
        <v>30144</v>
      </c>
      <c r="B693" s="515" t="s">
        <v>957</v>
      </c>
      <c r="C693" s="52">
        <v>361166.78654494701</v>
      </c>
      <c r="D693" s="56">
        <v>8.785117635094894E-2</v>
      </c>
      <c r="E693" s="224">
        <v>1745.61679197995</v>
      </c>
      <c r="F693" s="515" t="s">
        <v>2532</v>
      </c>
      <c r="G693" s="52">
        <v>139448.813252397</v>
      </c>
      <c r="H693" s="56">
        <v>8.0675392221509643E-2</v>
      </c>
      <c r="I693" s="224">
        <v>948.43939393939399</v>
      </c>
    </row>
    <row r="694" spans="1:9" x14ac:dyDescent="0.25">
      <c r="A694" s="515">
        <v>90063</v>
      </c>
      <c r="B694" s="515" t="s">
        <v>375</v>
      </c>
      <c r="C694" s="52">
        <v>633687.53488451405</v>
      </c>
      <c r="D694" s="56">
        <v>5.4264487075721721E-2</v>
      </c>
      <c r="E694" s="224">
        <v>2575</v>
      </c>
      <c r="F694" s="515" t="s">
        <v>729</v>
      </c>
      <c r="G694" s="52">
        <v>235056.22316908301</v>
      </c>
      <c r="H694" s="56">
        <v>7.8563948451268087E-2</v>
      </c>
      <c r="I694" s="224">
        <v>1144.7037037037001</v>
      </c>
    </row>
    <row r="695" spans="1:9" x14ac:dyDescent="0.25">
      <c r="A695" s="515">
        <v>20744</v>
      </c>
      <c r="B695" s="515" t="s">
        <v>321</v>
      </c>
      <c r="C695" s="52">
        <v>412055.16846539697</v>
      </c>
      <c r="D695" s="56">
        <v>2.8930378826345325E-2</v>
      </c>
      <c r="E695" s="224">
        <v>1542.1428571428501</v>
      </c>
      <c r="F695" s="515" t="s">
        <v>2533</v>
      </c>
      <c r="G695" s="52">
        <v>226213.29009409001</v>
      </c>
      <c r="H695" s="56">
        <v>4.5122929933075664E-2</v>
      </c>
      <c r="I695" s="224">
        <v>1475.0158730158701</v>
      </c>
    </row>
    <row r="696" spans="1:9" x14ac:dyDescent="0.25">
      <c r="A696" s="515">
        <v>28110</v>
      </c>
      <c r="B696" s="515" t="s">
        <v>360</v>
      </c>
      <c r="C696" s="52">
        <v>339501.69927986898</v>
      </c>
      <c r="D696" s="56">
        <v>0.10937437293211297</v>
      </c>
      <c r="E696" s="224">
        <v>1922.7</v>
      </c>
      <c r="F696" s="515" t="s">
        <v>766</v>
      </c>
      <c r="G696" s="52">
        <v>261683.49315886799</v>
      </c>
      <c r="H696" s="56">
        <v>8.1345464782497851E-2</v>
      </c>
      <c r="I696" s="224">
        <v>1122.2962962962899</v>
      </c>
    </row>
    <row r="697" spans="1:9" x14ac:dyDescent="0.25">
      <c r="A697" s="515">
        <v>75061</v>
      </c>
      <c r="B697" s="515" t="s">
        <v>458</v>
      </c>
      <c r="C697" s="52">
        <v>282270.09334796399</v>
      </c>
      <c r="D697" s="56">
        <v>0.1178975925012552</v>
      </c>
      <c r="E697" s="224">
        <v>1497.65</v>
      </c>
      <c r="F697" s="515" t="s">
        <v>2534</v>
      </c>
      <c r="G697" s="52">
        <v>315494.67892456002</v>
      </c>
      <c r="H697" s="56">
        <v>9.0164378394442149E-2</v>
      </c>
      <c r="I697" s="224">
        <v>1851.6681818181801</v>
      </c>
    </row>
    <row r="698" spans="1:9" x14ac:dyDescent="0.25">
      <c r="A698" s="515">
        <v>45040</v>
      </c>
      <c r="B698" s="515" t="s">
        <v>344</v>
      </c>
      <c r="C698" s="52">
        <v>408955.91137823701</v>
      </c>
      <c r="D698" s="56">
        <v>0.11662730918104784</v>
      </c>
      <c r="E698" s="224">
        <v>1951.6666666666599</v>
      </c>
      <c r="F698" s="515" t="s">
        <v>2535</v>
      </c>
      <c r="G698" s="52">
        <v>220644.598223701</v>
      </c>
      <c r="H698" s="56">
        <v>8.8985554532108685E-2</v>
      </c>
      <c r="I698" s="224">
        <v>1323.9166666666599</v>
      </c>
    </row>
    <row r="699" spans="1:9" x14ac:dyDescent="0.25">
      <c r="A699" s="515">
        <v>92584</v>
      </c>
      <c r="B699" s="515" t="s">
        <v>599</v>
      </c>
      <c r="C699" s="52">
        <v>580002.39716229797</v>
      </c>
      <c r="D699" s="56">
        <v>4.2431903685461021E-2</v>
      </c>
      <c r="E699" s="224">
        <v>2827.1944444444398</v>
      </c>
      <c r="F699" s="515" t="s">
        <v>2536</v>
      </c>
      <c r="G699" s="52">
        <v>448501.25997684698</v>
      </c>
      <c r="H699" s="56">
        <v>0.14398356279051699</v>
      </c>
      <c r="I699" s="224">
        <v>2805.5303030302998</v>
      </c>
    </row>
    <row r="700" spans="1:9" x14ac:dyDescent="0.25">
      <c r="A700" s="515">
        <v>22204</v>
      </c>
      <c r="B700" s="515" t="s">
        <v>321</v>
      </c>
      <c r="C700" s="52">
        <v>570985.43390981096</v>
      </c>
      <c r="D700" s="56">
        <v>1.4239853072503682E-2</v>
      </c>
      <c r="E700" s="224">
        <v>2033.64418377321</v>
      </c>
      <c r="F700" s="515" t="s">
        <v>558</v>
      </c>
      <c r="G700" s="52">
        <v>416251.50374986202</v>
      </c>
      <c r="H700" s="56">
        <v>9.5262087086971675E-2</v>
      </c>
      <c r="I700" s="224">
        <v>2190.13888888888</v>
      </c>
    </row>
    <row r="701" spans="1:9" x14ac:dyDescent="0.25">
      <c r="A701" s="515">
        <v>95350</v>
      </c>
      <c r="B701" s="515" t="s">
        <v>797</v>
      </c>
      <c r="C701" s="52">
        <v>392820.30015211902</v>
      </c>
      <c r="D701" s="56">
        <v>3.2347152890424884E-2</v>
      </c>
      <c r="E701" s="224">
        <v>1648.3611111111099</v>
      </c>
      <c r="F701" s="515" t="s">
        <v>2537</v>
      </c>
      <c r="G701" s="52">
        <v>545035.85246999795</v>
      </c>
      <c r="H701" s="56">
        <v>5.1597058468632183E-2</v>
      </c>
      <c r="I701" s="224">
        <v>2335.70897435897</v>
      </c>
    </row>
    <row r="702" spans="1:9" x14ac:dyDescent="0.25">
      <c r="A702" s="515">
        <v>85009</v>
      </c>
      <c r="B702" s="515" t="s">
        <v>563</v>
      </c>
      <c r="C702" s="52">
        <v>266476.64816604898</v>
      </c>
      <c r="D702" s="56">
        <v>5.6971682650912264E-2</v>
      </c>
      <c r="E702" s="224">
        <v>1386.1111111111099</v>
      </c>
      <c r="F702" s="515" t="s">
        <v>2538</v>
      </c>
      <c r="G702" s="52">
        <v>805623.91779456695</v>
      </c>
      <c r="H702" s="56">
        <v>7.3527152619445955E-3</v>
      </c>
      <c r="I702" s="224">
        <v>2603.4777777777699</v>
      </c>
    </row>
    <row r="703" spans="1:9" x14ac:dyDescent="0.25">
      <c r="A703" s="515">
        <v>8861</v>
      </c>
      <c r="B703" s="515" t="s">
        <v>324</v>
      </c>
      <c r="C703" s="52">
        <v>376132.56392187701</v>
      </c>
      <c r="D703" s="56">
        <v>4.9448768097132542E-2</v>
      </c>
      <c r="E703" s="224" t="s">
        <v>2</v>
      </c>
      <c r="F703" s="515" t="s">
        <v>2539</v>
      </c>
      <c r="G703" s="52">
        <v>223739.99702476599</v>
      </c>
      <c r="H703" s="56">
        <v>0.21200912048374754</v>
      </c>
      <c r="I703" s="224">
        <v>1912.4246031746</v>
      </c>
    </row>
    <row r="704" spans="1:9" x14ac:dyDescent="0.25">
      <c r="A704" s="515">
        <v>12180</v>
      </c>
      <c r="B704" s="515" t="s">
        <v>609</v>
      </c>
      <c r="C704" s="52">
        <v>245144.73922603799</v>
      </c>
      <c r="D704" s="56">
        <v>6.7800433174066435E-2</v>
      </c>
      <c r="E704" s="224">
        <v>1322.39989177489</v>
      </c>
      <c r="F704" s="515" t="s">
        <v>2540</v>
      </c>
      <c r="G704" s="52">
        <v>623420.44630205701</v>
      </c>
      <c r="H704" s="56">
        <v>0.14224142310186277</v>
      </c>
      <c r="I704" s="224">
        <v>2906.37080047789</v>
      </c>
    </row>
    <row r="705" spans="1:9" x14ac:dyDescent="0.25">
      <c r="A705" s="515">
        <v>85282</v>
      </c>
      <c r="B705" s="515" t="s">
        <v>563</v>
      </c>
      <c r="C705" s="52">
        <v>437266.23052221298</v>
      </c>
      <c r="D705" s="56">
        <v>4.3584615229892633E-2</v>
      </c>
      <c r="E705" s="224">
        <v>1653.0746946040999</v>
      </c>
      <c r="F705" s="515" t="s">
        <v>2541</v>
      </c>
      <c r="G705" s="52">
        <v>289484.76109925599</v>
      </c>
      <c r="H705" s="56">
        <v>0.13256408029671285</v>
      </c>
      <c r="I705" s="224">
        <v>1653.4047619047601</v>
      </c>
    </row>
    <row r="706" spans="1:9" x14ac:dyDescent="0.25">
      <c r="A706" s="515">
        <v>39503</v>
      </c>
      <c r="B706" s="515" t="s">
        <v>963</v>
      </c>
      <c r="C706" s="52">
        <v>197943.18767711299</v>
      </c>
      <c r="D706" s="56">
        <v>6.3172366343069469E-2</v>
      </c>
      <c r="E706" s="224">
        <v>1306.94444444444</v>
      </c>
      <c r="F706" s="515" t="s">
        <v>2542</v>
      </c>
      <c r="G706" s="52">
        <v>258847.76048063301</v>
      </c>
      <c r="H706" s="56">
        <v>0.12855560740152125</v>
      </c>
      <c r="I706" s="224">
        <v>1738.55555555555</v>
      </c>
    </row>
    <row r="707" spans="1:9" x14ac:dyDescent="0.25">
      <c r="A707" s="515">
        <v>90745</v>
      </c>
      <c r="B707" s="515" t="s">
        <v>375</v>
      </c>
      <c r="C707" s="52">
        <v>677403.05025695497</v>
      </c>
      <c r="D707" s="56">
        <v>6.0117017662899772E-2</v>
      </c>
      <c r="E707" s="224" t="s">
        <v>2</v>
      </c>
      <c r="F707" s="515" t="s">
        <v>1185</v>
      </c>
      <c r="G707" s="52">
        <v>142156.48958594</v>
      </c>
      <c r="H707" s="56">
        <v>5.163371949263014E-2</v>
      </c>
      <c r="I707" s="224">
        <v>814.75</v>
      </c>
    </row>
    <row r="708" spans="1:9" x14ac:dyDescent="0.25">
      <c r="A708" s="515">
        <v>90221</v>
      </c>
      <c r="B708" s="515" t="s">
        <v>375</v>
      </c>
      <c r="C708" s="52">
        <v>567074.30925292894</v>
      </c>
      <c r="D708" s="56">
        <v>6.2422512235469567E-2</v>
      </c>
      <c r="E708" s="224" t="s">
        <v>2</v>
      </c>
      <c r="F708" s="515" t="s">
        <v>2543</v>
      </c>
      <c r="G708" s="52">
        <v>1085271.8178562799</v>
      </c>
      <c r="H708" s="56">
        <v>4.19310370402542E-2</v>
      </c>
      <c r="I708" s="224">
        <v>2558.13888888888</v>
      </c>
    </row>
    <row r="709" spans="1:9" x14ac:dyDescent="0.25">
      <c r="A709" s="515">
        <v>85201</v>
      </c>
      <c r="B709" s="515" t="s">
        <v>563</v>
      </c>
      <c r="C709" s="52">
        <v>341929.475090647</v>
      </c>
      <c r="D709" s="56">
        <v>3.0241535938637754E-2</v>
      </c>
      <c r="E709" s="224">
        <v>1497.07679738562</v>
      </c>
      <c r="F709" s="515" t="s">
        <v>373</v>
      </c>
      <c r="G709" s="52">
        <v>282312.20676660398</v>
      </c>
      <c r="H709" s="56">
        <v>8.341093067729452E-2</v>
      </c>
      <c r="I709" s="224">
        <v>1119.2916666666599</v>
      </c>
    </row>
    <row r="710" spans="1:9" x14ac:dyDescent="0.25">
      <c r="A710" s="515">
        <v>92024</v>
      </c>
      <c r="B710" s="515" t="s">
        <v>396</v>
      </c>
      <c r="C710" s="52">
        <v>1568960.2303967699</v>
      </c>
      <c r="D710" s="56">
        <v>4.5222654485373756E-2</v>
      </c>
      <c r="E710" s="224">
        <v>3533.3101851851802</v>
      </c>
      <c r="F710" s="515" t="s">
        <v>2544</v>
      </c>
      <c r="G710" s="52">
        <v>328444.13815838401</v>
      </c>
      <c r="H710" s="56">
        <v>4.920905013225596E-2</v>
      </c>
      <c r="I710" s="224">
        <v>1786.0769230769199</v>
      </c>
    </row>
    <row r="711" spans="1:9" x14ac:dyDescent="0.25">
      <c r="A711" s="515">
        <v>17601</v>
      </c>
      <c r="B711" s="515" t="s">
        <v>537</v>
      </c>
      <c r="C711" s="52">
        <v>353952.628150356</v>
      </c>
      <c r="D711" s="56">
        <v>8.7157515615904887E-2</v>
      </c>
      <c r="E711" s="224">
        <v>1875</v>
      </c>
      <c r="F711" s="515" t="s">
        <v>1361</v>
      </c>
      <c r="G711" s="52">
        <v>354836.73930420901</v>
      </c>
      <c r="H711" s="56">
        <v>0.13759212982777963</v>
      </c>
      <c r="I711" s="224">
        <v>2174.1607142857101</v>
      </c>
    </row>
    <row r="712" spans="1:9" x14ac:dyDescent="0.25">
      <c r="A712" s="515">
        <v>79907</v>
      </c>
      <c r="B712" s="515" t="s">
        <v>1119</v>
      </c>
      <c r="C712" s="52">
        <v>145535.27639670999</v>
      </c>
      <c r="D712" s="56">
        <v>0.11788372777884719</v>
      </c>
      <c r="E712" s="224">
        <v>1200</v>
      </c>
      <c r="F712" s="515" t="s">
        <v>1026</v>
      </c>
      <c r="G712" s="52">
        <v>299306.36808855197</v>
      </c>
      <c r="H712" s="56">
        <v>6.0683516978426152E-2</v>
      </c>
      <c r="I712" s="224">
        <v>1517.63888888888</v>
      </c>
    </row>
    <row r="713" spans="1:9" x14ac:dyDescent="0.25">
      <c r="A713" s="515">
        <v>27410</v>
      </c>
      <c r="B713" s="515" t="s">
        <v>1148</v>
      </c>
      <c r="C713" s="52">
        <v>316918.78247867298</v>
      </c>
      <c r="D713" s="56">
        <v>7.1914828308284814E-2</v>
      </c>
      <c r="E713" s="224">
        <v>1753.2888888888799</v>
      </c>
      <c r="F713" s="515" t="s">
        <v>2545</v>
      </c>
      <c r="G713" s="52">
        <v>324172.73371731298</v>
      </c>
      <c r="H713" s="56">
        <v>8.3810346248257311E-2</v>
      </c>
      <c r="I713" s="224">
        <v>1454.6706349206299</v>
      </c>
    </row>
    <row r="714" spans="1:9" x14ac:dyDescent="0.25">
      <c r="A714" s="515">
        <v>77082</v>
      </c>
      <c r="B714" s="515" t="s">
        <v>314</v>
      </c>
      <c r="C714" s="52">
        <v>251665.38462597001</v>
      </c>
      <c r="D714" s="56">
        <v>9.5090111291217874E-2</v>
      </c>
      <c r="E714" s="224">
        <v>1439.10528717122</v>
      </c>
      <c r="F714" s="515" t="s">
        <v>2546</v>
      </c>
      <c r="G714" s="52">
        <v>183765.16454766999</v>
      </c>
      <c r="H714" s="56">
        <v>9.2316854789206274E-2</v>
      </c>
      <c r="I714" s="224">
        <v>1235</v>
      </c>
    </row>
    <row r="715" spans="1:9" x14ac:dyDescent="0.25">
      <c r="A715" s="515">
        <v>92129</v>
      </c>
      <c r="B715" s="515" t="s">
        <v>396</v>
      </c>
      <c r="C715" s="52">
        <v>1166465.41830294</v>
      </c>
      <c r="D715" s="56">
        <v>5.9281385036971009E-2</v>
      </c>
      <c r="E715" s="224">
        <v>3230.8111111111102</v>
      </c>
      <c r="F715" s="515" t="s">
        <v>796</v>
      </c>
      <c r="G715" s="52">
        <v>413878.35889452102</v>
      </c>
      <c r="H715" s="56">
        <v>2.136013520448132E-2</v>
      </c>
      <c r="I715" s="224">
        <v>1966.80952380952</v>
      </c>
    </row>
    <row r="716" spans="1:9" x14ac:dyDescent="0.25">
      <c r="A716" s="515">
        <v>76051</v>
      </c>
      <c r="B716" s="515" t="s">
        <v>458</v>
      </c>
      <c r="C716" s="52">
        <v>502231.22644254699</v>
      </c>
      <c r="D716" s="56">
        <v>8.9145534190806258E-2</v>
      </c>
      <c r="E716" s="224">
        <v>1891.1866901020101</v>
      </c>
      <c r="F716" s="515" t="s">
        <v>2547</v>
      </c>
      <c r="G716" s="52">
        <v>237427.55089300199</v>
      </c>
      <c r="H716" s="56">
        <v>3.6303335139380798E-2</v>
      </c>
      <c r="I716" s="224">
        <v>1581.6666666666599</v>
      </c>
    </row>
    <row r="717" spans="1:9" x14ac:dyDescent="0.25">
      <c r="A717" s="515">
        <v>32839</v>
      </c>
      <c r="B717" s="515" t="s">
        <v>517</v>
      </c>
      <c r="C717" s="52">
        <v>236712.343405903</v>
      </c>
      <c r="D717" s="56">
        <v>0.19523264830754411</v>
      </c>
      <c r="E717" s="224">
        <v>1686.3485772357701</v>
      </c>
      <c r="F717" s="515" t="s">
        <v>2548</v>
      </c>
      <c r="G717" s="52">
        <v>857648.12405423005</v>
      </c>
      <c r="H717" s="56">
        <v>9.1809855510969068E-2</v>
      </c>
      <c r="I717" s="224">
        <v>2120.3373015872999</v>
      </c>
    </row>
    <row r="718" spans="1:9" x14ac:dyDescent="0.25">
      <c r="A718" s="515">
        <v>95125</v>
      </c>
      <c r="B718" s="515" t="s">
        <v>850</v>
      </c>
      <c r="C718" s="52">
        <v>1587977.39839675</v>
      </c>
      <c r="D718" s="56">
        <v>5.4596050304248835E-2</v>
      </c>
      <c r="E718" s="224">
        <v>3213.88888888888</v>
      </c>
      <c r="F718" s="515" t="s">
        <v>2549</v>
      </c>
      <c r="G718" s="52">
        <v>293321.102677405</v>
      </c>
      <c r="H718" s="56">
        <v>5.7873490499000063E-2</v>
      </c>
      <c r="I718" s="224">
        <v>2310.0555555555502</v>
      </c>
    </row>
    <row r="719" spans="1:9" x14ac:dyDescent="0.25">
      <c r="A719" s="515">
        <v>75104</v>
      </c>
      <c r="B719" s="515" t="s">
        <v>458</v>
      </c>
      <c r="C719" s="52">
        <v>311226.86989689898</v>
      </c>
      <c r="D719" s="56">
        <v>8.1234545057731089E-2</v>
      </c>
      <c r="E719" s="224">
        <v>1896.82407407407</v>
      </c>
      <c r="F719" s="515" t="s">
        <v>2550</v>
      </c>
      <c r="G719" s="52">
        <v>1159396.00296621</v>
      </c>
      <c r="H719" s="56">
        <v>6.8895296962354399E-2</v>
      </c>
      <c r="I719" s="224">
        <v>3546.6666666666601</v>
      </c>
    </row>
    <row r="720" spans="1:9" x14ac:dyDescent="0.25">
      <c r="A720" s="515">
        <v>27519</v>
      </c>
      <c r="B720" s="515" t="s">
        <v>484</v>
      </c>
      <c r="C720" s="52">
        <v>648993.29484895396</v>
      </c>
      <c r="D720" s="56">
        <v>7.3663123509708411E-2</v>
      </c>
      <c r="E720" s="224">
        <v>1865.4083034647499</v>
      </c>
      <c r="F720" s="515" t="s">
        <v>2551</v>
      </c>
      <c r="G720" s="52">
        <v>290240.35517402901</v>
      </c>
      <c r="H720" s="56">
        <v>3.1494450023414264E-2</v>
      </c>
      <c r="I720" s="224">
        <v>1620</v>
      </c>
    </row>
    <row r="721" spans="1:9" x14ac:dyDescent="0.25">
      <c r="A721" s="515">
        <v>80022</v>
      </c>
      <c r="B721" s="515" t="s">
        <v>401</v>
      </c>
      <c r="C721" s="52">
        <v>480843.45432893699</v>
      </c>
      <c r="D721" s="56">
        <v>1.2780271615711889E-2</v>
      </c>
      <c r="E721" s="224">
        <v>2387.7916666666601</v>
      </c>
      <c r="F721" s="515" t="s">
        <v>2552</v>
      </c>
      <c r="G721" s="52">
        <v>356898.50984302198</v>
      </c>
      <c r="H721" s="56">
        <v>7.9027438330893277E-2</v>
      </c>
      <c r="I721" s="224">
        <v>1550.52021357742</v>
      </c>
    </row>
    <row r="722" spans="1:9" x14ac:dyDescent="0.25">
      <c r="A722" s="515">
        <v>87105</v>
      </c>
      <c r="B722" s="515" t="s">
        <v>406</v>
      </c>
      <c r="C722" s="52">
        <v>230069.51912213399</v>
      </c>
      <c r="D722" s="56">
        <v>0.12694936989473987</v>
      </c>
      <c r="E722" s="224">
        <v>1683.3333333333301</v>
      </c>
      <c r="F722" s="515" t="s">
        <v>1283</v>
      </c>
      <c r="G722" s="52">
        <v>125217.76491584801</v>
      </c>
      <c r="H722" s="56">
        <v>9.4476822580374181E-2</v>
      </c>
      <c r="I722" s="224">
        <v>776.46825396825398</v>
      </c>
    </row>
    <row r="723" spans="1:9" x14ac:dyDescent="0.25">
      <c r="A723" s="515">
        <v>95023</v>
      </c>
      <c r="B723" s="515" t="s">
        <v>850</v>
      </c>
      <c r="C723" s="52">
        <v>723005.23764052405</v>
      </c>
      <c r="D723" s="56">
        <v>-3.3938941635577473E-2</v>
      </c>
      <c r="E723" s="224">
        <v>3550</v>
      </c>
      <c r="F723" s="515" t="s">
        <v>2553</v>
      </c>
      <c r="G723" s="52">
        <v>577128.64474807004</v>
      </c>
      <c r="H723" s="56">
        <v>1.7711871951952507E-2</v>
      </c>
      <c r="I723" s="224">
        <v>2213.7710704271799</v>
      </c>
    </row>
    <row r="724" spans="1:9" x14ac:dyDescent="0.25">
      <c r="A724" s="515">
        <v>84074</v>
      </c>
      <c r="B724" s="515" t="s">
        <v>617</v>
      </c>
      <c r="C724" s="52">
        <v>430780.78789557598</v>
      </c>
      <c r="D724" s="56">
        <v>2.0360346868057634E-2</v>
      </c>
      <c r="E724" s="224">
        <v>2036.5</v>
      </c>
      <c r="F724" s="515" t="s">
        <v>2554</v>
      </c>
      <c r="G724" s="52">
        <v>235696.46416411101</v>
      </c>
      <c r="H724" s="56">
        <v>7.0488132012403434E-2</v>
      </c>
      <c r="I724" s="224">
        <v>1328.9137566137499</v>
      </c>
    </row>
    <row r="725" spans="1:9" x14ac:dyDescent="0.25">
      <c r="A725" s="515">
        <v>21206</v>
      </c>
      <c r="B725" s="515" t="s">
        <v>582</v>
      </c>
      <c r="C725" s="52">
        <v>198978.68794869399</v>
      </c>
      <c r="D725" s="56">
        <v>6.1531990839323224E-2</v>
      </c>
      <c r="E725" s="224">
        <v>1398</v>
      </c>
      <c r="F725" s="515" t="s">
        <v>2555</v>
      </c>
      <c r="G725" s="52">
        <v>373565.41574419499</v>
      </c>
      <c r="H725" s="56">
        <v>8.7780709427409592E-2</v>
      </c>
      <c r="I725" s="224">
        <v>1996.68518518518</v>
      </c>
    </row>
    <row r="726" spans="1:9" x14ac:dyDescent="0.25">
      <c r="A726" s="515">
        <v>2151</v>
      </c>
      <c r="B726" s="515" t="s">
        <v>534</v>
      </c>
      <c r="C726" s="52">
        <v>524320.01691595197</v>
      </c>
      <c r="D726" s="56">
        <v>4.4834286628894431E-2</v>
      </c>
      <c r="E726" s="224">
        <v>2579.9581646423699</v>
      </c>
      <c r="F726" s="515" t="s">
        <v>478</v>
      </c>
      <c r="G726" s="52">
        <v>208770.24019245099</v>
      </c>
      <c r="H726" s="56">
        <v>7.2545710192530852E-2</v>
      </c>
      <c r="I726" s="224">
        <v>947.81547619047603</v>
      </c>
    </row>
    <row r="727" spans="1:9" x14ac:dyDescent="0.25">
      <c r="A727" s="515">
        <v>30721</v>
      </c>
      <c r="B727" s="515" t="s">
        <v>769</v>
      </c>
      <c r="C727" s="52">
        <v>189892.590264611</v>
      </c>
      <c r="D727" s="56">
        <v>6.7295764557950985E-2</v>
      </c>
      <c r="E727" s="224" t="s">
        <v>2</v>
      </c>
      <c r="F727" s="515" t="s">
        <v>2556</v>
      </c>
      <c r="G727" s="52">
        <v>298263.35671153403</v>
      </c>
      <c r="H727" s="56">
        <v>7.5451771815945312E-2</v>
      </c>
      <c r="I727" s="224">
        <v>1230.0218253968201</v>
      </c>
    </row>
    <row r="728" spans="1:9" x14ac:dyDescent="0.25">
      <c r="A728" s="515">
        <v>2169</v>
      </c>
      <c r="B728" s="515" t="s">
        <v>534</v>
      </c>
      <c r="C728" s="52">
        <v>543451.71419527498</v>
      </c>
      <c r="D728" s="56">
        <v>5.4974489857006488E-2</v>
      </c>
      <c r="E728" s="224">
        <v>2427.2355199593098</v>
      </c>
      <c r="F728" s="515" t="s">
        <v>2557</v>
      </c>
      <c r="G728" s="52">
        <v>658538.11036923202</v>
      </c>
      <c r="H728" s="56">
        <v>2.3904870362584062E-2</v>
      </c>
      <c r="I728" s="224">
        <v>2224.4240740740702</v>
      </c>
    </row>
    <row r="729" spans="1:9" x14ac:dyDescent="0.25">
      <c r="A729" s="515">
        <v>60622</v>
      </c>
      <c r="B729" s="515" t="s">
        <v>394</v>
      </c>
      <c r="C729" s="52">
        <v>498008.687015815</v>
      </c>
      <c r="D729" s="56">
        <v>-6.9825681002832748E-2</v>
      </c>
      <c r="E729" s="224">
        <v>2195.6507352941098</v>
      </c>
      <c r="F729" s="515" t="s">
        <v>2558</v>
      </c>
      <c r="G729" s="52">
        <v>268584.02954394999</v>
      </c>
      <c r="H729" s="56">
        <v>0.14338243479569063</v>
      </c>
      <c r="I729" s="224">
        <v>1672.1666666666599</v>
      </c>
    </row>
    <row r="730" spans="1:9" x14ac:dyDescent="0.25">
      <c r="A730" s="515">
        <v>92399</v>
      </c>
      <c r="B730" s="515" t="s">
        <v>599</v>
      </c>
      <c r="C730" s="52">
        <v>526346.55993395497</v>
      </c>
      <c r="D730" s="56">
        <v>4.369115632163309E-2</v>
      </c>
      <c r="E730" s="224">
        <v>2385.75</v>
      </c>
      <c r="F730" s="515" t="s">
        <v>2559</v>
      </c>
      <c r="G730" s="52">
        <v>384022.254658675</v>
      </c>
      <c r="H730" s="56">
        <v>3.0261054885220833E-2</v>
      </c>
      <c r="I730" s="224">
        <v>1838.5888888888801</v>
      </c>
    </row>
    <row r="731" spans="1:9" x14ac:dyDescent="0.25">
      <c r="A731" s="515">
        <v>78586</v>
      </c>
      <c r="B731" s="515" t="s">
        <v>444</v>
      </c>
      <c r="C731" s="52">
        <v>108847.55592408001</v>
      </c>
      <c r="D731" s="56">
        <v>4.6967684923383463E-2</v>
      </c>
      <c r="E731" s="224" t="s">
        <v>2</v>
      </c>
      <c r="F731" s="515" t="s">
        <v>626</v>
      </c>
      <c r="G731" s="52">
        <v>385453.11418842198</v>
      </c>
      <c r="H731" s="56">
        <v>1.0894923469271744E-2</v>
      </c>
      <c r="I731" s="224">
        <v>1799.1666666666599</v>
      </c>
    </row>
    <row r="732" spans="1:9" x14ac:dyDescent="0.25">
      <c r="A732" s="515">
        <v>93312</v>
      </c>
      <c r="B732" s="515" t="s">
        <v>419</v>
      </c>
      <c r="C732" s="52">
        <v>420570.30766292702</v>
      </c>
      <c r="D732" s="56">
        <v>4.0056627621113804E-2</v>
      </c>
      <c r="E732" s="224">
        <v>2150.5158730158701</v>
      </c>
      <c r="F732" s="515" t="s">
        <v>2560</v>
      </c>
      <c r="G732" s="52">
        <v>362171.28423343803</v>
      </c>
      <c r="H732" s="56">
        <v>-2.0741198712650087E-2</v>
      </c>
      <c r="I732" s="224">
        <v>1439.2857142857099</v>
      </c>
    </row>
    <row r="733" spans="1:9" x14ac:dyDescent="0.25">
      <c r="A733" s="515">
        <v>45044</v>
      </c>
      <c r="B733" s="515" t="s">
        <v>344</v>
      </c>
      <c r="C733" s="52">
        <v>203802.777780895</v>
      </c>
      <c r="D733" s="56">
        <v>7.097173982544018E-2</v>
      </c>
      <c r="E733" s="224">
        <v>1443.3333333333301</v>
      </c>
      <c r="F733" s="515" t="s">
        <v>1216</v>
      </c>
      <c r="G733" s="52">
        <v>254763.613794442</v>
      </c>
      <c r="H733" s="56">
        <v>0.18488853178444314</v>
      </c>
      <c r="I733" s="224">
        <v>1437.2222222222199</v>
      </c>
    </row>
    <row r="734" spans="1:9" x14ac:dyDescent="0.25">
      <c r="A734" s="515">
        <v>19702</v>
      </c>
      <c r="B734" s="515" t="s">
        <v>294</v>
      </c>
      <c r="C734" s="52">
        <v>302959.40829143301</v>
      </c>
      <c r="D734" s="56">
        <v>9.6470060119809978E-2</v>
      </c>
      <c r="E734" s="224">
        <v>1987.5</v>
      </c>
      <c r="F734" s="515" t="s">
        <v>2561</v>
      </c>
      <c r="G734" s="52">
        <v>429261.343363697</v>
      </c>
      <c r="H734" s="56">
        <v>5.2221299546381494E-2</v>
      </c>
      <c r="I734" s="224">
        <v>1975</v>
      </c>
    </row>
    <row r="735" spans="1:9" x14ac:dyDescent="0.25">
      <c r="A735" s="515">
        <v>6810</v>
      </c>
      <c r="B735" s="515" t="s">
        <v>1173</v>
      </c>
      <c r="C735" s="52">
        <v>372310.371643839</v>
      </c>
      <c r="D735" s="56">
        <v>9.0905201819396181E-2</v>
      </c>
      <c r="E735" s="224">
        <v>2304.5727272727199</v>
      </c>
      <c r="F735" s="515" t="s">
        <v>1274</v>
      </c>
      <c r="G735" s="52">
        <v>330359.00719777099</v>
      </c>
      <c r="H735" s="56">
        <v>4.7841977848518499E-2</v>
      </c>
      <c r="I735" s="224">
        <v>1735.2222222222199</v>
      </c>
    </row>
    <row r="736" spans="1:9" x14ac:dyDescent="0.25">
      <c r="A736" s="515">
        <v>90002</v>
      </c>
      <c r="B736" s="515" t="s">
        <v>375</v>
      </c>
      <c r="C736" s="52">
        <v>531275.75748894503</v>
      </c>
      <c r="D736" s="56">
        <v>5.0423998902715678E-2</v>
      </c>
      <c r="E736" s="224" t="s">
        <v>2</v>
      </c>
      <c r="F736" s="515" t="s">
        <v>2562</v>
      </c>
      <c r="G736" s="52">
        <v>1250302.19383258</v>
      </c>
      <c r="H736" s="56">
        <v>5.1342841739891551E-2</v>
      </c>
      <c r="I736" s="224">
        <v>3051.2277777777699</v>
      </c>
    </row>
    <row r="737" spans="1:9" x14ac:dyDescent="0.25">
      <c r="A737" s="515">
        <v>27616</v>
      </c>
      <c r="B737" s="515" t="s">
        <v>484</v>
      </c>
      <c r="C737" s="52">
        <v>353327.280057378</v>
      </c>
      <c r="D737" s="56">
        <v>5.167987297175862E-2</v>
      </c>
      <c r="E737" s="224">
        <v>1873.8135198135101</v>
      </c>
      <c r="F737" s="515" t="s">
        <v>2563</v>
      </c>
      <c r="G737" s="52">
        <v>355650.402408847</v>
      </c>
      <c r="H737" s="56">
        <v>6.3039033695105662E-2</v>
      </c>
      <c r="I737" s="224">
        <v>1609.1301247771801</v>
      </c>
    </row>
    <row r="738" spans="1:9" x14ac:dyDescent="0.25">
      <c r="A738" s="515">
        <v>35242</v>
      </c>
      <c r="B738" s="515" t="s">
        <v>640</v>
      </c>
      <c r="C738" s="52">
        <v>489494.81369281601</v>
      </c>
      <c r="D738" s="56">
        <v>5.8272726707190484E-2</v>
      </c>
      <c r="E738" s="224">
        <v>1344.5208791208699</v>
      </c>
      <c r="F738" s="515" t="s">
        <v>562</v>
      </c>
      <c r="G738" s="52">
        <v>228278.48108577999</v>
      </c>
      <c r="H738" s="56">
        <v>0.11987150489030936</v>
      </c>
      <c r="I738" s="224">
        <v>1105</v>
      </c>
    </row>
    <row r="739" spans="1:9" x14ac:dyDescent="0.25">
      <c r="A739" s="515">
        <v>75080</v>
      </c>
      <c r="B739" s="515" t="s">
        <v>458</v>
      </c>
      <c r="C739" s="52">
        <v>426143.302851516</v>
      </c>
      <c r="D739" s="56">
        <v>7.4171087201307148E-2</v>
      </c>
      <c r="E739" s="224">
        <v>1909.4636752136701</v>
      </c>
      <c r="F739" s="515" t="s">
        <v>2564</v>
      </c>
      <c r="G739" s="52">
        <v>595044.30373862199</v>
      </c>
      <c r="H739" s="56">
        <v>6.3267397480745072E-2</v>
      </c>
      <c r="I739" s="224">
        <v>1872.5</v>
      </c>
    </row>
    <row r="740" spans="1:9" x14ac:dyDescent="0.25">
      <c r="A740" s="515">
        <v>92084</v>
      </c>
      <c r="B740" s="515" t="s">
        <v>396</v>
      </c>
      <c r="C740" s="52">
        <v>789000.13564471505</v>
      </c>
      <c r="D740" s="56">
        <v>5.6580692489436132E-2</v>
      </c>
      <c r="E740" s="224">
        <v>2669.1587301587301</v>
      </c>
      <c r="F740" s="515" t="s">
        <v>2565</v>
      </c>
      <c r="G740" s="52">
        <v>431730.06416995003</v>
      </c>
      <c r="H740" s="56">
        <v>2.7928065617429391E-2</v>
      </c>
      <c r="I740" s="224">
        <v>1783.3099547511299</v>
      </c>
    </row>
    <row r="741" spans="1:9" x14ac:dyDescent="0.25">
      <c r="A741" s="515">
        <v>85022</v>
      </c>
      <c r="B741" s="515" t="s">
        <v>563</v>
      </c>
      <c r="C741" s="52">
        <v>433633.66923175799</v>
      </c>
      <c r="D741" s="56">
        <v>6.2952072156067809E-2</v>
      </c>
      <c r="E741" s="224">
        <v>1641.5725490196</v>
      </c>
      <c r="F741" s="515" t="s">
        <v>1094</v>
      </c>
      <c r="G741" s="52">
        <v>497473.34531136102</v>
      </c>
      <c r="H741" s="56">
        <v>5.0624314489177771E-2</v>
      </c>
      <c r="I741" s="224">
        <v>1885.2936507936499</v>
      </c>
    </row>
    <row r="742" spans="1:9" x14ac:dyDescent="0.25">
      <c r="A742" s="515">
        <v>89052</v>
      </c>
      <c r="B742" s="515" t="s">
        <v>323</v>
      </c>
      <c r="C742" s="52">
        <v>557958.59928968304</v>
      </c>
      <c r="D742" s="56">
        <v>4.2946253810250877E-2</v>
      </c>
      <c r="E742" s="224">
        <v>1898.82271604938</v>
      </c>
      <c r="F742" s="515" t="s">
        <v>2566</v>
      </c>
      <c r="G742" s="52">
        <v>1167192.10291881</v>
      </c>
      <c r="H742" s="56">
        <v>-1.6586860890422904E-2</v>
      </c>
      <c r="I742" s="224">
        <v>2805.8772946859899</v>
      </c>
    </row>
    <row r="743" spans="1:9" x14ac:dyDescent="0.25">
      <c r="A743" s="515">
        <v>33175</v>
      </c>
      <c r="B743" s="515" t="s">
        <v>831</v>
      </c>
      <c r="C743" s="52">
        <v>522179.69948724599</v>
      </c>
      <c r="D743" s="56">
        <v>0.15157914524914887</v>
      </c>
      <c r="E743" s="224">
        <v>3102.2222222222199</v>
      </c>
      <c r="F743" s="515" t="s">
        <v>2567</v>
      </c>
      <c r="G743" s="52">
        <v>538327.36105446599</v>
      </c>
      <c r="H743" s="56">
        <v>2.3735015553376728E-2</v>
      </c>
      <c r="I743" s="224">
        <v>2145.1290382819702</v>
      </c>
    </row>
    <row r="744" spans="1:9" x14ac:dyDescent="0.25">
      <c r="A744" s="515">
        <v>76549</v>
      </c>
      <c r="B744" s="515" t="s">
        <v>859</v>
      </c>
      <c r="C744" s="52">
        <v>232446.926115346</v>
      </c>
      <c r="D744" s="56">
        <v>0.12048176281614587</v>
      </c>
      <c r="E744" s="224">
        <v>1348.8827730294299</v>
      </c>
      <c r="F744" s="515" t="s">
        <v>366</v>
      </c>
      <c r="G744" s="52">
        <v>386364.60464652098</v>
      </c>
      <c r="H744" s="56">
        <v>0.11490071371601725</v>
      </c>
      <c r="I744" s="224">
        <v>1592.875</v>
      </c>
    </row>
    <row r="745" spans="1:9" x14ac:dyDescent="0.25">
      <c r="A745" s="515">
        <v>75025</v>
      </c>
      <c r="B745" s="515" t="s">
        <v>458</v>
      </c>
      <c r="C745" s="52">
        <v>538125.14150945004</v>
      </c>
      <c r="D745" s="56">
        <v>4.6357296175474516E-2</v>
      </c>
      <c r="E745" s="224">
        <v>2439.1682539682502</v>
      </c>
      <c r="F745" s="515" t="s">
        <v>568</v>
      </c>
      <c r="G745" s="52">
        <v>245672.03872708001</v>
      </c>
      <c r="H745" s="56">
        <v>9.3249552000594579E-2</v>
      </c>
      <c r="I745" s="224">
        <v>1111.97693307342</v>
      </c>
    </row>
    <row r="746" spans="1:9" x14ac:dyDescent="0.25">
      <c r="A746" s="515">
        <v>95207</v>
      </c>
      <c r="B746" s="515" t="s">
        <v>852</v>
      </c>
      <c r="C746" s="52">
        <v>393192.239526021</v>
      </c>
      <c r="D746" s="56">
        <v>4.1680976355686836E-2</v>
      </c>
      <c r="E746" s="224">
        <v>1600.2777777777701</v>
      </c>
      <c r="F746" s="515" t="s">
        <v>2568</v>
      </c>
      <c r="G746" s="52">
        <v>155369.75922789</v>
      </c>
      <c r="H746" s="56">
        <v>0.1026344672183814</v>
      </c>
      <c r="I746" s="224">
        <v>1235.75396825396</v>
      </c>
    </row>
    <row r="747" spans="1:9" x14ac:dyDescent="0.25">
      <c r="A747" s="515">
        <v>77089</v>
      </c>
      <c r="B747" s="515" t="s">
        <v>314</v>
      </c>
      <c r="C747" s="52">
        <v>257058.22200728301</v>
      </c>
      <c r="D747" s="56">
        <v>7.3326601477815875E-2</v>
      </c>
      <c r="E747" s="224">
        <v>1632.6365079365</v>
      </c>
      <c r="F747" s="515" t="s">
        <v>2569</v>
      </c>
      <c r="G747" s="52">
        <v>223343.258198953</v>
      </c>
      <c r="H747" s="56">
        <v>5.6267127400730407E-2</v>
      </c>
      <c r="I747" s="224">
        <v>1218.76068376068</v>
      </c>
    </row>
    <row r="748" spans="1:9" x14ac:dyDescent="0.25">
      <c r="A748" s="515">
        <v>60613</v>
      </c>
      <c r="B748" s="515" t="s">
        <v>394</v>
      </c>
      <c r="C748" s="52">
        <v>276775.71577840799</v>
      </c>
      <c r="D748" s="56">
        <v>-2.9883149589320146E-2</v>
      </c>
      <c r="E748" s="224">
        <v>1820.64734093067</v>
      </c>
      <c r="F748" s="515" t="s">
        <v>2570</v>
      </c>
      <c r="G748" s="52">
        <v>253733.73143796201</v>
      </c>
      <c r="H748" s="56">
        <v>0.18647119852755994</v>
      </c>
      <c r="I748" s="224">
        <v>1565.41595441595</v>
      </c>
    </row>
    <row r="749" spans="1:9" x14ac:dyDescent="0.25">
      <c r="A749" s="515">
        <v>14580</v>
      </c>
      <c r="B749" s="515" t="s">
        <v>337</v>
      </c>
      <c r="C749" s="52">
        <v>291062.359650928</v>
      </c>
      <c r="D749" s="56">
        <v>6.3255408112070269E-2</v>
      </c>
      <c r="E749" s="224">
        <v>1565.9090909090901</v>
      </c>
      <c r="F749" s="515" t="s">
        <v>2571</v>
      </c>
      <c r="G749" s="52">
        <v>401219.21732583502</v>
      </c>
      <c r="H749" s="56">
        <v>6.6866279203644366E-2</v>
      </c>
      <c r="I749" s="224">
        <v>1598.0317460317401</v>
      </c>
    </row>
    <row r="750" spans="1:9" x14ac:dyDescent="0.25">
      <c r="A750" s="515">
        <v>61761</v>
      </c>
      <c r="B750" s="515" t="s">
        <v>645</v>
      </c>
      <c r="C750" s="52">
        <v>209862.828601585</v>
      </c>
      <c r="D750" s="56">
        <v>0.1554228856923576</v>
      </c>
      <c r="E750" s="224">
        <v>1202</v>
      </c>
      <c r="F750" s="515" t="s">
        <v>1328</v>
      </c>
      <c r="G750" s="52">
        <v>218132.43117192099</v>
      </c>
      <c r="H750" s="56">
        <v>7.0988471744397263E-2</v>
      </c>
      <c r="I750" s="224">
        <v>1444.7916666666599</v>
      </c>
    </row>
    <row r="751" spans="1:9" x14ac:dyDescent="0.25">
      <c r="A751" s="515">
        <v>1960</v>
      </c>
      <c r="B751" s="515" t="s">
        <v>534</v>
      </c>
      <c r="C751" s="52">
        <v>587739.48076789104</v>
      </c>
      <c r="D751" s="56">
        <v>5.7325206499149226E-2</v>
      </c>
      <c r="E751" s="224">
        <v>2635.4285714285702</v>
      </c>
      <c r="F751" s="515" t="s">
        <v>2572</v>
      </c>
      <c r="G751" s="52">
        <v>320033.63064759702</v>
      </c>
      <c r="H751" s="56">
        <v>0.11828624781084601</v>
      </c>
      <c r="I751" s="224">
        <v>1839.0190476190401</v>
      </c>
    </row>
    <row r="752" spans="1:9" x14ac:dyDescent="0.25">
      <c r="A752" s="515">
        <v>98103</v>
      </c>
      <c r="B752" s="515" t="s">
        <v>384</v>
      </c>
      <c r="C752" s="52">
        <v>894924.76952667604</v>
      </c>
      <c r="D752" s="56">
        <v>-1.0915011773448499E-3</v>
      </c>
      <c r="E752" s="224">
        <v>2125.2242424242399</v>
      </c>
      <c r="F752" s="515" t="s">
        <v>2573</v>
      </c>
      <c r="G752" s="52">
        <v>819636.78315035906</v>
      </c>
      <c r="H752" s="56">
        <v>5.0433921025351595E-2</v>
      </c>
      <c r="I752" s="224">
        <v>3206.62911162911</v>
      </c>
    </row>
    <row r="753" spans="1:9" x14ac:dyDescent="0.25">
      <c r="A753" s="515">
        <v>30253</v>
      </c>
      <c r="B753" s="515" t="s">
        <v>957</v>
      </c>
      <c r="C753" s="52">
        <v>322677.16731827997</v>
      </c>
      <c r="D753" s="56">
        <v>9.5663012289704086E-2</v>
      </c>
      <c r="E753" s="224">
        <v>2043.73722222222</v>
      </c>
      <c r="F753" s="515" t="s">
        <v>2574</v>
      </c>
      <c r="G753" s="52">
        <v>654959.47514333599</v>
      </c>
      <c r="H753" s="56">
        <v>0.12914101131971392</v>
      </c>
      <c r="I753" s="224">
        <v>3280.4690656565599</v>
      </c>
    </row>
    <row r="754" spans="1:9" x14ac:dyDescent="0.25">
      <c r="A754" s="515">
        <v>55124</v>
      </c>
      <c r="B754" s="515" t="s">
        <v>532</v>
      </c>
      <c r="C754" s="52">
        <v>346978.105176488</v>
      </c>
      <c r="D754" s="56">
        <v>2.4161112574234551E-2</v>
      </c>
      <c r="E754" s="224">
        <v>1879.4166666666599</v>
      </c>
      <c r="F754" s="515" t="s">
        <v>2575</v>
      </c>
      <c r="G754" s="52">
        <v>639540.78325196495</v>
      </c>
      <c r="H754" s="56">
        <v>1.7502566460859664E-2</v>
      </c>
      <c r="I754" s="224">
        <v>2082.23809523809</v>
      </c>
    </row>
    <row r="755" spans="1:9" x14ac:dyDescent="0.25">
      <c r="A755" s="515">
        <v>33415</v>
      </c>
      <c r="B755" s="515" t="s">
        <v>831</v>
      </c>
      <c r="C755" s="52">
        <v>274736.891320166</v>
      </c>
      <c r="D755" s="56">
        <v>0.15781911394180387</v>
      </c>
      <c r="E755" s="224">
        <v>2072.7083333333298</v>
      </c>
      <c r="F755" s="515" t="s">
        <v>2576</v>
      </c>
      <c r="G755" s="52">
        <v>242734.39304620001</v>
      </c>
      <c r="H755" s="56">
        <v>0.10027330750896329</v>
      </c>
      <c r="I755" s="224">
        <v>1506.8968253968201</v>
      </c>
    </row>
    <row r="756" spans="1:9" x14ac:dyDescent="0.25">
      <c r="A756" s="515">
        <v>92544</v>
      </c>
      <c r="B756" s="515" t="s">
        <v>599</v>
      </c>
      <c r="C756" s="52">
        <v>418384.33989012899</v>
      </c>
      <c r="D756" s="56">
        <v>6.1866162587111501E-2</v>
      </c>
      <c r="E756" s="224">
        <v>2136.125</v>
      </c>
      <c r="F756" s="515" t="s">
        <v>2577</v>
      </c>
      <c r="G756" s="52">
        <v>345618.78161788301</v>
      </c>
      <c r="H756" s="56">
        <v>9.4616183510258564E-2</v>
      </c>
      <c r="I756" s="224">
        <v>2004.61375661375</v>
      </c>
    </row>
    <row r="757" spans="1:9" x14ac:dyDescent="0.25">
      <c r="A757" s="515">
        <v>33612</v>
      </c>
      <c r="B757" s="515" t="s">
        <v>461</v>
      </c>
      <c r="C757" s="52">
        <v>268529.43084029702</v>
      </c>
      <c r="D757" s="56">
        <v>0.12826679632238636</v>
      </c>
      <c r="E757" s="224">
        <v>1647.2962962962899</v>
      </c>
      <c r="F757" s="515" t="s">
        <v>2578</v>
      </c>
      <c r="G757" s="52">
        <v>451595.71965140803</v>
      </c>
      <c r="H757" s="56">
        <v>4.0661998613768513E-2</v>
      </c>
      <c r="I757" s="224">
        <v>1901.80952380952</v>
      </c>
    </row>
    <row r="758" spans="1:9" x14ac:dyDescent="0.25">
      <c r="A758" s="515">
        <v>8831</v>
      </c>
      <c r="B758" s="515" t="s">
        <v>324</v>
      </c>
      <c r="C758" s="52">
        <v>493787.72492747998</v>
      </c>
      <c r="D758" s="56">
        <v>7.37520705092434E-2</v>
      </c>
      <c r="E758" s="224" t="s">
        <v>2</v>
      </c>
      <c r="F758" s="515" t="s">
        <v>2579</v>
      </c>
      <c r="G758" s="52">
        <v>633862.55252258095</v>
      </c>
      <c r="H758" s="56">
        <v>1.5293159798499413E-2</v>
      </c>
      <c r="I758" s="224">
        <v>2052.0532428742099</v>
      </c>
    </row>
    <row r="759" spans="1:9" x14ac:dyDescent="0.25">
      <c r="A759" s="515">
        <v>60120</v>
      </c>
      <c r="B759" s="515" t="s">
        <v>394</v>
      </c>
      <c r="C759" s="52">
        <v>234136.81796744</v>
      </c>
      <c r="D759" s="56">
        <v>6.5917312520643631E-2</v>
      </c>
      <c r="E759" s="224" t="s">
        <v>2</v>
      </c>
      <c r="F759" s="515" t="s">
        <v>2580</v>
      </c>
      <c r="G759" s="52">
        <v>418831.65316849097</v>
      </c>
      <c r="H759" s="56">
        <v>8.1910634609150879E-2</v>
      </c>
      <c r="I759" s="224">
        <v>1838.4790005316299</v>
      </c>
    </row>
    <row r="760" spans="1:9" x14ac:dyDescent="0.25">
      <c r="A760" s="515">
        <v>19067</v>
      </c>
      <c r="B760" s="515" t="s">
        <v>294</v>
      </c>
      <c r="C760" s="52">
        <v>491544.892350637</v>
      </c>
      <c r="D760" s="56">
        <v>5.23379233311611E-2</v>
      </c>
      <c r="E760" s="224" t="s">
        <v>2</v>
      </c>
      <c r="F760" s="515" t="s">
        <v>2581</v>
      </c>
      <c r="G760" s="52">
        <v>521562.83522389102</v>
      </c>
      <c r="H760" s="56">
        <v>-2.757736741806072E-2</v>
      </c>
      <c r="I760" s="224">
        <v>2260.5555555555502</v>
      </c>
    </row>
    <row r="761" spans="1:9" x14ac:dyDescent="0.25">
      <c r="A761" s="515">
        <v>97206</v>
      </c>
      <c r="B761" s="515" t="s">
        <v>659</v>
      </c>
      <c r="C761" s="52">
        <v>459995.75179545803</v>
      </c>
      <c r="D761" s="56">
        <v>-6.5476318678363262E-3</v>
      </c>
      <c r="E761" s="224">
        <v>1948.1</v>
      </c>
      <c r="F761" s="515" t="s">
        <v>2582</v>
      </c>
      <c r="G761" s="52">
        <v>123084.111390548</v>
      </c>
      <c r="H761" s="56">
        <v>0.12108162801426858</v>
      </c>
      <c r="I761" s="224">
        <v>1113.88888888888</v>
      </c>
    </row>
    <row r="762" spans="1:9" x14ac:dyDescent="0.25">
      <c r="A762" s="515">
        <v>10306</v>
      </c>
      <c r="B762" s="515" t="s">
        <v>324</v>
      </c>
      <c r="C762" s="52">
        <v>649402.58572032698</v>
      </c>
      <c r="D762" s="56">
        <v>4.1064744346170162E-2</v>
      </c>
      <c r="E762" s="224">
        <v>2062.5</v>
      </c>
      <c r="F762" s="515" t="s">
        <v>2583</v>
      </c>
      <c r="G762" s="52">
        <v>433633.79019606701</v>
      </c>
      <c r="H762" s="56">
        <v>8.5151901734101268E-2</v>
      </c>
      <c r="I762" s="224">
        <v>2427.19943019943</v>
      </c>
    </row>
    <row r="763" spans="1:9" x14ac:dyDescent="0.25">
      <c r="A763" s="515">
        <v>87111</v>
      </c>
      <c r="B763" s="515" t="s">
        <v>406</v>
      </c>
      <c r="C763" s="52">
        <v>372778.683277509</v>
      </c>
      <c r="D763" s="56">
        <v>6.834639793827349E-2</v>
      </c>
      <c r="E763" s="224">
        <v>1569.30972222222</v>
      </c>
      <c r="F763" s="515" t="s">
        <v>711</v>
      </c>
      <c r="G763" s="52">
        <v>215992.66296241499</v>
      </c>
      <c r="H763" s="56">
        <v>9.7562503720525218E-2</v>
      </c>
      <c r="I763" s="224">
        <v>850</v>
      </c>
    </row>
    <row r="764" spans="1:9" x14ac:dyDescent="0.25">
      <c r="A764" s="515">
        <v>23666</v>
      </c>
      <c r="B764" s="515" t="s">
        <v>301</v>
      </c>
      <c r="C764" s="52">
        <v>251982.00021566899</v>
      </c>
      <c r="D764" s="56">
        <v>7.6053133287439387E-2</v>
      </c>
      <c r="E764" s="224">
        <v>1550.9895262452801</v>
      </c>
      <c r="F764" s="515" t="s">
        <v>1306</v>
      </c>
      <c r="G764" s="52">
        <v>163671.231281049</v>
      </c>
      <c r="H764" s="56">
        <v>0.10109166315742207</v>
      </c>
      <c r="I764" s="224">
        <v>1450</v>
      </c>
    </row>
    <row r="765" spans="1:9" x14ac:dyDescent="0.25">
      <c r="A765" s="515">
        <v>92028</v>
      </c>
      <c r="B765" s="515" t="s">
        <v>396</v>
      </c>
      <c r="C765" s="52">
        <v>789992.97949385899</v>
      </c>
      <c r="D765" s="56">
        <v>4.3954964180460708E-2</v>
      </c>
      <c r="E765" s="224">
        <v>3009.6666666666601</v>
      </c>
      <c r="F765" s="515" t="s">
        <v>2584</v>
      </c>
      <c r="G765" s="52">
        <v>463485.06318823399</v>
      </c>
      <c r="H765" s="56">
        <v>2.0938745902031063E-2</v>
      </c>
      <c r="I765" s="224">
        <v>1680.6503030302999</v>
      </c>
    </row>
    <row r="766" spans="1:9" x14ac:dyDescent="0.25">
      <c r="A766" s="515">
        <v>80011</v>
      </c>
      <c r="B766" s="515" t="s">
        <v>401</v>
      </c>
      <c r="C766" s="52">
        <v>415308.25930110901</v>
      </c>
      <c r="D766" s="56">
        <v>3.9299643774396979E-2</v>
      </c>
      <c r="E766" s="224">
        <v>1731.9794486215501</v>
      </c>
      <c r="F766" s="515" t="s">
        <v>2585</v>
      </c>
      <c r="G766" s="52">
        <v>3063580.4030309399</v>
      </c>
      <c r="H766" s="56">
        <v>-3.9550315364299078E-3</v>
      </c>
      <c r="I766" s="224">
        <v>4034.04607843137</v>
      </c>
    </row>
    <row r="767" spans="1:9" x14ac:dyDescent="0.25">
      <c r="A767" s="515">
        <v>7306</v>
      </c>
      <c r="B767" s="515" t="s">
        <v>324</v>
      </c>
      <c r="C767" s="52">
        <v>465170.96369306301</v>
      </c>
      <c r="D767" s="56">
        <v>-1.7290569076898295E-2</v>
      </c>
      <c r="E767" s="224">
        <v>2217.4384792626702</v>
      </c>
      <c r="F767" s="515" t="s">
        <v>2586</v>
      </c>
      <c r="G767" s="52">
        <v>453599.04683423397</v>
      </c>
      <c r="H767" s="56">
        <v>-7.7933935798435369E-3</v>
      </c>
      <c r="I767" s="224">
        <v>2062.00732600732</v>
      </c>
    </row>
    <row r="768" spans="1:9" x14ac:dyDescent="0.25">
      <c r="A768" s="515">
        <v>33196</v>
      </c>
      <c r="B768" s="515" t="s">
        <v>831</v>
      </c>
      <c r="C768" s="52">
        <v>511248.48388500599</v>
      </c>
      <c r="D768" s="56">
        <v>0.12651742558059706</v>
      </c>
      <c r="E768" s="224">
        <v>2618.8522727272698</v>
      </c>
      <c r="F768" s="515" t="s">
        <v>2587</v>
      </c>
      <c r="G768" s="52">
        <v>272989.39938167302</v>
      </c>
      <c r="H768" s="56">
        <v>0.12193455662769748</v>
      </c>
      <c r="I768" s="224">
        <v>1625.8333333333301</v>
      </c>
    </row>
    <row r="769" spans="1:9" x14ac:dyDescent="0.25">
      <c r="A769" s="515">
        <v>92056</v>
      </c>
      <c r="B769" s="515" t="s">
        <v>396</v>
      </c>
      <c r="C769" s="52">
        <v>766025.41487414495</v>
      </c>
      <c r="D769" s="56">
        <v>6.2220631775661443E-2</v>
      </c>
      <c r="E769" s="224">
        <v>2800.9696969696902</v>
      </c>
      <c r="F769" s="515" t="s">
        <v>2588</v>
      </c>
      <c r="G769" s="52">
        <v>251468.03221064701</v>
      </c>
      <c r="H769" s="56">
        <v>6.8215109046448841E-2</v>
      </c>
      <c r="I769" s="224">
        <v>1236.32409951159</v>
      </c>
    </row>
    <row r="770" spans="1:9" x14ac:dyDescent="0.25">
      <c r="A770" s="515">
        <v>33178</v>
      </c>
      <c r="B770" s="515" t="s">
        <v>831</v>
      </c>
      <c r="C770" s="52">
        <v>506223.85465080402</v>
      </c>
      <c r="D770" s="56">
        <v>0.18687415784067229</v>
      </c>
      <c r="E770" s="224">
        <v>3145.4823527981398</v>
      </c>
      <c r="F770" s="515" t="s">
        <v>2589</v>
      </c>
      <c r="G770" s="52">
        <v>468648.47629287699</v>
      </c>
      <c r="H770" s="56">
        <v>8.9685176489725404E-2</v>
      </c>
      <c r="I770" s="224">
        <v>1711.80116959064</v>
      </c>
    </row>
    <row r="771" spans="1:9" x14ac:dyDescent="0.25">
      <c r="A771" s="515">
        <v>94539</v>
      </c>
      <c r="B771" s="515" t="s">
        <v>593</v>
      </c>
      <c r="C771" s="52">
        <v>1900450.7868197099</v>
      </c>
      <c r="D771" s="56">
        <v>9.0353962825298843E-3</v>
      </c>
      <c r="E771" s="224">
        <v>3541.00198412698</v>
      </c>
      <c r="F771" s="515" t="s">
        <v>2590</v>
      </c>
      <c r="G771" s="52">
        <v>460658.70187529898</v>
      </c>
      <c r="H771" s="56">
        <v>0.10833668034047179</v>
      </c>
      <c r="I771" s="224">
        <v>2266.3912037036998</v>
      </c>
    </row>
    <row r="772" spans="1:9" x14ac:dyDescent="0.25">
      <c r="A772" s="515">
        <v>55901</v>
      </c>
      <c r="B772" s="515" t="s">
        <v>470</v>
      </c>
      <c r="C772" s="52">
        <v>281768.47950272099</v>
      </c>
      <c r="D772" s="56">
        <v>2.5459838590499571E-2</v>
      </c>
      <c r="E772" s="224">
        <v>1379.1018518518499</v>
      </c>
      <c r="F772" s="515" t="s">
        <v>2591</v>
      </c>
      <c r="G772" s="52">
        <v>1265092.3930792201</v>
      </c>
      <c r="H772" s="56">
        <v>4.6924952848898999E-2</v>
      </c>
      <c r="I772" s="224">
        <v>2902.6435185185101</v>
      </c>
    </row>
    <row r="773" spans="1:9" x14ac:dyDescent="0.25">
      <c r="A773" s="515">
        <v>92880</v>
      </c>
      <c r="B773" s="515" t="s">
        <v>599</v>
      </c>
      <c r="C773" s="52">
        <v>821359.83720538404</v>
      </c>
      <c r="D773" s="56">
        <v>6.11112364677548E-2</v>
      </c>
      <c r="E773" s="224">
        <v>2790.37891737891</v>
      </c>
      <c r="F773" s="515" t="s">
        <v>2592</v>
      </c>
      <c r="G773" s="52">
        <v>385948.83739943901</v>
      </c>
      <c r="H773" s="56">
        <v>6.9988103833889037E-2</v>
      </c>
      <c r="I773" s="224">
        <v>2144.63333333333</v>
      </c>
    </row>
    <row r="774" spans="1:9" x14ac:dyDescent="0.25">
      <c r="A774" s="515">
        <v>75006</v>
      </c>
      <c r="B774" s="515" t="s">
        <v>458</v>
      </c>
      <c r="C774" s="52">
        <v>332968.50586524198</v>
      </c>
      <c r="D774" s="56">
        <v>7.8855896047571941E-2</v>
      </c>
      <c r="E774" s="224">
        <v>1668.8999999999901</v>
      </c>
      <c r="F774" s="515" t="s">
        <v>2593</v>
      </c>
      <c r="G774" s="52">
        <v>298079.389689148</v>
      </c>
      <c r="H774" s="56">
        <v>0.20571109889210665</v>
      </c>
      <c r="I774" s="224">
        <v>2490.41351241351</v>
      </c>
    </row>
    <row r="775" spans="1:9" x14ac:dyDescent="0.25">
      <c r="A775" s="515">
        <v>95616</v>
      </c>
      <c r="B775" s="515" t="s">
        <v>355</v>
      </c>
      <c r="C775" s="52">
        <v>811202.06752627995</v>
      </c>
      <c r="D775" s="56">
        <v>9.0081959353670391E-3</v>
      </c>
      <c r="E775" s="224">
        <v>2426.0666666666598</v>
      </c>
      <c r="F775" s="515" t="s">
        <v>2594</v>
      </c>
      <c r="G775" s="52">
        <v>403651.33381668199</v>
      </c>
      <c r="H775" s="56">
        <v>3.9394587242834775E-2</v>
      </c>
      <c r="I775" s="224">
        <v>1619.9761904761899</v>
      </c>
    </row>
    <row r="776" spans="1:9" x14ac:dyDescent="0.25">
      <c r="A776" s="515">
        <v>42701</v>
      </c>
      <c r="B776" s="515" t="s">
        <v>671</v>
      </c>
      <c r="C776" s="52">
        <v>219642.83000781501</v>
      </c>
      <c r="D776" s="56">
        <v>9.8979002992344356E-2</v>
      </c>
      <c r="E776" s="224">
        <v>1250</v>
      </c>
      <c r="F776" s="515" t="s">
        <v>1310</v>
      </c>
      <c r="G776" s="52">
        <v>490029.75741739798</v>
      </c>
      <c r="H776" s="56">
        <v>4.0281722030312217E-2</v>
      </c>
      <c r="I776" s="224">
        <v>1881.93535353535</v>
      </c>
    </row>
    <row r="777" spans="1:9" x14ac:dyDescent="0.25">
      <c r="A777" s="515">
        <v>32259</v>
      </c>
      <c r="B777" s="515" t="s">
        <v>1158</v>
      </c>
      <c r="C777" s="52">
        <v>541310.56125810801</v>
      </c>
      <c r="D777" s="56">
        <v>0.10585210487602328</v>
      </c>
      <c r="E777" s="224">
        <v>2414.3518518518499</v>
      </c>
      <c r="F777" s="515" t="s">
        <v>2595</v>
      </c>
      <c r="G777" s="52">
        <v>369600.20276247902</v>
      </c>
      <c r="H777" s="56">
        <v>8.0977438936673543E-2</v>
      </c>
      <c r="I777" s="224">
        <v>2075.5912698412699</v>
      </c>
    </row>
    <row r="778" spans="1:9" x14ac:dyDescent="0.25">
      <c r="A778" s="515">
        <v>90034</v>
      </c>
      <c r="B778" s="515" t="s">
        <v>375</v>
      </c>
      <c r="C778" s="52">
        <v>1317881.0275014001</v>
      </c>
      <c r="D778" s="56">
        <v>-3.9516900232272195E-2</v>
      </c>
      <c r="E778" s="224">
        <v>2614.5704022988498</v>
      </c>
      <c r="F778" s="515" t="s">
        <v>2596</v>
      </c>
      <c r="G778" s="52">
        <v>221602.92500647501</v>
      </c>
      <c r="H778" s="56">
        <v>-2.0000050669046438E-2</v>
      </c>
      <c r="I778" s="224">
        <v>1577.7777777777701</v>
      </c>
    </row>
    <row r="779" spans="1:9" x14ac:dyDescent="0.25">
      <c r="A779" s="515">
        <v>60010</v>
      </c>
      <c r="B779" s="515" t="s">
        <v>394</v>
      </c>
      <c r="C779" s="52">
        <v>557446.74649241695</v>
      </c>
      <c r="D779" s="56">
        <v>5.6891101588338912E-2</v>
      </c>
      <c r="E779" s="224">
        <v>2737.5</v>
      </c>
      <c r="F779" s="515" t="s">
        <v>1284</v>
      </c>
      <c r="G779" s="52">
        <v>202161.004010248</v>
      </c>
      <c r="H779" s="56">
        <v>0.10360086465849547</v>
      </c>
      <c r="I779" s="224">
        <v>917.06363636363596</v>
      </c>
    </row>
    <row r="780" spans="1:9" x14ac:dyDescent="0.25">
      <c r="A780" s="515">
        <v>30093</v>
      </c>
      <c r="B780" s="515" t="s">
        <v>957</v>
      </c>
      <c r="C780" s="52">
        <v>287845.943450541</v>
      </c>
      <c r="D780" s="56">
        <v>0.10176354666668593</v>
      </c>
      <c r="E780" s="224">
        <v>1634.4583333333301</v>
      </c>
      <c r="F780" s="515" t="s">
        <v>2597</v>
      </c>
      <c r="G780" s="52">
        <v>296917.732386232</v>
      </c>
      <c r="H780" s="56">
        <v>5.6424687787402825E-2</v>
      </c>
      <c r="I780" s="224">
        <v>1089.9166666666599</v>
      </c>
    </row>
    <row r="781" spans="1:9" x14ac:dyDescent="0.25">
      <c r="A781" s="515">
        <v>33032</v>
      </c>
      <c r="B781" s="515" t="s">
        <v>831</v>
      </c>
      <c r="C781" s="52">
        <v>422993.257929602</v>
      </c>
      <c r="D781" s="56">
        <v>0.15776433173021454</v>
      </c>
      <c r="E781" s="224">
        <v>2580.1488095238001</v>
      </c>
      <c r="F781" s="515" t="s">
        <v>1338</v>
      </c>
      <c r="G781" s="52">
        <v>468496.22539946297</v>
      </c>
      <c r="H781" s="56">
        <v>5.8681606405642718E-2</v>
      </c>
      <c r="I781" s="224">
        <v>2131.46850861556</v>
      </c>
    </row>
    <row r="782" spans="1:9" x14ac:dyDescent="0.25">
      <c r="A782" s="515">
        <v>19148</v>
      </c>
      <c r="B782" s="515" t="s">
        <v>294</v>
      </c>
      <c r="C782" s="52">
        <v>246493.64454886701</v>
      </c>
      <c r="D782" s="56">
        <v>8.5759344855128358E-2</v>
      </c>
      <c r="E782" s="224">
        <v>1639.20163170163</v>
      </c>
      <c r="F782" s="515" t="s">
        <v>795</v>
      </c>
      <c r="G782" s="52">
        <v>241624.73657154501</v>
      </c>
      <c r="H782" s="56">
        <v>4.4720090043888092E-2</v>
      </c>
      <c r="I782" s="224">
        <v>1220.1960386473399</v>
      </c>
    </row>
    <row r="783" spans="1:9" x14ac:dyDescent="0.25">
      <c r="A783" s="515">
        <v>21224</v>
      </c>
      <c r="B783" s="515" t="s">
        <v>582</v>
      </c>
      <c r="C783" s="52">
        <v>216430.481814278</v>
      </c>
      <c r="D783" s="56">
        <v>5.8464412743122543E-2</v>
      </c>
      <c r="E783" s="224">
        <v>2008.95923520923</v>
      </c>
      <c r="F783" s="515" t="s">
        <v>2598</v>
      </c>
      <c r="G783" s="52">
        <v>846812.664633287</v>
      </c>
      <c r="H783" s="56">
        <v>3.7924046589668726E-2</v>
      </c>
      <c r="I783" s="224">
        <v>2656.5333333333301</v>
      </c>
    </row>
    <row r="784" spans="1:9" x14ac:dyDescent="0.25">
      <c r="A784" s="515">
        <v>95670</v>
      </c>
      <c r="B784" s="515" t="s">
        <v>355</v>
      </c>
      <c r="C784" s="52">
        <v>453335.65522703697</v>
      </c>
      <c r="D784" s="56">
        <v>1.7999683110172388E-2</v>
      </c>
      <c r="E784" s="224">
        <v>2161.6666666666601</v>
      </c>
      <c r="F784" s="515" t="s">
        <v>2599</v>
      </c>
      <c r="G784" s="52">
        <v>425230.46633023099</v>
      </c>
      <c r="H784" s="56">
        <v>9.9945394305064772E-2</v>
      </c>
      <c r="I784" s="224">
        <v>1649</v>
      </c>
    </row>
    <row r="785" spans="1:9" x14ac:dyDescent="0.25">
      <c r="A785" s="515">
        <v>93003</v>
      </c>
      <c r="B785" s="515" t="s">
        <v>1021</v>
      </c>
      <c r="C785" s="52">
        <v>787536.90480757901</v>
      </c>
      <c r="D785" s="56">
        <v>5.7401493315740695E-2</v>
      </c>
      <c r="E785" s="224">
        <v>2876.6759259259202</v>
      </c>
      <c r="F785" s="515" t="s">
        <v>2600</v>
      </c>
      <c r="G785" s="52">
        <v>370902.07849373599</v>
      </c>
      <c r="H785" s="56">
        <v>1.61697066471208E-2</v>
      </c>
      <c r="I785" s="224">
        <v>1479.5101010101</v>
      </c>
    </row>
    <row r="786" spans="1:9" x14ac:dyDescent="0.25">
      <c r="A786" s="515">
        <v>94601</v>
      </c>
      <c r="B786" s="515" t="s">
        <v>593</v>
      </c>
      <c r="C786" s="52">
        <v>631774.12459233601</v>
      </c>
      <c r="D786" s="56">
        <v>-4.7151900905077551E-2</v>
      </c>
      <c r="E786" s="224">
        <v>2108.9166666666601</v>
      </c>
      <c r="F786" s="515" t="s">
        <v>871</v>
      </c>
      <c r="G786" s="52">
        <v>214767.49653159699</v>
      </c>
      <c r="H786" s="56">
        <v>0.18313859065243313</v>
      </c>
      <c r="I786" s="224">
        <v>1531.3555555555499</v>
      </c>
    </row>
    <row r="787" spans="1:9" x14ac:dyDescent="0.25">
      <c r="A787" s="515">
        <v>20902</v>
      </c>
      <c r="B787" s="515" t="s">
        <v>321</v>
      </c>
      <c r="C787" s="52">
        <v>493844.71771368198</v>
      </c>
      <c r="D787" s="56">
        <v>3.1818406872318586E-2</v>
      </c>
      <c r="E787" s="224">
        <v>1874.17698412698</v>
      </c>
      <c r="F787" s="515" t="s">
        <v>1319</v>
      </c>
      <c r="G787" s="52">
        <v>262682.382821034</v>
      </c>
      <c r="H787" s="56">
        <v>0.14060963804915269</v>
      </c>
      <c r="I787" s="224">
        <v>1435.7333333333299</v>
      </c>
    </row>
    <row r="788" spans="1:9" x14ac:dyDescent="0.25">
      <c r="A788" s="515">
        <v>20009</v>
      </c>
      <c r="B788" s="515" t="s">
        <v>321</v>
      </c>
      <c r="C788" s="52">
        <v>597846.19394839904</v>
      </c>
      <c r="D788" s="56">
        <v>-4.3671331616714104E-2</v>
      </c>
      <c r="E788" s="224">
        <v>2443.1251489995698</v>
      </c>
      <c r="F788" s="515" t="s">
        <v>2601</v>
      </c>
      <c r="G788" s="52">
        <v>969321.78396074998</v>
      </c>
      <c r="H788" s="56">
        <v>3.4337120016517758E-2</v>
      </c>
      <c r="I788" s="224">
        <v>3037.0416666666601</v>
      </c>
    </row>
    <row r="789" spans="1:9" x14ac:dyDescent="0.25">
      <c r="A789" s="515">
        <v>78741</v>
      </c>
      <c r="B789" s="515" t="s">
        <v>380</v>
      </c>
      <c r="C789" s="52">
        <v>451810.86215497297</v>
      </c>
      <c r="D789" s="56">
        <v>3.4615189957580256E-2</v>
      </c>
      <c r="E789" s="224">
        <v>1573.8024431123699</v>
      </c>
      <c r="F789" s="515" t="s">
        <v>1337</v>
      </c>
      <c r="G789" s="52">
        <v>51511.829038906799</v>
      </c>
      <c r="H789" s="56">
        <v>0.16254495241544351</v>
      </c>
      <c r="I789" s="224">
        <v>879.16666666666595</v>
      </c>
    </row>
    <row r="790" spans="1:9" x14ac:dyDescent="0.25">
      <c r="A790" s="515">
        <v>37066</v>
      </c>
      <c r="B790" s="515" t="s">
        <v>684</v>
      </c>
      <c r="C790" s="52">
        <v>413292.78160352499</v>
      </c>
      <c r="D790" s="56">
        <v>8.1262315944619218E-2</v>
      </c>
      <c r="E790" s="224">
        <v>1640.5255847953199</v>
      </c>
      <c r="F790" s="515" t="s">
        <v>2602</v>
      </c>
      <c r="G790" s="52">
        <v>390834.04018568702</v>
      </c>
      <c r="H790" s="56">
        <v>2.3949812993395447E-2</v>
      </c>
      <c r="I790" s="224">
        <v>2293.6428571428501</v>
      </c>
    </row>
    <row r="791" spans="1:9" x14ac:dyDescent="0.25">
      <c r="A791" s="515">
        <v>91344</v>
      </c>
      <c r="B791" s="515" t="s">
        <v>375</v>
      </c>
      <c r="C791" s="52">
        <v>893720.28691037395</v>
      </c>
      <c r="D791" s="56">
        <v>4.9496372268162246E-2</v>
      </c>
      <c r="E791" s="224">
        <v>3750.8333333333298</v>
      </c>
      <c r="F791" s="515" t="s">
        <v>2603</v>
      </c>
      <c r="G791" s="52">
        <v>420655.08001407702</v>
      </c>
      <c r="H791" s="56">
        <v>5.6479406227984287E-2</v>
      </c>
      <c r="I791" s="224">
        <v>2180.3313725490102</v>
      </c>
    </row>
    <row r="792" spans="1:9" x14ac:dyDescent="0.25">
      <c r="A792" s="515">
        <v>92701</v>
      </c>
      <c r="B792" s="515" t="s">
        <v>375</v>
      </c>
      <c r="C792" s="52">
        <v>579184.31191583304</v>
      </c>
      <c r="D792" s="56">
        <v>6.1276118272797102E-2</v>
      </c>
      <c r="E792" s="224">
        <v>2355.8333333333298</v>
      </c>
      <c r="F792" s="515" t="s">
        <v>1305</v>
      </c>
      <c r="G792" s="52">
        <v>939832.43572216597</v>
      </c>
      <c r="H792" s="56">
        <v>7.7817687145691247E-2</v>
      </c>
      <c r="I792" s="224">
        <v>2904.4441558441499</v>
      </c>
    </row>
    <row r="793" spans="1:9" x14ac:dyDescent="0.25">
      <c r="A793" s="515">
        <v>89074</v>
      </c>
      <c r="B793" s="515" t="s">
        <v>323</v>
      </c>
      <c r="C793" s="52">
        <v>428614.48565597599</v>
      </c>
      <c r="D793" s="56">
        <v>2.7927138879292802E-2</v>
      </c>
      <c r="E793" s="224">
        <v>1789.7760942760899</v>
      </c>
      <c r="F793" s="515" t="s">
        <v>2604</v>
      </c>
      <c r="G793" s="52">
        <v>287510.75327490398</v>
      </c>
      <c r="H793" s="56">
        <v>0.11240922088626966</v>
      </c>
      <c r="I793" s="224">
        <v>1822.68333333333</v>
      </c>
    </row>
    <row r="794" spans="1:9" x14ac:dyDescent="0.25">
      <c r="A794" s="515">
        <v>63301</v>
      </c>
      <c r="B794" s="515" t="s">
        <v>498</v>
      </c>
      <c r="C794" s="52">
        <v>266028.44303149398</v>
      </c>
      <c r="D794" s="56">
        <v>7.3460890641081397E-2</v>
      </c>
      <c r="E794" s="224">
        <v>1365.93333333333</v>
      </c>
      <c r="F794" s="515" t="s">
        <v>2605</v>
      </c>
      <c r="G794" s="52">
        <v>343940.06177119398</v>
      </c>
      <c r="H794" s="56">
        <v>4.7784982374381557E-2</v>
      </c>
      <c r="I794" s="224">
        <v>2149.1666666666601</v>
      </c>
    </row>
    <row r="795" spans="1:9" x14ac:dyDescent="0.25">
      <c r="A795" s="515">
        <v>98387</v>
      </c>
      <c r="B795" s="515" t="s">
        <v>384</v>
      </c>
      <c r="C795" s="52">
        <v>456643.44001597702</v>
      </c>
      <c r="D795" s="56">
        <v>1.7131220784563491E-3</v>
      </c>
      <c r="E795" s="224">
        <v>2523.1037037036999</v>
      </c>
      <c r="F795" s="515" t="s">
        <v>2606</v>
      </c>
      <c r="G795" s="52">
        <v>285195.51421140099</v>
      </c>
      <c r="H795" s="56">
        <v>9.4605810246858879E-2</v>
      </c>
      <c r="I795" s="224">
        <v>1758.44444444444</v>
      </c>
    </row>
    <row r="796" spans="1:9" x14ac:dyDescent="0.25">
      <c r="A796" s="515">
        <v>48823</v>
      </c>
      <c r="B796" s="515" t="s">
        <v>528</v>
      </c>
      <c r="C796" s="52">
        <v>264440.992681198</v>
      </c>
      <c r="D796" s="56">
        <v>7.2475347212192592E-2</v>
      </c>
      <c r="E796" s="224">
        <v>1456.6666666666599</v>
      </c>
      <c r="F796" s="515" t="s">
        <v>2607</v>
      </c>
      <c r="G796" s="52">
        <v>172619.21630440501</v>
      </c>
      <c r="H796" s="56">
        <v>8.006080962011082E-2</v>
      </c>
      <c r="I796" s="224">
        <v>1534.7738664843901</v>
      </c>
    </row>
    <row r="797" spans="1:9" x14ac:dyDescent="0.25">
      <c r="A797" s="515">
        <v>92025</v>
      </c>
      <c r="B797" s="515" t="s">
        <v>396</v>
      </c>
      <c r="C797" s="52">
        <v>749694.32532569801</v>
      </c>
      <c r="D797" s="56">
        <v>5.748646571504791E-2</v>
      </c>
      <c r="E797" s="224">
        <v>2329.5833333333298</v>
      </c>
      <c r="F797" s="515" t="s">
        <v>2608</v>
      </c>
      <c r="G797" s="52">
        <v>348690.40241418802</v>
      </c>
      <c r="H797" s="56">
        <v>0.10145630570609288</v>
      </c>
      <c r="I797" s="224">
        <v>1864.01972101972</v>
      </c>
    </row>
    <row r="798" spans="1:9" x14ac:dyDescent="0.25">
      <c r="A798" s="515">
        <v>29485</v>
      </c>
      <c r="B798" s="515" t="s">
        <v>1009</v>
      </c>
      <c r="C798" s="52">
        <v>336138.77354666602</v>
      </c>
      <c r="D798" s="56">
        <v>9.3614698876713143E-2</v>
      </c>
      <c r="E798" s="224">
        <v>1719.2083333333301</v>
      </c>
      <c r="F798" s="515" t="s">
        <v>2609</v>
      </c>
      <c r="G798" s="52">
        <v>510488.48239662999</v>
      </c>
      <c r="H798" s="56">
        <v>2.8351673491021193E-2</v>
      </c>
      <c r="I798" s="224">
        <v>2155.4857142857099</v>
      </c>
    </row>
    <row r="799" spans="1:9" x14ac:dyDescent="0.25">
      <c r="A799" s="515">
        <v>89119</v>
      </c>
      <c r="B799" s="515" t="s">
        <v>323</v>
      </c>
      <c r="C799" s="52">
        <v>279068.28017439099</v>
      </c>
      <c r="D799" s="56">
        <v>9.6401339474343803E-2</v>
      </c>
      <c r="E799" s="224">
        <v>1469.9555555555501</v>
      </c>
      <c r="F799" s="515" t="s">
        <v>2610</v>
      </c>
      <c r="G799" s="52">
        <v>410032.614512473</v>
      </c>
      <c r="H799" s="56">
        <v>9.5676072171523366E-2</v>
      </c>
      <c r="I799" s="224">
        <v>2381.7722222222201</v>
      </c>
    </row>
    <row r="800" spans="1:9" x14ac:dyDescent="0.25">
      <c r="A800" s="515">
        <v>85365</v>
      </c>
      <c r="B800" s="515" t="s">
        <v>524</v>
      </c>
      <c r="C800" s="52">
        <v>296921.50924361101</v>
      </c>
      <c r="D800" s="56">
        <v>9.5559385591250393E-2</v>
      </c>
      <c r="E800" s="224">
        <v>1650.8333333333301</v>
      </c>
      <c r="F800" s="515" t="s">
        <v>828</v>
      </c>
      <c r="G800" s="52">
        <v>86421.565033537394</v>
      </c>
      <c r="H800" s="56">
        <v>4.6742052614799669E-2</v>
      </c>
      <c r="I800" s="224">
        <v>801.66666666666595</v>
      </c>
    </row>
    <row r="801" spans="1:9" x14ac:dyDescent="0.25">
      <c r="A801" s="515">
        <v>78541</v>
      </c>
      <c r="B801" s="515" t="s">
        <v>550</v>
      </c>
      <c r="C801" s="52">
        <v>170819.82088446201</v>
      </c>
      <c r="D801" s="56">
        <v>0.13708859122259651</v>
      </c>
      <c r="E801" s="224">
        <v>904.33333333333303</v>
      </c>
      <c r="F801" s="515" t="s">
        <v>2611</v>
      </c>
      <c r="G801" s="52">
        <v>287576.40374093602</v>
      </c>
      <c r="H801" s="56">
        <v>0.10909875568281154</v>
      </c>
      <c r="I801" s="224">
        <v>1603.4722222222199</v>
      </c>
    </row>
    <row r="802" spans="1:9" x14ac:dyDescent="0.25">
      <c r="A802" s="515">
        <v>33068</v>
      </c>
      <c r="B802" s="515" t="s">
        <v>831</v>
      </c>
      <c r="C802" s="52">
        <v>327219.264257984</v>
      </c>
      <c r="D802" s="56">
        <v>0.11230029998475871</v>
      </c>
      <c r="E802" s="224">
        <v>2558.11904761904</v>
      </c>
      <c r="F802" s="515" t="s">
        <v>2612</v>
      </c>
      <c r="G802" s="52">
        <v>627594.52377011802</v>
      </c>
      <c r="H802" s="56">
        <v>0.12706255176224102</v>
      </c>
      <c r="I802" s="224">
        <v>3711.0153846153798</v>
      </c>
    </row>
    <row r="803" spans="1:9" x14ac:dyDescent="0.25">
      <c r="A803" s="515">
        <v>77469</v>
      </c>
      <c r="B803" s="515" t="s">
        <v>314</v>
      </c>
      <c r="C803" s="52">
        <v>333864.33368233399</v>
      </c>
      <c r="D803" s="56">
        <v>7.531524815068838E-2</v>
      </c>
      <c r="E803" s="224">
        <v>1968.48809523809</v>
      </c>
      <c r="F803" s="515" t="s">
        <v>1160</v>
      </c>
      <c r="G803" s="52">
        <v>256117.518454926</v>
      </c>
      <c r="H803" s="56">
        <v>0.15207245245389475</v>
      </c>
      <c r="I803" s="224">
        <v>1687.00793650793</v>
      </c>
    </row>
    <row r="804" spans="1:9" x14ac:dyDescent="0.25">
      <c r="A804" s="515">
        <v>75216</v>
      </c>
      <c r="B804" s="515" t="s">
        <v>458</v>
      </c>
      <c r="C804" s="52">
        <v>179534.88479871899</v>
      </c>
      <c r="D804" s="56">
        <v>0.1883589315657454</v>
      </c>
      <c r="E804" s="224">
        <v>1783.75</v>
      </c>
      <c r="F804" s="515" t="s">
        <v>2613</v>
      </c>
      <c r="G804" s="52">
        <v>278722.49663272302</v>
      </c>
      <c r="H804" s="56">
        <v>0.12550570724135404</v>
      </c>
      <c r="I804" s="224">
        <v>1364.2222222222199</v>
      </c>
    </row>
    <row r="805" spans="1:9" x14ac:dyDescent="0.25">
      <c r="A805" s="515">
        <v>6511</v>
      </c>
      <c r="B805" s="515" t="s">
        <v>1172</v>
      </c>
      <c r="C805" s="52">
        <v>290422.378324916</v>
      </c>
      <c r="D805" s="56">
        <v>9.1286139229387095E-2</v>
      </c>
      <c r="E805" s="224">
        <v>1867.6400134952701</v>
      </c>
      <c r="F805" s="515" t="s">
        <v>503</v>
      </c>
      <c r="G805" s="52">
        <v>247712.458112038</v>
      </c>
      <c r="H805" s="56">
        <v>7.4161824797302614E-2</v>
      </c>
      <c r="I805" s="224">
        <v>1110.0999999999999</v>
      </c>
    </row>
    <row r="806" spans="1:9" x14ac:dyDescent="0.25">
      <c r="A806" s="515">
        <v>80020</v>
      </c>
      <c r="B806" s="515" t="s">
        <v>401</v>
      </c>
      <c r="C806" s="52">
        <v>559296.88558694394</v>
      </c>
      <c r="D806" s="56">
        <v>3.2568446527065628E-2</v>
      </c>
      <c r="E806" s="224">
        <v>2151.8704793028301</v>
      </c>
      <c r="F806" s="515" t="s">
        <v>2614</v>
      </c>
      <c r="G806" s="52">
        <v>1170422.44785884</v>
      </c>
      <c r="H806" s="56">
        <v>8.7204125259602347E-2</v>
      </c>
      <c r="I806" s="224">
        <v>3037.6124867724802</v>
      </c>
    </row>
    <row r="807" spans="1:9" x14ac:dyDescent="0.25">
      <c r="A807" s="515">
        <v>77044</v>
      </c>
      <c r="B807" s="515" t="s">
        <v>314</v>
      </c>
      <c r="C807" s="52">
        <v>281552.374042176</v>
      </c>
      <c r="D807" s="56">
        <v>9.5452479522310965E-2</v>
      </c>
      <c r="E807" s="224">
        <v>1699.5549242424199</v>
      </c>
      <c r="F807" s="515" t="s">
        <v>2615</v>
      </c>
      <c r="G807" s="52">
        <v>283253.638604048</v>
      </c>
      <c r="H807" s="56">
        <v>7.3101647131945072E-2</v>
      </c>
      <c r="I807" s="224">
        <v>1261.45079365079</v>
      </c>
    </row>
    <row r="808" spans="1:9" x14ac:dyDescent="0.25">
      <c r="A808" s="515">
        <v>91913</v>
      </c>
      <c r="B808" s="515" t="s">
        <v>396</v>
      </c>
      <c r="C808" s="52">
        <v>802218.32765260304</v>
      </c>
      <c r="D808" s="56">
        <v>2.3155305560965667E-2</v>
      </c>
      <c r="E808" s="224">
        <v>2975.8594017094001</v>
      </c>
      <c r="F808" s="515" t="s">
        <v>1121</v>
      </c>
      <c r="G808" s="52">
        <v>196570.85370329299</v>
      </c>
      <c r="H808" s="56">
        <v>7.8391101736978969E-2</v>
      </c>
      <c r="I808" s="224">
        <v>1465.7238095237999</v>
      </c>
    </row>
    <row r="809" spans="1:9" x14ac:dyDescent="0.25">
      <c r="A809" s="515">
        <v>53711</v>
      </c>
      <c r="B809" s="515" t="s">
        <v>727</v>
      </c>
      <c r="C809" s="52">
        <v>405003.002641492</v>
      </c>
      <c r="D809" s="56">
        <v>5.4762121086528386E-2</v>
      </c>
      <c r="E809" s="224">
        <v>1598.5</v>
      </c>
      <c r="F809" s="515" t="s">
        <v>2616</v>
      </c>
      <c r="G809" s="52">
        <v>474131.18494596001</v>
      </c>
      <c r="H809" s="56">
        <v>3.9679981774884021E-2</v>
      </c>
      <c r="I809" s="224" t="s">
        <v>2</v>
      </c>
    </row>
    <row r="810" spans="1:9" x14ac:dyDescent="0.25">
      <c r="A810" s="515">
        <v>60004</v>
      </c>
      <c r="B810" s="515" t="s">
        <v>394</v>
      </c>
      <c r="C810" s="52">
        <v>385547.96144329198</v>
      </c>
      <c r="D810" s="56">
        <v>3.7177240441678888E-2</v>
      </c>
      <c r="E810" s="224">
        <v>2384.2888888888801</v>
      </c>
      <c r="F810" s="515" t="s">
        <v>2617</v>
      </c>
      <c r="G810" s="52">
        <v>1161304.1529967601</v>
      </c>
      <c r="H810" s="56">
        <v>1.9260923134050577E-3</v>
      </c>
      <c r="I810" s="224">
        <v>3316.0586080585999</v>
      </c>
    </row>
    <row r="811" spans="1:9" x14ac:dyDescent="0.25">
      <c r="A811" s="515">
        <v>92026</v>
      </c>
      <c r="B811" s="515" t="s">
        <v>396</v>
      </c>
      <c r="C811" s="52">
        <v>729118.42412870994</v>
      </c>
      <c r="D811" s="56">
        <v>4.3636286359654018E-2</v>
      </c>
      <c r="E811" s="224">
        <v>2576.7817460317401</v>
      </c>
      <c r="F811" s="515" t="s">
        <v>2618</v>
      </c>
      <c r="G811" s="52">
        <v>175401.82039514399</v>
      </c>
      <c r="H811" s="56">
        <v>6.7340506687750379E-2</v>
      </c>
      <c r="I811" s="224">
        <v>896.66666666666595</v>
      </c>
    </row>
    <row r="812" spans="1:9" x14ac:dyDescent="0.25">
      <c r="A812" s="515">
        <v>19104</v>
      </c>
      <c r="B812" s="515" t="s">
        <v>294</v>
      </c>
      <c r="C812" s="52">
        <v>220463.238052753</v>
      </c>
      <c r="D812" s="56">
        <v>0.11434517328658562</v>
      </c>
      <c r="E812" s="224">
        <v>1729.8567901234501</v>
      </c>
      <c r="F812" s="515" t="s">
        <v>2619</v>
      </c>
      <c r="G812" s="52">
        <v>337503.74751456198</v>
      </c>
      <c r="H812" s="56">
        <v>3.0445139534593858E-2</v>
      </c>
      <c r="I812" s="224" t="s">
        <v>2</v>
      </c>
    </row>
    <row r="813" spans="1:9" x14ac:dyDescent="0.25">
      <c r="A813" s="515">
        <v>95037</v>
      </c>
      <c r="B813" s="515" t="s">
        <v>850</v>
      </c>
      <c r="C813" s="52">
        <v>1220104.9984639301</v>
      </c>
      <c r="D813" s="56">
        <v>3.1014636073179051E-2</v>
      </c>
      <c r="E813" s="224">
        <v>3396.8262626262599</v>
      </c>
      <c r="F813" s="515" t="s">
        <v>2620</v>
      </c>
      <c r="G813" s="52">
        <v>300539.81469346897</v>
      </c>
      <c r="H813" s="56">
        <v>0.14570188817886989</v>
      </c>
      <c r="I813" s="224">
        <v>2068.2391067538101</v>
      </c>
    </row>
    <row r="814" spans="1:9" x14ac:dyDescent="0.25">
      <c r="A814" s="515">
        <v>92557</v>
      </c>
      <c r="B814" s="515" t="s">
        <v>599</v>
      </c>
      <c r="C814" s="52">
        <v>514993.63093212602</v>
      </c>
      <c r="D814" s="56">
        <v>5.3148201387660195E-2</v>
      </c>
      <c r="E814" s="224">
        <v>2522.125</v>
      </c>
      <c r="F814" s="515" t="s">
        <v>2621</v>
      </c>
      <c r="G814" s="52">
        <v>361576.56154889998</v>
      </c>
      <c r="H814" s="56">
        <v>7.8456900524399659E-2</v>
      </c>
      <c r="I814" s="224">
        <v>1729.0490740740699</v>
      </c>
    </row>
    <row r="815" spans="1:9" x14ac:dyDescent="0.25">
      <c r="A815" s="515">
        <v>92870</v>
      </c>
      <c r="B815" s="515" t="s">
        <v>375</v>
      </c>
      <c r="C815" s="52">
        <v>897409.18989625503</v>
      </c>
      <c r="D815" s="56">
        <v>7.624816790859934E-2</v>
      </c>
      <c r="E815" s="224">
        <v>2858.8333333333298</v>
      </c>
      <c r="F815" s="515" t="s">
        <v>2622</v>
      </c>
      <c r="G815" s="52">
        <v>118495.786547747</v>
      </c>
      <c r="H815" s="56">
        <v>9.1799856033693561E-2</v>
      </c>
      <c r="I815" s="224">
        <v>1016.91666666666</v>
      </c>
    </row>
    <row r="816" spans="1:9" x14ac:dyDescent="0.25">
      <c r="A816" s="515">
        <v>60148</v>
      </c>
      <c r="B816" s="515" t="s">
        <v>394</v>
      </c>
      <c r="C816" s="52">
        <v>302716.37897950102</v>
      </c>
      <c r="D816" s="56">
        <v>3.3248606591782436E-2</v>
      </c>
      <c r="E816" s="224">
        <v>1772.91096866096</v>
      </c>
      <c r="F816" s="515" t="s">
        <v>1271</v>
      </c>
      <c r="G816" s="52">
        <v>247046.88271347</v>
      </c>
      <c r="H816" s="56">
        <v>9.7127995505122092E-2</v>
      </c>
      <c r="I816" s="224" t="s">
        <v>2</v>
      </c>
    </row>
    <row r="817" spans="1:9" x14ac:dyDescent="0.25">
      <c r="A817" s="515">
        <v>92113</v>
      </c>
      <c r="B817" s="515" t="s">
        <v>396</v>
      </c>
      <c r="C817" s="52">
        <v>572426.88643883099</v>
      </c>
      <c r="D817" s="56">
        <v>7.0595328902040275E-2</v>
      </c>
      <c r="E817" s="224">
        <v>2533.3333333333298</v>
      </c>
      <c r="F817" s="515" t="s">
        <v>2623</v>
      </c>
      <c r="G817" s="52">
        <v>530112.64732117997</v>
      </c>
      <c r="H817" s="56">
        <v>6.269740972790637E-2</v>
      </c>
      <c r="I817" s="224" t="s">
        <v>2</v>
      </c>
    </row>
    <row r="818" spans="1:9" x14ac:dyDescent="0.25">
      <c r="A818" s="515">
        <v>85283</v>
      </c>
      <c r="B818" s="515" t="s">
        <v>563</v>
      </c>
      <c r="C818" s="52">
        <v>431027.875249509</v>
      </c>
      <c r="D818" s="56">
        <v>3.7403350254057582E-2</v>
      </c>
      <c r="E818" s="224">
        <v>1771.8819327731001</v>
      </c>
      <c r="F818" s="515" t="s">
        <v>1178</v>
      </c>
      <c r="G818" s="52">
        <v>173148.55405402899</v>
      </c>
      <c r="H818" s="56">
        <v>0.14752010389868031</v>
      </c>
      <c r="I818" s="224" t="s">
        <v>2</v>
      </c>
    </row>
    <row r="819" spans="1:9" x14ac:dyDescent="0.25">
      <c r="A819" s="515">
        <v>92064</v>
      </c>
      <c r="B819" s="515" t="s">
        <v>396</v>
      </c>
      <c r="C819" s="52">
        <v>1041721.34647766</v>
      </c>
      <c r="D819" s="56">
        <v>4.5947035723253711E-2</v>
      </c>
      <c r="E819" s="224">
        <v>3369.4166666666601</v>
      </c>
      <c r="F819" s="515" t="s">
        <v>2624</v>
      </c>
      <c r="G819" s="52">
        <v>489285.84063877002</v>
      </c>
      <c r="H819" s="56">
        <v>9.4389775335808265E-2</v>
      </c>
      <c r="I819" s="224">
        <v>1892.13584169453</v>
      </c>
    </row>
    <row r="820" spans="1:9" x14ac:dyDescent="0.25">
      <c r="A820" s="515">
        <v>32792</v>
      </c>
      <c r="B820" s="515" t="s">
        <v>517</v>
      </c>
      <c r="C820" s="52">
        <v>373643.12706503301</v>
      </c>
      <c r="D820" s="56">
        <v>0.12868175500890033</v>
      </c>
      <c r="E820" s="224">
        <v>1965.43073593073</v>
      </c>
      <c r="F820" s="515" t="s">
        <v>2625</v>
      </c>
      <c r="G820" s="52">
        <v>1340060.2907799601</v>
      </c>
      <c r="H820" s="56">
        <v>4.4209388624316649E-2</v>
      </c>
      <c r="I820" s="224">
        <v>3268.7920274170201</v>
      </c>
    </row>
    <row r="821" spans="1:9" x14ac:dyDescent="0.25">
      <c r="A821" s="515">
        <v>20176</v>
      </c>
      <c r="B821" s="515" t="s">
        <v>321</v>
      </c>
      <c r="C821" s="52">
        <v>711209.95738549996</v>
      </c>
      <c r="D821" s="56">
        <v>3.3260290794109082E-2</v>
      </c>
      <c r="E821" s="224">
        <v>2023.9833333333299</v>
      </c>
      <c r="F821" s="515" t="s">
        <v>2626</v>
      </c>
      <c r="G821" s="52">
        <v>353372.55373212299</v>
      </c>
      <c r="H821" s="56">
        <v>6.5635382981093768E-2</v>
      </c>
      <c r="I821" s="224">
        <v>1487.05555555555</v>
      </c>
    </row>
    <row r="822" spans="1:9" x14ac:dyDescent="0.25">
      <c r="A822" s="515">
        <v>11758</v>
      </c>
      <c r="B822" s="515" t="s">
        <v>324</v>
      </c>
      <c r="C822" s="52">
        <v>641645.87714930496</v>
      </c>
      <c r="D822" s="56">
        <v>4.9565133601953297E-2</v>
      </c>
      <c r="E822" s="224" t="s">
        <v>2</v>
      </c>
      <c r="F822" s="515" t="s">
        <v>2627</v>
      </c>
      <c r="G822" s="52">
        <v>361580.71282356401</v>
      </c>
      <c r="H822" s="56">
        <v>8.8354343400790486E-2</v>
      </c>
      <c r="I822" s="224">
        <v>1911.8479030501001</v>
      </c>
    </row>
    <row r="823" spans="1:9" x14ac:dyDescent="0.25">
      <c r="A823" s="515">
        <v>92705</v>
      </c>
      <c r="B823" s="515" t="s">
        <v>375</v>
      </c>
      <c r="C823" s="52">
        <v>1268482.11170294</v>
      </c>
      <c r="D823" s="56">
        <v>8.5882750722559034E-2</v>
      </c>
      <c r="E823" s="224">
        <v>2901.1666666666601</v>
      </c>
      <c r="F823" s="515" t="s">
        <v>2628</v>
      </c>
      <c r="G823" s="52">
        <v>316421.47664508002</v>
      </c>
      <c r="H823" s="56">
        <v>7.4431554974794562E-2</v>
      </c>
      <c r="I823" s="224">
        <v>1784.8333333333301</v>
      </c>
    </row>
    <row r="824" spans="1:9" x14ac:dyDescent="0.25">
      <c r="A824" s="515">
        <v>36117</v>
      </c>
      <c r="B824" s="515" t="s">
        <v>806</v>
      </c>
      <c r="C824" s="52">
        <v>232762.83893565999</v>
      </c>
      <c r="D824" s="56">
        <v>7.9436599881439682E-2</v>
      </c>
      <c r="E824" s="224">
        <v>1330.0277777777701</v>
      </c>
      <c r="F824" s="515" t="s">
        <v>2629</v>
      </c>
      <c r="G824" s="52">
        <v>656088.73545340996</v>
      </c>
      <c r="H824" s="56">
        <v>6.139439881685288E-2</v>
      </c>
      <c r="I824" s="224">
        <v>1926.8333333333301</v>
      </c>
    </row>
    <row r="825" spans="1:9" x14ac:dyDescent="0.25">
      <c r="A825" s="515">
        <v>98270</v>
      </c>
      <c r="B825" s="515" t="s">
        <v>384</v>
      </c>
      <c r="C825" s="52">
        <v>565455.01827367896</v>
      </c>
      <c r="D825" s="56">
        <v>3.3835184955178371E-2</v>
      </c>
      <c r="E825" s="224">
        <v>2452.8611111111099</v>
      </c>
      <c r="F825" s="515" t="s">
        <v>2630</v>
      </c>
      <c r="G825" s="52">
        <v>575091.3931627</v>
      </c>
      <c r="H825" s="56">
        <v>3.3620051385702003E-2</v>
      </c>
      <c r="I825" s="224">
        <v>1710.56547619047</v>
      </c>
    </row>
    <row r="826" spans="1:9" x14ac:dyDescent="0.25">
      <c r="A826" s="515">
        <v>60626</v>
      </c>
      <c r="B826" s="515" t="s">
        <v>394</v>
      </c>
      <c r="C826" s="52">
        <v>214323.32375631001</v>
      </c>
      <c r="D826" s="56">
        <v>-2.0868671868133244E-4</v>
      </c>
      <c r="E826" s="224">
        <v>1324.5418337789599</v>
      </c>
      <c r="F826" s="515" t="s">
        <v>2631</v>
      </c>
      <c r="G826" s="52">
        <v>966200.33055493201</v>
      </c>
      <c r="H826" s="56">
        <v>6.6924912005859746E-2</v>
      </c>
      <c r="I826" s="224">
        <v>2533.88888888888</v>
      </c>
    </row>
    <row r="827" spans="1:9" x14ac:dyDescent="0.25">
      <c r="A827" s="515">
        <v>45069</v>
      </c>
      <c r="B827" s="515" t="s">
        <v>344</v>
      </c>
      <c r="C827" s="52">
        <v>351160.30011675198</v>
      </c>
      <c r="D827" s="56">
        <v>6.6694076619551623E-2</v>
      </c>
      <c r="E827" s="224">
        <v>1754.3988095238001</v>
      </c>
      <c r="F827" s="515" t="s">
        <v>2632</v>
      </c>
      <c r="G827" s="52">
        <v>1013743.09353896</v>
      </c>
      <c r="H827" s="56">
        <v>4.1966878291757832E-2</v>
      </c>
      <c r="I827" s="224">
        <v>3584.5833333333298</v>
      </c>
    </row>
    <row r="828" spans="1:9" x14ac:dyDescent="0.25">
      <c r="A828" s="515">
        <v>98632</v>
      </c>
      <c r="B828" s="515" t="s">
        <v>807</v>
      </c>
      <c r="C828" s="52">
        <v>352374.22061954899</v>
      </c>
      <c r="D828" s="56">
        <v>4.3738776876023344E-2</v>
      </c>
      <c r="E828" s="224">
        <v>1775</v>
      </c>
      <c r="F828" s="515" t="s">
        <v>2633</v>
      </c>
      <c r="G828" s="52">
        <v>382440.44804560201</v>
      </c>
      <c r="H828" s="56">
        <v>0.10242301159863626</v>
      </c>
      <c r="I828" s="224">
        <v>1902.92207792207</v>
      </c>
    </row>
    <row r="829" spans="1:9" x14ac:dyDescent="0.25">
      <c r="A829" s="515">
        <v>84003</v>
      </c>
      <c r="B829" s="515" t="s">
        <v>726</v>
      </c>
      <c r="C829" s="52">
        <v>599751.73464996705</v>
      </c>
      <c r="D829" s="56">
        <v>2.1449075632169311E-2</v>
      </c>
      <c r="E829" s="224">
        <v>2105.3333333333298</v>
      </c>
      <c r="F829" s="515" t="s">
        <v>2634</v>
      </c>
      <c r="G829" s="52">
        <v>999498.734444489</v>
      </c>
      <c r="H829" s="56">
        <v>2.4860933073682978E-2</v>
      </c>
      <c r="I829" s="224">
        <v>2953.75</v>
      </c>
    </row>
    <row r="830" spans="1:9" x14ac:dyDescent="0.25">
      <c r="A830" s="515">
        <v>41042</v>
      </c>
      <c r="B830" s="515" t="s">
        <v>344</v>
      </c>
      <c r="C830" s="52">
        <v>234145.78719326801</v>
      </c>
      <c r="D830" s="56">
        <v>8.1181155718138193E-2</v>
      </c>
      <c r="E830" s="224">
        <v>1424.1555555555501</v>
      </c>
      <c r="F830" s="515" t="s">
        <v>2635</v>
      </c>
      <c r="G830" s="52">
        <v>441257.322765271</v>
      </c>
      <c r="H830" s="56">
        <v>3.4142180002729609E-2</v>
      </c>
      <c r="I830" s="224">
        <v>1604.7079365079301</v>
      </c>
    </row>
    <row r="831" spans="1:9" x14ac:dyDescent="0.25">
      <c r="A831" s="515">
        <v>90047</v>
      </c>
      <c r="B831" s="515" t="s">
        <v>375</v>
      </c>
      <c r="C831" s="52">
        <v>640851.57137780404</v>
      </c>
      <c r="D831" s="56">
        <v>5.3856480813861358E-2</v>
      </c>
      <c r="E831" s="224">
        <v>2855.5555555555502</v>
      </c>
      <c r="F831" s="515" t="s">
        <v>2636</v>
      </c>
      <c r="G831" s="52">
        <v>139110.06712432901</v>
      </c>
      <c r="H831" s="56">
        <v>8.6992827147297225E-2</v>
      </c>
      <c r="I831" s="224">
        <v>870.97979797979804</v>
      </c>
    </row>
    <row r="832" spans="1:9" x14ac:dyDescent="0.25">
      <c r="A832" s="515">
        <v>29464</v>
      </c>
      <c r="B832" s="515" t="s">
        <v>1009</v>
      </c>
      <c r="C832" s="52">
        <v>731716.78946438502</v>
      </c>
      <c r="D832" s="56">
        <v>0.14826830064840568</v>
      </c>
      <c r="E832" s="224">
        <v>2099.1641025641002</v>
      </c>
      <c r="F832" s="515" t="s">
        <v>1265</v>
      </c>
      <c r="G832" s="52">
        <v>216516.57449438499</v>
      </c>
      <c r="H832" s="56">
        <v>7.0528675755781284E-2</v>
      </c>
      <c r="I832" s="224">
        <v>1100.5</v>
      </c>
    </row>
    <row r="833" spans="1:9" x14ac:dyDescent="0.25">
      <c r="A833" s="515">
        <v>75023</v>
      </c>
      <c r="B833" s="515" t="s">
        <v>458</v>
      </c>
      <c r="C833" s="52">
        <v>411943.50227335899</v>
      </c>
      <c r="D833" s="56">
        <v>5.75473775518568E-2</v>
      </c>
      <c r="E833" s="224">
        <v>1865.9166666666599</v>
      </c>
      <c r="F833" s="515" t="s">
        <v>2637</v>
      </c>
      <c r="G833" s="52">
        <v>449637.51100167498</v>
      </c>
      <c r="H833" s="56">
        <v>6.8348955410693149E-2</v>
      </c>
      <c r="I833" s="224">
        <v>2061.0303030302998</v>
      </c>
    </row>
    <row r="834" spans="1:9" x14ac:dyDescent="0.25">
      <c r="A834" s="515">
        <v>89030</v>
      </c>
      <c r="B834" s="515" t="s">
        <v>323</v>
      </c>
      <c r="C834" s="52">
        <v>264942.57619452098</v>
      </c>
      <c r="D834" s="56">
        <v>0.12885532780262093</v>
      </c>
      <c r="E834" s="224">
        <v>1255</v>
      </c>
      <c r="F834" s="515" t="s">
        <v>2638</v>
      </c>
      <c r="G834" s="52">
        <v>364457.58991639101</v>
      </c>
      <c r="H834" s="56">
        <v>7.8465151142769293E-2</v>
      </c>
      <c r="I834" s="224">
        <v>1682.7777777777701</v>
      </c>
    </row>
    <row r="835" spans="1:9" x14ac:dyDescent="0.25">
      <c r="A835" s="515">
        <v>20171</v>
      </c>
      <c r="B835" s="515" t="s">
        <v>321</v>
      </c>
      <c r="C835" s="52">
        <v>730386.40312250995</v>
      </c>
      <c r="D835" s="56">
        <v>2.7962925525644305E-2</v>
      </c>
      <c r="E835" s="224">
        <v>2027.59433465085</v>
      </c>
      <c r="F835" s="515" t="s">
        <v>2639</v>
      </c>
      <c r="G835" s="52">
        <v>553730.63650554395</v>
      </c>
      <c r="H835" s="56">
        <v>2.0796651438095115E-2</v>
      </c>
      <c r="I835" s="224">
        <v>2221.8111581400999</v>
      </c>
    </row>
    <row r="836" spans="1:9" x14ac:dyDescent="0.25">
      <c r="A836" s="515">
        <v>72034</v>
      </c>
      <c r="B836" s="515" t="s">
        <v>393</v>
      </c>
      <c r="C836" s="52">
        <v>242293.72007865799</v>
      </c>
      <c r="D836" s="56">
        <v>8.5140946564663728E-2</v>
      </c>
      <c r="E836" s="224">
        <v>1342.2222222222199</v>
      </c>
      <c r="F836" s="515" t="s">
        <v>2640</v>
      </c>
      <c r="G836" s="52">
        <v>413122.30711530801</v>
      </c>
      <c r="H836" s="56">
        <v>3.7177693371321582E-2</v>
      </c>
      <c r="I836" s="224">
        <v>1732.6134777728901</v>
      </c>
    </row>
    <row r="837" spans="1:9" x14ac:dyDescent="0.25">
      <c r="A837" s="515">
        <v>75074</v>
      </c>
      <c r="B837" s="515" t="s">
        <v>458</v>
      </c>
      <c r="C837" s="52">
        <v>365053.77492257999</v>
      </c>
      <c r="D837" s="56">
        <v>6.6794205327561307E-2</v>
      </c>
      <c r="E837" s="224">
        <v>1678.90032431336</v>
      </c>
      <c r="F837" s="515" t="s">
        <v>1262</v>
      </c>
      <c r="G837" s="52">
        <v>398850.80238670402</v>
      </c>
      <c r="H837" s="56">
        <v>3.6585914711435234E-2</v>
      </c>
      <c r="I837" s="224">
        <v>1653.75</v>
      </c>
    </row>
    <row r="838" spans="1:9" x14ac:dyDescent="0.25">
      <c r="A838" s="515">
        <v>89131</v>
      </c>
      <c r="B838" s="515" t="s">
        <v>323</v>
      </c>
      <c r="C838" s="52">
        <v>488150.910734631</v>
      </c>
      <c r="D838" s="56">
        <v>3.8422172795255727E-2</v>
      </c>
      <c r="E838" s="224">
        <v>1995.75912975912</v>
      </c>
      <c r="F838" s="515" t="s">
        <v>2641</v>
      </c>
      <c r="G838" s="52">
        <v>786372.15352073603</v>
      </c>
      <c r="H838" s="56">
        <v>5.2638809442381675E-2</v>
      </c>
      <c r="I838" s="224">
        <v>2332.5</v>
      </c>
    </row>
    <row r="839" spans="1:9" x14ac:dyDescent="0.25">
      <c r="A839" s="515">
        <v>40601</v>
      </c>
      <c r="B839" s="515" t="s">
        <v>1210</v>
      </c>
      <c r="C839" s="52">
        <v>195307.782063919</v>
      </c>
      <c r="D839" s="56">
        <v>6.8180755341666094E-2</v>
      </c>
      <c r="E839" s="224">
        <v>836.83333333333303</v>
      </c>
      <c r="F839" s="515" t="s">
        <v>970</v>
      </c>
      <c r="G839" s="52">
        <v>108174.65692551401</v>
      </c>
      <c r="H839" s="56">
        <v>2.6174211098616153E-2</v>
      </c>
      <c r="I839" s="224">
        <v>1062.5</v>
      </c>
    </row>
    <row r="840" spans="1:9" x14ac:dyDescent="0.25">
      <c r="A840" s="515">
        <v>89148</v>
      </c>
      <c r="B840" s="515" t="s">
        <v>323</v>
      </c>
      <c r="C840" s="52">
        <v>443555.659223372</v>
      </c>
      <c r="D840" s="56">
        <v>4.1811626808273883E-2</v>
      </c>
      <c r="E840" s="224">
        <v>1962.79413580246</v>
      </c>
      <c r="F840" s="515" t="s">
        <v>2642</v>
      </c>
      <c r="G840" s="52">
        <v>395694.20435541403</v>
      </c>
      <c r="H840" s="56">
        <v>2.2022564188478561E-2</v>
      </c>
      <c r="I840" s="224">
        <v>1949.7959595959501</v>
      </c>
    </row>
    <row r="841" spans="1:9" x14ac:dyDescent="0.25">
      <c r="A841" s="515">
        <v>17602</v>
      </c>
      <c r="B841" s="515" t="s">
        <v>537</v>
      </c>
      <c r="C841" s="52">
        <v>265404.35066662898</v>
      </c>
      <c r="D841" s="56">
        <v>0.10450492330354021</v>
      </c>
      <c r="E841" s="224">
        <v>1303.37301587301</v>
      </c>
      <c r="F841" s="515" t="s">
        <v>2643</v>
      </c>
      <c r="G841" s="52">
        <v>332364.51549457299</v>
      </c>
      <c r="H841" s="56">
        <v>7.9696136252232694E-2</v>
      </c>
      <c r="I841" s="224">
        <v>1436.55555555555</v>
      </c>
    </row>
    <row r="842" spans="1:9" x14ac:dyDescent="0.25">
      <c r="A842" s="515">
        <v>33176</v>
      </c>
      <c r="B842" s="515" t="s">
        <v>831</v>
      </c>
      <c r="C842" s="52">
        <v>528158.04750955396</v>
      </c>
      <c r="D842" s="56">
        <v>0.13618933919038448</v>
      </c>
      <c r="E842" s="224">
        <v>2259.7222222222199</v>
      </c>
      <c r="F842" s="515" t="s">
        <v>2644</v>
      </c>
      <c r="G842" s="52">
        <v>670485.74902834895</v>
      </c>
      <c r="H842" s="56">
        <v>0.12307853862087971</v>
      </c>
      <c r="I842" s="224" t="s">
        <v>2</v>
      </c>
    </row>
    <row r="843" spans="1:9" x14ac:dyDescent="0.25">
      <c r="A843" s="515">
        <v>92833</v>
      </c>
      <c r="B843" s="515" t="s">
        <v>375</v>
      </c>
      <c r="C843" s="52">
        <v>828672.382004402</v>
      </c>
      <c r="D843" s="56">
        <v>3.8766164709864333E-2</v>
      </c>
      <c r="E843" s="224">
        <v>2909.8055555555502</v>
      </c>
      <c r="F843" s="515" t="s">
        <v>1252</v>
      </c>
      <c r="G843" s="52">
        <v>242156.00418037499</v>
      </c>
      <c r="H843" s="56">
        <v>9.1930765970774458E-2</v>
      </c>
      <c r="I843" s="224">
        <v>1069.0873015873001</v>
      </c>
    </row>
    <row r="844" spans="1:9" x14ac:dyDescent="0.25">
      <c r="A844" s="515">
        <v>8540</v>
      </c>
      <c r="B844" s="515" t="s">
        <v>938</v>
      </c>
      <c r="C844" s="52">
        <v>757133.73812569794</v>
      </c>
      <c r="D844" s="56">
        <v>7.2656128466479522E-2</v>
      </c>
      <c r="E844" s="224">
        <v>3096.50264550264</v>
      </c>
      <c r="F844" s="515" t="s">
        <v>2645</v>
      </c>
      <c r="G844" s="52">
        <v>1593373.9119279899</v>
      </c>
      <c r="H844" s="56">
        <v>4.9108888822431418E-2</v>
      </c>
      <c r="I844" s="224">
        <v>3672.5833333333298</v>
      </c>
    </row>
    <row r="845" spans="1:9" x14ac:dyDescent="0.25">
      <c r="A845" s="515">
        <v>60616</v>
      </c>
      <c r="B845" s="515" t="s">
        <v>394</v>
      </c>
      <c r="C845" s="52">
        <v>297652.58809436398</v>
      </c>
      <c r="D845" s="56">
        <v>-4.3828786042016135E-2</v>
      </c>
      <c r="E845" s="224">
        <v>1741.8943236714899</v>
      </c>
      <c r="F845" s="515" t="s">
        <v>2646</v>
      </c>
      <c r="G845" s="52">
        <v>431421.65373026999</v>
      </c>
      <c r="H845" s="56">
        <v>7.8870495455984124E-2</v>
      </c>
      <c r="I845" s="224">
        <v>2090.2525000000001</v>
      </c>
    </row>
    <row r="846" spans="1:9" x14ac:dyDescent="0.25">
      <c r="A846" s="515">
        <v>30518</v>
      </c>
      <c r="B846" s="515" t="s">
        <v>957</v>
      </c>
      <c r="C846" s="52">
        <v>424163.38331360201</v>
      </c>
      <c r="D846" s="56">
        <v>8.5557932352785387E-2</v>
      </c>
      <c r="E846" s="224">
        <v>2099.2083333333298</v>
      </c>
      <c r="F846" s="515" t="s">
        <v>1140</v>
      </c>
      <c r="G846" s="52">
        <v>120526.60350590201</v>
      </c>
      <c r="H846" s="56">
        <v>8.9377199468675811E-2</v>
      </c>
      <c r="I846" s="224">
        <v>1635</v>
      </c>
    </row>
    <row r="847" spans="1:9" x14ac:dyDescent="0.25">
      <c r="A847" s="515">
        <v>30519</v>
      </c>
      <c r="B847" s="515" t="s">
        <v>957</v>
      </c>
      <c r="C847" s="52">
        <v>435898.364118319</v>
      </c>
      <c r="D847" s="56">
        <v>7.4860600542855024E-2</v>
      </c>
      <c r="E847" s="224">
        <v>2309.2071272953599</v>
      </c>
      <c r="F847" s="515" t="s">
        <v>2647</v>
      </c>
      <c r="G847" s="52">
        <v>293805.400439983</v>
      </c>
      <c r="H847" s="56">
        <v>1.3717806398154415E-2</v>
      </c>
      <c r="I847" s="224">
        <v>1456.7777777777701</v>
      </c>
    </row>
    <row r="848" spans="1:9" x14ac:dyDescent="0.25">
      <c r="A848" s="515">
        <v>45424</v>
      </c>
      <c r="B848" s="515" t="s">
        <v>340</v>
      </c>
      <c r="C848" s="52">
        <v>179081.46273407701</v>
      </c>
      <c r="D848" s="56">
        <v>6.8534094944812676E-2</v>
      </c>
      <c r="E848" s="224">
        <v>1283.94179894179</v>
      </c>
      <c r="F848" s="515" t="s">
        <v>2648</v>
      </c>
      <c r="G848" s="52">
        <v>607084.62086809101</v>
      </c>
      <c r="H848" s="56">
        <v>4.7968297354205054E-2</v>
      </c>
      <c r="I848" s="224">
        <v>2200.76388888888</v>
      </c>
    </row>
    <row r="849" spans="1:9" x14ac:dyDescent="0.25">
      <c r="A849" s="515">
        <v>90220</v>
      </c>
      <c r="B849" s="515" t="s">
        <v>375</v>
      </c>
      <c r="C849" s="52">
        <v>556867.13308083499</v>
      </c>
      <c r="D849" s="56">
        <v>6.3605614769011637E-2</v>
      </c>
      <c r="E849" s="224" t="s">
        <v>2</v>
      </c>
      <c r="F849" s="515" t="s">
        <v>2649</v>
      </c>
      <c r="G849" s="52">
        <v>151432.519073915</v>
      </c>
      <c r="H849" s="56">
        <v>7.5411659318938784E-2</v>
      </c>
      <c r="I849" s="224">
        <v>1107.1111111111099</v>
      </c>
    </row>
    <row r="850" spans="1:9" x14ac:dyDescent="0.25">
      <c r="A850" s="515">
        <v>10950</v>
      </c>
      <c r="B850" s="515" t="s">
        <v>529</v>
      </c>
      <c r="C850" s="52">
        <v>460247.40884825197</v>
      </c>
      <c r="D850" s="56">
        <v>0.12840545777086029</v>
      </c>
      <c r="E850" s="224">
        <v>3135.5555555555502</v>
      </c>
      <c r="F850" s="515" t="s">
        <v>2650</v>
      </c>
      <c r="G850" s="52">
        <v>1408888.9207409101</v>
      </c>
      <c r="H850" s="56">
        <v>0.10071994591878856</v>
      </c>
      <c r="I850" s="224">
        <v>3322.1458333333298</v>
      </c>
    </row>
    <row r="851" spans="1:9" x14ac:dyDescent="0.25">
      <c r="A851" s="515">
        <v>32246</v>
      </c>
      <c r="B851" s="515" t="s">
        <v>1158</v>
      </c>
      <c r="C851" s="52">
        <v>316707.23121863801</v>
      </c>
      <c r="D851" s="56">
        <v>0.12907785122968685</v>
      </c>
      <c r="E851" s="224">
        <v>1830.2586336336301</v>
      </c>
      <c r="F851" s="515" t="s">
        <v>2651</v>
      </c>
      <c r="G851" s="52">
        <v>400609.52337076899</v>
      </c>
      <c r="H851" s="56">
        <v>3.7609418911027696E-2</v>
      </c>
      <c r="I851" s="224">
        <v>2047.87037037037</v>
      </c>
    </row>
    <row r="852" spans="1:9" x14ac:dyDescent="0.25">
      <c r="A852" s="515">
        <v>93277</v>
      </c>
      <c r="B852" s="515" t="s">
        <v>358</v>
      </c>
      <c r="C852" s="52">
        <v>332958.72934203799</v>
      </c>
      <c r="D852" s="56">
        <v>4.3470809219289822E-2</v>
      </c>
      <c r="E852" s="224">
        <v>1686.94444444444</v>
      </c>
      <c r="F852" s="515" t="s">
        <v>2652</v>
      </c>
      <c r="G852" s="52">
        <v>687917.27213862003</v>
      </c>
      <c r="H852" s="56">
        <v>4.7214653357650932E-2</v>
      </c>
      <c r="I852" s="224">
        <v>2787.4858886346301</v>
      </c>
    </row>
    <row r="853" spans="1:9" x14ac:dyDescent="0.25">
      <c r="A853" s="515">
        <v>94550</v>
      </c>
      <c r="B853" s="515" t="s">
        <v>593</v>
      </c>
      <c r="C853" s="52">
        <v>1126804.26449777</v>
      </c>
      <c r="D853" s="56">
        <v>-8.8100353991271835E-3</v>
      </c>
      <c r="E853" s="224">
        <v>2981.61904761904</v>
      </c>
      <c r="F853" s="515" t="s">
        <v>2653</v>
      </c>
      <c r="G853" s="52">
        <v>338954.06866612099</v>
      </c>
      <c r="H853" s="56">
        <v>0.11202234582239186</v>
      </c>
      <c r="I853" s="224">
        <v>1970.3333333333301</v>
      </c>
    </row>
    <row r="854" spans="1:9" x14ac:dyDescent="0.25">
      <c r="A854" s="515">
        <v>46032</v>
      </c>
      <c r="B854" s="515" t="s">
        <v>403</v>
      </c>
      <c r="C854" s="52">
        <v>473942.98942922603</v>
      </c>
      <c r="D854" s="56">
        <v>5.9898097525372999E-2</v>
      </c>
      <c r="E854" s="224">
        <v>1619.2454212454199</v>
      </c>
      <c r="F854" s="515" t="s">
        <v>2654</v>
      </c>
      <c r="G854" s="52">
        <v>192936.91866754799</v>
      </c>
      <c r="H854" s="56">
        <v>9.0134485539267409E-2</v>
      </c>
      <c r="I854" s="224">
        <v>1524.7777777777701</v>
      </c>
    </row>
    <row r="855" spans="1:9" x14ac:dyDescent="0.25">
      <c r="A855" s="515">
        <v>78227</v>
      </c>
      <c r="B855" s="515" t="s">
        <v>717</v>
      </c>
      <c r="C855" s="52">
        <v>173272.15730530999</v>
      </c>
      <c r="D855" s="56">
        <v>0.10564401445182198</v>
      </c>
      <c r="E855" s="224">
        <v>1349.6666666666599</v>
      </c>
      <c r="F855" s="515" t="s">
        <v>2655</v>
      </c>
      <c r="G855" s="52">
        <v>711173.42592766904</v>
      </c>
      <c r="H855" s="56">
        <v>4.3016270325244174E-2</v>
      </c>
      <c r="I855" s="224">
        <v>2258.3333333333298</v>
      </c>
    </row>
    <row r="856" spans="1:9" x14ac:dyDescent="0.25">
      <c r="A856" s="515">
        <v>92691</v>
      </c>
      <c r="B856" s="515" t="s">
        <v>375</v>
      </c>
      <c r="C856" s="52">
        <v>980845.002853657</v>
      </c>
      <c r="D856" s="56">
        <v>6.6251930935746828E-2</v>
      </c>
      <c r="E856" s="224">
        <v>3134.6666666666601</v>
      </c>
      <c r="F856" s="515" t="s">
        <v>2656</v>
      </c>
      <c r="G856" s="52">
        <v>367891.26165182202</v>
      </c>
      <c r="H856" s="56">
        <v>0.11413293541247994</v>
      </c>
      <c r="I856" s="224" t="s">
        <v>2</v>
      </c>
    </row>
    <row r="857" spans="1:9" x14ac:dyDescent="0.25">
      <c r="A857" s="515">
        <v>96789</v>
      </c>
      <c r="B857" s="515" t="s">
        <v>1029</v>
      </c>
      <c r="C857" s="52">
        <v>904505.01306757296</v>
      </c>
      <c r="D857" s="56">
        <v>7.9547586050788391E-2</v>
      </c>
      <c r="E857" s="224">
        <v>2510.2222222222199</v>
      </c>
      <c r="F857" s="515" t="s">
        <v>2657</v>
      </c>
      <c r="G857" s="52">
        <v>576419.71184830996</v>
      </c>
      <c r="H857" s="56">
        <v>9.6415298724498114E-3</v>
      </c>
      <c r="I857" s="224">
        <v>2229.7222222222199</v>
      </c>
    </row>
    <row r="858" spans="1:9" x14ac:dyDescent="0.25">
      <c r="A858" s="515">
        <v>46143</v>
      </c>
      <c r="B858" s="515" t="s">
        <v>403</v>
      </c>
      <c r="C858" s="52">
        <v>306232.57715403102</v>
      </c>
      <c r="D858" s="56">
        <v>7.5933762238717256E-2</v>
      </c>
      <c r="E858" s="224">
        <v>1595.85858585858</v>
      </c>
      <c r="F858" s="515" t="s">
        <v>2658</v>
      </c>
      <c r="G858" s="52">
        <v>1408128.8732366499</v>
      </c>
      <c r="H858" s="56">
        <v>2.1479600827847615E-2</v>
      </c>
      <c r="I858" s="224">
        <v>3058.8006993006902</v>
      </c>
    </row>
    <row r="859" spans="1:9" x14ac:dyDescent="0.25">
      <c r="A859" s="515">
        <v>23223</v>
      </c>
      <c r="B859" s="515" t="s">
        <v>667</v>
      </c>
      <c r="C859" s="52">
        <v>275192.60986993398</v>
      </c>
      <c r="D859" s="56">
        <v>0.20193840508379113</v>
      </c>
      <c r="E859" s="224">
        <v>1410.5522875816901</v>
      </c>
      <c r="F859" s="515" t="s">
        <v>1272</v>
      </c>
      <c r="G859" s="52">
        <v>175169.71934177799</v>
      </c>
      <c r="H859" s="56">
        <v>0.10164914303822857</v>
      </c>
      <c r="I859" s="224">
        <v>967.22222222222194</v>
      </c>
    </row>
    <row r="860" spans="1:9" x14ac:dyDescent="0.25">
      <c r="A860" s="515">
        <v>70065</v>
      </c>
      <c r="B860" s="515" t="s">
        <v>777</v>
      </c>
      <c r="C860" s="52">
        <v>233461.520505903</v>
      </c>
      <c r="D860" s="56">
        <v>-2.0968291080440377E-2</v>
      </c>
      <c r="E860" s="224">
        <v>1711.1111111111099</v>
      </c>
      <c r="F860" s="515" t="s">
        <v>2659</v>
      </c>
      <c r="G860" s="52">
        <v>347823.11365195201</v>
      </c>
      <c r="H860" s="56">
        <v>6.5214434983905001E-2</v>
      </c>
      <c r="I860" s="224">
        <v>1713.94444444444</v>
      </c>
    </row>
    <row r="861" spans="1:9" x14ac:dyDescent="0.25">
      <c r="A861" s="515">
        <v>77539</v>
      </c>
      <c r="B861" s="515" t="s">
        <v>314</v>
      </c>
      <c r="C861" s="52">
        <v>269371.297740051</v>
      </c>
      <c r="D861" s="56">
        <v>7.2169388809877902E-2</v>
      </c>
      <c r="E861" s="224">
        <v>1631.63888888888</v>
      </c>
      <c r="F861" s="515" t="s">
        <v>1196</v>
      </c>
      <c r="G861" s="52">
        <v>433648.59461028897</v>
      </c>
      <c r="H861" s="56">
        <v>-6.5633141729218346E-3</v>
      </c>
      <c r="I861" s="224">
        <v>1683.3333333333301</v>
      </c>
    </row>
    <row r="862" spans="1:9" x14ac:dyDescent="0.25">
      <c r="A862" s="515">
        <v>60073</v>
      </c>
      <c r="B862" s="515" t="s">
        <v>394</v>
      </c>
      <c r="C862" s="52">
        <v>216959.802010293</v>
      </c>
      <c r="D862" s="56">
        <v>8.2805135824065429E-2</v>
      </c>
      <c r="E862" s="224">
        <v>1711.94444444444</v>
      </c>
      <c r="F862" s="515" t="s">
        <v>2660</v>
      </c>
      <c r="G862" s="52">
        <v>617681.78398058203</v>
      </c>
      <c r="H862" s="56">
        <v>4.3273782208967562E-2</v>
      </c>
      <c r="I862" s="224">
        <v>2939.9166666666601</v>
      </c>
    </row>
    <row r="863" spans="1:9" x14ac:dyDescent="0.25">
      <c r="A863" s="515">
        <v>97007</v>
      </c>
      <c r="B863" s="515" t="s">
        <v>659</v>
      </c>
      <c r="C863" s="52">
        <v>588748.115010523</v>
      </c>
      <c r="D863" s="56">
        <v>3.4937492049872766E-2</v>
      </c>
      <c r="E863" s="224">
        <v>1929.63888888888</v>
      </c>
      <c r="F863" s="515" t="s">
        <v>2661</v>
      </c>
      <c r="G863" s="52">
        <v>371513.80691779603</v>
      </c>
      <c r="H863" s="56">
        <v>0.14197553712670233</v>
      </c>
      <c r="I863" s="224">
        <v>2313.9816849816798</v>
      </c>
    </row>
    <row r="864" spans="1:9" x14ac:dyDescent="0.25">
      <c r="A864" s="515">
        <v>90046</v>
      </c>
      <c r="B864" s="515" t="s">
        <v>375</v>
      </c>
      <c r="C864" s="52">
        <v>1490491.18812373</v>
      </c>
      <c r="D864" s="56">
        <v>-3.6515704116934153E-2</v>
      </c>
      <c r="E864" s="224">
        <v>2871.3605263157801</v>
      </c>
      <c r="F864" s="515" t="s">
        <v>2662</v>
      </c>
      <c r="G864" s="52">
        <v>335383.24133444799</v>
      </c>
      <c r="H864" s="56">
        <v>7.6732722579429369E-2</v>
      </c>
      <c r="I864" s="224">
        <v>1516.0428571428499</v>
      </c>
    </row>
    <row r="865" spans="1:9" x14ac:dyDescent="0.25">
      <c r="A865" s="515">
        <v>10016</v>
      </c>
      <c r="B865" s="515" t="s">
        <v>324</v>
      </c>
      <c r="C865" s="52">
        <v>870314.75476720696</v>
      </c>
      <c r="D865" s="56">
        <v>-2.4889067104443611E-2</v>
      </c>
      <c r="E865" s="224">
        <v>4211.3832108591596</v>
      </c>
      <c r="F865" s="515" t="s">
        <v>2663</v>
      </c>
      <c r="G865" s="52">
        <v>220568.6005842</v>
      </c>
      <c r="H865" s="56">
        <v>0.12466555925346051</v>
      </c>
      <c r="I865" s="224">
        <v>1245.8333333333301</v>
      </c>
    </row>
    <row r="866" spans="1:9" x14ac:dyDescent="0.25">
      <c r="A866" s="515">
        <v>92127</v>
      </c>
      <c r="B866" s="515" t="s">
        <v>396</v>
      </c>
      <c r="C866" s="52">
        <v>1375634.2493829001</v>
      </c>
      <c r="D866" s="56">
        <v>4.1821334912840825E-2</v>
      </c>
      <c r="E866" s="224">
        <v>3360.12794612794</v>
      </c>
      <c r="F866" s="515" t="s">
        <v>1039</v>
      </c>
      <c r="G866" s="52">
        <v>196038.17488216</v>
      </c>
      <c r="H866" s="56">
        <v>9.7850489811844743E-2</v>
      </c>
      <c r="I866" s="224">
        <v>1304.7777777777701</v>
      </c>
    </row>
    <row r="867" spans="1:9" x14ac:dyDescent="0.25">
      <c r="A867" s="515">
        <v>92223</v>
      </c>
      <c r="B867" s="515" t="s">
        <v>599</v>
      </c>
      <c r="C867" s="52">
        <v>497681.45956395502</v>
      </c>
      <c r="D867" s="56">
        <v>5.1845031886968103E-2</v>
      </c>
      <c r="E867" s="224">
        <v>2749.4444444444398</v>
      </c>
      <c r="F867" s="515" t="s">
        <v>2664</v>
      </c>
      <c r="G867" s="52">
        <v>514788.78163281898</v>
      </c>
      <c r="H867" s="56">
        <v>3.4660948908602628E-2</v>
      </c>
      <c r="I867" s="224">
        <v>2779.4848484848399</v>
      </c>
    </row>
    <row r="868" spans="1:9" x14ac:dyDescent="0.25">
      <c r="A868" s="515">
        <v>10451</v>
      </c>
      <c r="B868" s="515" t="s">
        <v>324</v>
      </c>
      <c r="C868" s="52">
        <v>269644.80886525899</v>
      </c>
      <c r="D868" s="56">
        <v>2.4664176305305326E-2</v>
      </c>
      <c r="E868" s="224">
        <v>2229.75</v>
      </c>
      <c r="F868" s="515" t="s">
        <v>2665</v>
      </c>
      <c r="G868" s="52">
        <v>341591.00550870597</v>
      </c>
      <c r="H868" s="56">
        <v>2.0173148680644466E-2</v>
      </c>
      <c r="I868" s="224">
        <v>1372.12339743589</v>
      </c>
    </row>
    <row r="869" spans="1:9" x14ac:dyDescent="0.25">
      <c r="A869" s="515">
        <v>33578</v>
      </c>
      <c r="B869" s="515" t="s">
        <v>461</v>
      </c>
      <c r="C869" s="52">
        <v>349806.849949378</v>
      </c>
      <c r="D869" s="56">
        <v>9.4378356062361002E-2</v>
      </c>
      <c r="E869" s="224">
        <v>2050.2386425834702</v>
      </c>
      <c r="F869" s="515" t="s">
        <v>2666</v>
      </c>
      <c r="G869" s="52">
        <v>151624.978829225</v>
      </c>
      <c r="H869" s="56">
        <v>5.6998772794311765E-2</v>
      </c>
      <c r="I869" s="224">
        <v>1300.4166666666599</v>
      </c>
    </row>
    <row r="870" spans="1:9" x14ac:dyDescent="0.25">
      <c r="A870" s="515">
        <v>95124</v>
      </c>
      <c r="B870" s="515" t="s">
        <v>850</v>
      </c>
      <c r="C870" s="52">
        <v>1591565.4953274201</v>
      </c>
      <c r="D870" s="56">
        <v>8.4226541453833695E-2</v>
      </c>
      <c r="E870" s="224">
        <v>3682.75</v>
      </c>
      <c r="F870" s="515" t="s">
        <v>2667</v>
      </c>
      <c r="G870" s="52">
        <v>447173.50733350299</v>
      </c>
      <c r="H870" s="56">
        <v>8.3564603502313733E-2</v>
      </c>
      <c r="I870" s="224">
        <v>2280.9013949013902</v>
      </c>
    </row>
    <row r="871" spans="1:9" x14ac:dyDescent="0.25">
      <c r="A871" s="515">
        <v>93036</v>
      </c>
      <c r="B871" s="515" t="s">
        <v>1021</v>
      </c>
      <c r="C871" s="52">
        <v>685147.45836634899</v>
      </c>
      <c r="D871" s="56">
        <v>1.549555161468213E-2</v>
      </c>
      <c r="E871" s="224">
        <v>2888.63756613756</v>
      </c>
      <c r="F871" s="515" t="s">
        <v>2668</v>
      </c>
      <c r="G871" s="52">
        <v>668575.80460179097</v>
      </c>
      <c r="H871" s="56">
        <v>1.9594832734650614E-2</v>
      </c>
      <c r="I871" s="224">
        <v>1815.8260233918099</v>
      </c>
    </row>
    <row r="872" spans="1:9" x14ac:dyDescent="0.25">
      <c r="A872" s="515">
        <v>91767</v>
      </c>
      <c r="B872" s="515" t="s">
        <v>375</v>
      </c>
      <c r="C872" s="52">
        <v>590900.94072506204</v>
      </c>
      <c r="D872" s="56">
        <v>4.085902715614146E-2</v>
      </c>
      <c r="E872" s="224">
        <v>2522.0833333333298</v>
      </c>
      <c r="F872" s="515" t="s">
        <v>2669</v>
      </c>
      <c r="G872" s="52">
        <v>362606.58940651402</v>
      </c>
      <c r="H872" s="56">
        <v>0.21869710550848873</v>
      </c>
      <c r="I872" s="224">
        <v>2142.7820910973001</v>
      </c>
    </row>
    <row r="873" spans="1:9" x14ac:dyDescent="0.25">
      <c r="A873" s="515">
        <v>84020</v>
      </c>
      <c r="B873" s="515" t="s">
        <v>617</v>
      </c>
      <c r="C873" s="52">
        <v>758867.91193923203</v>
      </c>
      <c r="D873" s="56">
        <v>2.2127893794078448E-2</v>
      </c>
      <c r="E873" s="224">
        <v>1688.68386243386</v>
      </c>
      <c r="F873" s="515" t="s">
        <v>2670</v>
      </c>
      <c r="G873" s="52">
        <v>260596.100753968</v>
      </c>
      <c r="H873" s="56">
        <v>8.7437963708167948E-2</v>
      </c>
      <c r="I873" s="224">
        <v>1575.55</v>
      </c>
    </row>
    <row r="874" spans="1:9" x14ac:dyDescent="0.25">
      <c r="A874" s="515">
        <v>92234</v>
      </c>
      <c r="B874" s="515" t="s">
        <v>599</v>
      </c>
      <c r="C874" s="52">
        <v>468189.96327292098</v>
      </c>
      <c r="D874" s="56">
        <v>6.0003170032179518E-2</v>
      </c>
      <c r="E874" s="224">
        <v>2575.6944444444398</v>
      </c>
      <c r="F874" s="515" t="s">
        <v>2671</v>
      </c>
      <c r="G874" s="52">
        <v>270546.13094700198</v>
      </c>
      <c r="H874" s="56">
        <v>7.5894349044294832E-2</v>
      </c>
      <c r="I874" s="224">
        <v>1520.23677248677</v>
      </c>
    </row>
    <row r="875" spans="1:9" x14ac:dyDescent="0.25">
      <c r="A875" s="515">
        <v>1844</v>
      </c>
      <c r="B875" s="515" t="s">
        <v>534</v>
      </c>
      <c r="C875" s="52">
        <v>494764.79039261001</v>
      </c>
      <c r="D875" s="56">
        <v>6.0874594902600325E-2</v>
      </c>
      <c r="E875" s="224" t="s">
        <v>2</v>
      </c>
      <c r="F875" s="515" t="s">
        <v>2672</v>
      </c>
      <c r="G875" s="52">
        <v>168611.89495064999</v>
      </c>
      <c r="H875" s="56">
        <v>6.8446253370001278E-2</v>
      </c>
      <c r="I875" s="224">
        <v>1355.55555555555</v>
      </c>
    </row>
    <row r="876" spans="1:9" x14ac:dyDescent="0.25">
      <c r="A876" s="515">
        <v>90703</v>
      </c>
      <c r="B876" s="515" t="s">
        <v>375</v>
      </c>
      <c r="C876" s="52">
        <v>947784.32710478595</v>
      </c>
      <c r="D876" s="56">
        <v>5.3467071245359717E-2</v>
      </c>
      <c r="E876" s="224">
        <v>3210.0444444444402</v>
      </c>
      <c r="F876" s="515" t="s">
        <v>1080</v>
      </c>
      <c r="G876" s="52">
        <v>266944.78410548199</v>
      </c>
      <c r="H876" s="56">
        <v>7.7245528978628032E-3</v>
      </c>
      <c r="I876" s="224">
        <v>1605.9583333333301</v>
      </c>
    </row>
    <row r="877" spans="1:9" x14ac:dyDescent="0.25">
      <c r="A877" s="515">
        <v>95351</v>
      </c>
      <c r="B877" s="515" t="s">
        <v>797</v>
      </c>
      <c r="C877" s="52">
        <v>338657.46924196603</v>
      </c>
      <c r="D877" s="56">
        <v>5.0851863150414907E-2</v>
      </c>
      <c r="E877" s="224" t="s">
        <v>2</v>
      </c>
      <c r="F877" s="515" t="s">
        <v>2673</v>
      </c>
      <c r="G877" s="52">
        <v>286696.46449209203</v>
      </c>
      <c r="H877" s="56">
        <v>0.10191525613420903</v>
      </c>
      <c r="I877" s="224">
        <v>2117.75925925925</v>
      </c>
    </row>
    <row r="878" spans="1:9" x14ac:dyDescent="0.25">
      <c r="A878" s="515">
        <v>60126</v>
      </c>
      <c r="B878" s="515" t="s">
        <v>394</v>
      </c>
      <c r="C878" s="52">
        <v>467465.914631191</v>
      </c>
      <c r="D878" s="56">
        <v>3.2999426871756776E-2</v>
      </c>
      <c r="E878" s="224">
        <v>2209.2277777777699</v>
      </c>
      <c r="F878" s="515" t="s">
        <v>1007</v>
      </c>
      <c r="G878" s="52">
        <v>189937.614927719</v>
      </c>
      <c r="H878" s="56">
        <v>6.7475958606476316E-2</v>
      </c>
      <c r="I878" s="224">
        <v>1131.05555555555</v>
      </c>
    </row>
    <row r="879" spans="1:9" x14ac:dyDescent="0.25">
      <c r="A879" s="515">
        <v>30236</v>
      </c>
      <c r="B879" s="515" t="s">
        <v>957</v>
      </c>
      <c r="C879" s="52">
        <v>264666.31873858802</v>
      </c>
      <c r="D879" s="56">
        <v>0.12617551202153873</v>
      </c>
      <c r="E879" s="224">
        <v>1853.0238095238001</v>
      </c>
      <c r="F879" s="515" t="s">
        <v>2674</v>
      </c>
      <c r="G879" s="52">
        <v>207525.22371622</v>
      </c>
      <c r="H879" s="56">
        <v>5.90633032014184E-2</v>
      </c>
      <c r="I879" s="224">
        <v>1226.5357142857099</v>
      </c>
    </row>
    <row r="880" spans="1:9" x14ac:dyDescent="0.25">
      <c r="A880" s="515">
        <v>98092</v>
      </c>
      <c r="B880" s="515" t="s">
        <v>384</v>
      </c>
      <c r="C880" s="52">
        <v>625413.68359519797</v>
      </c>
      <c r="D880" s="56">
        <v>2.2149785060749973E-2</v>
      </c>
      <c r="E880" s="224">
        <v>1978.09478021978</v>
      </c>
      <c r="F880" s="515" t="s">
        <v>1278</v>
      </c>
      <c r="G880" s="52">
        <v>224944.96537848399</v>
      </c>
      <c r="H880" s="56">
        <v>5.2047817185749939E-2</v>
      </c>
      <c r="I880" s="224">
        <v>967.5</v>
      </c>
    </row>
    <row r="881" spans="1:9" x14ac:dyDescent="0.25">
      <c r="A881" s="515">
        <v>92879</v>
      </c>
      <c r="B881" s="515" t="s">
        <v>599</v>
      </c>
      <c r="C881" s="52">
        <v>623200.72643897205</v>
      </c>
      <c r="D881" s="56">
        <v>5.62867976593973E-2</v>
      </c>
      <c r="E881" s="224">
        <v>2579.9047619047601</v>
      </c>
      <c r="F881" s="515" t="s">
        <v>2675</v>
      </c>
      <c r="G881" s="52">
        <v>287388.67569129902</v>
      </c>
      <c r="H881" s="56">
        <v>0.13294694249140632</v>
      </c>
      <c r="I881" s="224">
        <v>1732.69261559696</v>
      </c>
    </row>
    <row r="882" spans="1:9" x14ac:dyDescent="0.25">
      <c r="A882" s="515">
        <v>44130</v>
      </c>
      <c r="B882" s="515" t="s">
        <v>520</v>
      </c>
      <c r="C882" s="52">
        <v>191696.81129314899</v>
      </c>
      <c r="D882" s="56">
        <v>7.2505273402266632E-2</v>
      </c>
      <c r="E882" s="224">
        <v>1392.5</v>
      </c>
      <c r="F882" s="515" t="s">
        <v>2676</v>
      </c>
      <c r="G882" s="52">
        <v>326080.14712272398</v>
      </c>
      <c r="H882" s="56">
        <v>7.7906967222415816E-2</v>
      </c>
      <c r="I882" s="224">
        <v>1691.25</v>
      </c>
    </row>
    <row r="883" spans="1:9" x14ac:dyDescent="0.25">
      <c r="A883" s="515">
        <v>84065</v>
      </c>
      <c r="B883" s="515" t="s">
        <v>617</v>
      </c>
      <c r="C883" s="52">
        <v>613782.21106999996</v>
      </c>
      <c r="D883" s="56">
        <v>2.0056861617609559E-2</v>
      </c>
      <c r="E883" s="224">
        <v>1755.37698412698</v>
      </c>
      <c r="F883" s="515" t="s">
        <v>2677</v>
      </c>
      <c r="G883" s="52">
        <v>520873.61519674101</v>
      </c>
      <c r="H883" s="56">
        <v>9.6486398424550333E-3</v>
      </c>
      <c r="I883" s="224">
        <v>1922.2095238095201</v>
      </c>
    </row>
    <row r="884" spans="1:9" x14ac:dyDescent="0.25">
      <c r="A884" s="515">
        <v>23112</v>
      </c>
      <c r="B884" s="515" t="s">
        <v>667</v>
      </c>
      <c r="C884" s="52">
        <v>371314.70558087999</v>
      </c>
      <c r="D884" s="56">
        <v>5.8653787001565358E-2</v>
      </c>
      <c r="E884" s="224">
        <v>1665.18888888888</v>
      </c>
      <c r="F884" s="515" t="s">
        <v>2678</v>
      </c>
      <c r="G884" s="52">
        <v>564944.59339908801</v>
      </c>
      <c r="H884" s="56">
        <v>4.7032860234823878E-2</v>
      </c>
      <c r="I884" s="224">
        <v>2461.4555555555498</v>
      </c>
    </row>
    <row r="885" spans="1:9" x14ac:dyDescent="0.25">
      <c r="A885" s="515">
        <v>19140</v>
      </c>
      <c r="B885" s="515" t="s">
        <v>294</v>
      </c>
      <c r="C885" s="52">
        <v>81895.767694938797</v>
      </c>
      <c r="D885" s="56">
        <v>0.31617722380999558</v>
      </c>
      <c r="E885" s="224">
        <v>1114.5317460317401</v>
      </c>
      <c r="F885" s="515" t="s">
        <v>2679</v>
      </c>
      <c r="G885" s="52">
        <v>584521.95961251401</v>
      </c>
      <c r="H885" s="56">
        <v>2.5482508055591806E-2</v>
      </c>
      <c r="I885" s="224">
        <v>1937.3664224664201</v>
      </c>
    </row>
    <row r="886" spans="1:9" x14ac:dyDescent="0.25">
      <c r="A886" s="515">
        <v>94014</v>
      </c>
      <c r="B886" s="515" t="s">
        <v>593</v>
      </c>
      <c r="C886" s="52">
        <v>1016449.99269604</v>
      </c>
      <c r="D886" s="56">
        <v>-2.2213977136223376E-2</v>
      </c>
      <c r="E886" s="224">
        <v>3223.9555555555498</v>
      </c>
      <c r="F886" s="515" t="s">
        <v>2680</v>
      </c>
      <c r="G886" s="52">
        <v>600215.32004221505</v>
      </c>
      <c r="H886" s="56">
        <v>9.2225696110117647E-2</v>
      </c>
      <c r="I886" s="224">
        <v>2346.8333333333298</v>
      </c>
    </row>
    <row r="887" spans="1:9" x14ac:dyDescent="0.25">
      <c r="A887" s="515">
        <v>93117</v>
      </c>
      <c r="B887" s="515" t="s">
        <v>847</v>
      </c>
      <c r="C887" s="52">
        <v>1166924.6572060799</v>
      </c>
      <c r="D887" s="56">
        <v>9.5480150840070555E-2</v>
      </c>
      <c r="E887" s="224">
        <v>5159</v>
      </c>
      <c r="F887" s="515" t="s">
        <v>2681</v>
      </c>
      <c r="G887" s="52">
        <v>1762145.67703784</v>
      </c>
      <c r="H887" s="56">
        <v>9.2492912801624388E-2</v>
      </c>
      <c r="I887" s="224">
        <v>4087.6010101010102</v>
      </c>
    </row>
    <row r="888" spans="1:9" x14ac:dyDescent="0.25">
      <c r="A888" s="515">
        <v>2780</v>
      </c>
      <c r="B888" s="515" t="s">
        <v>513</v>
      </c>
      <c r="C888" s="52">
        <v>427221.06891862198</v>
      </c>
      <c r="D888" s="56">
        <v>8.9661856355546507E-2</v>
      </c>
      <c r="E888" s="224">
        <v>1681.25</v>
      </c>
      <c r="F888" s="515" t="s">
        <v>2682</v>
      </c>
      <c r="G888" s="52">
        <v>451491.49038707401</v>
      </c>
      <c r="H888" s="56">
        <v>1.7943602993178417E-2</v>
      </c>
      <c r="I888" s="224">
        <v>1649.6666666666599</v>
      </c>
    </row>
    <row r="889" spans="1:9" x14ac:dyDescent="0.25">
      <c r="A889" s="515">
        <v>98208</v>
      </c>
      <c r="B889" s="515" t="s">
        <v>384</v>
      </c>
      <c r="C889" s="52">
        <v>685977.03578931396</v>
      </c>
      <c r="D889" s="56">
        <v>4.1805714575212607E-2</v>
      </c>
      <c r="E889" s="224">
        <v>1925.7833462833401</v>
      </c>
      <c r="F889" s="515" t="s">
        <v>299</v>
      </c>
      <c r="G889" s="52">
        <v>119502.888205191</v>
      </c>
      <c r="H889" s="56">
        <v>0.11475179178016474</v>
      </c>
      <c r="I889" s="224" t="s">
        <v>2</v>
      </c>
    </row>
    <row r="890" spans="1:9" x14ac:dyDescent="0.25">
      <c r="A890" s="515">
        <v>33016</v>
      </c>
      <c r="B890" s="515" t="s">
        <v>831</v>
      </c>
      <c r="C890" s="52">
        <v>293574.88639909797</v>
      </c>
      <c r="D890" s="56">
        <v>0.19120858878285912</v>
      </c>
      <c r="E890" s="224">
        <v>2577.0833333333298</v>
      </c>
      <c r="F890" s="515" t="s">
        <v>1108</v>
      </c>
      <c r="G890" s="52">
        <v>216809.536161636</v>
      </c>
      <c r="H890" s="56">
        <v>0.14990892106444575</v>
      </c>
      <c r="I890" s="224">
        <v>1076.3425925925901</v>
      </c>
    </row>
    <row r="891" spans="1:9" x14ac:dyDescent="0.25">
      <c r="A891" s="515">
        <v>7105</v>
      </c>
      <c r="B891" s="515" t="s">
        <v>324</v>
      </c>
      <c r="C891" s="52">
        <v>493650.56306727801</v>
      </c>
      <c r="D891" s="56">
        <v>6.7353783236675638E-2</v>
      </c>
      <c r="E891" s="224">
        <v>2300</v>
      </c>
      <c r="F891" s="515" t="s">
        <v>2683</v>
      </c>
      <c r="G891" s="52">
        <v>256294.75826880001</v>
      </c>
      <c r="H891" s="56">
        <v>0.12292006550317852</v>
      </c>
      <c r="I891" s="224">
        <v>1284.25</v>
      </c>
    </row>
    <row r="892" spans="1:9" x14ac:dyDescent="0.25">
      <c r="A892" s="515">
        <v>63123</v>
      </c>
      <c r="B892" s="515" t="s">
        <v>498</v>
      </c>
      <c r="C892" s="52">
        <v>212422.080961236</v>
      </c>
      <c r="D892" s="56">
        <v>8.7362650134425984E-2</v>
      </c>
      <c r="E892" s="224">
        <v>1257</v>
      </c>
      <c r="F892" s="515" t="s">
        <v>1086</v>
      </c>
      <c r="G892" s="52">
        <v>120773.763051139</v>
      </c>
      <c r="H892" s="56">
        <v>1.816041888764534E-2</v>
      </c>
      <c r="I892" s="224" t="s">
        <v>2</v>
      </c>
    </row>
    <row r="893" spans="1:9" x14ac:dyDescent="0.25">
      <c r="A893" s="515">
        <v>14094</v>
      </c>
      <c r="B893" s="515" t="s">
        <v>336</v>
      </c>
      <c r="C893" s="52">
        <v>213820.71832500599</v>
      </c>
      <c r="D893" s="56">
        <v>8.7901331525992346E-2</v>
      </c>
      <c r="E893" s="224">
        <v>969.444444444444</v>
      </c>
      <c r="F893" s="515" t="s">
        <v>2684</v>
      </c>
      <c r="G893" s="52">
        <v>367689.05761241302</v>
      </c>
      <c r="H893" s="56">
        <v>8.9594623006648458E-2</v>
      </c>
      <c r="I893" s="224">
        <v>2205.56397306397</v>
      </c>
    </row>
    <row r="894" spans="1:9" x14ac:dyDescent="0.25">
      <c r="A894" s="515">
        <v>77406</v>
      </c>
      <c r="B894" s="515" t="s">
        <v>314</v>
      </c>
      <c r="C894" s="52">
        <v>412660.27324806101</v>
      </c>
      <c r="D894" s="56">
        <v>7.9496394953492339E-2</v>
      </c>
      <c r="E894" s="224">
        <v>1903.0364626413</v>
      </c>
      <c r="F894" s="515" t="s">
        <v>2685</v>
      </c>
      <c r="G894" s="52">
        <v>259623.90268345701</v>
      </c>
      <c r="H894" s="56">
        <v>0.11201338667176178</v>
      </c>
      <c r="I894" s="224">
        <v>1262.32142857142</v>
      </c>
    </row>
    <row r="895" spans="1:9" x14ac:dyDescent="0.25">
      <c r="A895" s="515">
        <v>48187</v>
      </c>
      <c r="B895" s="515" t="s">
        <v>685</v>
      </c>
      <c r="C895" s="52">
        <v>336615.70352019399</v>
      </c>
      <c r="D895" s="56">
        <v>3.7441655260151668E-2</v>
      </c>
      <c r="E895" s="224">
        <v>1583.0333333333299</v>
      </c>
      <c r="F895" s="515" t="s">
        <v>2686</v>
      </c>
      <c r="G895" s="52">
        <v>728562.77912555402</v>
      </c>
      <c r="H895" s="56">
        <v>9.7060853751534226E-2</v>
      </c>
      <c r="I895" s="224">
        <v>3532.7777777777701</v>
      </c>
    </row>
    <row r="896" spans="1:9" x14ac:dyDescent="0.25">
      <c r="A896" s="515">
        <v>99336</v>
      </c>
      <c r="B896" s="515" t="s">
        <v>1068</v>
      </c>
      <c r="C896" s="52">
        <v>336181.49816549598</v>
      </c>
      <c r="D896" s="56">
        <v>6.7455849576131641E-2</v>
      </c>
      <c r="E896" s="224">
        <v>1546.5833333333301</v>
      </c>
      <c r="F896" s="515" t="s">
        <v>2687</v>
      </c>
      <c r="G896" s="52">
        <v>743593.67663127999</v>
      </c>
      <c r="H896" s="56">
        <v>4.9961336674420681E-2</v>
      </c>
      <c r="I896" s="224">
        <v>2853.88333333333</v>
      </c>
    </row>
    <row r="897" spans="1:9" x14ac:dyDescent="0.25">
      <c r="A897" s="515">
        <v>36695</v>
      </c>
      <c r="B897" s="515" t="s">
        <v>815</v>
      </c>
      <c r="C897" s="52">
        <v>256243.24642613801</v>
      </c>
      <c r="D897" s="56">
        <v>5.8176859167047124E-2</v>
      </c>
      <c r="E897" s="224">
        <v>1205.43333333333</v>
      </c>
      <c r="F897" s="515" t="s">
        <v>2688</v>
      </c>
      <c r="G897" s="52">
        <v>225007.68615529401</v>
      </c>
      <c r="H897" s="56">
        <v>0.12290590847487066</v>
      </c>
      <c r="I897" s="224">
        <v>1767.10501089324</v>
      </c>
    </row>
    <row r="898" spans="1:9" x14ac:dyDescent="0.25">
      <c r="A898" s="515">
        <v>77081</v>
      </c>
      <c r="B898" s="515" t="s">
        <v>314</v>
      </c>
      <c r="C898" s="52">
        <v>238875.91559256701</v>
      </c>
      <c r="D898" s="56">
        <v>5.410921493138017E-2</v>
      </c>
      <c r="E898" s="224">
        <v>1177.4814814814799</v>
      </c>
      <c r="F898" s="515" t="s">
        <v>2689</v>
      </c>
      <c r="G898" s="52">
        <v>336040.68073241098</v>
      </c>
      <c r="H898" s="56">
        <v>6.2037722032180519E-2</v>
      </c>
      <c r="I898" s="224">
        <v>1821.6666666666599</v>
      </c>
    </row>
    <row r="899" spans="1:9" x14ac:dyDescent="0.25">
      <c r="A899" s="515">
        <v>27407</v>
      </c>
      <c r="B899" s="515" t="s">
        <v>1148</v>
      </c>
      <c r="C899" s="52">
        <v>212666.04221377999</v>
      </c>
      <c r="D899" s="56">
        <v>0.12770706428237269</v>
      </c>
      <c r="E899" s="224">
        <v>1279.7696007695999</v>
      </c>
      <c r="F899" s="515" t="s">
        <v>2690</v>
      </c>
      <c r="G899" s="52">
        <v>837892.01827187103</v>
      </c>
      <c r="H899" s="56">
        <v>6.5367072454681985E-2</v>
      </c>
      <c r="I899" s="224">
        <v>2743.6944444444398</v>
      </c>
    </row>
    <row r="900" spans="1:9" x14ac:dyDescent="0.25">
      <c r="A900" s="515">
        <v>30032</v>
      </c>
      <c r="B900" s="515" t="s">
        <v>957</v>
      </c>
      <c r="C900" s="52">
        <v>264934.20919633802</v>
      </c>
      <c r="D900" s="56">
        <v>0.13001592322562336</v>
      </c>
      <c r="E900" s="224">
        <v>1777.2994652406401</v>
      </c>
      <c r="F900" s="515" t="s">
        <v>2691</v>
      </c>
      <c r="G900" s="52">
        <v>207153.02064487501</v>
      </c>
      <c r="H900" s="56">
        <v>7.9254553470571948E-2</v>
      </c>
      <c r="I900" s="224">
        <v>1133.9166666666599</v>
      </c>
    </row>
    <row r="901" spans="1:9" x14ac:dyDescent="0.25">
      <c r="A901" s="515">
        <v>76542</v>
      </c>
      <c r="B901" s="515" t="s">
        <v>859</v>
      </c>
      <c r="C901" s="52">
        <v>253741.09351811299</v>
      </c>
      <c r="D901" s="56">
        <v>8.7014463231254807E-2</v>
      </c>
      <c r="E901" s="224">
        <v>1426.2621692033399</v>
      </c>
      <c r="F901" s="515" t="s">
        <v>2692</v>
      </c>
      <c r="G901" s="52">
        <v>110799.50681293799</v>
      </c>
      <c r="H901" s="56">
        <v>0.1014563334897513</v>
      </c>
      <c r="I901" s="224">
        <v>1224.7619047619</v>
      </c>
    </row>
    <row r="902" spans="1:9" x14ac:dyDescent="0.25">
      <c r="A902" s="515">
        <v>28601</v>
      </c>
      <c r="B902" s="515" t="s">
        <v>638</v>
      </c>
      <c r="C902" s="52">
        <v>265908.75553289801</v>
      </c>
      <c r="D902" s="56">
        <v>0.13058582380431774</v>
      </c>
      <c r="E902" s="224">
        <v>1450</v>
      </c>
      <c r="F902" s="515" t="s">
        <v>2693</v>
      </c>
      <c r="G902" s="52">
        <v>410607.93874533102</v>
      </c>
      <c r="H902" s="56">
        <v>9.7036088047881233E-2</v>
      </c>
      <c r="I902" s="224">
        <v>2137.1888401559399</v>
      </c>
    </row>
    <row r="903" spans="1:9" x14ac:dyDescent="0.25">
      <c r="A903" s="515">
        <v>84119</v>
      </c>
      <c r="B903" s="515" t="s">
        <v>617</v>
      </c>
      <c r="C903" s="52">
        <v>401704.761594276</v>
      </c>
      <c r="D903" s="56">
        <v>3.998605068235369E-2</v>
      </c>
      <c r="E903" s="224">
        <v>1430.9648148148101</v>
      </c>
      <c r="F903" s="515" t="s">
        <v>2694</v>
      </c>
      <c r="G903" s="52">
        <v>652287.73102228204</v>
      </c>
      <c r="H903" s="56">
        <v>-1.0460854394295224E-2</v>
      </c>
      <c r="I903" s="224">
        <v>2608.27072927072</v>
      </c>
    </row>
    <row r="904" spans="1:9" x14ac:dyDescent="0.25">
      <c r="A904" s="515">
        <v>78704</v>
      </c>
      <c r="B904" s="515" t="s">
        <v>380</v>
      </c>
      <c r="C904" s="52">
        <v>901736.48568182799</v>
      </c>
      <c r="D904" s="56">
        <v>9.0361894510209845E-2</v>
      </c>
      <c r="E904" s="224">
        <v>2201.7249465919299</v>
      </c>
      <c r="F904" s="515" t="s">
        <v>2695</v>
      </c>
      <c r="G904" s="52">
        <v>719743.31062308198</v>
      </c>
      <c r="H904" s="56">
        <v>3.0565554850011341E-2</v>
      </c>
      <c r="I904" s="224">
        <v>2587.3333333333298</v>
      </c>
    </row>
    <row r="905" spans="1:9" x14ac:dyDescent="0.25">
      <c r="A905" s="515">
        <v>97702</v>
      </c>
      <c r="B905" s="515" t="s">
        <v>1190</v>
      </c>
      <c r="C905" s="52">
        <v>649125.39900215401</v>
      </c>
      <c r="D905" s="56">
        <v>3.3047772140375933E-3</v>
      </c>
      <c r="E905" s="224">
        <v>2156.3170163170098</v>
      </c>
      <c r="F905" s="515" t="s">
        <v>2696</v>
      </c>
      <c r="G905" s="52">
        <v>714420.15850103903</v>
      </c>
      <c r="H905" s="56">
        <v>6.1624807219244945E-2</v>
      </c>
      <c r="I905" s="224">
        <v>2251.0753968253898</v>
      </c>
    </row>
    <row r="906" spans="1:9" x14ac:dyDescent="0.25">
      <c r="A906" s="515">
        <v>19335</v>
      </c>
      <c r="B906" s="515" t="s">
        <v>294</v>
      </c>
      <c r="C906" s="52">
        <v>482086.68258524901</v>
      </c>
      <c r="D906" s="56">
        <v>8.1863409764493911E-2</v>
      </c>
      <c r="E906" s="224">
        <v>1953.9777777777699</v>
      </c>
      <c r="F906" s="515" t="s">
        <v>2697</v>
      </c>
      <c r="G906" s="52">
        <v>624497.46815545706</v>
      </c>
      <c r="H906" s="56">
        <v>3.887517560921231E-2</v>
      </c>
      <c r="I906" s="224">
        <v>2522.3166666666598</v>
      </c>
    </row>
    <row r="907" spans="1:9" x14ac:dyDescent="0.25">
      <c r="A907" s="515">
        <v>8081</v>
      </c>
      <c r="B907" s="515" t="s">
        <v>294</v>
      </c>
      <c r="C907" s="52">
        <v>301629.85347677098</v>
      </c>
      <c r="D907" s="56">
        <v>8.7968551024062744E-2</v>
      </c>
      <c r="E907" s="224" t="s">
        <v>2</v>
      </c>
      <c r="F907" s="515" t="s">
        <v>2698</v>
      </c>
      <c r="G907" s="52">
        <v>383850.162840189</v>
      </c>
      <c r="H907" s="56">
        <v>4.3931211664735265E-2</v>
      </c>
      <c r="I907" s="224">
        <v>2178.0833333333298</v>
      </c>
    </row>
    <row r="908" spans="1:9" x14ac:dyDescent="0.25">
      <c r="A908" s="515">
        <v>92656</v>
      </c>
      <c r="B908" s="515" t="s">
        <v>375</v>
      </c>
      <c r="C908" s="52">
        <v>844297.206350466</v>
      </c>
      <c r="D908" s="56">
        <v>5.7642721036897472E-2</v>
      </c>
      <c r="E908" s="224">
        <v>3039.8151416122</v>
      </c>
      <c r="F908" s="515" t="s">
        <v>2699</v>
      </c>
      <c r="G908" s="52">
        <v>354901.19772746903</v>
      </c>
      <c r="H908" s="56">
        <v>6.2940995847306169E-2</v>
      </c>
      <c r="I908" s="224">
        <v>1731.25</v>
      </c>
    </row>
    <row r="909" spans="1:9" x14ac:dyDescent="0.25">
      <c r="A909" s="515">
        <v>78233</v>
      </c>
      <c r="B909" s="515" t="s">
        <v>717</v>
      </c>
      <c r="C909" s="52">
        <v>239190.02416999501</v>
      </c>
      <c r="D909" s="56">
        <v>0.10172423080253178</v>
      </c>
      <c r="E909" s="224">
        <v>1453.44206670522</v>
      </c>
      <c r="F909" s="515" t="s">
        <v>1273</v>
      </c>
      <c r="G909" s="52">
        <v>164158.76865856099</v>
      </c>
      <c r="H909" s="56">
        <v>5.7429451769605011E-2</v>
      </c>
      <c r="I909" s="224">
        <v>1154.375</v>
      </c>
    </row>
    <row r="910" spans="1:9" x14ac:dyDescent="0.25">
      <c r="A910" s="515">
        <v>92069</v>
      </c>
      <c r="B910" s="515" t="s">
        <v>396</v>
      </c>
      <c r="C910" s="52">
        <v>792536.98160520603</v>
      </c>
      <c r="D910" s="56">
        <v>4.7727111665793999E-2</v>
      </c>
      <c r="E910" s="224">
        <v>3189.9142857142801</v>
      </c>
      <c r="F910" s="515" t="s">
        <v>2700</v>
      </c>
      <c r="G910" s="52">
        <v>1044460.30399028</v>
      </c>
      <c r="H910" s="56">
        <v>-2.4485559617334059E-2</v>
      </c>
      <c r="I910" s="224">
        <v>3928.3100625125999</v>
      </c>
    </row>
    <row r="911" spans="1:9" x14ac:dyDescent="0.25">
      <c r="A911" s="515">
        <v>32303</v>
      </c>
      <c r="B911" s="515" t="s">
        <v>335</v>
      </c>
      <c r="C911" s="52">
        <v>214344.80370231601</v>
      </c>
      <c r="D911" s="56">
        <v>9.9890164748924398E-2</v>
      </c>
      <c r="E911" s="224">
        <v>1345.9914529914499</v>
      </c>
      <c r="F911" s="515" t="s">
        <v>2701</v>
      </c>
      <c r="G911" s="52">
        <v>288869.18694936699</v>
      </c>
      <c r="H911" s="56">
        <v>2.6465157341402628E-2</v>
      </c>
      <c r="I911" s="224">
        <v>1909.4642857142801</v>
      </c>
    </row>
    <row r="912" spans="1:9" x14ac:dyDescent="0.25">
      <c r="A912" s="515">
        <v>43232</v>
      </c>
      <c r="B912" s="515" t="s">
        <v>345</v>
      </c>
      <c r="C912" s="52">
        <v>184807.221382836</v>
      </c>
      <c r="D912" s="56">
        <v>0.11900010723292866</v>
      </c>
      <c r="E912" s="224">
        <v>1385.0222222222201</v>
      </c>
      <c r="F912" s="515" t="s">
        <v>2702</v>
      </c>
      <c r="G912" s="52">
        <v>310391.04232915002</v>
      </c>
      <c r="H912" s="56">
        <v>0.14134134823674668</v>
      </c>
      <c r="I912" s="224">
        <v>2279.05702662453</v>
      </c>
    </row>
    <row r="913" spans="1:9" x14ac:dyDescent="0.25">
      <c r="A913" s="515">
        <v>78744</v>
      </c>
      <c r="B913" s="515" t="s">
        <v>380</v>
      </c>
      <c r="C913" s="52">
        <v>380105.31182792998</v>
      </c>
      <c r="D913" s="56">
        <v>2.6224528951280381E-2</v>
      </c>
      <c r="E913" s="224">
        <v>1791.12063492063</v>
      </c>
      <c r="F913" s="515" t="s">
        <v>2703</v>
      </c>
      <c r="G913" s="52">
        <v>171996.74912792101</v>
      </c>
      <c r="H913" s="56">
        <v>8.3547521482319323E-2</v>
      </c>
      <c r="I913" s="224">
        <v>1214.55555555555</v>
      </c>
    </row>
    <row r="914" spans="1:9" x14ac:dyDescent="0.25">
      <c r="A914" s="515">
        <v>78758</v>
      </c>
      <c r="B914" s="515" t="s">
        <v>380</v>
      </c>
      <c r="C914" s="52">
        <v>433922.541158284</v>
      </c>
      <c r="D914" s="56">
        <v>2.0039367099964126E-2</v>
      </c>
      <c r="E914" s="224">
        <v>1734.30157051731</v>
      </c>
      <c r="F914" s="515" t="s">
        <v>2704</v>
      </c>
      <c r="G914" s="52">
        <v>659169.00685499201</v>
      </c>
      <c r="H914" s="56">
        <v>4.4840461997725262E-2</v>
      </c>
      <c r="I914" s="224">
        <v>2035.25925925925</v>
      </c>
    </row>
    <row r="915" spans="1:9" x14ac:dyDescent="0.25">
      <c r="A915" s="515">
        <v>7104</v>
      </c>
      <c r="B915" s="515" t="s">
        <v>324</v>
      </c>
      <c r="C915" s="52">
        <v>404403.90217896999</v>
      </c>
      <c r="D915" s="56">
        <v>7.7697414502969492E-2</v>
      </c>
      <c r="E915" s="224">
        <v>1714.0166666666601</v>
      </c>
      <c r="F915" s="515" t="s">
        <v>2705</v>
      </c>
      <c r="G915" s="52">
        <v>326515.98908569</v>
      </c>
      <c r="H915" s="56">
        <v>9.2249680558740804E-2</v>
      </c>
      <c r="I915" s="224">
        <v>2005.1083333333299</v>
      </c>
    </row>
    <row r="916" spans="1:9" x14ac:dyDescent="0.25">
      <c r="A916" s="515">
        <v>80233</v>
      </c>
      <c r="B916" s="515" t="s">
        <v>401</v>
      </c>
      <c r="C916" s="52">
        <v>466555.932523978</v>
      </c>
      <c r="D916" s="56">
        <v>3.1807087102640727E-2</v>
      </c>
      <c r="E916" s="224">
        <v>1816.1417004048501</v>
      </c>
      <c r="F916" s="515" t="s">
        <v>2706</v>
      </c>
      <c r="G916" s="52">
        <v>574329.30882389599</v>
      </c>
      <c r="H916" s="56">
        <v>0.15393653000053084</v>
      </c>
      <c r="I916" s="224">
        <v>3345.8571428571399</v>
      </c>
    </row>
    <row r="917" spans="1:9" x14ac:dyDescent="0.25">
      <c r="A917" s="515">
        <v>27526</v>
      </c>
      <c r="B917" s="515" t="s">
        <v>484</v>
      </c>
      <c r="C917" s="52">
        <v>418332.50078657898</v>
      </c>
      <c r="D917" s="56">
        <v>7.9138734063652919E-2</v>
      </c>
      <c r="E917" s="224">
        <v>2058.63333333333</v>
      </c>
      <c r="F917" s="515" t="s">
        <v>2707</v>
      </c>
      <c r="G917" s="52">
        <v>337512.82524918101</v>
      </c>
      <c r="H917" s="56">
        <v>2.9897916938209323E-2</v>
      </c>
      <c r="I917" s="224">
        <v>2246.6666666666601</v>
      </c>
    </row>
    <row r="918" spans="1:9" x14ac:dyDescent="0.25">
      <c r="A918" s="515">
        <v>38305</v>
      </c>
      <c r="B918" s="515" t="s">
        <v>691</v>
      </c>
      <c r="C918" s="52">
        <v>244566.57772088799</v>
      </c>
      <c r="D918" s="56">
        <v>7.80918888150888E-2</v>
      </c>
      <c r="E918" s="224">
        <v>1640.2777777777701</v>
      </c>
      <c r="F918" s="515" t="s">
        <v>2708</v>
      </c>
      <c r="G918" s="52">
        <v>319606.74140952999</v>
      </c>
      <c r="H918" s="56">
        <v>8.3259579720268678E-2</v>
      </c>
      <c r="I918" s="224">
        <v>1824.0952380952299</v>
      </c>
    </row>
    <row r="919" spans="1:9" x14ac:dyDescent="0.25">
      <c r="A919" s="515">
        <v>67401</v>
      </c>
      <c r="B919" s="515" t="s">
        <v>715</v>
      </c>
      <c r="C919" s="52">
        <v>161149.84538525</v>
      </c>
      <c r="D919" s="56">
        <v>6.1270656475934049E-2</v>
      </c>
      <c r="E919" s="224">
        <v>834.27777777777703</v>
      </c>
      <c r="F919" s="515" t="s">
        <v>2709</v>
      </c>
      <c r="G919" s="52">
        <v>498198.84540742799</v>
      </c>
      <c r="H919" s="56">
        <v>5.0022382172478459E-2</v>
      </c>
      <c r="I919" s="224">
        <v>2342.7999999999902</v>
      </c>
    </row>
    <row r="920" spans="1:9" x14ac:dyDescent="0.25">
      <c r="A920" s="515">
        <v>23434</v>
      </c>
      <c r="B920" s="515" t="s">
        <v>301</v>
      </c>
      <c r="C920" s="52">
        <v>290611.37189052301</v>
      </c>
      <c r="D920" s="56">
        <v>8.4771221281872422E-2</v>
      </c>
      <c r="E920" s="224">
        <v>1535.6111111111099</v>
      </c>
      <c r="F920" s="515" t="s">
        <v>2710</v>
      </c>
      <c r="G920" s="52">
        <v>273429.53299378097</v>
      </c>
      <c r="H920" s="56">
        <v>0.10100803025720309</v>
      </c>
      <c r="I920" s="224">
        <v>1300.2222222222199</v>
      </c>
    </row>
    <row r="921" spans="1:9" x14ac:dyDescent="0.25">
      <c r="A921" s="515">
        <v>29073</v>
      </c>
      <c r="B921" s="515" t="s">
        <v>762</v>
      </c>
      <c r="C921" s="52">
        <v>228326.41485616501</v>
      </c>
      <c r="D921" s="56">
        <v>0.15607710185283807</v>
      </c>
      <c r="E921" s="224">
        <v>1718.1111111111099</v>
      </c>
      <c r="F921" s="515" t="s">
        <v>2711</v>
      </c>
      <c r="G921" s="52">
        <v>362662.89059909701</v>
      </c>
      <c r="H921" s="56">
        <v>1.904682150674343E-2</v>
      </c>
      <c r="I921" s="224">
        <v>1914.7489177489099</v>
      </c>
    </row>
    <row r="922" spans="1:9" x14ac:dyDescent="0.25">
      <c r="A922" s="515">
        <v>33021</v>
      </c>
      <c r="B922" s="515" t="s">
        <v>831</v>
      </c>
      <c r="C922" s="52">
        <v>425849.272841545</v>
      </c>
      <c r="D922" s="56">
        <v>0.15295179881796769</v>
      </c>
      <c r="E922" s="224">
        <v>2302.1530214424902</v>
      </c>
      <c r="F922" s="515" t="s">
        <v>969</v>
      </c>
      <c r="G922" s="52">
        <v>216348.62318519599</v>
      </c>
      <c r="H922" s="56">
        <v>4.5570009621601765E-2</v>
      </c>
      <c r="I922" s="224">
        <v>1283.125</v>
      </c>
    </row>
    <row r="923" spans="1:9" x14ac:dyDescent="0.25">
      <c r="A923" s="515">
        <v>60435</v>
      </c>
      <c r="B923" s="515" t="s">
        <v>394</v>
      </c>
      <c r="C923" s="52">
        <v>215442.64071755001</v>
      </c>
      <c r="D923" s="56">
        <v>5.9204601460170161E-2</v>
      </c>
      <c r="E923" s="224">
        <v>1337.6666666666599</v>
      </c>
      <c r="F923" s="515" t="s">
        <v>2712</v>
      </c>
      <c r="G923" s="52">
        <v>246048.766321548</v>
      </c>
      <c r="H923" s="56">
        <v>0.10440342525405431</v>
      </c>
      <c r="I923" s="224">
        <v>1354.3333333333301</v>
      </c>
    </row>
    <row r="924" spans="1:9" x14ac:dyDescent="0.25">
      <c r="A924" s="515">
        <v>29229</v>
      </c>
      <c r="B924" s="515" t="s">
        <v>762</v>
      </c>
      <c r="C924" s="52">
        <v>249034.32217466601</v>
      </c>
      <c r="D924" s="56">
        <v>0.11586314185220474</v>
      </c>
      <c r="E924" s="224">
        <v>1728.3511904761899</v>
      </c>
      <c r="F924" s="515" t="s">
        <v>2713</v>
      </c>
      <c r="G924" s="52">
        <v>492339.15268788801</v>
      </c>
      <c r="H924" s="56">
        <v>2.624132888360553E-2</v>
      </c>
      <c r="I924" s="224">
        <v>1897.99074074074</v>
      </c>
    </row>
    <row r="925" spans="1:9" x14ac:dyDescent="0.25">
      <c r="A925" s="515">
        <v>87507</v>
      </c>
      <c r="B925" s="515" t="s">
        <v>926</v>
      </c>
      <c r="C925" s="52">
        <v>397644.21013266302</v>
      </c>
      <c r="D925" s="56">
        <v>6.2728836666564411E-2</v>
      </c>
      <c r="E925" s="224">
        <v>1791.7222222222199</v>
      </c>
      <c r="F925" s="515" t="s">
        <v>2714</v>
      </c>
      <c r="G925" s="52">
        <v>317153.83724946802</v>
      </c>
      <c r="H925" s="56">
        <v>5.9822895103136903E-2</v>
      </c>
      <c r="I925" s="224">
        <v>1630</v>
      </c>
    </row>
    <row r="926" spans="1:9" x14ac:dyDescent="0.25">
      <c r="A926" s="515">
        <v>76116</v>
      </c>
      <c r="B926" s="515" t="s">
        <v>458</v>
      </c>
      <c r="C926" s="52">
        <v>288125.09862237802</v>
      </c>
      <c r="D926" s="56">
        <v>8.6833848264174132E-2</v>
      </c>
      <c r="E926" s="224">
        <v>1517.2619047619</v>
      </c>
      <c r="F926" s="515" t="s">
        <v>2715</v>
      </c>
      <c r="G926" s="52">
        <v>242128.15783327201</v>
      </c>
      <c r="H926" s="56">
        <v>8.4667494859466411E-2</v>
      </c>
      <c r="I926" s="224">
        <v>1584.44444444444</v>
      </c>
    </row>
    <row r="927" spans="1:9" x14ac:dyDescent="0.25">
      <c r="A927" s="515">
        <v>33810</v>
      </c>
      <c r="B927" s="515" t="s">
        <v>359</v>
      </c>
      <c r="C927" s="52">
        <v>318976.83849861502</v>
      </c>
      <c r="D927" s="56">
        <v>0.11143706464237452</v>
      </c>
      <c r="E927" s="224">
        <v>1974.7142857142801</v>
      </c>
      <c r="F927" s="515" t="s">
        <v>780</v>
      </c>
      <c r="G927" s="52">
        <v>189255.329390128</v>
      </c>
      <c r="H927" s="56">
        <v>0.20131098538070757</v>
      </c>
      <c r="I927" s="224">
        <v>1200</v>
      </c>
    </row>
    <row r="928" spans="1:9" x14ac:dyDescent="0.25">
      <c r="A928" s="515">
        <v>22304</v>
      </c>
      <c r="B928" s="515" t="s">
        <v>321</v>
      </c>
      <c r="C928" s="52">
        <v>407943.45156254497</v>
      </c>
      <c r="D928" s="56">
        <v>-3.8895011912400378E-3</v>
      </c>
      <c r="E928" s="224">
        <v>1837.11435272481</v>
      </c>
      <c r="F928" s="515" t="s">
        <v>2716</v>
      </c>
      <c r="G928" s="52">
        <v>394872.74944668298</v>
      </c>
      <c r="H928" s="56">
        <v>3.4640519199744126E-2</v>
      </c>
      <c r="I928" s="224">
        <v>1495.55555555555</v>
      </c>
    </row>
    <row r="929" spans="1:9" x14ac:dyDescent="0.25">
      <c r="A929" s="515">
        <v>98042</v>
      </c>
      <c r="B929" s="515" t="s">
        <v>384</v>
      </c>
      <c r="C929" s="52">
        <v>631756.20299940801</v>
      </c>
      <c r="D929" s="56">
        <v>2.5565771263713837E-2</v>
      </c>
      <c r="E929" s="224">
        <v>2515.7249999999999</v>
      </c>
      <c r="F929" s="515" t="s">
        <v>2717</v>
      </c>
      <c r="G929" s="52">
        <v>696698.68061242905</v>
      </c>
      <c r="H929" s="56">
        <v>3.6180792802627156E-2</v>
      </c>
      <c r="I929" s="224">
        <v>3028.9524307110501</v>
      </c>
    </row>
    <row r="930" spans="1:9" x14ac:dyDescent="0.25">
      <c r="A930" s="515">
        <v>44107</v>
      </c>
      <c r="B930" s="515" t="s">
        <v>520</v>
      </c>
      <c r="C930" s="52">
        <v>243926.56182743199</v>
      </c>
      <c r="D930" s="56">
        <v>5.3032847725254836E-2</v>
      </c>
      <c r="E930" s="224">
        <v>1262.3753501400499</v>
      </c>
      <c r="F930" s="515" t="s">
        <v>1276</v>
      </c>
      <c r="G930" s="52">
        <v>242568.84402735601</v>
      </c>
      <c r="H930" s="56">
        <v>6.3205158719446597E-2</v>
      </c>
      <c r="I930" s="224">
        <v>1189.1666666666599</v>
      </c>
    </row>
    <row r="931" spans="1:9" x14ac:dyDescent="0.25">
      <c r="A931" s="515">
        <v>21218</v>
      </c>
      <c r="B931" s="515" t="s">
        <v>582</v>
      </c>
      <c r="C931" s="52">
        <v>171211.29330300799</v>
      </c>
      <c r="D931" s="56">
        <v>4.2518276424739425E-2</v>
      </c>
      <c r="E931" s="224">
        <v>1460.2348856209101</v>
      </c>
      <c r="F931" s="515" t="s">
        <v>2718</v>
      </c>
      <c r="G931" s="52">
        <v>199390.93395814401</v>
      </c>
      <c r="H931" s="56">
        <v>4.6050808028828397E-2</v>
      </c>
      <c r="I931" s="224">
        <v>871.77380952380895</v>
      </c>
    </row>
    <row r="932" spans="1:9" x14ac:dyDescent="0.25">
      <c r="A932" s="515">
        <v>55303</v>
      </c>
      <c r="B932" s="515" t="s">
        <v>532</v>
      </c>
      <c r="C932" s="52">
        <v>340079.206413968</v>
      </c>
      <c r="D932" s="56">
        <v>3.7881920757932612E-2</v>
      </c>
      <c r="E932" s="224">
        <v>1639.30555555555</v>
      </c>
      <c r="F932" s="515" t="s">
        <v>2719</v>
      </c>
      <c r="G932" s="52">
        <v>457132.92259137798</v>
      </c>
      <c r="H932" s="56">
        <v>3.5472163948272767E-2</v>
      </c>
      <c r="I932" s="224">
        <v>2221.4078947368398</v>
      </c>
    </row>
    <row r="933" spans="1:9" x14ac:dyDescent="0.25">
      <c r="A933" s="515">
        <v>80538</v>
      </c>
      <c r="B933" s="515" t="s">
        <v>738</v>
      </c>
      <c r="C933" s="52">
        <v>488681.16758649802</v>
      </c>
      <c r="D933" s="56">
        <v>2.22725048035071E-2</v>
      </c>
      <c r="E933" s="224">
        <v>1987.5916666666601</v>
      </c>
      <c r="F933" s="515" t="s">
        <v>2720</v>
      </c>
      <c r="G933" s="52">
        <v>445287.59025926399</v>
      </c>
      <c r="H933" s="56">
        <v>2.263337022132967E-2</v>
      </c>
      <c r="I933" s="224">
        <v>2440.7195767195699</v>
      </c>
    </row>
    <row r="934" spans="1:9" x14ac:dyDescent="0.25">
      <c r="A934" s="515">
        <v>30080</v>
      </c>
      <c r="B934" s="515" t="s">
        <v>957</v>
      </c>
      <c r="C934" s="52">
        <v>422067.339686097</v>
      </c>
      <c r="D934" s="56">
        <v>7.0282554874973827E-2</v>
      </c>
      <c r="E934" s="224">
        <v>1811.1055555555499</v>
      </c>
      <c r="F934" s="515" t="s">
        <v>2721</v>
      </c>
      <c r="G934" s="52">
        <v>2493408.5120349401</v>
      </c>
      <c r="H934" s="56">
        <v>3.3663372486696791E-2</v>
      </c>
      <c r="I934" s="224">
        <v>3670.73934270064</v>
      </c>
    </row>
    <row r="935" spans="1:9" x14ac:dyDescent="0.25">
      <c r="A935" s="515">
        <v>98223</v>
      </c>
      <c r="B935" s="515" t="s">
        <v>384</v>
      </c>
      <c r="C935" s="52">
        <v>586476.47964944702</v>
      </c>
      <c r="D935" s="56">
        <v>3.4905856068527613E-2</v>
      </c>
      <c r="E935" s="224">
        <v>1874.55555555555</v>
      </c>
      <c r="F935" s="515" t="s">
        <v>2722</v>
      </c>
      <c r="G935" s="52">
        <v>280395.39507618401</v>
      </c>
      <c r="H935" s="56">
        <v>5.9014758620764343E-2</v>
      </c>
      <c r="I935" s="224">
        <v>1948</v>
      </c>
    </row>
    <row r="936" spans="1:9" x14ac:dyDescent="0.25">
      <c r="A936" s="515">
        <v>30907</v>
      </c>
      <c r="B936" s="515" t="s">
        <v>888</v>
      </c>
      <c r="C936" s="52">
        <v>235039.68985524899</v>
      </c>
      <c r="D936" s="56">
        <v>0.11099195131420952</v>
      </c>
      <c r="E936" s="224">
        <v>1412.39696969696</v>
      </c>
      <c r="F936" s="515" t="s">
        <v>2723</v>
      </c>
      <c r="G936" s="52">
        <v>480786.606737433</v>
      </c>
      <c r="H936" s="56">
        <v>0.12641208160409684</v>
      </c>
      <c r="I936" s="224">
        <v>2566.2205387205299</v>
      </c>
    </row>
    <row r="937" spans="1:9" x14ac:dyDescent="0.25">
      <c r="A937" s="515">
        <v>75072</v>
      </c>
      <c r="B937" s="515" t="s">
        <v>458</v>
      </c>
      <c r="C937" s="52">
        <v>513824.86697021901</v>
      </c>
      <c r="D937" s="56">
        <v>4.3637655593896554E-2</v>
      </c>
      <c r="E937" s="224">
        <v>2255.3619047619</v>
      </c>
      <c r="F937" s="515" t="s">
        <v>2724</v>
      </c>
      <c r="G937" s="52">
        <v>396623.34899332101</v>
      </c>
      <c r="H937" s="56">
        <v>4.2441438342460315E-2</v>
      </c>
      <c r="I937" s="224">
        <v>2105.6916666666598</v>
      </c>
    </row>
    <row r="938" spans="1:9" x14ac:dyDescent="0.25">
      <c r="A938" s="515">
        <v>18102</v>
      </c>
      <c r="B938" s="515" t="s">
        <v>327</v>
      </c>
      <c r="C938" s="52">
        <v>166811.50057090499</v>
      </c>
      <c r="D938" s="56">
        <v>0.12681927572000115</v>
      </c>
      <c r="E938" s="224">
        <v>1266.12962962962</v>
      </c>
      <c r="F938" s="515" t="s">
        <v>2725</v>
      </c>
      <c r="G938" s="52">
        <v>823700.059645475</v>
      </c>
      <c r="H938" s="56">
        <v>4.7327421401902901E-2</v>
      </c>
      <c r="I938" s="224">
        <v>2071.5761904761898</v>
      </c>
    </row>
    <row r="939" spans="1:9" x14ac:dyDescent="0.25">
      <c r="A939" s="515">
        <v>85339</v>
      </c>
      <c r="B939" s="515" t="s">
        <v>563</v>
      </c>
      <c r="C939" s="52">
        <v>417008.02908997203</v>
      </c>
      <c r="D939" s="56">
        <v>3.2360461637920793E-2</v>
      </c>
      <c r="E939" s="224">
        <v>2224.8194444444398</v>
      </c>
      <c r="F939" s="515" t="s">
        <v>2726</v>
      </c>
      <c r="G939" s="52">
        <v>241084.90815882699</v>
      </c>
      <c r="H939" s="56">
        <v>6.6431560649898427E-2</v>
      </c>
      <c r="I939" s="224" t="s">
        <v>2</v>
      </c>
    </row>
    <row r="940" spans="1:9" x14ac:dyDescent="0.25">
      <c r="A940" s="515">
        <v>27106</v>
      </c>
      <c r="B940" s="515" t="s">
        <v>735</v>
      </c>
      <c r="C940" s="52">
        <v>279832.80780486</v>
      </c>
      <c r="D940" s="56">
        <v>9.569352362266044E-2</v>
      </c>
      <c r="E940" s="224">
        <v>1233.6111111111099</v>
      </c>
      <c r="F940" s="515" t="s">
        <v>2727</v>
      </c>
      <c r="G940" s="52">
        <v>417590.84481623297</v>
      </c>
      <c r="H940" s="56">
        <v>0.13917001077152982</v>
      </c>
      <c r="I940" s="224">
        <v>1585.00555555555</v>
      </c>
    </row>
    <row r="941" spans="1:9" x14ac:dyDescent="0.25">
      <c r="A941" s="515">
        <v>29588</v>
      </c>
      <c r="B941" s="515" t="s">
        <v>703</v>
      </c>
      <c r="C941" s="52">
        <v>301519.233003348</v>
      </c>
      <c r="D941" s="56">
        <v>0.12951274175292418</v>
      </c>
      <c r="E941" s="224" t="s">
        <v>2</v>
      </c>
      <c r="F941" s="515" t="s">
        <v>2728</v>
      </c>
      <c r="G941" s="52">
        <v>198197.79654623399</v>
      </c>
      <c r="H941" s="56">
        <v>0.10793918108076074</v>
      </c>
      <c r="I941" s="224">
        <v>1381</v>
      </c>
    </row>
    <row r="942" spans="1:9" x14ac:dyDescent="0.25">
      <c r="A942" s="515">
        <v>90630</v>
      </c>
      <c r="B942" s="515" t="s">
        <v>375</v>
      </c>
      <c r="C942" s="52">
        <v>886635.41490631294</v>
      </c>
      <c r="D942" s="56">
        <v>6.6495791551050912E-2</v>
      </c>
      <c r="E942" s="224">
        <v>2755.88888888888</v>
      </c>
      <c r="F942" s="515" t="s">
        <v>2729</v>
      </c>
      <c r="G942" s="52">
        <v>258093.508885235</v>
      </c>
      <c r="H942" s="56">
        <v>0.35693078537805961</v>
      </c>
      <c r="I942" s="224">
        <v>1320.1607843137199</v>
      </c>
    </row>
    <row r="943" spans="1:9" x14ac:dyDescent="0.25">
      <c r="A943" s="515">
        <v>78665</v>
      </c>
      <c r="B943" s="515" t="s">
        <v>380</v>
      </c>
      <c r="C943" s="52">
        <v>454738.62794418802</v>
      </c>
      <c r="D943" s="56">
        <v>1.7870628638633437E-2</v>
      </c>
      <c r="E943" s="224">
        <v>1831.7191598524901</v>
      </c>
      <c r="F943" s="515" t="s">
        <v>1245</v>
      </c>
      <c r="G943" s="52">
        <v>245138.613789136</v>
      </c>
      <c r="H943" s="56">
        <v>1.7052834925600131E-2</v>
      </c>
      <c r="I943" s="224">
        <v>913.57142857142799</v>
      </c>
    </row>
    <row r="944" spans="1:9" x14ac:dyDescent="0.25">
      <c r="A944" s="515">
        <v>55304</v>
      </c>
      <c r="B944" s="515" t="s">
        <v>532</v>
      </c>
      <c r="C944" s="52">
        <v>414615.58173087699</v>
      </c>
      <c r="D944" s="56">
        <v>4.0227540999055164E-2</v>
      </c>
      <c r="E944" s="224" t="s">
        <v>2</v>
      </c>
      <c r="F944" s="515" t="s">
        <v>2730</v>
      </c>
      <c r="G944" s="52">
        <v>251513.80410383301</v>
      </c>
      <c r="H944" s="56">
        <v>9.7782417436146934E-2</v>
      </c>
      <c r="I944" s="224">
        <v>1563.3333333333301</v>
      </c>
    </row>
    <row r="945" spans="1:9" x14ac:dyDescent="0.25">
      <c r="A945" s="515">
        <v>92128</v>
      </c>
      <c r="B945" s="515" t="s">
        <v>396</v>
      </c>
      <c r="C945" s="52">
        <v>895673.16005148599</v>
      </c>
      <c r="D945" s="56">
        <v>3.5629710259642691E-2</v>
      </c>
      <c r="E945" s="224">
        <v>2919.6237373737299</v>
      </c>
      <c r="F945" s="515" t="s">
        <v>2731</v>
      </c>
      <c r="G945" s="52">
        <v>213826.23978542499</v>
      </c>
      <c r="H945" s="56">
        <v>9.8817568350330048E-3</v>
      </c>
      <c r="I945" s="224">
        <v>1591.6666666666599</v>
      </c>
    </row>
    <row r="946" spans="1:9" x14ac:dyDescent="0.25">
      <c r="A946" s="515">
        <v>98023</v>
      </c>
      <c r="B946" s="515" t="s">
        <v>384</v>
      </c>
      <c r="C946" s="52">
        <v>563151.68376243103</v>
      </c>
      <c r="D946" s="56">
        <v>2.0801142841686132E-2</v>
      </c>
      <c r="E946" s="224">
        <v>2034.8271367521299</v>
      </c>
      <c r="F946" s="515" t="s">
        <v>893</v>
      </c>
      <c r="G946" s="52">
        <v>209810.63430459</v>
      </c>
      <c r="H946" s="56">
        <v>0.1000177498551862</v>
      </c>
      <c r="I946" s="224">
        <v>1475</v>
      </c>
    </row>
    <row r="947" spans="1:9" x14ac:dyDescent="0.25">
      <c r="A947" s="515">
        <v>27107</v>
      </c>
      <c r="B947" s="515" t="s">
        <v>735</v>
      </c>
      <c r="C947" s="52">
        <v>207420.31419967799</v>
      </c>
      <c r="D947" s="56">
        <v>0.17286693084511348</v>
      </c>
      <c r="E947" s="224">
        <v>1552.7777777777701</v>
      </c>
      <c r="F947" s="515" t="s">
        <v>2732</v>
      </c>
      <c r="G947" s="52">
        <v>291828.00184966699</v>
      </c>
      <c r="H947" s="56">
        <v>9.2105423342588311E-2</v>
      </c>
      <c r="I947" s="224">
        <v>1658.1</v>
      </c>
    </row>
    <row r="948" spans="1:9" x14ac:dyDescent="0.25">
      <c r="A948" s="515">
        <v>34668</v>
      </c>
      <c r="B948" s="515" t="s">
        <v>461</v>
      </c>
      <c r="C948" s="52">
        <v>236186.85375874699</v>
      </c>
      <c r="D948" s="56">
        <v>0.13461597009807294</v>
      </c>
      <c r="E948" s="224">
        <v>1725.18518518518</v>
      </c>
      <c r="F948" s="515" t="s">
        <v>2733</v>
      </c>
      <c r="G948" s="52">
        <v>157473.94670825501</v>
      </c>
      <c r="H948" s="56">
        <v>7.4521023451895096E-2</v>
      </c>
      <c r="I948" s="224">
        <v>1046.7857142857099</v>
      </c>
    </row>
    <row r="949" spans="1:9" x14ac:dyDescent="0.25">
      <c r="A949" s="515">
        <v>92886</v>
      </c>
      <c r="B949" s="515" t="s">
        <v>375</v>
      </c>
      <c r="C949" s="52">
        <v>1130357.48406525</v>
      </c>
      <c r="D949" s="56">
        <v>6.3827165849892842E-2</v>
      </c>
      <c r="E949" s="224">
        <v>3707.1666666666601</v>
      </c>
      <c r="F949" s="515" t="s">
        <v>2734</v>
      </c>
      <c r="G949" s="52">
        <v>197713.48684874299</v>
      </c>
      <c r="H949" s="56">
        <v>0.10788786860549346</v>
      </c>
      <c r="I949" s="224">
        <v>1476.25219298245</v>
      </c>
    </row>
    <row r="950" spans="1:9" x14ac:dyDescent="0.25">
      <c r="A950" s="515">
        <v>93720</v>
      </c>
      <c r="B950" s="515" t="s">
        <v>541</v>
      </c>
      <c r="C950" s="52">
        <v>449290.11530206498</v>
      </c>
      <c r="D950" s="56">
        <v>3.596212148066557E-2</v>
      </c>
      <c r="E950" s="224">
        <v>1926.8944444444401</v>
      </c>
      <c r="F950" s="515" t="s">
        <v>2735</v>
      </c>
      <c r="G950" s="52">
        <v>309020.76606497401</v>
      </c>
      <c r="H950" s="56">
        <v>5.9425123824422145E-2</v>
      </c>
      <c r="I950" s="224">
        <v>1436.0185185185101</v>
      </c>
    </row>
    <row r="951" spans="1:9" x14ac:dyDescent="0.25">
      <c r="A951" s="515">
        <v>7003</v>
      </c>
      <c r="B951" s="515" t="s">
        <v>324</v>
      </c>
      <c r="C951" s="52">
        <v>465850.23661804397</v>
      </c>
      <c r="D951" s="56">
        <v>3.0258181294326742E-2</v>
      </c>
      <c r="E951" s="224">
        <v>2088.5238095238001</v>
      </c>
      <c r="F951" s="515" t="s">
        <v>750</v>
      </c>
      <c r="G951" s="52">
        <v>425612.629282312</v>
      </c>
      <c r="H951" s="56">
        <v>6.0051109731840129E-2</v>
      </c>
      <c r="I951" s="224">
        <v>1597.5</v>
      </c>
    </row>
    <row r="952" spans="1:9" x14ac:dyDescent="0.25">
      <c r="A952" s="515">
        <v>30019</v>
      </c>
      <c r="B952" s="515" t="s">
        <v>957</v>
      </c>
      <c r="C952" s="52">
        <v>434327.99365618097</v>
      </c>
      <c r="D952" s="56">
        <v>7.7996390265364993E-2</v>
      </c>
      <c r="E952" s="224">
        <v>2240.51111111111</v>
      </c>
      <c r="F952" s="515" t="s">
        <v>1030</v>
      </c>
      <c r="G952" s="52">
        <v>406248.161629076</v>
      </c>
      <c r="H952" s="56">
        <v>0.13360471580916883</v>
      </c>
      <c r="I952" s="224">
        <v>2898.9027777777701</v>
      </c>
    </row>
    <row r="953" spans="1:9" x14ac:dyDescent="0.25">
      <c r="A953" s="515">
        <v>21228</v>
      </c>
      <c r="B953" s="515" t="s">
        <v>582</v>
      </c>
      <c r="C953" s="52">
        <v>371923.41164472298</v>
      </c>
      <c r="D953" s="56">
        <v>3.9477385219245008E-2</v>
      </c>
      <c r="E953" s="224">
        <v>1775.7185185185101</v>
      </c>
      <c r="F953" s="515" t="s">
        <v>437</v>
      </c>
      <c r="G953" s="52">
        <v>164194.982659684</v>
      </c>
      <c r="H953" s="56">
        <v>5.7122338620624713E-2</v>
      </c>
      <c r="I953" s="224" t="s">
        <v>2</v>
      </c>
    </row>
    <row r="954" spans="1:9" x14ac:dyDescent="0.25">
      <c r="A954" s="515">
        <v>77099</v>
      </c>
      <c r="B954" s="515" t="s">
        <v>314</v>
      </c>
      <c r="C954" s="52">
        <v>216661.783043587</v>
      </c>
      <c r="D954" s="56">
        <v>0.15237738692348365</v>
      </c>
      <c r="E954" s="224">
        <v>1204.5804093567201</v>
      </c>
      <c r="F954" s="515" t="s">
        <v>2736</v>
      </c>
      <c r="G954" s="52">
        <v>444411.76006933901</v>
      </c>
      <c r="H954" s="56">
        <v>4.5558759816666287E-2</v>
      </c>
      <c r="I954" s="224">
        <v>2492.4222222222202</v>
      </c>
    </row>
    <row r="955" spans="1:9" x14ac:dyDescent="0.25">
      <c r="A955" s="515">
        <v>75093</v>
      </c>
      <c r="B955" s="515" t="s">
        <v>458</v>
      </c>
      <c r="C955" s="52">
        <v>680222.29675358697</v>
      </c>
      <c r="D955" s="56">
        <v>7.4368638018796299E-2</v>
      </c>
      <c r="E955" s="224">
        <v>1816.80263157894</v>
      </c>
      <c r="F955" s="515" t="s">
        <v>901</v>
      </c>
      <c r="G955" s="52">
        <v>120915.200173897</v>
      </c>
      <c r="H955" s="56">
        <v>0.15811376457134443</v>
      </c>
      <c r="I955" s="224" t="s">
        <v>2</v>
      </c>
    </row>
    <row r="956" spans="1:9" x14ac:dyDescent="0.25">
      <c r="A956" s="515">
        <v>76133</v>
      </c>
      <c r="B956" s="515" t="s">
        <v>458</v>
      </c>
      <c r="C956" s="52">
        <v>267003.76410639402</v>
      </c>
      <c r="D956" s="56">
        <v>0.10805208441615111</v>
      </c>
      <c r="E956" s="224">
        <v>1927.375</v>
      </c>
      <c r="F956" s="515" t="s">
        <v>2737</v>
      </c>
      <c r="G956" s="52">
        <v>311188.11275685998</v>
      </c>
      <c r="H956" s="56">
        <v>0.11608221369818666</v>
      </c>
      <c r="I956" s="224">
        <v>2095.9100529100501</v>
      </c>
    </row>
    <row r="957" spans="1:9" x14ac:dyDescent="0.25">
      <c r="A957" s="515">
        <v>10011</v>
      </c>
      <c r="B957" s="515" t="s">
        <v>324</v>
      </c>
      <c r="C957" s="52">
        <v>1510559.3412778401</v>
      </c>
      <c r="D957" s="56">
        <v>2.8742188644105666E-2</v>
      </c>
      <c r="E957" s="224">
        <v>4602.8987994891404</v>
      </c>
      <c r="F957" s="515" t="s">
        <v>2738</v>
      </c>
      <c r="G957" s="52">
        <v>617620.29237097094</v>
      </c>
      <c r="H957" s="56">
        <v>6.267830784710918E-3</v>
      </c>
      <c r="I957" s="224">
        <v>2608.1666666666601</v>
      </c>
    </row>
    <row r="958" spans="1:9" x14ac:dyDescent="0.25">
      <c r="A958" s="515">
        <v>73013</v>
      </c>
      <c r="B958" s="515" t="s">
        <v>385</v>
      </c>
      <c r="C958" s="52">
        <v>298551.37305474898</v>
      </c>
      <c r="D958" s="56">
        <v>0.10169179110219161</v>
      </c>
      <c r="E958" s="224">
        <v>1707.6527777777701</v>
      </c>
      <c r="F958" s="515" t="s">
        <v>2739</v>
      </c>
      <c r="G958" s="52">
        <v>431507.942860179</v>
      </c>
      <c r="H958" s="56">
        <v>5.521357259462964E-2</v>
      </c>
      <c r="I958" s="224">
        <v>1736.1111111111099</v>
      </c>
    </row>
    <row r="959" spans="1:9" x14ac:dyDescent="0.25">
      <c r="A959" s="515">
        <v>27265</v>
      </c>
      <c r="B959" s="515" t="s">
        <v>1148</v>
      </c>
      <c r="C959" s="52">
        <v>265901.00020819501</v>
      </c>
      <c r="D959" s="56">
        <v>0.11676950157292559</v>
      </c>
      <c r="E959" s="224">
        <v>1847.98888888888</v>
      </c>
      <c r="F959" s="515" t="s">
        <v>1280</v>
      </c>
      <c r="G959" s="52">
        <v>330823.91675195901</v>
      </c>
      <c r="H959" s="56">
        <v>6.1161277807893356E-2</v>
      </c>
      <c r="I959" s="224">
        <v>1462.41379310344</v>
      </c>
    </row>
    <row r="960" spans="1:9" x14ac:dyDescent="0.25">
      <c r="A960" s="515">
        <v>84120</v>
      </c>
      <c r="B960" s="515" t="s">
        <v>617</v>
      </c>
      <c r="C960" s="52">
        <v>422810.22696266102</v>
      </c>
      <c r="D960" s="56">
        <v>2.4359617310276228E-2</v>
      </c>
      <c r="E960" s="224">
        <v>1792.7777777777701</v>
      </c>
      <c r="F960" s="515" t="s">
        <v>459</v>
      </c>
      <c r="G960" s="52">
        <v>520237.99975246098</v>
      </c>
      <c r="H960" s="56">
        <v>6.6837183619137999E-2</v>
      </c>
      <c r="I960" s="224" t="s">
        <v>2</v>
      </c>
    </row>
    <row r="961" spans="1:9" x14ac:dyDescent="0.25">
      <c r="A961" s="515">
        <v>93638</v>
      </c>
      <c r="B961" s="515" t="s">
        <v>681</v>
      </c>
      <c r="C961" s="52">
        <v>311868.56085371802</v>
      </c>
      <c r="D961" s="56">
        <v>7.4875368878352541E-2</v>
      </c>
      <c r="E961" s="224">
        <v>1435</v>
      </c>
      <c r="F961" s="515" t="s">
        <v>2740</v>
      </c>
      <c r="G961" s="52">
        <v>290559.126305165</v>
      </c>
      <c r="H961" s="56">
        <v>3.3068021360749163E-2</v>
      </c>
      <c r="I961" s="224">
        <v>1520.9344696969699</v>
      </c>
    </row>
    <row r="962" spans="1:9" x14ac:dyDescent="0.25">
      <c r="A962" s="515">
        <v>75062</v>
      </c>
      <c r="B962" s="515" t="s">
        <v>458</v>
      </c>
      <c r="C962" s="52">
        <v>290892.74988053099</v>
      </c>
      <c r="D962" s="56">
        <v>0.10371765860389112</v>
      </c>
      <c r="E962" s="224">
        <v>1541.2037037037001</v>
      </c>
      <c r="F962" s="515" t="s">
        <v>2741</v>
      </c>
      <c r="G962" s="52">
        <v>245780.73737477799</v>
      </c>
      <c r="H962" s="56">
        <v>2.9738849270039801E-2</v>
      </c>
      <c r="I962" s="224">
        <v>1589.5</v>
      </c>
    </row>
    <row r="963" spans="1:9" x14ac:dyDescent="0.25">
      <c r="A963" s="515">
        <v>78748</v>
      </c>
      <c r="B963" s="515" t="s">
        <v>380</v>
      </c>
      <c r="C963" s="52">
        <v>461547.93263361498</v>
      </c>
      <c r="D963" s="56">
        <v>2.5721637373061601E-2</v>
      </c>
      <c r="E963" s="224">
        <v>1665.57407407407</v>
      </c>
      <c r="F963" s="515" t="s">
        <v>2742</v>
      </c>
      <c r="G963" s="52">
        <v>445621.08944304002</v>
      </c>
      <c r="H963" s="56">
        <v>8.7548640555966617E-2</v>
      </c>
      <c r="I963" s="224">
        <v>1951.25</v>
      </c>
    </row>
    <row r="964" spans="1:9" x14ac:dyDescent="0.25">
      <c r="A964" s="515">
        <v>94577</v>
      </c>
      <c r="B964" s="515" t="s">
        <v>593</v>
      </c>
      <c r="C964" s="52">
        <v>811736.513467549</v>
      </c>
      <c r="D964" s="56">
        <v>-1.7758648725946753E-2</v>
      </c>
      <c r="E964" s="224">
        <v>2521.6666666666601</v>
      </c>
      <c r="F964" s="515" t="s">
        <v>2743</v>
      </c>
      <c r="G964" s="52">
        <v>343746.51029949001</v>
      </c>
      <c r="H964" s="56">
        <v>9.346791563314652E-2</v>
      </c>
      <c r="I964" s="224">
        <v>1788.32121212121</v>
      </c>
    </row>
    <row r="965" spans="1:9" x14ac:dyDescent="0.25">
      <c r="A965" s="515">
        <v>20854</v>
      </c>
      <c r="B965" s="515" t="s">
        <v>321</v>
      </c>
      <c r="C965" s="52">
        <v>1096289.14547051</v>
      </c>
      <c r="D965" s="56">
        <v>4.0060141752892048E-2</v>
      </c>
      <c r="E965" s="224">
        <v>3224.88888888888</v>
      </c>
      <c r="F965" s="515" t="s">
        <v>2744</v>
      </c>
      <c r="G965" s="52">
        <v>150909.439991119</v>
      </c>
      <c r="H965" s="56">
        <v>-5.0832515447291546E-2</v>
      </c>
      <c r="I965" s="224" t="s">
        <v>2</v>
      </c>
    </row>
    <row r="966" spans="1:9" x14ac:dyDescent="0.25">
      <c r="A966" s="515">
        <v>94553</v>
      </c>
      <c r="B966" s="515" t="s">
        <v>593</v>
      </c>
      <c r="C966" s="52">
        <v>745863.86126081005</v>
      </c>
      <c r="D966" s="56">
        <v>-2.7660737292235799E-3</v>
      </c>
      <c r="E966" s="224">
        <v>2947.2222222222199</v>
      </c>
      <c r="F966" s="515" t="s">
        <v>2745</v>
      </c>
      <c r="G966" s="52">
        <v>358971.93394360901</v>
      </c>
      <c r="H966" s="56">
        <v>2.8021153425357312E-2</v>
      </c>
      <c r="I966" s="224">
        <v>1777.3611111111099</v>
      </c>
    </row>
    <row r="967" spans="1:9" x14ac:dyDescent="0.25">
      <c r="A967" s="515">
        <v>95757</v>
      </c>
      <c r="B967" s="515" t="s">
        <v>355</v>
      </c>
      <c r="C967" s="52">
        <v>667982.20377481403</v>
      </c>
      <c r="D967" s="56">
        <v>1.5676343018263948E-2</v>
      </c>
      <c r="E967" s="224">
        <v>2513.9444444444398</v>
      </c>
      <c r="F967" s="515" t="s">
        <v>2746</v>
      </c>
      <c r="G967" s="52">
        <v>567594.57476002595</v>
      </c>
      <c r="H967" s="56">
        <v>2.5028234667098224E-2</v>
      </c>
      <c r="I967" s="224">
        <v>2001.38888888888</v>
      </c>
    </row>
    <row r="968" spans="1:9" x14ac:dyDescent="0.25">
      <c r="A968" s="515">
        <v>27707</v>
      </c>
      <c r="B968" s="515" t="s">
        <v>467</v>
      </c>
      <c r="C968" s="52">
        <v>382125.03893759602</v>
      </c>
      <c r="D968" s="56">
        <v>9.3371697280941968E-2</v>
      </c>
      <c r="E968" s="224">
        <v>1402.51388888888</v>
      </c>
      <c r="F968" s="515" t="s">
        <v>2747</v>
      </c>
      <c r="G968" s="52">
        <v>428760.59827747598</v>
      </c>
      <c r="H968" s="56">
        <v>9.1331352938061536E-2</v>
      </c>
      <c r="I968" s="224">
        <v>1681.25</v>
      </c>
    </row>
    <row r="969" spans="1:9" x14ac:dyDescent="0.25">
      <c r="A969" s="515">
        <v>83686</v>
      </c>
      <c r="B969" s="515" t="s">
        <v>500</v>
      </c>
      <c r="C969" s="52">
        <v>397148.693993397</v>
      </c>
      <c r="D969" s="56">
        <v>-2.7681522876463333E-2</v>
      </c>
      <c r="E969" s="224">
        <v>1471.0158730158701</v>
      </c>
      <c r="F969" s="515" t="s">
        <v>621</v>
      </c>
      <c r="G969" s="52">
        <v>313542.457476201</v>
      </c>
      <c r="H969" s="56">
        <v>2.2250679166941286E-2</v>
      </c>
      <c r="I969" s="224" t="s">
        <v>2</v>
      </c>
    </row>
    <row r="970" spans="1:9" x14ac:dyDescent="0.25">
      <c r="A970" s="515">
        <v>77388</v>
      </c>
      <c r="B970" s="515" t="s">
        <v>314</v>
      </c>
      <c r="C970" s="52">
        <v>294025.70293313998</v>
      </c>
      <c r="D970" s="56">
        <v>8.0682576833118996E-2</v>
      </c>
      <c r="E970" s="224">
        <v>1733.8638344226499</v>
      </c>
      <c r="F970" s="515" t="s">
        <v>2748</v>
      </c>
      <c r="G970" s="52">
        <v>151462.81320680899</v>
      </c>
      <c r="H970" s="56">
        <v>0.13638669715217747</v>
      </c>
      <c r="I970" s="224">
        <v>1101.52991452991</v>
      </c>
    </row>
    <row r="971" spans="1:9" x14ac:dyDescent="0.25">
      <c r="A971" s="515">
        <v>48126</v>
      </c>
      <c r="B971" s="515" t="s">
        <v>685</v>
      </c>
      <c r="C971" s="52">
        <v>190230.38183705299</v>
      </c>
      <c r="D971" s="56">
        <v>8.958029545854175E-2</v>
      </c>
      <c r="E971" s="224">
        <v>1742.5</v>
      </c>
      <c r="F971" s="515" t="s">
        <v>2749</v>
      </c>
      <c r="G971" s="52">
        <v>391203.524875039</v>
      </c>
      <c r="H971" s="56">
        <v>0.1280533392465317</v>
      </c>
      <c r="I971" s="224">
        <v>2477.7222222222199</v>
      </c>
    </row>
    <row r="972" spans="1:9" x14ac:dyDescent="0.25">
      <c r="A972" s="515">
        <v>60649</v>
      </c>
      <c r="B972" s="515" t="s">
        <v>394</v>
      </c>
      <c r="C972" s="52">
        <v>148300.35230884099</v>
      </c>
      <c r="D972" s="56">
        <v>-3.9598816516832287E-2</v>
      </c>
      <c r="E972" s="224">
        <v>1116.0073669021001</v>
      </c>
      <c r="F972" s="515" t="s">
        <v>2750</v>
      </c>
      <c r="G972" s="52">
        <v>283637.95588606299</v>
      </c>
      <c r="H972" s="56">
        <v>0.11270959724455702</v>
      </c>
      <c r="I972" s="224">
        <v>1752.3333333333301</v>
      </c>
    </row>
    <row r="973" spans="1:9" x14ac:dyDescent="0.25">
      <c r="A973" s="515">
        <v>33126</v>
      </c>
      <c r="B973" s="515" t="s">
        <v>831</v>
      </c>
      <c r="C973" s="52">
        <v>292946.33167194598</v>
      </c>
      <c r="D973" s="56">
        <v>0.20749937844442057</v>
      </c>
      <c r="E973" s="224">
        <v>2345.0925925925899</v>
      </c>
      <c r="F973" s="515" t="s">
        <v>2751</v>
      </c>
      <c r="G973" s="52">
        <v>516507.722152367</v>
      </c>
      <c r="H973" s="56">
        <v>9.2904322677203305E-2</v>
      </c>
      <c r="I973" s="224">
        <v>1726.3</v>
      </c>
    </row>
    <row r="974" spans="1:9" x14ac:dyDescent="0.25">
      <c r="A974" s="515">
        <v>27606</v>
      </c>
      <c r="B974" s="515" t="s">
        <v>484</v>
      </c>
      <c r="C974" s="52">
        <v>398615.100063711</v>
      </c>
      <c r="D974" s="56">
        <v>7.386322680005715E-2</v>
      </c>
      <c r="E974" s="224">
        <v>1496.4424836601299</v>
      </c>
      <c r="F974" s="515" t="s">
        <v>2752</v>
      </c>
      <c r="G974" s="52">
        <v>511844.66238738497</v>
      </c>
      <c r="H974" s="56">
        <v>0.15188872941784415</v>
      </c>
      <c r="I974" s="224">
        <v>3186.2222222222199</v>
      </c>
    </row>
    <row r="975" spans="1:9" x14ac:dyDescent="0.25">
      <c r="A975" s="515">
        <v>96816</v>
      </c>
      <c r="B975" s="515" t="s">
        <v>1029</v>
      </c>
      <c r="C975" s="52">
        <v>1249460.46380237</v>
      </c>
      <c r="D975" s="56">
        <v>5.7832771429934982E-2</v>
      </c>
      <c r="E975" s="224">
        <v>2712.5</v>
      </c>
      <c r="F975" s="515" t="s">
        <v>2753</v>
      </c>
      <c r="G975" s="52">
        <v>340163.93706986</v>
      </c>
      <c r="H975" s="56">
        <v>8.619670245706719E-2</v>
      </c>
      <c r="I975" s="224">
        <v>1781.8704453441201</v>
      </c>
    </row>
    <row r="976" spans="1:9" x14ac:dyDescent="0.25">
      <c r="A976" s="515">
        <v>11420</v>
      </c>
      <c r="B976" s="515" t="s">
        <v>324</v>
      </c>
      <c r="C976" s="52">
        <v>642341.05310661194</v>
      </c>
      <c r="D976" s="56">
        <v>4.264004158178801E-2</v>
      </c>
      <c r="E976" s="224">
        <v>2550</v>
      </c>
      <c r="F976" s="515" t="s">
        <v>2754</v>
      </c>
      <c r="G976" s="52">
        <v>696217.99091180798</v>
      </c>
      <c r="H976" s="56">
        <v>5.5054609967291709E-2</v>
      </c>
      <c r="I976" s="224">
        <v>2758.2301587301499</v>
      </c>
    </row>
    <row r="977" spans="1:9" x14ac:dyDescent="0.25">
      <c r="A977" s="515">
        <v>33844</v>
      </c>
      <c r="B977" s="515" t="s">
        <v>359</v>
      </c>
      <c r="C977" s="52">
        <v>297945.91271545499</v>
      </c>
      <c r="D977" s="56">
        <v>0.12791435811856866</v>
      </c>
      <c r="E977" s="224">
        <v>1975.6</v>
      </c>
      <c r="F977" s="515" t="s">
        <v>2755</v>
      </c>
      <c r="G977" s="52">
        <v>362064.45972368697</v>
      </c>
      <c r="H977" s="56">
        <v>7.7253081729980161E-2</v>
      </c>
      <c r="I977" s="224">
        <v>1765.2253787878701</v>
      </c>
    </row>
    <row r="978" spans="1:9" x14ac:dyDescent="0.25">
      <c r="A978" s="515">
        <v>30064</v>
      </c>
      <c r="B978" s="515" t="s">
        <v>957</v>
      </c>
      <c r="C978" s="52">
        <v>444857.26823703502</v>
      </c>
      <c r="D978" s="56">
        <v>8.6453545559088116E-2</v>
      </c>
      <c r="E978" s="224">
        <v>2266.37777777777</v>
      </c>
      <c r="F978" s="515" t="s">
        <v>2756</v>
      </c>
      <c r="G978" s="52">
        <v>376893.22628274298</v>
      </c>
      <c r="H978" s="56">
        <v>6.4480110832145582E-2</v>
      </c>
      <c r="I978" s="224">
        <v>2015.74537037037</v>
      </c>
    </row>
    <row r="979" spans="1:9" x14ac:dyDescent="0.25">
      <c r="A979" s="515">
        <v>29526</v>
      </c>
      <c r="B979" s="515" t="s">
        <v>703</v>
      </c>
      <c r="C979" s="52">
        <v>287440.34097737703</v>
      </c>
      <c r="D979" s="56">
        <v>0.15562089248637068</v>
      </c>
      <c r="E979" s="224" t="s">
        <v>2</v>
      </c>
      <c r="F979" s="515" t="s">
        <v>2757</v>
      </c>
      <c r="G979" s="52">
        <v>454596.69564250199</v>
      </c>
      <c r="H979" s="56">
        <v>0.15537045447608039</v>
      </c>
      <c r="I979" s="224">
        <v>2297.59725459725</v>
      </c>
    </row>
    <row r="980" spans="1:9" x14ac:dyDescent="0.25">
      <c r="A980" s="515">
        <v>20850</v>
      </c>
      <c r="B980" s="515" t="s">
        <v>321</v>
      </c>
      <c r="C980" s="52">
        <v>632766.18264508701</v>
      </c>
      <c r="D980" s="56">
        <v>2.2293454799099936E-2</v>
      </c>
      <c r="E980" s="224">
        <v>2252.0787878787801</v>
      </c>
      <c r="F980" s="515" t="s">
        <v>858</v>
      </c>
      <c r="G980" s="52">
        <v>157539.959961574</v>
      </c>
      <c r="H980" s="56">
        <v>2.5967231463892508E-2</v>
      </c>
      <c r="I980" s="224">
        <v>1488.88888888888</v>
      </c>
    </row>
    <row r="981" spans="1:9" x14ac:dyDescent="0.25">
      <c r="A981" s="515">
        <v>20783</v>
      </c>
      <c r="B981" s="515" t="s">
        <v>321</v>
      </c>
      <c r="C981" s="52">
        <v>385011.13810768601</v>
      </c>
      <c r="D981" s="56">
        <v>1.7638771098800982E-2</v>
      </c>
      <c r="E981" s="224" t="s">
        <v>2</v>
      </c>
      <c r="F981" s="515" t="s">
        <v>1281</v>
      </c>
      <c r="G981" s="52">
        <v>360510.37786264799</v>
      </c>
      <c r="H981" s="56">
        <v>4.5300284074525042E-2</v>
      </c>
      <c r="I981" s="224">
        <v>1926.0370370370299</v>
      </c>
    </row>
    <row r="982" spans="1:9" x14ac:dyDescent="0.25">
      <c r="A982" s="515">
        <v>48858</v>
      </c>
      <c r="B982" s="515" t="s">
        <v>1076</v>
      </c>
      <c r="C982" s="52">
        <v>180897.84587872599</v>
      </c>
      <c r="D982" s="56">
        <v>4.640304629735488E-2</v>
      </c>
      <c r="E982" s="224" t="s">
        <v>2</v>
      </c>
      <c r="F982" s="515" t="s">
        <v>2758</v>
      </c>
      <c r="G982" s="52">
        <v>1092635.9634410201</v>
      </c>
      <c r="H982" s="56">
        <v>7.4822075530521295E-2</v>
      </c>
      <c r="I982" s="224">
        <v>3041.8746031746</v>
      </c>
    </row>
    <row r="983" spans="1:9" x14ac:dyDescent="0.25">
      <c r="A983" s="515">
        <v>98105</v>
      </c>
      <c r="B983" s="515" t="s">
        <v>384</v>
      </c>
      <c r="C983" s="52">
        <v>1117873.9372087801</v>
      </c>
      <c r="D983" s="56">
        <v>9.0321920730039185E-3</v>
      </c>
      <c r="E983" s="224">
        <v>1812.6794486215499</v>
      </c>
      <c r="F983" s="515" t="s">
        <v>1241</v>
      </c>
      <c r="G983" s="52">
        <v>158213.52128717801</v>
      </c>
      <c r="H983" s="56">
        <v>0.10818980893704061</v>
      </c>
      <c r="I983" s="224" t="s">
        <v>2</v>
      </c>
    </row>
    <row r="984" spans="1:9" x14ac:dyDescent="0.25">
      <c r="A984" s="515">
        <v>30252</v>
      </c>
      <c r="B984" s="515" t="s">
        <v>957</v>
      </c>
      <c r="C984" s="52">
        <v>371714.200620419</v>
      </c>
      <c r="D984" s="56">
        <v>8.8038242204037831E-2</v>
      </c>
      <c r="E984" s="224">
        <v>2191.2846560846501</v>
      </c>
      <c r="F984" s="515" t="s">
        <v>2759</v>
      </c>
      <c r="G984" s="52">
        <v>485926.282479015</v>
      </c>
      <c r="H984" s="56">
        <v>3.3756046697790969E-2</v>
      </c>
      <c r="I984" s="224">
        <v>2146.9690362511001</v>
      </c>
    </row>
    <row r="985" spans="1:9" x14ac:dyDescent="0.25">
      <c r="A985" s="515">
        <v>92843</v>
      </c>
      <c r="B985" s="515" t="s">
        <v>375</v>
      </c>
      <c r="C985" s="52">
        <v>766506.35105065804</v>
      </c>
      <c r="D985" s="56">
        <v>5.9579520439838947E-2</v>
      </c>
      <c r="E985" s="224" t="s">
        <v>2</v>
      </c>
      <c r="F985" s="515" t="s">
        <v>943</v>
      </c>
      <c r="G985" s="52">
        <v>149384.64716281099</v>
      </c>
      <c r="H985" s="56">
        <v>0.12372173248387383</v>
      </c>
      <c r="I985" s="224">
        <v>1013.88888888888</v>
      </c>
    </row>
    <row r="986" spans="1:9" x14ac:dyDescent="0.25">
      <c r="A986" s="515">
        <v>98391</v>
      </c>
      <c r="B986" s="515" t="s">
        <v>384</v>
      </c>
      <c r="C986" s="52">
        <v>612030.30580126296</v>
      </c>
      <c r="D986" s="56">
        <v>1.9539642613244784E-2</v>
      </c>
      <c r="E986" s="224">
        <v>2328.8333333333298</v>
      </c>
      <c r="F986" s="515" t="s">
        <v>968</v>
      </c>
      <c r="G986" s="52">
        <v>124459.806348026</v>
      </c>
      <c r="H986" s="56">
        <v>5.616511916841279E-2</v>
      </c>
      <c r="I986" s="224" t="s">
        <v>2</v>
      </c>
    </row>
    <row r="987" spans="1:9" x14ac:dyDescent="0.25">
      <c r="A987" s="515">
        <v>10459</v>
      </c>
      <c r="B987" s="515" t="s">
        <v>324</v>
      </c>
      <c r="C987" s="52">
        <v>410217.12917537399</v>
      </c>
      <c r="D987" s="56">
        <v>-1.7094573825511532E-2</v>
      </c>
      <c r="E987" s="224">
        <v>2237.5</v>
      </c>
      <c r="F987" s="515" t="s">
        <v>2760</v>
      </c>
      <c r="G987" s="52">
        <v>227938.43788059399</v>
      </c>
      <c r="H987" s="56">
        <v>3.9563757712729707E-2</v>
      </c>
      <c r="I987" s="224">
        <v>1108.4722222222199</v>
      </c>
    </row>
    <row r="988" spans="1:9" x14ac:dyDescent="0.25">
      <c r="A988" s="515">
        <v>95136</v>
      </c>
      <c r="B988" s="515" t="s">
        <v>850</v>
      </c>
      <c r="C988" s="52">
        <v>1197430.68687031</v>
      </c>
      <c r="D988" s="56">
        <v>8.4141071852495475E-2</v>
      </c>
      <c r="E988" s="224">
        <v>3048.9497354497298</v>
      </c>
      <c r="F988" s="515" t="s">
        <v>2761</v>
      </c>
      <c r="G988" s="52">
        <v>1767281.96052596</v>
      </c>
      <c r="H988" s="56">
        <v>2.48081763857372E-2</v>
      </c>
      <c r="I988" s="224">
        <v>4237.1296296296296</v>
      </c>
    </row>
    <row r="989" spans="1:9" x14ac:dyDescent="0.25">
      <c r="A989" s="515">
        <v>96792</v>
      </c>
      <c r="B989" s="515" t="s">
        <v>1029</v>
      </c>
      <c r="C989" s="52">
        <v>571902.33368181903</v>
      </c>
      <c r="D989" s="56">
        <v>9.4052221372814701E-2</v>
      </c>
      <c r="E989" s="224">
        <v>2205.5555555555502</v>
      </c>
      <c r="F989" s="515" t="s">
        <v>2762</v>
      </c>
      <c r="G989" s="52">
        <v>213106.972386298</v>
      </c>
      <c r="H989" s="56">
        <v>0.14410258835891793</v>
      </c>
      <c r="I989" s="224">
        <v>1448.69444444444</v>
      </c>
    </row>
    <row r="990" spans="1:9" x14ac:dyDescent="0.25">
      <c r="A990" s="515">
        <v>1841</v>
      </c>
      <c r="B990" s="515" t="s">
        <v>534</v>
      </c>
      <c r="C990" s="52">
        <v>384359.33597135299</v>
      </c>
      <c r="D990" s="56">
        <v>5.9986522803659958E-2</v>
      </c>
      <c r="E990" s="224" t="s">
        <v>2</v>
      </c>
      <c r="F990" s="515" t="s">
        <v>2763</v>
      </c>
      <c r="G990" s="52">
        <v>118092.477782705</v>
      </c>
      <c r="H990" s="56">
        <v>0.19857941871579371</v>
      </c>
      <c r="I990" s="224" t="s">
        <v>2</v>
      </c>
    </row>
    <row r="991" spans="1:9" x14ac:dyDescent="0.25">
      <c r="A991" s="515">
        <v>29651</v>
      </c>
      <c r="B991" s="515" t="s">
        <v>613</v>
      </c>
      <c r="C991" s="52">
        <v>299590.06376490899</v>
      </c>
      <c r="D991" s="56">
        <v>0.13626179840742636</v>
      </c>
      <c r="E991" s="224">
        <v>1555.8333333333301</v>
      </c>
      <c r="F991" s="515" t="s">
        <v>2764</v>
      </c>
      <c r="G991" s="52">
        <v>269096.817103229</v>
      </c>
      <c r="H991" s="56">
        <v>0.12147582681378216</v>
      </c>
      <c r="I991" s="224">
        <v>1784.9153846153799</v>
      </c>
    </row>
    <row r="992" spans="1:9" x14ac:dyDescent="0.25">
      <c r="A992" s="515">
        <v>33324</v>
      </c>
      <c r="B992" s="515" t="s">
        <v>831</v>
      </c>
      <c r="C992" s="52">
        <v>354225.31699425401</v>
      </c>
      <c r="D992" s="56">
        <v>0.14306273282892309</v>
      </c>
      <c r="E992" s="224">
        <v>2428.4583333333298</v>
      </c>
      <c r="F992" s="515" t="s">
        <v>2765</v>
      </c>
      <c r="G992" s="52">
        <v>517088.29618889099</v>
      </c>
      <c r="H992" s="56">
        <v>6.6951694884851864E-2</v>
      </c>
      <c r="I992" s="224">
        <v>2317.71808278867</v>
      </c>
    </row>
    <row r="993" spans="1:9" x14ac:dyDescent="0.25">
      <c r="A993" s="515">
        <v>78043</v>
      </c>
      <c r="B993" s="515" t="s">
        <v>588</v>
      </c>
      <c r="C993" s="52">
        <v>162114.72215383101</v>
      </c>
      <c r="D993" s="56">
        <v>9.5451877876702989E-3</v>
      </c>
      <c r="E993" s="224" t="s">
        <v>2</v>
      </c>
      <c r="F993" s="515" t="s">
        <v>2766</v>
      </c>
      <c r="G993" s="52">
        <v>347924.41471832403</v>
      </c>
      <c r="H993" s="56">
        <v>2.4116137868934229E-2</v>
      </c>
      <c r="I993" s="224">
        <v>1563.19444444444</v>
      </c>
    </row>
    <row r="994" spans="1:9" x14ac:dyDescent="0.25">
      <c r="A994" s="515">
        <v>96734</v>
      </c>
      <c r="B994" s="515" t="s">
        <v>1029</v>
      </c>
      <c r="C994" s="52">
        <v>1430678.3987269499</v>
      </c>
      <c r="D994" s="56">
        <v>8.5733619776822229E-2</v>
      </c>
      <c r="E994" s="224">
        <v>3414.0833333333298</v>
      </c>
      <c r="F994" s="515" t="s">
        <v>1288</v>
      </c>
      <c r="G994" s="52">
        <v>448129.12909619103</v>
      </c>
      <c r="H994" s="56">
        <v>4.5158906361528084E-2</v>
      </c>
      <c r="I994" s="224">
        <v>1716.25</v>
      </c>
    </row>
    <row r="995" spans="1:9" x14ac:dyDescent="0.25">
      <c r="A995" s="515">
        <v>21207</v>
      </c>
      <c r="B995" s="515" t="s">
        <v>582</v>
      </c>
      <c r="C995" s="52">
        <v>251456.496270451</v>
      </c>
      <c r="D995" s="56">
        <v>3.7097290706190299E-2</v>
      </c>
      <c r="E995" s="224">
        <v>1321.69166666666</v>
      </c>
      <c r="F995" s="515" t="s">
        <v>2767</v>
      </c>
      <c r="G995" s="52">
        <v>396312.74157151202</v>
      </c>
      <c r="H995" s="56">
        <v>6.4243535789871783E-2</v>
      </c>
      <c r="I995" s="224">
        <v>1500.7423510466899</v>
      </c>
    </row>
    <row r="996" spans="1:9" x14ac:dyDescent="0.25">
      <c r="A996" s="515">
        <v>30097</v>
      </c>
      <c r="B996" s="515" t="s">
        <v>957</v>
      </c>
      <c r="C996" s="52">
        <v>640135.475732708</v>
      </c>
      <c r="D996" s="56">
        <v>0.11040043736615351</v>
      </c>
      <c r="E996" s="224">
        <v>1921.3102777777699</v>
      </c>
      <c r="F996" s="515" t="s">
        <v>2768</v>
      </c>
      <c r="G996" s="52">
        <v>327526.695941935</v>
      </c>
      <c r="H996" s="56">
        <v>9.2363634311526999E-2</v>
      </c>
      <c r="I996" s="224">
        <v>1873.07478632478</v>
      </c>
    </row>
    <row r="997" spans="1:9" x14ac:dyDescent="0.25">
      <c r="A997" s="515">
        <v>93455</v>
      </c>
      <c r="B997" s="515" t="s">
        <v>847</v>
      </c>
      <c r="C997" s="52">
        <v>604237.42792704399</v>
      </c>
      <c r="D997" s="56">
        <v>5.0740240287867944E-2</v>
      </c>
      <c r="E997" s="224">
        <v>3201.1111111111099</v>
      </c>
      <c r="F997" s="515" t="s">
        <v>2769</v>
      </c>
      <c r="G997" s="52">
        <v>538630.93045655498</v>
      </c>
      <c r="H997" s="56">
        <v>0.12107781685954638</v>
      </c>
      <c r="I997" s="224" t="s">
        <v>2</v>
      </c>
    </row>
    <row r="998" spans="1:9" x14ac:dyDescent="0.25">
      <c r="A998" s="515">
        <v>19380</v>
      </c>
      <c r="B998" s="515" t="s">
        <v>294</v>
      </c>
      <c r="C998" s="52">
        <v>528209.50438172696</v>
      </c>
      <c r="D998" s="56">
        <v>9.0500571988772011E-2</v>
      </c>
      <c r="E998" s="224">
        <v>1756.7830687830599</v>
      </c>
      <c r="F998" s="515" t="s">
        <v>2770</v>
      </c>
      <c r="G998" s="52">
        <v>344690.04760863498</v>
      </c>
      <c r="H998" s="56">
        <v>6.76578841370713E-2</v>
      </c>
      <c r="I998" s="224">
        <v>1809.63888888888</v>
      </c>
    </row>
    <row r="999" spans="1:9" x14ac:dyDescent="0.25">
      <c r="A999" s="515">
        <v>93304</v>
      </c>
      <c r="B999" s="515" t="s">
        <v>419</v>
      </c>
      <c r="C999" s="52">
        <v>260327.90646490199</v>
      </c>
      <c r="D999" s="56">
        <v>9.1399758136978759E-2</v>
      </c>
      <c r="E999" s="224">
        <v>1243.3333333333301</v>
      </c>
      <c r="F999" s="515" t="s">
        <v>2771</v>
      </c>
      <c r="G999" s="52">
        <v>175994.60681252301</v>
      </c>
      <c r="H999" s="56">
        <v>7.1224192676173914E-2</v>
      </c>
      <c r="I999" s="224">
        <v>1439.4007936507901</v>
      </c>
    </row>
    <row r="1000" spans="1:9" x14ac:dyDescent="0.25">
      <c r="A1000" s="515">
        <v>54601</v>
      </c>
      <c r="B1000" s="515" t="s">
        <v>635</v>
      </c>
      <c r="C1000" s="52">
        <v>226825.575469245</v>
      </c>
      <c r="D1000" s="56">
        <v>6.4844309319988302E-2</v>
      </c>
      <c r="E1000" s="224">
        <v>957.638888888888</v>
      </c>
      <c r="F1000" s="515" t="s">
        <v>2772</v>
      </c>
      <c r="G1000" s="52">
        <v>337699.96383644501</v>
      </c>
      <c r="H1000" s="56">
        <v>4.2110477549827462E-2</v>
      </c>
      <c r="I1000" s="224">
        <v>2514.2027777777698</v>
      </c>
    </row>
    <row r="1001" spans="1:9" x14ac:dyDescent="0.25">
      <c r="A1001" s="515">
        <v>6606</v>
      </c>
      <c r="B1001" s="515" t="s">
        <v>1173</v>
      </c>
      <c r="C1001" s="52">
        <v>305259.884813482</v>
      </c>
      <c r="D1001" s="56">
        <v>0.10631681659087273</v>
      </c>
      <c r="E1001" s="224">
        <v>2381.25</v>
      </c>
      <c r="F1001" s="515" t="s">
        <v>2773</v>
      </c>
      <c r="G1001" s="52">
        <v>507216.18760143302</v>
      </c>
      <c r="H1001" s="56">
        <v>3.975252696075559E-2</v>
      </c>
      <c r="I1001" s="224">
        <v>2084</v>
      </c>
    </row>
    <row r="1002" spans="1:9" x14ac:dyDescent="0.25">
      <c r="A1002" s="515">
        <v>83401</v>
      </c>
      <c r="B1002" s="515" t="s">
        <v>409</v>
      </c>
      <c r="C1002" s="52">
        <v>358673.21355849801</v>
      </c>
      <c r="D1002" s="56">
        <v>-8.3153533416112455E-3</v>
      </c>
      <c r="E1002" s="224">
        <v>1216.6111111111099</v>
      </c>
      <c r="F1002" s="515" t="s">
        <v>2774</v>
      </c>
      <c r="G1002" s="52">
        <v>489323.39017362799</v>
      </c>
      <c r="H1002" s="56">
        <v>8.7693631234275204E-2</v>
      </c>
      <c r="I1002" s="224">
        <v>2526.25</v>
      </c>
    </row>
    <row r="1003" spans="1:9" x14ac:dyDescent="0.25">
      <c r="A1003" s="515">
        <v>85207</v>
      </c>
      <c r="B1003" s="515" t="s">
        <v>563</v>
      </c>
      <c r="C1003" s="52">
        <v>522624.44471640402</v>
      </c>
      <c r="D1003" s="56">
        <v>2.7559368992984917E-2</v>
      </c>
      <c r="E1003" s="224">
        <v>2194.4087301587301</v>
      </c>
      <c r="F1003" s="515" t="s">
        <v>2775</v>
      </c>
      <c r="G1003" s="52">
        <v>412024.23327491398</v>
      </c>
      <c r="H1003" s="56">
        <v>2.9174869565295448E-2</v>
      </c>
      <c r="I1003" s="224">
        <v>1695.9833333333299</v>
      </c>
    </row>
    <row r="1004" spans="1:9" x14ac:dyDescent="0.25">
      <c r="A1004" s="515">
        <v>95336</v>
      </c>
      <c r="B1004" s="515" t="s">
        <v>852</v>
      </c>
      <c r="C1004" s="52">
        <v>518192.68834454397</v>
      </c>
      <c r="D1004" s="56">
        <v>1.8056340209156887E-2</v>
      </c>
      <c r="E1004" s="224">
        <v>2346.3214285714198</v>
      </c>
      <c r="F1004" s="515" t="s">
        <v>2776</v>
      </c>
      <c r="G1004" s="52">
        <v>487391.71350114403</v>
      </c>
      <c r="H1004" s="56">
        <v>0</v>
      </c>
      <c r="I1004" s="224" t="s">
        <v>2</v>
      </c>
    </row>
    <row r="1005" spans="1:9" x14ac:dyDescent="0.25">
      <c r="A1005" s="515">
        <v>10461</v>
      </c>
      <c r="B1005" s="515" t="s">
        <v>324</v>
      </c>
      <c r="C1005" s="52">
        <v>604851.788987056</v>
      </c>
      <c r="D1005" s="56">
        <v>3.5187418885559804E-2</v>
      </c>
      <c r="E1005" s="224">
        <v>2139.88888888888</v>
      </c>
      <c r="F1005" s="515" t="s">
        <v>2777</v>
      </c>
      <c r="G1005" s="52">
        <v>480003.70792785502</v>
      </c>
      <c r="H1005" s="56">
        <v>4.95616875057854E-2</v>
      </c>
      <c r="I1005" s="224">
        <v>1946.2722222222201</v>
      </c>
    </row>
    <row r="1006" spans="1:9" x14ac:dyDescent="0.25">
      <c r="A1006" s="515">
        <v>77040</v>
      </c>
      <c r="B1006" s="515" t="s">
        <v>314</v>
      </c>
      <c r="C1006" s="52">
        <v>259437.176788457</v>
      </c>
      <c r="D1006" s="56">
        <v>0.109794214652569</v>
      </c>
      <c r="E1006" s="224">
        <v>1570.18518518518</v>
      </c>
      <c r="F1006" s="515" t="s">
        <v>2778</v>
      </c>
      <c r="G1006" s="52">
        <v>502663.28295504302</v>
      </c>
      <c r="H1006" s="56">
        <v>1.1975064888240208E-2</v>
      </c>
      <c r="I1006" s="224">
        <v>2466.4583333333298</v>
      </c>
    </row>
    <row r="1007" spans="1:9" x14ac:dyDescent="0.25">
      <c r="A1007" s="515">
        <v>95148</v>
      </c>
      <c r="B1007" s="515" t="s">
        <v>850</v>
      </c>
      <c r="C1007" s="52">
        <v>1286319.68035808</v>
      </c>
      <c r="D1007" s="56">
        <v>2.4371700204748863E-2</v>
      </c>
      <c r="E1007" s="224">
        <v>3800</v>
      </c>
      <c r="F1007" s="515" t="s">
        <v>2779</v>
      </c>
      <c r="G1007" s="52">
        <v>498687.12403450301</v>
      </c>
      <c r="H1007" s="56">
        <v>3.171366751336635E-2</v>
      </c>
      <c r="I1007" s="224">
        <v>2245.33048433048</v>
      </c>
    </row>
    <row r="1008" spans="1:9" x14ac:dyDescent="0.25">
      <c r="A1008" s="515">
        <v>78155</v>
      </c>
      <c r="B1008" s="515" t="s">
        <v>717</v>
      </c>
      <c r="C1008" s="52">
        <v>284345.93312572298</v>
      </c>
      <c r="D1008" s="56">
        <v>5.1380240710193835E-2</v>
      </c>
      <c r="E1008" s="224">
        <v>1570.8333333333301</v>
      </c>
      <c r="F1008" s="515" t="s">
        <v>2780</v>
      </c>
      <c r="G1008" s="52">
        <v>522491.26079655899</v>
      </c>
      <c r="H1008" s="56">
        <v>1.9384059644026314E-2</v>
      </c>
      <c r="I1008" s="224">
        <v>1893.7962962962899</v>
      </c>
    </row>
    <row r="1009" spans="1:9" x14ac:dyDescent="0.25">
      <c r="A1009" s="515">
        <v>78201</v>
      </c>
      <c r="B1009" s="515" t="s">
        <v>717</v>
      </c>
      <c r="C1009" s="52">
        <v>191965.180871952</v>
      </c>
      <c r="D1009" s="56">
        <v>6.0373381695317009E-2</v>
      </c>
      <c r="E1009" s="224">
        <v>1343.375</v>
      </c>
      <c r="F1009" s="515" t="s">
        <v>2781</v>
      </c>
      <c r="G1009" s="52">
        <v>386030.39931243402</v>
      </c>
      <c r="H1009" s="56">
        <v>0.12489814366775329</v>
      </c>
      <c r="I1009" s="224">
        <v>2110.7142857142799</v>
      </c>
    </row>
    <row r="1010" spans="1:9" x14ac:dyDescent="0.25">
      <c r="A1010" s="515">
        <v>56001</v>
      </c>
      <c r="B1010" s="515" t="s">
        <v>542</v>
      </c>
      <c r="C1010" s="52">
        <v>268342.83174575202</v>
      </c>
      <c r="D1010" s="56">
        <v>5.4435761602424103E-2</v>
      </c>
      <c r="E1010" s="224" t="s">
        <v>2</v>
      </c>
      <c r="F1010" s="515" t="s">
        <v>2782</v>
      </c>
      <c r="G1010" s="52">
        <v>262826.96639546601</v>
      </c>
      <c r="H1010" s="56">
        <v>1.7519867765614924E-2</v>
      </c>
      <c r="I1010" s="224">
        <v>1271.9047619047601</v>
      </c>
    </row>
    <row r="1011" spans="1:9" x14ac:dyDescent="0.25">
      <c r="A1011" s="515">
        <v>90620</v>
      </c>
      <c r="B1011" s="515" t="s">
        <v>375</v>
      </c>
      <c r="C1011" s="52">
        <v>789583.82043886802</v>
      </c>
      <c r="D1011" s="56">
        <v>4.210395050198238E-2</v>
      </c>
      <c r="E1011" s="224">
        <v>3295</v>
      </c>
      <c r="F1011" s="515" t="s">
        <v>2783</v>
      </c>
      <c r="G1011" s="52">
        <v>190184.651928718</v>
      </c>
      <c r="H1011" s="56">
        <v>0.14154659353827032</v>
      </c>
      <c r="I1011" s="224">
        <v>1363.3333333333301</v>
      </c>
    </row>
    <row r="1012" spans="1:9" x14ac:dyDescent="0.25">
      <c r="A1012" s="515">
        <v>94086</v>
      </c>
      <c r="B1012" s="515" t="s">
        <v>850</v>
      </c>
      <c r="C1012" s="52">
        <v>1654711.4123395199</v>
      </c>
      <c r="D1012" s="56">
        <v>2.7036713787469482E-2</v>
      </c>
      <c r="E1012" s="224">
        <v>3274.2619047619</v>
      </c>
      <c r="F1012" s="515" t="s">
        <v>2784</v>
      </c>
      <c r="G1012" s="52">
        <v>264837.249936682</v>
      </c>
      <c r="H1012" s="56">
        <v>8.4438707974165042E-2</v>
      </c>
      <c r="I1012" s="224" t="s">
        <v>2</v>
      </c>
    </row>
    <row r="1013" spans="1:9" x14ac:dyDescent="0.25">
      <c r="A1013" s="515">
        <v>78258</v>
      </c>
      <c r="B1013" s="515" t="s">
        <v>717</v>
      </c>
      <c r="C1013" s="52">
        <v>482285.04711823701</v>
      </c>
      <c r="D1013" s="56">
        <v>7.7965040880134437E-2</v>
      </c>
      <c r="E1013" s="224">
        <v>1571.0791245791199</v>
      </c>
      <c r="F1013" s="515" t="s">
        <v>2785</v>
      </c>
      <c r="G1013" s="52">
        <v>112634.686291591</v>
      </c>
      <c r="H1013" s="56">
        <v>0.1087152100308356</v>
      </c>
      <c r="I1013" s="224">
        <v>919.02380952380895</v>
      </c>
    </row>
    <row r="1014" spans="1:9" x14ac:dyDescent="0.25">
      <c r="A1014" s="515">
        <v>11419</v>
      </c>
      <c r="B1014" s="515" t="s">
        <v>324</v>
      </c>
      <c r="C1014" s="52">
        <v>652008.44953564799</v>
      </c>
      <c r="D1014" s="56">
        <v>4.0957161905466152E-2</v>
      </c>
      <c r="E1014" s="224" t="s">
        <v>2</v>
      </c>
      <c r="F1014" s="515" t="s">
        <v>2786</v>
      </c>
      <c r="G1014" s="52">
        <v>507721.51861231902</v>
      </c>
      <c r="H1014" s="56">
        <v>9.1193451769857742E-3</v>
      </c>
      <c r="I1014" s="224">
        <v>2193.6653439153401</v>
      </c>
    </row>
    <row r="1015" spans="1:9" x14ac:dyDescent="0.25">
      <c r="A1015" s="515">
        <v>20110</v>
      </c>
      <c r="B1015" s="515" t="s">
        <v>321</v>
      </c>
      <c r="C1015" s="52">
        <v>441589.23470320698</v>
      </c>
      <c r="D1015" s="56">
        <v>5.6128743163396597E-2</v>
      </c>
      <c r="E1015" s="224">
        <v>1919.7888888888799</v>
      </c>
      <c r="F1015" s="515" t="s">
        <v>786</v>
      </c>
      <c r="G1015" s="52">
        <v>210258.596355085</v>
      </c>
      <c r="H1015" s="56">
        <v>0.10257271295080363</v>
      </c>
      <c r="I1015" s="224" t="s">
        <v>2</v>
      </c>
    </row>
    <row r="1016" spans="1:9" x14ac:dyDescent="0.25">
      <c r="A1016" s="515">
        <v>60643</v>
      </c>
      <c r="B1016" s="515" t="s">
        <v>394</v>
      </c>
      <c r="C1016" s="52">
        <v>203374.131155462</v>
      </c>
      <c r="D1016" s="56">
        <v>4.1823837786033038E-3</v>
      </c>
      <c r="E1016" s="224">
        <v>1579.1666666666599</v>
      </c>
      <c r="F1016" s="515" t="s">
        <v>2787</v>
      </c>
      <c r="G1016" s="52">
        <v>799330.99846721196</v>
      </c>
      <c r="H1016" s="56">
        <v>3.4268408022879435E-2</v>
      </c>
      <c r="I1016" s="224">
        <v>3038.8111111111102</v>
      </c>
    </row>
    <row r="1017" spans="1:9" x14ac:dyDescent="0.25">
      <c r="A1017" s="515">
        <v>32304</v>
      </c>
      <c r="B1017" s="515" t="s">
        <v>335</v>
      </c>
      <c r="C1017" s="52">
        <v>144867.84149320799</v>
      </c>
      <c r="D1017" s="56">
        <v>0.14239686499003315</v>
      </c>
      <c r="E1017" s="224">
        <v>1422.4624183006499</v>
      </c>
      <c r="F1017" s="515" t="s">
        <v>2788</v>
      </c>
      <c r="G1017" s="52">
        <v>262527.49037462199</v>
      </c>
      <c r="H1017" s="56">
        <v>5.4653069268303239E-2</v>
      </c>
      <c r="I1017" s="224">
        <v>1537.7777777777701</v>
      </c>
    </row>
    <row r="1018" spans="1:9" x14ac:dyDescent="0.25">
      <c r="A1018" s="515">
        <v>85029</v>
      </c>
      <c r="B1018" s="515" t="s">
        <v>563</v>
      </c>
      <c r="C1018" s="52">
        <v>344116.22714981501</v>
      </c>
      <c r="D1018" s="56">
        <v>4.6153205181202014E-2</v>
      </c>
      <c r="E1018" s="224">
        <v>1577.3425925925901</v>
      </c>
      <c r="F1018" s="515" t="s">
        <v>518</v>
      </c>
      <c r="G1018" s="52">
        <v>156607.194745107</v>
      </c>
      <c r="H1018" s="56">
        <v>0.10670256511923237</v>
      </c>
      <c r="I1018" s="224">
        <v>857.5</v>
      </c>
    </row>
    <row r="1019" spans="1:9" x14ac:dyDescent="0.25">
      <c r="A1019" s="515">
        <v>53511</v>
      </c>
      <c r="B1019" s="515" t="s">
        <v>379</v>
      </c>
      <c r="C1019" s="52">
        <v>156885.48721156101</v>
      </c>
      <c r="D1019" s="56">
        <v>0.10609903686859212</v>
      </c>
      <c r="E1019" s="224">
        <v>1036.6666666666599</v>
      </c>
      <c r="F1019" s="515" t="s">
        <v>2789</v>
      </c>
      <c r="G1019" s="52">
        <v>427340.212083861</v>
      </c>
      <c r="H1019" s="56">
        <v>0.11731771995561843</v>
      </c>
      <c r="I1019" s="224">
        <v>1865.81666666666</v>
      </c>
    </row>
    <row r="1020" spans="1:9" x14ac:dyDescent="0.25">
      <c r="A1020" s="515">
        <v>77581</v>
      </c>
      <c r="B1020" s="515" t="s">
        <v>314</v>
      </c>
      <c r="C1020" s="52">
        <v>341696.59555033501</v>
      </c>
      <c r="D1020" s="56">
        <v>7.7229700722850306E-2</v>
      </c>
      <c r="E1020" s="224">
        <v>1789.32142857142</v>
      </c>
      <c r="F1020" s="515" t="s">
        <v>2790</v>
      </c>
      <c r="G1020" s="52">
        <v>756630.28408717702</v>
      </c>
      <c r="H1020" s="56">
        <v>7.242356066458018E-2</v>
      </c>
      <c r="I1020" s="224">
        <v>3128.3916666666601</v>
      </c>
    </row>
    <row r="1021" spans="1:9" x14ac:dyDescent="0.25">
      <c r="A1021" s="515">
        <v>29223</v>
      </c>
      <c r="B1021" s="515" t="s">
        <v>762</v>
      </c>
      <c r="C1021" s="52">
        <v>203295.980632144</v>
      </c>
      <c r="D1021" s="56">
        <v>0.14946600912592428</v>
      </c>
      <c r="E1021" s="224">
        <v>1436.93412698412</v>
      </c>
      <c r="F1021" s="515" t="s">
        <v>2791</v>
      </c>
      <c r="G1021" s="52">
        <v>199332.89208560801</v>
      </c>
      <c r="H1021" s="56">
        <v>6.8776755335688486E-2</v>
      </c>
      <c r="I1021" s="224" t="s">
        <v>2</v>
      </c>
    </row>
    <row r="1022" spans="1:9" x14ac:dyDescent="0.25">
      <c r="A1022" s="515">
        <v>90023</v>
      </c>
      <c r="B1022" s="515" t="s">
        <v>375</v>
      </c>
      <c r="C1022" s="52">
        <v>600827.41244726803</v>
      </c>
      <c r="D1022" s="56">
        <v>7.430136345626287E-2</v>
      </c>
      <c r="E1022" s="224">
        <v>2700</v>
      </c>
      <c r="F1022" s="515" t="s">
        <v>832</v>
      </c>
      <c r="G1022" s="52">
        <v>339081.84987122897</v>
      </c>
      <c r="H1022" s="56">
        <v>2.6690069711400449E-2</v>
      </c>
      <c r="I1022" s="224">
        <v>1640</v>
      </c>
    </row>
    <row r="1023" spans="1:9" x14ac:dyDescent="0.25">
      <c r="A1023" s="515">
        <v>30157</v>
      </c>
      <c r="B1023" s="515" t="s">
        <v>957</v>
      </c>
      <c r="C1023" s="52">
        <v>309710.98726350901</v>
      </c>
      <c r="D1023" s="56">
        <v>7.1497424753160829E-2</v>
      </c>
      <c r="E1023" s="224">
        <v>1967.7314814814799</v>
      </c>
      <c r="F1023" s="515" t="s">
        <v>2792</v>
      </c>
      <c r="G1023" s="52">
        <v>552556.28396610799</v>
      </c>
      <c r="H1023" s="56">
        <v>8.8807707614880216E-2</v>
      </c>
      <c r="I1023" s="224">
        <v>2548.3989417989401</v>
      </c>
    </row>
    <row r="1024" spans="1:9" x14ac:dyDescent="0.25">
      <c r="A1024" s="515">
        <v>98003</v>
      </c>
      <c r="B1024" s="515" t="s">
        <v>384</v>
      </c>
      <c r="C1024" s="52">
        <v>509864.07259441097</v>
      </c>
      <c r="D1024" s="56">
        <v>3.7417570802704712E-2</v>
      </c>
      <c r="E1024" s="224">
        <v>1885.9352737905299</v>
      </c>
      <c r="F1024" s="515" t="s">
        <v>2793</v>
      </c>
      <c r="G1024" s="52">
        <v>202210.74506922401</v>
      </c>
      <c r="H1024" s="56">
        <v>5.6336063665737533E-2</v>
      </c>
      <c r="I1024" s="224">
        <v>940</v>
      </c>
    </row>
    <row r="1025" spans="1:9" x14ac:dyDescent="0.25">
      <c r="A1025" s="515">
        <v>97501</v>
      </c>
      <c r="B1025" s="515" t="s">
        <v>775</v>
      </c>
      <c r="C1025" s="52">
        <v>347336.92237283802</v>
      </c>
      <c r="D1025" s="56">
        <v>2.1369340553268751E-2</v>
      </c>
      <c r="E1025" s="224">
        <v>1650</v>
      </c>
      <c r="F1025" s="515" t="s">
        <v>2794</v>
      </c>
      <c r="G1025" s="52">
        <v>313870.391126659</v>
      </c>
      <c r="H1025" s="56">
        <v>0.11045800532102058</v>
      </c>
      <c r="I1025" s="224">
        <v>1706.25</v>
      </c>
    </row>
    <row r="1026" spans="1:9" x14ac:dyDescent="0.25">
      <c r="A1026" s="515">
        <v>90065</v>
      </c>
      <c r="B1026" s="515" t="s">
        <v>375</v>
      </c>
      <c r="C1026" s="52">
        <v>1025308.7976331901</v>
      </c>
      <c r="D1026" s="56">
        <v>5.6177174590625628E-2</v>
      </c>
      <c r="E1026" s="224">
        <v>2515.8148148148098</v>
      </c>
      <c r="F1026" s="515" t="s">
        <v>2795</v>
      </c>
      <c r="G1026" s="52">
        <v>90193.262921064495</v>
      </c>
      <c r="H1026" s="56">
        <v>5.0933746302593133E-2</v>
      </c>
      <c r="I1026" s="224">
        <v>987.11111111111097</v>
      </c>
    </row>
    <row r="1027" spans="1:9" x14ac:dyDescent="0.25">
      <c r="A1027" s="515">
        <v>89122</v>
      </c>
      <c r="B1027" s="515" t="s">
        <v>323</v>
      </c>
      <c r="C1027" s="52">
        <v>327540.81959613803</v>
      </c>
      <c r="D1027" s="56">
        <v>5.7256299406956923E-2</v>
      </c>
      <c r="E1027" s="224">
        <v>1765.81666666666</v>
      </c>
      <c r="F1027" s="515" t="s">
        <v>2796</v>
      </c>
      <c r="G1027" s="52">
        <v>343390.20214526501</v>
      </c>
      <c r="H1027" s="56">
        <v>7.8917209737796812E-2</v>
      </c>
      <c r="I1027" s="224">
        <v>2169.56725146198</v>
      </c>
    </row>
    <row r="1028" spans="1:9" x14ac:dyDescent="0.25">
      <c r="A1028" s="515">
        <v>10940</v>
      </c>
      <c r="B1028" s="515" t="s">
        <v>529</v>
      </c>
      <c r="C1028" s="52">
        <v>328319.83306059701</v>
      </c>
      <c r="D1028" s="56">
        <v>0.10975123498517132</v>
      </c>
      <c r="E1028" s="224" t="s">
        <v>2</v>
      </c>
      <c r="F1028" s="515" t="s">
        <v>650</v>
      </c>
      <c r="G1028" s="52">
        <v>203478.052367959</v>
      </c>
      <c r="H1028" s="56">
        <v>6.5521497829356262E-2</v>
      </c>
      <c r="I1028" s="224">
        <v>860</v>
      </c>
    </row>
    <row r="1029" spans="1:9" x14ac:dyDescent="0.25">
      <c r="A1029" s="515">
        <v>15301</v>
      </c>
      <c r="B1029" s="515" t="s">
        <v>297</v>
      </c>
      <c r="C1029" s="52">
        <v>199461.50032676701</v>
      </c>
      <c r="D1029" s="56">
        <v>7.3799686947521176E-2</v>
      </c>
      <c r="E1029" s="224">
        <v>1175.25</v>
      </c>
      <c r="F1029" s="515" t="s">
        <v>2797</v>
      </c>
      <c r="G1029" s="52">
        <v>1200751.81296633</v>
      </c>
      <c r="H1029" s="56">
        <v>5.28052450960022E-2</v>
      </c>
      <c r="I1029" s="224">
        <v>2392.9471471471402</v>
      </c>
    </row>
    <row r="1030" spans="1:9" x14ac:dyDescent="0.25">
      <c r="A1030" s="515">
        <v>78840</v>
      </c>
      <c r="B1030" s="515" t="s">
        <v>612</v>
      </c>
      <c r="C1030" s="52">
        <v>171613.55117422401</v>
      </c>
      <c r="D1030" s="56">
        <v>5.519392689446001E-2</v>
      </c>
      <c r="E1030" s="224" t="s">
        <v>2</v>
      </c>
      <c r="F1030" s="515" t="s">
        <v>884</v>
      </c>
      <c r="G1030" s="52">
        <v>297467.44574672298</v>
      </c>
      <c r="H1030" s="56">
        <v>2.7511138917428599E-2</v>
      </c>
      <c r="I1030" s="224">
        <v>982.07407407407402</v>
      </c>
    </row>
    <row r="1031" spans="1:9" x14ac:dyDescent="0.25">
      <c r="A1031" s="515">
        <v>85379</v>
      </c>
      <c r="B1031" s="515" t="s">
        <v>563</v>
      </c>
      <c r="C1031" s="52">
        <v>428019.22558144201</v>
      </c>
      <c r="D1031" s="56">
        <v>3.8696483671780454E-2</v>
      </c>
      <c r="E1031" s="224">
        <v>2042.4126984126899</v>
      </c>
      <c r="F1031" s="515" t="s">
        <v>2798</v>
      </c>
      <c r="G1031" s="52">
        <v>499461.65435414203</v>
      </c>
      <c r="H1031" s="56">
        <v>0.18874197692141553</v>
      </c>
      <c r="I1031" s="224">
        <v>3034.7038168802801</v>
      </c>
    </row>
    <row r="1032" spans="1:9" x14ac:dyDescent="0.25">
      <c r="A1032" s="515">
        <v>90638</v>
      </c>
      <c r="B1032" s="515" t="s">
        <v>375</v>
      </c>
      <c r="C1032" s="52">
        <v>778010.32418091397</v>
      </c>
      <c r="D1032" s="56">
        <v>5.8844287792219618E-2</v>
      </c>
      <c r="E1032" s="224">
        <v>2568.6666666666601</v>
      </c>
      <c r="F1032" s="515" t="s">
        <v>2799</v>
      </c>
      <c r="G1032" s="52">
        <v>358071.53732055298</v>
      </c>
      <c r="H1032" s="56">
        <v>5.3807189851659012E-2</v>
      </c>
      <c r="I1032" s="224">
        <v>1879.3088235294099</v>
      </c>
    </row>
    <row r="1033" spans="1:9" x14ac:dyDescent="0.25">
      <c r="A1033" s="515">
        <v>90057</v>
      </c>
      <c r="B1033" s="515" t="s">
        <v>375</v>
      </c>
      <c r="C1033" s="52">
        <v>553392.51056546299</v>
      </c>
      <c r="D1033" s="56">
        <v>-3.116634185872397E-3</v>
      </c>
      <c r="E1033" s="224">
        <v>2137.125</v>
      </c>
      <c r="F1033" s="515" t="s">
        <v>2800</v>
      </c>
      <c r="G1033" s="52">
        <v>426108.06568217598</v>
      </c>
      <c r="H1033" s="56">
        <v>9.1938258677968621E-2</v>
      </c>
      <c r="I1033" s="224">
        <v>1768.0952380952299</v>
      </c>
    </row>
    <row r="1034" spans="1:9" x14ac:dyDescent="0.25">
      <c r="A1034" s="515">
        <v>37087</v>
      </c>
      <c r="B1034" s="515" t="s">
        <v>684</v>
      </c>
      <c r="C1034" s="52">
        <v>416569.164930775</v>
      </c>
      <c r="D1034" s="56">
        <v>0.10118024830111225</v>
      </c>
      <c r="E1034" s="224">
        <v>1634.6666666666599</v>
      </c>
      <c r="F1034" s="515" t="s">
        <v>992</v>
      </c>
      <c r="G1034" s="52">
        <v>528890.32319757703</v>
      </c>
      <c r="H1034" s="56">
        <v>5.2308734381455189E-2</v>
      </c>
      <c r="I1034" s="224">
        <v>1866.6255411255399</v>
      </c>
    </row>
    <row r="1035" spans="1:9" x14ac:dyDescent="0.25">
      <c r="A1035" s="515">
        <v>91789</v>
      </c>
      <c r="B1035" s="515" t="s">
        <v>375</v>
      </c>
      <c r="C1035" s="52">
        <v>999940.36150573601</v>
      </c>
      <c r="D1035" s="56">
        <v>6.7996948737765725E-2</v>
      </c>
      <c r="E1035" s="224" t="s">
        <v>2</v>
      </c>
      <c r="F1035" s="515" t="s">
        <v>849</v>
      </c>
      <c r="G1035" s="52">
        <v>234984.58705374101</v>
      </c>
      <c r="H1035" s="56">
        <v>7.9237527518169745E-2</v>
      </c>
      <c r="I1035" s="224">
        <v>845.77311577311502</v>
      </c>
    </row>
    <row r="1036" spans="1:9" x14ac:dyDescent="0.25">
      <c r="A1036" s="515">
        <v>90032</v>
      </c>
      <c r="B1036" s="515" t="s">
        <v>375</v>
      </c>
      <c r="C1036" s="52">
        <v>762409.972511117</v>
      </c>
      <c r="D1036" s="56">
        <v>5.9741385706903224E-2</v>
      </c>
      <c r="E1036" s="224">
        <v>2590</v>
      </c>
      <c r="F1036" s="515" t="s">
        <v>2801</v>
      </c>
      <c r="G1036" s="52">
        <v>446480.32213664299</v>
      </c>
      <c r="H1036" s="56">
        <v>6.5390871433457856E-2</v>
      </c>
      <c r="I1036" s="224">
        <v>2537.9166666666601</v>
      </c>
    </row>
    <row r="1037" spans="1:9" x14ac:dyDescent="0.25">
      <c r="A1037" s="515">
        <v>73505</v>
      </c>
      <c r="B1037" s="515" t="s">
        <v>364</v>
      </c>
      <c r="C1037" s="52">
        <v>127379.37402156201</v>
      </c>
      <c r="D1037" s="56">
        <v>9.1775965206031956E-2</v>
      </c>
      <c r="E1037" s="224">
        <v>958.34722222222194</v>
      </c>
      <c r="F1037" s="515" t="s">
        <v>2802</v>
      </c>
      <c r="G1037" s="52">
        <v>525426.60443978501</v>
      </c>
      <c r="H1037" s="56">
        <v>8.7820780224487402E-2</v>
      </c>
      <c r="I1037" s="224">
        <v>2333.1666666666601</v>
      </c>
    </row>
    <row r="1038" spans="1:9" x14ac:dyDescent="0.25">
      <c r="A1038" s="515">
        <v>49201</v>
      </c>
      <c r="B1038" s="515" t="s">
        <v>1125</v>
      </c>
      <c r="C1038" s="52">
        <v>214772.65205147199</v>
      </c>
      <c r="D1038" s="56">
        <v>5.6604609704658242E-2</v>
      </c>
      <c r="E1038" s="224">
        <v>0</v>
      </c>
      <c r="F1038" s="515" t="s">
        <v>2803</v>
      </c>
      <c r="G1038" s="52">
        <v>218735.608992166</v>
      </c>
      <c r="H1038" s="56">
        <v>0.15518790927930257</v>
      </c>
      <c r="I1038" s="224" t="s">
        <v>2</v>
      </c>
    </row>
    <row r="1039" spans="1:9" x14ac:dyDescent="0.25">
      <c r="A1039" s="515">
        <v>32725</v>
      </c>
      <c r="B1039" s="515" t="s">
        <v>974</v>
      </c>
      <c r="C1039" s="52">
        <v>290498.88909490599</v>
      </c>
      <c r="D1039" s="56">
        <v>0.11065757888138841</v>
      </c>
      <c r="E1039" s="224">
        <v>1932.1064814814799</v>
      </c>
      <c r="F1039" s="515" t="s">
        <v>1025</v>
      </c>
      <c r="G1039" s="52">
        <v>258314.541868776</v>
      </c>
      <c r="H1039" s="56">
        <v>7.9329049810533736E-2</v>
      </c>
      <c r="I1039" s="224">
        <v>1300</v>
      </c>
    </row>
    <row r="1040" spans="1:9" x14ac:dyDescent="0.25">
      <c r="A1040" s="515">
        <v>91306</v>
      </c>
      <c r="B1040" s="515" t="s">
        <v>375</v>
      </c>
      <c r="C1040" s="52">
        <v>757155.27208493405</v>
      </c>
      <c r="D1040" s="56">
        <v>6.8943695117191117E-2</v>
      </c>
      <c r="E1040" s="224">
        <v>3497.7777777777701</v>
      </c>
      <c r="F1040" s="515" t="s">
        <v>2804</v>
      </c>
      <c r="G1040" s="52">
        <v>307715.07741162297</v>
      </c>
      <c r="H1040" s="56">
        <v>0.14774437029306184</v>
      </c>
      <c r="I1040" s="224">
        <v>2075</v>
      </c>
    </row>
    <row r="1041" spans="1:9" x14ac:dyDescent="0.25">
      <c r="A1041" s="515">
        <v>80918</v>
      </c>
      <c r="B1041" s="515" t="s">
        <v>701</v>
      </c>
      <c r="C1041" s="52">
        <v>429816.049774869</v>
      </c>
      <c r="D1041" s="56">
        <v>3.4018151099674064E-2</v>
      </c>
      <c r="E1041" s="224">
        <v>1684.7333333333299</v>
      </c>
      <c r="F1041" s="515" t="s">
        <v>448</v>
      </c>
      <c r="G1041" s="52">
        <v>203814.98312271101</v>
      </c>
      <c r="H1041" s="56">
        <v>6.5251780807534077E-2</v>
      </c>
      <c r="I1041" s="224">
        <v>1265.1666666666599</v>
      </c>
    </row>
    <row r="1042" spans="1:9" x14ac:dyDescent="0.25">
      <c r="A1042" s="515">
        <v>80123</v>
      </c>
      <c r="B1042" s="515" t="s">
        <v>401</v>
      </c>
      <c r="C1042" s="52">
        <v>581344.50723340595</v>
      </c>
      <c r="D1042" s="56">
        <v>1.106085167845397E-2</v>
      </c>
      <c r="E1042" s="224">
        <v>1810.74761904761</v>
      </c>
      <c r="F1042" s="515" t="s">
        <v>2805</v>
      </c>
      <c r="G1042" s="52">
        <v>321959.47266775701</v>
      </c>
      <c r="H1042" s="56">
        <v>7.8813666159677234E-2</v>
      </c>
      <c r="I1042" s="224">
        <v>2068.0972222222199</v>
      </c>
    </row>
    <row r="1043" spans="1:9" x14ac:dyDescent="0.25">
      <c r="A1043" s="515">
        <v>48185</v>
      </c>
      <c r="B1043" s="515" t="s">
        <v>685</v>
      </c>
      <c r="C1043" s="52">
        <v>192823.14258102601</v>
      </c>
      <c r="D1043" s="56">
        <v>5.5152987877278459E-2</v>
      </c>
      <c r="E1043" s="224">
        <v>1225.5888888888801</v>
      </c>
      <c r="F1043" s="515" t="s">
        <v>1249</v>
      </c>
      <c r="G1043" s="52">
        <v>230341.24174666801</v>
      </c>
      <c r="H1043" s="56">
        <v>0.14165136577816201</v>
      </c>
      <c r="I1043" s="224">
        <v>1313</v>
      </c>
    </row>
    <row r="1044" spans="1:9" x14ac:dyDescent="0.25">
      <c r="A1044" s="515">
        <v>85338</v>
      </c>
      <c r="B1044" s="515" t="s">
        <v>563</v>
      </c>
      <c r="C1044" s="52">
        <v>434922.71977266303</v>
      </c>
      <c r="D1044" s="56">
        <v>3.1720778586516354E-2</v>
      </c>
      <c r="E1044" s="224">
        <v>2080.5555555555502</v>
      </c>
      <c r="F1044" s="515" t="s">
        <v>1279</v>
      </c>
      <c r="G1044" s="52">
        <v>180678.0830517</v>
      </c>
      <c r="H1044" s="56">
        <v>4.6142213596802137E-2</v>
      </c>
      <c r="I1044" s="224">
        <v>884.02777777777703</v>
      </c>
    </row>
    <row r="1045" spans="1:9" x14ac:dyDescent="0.25">
      <c r="A1045" s="515">
        <v>85234</v>
      </c>
      <c r="B1045" s="515" t="s">
        <v>563</v>
      </c>
      <c r="C1045" s="52">
        <v>522977.24887281901</v>
      </c>
      <c r="D1045" s="56">
        <v>3.3765629413833542E-2</v>
      </c>
      <c r="E1045" s="224">
        <v>1955.1523692810399</v>
      </c>
      <c r="F1045" s="515" t="s">
        <v>2806</v>
      </c>
      <c r="G1045" s="52">
        <v>251174.69654355</v>
      </c>
      <c r="H1045" s="56">
        <v>0.11606180165002157</v>
      </c>
      <c r="I1045" s="224" t="s">
        <v>2</v>
      </c>
    </row>
    <row r="1046" spans="1:9" x14ac:dyDescent="0.25">
      <c r="A1046" s="515">
        <v>28546</v>
      </c>
      <c r="B1046" s="515" t="s">
        <v>1153</v>
      </c>
      <c r="C1046" s="52">
        <v>222141.81879645999</v>
      </c>
      <c r="D1046" s="56">
        <v>0.13876948723205126</v>
      </c>
      <c r="E1046" s="224">
        <v>1191.57037037037</v>
      </c>
      <c r="F1046" s="515" t="s">
        <v>2807</v>
      </c>
      <c r="G1046" s="52">
        <v>750003.899367537</v>
      </c>
      <c r="H1046" s="56">
        <v>2.7703425052861674E-2</v>
      </c>
      <c r="I1046" s="224">
        <v>2003.56078431372</v>
      </c>
    </row>
    <row r="1047" spans="1:9" x14ac:dyDescent="0.25">
      <c r="A1047" s="515">
        <v>85042</v>
      </c>
      <c r="B1047" s="515" t="s">
        <v>563</v>
      </c>
      <c r="C1047" s="52">
        <v>368784.36664915702</v>
      </c>
      <c r="D1047" s="56">
        <v>3.7818440096263777E-2</v>
      </c>
      <c r="E1047" s="224">
        <v>1908.5178571428501</v>
      </c>
      <c r="F1047" s="515" t="s">
        <v>2808</v>
      </c>
      <c r="G1047" s="52">
        <v>505022.371479886</v>
      </c>
      <c r="H1047" s="56">
        <v>8.9073733568574412E-2</v>
      </c>
      <c r="I1047" s="224">
        <v>1889.9905518906301</v>
      </c>
    </row>
    <row r="1048" spans="1:9" x14ac:dyDescent="0.25">
      <c r="A1048" s="515">
        <v>98661</v>
      </c>
      <c r="B1048" s="515" t="s">
        <v>659</v>
      </c>
      <c r="C1048" s="52">
        <v>426291.978945226</v>
      </c>
      <c r="D1048" s="56">
        <v>4.0285389530325975E-2</v>
      </c>
      <c r="E1048" s="224">
        <v>1701.9034391534301</v>
      </c>
      <c r="F1048" s="515" t="s">
        <v>2809</v>
      </c>
      <c r="G1048" s="52">
        <v>575407.55973470898</v>
      </c>
      <c r="H1048" s="56">
        <v>5.1213281821296482E-2</v>
      </c>
      <c r="I1048" s="224">
        <v>2071.25</v>
      </c>
    </row>
    <row r="1049" spans="1:9" x14ac:dyDescent="0.25">
      <c r="A1049" s="515">
        <v>95843</v>
      </c>
      <c r="B1049" s="515" t="s">
        <v>355</v>
      </c>
      <c r="C1049" s="52">
        <v>479900.746876986</v>
      </c>
      <c r="D1049" s="56">
        <v>1.5570600228907095E-2</v>
      </c>
      <c r="E1049" s="224">
        <v>2341.5470085470001</v>
      </c>
      <c r="F1049" s="515" t="s">
        <v>2810</v>
      </c>
      <c r="G1049" s="52">
        <v>818968.01111945603</v>
      </c>
      <c r="H1049" s="56">
        <v>7.4497478839014114E-2</v>
      </c>
      <c r="I1049" s="224">
        <v>2856.5277777777701</v>
      </c>
    </row>
    <row r="1050" spans="1:9" x14ac:dyDescent="0.25">
      <c r="A1050" s="515">
        <v>27604</v>
      </c>
      <c r="B1050" s="515" t="s">
        <v>484</v>
      </c>
      <c r="C1050" s="52">
        <v>331714.66275724</v>
      </c>
      <c r="D1050" s="56">
        <v>5.940342814484894E-2</v>
      </c>
      <c r="E1050" s="224">
        <v>1739.3662037037</v>
      </c>
      <c r="F1050" s="515" t="s">
        <v>2811</v>
      </c>
      <c r="G1050" s="52">
        <v>1086552.6231034801</v>
      </c>
      <c r="H1050" s="56">
        <v>-5.1739992227300821E-3</v>
      </c>
      <c r="I1050" s="224">
        <v>2579.2222222222199</v>
      </c>
    </row>
    <row r="1051" spans="1:9" x14ac:dyDescent="0.25">
      <c r="A1051" s="515">
        <v>66502</v>
      </c>
      <c r="B1051" s="515" t="s">
        <v>795</v>
      </c>
      <c r="C1051" s="52">
        <v>213142.23091897901</v>
      </c>
      <c r="D1051" s="56">
        <v>3.6178944996117922E-2</v>
      </c>
      <c r="E1051" s="224">
        <v>1209.32976262231</v>
      </c>
      <c r="F1051" s="515" t="s">
        <v>2812</v>
      </c>
      <c r="G1051" s="52">
        <v>412875.715253804</v>
      </c>
      <c r="H1051" s="56">
        <v>0.11434527421870644</v>
      </c>
      <c r="I1051" s="224">
        <v>1951.6666666666599</v>
      </c>
    </row>
    <row r="1052" spans="1:9" x14ac:dyDescent="0.25">
      <c r="A1052" s="515">
        <v>90033</v>
      </c>
      <c r="B1052" s="515" t="s">
        <v>375</v>
      </c>
      <c r="C1052" s="52">
        <v>649163.84365049202</v>
      </c>
      <c r="D1052" s="56">
        <v>2.4100135532476169E-2</v>
      </c>
      <c r="E1052" s="224">
        <v>2536.5</v>
      </c>
      <c r="F1052" s="515" t="s">
        <v>2813</v>
      </c>
      <c r="G1052" s="52">
        <v>257607.28253597399</v>
      </c>
      <c r="H1052" s="56">
        <v>5.0211531708121447E-2</v>
      </c>
      <c r="I1052" s="224">
        <v>1311.1111111111099</v>
      </c>
    </row>
    <row r="1053" spans="1:9" x14ac:dyDescent="0.25">
      <c r="A1053" s="515">
        <v>19464</v>
      </c>
      <c r="B1053" s="515" t="s">
        <v>294</v>
      </c>
      <c r="C1053" s="52">
        <v>246711.073502991</v>
      </c>
      <c r="D1053" s="56">
        <v>0.10853678977496485</v>
      </c>
      <c r="E1053" s="224">
        <v>1522.0833333333301</v>
      </c>
      <c r="F1053" s="515" t="s">
        <v>2814</v>
      </c>
      <c r="G1053" s="52">
        <v>576129.80295384605</v>
      </c>
      <c r="H1053" s="56">
        <v>5.9780711713097755E-2</v>
      </c>
      <c r="I1053" s="224">
        <v>2670.1666666666601</v>
      </c>
    </row>
    <row r="1054" spans="1:9" x14ac:dyDescent="0.25">
      <c r="A1054" s="515">
        <v>97123</v>
      </c>
      <c r="B1054" s="515" t="s">
        <v>659</v>
      </c>
      <c r="C1054" s="52">
        <v>516507.69224136398</v>
      </c>
      <c r="D1054" s="56">
        <v>4.0611413762215158E-2</v>
      </c>
      <c r="E1054" s="224">
        <v>2369.3968253968201</v>
      </c>
      <c r="F1054" s="515" t="s">
        <v>2815</v>
      </c>
      <c r="G1054" s="52">
        <v>316655.60558574199</v>
      </c>
      <c r="H1054" s="56">
        <v>9.4123631565901866E-2</v>
      </c>
      <c r="I1054" s="224">
        <v>1712.81481481481</v>
      </c>
    </row>
    <row r="1055" spans="1:9" x14ac:dyDescent="0.25">
      <c r="A1055" s="515">
        <v>95240</v>
      </c>
      <c r="B1055" s="515" t="s">
        <v>852</v>
      </c>
      <c r="C1055" s="52">
        <v>443813.97932946403</v>
      </c>
      <c r="D1055" s="56">
        <v>3.6788608967684072E-2</v>
      </c>
      <c r="E1055" s="224">
        <v>1716.80555555555</v>
      </c>
      <c r="F1055" s="515" t="s">
        <v>545</v>
      </c>
      <c r="G1055" s="52">
        <v>276227.47648510302</v>
      </c>
      <c r="H1055" s="56">
        <v>7.4611210902672601E-2</v>
      </c>
      <c r="I1055" s="224" t="s">
        <v>2</v>
      </c>
    </row>
    <row r="1056" spans="1:9" x14ac:dyDescent="0.25">
      <c r="A1056" s="515">
        <v>23455</v>
      </c>
      <c r="B1056" s="515" t="s">
        <v>301</v>
      </c>
      <c r="C1056" s="52">
        <v>388289.74900607998</v>
      </c>
      <c r="D1056" s="56">
        <v>4.1005836677441544E-2</v>
      </c>
      <c r="E1056" s="224">
        <v>1966.3958333333301</v>
      </c>
      <c r="F1056" s="515" t="s">
        <v>2816</v>
      </c>
      <c r="G1056" s="52">
        <v>345360.73270363797</v>
      </c>
      <c r="H1056" s="56">
        <v>7.2147718855384943E-2</v>
      </c>
      <c r="I1056" s="224">
        <v>1785.0833333333301</v>
      </c>
    </row>
    <row r="1057" spans="1:9" x14ac:dyDescent="0.25">
      <c r="A1057" s="515">
        <v>35215</v>
      </c>
      <c r="B1057" s="515" t="s">
        <v>640</v>
      </c>
      <c r="C1057" s="52">
        <v>151306.554499466</v>
      </c>
      <c r="D1057" s="56">
        <v>0.10223109084084345</v>
      </c>
      <c r="E1057" s="224">
        <v>1184.1191077440999</v>
      </c>
      <c r="F1057" s="515" t="s">
        <v>827</v>
      </c>
      <c r="G1057" s="52">
        <v>157396.77295894199</v>
      </c>
      <c r="H1057" s="56">
        <v>2.4340324521073514E-2</v>
      </c>
      <c r="I1057" s="224" t="s">
        <v>2</v>
      </c>
    </row>
    <row r="1058" spans="1:9" x14ac:dyDescent="0.25">
      <c r="A1058" s="515">
        <v>76017</v>
      </c>
      <c r="B1058" s="515" t="s">
        <v>458</v>
      </c>
      <c r="C1058" s="52">
        <v>316187.85833712399</v>
      </c>
      <c r="D1058" s="56">
        <v>7.9724088501193932E-2</v>
      </c>
      <c r="E1058" s="224">
        <v>2061.6603535353502</v>
      </c>
      <c r="F1058" s="515" t="s">
        <v>2817</v>
      </c>
      <c r="G1058" s="52">
        <v>371954.906130858</v>
      </c>
      <c r="H1058" s="56">
        <v>9.183113615863063E-2</v>
      </c>
      <c r="I1058" s="224">
        <v>2312.6777777777702</v>
      </c>
    </row>
    <row r="1059" spans="1:9" x14ac:dyDescent="0.25">
      <c r="A1059" s="515">
        <v>95060</v>
      </c>
      <c r="B1059" s="515" t="s">
        <v>596</v>
      </c>
      <c r="C1059" s="52">
        <v>1259967.50007686</v>
      </c>
      <c r="D1059" s="56">
        <v>3.1700588064343165E-2</v>
      </c>
      <c r="E1059" s="224">
        <v>3300.3142857142798</v>
      </c>
      <c r="F1059" s="515" t="s">
        <v>2818</v>
      </c>
      <c r="G1059" s="52">
        <v>724244.58690006798</v>
      </c>
      <c r="H1059" s="56">
        <v>-3.3962711232343352E-2</v>
      </c>
      <c r="I1059" s="224">
        <v>3550</v>
      </c>
    </row>
    <row r="1060" spans="1:9" x14ac:dyDescent="0.25">
      <c r="A1060" s="515">
        <v>78041</v>
      </c>
      <c r="B1060" s="515" t="s">
        <v>588</v>
      </c>
      <c r="C1060" s="52">
        <v>218819.509997574</v>
      </c>
      <c r="D1060" s="56">
        <v>2.7157423237323078E-2</v>
      </c>
      <c r="E1060" s="224" t="s">
        <v>2</v>
      </c>
      <c r="F1060" s="515" t="s">
        <v>2819</v>
      </c>
      <c r="G1060" s="52">
        <v>241101.635878498</v>
      </c>
      <c r="H1060" s="56">
        <v>9.440159912398452E-2</v>
      </c>
      <c r="I1060" s="224">
        <v>1224.44444444444</v>
      </c>
    </row>
    <row r="1061" spans="1:9" x14ac:dyDescent="0.25">
      <c r="A1061" s="515">
        <v>53209</v>
      </c>
      <c r="B1061" s="515" t="s">
        <v>950</v>
      </c>
      <c r="C1061" s="52">
        <v>127798.02286752099</v>
      </c>
      <c r="D1061" s="56">
        <v>6.8300934000773403E-2</v>
      </c>
      <c r="E1061" s="224">
        <v>1143.1031746031699</v>
      </c>
      <c r="F1061" s="515" t="s">
        <v>2820</v>
      </c>
      <c r="G1061" s="52">
        <v>197720.573403927</v>
      </c>
      <c r="H1061" s="56">
        <v>6.2787011895365882E-2</v>
      </c>
      <c r="I1061" s="224">
        <v>1575</v>
      </c>
    </row>
    <row r="1062" spans="1:9" x14ac:dyDescent="0.25">
      <c r="A1062" s="515">
        <v>46060</v>
      </c>
      <c r="B1062" s="515" t="s">
        <v>403</v>
      </c>
      <c r="C1062" s="52">
        <v>306581.33976327302</v>
      </c>
      <c r="D1062" s="56">
        <v>6.8086444104703631E-2</v>
      </c>
      <c r="E1062" s="224">
        <v>1724.2730158730101</v>
      </c>
      <c r="F1062" s="515" t="s">
        <v>2821</v>
      </c>
      <c r="G1062" s="52">
        <v>1208529.10579244</v>
      </c>
      <c r="H1062" s="56">
        <v>-5.24406471852314E-2</v>
      </c>
      <c r="I1062" s="224">
        <v>3025.5024250440902</v>
      </c>
    </row>
    <row r="1063" spans="1:9" x14ac:dyDescent="0.25">
      <c r="A1063" s="515">
        <v>7030</v>
      </c>
      <c r="B1063" s="515" t="s">
        <v>324</v>
      </c>
      <c r="C1063" s="52">
        <v>739321.69608452695</v>
      </c>
      <c r="D1063" s="56">
        <v>-5.0065887389467385E-2</v>
      </c>
      <c r="E1063" s="224">
        <v>3522.7414260621799</v>
      </c>
      <c r="F1063" s="515" t="s">
        <v>2822</v>
      </c>
      <c r="G1063" s="52">
        <v>313825.42649590102</v>
      </c>
      <c r="H1063" s="56">
        <v>5.9915481265621337E-2</v>
      </c>
      <c r="I1063" s="224">
        <v>2126.8518518518499</v>
      </c>
    </row>
    <row r="1064" spans="1:9" x14ac:dyDescent="0.25">
      <c r="A1064" s="515">
        <v>11237</v>
      </c>
      <c r="B1064" s="515" t="s">
        <v>324</v>
      </c>
      <c r="C1064" s="52">
        <v>806622.40850402298</v>
      </c>
      <c r="D1064" s="56">
        <v>-2.7682242394167778E-2</v>
      </c>
      <c r="E1064" s="224">
        <v>3272.7472329472298</v>
      </c>
      <c r="F1064" s="515" t="s">
        <v>2823</v>
      </c>
      <c r="G1064" s="52">
        <v>432888.902129444</v>
      </c>
      <c r="H1064" s="56">
        <v>8.0377444613511567E-2</v>
      </c>
      <c r="I1064" s="224">
        <v>2312.5436507936502</v>
      </c>
    </row>
    <row r="1065" spans="1:9" x14ac:dyDescent="0.25">
      <c r="A1065" s="515">
        <v>40214</v>
      </c>
      <c r="B1065" s="515" t="s">
        <v>479</v>
      </c>
      <c r="C1065" s="52">
        <v>187617.305311706</v>
      </c>
      <c r="D1065" s="56">
        <v>6.885349397455591E-2</v>
      </c>
      <c r="E1065" s="224">
        <v>1056.2777777777701</v>
      </c>
      <c r="F1065" s="515" t="s">
        <v>2824</v>
      </c>
      <c r="G1065" s="52">
        <v>739070.48775293794</v>
      </c>
      <c r="H1065" s="56">
        <v>-4.7027583967458944E-2</v>
      </c>
      <c r="I1065" s="224">
        <v>3534.30221246887</v>
      </c>
    </row>
    <row r="1066" spans="1:9" x14ac:dyDescent="0.25">
      <c r="A1066" s="515">
        <v>83854</v>
      </c>
      <c r="B1066" s="515" t="s">
        <v>992</v>
      </c>
      <c r="C1066" s="52">
        <v>480255.81712481799</v>
      </c>
      <c r="D1066" s="56">
        <v>5.3653007639413892E-2</v>
      </c>
      <c r="E1066" s="224">
        <v>1600.94444444444</v>
      </c>
      <c r="F1066" s="515" t="s">
        <v>2825</v>
      </c>
      <c r="G1066" s="52">
        <v>327906.69476822898</v>
      </c>
      <c r="H1066" s="56">
        <v>0</v>
      </c>
      <c r="I1066" s="224">
        <v>1817.7777777777701</v>
      </c>
    </row>
    <row r="1067" spans="1:9" x14ac:dyDescent="0.25">
      <c r="A1067" s="515">
        <v>77511</v>
      </c>
      <c r="B1067" s="515" t="s">
        <v>314</v>
      </c>
      <c r="C1067" s="52">
        <v>260901.567475535</v>
      </c>
      <c r="D1067" s="56">
        <v>6.675925173251343E-2</v>
      </c>
      <c r="E1067" s="224">
        <v>1292.44444444444</v>
      </c>
      <c r="F1067" s="515" t="s">
        <v>2826</v>
      </c>
      <c r="G1067" s="52">
        <v>638751.60388127796</v>
      </c>
      <c r="H1067" s="56">
        <v>5.5100149702143365E-2</v>
      </c>
      <c r="I1067" s="224">
        <v>1947.6813309244201</v>
      </c>
    </row>
    <row r="1068" spans="1:9" x14ac:dyDescent="0.25">
      <c r="A1068" s="515">
        <v>63303</v>
      </c>
      <c r="B1068" s="515" t="s">
        <v>498</v>
      </c>
      <c r="C1068" s="52">
        <v>310627.58545441501</v>
      </c>
      <c r="D1068" s="56">
        <v>5.3947424084651037E-2</v>
      </c>
      <c r="E1068" s="224">
        <v>1523.40460628695</v>
      </c>
      <c r="F1068" s="515" t="s">
        <v>2827</v>
      </c>
      <c r="G1068" s="52">
        <v>200632.01290685101</v>
      </c>
      <c r="H1068" s="56">
        <v>8.2227253536305889E-2</v>
      </c>
      <c r="I1068" s="224">
        <v>1132.7777777777701</v>
      </c>
    </row>
    <row r="1069" spans="1:9" x14ac:dyDescent="0.25">
      <c r="A1069" s="515">
        <v>92109</v>
      </c>
      <c r="B1069" s="515" t="s">
        <v>396</v>
      </c>
      <c r="C1069" s="52">
        <v>1263505.4374929001</v>
      </c>
      <c r="D1069" s="56">
        <v>2.3286898989037633E-2</v>
      </c>
      <c r="E1069" s="224">
        <v>2998.2075351213198</v>
      </c>
      <c r="F1069" s="515" t="s">
        <v>2828</v>
      </c>
      <c r="G1069" s="52">
        <v>833428.77991164394</v>
      </c>
      <c r="H1069" s="56">
        <v>6.4508821975846106E-2</v>
      </c>
      <c r="I1069" s="224">
        <v>3210.32828282828</v>
      </c>
    </row>
    <row r="1070" spans="1:9" x14ac:dyDescent="0.25">
      <c r="A1070" s="515">
        <v>33614</v>
      </c>
      <c r="B1070" s="515" t="s">
        <v>461</v>
      </c>
      <c r="C1070" s="52">
        <v>310684.03519456403</v>
      </c>
      <c r="D1070" s="56">
        <v>0.13979518116527778</v>
      </c>
      <c r="E1070" s="224">
        <v>1618.12037037037</v>
      </c>
      <c r="F1070" s="515" t="s">
        <v>2829</v>
      </c>
      <c r="G1070" s="52">
        <v>366715.06791953702</v>
      </c>
      <c r="H1070" s="56">
        <v>6.703621865187355E-2</v>
      </c>
      <c r="I1070" s="224">
        <v>1422.2873015872999</v>
      </c>
    </row>
    <row r="1071" spans="1:9" x14ac:dyDescent="0.25">
      <c r="A1071" s="515">
        <v>32837</v>
      </c>
      <c r="B1071" s="515" t="s">
        <v>517</v>
      </c>
      <c r="C1071" s="52">
        <v>389322.68860653602</v>
      </c>
      <c r="D1071" s="56">
        <v>8.5468321847512366E-2</v>
      </c>
      <c r="E1071" s="224">
        <v>2144.1316017315999</v>
      </c>
      <c r="F1071" s="515" t="s">
        <v>2830</v>
      </c>
      <c r="G1071" s="52">
        <v>575419.20708467904</v>
      </c>
      <c r="H1071" s="56">
        <v>4.2308357082871687E-2</v>
      </c>
      <c r="I1071" s="224">
        <v>1467.465007215</v>
      </c>
    </row>
    <row r="1072" spans="1:9" x14ac:dyDescent="0.25">
      <c r="A1072" s="515">
        <v>47150</v>
      </c>
      <c r="B1072" s="515" t="s">
        <v>479</v>
      </c>
      <c r="C1072" s="52">
        <v>197247.35377777001</v>
      </c>
      <c r="D1072" s="56">
        <v>5.9725373711632841E-2</v>
      </c>
      <c r="E1072" s="224">
        <v>1073.3333333333301</v>
      </c>
      <c r="F1072" s="515" t="s">
        <v>1045</v>
      </c>
      <c r="G1072" s="52">
        <v>233564.91872173999</v>
      </c>
      <c r="H1072" s="56">
        <v>0.14024448216452245</v>
      </c>
      <c r="I1072" s="224">
        <v>1425.625</v>
      </c>
    </row>
    <row r="1073" spans="1:9" x14ac:dyDescent="0.25">
      <c r="A1073" s="515">
        <v>7052</v>
      </c>
      <c r="B1073" s="515" t="s">
        <v>324</v>
      </c>
      <c r="C1073" s="52">
        <v>510521.64769810298</v>
      </c>
      <c r="D1073" s="56">
        <v>6.3046196456612857E-2</v>
      </c>
      <c r="E1073" s="224">
        <v>2826.1111111111099</v>
      </c>
      <c r="F1073" s="515" t="s">
        <v>2831</v>
      </c>
      <c r="G1073" s="52">
        <v>295352.89627665799</v>
      </c>
      <c r="H1073" s="56">
        <v>8.5715585548910941E-2</v>
      </c>
      <c r="I1073" s="224" t="s">
        <v>2</v>
      </c>
    </row>
    <row r="1074" spans="1:9" x14ac:dyDescent="0.25">
      <c r="A1074" s="515">
        <v>48219</v>
      </c>
      <c r="B1074" s="515" t="s">
        <v>685</v>
      </c>
      <c r="C1074" s="52">
        <v>84159.754049844603</v>
      </c>
      <c r="D1074" s="56">
        <v>6.2941799877378524E-2</v>
      </c>
      <c r="E1074" s="224">
        <v>1135.8333333333301</v>
      </c>
      <c r="F1074" s="515" t="s">
        <v>2832</v>
      </c>
      <c r="G1074" s="52">
        <v>347143.51158125099</v>
      </c>
      <c r="H1074" s="56">
        <v>2.3252189745231817E-2</v>
      </c>
      <c r="I1074" s="224">
        <v>1879.4166666666599</v>
      </c>
    </row>
    <row r="1075" spans="1:9" x14ac:dyDescent="0.25">
      <c r="A1075" s="515">
        <v>29607</v>
      </c>
      <c r="B1075" s="515" t="s">
        <v>613</v>
      </c>
      <c r="C1075" s="52">
        <v>329814.03648990399</v>
      </c>
      <c r="D1075" s="56">
        <v>0.1391775831143032</v>
      </c>
      <c r="E1075" s="224">
        <v>1448.3474239898301</v>
      </c>
      <c r="F1075" s="515" t="s">
        <v>2833</v>
      </c>
      <c r="G1075" s="52">
        <v>417721.21084557701</v>
      </c>
      <c r="H1075" s="56">
        <v>-3.0334743725277443E-2</v>
      </c>
      <c r="I1075" s="224">
        <v>2831.5515648567098</v>
      </c>
    </row>
    <row r="1076" spans="1:9" x14ac:dyDescent="0.25">
      <c r="A1076" s="515">
        <v>19145</v>
      </c>
      <c r="B1076" s="515" t="s">
        <v>294</v>
      </c>
      <c r="C1076" s="52">
        <v>243520.84936843801</v>
      </c>
      <c r="D1076" s="56">
        <v>7.8046249072091109E-2</v>
      </c>
      <c r="E1076" s="224">
        <v>1522.4523809523801</v>
      </c>
      <c r="F1076" s="515" t="s">
        <v>2834</v>
      </c>
      <c r="G1076" s="52">
        <v>258188.40650028799</v>
      </c>
      <c r="H1076" s="56">
        <v>7.45241098657978E-2</v>
      </c>
      <c r="I1076" s="224">
        <v>1397.5</v>
      </c>
    </row>
    <row r="1077" spans="1:9" x14ac:dyDescent="0.25">
      <c r="A1077" s="515">
        <v>75060</v>
      </c>
      <c r="B1077" s="515" t="s">
        <v>458</v>
      </c>
      <c r="C1077" s="52">
        <v>278565.64537507098</v>
      </c>
      <c r="D1077" s="56">
        <v>0.13458818534013106</v>
      </c>
      <c r="E1077" s="224">
        <v>1936.94444444444</v>
      </c>
      <c r="F1077" s="515" t="s">
        <v>2835</v>
      </c>
      <c r="G1077" s="52">
        <v>275587.59915998601</v>
      </c>
      <c r="H1077" s="56">
        <v>0.10336183192928378</v>
      </c>
      <c r="I1077" s="224">
        <v>1762.6666666666599</v>
      </c>
    </row>
    <row r="1078" spans="1:9" x14ac:dyDescent="0.25">
      <c r="A1078" s="515">
        <v>32824</v>
      </c>
      <c r="B1078" s="515" t="s">
        <v>517</v>
      </c>
      <c r="C1078" s="52">
        <v>388504.55669704499</v>
      </c>
      <c r="D1078" s="56">
        <v>9.2593129001675656E-2</v>
      </c>
      <c r="E1078" s="224">
        <v>2288.5852813852798</v>
      </c>
      <c r="F1078" s="515" t="s">
        <v>2836</v>
      </c>
      <c r="G1078" s="52">
        <v>456725.35382389202</v>
      </c>
      <c r="H1078" s="56">
        <v>1.9238237449125926E-3</v>
      </c>
      <c r="I1078" s="224">
        <v>2523.1037037036999</v>
      </c>
    </row>
    <row r="1079" spans="1:9" x14ac:dyDescent="0.25">
      <c r="A1079" s="515">
        <v>10028</v>
      </c>
      <c r="B1079" s="515" t="s">
        <v>324</v>
      </c>
      <c r="C1079" s="52">
        <v>1457482.73830131</v>
      </c>
      <c r="D1079" s="56">
        <v>1.1541930015512437E-2</v>
      </c>
      <c r="E1079" s="224">
        <v>3234.7825051759801</v>
      </c>
      <c r="F1079" s="515" t="s">
        <v>652</v>
      </c>
      <c r="G1079" s="52">
        <v>125960.210488571</v>
      </c>
      <c r="H1079" s="56">
        <v>0.13255642210300561</v>
      </c>
      <c r="I1079" s="224" t="s">
        <v>2</v>
      </c>
    </row>
    <row r="1080" spans="1:9" x14ac:dyDescent="0.25">
      <c r="A1080" s="515">
        <v>71913</v>
      </c>
      <c r="B1080" s="515" t="s">
        <v>1082</v>
      </c>
      <c r="C1080" s="52">
        <v>243616.20376162601</v>
      </c>
      <c r="D1080" s="56">
        <v>9.6950892524609991E-2</v>
      </c>
      <c r="E1080" s="224" t="s">
        <v>2</v>
      </c>
      <c r="F1080" s="515" t="s">
        <v>1275</v>
      </c>
      <c r="G1080" s="52">
        <v>218029.192099721</v>
      </c>
      <c r="H1080" s="56">
        <v>9.8963281991018517E-2</v>
      </c>
      <c r="I1080" s="224">
        <v>1250</v>
      </c>
    </row>
    <row r="1081" spans="1:9" x14ac:dyDescent="0.25">
      <c r="A1081" s="515">
        <v>92104</v>
      </c>
      <c r="B1081" s="515" t="s">
        <v>396</v>
      </c>
      <c r="C1081" s="52">
        <v>795963.45048759296</v>
      </c>
      <c r="D1081" s="56">
        <v>1.2571296514694595E-2</v>
      </c>
      <c r="E1081" s="224">
        <v>2463.3459282263598</v>
      </c>
      <c r="F1081" s="515" t="s">
        <v>2837</v>
      </c>
      <c r="G1081" s="52">
        <v>526175.61678931303</v>
      </c>
      <c r="H1081" s="56">
        <v>4.4126974875401716E-2</v>
      </c>
      <c r="I1081" s="224">
        <v>2385.75</v>
      </c>
    </row>
    <row r="1082" spans="1:9" x14ac:dyDescent="0.25">
      <c r="A1082" s="515">
        <v>27405</v>
      </c>
      <c r="B1082" s="515" t="s">
        <v>1148</v>
      </c>
      <c r="C1082" s="52">
        <v>179188.31027045101</v>
      </c>
      <c r="D1082" s="56">
        <v>0.11744909611624085</v>
      </c>
      <c r="E1082" s="224">
        <v>1281.18518518518</v>
      </c>
      <c r="F1082" s="515" t="s">
        <v>2838</v>
      </c>
      <c r="G1082" s="52">
        <v>276639.60924369202</v>
      </c>
      <c r="H1082" s="56">
        <v>4.2789324525694172E-2</v>
      </c>
      <c r="I1082" s="224">
        <v>1444.3333333333301</v>
      </c>
    </row>
    <row r="1083" spans="1:9" x14ac:dyDescent="0.25">
      <c r="A1083" s="515">
        <v>98034</v>
      </c>
      <c r="B1083" s="515" t="s">
        <v>384</v>
      </c>
      <c r="C1083" s="52">
        <v>928652.61889402894</v>
      </c>
      <c r="D1083" s="56">
        <v>2.4113611041989703E-2</v>
      </c>
      <c r="E1083" s="224">
        <v>2373.0124830057998</v>
      </c>
      <c r="F1083" s="515" t="s">
        <v>1152</v>
      </c>
      <c r="G1083" s="52">
        <v>176560.55134731001</v>
      </c>
      <c r="H1083" s="56">
        <v>0.20182650697433399</v>
      </c>
      <c r="I1083" s="224">
        <v>1301.88888888888</v>
      </c>
    </row>
    <row r="1084" spans="1:9" x14ac:dyDescent="0.25">
      <c r="A1084" s="515">
        <v>97223</v>
      </c>
      <c r="B1084" s="515" t="s">
        <v>659</v>
      </c>
      <c r="C1084" s="52">
        <v>573595.87072528002</v>
      </c>
      <c r="D1084" s="56">
        <v>3.4996110516469212E-2</v>
      </c>
      <c r="E1084" s="224">
        <v>2064.5808080808001</v>
      </c>
      <c r="F1084" s="515" t="s">
        <v>2839</v>
      </c>
      <c r="G1084" s="52">
        <v>302759.32597674098</v>
      </c>
      <c r="H1084" s="56">
        <v>-7.9812257708149171E-4</v>
      </c>
      <c r="I1084" s="224">
        <v>1357.7777777777701</v>
      </c>
    </row>
    <row r="1085" spans="1:9" x14ac:dyDescent="0.25">
      <c r="A1085" s="515">
        <v>63031</v>
      </c>
      <c r="B1085" s="515" t="s">
        <v>498</v>
      </c>
      <c r="C1085" s="52">
        <v>157527.930329214</v>
      </c>
      <c r="D1085" s="56">
        <v>9.4270384944009952E-2</v>
      </c>
      <c r="E1085" s="224">
        <v>1464.75277777777</v>
      </c>
      <c r="F1085" s="515" t="s">
        <v>2840</v>
      </c>
      <c r="G1085" s="52">
        <v>207362.998470989</v>
      </c>
      <c r="H1085" s="56">
        <v>0.15538505629016475</v>
      </c>
      <c r="I1085" s="224">
        <v>1202</v>
      </c>
    </row>
    <row r="1086" spans="1:9" x14ac:dyDescent="0.25">
      <c r="A1086" s="515">
        <v>84081</v>
      </c>
      <c r="B1086" s="515" t="s">
        <v>617</v>
      </c>
      <c r="C1086" s="52">
        <v>536406.12727233197</v>
      </c>
      <c r="D1086" s="56">
        <v>2.0914357203943839E-2</v>
      </c>
      <c r="E1086" s="224">
        <v>1765.3333333333301</v>
      </c>
      <c r="F1086" s="515" t="s">
        <v>2841</v>
      </c>
      <c r="G1086" s="52">
        <v>587414.04468438495</v>
      </c>
      <c r="H1086" s="56">
        <v>5.7144033245573399E-2</v>
      </c>
      <c r="I1086" s="224">
        <v>2635.4285714285702</v>
      </c>
    </row>
    <row r="1087" spans="1:9" x14ac:dyDescent="0.25">
      <c r="A1087" s="515">
        <v>2128</v>
      </c>
      <c r="B1087" s="515" t="s">
        <v>534</v>
      </c>
      <c r="C1087" s="52">
        <v>556841.16068231501</v>
      </c>
      <c r="D1087" s="56">
        <v>-1.5632729770529388E-2</v>
      </c>
      <c r="E1087" s="224">
        <v>2895.9175213675198</v>
      </c>
      <c r="F1087" s="515" t="s">
        <v>833</v>
      </c>
      <c r="G1087" s="52">
        <v>279391.14152319299</v>
      </c>
      <c r="H1087" s="56">
        <v>9.9627799651421614E-2</v>
      </c>
      <c r="I1087" s="224">
        <v>1296.1111111111099</v>
      </c>
    </row>
    <row r="1088" spans="1:9" x14ac:dyDescent="0.25">
      <c r="A1088" s="515">
        <v>20148</v>
      </c>
      <c r="B1088" s="515" t="s">
        <v>321</v>
      </c>
      <c r="C1088" s="52">
        <v>797775.59386161005</v>
      </c>
      <c r="D1088" s="56">
        <v>1.4882997318929281E-2</v>
      </c>
      <c r="E1088" s="224">
        <v>2494.0538461538399</v>
      </c>
      <c r="F1088" s="515" t="s">
        <v>542</v>
      </c>
      <c r="G1088" s="52">
        <v>272078.15010723303</v>
      </c>
      <c r="H1088" s="56">
        <v>5.559188951845153E-2</v>
      </c>
      <c r="I1088" s="224" t="s">
        <v>2</v>
      </c>
    </row>
    <row r="1089" spans="1:9" x14ac:dyDescent="0.25">
      <c r="A1089" s="515">
        <v>48066</v>
      </c>
      <c r="B1089" s="515" t="s">
        <v>685</v>
      </c>
      <c r="C1089" s="52">
        <v>150437.852271977</v>
      </c>
      <c r="D1089" s="56">
        <v>9.1079183812739412E-2</v>
      </c>
      <c r="E1089" s="224">
        <v>1369.00793650793</v>
      </c>
      <c r="F1089" s="515" t="s">
        <v>2842</v>
      </c>
      <c r="G1089" s="52">
        <v>374748.131288164</v>
      </c>
      <c r="H1089" s="56">
        <v>-2.8522834778083477E-2</v>
      </c>
      <c r="I1089" s="224">
        <v>1845.2640415140399</v>
      </c>
    </row>
    <row r="1090" spans="1:9" x14ac:dyDescent="0.25">
      <c r="A1090" s="515">
        <v>20772</v>
      </c>
      <c r="B1090" s="515" t="s">
        <v>321</v>
      </c>
      <c r="C1090" s="52">
        <v>439942.10476683901</v>
      </c>
      <c r="D1090" s="56">
        <v>3.019928202566759E-2</v>
      </c>
      <c r="E1090" s="224">
        <v>2787.5</v>
      </c>
      <c r="F1090" s="515" t="s">
        <v>2843</v>
      </c>
      <c r="G1090" s="52">
        <v>287433.75695990399</v>
      </c>
      <c r="H1090" s="56">
        <v>0.15799070780930868</v>
      </c>
      <c r="I1090" s="224">
        <v>1418.2111111111101</v>
      </c>
    </row>
    <row r="1091" spans="1:9" x14ac:dyDescent="0.25">
      <c r="A1091" s="515">
        <v>27513</v>
      </c>
      <c r="B1091" s="515" t="s">
        <v>484</v>
      </c>
      <c r="C1091" s="52">
        <v>510564.58330277901</v>
      </c>
      <c r="D1091" s="56">
        <v>5.0125027836367408E-2</v>
      </c>
      <c r="E1091" s="224">
        <v>1507.1527777777701</v>
      </c>
      <c r="F1091" s="515" t="s">
        <v>2844</v>
      </c>
      <c r="G1091" s="52">
        <v>302393.486049167</v>
      </c>
      <c r="H1091" s="56">
        <v>3.3644088709646032E-2</v>
      </c>
      <c r="I1091" s="224">
        <v>1772.91096866096</v>
      </c>
    </row>
    <row r="1092" spans="1:9" x14ac:dyDescent="0.25">
      <c r="A1092" s="515">
        <v>23188</v>
      </c>
      <c r="B1092" s="515" t="s">
        <v>301</v>
      </c>
      <c r="C1092" s="52">
        <v>405371.95661545801</v>
      </c>
      <c r="D1092" s="56">
        <v>8.5573068949120881E-2</v>
      </c>
      <c r="E1092" s="224">
        <v>1809.42592592592</v>
      </c>
      <c r="F1092" s="515" t="s">
        <v>2845</v>
      </c>
      <c r="G1092" s="52">
        <v>277393.11302832502</v>
      </c>
      <c r="H1092" s="56">
        <v>0.12188637808570885</v>
      </c>
      <c r="I1092" s="224">
        <v>1785.99206349206</v>
      </c>
    </row>
    <row r="1093" spans="1:9" x14ac:dyDescent="0.25">
      <c r="A1093" s="515">
        <v>44102</v>
      </c>
      <c r="B1093" s="515" t="s">
        <v>520</v>
      </c>
      <c r="C1093" s="52">
        <v>109405.025276272</v>
      </c>
      <c r="D1093" s="56">
        <v>7.117350017539642E-2</v>
      </c>
      <c r="E1093" s="224">
        <v>1290.6210826210799</v>
      </c>
      <c r="F1093" s="515" t="s">
        <v>2846</v>
      </c>
      <c r="G1093" s="52">
        <v>185013.667489527</v>
      </c>
      <c r="H1093" s="56">
        <v>-3.2257961749471674E-3</v>
      </c>
      <c r="I1093" s="224">
        <v>1197.5</v>
      </c>
    </row>
    <row r="1094" spans="1:9" x14ac:dyDescent="0.25">
      <c r="A1094" s="515">
        <v>63366</v>
      </c>
      <c r="B1094" s="515" t="s">
        <v>498</v>
      </c>
      <c r="C1094" s="52">
        <v>308951.02689992503</v>
      </c>
      <c r="D1094" s="56">
        <v>7.1696962211465431E-2</v>
      </c>
      <c r="E1094" s="224" t="s">
        <v>2</v>
      </c>
      <c r="F1094" s="515" t="s">
        <v>1308</v>
      </c>
      <c r="G1094" s="52">
        <v>290993.04980456602</v>
      </c>
      <c r="H1094" s="56">
        <v>0.10150167733292106</v>
      </c>
      <c r="I1094" s="224">
        <v>1829.84848484848</v>
      </c>
    </row>
    <row r="1095" spans="1:9" x14ac:dyDescent="0.25">
      <c r="A1095" s="515">
        <v>77064</v>
      </c>
      <c r="B1095" s="515" t="s">
        <v>314</v>
      </c>
      <c r="C1095" s="52">
        <v>265706.71257541399</v>
      </c>
      <c r="D1095" s="56">
        <v>8.7344169135741848E-2</v>
      </c>
      <c r="E1095" s="224">
        <v>1578.0869963369901</v>
      </c>
      <c r="F1095" s="515" t="s">
        <v>814</v>
      </c>
      <c r="G1095" s="52">
        <v>191692.441442479</v>
      </c>
      <c r="H1095" s="56">
        <v>1.6838074152804722E-2</v>
      </c>
      <c r="I1095" s="224">
        <v>1134.44444444444</v>
      </c>
    </row>
    <row r="1096" spans="1:9" x14ac:dyDescent="0.25">
      <c r="A1096" s="515">
        <v>92374</v>
      </c>
      <c r="B1096" s="515" t="s">
        <v>599</v>
      </c>
      <c r="C1096" s="52">
        <v>525840.42936797999</v>
      </c>
      <c r="D1096" s="56">
        <v>5.5985407546601883E-2</v>
      </c>
      <c r="E1096" s="224">
        <v>2427.9583333333298</v>
      </c>
      <c r="F1096" s="515" t="s">
        <v>2847</v>
      </c>
      <c r="G1096" s="52">
        <v>177899.427474394</v>
      </c>
      <c r="H1096" s="56">
        <v>5.1851940320543112E-2</v>
      </c>
      <c r="I1096" s="224">
        <v>1025</v>
      </c>
    </row>
    <row r="1097" spans="1:9" x14ac:dyDescent="0.25">
      <c r="A1097" s="515">
        <v>20774</v>
      </c>
      <c r="B1097" s="515" t="s">
        <v>321</v>
      </c>
      <c r="C1097" s="52">
        <v>431244.93297508598</v>
      </c>
      <c r="D1097" s="56">
        <v>3.8845922687594264E-2</v>
      </c>
      <c r="E1097" s="224">
        <v>2011.4461538461501</v>
      </c>
      <c r="F1097" s="515" t="s">
        <v>1033</v>
      </c>
      <c r="G1097" s="52">
        <v>184313.07608984501</v>
      </c>
      <c r="H1097" s="56">
        <v>4.8913551520273678E-2</v>
      </c>
      <c r="I1097" s="224" t="s">
        <v>2</v>
      </c>
    </row>
    <row r="1098" spans="1:9" x14ac:dyDescent="0.25">
      <c r="A1098" s="515">
        <v>28212</v>
      </c>
      <c r="B1098" s="515" t="s">
        <v>360</v>
      </c>
      <c r="C1098" s="52">
        <v>294800.21371640102</v>
      </c>
      <c r="D1098" s="56">
        <v>8.8239176001360692E-2</v>
      </c>
      <c r="E1098" s="224">
        <v>1603.1693121693099</v>
      </c>
      <c r="F1098" s="515" t="s">
        <v>2848</v>
      </c>
      <c r="G1098" s="52">
        <v>527530.73392119003</v>
      </c>
      <c r="H1098" s="56">
        <v>7.8447568872060031E-2</v>
      </c>
      <c r="I1098" s="224">
        <v>2469.8201058200998</v>
      </c>
    </row>
    <row r="1099" spans="1:9" x14ac:dyDescent="0.25">
      <c r="A1099" s="515">
        <v>75028</v>
      </c>
      <c r="B1099" s="515" t="s">
        <v>458</v>
      </c>
      <c r="C1099" s="52">
        <v>513376.14462333597</v>
      </c>
      <c r="D1099" s="56">
        <v>5.9234169813340877E-2</v>
      </c>
      <c r="E1099" s="224">
        <v>2140.3412698412699</v>
      </c>
      <c r="F1099" s="515" t="s">
        <v>2849</v>
      </c>
      <c r="G1099" s="52">
        <v>561284.21520775906</v>
      </c>
      <c r="H1099" s="56">
        <v>4.4930876867658759E-2</v>
      </c>
      <c r="I1099" s="224">
        <v>1824.21396011396</v>
      </c>
    </row>
    <row r="1100" spans="1:9" x14ac:dyDescent="0.25">
      <c r="A1100" s="515">
        <v>48235</v>
      </c>
      <c r="B1100" s="515" t="s">
        <v>685</v>
      </c>
      <c r="C1100" s="52">
        <v>87798.208858686194</v>
      </c>
      <c r="D1100" s="56">
        <v>7.9323756498538137E-2</v>
      </c>
      <c r="E1100" s="224">
        <v>1185.69444444444</v>
      </c>
      <c r="F1100" s="515" t="s">
        <v>2850</v>
      </c>
      <c r="G1100" s="52">
        <v>408921.51104790898</v>
      </c>
      <c r="H1100" s="56">
        <v>8.0611953692534224E-2</v>
      </c>
      <c r="I1100" s="224">
        <v>1645.81454248366</v>
      </c>
    </row>
    <row r="1101" spans="1:9" x14ac:dyDescent="0.25">
      <c r="A1101" s="515">
        <v>98118</v>
      </c>
      <c r="B1101" s="515" t="s">
        <v>384</v>
      </c>
      <c r="C1101" s="52">
        <v>698149.36565445201</v>
      </c>
      <c r="D1101" s="56">
        <v>2.2709074800065707E-2</v>
      </c>
      <c r="E1101" s="224">
        <v>1946.2095238095201</v>
      </c>
      <c r="F1101" s="515" t="s">
        <v>2851</v>
      </c>
      <c r="G1101" s="52">
        <v>238163.209344476</v>
      </c>
      <c r="H1101" s="56">
        <v>7.1023176776170899E-2</v>
      </c>
      <c r="I1101" s="224" t="s">
        <v>2</v>
      </c>
    </row>
    <row r="1102" spans="1:9" x14ac:dyDescent="0.25">
      <c r="A1102" s="515">
        <v>30039</v>
      </c>
      <c r="B1102" s="515" t="s">
        <v>957</v>
      </c>
      <c r="C1102" s="52">
        <v>336254.61691164499</v>
      </c>
      <c r="D1102" s="56">
        <v>7.4555964424393217E-2</v>
      </c>
      <c r="E1102" s="224">
        <v>2118.8674242424199</v>
      </c>
      <c r="F1102" s="515" t="s">
        <v>2852</v>
      </c>
      <c r="G1102" s="52">
        <v>462902.77713037102</v>
      </c>
      <c r="H1102" s="56">
        <v>0</v>
      </c>
      <c r="I1102" s="224">
        <v>3077.2222222222199</v>
      </c>
    </row>
    <row r="1103" spans="1:9" x14ac:dyDescent="0.25">
      <c r="A1103" s="515">
        <v>33617</v>
      </c>
      <c r="B1103" s="515" t="s">
        <v>461</v>
      </c>
      <c r="C1103" s="52">
        <v>283694.71773857903</v>
      </c>
      <c r="D1103" s="56">
        <v>0.12703214228763018</v>
      </c>
      <c r="E1103" s="224">
        <v>1707.0888888888801</v>
      </c>
      <c r="F1103" s="515" t="s">
        <v>2853</v>
      </c>
      <c r="G1103" s="52">
        <v>926568.53467192</v>
      </c>
      <c r="H1103" s="56">
        <v>8.2145055528425409E-2</v>
      </c>
      <c r="I1103" s="224">
        <v>2570.8333333333298</v>
      </c>
    </row>
    <row r="1104" spans="1:9" x14ac:dyDescent="0.25">
      <c r="A1104" s="515">
        <v>60014</v>
      </c>
      <c r="B1104" s="515" t="s">
        <v>394</v>
      </c>
      <c r="C1104" s="52">
        <v>290645.94664364302</v>
      </c>
      <c r="D1104" s="56">
        <v>7.3183250069631819E-2</v>
      </c>
      <c r="E1104" s="224">
        <v>1573.75</v>
      </c>
      <c r="F1104" s="515" t="s">
        <v>2854</v>
      </c>
      <c r="G1104" s="52">
        <v>365399.46157646499</v>
      </c>
      <c r="H1104" s="56">
        <v>4.0008548789177881E-2</v>
      </c>
      <c r="I1104" s="224">
        <v>1770.57037037037</v>
      </c>
    </row>
    <row r="1105" spans="1:9" x14ac:dyDescent="0.25">
      <c r="A1105" s="515">
        <v>40324</v>
      </c>
      <c r="B1105" s="515" t="s">
        <v>515</v>
      </c>
      <c r="C1105" s="52">
        <v>275027.20967433898</v>
      </c>
      <c r="D1105" s="56">
        <v>9.9793352643588851E-2</v>
      </c>
      <c r="E1105" s="224">
        <v>1386.6666666666599</v>
      </c>
      <c r="F1105" s="515" t="s">
        <v>2855</v>
      </c>
      <c r="G1105" s="52">
        <v>290523.98723404203</v>
      </c>
      <c r="H1105" s="56">
        <v>0</v>
      </c>
      <c r="I1105" s="224">
        <v>1508.8636363636299</v>
      </c>
    </row>
    <row r="1106" spans="1:9" x14ac:dyDescent="0.25">
      <c r="A1106" s="515">
        <v>19139</v>
      </c>
      <c r="B1106" s="515" t="s">
        <v>294</v>
      </c>
      <c r="C1106" s="52">
        <v>122151.34582094901</v>
      </c>
      <c r="D1106" s="56">
        <v>0.17787298308000371</v>
      </c>
      <c r="E1106" s="224">
        <v>1314.98358585858</v>
      </c>
      <c r="F1106" s="515" t="s">
        <v>2856</v>
      </c>
      <c r="G1106" s="52">
        <v>441485.23099154502</v>
      </c>
      <c r="H1106" s="56">
        <v>5.6544821738259553E-2</v>
      </c>
      <c r="I1106" s="224">
        <v>2247.2222222222199</v>
      </c>
    </row>
    <row r="1107" spans="1:9" x14ac:dyDescent="0.25">
      <c r="A1107" s="515">
        <v>49424</v>
      </c>
      <c r="B1107" s="515" t="s">
        <v>631</v>
      </c>
      <c r="C1107" s="52">
        <v>329694.26554650202</v>
      </c>
      <c r="D1107" s="56">
        <v>7.1387265972121194E-2</v>
      </c>
      <c r="E1107" s="224">
        <v>1423.5</v>
      </c>
      <c r="F1107" s="515" t="s">
        <v>784</v>
      </c>
      <c r="G1107" s="52">
        <v>173867.21328937201</v>
      </c>
      <c r="H1107" s="56">
        <v>0.13065167224312135</v>
      </c>
      <c r="I1107" s="224">
        <v>1058.5317460317401</v>
      </c>
    </row>
    <row r="1108" spans="1:9" x14ac:dyDescent="0.25">
      <c r="A1108" s="515">
        <v>32712</v>
      </c>
      <c r="B1108" s="515" t="s">
        <v>517</v>
      </c>
      <c r="C1108" s="52">
        <v>416231.90792855498</v>
      </c>
      <c r="D1108" s="56">
        <v>9.5926797714315518E-2</v>
      </c>
      <c r="E1108" s="224">
        <v>2276.6777777777702</v>
      </c>
      <c r="F1108" s="515" t="s">
        <v>807</v>
      </c>
      <c r="G1108" s="52">
        <v>352761.50607896299</v>
      </c>
      <c r="H1108" s="56">
        <v>4.4247134337077158E-2</v>
      </c>
      <c r="I1108" s="224">
        <v>1775</v>
      </c>
    </row>
    <row r="1109" spans="1:9" x14ac:dyDescent="0.25">
      <c r="A1109" s="515">
        <v>98133</v>
      </c>
      <c r="B1109" s="515" t="s">
        <v>384</v>
      </c>
      <c r="C1109" s="52">
        <v>708155.17437511799</v>
      </c>
      <c r="D1109" s="56">
        <v>2.8426660672306238E-2</v>
      </c>
      <c r="E1109" s="224">
        <v>1907.23828460039</v>
      </c>
      <c r="F1109" s="515" t="s">
        <v>1075</v>
      </c>
      <c r="G1109" s="52">
        <v>160747.61959415799</v>
      </c>
      <c r="H1109" s="56">
        <v>9.7142260961893698E-2</v>
      </c>
      <c r="I1109" s="224" t="s">
        <v>2</v>
      </c>
    </row>
    <row r="1110" spans="1:9" x14ac:dyDescent="0.25">
      <c r="A1110" s="515">
        <v>33615</v>
      </c>
      <c r="B1110" s="515" t="s">
        <v>461</v>
      </c>
      <c r="C1110" s="52">
        <v>336653.069479183</v>
      </c>
      <c r="D1110" s="56">
        <v>0.1150348110702443</v>
      </c>
      <c r="E1110" s="224">
        <v>1880.94444444444</v>
      </c>
      <c r="F1110" s="515" t="s">
        <v>1210</v>
      </c>
      <c r="G1110" s="52">
        <v>195641.75367132801</v>
      </c>
      <c r="H1110" s="56">
        <v>6.8332204756044471E-2</v>
      </c>
      <c r="I1110" s="224">
        <v>836.83333333333303</v>
      </c>
    </row>
    <row r="1111" spans="1:9" x14ac:dyDescent="0.25">
      <c r="A1111" s="515">
        <v>20852</v>
      </c>
      <c r="B1111" s="515" t="s">
        <v>321</v>
      </c>
      <c r="C1111" s="52">
        <v>536267.86438331299</v>
      </c>
      <c r="D1111" s="56">
        <v>1.9639252081652653E-4</v>
      </c>
      <c r="E1111" s="224">
        <v>2169.7992424242402</v>
      </c>
      <c r="F1111" s="515" t="s">
        <v>2857</v>
      </c>
      <c r="G1111" s="52">
        <v>640609.83398187195</v>
      </c>
      <c r="H1111" s="56">
        <v>0.10378896502695849</v>
      </c>
      <c r="I1111" s="224">
        <v>2413.7104895104799</v>
      </c>
    </row>
    <row r="1112" spans="1:9" x14ac:dyDescent="0.25">
      <c r="A1112" s="515">
        <v>48439</v>
      </c>
      <c r="B1112" s="515" t="s">
        <v>759</v>
      </c>
      <c r="C1112" s="52">
        <v>254311.419518082</v>
      </c>
      <c r="D1112" s="56">
        <v>3.1535523369697394E-2</v>
      </c>
      <c r="E1112" s="224">
        <v>1880.6666666666599</v>
      </c>
      <c r="F1112" s="515" t="s">
        <v>2858</v>
      </c>
      <c r="G1112" s="52">
        <v>363403.64056163101</v>
      </c>
      <c r="H1112" s="56">
        <v>0.10018162748311869</v>
      </c>
      <c r="I1112" s="224">
        <v>1912.0833333333301</v>
      </c>
    </row>
    <row r="1113" spans="1:9" x14ac:dyDescent="0.25">
      <c r="A1113" s="515">
        <v>92648</v>
      </c>
      <c r="B1113" s="515" t="s">
        <v>375</v>
      </c>
      <c r="C1113" s="52">
        <v>1335442.6995877801</v>
      </c>
      <c r="D1113" s="56">
        <v>5.8118606501116339E-2</v>
      </c>
      <c r="E1113" s="224">
        <v>3416.3633040935601</v>
      </c>
      <c r="F1113" s="515" t="s">
        <v>1161</v>
      </c>
      <c r="G1113" s="52">
        <v>129029.447677558</v>
      </c>
      <c r="H1113" s="56">
        <v>0.18470090671727646</v>
      </c>
      <c r="I1113" s="224" t="s">
        <v>2</v>
      </c>
    </row>
    <row r="1114" spans="1:9" x14ac:dyDescent="0.25">
      <c r="A1114" s="515">
        <v>98258</v>
      </c>
      <c r="B1114" s="515" t="s">
        <v>384</v>
      </c>
      <c r="C1114" s="52">
        <v>632018.58464729995</v>
      </c>
      <c r="D1114" s="56">
        <v>4.0034324265584779E-2</v>
      </c>
      <c r="E1114" s="224">
        <v>2704.9761904761899</v>
      </c>
      <c r="F1114" s="515" t="s">
        <v>2859</v>
      </c>
      <c r="G1114" s="52">
        <v>176026.216335787</v>
      </c>
      <c r="H1114" s="56">
        <v>5.8397463382891715E-2</v>
      </c>
      <c r="I1114" s="224">
        <v>1179.6626984126899</v>
      </c>
    </row>
    <row r="1115" spans="1:9" x14ac:dyDescent="0.25">
      <c r="A1115" s="515">
        <v>34741</v>
      </c>
      <c r="B1115" s="515" t="s">
        <v>517</v>
      </c>
      <c r="C1115" s="52">
        <v>282766.64444631001</v>
      </c>
      <c r="D1115" s="56">
        <v>0.16743696679822417</v>
      </c>
      <c r="E1115" s="224">
        <v>1963.7631313131301</v>
      </c>
      <c r="F1115" s="515" t="s">
        <v>2860</v>
      </c>
      <c r="G1115" s="52">
        <v>1038328.6711757299</v>
      </c>
      <c r="H1115" s="56">
        <v>4.6327980495716022E-2</v>
      </c>
      <c r="I1115" s="224">
        <v>3369.4166666666601</v>
      </c>
    </row>
    <row r="1116" spans="1:9" x14ac:dyDescent="0.25">
      <c r="A1116" s="515">
        <v>80526</v>
      </c>
      <c r="B1116" s="515" t="s">
        <v>738</v>
      </c>
      <c r="C1116" s="52">
        <v>507636.40652138001</v>
      </c>
      <c r="D1116" s="56">
        <v>3.0469159958733179E-2</v>
      </c>
      <c r="E1116" s="224">
        <v>1802.37619047619</v>
      </c>
      <c r="F1116" s="515" t="s">
        <v>2861</v>
      </c>
      <c r="G1116" s="52">
        <v>373021.474197036</v>
      </c>
      <c r="H1116" s="56">
        <v>7.4631771023150731E-2</v>
      </c>
      <c r="I1116" s="224">
        <v>1954.7914529914499</v>
      </c>
    </row>
    <row r="1117" spans="1:9" x14ac:dyDescent="0.25">
      <c r="A1117" s="515">
        <v>30115</v>
      </c>
      <c r="B1117" s="515" t="s">
        <v>957</v>
      </c>
      <c r="C1117" s="52">
        <v>480169.89288039698</v>
      </c>
      <c r="D1117" s="56">
        <v>0.10688880485850179</v>
      </c>
      <c r="E1117" s="224">
        <v>2076.1164021164</v>
      </c>
      <c r="F1117" s="515" t="s">
        <v>2862</v>
      </c>
      <c r="G1117" s="52">
        <v>1219892.10059661</v>
      </c>
      <c r="H1117" s="56">
        <v>3.2153009590069379E-2</v>
      </c>
      <c r="I1117" s="224">
        <v>3396.8262626262599</v>
      </c>
    </row>
    <row r="1118" spans="1:9" x14ac:dyDescent="0.25">
      <c r="A1118" s="515">
        <v>72701</v>
      </c>
      <c r="B1118" s="515" t="s">
        <v>675</v>
      </c>
      <c r="C1118" s="52">
        <v>337774.38767780899</v>
      </c>
      <c r="D1118" s="56">
        <v>9.204280736159097E-2</v>
      </c>
      <c r="E1118" s="224">
        <v>1425.3571428571399</v>
      </c>
      <c r="F1118" s="515" t="s">
        <v>2863</v>
      </c>
      <c r="G1118" s="52">
        <v>897499.92044522602</v>
      </c>
      <c r="H1118" s="56">
        <v>7.6153494077277215E-2</v>
      </c>
      <c r="I1118" s="224">
        <v>2858.8333333333298</v>
      </c>
    </row>
    <row r="1119" spans="1:9" x14ac:dyDescent="0.25">
      <c r="A1119" s="515">
        <v>28105</v>
      </c>
      <c r="B1119" s="515" t="s">
        <v>360</v>
      </c>
      <c r="C1119" s="52">
        <v>421402.98161902197</v>
      </c>
      <c r="D1119" s="56">
        <v>9.0006041397336076E-2</v>
      </c>
      <c r="E1119" s="224">
        <v>1860.86666666666</v>
      </c>
      <c r="F1119" s="515" t="s">
        <v>1234</v>
      </c>
      <c r="G1119" s="52">
        <v>149345.93522743401</v>
      </c>
      <c r="H1119" s="56">
        <v>9.5150545350532467E-2</v>
      </c>
      <c r="I1119" s="224">
        <v>725</v>
      </c>
    </row>
    <row r="1120" spans="1:9" x14ac:dyDescent="0.25">
      <c r="A1120" s="515">
        <v>35758</v>
      </c>
      <c r="B1120" s="515" t="s">
        <v>997</v>
      </c>
      <c r="C1120" s="52">
        <v>352599.10484059498</v>
      </c>
      <c r="D1120" s="56">
        <v>6.8925031167180156E-2</v>
      </c>
      <c r="E1120" s="224">
        <v>1485.2722943722899</v>
      </c>
      <c r="F1120" s="515" t="s">
        <v>2864</v>
      </c>
      <c r="G1120" s="52">
        <v>484741.186697311</v>
      </c>
      <c r="H1120" s="56">
        <v>1.3983931064036842E-2</v>
      </c>
      <c r="I1120" s="224">
        <v>1671.8333333333301</v>
      </c>
    </row>
    <row r="1121" spans="1:9" x14ac:dyDescent="0.25">
      <c r="A1121" s="515">
        <v>92688</v>
      </c>
      <c r="B1121" s="515" t="s">
        <v>375</v>
      </c>
      <c r="C1121" s="52">
        <v>873285.32913064898</v>
      </c>
      <c r="D1121" s="56">
        <v>6.3324594305073284E-2</v>
      </c>
      <c r="E1121" s="224">
        <v>2754.4347041847</v>
      </c>
      <c r="F1121" s="515" t="s">
        <v>2865</v>
      </c>
      <c r="G1121" s="52">
        <v>245186.58871980701</v>
      </c>
      <c r="H1121" s="56">
        <v>5.6209867392841825E-2</v>
      </c>
      <c r="I1121" s="224">
        <v>1547.625</v>
      </c>
    </row>
    <row r="1122" spans="1:9" x14ac:dyDescent="0.25">
      <c r="A1122" s="515">
        <v>30034</v>
      </c>
      <c r="B1122" s="515" t="s">
        <v>957</v>
      </c>
      <c r="C1122" s="52">
        <v>253044.24325871799</v>
      </c>
      <c r="D1122" s="56">
        <v>0.17395949738865962</v>
      </c>
      <c r="E1122" s="224">
        <v>1880.6373737373699</v>
      </c>
      <c r="F1122" s="515" t="s">
        <v>2866</v>
      </c>
      <c r="G1122" s="52">
        <v>159106.15118962299</v>
      </c>
      <c r="H1122" s="56">
        <v>4.9679881384757603E-2</v>
      </c>
      <c r="I1122" s="224">
        <v>1119.5833333333301</v>
      </c>
    </row>
    <row r="1123" spans="1:9" x14ac:dyDescent="0.25">
      <c r="A1123" s="515">
        <v>20001</v>
      </c>
      <c r="B1123" s="515" t="s">
        <v>321</v>
      </c>
      <c r="C1123" s="52">
        <v>673244.14070743904</v>
      </c>
      <c r="D1123" s="56">
        <v>-4.2979821482467324E-2</v>
      </c>
      <c r="E1123" s="224">
        <v>2642.3269602577798</v>
      </c>
      <c r="F1123" s="515" t="s">
        <v>2867</v>
      </c>
      <c r="G1123" s="52">
        <v>376298.233250683</v>
      </c>
      <c r="H1123" s="56">
        <v>4.9247539143736439E-2</v>
      </c>
      <c r="I1123" s="224">
        <v>2069.5</v>
      </c>
    </row>
    <row r="1124" spans="1:9" x14ac:dyDescent="0.25">
      <c r="A1124" s="515">
        <v>90025</v>
      </c>
      <c r="B1124" s="515" t="s">
        <v>375</v>
      </c>
      <c r="C1124" s="52">
        <v>1076750.54310563</v>
      </c>
      <c r="D1124" s="56">
        <v>-2.0543259893606135E-2</v>
      </c>
      <c r="E1124" s="224">
        <v>3098.3697840905802</v>
      </c>
      <c r="F1124" s="515" t="s">
        <v>2868</v>
      </c>
      <c r="G1124" s="52">
        <v>467239.24912839202</v>
      </c>
      <c r="H1124" s="56">
        <v>5.9252801917895823E-2</v>
      </c>
      <c r="I1124" s="224">
        <v>2595.4166666666601</v>
      </c>
    </row>
    <row r="1125" spans="1:9" x14ac:dyDescent="0.25">
      <c r="A1125" s="515">
        <v>58103</v>
      </c>
      <c r="B1125" s="515" t="s">
        <v>928</v>
      </c>
      <c r="C1125" s="52">
        <v>230542.346206018</v>
      </c>
      <c r="D1125" s="56">
        <v>3.8312037784629237E-2</v>
      </c>
      <c r="E1125" s="224">
        <v>960</v>
      </c>
      <c r="F1125" s="515" t="s">
        <v>2869</v>
      </c>
      <c r="G1125" s="52">
        <v>310834.56998025201</v>
      </c>
      <c r="H1125" s="56">
        <v>8.2067194465860582E-2</v>
      </c>
      <c r="I1125" s="224">
        <v>1886.6455026455001</v>
      </c>
    </row>
    <row r="1126" spans="1:9" x14ac:dyDescent="0.25">
      <c r="A1126" s="515">
        <v>84096</v>
      </c>
      <c r="B1126" s="515" t="s">
        <v>617</v>
      </c>
      <c r="C1126" s="52">
        <v>588164.48854314105</v>
      </c>
      <c r="D1126" s="56">
        <v>2.4098708114580467E-2</v>
      </c>
      <c r="E1126" s="224">
        <v>1792.3201058201</v>
      </c>
      <c r="F1126" s="515" t="s">
        <v>2870</v>
      </c>
      <c r="G1126" s="52">
        <v>250655.442434236</v>
      </c>
      <c r="H1126" s="56">
        <v>3.5299126216322016E-2</v>
      </c>
      <c r="I1126" s="224">
        <v>1855.8333333333301</v>
      </c>
    </row>
    <row r="1127" spans="1:9" x14ac:dyDescent="0.25">
      <c r="A1127" s="515">
        <v>74133</v>
      </c>
      <c r="B1127" s="515" t="s">
        <v>348</v>
      </c>
      <c r="C1127" s="52">
        <v>269028.68613519002</v>
      </c>
      <c r="D1127" s="56">
        <v>0.10331021852059893</v>
      </c>
      <c r="E1127" s="224">
        <v>1189.62777777777</v>
      </c>
      <c r="F1127" s="515" t="s">
        <v>2871</v>
      </c>
      <c r="G1127" s="52">
        <v>211451.852769144</v>
      </c>
      <c r="H1127" s="56">
        <v>9.5180726418727504E-2</v>
      </c>
      <c r="I1127" s="224">
        <v>2052.0833333333298</v>
      </c>
    </row>
    <row r="1128" spans="1:9" x14ac:dyDescent="0.25">
      <c r="A1128" s="515">
        <v>84062</v>
      </c>
      <c r="B1128" s="515" t="s">
        <v>726</v>
      </c>
      <c r="C1128" s="52">
        <v>537324.45727021398</v>
      </c>
      <c r="D1128" s="56">
        <v>2.4051341592475337E-2</v>
      </c>
      <c r="E1128" s="224">
        <v>1607.80952380952</v>
      </c>
      <c r="F1128" s="515" t="s">
        <v>2872</v>
      </c>
      <c r="G1128" s="52">
        <v>404779.26223358</v>
      </c>
      <c r="H1128" s="56">
        <v>0.10189553870038132</v>
      </c>
      <c r="I1128" s="224">
        <v>2253.9682539682499</v>
      </c>
    </row>
    <row r="1129" spans="1:9" x14ac:dyDescent="0.25">
      <c r="A1129" s="515">
        <v>77093</v>
      </c>
      <c r="B1129" s="515" t="s">
        <v>314</v>
      </c>
      <c r="C1129" s="52">
        <v>162612.83668142499</v>
      </c>
      <c r="D1129" s="56">
        <v>0.18133493854719279</v>
      </c>
      <c r="E1129" s="224">
        <v>1619.8333333333301</v>
      </c>
      <c r="F1129" s="515" t="s">
        <v>2873</v>
      </c>
      <c r="G1129" s="52">
        <v>789072.35947744199</v>
      </c>
      <c r="H1129" s="56">
        <v>4.3947523926874579E-2</v>
      </c>
      <c r="I1129" s="224">
        <v>3009.6666666666601</v>
      </c>
    </row>
    <row r="1130" spans="1:9" x14ac:dyDescent="0.25">
      <c r="A1130" s="515">
        <v>96707</v>
      </c>
      <c r="B1130" s="515" t="s">
        <v>1029</v>
      </c>
      <c r="C1130" s="52">
        <v>844042.61088274396</v>
      </c>
      <c r="D1130" s="56">
        <v>7.3999929904459291E-2</v>
      </c>
      <c r="E1130" s="224">
        <v>2907.0666666666598</v>
      </c>
      <c r="F1130" s="515" t="s">
        <v>2874</v>
      </c>
      <c r="G1130" s="52">
        <v>393285.84135630098</v>
      </c>
      <c r="H1130" s="56">
        <v>6.8540413581308746E-2</v>
      </c>
      <c r="I1130" s="224" t="s">
        <v>2</v>
      </c>
    </row>
    <row r="1131" spans="1:9" x14ac:dyDescent="0.25">
      <c r="A1131" s="515">
        <v>73072</v>
      </c>
      <c r="B1131" s="515" t="s">
        <v>385</v>
      </c>
      <c r="C1131" s="52">
        <v>285772.58904086199</v>
      </c>
      <c r="D1131" s="56">
        <v>0.10504806151037059</v>
      </c>
      <c r="E1131" s="224">
        <v>1547.06084656084</v>
      </c>
      <c r="F1131" s="515" t="s">
        <v>2875</v>
      </c>
      <c r="G1131" s="52">
        <v>495150.63943221199</v>
      </c>
      <c r="H1131" s="56">
        <v>6.0226220085762061E-2</v>
      </c>
      <c r="I1131" s="224" t="s">
        <v>2</v>
      </c>
    </row>
    <row r="1132" spans="1:9" x14ac:dyDescent="0.25">
      <c r="A1132" s="515">
        <v>92410</v>
      </c>
      <c r="B1132" s="515" t="s">
        <v>599</v>
      </c>
      <c r="C1132" s="52">
        <v>389142.51896334899</v>
      </c>
      <c r="D1132" s="56">
        <v>8.4235782501828976E-2</v>
      </c>
      <c r="E1132" s="224">
        <v>1622.5</v>
      </c>
      <c r="F1132" s="515" t="s">
        <v>1260</v>
      </c>
      <c r="G1132" s="52">
        <v>271920.38635124901</v>
      </c>
      <c r="H1132" s="56">
        <v>5.8098767745087536E-2</v>
      </c>
      <c r="I1132" s="224">
        <v>1464.5833333333301</v>
      </c>
    </row>
    <row r="1133" spans="1:9" x14ac:dyDescent="0.25">
      <c r="A1133" s="515">
        <v>53704</v>
      </c>
      <c r="B1133" s="515" t="s">
        <v>727</v>
      </c>
      <c r="C1133" s="52">
        <v>299491.47862115002</v>
      </c>
      <c r="D1133" s="56">
        <v>7.3815332710430781E-2</v>
      </c>
      <c r="E1133" s="224">
        <v>1315.69444444444</v>
      </c>
      <c r="F1133" s="515" t="s">
        <v>2876</v>
      </c>
      <c r="G1133" s="52">
        <v>205554.27236552301</v>
      </c>
      <c r="H1133" s="56">
        <v>7.6545435462124681E-2</v>
      </c>
      <c r="I1133" s="224">
        <v>1295.4166666666599</v>
      </c>
    </row>
    <row r="1134" spans="1:9" x14ac:dyDescent="0.25">
      <c r="A1134" s="515">
        <v>94303</v>
      </c>
      <c r="B1134" s="515" t="s">
        <v>593</v>
      </c>
      <c r="C1134" s="52">
        <v>1880727.31412795</v>
      </c>
      <c r="D1134" s="56">
        <v>-2.1311220536942663E-2</v>
      </c>
      <c r="E1134" s="224">
        <v>2956.3746438746398</v>
      </c>
      <c r="F1134" s="515" t="s">
        <v>2877</v>
      </c>
      <c r="G1134" s="52">
        <v>761542.89659672405</v>
      </c>
      <c r="H1134" s="56">
        <v>2.2105922991451466E-2</v>
      </c>
      <c r="I1134" s="224">
        <v>1688.68386243386</v>
      </c>
    </row>
    <row r="1135" spans="1:9" x14ac:dyDescent="0.25">
      <c r="A1135" s="515">
        <v>32746</v>
      </c>
      <c r="B1135" s="515" t="s">
        <v>517</v>
      </c>
      <c r="C1135" s="52">
        <v>447241.88619449601</v>
      </c>
      <c r="D1135" s="56">
        <v>0.1020351831830469</v>
      </c>
      <c r="E1135" s="224">
        <v>2065.5451192082701</v>
      </c>
      <c r="F1135" s="515" t="s">
        <v>2878</v>
      </c>
      <c r="G1135" s="52">
        <v>613257.37947869301</v>
      </c>
      <c r="H1135" s="56">
        <v>1.7064050709313376E-2</v>
      </c>
      <c r="I1135" s="224">
        <v>2369.5833333333298</v>
      </c>
    </row>
    <row r="1136" spans="1:9" x14ac:dyDescent="0.25">
      <c r="A1136" s="515">
        <v>60123</v>
      </c>
      <c r="B1136" s="515" t="s">
        <v>394</v>
      </c>
      <c r="C1136" s="52">
        <v>242652.85508808299</v>
      </c>
      <c r="D1136" s="56">
        <v>6.2657673236732506E-2</v>
      </c>
      <c r="E1136" s="224" t="s">
        <v>2</v>
      </c>
      <c r="F1136" s="515" t="s">
        <v>700</v>
      </c>
      <c r="G1136" s="52">
        <v>123485.463458944</v>
      </c>
      <c r="H1136" s="56">
        <v>0.10610478443020453</v>
      </c>
      <c r="I1136" s="224">
        <v>668.75</v>
      </c>
    </row>
    <row r="1137" spans="1:9" x14ac:dyDescent="0.25">
      <c r="A1137" s="515">
        <v>28216</v>
      </c>
      <c r="B1137" s="515" t="s">
        <v>360</v>
      </c>
      <c r="C1137" s="52">
        <v>309425.93786930799</v>
      </c>
      <c r="D1137" s="56">
        <v>9.5273162649421997E-2</v>
      </c>
      <c r="E1137" s="224">
        <v>1757.57925925925</v>
      </c>
      <c r="F1137" s="515" t="s">
        <v>2879</v>
      </c>
      <c r="G1137" s="52">
        <v>213492.931257736</v>
      </c>
      <c r="H1137" s="56">
        <v>8.7833451537856044E-2</v>
      </c>
      <c r="I1137" s="224">
        <v>969.444444444444</v>
      </c>
    </row>
    <row r="1138" spans="1:9" x14ac:dyDescent="0.25">
      <c r="A1138" s="515">
        <v>85254</v>
      </c>
      <c r="B1138" s="515" t="s">
        <v>563</v>
      </c>
      <c r="C1138" s="52">
        <v>787204.54947131895</v>
      </c>
      <c r="D1138" s="56">
        <v>8.752341287896144E-2</v>
      </c>
      <c r="E1138" s="224">
        <v>2667.5527138391499</v>
      </c>
      <c r="F1138" s="515" t="s">
        <v>2880</v>
      </c>
      <c r="G1138" s="52">
        <v>298532.92644726997</v>
      </c>
      <c r="H1138" s="56">
        <v>7.6819971625995007E-2</v>
      </c>
      <c r="I1138" s="224">
        <v>1573.75</v>
      </c>
    </row>
    <row r="1139" spans="1:9" x14ac:dyDescent="0.25">
      <c r="A1139" s="515">
        <v>60645</v>
      </c>
      <c r="B1139" s="515" t="s">
        <v>394</v>
      </c>
      <c r="C1139" s="52">
        <v>238401.464303874</v>
      </c>
      <c r="D1139" s="56">
        <v>-7.6654843217941554E-2</v>
      </c>
      <c r="E1139" s="224">
        <v>1447.1527777777701</v>
      </c>
      <c r="F1139" s="515" t="s">
        <v>2881</v>
      </c>
      <c r="G1139" s="52">
        <v>640773.58499606699</v>
      </c>
      <c r="H1139" s="56">
        <v>4.8731816883928365E-2</v>
      </c>
      <c r="I1139" s="224" t="s">
        <v>2</v>
      </c>
    </row>
    <row r="1140" spans="1:9" x14ac:dyDescent="0.25">
      <c r="A1140" s="515">
        <v>8816</v>
      </c>
      <c r="B1140" s="515" t="s">
        <v>324</v>
      </c>
      <c r="C1140" s="52">
        <v>486162.40125772601</v>
      </c>
      <c r="D1140" s="56">
        <v>6.1582744087724128E-2</v>
      </c>
      <c r="E1140" s="224">
        <v>2588.9047619047601</v>
      </c>
      <c r="F1140" s="515" t="s">
        <v>1040</v>
      </c>
      <c r="G1140" s="52">
        <v>139474.237782399</v>
      </c>
      <c r="H1140" s="56">
        <v>-2.9220726796835669E-2</v>
      </c>
      <c r="I1140" s="224">
        <v>1172</v>
      </c>
    </row>
    <row r="1141" spans="1:9" x14ac:dyDescent="0.25">
      <c r="A1141" s="515">
        <v>85719</v>
      </c>
      <c r="B1141" s="515" t="s">
        <v>368</v>
      </c>
      <c r="C1141" s="52">
        <v>334645.91605775303</v>
      </c>
      <c r="D1141" s="56">
        <v>7.3774161790848378E-2</v>
      </c>
      <c r="E1141" s="224">
        <v>1485.9883805374</v>
      </c>
      <c r="F1141" s="515" t="s">
        <v>2882</v>
      </c>
      <c r="G1141" s="52">
        <v>270353.32546806202</v>
      </c>
      <c r="H1141" s="56">
        <v>6.7148412916258685E-2</v>
      </c>
      <c r="I1141" s="224">
        <v>1435.56944444444</v>
      </c>
    </row>
    <row r="1142" spans="1:9" x14ac:dyDescent="0.25">
      <c r="A1142" s="515">
        <v>33461</v>
      </c>
      <c r="B1142" s="515" t="s">
        <v>831</v>
      </c>
      <c r="C1142" s="52">
        <v>286747.51937155297</v>
      </c>
      <c r="D1142" s="56">
        <v>0.15289211704660352</v>
      </c>
      <c r="E1142" s="224">
        <v>2002.3333333333301</v>
      </c>
      <c r="F1142" s="515" t="s">
        <v>1063</v>
      </c>
      <c r="G1142" s="52">
        <v>184165.04844947901</v>
      </c>
      <c r="H1142" s="56">
        <v>8.2695555695469047E-2</v>
      </c>
      <c r="I1142" s="224">
        <v>887.5</v>
      </c>
    </row>
    <row r="1143" spans="1:9" x14ac:dyDescent="0.25">
      <c r="A1143" s="515">
        <v>30114</v>
      </c>
      <c r="B1143" s="515" t="s">
        <v>957</v>
      </c>
      <c r="C1143" s="52">
        <v>421614.13823156501</v>
      </c>
      <c r="D1143" s="56">
        <v>0.10419874768036178</v>
      </c>
      <c r="E1143" s="224">
        <v>2200.87301587301</v>
      </c>
      <c r="F1143" s="515" t="s">
        <v>715</v>
      </c>
      <c r="G1143" s="52">
        <v>161253.63261748099</v>
      </c>
      <c r="H1143" s="56">
        <v>6.1592242287088907E-2</v>
      </c>
      <c r="I1143" s="224">
        <v>834.27777777777703</v>
      </c>
    </row>
    <row r="1144" spans="1:9" x14ac:dyDescent="0.25">
      <c r="A1144" s="515">
        <v>33610</v>
      </c>
      <c r="B1144" s="515" t="s">
        <v>461</v>
      </c>
      <c r="C1144" s="52">
        <v>258535.70922169599</v>
      </c>
      <c r="D1144" s="56">
        <v>0.17556306324785206</v>
      </c>
      <c r="E1144" s="224">
        <v>1774.87037037037</v>
      </c>
      <c r="F1144" s="515" t="s">
        <v>2883</v>
      </c>
      <c r="G1144" s="52">
        <v>301241.39751646802</v>
      </c>
      <c r="H1144" s="56">
        <v>8.7577380174206562E-2</v>
      </c>
      <c r="I1144" s="224" t="s">
        <v>2</v>
      </c>
    </row>
    <row r="1145" spans="1:9" x14ac:dyDescent="0.25">
      <c r="A1145" s="515">
        <v>28205</v>
      </c>
      <c r="B1145" s="515" t="s">
        <v>360</v>
      </c>
      <c r="C1145" s="52">
        <v>408471.47275751701</v>
      </c>
      <c r="D1145" s="56">
        <v>6.4185938679995239E-2</v>
      </c>
      <c r="E1145" s="224">
        <v>1803.1134852801499</v>
      </c>
      <c r="F1145" s="515" t="s">
        <v>2884</v>
      </c>
      <c r="G1145" s="52">
        <v>233243.63733985499</v>
      </c>
      <c r="H1145" s="56">
        <v>0.11876913332753963</v>
      </c>
      <c r="I1145" s="224">
        <v>1350</v>
      </c>
    </row>
    <row r="1146" spans="1:9" x14ac:dyDescent="0.25">
      <c r="A1146" s="515">
        <v>94560</v>
      </c>
      <c r="B1146" s="515" t="s">
        <v>593</v>
      </c>
      <c r="C1146" s="52">
        <v>1121428.34011057</v>
      </c>
      <c r="D1146" s="56">
        <v>1.004880934168024E-2</v>
      </c>
      <c r="E1146" s="224">
        <v>3226.6607142857101</v>
      </c>
      <c r="F1146" s="515" t="s">
        <v>2885</v>
      </c>
      <c r="G1146" s="52">
        <v>946611.66795124905</v>
      </c>
      <c r="H1146" s="56">
        <v>5.2734936323199734E-2</v>
      </c>
      <c r="I1146" s="224">
        <v>3210.0444444444402</v>
      </c>
    </row>
    <row r="1147" spans="1:9" x14ac:dyDescent="0.25">
      <c r="A1147" s="515">
        <v>45238</v>
      </c>
      <c r="B1147" s="515" t="s">
        <v>344</v>
      </c>
      <c r="C1147" s="52">
        <v>185546.16617808401</v>
      </c>
      <c r="D1147" s="56">
        <v>4.9780660192299313E-2</v>
      </c>
      <c r="E1147" s="224">
        <v>980.08333333333303</v>
      </c>
      <c r="F1147" s="515" t="s">
        <v>2886</v>
      </c>
      <c r="G1147" s="52">
        <v>1044876.36999734</v>
      </c>
      <c r="H1147" s="56">
        <v>5.8928276210875152E-2</v>
      </c>
      <c r="I1147" s="224">
        <v>2612.8708866155098</v>
      </c>
    </row>
    <row r="1148" spans="1:9" x14ac:dyDescent="0.25">
      <c r="A1148" s="515">
        <v>33029</v>
      </c>
      <c r="B1148" s="515" t="s">
        <v>831</v>
      </c>
      <c r="C1148" s="52">
        <v>631377.29159972805</v>
      </c>
      <c r="D1148" s="56">
        <v>0.11434411671049721</v>
      </c>
      <c r="E1148" s="224">
        <v>3834.75</v>
      </c>
      <c r="F1148" s="515" t="s">
        <v>2887</v>
      </c>
      <c r="G1148" s="52">
        <v>886922.62825897499</v>
      </c>
      <c r="H1148" s="56">
        <v>6.5775744258182278E-2</v>
      </c>
      <c r="I1148" s="224">
        <v>2734.0444444444402</v>
      </c>
    </row>
    <row r="1149" spans="1:9" x14ac:dyDescent="0.25">
      <c r="A1149" s="515">
        <v>28645</v>
      </c>
      <c r="B1149" s="515" t="s">
        <v>638</v>
      </c>
      <c r="C1149" s="52">
        <v>185465.10509174399</v>
      </c>
      <c r="D1149" s="56">
        <v>0.18952437310860543</v>
      </c>
      <c r="E1149" s="224" t="s">
        <v>2</v>
      </c>
      <c r="F1149" s="515" t="s">
        <v>449</v>
      </c>
      <c r="G1149" s="52">
        <v>335521.27940338699</v>
      </c>
      <c r="H1149" s="56">
        <v>5.8940112417430135E-2</v>
      </c>
      <c r="I1149" s="224" t="s">
        <v>2</v>
      </c>
    </row>
    <row r="1150" spans="1:9" x14ac:dyDescent="0.25">
      <c r="A1150" s="515">
        <v>24060</v>
      </c>
      <c r="B1150" s="515" t="s">
        <v>597</v>
      </c>
      <c r="C1150" s="52">
        <v>366183.42932447098</v>
      </c>
      <c r="D1150" s="56">
        <v>4.4393321268326014E-2</v>
      </c>
      <c r="E1150" s="224">
        <v>1898.5370370370299</v>
      </c>
      <c r="F1150" s="515" t="s">
        <v>2888</v>
      </c>
      <c r="G1150" s="52">
        <v>299146.34005778399</v>
      </c>
      <c r="H1150" s="56">
        <v>0.11302908308776231</v>
      </c>
      <c r="I1150" s="224">
        <v>2116.4423280423198</v>
      </c>
    </row>
    <row r="1151" spans="1:9" x14ac:dyDescent="0.25">
      <c r="A1151" s="515">
        <v>92122</v>
      </c>
      <c r="B1151" s="515" t="s">
        <v>396</v>
      </c>
      <c r="C1151" s="52">
        <v>980143.81802539004</v>
      </c>
      <c r="D1151" s="56">
        <v>9.3481697437595851E-2</v>
      </c>
      <c r="E1151" s="224">
        <v>3416.2100144300098</v>
      </c>
      <c r="F1151" s="515" t="s">
        <v>2889</v>
      </c>
      <c r="G1151" s="52">
        <v>251251.88639867</v>
      </c>
      <c r="H1151" s="56">
        <v>0.13889463910893685</v>
      </c>
      <c r="I1151" s="224">
        <v>1572.0277777777701</v>
      </c>
    </row>
    <row r="1152" spans="1:9" x14ac:dyDescent="0.25">
      <c r="A1152" s="515">
        <v>92620</v>
      </c>
      <c r="B1152" s="515" t="s">
        <v>375</v>
      </c>
      <c r="C1152" s="52">
        <v>1309139.4364829599</v>
      </c>
      <c r="D1152" s="56">
        <v>0.10995724857598643</v>
      </c>
      <c r="E1152" s="224">
        <v>3141.6787439613499</v>
      </c>
      <c r="F1152" s="515" t="s">
        <v>2890</v>
      </c>
      <c r="G1152" s="52">
        <v>413583.57374814898</v>
      </c>
      <c r="H1152" s="56">
        <v>7.8870042047348737E-2</v>
      </c>
      <c r="I1152" s="224">
        <v>2054.6818181818098</v>
      </c>
    </row>
    <row r="1153" spans="1:9" x14ac:dyDescent="0.25">
      <c r="A1153" s="515">
        <v>97504</v>
      </c>
      <c r="B1153" s="515" t="s">
        <v>775</v>
      </c>
      <c r="C1153" s="52">
        <v>419678.260130546</v>
      </c>
      <c r="D1153" s="56">
        <v>4.3273098127255428E-3</v>
      </c>
      <c r="E1153" s="224">
        <v>1855.8333333333301</v>
      </c>
      <c r="F1153" s="515" t="s">
        <v>2891</v>
      </c>
      <c r="G1153" s="52">
        <v>491253.52591738303</v>
      </c>
      <c r="H1153" s="56">
        <v>5.929932913875554E-2</v>
      </c>
      <c r="I1153" s="224">
        <v>2297.6666666666601</v>
      </c>
    </row>
    <row r="1154" spans="1:9" x14ac:dyDescent="0.25">
      <c r="A1154" s="515">
        <v>96822</v>
      </c>
      <c r="B1154" s="515" t="s">
        <v>1029</v>
      </c>
      <c r="C1154" s="52">
        <v>683213.21843133494</v>
      </c>
      <c r="D1154" s="56">
        <v>2.9776198190214497E-2</v>
      </c>
      <c r="E1154" s="224">
        <v>2010.8333333333301</v>
      </c>
      <c r="F1154" s="515" t="s">
        <v>2892</v>
      </c>
      <c r="G1154" s="52">
        <v>569130.21045671799</v>
      </c>
      <c r="H1154" s="56">
        <v>-1.2462692063227819E-3</v>
      </c>
      <c r="I1154" s="224">
        <v>2211.4394444444401</v>
      </c>
    </row>
    <row r="1155" spans="1:9" x14ac:dyDescent="0.25">
      <c r="A1155" s="515">
        <v>28210</v>
      </c>
      <c r="B1155" s="515" t="s">
        <v>360</v>
      </c>
      <c r="C1155" s="52">
        <v>465869.11707412399</v>
      </c>
      <c r="D1155" s="56">
        <v>8.0580685344978586E-2</v>
      </c>
      <c r="E1155" s="224">
        <v>1522.04125816993</v>
      </c>
      <c r="F1155" s="515" t="s">
        <v>2893</v>
      </c>
      <c r="G1155" s="52">
        <v>256040.76876423901</v>
      </c>
      <c r="H1155" s="56">
        <v>0.12542280739495457</v>
      </c>
      <c r="I1155" s="224">
        <v>1856.2174603174601</v>
      </c>
    </row>
    <row r="1156" spans="1:9" x14ac:dyDescent="0.25">
      <c r="A1156" s="515">
        <v>91352</v>
      </c>
      <c r="B1156" s="515" t="s">
        <v>375</v>
      </c>
      <c r="C1156" s="52">
        <v>727425.59181762498</v>
      </c>
      <c r="D1156" s="56">
        <v>4.9452435483041908E-2</v>
      </c>
      <c r="E1156" s="224" t="s">
        <v>2</v>
      </c>
      <c r="F1156" s="515" t="s">
        <v>2894</v>
      </c>
      <c r="G1156" s="52">
        <v>1430737.4297092401</v>
      </c>
      <c r="H1156" s="56">
        <v>8.5355418033427291E-2</v>
      </c>
      <c r="I1156" s="224">
        <v>3414.0833333333298</v>
      </c>
    </row>
    <row r="1157" spans="1:9" x14ac:dyDescent="0.25">
      <c r="A1157" s="515">
        <v>33193</v>
      </c>
      <c r="B1157" s="515" t="s">
        <v>831</v>
      </c>
      <c r="C1157" s="52">
        <v>413660.03389063</v>
      </c>
      <c r="D1157" s="56">
        <v>0.11851434773775409</v>
      </c>
      <c r="E1157" s="224">
        <v>2650.0965608465599</v>
      </c>
      <c r="F1157" s="515" t="s">
        <v>2895</v>
      </c>
      <c r="G1157" s="52">
        <v>344541.29722438502</v>
      </c>
      <c r="H1157" s="56">
        <v>0.13310812486954887</v>
      </c>
      <c r="I1157" s="224">
        <v>1382.7684407096101</v>
      </c>
    </row>
    <row r="1158" spans="1:9" x14ac:dyDescent="0.25">
      <c r="A1158" s="515">
        <v>97405</v>
      </c>
      <c r="B1158" s="515" t="s">
        <v>801</v>
      </c>
      <c r="C1158" s="52">
        <v>503019.06100459897</v>
      </c>
      <c r="D1158" s="56">
        <v>4.938538403017783E-2</v>
      </c>
      <c r="E1158" s="224">
        <v>2305.1785714285702</v>
      </c>
      <c r="F1158" s="515" t="s">
        <v>1076</v>
      </c>
      <c r="G1158" s="52">
        <v>180879.36345367201</v>
      </c>
      <c r="H1158" s="56">
        <v>4.677621197764361E-2</v>
      </c>
      <c r="I1158" s="224" t="s">
        <v>2</v>
      </c>
    </row>
    <row r="1159" spans="1:9" x14ac:dyDescent="0.25">
      <c r="A1159" s="515">
        <v>21921</v>
      </c>
      <c r="B1159" s="515" t="s">
        <v>294</v>
      </c>
      <c r="C1159" s="52">
        <v>304563.06002576498</v>
      </c>
      <c r="D1159" s="56">
        <v>3.1946287550445457E-2</v>
      </c>
      <c r="E1159" s="224" t="s">
        <v>2</v>
      </c>
      <c r="F1159" s="515" t="s">
        <v>2896</v>
      </c>
      <c r="G1159" s="52">
        <v>852830.27553660795</v>
      </c>
      <c r="H1159" s="56">
        <v>5.6726069289358402E-2</v>
      </c>
      <c r="I1159" s="224">
        <v>3063.6944444444398</v>
      </c>
    </row>
    <row r="1160" spans="1:9" x14ac:dyDescent="0.25">
      <c r="A1160" s="515">
        <v>91790</v>
      </c>
      <c r="B1160" s="515" t="s">
        <v>375</v>
      </c>
      <c r="C1160" s="52">
        <v>731349.68853541405</v>
      </c>
      <c r="D1160" s="56">
        <v>5.478313730001895E-2</v>
      </c>
      <c r="E1160" s="224">
        <v>2611.5158730158701</v>
      </c>
      <c r="F1160" s="515" t="s">
        <v>2897</v>
      </c>
      <c r="G1160" s="52">
        <v>778206.75200131105</v>
      </c>
      <c r="H1160" s="56">
        <v>5.8934523023076779E-2</v>
      </c>
      <c r="I1160" s="224">
        <v>2568.6666666666601</v>
      </c>
    </row>
    <row r="1161" spans="1:9" x14ac:dyDescent="0.25">
      <c r="A1161" s="515">
        <v>49423</v>
      </c>
      <c r="B1161" s="515" t="s">
        <v>631</v>
      </c>
      <c r="C1161" s="52">
        <v>281162.91956160602</v>
      </c>
      <c r="D1161" s="56">
        <v>7.7415218772819705E-2</v>
      </c>
      <c r="E1161" s="224">
        <v>1181.5277777777701</v>
      </c>
      <c r="F1161" s="515" t="s">
        <v>2898</v>
      </c>
      <c r="G1161" s="52">
        <v>288733.820584709</v>
      </c>
      <c r="H1161" s="56">
        <v>0.11577288599319477</v>
      </c>
      <c r="I1161" s="224">
        <v>1868.7111111111101</v>
      </c>
    </row>
    <row r="1162" spans="1:9" x14ac:dyDescent="0.25">
      <c r="A1162" s="515">
        <v>84790</v>
      </c>
      <c r="B1162" s="515" t="s">
        <v>522</v>
      </c>
      <c r="C1162" s="52">
        <v>528312.790151714</v>
      </c>
      <c r="D1162" s="56">
        <v>1.674860992832361E-2</v>
      </c>
      <c r="E1162" s="224">
        <v>1877</v>
      </c>
      <c r="F1162" s="515" t="s">
        <v>2899</v>
      </c>
      <c r="G1162" s="52">
        <v>236320.942726774</v>
      </c>
      <c r="H1162" s="56">
        <v>0.135084894609457</v>
      </c>
      <c r="I1162" s="224">
        <v>1723.41245791245</v>
      </c>
    </row>
    <row r="1163" spans="1:9" x14ac:dyDescent="0.25">
      <c r="A1163" s="515">
        <v>34221</v>
      </c>
      <c r="B1163" s="515" t="s">
        <v>466</v>
      </c>
      <c r="C1163" s="52">
        <v>384630.81211178697</v>
      </c>
      <c r="D1163" s="56">
        <v>0.15216470858425488</v>
      </c>
      <c r="E1163" s="224">
        <v>2602.37301587301</v>
      </c>
      <c r="F1163" s="515" t="s">
        <v>1164</v>
      </c>
      <c r="G1163" s="52">
        <v>359101.43345592002</v>
      </c>
      <c r="H1163" s="56">
        <v>7.1418187051334195E-2</v>
      </c>
      <c r="I1163" s="224">
        <v>1813.25</v>
      </c>
    </row>
    <row r="1164" spans="1:9" x14ac:dyDescent="0.25">
      <c r="A1164" s="515">
        <v>90027</v>
      </c>
      <c r="B1164" s="515" t="s">
        <v>375</v>
      </c>
      <c r="C1164" s="52">
        <v>1675963.18767663</v>
      </c>
      <c r="D1164" s="56">
        <v>2.6858007539295379E-2</v>
      </c>
      <c r="E1164" s="224">
        <v>2414.0077972709501</v>
      </c>
      <c r="F1164" s="515" t="s">
        <v>2900</v>
      </c>
      <c r="G1164" s="52">
        <v>245186.20218614099</v>
      </c>
      <c r="H1164" s="56">
        <v>8.3509681246443743E-2</v>
      </c>
      <c r="I1164" s="224">
        <v>1472.80555555555</v>
      </c>
    </row>
    <row r="1165" spans="1:9" x14ac:dyDescent="0.25">
      <c r="A1165" s="515">
        <v>80239</v>
      </c>
      <c r="B1165" s="515" t="s">
        <v>401</v>
      </c>
      <c r="C1165" s="52">
        <v>438472.08385571698</v>
      </c>
      <c r="D1165" s="56">
        <v>2.4440440710420265E-2</v>
      </c>
      <c r="E1165" s="224">
        <v>2139.99206349206</v>
      </c>
      <c r="F1165" s="515" t="s">
        <v>2901</v>
      </c>
      <c r="G1165" s="52">
        <v>497344.71737858502</v>
      </c>
      <c r="H1165" s="56">
        <v>5.2142003674685813E-2</v>
      </c>
      <c r="I1165" s="224">
        <v>2749.4444444444398</v>
      </c>
    </row>
    <row r="1166" spans="1:9" x14ac:dyDescent="0.25">
      <c r="A1166" s="515">
        <v>60644</v>
      </c>
      <c r="B1166" s="515" t="s">
        <v>394</v>
      </c>
      <c r="C1166" s="52">
        <v>180505.082026049</v>
      </c>
      <c r="D1166" s="56">
        <v>-1.3861812416753955E-2</v>
      </c>
      <c r="E1166" s="224">
        <v>1158.1666666666599</v>
      </c>
      <c r="F1166" s="515" t="s">
        <v>2902</v>
      </c>
      <c r="G1166" s="52">
        <v>466233.19569527899</v>
      </c>
      <c r="H1166" s="56">
        <v>2.9908378200486654E-2</v>
      </c>
      <c r="I1166" s="224">
        <v>2111.6666666666601</v>
      </c>
    </row>
    <row r="1167" spans="1:9" x14ac:dyDescent="0.25">
      <c r="A1167" s="515">
        <v>18104</v>
      </c>
      <c r="B1167" s="515" t="s">
        <v>327</v>
      </c>
      <c r="C1167" s="52">
        <v>318260.72016208997</v>
      </c>
      <c r="D1167" s="56">
        <v>6.4962082200010374E-2</v>
      </c>
      <c r="E1167" s="224">
        <v>2002.49206349206</v>
      </c>
      <c r="F1167" s="515" t="s">
        <v>2903</v>
      </c>
      <c r="G1167" s="52">
        <v>1205872.9912316799</v>
      </c>
      <c r="H1167" s="56">
        <v>0.24588001720545299</v>
      </c>
      <c r="I1167" s="224">
        <v>3531.9586824769399</v>
      </c>
    </row>
    <row r="1168" spans="1:9" x14ac:dyDescent="0.25">
      <c r="A1168" s="515">
        <v>17543</v>
      </c>
      <c r="B1168" s="515" t="s">
        <v>537</v>
      </c>
      <c r="C1168" s="52">
        <v>369352.52568745002</v>
      </c>
      <c r="D1168" s="56">
        <v>0.10226389648316968</v>
      </c>
      <c r="E1168" s="224">
        <v>1394.1666666666599</v>
      </c>
      <c r="F1168" s="515" t="s">
        <v>2904</v>
      </c>
      <c r="G1168" s="52">
        <v>358850.16033727402</v>
      </c>
      <c r="H1168" s="56">
        <v>7.1748902728700395E-2</v>
      </c>
      <c r="I1168" s="224">
        <v>1495.2930724246501</v>
      </c>
    </row>
    <row r="1169" spans="1:9" x14ac:dyDescent="0.25">
      <c r="A1169" s="515">
        <v>39759</v>
      </c>
      <c r="B1169" s="515" t="s">
        <v>722</v>
      </c>
      <c r="C1169" s="52">
        <v>234135.07673118101</v>
      </c>
      <c r="D1169" s="56">
        <v>3.4471751239667316E-2</v>
      </c>
      <c r="E1169" s="224">
        <v>1006</v>
      </c>
      <c r="F1169" s="515" t="s">
        <v>1186</v>
      </c>
      <c r="G1169" s="52">
        <v>203437.72466166201</v>
      </c>
      <c r="H1169" s="56">
        <v>0.15450678079410396</v>
      </c>
      <c r="I1169" s="224">
        <v>1470.4166666666599</v>
      </c>
    </row>
    <row r="1170" spans="1:9" x14ac:dyDescent="0.25">
      <c r="A1170" s="515">
        <v>95008</v>
      </c>
      <c r="B1170" s="515" t="s">
        <v>850</v>
      </c>
      <c r="C1170" s="52">
        <v>1557161.1027528599</v>
      </c>
      <c r="D1170" s="56">
        <v>7.1249255754801316E-2</v>
      </c>
      <c r="E1170" s="224">
        <v>3098.1201298701199</v>
      </c>
      <c r="F1170" s="515" t="s">
        <v>2905</v>
      </c>
      <c r="G1170" s="52">
        <v>524336.10953994596</v>
      </c>
      <c r="H1170" s="56">
        <v>4.4450302478147026E-2</v>
      </c>
      <c r="I1170" s="224">
        <v>2579.9581646423699</v>
      </c>
    </row>
    <row r="1171" spans="1:9" x14ac:dyDescent="0.25">
      <c r="A1171" s="515">
        <v>48104</v>
      </c>
      <c r="B1171" s="515" t="s">
        <v>783</v>
      </c>
      <c r="C1171" s="52">
        <v>467162.58278863499</v>
      </c>
      <c r="D1171" s="56">
        <v>2.9645897294912574E-2</v>
      </c>
      <c r="E1171" s="224">
        <v>3995.4457070706999</v>
      </c>
      <c r="F1171" s="515" t="s">
        <v>1267</v>
      </c>
      <c r="G1171" s="52">
        <v>238373.99630351001</v>
      </c>
      <c r="H1171" s="56">
        <v>0.11596159516588583</v>
      </c>
      <c r="I1171" s="224">
        <v>1536.4722222222199</v>
      </c>
    </row>
    <row r="1172" spans="1:9" x14ac:dyDescent="0.25">
      <c r="A1172" s="515">
        <v>92040</v>
      </c>
      <c r="B1172" s="515" t="s">
        <v>396</v>
      </c>
      <c r="C1172" s="52">
        <v>706713.28583999199</v>
      </c>
      <c r="D1172" s="56">
        <v>3.8206158877117563E-2</v>
      </c>
      <c r="E1172" s="224">
        <v>2584.3333333333298</v>
      </c>
      <c r="F1172" s="515" t="s">
        <v>2906</v>
      </c>
      <c r="G1172" s="52">
        <v>414669.220347372</v>
      </c>
      <c r="H1172" s="56">
        <v>2.9594982747268513E-2</v>
      </c>
      <c r="I1172" s="224">
        <v>1527.69841269841</v>
      </c>
    </row>
    <row r="1173" spans="1:9" x14ac:dyDescent="0.25">
      <c r="A1173" s="515">
        <v>87401</v>
      </c>
      <c r="B1173" s="515" t="s">
        <v>893</v>
      </c>
      <c r="C1173" s="52">
        <v>199611.81391912</v>
      </c>
      <c r="D1173" s="56">
        <v>8.7444724214660707E-2</v>
      </c>
      <c r="E1173" s="224" t="s">
        <v>2</v>
      </c>
      <c r="F1173" s="515" t="s">
        <v>2907</v>
      </c>
      <c r="G1173" s="52">
        <v>251906.89710378301</v>
      </c>
      <c r="H1173" s="56">
        <v>4.1647096762023078E-2</v>
      </c>
      <c r="I1173" s="224">
        <v>1902.7777777777701</v>
      </c>
    </row>
    <row r="1174" spans="1:9" x14ac:dyDescent="0.25">
      <c r="A1174" s="515">
        <v>84321</v>
      </c>
      <c r="B1174" s="515" t="s">
        <v>632</v>
      </c>
      <c r="C1174" s="52">
        <v>394785.83193986502</v>
      </c>
      <c r="D1174" s="56">
        <v>2.3176055774366766E-2</v>
      </c>
      <c r="E1174" s="224">
        <v>1310</v>
      </c>
      <c r="F1174" s="515" t="s">
        <v>2908</v>
      </c>
      <c r="G1174" s="52">
        <v>226760.47974597901</v>
      </c>
      <c r="H1174" s="56">
        <v>0.10966671176291477</v>
      </c>
      <c r="I1174" s="224">
        <v>1344.3611111111099</v>
      </c>
    </row>
    <row r="1175" spans="1:9" x14ac:dyDescent="0.25">
      <c r="A1175" s="515">
        <v>55379</v>
      </c>
      <c r="B1175" s="515" t="s">
        <v>532</v>
      </c>
      <c r="C1175" s="52">
        <v>358059.93297050497</v>
      </c>
      <c r="D1175" s="56">
        <v>1.8238625876596647E-2</v>
      </c>
      <c r="E1175" s="224">
        <v>1839.4777777777699</v>
      </c>
      <c r="F1175" s="515" t="s">
        <v>2909</v>
      </c>
      <c r="G1175" s="52">
        <v>125889.178567175</v>
      </c>
      <c r="H1175" s="56">
        <v>6.7902655486716729E-2</v>
      </c>
      <c r="I1175" s="224">
        <v>989.36507936507905</v>
      </c>
    </row>
    <row r="1176" spans="1:9" x14ac:dyDescent="0.25">
      <c r="A1176" s="515">
        <v>2149</v>
      </c>
      <c r="B1176" s="515" t="s">
        <v>534</v>
      </c>
      <c r="C1176" s="52">
        <v>529588.79975009698</v>
      </c>
      <c r="D1176" s="56">
        <v>2.9943136134341495E-2</v>
      </c>
      <c r="E1176" s="224">
        <v>2702.5601731601701</v>
      </c>
      <c r="F1176" s="515" t="s">
        <v>2910</v>
      </c>
      <c r="G1176" s="52">
        <v>591870.37964346097</v>
      </c>
      <c r="H1176" s="56">
        <v>3.2229896554175103E-2</v>
      </c>
      <c r="I1176" s="224">
        <v>1795.8661616161601</v>
      </c>
    </row>
    <row r="1177" spans="1:9" x14ac:dyDescent="0.25">
      <c r="A1177" s="515">
        <v>77493</v>
      </c>
      <c r="B1177" s="515" t="s">
        <v>314</v>
      </c>
      <c r="C1177" s="52">
        <v>356853.27307296399</v>
      </c>
      <c r="D1177" s="56">
        <v>8.5896712295836425E-2</v>
      </c>
      <c r="E1177" s="224">
        <v>1908.16987179487</v>
      </c>
      <c r="F1177" s="515" t="s">
        <v>2911</v>
      </c>
      <c r="G1177" s="52">
        <v>378545.16921085701</v>
      </c>
      <c r="H1177" s="56">
        <v>6.5696850552615482E-2</v>
      </c>
      <c r="I1177" s="224">
        <v>1500</v>
      </c>
    </row>
    <row r="1178" spans="1:9" x14ac:dyDescent="0.25">
      <c r="A1178" s="515">
        <v>59102</v>
      </c>
      <c r="B1178" s="515" t="s">
        <v>637</v>
      </c>
      <c r="C1178" s="52">
        <v>342668.52624495002</v>
      </c>
      <c r="D1178" s="56">
        <v>7.5728633699085432E-2</v>
      </c>
      <c r="E1178" s="224">
        <v>1570.4761904761899</v>
      </c>
      <c r="F1178" s="515" t="s">
        <v>2912</v>
      </c>
      <c r="G1178" s="52">
        <v>468375.73030453699</v>
      </c>
      <c r="H1178" s="56">
        <v>3.3081446673989698E-2</v>
      </c>
      <c r="I1178" s="224">
        <v>2209.2277777777699</v>
      </c>
    </row>
    <row r="1179" spans="1:9" x14ac:dyDescent="0.25">
      <c r="A1179" s="515">
        <v>34135</v>
      </c>
      <c r="B1179" s="515" t="s">
        <v>661</v>
      </c>
      <c r="C1179" s="52">
        <v>505597.6423987</v>
      </c>
      <c r="D1179" s="56">
        <v>0.12294796162913044</v>
      </c>
      <c r="E1179" s="224">
        <v>3166.0370370370301</v>
      </c>
      <c r="F1179" s="515" t="s">
        <v>2913</v>
      </c>
      <c r="G1179" s="52">
        <v>480056.89833472302</v>
      </c>
      <c r="H1179" s="56">
        <v>5.2845339146747189E-2</v>
      </c>
      <c r="I1179" s="224">
        <v>1600.94444444444</v>
      </c>
    </row>
    <row r="1180" spans="1:9" x14ac:dyDescent="0.25">
      <c r="A1180" s="515">
        <v>87123</v>
      </c>
      <c r="B1180" s="515" t="s">
        <v>406</v>
      </c>
      <c r="C1180" s="52">
        <v>296194.71041915601</v>
      </c>
      <c r="D1180" s="56">
        <v>9.6779237393271572E-2</v>
      </c>
      <c r="E1180" s="224">
        <v>1320.8921957671901</v>
      </c>
      <c r="F1180" s="515" t="s">
        <v>2914</v>
      </c>
      <c r="G1180" s="52">
        <v>349826.87735732802</v>
      </c>
      <c r="H1180" s="56">
        <v>3.2054621395535769E-2</v>
      </c>
      <c r="I1180" s="224">
        <v>1697.4800724637601</v>
      </c>
    </row>
    <row r="1181" spans="1:9" x14ac:dyDescent="0.25">
      <c r="A1181" s="515">
        <v>85224</v>
      </c>
      <c r="B1181" s="515" t="s">
        <v>563</v>
      </c>
      <c r="C1181" s="52">
        <v>428283.991293884</v>
      </c>
      <c r="D1181" s="56">
        <v>2.4569521313353979E-2</v>
      </c>
      <c r="E1181" s="224">
        <v>1807.5625</v>
      </c>
      <c r="F1181" s="515" t="s">
        <v>2915</v>
      </c>
      <c r="G1181" s="52">
        <v>430288.06008954201</v>
      </c>
      <c r="H1181" s="56">
        <v>3.8386675583008893E-2</v>
      </c>
      <c r="I1181" s="224">
        <v>1734.5470085469999</v>
      </c>
    </row>
    <row r="1182" spans="1:9" x14ac:dyDescent="0.25">
      <c r="A1182" s="515">
        <v>55112</v>
      </c>
      <c r="B1182" s="515" t="s">
        <v>532</v>
      </c>
      <c r="C1182" s="52">
        <v>340492.67818913498</v>
      </c>
      <c r="D1182" s="56">
        <v>4.886676050419219E-2</v>
      </c>
      <c r="E1182" s="224">
        <v>1282.2222222222199</v>
      </c>
      <c r="F1182" s="515" t="s">
        <v>612</v>
      </c>
      <c r="G1182" s="52">
        <v>171532.17266091201</v>
      </c>
      <c r="H1182" s="56">
        <v>5.4270917584675275E-2</v>
      </c>
      <c r="I1182" s="224" t="s">
        <v>2</v>
      </c>
    </row>
    <row r="1183" spans="1:9" x14ac:dyDescent="0.25">
      <c r="A1183" s="515">
        <v>95610</v>
      </c>
      <c r="B1183" s="515" t="s">
        <v>355</v>
      </c>
      <c r="C1183" s="52">
        <v>471821.04976508499</v>
      </c>
      <c r="D1183" s="56">
        <v>2.2737510049893658E-2</v>
      </c>
      <c r="E1183" s="224">
        <v>1819.1071428571399</v>
      </c>
      <c r="F1183" s="515" t="s">
        <v>1261</v>
      </c>
      <c r="G1183" s="52">
        <v>511224.16772957501</v>
      </c>
      <c r="H1183" s="56">
        <v>3.5649953961774165E-2</v>
      </c>
      <c r="I1183" s="224">
        <v>1812.5</v>
      </c>
    </row>
    <row r="1184" spans="1:9" x14ac:dyDescent="0.25">
      <c r="A1184" s="515">
        <v>95404</v>
      </c>
      <c r="B1184" s="515" t="s">
        <v>331</v>
      </c>
      <c r="C1184" s="52">
        <v>790209.92041093402</v>
      </c>
      <c r="D1184" s="56">
        <v>2.2506627200732203E-2</v>
      </c>
      <c r="E1184" s="224">
        <v>2397.4603174603099</v>
      </c>
      <c r="F1184" s="515" t="s">
        <v>2916</v>
      </c>
      <c r="G1184" s="52">
        <v>745811.14459966205</v>
      </c>
      <c r="H1184" s="56">
        <v>-2.44400884654776E-3</v>
      </c>
      <c r="I1184" s="224">
        <v>2947.2222222222199</v>
      </c>
    </row>
    <row r="1185" spans="1:9" x14ac:dyDescent="0.25">
      <c r="A1185" s="515">
        <v>33155</v>
      </c>
      <c r="B1185" s="515" t="s">
        <v>831</v>
      </c>
      <c r="C1185" s="52">
        <v>586185.70539836795</v>
      </c>
      <c r="D1185" s="56">
        <v>0.16548335583470802</v>
      </c>
      <c r="E1185" s="224">
        <v>2773.05982905982</v>
      </c>
      <c r="F1185" s="515" t="s">
        <v>2917</v>
      </c>
      <c r="G1185" s="52">
        <v>199261.63979153801</v>
      </c>
      <c r="H1185" s="56">
        <v>5.8002813491940121E-2</v>
      </c>
      <c r="I1185" s="224">
        <v>1073.3333333333301</v>
      </c>
    </row>
    <row r="1186" spans="1:9" x14ac:dyDescent="0.25">
      <c r="A1186" s="515">
        <v>47130</v>
      </c>
      <c r="B1186" s="515" t="s">
        <v>479</v>
      </c>
      <c r="C1186" s="52">
        <v>215647.960588552</v>
      </c>
      <c r="D1186" s="56">
        <v>6.5356473857326125E-2</v>
      </c>
      <c r="E1186" s="224">
        <v>1392.4722222222199</v>
      </c>
      <c r="F1186" s="515" t="s">
        <v>2918</v>
      </c>
      <c r="G1186" s="52">
        <v>799400.91919048305</v>
      </c>
      <c r="H1186" s="56">
        <v>9.1516029036796342E-2</v>
      </c>
      <c r="I1186" s="224">
        <v>2033.3333333333301</v>
      </c>
    </row>
    <row r="1187" spans="1:9" x14ac:dyDescent="0.25">
      <c r="A1187" s="515">
        <v>6457</v>
      </c>
      <c r="B1187" s="515" t="s">
        <v>894</v>
      </c>
      <c r="C1187" s="52">
        <v>277622.55777539598</v>
      </c>
      <c r="D1187" s="56">
        <v>0.10216214618184263</v>
      </c>
      <c r="E1187" s="224">
        <v>1555.7083333333301</v>
      </c>
      <c r="F1187" s="515" t="s">
        <v>2919</v>
      </c>
      <c r="G1187" s="52">
        <v>337010.24746288598</v>
      </c>
      <c r="H1187" s="56">
        <v>7.6416772598966273E-2</v>
      </c>
      <c r="I1187" s="224">
        <v>1659.6762820512799</v>
      </c>
    </row>
    <row r="1188" spans="1:9" x14ac:dyDescent="0.25">
      <c r="A1188" s="515">
        <v>2860</v>
      </c>
      <c r="B1188" s="515" t="s">
        <v>513</v>
      </c>
      <c r="C1188" s="52">
        <v>319110.189985479</v>
      </c>
      <c r="D1188" s="56">
        <v>8.2607525260871284E-2</v>
      </c>
      <c r="E1188" s="224">
        <v>1469.36507936507</v>
      </c>
      <c r="F1188" s="515" t="s">
        <v>2920</v>
      </c>
      <c r="G1188" s="52">
        <v>586088.49048463802</v>
      </c>
      <c r="H1188" s="56">
        <v>6.7099048657942223E-2</v>
      </c>
      <c r="I1188" s="224">
        <v>1901.33099579242</v>
      </c>
    </row>
    <row r="1189" spans="1:9" x14ac:dyDescent="0.25">
      <c r="A1189" s="515">
        <v>60115</v>
      </c>
      <c r="B1189" s="515" t="s">
        <v>394</v>
      </c>
      <c r="C1189" s="52">
        <v>198394.970596514</v>
      </c>
      <c r="D1189" s="56">
        <v>6.7041864159564896E-2</v>
      </c>
      <c r="E1189" s="224">
        <v>1279.07407407407</v>
      </c>
      <c r="F1189" s="515" t="s">
        <v>1097</v>
      </c>
      <c r="G1189" s="52">
        <v>155721.59549960401</v>
      </c>
      <c r="H1189" s="56">
        <v>-6.5685243915801522E-2</v>
      </c>
      <c r="I1189" s="224">
        <v>1025</v>
      </c>
    </row>
    <row r="1190" spans="1:9" x14ac:dyDescent="0.25">
      <c r="A1190" s="515">
        <v>18103</v>
      </c>
      <c r="B1190" s="515" t="s">
        <v>327</v>
      </c>
      <c r="C1190" s="52">
        <v>249577.93308758701</v>
      </c>
      <c r="D1190" s="56">
        <v>8.3139643130112739E-2</v>
      </c>
      <c r="E1190" s="224">
        <v>1625.05555555555</v>
      </c>
      <c r="F1190" s="515" t="s">
        <v>338</v>
      </c>
      <c r="G1190" s="52">
        <v>271716.582623214</v>
      </c>
      <c r="H1190" s="56">
        <v>9.6429856979634909E-2</v>
      </c>
      <c r="I1190" s="224">
        <v>1933.5</v>
      </c>
    </row>
    <row r="1191" spans="1:9" x14ac:dyDescent="0.25">
      <c r="A1191" s="515">
        <v>93292</v>
      </c>
      <c r="B1191" s="515" t="s">
        <v>358</v>
      </c>
      <c r="C1191" s="52">
        <v>352818.559289962</v>
      </c>
      <c r="D1191" s="56">
        <v>4.833514982173296E-2</v>
      </c>
      <c r="E1191" s="224" t="s">
        <v>2</v>
      </c>
      <c r="F1191" s="515" t="s">
        <v>722</v>
      </c>
      <c r="G1191" s="52">
        <v>231346.55020731399</v>
      </c>
      <c r="H1191" s="56">
        <v>3.4737958859207038E-2</v>
      </c>
      <c r="I1191" s="224">
        <v>1006</v>
      </c>
    </row>
    <row r="1192" spans="1:9" x14ac:dyDescent="0.25">
      <c r="A1192" s="515">
        <v>55337</v>
      </c>
      <c r="B1192" s="515" t="s">
        <v>532</v>
      </c>
      <c r="C1192" s="52">
        <v>328855.47361790203</v>
      </c>
      <c r="D1192" s="56">
        <v>2.1740850484590821E-2</v>
      </c>
      <c r="E1192" s="224">
        <v>1354.7643097642999</v>
      </c>
      <c r="F1192" s="515" t="s">
        <v>2921</v>
      </c>
      <c r="G1192" s="52">
        <v>874692.57251983404</v>
      </c>
      <c r="H1192" s="56">
        <v>6.3432623243822456E-2</v>
      </c>
      <c r="I1192" s="224">
        <v>2664.1666666666601</v>
      </c>
    </row>
    <row r="1193" spans="1:9" x14ac:dyDescent="0.25">
      <c r="A1193" s="515">
        <v>77080</v>
      </c>
      <c r="B1193" s="515" t="s">
        <v>314</v>
      </c>
      <c r="C1193" s="52">
        <v>319747.00709613401</v>
      </c>
      <c r="D1193" s="56">
        <v>7.7663443374244204E-2</v>
      </c>
      <c r="E1193" s="224">
        <v>1272.2617521367499</v>
      </c>
      <c r="F1193" s="515" t="s">
        <v>2922</v>
      </c>
      <c r="G1193" s="52">
        <v>399997.33059909998</v>
      </c>
      <c r="H1193" s="56">
        <v>5.5014579731077207E-2</v>
      </c>
      <c r="I1193" s="224">
        <v>1847.5710108604801</v>
      </c>
    </row>
    <row r="1194" spans="1:9" x14ac:dyDescent="0.25">
      <c r="A1194" s="515">
        <v>92102</v>
      </c>
      <c r="B1194" s="515" t="s">
        <v>396</v>
      </c>
      <c r="C1194" s="52">
        <v>632271.49523869599</v>
      </c>
      <c r="D1194" s="56">
        <v>3.4265641843961317E-2</v>
      </c>
      <c r="E1194" s="224">
        <v>2241.8151260504201</v>
      </c>
      <c r="F1194" s="515" t="s">
        <v>2923</v>
      </c>
      <c r="G1194" s="52">
        <v>275116.14280582598</v>
      </c>
      <c r="H1194" s="56">
        <v>6.342640472174732E-2</v>
      </c>
      <c r="I1194" s="224">
        <v>1735.55555555555</v>
      </c>
    </row>
    <row r="1195" spans="1:9" x14ac:dyDescent="0.25">
      <c r="A1195" s="515">
        <v>42301</v>
      </c>
      <c r="B1195" s="515" t="s">
        <v>1024</v>
      </c>
      <c r="C1195" s="52">
        <v>181971.66093968501</v>
      </c>
      <c r="D1195" s="56">
        <v>0.10929259428993252</v>
      </c>
      <c r="E1195" s="224" t="s">
        <v>2</v>
      </c>
      <c r="F1195" s="515" t="s">
        <v>2924</v>
      </c>
      <c r="G1195" s="52">
        <v>839795.82951519697</v>
      </c>
      <c r="H1195" s="56">
        <v>7.1728650558808893E-2</v>
      </c>
      <c r="I1195" s="224">
        <v>2957.5</v>
      </c>
    </row>
    <row r="1196" spans="1:9" x14ac:dyDescent="0.25">
      <c r="A1196" s="515">
        <v>32174</v>
      </c>
      <c r="B1196" s="515" t="s">
        <v>974</v>
      </c>
      <c r="C1196" s="52">
        <v>384429.51450460003</v>
      </c>
      <c r="D1196" s="56">
        <v>0.11768685259132468</v>
      </c>
      <c r="E1196" s="224">
        <v>2274.3333333333298</v>
      </c>
      <c r="F1196" s="515" t="s">
        <v>2925</v>
      </c>
      <c r="G1196" s="52">
        <v>198494.33091811501</v>
      </c>
      <c r="H1196" s="56">
        <v>7.5672451700815713E-2</v>
      </c>
      <c r="I1196" s="224">
        <v>1153.5</v>
      </c>
    </row>
    <row r="1197" spans="1:9" x14ac:dyDescent="0.25">
      <c r="A1197" s="515">
        <v>33147</v>
      </c>
      <c r="B1197" s="515" t="s">
        <v>831</v>
      </c>
      <c r="C1197" s="52">
        <v>353932.60995821003</v>
      </c>
      <c r="D1197" s="56">
        <v>0.19636516888383532</v>
      </c>
      <c r="E1197" s="224">
        <v>2450.5555555555502</v>
      </c>
      <c r="F1197" s="515" t="s">
        <v>2926</v>
      </c>
      <c r="G1197" s="52">
        <v>321046.03540206299</v>
      </c>
      <c r="H1197" s="56">
        <v>5.9199194275987681E-2</v>
      </c>
      <c r="I1197" s="224">
        <v>1537.5925925925901</v>
      </c>
    </row>
    <row r="1198" spans="1:9" x14ac:dyDescent="0.25">
      <c r="A1198" s="515">
        <v>11228</v>
      </c>
      <c r="B1198" s="515" t="s">
        <v>324</v>
      </c>
      <c r="C1198" s="52">
        <v>1047019.72802778</v>
      </c>
      <c r="D1198" s="56">
        <v>3.5088201340728639E-2</v>
      </c>
      <c r="E1198" s="224">
        <v>2600</v>
      </c>
      <c r="F1198" s="515" t="s">
        <v>2927</v>
      </c>
      <c r="G1198" s="52">
        <v>247721.21591673899</v>
      </c>
      <c r="H1198" s="56">
        <v>7.2876980389623078E-2</v>
      </c>
      <c r="I1198" s="224">
        <v>1747.6902966314699</v>
      </c>
    </row>
    <row r="1199" spans="1:9" x14ac:dyDescent="0.25">
      <c r="A1199" s="515">
        <v>92506</v>
      </c>
      <c r="B1199" s="515" t="s">
        <v>599</v>
      </c>
      <c r="C1199" s="52">
        <v>628091.24748910905</v>
      </c>
      <c r="D1199" s="56">
        <v>5.3298958094072452E-2</v>
      </c>
      <c r="E1199" s="224">
        <v>2568.2222222222199</v>
      </c>
      <c r="F1199" s="515" t="s">
        <v>2928</v>
      </c>
      <c r="G1199" s="52">
        <v>503893.91627212398</v>
      </c>
      <c r="H1199" s="56">
        <v>3.2896136956594602E-2</v>
      </c>
      <c r="I1199" s="224">
        <v>1530.3936507936501</v>
      </c>
    </row>
    <row r="1200" spans="1:9" x14ac:dyDescent="0.25">
      <c r="A1200" s="515">
        <v>70301</v>
      </c>
      <c r="B1200" s="515" t="s">
        <v>898</v>
      </c>
      <c r="C1200" s="52">
        <v>192703.22192554301</v>
      </c>
      <c r="D1200" s="56">
        <v>-9.3007451194343938E-3</v>
      </c>
      <c r="E1200" s="224">
        <v>987.5</v>
      </c>
      <c r="F1200" s="515" t="s">
        <v>2929</v>
      </c>
      <c r="G1200" s="52">
        <v>315142.93435679202</v>
      </c>
      <c r="H1200" s="56">
        <v>5.675878458176515E-2</v>
      </c>
      <c r="I1200" s="224">
        <v>1641.2962962962899</v>
      </c>
    </row>
    <row r="1201" spans="1:9" x14ac:dyDescent="0.25">
      <c r="A1201" s="515">
        <v>98204</v>
      </c>
      <c r="B1201" s="515" t="s">
        <v>384</v>
      </c>
      <c r="C1201" s="52">
        <v>491774.093490222</v>
      </c>
      <c r="D1201" s="56">
        <v>3.7936522557967006E-2</v>
      </c>
      <c r="E1201" s="224">
        <v>1854.06010230179</v>
      </c>
      <c r="F1201" s="515" t="s">
        <v>2930</v>
      </c>
      <c r="G1201" s="52">
        <v>365398.83348888101</v>
      </c>
      <c r="H1201" s="56">
        <v>3.534975547802828E-2</v>
      </c>
      <c r="I1201" s="224">
        <v>1451.5</v>
      </c>
    </row>
    <row r="1202" spans="1:9" x14ac:dyDescent="0.25">
      <c r="A1202" s="515">
        <v>38109</v>
      </c>
      <c r="B1202" s="515" t="s">
        <v>951</v>
      </c>
      <c r="C1202" s="52">
        <v>87177.327817000798</v>
      </c>
      <c r="D1202" s="56">
        <v>0.22990641657342689</v>
      </c>
      <c r="E1202" s="224">
        <v>1008.22222222222</v>
      </c>
      <c r="F1202" s="515" t="s">
        <v>2931</v>
      </c>
      <c r="G1202" s="52">
        <v>633565.76429701305</v>
      </c>
      <c r="H1202" s="56">
        <v>3.7994243009947103E-2</v>
      </c>
      <c r="I1202" s="224">
        <v>2704.9761904761899</v>
      </c>
    </row>
    <row r="1203" spans="1:9" x14ac:dyDescent="0.25">
      <c r="A1203" s="515">
        <v>11205</v>
      </c>
      <c r="B1203" s="515" t="s">
        <v>324</v>
      </c>
      <c r="C1203" s="52">
        <v>755443.37917364703</v>
      </c>
      <c r="D1203" s="56">
        <v>-2.0256480977406219E-2</v>
      </c>
      <c r="E1203" s="224">
        <v>3220.5232277526302</v>
      </c>
      <c r="F1203" s="515" t="s">
        <v>1238</v>
      </c>
      <c r="G1203" s="52">
        <v>128281.20128512</v>
      </c>
      <c r="H1203" s="56">
        <v>9.2130686373374251E-2</v>
      </c>
      <c r="I1203" s="224">
        <v>1045.3333333333301</v>
      </c>
    </row>
    <row r="1204" spans="1:9" x14ac:dyDescent="0.25">
      <c r="A1204" s="515">
        <v>8053</v>
      </c>
      <c r="B1204" s="515" t="s">
        <v>294</v>
      </c>
      <c r="C1204" s="52">
        <v>381963.80111531803</v>
      </c>
      <c r="D1204" s="56">
        <v>9.0888822446119177E-2</v>
      </c>
      <c r="E1204" s="224">
        <v>2092.0972222222199</v>
      </c>
      <c r="F1204" s="515" t="s">
        <v>2932</v>
      </c>
      <c r="G1204" s="52">
        <v>938355.29243847204</v>
      </c>
      <c r="H1204" s="56">
        <v>6.1417407461028424E-2</v>
      </c>
      <c r="I1204" s="224">
        <v>2667.7728174603099</v>
      </c>
    </row>
    <row r="1205" spans="1:9" x14ac:dyDescent="0.25">
      <c r="A1205" s="515">
        <v>23185</v>
      </c>
      <c r="B1205" s="515" t="s">
        <v>301</v>
      </c>
      <c r="C1205" s="52">
        <v>397649.63227415498</v>
      </c>
      <c r="D1205" s="56">
        <v>8.0765400841553314E-2</v>
      </c>
      <c r="E1205" s="224">
        <v>1703.9047619047601</v>
      </c>
      <c r="F1205" s="515" t="s">
        <v>1263</v>
      </c>
      <c r="G1205" s="52">
        <v>398414.53059943602</v>
      </c>
      <c r="H1205" s="56">
        <v>2.8280444252165748E-2</v>
      </c>
      <c r="I1205" s="224" t="s">
        <v>2</v>
      </c>
    </row>
    <row r="1206" spans="1:9" x14ac:dyDescent="0.25">
      <c r="A1206" s="515">
        <v>85205</v>
      </c>
      <c r="B1206" s="515" t="s">
        <v>563</v>
      </c>
      <c r="C1206" s="52">
        <v>391799.844907675</v>
      </c>
      <c r="D1206" s="56">
        <v>4.4526153734956483E-2</v>
      </c>
      <c r="E1206" s="224">
        <v>1856.5380952380899</v>
      </c>
      <c r="F1206" s="515" t="s">
        <v>2933</v>
      </c>
      <c r="G1206" s="52">
        <v>709519.01002882095</v>
      </c>
      <c r="H1206" s="56">
        <v>3.9300583270477349E-2</v>
      </c>
      <c r="I1206" s="224">
        <v>2439.0833333333298</v>
      </c>
    </row>
    <row r="1207" spans="1:9" x14ac:dyDescent="0.25">
      <c r="A1207" s="515">
        <v>46226</v>
      </c>
      <c r="B1207" s="515" t="s">
        <v>403</v>
      </c>
      <c r="C1207" s="52">
        <v>145353.708949664</v>
      </c>
      <c r="D1207" s="56">
        <v>0.11774659150119639</v>
      </c>
      <c r="E1207" s="224">
        <v>1208.0294312169301</v>
      </c>
      <c r="F1207" s="515" t="s">
        <v>2934</v>
      </c>
      <c r="G1207" s="52">
        <v>511170.32440861798</v>
      </c>
      <c r="H1207" s="56">
        <v>6.3593730390622424E-2</v>
      </c>
      <c r="I1207" s="224">
        <v>2959.5833333333298</v>
      </c>
    </row>
    <row r="1208" spans="1:9" x14ac:dyDescent="0.25">
      <c r="A1208" s="515">
        <v>60193</v>
      </c>
      <c r="B1208" s="515" t="s">
        <v>394</v>
      </c>
      <c r="C1208" s="52">
        <v>291399.384576265</v>
      </c>
      <c r="D1208" s="56">
        <v>1.9618960728701285E-2</v>
      </c>
      <c r="E1208" s="224">
        <v>1752.8285714285701</v>
      </c>
      <c r="F1208" s="515" t="s">
        <v>2935</v>
      </c>
      <c r="G1208" s="52">
        <v>349780.74237308302</v>
      </c>
      <c r="H1208" s="56">
        <v>7.9830634645256332E-2</v>
      </c>
      <c r="I1208" s="224">
        <v>1779.44444444444</v>
      </c>
    </row>
    <row r="1209" spans="1:9" x14ac:dyDescent="0.25">
      <c r="A1209" s="515">
        <v>57106</v>
      </c>
      <c r="B1209" s="515" t="s">
        <v>579</v>
      </c>
      <c r="C1209" s="52">
        <v>298530.89751635899</v>
      </c>
      <c r="D1209" s="56">
        <v>7.743731300665091E-2</v>
      </c>
      <c r="E1209" s="224">
        <v>1144.6746031746</v>
      </c>
      <c r="F1209" s="515" t="s">
        <v>633</v>
      </c>
      <c r="G1209" s="52">
        <v>160606.30363654101</v>
      </c>
      <c r="H1209" s="56">
        <v>0.15315565166730058</v>
      </c>
      <c r="I1209" s="224" t="s">
        <v>2</v>
      </c>
    </row>
    <row r="1210" spans="1:9" x14ac:dyDescent="0.25">
      <c r="A1210" s="515">
        <v>91733</v>
      </c>
      <c r="B1210" s="515" t="s">
        <v>375</v>
      </c>
      <c r="C1210" s="52">
        <v>667233.25067891495</v>
      </c>
      <c r="D1210" s="56">
        <v>7.220639811944625E-2</v>
      </c>
      <c r="E1210" s="224">
        <v>2580</v>
      </c>
      <c r="F1210" s="515" t="s">
        <v>2936</v>
      </c>
      <c r="G1210" s="52">
        <v>150332.76744396301</v>
      </c>
      <c r="H1210" s="56">
        <v>9.1255447762292163E-2</v>
      </c>
      <c r="I1210" s="224">
        <v>1369.00793650793</v>
      </c>
    </row>
    <row r="1211" spans="1:9" x14ac:dyDescent="0.25">
      <c r="A1211" s="515">
        <v>1902</v>
      </c>
      <c r="B1211" s="515" t="s">
        <v>534</v>
      </c>
      <c r="C1211" s="52">
        <v>445163.91340731201</v>
      </c>
      <c r="D1211" s="56">
        <v>5.6885287084799049E-2</v>
      </c>
      <c r="E1211" s="224">
        <v>2087.4871794871701</v>
      </c>
      <c r="F1211" s="515" t="s">
        <v>2937</v>
      </c>
      <c r="G1211" s="52">
        <v>1171909.3318173799</v>
      </c>
      <c r="H1211" s="56">
        <v>4.5609959629533528E-2</v>
      </c>
      <c r="I1211" s="224">
        <v>3459.6666666666601</v>
      </c>
    </row>
    <row r="1212" spans="1:9" x14ac:dyDescent="0.25">
      <c r="A1212" s="515">
        <v>92236</v>
      </c>
      <c r="B1212" s="515" t="s">
        <v>599</v>
      </c>
      <c r="C1212" s="52">
        <v>389045.306342664</v>
      </c>
      <c r="D1212" s="56">
        <v>0.1063755400599828</v>
      </c>
      <c r="E1212" s="224" t="s">
        <v>2</v>
      </c>
      <c r="F1212" s="515" t="s">
        <v>2938</v>
      </c>
      <c r="G1212" s="52">
        <v>274997.46079583</v>
      </c>
      <c r="H1212" s="56">
        <v>0.10024926555714705</v>
      </c>
      <c r="I1212" s="224">
        <v>1386.6666666666599</v>
      </c>
    </row>
    <row r="1213" spans="1:9" x14ac:dyDescent="0.25">
      <c r="A1213" s="515">
        <v>89015</v>
      </c>
      <c r="B1213" s="515" t="s">
        <v>323</v>
      </c>
      <c r="C1213" s="52">
        <v>379361.58347098198</v>
      </c>
      <c r="D1213" s="56">
        <v>5.33631585812087E-2</v>
      </c>
      <c r="E1213" s="224">
        <v>1848.4166666666599</v>
      </c>
      <c r="F1213" s="515" t="s">
        <v>2939</v>
      </c>
      <c r="G1213" s="52">
        <v>282055.70943647798</v>
      </c>
      <c r="H1213" s="56">
        <v>0.13417910399509739</v>
      </c>
      <c r="I1213" s="224">
        <v>1963.1660561660501</v>
      </c>
    </row>
    <row r="1214" spans="1:9" x14ac:dyDescent="0.25">
      <c r="A1214" s="515">
        <v>97401</v>
      </c>
      <c r="B1214" s="515" t="s">
        <v>801</v>
      </c>
      <c r="C1214" s="52">
        <v>486278.17757150403</v>
      </c>
      <c r="D1214" s="56">
        <v>4.5468603890145246E-2</v>
      </c>
      <c r="E1214" s="224">
        <v>1940.18034632034</v>
      </c>
      <c r="F1214" s="515" t="s">
        <v>2940</v>
      </c>
      <c r="G1214" s="52">
        <v>156342.07170458499</v>
      </c>
      <c r="H1214" s="56">
        <v>7.4334990422529043E-2</v>
      </c>
      <c r="I1214" s="224">
        <v>1399.7023809523801</v>
      </c>
    </row>
    <row r="1215" spans="1:9" x14ac:dyDescent="0.25">
      <c r="A1215" s="515">
        <v>7060</v>
      </c>
      <c r="B1215" s="515" t="s">
        <v>324</v>
      </c>
      <c r="C1215" s="52">
        <v>401190.67011381098</v>
      </c>
      <c r="D1215" s="56">
        <v>7.2729199298866065E-2</v>
      </c>
      <c r="E1215" s="224">
        <v>2040.3333333333301</v>
      </c>
      <c r="F1215" s="515" t="s">
        <v>2941</v>
      </c>
      <c r="G1215" s="52">
        <v>283541.155319663</v>
      </c>
      <c r="H1215" s="56">
        <v>5.1076473023853125E-2</v>
      </c>
      <c r="I1215" s="224">
        <v>1570.8333333333301</v>
      </c>
    </row>
    <row r="1216" spans="1:9" x14ac:dyDescent="0.25">
      <c r="A1216" s="515">
        <v>78253</v>
      </c>
      <c r="B1216" s="515" t="s">
        <v>717</v>
      </c>
      <c r="C1216" s="52">
        <v>363321.51655165601</v>
      </c>
      <c r="D1216" s="56">
        <v>5.6709869588032619E-2</v>
      </c>
      <c r="E1216" s="224">
        <v>1726.18327067669</v>
      </c>
      <c r="F1216" s="515" t="s">
        <v>296</v>
      </c>
      <c r="G1216" s="52">
        <v>173067.977401632</v>
      </c>
      <c r="H1216" s="56">
        <v>7.4989087283991188E-2</v>
      </c>
      <c r="I1216" s="224" t="s">
        <v>2</v>
      </c>
    </row>
    <row r="1217" spans="1:9" x14ac:dyDescent="0.25">
      <c r="A1217" s="515">
        <v>79424</v>
      </c>
      <c r="B1217" s="515" t="s">
        <v>354</v>
      </c>
      <c r="C1217" s="52">
        <v>280531.421210595</v>
      </c>
      <c r="D1217" s="56">
        <v>7.7373648896145147E-2</v>
      </c>
      <c r="E1217" s="224">
        <v>1564.9777777777699</v>
      </c>
      <c r="F1217" s="515" t="s">
        <v>2942</v>
      </c>
      <c r="G1217" s="52">
        <v>277826.77974042302</v>
      </c>
      <c r="H1217" s="56">
        <v>0.10221866483425458</v>
      </c>
      <c r="I1217" s="224">
        <v>1555.7083333333301</v>
      </c>
    </row>
    <row r="1218" spans="1:9" x14ac:dyDescent="0.25">
      <c r="A1218" s="515">
        <v>98902</v>
      </c>
      <c r="B1218" s="515" t="s">
        <v>948</v>
      </c>
      <c r="C1218" s="52">
        <v>262429.18352034001</v>
      </c>
      <c r="D1218" s="56">
        <v>4.0287332956859552E-2</v>
      </c>
      <c r="E1218" s="224">
        <v>1231.25</v>
      </c>
      <c r="F1218" s="515" t="s">
        <v>2943</v>
      </c>
      <c r="G1218" s="52">
        <v>238745.72950341101</v>
      </c>
      <c r="H1218" s="56">
        <v>0.13421537661571187</v>
      </c>
      <c r="I1218" s="224">
        <v>1730.23593073593</v>
      </c>
    </row>
    <row r="1219" spans="1:9" x14ac:dyDescent="0.25">
      <c r="A1219" s="515">
        <v>77042</v>
      </c>
      <c r="B1219" s="515" t="s">
        <v>314</v>
      </c>
      <c r="C1219" s="52">
        <v>270817.17873152002</v>
      </c>
      <c r="D1219" s="56">
        <v>4.352157265632297E-2</v>
      </c>
      <c r="E1219" s="224">
        <v>1406.6494891443101</v>
      </c>
      <c r="F1219" s="515" t="s">
        <v>2944</v>
      </c>
      <c r="G1219" s="52">
        <v>487192.92157732398</v>
      </c>
      <c r="H1219" s="56">
        <v>8.0890971591937214E-2</v>
      </c>
      <c r="I1219" s="224">
        <v>2174.7222222222199</v>
      </c>
    </row>
    <row r="1220" spans="1:9" x14ac:dyDescent="0.25">
      <c r="A1220" s="515">
        <v>78230</v>
      </c>
      <c r="B1220" s="515" t="s">
        <v>717</v>
      </c>
      <c r="C1220" s="52">
        <v>356574.16137160198</v>
      </c>
      <c r="D1220" s="56">
        <v>8.9005078923648021E-2</v>
      </c>
      <c r="E1220" s="224">
        <v>1266.73642439431</v>
      </c>
      <c r="F1220" s="515" t="s">
        <v>2945</v>
      </c>
      <c r="G1220" s="52">
        <v>294431.89444040199</v>
      </c>
      <c r="H1220" s="56">
        <v>0.13138904964079334</v>
      </c>
      <c r="I1220" s="224">
        <v>1951.44444444444</v>
      </c>
    </row>
    <row r="1221" spans="1:9" x14ac:dyDescent="0.25">
      <c r="A1221" s="515">
        <v>30067</v>
      </c>
      <c r="B1221" s="515" t="s">
        <v>957</v>
      </c>
      <c r="C1221" s="52">
        <v>385038.44509046798</v>
      </c>
      <c r="D1221" s="56">
        <v>8.2868805572307538E-2</v>
      </c>
      <c r="E1221" s="224">
        <v>1715.9691470054399</v>
      </c>
      <c r="F1221" s="515" t="s">
        <v>1296</v>
      </c>
      <c r="G1221" s="52">
        <v>439114.50988653698</v>
      </c>
      <c r="H1221" s="56">
        <v>2.0690458109783011E-2</v>
      </c>
      <c r="I1221" s="224">
        <v>1867.4027777777701</v>
      </c>
    </row>
    <row r="1222" spans="1:9" x14ac:dyDescent="0.25">
      <c r="A1222" s="515">
        <v>75033</v>
      </c>
      <c r="B1222" s="515" t="s">
        <v>458</v>
      </c>
      <c r="C1222" s="52">
        <v>637852.55580166797</v>
      </c>
      <c r="D1222" s="56">
        <v>6.3244449409866718E-2</v>
      </c>
      <c r="E1222" s="224">
        <v>2018.1763628528299</v>
      </c>
      <c r="F1222" s="515" t="s">
        <v>2946</v>
      </c>
      <c r="G1222" s="52">
        <v>218901.732810052</v>
      </c>
      <c r="H1222" s="56">
        <v>8.2675405162668469E-2</v>
      </c>
      <c r="I1222" s="224">
        <v>1599.6666666666599</v>
      </c>
    </row>
    <row r="1223" spans="1:9" x14ac:dyDescent="0.25">
      <c r="A1223" s="515">
        <v>32835</v>
      </c>
      <c r="B1223" s="515" t="s">
        <v>517</v>
      </c>
      <c r="C1223" s="52">
        <v>307728.12643249601</v>
      </c>
      <c r="D1223" s="56">
        <v>0.12159792364023887</v>
      </c>
      <c r="E1223" s="224">
        <v>1907.2631048387</v>
      </c>
      <c r="F1223" s="515" t="s">
        <v>842</v>
      </c>
      <c r="G1223" s="52">
        <v>153162.46893770501</v>
      </c>
      <c r="H1223" s="56">
        <v>-3.3231250518278535E-2</v>
      </c>
      <c r="I1223" s="224" t="s">
        <v>2</v>
      </c>
    </row>
    <row r="1224" spans="1:9" x14ac:dyDescent="0.25">
      <c r="A1224" s="515">
        <v>28213</v>
      </c>
      <c r="B1224" s="515" t="s">
        <v>360</v>
      </c>
      <c r="C1224" s="52">
        <v>307446.11630579398</v>
      </c>
      <c r="D1224" s="56">
        <v>7.1273942037354626E-2</v>
      </c>
      <c r="E1224" s="224">
        <v>1645.90784313725</v>
      </c>
      <c r="F1224" s="515" t="s">
        <v>1269</v>
      </c>
      <c r="G1224" s="52">
        <v>367771.57847787498</v>
      </c>
      <c r="H1224" s="56">
        <v>2.0849689651754284E-2</v>
      </c>
      <c r="I1224" s="224">
        <v>1285.3333333333301</v>
      </c>
    </row>
    <row r="1225" spans="1:9" x14ac:dyDescent="0.25">
      <c r="A1225" s="515">
        <v>75019</v>
      </c>
      <c r="B1225" s="515" t="s">
        <v>458</v>
      </c>
      <c r="C1225" s="52">
        <v>581184.71269370103</v>
      </c>
      <c r="D1225" s="56">
        <v>7.0632916308437002E-2</v>
      </c>
      <c r="E1225" s="224">
        <v>2023.38047138047</v>
      </c>
      <c r="F1225" s="515" t="s">
        <v>2947</v>
      </c>
      <c r="G1225" s="52">
        <v>194826.696795939</v>
      </c>
      <c r="H1225" s="56">
        <v>0.10502714314615909</v>
      </c>
      <c r="I1225" s="224" t="s">
        <v>2</v>
      </c>
    </row>
    <row r="1226" spans="1:9" x14ac:dyDescent="0.25">
      <c r="A1226" s="515">
        <v>85296</v>
      </c>
      <c r="B1226" s="515" t="s">
        <v>563</v>
      </c>
      <c r="C1226" s="52">
        <v>518358.72453548701</v>
      </c>
      <c r="D1226" s="56">
        <v>3.1304802597947955E-2</v>
      </c>
      <c r="E1226" s="224">
        <v>2113.8657755499798</v>
      </c>
      <c r="F1226" s="515" t="s">
        <v>2948</v>
      </c>
      <c r="G1226" s="52">
        <v>1121352.6359308001</v>
      </c>
      <c r="H1226" s="56">
        <v>1.1261959080544611E-2</v>
      </c>
      <c r="I1226" s="224">
        <v>3226.6607142857101</v>
      </c>
    </row>
    <row r="1227" spans="1:9" x14ac:dyDescent="0.25">
      <c r="A1227" s="515">
        <v>11590</v>
      </c>
      <c r="B1227" s="515" t="s">
        <v>324</v>
      </c>
      <c r="C1227" s="52">
        <v>628003.33534611401</v>
      </c>
      <c r="D1227" s="56">
        <v>5.4489597282267259E-2</v>
      </c>
      <c r="E1227" s="224" t="s">
        <v>2</v>
      </c>
      <c r="F1227" s="515" t="s">
        <v>2949</v>
      </c>
      <c r="G1227" s="52">
        <v>1049192.9103846201</v>
      </c>
      <c r="H1227" s="56">
        <v>8.1176729109880288E-2</v>
      </c>
      <c r="I1227" s="224">
        <v>2882.5</v>
      </c>
    </row>
    <row r="1228" spans="1:9" x14ac:dyDescent="0.25">
      <c r="A1228" s="515">
        <v>8302</v>
      </c>
      <c r="B1228" s="515" t="s">
        <v>557</v>
      </c>
      <c r="C1228" s="52">
        <v>193601.739277924</v>
      </c>
      <c r="D1228" s="56">
        <v>0.10607595881635244</v>
      </c>
      <c r="E1228" s="224" t="s">
        <v>2</v>
      </c>
      <c r="F1228" s="515" t="s">
        <v>2950</v>
      </c>
      <c r="G1228" s="52">
        <v>489711.32888847397</v>
      </c>
      <c r="H1228" s="56">
        <v>-1.005354672960334E-2</v>
      </c>
      <c r="I1228" s="224">
        <v>1934.44444444444</v>
      </c>
    </row>
    <row r="1229" spans="1:9" x14ac:dyDescent="0.25">
      <c r="A1229" s="515">
        <v>20109</v>
      </c>
      <c r="B1229" s="515" t="s">
        <v>321</v>
      </c>
      <c r="C1229" s="52">
        <v>388950.86038105597</v>
      </c>
      <c r="D1229" s="56">
        <v>3.4368214135624513E-2</v>
      </c>
      <c r="E1229" s="224">
        <v>1918.4230769230701</v>
      </c>
      <c r="F1229" s="515" t="s">
        <v>2951</v>
      </c>
      <c r="G1229" s="52">
        <v>357554.964188957</v>
      </c>
      <c r="H1229" s="56">
        <v>1.7994658759010379E-2</v>
      </c>
      <c r="I1229" s="224">
        <v>1839.4777777777699</v>
      </c>
    </row>
    <row r="1230" spans="1:9" x14ac:dyDescent="0.25">
      <c r="A1230" s="515">
        <v>33321</v>
      </c>
      <c r="B1230" s="515" t="s">
        <v>831</v>
      </c>
      <c r="C1230" s="52">
        <v>307480.54987046198</v>
      </c>
      <c r="D1230" s="56">
        <v>0.13886714691157601</v>
      </c>
      <c r="E1230" s="224">
        <v>2119.9158730158701</v>
      </c>
      <c r="F1230" s="515" t="s">
        <v>1092</v>
      </c>
      <c r="G1230" s="52">
        <v>195390.35192501501</v>
      </c>
      <c r="H1230" s="56">
        <v>0.16998250849568775</v>
      </c>
      <c r="I1230" s="224">
        <v>1523.3333333333301</v>
      </c>
    </row>
    <row r="1231" spans="1:9" x14ac:dyDescent="0.25">
      <c r="A1231" s="515">
        <v>65202</v>
      </c>
      <c r="B1231" s="515" t="s">
        <v>785</v>
      </c>
      <c r="C1231" s="52">
        <v>222981.48379395701</v>
      </c>
      <c r="D1231" s="56">
        <v>9.5407923960685009E-2</v>
      </c>
      <c r="E1231" s="224">
        <v>980.02777777777703</v>
      </c>
      <c r="F1231" s="515" t="s">
        <v>2952</v>
      </c>
      <c r="G1231" s="52">
        <v>302968.96076147299</v>
      </c>
      <c r="H1231" s="56">
        <v>3.2397160268230404E-2</v>
      </c>
      <c r="I1231" s="224" t="s">
        <v>2</v>
      </c>
    </row>
    <row r="1232" spans="1:9" x14ac:dyDescent="0.25">
      <c r="A1232" s="515">
        <v>94116</v>
      </c>
      <c r="B1232" s="515" t="s">
        <v>593</v>
      </c>
      <c r="C1232" s="52">
        <v>1425202.4825246099</v>
      </c>
      <c r="D1232" s="56">
        <v>-6.3074878612632793E-2</v>
      </c>
      <c r="E1232" s="224">
        <v>3367.7777777777701</v>
      </c>
      <c r="F1232" s="515" t="s">
        <v>2953</v>
      </c>
      <c r="G1232" s="52">
        <v>488837.61650746001</v>
      </c>
      <c r="H1232" s="56">
        <v>6.1354917784276167E-2</v>
      </c>
      <c r="I1232" s="224">
        <v>2609.6646825396801</v>
      </c>
    </row>
    <row r="1233" spans="1:9" x14ac:dyDescent="0.25">
      <c r="A1233" s="515">
        <v>21043</v>
      </c>
      <c r="B1233" s="515" t="s">
        <v>582</v>
      </c>
      <c r="C1233" s="52">
        <v>564331.99940654705</v>
      </c>
      <c r="D1233" s="56">
        <v>4.299266352737758E-2</v>
      </c>
      <c r="E1233" s="224">
        <v>1963.39957264957</v>
      </c>
      <c r="F1233" s="515" t="s">
        <v>2954</v>
      </c>
      <c r="G1233" s="52">
        <v>195235.97093752699</v>
      </c>
      <c r="H1233" s="56">
        <v>-8.0179117913043059E-3</v>
      </c>
      <c r="I1233" s="224">
        <v>1000</v>
      </c>
    </row>
    <row r="1234" spans="1:9" x14ac:dyDescent="0.25">
      <c r="A1234" s="515">
        <v>11772</v>
      </c>
      <c r="B1234" s="515" t="s">
        <v>324</v>
      </c>
      <c r="C1234" s="52">
        <v>464034.22741014301</v>
      </c>
      <c r="D1234" s="56">
        <v>3.4068797003598758E-2</v>
      </c>
      <c r="E1234" s="224">
        <v>3454.75</v>
      </c>
      <c r="F1234" s="515" t="s">
        <v>2955</v>
      </c>
      <c r="G1234" s="52">
        <v>243928.95795203699</v>
      </c>
      <c r="H1234" s="56">
        <v>5.283633094589698E-2</v>
      </c>
      <c r="I1234" s="224">
        <v>1262.3753501400499</v>
      </c>
    </row>
    <row r="1235" spans="1:9" x14ac:dyDescent="0.25">
      <c r="A1235" s="515">
        <v>98226</v>
      </c>
      <c r="B1235" s="515" t="s">
        <v>412</v>
      </c>
      <c r="C1235" s="52">
        <v>597879.29387363896</v>
      </c>
      <c r="D1235" s="56">
        <v>3.6107428821741672E-2</v>
      </c>
      <c r="E1235" s="224">
        <v>2088.13095238095</v>
      </c>
      <c r="F1235" s="515" t="s">
        <v>2956</v>
      </c>
      <c r="G1235" s="52">
        <v>368675.89773336501</v>
      </c>
      <c r="H1235" s="56">
        <v>0.10275602262173397</v>
      </c>
      <c r="I1235" s="224">
        <v>1394.1666666666599</v>
      </c>
    </row>
    <row r="1236" spans="1:9" x14ac:dyDescent="0.25">
      <c r="A1236" s="515">
        <v>84118</v>
      </c>
      <c r="B1236" s="515" t="s">
        <v>617</v>
      </c>
      <c r="C1236" s="52">
        <v>404131.756011069</v>
      </c>
      <c r="D1236" s="56">
        <v>1.7163859255811102E-2</v>
      </c>
      <c r="E1236" s="224" t="s">
        <v>2</v>
      </c>
      <c r="F1236" s="515" t="s">
        <v>2957</v>
      </c>
      <c r="G1236" s="52">
        <v>530219.39735687396</v>
      </c>
      <c r="H1236" s="56">
        <v>2.960855455221487E-2</v>
      </c>
      <c r="I1236" s="224">
        <v>2702.5601731601701</v>
      </c>
    </row>
    <row r="1237" spans="1:9" x14ac:dyDescent="0.25">
      <c r="A1237" s="515">
        <v>33169</v>
      </c>
      <c r="B1237" s="515" t="s">
        <v>831</v>
      </c>
      <c r="C1237" s="52">
        <v>401257.510515592</v>
      </c>
      <c r="D1237" s="56">
        <v>0.18961606031393044</v>
      </c>
      <c r="E1237" s="224">
        <v>2231.5873015872999</v>
      </c>
      <c r="F1237" s="515" t="s">
        <v>2958</v>
      </c>
      <c r="G1237" s="52">
        <v>544095.65065894602</v>
      </c>
      <c r="H1237" s="56">
        <v>4.4537723463835735E-2</v>
      </c>
      <c r="I1237" s="224" t="s">
        <v>2</v>
      </c>
    </row>
    <row r="1238" spans="1:9" x14ac:dyDescent="0.25">
      <c r="A1238" s="515">
        <v>65802</v>
      </c>
      <c r="B1238" s="515" t="s">
        <v>603</v>
      </c>
      <c r="C1238" s="52">
        <v>174717.794446916</v>
      </c>
      <c r="D1238" s="56">
        <v>0.12748932576702646</v>
      </c>
      <c r="E1238" s="224">
        <v>1176.67592592592</v>
      </c>
      <c r="F1238" s="515" t="s">
        <v>2959</v>
      </c>
      <c r="G1238" s="52">
        <v>198548.77294926901</v>
      </c>
      <c r="H1238" s="56">
        <v>6.6884614092274586E-2</v>
      </c>
      <c r="I1238" s="224">
        <v>1279.07407407407</v>
      </c>
    </row>
    <row r="1239" spans="1:9" x14ac:dyDescent="0.25">
      <c r="A1239" s="515">
        <v>90247</v>
      </c>
      <c r="B1239" s="515" t="s">
        <v>375</v>
      </c>
      <c r="C1239" s="52">
        <v>678768.76824159699</v>
      </c>
      <c r="D1239" s="56">
        <v>4.9909589082424884E-2</v>
      </c>
      <c r="E1239" s="224">
        <v>2414.88888888888</v>
      </c>
      <c r="F1239" s="515" t="s">
        <v>2960</v>
      </c>
      <c r="G1239" s="52">
        <v>733208.90624256094</v>
      </c>
      <c r="H1239" s="56">
        <v>3.9428527205387399E-2</v>
      </c>
      <c r="I1239" s="224">
        <v>2590.38888888888</v>
      </c>
    </row>
    <row r="1240" spans="1:9" x14ac:dyDescent="0.25">
      <c r="A1240" s="515">
        <v>90016</v>
      </c>
      <c r="B1240" s="515" t="s">
        <v>375</v>
      </c>
      <c r="C1240" s="52">
        <v>870656.677348244</v>
      </c>
      <c r="D1240" s="56">
        <v>8.9458417532592895E-3</v>
      </c>
      <c r="E1240" s="224">
        <v>3378.5</v>
      </c>
      <c r="F1240" s="515" t="s">
        <v>872</v>
      </c>
      <c r="G1240" s="52">
        <v>73281.614926199298</v>
      </c>
      <c r="H1240" s="56">
        <v>3.3394614866432484E-2</v>
      </c>
      <c r="I1240" s="224" t="s">
        <v>2</v>
      </c>
    </row>
    <row r="1241" spans="1:9" x14ac:dyDescent="0.25">
      <c r="A1241" s="515">
        <v>29501</v>
      </c>
      <c r="B1241" s="515" t="s">
        <v>1039</v>
      </c>
      <c r="C1241" s="52">
        <v>212263.48050325699</v>
      </c>
      <c r="D1241" s="56">
        <v>8.6052507490267521E-2</v>
      </c>
      <c r="E1241" s="224">
        <v>1477.1666666666599</v>
      </c>
      <c r="F1241" s="515" t="s">
        <v>2961</v>
      </c>
      <c r="G1241" s="52">
        <v>462048.95826199098</v>
      </c>
      <c r="H1241" s="56">
        <v>7.8784445804267831E-3</v>
      </c>
      <c r="I1241" s="224">
        <v>1963.4083694083599</v>
      </c>
    </row>
    <row r="1242" spans="1:9" x14ac:dyDescent="0.25">
      <c r="A1242" s="515">
        <v>48843</v>
      </c>
      <c r="B1242" s="515" t="s">
        <v>685</v>
      </c>
      <c r="C1242" s="52">
        <v>342286.173317159</v>
      </c>
      <c r="D1242" s="56">
        <v>6.6895495041312203E-2</v>
      </c>
      <c r="E1242" s="224">
        <v>1851</v>
      </c>
      <c r="F1242" s="515" t="s">
        <v>2962</v>
      </c>
      <c r="G1242" s="52">
        <v>334640.90636708599</v>
      </c>
      <c r="H1242" s="56">
        <v>0.14189638935099735</v>
      </c>
      <c r="I1242" s="224">
        <v>2276.3476190476099</v>
      </c>
    </row>
    <row r="1243" spans="1:9" x14ac:dyDescent="0.25">
      <c r="A1243" s="515">
        <v>93311</v>
      </c>
      <c r="B1243" s="515" t="s">
        <v>419</v>
      </c>
      <c r="C1243" s="52">
        <v>431746.50214714702</v>
      </c>
      <c r="D1243" s="56">
        <v>4.4852951795281454E-2</v>
      </c>
      <c r="E1243" s="224">
        <v>2168.8333333333298</v>
      </c>
      <c r="F1243" s="515" t="s">
        <v>2963</v>
      </c>
      <c r="G1243" s="52">
        <v>200278.320037742</v>
      </c>
      <c r="H1243" s="56">
        <v>7.0955279848351968E-2</v>
      </c>
      <c r="I1243" s="224">
        <v>1372.14733414733</v>
      </c>
    </row>
    <row r="1244" spans="1:9" x14ac:dyDescent="0.25">
      <c r="A1244" s="515">
        <v>60637</v>
      </c>
      <c r="B1244" s="515" t="s">
        <v>394</v>
      </c>
      <c r="C1244" s="52">
        <v>207898.543386406</v>
      </c>
      <c r="D1244" s="56">
        <v>-3.9971753266971992E-2</v>
      </c>
      <c r="E1244" s="224">
        <v>1366.5263888888801</v>
      </c>
      <c r="F1244" s="515" t="s">
        <v>2964</v>
      </c>
      <c r="G1244" s="52">
        <v>290938.80301799101</v>
      </c>
      <c r="H1244" s="56">
        <v>5.0481732647337262E-2</v>
      </c>
      <c r="I1244" s="224">
        <v>1898.75</v>
      </c>
    </row>
    <row r="1245" spans="1:9" x14ac:dyDescent="0.25">
      <c r="A1245" s="515">
        <v>30680</v>
      </c>
      <c r="B1245" s="515" t="s">
        <v>957</v>
      </c>
      <c r="C1245" s="52">
        <v>305423.46449889301</v>
      </c>
      <c r="D1245" s="56">
        <v>0.10376038314671737</v>
      </c>
      <c r="E1245" s="224">
        <v>1962.82222222222</v>
      </c>
      <c r="F1245" s="515" t="s">
        <v>2965</v>
      </c>
      <c r="G1245" s="52">
        <v>258005.37893153701</v>
      </c>
      <c r="H1245" s="56">
        <v>8.7114398458341805E-2</v>
      </c>
      <c r="I1245" s="224">
        <v>1144.6666666666599</v>
      </c>
    </row>
    <row r="1246" spans="1:9" x14ac:dyDescent="0.25">
      <c r="A1246" s="515">
        <v>80537</v>
      </c>
      <c r="B1246" s="515" t="s">
        <v>738</v>
      </c>
      <c r="C1246" s="52">
        <v>480963.95845739002</v>
      </c>
      <c r="D1246" s="56">
        <v>2.601091044681561E-2</v>
      </c>
      <c r="E1246" s="224">
        <v>1782.0201058201001</v>
      </c>
      <c r="F1246" s="515" t="s">
        <v>2966</v>
      </c>
      <c r="G1246" s="52">
        <v>280688.225545372</v>
      </c>
      <c r="H1246" s="56">
        <v>5.4623518390023315E-2</v>
      </c>
      <c r="I1246" s="224" t="s">
        <v>2</v>
      </c>
    </row>
    <row r="1247" spans="1:9" x14ac:dyDescent="0.25">
      <c r="A1247" s="515">
        <v>47374</v>
      </c>
      <c r="B1247" s="515" t="s">
        <v>883</v>
      </c>
      <c r="C1247" s="52">
        <v>124700.795101175</v>
      </c>
      <c r="D1247" s="56">
        <v>8.1946112069629234E-2</v>
      </c>
      <c r="E1247" s="224">
        <v>741.25</v>
      </c>
      <c r="F1247" s="515" t="s">
        <v>399</v>
      </c>
      <c r="G1247" s="52">
        <v>482710.98986679199</v>
      </c>
      <c r="H1247" s="56">
        <v>0.1387322568723964</v>
      </c>
      <c r="I1247" s="224" t="s">
        <v>2</v>
      </c>
    </row>
    <row r="1248" spans="1:9" x14ac:dyDescent="0.25">
      <c r="A1248" s="515">
        <v>91320</v>
      </c>
      <c r="B1248" s="515" t="s">
        <v>1021</v>
      </c>
      <c r="C1248" s="52">
        <v>895077.27502010704</v>
      </c>
      <c r="D1248" s="56">
        <v>1.2919578724803376E-2</v>
      </c>
      <c r="E1248" s="224">
        <v>3469.4444444444398</v>
      </c>
      <c r="F1248" s="515" t="s">
        <v>2967</v>
      </c>
      <c r="G1248" s="52">
        <v>593190.55041516596</v>
      </c>
      <c r="H1248" s="56">
        <v>-7.5037258903422012E-3</v>
      </c>
      <c r="I1248" s="224">
        <v>2187.5</v>
      </c>
    </row>
    <row r="1249" spans="1:9" x14ac:dyDescent="0.25">
      <c r="A1249" s="515">
        <v>40356</v>
      </c>
      <c r="B1249" s="515" t="s">
        <v>515</v>
      </c>
      <c r="C1249" s="52">
        <v>257080.805168905</v>
      </c>
      <c r="D1249" s="56">
        <v>8.654450058878195E-2</v>
      </c>
      <c r="E1249" s="224">
        <v>1172</v>
      </c>
      <c r="F1249" s="515" t="s">
        <v>2968</v>
      </c>
      <c r="G1249" s="52">
        <v>389525.46356165397</v>
      </c>
      <c r="H1249" s="56">
        <v>0.10682471762882846</v>
      </c>
      <c r="I1249" s="224" t="s">
        <v>2</v>
      </c>
    </row>
    <row r="1250" spans="1:9" x14ac:dyDescent="0.25">
      <c r="A1250" s="515">
        <v>10040</v>
      </c>
      <c r="B1250" s="515" t="s">
        <v>324</v>
      </c>
      <c r="C1250" s="52">
        <v>538888.95420596504</v>
      </c>
      <c r="D1250" s="56">
        <v>0.16155056840633583</v>
      </c>
      <c r="E1250" s="224">
        <v>2227.7619047619</v>
      </c>
      <c r="F1250" s="515" t="s">
        <v>2969</v>
      </c>
      <c r="G1250" s="52">
        <v>337921.879269642</v>
      </c>
      <c r="H1250" s="56">
        <v>1.2987265735242235E-2</v>
      </c>
      <c r="I1250" s="224">
        <v>1916.6666666666599</v>
      </c>
    </row>
    <row r="1251" spans="1:9" x14ac:dyDescent="0.25">
      <c r="A1251" s="515">
        <v>92078</v>
      </c>
      <c r="B1251" s="515" t="s">
        <v>396</v>
      </c>
      <c r="C1251" s="52">
        <v>923702.87817781197</v>
      </c>
      <c r="D1251" s="56">
        <v>5.4130454165860292E-2</v>
      </c>
      <c r="E1251" s="224">
        <v>3229.4856532356498</v>
      </c>
      <c r="F1251" s="515" t="s">
        <v>2970</v>
      </c>
      <c r="G1251" s="52">
        <v>884648.17587675096</v>
      </c>
      <c r="H1251" s="56">
        <v>2.5971125663216077E-2</v>
      </c>
      <c r="I1251" s="224">
        <v>2454.6925925925898</v>
      </c>
    </row>
    <row r="1252" spans="1:9" x14ac:dyDescent="0.25">
      <c r="A1252" s="515">
        <v>34743</v>
      </c>
      <c r="B1252" s="515" t="s">
        <v>517</v>
      </c>
      <c r="C1252" s="52">
        <v>332102.15535558498</v>
      </c>
      <c r="D1252" s="56">
        <v>0.12806418818980422</v>
      </c>
      <c r="E1252" s="224">
        <v>2158.25</v>
      </c>
      <c r="F1252" s="515" t="s">
        <v>2971</v>
      </c>
      <c r="G1252" s="52">
        <v>445995.39450219402</v>
      </c>
      <c r="H1252" s="56">
        <v>0.1038684439062961</v>
      </c>
      <c r="I1252" s="224">
        <v>2059.0684210526301</v>
      </c>
    </row>
    <row r="1253" spans="1:9" x14ac:dyDescent="0.25">
      <c r="A1253" s="515">
        <v>19131</v>
      </c>
      <c r="B1253" s="515" t="s">
        <v>294</v>
      </c>
      <c r="C1253" s="52">
        <v>149521.582160527</v>
      </c>
      <c r="D1253" s="56">
        <v>7.4990568075146244E-2</v>
      </c>
      <c r="E1253" s="224">
        <v>1460.22348484848</v>
      </c>
      <c r="F1253" s="515" t="s">
        <v>689</v>
      </c>
      <c r="G1253" s="52">
        <v>274192.49769839901</v>
      </c>
      <c r="H1253" s="56">
        <v>6.6313355391428797E-2</v>
      </c>
      <c r="I1253" s="224">
        <v>1930.2083333333301</v>
      </c>
    </row>
    <row r="1254" spans="1:9" x14ac:dyDescent="0.25">
      <c r="A1254" s="515">
        <v>63304</v>
      </c>
      <c r="B1254" s="515" t="s">
        <v>498</v>
      </c>
      <c r="C1254" s="52">
        <v>337057.11098608898</v>
      </c>
      <c r="D1254" s="56">
        <v>5.8381396930520656E-2</v>
      </c>
      <c r="E1254" s="224">
        <v>1651.38888888888</v>
      </c>
      <c r="F1254" s="515" t="s">
        <v>2972</v>
      </c>
      <c r="G1254" s="52">
        <v>430542.74966722098</v>
      </c>
      <c r="H1254" s="56">
        <v>8.1792864812722771E-2</v>
      </c>
      <c r="I1254" s="224">
        <v>1928.5444444444399</v>
      </c>
    </row>
    <row r="1255" spans="1:9" x14ac:dyDescent="0.25">
      <c r="A1255" s="515">
        <v>84010</v>
      </c>
      <c r="B1255" s="515" t="s">
        <v>628</v>
      </c>
      <c r="C1255" s="52">
        <v>524573.15923363203</v>
      </c>
      <c r="D1255" s="56">
        <v>1.8788452043878915E-2</v>
      </c>
      <c r="E1255" s="224">
        <v>1748.3333333333301</v>
      </c>
      <c r="F1255" s="515" t="s">
        <v>2973</v>
      </c>
      <c r="G1255" s="52">
        <v>514930.86880316801</v>
      </c>
      <c r="H1255" s="56">
        <v>7.602410672073763E-2</v>
      </c>
      <c r="I1255" s="224" t="s">
        <v>2</v>
      </c>
    </row>
    <row r="1256" spans="1:9" x14ac:dyDescent="0.25">
      <c r="A1256" s="515">
        <v>30319</v>
      </c>
      <c r="B1256" s="515" t="s">
        <v>957</v>
      </c>
      <c r="C1256" s="52">
        <v>663607.51028173906</v>
      </c>
      <c r="D1256" s="56">
        <v>5.7623827208135456E-2</v>
      </c>
      <c r="E1256" s="224">
        <v>1877.7771260271199</v>
      </c>
      <c r="F1256" s="515" t="s">
        <v>1209</v>
      </c>
      <c r="G1256" s="52">
        <v>227070.67118741199</v>
      </c>
      <c r="H1256" s="56">
        <v>0.12117178612837878</v>
      </c>
      <c r="I1256" s="224">
        <v>1500</v>
      </c>
    </row>
    <row r="1257" spans="1:9" x14ac:dyDescent="0.25">
      <c r="A1257" s="515">
        <v>19403</v>
      </c>
      <c r="B1257" s="515" t="s">
        <v>294</v>
      </c>
      <c r="C1257" s="52">
        <v>372888.61491673999</v>
      </c>
      <c r="D1257" s="56">
        <v>0.11192031042597887</v>
      </c>
      <c r="E1257" s="224">
        <v>1776.5</v>
      </c>
      <c r="F1257" s="515" t="s">
        <v>883</v>
      </c>
      <c r="G1257" s="52">
        <v>124488.260193607</v>
      </c>
      <c r="H1257" s="56">
        <v>8.2072904450160244E-2</v>
      </c>
      <c r="I1257" s="224">
        <v>741.25</v>
      </c>
    </row>
    <row r="1258" spans="1:9" x14ac:dyDescent="0.25">
      <c r="A1258" s="515">
        <v>84604</v>
      </c>
      <c r="B1258" s="515" t="s">
        <v>726</v>
      </c>
      <c r="C1258" s="52">
        <v>535236.79514810501</v>
      </c>
      <c r="D1258" s="56">
        <v>3.0824704956153134E-2</v>
      </c>
      <c r="E1258" s="224">
        <v>1841.6666666666599</v>
      </c>
      <c r="F1258" s="515" t="s">
        <v>2974</v>
      </c>
      <c r="G1258" s="52">
        <v>411888.01595330599</v>
      </c>
      <c r="H1258" s="56">
        <v>4.9580705434234006E-2</v>
      </c>
      <c r="I1258" s="224">
        <v>1929.7222222222199</v>
      </c>
    </row>
    <row r="1259" spans="1:9" x14ac:dyDescent="0.25">
      <c r="A1259" s="515">
        <v>95822</v>
      </c>
      <c r="B1259" s="515" t="s">
        <v>355</v>
      </c>
      <c r="C1259" s="52">
        <v>406761.81857543101</v>
      </c>
      <c r="D1259" s="56">
        <v>7.9698016775933862E-3</v>
      </c>
      <c r="E1259" s="224">
        <v>2140.4722222222199</v>
      </c>
      <c r="F1259" s="515" t="s">
        <v>2975</v>
      </c>
      <c r="G1259" s="52">
        <v>214433.803107677</v>
      </c>
      <c r="H1259" s="56">
        <v>6.4833592672549387E-2</v>
      </c>
      <c r="I1259" s="224">
        <v>1392.4722222222199</v>
      </c>
    </row>
    <row r="1260" spans="1:9" x14ac:dyDescent="0.25">
      <c r="A1260" s="515">
        <v>63368</v>
      </c>
      <c r="B1260" s="515" t="s">
        <v>498</v>
      </c>
      <c r="C1260" s="52">
        <v>355587.82554995897</v>
      </c>
      <c r="D1260" s="56">
        <v>7.0780070833369554E-2</v>
      </c>
      <c r="E1260" s="224">
        <v>1854.7222222222199</v>
      </c>
      <c r="F1260" s="515" t="s">
        <v>2976</v>
      </c>
      <c r="G1260" s="52">
        <v>382419.94301199401</v>
      </c>
      <c r="H1260" s="56">
        <v>9.1196321070679584E-2</v>
      </c>
      <c r="I1260" s="224">
        <v>2105.9841269841199</v>
      </c>
    </row>
    <row r="1261" spans="1:9" x14ac:dyDescent="0.25">
      <c r="A1261" s="515">
        <v>47201</v>
      </c>
      <c r="B1261" s="515" t="s">
        <v>729</v>
      </c>
      <c r="C1261" s="52">
        <v>224066.12001400601</v>
      </c>
      <c r="D1261" s="56">
        <v>7.6452473043416957E-2</v>
      </c>
      <c r="E1261" s="224">
        <v>1100.1111111111099</v>
      </c>
      <c r="F1261" s="515" t="s">
        <v>730</v>
      </c>
      <c r="G1261" s="52">
        <v>108345.035080986</v>
      </c>
      <c r="H1261" s="56">
        <v>3.5093608209235093E-2</v>
      </c>
      <c r="I1261" s="224">
        <v>994.97222222222194</v>
      </c>
    </row>
    <row r="1262" spans="1:9" x14ac:dyDescent="0.25">
      <c r="A1262" s="515">
        <v>55104</v>
      </c>
      <c r="B1262" s="515" t="s">
        <v>532</v>
      </c>
      <c r="C1262" s="52">
        <v>278693.05785805499</v>
      </c>
      <c r="D1262" s="56">
        <v>2.1969623260445534E-2</v>
      </c>
      <c r="E1262" s="224">
        <v>1393.3835470085401</v>
      </c>
      <c r="F1262" s="515" t="s">
        <v>2977</v>
      </c>
      <c r="G1262" s="52">
        <v>223884.50266291999</v>
      </c>
      <c r="H1262" s="56">
        <v>8.2791775742355217E-2</v>
      </c>
      <c r="I1262" s="224" t="s">
        <v>2</v>
      </c>
    </row>
    <row r="1263" spans="1:9" x14ac:dyDescent="0.25">
      <c r="A1263" s="515">
        <v>60540</v>
      </c>
      <c r="B1263" s="515" t="s">
        <v>394</v>
      </c>
      <c r="C1263" s="52">
        <v>487642.52003147401</v>
      </c>
      <c r="D1263" s="56">
        <v>4.8134335399552447E-2</v>
      </c>
      <c r="E1263" s="224">
        <v>2045.38095238095</v>
      </c>
      <c r="F1263" s="515" t="s">
        <v>1036</v>
      </c>
      <c r="G1263" s="52">
        <v>129869.870674561</v>
      </c>
      <c r="H1263" s="56">
        <v>-3.5505555847128979E-2</v>
      </c>
      <c r="I1263" s="224" t="s">
        <v>2</v>
      </c>
    </row>
    <row r="1264" spans="1:9" x14ac:dyDescent="0.25">
      <c r="A1264" s="515">
        <v>32608</v>
      </c>
      <c r="B1264" s="515" t="s">
        <v>577</v>
      </c>
      <c r="C1264" s="52">
        <v>313541.13604860299</v>
      </c>
      <c r="D1264" s="56">
        <v>8.5589561584592272E-2</v>
      </c>
      <c r="E1264" s="224">
        <v>1526.8815789473599</v>
      </c>
      <c r="F1264" s="515" t="s">
        <v>2978</v>
      </c>
      <c r="G1264" s="52">
        <v>214480.00708469399</v>
      </c>
      <c r="H1264" s="56">
        <v>0.10408761567501358</v>
      </c>
      <c r="I1264" s="224">
        <v>1165.1111111111099</v>
      </c>
    </row>
    <row r="1265" spans="1:9" x14ac:dyDescent="0.25">
      <c r="A1265" s="515">
        <v>16801</v>
      </c>
      <c r="B1265" s="515" t="s">
        <v>491</v>
      </c>
      <c r="C1265" s="52">
        <v>365610.69555256498</v>
      </c>
      <c r="D1265" s="56">
        <v>7.172258591305021E-2</v>
      </c>
      <c r="E1265" s="224">
        <v>1648.19696969696</v>
      </c>
      <c r="F1265" s="515" t="s">
        <v>2979</v>
      </c>
      <c r="G1265" s="52">
        <v>385817.785313025</v>
      </c>
      <c r="H1265" s="56">
        <v>9.267355847001725E-2</v>
      </c>
      <c r="I1265" s="224">
        <v>1818.0883458646599</v>
      </c>
    </row>
    <row r="1266" spans="1:9" x14ac:dyDescent="0.25">
      <c r="A1266" s="515">
        <v>68516</v>
      </c>
      <c r="B1266" s="515" t="s">
        <v>486</v>
      </c>
      <c r="C1266" s="52">
        <v>347358.18033603299</v>
      </c>
      <c r="D1266" s="56">
        <v>6.4313293391113524E-2</v>
      </c>
      <c r="E1266" s="224">
        <v>1281.1796536796501</v>
      </c>
      <c r="F1266" s="515" t="s">
        <v>2980</v>
      </c>
      <c r="G1266" s="52">
        <v>377615.08339515002</v>
      </c>
      <c r="H1266" s="56">
        <v>7.3589306166528812E-2</v>
      </c>
      <c r="I1266" s="224">
        <v>1863.1666666666599</v>
      </c>
    </row>
    <row r="1267" spans="1:9" x14ac:dyDescent="0.25">
      <c r="A1267" s="515">
        <v>19460</v>
      </c>
      <c r="B1267" s="515" t="s">
        <v>294</v>
      </c>
      <c r="C1267" s="52">
        <v>428478.03144446801</v>
      </c>
      <c r="D1267" s="56">
        <v>8.1087518359298755E-2</v>
      </c>
      <c r="E1267" s="224">
        <v>1936.7746031746001</v>
      </c>
      <c r="F1267" s="515" t="s">
        <v>2981</v>
      </c>
      <c r="G1267" s="52">
        <v>305783.55579601001</v>
      </c>
      <c r="H1267" s="56">
        <v>0.10404548388424044</v>
      </c>
      <c r="I1267" s="224">
        <v>1962.6111111111099</v>
      </c>
    </row>
    <row r="1268" spans="1:9" x14ac:dyDescent="0.25">
      <c r="A1268" s="515">
        <v>33020</v>
      </c>
      <c r="B1268" s="515" t="s">
        <v>831</v>
      </c>
      <c r="C1268" s="52">
        <v>352025.74749840598</v>
      </c>
      <c r="D1268" s="56">
        <v>0.14401519098058055</v>
      </c>
      <c r="E1268" s="224">
        <v>2018.0630107526799</v>
      </c>
      <c r="F1268" s="515" t="s">
        <v>2982</v>
      </c>
      <c r="G1268" s="52">
        <v>336700.12728717801</v>
      </c>
      <c r="H1268" s="56">
        <v>3.3613808801403425E-2</v>
      </c>
      <c r="I1268" s="224">
        <v>1607.675</v>
      </c>
    </row>
    <row r="1269" spans="1:9" x14ac:dyDescent="0.25">
      <c r="A1269" s="515">
        <v>79762</v>
      </c>
      <c r="B1269" s="515" t="s">
        <v>1001</v>
      </c>
      <c r="C1269" s="52">
        <v>204959.704936561</v>
      </c>
      <c r="D1269" s="56">
        <v>1.2426636654947222E-3</v>
      </c>
      <c r="E1269" s="224">
        <v>1238.63888888888</v>
      </c>
      <c r="F1269" s="515" t="s">
        <v>2983</v>
      </c>
      <c r="G1269" s="52">
        <v>582461.48167224601</v>
      </c>
      <c r="H1269" s="56">
        <v>3.2370029587459277E-2</v>
      </c>
      <c r="I1269" s="224">
        <v>1844.05555555555</v>
      </c>
    </row>
    <row r="1270" spans="1:9" x14ac:dyDescent="0.25">
      <c r="A1270" s="515">
        <v>7960</v>
      </c>
      <c r="B1270" s="515" t="s">
        <v>324</v>
      </c>
      <c r="C1270" s="52">
        <v>696599.11958171602</v>
      </c>
      <c r="D1270" s="56">
        <v>5.0242874406955809E-2</v>
      </c>
      <c r="E1270" s="224">
        <v>3035.9232804232802</v>
      </c>
      <c r="F1270" s="515" t="s">
        <v>2984</v>
      </c>
      <c r="G1270" s="52">
        <v>840121.20534920203</v>
      </c>
      <c r="H1270" s="56">
        <v>4.2209748369806177E-2</v>
      </c>
      <c r="I1270" s="224">
        <v>2234.50980392156</v>
      </c>
    </row>
    <row r="1271" spans="1:9" x14ac:dyDescent="0.25">
      <c r="A1271" s="515">
        <v>38134</v>
      </c>
      <c r="B1271" s="515" t="s">
        <v>951</v>
      </c>
      <c r="C1271" s="52">
        <v>223458.21352704399</v>
      </c>
      <c r="D1271" s="56">
        <v>0.11190130515349341</v>
      </c>
      <c r="E1271" s="224">
        <v>1171.1041666666599</v>
      </c>
      <c r="F1271" s="515" t="s">
        <v>2985</v>
      </c>
      <c r="G1271" s="52">
        <v>523128.43388661399</v>
      </c>
      <c r="H1271" s="56">
        <v>1.8124837554835401E-2</v>
      </c>
      <c r="I1271" s="224">
        <v>1735.4166666666599</v>
      </c>
    </row>
    <row r="1272" spans="1:9" x14ac:dyDescent="0.25">
      <c r="A1272" s="515">
        <v>78589</v>
      </c>
      <c r="B1272" s="515" t="s">
        <v>550</v>
      </c>
      <c r="C1272" s="52">
        <v>155812.08798139801</v>
      </c>
      <c r="D1272" s="56">
        <v>0.15940205649515798</v>
      </c>
      <c r="E1272" s="224" t="s">
        <v>2</v>
      </c>
      <c r="F1272" s="515" t="s">
        <v>2986</v>
      </c>
      <c r="G1272" s="52">
        <v>873074.38079702505</v>
      </c>
      <c r="H1272" s="56">
        <v>6.2730548132648653E-2</v>
      </c>
      <c r="I1272" s="224">
        <v>2745.6340326340301</v>
      </c>
    </row>
    <row r="1273" spans="1:9" x14ac:dyDescent="0.25">
      <c r="A1273" s="515">
        <v>85746</v>
      </c>
      <c r="B1273" s="515" t="s">
        <v>368</v>
      </c>
      <c r="C1273" s="52">
        <v>267253.23357204202</v>
      </c>
      <c r="D1273" s="56">
        <v>5.7350085185081875E-2</v>
      </c>
      <c r="E1273" s="224">
        <v>1716.1111111111099</v>
      </c>
      <c r="F1273" s="515" t="s">
        <v>2987</v>
      </c>
      <c r="G1273" s="52">
        <v>344502.16880074999</v>
      </c>
      <c r="H1273" s="56">
        <v>0.14384022662666168</v>
      </c>
      <c r="I1273" s="224">
        <v>2050.62433862433</v>
      </c>
    </row>
    <row r="1274" spans="1:9" x14ac:dyDescent="0.25">
      <c r="A1274" s="515">
        <v>30606</v>
      </c>
      <c r="B1274" s="515" t="s">
        <v>991</v>
      </c>
      <c r="C1274" s="52">
        <v>318611.341178426</v>
      </c>
      <c r="D1274" s="56">
        <v>8.5900750896977171E-2</v>
      </c>
      <c r="E1274" s="224">
        <v>1974.71717171717</v>
      </c>
      <c r="F1274" s="515" t="s">
        <v>2988</v>
      </c>
      <c r="G1274" s="52">
        <v>464259.16980368702</v>
      </c>
      <c r="H1274" s="56">
        <v>3.4581865311235534E-2</v>
      </c>
      <c r="I1274" s="224">
        <v>3454.75</v>
      </c>
    </row>
    <row r="1275" spans="1:9" x14ac:dyDescent="0.25">
      <c r="A1275" s="515">
        <v>90007</v>
      </c>
      <c r="B1275" s="515" t="s">
        <v>375</v>
      </c>
      <c r="C1275" s="52">
        <v>902183.65373375104</v>
      </c>
      <c r="D1275" s="56">
        <v>4.1209316569126971E-2</v>
      </c>
      <c r="E1275" s="224">
        <v>3080.63492063492</v>
      </c>
      <c r="F1275" s="515" t="s">
        <v>2989</v>
      </c>
      <c r="G1275" s="52">
        <v>822693.41393003904</v>
      </c>
      <c r="H1275" s="56">
        <v>3.0467071730129684E-2</v>
      </c>
      <c r="I1275" s="224">
        <v>2452.3333333333298</v>
      </c>
    </row>
    <row r="1276" spans="1:9" x14ac:dyDescent="0.25">
      <c r="A1276" s="515">
        <v>78759</v>
      </c>
      <c r="B1276" s="515" t="s">
        <v>380</v>
      </c>
      <c r="C1276" s="52">
        <v>717552.51829106105</v>
      </c>
      <c r="D1276" s="56">
        <v>4.7578730974520492E-2</v>
      </c>
      <c r="E1276" s="224">
        <v>1617.19841269841</v>
      </c>
      <c r="F1276" s="515" t="s">
        <v>2990</v>
      </c>
      <c r="G1276" s="52">
        <v>448746.80673010298</v>
      </c>
      <c r="H1276" s="56">
        <v>6.5312719835176461E-2</v>
      </c>
      <c r="I1276" s="224">
        <v>2026.7166666666601</v>
      </c>
    </row>
    <row r="1277" spans="1:9" x14ac:dyDescent="0.25">
      <c r="A1277" s="515">
        <v>90059</v>
      </c>
      <c r="B1277" s="515" t="s">
        <v>375</v>
      </c>
      <c r="C1277" s="52">
        <v>542427.58135811798</v>
      </c>
      <c r="D1277" s="56">
        <v>4.9472252823239991E-2</v>
      </c>
      <c r="E1277" s="224" t="s">
        <v>2</v>
      </c>
      <c r="F1277" s="515" t="s">
        <v>2991</v>
      </c>
      <c r="G1277" s="52">
        <v>496659.843555081</v>
      </c>
      <c r="H1277" s="56">
        <v>7.9101784397895947E-2</v>
      </c>
      <c r="I1277" s="224">
        <v>1866.75</v>
      </c>
    </row>
    <row r="1278" spans="1:9" x14ac:dyDescent="0.25">
      <c r="A1278" s="515">
        <v>90043</v>
      </c>
      <c r="B1278" s="515" t="s">
        <v>375</v>
      </c>
      <c r="C1278" s="52">
        <v>833309.045880349</v>
      </c>
      <c r="D1278" s="56">
        <v>2.8603151837118018E-2</v>
      </c>
      <c r="E1278" s="224">
        <v>2438.8333333333298</v>
      </c>
      <c r="F1278" s="515" t="s">
        <v>2992</v>
      </c>
      <c r="G1278" s="52">
        <v>360507.09596894297</v>
      </c>
      <c r="H1278" s="56">
        <v>8.2039346097169619E-2</v>
      </c>
      <c r="I1278" s="224">
        <v>1946.8333333333301</v>
      </c>
    </row>
    <row r="1279" spans="1:9" x14ac:dyDescent="0.25">
      <c r="A1279" s="515">
        <v>2703</v>
      </c>
      <c r="B1279" s="515" t="s">
        <v>513</v>
      </c>
      <c r="C1279" s="52">
        <v>448405.089298165</v>
      </c>
      <c r="D1279" s="56">
        <v>6.4321305193751274E-2</v>
      </c>
      <c r="E1279" s="224">
        <v>2026.7166666666601</v>
      </c>
      <c r="F1279" s="515" t="s">
        <v>2993</v>
      </c>
      <c r="G1279" s="52">
        <v>1175824.5111018501</v>
      </c>
      <c r="H1279" s="56">
        <v>0.12839657984596423</v>
      </c>
      <c r="I1279" s="224">
        <v>2835.37777777777</v>
      </c>
    </row>
    <row r="1280" spans="1:9" x14ac:dyDescent="0.25">
      <c r="A1280" s="515">
        <v>30134</v>
      </c>
      <c r="B1280" s="515" t="s">
        <v>957</v>
      </c>
      <c r="C1280" s="52">
        <v>283270.91273689002</v>
      </c>
      <c r="D1280" s="56">
        <v>8.9637553752837412E-2</v>
      </c>
      <c r="E1280" s="224">
        <v>1912.99047619047</v>
      </c>
      <c r="F1280" s="515" t="s">
        <v>2994</v>
      </c>
      <c r="G1280" s="52">
        <v>378210.24418202002</v>
      </c>
      <c r="H1280" s="56">
        <v>3.0804571164966592E-2</v>
      </c>
      <c r="I1280" s="224">
        <v>2360.0222222222201</v>
      </c>
    </row>
    <row r="1281" spans="1:9" x14ac:dyDescent="0.25">
      <c r="A1281" s="515">
        <v>90024</v>
      </c>
      <c r="B1281" s="515" t="s">
        <v>375</v>
      </c>
      <c r="C1281" s="52">
        <v>1339910.4149914901</v>
      </c>
      <c r="D1281" s="56">
        <v>-4.4214208665957081E-3</v>
      </c>
      <c r="E1281" s="224">
        <v>3685.9820512820502</v>
      </c>
      <c r="F1281" s="515" t="s">
        <v>2995</v>
      </c>
      <c r="G1281" s="52">
        <v>404416.34974711901</v>
      </c>
      <c r="H1281" s="56">
        <v>0.10190239918181969</v>
      </c>
      <c r="I1281" s="224">
        <v>2045.8547008547</v>
      </c>
    </row>
    <row r="1282" spans="1:9" x14ac:dyDescent="0.25">
      <c r="A1282" s="515">
        <v>79109</v>
      </c>
      <c r="B1282" s="515" t="s">
        <v>869</v>
      </c>
      <c r="C1282" s="52">
        <v>218457.96880938101</v>
      </c>
      <c r="D1282" s="56">
        <v>7.6443089835915565E-2</v>
      </c>
      <c r="E1282" s="224">
        <v>1044.24285714285</v>
      </c>
      <c r="F1282" s="515" t="s">
        <v>2996</v>
      </c>
      <c r="G1282" s="52">
        <v>175794.978279284</v>
      </c>
      <c r="H1282" s="56">
        <v>0.10447277918429881</v>
      </c>
      <c r="I1282" s="224">
        <v>1339.1472222222201</v>
      </c>
    </row>
    <row r="1283" spans="1:9" x14ac:dyDescent="0.25">
      <c r="A1283" s="515">
        <v>6492</v>
      </c>
      <c r="B1283" s="515" t="s">
        <v>1172</v>
      </c>
      <c r="C1283" s="52">
        <v>332415.168632833</v>
      </c>
      <c r="D1283" s="56">
        <v>0.10019525135710373</v>
      </c>
      <c r="E1283" s="224">
        <v>1608.3333333333301</v>
      </c>
      <c r="F1283" s="515" t="s">
        <v>2997</v>
      </c>
      <c r="G1283" s="52">
        <v>541172.896486621</v>
      </c>
      <c r="H1283" s="56">
        <v>8.1606336534579327E-2</v>
      </c>
      <c r="I1283" s="224">
        <v>1727.63888888888</v>
      </c>
    </row>
    <row r="1284" spans="1:9" x14ac:dyDescent="0.25">
      <c r="A1284" s="515">
        <v>33162</v>
      </c>
      <c r="B1284" s="515" t="s">
        <v>831</v>
      </c>
      <c r="C1284" s="52">
        <v>412699.436765761</v>
      </c>
      <c r="D1284" s="56">
        <v>0.1965037395016756</v>
      </c>
      <c r="E1284" s="224">
        <v>2222.62857142857</v>
      </c>
      <c r="F1284" s="515" t="s">
        <v>2998</v>
      </c>
      <c r="G1284" s="52">
        <v>295787.29475576698</v>
      </c>
      <c r="H1284" s="56">
        <v>5.6149324675099352E-2</v>
      </c>
      <c r="I1284" s="224" t="s">
        <v>2</v>
      </c>
    </row>
    <row r="1285" spans="1:9" x14ac:dyDescent="0.25">
      <c r="A1285" s="515">
        <v>94546</v>
      </c>
      <c r="B1285" s="515" t="s">
        <v>593</v>
      </c>
      <c r="C1285" s="52">
        <v>1006658.51669302</v>
      </c>
      <c r="D1285" s="56">
        <v>-3.2638810751182338E-3</v>
      </c>
      <c r="E1285" s="224">
        <v>2491.88888888888</v>
      </c>
      <c r="F1285" s="515" t="s">
        <v>1217</v>
      </c>
      <c r="G1285" s="52">
        <v>141505.383045808</v>
      </c>
      <c r="H1285" s="56">
        <v>8.193128830101358E-2</v>
      </c>
      <c r="I1285" s="224">
        <v>1136.6666666666599</v>
      </c>
    </row>
    <row r="1286" spans="1:9" x14ac:dyDescent="0.25">
      <c r="A1286" s="515">
        <v>85713</v>
      </c>
      <c r="B1286" s="515" t="s">
        <v>368</v>
      </c>
      <c r="C1286" s="52">
        <v>220956.51705336801</v>
      </c>
      <c r="D1286" s="56">
        <v>8.4609254313480139E-2</v>
      </c>
      <c r="E1286" s="224">
        <v>1305.4166666666599</v>
      </c>
      <c r="F1286" s="515" t="s">
        <v>2999</v>
      </c>
      <c r="G1286" s="52">
        <v>331591.88037463301</v>
      </c>
      <c r="H1286" s="56">
        <v>0.10026785782273889</v>
      </c>
      <c r="I1286" s="224">
        <v>1591.6666666666599</v>
      </c>
    </row>
    <row r="1287" spans="1:9" x14ac:dyDescent="0.25">
      <c r="A1287" s="515">
        <v>20910</v>
      </c>
      <c r="B1287" s="515" t="s">
        <v>321</v>
      </c>
      <c r="C1287" s="52">
        <v>656551.57738136803</v>
      </c>
      <c r="D1287" s="56">
        <v>1.9143020080715566E-2</v>
      </c>
      <c r="E1287" s="224">
        <v>1964.8410692950999</v>
      </c>
      <c r="F1287" s="515" t="s">
        <v>3000</v>
      </c>
      <c r="G1287" s="52">
        <v>233671.17264021901</v>
      </c>
      <c r="H1287" s="56">
        <v>0.13582958082241078</v>
      </c>
      <c r="I1287" s="224">
        <v>1552.74285714285</v>
      </c>
    </row>
    <row r="1288" spans="1:9" x14ac:dyDescent="0.25">
      <c r="A1288" s="515">
        <v>11757</v>
      </c>
      <c r="B1288" s="515" t="s">
        <v>324</v>
      </c>
      <c r="C1288" s="52">
        <v>504670.18033476599</v>
      </c>
      <c r="D1288" s="56">
        <v>2.1354208152992903E-2</v>
      </c>
      <c r="E1288" s="224" t="s">
        <v>2</v>
      </c>
      <c r="F1288" s="515" t="s">
        <v>3001</v>
      </c>
      <c r="G1288" s="52">
        <v>597453.29044725595</v>
      </c>
      <c r="H1288" s="56">
        <v>0.10782363039195329</v>
      </c>
      <c r="I1288" s="224" t="s">
        <v>2</v>
      </c>
    </row>
    <row r="1289" spans="1:9" x14ac:dyDescent="0.25">
      <c r="A1289" s="515">
        <v>11413</v>
      </c>
      <c r="B1289" s="515" t="s">
        <v>324</v>
      </c>
      <c r="C1289" s="52">
        <v>622546.72450260795</v>
      </c>
      <c r="D1289" s="56">
        <v>5.4098548578545659E-2</v>
      </c>
      <c r="E1289" s="224" t="s">
        <v>2</v>
      </c>
      <c r="F1289" s="515" t="s">
        <v>3002</v>
      </c>
      <c r="G1289" s="52">
        <v>701176.73185009195</v>
      </c>
      <c r="H1289" s="56">
        <v>5.0005036859967648E-2</v>
      </c>
      <c r="I1289" s="224">
        <v>3027.12637362637</v>
      </c>
    </row>
    <row r="1290" spans="1:9" x14ac:dyDescent="0.25">
      <c r="A1290" s="515">
        <v>78213</v>
      </c>
      <c r="B1290" s="515" t="s">
        <v>717</v>
      </c>
      <c r="C1290" s="52">
        <v>215682.28287607699</v>
      </c>
      <c r="D1290" s="56">
        <v>8.4325782293587198E-2</v>
      </c>
      <c r="E1290" s="224">
        <v>1115.8472222222199</v>
      </c>
      <c r="F1290" s="515" t="s">
        <v>3003</v>
      </c>
      <c r="G1290" s="52">
        <v>193814.099295305</v>
      </c>
      <c r="H1290" s="56">
        <v>0.1638880494438445</v>
      </c>
      <c r="I1290" s="224">
        <v>1335</v>
      </c>
    </row>
    <row r="1291" spans="1:9" x14ac:dyDescent="0.25">
      <c r="A1291" s="515">
        <v>22015</v>
      </c>
      <c r="B1291" s="515" t="s">
        <v>321</v>
      </c>
      <c r="C1291" s="52">
        <v>638552.06118589605</v>
      </c>
      <c r="D1291" s="56">
        <v>5.3183607248704731E-2</v>
      </c>
      <c r="E1291" s="224">
        <v>2544.4444444444398</v>
      </c>
      <c r="F1291" s="515" t="s">
        <v>3004</v>
      </c>
      <c r="G1291" s="52">
        <v>596915.36527104897</v>
      </c>
      <c r="H1291" s="56">
        <v>7.0981820999084247E-2</v>
      </c>
      <c r="I1291" s="224">
        <v>1897.1703703703699</v>
      </c>
    </row>
    <row r="1292" spans="1:9" x14ac:dyDescent="0.25">
      <c r="A1292" s="515">
        <v>27360</v>
      </c>
      <c r="B1292" s="515" t="s">
        <v>735</v>
      </c>
      <c r="C1292" s="52">
        <v>195892.37126883099</v>
      </c>
      <c r="D1292" s="56">
        <v>0.15706529537981626</v>
      </c>
      <c r="E1292" s="224">
        <v>1335</v>
      </c>
      <c r="F1292" s="515" t="s">
        <v>3005</v>
      </c>
      <c r="G1292" s="52">
        <v>337984.30919641902</v>
      </c>
      <c r="H1292" s="56">
        <v>8.4652613091516449E-2</v>
      </c>
      <c r="I1292" s="224">
        <v>1681.19444444444</v>
      </c>
    </row>
    <row r="1293" spans="1:9" x14ac:dyDescent="0.25">
      <c r="A1293" s="515">
        <v>85295</v>
      </c>
      <c r="B1293" s="515" t="s">
        <v>563</v>
      </c>
      <c r="C1293" s="52">
        <v>529849.69134214695</v>
      </c>
      <c r="D1293" s="56">
        <v>2.8015289787298038E-2</v>
      </c>
      <c r="E1293" s="224">
        <v>2079.6765387467499</v>
      </c>
      <c r="F1293" s="515" t="s">
        <v>574</v>
      </c>
      <c r="G1293" s="52">
        <v>239248.58876732999</v>
      </c>
      <c r="H1293" s="56">
        <v>0.14783662904576053</v>
      </c>
      <c r="I1293" s="224">
        <v>1493.44444444444</v>
      </c>
    </row>
    <row r="1294" spans="1:9" x14ac:dyDescent="0.25">
      <c r="A1294" s="515">
        <v>32164</v>
      </c>
      <c r="B1294" s="515" t="s">
        <v>974</v>
      </c>
      <c r="C1294" s="52">
        <v>338491.48774832801</v>
      </c>
      <c r="D1294" s="56">
        <v>9.2811132073211636E-2</v>
      </c>
      <c r="E1294" s="224">
        <v>1977.97078477078</v>
      </c>
      <c r="F1294" s="515" t="s">
        <v>3006</v>
      </c>
      <c r="G1294" s="52">
        <v>578605.95733613404</v>
      </c>
      <c r="H1294" s="56">
        <v>6.8690729072507117E-2</v>
      </c>
      <c r="I1294" s="224">
        <v>2023.38047138047</v>
      </c>
    </row>
    <row r="1295" spans="1:9" x14ac:dyDescent="0.25">
      <c r="A1295" s="515">
        <v>37918</v>
      </c>
      <c r="B1295" s="515" t="s">
        <v>907</v>
      </c>
      <c r="C1295" s="52">
        <v>281094.94264234899</v>
      </c>
      <c r="D1295" s="56">
        <v>0.12028125255363155</v>
      </c>
      <c r="E1295" s="224">
        <v>1546.6703703703699</v>
      </c>
      <c r="F1295" s="515" t="s">
        <v>999</v>
      </c>
      <c r="G1295" s="52">
        <v>57563.834727181304</v>
      </c>
      <c r="H1295" s="56">
        <v>4.0197249435168371E-2</v>
      </c>
      <c r="I1295" s="224">
        <v>657.638888888888</v>
      </c>
    </row>
    <row r="1296" spans="1:9" x14ac:dyDescent="0.25">
      <c r="A1296" s="515">
        <v>63385</v>
      </c>
      <c r="B1296" s="515" t="s">
        <v>498</v>
      </c>
      <c r="C1296" s="52">
        <v>340988.35656792199</v>
      </c>
      <c r="D1296" s="56">
        <v>5.4602541021849485E-2</v>
      </c>
      <c r="E1296" s="224">
        <v>1681.8333333333301</v>
      </c>
      <c r="F1296" s="515" t="s">
        <v>3007</v>
      </c>
      <c r="G1296" s="52">
        <v>340105.19269231398</v>
      </c>
      <c r="H1296" s="56">
        <v>5.4331081073339373E-2</v>
      </c>
      <c r="I1296" s="224">
        <v>1714.7222222222199</v>
      </c>
    </row>
    <row r="1297" spans="1:9" x14ac:dyDescent="0.25">
      <c r="A1297" s="515">
        <v>98225</v>
      </c>
      <c r="B1297" s="515" t="s">
        <v>412</v>
      </c>
      <c r="C1297" s="52">
        <v>605488.59419442306</v>
      </c>
      <c r="D1297" s="56">
        <v>9.9139250822771578E-3</v>
      </c>
      <c r="E1297" s="224">
        <v>1464.19583333333</v>
      </c>
      <c r="F1297" s="515" t="s">
        <v>3008</v>
      </c>
      <c r="G1297" s="52">
        <v>259725.01835274501</v>
      </c>
      <c r="H1297" s="56">
        <v>9.5876855628801425E-2</v>
      </c>
      <c r="I1297" s="224">
        <v>1762.5</v>
      </c>
    </row>
    <row r="1298" spans="1:9" x14ac:dyDescent="0.25">
      <c r="A1298" s="515">
        <v>27705</v>
      </c>
      <c r="B1298" s="515" t="s">
        <v>467</v>
      </c>
      <c r="C1298" s="52">
        <v>420394.51863786299</v>
      </c>
      <c r="D1298" s="56">
        <v>9.8490449674201785E-2</v>
      </c>
      <c r="E1298" s="224">
        <v>1531.3333333333301</v>
      </c>
      <c r="F1298" s="515" t="s">
        <v>3009</v>
      </c>
      <c r="G1298" s="52">
        <v>241563.131998803</v>
      </c>
      <c r="H1298" s="56">
        <v>0.11735289015517479</v>
      </c>
      <c r="I1298" s="224">
        <v>1350.2095238095201</v>
      </c>
    </row>
    <row r="1299" spans="1:9" x14ac:dyDescent="0.25">
      <c r="A1299" s="515">
        <v>76210</v>
      </c>
      <c r="B1299" s="515" t="s">
        <v>458</v>
      </c>
      <c r="C1299" s="52">
        <v>386891.49605368299</v>
      </c>
      <c r="D1299" s="56">
        <v>6.2300182449886089E-2</v>
      </c>
      <c r="E1299" s="224">
        <v>1874.75595238095</v>
      </c>
      <c r="F1299" s="515" t="s">
        <v>3010</v>
      </c>
      <c r="G1299" s="52">
        <v>2434470.7298939801</v>
      </c>
      <c r="H1299" s="56">
        <v>-1.7250150144799144E-2</v>
      </c>
      <c r="I1299" s="224">
        <v>4111.8881886087702</v>
      </c>
    </row>
    <row r="1300" spans="1:9" x14ac:dyDescent="0.25">
      <c r="A1300" s="515">
        <v>94605</v>
      </c>
      <c r="B1300" s="515" t="s">
        <v>593</v>
      </c>
      <c r="C1300" s="52">
        <v>730311.14685159002</v>
      </c>
      <c r="D1300" s="56">
        <v>-3.7408705900129346E-2</v>
      </c>
      <c r="E1300" s="224">
        <v>2409.88888888888</v>
      </c>
      <c r="F1300" s="515" t="s">
        <v>3011</v>
      </c>
      <c r="G1300" s="52">
        <v>237196.092497142</v>
      </c>
      <c r="H1300" s="56">
        <v>7.4314300835663497E-2</v>
      </c>
      <c r="I1300" s="224">
        <v>1396.49206349206</v>
      </c>
    </row>
    <row r="1301" spans="1:9" x14ac:dyDescent="0.25">
      <c r="A1301" s="515">
        <v>36116</v>
      </c>
      <c r="B1301" s="515" t="s">
        <v>806</v>
      </c>
      <c r="C1301" s="52">
        <v>128446.814356309</v>
      </c>
      <c r="D1301" s="56">
        <v>9.2159248503110497E-2</v>
      </c>
      <c r="E1301" s="224">
        <v>1184.29487179487</v>
      </c>
      <c r="F1301" s="515" t="s">
        <v>3012</v>
      </c>
      <c r="G1301" s="52">
        <v>639608.23746189196</v>
      </c>
      <c r="H1301" s="56">
        <v>5.3274280623244602E-2</v>
      </c>
      <c r="I1301" s="224">
        <v>2544.4444444444398</v>
      </c>
    </row>
    <row r="1302" spans="1:9" x14ac:dyDescent="0.25">
      <c r="A1302" s="515">
        <v>89506</v>
      </c>
      <c r="B1302" s="515" t="s">
        <v>581</v>
      </c>
      <c r="C1302" s="52">
        <v>413331.24527734303</v>
      </c>
      <c r="D1302" s="56">
        <v>1.4918606046033263E-2</v>
      </c>
      <c r="E1302" s="224">
        <v>2281.8333333333298</v>
      </c>
      <c r="F1302" s="515" t="s">
        <v>3013</v>
      </c>
      <c r="G1302" s="52">
        <v>384123.45467055199</v>
      </c>
      <c r="H1302" s="56">
        <v>9.3423345205239428E-2</v>
      </c>
      <c r="I1302" s="224">
        <v>2010.7962962962899</v>
      </c>
    </row>
    <row r="1303" spans="1:9" x14ac:dyDescent="0.25">
      <c r="A1303" s="515">
        <v>77338</v>
      </c>
      <c r="B1303" s="515" t="s">
        <v>314</v>
      </c>
      <c r="C1303" s="52">
        <v>237137.237641685</v>
      </c>
      <c r="D1303" s="56">
        <v>0.10100192069730932</v>
      </c>
      <c r="E1303" s="224">
        <v>1611.3620823620799</v>
      </c>
      <c r="F1303" s="515" t="s">
        <v>3014</v>
      </c>
      <c r="G1303" s="52">
        <v>154872.46557836299</v>
      </c>
      <c r="H1303" s="56">
        <v>0.16249157026961336</v>
      </c>
      <c r="I1303" s="224">
        <v>900</v>
      </c>
    </row>
    <row r="1304" spans="1:9" x14ac:dyDescent="0.25">
      <c r="A1304" s="515">
        <v>85051</v>
      </c>
      <c r="B1304" s="515" t="s">
        <v>563</v>
      </c>
      <c r="C1304" s="52">
        <v>330149.61138497997</v>
      </c>
      <c r="D1304" s="56">
        <v>4.8068530656565099E-2</v>
      </c>
      <c r="E1304" s="224">
        <v>1738.2083333333301</v>
      </c>
      <c r="F1304" s="515" t="s">
        <v>3015</v>
      </c>
      <c r="G1304" s="52">
        <v>524483.85303826304</v>
      </c>
      <c r="H1304" s="56">
        <v>4.2146460096144617E-2</v>
      </c>
      <c r="I1304" s="224" t="s">
        <v>2</v>
      </c>
    </row>
    <row r="1305" spans="1:9" x14ac:dyDescent="0.25">
      <c r="A1305" s="515">
        <v>63136</v>
      </c>
      <c r="B1305" s="515" t="s">
        <v>498</v>
      </c>
      <c r="C1305" s="52">
        <v>75014.523712070397</v>
      </c>
      <c r="D1305" s="56">
        <v>0.258845153722287</v>
      </c>
      <c r="E1305" s="224">
        <v>1138.2824074073999</v>
      </c>
      <c r="F1305" s="515" t="s">
        <v>3016</v>
      </c>
      <c r="G1305" s="52">
        <v>349431.06041272002</v>
      </c>
      <c r="H1305" s="56">
        <v>0.11366174495076115</v>
      </c>
      <c r="I1305" s="224" t="s">
        <v>2</v>
      </c>
    </row>
    <row r="1306" spans="1:9" x14ac:dyDescent="0.25">
      <c r="A1306" s="515">
        <v>33010</v>
      </c>
      <c r="B1306" s="515" t="s">
        <v>831</v>
      </c>
      <c r="C1306" s="52">
        <v>432480.13007526501</v>
      </c>
      <c r="D1306" s="56">
        <v>0.16269768672893647</v>
      </c>
      <c r="E1306" s="224" t="s">
        <v>2</v>
      </c>
      <c r="F1306" s="515" t="s">
        <v>3017</v>
      </c>
      <c r="G1306" s="52">
        <v>335439.880968165</v>
      </c>
      <c r="H1306" s="56">
        <v>0.14247183232203633</v>
      </c>
      <c r="I1306" s="224">
        <v>1914.1111111111099</v>
      </c>
    </row>
    <row r="1307" spans="1:9" x14ac:dyDescent="0.25">
      <c r="A1307" s="515">
        <v>7601</v>
      </c>
      <c r="B1307" s="515" t="s">
        <v>324</v>
      </c>
      <c r="C1307" s="52">
        <v>378459.461859648</v>
      </c>
      <c r="D1307" s="56">
        <v>3.221896893531577E-2</v>
      </c>
      <c r="E1307" s="224">
        <v>2357.4740740740699</v>
      </c>
      <c r="F1307" s="515" t="s">
        <v>3018</v>
      </c>
      <c r="G1307" s="52">
        <v>256907.64173269799</v>
      </c>
      <c r="H1307" s="56">
        <v>7.8482041269234734E-2</v>
      </c>
      <c r="I1307" s="224">
        <v>1808.125</v>
      </c>
    </row>
    <row r="1308" spans="1:9" x14ac:dyDescent="0.25">
      <c r="A1308" s="515">
        <v>11003</v>
      </c>
      <c r="B1308" s="515" t="s">
        <v>324</v>
      </c>
      <c r="C1308" s="52">
        <v>591798.80363051803</v>
      </c>
      <c r="D1308" s="56">
        <v>6.5217937650184549E-2</v>
      </c>
      <c r="E1308" s="224" t="s">
        <v>2</v>
      </c>
      <c r="F1308" s="515" t="s">
        <v>3019</v>
      </c>
      <c r="G1308" s="52">
        <v>243189.95418827501</v>
      </c>
      <c r="H1308" s="56">
        <v>7.6337140598290193E-2</v>
      </c>
      <c r="I1308" s="224">
        <v>965.83333333333303</v>
      </c>
    </row>
    <row r="1309" spans="1:9" x14ac:dyDescent="0.25">
      <c r="A1309" s="515">
        <v>52240</v>
      </c>
      <c r="B1309" s="515" t="s">
        <v>587</v>
      </c>
      <c r="C1309" s="52">
        <v>266771.41038576502</v>
      </c>
      <c r="D1309" s="56">
        <v>0.1168283183175535</v>
      </c>
      <c r="E1309" s="224">
        <v>1212.25559440559</v>
      </c>
      <c r="F1309" s="515" t="s">
        <v>1242</v>
      </c>
      <c r="G1309" s="52">
        <v>128683.998128518</v>
      </c>
      <c r="H1309" s="56">
        <v>5.5562542593151618E-2</v>
      </c>
      <c r="I1309" s="224">
        <v>872.5</v>
      </c>
    </row>
    <row r="1310" spans="1:9" x14ac:dyDescent="0.25">
      <c r="A1310" s="515">
        <v>75024</v>
      </c>
      <c r="B1310" s="515" t="s">
        <v>458</v>
      </c>
      <c r="C1310" s="52">
        <v>607156.39444394596</v>
      </c>
      <c r="D1310" s="56">
        <v>7.7367451289329023E-2</v>
      </c>
      <c r="E1310" s="224">
        <v>1768.62926949284</v>
      </c>
      <c r="F1310" s="515" t="s">
        <v>3020</v>
      </c>
      <c r="G1310" s="52">
        <v>201144.94598106199</v>
      </c>
      <c r="H1310" s="56">
        <v>8.7922468257915443E-2</v>
      </c>
      <c r="I1310" s="224">
        <v>1430.55555555555</v>
      </c>
    </row>
    <row r="1311" spans="1:9" x14ac:dyDescent="0.25">
      <c r="A1311" s="515">
        <v>10305</v>
      </c>
      <c r="B1311" s="515" t="s">
        <v>324</v>
      </c>
      <c r="C1311" s="52">
        <v>621303.939229663</v>
      </c>
      <c r="D1311" s="56">
        <v>3.4912655375434913E-2</v>
      </c>
      <c r="E1311" s="224" t="s">
        <v>2</v>
      </c>
      <c r="F1311" s="515" t="s">
        <v>3021</v>
      </c>
      <c r="G1311" s="52">
        <v>129130.927362733</v>
      </c>
      <c r="H1311" s="56">
        <v>3.0852234450047786E-2</v>
      </c>
      <c r="I1311" s="224">
        <v>1007.47222222222</v>
      </c>
    </row>
    <row r="1312" spans="1:9" x14ac:dyDescent="0.25">
      <c r="A1312" s="515">
        <v>32137</v>
      </c>
      <c r="B1312" s="515" t="s">
        <v>974</v>
      </c>
      <c r="C1312" s="52">
        <v>403134.48106728902</v>
      </c>
      <c r="D1312" s="56">
        <v>8.4125644549750689E-2</v>
      </c>
      <c r="E1312" s="224">
        <v>2123.8042328042302</v>
      </c>
      <c r="F1312" s="515" t="s">
        <v>3022</v>
      </c>
      <c r="G1312" s="52">
        <v>197064.304258391</v>
      </c>
      <c r="H1312" s="56">
        <v>9.1383224901886217E-2</v>
      </c>
      <c r="I1312" s="224">
        <v>1100</v>
      </c>
    </row>
    <row r="1313" spans="1:9" x14ac:dyDescent="0.25">
      <c r="A1313" s="515">
        <v>45014</v>
      </c>
      <c r="B1313" s="515" t="s">
        <v>344</v>
      </c>
      <c r="C1313" s="52">
        <v>237784.24976261001</v>
      </c>
      <c r="D1313" s="56">
        <v>7.481005136187141E-2</v>
      </c>
      <c r="E1313" s="224">
        <v>1396.49206349206</v>
      </c>
      <c r="F1313" s="515" t="s">
        <v>3023</v>
      </c>
      <c r="G1313" s="52">
        <v>504716.22256814199</v>
      </c>
      <c r="H1313" s="56">
        <v>2.1298307663897169E-2</v>
      </c>
      <c r="I1313" s="224" t="s">
        <v>2</v>
      </c>
    </row>
    <row r="1314" spans="1:9" x14ac:dyDescent="0.25">
      <c r="A1314" s="515">
        <v>94025</v>
      </c>
      <c r="B1314" s="515" t="s">
        <v>593</v>
      </c>
      <c r="C1314" s="52">
        <v>2438107.1011534901</v>
      </c>
      <c r="D1314" s="56">
        <v>-1.9678408587760769E-2</v>
      </c>
      <c r="E1314" s="224">
        <v>4083.7532679738501</v>
      </c>
      <c r="F1314" s="515" t="s">
        <v>3024</v>
      </c>
      <c r="G1314" s="52">
        <v>261522.66664755601</v>
      </c>
      <c r="H1314" s="56">
        <v>6.5337423711808298E-2</v>
      </c>
      <c r="I1314" s="224" t="s">
        <v>2</v>
      </c>
    </row>
    <row r="1315" spans="1:9" x14ac:dyDescent="0.25">
      <c r="A1315" s="515">
        <v>2135</v>
      </c>
      <c r="B1315" s="515" t="s">
        <v>534</v>
      </c>
      <c r="C1315" s="52">
        <v>498702.16642487101</v>
      </c>
      <c r="D1315" s="56">
        <v>-3.1651283212471251E-2</v>
      </c>
      <c r="E1315" s="224">
        <v>2789.9267803517801</v>
      </c>
      <c r="F1315" s="515" t="s">
        <v>793</v>
      </c>
      <c r="G1315" s="52">
        <v>128232.29500535299</v>
      </c>
      <c r="H1315" s="56">
        <v>2.9131418112811206E-3</v>
      </c>
      <c r="I1315" s="224" t="s">
        <v>2</v>
      </c>
    </row>
    <row r="1316" spans="1:9" x14ac:dyDescent="0.25">
      <c r="A1316" s="515">
        <v>23234</v>
      </c>
      <c r="B1316" s="515" t="s">
        <v>667</v>
      </c>
      <c r="C1316" s="52">
        <v>283711.14904985402</v>
      </c>
      <c r="D1316" s="56">
        <v>0.19422762556812376</v>
      </c>
      <c r="E1316" s="224">
        <v>1523.69444444444</v>
      </c>
      <c r="F1316" s="515" t="s">
        <v>3025</v>
      </c>
      <c r="G1316" s="52">
        <v>308379.70685467002</v>
      </c>
      <c r="H1316" s="56">
        <v>0.11156019546018522</v>
      </c>
      <c r="I1316" s="224">
        <v>1929.4237541317</v>
      </c>
    </row>
    <row r="1317" spans="1:9" x14ac:dyDescent="0.25">
      <c r="A1317" s="515">
        <v>78216</v>
      </c>
      <c r="B1317" s="515" t="s">
        <v>717</v>
      </c>
      <c r="C1317" s="52">
        <v>287227.65437390399</v>
      </c>
      <c r="D1317" s="56">
        <v>5.7454966094441756E-2</v>
      </c>
      <c r="E1317" s="224">
        <v>1172.0833333333301</v>
      </c>
      <c r="F1317" s="515" t="s">
        <v>981</v>
      </c>
      <c r="G1317" s="52">
        <v>353774.21356181399</v>
      </c>
      <c r="H1317" s="56">
        <v>0.10352915507529793</v>
      </c>
      <c r="I1317" s="224" t="s">
        <v>2</v>
      </c>
    </row>
    <row r="1318" spans="1:9" x14ac:dyDescent="0.25">
      <c r="A1318" s="515">
        <v>28376</v>
      </c>
      <c r="B1318" s="515" t="s">
        <v>1149</v>
      </c>
      <c r="C1318" s="52">
        <v>234696.87261931799</v>
      </c>
      <c r="D1318" s="56">
        <v>0.13586204500481322</v>
      </c>
      <c r="E1318" s="224">
        <v>1562.05952380952</v>
      </c>
      <c r="F1318" s="515" t="s">
        <v>3026</v>
      </c>
      <c r="G1318" s="52">
        <v>415113.409412526</v>
      </c>
      <c r="H1318" s="56">
        <v>5.5043039880674216E-2</v>
      </c>
      <c r="I1318" s="224">
        <v>2200</v>
      </c>
    </row>
    <row r="1319" spans="1:9" x14ac:dyDescent="0.25">
      <c r="A1319" s="515">
        <v>98058</v>
      </c>
      <c r="B1319" s="515" t="s">
        <v>384</v>
      </c>
      <c r="C1319" s="52">
        <v>672610.43432370794</v>
      </c>
      <c r="D1319" s="56">
        <v>3.4080259204776253E-2</v>
      </c>
      <c r="E1319" s="224">
        <v>2282.0357142857101</v>
      </c>
      <c r="F1319" s="515" t="s">
        <v>3027</v>
      </c>
      <c r="G1319" s="52">
        <v>392255.656062464</v>
      </c>
      <c r="H1319" s="56">
        <v>7.2847405101020835E-2</v>
      </c>
      <c r="I1319" s="224">
        <v>1799.8582995951399</v>
      </c>
    </row>
    <row r="1320" spans="1:9" x14ac:dyDescent="0.25">
      <c r="A1320" s="515">
        <v>80127</v>
      </c>
      <c r="B1320" s="515" t="s">
        <v>401</v>
      </c>
      <c r="C1320" s="52">
        <v>661816.61822770303</v>
      </c>
      <c r="D1320" s="56">
        <v>3.0347052011475115E-2</v>
      </c>
      <c r="E1320" s="224">
        <v>1943.1428571428501</v>
      </c>
      <c r="F1320" s="515" t="s">
        <v>1136</v>
      </c>
      <c r="G1320" s="52">
        <v>358170.06974960701</v>
      </c>
      <c r="H1320" s="56">
        <v>0.29716127269387732</v>
      </c>
      <c r="I1320" s="224">
        <v>1096.1666666666599</v>
      </c>
    </row>
    <row r="1321" spans="1:9" x14ac:dyDescent="0.25">
      <c r="A1321" s="515">
        <v>8817</v>
      </c>
      <c r="B1321" s="515" t="s">
        <v>324</v>
      </c>
      <c r="C1321" s="52">
        <v>414911.58327171201</v>
      </c>
      <c r="D1321" s="56">
        <v>5.923513676003337E-2</v>
      </c>
      <c r="E1321" s="224">
        <v>2422.7777777777701</v>
      </c>
      <c r="F1321" s="515" t="s">
        <v>3028</v>
      </c>
      <c r="G1321" s="52">
        <v>126514.446904738</v>
      </c>
      <c r="H1321" s="56">
        <v>6.6370315263402424E-2</v>
      </c>
      <c r="I1321" s="224">
        <v>1228.7095238095201</v>
      </c>
    </row>
    <row r="1322" spans="1:9" x14ac:dyDescent="0.25">
      <c r="A1322" s="515">
        <v>21229</v>
      </c>
      <c r="B1322" s="515" t="s">
        <v>582</v>
      </c>
      <c r="C1322" s="52">
        <v>159884.25274858001</v>
      </c>
      <c r="D1322" s="56">
        <v>5.9194012996011292E-2</v>
      </c>
      <c r="E1322" s="224">
        <v>1392.80238095238</v>
      </c>
      <c r="F1322" s="515" t="s">
        <v>724</v>
      </c>
      <c r="G1322" s="52">
        <v>109141.443401435</v>
      </c>
      <c r="H1322" s="56">
        <v>0</v>
      </c>
      <c r="I1322" s="224" t="s">
        <v>2</v>
      </c>
    </row>
    <row r="1323" spans="1:9" x14ac:dyDescent="0.25">
      <c r="A1323" s="515">
        <v>99504</v>
      </c>
      <c r="B1323" s="515" t="s">
        <v>405</v>
      </c>
      <c r="C1323" s="52">
        <v>309308.77105782903</v>
      </c>
      <c r="D1323" s="56">
        <v>3.1780372504262216E-2</v>
      </c>
      <c r="E1323" s="224">
        <v>1837.3611111111099</v>
      </c>
      <c r="F1323" s="515" t="s">
        <v>3029</v>
      </c>
      <c r="G1323" s="52">
        <v>302801.00398701301</v>
      </c>
      <c r="H1323" s="56">
        <v>0.11484845631427605</v>
      </c>
      <c r="I1323" s="224">
        <v>1907.88888888888</v>
      </c>
    </row>
    <row r="1324" spans="1:9" x14ac:dyDescent="0.25">
      <c r="A1324" s="515">
        <v>55117</v>
      </c>
      <c r="B1324" s="515" t="s">
        <v>532</v>
      </c>
      <c r="C1324" s="52">
        <v>259479.70424585999</v>
      </c>
      <c r="D1324" s="56">
        <v>2.2638521841994309E-2</v>
      </c>
      <c r="E1324" s="224">
        <v>1237.8611111111099</v>
      </c>
      <c r="F1324" s="515" t="s">
        <v>3030</v>
      </c>
      <c r="G1324" s="52">
        <v>138397.71462039999</v>
      </c>
      <c r="H1324" s="56">
        <v>0.146536522625832</v>
      </c>
      <c r="I1324" s="224" t="s">
        <v>2</v>
      </c>
    </row>
    <row r="1325" spans="1:9" x14ac:dyDescent="0.25">
      <c r="A1325" s="515">
        <v>45231</v>
      </c>
      <c r="B1325" s="515" t="s">
        <v>344</v>
      </c>
      <c r="C1325" s="52">
        <v>178279.65880062201</v>
      </c>
      <c r="D1325" s="56">
        <v>6.9296609767134781E-2</v>
      </c>
      <c r="E1325" s="224">
        <v>1276</v>
      </c>
      <c r="F1325" s="515" t="s">
        <v>3031</v>
      </c>
      <c r="G1325" s="52">
        <v>225997.29435454399</v>
      </c>
      <c r="H1325" s="56">
        <v>9.1933640121491397E-2</v>
      </c>
      <c r="I1325" s="224" t="s">
        <v>2</v>
      </c>
    </row>
    <row r="1326" spans="1:9" x14ac:dyDescent="0.25">
      <c r="A1326" s="515">
        <v>6082</v>
      </c>
      <c r="B1326" s="515" t="s">
        <v>894</v>
      </c>
      <c r="C1326" s="52">
        <v>259853.247611795</v>
      </c>
      <c r="D1326" s="56">
        <v>9.6302991710301197E-2</v>
      </c>
      <c r="E1326" s="224">
        <v>1762.5</v>
      </c>
      <c r="F1326" s="515" t="s">
        <v>3032</v>
      </c>
      <c r="G1326" s="52">
        <v>494255.72122174402</v>
      </c>
      <c r="H1326" s="56">
        <v>6.0813774568511947E-2</v>
      </c>
      <c r="I1326" s="224">
        <v>1521.88888888888</v>
      </c>
    </row>
    <row r="1327" spans="1:9" x14ac:dyDescent="0.25">
      <c r="A1327" s="515">
        <v>92009</v>
      </c>
      <c r="B1327" s="515" t="s">
        <v>396</v>
      </c>
      <c r="C1327" s="52">
        <v>1337641.3051680401</v>
      </c>
      <c r="D1327" s="56">
        <v>5.799984015523444E-2</v>
      </c>
      <c r="E1327" s="224">
        <v>3317.8272727272702</v>
      </c>
      <c r="F1327" s="515" t="s">
        <v>3033</v>
      </c>
      <c r="G1327" s="52">
        <v>246230.538494056</v>
      </c>
      <c r="H1327" s="56">
        <v>5.5103587431261397E-2</v>
      </c>
      <c r="I1327" s="224">
        <v>1424.1666666666599</v>
      </c>
    </row>
    <row r="1328" spans="1:9" x14ac:dyDescent="0.25">
      <c r="A1328" s="515">
        <v>75220</v>
      </c>
      <c r="B1328" s="515" t="s">
        <v>458</v>
      </c>
      <c r="C1328" s="52">
        <v>431837.51055526501</v>
      </c>
      <c r="D1328" s="56">
        <v>0.12492081298516834</v>
      </c>
      <c r="E1328" s="224">
        <v>1591.3396825396801</v>
      </c>
      <c r="F1328" s="515" t="s">
        <v>3034</v>
      </c>
      <c r="G1328" s="52">
        <v>576223.51441183803</v>
      </c>
      <c r="H1328" s="56">
        <v>7.6029126298845853E-2</v>
      </c>
      <c r="I1328" s="224">
        <v>2547.7142857142799</v>
      </c>
    </row>
    <row r="1329" spans="1:9" x14ac:dyDescent="0.25">
      <c r="A1329" s="515">
        <v>33319</v>
      </c>
      <c r="B1329" s="515" t="s">
        <v>831</v>
      </c>
      <c r="C1329" s="52">
        <v>216672.77602324201</v>
      </c>
      <c r="D1329" s="56">
        <v>0.21635237014102524</v>
      </c>
      <c r="E1329" s="224">
        <v>1879.81481481481</v>
      </c>
      <c r="F1329" s="515" t="s">
        <v>1195</v>
      </c>
      <c r="G1329" s="52">
        <v>170893.781686495</v>
      </c>
      <c r="H1329" s="56">
        <v>6.5809777412772705E-2</v>
      </c>
      <c r="I1329" s="224">
        <v>1185</v>
      </c>
    </row>
    <row r="1330" spans="1:9" x14ac:dyDescent="0.25">
      <c r="A1330" s="515">
        <v>94403</v>
      </c>
      <c r="B1330" s="515" t="s">
        <v>593</v>
      </c>
      <c r="C1330" s="52">
        <v>1615289.3443291299</v>
      </c>
      <c r="D1330" s="56">
        <v>6.5075073397997587E-3</v>
      </c>
      <c r="E1330" s="224">
        <v>3351.2301449275301</v>
      </c>
      <c r="F1330" s="515" t="s">
        <v>3035</v>
      </c>
      <c r="G1330" s="52">
        <v>277485.78216683998</v>
      </c>
      <c r="H1330" s="56">
        <v>9.6658473545882709E-2</v>
      </c>
      <c r="I1330" s="224">
        <v>1469.8511904761899</v>
      </c>
    </row>
    <row r="1331" spans="1:9" x14ac:dyDescent="0.25">
      <c r="A1331" s="515">
        <v>85209</v>
      </c>
      <c r="B1331" s="515" t="s">
        <v>563</v>
      </c>
      <c r="C1331" s="52">
        <v>435573.32558180601</v>
      </c>
      <c r="D1331" s="56">
        <v>3.1746691200916242E-2</v>
      </c>
      <c r="E1331" s="224">
        <v>2009.61904761904</v>
      </c>
      <c r="F1331" s="515" t="s">
        <v>3036</v>
      </c>
      <c r="G1331" s="52">
        <v>569928.99987444701</v>
      </c>
      <c r="H1331" s="56">
        <v>5.3989235941474048E-3</v>
      </c>
      <c r="I1331" s="224">
        <v>2014.4634920634901</v>
      </c>
    </row>
    <row r="1332" spans="1:9" x14ac:dyDescent="0.25">
      <c r="A1332" s="515">
        <v>1201</v>
      </c>
      <c r="B1332" s="515" t="s">
        <v>497</v>
      </c>
      <c r="C1332" s="52">
        <v>257395.69886808499</v>
      </c>
      <c r="D1332" s="56">
        <v>0.10084659035622312</v>
      </c>
      <c r="E1332" s="224">
        <v>1200</v>
      </c>
      <c r="F1332" s="515" t="s">
        <v>1243</v>
      </c>
      <c r="G1332" s="52">
        <v>188876.54416635001</v>
      </c>
      <c r="H1332" s="56">
        <v>7.7351061790769449E-2</v>
      </c>
      <c r="I1332" s="224">
        <v>979.16666666666595</v>
      </c>
    </row>
    <row r="1333" spans="1:9" x14ac:dyDescent="0.25">
      <c r="A1333" s="515">
        <v>67212</v>
      </c>
      <c r="B1333" s="515" t="s">
        <v>485</v>
      </c>
      <c r="C1333" s="52">
        <v>212112.61229830899</v>
      </c>
      <c r="D1333" s="56">
        <v>8.4760755945424829E-2</v>
      </c>
      <c r="E1333" s="224">
        <v>1175.88888888888</v>
      </c>
      <c r="F1333" s="515" t="s">
        <v>376</v>
      </c>
      <c r="G1333" s="52">
        <v>384282.064795374</v>
      </c>
      <c r="H1333" s="56">
        <v>7.1689151549289939E-2</v>
      </c>
      <c r="I1333" s="224">
        <v>1734.1666666666599</v>
      </c>
    </row>
    <row r="1334" spans="1:9" x14ac:dyDescent="0.25">
      <c r="A1334" s="515">
        <v>8360</v>
      </c>
      <c r="B1334" s="515" t="s">
        <v>557</v>
      </c>
      <c r="C1334" s="52">
        <v>226855.32111529401</v>
      </c>
      <c r="D1334" s="56">
        <v>0.10809186320642726</v>
      </c>
      <c r="E1334" s="224" t="s">
        <v>2</v>
      </c>
      <c r="F1334" s="515" t="s">
        <v>3037</v>
      </c>
      <c r="G1334" s="52">
        <v>273931.01776106597</v>
      </c>
      <c r="H1334" s="56">
        <v>4.7962802023135992E-2</v>
      </c>
      <c r="I1334" s="224">
        <v>1504.9079302832199</v>
      </c>
    </row>
    <row r="1335" spans="1:9" x14ac:dyDescent="0.25">
      <c r="A1335" s="515">
        <v>54956</v>
      </c>
      <c r="B1335" s="515" t="s">
        <v>383</v>
      </c>
      <c r="C1335" s="52">
        <v>288781.31615345401</v>
      </c>
      <c r="D1335" s="56">
        <v>6.8815144042264992E-2</v>
      </c>
      <c r="E1335" s="224">
        <v>1165.3333333333301</v>
      </c>
      <c r="F1335" s="515" t="s">
        <v>3038</v>
      </c>
      <c r="G1335" s="52">
        <v>225034.66547405999</v>
      </c>
      <c r="H1335" s="56">
        <v>2.9734502365081128E-2</v>
      </c>
      <c r="I1335" s="224">
        <v>1107.5</v>
      </c>
    </row>
    <row r="1336" spans="1:9" x14ac:dyDescent="0.25">
      <c r="A1336" s="515">
        <v>30506</v>
      </c>
      <c r="B1336" s="515" t="s">
        <v>1102</v>
      </c>
      <c r="C1336" s="52">
        <v>392585.916971308</v>
      </c>
      <c r="D1336" s="56">
        <v>0.10962761366357289</v>
      </c>
      <c r="E1336" s="224">
        <v>1987.3333333333301</v>
      </c>
      <c r="F1336" s="515" t="s">
        <v>497</v>
      </c>
      <c r="G1336" s="52">
        <v>254970.657360891</v>
      </c>
      <c r="H1336" s="56">
        <v>9.9853401656191304E-2</v>
      </c>
      <c r="I1336" s="224">
        <v>1200</v>
      </c>
    </row>
    <row r="1337" spans="1:9" x14ac:dyDescent="0.25">
      <c r="A1337" s="515">
        <v>54115</v>
      </c>
      <c r="B1337" s="515" t="s">
        <v>897</v>
      </c>
      <c r="C1337" s="52">
        <v>328434.26491891802</v>
      </c>
      <c r="D1337" s="56">
        <v>6.9088407601126556E-2</v>
      </c>
      <c r="E1337" s="224">
        <v>1000</v>
      </c>
      <c r="F1337" s="515" t="s">
        <v>3039</v>
      </c>
      <c r="G1337" s="52">
        <v>148690.35983579699</v>
      </c>
      <c r="H1337" s="56">
        <v>0.10889885447649879</v>
      </c>
      <c r="I1337" s="224">
        <v>1036.6666666666599</v>
      </c>
    </row>
    <row r="1338" spans="1:9" x14ac:dyDescent="0.25">
      <c r="A1338" s="515">
        <v>75034</v>
      </c>
      <c r="B1338" s="515" t="s">
        <v>458</v>
      </c>
      <c r="C1338" s="52">
        <v>644248.46682268102</v>
      </c>
      <c r="D1338" s="56">
        <v>8.6428149202929058E-2</v>
      </c>
      <c r="E1338" s="224">
        <v>1819.56484848484</v>
      </c>
      <c r="F1338" s="515" t="s">
        <v>666</v>
      </c>
      <c r="G1338" s="52">
        <v>340236.19594293099</v>
      </c>
      <c r="H1338" s="56">
        <v>5.547336418913739E-2</v>
      </c>
      <c r="I1338" s="224">
        <v>1499.5</v>
      </c>
    </row>
    <row r="1339" spans="1:9" x14ac:dyDescent="0.25">
      <c r="A1339" s="515">
        <v>95210</v>
      </c>
      <c r="B1339" s="515" t="s">
        <v>852</v>
      </c>
      <c r="C1339" s="52">
        <v>377130.91685474402</v>
      </c>
      <c r="D1339" s="56">
        <v>5.3653071393370624E-2</v>
      </c>
      <c r="E1339" s="224">
        <v>1707.5</v>
      </c>
      <c r="F1339" s="515" t="s">
        <v>3040</v>
      </c>
      <c r="G1339" s="52">
        <v>271345.09702364699</v>
      </c>
      <c r="H1339" s="56">
        <v>8.1511051413782509E-2</v>
      </c>
      <c r="I1339" s="224">
        <v>1700</v>
      </c>
    </row>
    <row r="1340" spans="1:9" x14ac:dyDescent="0.25">
      <c r="A1340" s="515">
        <v>89139</v>
      </c>
      <c r="B1340" s="515" t="s">
        <v>323</v>
      </c>
      <c r="C1340" s="52">
        <v>429774.84977791703</v>
      </c>
      <c r="D1340" s="56">
        <v>3.81955661145379E-2</v>
      </c>
      <c r="E1340" s="224">
        <v>1942.6444444444401</v>
      </c>
      <c r="F1340" s="515" t="s">
        <v>3041</v>
      </c>
      <c r="G1340" s="52">
        <v>611715.64378308796</v>
      </c>
      <c r="H1340" s="56">
        <v>5.495530690161473E-2</v>
      </c>
      <c r="I1340" s="224" t="s">
        <v>2</v>
      </c>
    </row>
    <row r="1341" spans="1:9" x14ac:dyDescent="0.25">
      <c r="A1341" s="515">
        <v>38128</v>
      </c>
      <c r="B1341" s="515" t="s">
        <v>951</v>
      </c>
      <c r="C1341" s="52">
        <v>139071.190283915</v>
      </c>
      <c r="D1341" s="56">
        <v>0.1307816379949916</v>
      </c>
      <c r="E1341" s="224">
        <v>1323.16113516113</v>
      </c>
      <c r="F1341" s="515" t="s">
        <v>3042</v>
      </c>
      <c r="G1341" s="52">
        <v>165943.23287495799</v>
      </c>
      <c r="H1341" s="56">
        <v>6.7665500430351189E-2</v>
      </c>
      <c r="I1341" s="224">
        <v>1398.05555555555</v>
      </c>
    </row>
    <row r="1342" spans="1:9" x14ac:dyDescent="0.25">
      <c r="A1342" s="515">
        <v>91765</v>
      </c>
      <c r="B1342" s="515" t="s">
        <v>375</v>
      </c>
      <c r="C1342" s="52">
        <v>876446.08322823304</v>
      </c>
      <c r="D1342" s="56">
        <v>6.2456412778231614E-2</v>
      </c>
      <c r="E1342" s="224">
        <v>2671.8333333333298</v>
      </c>
      <c r="F1342" s="515" t="s">
        <v>3043</v>
      </c>
      <c r="G1342" s="52">
        <v>387406.92859492899</v>
      </c>
      <c r="H1342" s="56">
        <v>0.15262094594017192</v>
      </c>
      <c r="I1342" s="224">
        <v>2591.1428571428501</v>
      </c>
    </row>
    <row r="1343" spans="1:9" x14ac:dyDescent="0.25">
      <c r="A1343" s="515">
        <v>11224</v>
      </c>
      <c r="B1343" s="515" t="s">
        <v>324</v>
      </c>
      <c r="C1343" s="52">
        <v>413352.823411152</v>
      </c>
      <c r="D1343" s="56">
        <v>-3.0889039825684212E-2</v>
      </c>
      <c r="E1343" s="224">
        <v>2820.5</v>
      </c>
      <c r="F1343" s="515" t="s">
        <v>3044</v>
      </c>
      <c r="G1343" s="52">
        <v>579344.42147250799</v>
      </c>
      <c r="H1343" s="56">
        <v>5.2562750666562137E-2</v>
      </c>
      <c r="I1343" s="224" t="s">
        <v>2</v>
      </c>
    </row>
    <row r="1344" spans="1:9" x14ac:dyDescent="0.25">
      <c r="A1344" s="515">
        <v>75126</v>
      </c>
      <c r="B1344" s="515" t="s">
        <v>458</v>
      </c>
      <c r="C1344" s="52">
        <v>346849.881072213</v>
      </c>
      <c r="D1344" s="56">
        <v>6.3907950039178082E-2</v>
      </c>
      <c r="E1344" s="224">
        <v>2096.2385620915002</v>
      </c>
      <c r="F1344" s="515" t="s">
        <v>521</v>
      </c>
      <c r="G1344" s="52">
        <v>438917.03549024003</v>
      </c>
      <c r="H1344" s="56">
        <v>3.4798240561443594E-2</v>
      </c>
      <c r="I1344" s="224">
        <v>1643.88888888888</v>
      </c>
    </row>
    <row r="1345" spans="1:9" x14ac:dyDescent="0.25">
      <c r="A1345" s="515">
        <v>55119</v>
      </c>
      <c r="B1345" s="515" t="s">
        <v>532</v>
      </c>
      <c r="C1345" s="52">
        <v>266665.03827927302</v>
      </c>
      <c r="D1345" s="56">
        <v>1.6188604291581921E-2</v>
      </c>
      <c r="E1345" s="224">
        <v>1268.6406926406901</v>
      </c>
      <c r="F1345" s="515" t="s">
        <v>1117</v>
      </c>
      <c r="G1345" s="52">
        <v>188568.98584385301</v>
      </c>
      <c r="H1345" s="56">
        <v>7.8418783382795704E-2</v>
      </c>
      <c r="I1345" s="224" t="s">
        <v>2</v>
      </c>
    </row>
    <row r="1346" spans="1:9" x14ac:dyDescent="0.25">
      <c r="A1346" s="515">
        <v>94118</v>
      </c>
      <c r="B1346" s="515" t="s">
        <v>593</v>
      </c>
      <c r="C1346" s="52">
        <v>1853961.0464916099</v>
      </c>
      <c r="D1346" s="56">
        <v>-9.5785413110450204E-2</v>
      </c>
      <c r="E1346" s="224">
        <v>3336.1199095022598</v>
      </c>
      <c r="F1346" s="515" t="s">
        <v>3045</v>
      </c>
      <c r="G1346" s="52">
        <v>313830.40606975101</v>
      </c>
      <c r="H1346" s="56">
        <v>0.10653478606689779</v>
      </c>
      <c r="I1346" s="224">
        <v>1503.3333333333301</v>
      </c>
    </row>
    <row r="1347" spans="1:9" x14ac:dyDescent="0.25">
      <c r="A1347" s="515">
        <v>84660</v>
      </c>
      <c r="B1347" s="515" t="s">
        <v>726</v>
      </c>
      <c r="C1347" s="52">
        <v>487590.15706842602</v>
      </c>
      <c r="D1347" s="56">
        <v>1.2853170757066729E-2</v>
      </c>
      <c r="E1347" s="224">
        <v>2160.4166666666601</v>
      </c>
      <c r="F1347" s="515" t="s">
        <v>3046</v>
      </c>
      <c r="G1347" s="52">
        <v>340935.01678798301</v>
      </c>
      <c r="H1347" s="56">
        <v>2.4958276028969419E-2</v>
      </c>
      <c r="I1347" s="224">
        <v>1875.23436853002</v>
      </c>
    </row>
    <row r="1348" spans="1:9" x14ac:dyDescent="0.25">
      <c r="A1348" s="515">
        <v>32708</v>
      </c>
      <c r="B1348" s="515" t="s">
        <v>517</v>
      </c>
      <c r="C1348" s="52">
        <v>403592.29931037198</v>
      </c>
      <c r="D1348" s="56">
        <v>0.10296521338372422</v>
      </c>
      <c r="E1348" s="224">
        <v>2045.8547008547</v>
      </c>
      <c r="F1348" s="515" t="s">
        <v>3047</v>
      </c>
      <c r="G1348" s="52">
        <v>308103.63998799102</v>
      </c>
      <c r="H1348" s="56">
        <v>6.9326020639403213E-2</v>
      </c>
      <c r="I1348" s="224">
        <v>1123.44444444444</v>
      </c>
    </row>
    <row r="1349" spans="1:9" x14ac:dyDescent="0.25">
      <c r="A1349" s="515">
        <v>11365</v>
      </c>
      <c r="B1349" s="515" t="s">
        <v>324</v>
      </c>
      <c r="C1349" s="52">
        <v>790428.497765254</v>
      </c>
      <c r="D1349" s="56">
        <v>-1.7851365793102019E-3</v>
      </c>
      <c r="E1349" s="224">
        <v>2319.4444444444398</v>
      </c>
      <c r="F1349" s="515" t="s">
        <v>1251</v>
      </c>
      <c r="G1349" s="52">
        <v>170659.18735271</v>
      </c>
      <c r="H1349" s="56">
        <v>0</v>
      </c>
      <c r="I1349" s="224">
        <v>1313.2083333333301</v>
      </c>
    </row>
    <row r="1350" spans="1:9" x14ac:dyDescent="0.25">
      <c r="A1350" s="515">
        <v>91367</v>
      </c>
      <c r="B1350" s="515" t="s">
        <v>375</v>
      </c>
      <c r="C1350" s="52">
        <v>1019506.27647634</v>
      </c>
      <c r="D1350" s="56">
        <v>5.7803928416550805E-2</v>
      </c>
      <c r="E1350" s="224">
        <v>3031.6162196679402</v>
      </c>
      <c r="F1350" s="515" t="s">
        <v>472</v>
      </c>
      <c r="G1350" s="52">
        <v>105496.739334585</v>
      </c>
      <c r="H1350" s="56">
        <v>6.9095131024163731E-2</v>
      </c>
      <c r="I1350" s="224" t="s">
        <v>2</v>
      </c>
    </row>
    <row r="1351" spans="1:9" x14ac:dyDescent="0.25">
      <c r="A1351" s="515">
        <v>87031</v>
      </c>
      <c r="B1351" s="515" t="s">
        <v>406</v>
      </c>
      <c r="C1351" s="52">
        <v>256460.603905116</v>
      </c>
      <c r="D1351" s="56">
        <v>7.8381136459833592E-2</v>
      </c>
      <c r="E1351" s="224">
        <v>1808.125</v>
      </c>
      <c r="F1351" s="515" t="s">
        <v>3048</v>
      </c>
      <c r="G1351" s="52">
        <v>500297.99461745901</v>
      </c>
      <c r="H1351" s="56">
        <v>2.8316018204161388E-2</v>
      </c>
      <c r="I1351" s="224">
        <v>1933.6705627705601</v>
      </c>
    </row>
    <row r="1352" spans="1:9" x14ac:dyDescent="0.25">
      <c r="A1352" s="515">
        <v>11374</v>
      </c>
      <c r="B1352" s="515" t="s">
        <v>324</v>
      </c>
      <c r="C1352" s="52">
        <v>339044.09420387301</v>
      </c>
      <c r="D1352" s="56">
        <v>-8.656593175841279E-2</v>
      </c>
      <c r="E1352" s="224">
        <v>2391.6481481481401</v>
      </c>
      <c r="F1352" s="515" t="s">
        <v>3049</v>
      </c>
      <c r="G1352" s="52">
        <v>616441.35670958494</v>
      </c>
      <c r="H1352" s="56">
        <v>5.5323022566451538E-2</v>
      </c>
      <c r="I1352" s="224">
        <v>1800</v>
      </c>
    </row>
    <row r="1353" spans="1:9" x14ac:dyDescent="0.25">
      <c r="A1353" s="515">
        <v>92692</v>
      </c>
      <c r="B1353" s="515" t="s">
        <v>375</v>
      </c>
      <c r="C1353" s="52">
        <v>1007317.66468922</v>
      </c>
      <c r="D1353" s="56">
        <v>6.2270646434050378E-2</v>
      </c>
      <c r="E1353" s="224">
        <v>2807.0555555555502</v>
      </c>
      <c r="F1353" s="515" t="s">
        <v>3050</v>
      </c>
      <c r="G1353" s="52">
        <v>428602.31572853599</v>
      </c>
      <c r="H1353" s="56">
        <v>0.10846162243856466</v>
      </c>
      <c r="I1353" s="224">
        <v>1891</v>
      </c>
    </row>
    <row r="1354" spans="1:9" x14ac:dyDescent="0.25">
      <c r="A1354" s="515">
        <v>43207</v>
      </c>
      <c r="B1354" s="515" t="s">
        <v>345</v>
      </c>
      <c r="C1354" s="52">
        <v>179379.774173207</v>
      </c>
      <c r="D1354" s="56">
        <v>0.16816459316124743</v>
      </c>
      <c r="E1354" s="224">
        <v>1294.69642857142</v>
      </c>
      <c r="F1354" s="515" t="s">
        <v>3051</v>
      </c>
      <c r="G1354" s="52">
        <v>352287.349724948</v>
      </c>
      <c r="H1354" s="56">
        <v>6.5483099046175525E-2</v>
      </c>
      <c r="I1354" s="224">
        <v>1367.35</v>
      </c>
    </row>
    <row r="1355" spans="1:9" x14ac:dyDescent="0.25">
      <c r="A1355" s="515">
        <v>10465</v>
      </c>
      <c r="B1355" s="515" t="s">
        <v>324</v>
      </c>
      <c r="C1355" s="52">
        <v>577682.59182160697</v>
      </c>
      <c r="D1355" s="56">
        <v>9.5076169429524574E-3</v>
      </c>
      <c r="E1355" s="224">
        <v>2301.7857142857101</v>
      </c>
      <c r="F1355" s="515" t="s">
        <v>3052</v>
      </c>
      <c r="G1355" s="52">
        <v>560118.11246951495</v>
      </c>
      <c r="H1355" s="56">
        <v>5.5718148556608602E-2</v>
      </c>
      <c r="I1355" s="224" t="s">
        <v>2</v>
      </c>
    </row>
    <row r="1356" spans="1:9" x14ac:dyDescent="0.25">
      <c r="A1356" s="515">
        <v>30228</v>
      </c>
      <c r="B1356" s="515" t="s">
        <v>957</v>
      </c>
      <c r="C1356" s="52">
        <v>304419.76995978103</v>
      </c>
      <c r="D1356" s="56">
        <v>0.10262433141754231</v>
      </c>
      <c r="E1356" s="224">
        <v>1983.9841269841199</v>
      </c>
      <c r="F1356" s="515" t="s">
        <v>3053</v>
      </c>
      <c r="G1356" s="52">
        <v>902081.31147465296</v>
      </c>
      <c r="H1356" s="56">
        <v>4.8573603505407237E-2</v>
      </c>
      <c r="I1356" s="224">
        <v>2663.4333333333302</v>
      </c>
    </row>
    <row r="1357" spans="1:9" x14ac:dyDescent="0.25">
      <c r="A1357" s="515">
        <v>30132</v>
      </c>
      <c r="B1357" s="515" t="s">
        <v>957</v>
      </c>
      <c r="C1357" s="52">
        <v>363028.81200973003</v>
      </c>
      <c r="D1357" s="56">
        <v>6.8995494078058162E-2</v>
      </c>
      <c r="E1357" s="224">
        <v>2008.0888888888801</v>
      </c>
      <c r="F1357" s="515" t="s">
        <v>3054</v>
      </c>
      <c r="G1357" s="52">
        <v>441006.37953236903</v>
      </c>
      <c r="H1357" s="56">
        <v>9.0909067441485844E-2</v>
      </c>
      <c r="I1357" s="224">
        <v>2177.8333333333298</v>
      </c>
    </row>
    <row r="1358" spans="1:9" x14ac:dyDescent="0.25">
      <c r="A1358" s="515">
        <v>4401</v>
      </c>
      <c r="B1358" s="515" t="s">
        <v>792</v>
      </c>
      <c r="C1358" s="52">
        <v>248604.51665147601</v>
      </c>
      <c r="D1358" s="56">
        <v>0.10833875238310806</v>
      </c>
      <c r="E1358" s="224">
        <v>1207.5</v>
      </c>
      <c r="F1358" s="515" t="s">
        <v>3055</v>
      </c>
      <c r="G1358" s="52">
        <v>1539686.17400071</v>
      </c>
      <c r="H1358" s="56">
        <v>6.9370561607996081E-2</v>
      </c>
      <c r="I1358" s="224">
        <v>3129.86638655462</v>
      </c>
    </row>
    <row r="1359" spans="1:9" x14ac:dyDescent="0.25">
      <c r="A1359" s="515">
        <v>85255</v>
      </c>
      <c r="B1359" s="515" t="s">
        <v>563</v>
      </c>
      <c r="C1359" s="52">
        <v>1106990.24755476</v>
      </c>
      <c r="D1359" s="56">
        <v>6.555432711092303E-2</v>
      </c>
      <c r="E1359" s="224">
        <v>2602.4306526806499</v>
      </c>
      <c r="F1359" s="515" t="s">
        <v>3056</v>
      </c>
      <c r="G1359" s="52">
        <v>1241966.8340086299</v>
      </c>
      <c r="H1359" s="56">
        <v>2.1374941319483757E-2</v>
      </c>
      <c r="I1359" s="224">
        <v>2892.7190476190399</v>
      </c>
    </row>
    <row r="1360" spans="1:9" x14ac:dyDescent="0.25">
      <c r="A1360" s="515">
        <v>60660</v>
      </c>
      <c r="B1360" s="515" t="s">
        <v>394</v>
      </c>
      <c r="C1360" s="52">
        <v>237624.33392807801</v>
      </c>
      <c r="D1360" s="56">
        <v>1.6291633148691283E-3</v>
      </c>
      <c r="E1360" s="224">
        <v>1481.6041666666599</v>
      </c>
      <c r="F1360" s="515" t="s">
        <v>3057</v>
      </c>
      <c r="G1360" s="52">
        <v>558916.79792791</v>
      </c>
      <c r="H1360" s="56">
        <v>3.447207633642895E-3</v>
      </c>
      <c r="I1360" s="224" t="s">
        <v>2</v>
      </c>
    </row>
    <row r="1361" spans="1:9" x14ac:dyDescent="0.25">
      <c r="A1361" s="515">
        <v>2740</v>
      </c>
      <c r="B1361" s="515" t="s">
        <v>513</v>
      </c>
      <c r="C1361" s="52">
        <v>345986.350207171</v>
      </c>
      <c r="D1361" s="56">
        <v>7.5131469092399081E-2</v>
      </c>
      <c r="E1361" s="224">
        <v>1783.3333333333301</v>
      </c>
      <c r="F1361" s="515" t="s">
        <v>3058</v>
      </c>
      <c r="G1361" s="52">
        <v>485783.75941269501</v>
      </c>
      <c r="H1361" s="56">
        <v>0.11600169804764175</v>
      </c>
      <c r="I1361" s="224">
        <v>2105.6666666666601</v>
      </c>
    </row>
    <row r="1362" spans="1:9" x14ac:dyDescent="0.25">
      <c r="A1362" s="515">
        <v>30076</v>
      </c>
      <c r="B1362" s="515" t="s">
        <v>957</v>
      </c>
      <c r="C1362" s="52">
        <v>509376.84622982098</v>
      </c>
      <c r="D1362" s="56">
        <v>0.12029431034248718</v>
      </c>
      <c r="E1362" s="224">
        <v>1857.44444444444</v>
      </c>
      <c r="F1362" s="515" t="s">
        <v>3059</v>
      </c>
      <c r="G1362" s="52">
        <v>479506.54162997101</v>
      </c>
      <c r="H1362" s="56">
        <v>0.13717505545838779</v>
      </c>
      <c r="I1362" s="224">
        <v>2647.7505050505001</v>
      </c>
    </row>
    <row r="1363" spans="1:9" x14ac:dyDescent="0.25">
      <c r="A1363" s="515">
        <v>89101</v>
      </c>
      <c r="B1363" s="515" t="s">
        <v>323</v>
      </c>
      <c r="C1363" s="52">
        <v>280695.49549192301</v>
      </c>
      <c r="D1363" s="56">
        <v>0.10370273381600817</v>
      </c>
      <c r="E1363" s="224">
        <v>1986.3999999999901</v>
      </c>
      <c r="F1363" s="515" t="s">
        <v>1290</v>
      </c>
      <c r="G1363" s="52">
        <v>466171.91130840802</v>
      </c>
      <c r="H1363" s="56">
        <v>0.13826242194763327</v>
      </c>
      <c r="I1363" s="224">
        <v>1855.55555555555</v>
      </c>
    </row>
    <row r="1364" spans="1:9" x14ac:dyDescent="0.25">
      <c r="A1364" s="515">
        <v>44646</v>
      </c>
      <c r="B1364" s="515" t="s">
        <v>863</v>
      </c>
      <c r="C1364" s="52">
        <v>183435.20527561399</v>
      </c>
      <c r="D1364" s="56">
        <v>6.5672587117360709E-2</v>
      </c>
      <c r="E1364" s="224">
        <v>908.33333333333303</v>
      </c>
      <c r="F1364" s="515" t="s">
        <v>3060</v>
      </c>
      <c r="G1364" s="52">
        <v>321292.62148921803</v>
      </c>
      <c r="H1364" s="56">
        <v>0.11365153099600564</v>
      </c>
      <c r="I1364" s="224">
        <v>2573.4682539682499</v>
      </c>
    </row>
    <row r="1365" spans="1:9" x14ac:dyDescent="0.25">
      <c r="A1365" s="515">
        <v>11520</v>
      </c>
      <c r="B1365" s="515" t="s">
        <v>324</v>
      </c>
      <c r="C1365" s="52">
        <v>524722.78302854695</v>
      </c>
      <c r="D1365" s="56">
        <v>4.1852004159458514E-2</v>
      </c>
      <c r="E1365" s="224" t="s">
        <v>2</v>
      </c>
      <c r="F1365" s="515" t="s">
        <v>1145</v>
      </c>
      <c r="G1365" s="52">
        <v>186804.73753858599</v>
      </c>
      <c r="H1365" s="56">
        <v>0.12859376438260295</v>
      </c>
      <c r="I1365" s="224" t="s">
        <v>2</v>
      </c>
    </row>
    <row r="1366" spans="1:9" x14ac:dyDescent="0.25">
      <c r="A1366" s="515">
        <v>55330</v>
      </c>
      <c r="B1366" s="515" t="s">
        <v>532</v>
      </c>
      <c r="C1366" s="52">
        <v>371432.83127753402</v>
      </c>
      <c r="D1366" s="56">
        <v>3.265016255492071E-2</v>
      </c>
      <c r="E1366" s="224">
        <v>1895</v>
      </c>
      <c r="F1366" s="515" t="s">
        <v>3061</v>
      </c>
      <c r="G1366" s="52">
        <v>471060.93433865899</v>
      </c>
      <c r="H1366" s="56">
        <v>7.3578012047658028E-2</v>
      </c>
      <c r="I1366" s="224">
        <v>1498.2888888888799</v>
      </c>
    </row>
    <row r="1367" spans="1:9" x14ac:dyDescent="0.25">
      <c r="A1367" s="515">
        <v>93619</v>
      </c>
      <c r="B1367" s="515" t="s">
        <v>541</v>
      </c>
      <c r="C1367" s="52">
        <v>570340.42489808798</v>
      </c>
      <c r="D1367" s="56">
        <v>5.071346005578662E-2</v>
      </c>
      <c r="E1367" s="224">
        <v>2453.5436507936502</v>
      </c>
      <c r="F1367" s="515" t="s">
        <v>3062</v>
      </c>
      <c r="G1367" s="52">
        <v>308745.70370603399</v>
      </c>
      <c r="H1367" s="56">
        <v>6.9548666808226828E-2</v>
      </c>
      <c r="I1367" s="224">
        <v>1579.13888888888</v>
      </c>
    </row>
    <row r="1368" spans="1:9" x14ac:dyDescent="0.25">
      <c r="A1368" s="515">
        <v>89502</v>
      </c>
      <c r="B1368" s="515" t="s">
        <v>581</v>
      </c>
      <c r="C1368" s="52">
        <v>389358.29375213198</v>
      </c>
      <c r="D1368" s="56">
        <v>-7.9068436662822102E-3</v>
      </c>
      <c r="E1368" s="224">
        <v>1411.5234848484799</v>
      </c>
      <c r="F1368" s="515" t="s">
        <v>3063</v>
      </c>
      <c r="G1368" s="52">
        <v>263354.89990645298</v>
      </c>
      <c r="H1368" s="56">
        <v>5.748660342876704E-2</v>
      </c>
      <c r="I1368" s="224">
        <v>1398.1682539682499</v>
      </c>
    </row>
    <row r="1369" spans="1:9" x14ac:dyDescent="0.25">
      <c r="A1369" s="515">
        <v>96786</v>
      </c>
      <c r="B1369" s="515" t="s">
        <v>1029</v>
      </c>
      <c r="C1369" s="52">
        <v>817655.81305185298</v>
      </c>
      <c r="D1369" s="56">
        <v>8.2751885711602732E-2</v>
      </c>
      <c r="E1369" s="224">
        <v>2222.5</v>
      </c>
      <c r="F1369" s="515" t="s">
        <v>3064</v>
      </c>
      <c r="G1369" s="52">
        <v>788923.22602149297</v>
      </c>
      <c r="H1369" s="56">
        <v>0.11980061283129015</v>
      </c>
      <c r="I1369" s="224">
        <v>2132.63425925925</v>
      </c>
    </row>
    <row r="1370" spans="1:9" x14ac:dyDescent="0.25">
      <c r="A1370" s="515">
        <v>89032</v>
      </c>
      <c r="B1370" s="515" t="s">
        <v>323</v>
      </c>
      <c r="C1370" s="52">
        <v>358389.81969219103</v>
      </c>
      <c r="D1370" s="56">
        <v>4.7950124896185428E-2</v>
      </c>
      <c r="E1370" s="224">
        <v>1747.3239316239301</v>
      </c>
      <c r="F1370" s="515" t="s">
        <v>3065</v>
      </c>
      <c r="G1370" s="52">
        <v>299563.72188108502</v>
      </c>
      <c r="H1370" s="56">
        <v>5.8895996115234911E-2</v>
      </c>
      <c r="I1370" s="224">
        <v>1409.1666666666599</v>
      </c>
    </row>
    <row r="1371" spans="1:9" x14ac:dyDescent="0.25">
      <c r="A1371" s="515">
        <v>23451</v>
      </c>
      <c r="B1371" s="515" t="s">
        <v>301</v>
      </c>
      <c r="C1371" s="52">
        <v>546934.01788996998</v>
      </c>
      <c r="D1371" s="56">
        <v>3.7741754130473718E-2</v>
      </c>
      <c r="E1371" s="224">
        <v>1875.0839371980601</v>
      </c>
      <c r="F1371" s="515" t="s">
        <v>1191</v>
      </c>
      <c r="G1371" s="52">
        <v>142143.89200081999</v>
      </c>
      <c r="H1371" s="56">
        <v>6.7142261829419944E-2</v>
      </c>
      <c r="I1371" s="224" t="s">
        <v>2</v>
      </c>
    </row>
    <row r="1372" spans="1:9" x14ac:dyDescent="0.25">
      <c r="A1372" s="515">
        <v>32162</v>
      </c>
      <c r="B1372" s="515" t="s">
        <v>558</v>
      </c>
      <c r="C1372" s="52">
        <v>399210.14897887397</v>
      </c>
      <c r="D1372" s="56">
        <v>9.1543352253721386E-2</v>
      </c>
      <c r="E1372" s="224">
        <v>2344.4444444444398</v>
      </c>
      <c r="F1372" s="515" t="s">
        <v>3066</v>
      </c>
      <c r="G1372" s="52">
        <v>363405.71972488298</v>
      </c>
      <c r="H1372" s="56">
        <v>0</v>
      </c>
      <c r="I1372" s="224">
        <v>2458.3333333333298</v>
      </c>
    </row>
    <row r="1373" spans="1:9" x14ac:dyDescent="0.25">
      <c r="A1373" s="515">
        <v>46350</v>
      </c>
      <c r="B1373" s="515" t="s">
        <v>944</v>
      </c>
      <c r="C1373" s="52">
        <v>222891.10307213</v>
      </c>
      <c r="D1373" s="56">
        <v>8.1710585154471313E-2</v>
      </c>
      <c r="E1373" s="224" t="s">
        <v>2</v>
      </c>
      <c r="F1373" s="515" t="s">
        <v>3067</v>
      </c>
      <c r="G1373" s="52">
        <v>330201.75387150102</v>
      </c>
      <c r="H1373" s="56">
        <v>8.0010337512842047E-2</v>
      </c>
      <c r="I1373" s="224">
        <v>1624.30555555555</v>
      </c>
    </row>
    <row r="1374" spans="1:9" x14ac:dyDescent="0.25">
      <c r="A1374" s="515">
        <v>7036</v>
      </c>
      <c r="B1374" s="515" t="s">
        <v>324</v>
      </c>
      <c r="C1374" s="52">
        <v>446368.55022849399</v>
      </c>
      <c r="D1374" s="56">
        <v>6.9661568270805663E-2</v>
      </c>
      <c r="E1374" s="224">
        <v>2177.8333333333298</v>
      </c>
      <c r="F1374" s="515" t="s">
        <v>3068</v>
      </c>
      <c r="G1374" s="52">
        <v>324316.18320554303</v>
      </c>
      <c r="H1374" s="56">
        <v>9.5357649255865304E-2</v>
      </c>
      <c r="I1374" s="224" t="s">
        <v>2</v>
      </c>
    </row>
    <row r="1375" spans="1:9" x14ac:dyDescent="0.25">
      <c r="A1375" s="515">
        <v>93611</v>
      </c>
      <c r="B1375" s="515" t="s">
        <v>541</v>
      </c>
      <c r="C1375" s="52">
        <v>454255.56271721702</v>
      </c>
      <c r="D1375" s="56">
        <v>3.4236413806921204E-2</v>
      </c>
      <c r="E1375" s="224">
        <v>2331.6666666666601</v>
      </c>
      <c r="F1375" s="515" t="s">
        <v>3069</v>
      </c>
      <c r="G1375" s="52">
        <v>291070.91882184002</v>
      </c>
      <c r="H1375" s="56">
        <v>7.2842446902127031E-2</v>
      </c>
      <c r="I1375" s="224">
        <v>1548.125</v>
      </c>
    </row>
    <row r="1376" spans="1:9" x14ac:dyDescent="0.25">
      <c r="A1376" s="515">
        <v>60707</v>
      </c>
      <c r="B1376" s="515" t="s">
        <v>394</v>
      </c>
      <c r="C1376" s="52">
        <v>292969.61831034202</v>
      </c>
      <c r="D1376" s="56">
        <v>9.7614402379552836E-3</v>
      </c>
      <c r="E1376" s="224">
        <v>1773.6666666666599</v>
      </c>
      <c r="F1376" s="515" t="s">
        <v>3070</v>
      </c>
      <c r="G1376" s="52">
        <v>429042.22402175702</v>
      </c>
      <c r="H1376" s="56">
        <v>1.5516892419360908E-2</v>
      </c>
      <c r="I1376" s="224">
        <v>2177.2222222222199</v>
      </c>
    </row>
    <row r="1377" spans="1:9" x14ac:dyDescent="0.25">
      <c r="A1377" s="515">
        <v>99205</v>
      </c>
      <c r="B1377" s="515" t="s">
        <v>820</v>
      </c>
      <c r="C1377" s="52">
        <v>309078.67214430199</v>
      </c>
      <c r="D1377" s="56">
        <v>5.5808532766208875E-2</v>
      </c>
      <c r="E1377" s="224">
        <v>1549.88095238095</v>
      </c>
      <c r="F1377" s="515" t="s">
        <v>3071</v>
      </c>
      <c r="G1377" s="52">
        <v>315529.47283400601</v>
      </c>
      <c r="H1377" s="56">
        <v>7.3469216061767706E-2</v>
      </c>
      <c r="I1377" s="224">
        <v>1373.1018518518499</v>
      </c>
    </row>
    <row r="1378" spans="1:9" x14ac:dyDescent="0.25">
      <c r="A1378" s="515">
        <v>85286</v>
      </c>
      <c r="B1378" s="515" t="s">
        <v>563</v>
      </c>
      <c r="C1378" s="52">
        <v>584429.67052359204</v>
      </c>
      <c r="D1378" s="56">
        <v>3.6698007032581068E-2</v>
      </c>
      <c r="E1378" s="224">
        <v>2144.9028083028002</v>
      </c>
      <c r="F1378" s="515" t="s">
        <v>3072</v>
      </c>
      <c r="G1378" s="52">
        <v>271063.04737348901</v>
      </c>
      <c r="H1378" s="56">
        <v>0.1188275664518082</v>
      </c>
      <c r="I1378" s="224">
        <v>1985.2673160173099</v>
      </c>
    </row>
    <row r="1379" spans="1:9" x14ac:dyDescent="0.25">
      <c r="A1379" s="515">
        <v>88101</v>
      </c>
      <c r="B1379" s="515" t="s">
        <v>1217</v>
      </c>
      <c r="C1379" s="52">
        <v>141908.11638560801</v>
      </c>
      <c r="D1379" s="56">
        <v>8.0660908322839259E-2</v>
      </c>
      <c r="E1379" s="224">
        <v>1136.6666666666599</v>
      </c>
      <c r="F1379" s="515" t="s">
        <v>3073</v>
      </c>
      <c r="G1379" s="52">
        <v>674578.247518435</v>
      </c>
      <c r="H1379" s="56">
        <v>5.2527728776951908E-2</v>
      </c>
      <c r="I1379" s="224" t="s">
        <v>2</v>
      </c>
    </row>
    <row r="1380" spans="1:9" x14ac:dyDescent="0.25">
      <c r="A1380" s="515">
        <v>77090</v>
      </c>
      <c r="B1380" s="515" t="s">
        <v>314</v>
      </c>
      <c r="C1380" s="52">
        <v>250285.70756794399</v>
      </c>
      <c r="D1380" s="56">
        <v>9.3163110280464145E-2</v>
      </c>
      <c r="E1380" s="224">
        <v>1240.17724867724</v>
      </c>
      <c r="F1380" s="515" t="s">
        <v>3074</v>
      </c>
      <c r="G1380" s="52">
        <v>357639.03645958501</v>
      </c>
      <c r="H1380" s="56">
        <v>6.9084835716829995E-2</v>
      </c>
      <c r="I1380" s="224">
        <v>1777</v>
      </c>
    </row>
    <row r="1381" spans="1:9" x14ac:dyDescent="0.25">
      <c r="A1381" s="515">
        <v>95678</v>
      </c>
      <c r="B1381" s="515" t="s">
        <v>355</v>
      </c>
      <c r="C1381" s="52">
        <v>506689.99897252599</v>
      </c>
      <c r="D1381" s="56">
        <v>5.9220513574096204E-3</v>
      </c>
      <c r="E1381" s="224">
        <v>2274.7950708060998</v>
      </c>
      <c r="F1381" s="515" t="s">
        <v>636</v>
      </c>
      <c r="G1381" s="52">
        <v>174954.46310709999</v>
      </c>
      <c r="H1381" s="56">
        <v>6.4777799755692381E-2</v>
      </c>
      <c r="I1381" s="224" t="s">
        <v>2</v>
      </c>
    </row>
    <row r="1382" spans="1:9" x14ac:dyDescent="0.25">
      <c r="A1382" s="515">
        <v>90503</v>
      </c>
      <c r="B1382" s="515" t="s">
        <v>375</v>
      </c>
      <c r="C1382" s="52">
        <v>1140742.9800374201</v>
      </c>
      <c r="D1382" s="56">
        <v>9.5674050767564578E-2</v>
      </c>
      <c r="E1382" s="224">
        <v>2970.5714285714198</v>
      </c>
      <c r="F1382" s="515" t="s">
        <v>3075</v>
      </c>
      <c r="G1382" s="52">
        <v>468085.72940110898</v>
      </c>
      <c r="H1382" s="56">
        <v>8.3355330509831932E-2</v>
      </c>
      <c r="I1382" s="224" t="s">
        <v>2</v>
      </c>
    </row>
    <row r="1383" spans="1:9" x14ac:dyDescent="0.25">
      <c r="A1383" s="515">
        <v>15642</v>
      </c>
      <c r="B1383" s="515" t="s">
        <v>297</v>
      </c>
      <c r="C1383" s="52">
        <v>220774.55019433299</v>
      </c>
      <c r="D1383" s="56">
        <v>2.5142465356955541E-2</v>
      </c>
      <c r="E1383" s="224">
        <v>1128.3333333333301</v>
      </c>
      <c r="F1383" s="515" t="s">
        <v>3076</v>
      </c>
      <c r="G1383" s="52">
        <v>313739.71605720097</v>
      </c>
      <c r="H1383" s="56">
        <v>6.9088751365768405E-2</v>
      </c>
      <c r="I1383" s="224">
        <v>1450</v>
      </c>
    </row>
    <row r="1384" spans="1:9" x14ac:dyDescent="0.25">
      <c r="A1384" s="515">
        <v>61265</v>
      </c>
      <c r="B1384" s="515" t="s">
        <v>439</v>
      </c>
      <c r="C1384" s="52">
        <v>129186.578973835</v>
      </c>
      <c r="D1384" s="56">
        <v>3.1315577954920265E-2</v>
      </c>
      <c r="E1384" s="224">
        <v>1007.47222222222</v>
      </c>
      <c r="F1384" s="515" t="s">
        <v>3077</v>
      </c>
      <c r="G1384" s="52">
        <v>322291.205349856</v>
      </c>
      <c r="H1384" s="56">
        <v>7.1281783350318872E-2</v>
      </c>
      <c r="I1384" s="224">
        <v>2099.9166666666601</v>
      </c>
    </row>
    <row r="1385" spans="1:9" x14ac:dyDescent="0.25">
      <c r="A1385" s="515">
        <v>32738</v>
      </c>
      <c r="B1385" s="515" t="s">
        <v>974</v>
      </c>
      <c r="C1385" s="52">
        <v>297484.525885251</v>
      </c>
      <c r="D1385" s="56">
        <v>9.9995972886402051E-2</v>
      </c>
      <c r="E1385" s="224">
        <v>1844.7222222222199</v>
      </c>
      <c r="F1385" s="515" t="s">
        <v>3078</v>
      </c>
      <c r="G1385" s="52">
        <v>328939.39845582499</v>
      </c>
      <c r="H1385" s="56">
        <v>7.7090666575850578E-2</v>
      </c>
      <c r="I1385" s="224">
        <v>1458.6111111111099</v>
      </c>
    </row>
    <row r="1386" spans="1:9" x14ac:dyDescent="0.25">
      <c r="A1386" s="515">
        <v>60659</v>
      </c>
      <c r="B1386" s="515" t="s">
        <v>394</v>
      </c>
      <c r="C1386" s="52">
        <v>274594.83631480002</v>
      </c>
      <c r="D1386" s="56">
        <v>-5.4642105840645022E-2</v>
      </c>
      <c r="E1386" s="224">
        <v>1363.3333333333301</v>
      </c>
      <c r="F1386" s="515" t="s">
        <v>3079</v>
      </c>
      <c r="G1386" s="52">
        <v>445395.39710193599</v>
      </c>
      <c r="H1386" s="56">
        <v>9.4885249090196147E-2</v>
      </c>
      <c r="I1386" s="224">
        <v>1891.6666666666599</v>
      </c>
    </row>
    <row r="1387" spans="1:9" x14ac:dyDescent="0.25">
      <c r="A1387" s="515">
        <v>47905</v>
      </c>
      <c r="B1387" s="515" t="s">
        <v>433</v>
      </c>
      <c r="C1387" s="52">
        <v>233290.91633207799</v>
      </c>
      <c r="D1387" s="56">
        <v>5.7506214122929215E-2</v>
      </c>
      <c r="E1387" s="224">
        <v>1019.08333333333</v>
      </c>
      <c r="F1387" s="515" t="s">
        <v>3080</v>
      </c>
      <c r="G1387" s="52">
        <v>366802.20262388402</v>
      </c>
      <c r="H1387" s="56">
        <v>9.4678515672794644E-2</v>
      </c>
      <c r="I1387" s="224">
        <v>2036.6111111111099</v>
      </c>
    </row>
    <row r="1388" spans="1:9" x14ac:dyDescent="0.25">
      <c r="A1388" s="515">
        <v>93454</v>
      </c>
      <c r="B1388" s="515" t="s">
        <v>847</v>
      </c>
      <c r="C1388" s="52">
        <v>518539.93134102598</v>
      </c>
      <c r="D1388" s="56">
        <v>5.337622074705238E-2</v>
      </c>
      <c r="E1388" s="224" t="s">
        <v>2</v>
      </c>
      <c r="F1388" s="515" t="s">
        <v>3081</v>
      </c>
      <c r="G1388" s="52">
        <v>385534.40702499897</v>
      </c>
      <c r="H1388" s="56">
        <v>9.189717504696962E-2</v>
      </c>
      <c r="I1388" s="224">
        <v>1504.1666666666599</v>
      </c>
    </row>
    <row r="1389" spans="1:9" x14ac:dyDescent="0.25">
      <c r="A1389" s="515">
        <v>7726</v>
      </c>
      <c r="B1389" s="515" t="s">
        <v>324</v>
      </c>
      <c r="C1389" s="52">
        <v>629739.33636364201</v>
      </c>
      <c r="D1389" s="56">
        <v>7.748608844552389E-2</v>
      </c>
      <c r="E1389" s="224" t="s">
        <v>2</v>
      </c>
      <c r="F1389" s="515" t="s">
        <v>1106</v>
      </c>
      <c r="G1389" s="52">
        <v>154509.889489578</v>
      </c>
      <c r="H1389" s="56">
        <v>8.5355586661545316E-2</v>
      </c>
      <c r="I1389" s="224" t="s">
        <v>2</v>
      </c>
    </row>
    <row r="1390" spans="1:9" x14ac:dyDescent="0.25">
      <c r="A1390" s="515">
        <v>17701</v>
      </c>
      <c r="B1390" s="515" t="s">
        <v>296</v>
      </c>
      <c r="C1390" s="52">
        <v>166854.578572781</v>
      </c>
      <c r="D1390" s="56">
        <v>7.6302595637321821E-2</v>
      </c>
      <c r="E1390" s="224" t="s">
        <v>2</v>
      </c>
      <c r="F1390" s="515" t="s">
        <v>3082</v>
      </c>
      <c r="G1390" s="52">
        <v>485009.63653428998</v>
      </c>
      <c r="H1390" s="56">
        <v>1.2834342797697278E-2</v>
      </c>
      <c r="I1390" s="224">
        <v>2160.4166666666601</v>
      </c>
    </row>
    <row r="1391" spans="1:9" x14ac:dyDescent="0.25">
      <c r="A1391" s="515">
        <v>94901</v>
      </c>
      <c r="B1391" s="515" t="s">
        <v>593</v>
      </c>
      <c r="C1391" s="52">
        <v>1338508.31542984</v>
      </c>
      <c r="D1391" s="56">
        <v>5.7278907971394892E-2</v>
      </c>
      <c r="E1391" s="224">
        <v>2800.2619047619</v>
      </c>
      <c r="F1391" s="515" t="s">
        <v>3083</v>
      </c>
      <c r="G1391" s="52">
        <v>421051.36340724799</v>
      </c>
      <c r="H1391" s="56">
        <v>6.6458040809753455E-2</v>
      </c>
      <c r="I1391" s="224">
        <v>2347.7037037036998</v>
      </c>
    </row>
    <row r="1392" spans="1:9" x14ac:dyDescent="0.25">
      <c r="A1392" s="515">
        <v>89436</v>
      </c>
      <c r="B1392" s="515" t="s">
        <v>581</v>
      </c>
      <c r="C1392" s="52">
        <v>527524.437163344</v>
      </c>
      <c r="D1392" s="56">
        <v>7.1465204940624055E-3</v>
      </c>
      <c r="E1392" s="224">
        <v>2043.48181818181</v>
      </c>
      <c r="F1392" s="515" t="s">
        <v>3084</v>
      </c>
      <c r="G1392" s="52">
        <v>398783.43268917297</v>
      </c>
      <c r="H1392" s="56">
        <v>0.11662888788173296</v>
      </c>
      <c r="I1392" s="224">
        <v>2164.2680976430902</v>
      </c>
    </row>
    <row r="1393" spans="1:9" x14ac:dyDescent="0.25">
      <c r="A1393" s="515">
        <v>19144</v>
      </c>
      <c r="B1393" s="515" t="s">
        <v>294</v>
      </c>
      <c r="C1393" s="52">
        <v>178835.45172550599</v>
      </c>
      <c r="D1393" s="56">
        <v>7.5775389434535823E-2</v>
      </c>
      <c r="E1393" s="224">
        <v>1398.98508771929</v>
      </c>
      <c r="F1393" s="515" t="s">
        <v>3085</v>
      </c>
      <c r="G1393" s="52">
        <v>277789.30486545799</v>
      </c>
      <c r="H1393" s="56">
        <v>9.4414978429186572E-2</v>
      </c>
      <c r="I1393" s="224">
        <v>1569.80555555555</v>
      </c>
    </row>
    <row r="1394" spans="1:9" x14ac:dyDescent="0.25">
      <c r="A1394" s="515">
        <v>52001</v>
      </c>
      <c r="B1394" s="515" t="s">
        <v>478</v>
      </c>
      <c r="C1394" s="52">
        <v>179748.344379068</v>
      </c>
      <c r="D1394" s="56">
        <v>6.3712398597898637E-2</v>
      </c>
      <c r="E1394" s="224">
        <v>938.10714285714198</v>
      </c>
      <c r="F1394" s="515" t="s">
        <v>3086</v>
      </c>
      <c r="G1394" s="52">
        <v>314424.106133889</v>
      </c>
      <c r="H1394" s="56">
        <v>8.7032389707197025E-2</v>
      </c>
      <c r="I1394" s="224">
        <v>1990.2195767195699</v>
      </c>
    </row>
    <row r="1395" spans="1:9" x14ac:dyDescent="0.25">
      <c r="A1395" s="515">
        <v>87144</v>
      </c>
      <c r="B1395" s="515" t="s">
        <v>406</v>
      </c>
      <c r="C1395" s="52">
        <v>313288.71356633899</v>
      </c>
      <c r="D1395" s="56">
        <v>9.2793807227670208E-2</v>
      </c>
      <c r="E1395" s="224">
        <v>1794.5833333333301</v>
      </c>
      <c r="F1395" s="515" t="s">
        <v>3087</v>
      </c>
      <c r="G1395" s="52">
        <v>324874.28429290501</v>
      </c>
      <c r="H1395" s="56">
        <v>0.12670291881958445</v>
      </c>
      <c r="I1395" s="224">
        <v>2130.86441798941</v>
      </c>
    </row>
    <row r="1396" spans="1:9" x14ac:dyDescent="0.25">
      <c r="A1396" s="515">
        <v>77057</v>
      </c>
      <c r="B1396" s="515" t="s">
        <v>314</v>
      </c>
      <c r="C1396" s="52">
        <v>273387.08852984803</v>
      </c>
      <c r="D1396" s="56">
        <v>2.3540956765713137E-2</v>
      </c>
      <c r="E1396" s="224">
        <v>1526.23751076658</v>
      </c>
      <c r="F1396" s="515" t="s">
        <v>3088</v>
      </c>
      <c r="G1396" s="52">
        <v>617035.10669343697</v>
      </c>
      <c r="H1396" s="56">
        <v>5.4421498440546189E-2</v>
      </c>
      <c r="I1396" s="224">
        <v>3779.4444444444398</v>
      </c>
    </row>
    <row r="1397" spans="1:9" x14ac:dyDescent="0.25">
      <c r="A1397" s="515">
        <v>63116</v>
      </c>
      <c r="B1397" s="515" t="s">
        <v>498</v>
      </c>
      <c r="C1397" s="52">
        <v>156655.368398969</v>
      </c>
      <c r="D1397" s="56">
        <v>4.534395349020845E-2</v>
      </c>
      <c r="E1397" s="224">
        <v>979.77513227513202</v>
      </c>
      <c r="F1397" s="515" t="s">
        <v>3089</v>
      </c>
      <c r="G1397" s="52">
        <v>245786.165473562</v>
      </c>
      <c r="H1397" s="56">
        <v>3.3958285096962262E-2</v>
      </c>
      <c r="I1397" s="224">
        <v>1450.9722222222199</v>
      </c>
    </row>
    <row r="1398" spans="1:9" x14ac:dyDescent="0.25">
      <c r="A1398" s="515">
        <v>43224</v>
      </c>
      <c r="B1398" s="515" t="s">
        <v>345</v>
      </c>
      <c r="C1398" s="52">
        <v>170097.895575042</v>
      </c>
      <c r="D1398" s="56">
        <v>0.17513591797839695</v>
      </c>
      <c r="E1398" s="224">
        <v>1101.88412698412</v>
      </c>
      <c r="F1398" s="515" t="s">
        <v>3090</v>
      </c>
      <c r="G1398" s="52">
        <v>300384.84256393398</v>
      </c>
      <c r="H1398" s="56">
        <v>4.2645222021671494E-2</v>
      </c>
      <c r="I1398" s="224">
        <v>1553.88888888888</v>
      </c>
    </row>
    <row r="1399" spans="1:9" x14ac:dyDescent="0.25">
      <c r="A1399" s="515">
        <v>94566</v>
      </c>
      <c r="B1399" s="515" t="s">
        <v>593</v>
      </c>
      <c r="C1399" s="52">
        <v>1591921.2169185099</v>
      </c>
      <c r="D1399" s="56">
        <v>2.0220564041708287E-3</v>
      </c>
      <c r="E1399" s="224">
        <v>2964.8846153846098</v>
      </c>
      <c r="F1399" s="515" t="s">
        <v>3091</v>
      </c>
      <c r="G1399" s="52">
        <v>241603.553702398</v>
      </c>
      <c r="H1399" s="56">
        <v>6.7420728342516445E-2</v>
      </c>
      <c r="I1399" s="224">
        <v>808.77777777777703</v>
      </c>
    </row>
    <row r="1400" spans="1:9" x14ac:dyDescent="0.25">
      <c r="A1400" s="515">
        <v>90241</v>
      </c>
      <c r="B1400" s="515" t="s">
        <v>375</v>
      </c>
      <c r="C1400" s="52">
        <v>793053.31101299101</v>
      </c>
      <c r="D1400" s="56">
        <v>4.5564996186277719E-2</v>
      </c>
      <c r="E1400" s="224">
        <v>1899.1666666666599</v>
      </c>
      <c r="F1400" s="515" t="s">
        <v>1010</v>
      </c>
      <c r="G1400" s="52">
        <v>176571.23308376601</v>
      </c>
      <c r="H1400" s="56">
        <v>3.7280428279679062E-2</v>
      </c>
      <c r="I1400" s="224" t="s">
        <v>2</v>
      </c>
    </row>
    <row r="1401" spans="1:9" x14ac:dyDescent="0.25">
      <c r="A1401" s="515">
        <v>94521</v>
      </c>
      <c r="B1401" s="515" t="s">
        <v>593</v>
      </c>
      <c r="C1401" s="52">
        <v>786068.45758010598</v>
      </c>
      <c r="D1401" s="56">
        <v>-1.279062152879424E-2</v>
      </c>
      <c r="E1401" s="224">
        <v>2686.7698412698401</v>
      </c>
      <c r="F1401" s="515" t="s">
        <v>3092</v>
      </c>
      <c r="G1401" s="52">
        <v>453803.838906758</v>
      </c>
      <c r="H1401" s="56">
        <v>4.1358074976328256E-2</v>
      </c>
      <c r="I1401" s="224">
        <v>1943.05555555555</v>
      </c>
    </row>
    <row r="1402" spans="1:9" x14ac:dyDescent="0.25">
      <c r="A1402" s="515">
        <v>48307</v>
      </c>
      <c r="B1402" s="515" t="s">
        <v>685</v>
      </c>
      <c r="C1402" s="52">
        <v>355420.429777565</v>
      </c>
      <c r="D1402" s="56">
        <v>4.0466232393325433E-2</v>
      </c>
      <c r="E1402" s="224">
        <v>1699.2962962962899</v>
      </c>
      <c r="F1402" s="515" t="s">
        <v>3093</v>
      </c>
      <c r="G1402" s="52">
        <v>340601.46459458198</v>
      </c>
      <c r="H1402" s="56">
        <v>9.9236553769974284E-2</v>
      </c>
      <c r="I1402" s="224">
        <v>2210</v>
      </c>
    </row>
    <row r="1403" spans="1:9" x14ac:dyDescent="0.25">
      <c r="A1403" s="515">
        <v>48310</v>
      </c>
      <c r="B1403" s="515" t="s">
        <v>685</v>
      </c>
      <c r="C1403" s="52">
        <v>277389.35925100098</v>
      </c>
      <c r="D1403" s="56">
        <v>1.8193331801127078E-2</v>
      </c>
      <c r="E1403" s="224">
        <v>1806.6666666666599</v>
      </c>
      <c r="F1403" s="515" t="s">
        <v>3094</v>
      </c>
      <c r="G1403" s="52">
        <v>291041.02193367702</v>
      </c>
      <c r="H1403" s="56">
        <v>0.10981492386878049</v>
      </c>
      <c r="I1403" s="224">
        <v>2034.1395502645501</v>
      </c>
    </row>
    <row r="1404" spans="1:9" x14ac:dyDescent="0.25">
      <c r="A1404" s="515">
        <v>8021</v>
      </c>
      <c r="B1404" s="515" t="s">
        <v>294</v>
      </c>
      <c r="C1404" s="52">
        <v>219527.54595510301</v>
      </c>
      <c r="D1404" s="56">
        <v>0.10978841521057772</v>
      </c>
      <c r="E1404" s="224">
        <v>1831.2222222222199</v>
      </c>
      <c r="F1404" s="515" t="s">
        <v>3095</v>
      </c>
      <c r="G1404" s="52">
        <v>857977.90119049302</v>
      </c>
      <c r="H1404" s="56">
        <v>6.1057071195211123E-2</v>
      </c>
      <c r="I1404" s="224">
        <v>2437.2222222222199</v>
      </c>
    </row>
    <row r="1405" spans="1:9" x14ac:dyDescent="0.25">
      <c r="A1405" s="515">
        <v>10801</v>
      </c>
      <c r="B1405" s="515" t="s">
        <v>324</v>
      </c>
      <c r="C1405" s="52">
        <v>638901.77115253999</v>
      </c>
      <c r="D1405" s="56">
        <v>2.5081518206433635E-2</v>
      </c>
      <c r="E1405" s="224">
        <v>2566.1419580419501</v>
      </c>
      <c r="F1405" s="515" t="s">
        <v>3096</v>
      </c>
      <c r="G1405" s="52">
        <v>572028.70882344304</v>
      </c>
      <c r="H1405" s="56">
        <v>9.456370630575707E-2</v>
      </c>
      <c r="I1405" s="224">
        <v>2205.5555555555502</v>
      </c>
    </row>
    <row r="1406" spans="1:9" x14ac:dyDescent="0.25">
      <c r="A1406" s="515">
        <v>97219</v>
      </c>
      <c r="B1406" s="515" t="s">
        <v>659</v>
      </c>
      <c r="C1406" s="52">
        <v>603121.13514155801</v>
      </c>
      <c r="D1406" s="56">
        <v>2.6093460055085682E-3</v>
      </c>
      <c r="E1406" s="224">
        <v>2067.4722222222199</v>
      </c>
      <c r="F1406" s="515" t="s">
        <v>3097</v>
      </c>
      <c r="G1406" s="52">
        <v>181911.99282981799</v>
      </c>
      <c r="H1406" s="56">
        <v>0.18758806719337087</v>
      </c>
      <c r="I1406" s="224" t="s">
        <v>2</v>
      </c>
    </row>
    <row r="1407" spans="1:9" x14ac:dyDescent="0.25">
      <c r="A1407" s="515">
        <v>60107</v>
      </c>
      <c r="B1407" s="515" t="s">
        <v>394</v>
      </c>
      <c r="C1407" s="52">
        <v>259184.16759047599</v>
      </c>
      <c r="D1407" s="56">
        <v>4.685234249601989E-2</v>
      </c>
      <c r="E1407" s="224" t="s">
        <v>2</v>
      </c>
      <c r="F1407" s="515" t="s">
        <v>3098</v>
      </c>
      <c r="G1407" s="52">
        <v>871248.95579798904</v>
      </c>
      <c r="H1407" s="56">
        <v>7.0491525059030854E-3</v>
      </c>
      <c r="I1407" s="224">
        <v>2607.3452380952299</v>
      </c>
    </row>
    <row r="1408" spans="1:9" x14ac:dyDescent="0.25">
      <c r="A1408" s="515">
        <v>55125</v>
      </c>
      <c r="B1408" s="515" t="s">
        <v>532</v>
      </c>
      <c r="C1408" s="52">
        <v>386447.02704800299</v>
      </c>
      <c r="D1408" s="56">
        <v>2.4432589077367717E-2</v>
      </c>
      <c r="E1408" s="224">
        <v>1683.9083333333299</v>
      </c>
      <c r="F1408" s="515" t="s">
        <v>3099</v>
      </c>
      <c r="G1408" s="52">
        <v>332124.593875536</v>
      </c>
      <c r="H1408" s="56">
        <v>0.12138547320566709</v>
      </c>
      <c r="I1408" s="224">
        <v>2028.2944444444399</v>
      </c>
    </row>
    <row r="1409" spans="1:9" x14ac:dyDescent="0.25">
      <c r="A1409" s="515">
        <v>49442</v>
      </c>
      <c r="B1409" s="515" t="s">
        <v>943</v>
      </c>
      <c r="C1409" s="52">
        <v>143989.99128122599</v>
      </c>
      <c r="D1409" s="56">
        <v>0.12090446990480784</v>
      </c>
      <c r="E1409" s="224">
        <v>1205.44444444444</v>
      </c>
      <c r="F1409" s="515" t="s">
        <v>538</v>
      </c>
      <c r="G1409" s="52">
        <v>114857.754454125</v>
      </c>
      <c r="H1409" s="56">
        <v>0.10904263506629919</v>
      </c>
      <c r="I1409" s="224">
        <v>762.5</v>
      </c>
    </row>
    <row r="1410" spans="1:9" x14ac:dyDescent="0.25">
      <c r="A1410" s="515">
        <v>30909</v>
      </c>
      <c r="B1410" s="515" t="s">
        <v>888</v>
      </c>
      <c r="C1410" s="52">
        <v>244370.61231562999</v>
      </c>
      <c r="D1410" s="56">
        <v>0.10856309811916738</v>
      </c>
      <c r="E1410" s="224">
        <v>1329.3964646464599</v>
      </c>
      <c r="F1410" s="515" t="s">
        <v>3100</v>
      </c>
      <c r="G1410" s="52">
        <v>286727.51975653699</v>
      </c>
      <c r="H1410" s="56">
        <v>4.5329734251040803E-2</v>
      </c>
      <c r="I1410" s="224">
        <v>1591.0673076922999</v>
      </c>
    </row>
    <row r="1411" spans="1:9" x14ac:dyDescent="0.25">
      <c r="A1411" s="515">
        <v>44691</v>
      </c>
      <c r="B1411" s="515" t="s">
        <v>1136</v>
      </c>
      <c r="C1411" s="52">
        <v>358278.08335416601</v>
      </c>
      <c r="D1411" s="56">
        <v>0.29831199002673664</v>
      </c>
      <c r="E1411" s="224">
        <v>1096.1666666666599</v>
      </c>
      <c r="F1411" s="515" t="s">
        <v>3101</v>
      </c>
      <c r="G1411" s="52">
        <v>361558.19641060301</v>
      </c>
      <c r="H1411" s="56">
        <v>0.10028868181067727</v>
      </c>
      <c r="I1411" s="224">
        <v>2071.4132850241499</v>
      </c>
    </row>
    <row r="1412" spans="1:9" x14ac:dyDescent="0.25">
      <c r="A1412" s="515">
        <v>30152</v>
      </c>
      <c r="B1412" s="515" t="s">
        <v>957</v>
      </c>
      <c r="C1412" s="52">
        <v>435068.50779707101</v>
      </c>
      <c r="D1412" s="56">
        <v>7.8828494653240488E-2</v>
      </c>
      <c r="E1412" s="224">
        <v>2055.87037037037</v>
      </c>
      <c r="F1412" s="515" t="s">
        <v>3102</v>
      </c>
      <c r="G1412" s="52">
        <v>521620.857581947</v>
      </c>
      <c r="H1412" s="56">
        <v>6.5532640757257607E-2</v>
      </c>
      <c r="I1412" s="224">
        <v>2419.6693121693102</v>
      </c>
    </row>
    <row r="1413" spans="1:9" x14ac:dyDescent="0.25">
      <c r="A1413" s="515">
        <v>33179</v>
      </c>
      <c r="B1413" s="515" t="s">
        <v>831</v>
      </c>
      <c r="C1413" s="52">
        <v>276634.47755391401</v>
      </c>
      <c r="D1413" s="56">
        <v>0.22294692941144539</v>
      </c>
      <c r="E1413" s="224">
        <v>2309.8068181818098</v>
      </c>
      <c r="F1413" s="515" t="s">
        <v>3103</v>
      </c>
      <c r="G1413" s="52">
        <v>286817.45489243802</v>
      </c>
      <c r="H1413" s="56">
        <v>0.15066042177873504</v>
      </c>
      <c r="I1413" s="224">
        <v>2219.6999999999998</v>
      </c>
    </row>
    <row r="1414" spans="1:9" x14ac:dyDescent="0.25">
      <c r="A1414" s="515">
        <v>93010</v>
      </c>
      <c r="B1414" s="515" t="s">
        <v>1021</v>
      </c>
      <c r="C1414" s="52">
        <v>797497.36448442901</v>
      </c>
      <c r="D1414" s="56">
        <v>1.9480538095332459E-2</v>
      </c>
      <c r="E1414" s="224">
        <v>2885.8478835978799</v>
      </c>
      <c r="F1414" s="515" t="s">
        <v>3104</v>
      </c>
      <c r="G1414" s="52">
        <v>246599.865413413</v>
      </c>
      <c r="H1414" s="56">
        <v>0.11422666088725138</v>
      </c>
      <c r="I1414" s="224" t="s">
        <v>2</v>
      </c>
    </row>
    <row r="1415" spans="1:9" x14ac:dyDescent="0.25">
      <c r="A1415" s="515">
        <v>74055</v>
      </c>
      <c r="B1415" s="515" t="s">
        <v>348</v>
      </c>
      <c r="C1415" s="52">
        <v>278128.20854535798</v>
      </c>
      <c r="D1415" s="56">
        <v>9.637192877354249E-2</v>
      </c>
      <c r="E1415" s="224">
        <v>1476.25</v>
      </c>
      <c r="F1415" s="515" t="s">
        <v>3105</v>
      </c>
      <c r="G1415" s="52">
        <v>407861.24578642502</v>
      </c>
      <c r="H1415" s="56">
        <v>2.9770237516353489E-2</v>
      </c>
      <c r="I1415" s="224">
        <v>1789.5833333333301</v>
      </c>
    </row>
    <row r="1416" spans="1:9" x14ac:dyDescent="0.25">
      <c r="A1416" s="515">
        <v>20164</v>
      </c>
      <c r="B1416" s="515" t="s">
        <v>321</v>
      </c>
      <c r="C1416" s="52">
        <v>499068.26093591499</v>
      </c>
      <c r="D1416" s="56">
        <v>4.3068064387774899E-2</v>
      </c>
      <c r="E1416" s="224">
        <v>2403.0555555555502</v>
      </c>
      <c r="F1416" s="515" t="s">
        <v>3106</v>
      </c>
      <c r="G1416" s="52">
        <v>273352.14197696903</v>
      </c>
      <c r="H1416" s="56">
        <v>0.13013582298039192</v>
      </c>
      <c r="I1416" s="224">
        <v>1304.3333333333301</v>
      </c>
    </row>
    <row r="1417" spans="1:9" x14ac:dyDescent="0.25">
      <c r="A1417" s="515">
        <v>21044</v>
      </c>
      <c r="B1417" s="515" t="s">
        <v>582</v>
      </c>
      <c r="C1417" s="52">
        <v>475373.821521796</v>
      </c>
      <c r="D1417" s="56">
        <v>3.9751759351326188E-2</v>
      </c>
      <c r="E1417" s="224">
        <v>2119.37407407407</v>
      </c>
      <c r="F1417" s="515" t="s">
        <v>3107</v>
      </c>
      <c r="G1417" s="52">
        <v>249477.79613476101</v>
      </c>
      <c r="H1417" s="56">
        <v>4.3359354823206714E-2</v>
      </c>
      <c r="I1417" s="224">
        <v>1390.5277777777701</v>
      </c>
    </row>
    <row r="1418" spans="1:9" x14ac:dyDescent="0.25">
      <c r="A1418" s="515">
        <v>7304</v>
      </c>
      <c r="B1418" s="515" t="s">
        <v>324</v>
      </c>
      <c r="C1418" s="52">
        <v>442550.73764447501</v>
      </c>
      <c r="D1418" s="56">
        <v>8.2911176249013067E-3</v>
      </c>
      <c r="E1418" s="224">
        <v>2178.2365888023701</v>
      </c>
      <c r="F1418" s="515" t="s">
        <v>3108</v>
      </c>
      <c r="G1418" s="52">
        <v>259220.96421519999</v>
      </c>
      <c r="H1418" s="56">
        <v>4.613969467157971E-2</v>
      </c>
      <c r="I1418" s="224">
        <v>1978.75</v>
      </c>
    </row>
    <row r="1419" spans="1:9" x14ac:dyDescent="0.25">
      <c r="A1419" s="515">
        <v>30458</v>
      </c>
      <c r="B1419" s="515" t="s">
        <v>1108</v>
      </c>
      <c r="C1419" s="52">
        <v>202957.150600589</v>
      </c>
      <c r="D1419" s="56">
        <v>0.15638521495658259</v>
      </c>
      <c r="E1419" s="224">
        <v>1022.7619047619</v>
      </c>
      <c r="F1419" s="515" t="s">
        <v>3109</v>
      </c>
      <c r="G1419" s="52">
        <v>806113.04954502895</v>
      </c>
      <c r="H1419" s="56">
        <v>8.9994884510885026E-2</v>
      </c>
      <c r="I1419" s="224">
        <v>3475</v>
      </c>
    </row>
    <row r="1420" spans="1:9" x14ac:dyDescent="0.25">
      <c r="A1420" s="515">
        <v>91748</v>
      </c>
      <c r="B1420" s="515" t="s">
        <v>375</v>
      </c>
      <c r="C1420" s="52">
        <v>820698.96771266602</v>
      </c>
      <c r="D1420" s="56">
        <v>2.9000976914710371E-2</v>
      </c>
      <c r="E1420" s="224">
        <v>2387.5</v>
      </c>
      <c r="F1420" s="515" t="s">
        <v>3110</v>
      </c>
      <c r="G1420" s="52">
        <v>155843.07255036701</v>
      </c>
      <c r="H1420" s="56">
        <v>0.15465520088701493</v>
      </c>
      <c r="I1420" s="224" t="s">
        <v>2</v>
      </c>
    </row>
    <row r="1421" spans="1:9" x14ac:dyDescent="0.25">
      <c r="A1421" s="515">
        <v>85212</v>
      </c>
      <c r="B1421" s="515" t="s">
        <v>563</v>
      </c>
      <c r="C1421" s="52">
        <v>543961.48340054695</v>
      </c>
      <c r="D1421" s="56">
        <v>2.9621684935813845E-2</v>
      </c>
      <c r="E1421" s="224">
        <v>2086.0476190476102</v>
      </c>
      <c r="F1421" s="515" t="s">
        <v>3111</v>
      </c>
      <c r="G1421" s="52">
        <v>109985.06312450299</v>
      </c>
      <c r="H1421" s="56">
        <v>0.14372987811083951</v>
      </c>
      <c r="I1421" s="224">
        <v>1238.0238095238001</v>
      </c>
    </row>
    <row r="1422" spans="1:9" x14ac:dyDescent="0.25">
      <c r="A1422" s="515">
        <v>10019</v>
      </c>
      <c r="B1422" s="515" t="s">
        <v>324</v>
      </c>
      <c r="C1422" s="52">
        <v>1145413.12814341</v>
      </c>
      <c r="D1422" s="56">
        <v>7.5341620673349461E-4</v>
      </c>
      <c r="E1422" s="224">
        <v>4096.19441887226</v>
      </c>
      <c r="F1422" s="515" t="s">
        <v>3112</v>
      </c>
      <c r="G1422" s="52">
        <v>478031.11247079697</v>
      </c>
      <c r="H1422" s="56">
        <v>0.14567776675888117</v>
      </c>
      <c r="I1422" s="224">
        <v>1797.73522167487</v>
      </c>
    </row>
    <row r="1423" spans="1:9" x14ac:dyDescent="0.25">
      <c r="A1423" s="515">
        <v>31061</v>
      </c>
      <c r="B1423" s="515" t="s">
        <v>1195</v>
      </c>
      <c r="C1423" s="52">
        <v>170703.05800570501</v>
      </c>
      <c r="D1423" s="56">
        <v>6.5240353713781798E-2</v>
      </c>
      <c r="E1423" s="224">
        <v>1185</v>
      </c>
      <c r="F1423" s="515" t="s">
        <v>3113</v>
      </c>
      <c r="G1423" s="52">
        <v>303250.90454905201</v>
      </c>
      <c r="H1423" s="56">
        <v>2.2603689984647193E-2</v>
      </c>
      <c r="I1423" s="224">
        <v>1608</v>
      </c>
    </row>
    <row r="1424" spans="1:9" x14ac:dyDescent="0.25">
      <c r="A1424" s="515">
        <v>75165</v>
      </c>
      <c r="B1424" s="515" t="s">
        <v>458</v>
      </c>
      <c r="C1424" s="52">
        <v>326987.22604251601</v>
      </c>
      <c r="D1424" s="56">
        <v>7.8744422599529851E-2</v>
      </c>
      <c r="E1424" s="224">
        <v>2156.6741854636498</v>
      </c>
      <c r="F1424" s="515" t="s">
        <v>3114</v>
      </c>
      <c r="G1424" s="52">
        <v>292994.54578390298</v>
      </c>
      <c r="H1424" s="56">
        <v>8.2221594748043095E-2</v>
      </c>
      <c r="I1424" s="224" t="s">
        <v>2</v>
      </c>
    </row>
    <row r="1425" spans="1:9" x14ac:dyDescent="0.25">
      <c r="A1425" s="515">
        <v>28306</v>
      </c>
      <c r="B1425" s="515" t="s">
        <v>1149</v>
      </c>
      <c r="C1425" s="52">
        <v>212583.98985995201</v>
      </c>
      <c r="D1425" s="56">
        <v>0.15762627368172111</v>
      </c>
      <c r="E1425" s="224">
        <v>1522.6666666666599</v>
      </c>
      <c r="F1425" s="515" t="s">
        <v>3115</v>
      </c>
      <c r="G1425" s="52">
        <v>179218.147043145</v>
      </c>
      <c r="H1425" s="56">
        <v>5.7566797705577599E-2</v>
      </c>
      <c r="I1425" s="224">
        <v>1568.9166666666599</v>
      </c>
    </row>
    <row r="1426" spans="1:9" x14ac:dyDescent="0.25">
      <c r="A1426" s="515">
        <v>47909</v>
      </c>
      <c r="B1426" s="515" t="s">
        <v>433</v>
      </c>
      <c r="C1426" s="52">
        <v>222785.641083564</v>
      </c>
      <c r="D1426" s="56">
        <v>4.0719101780893052E-2</v>
      </c>
      <c r="E1426" s="224">
        <v>1424.1111111111099</v>
      </c>
      <c r="F1426" s="515" t="s">
        <v>3116</v>
      </c>
      <c r="G1426" s="52">
        <v>592845.16378760606</v>
      </c>
      <c r="H1426" s="56">
        <v>1.8735105830792527E-2</v>
      </c>
      <c r="I1426" s="224">
        <v>1967.6666666666599</v>
      </c>
    </row>
    <row r="1427" spans="1:9" x14ac:dyDescent="0.25">
      <c r="A1427" s="515">
        <v>95691</v>
      </c>
      <c r="B1427" s="515" t="s">
        <v>355</v>
      </c>
      <c r="C1427" s="52">
        <v>531434.93377163599</v>
      </c>
      <c r="D1427" s="56">
        <v>3.3403725657728867E-2</v>
      </c>
      <c r="E1427" s="224">
        <v>2461.3333333333298</v>
      </c>
      <c r="F1427" s="515" t="s">
        <v>589</v>
      </c>
      <c r="G1427" s="52">
        <v>286679.47401118203</v>
      </c>
      <c r="H1427" s="56">
        <v>6.2606827355673272E-2</v>
      </c>
      <c r="I1427" s="224">
        <v>1121.25</v>
      </c>
    </row>
    <row r="1428" spans="1:9" x14ac:dyDescent="0.25">
      <c r="A1428" s="515">
        <v>95307</v>
      </c>
      <c r="B1428" s="515" t="s">
        <v>797</v>
      </c>
      <c r="C1428" s="52">
        <v>415025.64981751901</v>
      </c>
      <c r="D1428" s="56">
        <v>5.5966095778133815E-2</v>
      </c>
      <c r="E1428" s="224">
        <v>2200</v>
      </c>
      <c r="F1428" s="515" t="s">
        <v>3117</v>
      </c>
      <c r="G1428" s="52">
        <v>643776.83611227304</v>
      </c>
      <c r="H1428" s="56">
        <v>-2.0020767311578598E-2</v>
      </c>
      <c r="I1428" s="224">
        <v>3136.0555555555502</v>
      </c>
    </row>
    <row r="1429" spans="1:9" x14ac:dyDescent="0.25">
      <c r="A1429" s="515">
        <v>30046</v>
      </c>
      <c r="B1429" s="515" t="s">
        <v>957</v>
      </c>
      <c r="C1429" s="52">
        <v>322072.37032641302</v>
      </c>
      <c r="D1429" s="56">
        <v>8.1902165739458174E-2</v>
      </c>
      <c r="E1429" s="224">
        <v>2010.9768518518499</v>
      </c>
      <c r="F1429" s="515" t="s">
        <v>3118</v>
      </c>
      <c r="G1429" s="52">
        <v>245741.24956919299</v>
      </c>
      <c r="H1429" s="56">
        <v>0.1092886944167588</v>
      </c>
      <c r="I1429" s="224">
        <v>1462.6666666666599</v>
      </c>
    </row>
    <row r="1430" spans="1:9" x14ac:dyDescent="0.25">
      <c r="A1430" s="515">
        <v>70769</v>
      </c>
      <c r="B1430" s="515" t="s">
        <v>610</v>
      </c>
      <c r="C1430" s="52">
        <v>294038.46812449902</v>
      </c>
      <c r="D1430" s="56">
        <v>4.9506103775255501E-2</v>
      </c>
      <c r="E1430" s="224" t="s">
        <v>2</v>
      </c>
      <c r="F1430" s="515" t="s">
        <v>3119</v>
      </c>
      <c r="G1430" s="52">
        <v>108936.55461252401</v>
      </c>
      <c r="H1430" s="56">
        <v>6.0053351664510236E-2</v>
      </c>
      <c r="I1430" s="224" t="s">
        <v>2</v>
      </c>
    </row>
    <row r="1431" spans="1:9" x14ac:dyDescent="0.25">
      <c r="A1431" s="515">
        <v>95407</v>
      </c>
      <c r="B1431" s="515" t="s">
        <v>331</v>
      </c>
      <c r="C1431" s="52">
        <v>597631.47002687899</v>
      </c>
      <c r="D1431" s="56">
        <v>1.7686506244890994E-2</v>
      </c>
      <c r="E1431" s="224">
        <v>2217.6666666666601</v>
      </c>
      <c r="F1431" s="515" t="s">
        <v>3120</v>
      </c>
      <c r="G1431" s="52">
        <v>243360.62117631899</v>
      </c>
      <c r="H1431" s="56">
        <v>5.2377177134088751E-2</v>
      </c>
      <c r="I1431" s="224">
        <v>1766.4552706552699</v>
      </c>
    </row>
    <row r="1432" spans="1:9" x14ac:dyDescent="0.25">
      <c r="A1432" s="515">
        <v>46514</v>
      </c>
      <c r="B1432" s="515" t="s">
        <v>1170</v>
      </c>
      <c r="C1432" s="52">
        <v>206021.55571911699</v>
      </c>
      <c r="D1432" s="56">
        <v>9.165243895815442E-2</v>
      </c>
      <c r="E1432" s="224" t="s">
        <v>2</v>
      </c>
      <c r="F1432" s="515" t="s">
        <v>3121</v>
      </c>
      <c r="G1432" s="52">
        <v>409288.49011602998</v>
      </c>
      <c r="H1432" s="56">
        <v>0.19383364409432777</v>
      </c>
      <c r="I1432" s="224">
        <v>2630.9291101055801</v>
      </c>
    </row>
    <row r="1433" spans="1:9" x14ac:dyDescent="0.25">
      <c r="A1433" s="515">
        <v>14075</v>
      </c>
      <c r="B1433" s="515" t="s">
        <v>336</v>
      </c>
      <c r="C1433" s="52">
        <v>268483.23807470303</v>
      </c>
      <c r="D1433" s="56">
        <v>8.1728567108166061E-2</v>
      </c>
      <c r="E1433" s="224">
        <v>1325.55555555555</v>
      </c>
      <c r="F1433" s="515" t="s">
        <v>3122</v>
      </c>
      <c r="G1433" s="52">
        <v>520156.741021369</v>
      </c>
      <c r="H1433" s="56">
        <v>4.7453245090992018E-2</v>
      </c>
      <c r="I1433" s="224">
        <v>2539.1666666666601</v>
      </c>
    </row>
    <row r="1434" spans="1:9" x14ac:dyDescent="0.25">
      <c r="A1434" s="515">
        <v>92821</v>
      </c>
      <c r="B1434" s="515" t="s">
        <v>375</v>
      </c>
      <c r="C1434" s="52">
        <v>917775.56969431497</v>
      </c>
      <c r="D1434" s="56">
        <v>6.0520346433617568E-2</v>
      </c>
      <c r="E1434" s="224">
        <v>2565.3048340548298</v>
      </c>
      <c r="F1434" s="515" t="s">
        <v>1105</v>
      </c>
      <c r="G1434" s="52">
        <v>338797.625545897</v>
      </c>
      <c r="H1434" s="56">
        <v>5.157661183479148E-2</v>
      </c>
      <c r="I1434" s="224">
        <v>1772.2222222222199</v>
      </c>
    </row>
    <row r="1435" spans="1:9" x14ac:dyDescent="0.25">
      <c r="A1435" s="515">
        <v>80601</v>
      </c>
      <c r="B1435" s="515" t="s">
        <v>401</v>
      </c>
      <c r="C1435" s="52">
        <v>496459.76697447302</v>
      </c>
      <c r="D1435" s="56">
        <v>2.7884974965192651E-2</v>
      </c>
      <c r="E1435" s="224">
        <v>1933.6705627705601</v>
      </c>
      <c r="F1435" s="515" t="s">
        <v>3123</v>
      </c>
      <c r="G1435" s="52">
        <v>272380.75826961501</v>
      </c>
      <c r="H1435" s="56">
        <v>6.7489060115893465E-2</v>
      </c>
      <c r="I1435" s="224">
        <v>1475</v>
      </c>
    </row>
    <row r="1436" spans="1:9" x14ac:dyDescent="0.25">
      <c r="A1436" s="515">
        <v>97305</v>
      </c>
      <c r="B1436" s="515" t="s">
        <v>416</v>
      </c>
      <c r="C1436" s="52">
        <v>385889.33541000303</v>
      </c>
      <c r="D1436" s="56">
        <v>4.5443624855409051E-2</v>
      </c>
      <c r="E1436" s="224">
        <v>1886</v>
      </c>
      <c r="F1436" s="515" t="s">
        <v>3124</v>
      </c>
      <c r="G1436" s="52">
        <v>468556.19754330901</v>
      </c>
      <c r="H1436" s="56">
        <v>6.5566976628969681E-2</v>
      </c>
      <c r="I1436" s="224">
        <v>2260</v>
      </c>
    </row>
    <row r="1437" spans="1:9" x14ac:dyDescent="0.25">
      <c r="A1437" s="515">
        <v>73071</v>
      </c>
      <c r="B1437" s="515" t="s">
        <v>385</v>
      </c>
      <c r="C1437" s="52">
        <v>196675.04374552899</v>
      </c>
      <c r="D1437" s="56">
        <v>0.12328755644897005</v>
      </c>
      <c r="E1437" s="224">
        <v>1255.12518853695</v>
      </c>
      <c r="F1437" s="515" t="s">
        <v>3125</v>
      </c>
      <c r="G1437" s="52">
        <v>623003.59341842402</v>
      </c>
      <c r="H1437" s="56">
        <v>7.956914081056124E-2</v>
      </c>
      <c r="I1437" s="224">
        <v>2250</v>
      </c>
    </row>
    <row r="1438" spans="1:9" x14ac:dyDescent="0.25">
      <c r="A1438" s="515">
        <v>29412</v>
      </c>
      <c r="B1438" s="515" t="s">
        <v>1009</v>
      </c>
      <c r="C1438" s="52">
        <v>497544.32654696202</v>
      </c>
      <c r="D1438" s="56">
        <v>0.14939682136187543</v>
      </c>
      <c r="E1438" s="224">
        <v>2178.2619047619</v>
      </c>
      <c r="F1438" s="515" t="s">
        <v>3126</v>
      </c>
      <c r="G1438" s="52">
        <v>166575.75372343199</v>
      </c>
      <c r="H1438" s="56">
        <v>0.10728545739526274</v>
      </c>
      <c r="I1438" s="224" t="s">
        <v>2</v>
      </c>
    </row>
    <row r="1439" spans="1:9" x14ac:dyDescent="0.25">
      <c r="A1439" s="515">
        <v>32224</v>
      </c>
      <c r="B1439" s="515" t="s">
        <v>1158</v>
      </c>
      <c r="C1439" s="52">
        <v>459257.86594157101</v>
      </c>
      <c r="D1439" s="56">
        <v>0.10554250971687253</v>
      </c>
      <c r="E1439" s="224">
        <v>1840.80521561771</v>
      </c>
      <c r="F1439" s="515" t="s">
        <v>3127</v>
      </c>
      <c r="G1439" s="52">
        <v>617716.55105200701</v>
      </c>
      <c r="H1439" s="56">
        <v>4.4385252475240063E-2</v>
      </c>
      <c r="I1439" s="224">
        <v>2652.5925925925899</v>
      </c>
    </row>
    <row r="1440" spans="1:9" x14ac:dyDescent="0.25">
      <c r="A1440" s="515">
        <v>55110</v>
      </c>
      <c r="B1440" s="515" t="s">
        <v>532</v>
      </c>
      <c r="C1440" s="52">
        <v>337504.05186717003</v>
      </c>
      <c r="D1440" s="56">
        <v>3.7500898855075515E-2</v>
      </c>
      <c r="E1440" s="224">
        <v>1478</v>
      </c>
      <c r="F1440" s="515" t="s">
        <v>3128</v>
      </c>
      <c r="G1440" s="52">
        <v>140138.03513398301</v>
      </c>
      <c r="H1440" s="56">
        <v>8.128052875606849E-2</v>
      </c>
      <c r="I1440" s="224">
        <v>996.26666666666597</v>
      </c>
    </row>
    <row r="1441" spans="1:9" x14ac:dyDescent="0.25">
      <c r="A1441" s="515">
        <v>98801</v>
      </c>
      <c r="B1441" s="515" t="s">
        <v>521</v>
      </c>
      <c r="C1441" s="52">
        <v>438329.511892804</v>
      </c>
      <c r="D1441" s="56">
        <v>3.5361737841601008E-2</v>
      </c>
      <c r="E1441" s="224">
        <v>1643.88888888888</v>
      </c>
      <c r="F1441" s="515" t="s">
        <v>1259</v>
      </c>
      <c r="G1441" s="52">
        <v>105997.124080722</v>
      </c>
      <c r="H1441" s="56">
        <v>0.12344908316017436</v>
      </c>
      <c r="I1441" s="224">
        <v>691.66666666666595</v>
      </c>
    </row>
    <row r="1442" spans="1:9" x14ac:dyDescent="0.25">
      <c r="A1442" s="515">
        <v>76513</v>
      </c>
      <c r="B1442" s="515" t="s">
        <v>859</v>
      </c>
      <c r="C1442" s="52">
        <v>306425.06418662</v>
      </c>
      <c r="D1442" s="56">
        <v>0.11009539004269023</v>
      </c>
      <c r="E1442" s="224">
        <v>1489.5833333333301</v>
      </c>
      <c r="F1442" s="515" t="s">
        <v>3129</v>
      </c>
      <c r="G1442" s="52">
        <v>297575.44419952598</v>
      </c>
      <c r="H1442" s="56">
        <v>3.6341975706755139E-2</v>
      </c>
      <c r="I1442" s="224">
        <v>1841.1666666666599</v>
      </c>
    </row>
    <row r="1443" spans="1:9" x14ac:dyDescent="0.25">
      <c r="A1443" s="515">
        <v>90242</v>
      </c>
      <c r="B1443" s="515" t="s">
        <v>375</v>
      </c>
      <c r="C1443" s="52">
        <v>717428.30897490797</v>
      </c>
      <c r="D1443" s="56">
        <v>3.8816532177914316E-2</v>
      </c>
      <c r="E1443" s="224">
        <v>2168.6079365079299</v>
      </c>
      <c r="F1443" s="515" t="s">
        <v>987</v>
      </c>
      <c r="G1443" s="52">
        <v>177043.11749484</v>
      </c>
      <c r="H1443" s="56">
        <v>9.7453178769334126E-2</v>
      </c>
      <c r="I1443" s="224">
        <v>994</v>
      </c>
    </row>
    <row r="1444" spans="1:9" x14ac:dyDescent="0.25">
      <c r="A1444" s="515">
        <v>27215</v>
      </c>
      <c r="B1444" s="515" t="s">
        <v>1186</v>
      </c>
      <c r="C1444" s="52">
        <v>262323.15351656399</v>
      </c>
      <c r="D1444" s="56">
        <v>0.13746618333415173</v>
      </c>
      <c r="E1444" s="224">
        <v>1575.2777777777701</v>
      </c>
      <c r="F1444" s="515" t="s">
        <v>3130</v>
      </c>
      <c r="G1444" s="52">
        <v>817567.18194745295</v>
      </c>
      <c r="H1444" s="56">
        <v>3.9292975925033516E-2</v>
      </c>
      <c r="I1444" s="224">
        <v>2262.42895622895</v>
      </c>
    </row>
    <row r="1445" spans="1:9" x14ac:dyDescent="0.25">
      <c r="A1445" s="515">
        <v>99362</v>
      </c>
      <c r="B1445" s="515" t="s">
        <v>376</v>
      </c>
      <c r="C1445" s="52">
        <v>384181.47849225003</v>
      </c>
      <c r="D1445" s="56">
        <v>7.1825510852445762E-2</v>
      </c>
      <c r="E1445" s="224">
        <v>1734.1666666666599</v>
      </c>
      <c r="F1445" s="515" t="s">
        <v>3131</v>
      </c>
      <c r="G1445" s="52">
        <v>294036.91052634799</v>
      </c>
      <c r="H1445" s="56">
        <v>5.9340739491276946E-2</v>
      </c>
      <c r="I1445" s="224" t="s">
        <v>2</v>
      </c>
    </row>
    <row r="1446" spans="1:9" x14ac:dyDescent="0.25">
      <c r="A1446" s="515">
        <v>19709</v>
      </c>
      <c r="B1446" s="515" t="s">
        <v>294</v>
      </c>
      <c r="C1446" s="52">
        <v>470250.02758387302</v>
      </c>
      <c r="D1446" s="56">
        <v>8.3122920617538495E-2</v>
      </c>
      <c r="E1446" s="224" t="s">
        <v>2</v>
      </c>
      <c r="F1446" s="515" t="s">
        <v>3132</v>
      </c>
      <c r="G1446" s="52">
        <v>295815.15548965603</v>
      </c>
      <c r="H1446" s="56">
        <v>2.9975994019142919E-2</v>
      </c>
      <c r="I1446" s="224" t="s">
        <v>2</v>
      </c>
    </row>
    <row r="1447" spans="1:9" x14ac:dyDescent="0.25">
      <c r="A1447" s="515">
        <v>46360</v>
      </c>
      <c r="B1447" s="515" t="s">
        <v>944</v>
      </c>
      <c r="C1447" s="52">
        <v>188192.40920261099</v>
      </c>
      <c r="D1447" s="56">
        <v>9.9111055755322364E-2</v>
      </c>
      <c r="E1447" s="224">
        <v>1026.1111111111099</v>
      </c>
      <c r="F1447" s="515" t="s">
        <v>1095</v>
      </c>
      <c r="G1447" s="52">
        <v>218858.08919367101</v>
      </c>
      <c r="H1447" s="56">
        <v>6.8356920871358626E-2</v>
      </c>
      <c r="I1447" s="224" t="s">
        <v>2</v>
      </c>
    </row>
    <row r="1448" spans="1:9" x14ac:dyDescent="0.25">
      <c r="A1448" s="515">
        <v>93702</v>
      </c>
      <c r="B1448" s="515" t="s">
        <v>541</v>
      </c>
      <c r="C1448" s="52">
        <v>226932.34040232099</v>
      </c>
      <c r="D1448" s="56">
        <v>0.10186143188388516</v>
      </c>
      <c r="E1448" s="224">
        <v>1150</v>
      </c>
      <c r="F1448" s="515" t="s">
        <v>3133</v>
      </c>
      <c r="G1448" s="52">
        <v>292991.01621094899</v>
      </c>
      <c r="H1448" s="56">
        <v>4.487030377144817E-2</v>
      </c>
      <c r="I1448" s="224">
        <v>1799.44444444444</v>
      </c>
    </row>
    <row r="1449" spans="1:9" x14ac:dyDescent="0.25">
      <c r="A1449" s="515">
        <v>11756</v>
      </c>
      <c r="B1449" s="515" t="s">
        <v>324</v>
      </c>
      <c r="C1449" s="52">
        <v>560103.91357990797</v>
      </c>
      <c r="D1449" s="56">
        <v>5.582374444811937E-2</v>
      </c>
      <c r="E1449" s="224" t="s">
        <v>2</v>
      </c>
      <c r="F1449" s="515" t="s">
        <v>3134</v>
      </c>
      <c r="G1449" s="52">
        <v>441353.84594514</v>
      </c>
      <c r="H1449" s="56">
        <v>7.6234578297298586E-2</v>
      </c>
      <c r="I1449" s="224">
        <v>2600</v>
      </c>
    </row>
    <row r="1450" spans="1:9" x14ac:dyDescent="0.25">
      <c r="A1450" s="515">
        <v>14120</v>
      </c>
      <c r="B1450" s="515" t="s">
        <v>336</v>
      </c>
      <c r="C1450" s="52">
        <v>225839.54559525801</v>
      </c>
      <c r="D1450" s="56">
        <v>9.3076727125822142E-2</v>
      </c>
      <c r="E1450" s="224" t="s">
        <v>2</v>
      </c>
      <c r="F1450" s="515" t="s">
        <v>3135</v>
      </c>
      <c r="G1450" s="52">
        <v>443663.40661096101</v>
      </c>
      <c r="H1450" s="56">
        <v>3.6690258263938097E-2</v>
      </c>
      <c r="I1450" s="224">
        <v>2478.3813700918899</v>
      </c>
    </row>
    <row r="1451" spans="1:9" x14ac:dyDescent="0.25">
      <c r="A1451" s="515">
        <v>94117</v>
      </c>
      <c r="B1451" s="515" t="s">
        <v>593</v>
      </c>
      <c r="C1451" s="52">
        <v>1519358.03048204</v>
      </c>
      <c r="D1451" s="56">
        <v>-0.10097129662685965</v>
      </c>
      <c r="E1451" s="224">
        <v>3423.4222222222202</v>
      </c>
      <c r="F1451" s="515" t="s">
        <v>3136</v>
      </c>
      <c r="G1451" s="52">
        <v>1192384.00054326</v>
      </c>
      <c r="H1451" s="56">
        <v>4.5362809011096433E-2</v>
      </c>
      <c r="I1451" s="224">
        <v>2380.4222222222202</v>
      </c>
    </row>
    <row r="1452" spans="1:9" x14ac:dyDescent="0.25">
      <c r="A1452" s="515">
        <v>77034</v>
      </c>
      <c r="B1452" s="515" t="s">
        <v>314</v>
      </c>
      <c r="C1452" s="52">
        <v>218671.616788343</v>
      </c>
      <c r="D1452" s="56">
        <v>0.10098646936572246</v>
      </c>
      <c r="E1452" s="224">
        <v>1204.0333333333299</v>
      </c>
      <c r="F1452" s="515" t="s">
        <v>3137</v>
      </c>
      <c r="G1452" s="52">
        <v>483420.96988495602</v>
      </c>
      <c r="H1452" s="56">
        <v>6.0581597690573065E-2</v>
      </c>
      <c r="I1452" s="224">
        <v>2224.50833333333</v>
      </c>
    </row>
    <row r="1453" spans="1:9" x14ac:dyDescent="0.25">
      <c r="A1453" s="515">
        <v>33172</v>
      </c>
      <c r="B1453" s="515" t="s">
        <v>831</v>
      </c>
      <c r="C1453" s="52">
        <v>294881.61257800099</v>
      </c>
      <c r="D1453" s="56">
        <v>0.20227776339554773</v>
      </c>
      <c r="E1453" s="224">
        <v>2454.0555555555502</v>
      </c>
      <c r="F1453" s="515" t="s">
        <v>3138</v>
      </c>
      <c r="G1453" s="52">
        <v>262473.57294347999</v>
      </c>
      <c r="H1453" s="56">
        <v>0.1441850481906973</v>
      </c>
      <c r="I1453" s="224" t="s">
        <v>2</v>
      </c>
    </row>
    <row r="1454" spans="1:9" x14ac:dyDescent="0.25">
      <c r="A1454" s="515">
        <v>80126</v>
      </c>
      <c r="B1454" s="515" t="s">
        <v>401</v>
      </c>
      <c r="C1454" s="52">
        <v>735443.74730393698</v>
      </c>
      <c r="D1454" s="56">
        <v>3.2850294327652733E-2</v>
      </c>
      <c r="E1454" s="224">
        <v>2587.5833333333298</v>
      </c>
      <c r="F1454" s="515" t="s">
        <v>3139</v>
      </c>
      <c r="G1454" s="52">
        <v>785765.37415464397</v>
      </c>
      <c r="H1454" s="56">
        <v>5.4778249071371792E-2</v>
      </c>
      <c r="I1454" s="224" t="s">
        <v>2</v>
      </c>
    </row>
    <row r="1455" spans="1:9" x14ac:dyDescent="0.25">
      <c r="A1455" s="515">
        <v>28214</v>
      </c>
      <c r="B1455" s="515" t="s">
        <v>360</v>
      </c>
      <c r="C1455" s="52">
        <v>314886.77351978899</v>
      </c>
      <c r="D1455" s="56">
        <v>8.1919035066767815E-2</v>
      </c>
      <c r="E1455" s="224">
        <v>1897.5</v>
      </c>
      <c r="F1455" s="515" t="s">
        <v>3140</v>
      </c>
      <c r="G1455" s="52">
        <v>641568.24918658799</v>
      </c>
      <c r="H1455" s="56">
        <v>7.3338361621343814E-2</v>
      </c>
      <c r="I1455" s="224" t="s">
        <v>2</v>
      </c>
    </row>
    <row r="1456" spans="1:9" x14ac:dyDescent="0.25">
      <c r="A1456" s="515">
        <v>44212</v>
      </c>
      <c r="B1456" s="515" t="s">
        <v>520</v>
      </c>
      <c r="C1456" s="52">
        <v>261308.39059305601</v>
      </c>
      <c r="D1456" s="56">
        <v>6.4835174498229217E-2</v>
      </c>
      <c r="E1456" s="224" t="s">
        <v>2</v>
      </c>
      <c r="F1456" s="515" t="s">
        <v>3141</v>
      </c>
      <c r="G1456" s="52">
        <v>358669.65762902802</v>
      </c>
      <c r="H1456" s="56">
        <v>6.0308344675163543E-2</v>
      </c>
      <c r="I1456" s="224" t="s">
        <v>2</v>
      </c>
    </row>
    <row r="1457" spans="1:9" x14ac:dyDescent="0.25">
      <c r="A1457" s="515">
        <v>87112</v>
      </c>
      <c r="B1457" s="515" t="s">
        <v>406</v>
      </c>
      <c r="C1457" s="52">
        <v>276965.20255934901</v>
      </c>
      <c r="D1457" s="56">
        <v>7.0794040767997238E-2</v>
      </c>
      <c r="E1457" s="224">
        <v>1402.9206349206299</v>
      </c>
      <c r="F1457" s="515" t="s">
        <v>986</v>
      </c>
      <c r="G1457" s="52">
        <v>173888.92867935501</v>
      </c>
      <c r="H1457" s="56">
        <v>9.3492017958042309E-2</v>
      </c>
      <c r="I1457" s="224" t="s">
        <v>2</v>
      </c>
    </row>
    <row r="1458" spans="1:9" x14ac:dyDescent="0.25">
      <c r="A1458" s="515">
        <v>43204</v>
      </c>
      <c r="B1458" s="515" t="s">
        <v>345</v>
      </c>
      <c r="C1458" s="52">
        <v>177548.78975364601</v>
      </c>
      <c r="D1458" s="56">
        <v>0.12040203512715636</v>
      </c>
      <c r="E1458" s="224">
        <v>1391.4179894179799</v>
      </c>
      <c r="F1458" s="515" t="s">
        <v>3142</v>
      </c>
      <c r="G1458" s="52">
        <v>1214497.8712176201</v>
      </c>
      <c r="H1458" s="56">
        <v>2.5978690885099364E-2</v>
      </c>
      <c r="I1458" s="224">
        <v>3522.1111111111099</v>
      </c>
    </row>
    <row r="1459" spans="1:9" x14ac:dyDescent="0.25">
      <c r="A1459" s="515">
        <v>97230</v>
      </c>
      <c r="B1459" s="515" t="s">
        <v>659</v>
      </c>
      <c r="C1459" s="52">
        <v>437788.0220849</v>
      </c>
      <c r="D1459" s="56">
        <v>8.4500815078830688E-3</v>
      </c>
      <c r="E1459" s="224">
        <v>1702.8476190476099</v>
      </c>
      <c r="F1459" s="515" t="s">
        <v>1112</v>
      </c>
      <c r="G1459" s="52">
        <v>140917.33777359201</v>
      </c>
      <c r="H1459" s="56">
        <v>0.10480918786182186</v>
      </c>
      <c r="I1459" s="224" t="s">
        <v>2</v>
      </c>
    </row>
    <row r="1460" spans="1:9" x14ac:dyDescent="0.25">
      <c r="A1460" s="515">
        <v>80501</v>
      </c>
      <c r="B1460" s="515" t="s">
        <v>702</v>
      </c>
      <c r="C1460" s="52">
        <v>488105.20357091998</v>
      </c>
      <c r="D1460" s="56">
        <v>3.9695903025643742E-2</v>
      </c>
      <c r="E1460" s="224">
        <v>1814.74861111111</v>
      </c>
      <c r="F1460" s="515" t="s">
        <v>3143</v>
      </c>
      <c r="G1460" s="52">
        <v>234337.64248404701</v>
      </c>
      <c r="H1460" s="56">
        <v>0.17124107126088117</v>
      </c>
      <c r="I1460" s="224">
        <v>1561.25</v>
      </c>
    </row>
    <row r="1461" spans="1:9" x14ac:dyDescent="0.25">
      <c r="A1461" s="515">
        <v>20170</v>
      </c>
      <c r="B1461" s="515" t="s">
        <v>321</v>
      </c>
      <c r="C1461" s="52">
        <v>596509.74690626597</v>
      </c>
      <c r="D1461" s="56">
        <v>4.4375326173046799E-2</v>
      </c>
      <c r="E1461" s="224">
        <v>2301.2804232804201</v>
      </c>
      <c r="F1461" s="515" t="s">
        <v>978</v>
      </c>
      <c r="G1461" s="52">
        <v>85215.315102146196</v>
      </c>
      <c r="H1461" s="56">
        <v>7.1048028550570824E-2</v>
      </c>
      <c r="I1461" s="224" t="s">
        <v>2</v>
      </c>
    </row>
    <row r="1462" spans="1:9" x14ac:dyDescent="0.25">
      <c r="A1462" s="515">
        <v>97080</v>
      </c>
      <c r="B1462" s="515" t="s">
        <v>659</v>
      </c>
      <c r="C1462" s="52">
        <v>488683.57947496499</v>
      </c>
      <c r="D1462" s="56">
        <v>6.1754443799097456E-3</v>
      </c>
      <c r="E1462" s="224">
        <v>1795.7666666666601</v>
      </c>
      <c r="F1462" s="515" t="s">
        <v>3144</v>
      </c>
      <c r="G1462" s="52">
        <v>316653.09145385999</v>
      </c>
      <c r="H1462" s="56">
        <v>0.19630150735201179</v>
      </c>
      <c r="I1462" s="224">
        <v>2644.2619162446699</v>
      </c>
    </row>
    <row r="1463" spans="1:9" x14ac:dyDescent="0.25">
      <c r="A1463" s="515">
        <v>26554</v>
      </c>
      <c r="B1463" s="515" t="s">
        <v>302</v>
      </c>
      <c r="C1463" s="52">
        <v>168204.28896920901</v>
      </c>
      <c r="D1463" s="56">
        <v>7.2054309812367837E-2</v>
      </c>
      <c r="E1463" s="224">
        <v>1050</v>
      </c>
      <c r="F1463" s="515" t="s">
        <v>3145</v>
      </c>
      <c r="G1463" s="52">
        <v>542278.719172157</v>
      </c>
      <c r="H1463" s="56">
        <v>6.8746084087812909E-2</v>
      </c>
      <c r="I1463" s="224">
        <v>1950</v>
      </c>
    </row>
    <row r="1464" spans="1:9" x14ac:dyDescent="0.25">
      <c r="A1464" s="515">
        <v>72401</v>
      </c>
      <c r="B1464" s="515" t="s">
        <v>673</v>
      </c>
      <c r="C1464" s="52">
        <v>163291.77987228101</v>
      </c>
      <c r="D1464" s="56">
        <v>7.082737047692339E-2</v>
      </c>
      <c r="E1464" s="224">
        <v>1043.75</v>
      </c>
      <c r="F1464" s="515" t="s">
        <v>3146</v>
      </c>
      <c r="G1464" s="52">
        <v>318366.03069469001</v>
      </c>
      <c r="H1464" s="56">
        <v>2.3222132910184223E-2</v>
      </c>
      <c r="I1464" s="224">
        <v>1629.31111111111</v>
      </c>
    </row>
    <row r="1465" spans="1:9" x14ac:dyDescent="0.25">
      <c r="A1465" s="515">
        <v>95403</v>
      </c>
      <c r="B1465" s="515" t="s">
        <v>331</v>
      </c>
      <c r="C1465" s="52">
        <v>686126.18918996595</v>
      </c>
      <c r="D1465" s="56">
        <v>2.6050482539695222E-2</v>
      </c>
      <c r="E1465" s="224">
        <v>2764.5</v>
      </c>
      <c r="F1465" s="515" t="s">
        <v>3147</v>
      </c>
      <c r="G1465" s="52">
        <v>403702.94716991798</v>
      </c>
      <c r="H1465" s="56">
        <v>2.8910676812722538E-2</v>
      </c>
      <c r="I1465" s="224" t="s">
        <v>2</v>
      </c>
    </row>
    <row r="1466" spans="1:9" x14ac:dyDescent="0.25">
      <c r="A1466" s="515">
        <v>94531</v>
      </c>
      <c r="B1466" s="515" t="s">
        <v>593</v>
      </c>
      <c r="C1466" s="52">
        <v>658443.70148327597</v>
      </c>
      <c r="D1466" s="56">
        <v>-3.571964078483808E-2</v>
      </c>
      <c r="E1466" s="224">
        <v>3293.1047619047599</v>
      </c>
      <c r="F1466" s="515" t="s">
        <v>3148</v>
      </c>
      <c r="G1466" s="52">
        <v>1703005.18299463</v>
      </c>
      <c r="H1466" s="56">
        <v>8.8135955689571555E-2</v>
      </c>
      <c r="I1466" s="224">
        <v>4674.7111111111099</v>
      </c>
    </row>
    <row r="1467" spans="1:9" x14ac:dyDescent="0.25">
      <c r="A1467" s="515">
        <v>1970</v>
      </c>
      <c r="B1467" s="515" t="s">
        <v>534</v>
      </c>
      <c r="C1467" s="52">
        <v>520376.32833697897</v>
      </c>
      <c r="D1467" s="56">
        <v>6.6231318836775119E-2</v>
      </c>
      <c r="E1467" s="224">
        <v>2419.6693121693102</v>
      </c>
      <c r="F1467" s="515" t="s">
        <v>3149</v>
      </c>
      <c r="G1467" s="52">
        <v>430442.48480256001</v>
      </c>
      <c r="H1467" s="56">
        <v>0.17110050042248939</v>
      </c>
      <c r="I1467" s="224">
        <v>2437.9635627530301</v>
      </c>
    </row>
    <row r="1468" spans="1:9" x14ac:dyDescent="0.25">
      <c r="A1468" s="515">
        <v>34983</v>
      </c>
      <c r="B1468" s="515" t="s">
        <v>1180</v>
      </c>
      <c r="C1468" s="52">
        <v>346021.43348693801</v>
      </c>
      <c r="D1468" s="56">
        <v>0.1112408187058731</v>
      </c>
      <c r="E1468" s="224">
        <v>2388.6444444444401</v>
      </c>
      <c r="F1468" s="515" t="s">
        <v>3150</v>
      </c>
      <c r="G1468" s="52">
        <v>590419.30320447497</v>
      </c>
      <c r="H1468" s="56">
        <v>6.6512239547500823E-2</v>
      </c>
      <c r="I1468" s="224" t="s">
        <v>2</v>
      </c>
    </row>
    <row r="1469" spans="1:9" x14ac:dyDescent="0.25">
      <c r="A1469" s="515">
        <v>33436</v>
      </c>
      <c r="B1469" s="515" t="s">
        <v>831</v>
      </c>
      <c r="C1469" s="52">
        <v>420106.474040334</v>
      </c>
      <c r="D1469" s="56">
        <v>0.12525506441227344</v>
      </c>
      <c r="E1469" s="224">
        <v>2369.9722222222199</v>
      </c>
      <c r="F1469" s="515" t="s">
        <v>3151</v>
      </c>
      <c r="G1469" s="52">
        <v>311446.71940763801</v>
      </c>
      <c r="H1469" s="56">
        <v>6.8217501573340472E-2</v>
      </c>
      <c r="I1469" s="224">
        <v>1775.88888888888</v>
      </c>
    </row>
    <row r="1470" spans="1:9" x14ac:dyDescent="0.25">
      <c r="A1470" s="515">
        <v>85086</v>
      </c>
      <c r="B1470" s="515" t="s">
        <v>563</v>
      </c>
      <c r="C1470" s="52">
        <v>585842.30672938202</v>
      </c>
      <c r="D1470" s="56">
        <v>3.2800945434409076E-2</v>
      </c>
      <c r="E1470" s="224">
        <v>2206.7126984126899</v>
      </c>
      <c r="F1470" s="515" t="s">
        <v>3152</v>
      </c>
      <c r="G1470" s="52">
        <v>518273.43988903001</v>
      </c>
      <c r="H1470" s="56">
        <v>3.0587143447993636E-2</v>
      </c>
      <c r="I1470" s="224">
        <v>1909.2748587195399</v>
      </c>
    </row>
    <row r="1471" spans="1:9" x14ac:dyDescent="0.25">
      <c r="A1471" s="515">
        <v>60062</v>
      </c>
      <c r="B1471" s="515" t="s">
        <v>394</v>
      </c>
      <c r="C1471" s="52">
        <v>535631.74743284902</v>
      </c>
      <c r="D1471" s="56">
        <v>4.5397725452176227E-2</v>
      </c>
      <c r="E1471" s="224">
        <v>2804.3055555555502</v>
      </c>
      <c r="F1471" s="515" t="s">
        <v>3153</v>
      </c>
      <c r="G1471" s="52">
        <v>442220.95874664298</v>
      </c>
      <c r="H1471" s="56">
        <v>2.9765482450509674E-2</v>
      </c>
      <c r="I1471" s="224">
        <v>2053.125</v>
      </c>
    </row>
    <row r="1472" spans="1:9" x14ac:dyDescent="0.25">
      <c r="A1472" s="515">
        <v>77055</v>
      </c>
      <c r="B1472" s="515" t="s">
        <v>314</v>
      </c>
      <c r="C1472" s="52">
        <v>534861.20308072097</v>
      </c>
      <c r="D1472" s="56">
        <v>4.8792411784847917E-2</v>
      </c>
      <c r="E1472" s="224">
        <v>1581.1688034188001</v>
      </c>
      <c r="F1472" s="515" t="s">
        <v>1300</v>
      </c>
      <c r="G1472" s="52">
        <v>225002.722426344</v>
      </c>
      <c r="H1472" s="56">
        <v>0.11017312545633945</v>
      </c>
      <c r="I1472" s="224">
        <v>1420</v>
      </c>
    </row>
    <row r="1473" spans="1:9" x14ac:dyDescent="0.25">
      <c r="A1473" s="515">
        <v>45385</v>
      </c>
      <c r="B1473" s="515" t="s">
        <v>340</v>
      </c>
      <c r="C1473" s="52">
        <v>198557.34960113899</v>
      </c>
      <c r="D1473" s="56">
        <v>9.0169733346182862E-2</v>
      </c>
      <c r="E1473" s="224">
        <v>1100</v>
      </c>
      <c r="F1473" s="515" t="s">
        <v>1056</v>
      </c>
      <c r="G1473" s="52">
        <v>232125.09339409799</v>
      </c>
      <c r="H1473" s="56">
        <v>0.10397929509711969</v>
      </c>
      <c r="I1473" s="224" t="s">
        <v>2</v>
      </c>
    </row>
    <row r="1474" spans="1:9" x14ac:dyDescent="0.25">
      <c r="A1474" s="515">
        <v>93446</v>
      </c>
      <c r="B1474" s="515" t="s">
        <v>959</v>
      </c>
      <c r="C1474" s="52">
        <v>672230.193064978</v>
      </c>
      <c r="D1474" s="56">
        <v>5.2461026548328966E-2</v>
      </c>
      <c r="E1474" s="224" t="s">
        <v>2</v>
      </c>
      <c r="F1474" s="515" t="s">
        <v>3154</v>
      </c>
      <c r="G1474" s="52">
        <v>225099.204933737</v>
      </c>
      <c r="H1474" s="56">
        <v>6.3387961737564461E-2</v>
      </c>
      <c r="I1474" s="224" t="s">
        <v>2</v>
      </c>
    </row>
    <row r="1475" spans="1:9" x14ac:dyDescent="0.25">
      <c r="A1475" s="515">
        <v>85353</v>
      </c>
      <c r="B1475" s="515" t="s">
        <v>563</v>
      </c>
      <c r="C1475" s="52">
        <v>380726.44708507799</v>
      </c>
      <c r="D1475" s="56">
        <v>3.5985473543119699E-2</v>
      </c>
      <c r="E1475" s="224">
        <v>2052.1666666666601</v>
      </c>
      <c r="F1475" s="515" t="s">
        <v>3155</v>
      </c>
      <c r="G1475" s="52">
        <v>712131.77446723497</v>
      </c>
      <c r="H1475" s="56">
        <v>8.690389550303175E-2</v>
      </c>
      <c r="I1475" s="224">
        <v>3363.5277777777701</v>
      </c>
    </row>
    <row r="1476" spans="1:9" x14ac:dyDescent="0.25">
      <c r="A1476" s="515">
        <v>92019</v>
      </c>
      <c r="B1476" s="515" t="s">
        <v>396</v>
      </c>
      <c r="C1476" s="52">
        <v>759596.23835163505</v>
      </c>
      <c r="D1476" s="56">
        <v>4.1256707296260603E-2</v>
      </c>
      <c r="E1476" s="224">
        <v>2747.88095238095</v>
      </c>
      <c r="F1476" s="515" t="s">
        <v>3156</v>
      </c>
      <c r="G1476" s="52">
        <v>351420.87832070497</v>
      </c>
      <c r="H1476" s="56">
        <v>4.4069793637385245E-2</v>
      </c>
      <c r="I1476" s="224" t="s">
        <v>2</v>
      </c>
    </row>
    <row r="1477" spans="1:9" x14ac:dyDescent="0.25">
      <c r="A1477" s="515">
        <v>95831</v>
      </c>
      <c r="B1477" s="515" t="s">
        <v>355</v>
      </c>
      <c r="C1477" s="52">
        <v>569004.16409309604</v>
      </c>
      <c r="D1477" s="56">
        <v>3.3280303983556428E-2</v>
      </c>
      <c r="E1477" s="224">
        <v>2021.2857142857099</v>
      </c>
      <c r="F1477" s="515" t="s">
        <v>3157</v>
      </c>
      <c r="G1477" s="52">
        <v>315600.80011072499</v>
      </c>
      <c r="H1477" s="56">
        <v>5.1037058460931227E-2</v>
      </c>
      <c r="I1477" s="224">
        <v>1508.30555555555</v>
      </c>
    </row>
    <row r="1478" spans="1:9" x14ac:dyDescent="0.25">
      <c r="A1478" s="515">
        <v>23608</v>
      </c>
      <c r="B1478" s="515" t="s">
        <v>301</v>
      </c>
      <c r="C1478" s="52">
        <v>259904.654616849</v>
      </c>
      <c r="D1478" s="56">
        <v>8.1957023745689431E-2</v>
      </c>
      <c r="E1478" s="224">
        <v>1390.7142857142801</v>
      </c>
      <c r="F1478" s="515" t="s">
        <v>3158</v>
      </c>
      <c r="G1478" s="52">
        <v>532400.69701552496</v>
      </c>
      <c r="H1478" s="56">
        <v>4.4068113373751758E-2</v>
      </c>
      <c r="I1478" s="224">
        <v>2804.3055555555502</v>
      </c>
    </row>
    <row r="1479" spans="1:9" x14ac:dyDescent="0.25">
      <c r="A1479" s="515">
        <v>1085</v>
      </c>
      <c r="B1479" s="515" t="s">
        <v>575</v>
      </c>
      <c r="C1479" s="52">
        <v>314874.88852300501</v>
      </c>
      <c r="D1479" s="56">
        <v>7.3789132273821181E-2</v>
      </c>
      <c r="E1479" s="224">
        <v>1450</v>
      </c>
      <c r="F1479" s="515" t="s">
        <v>3159</v>
      </c>
      <c r="G1479" s="52">
        <v>333319.69844645698</v>
      </c>
      <c r="H1479" s="56">
        <v>7.8526024343849976E-2</v>
      </c>
      <c r="I1479" s="224">
        <v>1823.5</v>
      </c>
    </row>
    <row r="1480" spans="1:9" x14ac:dyDescent="0.25">
      <c r="A1480" s="515">
        <v>18702</v>
      </c>
      <c r="B1480" s="515" t="s">
        <v>512</v>
      </c>
      <c r="C1480" s="52">
        <v>119185.393199271</v>
      </c>
      <c r="D1480" s="56">
        <v>0.13646846876317587</v>
      </c>
      <c r="E1480" s="224">
        <v>1100</v>
      </c>
      <c r="F1480" s="515" t="s">
        <v>3160</v>
      </c>
      <c r="G1480" s="52">
        <v>486017.70963935199</v>
      </c>
      <c r="H1480" s="56">
        <v>6.306508672908652E-2</v>
      </c>
      <c r="I1480" s="224">
        <v>2297.8083333333302</v>
      </c>
    </row>
    <row r="1481" spans="1:9" x14ac:dyDescent="0.25">
      <c r="A1481" s="515">
        <v>60067</v>
      </c>
      <c r="B1481" s="515" t="s">
        <v>394</v>
      </c>
      <c r="C1481" s="52">
        <v>361044.555818683</v>
      </c>
      <c r="D1481" s="56">
        <v>3.258796478498921E-2</v>
      </c>
      <c r="E1481" s="224">
        <v>2000</v>
      </c>
      <c r="F1481" s="515" t="s">
        <v>3161</v>
      </c>
      <c r="G1481" s="52">
        <v>588109.60918428097</v>
      </c>
      <c r="H1481" s="56">
        <v>4.5551047287159745E-2</v>
      </c>
      <c r="I1481" s="224">
        <v>2625.1547619047601</v>
      </c>
    </row>
    <row r="1482" spans="1:9" x14ac:dyDescent="0.25">
      <c r="A1482" s="515">
        <v>75050</v>
      </c>
      <c r="B1482" s="515" t="s">
        <v>458</v>
      </c>
      <c r="C1482" s="52">
        <v>262369.618746828</v>
      </c>
      <c r="D1482" s="56">
        <v>0.12918734026429746</v>
      </c>
      <c r="E1482" s="224">
        <v>1399.61952861952</v>
      </c>
      <c r="F1482" s="515" t="s">
        <v>3162</v>
      </c>
      <c r="G1482" s="52">
        <v>788533.65808190696</v>
      </c>
      <c r="H1482" s="56">
        <v>-4.2221232601285449E-2</v>
      </c>
      <c r="I1482" s="224">
        <v>2402.2222222222199</v>
      </c>
    </row>
    <row r="1483" spans="1:9" x14ac:dyDescent="0.25">
      <c r="A1483" s="515">
        <v>97006</v>
      </c>
      <c r="B1483" s="515" t="s">
        <v>659</v>
      </c>
      <c r="C1483" s="52">
        <v>522294.41703864897</v>
      </c>
      <c r="D1483" s="56">
        <v>2.7429543506189081E-2</v>
      </c>
      <c r="E1483" s="224">
        <v>1977.5006060605999</v>
      </c>
      <c r="F1483" s="515" t="s">
        <v>3163</v>
      </c>
      <c r="G1483" s="52">
        <v>490341.43703230401</v>
      </c>
      <c r="H1483" s="56">
        <v>6.5021288719596948E-2</v>
      </c>
      <c r="I1483" s="224">
        <v>2706.25</v>
      </c>
    </row>
    <row r="1484" spans="1:9" x14ac:dyDescent="0.25">
      <c r="A1484" s="515">
        <v>90604</v>
      </c>
      <c r="B1484" s="515" t="s">
        <v>375</v>
      </c>
      <c r="C1484" s="52">
        <v>723473.06392208498</v>
      </c>
      <c r="D1484" s="56">
        <v>4.8880685127635388E-2</v>
      </c>
      <c r="E1484" s="224" t="s">
        <v>2</v>
      </c>
      <c r="F1484" s="515" t="s">
        <v>3164</v>
      </c>
      <c r="G1484" s="52">
        <v>653202.20794693404</v>
      </c>
      <c r="H1484" s="56">
        <v>2.2432542898791482E-2</v>
      </c>
      <c r="I1484" s="224">
        <v>2494.12301587301</v>
      </c>
    </row>
    <row r="1485" spans="1:9" x14ac:dyDescent="0.25">
      <c r="A1485" s="515">
        <v>61554</v>
      </c>
      <c r="B1485" s="515" t="s">
        <v>303</v>
      </c>
      <c r="C1485" s="52">
        <v>108072.714303259</v>
      </c>
      <c r="D1485" s="56">
        <v>5.7916046722268383E-2</v>
      </c>
      <c r="E1485" s="224" t="s">
        <v>2</v>
      </c>
      <c r="F1485" s="515" t="s">
        <v>3165</v>
      </c>
      <c r="G1485" s="52">
        <v>891765.32545654103</v>
      </c>
      <c r="H1485" s="56">
        <v>8.3764585691286142E-2</v>
      </c>
      <c r="I1485" s="224">
        <v>2704.17803030303</v>
      </c>
    </row>
    <row r="1486" spans="1:9" x14ac:dyDescent="0.25">
      <c r="A1486" s="515">
        <v>39401</v>
      </c>
      <c r="B1486" s="515" t="s">
        <v>1074</v>
      </c>
      <c r="C1486" s="52">
        <v>123646.694448946</v>
      </c>
      <c r="D1486" s="56">
        <v>2.9569762298646007E-2</v>
      </c>
      <c r="E1486" s="224">
        <v>965.1</v>
      </c>
      <c r="F1486" s="515" t="s">
        <v>3166</v>
      </c>
      <c r="G1486" s="52">
        <v>189815.89889265</v>
      </c>
      <c r="H1486" s="56">
        <v>-2.0127817197749635E-3</v>
      </c>
      <c r="I1486" s="224">
        <v>1239.9814814814799</v>
      </c>
    </row>
    <row r="1487" spans="1:9" x14ac:dyDescent="0.25">
      <c r="A1487" s="515">
        <v>19426</v>
      </c>
      <c r="B1487" s="515" t="s">
        <v>294</v>
      </c>
      <c r="C1487" s="52">
        <v>496654.984485147</v>
      </c>
      <c r="D1487" s="56">
        <v>0.11650267919611286</v>
      </c>
      <c r="E1487" s="224">
        <v>2094.1666666666601</v>
      </c>
      <c r="F1487" s="515" t="s">
        <v>3167</v>
      </c>
      <c r="G1487" s="52">
        <v>188146.84913683901</v>
      </c>
      <c r="H1487" s="56">
        <v>8.4786442445532545E-2</v>
      </c>
      <c r="I1487" s="224">
        <v>1148.75</v>
      </c>
    </row>
    <row r="1488" spans="1:9" x14ac:dyDescent="0.25">
      <c r="A1488" s="515">
        <v>95380</v>
      </c>
      <c r="B1488" s="515" t="s">
        <v>797</v>
      </c>
      <c r="C1488" s="52">
        <v>406323.50080304599</v>
      </c>
      <c r="D1488" s="56">
        <v>3.7994652732597799E-2</v>
      </c>
      <c r="E1488" s="224">
        <v>1623.3333333333301</v>
      </c>
      <c r="F1488" s="515" t="s">
        <v>3168</v>
      </c>
      <c r="G1488" s="52">
        <v>217313.61920663199</v>
      </c>
      <c r="H1488" s="56">
        <v>6.9822924410948839E-2</v>
      </c>
      <c r="I1488" s="224">
        <v>1287.11746031746</v>
      </c>
    </row>
    <row r="1489" spans="1:9" x14ac:dyDescent="0.25">
      <c r="A1489" s="515">
        <v>94520</v>
      </c>
      <c r="B1489" s="515" t="s">
        <v>593</v>
      </c>
      <c r="C1489" s="52">
        <v>592368.74763160304</v>
      </c>
      <c r="D1489" s="56">
        <v>-1.2288800924085638E-4</v>
      </c>
      <c r="E1489" s="224">
        <v>2631.3571428571399</v>
      </c>
      <c r="F1489" s="515" t="s">
        <v>3169</v>
      </c>
      <c r="G1489" s="52">
        <v>636240.06274471001</v>
      </c>
      <c r="H1489" s="56">
        <v>3.4599601610871368E-2</v>
      </c>
      <c r="I1489" s="224">
        <v>3097.5</v>
      </c>
    </row>
    <row r="1490" spans="1:9" x14ac:dyDescent="0.25">
      <c r="A1490" s="515">
        <v>30736</v>
      </c>
      <c r="B1490" s="515" t="s">
        <v>622</v>
      </c>
      <c r="C1490" s="52">
        <v>270531.126088752</v>
      </c>
      <c r="D1490" s="56">
        <v>8.0827503050851179E-2</v>
      </c>
      <c r="E1490" s="224">
        <v>1700</v>
      </c>
      <c r="F1490" s="515" t="s">
        <v>3170</v>
      </c>
      <c r="G1490" s="52">
        <v>353541.69325787103</v>
      </c>
      <c r="H1490" s="56">
        <v>8.0969050536237638E-2</v>
      </c>
      <c r="I1490" s="224">
        <v>1839.3810606060599</v>
      </c>
    </row>
    <row r="1491" spans="1:9" x14ac:dyDescent="0.25">
      <c r="A1491" s="515">
        <v>37043</v>
      </c>
      <c r="B1491" s="515" t="s">
        <v>651</v>
      </c>
      <c r="C1491" s="52">
        <v>361506.58152189897</v>
      </c>
      <c r="D1491" s="56">
        <v>8.9863234557771982E-2</v>
      </c>
      <c r="E1491" s="224">
        <v>1420.6818181818101</v>
      </c>
      <c r="F1491" s="515" t="s">
        <v>1162</v>
      </c>
      <c r="G1491" s="52">
        <v>100021.600501505</v>
      </c>
      <c r="H1491" s="56">
        <v>3.4751039864281172E-2</v>
      </c>
      <c r="I1491" s="224" t="s">
        <v>2</v>
      </c>
    </row>
    <row r="1492" spans="1:9" x14ac:dyDescent="0.25">
      <c r="A1492" s="515">
        <v>33134</v>
      </c>
      <c r="B1492" s="515" t="s">
        <v>831</v>
      </c>
      <c r="C1492" s="52">
        <v>719628.46263503795</v>
      </c>
      <c r="D1492" s="56">
        <v>0.20294326106071267</v>
      </c>
      <c r="E1492" s="224">
        <v>3142.3480392156798</v>
      </c>
      <c r="F1492" s="515" t="s">
        <v>3171</v>
      </c>
      <c r="G1492" s="52">
        <v>271421.12880844797</v>
      </c>
      <c r="H1492" s="56">
        <v>0.13488533945712611</v>
      </c>
      <c r="I1492" s="224">
        <v>1529.1666666666599</v>
      </c>
    </row>
    <row r="1493" spans="1:9" x14ac:dyDescent="0.25">
      <c r="A1493" s="515">
        <v>85021</v>
      </c>
      <c r="B1493" s="515" t="s">
        <v>563</v>
      </c>
      <c r="C1493" s="52">
        <v>430647.78944236302</v>
      </c>
      <c r="D1493" s="56">
        <v>2.8436257336568981E-2</v>
      </c>
      <c r="E1493" s="224">
        <v>1357.35</v>
      </c>
      <c r="F1493" s="515" t="s">
        <v>1017</v>
      </c>
      <c r="G1493" s="52">
        <v>213943.910020335</v>
      </c>
      <c r="H1493" s="56">
        <v>0.14879046528526382</v>
      </c>
      <c r="I1493" s="224">
        <v>1368.48888888888</v>
      </c>
    </row>
    <row r="1494" spans="1:9" x14ac:dyDescent="0.25">
      <c r="A1494" s="515">
        <v>24502</v>
      </c>
      <c r="B1494" s="515" t="s">
        <v>705</v>
      </c>
      <c r="C1494" s="52">
        <v>238708.86828004901</v>
      </c>
      <c r="D1494" s="56">
        <v>0.11531872503260808</v>
      </c>
      <c r="E1494" s="224">
        <v>1413.88888888888</v>
      </c>
      <c r="F1494" s="515" t="s">
        <v>3172</v>
      </c>
      <c r="G1494" s="52">
        <v>512251.50014245301</v>
      </c>
      <c r="H1494" s="56">
        <v>4.0939208909889023E-2</v>
      </c>
      <c r="I1494" s="224" t="s">
        <v>2</v>
      </c>
    </row>
    <row r="1495" spans="1:9" x14ac:dyDescent="0.25">
      <c r="A1495" s="515">
        <v>98125</v>
      </c>
      <c r="B1495" s="515" t="s">
        <v>384</v>
      </c>
      <c r="C1495" s="52">
        <v>778440.67903146497</v>
      </c>
      <c r="D1495" s="56">
        <v>2.6477230337805961E-2</v>
      </c>
      <c r="E1495" s="224">
        <v>1909.5668276972599</v>
      </c>
      <c r="F1495" s="515" t="s">
        <v>3173</v>
      </c>
      <c r="G1495" s="52">
        <v>164940.73645769199</v>
      </c>
      <c r="H1495" s="56">
        <v>7.053033435426341E-2</v>
      </c>
      <c r="I1495" s="224">
        <v>1130.4166666666599</v>
      </c>
    </row>
    <row r="1496" spans="1:9" x14ac:dyDescent="0.25">
      <c r="A1496" s="515">
        <v>92395</v>
      </c>
      <c r="B1496" s="515" t="s">
        <v>599</v>
      </c>
      <c r="C1496" s="52">
        <v>378377.91485529603</v>
      </c>
      <c r="D1496" s="56">
        <v>5.1527250884275233E-2</v>
      </c>
      <c r="E1496" s="224">
        <v>1985.6476190476101</v>
      </c>
      <c r="F1496" s="515" t="s">
        <v>3174</v>
      </c>
      <c r="G1496" s="52">
        <v>592280.32608844701</v>
      </c>
      <c r="H1496" s="56">
        <v>2.3791508254254544E-2</v>
      </c>
      <c r="I1496" s="224">
        <v>2749.9333333333302</v>
      </c>
    </row>
    <row r="1497" spans="1:9" x14ac:dyDescent="0.25">
      <c r="A1497" s="515">
        <v>30165</v>
      </c>
      <c r="B1497" s="515" t="s">
        <v>1138</v>
      </c>
      <c r="C1497" s="52">
        <v>201733.31186458201</v>
      </c>
      <c r="D1497" s="56">
        <v>0.10231488144865233</v>
      </c>
      <c r="E1497" s="224" t="s">
        <v>2</v>
      </c>
      <c r="F1497" s="515" t="s">
        <v>3175</v>
      </c>
      <c r="G1497" s="52">
        <v>357653.40366560401</v>
      </c>
      <c r="H1497" s="56">
        <v>6.9601383821986981E-2</v>
      </c>
      <c r="I1497" s="224">
        <v>1854.0388888888799</v>
      </c>
    </row>
    <row r="1498" spans="1:9" x14ac:dyDescent="0.25">
      <c r="A1498" s="515">
        <v>43065</v>
      </c>
      <c r="B1498" s="515" t="s">
        <v>345</v>
      </c>
      <c r="C1498" s="52">
        <v>484622.79758933099</v>
      </c>
      <c r="D1498" s="56">
        <v>7.0360807693905153E-2</v>
      </c>
      <c r="E1498" s="224" t="s">
        <v>2</v>
      </c>
      <c r="F1498" s="515" t="s">
        <v>1266</v>
      </c>
      <c r="G1498" s="52">
        <v>126947.163204421</v>
      </c>
      <c r="H1498" s="56">
        <v>6.1661610157364738E-2</v>
      </c>
      <c r="I1498" s="224">
        <v>822.91666666666595</v>
      </c>
    </row>
    <row r="1499" spans="1:9" x14ac:dyDescent="0.25">
      <c r="A1499" s="515">
        <v>98501</v>
      </c>
      <c r="B1499" s="515" t="s">
        <v>527</v>
      </c>
      <c r="C1499" s="52">
        <v>508173.14956167003</v>
      </c>
      <c r="D1499" s="56">
        <v>3.6756922572412414E-2</v>
      </c>
      <c r="E1499" s="224">
        <v>1948.7777777777701</v>
      </c>
      <c r="F1499" s="515" t="s">
        <v>3176</v>
      </c>
      <c r="G1499" s="52">
        <v>345631.83955474501</v>
      </c>
      <c r="H1499" s="56">
        <v>0.14669972821963234</v>
      </c>
      <c r="I1499" s="224">
        <v>2566.3968253968201</v>
      </c>
    </row>
    <row r="1500" spans="1:9" x14ac:dyDescent="0.25">
      <c r="A1500" s="515">
        <v>94611</v>
      </c>
      <c r="B1500" s="515" t="s">
        <v>593</v>
      </c>
      <c r="C1500" s="52">
        <v>1472631.90322641</v>
      </c>
      <c r="D1500" s="56">
        <v>-3.6531576273787905E-2</v>
      </c>
      <c r="E1500" s="224">
        <v>2619.8948412698401</v>
      </c>
      <c r="F1500" s="515" t="s">
        <v>3177</v>
      </c>
      <c r="G1500" s="52">
        <v>263153.88221249002</v>
      </c>
      <c r="H1500" s="56">
        <v>6.7012282574659826E-2</v>
      </c>
      <c r="I1500" s="224">
        <v>1793.55555555555</v>
      </c>
    </row>
    <row r="1501" spans="1:9" x14ac:dyDescent="0.25">
      <c r="A1501" s="515">
        <v>27516</v>
      </c>
      <c r="B1501" s="515" t="s">
        <v>467</v>
      </c>
      <c r="C1501" s="52">
        <v>537730.43592494598</v>
      </c>
      <c r="D1501" s="56">
        <v>0.1045381812681086</v>
      </c>
      <c r="E1501" s="224">
        <v>2225.6111111111099</v>
      </c>
      <c r="F1501" s="515" t="s">
        <v>3178</v>
      </c>
      <c r="G1501" s="52">
        <v>315605.04408231098</v>
      </c>
      <c r="H1501" s="56">
        <v>0.10196400987551631</v>
      </c>
      <c r="I1501" s="224">
        <v>2053.7923280423202</v>
      </c>
    </row>
    <row r="1502" spans="1:9" x14ac:dyDescent="0.25">
      <c r="A1502" s="515">
        <v>90806</v>
      </c>
      <c r="B1502" s="515" t="s">
        <v>375</v>
      </c>
      <c r="C1502" s="52">
        <v>702991.97962909797</v>
      </c>
      <c r="D1502" s="56">
        <v>2.3047454507348689E-2</v>
      </c>
      <c r="E1502" s="224">
        <v>1810.4107142857099</v>
      </c>
      <c r="F1502" s="515" t="s">
        <v>3179</v>
      </c>
      <c r="G1502" s="52">
        <v>144911.39994005699</v>
      </c>
      <c r="H1502" s="56">
        <v>8.4569838328431152E-2</v>
      </c>
      <c r="I1502" s="224">
        <v>900</v>
      </c>
    </row>
    <row r="1503" spans="1:9" x14ac:dyDescent="0.25">
      <c r="A1503" s="515">
        <v>75703</v>
      </c>
      <c r="B1503" s="515" t="s">
        <v>1157</v>
      </c>
      <c r="C1503" s="52">
        <v>328631.57052602898</v>
      </c>
      <c r="D1503" s="56">
        <v>7.6676761515692513E-2</v>
      </c>
      <c r="E1503" s="224">
        <v>1517.4666666666601</v>
      </c>
      <c r="F1503" s="515" t="s">
        <v>3180</v>
      </c>
      <c r="G1503" s="52">
        <v>424741.194430915</v>
      </c>
      <c r="H1503" s="56">
        <v>6.4857416263336673E-2</v>
      </c>
      <c r="I1503" s="224">
        <v>1931.6666666666599</v>
      </c>
    </row>
    <row r="1504" spans="1:9" x14ac:dyDescent="0.25">
      <c r="A1504" s="515">
        <v>29910</v>
      </c>
      <c r="B1504" s="515" t="s">
        <v>734</v>
      </c>
      <c r="C1504" s="52">
        <v>479636.970068981</v>
      </c>
      <c r="D1504" s="56">
        <v>0.14506462486185967</v>
      </c>
      <c r="E1504" s="224">
        <v>2297.6694444444402</v>
      </c>
      <c r="F1504" s="515" t="s">
        <v>3181</v>
      </c>
      <c r="G1504" s="52">
        <v>376921.34844589501</v>
      </c>
      <c r="H1504" s="56">
        <v>8.6809339975790545E-2</v>
      </c>
      <c r="I1504" s="224">
        <v>2332.5</v>
      </c>
    </row>
    <row r="1505" spans="1:9" x14ac:dyDescent="0.25">
      <c r="A1505" s="515">
        <v>50613</v>
      </c>
      <c r="B1505" s="515" t="s">
        <v>315</v>
      </c>
      <c r="C1505" s="52">
        <v>228930.90777327801</v>
      </c>
      <c r="D1505" s="56">
        <v>8.2026798592198455E-2</v>
      </c>
      <c r="E1505" s="224">
        <v>1241.68345543345</v>
      </c>
      <c r="F1505" s="515" t="s">
        <v>3182</v>
      </c>
      <c r="G1505" s="52">
        <v>108800.57399665601</v>
      </c>
      <c r="H1505" s="56">
        <v>2.4564037337171135E-2</v>
      </c>
      <c r="I1505" s="224" t="s">
        <v>2</v>
      </c>
    </row>
    <row r="1506" spans="1:9" x14ac:dyDescent="0.25">
      <c r="A1506" s="515">
        <v>91360</v>
      </c>
      <c r="B1506" s="515" t="s">
        <v>1021</v>
      </c>
      <c r="C1506" s="52">
        <v>888480.34641750297</v>
      </c>
      <c r="D1506" s="56">
        <v>4.5614752484006663E-2</v>
      </c>
      <c r="E1506" s="224">
        <v>3111.1666666666601</v>
      </c>
      <c r="F1506" s="515" t="s">
        <v>3183</v>
      </c>
      <c r="G1506" s="52">
        <v>642449.62237478897</v>
      </c>
      <c r="H1506" s="56">
        <v>5.7751827309254315E-2</v>
      </c>
      <c r="I1506" s="224" t="s">
        <v>2</v>
      </c>
    </row>
    <row r="1507" spans="1:9" x14ac:dyDescent="0.25">
      <c r="A1507" s="515">
        <v>49009</v>
      </c>
      <c r="B1507" s="515" t="s">
        <v>1037</v>
      </c>
      <c r="C1507" s="52">
        <v>326950.38421806699</v>
      </c>
      <c r="D1507" s="56">
        <v>4.9815450673923713E-2</v>
      </c>
      <c r="E1507" s="224">
        <v>1249.68333333333</v>
      </c>
      <c r="F1507" s="515" t="s">
        <v>3184</v>
      </c>
      <c r="G1507" s="52">
        <v>264984.96127553203</v>
      </c>
      <c r="H1507" s="56">
        <v>8.3625366306983182E-2</v>
      </c>
      <c r="I1507" s="224">
        <v>1642.8443223443201</v>
      </c>
    </row>
    <row r="1508" spans="1:9" x14ac:dyDescent="0.25">
      <c r="A1508" s="515">
        <v>54703</v>
      </c>
      <c r="B1508" s="515" t="s">
        <v>1028</v>
      </c>
      <c r="C1508" s="52">
        <v>243256.872134626</v>
      </c>
      <c r="D1508" s="56">
        <v>7.4319222275256946E-2</v>
      </c>
      <c r="E1508" s="224">
        <v>1246.6666666666599</v>
      </c>
      <c r="F1508" s="515" t="s">
        <v>3185</v>
      </c>
      <c r="G1508" s="52">
        <v>850166.73891358299</v>
      </c>
      <c r="H1508" s="56">
        <v>3.7170422521333776E-2</v>
      </c>
      <c r="I1508" s="224">
        <v>3377.5555555555502</v>
      </c>
    </row>
    <row r="1509" spans="1:9" x14ac:dyDescent="0.25">
      <c r="A1509" s="515">
        <v>14224</v>
      </c>
      <c r="B1509" s="515" t="s">
        <v>336</v>
      </c>
      <c r="C1509" s="52">
        <v>239949.16647227501</v>
      </c>
      <c r="D1509" s="56">
        <v>7.0331020189210502E-2</v>
      </c>
      <c r="E1509" s="224" t="s">
        <v>2</v>
      </c>
      <c r="F1509" s="515" t="s">
        <v>3186</v>
      </c>
      <c r="G1509" s="52">
        <v>212871.232316176</v>
      </c>
      <c r="H1509" s="56">
        <v>8.9704643697745307E-2</v>
      </c>
      <c r="I1509" s="224">
        <v>1313.5833333333301</v>
      </c>
    </row>
    <row r="1510" spans="1:9" x14ac:dyDescent="0.25">
      <c r="A1510" s="515">
        <v>34208</v>
      </c>
      <c r="B1510" s="515" t="s">
        <v>466</v>
      </c>
      <c r="C1510" s="52">
        <v>351470.08374570002</v>
      </c>
      <c r="D1510" s="56">
        <v>0.19362573555319654</v>
      </c>
      <c r="E1510" s="224">
        <v>2079.6287581699298</v>
      </c>
      <c r="F1510" s="515" t="s">
        <v>3187</v>
      </c>
      <c r="G1510" s="52">
        <v>436893.33130436501</v>
      </c>
      <c r="H1510" s="56">
        <v>7.0376810572054499E-2</v>
      </c>
      <c r="I1510" s="224" t="s">
        <v>2</v>
      </c>
    </row>
    <row r="1511" spans="1:9" x14ac:dyDescent="0.25">
      <c r="A1511" s="515">
        <v>34609</v>
      </c>
      <c r="B1511" s="515" t="s">
        <v>461</v>
      </c>
      <c r="C1511" s="52">
        <v>325216.88091189298</v>
      </c>
      <c r="D1511" s="56">
        <v>0.10545109242616409</v>
      </c>
      <c r="E1511" s="224">
        <v>2151.24074074074</v>
      </c>
      <c r="F1511" s="515" t="s">
        <v>3188</v>
      </c>
      <c r="G1511" s="52">
        <v>493520.01230352197</v>
      </c>
      <c r="H1511" s="56">
        <v>0.10089151988605172</v>
      </c>
      <c r="I1511" s="224">
        <v>2208.7027777777698</v>
      </c>
    </row>
    <row r="1512" spans="1:9" x14ac:dyDescent="0.25">
      <c r="A1512" s="515">
        <v>98837</v>
      </c>
      <c r="B1512" s="515" t="s">
        <v>666</v>
      </c>
      <c r="C1512" s="52">
        <v>340229.98867318197</v>
      </c>
      <c r="D1512" s="56">
        <v>5.536762714341735E-2</v>
      </c>
      <c r="E1512" s="224">
        <v>1499.5</v>
      </c>
      <c r="F1512" s="515" t="s">
        <v>660</v>
      </c>
      <c r="G1512" s="52">
        <v>271414.41410680802</v>
      </c>
      <c r="H1512" s="56">
        <v>6.3084639509715087E-2</v>
      </c>
      <c r="I1512" s="224" t="s">
        <v>2</v>
      </c>
    </row>
    <row r="1513" spans="1:9" x14ac:dyDescent="0.25">
      <c r="A1513" s="515">
        <v>21502</v>
      </c>
      <c r="B1513" s="515" t="s">
        <v>362</v>
      </c>
      <c r="C1513" s="52">
        <v>128060.89854951399</v>
      </c>
      <c r="D1513" s="56">
        <v>5.4908239302658077E-2</v>
      </c>
      <c r="E1513" s="224">
        <v>872.5</v>
      </c>
      <c r="F1513" s="515" t="s">
        <v>3189</v>
      </c>
      <c r="G1513" s="52">
        <v>412633.31523234898</v>
      </c>
      <c r="H1513" s="56">
        <v>7.8656928726536665E-2</v>
      </c>
      <c r="I1513" s="224">
        <v>1930.2777777777701</v>
      </c>
    </row>
    <row r="1514" spans="1:9" x14ac:dyDescent="0.25">
      <c r="A1514" s="515">
        <v>38655</v>
      </c>
      <c r="B1514" s="515" t="s">
        <v>689</v>
      </c>
      <c r="C1514" s="52">
        <v>274884.03372915101</v>
      </c>
      <c r="D1514" s="56">
        <v>6.6224416777910244E-2</v>
      </c>
      <c r="E1514" s="224">
        <v>1930.2083333333301</v>
      </c>
      <c r="F1514" s="515" t="s">
        <v>3190</v>
      </c>
      <c r="G1514" s="52">
        <v>221753.87399489799</v>
      </c>
      <c r="H1514" s="56">
        <v>4.1329353306955474E-2</v>
      </c>
      <c r="I1514" s="224" t="s">
        <v>2</v>
      </c>
    </row>
    <row r="1515" spans="1:9" x14ac:dyDescent="0.25">
      <c r="A1515" s="515">
        <v>96740</v>
      </c>
      <c r="B1515" s="515" t="s">
        <v>399</v>
      </c>
      <c r="C1515" s="52">
        <v>805406.28113633103</v>
      </c>
      <c r="D1515" s="56">
        <v>9.0427044894160077E-2</v>
      </c>
      <c r="E1515" s="224">
        <v>3475</v>
      </c>
      <c r="F1515" s="515" t="s">
        <v>3191</v>
      </c>
      <c r="G1515" s="52">
        <v>462820.91621027101</v>
      </c>
      <c r="H1515" s="56">
        <v>3.2662638016970051E-2</v>
      </c>
      <c r="I1515" s="224">
        <v>1657.60847975553</v>
      </c>
    </row>
    <row r="1516" spans="1:9" x14ac:dyDescent="0.25">
      <c r="A1516" s="515">
        <v>93726</v>
      </c>
      <c r="B1516" s="515" t="s">
        <v>541</v>
      </c>
      <c r="C1516" s="52">
        <v>302431.59476521198</v>
      </c>
      <c r="D1516" s="56">
        <v>7.4703434001361355E-2</v>
      </c>
      <c r="E1516" s="224">
        <v>1507.3333333333301</v>
      </c>
      <c r="F1516" s="515" t="s">
        <v>3192</v>
      </c>
      <c r="G1516" s="52">
        <v>380018.16458076402</v>
      </c>
      <c r="H1516" s="56">
        <v>1.7320678785661719E-2</v>
      </c>
      <c r="I1516" s="224">
        <v>1400</v>
      </c>
    </row>
    <row r="1517" spans="1:9" x14ac:dyDescent="0.25">
      <c r="A1517" s="515">
        <v>85015</v>
      </c>
      <c r="B1517" s="515" t="s">
        <v>563</v>
      </c>
      <c r="C1517" s="52">
        <v>329476.12630367099</v>
      </c>
      <c r="D1517" s="56">
        <v>2.706067881008975E-2</v>
      </c>
      <c r="E1517" s="224">
        <v>1423.8560606060601</v>
      </c>
      <c r="F1517" s="515" t="s">
        <v>3193</v>
      </c>
      <c r="G1517" s="52">
        <v>461582.989115768</v>
      </c>
      <c r="H1517" s="56">
        <v>1.646656077647473E-2</v>
      </c>
      <c r="I1517" s="224" t="s">
        <v>2</v>
      </c>
    </row>
    <row r="1518" spans="1:9" x14ac:dyDescent="0.25">
      <c r="A1518" s="515">
        <v>78415</v>
      </c>
      <c r="B1518" s="515" t="s">
        <v>415</v>
      </c>
      <c r="C1518" s="52">
        <v>153555.387407987</v>
      </c>
      <c r="D1518" s="56">
        <v>1.0315196404961736E-2</v>
      </c>
      <c r="E1518" s="224">
        <v>1330.4166666666599</v>
      </c>
      <c r="F1518" s="515" t="s">
        <v>3194</v>
      </c>
      <c r="G1518" s="52">
        <v>1279866.60036912</v>
      </c>
      <c r="H1518" s="56">
        <v>3.6269920092017856E-2</v>
      </c>
      <c r="I1518" s="224">
        <v>3572.8636752136699</v>
      </c>
    </row>
    <row r="1519" spans="1:9" x14ac:dyDescent="0.25">
      <c r="A1519" s="515">
        <v>38127</v>
      </c>
      <c r="B1519" s="515" t="s">
        <v>951</v>
      </c>
      <c r="C1519" s="52">
        <v>84695.043104580298</v>
      </c>
      <c r="D1519" s="56">
        <v>0.15934976316884128</v>
      </c>
      <c r="E1519" s="224">
        <v>964.30735930735898</v>
      </c>
      <c r="F1519" s="515" t="s">
        <v>3195</v>
      </c>
      <c r="G1519" s="52">
        <v>251910.118280286</v>
      </c>
      <c r="H1519" s="56">
        <v>0.11512813418864264</v>
      </c>
      <c r="I1519" s="224">
        <v>1401.7777777777701</v>
      </c>
    </row>
    <row r="1520" spans="1:9" x14ac:dyDescent="0.25">
      <c r="A1520" s="515">
        <v>11580</v>
      </c>
      <c r="B1520" s="515" t="s">
        <v>324</v>
      </c>
      <c r="C1520" s="52">
        <v>605936.33641460002</v>
      </c>
      <c r="D1520" s="56">
        <v>4.9209330703207578E-2</v>
      </c>
      <c r="E1520" s="224" t="s">
        <v>2</v>
      </c>
      <c r="F1520" s="515" t="s">
        <v>3196</v>
      </c>
      <c r="G1520" s="52">
        <v>715064.89323345898</v>
      </c>
      <c r="H1520" s="56">
        <v>3.0758907733099815E-2</v>
      </c>
      <c r="I1520" s="224">
        <v>3645</v>
      </c>
    </row>
    <row r="1521" spans="1:9" x14ac:dyDescent="0.25">
      <c r="A1521" s="515">
        <v>95628</v>
      </c>
      <c r="B1521" s="515" t="s">
        <v>355</v>
      </c>
      <c r="C1521" s="52">
        <v>571107.463592001</v>
      </c>
      <c r="D1521" s="56">
        <v>5.6117369272364326E-3</v>
      </c>
      <c r="E1521" s="224">
        <v>2020.7023809523801</v>
      </c>
      <c r="F1521" s="515" t="s">
        <v>1053</v>
      </c>
      <c r="G1521" s="52">
        <v>164008.288980916</v>
      </c>
      <c r="H1521" s="56">
        <v>8.3798050815961797E-2</v>
      </c>
      <c r="I1521" s="224" t="s">
        <v>2</v>
      </c>
    </row>
    <row r="1522" spans="1:9" x14ac:dyDescent="0.25">
      <c r="A1522" s="515">
        <v>35405</v>
      </c>
      <c r="B1522" s="515" t="s">
        <v>841</v>
      </c>
      <c r="C1522" s="52">
        <v>227555.31407560699</v>
      </c>
      <c r="D1522" s="56">
        <v>5.7307959661420819E-2</v>
      </c>
      <c r="E1522" s="224">
        <v>1539.00793650793</v>
      </c>
      <c r="F1522" s="515" t="s">
        <v>1163</v>
      </c>
      <c r="G1522" s="52">
        <v>123480.62958196799</v>
      </c>
      <c r="H1522" s="56">
        <v>0.25906497852686267</v>
      </c>
      <c r="I1522" s="224" t="s">
        <v>2</v>
      </c>
    </row>
    <row r="1523" spans="1:9" x14ac:dyDescent="0.25">
      <c r="A1523" s="515">
        <v>10455</v>
      </c>
      <c r="B1523" s="515" t="s">
        <v>324</v>
      </c>
      <c r="C1523" s="52">
        <v>388891.24525448203</v>
      </c>
      <c r="D1523" s="56">
        <v>-3.1602297278097824E-2</v>
      </c>
      <c r="E1523" s="224">
        <v>2360.7666666666601</v>
      </c>
      <c r="F1523" s="515" t="s">
        <v>774</v>
      </c>
      <c r="G1523" s="52">
        <v>116562.006412635</v>
      </c>
      <c r="H1523" s="56">
        <v>8.1331116225909522E-2</v>
      </c>
      <c r="I1523" s="224">
        <v>1150.6666666666599</v>
      </c>
    </row>
    <row r="1524" spans="1:9" x14ac:dyDescent="0.25">
      <c r="A1524" s="515">
        <v>72756</v>
      </c>
      <c r="B1524" s="515" t="s">
        <v>675</v>
      </c>
      <c r="C1524" s="52">
        <v>285453.83805530099</v>
      </c>
      <c r="D1524" s="56">
        <v>0.13497678162816612</v>
      </c>
      <c r="E1524" s="224">
        <v>1464.6666666666599</v>
      </c>
      <c r="F1524" s="515" t="s">
        <v>3197</v>
      </c>
      <c r="G1524" s="52">
        <v>1218599.39939162</v>
      </c>
      <c r="H1524" s="56">
        <v>-6.214029398511781E-5</v>
      </c>
      <c r="I1524" s="224">
        <v>2999.875</v>
      </c>
    </row>
    <row r="1525" spans="1:9" x14ac:dyDescent="0.25">
      <c r="A1525" s="515">
        <v>77060</v>
      </c>
      <c r="B1525" s="515" t="s">
        <v>314</v>
      </c>
      <c r="C1525" s="52">
        <v>194514.24059946599</v>
      </c>
      <c r="D1525" s="56">
        <v>0.16244732804047801</v>
      </c>
      <c r="E1525" s="224">
        <v>1139.5833333333301</v>
      </c>
      <c r="F1525" s="515" t="s">
        <v>3198</v>
      </c>
      <c r="G1525" s="52">
        <v>290518.08753593598</v>
      </c>
      <c r="H1525" s="56">
        <v>8.2486409070197358E-2</v>
      </c>
      <c r="I1525" s="224">
        <v>1669.1666666666599</v>
      </c>
    </row>
    <row r="1526" spans="1:9" x14ac:dyDescent="0.25">
      <c r="A1526" s="515">
        <v>40509</v>
      </c>
      <c r="B1526" s="515" t="s">
        <v>515</v>
      </c>
      <c r="C1526" s="52">
        <v>329143.060244722</v>
      </c>
      <c r="D1526" s="56">
        <v>8.1805618079406353E-2</v>
      </c>
      <c r="E1526" s="224">
        <v>1428.69047619047</v>
      </c>
      <c r="F1526" s="515" t="s">
        <v>1192</v>
      </c>
      <c r="G1526" s="52">
        <v>244729.938567679</v>
      </c>
      <c r="H1526" s="56">
        <v>0.18138935199502113</v>
      </c>
      <c r="I1526" s="224" t="s">
        <v>2</v>
      </c>
    </row>
    <row r="1527" spans="1:9" x14ac:dyDescent="0.25">
      <c r="A1527" s="515">
        <v>32907</v>
      </c>
      <c r="B1527" s="515" t="s">
        <v>1133</v>
      </c>
      <c r="C1527" s="52">
        <v>305366.92690836301</v>
      </c>
      <c r="D1527" s="56">
        <v>9.290860279762575E-2</v>
      </c>
      <c r="E1527" s="224">
        <v>1916.0074074074</v>
      </c>
      <c r="F1527" s="515" t="s">
        <v>3199</v>
      </c>
      <c r="G1527" s="52">
        <v>261760.72703389599</v>
      </c>
      <c r="H1527" s="56">
        <v>9.2213630729909027E-2</v>
      </c>
      <c r="I1527" s="224">
        <v>1788</v>
      </c>
    </row>
    <row r="1528" spans="1:9" x14ac:dyDescent="0.25">
      <c r="A1528" s="515">
        <v>72712</v>
      </c>
      <c r="B1528" s="515" t="s">
        <v>675</v>
      </c>
      <c r="C1528" s="52">
        <v>416578.40286206699</v>
      </c>
      <c r="D1528" s="56">
        <v>0.15278710730218159</v>
      </c>
      <c r="E1528" s="224">
        <v>1619.3411306042799</v>
      </c>
      <c r="F1528" s="515" t="s">
        <v>3200</v>
      </c>
      <c r="G1528" s="52">
        <v>319503.808419284</v>
      </c>
      <c r="H1528" s="56">
        <v>6.0381585838765718E-2</v>
      </c>
      <c r="I1528" s="224">
        <v>1743.6666666666599</v>
      </c>
    </row>
    <row r="1529" spans="1:9" x14ac:dyDescent="0.25">
      <c r="A1529" s="515">
        <v>60188</v>
      </c>
      <c r="B1529" s="515" t="s">
        <v>394</v>
      </c>
      <c r="C1529" s="52">
        <v>310960.56527923798</v>
      </c>
      <c r="D1529" s="56">
        <v>6.8884404860451096E-2</v>
      </c>
      <c r="E1529" s="224">
        <v>1579.13888888888</v>
      </c>
      <c r="F1529" s="515" t="s">
        <v>781</v>
      </c>
      <c r="G1529" s="52">
        <v>406035.37613680499</v>
      </c>
      <c r="H1529" s="56">
        <v>4.4252666549056227E-2</v>
      </c>
      <c r="I1529" s="224" t="s">
        <v>2</v>
      </c>
    </row>
    <row r="1530" spans="1:9" x14ac:dyDescent="0.25">
      <c r="A1530" s="515">
        <v>43235</v>
      </c>
      <c r="B1530" s="515" t="s">
        <v>345</v>
      </c>
      <c r="C1530" s="52">
        <v>333683.58970394603</v>
      </c>
      <c r="D1530" s="56">
        <v>6.6703700659121914E-2</v>
      </c>
      <c r="E1530" s="224">
        <v>1335.1818181818101</v>
      </c>
      <c r="F1530" s="515" t="s">
        <v>3201</v>
      </c>
      <c r="G1530" s="52">
        <v>271508.69052071398</v>
      </c>
      <c r="H1530" s="56">
        <v>0.10120894884301</v>
      </c>
      <c r="I1530" s="224">
        <v>1829.5833333333301</v>
      </c>
    </row>
    <row r="1531" spans="1:9" x14ac:dyDescent="0.25">
      <c r="A1531" s="515">
        <v>31313</v>
      </c>
      <c r="B1531" s="515" t="s">
        <v>1092</v>
      </c>
      <c r="C1531" s="52">
        <v>195088.73176877099</v>
      </c>
      <c r="D1531" s="56">
        <v>0.17197111258060313</v>
      </c>
      <c r="E1531" s="224">
        <v>1531.6666666666599</v>
      </c>
      <c r="F1531" s="515" t="s">
        <v>3202</v>
      </c>
      <c r="G1531" s="52">
        <v>212242.79328342501</v>
      </c>
      <c r="H1531" s="56">
        <v>7.3151096391819881E-2</v>
      </c>
      <c r="I1531" s="224">
        <v>947.32142857142799</v>
      </c>
    </row>
    <row r="1532" spans="1:9" x14ac:dyDescent="0.25">
      <c r="A1532" s="515">
        <v>64118</v>
      </c>
      <c r="B1532" s="515" t="s">
        <v>455</v>
      </c>
      <c r="C1532" s="52">
        <v>232285.73135057799</v>
      </c>
      <c r="D1532" s="56">
        <v>7.6498921822226798E-2</v>
      </c>
      <c r="E1532" s="224">
        <v>1227.4126984126899</v>
      </c>
      <c r="F1532" s="515" t="s">
        <v>3203</v>
      </c>
      <c r="G1532" s="52">
        <v>477360.65256775101</v>
      </c>
      <c r="H1532" s="56">
        <v>6.9346339384609976E-2</v>
      </c>
      <c r="I1532" s="224">
        <v>1988.6688311688299</v>
      </c>
    </row>
    <row r="1533" spans="1:9" x14ac:dyDescent="0.25">
      <c r="A1533" s="515">
        <v>57702</v>
      </c>
      <c r="B1533" s="515" t="s">
        <v>854</v>
      </c>
      <c r="C1533" s="52">
        <v>397872.575112622</v>
      </c>
      <c r="D1533" s="56">
        <v>9.4903978897836805E-2</v>
      </c>
      <c r="E1533" s="224">
        <v>1548.125</v>
      </c>
      <c r="F1533" s="515" t="s">
        <v>3204</v>
      </c>
      <c r="G1533" s="52">
        <v>340830.73515400302</v>
      </c>
      <c r="H1533" s="56">
        <v>3.4484123635324639E-2</v>
      </c>
      <c r="I1533" s="224">
        <v>2050</v>
      </c>
    </row>
    <row r="1534" spans="1:9" x14ac:dyDescent="0.25">
      <c r="A1534" s="515">
        <v>97202</v>
      </c>
      <c r="B1534" s="515" t="s">
        <v>659</v>
      </c>
      <c r="C1534" s="52">
        <v>610255.04420318501</v>
      </c>
      <c r="D1534" s="56">
        <v>-1.1135171662632306E-2</v>
      </c>
      <c r="E1534" s="224">
        <v>1713.8143479614</v>
      </c>
      <c r="F1534" s="515" t="s">
        <v>3205</v>
      </c>
      <c r="G1534" s="52">
        <v>338601.978066304</v>
      </c>
      <c r="H1534" s="56">
        <v>0.10285674328827936</v>
      </c>
      <c r="I1534" s="224">
        <v>1740</v>
      </c>
    </row>
    <row r="1535" spans="1:9" x14ac:dyDescent="0.25">
      <c r="A1535" s="515">
        <v>85017</v>
      </c>
      <c r="B1535" s="515" t="s">
        <v>563</v>
      </c>
      <c r="C1535" s="52">
        <v>292456.10527478199</v>
      </c>
      <c r="D1535" s="56">
        <v>7.0738876551006746E-2</v>
      </c>
      <c r="E1535" s="224">
        <v>1941.25</v>
      </c>
      <c r="F1535" s="515" t="s">
        <v>3206</v>
      </c>
      <c r="G1535" s="52">
        <v>344368.62850154901</v>
      </c>
      <c r="H1535" s="56">
        <v>5.0473487883313149E-2</v>
      </c>
      <c r="I1535" s="224">
        <v>1962.0888888888801</v>
      </c>
    </row>
    <row r="1536" spans="1:9" x14ac:dyDescent="0.25">
      <c r="A1536" s="515">
        <v>73034</v>
      </c>
      <c r="B1536" s="515" t="s">
        <v>385</v>
      </c>
      <c r="C1536" s="52">
        <v>374014.59186234197</v>
      </c>
      <c r="D1536" s="56">
        <v>9.5184726226813607E-2</v>
      </c>
      <c r="E1536" s="224">
        <v>1444.2738095238001</v>
      </c>
      <c r="F1536" s="515" t="s">
        <v>3207</v>
      </c>
      <c r="G1536" s="52">
        <v>616780.55421044002</v>
      </c>
      <c r="H1536" s="56">
        <v>5.2310338029846706E-2</v>
      </c>
      <c r="I1536" s="224">
        <v>2394.6666666666601</v>
      </c>
    </row>
    <row r="1537" spans="1:9" x14ac:dyDescent="0.25">
      <c r="A1537" s="515">
        <v>29203</v>
      </c>
      <c r="B1537" s="515" t="s">
        <v>762</v>
      </c>
      <c r="C1537" s="52">
        <v>116672.68561053601</v>
      </c>
      <c r="D1537" s="56">
        <v>0.2495138671766638</v>
      </c>
      <c r="E1537" s="224">
        <v>1198.94444444444</v>
      </c>
      <c r="F1537" s="515" t="s">
        <v>3208</v>
      </c>
      <c r="G1537" s="52">
        <v>394013.97648694902</v>
      </c>
      <c r="H1537" s="56">
        <v>1.8571871185331594E-2</v>
      </c>
      <c r="I1537" s="224">
        <v>1960.5</v>
      </c>
    </row>
    <row r="1538" spans="1:9" x14ac:dyDescent="0.25">
      <c r="A1538" s="515">
        <v>70737</v>
      </c>
      <c r="B1538" s="515" t="s">
        <v>610</v>
      </c>
      <c r="C1538" s="52">
        <v>246883.10344432801</v>
      </c>
      <c r="D1538" s="56">
        <v>5.5591581751820676E-2</v>
      </c>
      <c r="E1538" s="224">
        <v>1401.38888888888</v>
      </c>
      <c r="F1538" s="515" t="s">
        <v>3209</v>
      </c>
      <c r="G1538" s="52">
        <v>305961.74919003597</v>
      </c>
      <c r="H1538" s="56">
        <v>6.8629632263609713E-2</v>
      </c>
      <c r="I1538" s="224">
        <v>1572.9</v>
      </c>
    </row>
    <row r="1539" spans="1:9" x14ac:dyDescent="0.25">
      <c r="A1539" s="515">
        <v>30126</v>
      </c>
      <c r="B1539" s="515" t="s">
        <v>957</v>
      </c>
      <c r="C1539" s="52">
        <v>358817.90132839797</v>
      </c>
      <c r="D1539" s="56">
        <v>9.6861254998808335E-2</v>
      </c>
      <c r="E1539" s="224">
        <v>2199.9047619047601</v>
      </c>
      <c r="F1539" s="515" t="s">
        <v>476</v>
      </c>
      <c r="G1539" s="52">
        <v>187582.90052196599</v>
      </c>
      <c r="H1539" s="56">
        <v>0.12844469059401595</v>
      </c>
      <c r="I1539" s="224">
        <v>1134.7222222222199</v>
      </c>
    </row>
    <row r="1540" spans="1:9" x14ac:dyDescent="0.25">
      <c r="A1540" s="515">
        <v>76112</v>
      </c>
      <c r="B1540" s="515" t="s">
        <v>458</v>
      </c>
      <c r="C1540" s="52">
        <v>242372.77592893899</v>
      </c>
      <c r="D1540" s="56">
        <v>0.12113478467828291</v>
      </c>
      <c r="E1540" s="224">
        <v>1303.25079365079</v>
      </c>
      <c r="F1540" s="515" t="s">
        <v>3210</v>
      </c>
      <c r="G1540" s="52">
        <v>335967.475983396</v>
      </c>
      <c r="H1540" s="56">
        <v>9.4889184276589572E-2</v>
      </c>
      <c r="I1540" s="224">
        <v>2117.9333333333302</v>
      </c>
    </row>
    <row r="1541" spans="1:9" x14ac:dyDescent="0.25">
      <c r="A1541" s="515">
        <v>48224</v>
      </c>
      <c r="B1541" s="515" t="s">
        <v>685</v>
      </c>
      <c r="C1541" s="52">
        <v>77779.247600898103</v>
      </c>
      <c r="D1541" s="56">
        <v>0.10333466607450358</v>
      </c>
      <c r="E1541" s="224">
        <v>1113.6363636363601</v>
      </c>
      <c r="F1541" s="515" t="s">
        <v>3211</v>
      </c>
      <c r="G1541" s="52">
        <v>569963.11590397102</v>
      </c>
      <c r="H1541" s="56">
        <v>7.3594844272298468E-2</v>
      </c>
      <c r="I1541" s="224">
        <v>2182.3523809523799</v>
      </c>
    </row>
    <row r="1542" spans="1:9" x14ac:dyDescent="0.25">
      <c r="A1542" s="515">
        <v>12603</v>
      </c>
      <c r="B1542" s="515" t="s">
        <v>529</v>
      </c>
      <c r="C1542" s="52">
        <v>363142.55428429198</v>
      </c>
      <c r="D1542" s="56">
        <v>7.1386625230761877E-2</v>
      </c>
      <c r="E1542" s="224">
        <v>2041.6666666666599</v>
      </c>
      <c r="F1542" s="515" t="s">
        <v>3212</v>
      </c>
      <c r="G1542" s="52">
        <v>574395.40189859096</v>
      </c>
      <c r="H1542" s="56">
        <v>-5.4012575850062416E-2</v>
      </c>
      <c r="I1542" s="224">
        <v>3318.4682539682499</v>
      </c>
    </row>
    <row r="1543" spans="1:9" x14ac:dyDescent="0.25">
      <c r="A1543" s="515">
        <v>95050</v>
      </c>
      <c r="B1543" s="515" t="s">
        <v>850</v>
      </c>
      <c r="C1543" s="52">
        <v>1380020.1697202499</v>
      </c>
      <c r="D1543" s="56">
        <v>3.7988907912847203E-2</v>
      </c>
      <c r="E1543" s="224">
        <v>2916.1308479532099</v>
      </c>
      <c r="F1543" s="515" t="s">
        <v>3213</v>
      </c>
      <c r="G1543" s="52">
        <v>495408.73698691302</v>
      </c>
      <c r="H1543" s="56">
        <v>4.4312233383742392E-2</v>
      </c>
      <c r="I1543" s="224">
        <v>2909.9259259259202</v>
      </c>
    </row>
    <row r="1544" spans="1:9" x14ac:dyDescent="0.25">
      <c r="A1544" s="515">
        <v>14450</v>
      </c>
      <c r="B1544" s="515" t="s">
        <v>337</v>
      </c>
      <c r="C1544" s="52">
        <v>299139.65274051501</v>
      </c>
      <c r="D1544" s="56">
        <v>5.8737346459449814E-2</v>
      </c>
      <c r="E1544" s="224">
        <v>1409.1666666666599</v>
      </c>
      <c r="F1544" s="515" t="s">
        <v>3214</v>
      </c>
      <c r="G1544" s="52">
        <v>396545.89812960097</v>
      </c>
      <c r="H1544" s="56">
        <v>6.2063433066910034E-2</v>
      </c>
      <c r="I1544" s="224">
        <v>1424.6666666666599</v>
      </c>
    </row>
    <row r="1545" spans="1:9" x14ac:dyDescent="0.25">
      <c r="A1545" s="515">
        <v>44203</v>
      </c>
      <c r="B1545" s="515" t="s">
        <v>1000</v>
      </c>
      <c r="C1545" s="52">
        <v>143935.82311537099</v>
      </c>
      <c r="D1545" s="56">
        <v>9.0389704876530419E-2</v>
      </c>
      <c r="E1545" s="224" t="s">
        <v>2</v>
      </c>
      <c r="F1545" s="515" t="s">
        <v>3215</v>
      </c>
      <c r="G1545" s="52">
        <v>185256.984525165</v>
      </c>
      <c r="H1545" s="56">
        <v>-7.059715434729319E-2</v>
      </c>
      <c r="I1545" s="224" t="s">
        <v>2</v>
      </c>
    </row>
    <row r="1546" spans="1:9" x14ac:dyDescent="0.25">
      <c r="A1546" s="515">
        <v>34761</v>
      </c>
      <c r="B1546" s="515" t="s">
        <v>517</v>
      </c>
      <c r="C1546" s="52">
        <v>396587.15349025698</v>
      </c>
      <c r="D1546" s="56">
        <v>0.11395392922356588</v>
      </c>
      <c r="E1546" s="224">
        <v>2169.7175925925899</v>
      </c>
      <c r="F1546" s="515" t="s">
        <v>414</v>
      </c>
      <c r="G1546" s="52">
        <v>175266.646206315</v>
      </c>
      <c r="H1546" s="56">
        <v>8.5788784231742299E-2</v>
      </c>
      <c r="I1546" s="224" t="s">
        <v>2</v>
      </c>
    </row>
    <row r="1547" spans="1:9" x14ac:dyDescent="0.25">
      <c r="A1547" s="515">
        <v>77024</v>
      </c>
      <c r="B1547" s="515" t="s">
        <v>314</v>
      </c>
      <c r="C1547" s="52">
        <v>1046056.32805345</v>
      </c>
      <c r="D1547" s="56">
        <v>6.2702779625829583E-2</v>
      </c>
      <c r="E1547" s="224">
        <v>1919.5978835978799</v>
      </c>
      <c r="F1547" s="515" t="s">
        <v>3216</v>
      </c>
      <c r="G1547" s="52">
        <v>323866.68547713902</v>
      </c>
      <c r="H1547" s="56">
        <v>7.6994546204422337E-2</v>
      </c>
      <c r="I1547" s="224">
        <v>1852.9166666666599</v>
      </c>
    </row>
    <row r="1548" spans="1:9" x14ac:dyDescent="0.25">
      <c r="A1548" s="515">
        <v>8080</v>
      </c>
      <c r="B1548" s="515" t="s">
        <v>294</v>
      </c>
      <c r="C1548" s="52">
        <v>358970.39811318502</v>
      </c>
      <c r="D1548" s="56">
        <v>7.2319678517767536E-2</v>
      </c>
      <c r="E1548" s="224">
        <v>2481.6666666666601</v>
      </c>
      <c r="F1548" s="515" t="s">
        <v>3217</v>
      </c>
      <c r="G1548" s="52">
        <v>451427.88113757799</v>
      </c>
      <c r="H1548" s="56">
        <v>3.0045090487907922E-2</v>
      </c>
      <c r="I1548" s="224">
        <v>1917.2222222222199</v>
      </c>
    </row>
    <row r="1549" spans="1:9" x14ac:dyDescent="0.25">
      <c r="A1549" s="515">
        <v>60652</v>
      </c>
      <c r="B1549" s="515" t="s">
        <v>394</v>
      </c>
      <c r="C1549" s="52">
        <v>228336.704509951</v>
      </c>
      <c r="D1549" s="56">
        <v>2.5477018381228757E-2</v>
      </c>
      <c r="E1549" s="224" t="s">
        <v>2</v>
      </c>
      <c r="F1549" s="515" t="s">
        <v>3218</v>
      </c>
      <c r="G1549" s="52">
        <v>182819.159911675</v>
      </c>
      <c r="H1549" s="56">
        <v>6.7096281298087805E-3</v>
      </c>
      <c r="I1549" s="224">
        <v>1297.3333333333301</v>
      </c>
    </row>
    <row r="1550" spans="1:9" x14ac:dyDescent="0.25">
      <c r="A1550" s="515">
        <v>94121</v>
      </c>
      <c r="B1550" s="515" t="s">
        <v>593</v>
      </c>
      <c r="C1550" s="52">
        <v>1553480.8782052</v>
      </c>
      <c r="D1550" s="56">
        <v>-7.9179847724630215E-2</v>
      </c>
      <c r="E1550" s="224">
        <v>2933.7999999999902</v>
      </c>
      <c r="F1550" s="515" t="s">
        <v>3219</v>
      </c>
      <c r="G1550" s="52">
        <v>864575.25537534198</v>
      </c>
      <c r="H1550" s="56">
        <v>3.7181828094608155E-2</v>
      </c>
      <c r="I1550" s="224">
        <v>2974.4444444444398</v>
      </c>
    </row>
    <row r="1551" spans="1:9" x14ac:dyDescent="0.25">
      <c r="A1551" s="515">
        <v>96003</v>
      </c>
      <c r="B1551" s="515" t="s">
        <v>514</v>
      </c>
      <c r="C1551" s="52">
        <v>385095.465606671</v>
      </c>
      <c r="D1551" s="56">
        <v>1.5151902067861673E-2</v>
      </c>
      <c r="E1551" s="224">
        <v>1866.1111111111099</v>
      </c>
      <c r="F1551" s="515" t="s">
        <v>311</v>
      </c>
      <c r="G1551" s="52">
        <v>332155.40930928499</v>
      </c>
      <c r="H1551" s="56">
        <v>4.1527104042754379E-2</v>
      </c>
      <c r="I1551" s="224">
        <v>1530</v>
      </c>
    </row>
    <row r="1552" spans="1:9" x14ac:dyDescent="0.25">
      <c r="A1552" s="515">
        <v>65803</v>
      </c>
      <c r="B1552" s="515" t="s">
        <v>603</v>
      </c>
      <c r="C1552" s="52">
        <v>156392.636620106</v>
      </c>
      <c r="D1552" s="56">
        <v>0.13331507018734517</v>
      </c>
      <c r="E1552" s="224">
        <v>878.05555555555497</v>
      </c>
      <c r="F1552" s="515" t="s">
        <v>1292</v>
      </c>
      <c r="G1552" s="52">
        <v>704589.35044989595</v>
      </c>
      <c r="H1552" s="56">
        <v>0.13889137065575963</v>
      </c>
      <c r="I1552" s="224">
        <v>2883.3333333333298</v>
      </c>
    </row>
    <row r="1553" spans="1:9" x14ac:dyDescent="0.25">
      <c r="A1553" s="515">
        <v>89014</v>
      </c>
      <c r="B1553" s="515" t="s">
        <v>323</v>
      </c>
      <c r="C1553" s="52">
        <v>383631.20217108697</v>
      </c>
      <c r="D1553" s="56">
        <v>4.7831260635813812E-2</v>
      </c>
      <c r="E1553" s="224">
        <v>1525.3371839080401</v>
      </c>
      <c r="F1553" s="515" t="s">
        <v>3220</v>
      </c>
      <c r="G1553" s="52">
        <v>84753.981457182002</v>
      </c>
      <c r="H1553" s="56">
        <v>0.13973901703566155</v>
      </c>
      <c r="I1553" s="224">
        <v>737.5</v>
      </c>
    </row>
    <row r="1554" spans="1:9" x14ac:dyDescent="0.25">
      <c r="A1554" s="515">
        <v>37343</v>
      </c>
      <c r="B1554" s="515" t="s">
        <v>622</v>
      </c>
      <c r="C1554" s="52">
        <v>302699.40044735197</v>
      </c>
      <c r="D1554" s="56">
        <v>6.1360313847759224E-2</v>
      </c>
      <c r="E1554" s="224">
        <v>1610.2777777777701</v>
      </c>
      <c r="F1554" s="515" t="s">
        <v>3221</v>
      </c>
      <c r="G1554" s="52">
        <v>483946.61360422702</v>
      </c>
      <c r="H1554" s="56">
        <v>1.6701020647346625E-2</v>
      </c>
      <c r="I1554" s="224">
        <v>2019.3333333333301</v>
      </c>
    </row>
    <row r="1555" spans="1:9" x14ac:dyDescent="0.25">
      <c r="A1555" s="515">
        <v>95695</v>
      </c>
      <c r="B1555" s="515" t="s">
        <v>355</v>
      </c>
      <c r="C1555" s="52">
        <v>481236.21686431102</v>
      </c>
      <c r="D1555" s="56">
        <v>3.194933603667291E-2</v>
      </c>
      <c r="E1555" s="224">
        <v>1769.8333333333301</v>
      </c>
      <c r="F1555" s="515" t="s">
        <v>3222</v>
      </c>
      <c r="G1555" s="52">
        <v>166165.335466422</v>
      </c>
      <c r="H1555" s="56">
        <v>6.6616611131399925E-2</v>
      </c>
      <c r="I1555" s="224">
        <v>1251.4583333333301</v>
      </c>
    </row>
    <row r="1556" spans="1:9" x14ac:dyDescent="0.25">
      <c r="A1556" s="515">
        <v>75013</v>
      </c>
      <c r="B1556" s="515" t="s">
        <v>458</v>
      </c>
      <c r="C1556" s="52">
        <v>653066.48316461104</v>
      </c>
      <c r="D1556" s="56">
        <v>5.6550446087682234E-2</v>
      </c>
      <c r="E1556" s="224">
        <v>1694.72973901098</v>
      </c>
      <c r="F1556" s="515" t="s">
        <v>3223</v>
      </c>
      <c r="G1556" s="52">
        <v>480903.65069243702</v>
      </c>
      <c r="H1556" s="56">
        <v>0.23666713215021634</v>
      </c>
      <c r="I1556" s="224">
        <v>3356.25875</v>
      </c>
    </row>
    <row r="1557" spans="1:9" x14ac:dyDescent="0.25">
      <c r="A1557" s="515">
        <v>30189</v>
      </c>
      <c r="B1557" s="515" t="s">
        <v>957</v>
      </c>
      <c r="C1557" s="52">
        <v>410508.82259630202</v>
      </c>
      <c r="D1557" s="56">
        <v>8.886385226813806E-2</v>
      </c>
      <c r="E1557" s="224">
        <v>1813.06111111111</v>
      </c>
      <c r="F1557" s="515" t="s">
        <v>3224</v>
      </c>
      <c r="G1557" s="52">
        <v>142403.68924014401</v>
      </c>
      <c r="H1557" s="56">
        <v>3.0845119971645886E-2</v>
      </c>
      <c r="I1557" s="224" t="s">
        <v>2</v>
      </c>
    </row>
    <row r="1558" spans="1:9" x14ac:dyDescent="0.25">
      <c r="A1558" s="515">
        <v>18042</v>
      </c>
      <c r="B1558" s="515" t="s">
        <v>327</v>
      </c>
      <c r="C1558" s="52">
        <v>214115.19926101001</v>
      </c>
      <c r="D1558" s="56">
        <v>0.13428753411080788</v>
      </c>
      <c r="E1558" s="224">
        <v>1482.5</v>
      </c>
      <c r="F1558" s="515" t="s">
        <v>3225</v>
      </c>
      <c r="G1558" s="52">
        <v>428970.33160126401</v>
      </c>
      <c r="H1558" s="56">
        <v>8.7021624313293675E-2</v>
      </c>
      <c r="I1558" s="224">
        <v>1863.20716320716</v>
      </c>
    </row>
    <row r="1559" spans="1:9" x14ac:dyDescent="0.25">
      <c r="A1559" s="515">
        <v>10034</v>
      </c>
      <c r="B1559" s="515" t="s">
        <v>324</v>
      </c>
      <c r="C1559" s="52">
        <v>455211.56008066999</v>
      </c>
      <c r="D1559" s="56">
        <v>2.0011639528337063E-3</v>
      </c>
      <c r="E1559" s="224">
        <v>2105.0740740740698</v>
      </c>
      <c r="F1559" s="515" t="s">
        <v>353</v>
      </c>
      <c r="G1559" s="52">
        <v>337204.56671502499</v>
      </c>
      <c r="H1559" s="56">
        <v>7.62152678212039E-2</v>
      </c>
      <c r="I1559" s="224">
        <v>918.83333333333303</v>
      </c>
    </row>
    <row r="1560" spans="1:9" x14ac:dyDescent="0.25">
      <c r="A1560" s="515">
        <v>10952</v>
      </c>
      <c r="B1560" s="515" t="s">
        <v>324</v>
      </c>
      <c r="C1560" s="52">
        <v>892533.07738486899</v>
      </c>
      <c r="D1560" s="56">
        <v>0.13132472935202819</v>
      </c>
      <c r="E1560" s="224" t="s">
        <v>2</v>
      </c>
      <c r="F1560" s="515" t="s">
        <v>3226</v>
      </c>
      <c r="G1560" s="52">
        <v>308372.17442775401</v>
      </c>
      <c r="H1560" s="56">
        <v>0.14312021111187306</v>
      </c>
      <c r="I1560" s="224">
        <v>1651.6666666666599</v>
      </c>
    </row>
    <row r="1561" spans="1:9" x14ac:dyDescent="0.25">
      <c r="A1561" s="515">
        <v>40216</v>
      </c>
      <c r="B1561" s="515" t="s">
        <v>479</v>
      </c>
      <c r="C1561" s="52">
        <v>173215.584699356</v>
      </c>
      <c r="D1561" s="56">
        <v>5.374687715226157E-2</v>
      </c>
      <c r="E1561" s="224" t="s">
        <v>2</v>
      </c>
      <c r="F1561" s="515" t="s">
        <v>3227</v>
      </c>
      <c r="G1561" s="52">
        <v>251579.60226648301</v>
      </c>
      <c r="H1561" s="56">
        <v>7.2108137872982064E-2</v>
      </c>
      <c r="I1561" s="224">
        <v>1335.55555555555</v>
      </c>
    </row>
    <row r="1562" spans="1:9" x14ac:dyDescent="0.25">
      <c r="A1562" s="515">
        <v>70816</v>
      </c>
      <c r="B1562" s="515" t="s">
        <v>610</v>
      </c>
      <c r="C1562" s="52">
        <v>218639.113196297</v>
      </c>
      <c r="D1562" s="56">
        <v>4.1983705718320517E-2</v>
      </c>
      <c r="E1562" s="224">
        <v>1191.3373015873001</v>
      </c>
      <c r="F1562" s="515" t="s">
        <v>3228</v>
      </c>
      <c r="G1562" s="52">
        <v>258302.03789265201</v>
      </c>
      <c r="H1562" s="56">
        <v>8.3055997303070409E-2</v>
      </c>
      <c r="I1562" s="224" t="s">
        <v>2</v>
      </c>
    </row>
    <row r="1563" spans="1:9" x14ac:dyDescent="0.25">
      <c r="A1563" s="515">
        <v>97330</v>
      </c>
      <c r="B1563" s="515" t="s">
        <v>1094</v>
      </c>
      <c r="C1563" s="52">
        <v>507356.99495195103</v>
      </c>
      <c r="D1563" s="56">
        <v>5.3283525107016387E-2</v>
      </c>
      <c r="E1563" s="224">
        <v>1912.48888888888</v>
      </c>
      <c r="F1563" s="515" t="s">
        <v>1020</v>
      </c>
      <c r="G1563" s="52">
        <v>161368.83989556701</v>
      </c>
      <c r="H1563" s="56">
        <v>0.10791611601491366</v>
      </c>
      <c r="I1563" s="224" t="s">
        <v>2</v>
      </c>
    </row>
    <row r="1564" spans="1:9" x14ac:dyDescent="0.25">
      <c r="A1564" s="515">
        <v>94010</v>
      </c>
      <c r="B1564" s="515" t="s">
        <v>593</v>
      </c>
      <c r="C1564" s="52">
        <v>3015021.0271060802</v>
      </c>
      <c r="D1564" s="56">
        <v>-6.4090663086683085E-3</v>
      </c>
      <c r="E1564" s="224">
        <v>2759.5155971479398</v>
      </c>
      <c r="F1564" s="515" t="s">
        <v>3229</v>
      </c>
      <c r="G1564" s="52">
        <v>365255.69557704299</v>
      </c>
      <c r="H1564" s="56">
        <v>8.4233178197791816E-2</v>
      </c>
      <c r="I1564" s="224" t="s">
        <v>2</v>
      </c>
    </row>
    <row r="1565" spans="1:9" x14ac:dyDescent="0.25">
      <c r="A1565" s="515">
        <v>95129</v>
      </c>
      <c r="B1565" s="515" t="s">
        <v>850</v>
      </c>
      <c r="C1565" s="52">
        <v>2140388.12967306</v>
      </c>
      <c r="D1565" s="56">
        <v>6.3702416872691528E-2</v>
      </c>
      <c r="E1565" s="224">
        <v>2828.0694444444398</v>
      </c>
      <c r="F1565" s="515" t="s">
        <v>3230</v>
      </c>
      <c r="G1565" s="52">
        <v>329455.60813363199</v>
      </c>
      <c r="H1565" s="56">
        <v>1.9202355855071084E-2</v>
      </c>
      <c r="I1565" s="224" t="s">
        <v>2</v>
      </c>
    </row>
    <row r="1566" spans="1:9" x14ac:dyDescent="0.25">
      <c r="A1566" s="515">
        <v>11367</v>
      </c>
      <c r="B1566" s="515" t="s">
        <v>324</v>
      </c>
      <c r="C1566" s="52">
        <v>373490.98416911002</v>
      </c>
      <c r="D1566" s="56">
        <v>-8.2437343346198261E-2</v>
      </c>
      <c r="E1566" s="224">
        <v>2340</v>
      </c>
      <c r="F1566" s="515" t="s">
        <v>3231</v>
      </c>
      <c r="G1566" s="52">
        <v>516662.86727731599</v>
      </c>
      <c r="H1566" s="56">
        <v>6.4936486376877822E-2</v>
      </c>
      <c r="I1566" s="224">
        <v>2145.8333333333298</v>
      </c>
    </row>
    <row r="1567" spans="1:9" x14ac:dyDescent="0.25">
      <c r="A1567" s="515">
        <v>77365</v>
      </c>
      <c r="B1567" s="515" t="s">
        <v>314</v>
      </c>
      <c r="C1567" s="52">
        <v>300069.74791981099</v>
      </c>
      <c r="D1567" s="56">
        <v>7.3106371942605011E-2</v>
      </c>
      <c r="E1567" s="224">
        <v>0</v>
      </c>
      <c r="F1567" s="515" t="s">
        <v>3232</v>
      </c>
      <c r="G1567" s="52">
        <v>608140.76602149301</v>
      </c>
      <c r="H1567" s="56">
        <v>5.5520092083018453E-2</v>
      </c>
      <c r="I1567" s="224">
        <v>2715.3611111111099</v>
      </c>
    </row>
    <row r="1568" spans="1:9" x14ac:dyDescent="0.25">
      <c r="A1568" s="515">
        <v>44240</v>
      </c>
      <c r="B1568" s="515" t="s">
        <v>1000</v>
      </c>
      <c r="C1568" s="52">
        <v>201065.53875424099</v>
      </c>
      <c r="D1568" s="56">
        <v>8.9029519355047382E-2</v>
      </c>
      <c r="E1568" s="224">
        <v>1430.55555555555</v>
      </c>
      <c r="F1568" s="515" t="s">
        <v>3233</v>
      </c>
      <c r="G1568" s="52">
        <v>171953.48429712301</v>
      </c>
      <c r="H1568" s="56">
        <v>3.0322409869761691E-2</v>
      </c>
      <c r="I1568" s="224" t="s">
        <v>2</v>
      </c>
    </row>
    <row r="1569" spans="1:9" x14ac:dyDescent="0.25">
      <c r="A1569" s="515">
        <v>77075</v>
      </c>
      <c r="B1569" s="515" t="s">
        <v>314</v>
      </c>
      <c r="C1569" s="52">
        <v>243283.02527503201</v>
      </c>
      <c r="D1569" s="56">
        <v>0.10170122477099219</v>
      </c>
      <c r="E1569" s="224">
        <v>1489.1111111111099</v>
      </c>
      <c r="F1569" s="515" t="s">
        <v>3234</v>
      </c>
      <c r="G1569" s="52">
        <v>482803.311202123</v>
      </c>
      <c r="H1569" s="56">
        <v>8.0507016746804855E-2</v>
      </c>
      <c r="I1569" s="224" t="s">
        <v>2</v>
      </c>
    </row>
    <row r="1570" spans="1:9" x14ac:dyDescent="0.25">
      <c r="A1570" s="515">
        <v>93637</v>
      </c>
      <c r="B1570" s="515" t="s">
        <v>681</v>
      </c>
      <c r="C1570" s="52">
        <v>360941.18457029201</v>
      </c>
      <c r="D1570" s="56">
        <v>4.4018836682398449E-2</v>
      </c>
      <c r="E1570" s="224" t="s">
        <v>2</v>
      </c>
      <c r="F1570" s="515" t="s">
        <v>3235</v>
      </c>
      <c r="G1570" s="52">
        <v>495768.001044581</v>
      </c>
      <c r="H1570" s="56">
        <v>-2.0833036483002745E-2</v>
      </c>
      <c r="I1570" s="224">
        <v>2003.5</v>
      </c>
    </row>
    <row r="1571" spans="1:9" x14ac:dyDescent="0.25">
      <c r="A1571" s="515">
        <v>63026</v>
      </c>
      <c r="B1571" s="515" t="s">
        <v>498</v>
      </c>
      <c r="C1571" s="52">
        <v>291243.71141338098</v>
      </c>
      <c r="D1571" s="56">
        <v>7.2712690778666364E-2</v>
      </c>
      <c r="E1571" s="224">
        <v>1561.25</v>
      </c>
      <c r="F1571" s="515" t="s">
        <v>3236</v>
      </c>
      <c r="G1571" s="52">
        <v>520624.54473781399</v>
      </c>
      <c r="H1571" s="56">
        <v>3.8074791468366342E-2</v>
      </c>
      <c r="I1571" s="224">
        <v>2600.8333333333298</v>
      </c>
    </row>
    <row r="1572" spans="1:9" x14ac:dyDescent="0.25">
      <c r="A1572" s="515">
        <v>94066</v>
      </c>
      <c r="B1572" s="515" t="s">
        <v>593</v>
      </c>
      <c r="C1572" s="52">
        <v>1243148.4345690999</v>
      </c>
      <c r="D1572" s="56">
        <v>2.0342453777390402E-2</v>
      </c>
      <c r="E1572" s="224">
        <v>2892.7190476190399</v>
      </c>
      <c r="F1572" s="515" t="s">
        <v>3237</v>
      </c>
      <c r="G1572" s="52">
        <v>209775.615883639</v>
      </c>
      <c r="H1572" s="56">
        <v>0.13363480058197336</v>
      </c>
      <c r="I1572" s="224">
        <v>1093.79851398601</v>
      </c>
    </row>
    <row r="1573" spans="1:9" x14ac:dyDescent="0.25">
      <c r="A1573" s="515">
        <v>85140</v>
      </c>
      <c r="B1573" s="515" t="s">
        <v>563</v>
      </c>
      <c r="C1573" s="52">
        <v>432873.54408624698</v>
      </c>
      <c r="D1573" s="56">
        <v>1.0324431713285861E-2</v>
      </c>
      <c r="E1573" s="224">
        <v>2008.8449735449699</v>
      </c>
      <c r="F1573" s="515" t="s">
        <v>3238</v>
      </c>
      <c r="G1573" s="52">
        <v>556622.14999501</v>
      </c>
      <c r="H1573" s="56">
        <v>5.1522963750657853E-2</v>
      </c>
      <c r="I1573" s="224">
        <v>1683</v>
      </c>
    </row>
    <row r="1574" spans="1:9" x14ac:dyDescent="0.25">
      <c r="A1574" s="515">
        <v>91311</v>
      </c>
      <c r="B1574" s="515" t="s">
        <v>375</v>
      </c>
      <c r="C1574" s="52">
        <v>838582.16271006095</v>
      </c>
      <c r="D1574" s="56">
        <v>2.6771118470806168E-2</v>
      </c>
      <c r="E1574" s="224">
        <v>2955.5</v>
      </c>
      <c r="F1574" s="515" t="s">
        <v>3239</v>
      </c>
      <c r="G1574" s="52">
        <v>1120684.4573580599</v>
      </c>
      <c r="H1574" s="56">
        <v>5.5223498546923856E-2</v>
      </c>
      <c r="I1574" s="224">
        <v>2955.8333333333298</v>
      </c>
    </row>
    <row r="1575" spans="1:9" x14ac:dyDescent="0.25">
      <c r="A1575" s="515">
        <v>23225</v>
      </c>
      <c r="B1575" s="515" t="s">
        <v>667</v>
      </c>
      <c r="C1575" s="52">
        <v>321957.14507242001</v>
      </c>
      <c r="D1575" s="56">
        <v>0.11318068609940642</v>
      </c>
      <c r="E1575" s="224">
        <v>1344.9119322942799</v>
      </c>
      <c r="F1575" s="515" t="s">
        <v>3240</v>
      </c>
      <c r="G1575" s="52">
        <v>161398.03127514999</v>
      </c>
      <c r="H1575" s="56">
        <v>0.11110722585316295</v>
      </c>
      <c r="I1575" s="224" t="s">
        <v>2</v>
      </c>
    </row>
    <row r="1576" spans="1:9" x14ac:dyDescent="0.25">
      <c r="A1576" s="515">
        <v>19701</v>
      </c>
      <c r="B1576" s="515" t="s">
        <v>294</v>
      </c>
      <c r="C1576" s="52">
        <v>371718.49808169698</v>
      </c>
      <c r="D1576" s="56">
        <v>9.2022140835763169E-2</v>
      </c>
      <c r="E1576" s="224">
        <v>1985.8333333333301</v>
      </c>
      <c r="F1576" s="515" t="s">
        <v>3241</v>
      </c>
      <c r="G1576" s="52">
        <v>129439.09978235399</v>
      </c>
      <c r="H1576" s="56">
        <v>6.0401906648550198E-2</v>
      </c>
      <c r="I1576" s="224">
        <v>1164.38888888888</v>
      </c>
    </row>
    <row r="1577" spans="1:9" x14ac:dyDescent="0.25">
      <c r="A1577" s="515">
        <v>48188</v>
      </c>
      <c r="B1577" s="515" t="s">
        <v>685</v>
      </c>
      <c r="C1577" s="52">
        <v>356641.56328027003</v>
      </c>
      <c r="D1577" s="56">
        <v>4.6652391071255843E-2</v>
      </c>
      <c r="E1577" s="224">
        <v>1785.80555555555</v>
      </c>
      <c r="F1577" s="515" t="s">
        <v>3242</v>
      </c>
      <c r="G1577" s="52">
        <v>236346.954650926</v>
      </c>
      <c r="H1577" s="56">
        <v>9.1046150394800143E-2</v>
      </c>
      <c r="I1577" s="224">
        <v>1629.6666666666599</v>
      </c>
    </row>
    <row r="1578" spans="1:9" x14ac:dyDescent="0.25">
      <c r="A1578" s="515">
        <v>60047</v>
      </c>
      <c r="B1578" s="515" t="s">
        <v>394</v>
      </c>
      <c r="C1578" s="52">
        <v>499310.22595070401</v>
      </c>
      <c r="D1578" s="56">
        <v>7.4514463745119733E-2</v>
      </c>
      <c r="E1578" s="224" t="s">
        <v>2</v>
      </c>
      <c r="F1578" s="515" t="s">
        <v>3243</v>
      </c>
      <c r="G1578" s="52">
        <v>429331.95273704402</v>
      </c>
      <c r="H1578" s="56">
        <v>6.1768143221830087E-2</v>
      </c>
      <c r="I1578" s="224">
        <v>1317.25</v>
      </c>
    </row>
    <row r="1579" spans="1:9" x14ac:dyDescent="0.25">
      <c r="A1579" s="515">
        <v>33619</v>
      </c>
      <c r="B1579" s="515" t="s">
        <v>461</v>
      </c>
      <c r="C1579" s="52">
        <v>266913.91406431602</v>
      </c>
      <c r="D1579" s="56">
        <v>0.15349791476353888</v>
      </c>
      <c r="E1579" s="224">
        <v>1978.7883597883599</v>
      </c>
      <c r="F1579" s="515" t="s">
        <v>3244</v>
      </c>
      <c r="G1579" s="52">
        <v>260379.94025671401</v>
      </c>
      <c r="H1579" s="56">
        <v>5.9124849053126524E-2</v>
      </c>
      <c r="I1579" s="224">
        <v>1837.5</v>
      </c>
    </row>
    <row r="1580" spans="1:9" x14ac:dyDescent="0.25">
      <c r="A1580" s="515">
        <v>79705</v>
      </c>
      <c r="B1580" s="515" t="s">
        <v>802</v>
      </c>
      <c r="C1580" s="52">
        <v>314280.19442517799</v>
      </c>
      <c r="D1580" s="56">
        <v>2.0853456085853223E-2</v>
      </c>
      <c r="E1580" s="224">
        <v>1310.20565953654</v>
      </c>
      <c r="F1580" s="515" t="s">
        <v>3245</v>
      </c>
      <c r="G1580" s="52">
        <v>1074163.1066501599</v>
      </c>
      <c r="H1580" s="56">
        <v>9.440492506135062E-2</v>
      </c>
      <c r="I1580" s="224">
        <v>3552.5</v>
      </c>
    </row>
    <row r="1581" spans="1:9" x14ac:dyDescent="0.25">
      <c r="A1581" s="515">
        <v>32514</v>
      </c>
      <c r="B1581" s="515" t="s">
        <v>1131</v>
      </c>
      <c r="C1581" s="52">
        <v>248569.81160120599</v>
      </c>
      <c r="D1581" s="56">
        <v>0.10278250430706667</v>
      </c>
      <c r="E1581" s="224">
        <v>1500.4157407407399</v>
      </c>
      <c r="F1581" s="515" t="s">
        <v>3246</v>
      </c>
      <c r="G1581" s="52">
        <v>365577.98564106802</v>
      </c>
      <c r="H1581" s="56">
        <v>6.4254612589986965E-2</v>
      </c>
      <c r="I1581" s="224">
        <v>1932.19444444444</v>
      </c>
    </row>
    <row r="1582" spans="1:9" x14ac:dyDescent="0.25">
      <c r="A1582" s="515">
        <v>91355</v>
      </c>
      <c r="B1582" s="515" t="s">
        <v>375</v>
      </c>
      <c r="C1582" s="52">
        <v>734477.03169655695</v>
      </c>
      <c r="D1582" s="56">
        <v>5.5805941732896699E-2</v>
      </c>
      <c r="E1582" s="224">
        <v>2693.4464285714198</v>
      </c>
      <c r="F1582" s="515" t="s">
        <v>3247</v>
      </c>
      <c r="G1582" s="52">
        <v>572513.96751110896</v>
      </c>
      <c r="H1582" s="56">
        <v>2.2529424628218719E-2</v>
      </c>
      <c r="I1582" s="224">
        <v>2153.8001443001399</v>
      </c>
    </row>
    <row r="1583" spans="1:9" x14ac:dyDescent="0.25">
      <c r="A1583" s="515">
        <v>55113</v>
      </c>
      <c r="B1583" s="515" t="s">
        <v>532</v>
      </c>
      <c r="C1583" s="52">
        <v>329498.85592460999</v>
      </c>
      <c r="D1583" s="56">
        <v>3.589079178968882E-2</v>
      </c>
      <c r="E1583" s="224">
        <v>1463.2777777777701</v>
      </c>
      <c r="F1583" s="515" t="s">
        <v>3248</v>
      </c>
      <c r="G1583" s="52">
        <v>517357.150602129</v>
      </c>
      <c r="H1583" s="56">
        <v>8.7421871187906119E-2</v>
      </c>
      <c r="I1583" s="224" t="s">
        <v>2</v>
      </c>
    </row>
    <row r="1584" spans="1:9" x14ac:dyDescent="0.25">
      <c r="A1584" s="515">
        <v>92591</v>
      </c>
      <c r="B1584" s="515" t="s">
        <v>599</v>
      </c>
      <c r="C1584" s="52">
        <v>674636.22746954905</v>
      </c>
      <c r="D1584" s="56">
        <v>4.2247222770367951E-2</v>
      </c>
      <c r="E1584" s="224">
        <v>2484.1666666666601</v>
      </c>
      <c r="F1584" s="515" t="s">
        <v>446</v>
      </c>
      <c r="G1584" s="52">
        <v>177067.84508060999</v>
      </c>
      <c r="H1584" s="56">
        <v>0.11724022311848155</v>
      </c>
      <c r="I1584" s="224" t="s">
        <v>2</v>
      </c>
    </row>
    <row r="1585" spans="1:9" x14ac:dyDescent="0.25">
      <c r="A1585" s="515">
        <v>7202</v>
      </c>
      <c r="B1585" s="515" t="s">
        <v>324</v>
      </c>
      <c r="C1585" s="52">
        <v>400250.329830339</v>
      </c>
      <c r="D1585" s="56">
        <v>6.3407806008867917E-2</v>
      </c>
      <c r="E1585" s="224" t="s">
        <v>2</v>
      </c>
      <c r="F1585" s="515" t="s">
        <v>3249</v>
      </c>
      <c r="G1585" s="52">
        <v>1020854.4190459501</v>
      </c>
      <c r="H1585" s="56">
        <v>1.05272634516193E-3</v>
      </c>
      <c r="I1585" s="224">
        <v>3343.4675154320898</v>
      </c>
    </row>
    <row r="1586" spans="1:9" x14ac:dyDescent="0.25">
      <c r="A1586" s="515">
        <v>97030</v>
      </c>
      <c r="B1586" s="515" t="s">
        <v>659</v>
      </c>
      <c r="C1586" s="52">
        <v>411471.83723405999</v>
      </c>
      <c r="D1586" s="56">
        <v>1.1570075235032423E-2</v>
      </c>
      <c r="E1586" s="224">
        <v>1659.60541310541</v>
      </c>
      <c r="F1586" s="515" t="s">
        <v>3250</v>
      </c>
      <c r="G1586" s="52">
        <v>363009.35212646698</v>
      </c>
      <c r="H1586" s="56">
        <v>4.0859986450192801E-2</v>
      </c>
      <c r="I1586" s="224">
        <v>1890.3333333333301</v>
      </c>
    </row>
    <row r="1587" spans="1:9" x14ac:dyDescent="0.25">
      <c r="A1587" s="515">
        <v>30294</v>
      </c>
      <c r="B1587" s="515" t="s">
        <v>957</v>
      </c>
      <c r="C1587" s="52">
        <v>288954.868548128</v>
      </c>
      <c r="D1587" s="56">
        <v>0.110133880798756</v>
      </c>
      <c r="E1587" s="224">
        <v>2036.9768518518499</v>
      </c>
      <c r="F1587" s="515" t="s">
        <v>3251</v>
      </c>
      <c r="G1587" s="52">
        <v>222565.218456253</v>
      </c>
      <c r="H1587" s="56">
        <v>8.1883698452311512E-2</v>
      </c>
      <c r="I1587" s="224">
        <v>1241.68345543345</v>
      </c>
    </row>
    <row r="1588" spans="1:9" x14ac:dyDescent="0.25">
      <c r="A1588" s="515">
        <v>48183</v>
      </c>
      <c r="B1588" s="515" t="s">
        <v>685</v>
      </c>
      <c r="C1588" s="52">
        <v>219912.53523302299</v>
      </c>
      <c r="D1588" s="56">
        <v>6.5899420399135392E-2</v>
      </c>
      <c r="E1588" s="224">
        <v>1747.6666666666599</v>
      </c>
      <c r="F1588" s="515" t="s">
        <v>3252</v>
      </c>
      <c r="G1588" s="52">
        <v>156248.788066893</v>
      </c>
      <c r="H1588" s="56">
        <v>0.15797276516036016</v>
      </c>
      <c r="I1588" s="224" t="s">
        <v>2</v>
      </c>
    </row>
    <row r="1589" spans="1:9" x14ac:dyDescent="0.25">
      <c r="A1589" s="515">
        <v>92867</v>
      </c>
      <c r="B1589" s="515" t="s">
        <v>375</v>
      </c>
      <c r="C1589" s="52">
        <v>1002131.30035343</v>
      </c>
      <c r="D1589" s="56">
        <v>5.1882650097169442E-2</v>
      </c>
      <c r="E1589" s="224">
        <v>4005.625</v>
      </c>
      <c r="F1589" s="515" t="s">
        <v>698</v>
      </c>
      <c r="G1589" s="52">
        <v>165487.51843285101</v>
      </c>
      <c r="H1589" s="56">
        <v>4.9796157121769345E-2</v>
      </c>
      <c r="I1589" s="224" t="s">
        <v>2</v>
      </c>
    </row>
    <row r="1590" spans="1:9" x14ac:dyDescent="0.25">
      <c r="A1590" s="515">
        <v>94134</v>
      </c>
      <c r="B1590" s="515" t="s">
        <v>593</v>
      </c>
      <c r="C1590" s="52">
        <v>1004528.52481579</v>
      </c>
      <c r="D1590" s="56">
        <v>-6.0205525667702452E-2</v>
      </c>
      <c r="E1590" s="224">
        <v>3555.8333333333298</v>
      </c>
      <c r="F1590" s="515" t="s">
        <v>3253</v>
      </c>
      <c r="G1590" s="52">
        <v>288034.63521560701</v>
      </c>
      <c r="H1590" s="56">
        <v>9.3090728140068218E-2</v>
      </c>
      <c r="I1590" s="224">
        <v>1635.38461538461</v>
      </c>
    </row>
    <row r="1591" spans="1:9" x14ac:dyDescent="0.25">
      <c r="A1591" s="515">
        <v>27615</v>
      </c>
      <c r="B1591" s="515" t="s">
        <v>484</v>
      </c>
      <c r="C1591" s="52">
        <v>479179.928229301</v>
      </c>
      <c r="D1591" s="56">
        <v>6.5350611169028322E-2</v>
      </c>
      <c r="E1591" s="224">
        <v>1632.0333333333299</v>
      </c>
      <c r="F1591" s="515" t="s">
        <v>728</v>
      </c>
      <c r="G1591" s="52">
        <v>257796.483153824</v>
      </c>
      <c r="H1591" s="56">
        <v>7.9188236227265521E-2</v>
      </c>
      <c r="I1591" s="224">
        <v>1077.5</v>
      </c>
    </row>
    <row r="1592" spans="1:9" x14ac:dyDescent="0.25">
      <c r="A1592" s="515">
        <v>75051</v>
      </c>
      <c r="B1592" s="515" t="s">
        <v>458</v>
      </c>
      <c r="C1592" s="52">
        <v>244513.98803902999</v>
      </c>
      <c r="D1592" s="56">
        <v>0.12042850814432697</v>
      </c>
      <c r="E1592" s="224">
        <v>1901</v>
      </c>
      <c r="F1592" s="515" t="s">
        <v>1299</v>
      </c>
      <c r="G1592" s="52">
        <v>172494.03047681201</v>
      </c>
      <c r="H1592" s="56">
        <v>0.1375936267146784</v>
      </c>
      <c r="I1592" s="224" t="s">
        <v>2</v>
      </c>
    </row>
    <row r="1593" spans="1:9" x14ac:dyDescent="0.25">
      <c r="A1593" s="515">
        <v>90275</v>
      </c>
      <c r="B1593" s="515" t="s">
        <v>375</v>
      </c>
      <c r="C1593" s="52">
        <v>1694682.51107494</v>
      </c>
      <c r="D1593" s="56">
        <v>8.6182430343067259E-2</v>
      </c>
      <c r="E1593" s="224">
        <v>4674.7111111111099</v>
      </c>
      <c r="F1593" s="515" t="s">
        <v>3254</v>
      </c>
      <c r="G1593" s="52">
        <v>366828.02531577297</v>
      </c>
      <c r="H1593" s="56">
        <v>5.096040793589731E-2</v>
      </c>
      <c r="I1593" s="224" t="s">
        <v>2</v>
      </c>
    </row>
    <row r="1594" spans="1:9" x14ac:dyDescent="0.25">
      <c r="A1594" s="515">
        <v>37221</v>
      </c>
      <c r="B1594" s="515" t="s">
        <v>684</v>
      </c>
      <c r="C1594" s="52">
        <v>467079.52531575499</v>
      </c>
      <c r="D1594" s="56">
        <v>0.11071931771421471</v>
      </c>
      <c r="E1594" s="224">
        <v>1689.5859818628601</v>
      </c>
      <c r="F1594" s="515" t="s">
        <v>1204</v>
      </c>
      <c r="G1594" s="52">
        <v>73249.983104164494</v>
      </c>
      <c r="H1594" s="56">
        <v>-0.2718836115687373</v>
      </c>
      <c r="I1594" s="224" t="s">
        <v>2</v>
      </c>
    </row>
    <row r="1595" spans="1:9" x14ac:dyDescent="0.25">
      <c r="A1595" s="515">
        <v>10304</v>
      </c>
      <c r="B1595" s="515" t="s">
        <v>324</v>
      </c>
      <c r="C1595" s="52">
        <v>598005.74754823395</v>
      </c>
      <c r="D1595" s="56">
        <v>3.1285616095166884E-2</v>
      </c>
      <c r="E1595" s="224">
        <v>2311.8333333333298</v>
      </c>
      <c r="F1595" s="515" t="s">
        <v>3255</v>
      </c>
      <c r="G1595" s="52">
        <v>312587.21357560699</v>
      </c>
      <c r="H1595" s="56">
        <v>5.4183132425948764E-2</v>
      </c>
      <c r="I1595" s="224">
        <v>1311.2857142857099</v>
      </c>
    </row>
    <row r="1596" spans="1:9" x14ac:dyDescent="0.25">
      <c r="A1596" s="515">
        <v>75044</v>
      </c>
      <c r="B1596" s="515" t="s">
        <v>458</v>
      </c>
      <c r="C1596" s="52">
        <v>335449.95889518497</v>
      </c>
      <c r="D1596" s="56">
        <v>6.072918519812795E-2</v>
      </c>
      <c r="E1596" s="224">
        <v>1604.30946545284</v>
      </c>
      <c r="F1596" s="515" t="s">
        <v>3256</v>
      </c>
      <c r="G1596" s="52">
        <v>454344.74107216799</v>
      </c>
      <c r="H1596" s="56">
        <v>8.9845665580922621E-2</v>
      </c>
      <c r="I1596" s="224">
        <v>2701.5793650793598</v>
      </c>
    </row>
    <row r="1597" spans="1:9" x14ac:dyDescent="0.25">
      <c r="A1597" s="515">
        <v>14609</v>
      </c>
      <c r="B1597" s="515" t="s">
        <v>337</v>
      </c>
      <c r="C1597" s="52">
        <v>157212.54353131101</v>
      </c>
      <c r="D1597" s="56">
        <v>8.5429272940813344E-2</v>
      </c>
      <c r="E1597" s="224">
        <v>1234.4166666666599</v>
      </c>
      <c r="F1597" s="515" t="s">
        <v>3257</v>
      </c>
      <c r="G1597" s="52">
        <v>355753.19811129599</v>
      </c>
      <c r="H1597" s="56">
        <v>6.8796714216505947E-2</v>
      </c>
      <c r="I1597" s="224" t="s">
        <v>2</v>
      </c>
    </row>
    <row r="1598" spans="1:9" x14ac:dyDescent="0.25">
      <c r="A1598" s="515">
        <v>78237</v>
      </c>
      <c r="B1598" s="515" t="s">
        <v>717</v>
      </c>
      <c r="C1598" s="52">
        <v>131672.58037508701</v>
      </c>
      <c r="D1598" s="56">
        <v>6.9716513901720414E-2</v>
      </c>
      <c r="E1598" s="224" t="s">
        <v>2</v>
      </c>
      <c r="F1598" s="515" t="s">
        <v>3258</v>
      </c>
      <c r="G1598" s="52">
        <v>496530.01392363798</v>
      </c>
      <c r="H1598" s="56">
        <v>7.8007914676844958E-3</v>
      </c>
      <c r="I1598" s="224">
        <v>2100</v>
      </c>
    </row>
    <row r="1599" spans="1:9" x14ac:dyDescent="0.25">
      <c r="A1599" s="515">
        <v>63033</v>
      </c>
      <c r="B1599" s="515" t="s">
        <v>498</v>
      </c>
      <c r="C1599" s="52">
        <v>177083.32358641399</v>
      </c>
      <c r="D1599" s="56">
        <v>7.2595220414583078E-2</v>
      </c>
      <c r="E1599" s="224">
        <v>1606.4722222222199</v>
      </c>
      <c r="F1599" s="515" t="s">
        <v>3259</v>
      </c>
      <c r="G1599" s="52">
        <v>277418.66200101899</v>
      </c>
      <c r="H1599" s="56">
        <v>6.0217863855081238E-2</v>
      </c>
      <c r="I1599" s="224">
        <v>1370.5</v>
      </c>
    </row>
    <row r="1600" spans="1:9" x14ac:dyDescent="0.25">
      <c r="A1600" s="515">
        <v>89104</v>
      </c>
      <c r="B1600" s="515" t="s">
        <v>323</v>
      </c>
      <c r="C1600" s="52">
        <v>324506.77627509902</v>
      </c>
      <c r="D1600" s="56">
        <v>7.8977914923770237E-2</v>
      </c>
      <c r="E1600" s="224">
        <v>1567.5277777777701</v>
      </c>
      <c r="F1600" s="515" t="s">
        <v>1046</v>
      </c>
      <c r="G1600" s="52">
        <v>172307.97844336499</v>
      </c>
      <c r="H1600" s="56">
        <v>7.8595402627253466E-2</v>
      </c>
      <c r="I1600" s="224" t="s">
        <v>2</v>
      </c>
    </row>
    <row r="1601" spans="1:9" x14ac:dyDescent="0.25">
      <c r="A1601" s="515">
        <v>60030</v>
      </c>
      <c r="B1601" s="515" t="s">
        <v>394</v>
      </c>
      <c r="C1601" s="52">
        <v>283493.72349535098</v>
      </c>
      <c r="D1601" s="56">
        <v>5.3401460401516568E-2</v>
      </c>
      <c r="E1601" s="224" t="s">
        <v>2</v>
      </c>
      <c r="F1601" s="515" t="s">
        <v>1253</v>
      </c>
      <c r="G1601" s="52">
        <v>251525.36058382099</v>
      </c>
      <c r="H1601" s="56">
        <v>0.11177567826119188</v>
      </c>
      <c r="I1601" s="224">
        <v>990</v>
      </c>
    </row>
    <row r="1602" spans="1:9" x14ac:dyDescent="0.25">
      <c r="A1602" s="515">
        <v>15108</v>
      </c>
      <c r="B1602" s="515" t="s">
        <v>297</v>
      </c>
      <c r="C1602" s="52">
        <v>263088.37937653501</v>
      </c>
      <c r="D1602" s="56">
        <v>5.6523158649503115E-2</v>
      </c>
      <c r="E1602" s="224">
        <v>1414.6404761904701</v>
      </c>
      <c r="F1602" s="515" t="s">
        <v>3260</v>
      </c>
      <c r="G1602" s="52">
        <v>402619.85392860399</v>
      </c>
      <c r="H1602" s="56">
        <v>5.6169980803090776E-2</v>
      </c>
      <c r="I1602" s="224">
        <v>1781.88888888888</v>
      </c>
    </row>
    <row r="1603" spans="1:9" x14ac:dyDescent="0.25">
      <c r="A1603" s="515">
        <v>92806</v>
      </c>
      <c r="B1603" s="515" t="s">
        <v>375</v>
      </c>
      <c r="C1603" s="52">
        <v>830254.87229492003</v>
      </c>
      <c r="D1603" s="56">
        <v>4.9985544143990833E-2</v>
      </c>
      <c r="E1603" s="224">
        <v>2978.1666666666601</v>
      </c>
      <c r="F1603" s="515" t="s">
        <v>3261</v>
      </c>
      <c r="G1603" s="52">
        <v>328459.719756626</v>
      </c>
      <c r="H1603" s="56">
        <v>3.2248973870936518E-2</v>
      </c>
      <c r="I1603" s="224">
        <v>1490</v>
      </c>
    </row>
    <row r="1604" spans="1:9" x14ac:dyDescent="0.25">
      <c r="A1604" s="515">
        <v>91739</v>
      </c>
      <c r="B1604" s="515" t="s">
        <v>599</v>
      </c>
      <c r="C1604" s="52">
        <v>868442.60996808903</v>
      </c>
      <c r="D1604" s="56">
        <v>6.3706978053907667E-2</v>
      </c>
      <c r="E1604" s="224">
        <v>2807.5777777777698</v>
      </c>
      <c r="F1604" s="515" t="s">
        <v>578</v>
      </c>
      <c r="G1604" s="52">
        <v>200227.59534462501</v>
      </c>
      <c r="H1604" s="56">
        <v>5.9151304369431272E-2</v>
      </c>
      <c r="I1604" s="224">
        <v>950</v>
      </c>
    </row>
    <row r="1605" spans="1:9" x14ac:dyDescent="0.25">
      <c r="A1605" s="515">
        <v>91606</v>
      </c>
      <c r="B1605" s="515" t="s">
        <v>375</v>
      </c>
      <c r="C1605" s="52">
        <v>815987.24786595302</v>
      </c>
      <c r="D1605" s="56">
        <v>4.6458944521573182E-2</v>
      </c>
      <c r="E1605" s="224">
        <v>2216.0555555555502</v>
      </c>
      <c r="F1605" s="515" t="s">
        <v>3262</v>
      </c>
      <c r="G1605" s="52">
        <v>354277.92655941902</v>
      </c>
      <c r="H1605" s="56">
        <v>3.7396165901697975E-2</v>
      </c>
      <c r="I1605" s="224">
        <v>1690</v>
      </c>
    </row>
    <row r="1606" spans="1:9" x14ac:dyDescent="0.25">
      <c r="A1606" s="515">
        <v>46140</v>
      </c>
      <c r="B1606" s="515" t="s">
        <v>403</v>
      </c>
      <c r="C1606" s="52">
        <v>257544.08564665201</v>
      </c>
      <c r="D1606" s="56">
        <v>6.4909737258871308E-2</v>
      </c>
      <c r="E1606" s="224">
        <v>1675.7222222222199</v>
      </c>
      <c r="F1606" s="515" t="s">
        <v>3263</v>
      </c>
      <c r="G1606" s="52">
        <v>726783.96082794003</v>
      </c>
      <c r="H1606" s="56">
        <v>7.5036995302221646E-2</v>
      </c>
      <c r="I1606" s="224">
        <v>2675.0833333333298</v>
      </c>
    </row>
    <row r="1607" spans="1:9" x14ac:dyDescent="0.25">
      <c r="A1607" s="515">
        <v>92555</v>
      </c>
      <c r="B1607" s="515" t="s">
        <v>599</v>
      </c>
      <c r="C1607" s="52">
        <v>559420.10380421497</v>
      </c>
      <c r="D1607" s="56">
        <v>4.9752527820776875E-2</v>
      </c>
      <c r="E1607" s="224">
        <v>2556.8571428571399</v>
      </c>
      <c r="F1607" s="515" t="s">
        <v>804</v>
      </c>
      <c r="G1607" s="52">
        <v>256673.61611377</v>
      </c>
      <c r="H1607" s="56">
        <v>0.12706734460997657</v>
      </c>
      <c r="I1607" s="224">
        <v>1250</v>
      </c>
    </row>
    <row r="1608" spans="1:9" x14ac:dyDescent="0.25">
      <c r="A1608" s="515">
        <v>11421</v>
      </c>
      <c r="B1608" s="515" t="s">
        <v>324</v>
      </c>
      <c r="C1608" s="52">
        <v>637966.44935613696</v>
      </c>
      <c r="D1608" s="56">
        <v>2.9482430765582709E-2</v>
      </c>
      <c r="E1608" s="224" t="s">
        <v>2</v>
      </c>
      <c r="F1608" s="515" t="s">
        <v>3264</v>
      </c>
      <c r="G1608" s="52">
        <v>822574.67985270906</v>
      </c>
      <c r="H1608" s="56">
        <v>6.4118874927029848E-2</v>
      </c>
      <c r="I1608" s="224">
        <v>2519.2666666666601</v>
      </c>
    </row>
    <row r="1609" spans="1:9" x14ac:dyDescent="0.25">
      <c r="A1609" s="515">
        <v>2895</v>
      </c>
      <c r="B1609" s="515" t="s">
        <v>513</v>
      </c>
      <c r="C1609" s="52">
        <v>315685.20698577998</v>
      </c>
      <c r="D1609" s="56">
        <v>7.5293272416015161E-2</v>
      </c>
      <c r="E1609" s="224">
        <v>1373.1018518518499</v>
      </c>
      <c r="F1609" s="515" t="s">
        <v>824</v>
      </c>
      <c r="G1609" s="52">
        <v>112044.21169780599</v>
      </c>
      <c r="H1609" s="56">
        <v>0.11913154733182603</v>
      </c>
      <c r="I1609" s="224" t="s">
        <v>2</v>
      </c>
    </row>
    <row r="1610" spans="1:9" x14ac:dyDescent="0.25">
      <c r="A1610" s="515">
        <v>84401</v>
      </c>
      <c r="B1610" s="515" t="s">
        <v>628</v>
      </c>
      <c r="C1610" s="52">
        <v>414171.60740526998</v>
      </c>
      <c r="D1610" s="56">
        <v>1.9295778289058162E-2</v>
      </c>
      <c r="E1610" s="224">
        <v>1518.5972222222199</v>
      </c>
      <c r="F1610" s="515" t="s">
        <v>972</v>
      </c>
      <c r="G1610" s="52">
        <v>138231.893337079</v>
      </c>
      <c r="H1610" s="56">
        <v>7.5945623068392532E-2</v>
      </c>
      <c r="I1610" s="224" t="s">
        <v>2</v>
      </c>
    </row>
    <row r="1611" spans="1:9" x14ac:dyDescent="0.25">
      <c r="A1611" s="515">
        <v>21702</v>
      </c>
      <c r="B1611" s="515" t="s">
        <v>321</v>
      </c>
      <c r="C1611" s="52">
        <v>393879.94321720302</v>
      </c>
      <c r="D1611" s="56">
        <v>4.2218741493449341E-2</v>
      </c>
      <c r="E1611" s="224">
        <v>1856.24206349206</v>
      </c>
      <c r="F1611" s="515" t="s">
        <v>3265</v>
      </c>
      <c r="G1611" s="52">
        <v>324724.39641299</v>
      </c>
      <c r="H1611" s="56">
        <v>7.4778984536913479E-2</v>
      </c>
      <c r="I1611" s="224">
        <v>1998.2708333333301</v>
      </c>
    </row>
    <row r="1612" spans="1:9" x14ac:dyDescent="0.25">
      <c r="A1612" s="515">
        <v>77354</v>
      </c>
      <c r="B1612" s="515" t="s">
        <v>314</v>
      </c>
      <c r="C1612" s="52">
        <v>409540.91369456798</v>
      </c>
      <c r="D1612" s="56">
        <v>6.5028437517863996E-2</v>
      </c>
      <c r="E1612" s="224">
        <v>1698.13069800569</v>
      </c>
      <c r="F1612" s="515" t="s">
        <v>3266</v>
      </c>
      <c r="G1612" s="52">
        <v>276616.05463138898</v>
      </c>
      <c r="H1612" s="56">
        <v>9.6750053570806918E-2</v>
      </c>
      <c r="I1612" s="224">
        <v>1394.05833333333</v>
      </c>
    </row>
    <row r="1613" spans="1:9" x14ac:dyDescent="0.25">
      <c r="A1613" s="515">
        <v>77074</v>
      </c>
      <c r="B1613" s="515" t="s">
        <v>314</v>
      </c>
      <c r="C1613" s="52">
        <v>210300.57530521799</v>
      </c>
      <c r="D1613" s="56">
        <v>0.13931052359925786</v>
      </c>
      <c r="E1613" s="224">
        <v>1672.6111111111099</v>
      </c>
      <c r="F1613" s="515" t="s">
        <v>1098</v>
      </c>
      <c r="G1613" s="52">
        <v>262627.80489364301</v>
      </c>
      <c r="H1613" s="56">
        <v>9.5754079679007342E-2</v>
      </c>
      <c r="I1613" s="224" t="s">
        <v>2</v>
      </c>
    </row>
    <row r="1614" spans="1:9" x14ac:dyDescent="0.25">
      <c r="A1614" s="515">
        <v>98031</v>
      </c>
      <c r="B1614" s="515" t="s">
        <v>384</v>
      </c>
      <c r="C1614" s="52">
        <v>603815.38931749598</v>
      </c>
      <c r="D1614" s="56">
        <v>3.1861019854559372E-2</v>
      </c>
      <c r="E1614" s="224">
        <v>1962.5351851851799</v>
      </c>
      <c r="F1614" s="515" t="s">
        <v>3267</v>
      </c>
      <c r="G1614" s="52">
        <v>294076.09805686597</v>
      </c>
      <c r="H1614" s="56">
        <v>6.3788252654358668E-2</v>
      </c>
      <c r="I1614" s="224">
        <v>1759.48888888888</v>
      </c>
    </row>
    <row r="1615" spans="1:9" x14ac:dyDescent="0.25">
      <c r="A1615" s="515">
        <v>98036</v>
      </c>
      <c r="B1615" s="515" t="s">
        <v>384</v>
      </c>
      <c r="C1615" s="52">
        <v>744276.57193007797</v>
      </c>
      <c r="D1615" s="56">
        <v>2.2281822710979109E-2</v>
      </c>
      <c r="E1615" s="224">
        <v>1828.5434472934401</v>
      </c>
      <c r="F1615" s="515" t="s">
        <v>3268</v>
      </c>
      <c r="G1615" s="52">
        <v>303610.57380306697</v>
      </c>
      <c r="H1615" s="56">
        <v>4.2461231855476206E-2</v>
      </c>
      <c r="I1615" s="224" t="s">
        <v>2</v>
      </c>
    </row>
    <row r="1616" spans="1:9" x14ac:dyDescent="0.25">
      <c r="A1616" s="515">
        <v>28262</v>
      </c>
      <c r="B1616" s="515" t="s">
        <v>360</v>
      </c>
      <c r="C1616" s="52">
        <v>327224.49602825398</v>
      </c>
      <c r="D1616" s="56">
        <v>7.8922053453457097E-2</v>
      </c>
      <c r="E1616" s="224">
        <v>1570.9385048643101</v>
      </c>
      <c r="F1616" s="515" t="s">
        <v>3269</v>
      </c>
      <c r="G1616" s="52">
        <v>519540.05341743398</v>
      </c>
      <c r="H1616" s="56">
        <v>6.7243298581678851E-2</v>
      </c>
      <c r="I1616" s="224" t="s">
        <v>2</v>
      </c>
    </row>
    <row r="1617" spans="1:9" x14ac:dyDescent="0.25">
      <c r="A1617" s="515">
        <v>7032</v>
      </c>
      <c r="B1617" s="515" t="s">
        <v>324</v>
      </c>
      <c r="C1617" s="52">
        <v>453761.70407951402</v>
      </c>
      <c r="D1617" s="56">
        <v>4.0981478783009041E-2</v>
      </c>
      <c r="E1617" s="224">
        <v>1943.05555555555</v>
      </c>
      <c r="F1617" s="515" t="s">
        <v>3270</v>
      </c>
      <c r="G1617" s="52">
        <v>928291.92590387701</v>
      </c>
      <c r="H1617" s="56">
        <v>1.7395464011602968E-2</v>
      </c>
      <c r="I1617" s="224">
        <v>3043.0555555555502</v>
      </c>
    </row>
    <row r="1618" spans="1:9" x14ac:dyDescent="0.25">
      <c r="A1618" s="515">
        <v>78414</v>
      </c>
      <c r="B1618" s="515" t="s">
        <v>415</v>
      </c>
      <c r="C1618" s="52">
        <v>302096.03746277699</v>
      </c>
      <c r="D1618" s="56">
        <v>5.6179077220960202E-2</v>
      </c>
      <c r="E1618" s="224">
        <v>1851.33585858585</v>
      </c>
      <c r="F1618" s="515" t="s">
        <v>3271</v>
      </c>
      <c r="G1618" s="52">
        <v>235361.29415790099</v>
      </c>
      <c r="H1618" s="56">
        <v>7.9562675452757317E-2</v>
      </c>
      <c r="I1618" s="224">
        <v>1399.44444444444</v>
      </c>
    </row>
    <row r="1619" spans="1:9" x14ac:dyDescent="0.25">
      <c r="A1619" s="515">
        <v>48038</v>
      </c>
      <c r="B1619" s="515" t="s">
        <v>685</v>
      </c>
      <c r="C1619" s="52">
        <v>257480.40890059201</v>
      </c>
      <c r="D1619" s="56">
        <v>3.6408865546238026E-2</v>
      </c>
      <c r="E1619" s="224">
        <v>1334.5833333333301</v>
      </c>
      <c r="F1619" s="515" t="s">
        <v>3272</v>
      </c>
      <c r="G1619" s="52">
        <v>363057.33054464398</v>
      </c>
      <c r="H1619" s="56">
        <v>4.2389893442175551E-2</v>
      </c>
      <c r="I1619" s="224" t="s">
        <v>2</v>
      </c>
    </row>
    <row r="1620" spans="1:9" x14ac:dyDescent="0.25">
      <c r="A1620" s="515">
        <v>34997</v>
      </c>
      <c r="B1620" s="515" t="s">
        <v>1180</v>
      </c>
      <c r="C1620" s="52">
        <v>416860.65433908999</v>
      </c>
      <c r="D1620" s="56">
        <v>0.1349823750797563</v>
      </c>
      <c r="E1620" s="224">
        <v>2496.4285714285702</v>
      </c>
      <c r="F1620" s="515" t="s">
        <v>3273</v>
      </c>
      <c r="G1620" s="52">
        <v>363339.78842657799</v>
      </c>
      <c r="H1620" s="56">
        <v>4.6298613400153676E-2</v>
      </c>
      <c r="I1620" s="224">
        <v>1459.0909090908999</v>
      </c>
    </row>
    <row r="1621" spans="1:9" x14ac:dyDescent="0.25">
      <c r="A1621" s="515">
        <v>92308</v>
      </c>
      <c r="B1621" s="515" t="s">
        <v>599</v>
      </c>
      <c r="C1621" s="52">
        <v>375030.58359764703</v>
      </c>
      <c r="D1621" s="56">
        <v>4.2274534928604869E-2</v>
      </c>
      <c r="E1621" s="224">
        <v>1699.1666666666599</v>
      </c>
      <c r="F1621" s="515" t="s">
        <v>3274</v>
      </c>
      <c r="G1621" s="52">
        <v>145810.430622035</v>
      </c>
      <c r="H1621" s="56">
        <v>2.9228395445380518E-2</v>
      </c>
      <c r="I1621" s="224" t="s">
        <v>2</v>
      </c>
    </row>
    <row r="1622" spans="1:9" x14ac:dyDescent="0.25">
      <c r="A1622" s="515">
        <v>34293</v>
      </c>
      <c r="B1622" s="515" t="s">
        <v>466</v>
      </c>
      <c r="C1622" s="52">
        <v>429718.737741185</v>
      </c>
      <c r="D1622" s="56">
        <v>0.13747039226135099</v>
      </c>
      <c r="E1622" s="224">
        <v>2777.3333333333298</v>
      </c>
      <c r="F1622" s="515" t="s">
        <v>3275</v>
      </c>
      <c r="G1622" s="52">
        <v>265260.63528541202</v>
      </c>
      <c r="H1622" s="56">
        <v>0.16178611111629762</v>
      </c>
      <c r="I1622" s="224">
        <v>1648.5857142857101</v>
      </c>
    </row>
    <row r="1623" spans="1:9" x14ac:dyDescent="0.25">
      <c r="A1623" s="515">
        <v>65201</v>
      </c>
      <c r="B1623" s="515" t="s">
        <v>785</v>
      </c>
      <c r="C1623" s="52">
        <v>264506.72138163098</v>
      </c>
      <c r="D1623" s="56">
        <v>6.4030156186100334E-2</v>
      </c>
      <c r="E1623" s="224">
        <v>1378.8444444444399</v>
      </c>
      <c r="F1623" s="515" t="s">
        <v>3276</v>
      </c>
      <c r="G1623" s="52">
        <v>684483.68039682205</v>
      </c>
      <c r="H1623" s="56">
        <v>1.2451640323794325E-2</v>
      </c>
      <c r="I1623" s="224">
        <v>2891.9418803418798</v>
      </c>
    </row>
    <row r="1624" spans="1:9" x14ac:dyDescent="0.25">
      <c r="A1624" s="515">
        <v>8234</v>
      </c>
      <c r="B1624" s="515" t="s">
        <v>800</v>
      </c>
      <c r="C1624" s="52">
        <v>324187.52092348097</v>
      </c>
      <c r="D1624" s="56">
        <v>9.3777935606049995E-2</v>
      </c>
      <c r="E1624" s="224">
        <v>1620</v>
      </c>
      <c r="F1624" s="515" t="s">
        <v>3277</v>
      </c>
      <c r="G1624" s="52">
        <v>510034.08453299903</v>
      </c>
      <c r="H1624" s="56">
        <v>2.8353851508296876E-2</v>
      </c>
      <c r="I1624" s="224">
        <v>1592.80952380952</v>
      </c>
    </row>
    <row r="1625" spans="1:9" x14ac:dyDescent="0.25">
      <c r="A1625" s="515">
        <v>29579</v>
      </c>
      <c r="B1625" s="515" t="s">
        <v>703</v>
      </c>
      <c r="C1625" s="52">
        <v>337661.12347092299</v>
      </c>
      <c r="D1625" s="56">
        <v>0.12269592371952981</v>
      </c>
      <c r="E1625" s="224">
        <v>1847.4851851851799</v>
      </c>
      <c r="F1625" s="515" t="s">
        <v>3278</v>
      </c>
      <c r="G1625" s="52">
        <v>360143.051194539</v>
      </c>
      <c r="H1625" s="56">
        <v>1.1975889557961049E-2</v>
      </c>
      <c r="I1625" s="224">
        <v>1990.9</v>
      </c>
    </row>
    <row r="1626" spans="1:9" x14ac:dyDescent="0.25">
      <c r="A1626" s="515">
        <v>98122</v>
      </c>
      <c r="B1626" s="515" t="s">
        <v>384</v>
      </c>
      <c r="C1626" s="52">
        <v>816386.73668909597</v>
      </c>
      <c r="D1626" s="56">
        <v>-2.5464586210666107E-2</v>
      </c>
      <c r="E1626" s="224">
        <v>2044.2413095238001</v>
      </c>
      <c r="F1626" s="515" t="s">
        <v>3279</v>
      </c>
      <c r="G1626" s="52">
        <v>225331.86776144599</v>
      </c>
      <c r="H1626" s="56">
        <v>7.9268333314069808E-2</v>
      </c>
      <c r="I1626" s="224">
        <v>1188</v>
      </c>
    </row>
    <row r="1627" spans="1:9" x14ac:dyDescent="0.25">
      <c r="A1627" s="515">
        <v>53081</v>
      </c>
      <c r="B1627" s="515" t="s">
        <v>1063</v>
      </c>
      <c r="C1627" s="52">
        <v>178831.81991478999</v>
      </c>
      <c r="D1627" s="56">
        <v>8.383044424898152E-2</v>
      </c>
      <c r="E1627" s="224">
        <v>936.11111111111097</v>
      </c>
      <c r="F1627" s="515" t="s">
        <v>3280</v>
      </c>
      <c r="G1627" s="52">
        <v>321651.775500544</v>
      </c>
      <c r="H1627" s="56">
        <v>8.4213497910637591E-2</v>
      </c>
      <c r="I1627" s="224">
        <v>1649.6111111111099</v>
      </c>
    </row>
    <row r="1628" spans="1:9" x14ac:dyDescent="0.25">
      <c r="A1628" s="515">
        <v>38016</v>
      </c>
      <c r="B1628" s="515" t="s">
        <v>951</v>
      </c>
      <c r="C1628" s="52">
        <v>298163.502321832</v>
      </c>
      <c r="D1628" s="56">
        <v>6.3653369463954473E-2</v>
      </c>
      <c r="E1628" s="224">
        <v>1702.4369658119599</v>
      </c>
      <c r="F1628" s="515" t="s">
        <v>3281</v>
      </c>
      <c r="G1628" s="52">
        <v>565760.97831886203</v>
      </c>
      <c r="H1628" s="56">
        <v>0.10786935480852863</v>
      </c>
      <c r="I1628" s="224" t="s">
        <v>2</v>
      </c>
    </row>
    <row r="1629" spans="1:9" x14ac:dyDescent="0.25">
      <c r="A1629" s="515">
        <v>20785</v>
      </c>
      <c r="B1629" s="515" t="s">
        <v>321</v>
      </c>
      <c r="C1629" s="52">
        <v>320588.88427963399</v>
      </c>
      <c r="D1629" s="56">
        <v>2.0231955862315826E-2</v>
      </c>
      <c r="E1629" s="224">
        <v>1881.3350427350399</v>
      </c>
      <c r="F1629" s="515" t="s">
        <v>3282</v>
      </c>
      <c r="G1629" s="52">
        <v>357531.96626787802</v>
      </c>
      <c r="H1629" s="56">
        <v>7.484091212809002E-2</v>
      </c>
      <c r="I1629" s="224">
        <v>1893.75</v>
      </c>
    </row>
    <row r="1630" spans="1:9" x14ac:dyDescent="0.25">
      <c r="A1630" s="515">
        <v>78412</v>
      </c>
      <c r="B1630" s="515" t="s">
        <v>415</v>
      </c>
      <c r="C1630" s="52">
        <v>182979.102582527</v>
      </c>
      <c r="D1630" s="56">
        <v>3.7374090529833488E-2</v>
      </c>
      <c r="E1630" s="224">
        <v>1449.4111111111099</v>
      </c>
      <c r="F1630" s="515" t="s">
        <v>3283</v>
      </c>
      <c r="G1630" s="52">
        <v>391318.765159918</v>
      </c>
      <c r="H1630" s="56">
        <v>0.10355271730836658</v>
      </c>
      <c r="I1630" s="224">
        <v>1803.18518518518</v>
      </c>
    </row>
    <row r="1631" spans="1:9" x14ac:dyDescent="0.25">
      <c r="A1631" s="515">
        <v>77901</v>
      </c>
      <c r="B1631" s="515" t="s">
        <v>1174</v>
      </c>
      <c r="C1631" s="52">
        <v>139720.11209073101</v>
      </c>
      <c r="D1631" s="56">
        <v>9.6099368498767407E-2</v>
      </c>
      <c r="E1631" s="224">
        <v>1002.5</v>
      </c>
      <c r="F1631" s="515" t="s">
        <v>3284</v>
      </c>
      <c r="G1631" s="52">
        <v>370839.08783901198</v>
      </c>
      <c r="H1631" s="56">
        <v>4.6527525795860107E-2</v>
      </c>
      <c r="I1631" s="224" t="s">
        <v>2</v>
      </c>
    </row>
    <row r="1632" spans="1:9" x14ac:dyDescent="0.25">
      <c r="A1632" s="515">
        <v>14150</v>
      </c>
      <c r="B1632" s="515" t="s">
        <v>336</v>
      </c>
      <c r="C1632" s="52">
        <v>206647.339040233</v>
      </c>
      <c r="D1632" s="56">
        <v>7.2960306896170224E-2</v>
      </c>
      <c r="E1632" s="224">
        <v>1104.0277777777701</v>
      </c>
      <c r="F1632" s="515" t="s">
        <v>3285</v>
      </c>
      <c r="G1632" s="52">
        <v>619014.04587988404</v>
      </c>
      <c r="H1632" s="56">
        <v>7.4277691452293557E-2</v>
      </c>
      <c r="I1632" s="224" t="s">
        <v>2</v>
      </c>
    </row>
    <row r="1633" spans="1:9" x14ac:dyDescent="0.25">
      <c r="A1633" s="515">
        <v>30605</v>
      </c>
      <c r="B1633" s="515" t="s">
        <v>991</v>
      </c>
      <c r="C1633" s="52">
        <v>274716.65214619698</v>
      </c>
      <c r="D1633" s="56">
        <v>9.2052981589198835E-2</v>
      </c>
      <c r="E1633" s="224">
        <v>1643.9814814814799</v>
      </c>
      <c r="F1633" s="515" t="s">
        <v>3286</v>
      </c>
      <c r="G1633" s="52">
        <v>259369.687378284</v>
      </c>
      <c r="H1633" s="56">
        <v>0.11517543300998415</v>
      </c>
      <c r="I1633" s="224">
        <v>1628.86772486772</v>
      </c>
    </row>
    <row r="1634" spans="1:9" x14ac:dyDescent="0.25">
      <c r="A1634" s="515">
        <v>77471</v>
      </c>
      <c r="B1634" s="515" t="s">
        <v>314</v>
      </c>
      <c r="C1634" s="52">
        <v>263413.40741474502</v>
      </c>
      <c r="D1634" s="56">
        <v>0.11384830523954158</v>
      </c>
      <c r="E1634" s="224">
        <v>1789.05555555555</v>
      </c>
      <c r="F1634" s="515" t="s">
        <v>3287</v>
      </c>
      <c r="G1634" s="52">
        <v>301222.17301301297</v>
      </c>
      <c r="H1634" s="56">
        <v>9.4231933247777594E-2</v>
      </c>
      <c r="I1634" s="224">
        <v>2056.2222222222199</v>
      </c>
    </row>
    <row r="1635" spans="1:9" x14ac:dyDescent="0.25">
      <c r="A1635" s="515">
        <v>22903</v>
      </c>
      <c r="B1635" s="515" t="s">
        <v>630</v>
      </c>
      <c r="C1635" s="52">
        <v>444407.80785883899</v>
      </c>
      <c r="D1635" s="56">
        <v>7.2806971417680305E-2</v>
      </c>
      <c r="E1635" s="224">
        <v>1668.87037037037</v>
      </c>
      <c r="F1635" s="515" t="s">
        <v>3288</v>
      </c>
      <c r="G1635" s="52">
        <v>207792.68607498301</v>
      </c>
      <c r="H1635" s="56">
        <v>0.11120163221247095</v>
      </c>
      <c r="I1635" s="224" t="s">
        <v>2</v>
      </c>
    </row>
    <row r="1636" spans="1:9" x14ac:dyDescent="0.25">
      <c r="A1636" s="515">
        <v>28273</v>
      </c>
      <c r="B1636" s="515" t="s">
        <v>360</v>
      </c>
      <c r="C1636" s="52">
        <v>346760.76620564598</v>
      </c>
      <c r="D1636" s="56">
        <v>8.2689035203998909E-2</v>
      </c>
      <c r="E1636" s="224">
        <v>1666.45888888888</v>
      </c>
      <c r="F1636" s="515" t="s">
        <v>3289</v>
      </c>
      <c r="G1636" s="52">
        <v>310059.77460862399</v>
      </c>
      <c r="H1636" s="56">
        <v>6.3524435587693259E-2</v>
      </c>
      <c r="I1636" s="224">
        <v>1621.7</v>
      </c>
    </row>
    <row r="1637" spans="1:9" x14ac:dyDescent="0.25">
      <c r="A1637" s="515">
        <v>53218</v>
      </c>
      <c r="B1637" s="515" t="s">
        <v>950</v>
      </c>
      <c r="C1637" s="52">
        <v>133065.824667804</v>
      </c>
      <c r="D1637" s="56">
        <v>6.8635712566151072E-2</v>
      </c>
      <c r="E1637" s="224">
        <v>1166.3333333333301</v>
      </c>
      <c r="F1637" s="515" t="s">
        <v>3290</v>
      </c>
      <c r="G1637" s="52">
        <v>309628.03935375198</v>
      </c>
      <c r="H1637" s="56">
        <v>7.2589581731214145E-2</v>
      </c>
      <c r="I1637" s="224" t="s">
        <v>2</v>
      </c>
    </row>
    <row r="1638" spans="1:9" x14ac:dyDescent="0.25">
      <c r="A1638" s="515">
        <v>89183</v>
      </c>
      <c r="B1638" s="515" t="s">
        <v>323</v>
      </c>
      <c r="C1638" s="52">
        <v>388487.35910385702</v>
      </c>
      <c r="D1638" s="56">
        <v>2.7136707074171623E-2</v>
      </c>
      <c r="E1638" s="224">
        <v>1837.0101479188099</v>
      </c>
      <c r="F1638" s="515" t="s">
        <v>3291</v>
      </c>
      <c r="G1638" s="52">
        <v>161404.036322503</v>
      </c>
      <c r="H1638" s="56">
        <v>9.6752959086896989E-2</v>
      </c>
      <c r="I1638" s="224">
        <v>783.75</v>
      </c>
    </row>
    <row r="1639" spans="1:9" x14ac:dyDescent="0.25">
      <c r="A1639" s="515">
        <v>13760</v>
      </c>
      <c r="B1639" s="515" t="s">
        <v>840</v>
      </c>
      <c r="C1639" s="52">
        <v>157962.50335906199</v>
      </c>
      <c r="D1639" s="56">
        <v>6.6884584850429959E-2</v>
      </c>
      <c r="E1639" s="224">
        <v>1025</v>
      </c>
      <c r="F1639" s="515" t="s">
        <v>3292</v>
      </c>
      <c r="G1639" s="52">
        <v>236993.591673458</v>
      </c>
      <c r="H1639" s="56">
        <v>7.5771525502772941E-2</v>
      </c>
      <c r="I1639" s="224">
        <v>1235.55555555555</v>
      </c>
    </row>
    <row r="1640" spans="1:9" x14ac:dyDescent="0.25">
      <c r="A1640" s="515">
        <v>30815</v>
      </c>
      <c r="B1640" s="515" t="s">
        <v>888</v>
      </c>
      <c r="C1640" s="52">
        <v>187797.74818136601</v>
      </c>
      <c r="D1640" s="56">
        <v>0.13083498751865816</v>
      </c>
      <c r="E1640" s="224">
        <v>1331.2777777777701</v>
      </c>
      <c r="F1640" s="515" t="s">
        <v>3293</v>
      </c>
      <c r="G1640" s="52">
        <v>131350.65096056901</v>
      </c>
      <c r="H1640" s="56">
        <v>7.430447021820312E-2</v>
      </c>
      <c r="I1640" s="224" t="s">
        <v>2</v>
      </c>
    </row>
    <row r="1641" spans="1:9" x14ac:dyDescent="0.25">
      <c r="A1641" s="515">
        <v>18974</v>
      </c>
      <c r="B1641" s="515" t="s">
        <v>294</v>
      </c>
      <c r="C1641" s="52">
        <v>419847.96070505999</v>
      </c>
      <c r="D1641" s="56">
        <v>6.1534013870237277E-2</v>
      </c>
      <c r="E1641" s="224" t="s">
        <v>2</v>
      </c>
      <c r="F1641" s="515" t="s">
        <v>3294</v>
      </c>
      <c r="G1641" s="52">
        <v>294230.826550083</v>
      </c>
      <c r="H1641" s="56">
        <v>7.5986380965842981E-2</v>
      </c>
      <c r="I1641" s="224">
        <v>0</v>
      </c>
    </row>
    <row r="1642" spans="1:9" x14ac:dyDescent="0.25">
      <c r="A1642" s="515">
        <v>40299</v>
      </c>
      <c r="B1642" s="515" t="s">
        <v>479</v>
      </c>
      <c r="C1642" s="52">
        <v>294936.22950877401</v>
      </c>
      <c r="D1642" s="56">
        <v>5.9759627646749254E-2</v>
      </c>
      <c r="E1642" s="224">
        <v>1515.9735449735399</v>
      </c>
      <c r="F1642" s="515" t="s">
        <v>3295</v>
      </c>
      <c r="G1642" s="52">
        <v>357827.17237705301</v>
      </c>
      <c r="H1642" s="56">
        <v>8.9459225133194029E-2</v>
      </c>
      <c r="I1642" s="224">
        <v>1533.3333333333301</v>
      </c>
    </row>
    <row r="1643" spans="1:9" x14ac:dyDescent="0.25">
      <c r="A1643" s="515">
        <v>79925</v>
      </c>
      <c r="B1643" s="515" t="s">
        <v>1119</v>
      </c>
      <c r="C1643" s="52">
        <v>200659.85541264899</v>
      </c>
      <c r="D1643" s="56">
        <v>8.2068011544048219E-2</v>
      </c>
      <c r="E1643" s="224">
        <v>1325</v>
      </c>
      <c r="F1643" s="515" t="s">
        <v>3296</v>
      </c>
      <c r="G1643" s="52">
        <v>611332.95949095394</v>
      </c>
      <c r="H1643" s="56">
        <v>3.6343126232969133E-2</v>
      </c>
      <c r="I1643" s="224" t="s">
        <v>2</v>
      </c>
    </row>
    <row r="1644" spans="1:9" x14ac:dyDescent="0.25">
      <c r="A1644" s="515">
        <v>6484</v>
      </c>
      <c r="B1644" s="515" t="s">
        <v>1173</v>
      </c>
      <c r="C1644" s="52">
        <v>445238.95546929998</v>
      </c>
      <c r="D1644" s="56">
        <v>9.4739476132017983E-2</v>
      </c>
      <c r="E1644" s="224">
        <v>1891.6666666666599</v>
      </c>
      <c r="F1644" s="515" t="s">
        <v>3297</v>
      </c>
      <c r="G1644" s="52">
        <v>647739.94541479601</v>
      </c>
      <c r="H1644" s="56">
        <v>2.5265308461899127E-2</v>
      </c>
      <c r="I1644" s="224">
        <v>2486.6999999999998</v>
      </c>
    </row>
    <row r="1645" spans="1:9" x14ac:dyDescent="0.25">
      <c r="A1645" s="515">
        <v>2909</v>
      </c>
      <c r="B1645" s="515" t="s">
        <v>513</v>
      </c>
      <c r="C1645" s="52">
        <v>306309.57326501899</v>
      </c>
      <c r="D1645" s="56">
        <v>7.7586754606990396E-2</v>
      </c>
      <c r="E1645" s="224">
        <v>1895.05555555555</v>
      </c>
      <c r="F1645" s="515" t="s">
        <v>839</v>
      </c>
      <c r="G1645" s="52">
        <v>390890.17061821203</v>
      </c>
      <c r="H1645" s="56">
        <v>3.3035779998699749E-2</v>
      </c>
      <c r="I1645" s="224" t="s">
        <v>2</v>
      </c>
    </row>
    <row r="1646" spans="1:9" x14ac:dyDescent="0.25">
      <c r="A1646" s="515">
        <v>62040</v>
      </c>
      <c r="B1646" s="515" t="s">
        <v>498</v>
      </c>
      <c r="C1646" s="52">
        <v>99071.971239425693</v>
      </c>
      <c r="D1646" s="56">
        <v>0.12886081886551834</v>
      </c>
      <c r="E1646" s="224" t="s">
        <v>2</v>
      </c>
      <c r="F1646" s="515" t="s">
        <v>3298</v>
      </c>
      <c r="G1646" s="52">
        <v>212513.19069039499</v>
      </c>
      <c r="H1646" s="56">
        <v>9.6115989579827796E-2</v>
      </c>
      <c r="I1646" s="224">
        <v>1207.2222222222199</v>
      </c>
    </row>
    <row r="1647" spans="1:9" x14ac:dyDescent="0.25">
      <c r="A1647" s="515">
        <v>10021</v>
      </c>
      <c r="B1647" s="515" t="s">
        <v>324</v>
      </c>
      <c r="C1647" s="52">
        <v>1424376.25936179</v>
      </c>
      <c r="D1647" s="56">
        <v>-2.2522113095081425E-2</v>
      </c>
      <c r="E1647" s="224">
        <v>3510.5682174185399</v>
      </c>
      <c r="F1647" s="515" t="s">
        <v>1146</v>
      </c>
      <c r="G1647" s="52">
        <v>461914.98884314898</v>
      </c>
      <c r="H1647" s="56">
        <v>3.1516653519700864E-2</v>
      </c>
      <c r="I1647" s="224">
        <v>1617.0833333333301</v>
      </c>
    </row>
    <row r="1648" spans="1:9" x14ac:dyDescent="0.25">
      <c r="A1648" s="515">
        <v>95132</v>
      </c>
      <c r="B1648" s="515" t="s">
        <v>850</v>
      </c>
      <c r="C1648" s="52">
        <v>1356369.2439766901</v>
      </c>
      <c r="D1648" s="56">
        <v>4.6819795824569632E-2</v>
      </c>
      <c r="E1648" s="224">
        <v>3477.3333333333298</v>
      </c>
      <c r="F1648" s="515" t="s">
        <v>3299</v>
      </c>
      <c r="G1648" s="52">
        <v>486678.669803672</v>
      </c>
      <c r="H1648" s="56">
        <v>4.5125619924589466E-2</v>
      </c>
      <c r="I1648" s="224">
        <v>1769.1111111111099</v>
      </c>
    </row>
    <row r="1649" spans="1:9" x14ac:dyDescent="0.25">
      <c r="A1649" s="515">
        <v>78582</v>
      </c>
      <c r="B1649" s="515" t="s">
        <v>508</v>
      </c>
      <c r="C1649" s="52">
        <v>87743.0363965297</v>
      </c>
      <c r="D1649" s="56">
        <v>-3.9990834849841575E-2</v>
      </c>
      <c r="E1649" s="224" t="s">
        <v>2</v>
      </c>
      <c r="F1649" s="515" t="s">
        <v>3300</v>
      </c>
      <c r="G1649" s="52">
        <v>383858.43160900997</v>
      </c>
      <c r="H1649" s="56">
        <v>9.7969023825808271E-2</v>
      </c>
      <c r="I1649" s="224">
        <v>1817.75185185185</v>
      </c>
    </row>
    <row r="1650" spans="1:9" x14ac:dyDescent="0.25">
      <c r="A1650" s="515">
        <v>94804</v>
      </c>
      <c r="B1650" s="515" t="s">
        <v>593</v>
      </c>
      <c r="C1650" s="52">
        <v>588146.12443308998</v>
      </c>
      <c r="D1650" s="56">
        <v>-3.3861313467718796E-3</v>
      </c>
      <c r="E1650" s="224">
        <v>2811.2222222222199</v>
      </c>
      <c r="F1650" s="515" t="s">
        <v>3301</v>
      </c>
      <c r="G1650" s="52">
        <v>565042.03747203294</v>
      </c>
      <c r="H1650" s="56">
        <v>7.3576942549134092E-2</v>
      </c>
      <c r="I1650" s="224">
        <v>2312.1904761904698</v>
      </c>
    </row>
    <row r="1651" spans="1:9" x14ac:dyDescent="0.25">
      <c r="A1651" s="515">
        <v>48111</v>
      </c>
      <c r="B1651" s="515" t="s">
        <v>685</v>
      </c>
      <c r="C1651" s="52">
        <v>257240.79943987401</v>
      </c>
      <c r="D1651" s="56">
        <v>4.219942992993294E-2</v>
      </c>
      <c r="E1651" s="224">
        <v>1192.38888888888</v>
      </c>
      <c r="F1651" s="515" t="s">
        <v>3302</v>
      </c>
      <c r="G1651" s="52">
        <v>431626.82828461798</v>
      </c>
      <c r="H1651" s="56">
        <v>7.3142878905830142E-2</v>
      </c>
      <c r="I1651" s="224">
        <v>1990.2777777777701</v>
      </c>
    </row>
    <row r="1652" spans="1:9" x14ac:dyDescent="0.25">
      <c r="A1652" s="515">
        <v>60060</v>
      </c>
      <c r="B1652" s="515" t="s">
        <v>394</v>
      </c>
      <c r="C1652" s="52">
        <v>297351.66471301502</v>
      </c>
      <c r="D1652" s="56">
        <v>6.1075068423652991E-2</v>
      </c>
      <c r="E1652" s="224" t="s">
        <v>2</v>
      </c>
      <c r="F1652" s="515" t="s">
        <v>3303</v>
      </c>
      <c r="G1652" s="52">
        <v>527953.72240702796</v>
      </c>
      <c r="H1652" s="56">
        <v>7.8660181083665667E-2</v>
      </c>
      <c r="I1652" s="224">
        <v>2051.1111111111099</v>
      </c>
    </row>
    <row r="1653" spans="1:9" x14ac:dyDescent="0.25">
      <c r="A1653" s="515">
        <v>36830</v>
      </c>
      <c r="B1653" s="515" t="s">
        <v>1159</v>
      </c>
      <c r="C1653" s="52">
        <v>341155.15036295197</v>
      </c>
      <c r="D1653" s="56">
        <v>6.8108642970122382E-2</v>
      </c>
      <c r="E1653" s="224">
        <v>1409.8245614035</v>
      </c>
      <c r="F1653" s="515" t="s">
        <v>3304</v>
      </c>
      <c r="G1653" s="52">
        <v>419735.98246089299</v>
      </c>
      <c r="H1653" s="56">
        <v>5.55443393260679E-2</v>
      </c>
      <c r="I1653" s="224">
        <v>2231.75595238095</v>
      </c>
    </row>
    <row r="1654" spans="1:9" x14ac:dyDescent="0.25">
      <c r="A1654" s="515">
        <v>46385</v>
      </c>
      <c r="B1654" s="515" t="s">
        <v>394</v>
      </c>
      <c r="C1654" s="52">
        <v>317692.65300583199</v>
      </c>
      <c r="D1654" s="56">
        <v>6.5777350271843268E-2</v>
      </c>
      <c r="E1654" s="224" t="s">
        <v>2</v>
      </c>
      <c r="F1654" s="515" t="s">
        <v>3305</v>
      </c>
      <c r="G1654" s="52">
        <v>617211.60552532598</v>
      </c>
      <c r="H1654" s="56">
        <v>4.7556954088884766E-2</v>
      </c>
      <c r="I1654" s="224">
        <v>2563.6944444444398</v>
      </c>
    </row>
    <row r="1655" spans="1:9" x14ac:dyDescent="0.25">
      <c r="A1655" s="515">
        <v>54935</v>
      </c>
      <c r="B1655" s="515" t="s">
        <v>987</v>
      </c>
      <c r="C1655" s="52">
        <v>174734.73647056101</v>
      </c>
      <c r="D1655" s="56">
        <v>9.5726759821915766E-2</v>
      </c>
      <c r="E1655" s="224">
        <v>975.66666666666595</v>
      </c>
      <c r="F1655" s="515" t="s">
        <v>3306</v>
      </c>
      <c r="G1655" s="52">
        <v>264755.62497397402</v>
      </c>
      <c r="H1655" s="56">
        <v>7.5335694446571996E-2</v>
      </c>
      <c r="I1655" s="224">
        <v>1715.9166666666599</v>
      </c>
    </row>
    <row r="1656" spans="1:9" x14ac:dyDescent="0.25">
      <c r="A1656" s="515">
        <v>8054</v>
      </c>
      <c r="B1656" s="515" t="s">
        <v>294</v>
      </c>
      <c r="C1656" s="52">
        <v>322689.91509673401</v>
      </c>
      <c r="D1656" s="56">
        <v>7.1605355010220473E-2</v>
      </c>
      <c r="E1656" s="224">
        <v>2099.9166666666601</v>
      </c>
      <c r="F1656" s="515" t="s">
        <v>3307</v>
      </c>
      <c r="G1656" s="52">
        <v>421334.05492932099</v>
      </c>
      <c r="H1656" s="56">
        <v>5.6341237450098142E-2</v>
      </c>
      <c r="I1656" s="224" t="s">
        <v>2</v>
      </c>
    </row>
    <row r="1657" spans="1:9" x14ac:dyDescent="0.25">
      <c r="A1657" s="515">
        <v>60564</v>
      </c>
      <c r="B1657" s="515" t="s">
        <v>394</v>
      </c>
      <c r="C1657" s="52">
        <v>543569.20632061095</v>
      </c>
      <c r="D1657" s="56">
        <v>8.8700785937476365E-2</v>
      </c>
      <c r="E1657" s="224">
        <v>2144.7222222222199</v>
      </c>
      <c r="F1657" s="515" t="s">
        <v>3308</v>
      </c>
      <c r="G1657" s="52">
        <v>342113.898559038</v>
      </c>
      <c r="H1657" s="56">
        <v>4.9606056061815278E-2</v>
      </c>
      <c r="I1657" s="224" t="s">
        <v>2</v>
      </c>
    </row>
    <row r="1658" spans="1:9" x14ac:dyDescent="0.25">
      <c r="A1658" s="515">
        <v>27704</v>
      </c>
      <c r="B1658" s="515" t="s">
        <v>467</v>
      </c>
      <c r="C1658" s="52">
        <v>293853.31669701001</v>
      </c>
      <c r="D1658" s="56">
        <v>0.11337952107951731</v>
      </c>
      <c r="E1658" s="224">
        <v>1573.8941798941701</v>
      </c>
      <c r="F1658" s="515" t="s">
        <v>1110</v>
      </c>
      <c r="G1658" s="52">
        <v>221251.57748420499</v>
      </c>
      <c r="H1658" s="56">
        <v>8.6339090587020564E-2</v>
      </c>
      <c r="I1658" s="224" t="s">
        <v>2</v>
      </c>
    </row>
    <row r="1659" spans="1:9" x14ac:dyDescent="0.25">
      <c r="A1659" s="515">
        <v>91016</v>
      </c>
      <c r="B1659" s="515" t="s">
        <v>375</v>
      </c>
      <c r="C1659" s="52">
        <v>901201.92413564702</v>
      </c>
      <c r="D1659" s="56">
        <v>4.7774572684795222E-2</v>
      </c>
      <c r="E1659" s="224">
        <v>2663.4333333333302</v>
      </c>
      <c r="F1659" s="515" t="s">
        <v>3309</v>
      </c>
      <c r="G1659" s="52">
        <v>428759.92592721398</v>
      </c>
      <c r="H1659" s="56">
        <v>7.8410391453016079E-2</v>
      </c>
      <c r="I1659" s="224">
        <v>2340.4444444444398</v>
      </c>
    </row>
    <row r="1660" spans="1:9" x14ac:dyDescent="0.25">
      <c r="A1660" s="515">
        <v>93635</v>
      </c>
      <c r="B1660" s="515" t="s">
        <v>594</v>
      </c>
      <c r="C1660" s="52">
        <v>429330.69632983097</v>
      </c>
      <c r="D1660" s="56">
        <v>1.5438144217879601E-2</v>
      </c>
      <c r="E1660" s="224">
        <v>2177.2222222222199</v>
      </c>
      <c r="F1660" s="515" t="s">
        <v>875</v>
      </c>
      <c r="G1660" s="52">
        <v>203149.10930651499</v>
      </c>
      <c r="H1660" s="56">
        <v>6.4788554544759708E-2</v>
      </c>
      <c r="I1660" s="224">
        <v>946.66666666666595</v>
      </c>
    </row>
    <row r="1661" spans="1:9" x14ac:dyDescent="0.25">
      <c r="A1661" s="515">
        <v>21045</v>
      </c>
      <c r="B1661" s="515" t="s">
        <v>582</v>
      </c>
      <c r="C1661" s="52">
        <v>428787.19781276799</v>
      </c>
      <c r="D1661" s="56">
        <v>2.718436052743449E-2</v>
      </c>
      <c r="E1661" s="224">
        <v>1967.8518518518499</v>
      </c>
      <c r="F1661" s="515" t="s">
        <v>3310</v>
      </c>
      <c r="G1661" s="52">
        <v>952478.02437061397</v>
      </c>
      <c r="H1661" s="56">
        <v>7.481635094803229E-3</v>
      </c>
      <c r="I1661" s="224">
        <v>2821.9300699300602</v>
      </c>
    </row>
    <row r="1662" spans="1:9" x14ac:dyDescent="0.25">
      <c r="A1662" s="515">
        <v>78573</v>
      </c>
      <c r="B1662" s="515" t="s">
        <v>550</v>
      </c>
      <c r="C1662" s="52">
        <v>176035.807072973</v>
      </c>
      <c r="D1662" s="56">
        <v>0.1241887067120622</v>
      </c>
      <c r="E1662" s="224" t="s">
        <v>2</v>
      </c>
      <c r="F1662" s="515" t="s">
        <v>3311</v>
      </c>
      <c r="G1662" s="52">
        <v>995770.83494438895</v>
      </c>
      <c r="H1662" s="56">
        <v>0.12925724746353826</v>
      </c>
      <c r="I1662" s="224" t="s">
        <v>2</v>
      </c>
    </row>
    <row r="1663" spans="1:9" x14ac:dyDescent="0.25">
      <c r="A1663" s="515">
        <v>96701</v>
      </c>
      <c r="B1663" s="515" t="s">
        <v>1029</v>
      </c>
      <c r="C1663" s="52">
        <v>849475.69931427296</v>
      </c>
      <c r="D1663" s="56">
        <v>6.0346444142749929E-2</v>
      </c>
      <c r="E1663" s="224">
        <v>2415</v>
      </c>
      <c r="F1663" s="515" t="s">
        <v>450</v>
      </c>
      <c r="G1663" s="52">
        <v>403891.65366945398</v>
      </c>
      <c r="H1663" s="56">
        <v>5.7765495181671955E-2</v>
      </c>
      <c r="I1663" s="224">
        <v>1340.38461538461</v>
      </c>
    </row>
    <row r="1664" spans="1:9" x14ac:dyDescent="0.25">
      <c r="A1664" s="515">
        <v>28117</v>
      </c>
      <c r="B1664" s="515" t="s">
        <v>360</v>
      </c>
      <c r="C1664" s="52">
        <v>582245.140466918</v>
      </c>
      <c r="D1664" s="56">
        <v>7.6847495217950257E-2</v>
      </c>
      <c r="E1664" s="224">
        <v>1666.18869365928</v>
      </c>
      <c r="F1664" s="515" t="s">
        <v>3312</v>
      </c>
      <c r="G1664" s="52">
        <v>144733.16794204299</v>
      </c>
      <c r="H1664" s="56">
        <v>9.6980333652366135E-2</v>
      </c>
      <c r="I1664" s="224">
        <v>1536.8333333333301</v>
      </c>
    </row>
    <row r="1665" spans="1:9" x14ac:dyDescent="0.25">
      <c r="A1665" s="515">
        <v>8902</v>
      </c>
      <c r="B1665" s="515" t="s">
        <v>324</v>
      </c>
      <c r="C1665" s="52">
        <v>421369.36261577602</v>
      </c>
      <c r="D1665" s="56">
        <v>6.5718422239528104E-2</v>
      </c>
      <c r="E1665" s="224">
        <v>2347.7037037036998</v>
      </c>
      <c r="F1665" s="515" t="s">
        <v>3313</v>
      </c>
      <c r="G1665" s="52">
        <v>630569.83801548299</v>
      </c>
      <c r="H1665" s="56">
        <v>6.0676857424421457E-2</v>
      </c>
      <c r="I1665" s="224">
        <v>1836.3333333333301</v>
      </c>
    </row>
    <row r="1666" spans="1:9" x14ac:dyDescent="0.25">
      <c r="A1666" s="515">
        <v>11040</v>
      </c>
      <c r="B1666" s="515" t="s">
        <v>324</v>
      </c>
      <c r="C1666" s="52">
        <v>782054.03071063396</v>
      </c>
      <c r="D1666" s="56">
        <v>5.4828420043582057E-2</v>
      </c>
      <c r="E1666" s="224" t="s">
        <v>2</v>
      </c>
      <c r="F1666" s="515" t="s">
        <v>3314</v>
      </c>
      <c r="G1666" s="52">
        <v>2387894.7186531499</v>
      </c>
      <c r="H1666" s="56">
        <v>6.6081470918741295E-2</v>
      </c>
      <c r="I1666" s="224">
        <v>3358.3584656084599</v>
      </c>
    </row>
    <row r="1667" spans="1:9" x14ac:dyDescent="0.25">
      <c r="A1667" s="515">
        <v>90045</v>
      </c>
      <c r="B1667" s="515" t="s">
        <v>375</v>
      </c>
      <c r="C1667" s="52">
        <v>1404185.1076271301</v>
      </c>
      <c r="D1667" s="56">
        <v>6.042871424865482E-2</v>
      </c>
      <c r="E1667" s="224">
        <v>2860.1569892473099</v>
      </c>
      <c r="F1667" s="515" t="s">
        <v>3315</v>
      </c>
      <c r="G1667" s="52">
        <v>294191.51241824299</v>
      </c>
      <c r="H1667" s="56">
        <v>8.9476762827766274E-2</v>
      </c>
      <c r="I1667" s="224" t="s">
        <v>2</v>
      </c>
    </row>
    <row r="1668" spans="1:9" x14ac:dyDescent="0.25">
      <c r="A1668" s="515">
        <v>70433</v>
      </c>
      <c r="B1668" s="515" t="s">
        <v>777</v>
      </c>
      <c r="C1668" s="52">
        <v>311148.22223756002</v>
      </c>
      <c r="D1668" s="56">
        <v>3.7493197988434576E-2</v>
      </c>
      <c r="E1668" s="224">
        <v>1503.3996212121201</v>
      </c>
      <c r="F1668" s="515" t="s">
        <v>3316</v>
      </c>
      <c r="G1668" s="52">
        <v>351318.50775632501</v>
      </c>
      <c r="H1668" s="56">
        <v>5.8854834568377333E-2</v>
      </c>
      <c r="I1668" s="224">
        <v>1884</v>
      </c>
    </row>
    <row r="1669" spans="1:9" x14ac:dyDescent="0.25">
      <c r="A1669" s="515">
        <v>84123</v>
      </c>
      <c r="B1669" s="515" t="s">
        <v>617</v>
      </c>
      <c r="C1669" s="52">
        <v>483037.57799669501</v>
      </c>
      <c r="D1669" s="56">
        <v>3.4791833729251223E-2</v>
      </c>
      <c r="E1669" s="224">
        <v>1429.5333333333299</v>
      </c>
      <c r="F1669" s="515" t="s">
        <v>3317</v>
      </c>
      <c r="G1669" s="52">
        <v>313899.01039421803</v>
      </c>
      <c r="H1669" s="56">
        <v>5.2378263543610082E-2</v>
      </c>
      <c r="I1669" s="224">
        <v>1488.0158730158701</v>
      </c>
    </row>
    <row r="1670" spans="1:9" x14ac:dyDescent="0.25">
      <c r="A1670" s="515">
        <v>37076</v>
      </c>
      <c r="B1670" s="515" t="s">
        <v>684</v>
      </c>
      <c r="C1670" s="52">
        <v>383277.64704105997</v>
      </c>
      <c r="D1670" s="56">
        <v>8.848729678703085E-2</v>
      </c>
      <c r="E1670" s="224">
        <v>1594.2961352657001</v>
      </c>
      <c r="F1670" s="515" t="s">
        <v>3318</v>
      </c>
      <c r="G1670" s="52">
        <v>396561.09811348998</v>
      </c>
      <c r="H1670" s="56">
        <v>1.764829385048023E-2</v>
      </c>
      <c r="I1670" s="224" t="s">
        <v>2</v>
      </c>
    </row>
    <row r="1671" spans="1:9" x14ac:dyDescent="0.25">
      <c r="A1671" s="515">
        <v>43147</v>
      </c>
      <c r="B1671" s="515" t="s">
        <v>345</v>
      </c>
      <c r="C1671" s="52">
        <v>358165.441882146</v>
      </c>
      <c r="D1671" s="56">
        <v>5.9948441460864678E-2</v>
      </c>
      <c r="E1671" s="224">
        <v>1964.88888888888</v>
      </c>
      <c r="F1671" s="515" t="s">
        <v>3319</v>
      </c>
      <c r="G1671" s="52">
        <v>687333.06209313497</v>
      </c>
      <c r="H1671" s="56">
        <v>6.5561649302027167E-2</v>
      </c>
      <c r="I1671" s="224">
        <v>2171.9416666666598</v>
      </c>
    </row>
    <row r="1672" spans="1:9" x14ac:dyDescent="0.25">
      <c r="A1672" s="515">
        <v>8724</v>
      </c>
      <c r="B1672" s="515" t="s">
        <v>324</v>
      </c>
      <c r="C1672" s="52">
        <v>407763.98135576001</v>
      </c>
      <c r="D1672" s="56">
        <v>9.6027154261677988E-2</v>
      </c>
      <c r="E1672" s="224">
        <v>2075</v>
      </c>
      <c r="F1672" s="515" t="s">
        <v>3320</v>
      </c>
      <c r="G1672" s="52">
        <v>223973.849616152</v>
      </c>
      <c r="H1672" s="56">
        <v>7.402369450909943E-2</v>
      </c>
      <c r="I1672" s="224">
        <v>1650</v>
      </c>
    </row>
    <row r="1673" spans="1:9" x14ac:dyDescent="0.25">
      <c r="A1673" s="515">
        <v>47401</v>
      </c>
      <c r="B1673" s="515" t="s">
        <v>554</v>
      </c>
      <c r="C1673" s="52">
        <v>334805.99260646198</v>
      </c>
      <c r="D1673" s="56">
        <v>6.768182337559836E-2</v>
      </c>
      <c r="E1673" s="224">
        <v>1769.5185185185101</v>
      </c>
      <c r="F1673" s="515" t="s">
        <v>3321</v>
      </c>
      <c r="G1673" s="52">
        <v>508100.92137231102</v>
      </c>
      <c r="H1673" s="56">
        <v>3.987378547790197E-2</v>
      </c>
      <c r="I1673" s="224" t="s">
        <v>2</v>
      </c>
    </row>
    <row r="1674" spans="1:9" x14ac:dyDescent="0.25">
      <c r="A1674" s="515">
        <v>32955</v>
      </c>
      <c r="B1674" s="515" t="s">
        <v>1133</v>
      </c>
      <c r="C1674" s="52">
        <v>364658.42333149299</v>
      </c>
      <c r="D1674" s="56">
        <v>9.2005739494918137E-2</v>
      </c>
      <c r="E1674" s="224">
        <v>1987.2129629629601</v>
      </c>
      <c r="F1674" s="515" t="s">
        <v>3322</v>
      </c>
      <c r="G1674" s="52">
        <v>335117.81127964798</v>
      </c>
      <c r="H1674" s="56">
        <v>1.7395793597874101E-2</v>
      </c>
      <c r="I1674" s="224">
        <v>1622.19444444444</v>
      </c>
    </row>
    <row r="1675" spans="1:9" x14ac:dyDescent="0.25">
      <c r="A1675" s="515">
        <v>1453</v>
      </c>
      <c r="B1675" s="515" t="s">
        <v>751</v>
      </c>
      <c r="C1675" s="52">
        <v>385858.708790851</v>
      </c>
      <c r="D1675" s="56">
        <v>9.0263532091160503E-2</v>
      </c>
      <c r="E1675" s="224">
        <v>1504.1666666666599</v>
      </c>
      <c r="F1675" s="515" t="s">
        <v>3323</v>
      </c>
      <c r="G1675" s="52">
        <v>490623.827043125</v>
      </c>
      <c r="H1675" s="56">
        <v>5.7834679566358141E-2</v>
      </c>
      <c r="I1675" s="224">
        <v>2381.4444444444398</v>
      </c>
    </row>
    <row r="1676" spans="1:9" x14ac:dyDescent="0.25">
      <c r="A1676" s="515">
        <v>44111</v>
      </c>
      <c r="B1676" s="515" t="s">
        <v>520</v>
      </c>
      <c r="C1676" s="52">
        <v>131939.96355845599</v>
      </c>
      <c r="D1676" s="56">
        <v>7.6560534862688212E-2</v>
      </c>
      <c r="E1676" s="224">
        <v>1061.5999999999999</v>
      </c>
      <c r="F1676" s="515" t="s">
        <v>1013</v>
      </c>
      <c r="G1676" s="52">
        <v>191130.00754199701</v>
      </c>
      <c r="H1676" s="56">
        <v>7.4936949446501908E-2</v>
      </c>
      <c r="I1676" s="224">
        <v>1324.1567460317401</v>
      </c>
    </row>
    <row r="1677" spans="1:9" x14ac:dyDescent="0.25">
      <c r="A1677" s="515">
        <v>28403</v>
      </c>
      <c r="B1677" s="515" t="s">
        <v>1038</v>
      </c>
      <c r="C1677" s="52">
        <v>335489.792061018</v>
      </c>
      <c r="D1677" s="56">
        <v>0.1516772447164563</v>
      </c>
      <c r="E1677" s="224">
        <v>1626.4833333333299</v>
      </c>
      <c r="F1677" s="515" t="s">
        <v>3324</v>
      </c>
      <c r="G1677" s="52">
        <v>398608.130804941</v>
      </c>
      <c r="H1677" s="56">
        <v>8.7879139705031417E-2</v>
      </c>
      <c r="I1677" s="224" t="s">
        <v>2</v>
      </c>
    </row>
    <row r="1678" spans="1:9" x14ac:dyDescent="0.25">
      <c r="A1678" s="515">
        <v>85711</v>
      </c>
      <c r="B1678" s="515" t="s">
        <v>368</v>
      </c>
      <c r="C1678" s="52">
        <v>270142.53760000301</v>
      </c>
      <c r="D1678" s="56">
        <v>7.6731185526369192E-2</v>
      </c>
      <c r="E1678" s="224">
        <v>1108.5833333333301</v>
      </c>
      <c r="F1678" s="515" t="s">
        <v>3325</v>
      </c>
      <c r="G1678" s="52">
        <v>361576.543952254</v>
      </c>
      <c r="H1678" s="56">
        <v>5.2980660117393656E-2</v>
      </c>
      <c r="I1678" s="224">
        <v>1966.6666666666599</v>
      </c>
    </row>
    <row r="1679" spans="1:9" x14ac:dyDescent="0.25">
      <c r="A1679" s="515">
        <v>85202</v>
      </c>
      <c r="B1679" s="515" t="s">
        <v>563</v>
      </c>
      <c r="C1679" s="52">
        <v>368787.74761536799</v>
      </c>
      <c r="D1679" s="56">
        <v>4.7663678869485429E-2</v>
      </c>
      <c r="E1679" s="224">
        <v>1530.9166666666599</v>
      </c>
      <c r="F1679" s="515" t="s">
        <v>3326</v>
      </c>
      <c r="G1679" s="52">
        <v>199296.95637158799</v>
      </c>
      <c r="H1679" s="56">
        <v>9.6143250232538779E-2</v>
      </c>
      <c r="I1679" s="224" t="s">
        <v>2</v>
      </c>
    </row>
    <row r="1680" spans="1:9" x14ac:dyDescent="0.25">
      <c r="A1680" s="515">
        <v>43017</v>
      </c>
      <c r="B1680" s="515" t="s">
        <v>345</v>
      </c>
      <c r="C1680" s="52">
        <v>501368.71761099302</v>
      </c>
      <c r="D1680" s="56">
        <v>9.1147832899840173E-2</v>
      </c>
      <c r="E1680" s="224">
        <v>1706.31111111111</v>
      </c>
      <c r="F1680" s="515" t="s">
        <v>3327</v>
      </c>
      <c r="G1680" s="52">
        <v>993353.59932682104</v>
      </c>
      <c r="H1680" s="56">
        <v>5.1283919471945681E-2</v>
      </c>
      <c r="I1680" s="224">
        <v>2806.9444444444398</v>
      </c>
    </row>
    <row r="1681" spans="1:9" x14ac:dyDescent="0.25">
      <c r="A1681" s="515">
        <v>92101</v>
      </c>
      <c r="B1681" s="515" t="s">
        <v>396</v>
      </c>
      <c r="C1681" s="52">
        <v>746598.98263243202</v>
      </c>
      <c r="D1681" s="56">
        <v>6.9113197462926393E-2</v>
      </c>
      <c r="E1681" s="224">
        <v>3004.3268357464599</v>
      </c>
      <c r="F1681" s="515" t="s">
        <v>3328</v>
      </c>
      <c r="G1681" s="52">
        <v>235961.10537373801</v>
      </c>
      <c r="H1681" s="56">
        <v>4.919296167832321E-2</v>
      </c>
      <c r="I1681" s="224" t="s">
        <v>2</v>
      </c>
    </row>
    <row r="1682" spans="1:9" x14ac:dyDescent="0.25">
      <c r="A1682" s="515">
        <v>78154</v>
      </c>
      <c r="B1682" s="515" t="s">
        <v>717</v>
      </c>
      <c r="C1682" s="52">
        <v>318696.809169819</v>
      </c>
      <c r="D1682" s="56">
        <v>6.8211081394265419E-2</v>
      </c>
      <c r="E1682" s="224">
        <v>1569.9642857142801</v>
      </c>
      <c r="F1682" s="515" t="s">
        <v>3329</v>
      </c>
      <c r="G1682" s="52">
        <v>422853.84090978699</v>
      </c>
      <c r="H1682" s="56">
        <v>7.2735540367617688E-2</v>
      </c>
      <c r="I1682" s="224">
        <v>1803.3333333333301</v>
      </c>
    </row>
    <row r="1683" spans="1:9" x14ac:dyDescent="0.25">
      <c r="A1683" s="515">
        <v>85210</v>
      </c>
      <c r="B1683" s="515" t="s">
        <v>563</v>
      </c>
      <c r="C1683" s="52">
        <v>341893.97443232901</v>
      </c>
      <c r="D1683" s="56">
        <v>4.7390459213187561E-2</v>
      </c>
      <c r="E1683" s="224">
        <v>1505.8952380952301</v>
      </c>
      <c r="F1683" s="515" t="s">
        <v>3330</v>
      </c>
      <c r="G1683" s="52">
        <v>432401.16349598701</v>
      </c>
      <c r="H1683" s="56">
        <v>3.7362188285779141E-2</v>
      </c>
      <c r="I1683" s="224">
        <v>2105.79027113237</v>
      </c>
    </row>
    <row r="1684" spans="1:9" x14ac:dyDescent="0.25">
      <c r="A1684" s="515">
        <v>57701</v>
      </c>
      <c r="B1684" s="515" t="s">
        <v>854</v>
      </c>
      <c r="C1684" s="52">
        <v>264825.67107233999</v>
      </c>
      <c r="D1684" s="56">
        <v>9.1892348980439964E-2</v>
      </c>
      <c r="E1684" s="224">
        <v>1288.425</v>
      </c>
      <c r="F1684" s="515" t="s">
        <v>3331</v>
      </c>
      <c r="G1684" s="52">
        <v>604049.20858914906</v>
      </c>
      <c r="H1684" s="56">
        <v>0.1284787672843388</v>
      </c>
      <c r="I1684" s="224">
        <v>3619.9333333333302</v>
      </c>
    </row>
    <row r="1685" spans="1:9" x14ac:dyDescent="0.25">
      <c r="A1685" s="515">
        <v>60543</v>
      </c>
      <c r="B1685" s="515" t="s">
        <v>394</v>
      </c>
      <c r="C1685" s="52">
        <v>337449.07758823299</v>
      </c>
      <c r="D1685" s="56">
        <v>8.4168478455057053E-2</v>
      </c>
      <c r="E1685" s="224">
        <v>1681.19444444444</v>
      </c>
      <c r="F1685" s="515" t="s">
        <v>921</v>
      </c>
      <c r="G1685" s="52">
        <v>153720.00085776101</v>
      </c>
      <c r="H1685" s="56">
        <v>5.486167545050491E-2</v>
      </c>
      <c r="I1685" s="224" t="s">
        <v>2</v>
      </c>
    </row>
    <row r="1686" spans="1:9" x14ac:dyDescent="0.25">
      <c r="A1686" s="515">
        <v>19401</v>
      </c>
      <c r="B1686" s="515" t="s">
        <v>294</v>
      </c>
      <c r="C1686" s="52">
        <v>217223.43640932199</v>
      </c>
      <c r="D1686" s="56">
        <v>0.14065357487823202</v>
      </c>
      <c r="E1686" s="224">
        <v>1566.37037037037</v>
      </c>
      <c r="F1686" s="515" t="s">
        <v>3332</v>
      </c>
      <c r="G1686" s="52">
        <v>366807.22211933398</v>
      </c>
      <c r="H1686" s="56">
        <v>9.05177854651351E-2</v>
      </c>
      <c r="I1686" s="224">
        <v>2461.3333333333298</v>
      </c>
    </row>
    <row r="1687" spans="1:9" x14ac:dyDescent="0.25">
      <c r="A1687" s="515">
        <v>38111</v>
      </c>
      <c r="B1687" s="515" t="s">
        <v>951</v>
      </c>
      <c r="C1687" s="52">
        <v>134460.44832997501</v>
      </c>
      <c r="D1687" s="56">
        <v>0.10884932743772002</v>
      </c>
      <c r="E1687" s="224">
        <v>1234.97690058479</v>
      </c>
      <c r="F1687" s="515" t="s">
        <v>3333</v>
      </c>
      <c r="G1687" s="52">
        <v>273835.870895606</v>
      </c>
      <c r="H1687" s="56">
        <v>5.6033578215275291E-2</v>
      </c>
      <c r="I1687" s="224" t="s">
        <v>2</v>
      </c>
    </row>
    <row r="1688" spans="1:9" x14ac:dyDescent="0.25">
      <c r="A1688" s="515">
        <v>33309</v>
      </c>
      <c r="B1688" s="515" t="s">
        <v>831</v>
      </c>
      <c r="C1688" s="52">
        <v>341591.11443017097</v>
      </c>
      <c r="D1688" s="56">
        <v>0.14277209373414651</v>
      </c>
      <c r="E1688" s="224">
        <v>2046.63888888888</v>
      </c>
      <c r="F1688" s="515" t="s">
        <v>843</v>
      </c>
      <c r="G1688" s="52">
        <v>389573.58670942002</v>
      </c>
      <c r="H1688" s="56">
        <v>2.760915907695646E-2</v>
      </c>
      <c r="I1688" s="224">
        <v>1065.55555555555</v>
      </c>
    </row>
    <row r="1689" spans="1:9" x14ac:dyDescent="0.25">
      <c r="A1689" s="515">
        <v>1420</v>
      </c>
      <c r="B1689" s="515" t="s">
        <v>751</v>
      </c>
      <c r="C1689" s="52">
        <v>328146.98389633198</v>
      </c>
      <c r="D1689" s="56">
        <v>7.6903442635129465E-2</v>
      </c>
      <c r="E1689" s="224">
        <v>1458.6111111111099</v>
      </c>
      <c r="F1689" s="515" t="s">
        <v>3334</v>
      </c>
      <c r="G1689" s="52">
        <v>267719.62390522502</v>
      </c>
      <c r="H1689" s="56">
        <v>4.6145100925906513E-2</v>
      </c>
      <c r="I1689" s="224">
        <v>1900</v>
      </c>
    </row>
    <row r="1690" spans="1:9" x14ac:dyDescent="0.25">
      <c r="A1690" s="515">
        <v>32073</v>
      </c>
      <c r="B1690" s="515" t="s">
        <v>1158</v>
      </c>
      <c r="C1690" s="52">
        <v>300625.23565555899</v>
      </c>
      <c r="D1690" s="56">
        <v>0.10173249149381847</v>
      </c>
      <c r="E1690" s="224">
        <v>1825.8277777777701</v>
      </c>
      <c r="F1690" s="515" t="s">
        <v>1230</v>
      </c>
      <c r="G1690" s="52">
        <v>341348.85587812302</v>
      </c>
      <c r="H1690" s="56">
        <v>5.390025759117241E-2</v>
      </c>
      <c r="I1690" s="224" t="s">
        <v>2</v>
      </c>
    </row>
    <row r="1691" spans="1:9" x14ac:dyDescent="0.25">
      <c r="A1691" s="515">
        <v>48227</v>
      </c>
      <c r="B1691" s="515" t="s">
        <v>685</v>
      </c>
      <c r="C1691" s="52">
        <v>62830.787930633698</v>
      </c>
      <c r="D1691" s="56">
        <v>0.11089729073763674</v>
      </c>
      <c r="E1691" s="224">
        <v>1073.7698412698401</v>
      </c>
      <c r="F1691" s="515" t="s">
        <v>3335</v>
      </c>
      <c r="G1691" s="52">
        <v>424857.69804901798</v>
      </c>
      <c r="H1691" s="56">
        <v>9.5142692902549938E-2</v>
      </c>
      <c r="I1691" s="224">
        <v>2134.3999999999901</v>
      </c>
    </row>
    <row r="1692" spans="1:9" x14ac:dyDescent="0.25">
      <c r="A1692" s="515">
        <v>28208</v>
      </c>
      <c r="B1692" s="515" t="s">
        <v>360</v>
      </c>
      <c r="C1692" s="52">
        <v>264021.43443321501</v>
      </c>
      <c r="D1692" s="56">
        <v>0.12325547051940593</v>
      </c>
      <c r="E1692" s="224">
        <v>1525.4722222222199</v>
      </c>
      <c r="F1692" s="515" t="s">
        <v>3336</v>
      </c>
      <c r="G1692" s="52">
        <v>345589.96798811998</v>
      </c>
      <c r="H1692" s="56">
        <v>4.7247341403730991E-2</v>
      </c>
      <c r="I1692" s="224">
        <v>1938.4055555555501</v>
      </c>
    </row>
    <row r="1693" spans="1:9" x14ac:dyDescent="0.25">
      <c r="A1693" s="515">
        <v>59101</v>
      </c>
      <c r="B1693" s="515" t="s">
        <v>637</v>
      </c>
      <c r="C1693" s="52">
        <v>293743.02237283398</v>
      </c>
      <c r="D1693" s="56">
        <v>0.1020174936552757</v>
      </c>
      <c r="E1693" s="224">
        <v>1123.6111111111099</v>
      </c>
      <c r="F1693" s="515" t="s">
        <v>3337</v>
      </c>
      <c r="G1693" s="52">
        <v>506242.370147757</v>
      </c>
      <c r="H1693" s="56">
        <v>2.7983229197720456E-2</v>
      </c>
      <c r="I1693" s="224">
        <v>2150</v>
      </c>
    </row>
    <row r="1694" spans="1:9" x14ac:dyDescent="0.25">
      <c r="A1694" s="515">
        <v>80010</v>
      </c>
      <c r="B1694" s="515" t="s">
        <v>401</v>
      </c>
      <c r="C1694" s="52">
        <v>400324.74347668799</v>
      </c>
      <c r="D1694" s="56">
        <v>2.7467495167342412E-2</v>
      </c>
      <c r="E1694" s="224">
        <v>1554.0211640211601</v>
      </c>
      <c r="F1694" s="515" t="s">
        <v>3338</v>
      </c>
      <c r="G1694" s="52">
        <v>246540.20823909901</v>
      </c>
      <c r="H1694" s="56">
        <v>0.10892562354697609</v>
      </c>
      <c r="I1694" s="224">
        <v>1230.1444444444401</v>
      </c>
    </row>
    <row r="1695" spans="1:9" x14ac:dyDescent="0.25">
      <c r="A1695" s="515">
        <v>11801</v>
      </c>
      <c r="B1695" s="515" t="s">
        <v>324</v>
      </c>
      <c r="C1695" s="52">
        <v>617470.14312966994</v>
      </c>
      <c r="D1695" s="56">
        <v>5.514775398894408E-2</v>
      </c>
      <c r="E1695" s="224">
        <v>3779.4444444444398</v>
      </c>
      <c r="F1695" s="515" t="s">
        <v>3339</v>
      </c>
      <c r="G1695" s="52">
        <v>651218.32797330001</v>
      </c>
      <c r="H1695" s="56">
        <v>0</v>
      </c>
      <c r="I1695" s="224">
        <v>2653</v>
      </c>
    </row>
    <row r="1696" spans="1:9" x14ac:dyDescent="0.25">
      <c r="A1696" s="515">
        <v>91701</v>
      </c>
      <c r="B1696" s="515" t="s">
        <v>599</v>
      </c>
      <c r="C1696" s="52">
        <v>749212.509232271</v>
      </c>
      <c r="D1696" s="56">
        <v>4.7737947603898281E-2</v>
      </c>
      <c r="E1696" s="224">
        <v>3032.9166666666601</v>
      </c>
      <c r="F1696" s="515" t="s">
        <v>677</v>
      </c>
      <c r="G1696" s="52">
        <v>410269.68840157503</v>
      </c>
      <c r="H1696" s="56">
        <v>8.3442193148470817E-2</v>
      </c>
      <c r="I1696" s="224">
        <v>1825</v>
      </c>
    </row>
    <row r="1697" spans="1:9" x14ac:dyDescent="0.25">
      <c r="A1697" s="515">
        <v>95209</v>
      </c>
      <c r="B1697" s="515" t="s">
        <v>852</v>
      </c>
      <c r="C1697" s="52">
        <v>471806.55393883801</v>
      </c>
      <c r="D1697" s="56">
        <v>1.4263511733144649E-2</v>
      </c>
      <c r="E1697" s="224">
        <v>2250</v>
      </c>
      <c r="F1697" s="515" t="s">
        <v>3340</v>
      </c>
      <c r="G1697" s="52">
        <v>346188.620699102</v>
      </c>
      <c r="H1697" s="56">
        <v>4.6829006673698312E-2</v>
      </c>
      <c r="I1697" s="224" t="s">
        <v>2</v>
      </c>
    </row>
    <row r="1698" spans="1:9" x14ac:dyDescent="0.25">
      <c r="A1698" s="515">
        <v>91942</v>
      </c>
      <c r="B1698" s="515" t="s">
        <v>396</v>
      </c>
      <c r="C1698" s="52">
        <v>705986.889890288</v>
      </c>
      <c r="D1698" s="56">
        <v>6.1365495160938477E-2</v>
      </c>
      <c r="E1698" s="224">
        <v>2573.46900584795</v>
      </c>
      <c r="F1698" s="515" t="s">
        <v>3341</v>
      </c>
      <c r="G1698" s="52">
        <v>305960.76330990501</v>
      </c>
      <c r="H1698" s="56">
        <v>4.9513866973484331E-2</v>
      </c>
      <c r="I1698" s="224">
        <v>1756.8571428571399</v>
      </c>
    </row>
    <row r="1699" spans="1:9" x14ac:dyDescent="0.25">
      <c r="A1699" s="515">
        <v>90501</v>
      </c>
      <c r="B1699" s="515" t="s">
        <v>375</v>
      </c>
      <c r="C1699" s="52">
        <v>886136.87719542102</v>
      </c>
      <c r="D1699" s="56">
        <v>3.1527748759462446E-2</v>
      </c>
      <c r="E1699" s="224">
        <v>2491.7063492063398</v>
      </c>
      <c r="F1699" s="515" t="s">
        <v>559</v>
      </c>
      <c r="G1699" s="52">
        <v>224568.46925192801</v>
      </c>
      <c r="H1699" s="56">
        <v>0.16224083825463129</v>
      </c>
      <c r="I1699" s="224">
        <v>1416.6666666666599</v>
      </c>
    </row>
    <row r="1700" spans="1:9" x14ac:dyDescent="0.25">
      <c r="A1700" s="515">
        <v>30238</v>
      </c>
      <c r="B1700" s="515" t="s">
        <v>957</v>
      </c>
      <c r="C1700" s="52">
        <v>236785.96138228499</v>
      </c>
      <c r="D1700" s="56">
        <v>0.13239656272347936</v>
      </c>
      <c r="E1700" s="224">
        <v>1737.2857142857099</v>
      </c>
      <c r="F1700" s="515" t="s">
        <v>3342</v>
      </c>
      <c r="G1700" s="52">
        <v>373912.91918791301</v>
      </c>
      <c r="H1700" s="56">
        <v>3.0776223111027116E-2</v>
      </c>
      <c r="I1700" s="224">
        <v>2044.55555555555</v>
      </c>
    </row>
    <row r="1701" spans="1:9" x14ac:dyDescent="0.25">
      <c r="A1701" s="515">
        <v>46254</v>
      </c>
      <c r="B1701" s="515" t="s">
        <v>403</v>
      </c>
      <c r="C1701" s="52">
        <v>202074.85982334401</v>
      </c>
      <c r="D1701" s="56">
        <v>7.3744289052333239E-2</v>
      </c>
      <c r="E1701" s="224">
        <v>1495.5317460317401</v>
      </c>
      <c r="F1701" s="515" t="s">
        <v>3343</v>
      </c>
      <c r="G1701" s="52">
        <v>224410.20556342401</v>
      </c>
      <c r="H1701" s="56">
        <v>6.5372851380765915E-2</v>
      </c>
      <c r="I1701" s="224">
        <v>1231.9841269841199</v>
      </c>
    </row>
    <row r="1702" spans="1:9" x14ac:dyDescent="0.25">
      <c r="A1702" s="515">
        <v>23224</v>
      </c>
      <c r="B1702" s="515" t="s">
        <v>667</v>
      </c>
      <c r="C1702" s="52">
        <v>248096.355317198</v>
      </c>
      <c r="D1702" s="56">
        <v>0.31559474323167158</v>
      </c>
      <c r="E1702" s="224">
        <v>1366.2365967365899</v>
      </c>
      <c r="F1702" s="515" t="s">
        <v>3344</v>
      </c>
      <c r="G1702" s="52">
        <v>411203.775518679</v>
      </c>
      <c r="H1702" s="56">
        <v>0.18725872078637032</v>
      </c>
      <c r="I1702" s="224">
        <v>1971.94444444444</v>
      </c>
    </row>
    <row r="1703" spans="1:9" x14ac:dyDescent="0.25">
      <c r="A1703" s="515">
        <v>21221</v>
      </c>
      <c r="B1703" s="515" t="s">
        <v>582</v>
      </c>
      <c r="C1703" s="52">
        <v>250323.81883330501</v>
      </c>
      <c r="D1703" s="56">
        <v>4.3423982675973229E-2</v>
      </c>
      <c r="E1703" s="224">
        <v>1390.5277777777701</v>
      </c>
      <c r="F1703" s="515" t="s">
        <v>3345</v>
      </c>
      <c r="G1703" s="52">
        <v>311967.01587623102</v>
      </c>
      <c r="H1703" s="56">
        <v>1.8178415363656754E-2</v>
      </c>
      <c r="I1703" s="224" t="s">
        <v>2</v>
      </c>
    </row>
    <row r="1704" spans="1:9" x14ac:dyDescent="0.25">
      <c r="A1704" s="515">
        <v>26003</v>
      </c>
      <c r="B1704" s="515" t="s">
        <v>442</v>
      </c>
      <c r="C1704" s="52">
        <v>134619.893630362</v>
      </c>
      <c r="D1704" s="56">
        <v>5.438494115705015E-2</v>
      </c>
      <c r="E1704" s="224">
        <v>822.91666666666595</v>
      </c>
      <c r="F1704" s="515" t="s">
        <v>3346</v>
      </c>
      <c r="G1704" s="52">
        <v>198097.23781308701</v>
      </c>
      <c r="H1704" s="56">
        <v>7.2796193124022884E-2</v>
      </c>
      <c r="I1704" s="224" t="s">
        <v>2</v>
      </c>
    </row>
    <row r="1705" spans="1:9" x14ac:dyDescent="0.25">
      <c r="A1705" s="515">
        <v>33009</v>
      </c>
      <c r="B1705" s="515" t="s">
        <v>831</v>
      </c>
      <c r="C1705" s="52">
        <v>313365.71484358603</v>
      </c>
      <c r="D1705" s="56">
        <v>0.19793439603719279</v>
      </c>
      <c r="E1705" s="224">
        <v>2644.2619162446699</v>
      </c>
      <c r="F1705" s="515" t="s">
        <v>402</v>
      </c>
      <c r="G1705" s="52">
        <v>187821.00950171801</v>
      </c>
      <c r="H1705" s="56">
        <v>9.7784137020680478E-2</v>
      </c>
      <c r="I1705" s="224">
        <v>1656.25</v>
      </c>
    </row>
    <row r="1706" spans="1:9" x14ac:dyDescent="0.25">
      <c r="A1706" s="515">
        <v>78610</v>
      </c>
      <c r="B1706" s="515" t="s">
        <v>380</v>
      </c>
      <c r="C1706" s="52">
        <v>420458.78272504301</v>
      </c>
      <c r="D1706" s="56">
        <v>1.0138774243959864E-2</v>
      </c>
      <c r="E1706" s="224">
        <v>1814.85</v>
      </c>
      <c r="F1706" s="515" t="s">
        <v>1127</v>
      </c>
      <c r="G1706" s="52">
        <v>235337.90088412899</v>
      </c>
      <c r="H1706" s="56">
        <v>9.6037573525646971E-2</v>
      </c>
      <c r="I1706" s="224">
        <v>1649</v>
      </c>
    </row>
    <row r="1707" spans="1:9" x14ac:dyDescent="0.25">
      <c r="A1707" s="515">
        <v>98374</v>
      </c>
      <c r="B1707" s="515" t="s">
        <v>384</v>
      </c>
      <c r="C1707" s="52">
        <v>522776.17141533998</v>
      </c>
      <c r="D1707" s="56">
        <v>1.142294688128517E-2</v>
      </c>
      <c r="E1707" s="224">
        <v>2436.5548340548298</v>
      </c>
      <c r="F1707" s="515" t="s">
        <v>3347</v>
      </c>
      <c r="G1707" s="52">
        <v>380664.23426322098</v>
      </c>
      <c r="H1707" s="56">
        <v>3.91947404185378E-2</v>
      </c>
      <c r="I1707" s="224">
        <v>2000.93333333333</v>
      </c>
    </row>
    <row r="1708" spans="1:9" x14ac:dyDescent="0.25">
      <c r="A1708" s="515">
        <v>95991</v>
      </c>
      <c r="B1708" s="515" t="s">
        <v>796</v>
      </c>
      <c r="C1708" s="52">
        <v>376714.26849474298</v>
      </c>
      <c r="D1708" s="56">
        <v>3.0422301957736018E-2</v>
      </c>
      <c r="E1708" s="224">
        <v>1786.25</v>
      </c>
      <c r="F1708" s="515" t="s">
        <v>3348</v>
      </c>
      <c r="G1708" s="52">
        <v>244924.26070712801</v>
      </c>
      <c r="H1708" s="56">
        <v>9.4549984473477608E-2</v>
      </c>
      <c r="I1708" s="224">
        <v>1583.7666666666601</v>
      </c>
    </row>
    <row r="1709" spans="1:9" x14ac:dyDescent="0.25">
      <c r="A1709" s="515">
        <v>33055</v>
      </c>
      <c r="B1709" s="515" t="s">
        <v>831</v>
      </c>
      <c r="C1709" s="52">
        <v>417357.34925344202</v>
      </c>
      <c r="D1709" s="56">
        <v>0.16296132728320825</v>
      </c>
      <c r="E1709" s="224" t="s">
        <v>2</v>
      </c>
      <c r="F1709" s="515" t="s">
        <v>3349</v>
      </c>
      <c r="G1709" s="52">
        <v>456678.10282614501</v>
      </c>
      <c r="H1709" s="56">
        <v>4.2465254658131849E-2</v>
      </c>
      <c r="I1709" s="224">
        <v>1918.9861111111099</v>
      </c>
    </row>
    <row r="1710" spans="1:9" x14ac:dyDescent="0.25">
      <c r="A1710" s="515">
        <v>29621</v>
      </c>
      <c r="B1710" s="515" t="s">
        <v>613</v>
      </c>
      <c r="C1710" s="52">
        <v>266886.97097202699</v>
      </c>
      <c r="D1710" s="56">
        <v>8.4564048030419253E-2</v>
      </c>
      <c r="E1710" s="224">
        <v>1174.75</v>
      </c>
      <c r="F1710" s="515" t="s">
        <v>1061</v>
      </c>
      <c r="G1710" s="52">
        <v>120988.138641155</v>
      </c>
      <c r="H1710" s="56">
        <v>-4.0016040349660671E-2</v>
      </c>
      <c r="I1710" s="224" t="s">
        <v>2</v>
      </c>
    </row>
    <row r="1711" spans="1:9" x14ac:dyDescent="0.25">
      <c r="A1711" s="515">
        <v>77705</v>
      </c>
      <c r="B1711" s="515" t="s">
        <v>492</v>
      </c>
      <c r="C1711" s="52">
        <v>102741.91810822699</v>
      </c>
      <c r="D1711" s="56">
        <v>-2.0758011781244149E-2</v>
      </c>
      <c r="E1711" s="224" t="s">
        <v>2</v>
      </c>
      <c r="F1711" s="515" t="s">
        <v>3350</v>
      </c>
      <c r="G1711" s="52">
        <v>322945.90055337601</v>
      </c>
      <c r="H1711" s="56">
        <v>0.12284849293601591</v>
      </c>
      <c r="I1711" s="224">
        <v>1709.5</v>
      </c>
    </row>
    <row r="1712" spans="1:9" x14ac:dyDescent="0.25">
      <c r="A1712" s="515">
        <v>93534</v>
      </c>
      <c r="B1712" s="515" t="s">
        <v>375</v>
      </c>
      <c r="C1712" s="52">
        <v>385878.852444169</v>
      </c>
      <c r="D1712" s="56">
        <v>3.7518888358717806E-2</v>
      </c>
      <c r="E1712" s="224">
        <v>2435.25</v>
      </c>
      <c r="F1712" s="515" t="s">
        <v>3351</v>
      </c>
      <c r="G1712" s="52">
        <v>240221.19500107499</v>
      </c>
      <c r="H1712" s="56">
        <v>0.10786371297374939</v>
      </c>
      <c r="I1712" s="224">
        <v>1680.625</v>
      </c>
    </row>
    <row r="1713" spans="1:9" x14ac:dyDescent="0.25">
      <c r="A1713" s="515">
        <v>38116</v>
      </c>
      <c r="B1713" s="515" t="s">
        <v>951</v>
      </c>
      <c r="C1713" s="52">
        <v>156146.21460494699</v>
      </c>
      <c r="D1713" s="56">
        <v>0.1323562379681798</v>
      </c>
      <c r="E1713" s="224">
        <v>1058.7195767195699</v>
      </c>
      <c r="F1713" s="515" t="s">
        <v>3352</v>
      </c>
      <c r="G1713" s="52">
        <v>368238.46408207697</v>
      </c>
      <c r="H1713" s="56">
        <v>0.14347630195987196</v>
      </c>
      <c r="I1713" s="224">
        <v>2342.4404761904698</v>
      </c>
    </row>
    <row r="1714" spans="1:9" x14ac:dyDescent="0.25">
      <c r="A1714" s="515">
        <v>41017</v>
      </c>
      <c r="B1714" s="515" t="s">
        <v>344</v>
      </c>
      <c r="C1714" s="52">
        <v>288783.49638661998</v>
      </c>
      <c r="D1714" s="56">
        <v>6.525230260046623E-2</v>
      </c>
      <c r="E1714" s="224" t="s">
        <v>2</v>
      </c>
      <c r="F1714" s="515" t="s">
        <v>3353</v>
      </c>
      <c r="G1714" s="52">
        <v>419482.89417761803</v>
      </c>
      <c r="H1714" s="56">
        <v>3.41677505151863E-2</v>
      </c>
      <c r="I1714" s="224">
        <v>1958.3333333333301</v>
      </c>
    </row>
    <row r="1715" spans="1:9" x14ac:dyDescent="0.25">
      <c r="A1715" s="515">
        <v>8094</v>
      </c>
      <c r="B1715" s="515" t="s">
        <v>294</v>
      </c>
      <c r="C1715" s="52">
        <v>291960.97515845398</v>
      </c>
      <c r="D1715" s="56">
        <v>8.1789642988555455E-2</v>
      </c>
      <c r="E1715" s="224" t="s">
        <v>2</v>
      </c>
      <c r="F1715" s="515" t="s">
        <v>3354</v>
      </c>
      <c r="G1715" s="52">
        <v>172781.78908858899</v>
      </c>
      <c r="H1715" s="56">
        <v>8.6584385576252795E-2</v>
      </c>
      <c r="I1715" s="224" t="s">
        <v>2</v>
      </c>
    </row>
    <row r="1716" spans="1:9" x14ac:dyDescent="0.25">
      <c r="A1716" s="515">
        <v>70506</v>
      </c>
      <c r="B1716" s="515" t="s">
        <v>1004</v>
      </c>
      <c r="C1716" s="52">
        <v>186180.82876030801</v>
      </c>
      <c r="D1716" s="56">
        <v>3.3041107592256806E-2</v>
      </c>
      <c r="E1716" s="224">
        <v>1067.0222222222201</v>
      </c>
      <c r="F1716" s="515" t="s">
        <v>3355</v>
      </c>
      <c r="G1716" s="52">
        <v>511013.84138014598</v>
      </c>
      <c r="H1716" s="56">
        <v>8.9529153783946921E-2</v>
      </c>
      <c r="I1716" s="224" t="s">
        <v>2</v>
      </c>
    </row>
    <row r="1717" spans="1:9" x14ac:dyDescent="0.25">
      <c r="A1717" s="515">
        <v>38002</v>
      </c>
      <c r="B1717" s="515" t="s">
        <v>951</v>
      </c>
      <c r="C1717" s="52">
        <v>396355.76774169097</v>
      </c>
      <c r="D1717" s="56">
        <v>7.4345006858102095E-2</v>
      </c>
      <c r="E1717" s="224">
        <v>2049.4555555555498</v>
      </c>
      <c r="F1717" s="515" t="s">
        <v>3356</v>
      </c>
      <c r="G1717" s="52">
        <v>3439168.3563640499</v>
      </c>
      <c r="H1717" s="56">
        <v>-2.9414240989966745E-2</v>
      </c>
      <c r="I1717" s="224">
        <v>4231.0325292397602</v>
      </c>
    </row>
    <row r="1718" spans="1:9" x14ac:dyDescent="0.25">
      <c r="A1718" s="515">
        <v>7307</v>
      </c>
      <c r="B1718" s="515" t="s">
        <v>324</v>
      </c>
      <c r="C1718" s="52">
        <v>601761.84006922203</v>
      </c>
      <c r="D1718" s="56">
        <v>1.8219541102633786E-2</v>
      </c>
      <c r="E1718" s="224">
        <v>2184.8415892672801</v>
      </c>
      <c r="F1718" s="515" t="s">
        <v>3357</v>
      </c>
      <c r="G1718" s="52">
        <v>339362.79288323101</v>
      </c>
      <c r="H1718" s="56">
        <v>5.9992616900337095E-2</v>
      </c>
      <c r="I1718" s="224">
        <v>1915.9193121693099</v>
      </c>
    </row>
    <row r="1719" spans="1:9" x14ac:dyDescent="0.25">
      <c r="A1719" s="515">
        <v>30060</v>
      </c>
      <c r="B1719" s="515" t="s">
        <v>957</v>
      </c>
      <c r="C1719" s="52">
        <v>308921.605848443</v>
      </c>
      <c r="D1719" s="56">
        <v>0.1001266462904648</v>
      </c>
      <c r="E1719" s="224">
        <v>1939.1666666666599</v>
      </c>
      <c r="F1719" s="515" t="s">
        <v>3358</v>
      </c>
      <c r="G1719" s="52">
        <v>408185.09364321898</v>
      </c>
      <c r="H1719" s="56">
        <v>9.4663860670910122E-2</v>
      </c>
      <c r="I1719" s="224">
        <v>2030.1629629629599</v>
      </c>
    </row>
    <row r="1720" spans="1:9" x14ac:dyDescent="0.25">
      <c r="A1720" s="515">
        <v>15237</v>
      </c>
      <c r="B1720" s="515" t="s">
        <v>297</v>
      </c>
      <c r="C1720" s="52">
        <v>308552.66165116598</v>
      </c>
      <c r="D1720" s="56">
        <v>5.995958767885954E-2</v>
      </c>
      <c r="E1720" s="224">
        <v>1458.01164021164</v>
      </c>
      <c r="F1720" s="515" t="s">
        <v>1220</v>
      </c>
      <c r="G1720" s="52">
        <v>252309.48622522</v>
      </c>
      <c r="H1720" s="56">
        <v>0.11670873279749369</v>
      </c>
      <c r="I1720" s="224">
        <v>1156.25</v>
      </c>
    </row>
    <row r="1721" spans="1:9" x14ac:dyDescent="0.25">
      <c r="A1721" s="515">
        <v>20877</v>
      </c>
      <c r="B1721" s="515" t="s">
        <v>321</v>
      </c>
      <c r="C1721" s="52">
        <v>431959.58764626901</v>
      </c>
      <c r="D1721" s="56">
        <v>3.191308623363711E-2</v>
      </c>
      <c r="E1721" s="224">
        <v>1898.63762626262</v>
      </c>
      <c r="F1721" s="515" t="s">
        <v>3359</v>
      </c>
      <c r="G1721" s="52">
        <v>292129.92019275803</v>
      </c>
      <c r="H1721" s="56">
        <v>0.12617677037019137</v>
      </c>
      <c r="I1721" s="224" t="s">
        <v>2</v>
      </c>
    </row>
    <row r="1722" spans="1:9" x14ac:dyDescent="0.25">
      <c r="A1722" s="515">
        <v>27613</v>
      </c>
      <c r="B1722" s="515" t="s">
        <v>484</v>
      </c>
      <c r="C1722" s="52">
        <v>520272.41875433398</v>
      </c>
      <c r="D1722" s="56">
        <v>6.8183013115040395E-2</v>
      </c>
      <c r="E1722" s="224">
        <v>1432.99951899951</v>
      </c>
      <c r="F1722" s="515" t="s">
        <v>1309</v>
      </c>
      <c r="G1722" s="52">
        <v>239513.248048106</v>
      </c>
      <c r="H1722" s="56">
        <v>6.3114560218776428E-2</v>
      </c>
      <c r="I1722" s="224">
        <v>1389.6607142857099</v>
      </c>
    </row>
    <row r="1723" spans="1:9" x14ac:dyDescent="0.25">
      <c r="A1723" s="515">
        <v>80221</v>
      </c>
      <c r="B1723" s="515" t="s">
        <v>401</v>
      </c>
      <c r="C1723" s="52">
        <v>461201.66010847798</v>
      </c>
      <c r="D1723" s="56">
        <v>2.5358167692881042E-2</v>
      </c>
      <c r="E1723" s="224">
        <v>2398.0555555555502</v>
      </c>
      <c r="F1723" s="515" t="s">
        <v>3360</v>
      </c>
      <c r="G1723" s="52">
        <v>273540.41470888897</v>
      </c>
      <c r="H1723" s="56">
        <v>6.4287459092862972E-2</v>
      </c>
      <c r="I1723" s="224">
        <v>1815</v>
      </c>
    </row>
    <row r="1724" spans="1:9" x14ac:dyDescent="0.25">
      <c r="A1724" s="515">
        <v>92802</v>
      </c>
      <c r="B1724" s="515" t="s">
        <v>375</v>
      </c>
      <c r="C1724" s="52">
        <v>768933.05183559004</v>
      </c>
      <c r="D1724" s="56">
        <v>6.7461474680029457E-2</v>
      </c>
      <c r="E1724" s="224">
        <v>2398.0555555555502</v>
      </c>
      <c r="F1724" s="515" t="s">
        <v>3361</v>
      </c>
      <c r="G1724" s="52">
        <v>196297.39519336401</v>
      </c>
      <c r="H1724" s="56">
        <v>8.1405878133026882E-2</v>
      </c>
      <c r="I1724" s="224">
        <v>1355.4166666666599</v>
      </c>
    </row>
    <row r="1725" spans="1:9" x14ac:dyDescent="0.25">
      <c r="A1725" s="515">
        <v>91401</v>
      </c>
      <c r="B1725" s="515" t="s">
        <v>375</v>
      </c>
      <c r="C1725" s="52">
        <v>1017530.83075781</v>
      </c>
      <c r="D1725" s="56">
        <v>2.6445052750554525E-2</v>
      </c>
      <c r="E1725" s="224">
        <v>2488.5185185185101</v>
      </c>
      <c r="F1725" s="515" t="s">
        <v>855</v>
      </c>
      <c r="G1725" s="52">
        <v>220163.32219946201</v>
      </c>
      <c r="H1725" s="56">
        <v>4.9170420816703399E-2</v>
      </c>
      <c r="I1725" s="224" t="s">
        <v>2</v>
      </c>
    </row>
    <row r="1726" spans="1:9" x14ac:dyDescent="0.25">
      <c r="A1726" s="515">
        <v>56560</v>
      </c>
      <c r="B1726" s="515" t="s">
        <v>928</v>
      </c>
      <c r="C1726" s="52">
        <v>245888.995207158</v>
      </c>
      <c r="D1726" s="56">
        <v>3.3477568303334461E-2</v>
      </c>
      <c r="E1726" s="224">
        <v>1450.9722222222199</v>
      </c>
      <c r="F1726" s="515" t="s">
        <v>3362</v>
      </c>
      <c r="G1726" s="52">
        <v>2851803.5157832098</v>
      </c>
      <c r="H1726" s="56">
        <v>6.4864986368292715E-2</v>
      </c>
      <c r="I1726" s="224">
        <v>5145.4353054352996</v>
      </c>
    </row>
    <row r="1727" spans="1:9" x14ac:dyDescent="0.25">
      <c r="A1727" s="515">
        <v>23323</v>
      </c>
      <c r="B1727" s="515" t="s">
        <v>301</v>
      </c>
      <c r="C1727" s="52">
        <v>366369.55965257401</v>
      </c>
      <c r="D1727" s="56">
        <v>5.1005814871783121E-2</v>
      </c>
      <c r="E1727" s="224">
        <v>2275</v>
      </c>
      <c r="F1727" s="515" t="s">
        <v>3363</v>
      </c>
      <c r="G1727" s="52">
        <v>399921.40547363</v>
      </c>
      <c r="H1727" s="56">
        <v>-1.5708402136565807E-2</v>
      </c>
      <c r="I1727" s="224">
        <v>1653.3333333333301</v>
      </c>
    </row>
    <row r="1728" spans="1:9" x14ac:dyDescent="0.25">
      <c r="A1728" s="515">
        <v>90815</v>
      </c>
      <c r="B1728" s="515" t="s">
        <v>375</v>
      </c>
      <c r="C1728" s="52">
        <v>911948.24139333796</v>
      </c>
      <c r="D1728" s="56">
        <v>5.092008732713111E-2</v>
      </c>
      <c r="E1728" s="224">
        <v>2446.0317460317401</v>
      </c>
      <c r="F1728" s="515" t="s">
        <v>3364</v>
      </c>
      <c r="G1728" s="52">
        <v>921352.134223787</v>
      </c>
      <c r="H1728" s="56">
        <v>8.2984088851369334E-2</v>
      </c>
      <c r="I1728" s="224">
        <v>2427.0833333333298</v>
      </c>
    </row>
    <row r="1729" spans="1:9" x14ac:dyDescent="0.25">
      <c r="A1729" s="515">
        <v>75042</v>
      </c>
      <c r="B1729" s="515" t="s">
        <v>458</v>
      </c>
      <c r="C1729" s="52">
        <v>272000.54639650299</v>
      </c>
      <c r="D1729" s="56">
        <v>0.11591790633549677</v>
      </c>
      <c r="E1729" s="224" t="s">
        <v>2</v>
      </c>
      <c r="F1729" s="515" t="s">
        <v>3365</v>
      </c>
      <c r="G1729" s="52">
        <v>1664246.21236201</v>
      </c>
      <c r="H1729" s="56">
        <v>-6.7222714580974004E-3</v>
      </c>
      <c r="I1729" s="224">
        <v>3569.5788828689301</v>
      </c>
    </row>
    <row r="1730" spans="1:9" x14ac:dyDescent="0.25">
      <c r="A1730" s="515">
        <v>85132</v>
      </c>
      <c r="B1730" s="515" t="s">
        <v>563</v>
      </c>
      <c r="C1730" s="52">
        <v>347706.007335648</v>
      </c>
      <c r="D1730" s="56">
        <v>4.0010413204270193E-2</v>
      </c>
      <c r="E1730" s="224">
        <v>1824.1666666666599</v>
      </c>
      <c r="F1730" s="515" t="s">
        <v>343</v>
      </c>
      <c r="G1730" s="52">
        <v>167593.64062917099</v>
      </c>
      <c r="H1730" s="56">
        <v>7.1651481922409735E-2</v>
      </c>
      <c r="I1730" s="224">
        <v>1362.5</v>
      </c>
    </row>
    <row r="1731" spans="1:9" x14ac:dyDescent="0.25">
      <c r="A1731" s="515">
        <v>78040</v>
      </c>
      <c r="B1731" s="515" t="s">
        <v>588</v>
      </c>
      <c r="C1731" s="52"/>
      <c r="D1731" s="56">
        <v>0</v>
      </c>
      <c r="E1731" s="224" t="s">
        <v>2</v>
      </c>
      <c r="F1731" s="515" t="s">
        <v>3366</v>
      </c>
      <c r="G1731" s="52">
        <v>469378.11155765899</v>
      </c>
      <c r="H1731" s="56">
        <v>4.3608262971483076E-2</v>
      </c>
      <c r="I1731" s="224">
        <v>2145</v>
      </c>
    </row>
    <row r="1732" spans="1:9" x14ac:dyDescent="0.25">
      <c r="A1732" s="515">
        <v>28806</v>
      </c>
      <c r="B1732" s="515" t="s">
        <v>668</v>
      </c>
      <c r="C1732" s="52">
        <v>383875.32132092502</v>
      </c>
      <c r="D1732" s="56">
        <v>0.12131054422118244</v>
      </c>
      <c r="E1732" s="224">
        <v>1849.6666666666599</v>
      </c>
      <c r="F1732" s="515" t="s">
        <v>3367</v>
      </c>
      <c r="G1732" s="52">
        <v>270133.90622109198</v>
      </c>
      <c r="H1732" s="56">
        <v>4.9712113008659874E-2</v>
      </c>
      <c r="I1732" s="224" t="s">
        <v>2</v>
      </c>
    </row>
    <row r="1733" spans="1:9" x14ac:dyDescent="0.25">
      <c r="A1733" s="515">
        <v>70003</v>
      </c>
      <c r="B1733" s="515" t="s">
        <v>777</v>
      </c>
      <c r="C1733" s="52">
        <v>239528.25790338201</v>
      </c>
      <c r="D1733" s="56">
        <v>-4.1634783496317676E-2</v>
      </c>
      <c r="E1733" s="224">
        <v>1997.5</v>
      </c>
      <c r="F1733" s="515" t="s">
        <v>3368</v>
      </c>
      <c r="G1733" s="52">
        <v>386827.45435417298</v>
      </c>
      <c r="H1733" s="56">
        <v>4.5113041324261208E-2</v>
      </c>
      <c r="I1733" s="224" t="s">
        <v>2</v>
      </c>
    </row>
    <row r="1734" spans="1:9" x14ac:dyDescent="0.25">
      <c r="A1734" s="515">
        <v>98033</v>
      </c>
      <c r="B1734" s="515" t="s">
        <v>384</v>
      </c>
      <c r="C1734" s="52">
        <v>1460067.2105187799</v>
      </c>
      <c r="D1734" s="56">
        <v>4.2608531785906373E-2</v>
      </c>
      <c r="E1734" s="224">
        <v>2541.9486803518998</v>
      </c>
      <c r="F1734" s="515" t="s">
        <v>3369</v>
      </c>
      <c r="G1734" s="52">
        <v>430908.15775589301</v>
      </c>
      <c r="H1734" s="56">
        <v>0.13175833616629276</v>
      </c>
      <c r="I1734" s="224">
        <v>2587.5</v>
      </c>
    </row>
    <row r="1735" spans="1:9" x14ac:dyDescent="0.25">
      <c r="A1735" s="515">
        <v>33076</v>
      </c>
      <c r="B1735" s="515" t="s">
        <v>831</v>
      </c>
      <c r="C1735" s="52">
        <v>808705.89979505504</v>
      </c>
      <c r="D1735" s="56">
        <v>0.14515516448221458</v>
      </c>
      <c r="E1735" s="224">
        <v>3550.3492063491999</v>
      </c>
      <c r="F1735" s="515" t="s">
        <v>3370</v>
      </c>
      <c r="G1735" s="52">
        <v>176908.393692824</v>
      </c>
      <c r="H1735" s="56">
        <v>8.3326056853446517E-2</v>
      </c>
      <c r="I1735" s="224">
        <v>725</v>
      </c>
    </row>
    <row r="1736" spans="1:9" x14ac:dyDescent="0.25">
      <c r="A1736" s="515">
        <v>92054</v>
      </c>
      <c r="B1736" s="515" t="s">
        <v>396</v>
      </c>
      <c r="C1736" s="52">
        <v>969075.98746731295</v>
      </c>
      <c r="D1736" s="56">
        <v>7.1475592687671619E-2</v>
      </c>
      <c r="E1736" s="224">
        <v>2710.9790209790199</v>
      </c>
      <c r="F1736" s="515" t="s">
        <v>3371</v>
      </c>
      <c r="G1736" s="52">
        <v>566350.975209533</v>
      </c>
      <c r="H1736" s="56">
        <v>4.9575571561077621E-2</v>
      </c>
      <c r="I1736" s="224" t="s">
        <v>2</v>
      </c>
    </row>
    <row r="1737" spans="1:9" x14ac:dyDescent="0.25">
      <c r="A1737" s="515">
        <v>33014</v>
      </c>
      <c r="B1737" s="515" t="s">
        <v>831</v>
      </c>
      <c r="C1737" s="52">
        <v>386339.083602881</v>
      </c>
      <c r="D1737" s="56">
        <v>0.13708155702387417</v>
      </c>
      <c r="E1737" s="224">
        <v>2347.3611111111099</v>
      </c>
      <c r="F1737" s="515" t="s">
        <v>310</v>
      </c>
      <c r="G1737" s="52">
        <v>160763.14383510401</v>
      </c>
      <c r="H1737" s="56">
        <v>0.13431315700981933</v>
      </c>
      <c r="I1737" s="224" t="s">
        <v>2</v>
      </c>
    </row>
    <row r="1738" spans="1:9" x14ac:dyDescent="0.25">
      <c r="A1738" s="515">
        <v>78209</v>
      </c>
      <c r="B1738" s="515" t="s">
        <v>717</v>
      </c>
      <c r="C1738" s="52">
        <v>468991.694178693</v>
      </c>
      <c r="D1738" s="56">
        <v>4.867673079001357E-2</v>
      </c>
      <c r="E1738" s="224">
        <v>1490.6018518518499</v>
      </c>
      <c r="F1738" s="515" t="s">
        <v>3372</v>
      </c>
      <c r="G1738" s="52">
        <v>565546.95373656298</v>
      </c>
      <c r="H1738" s="56">
        <v>2.6501238188302106E-2</v>
      </c>
      <c r="I1738" s="224">
        <v>2069.5952380952299</v>
      </c>
    </row>
    <row r="1739" spans="1:9" x14ac:dyDescent="0.25">
      <c r="A1739" s="515">
        <v>15317</v>
      </c>
      <c r="B1739" s="515" t="s">
        <v>297</v>
      </c>
      <c r="C1739" s="52">
        <v>337140.11183345201</v>
      </c>
      <c r="D1739" s="56">
        <v>5.3808121066825511E-2</v>
      </c>
      <c r="E1739" s="224">
        <v>1496.62698412698</v>
      </c>
      <c r="F1739" s="515" t="s">
        <v>3373</v>
      </c>
      <c r="G1739" s="52">
        <v>539069.46419815696</v>
      </c>
      <c r="H1739" s="56">
        <v>0.1314444420102476</v>
      </c>
      <c r="I1739" s="224">
        <v>2674.4715608465599</v>
      </c>
    </row>
    <row r="1740" spans="1:9" x14ac:dyDescent="0.25">
      <c r="A1740" s="515">
        <v>49508</v>
      </c>
      <c r="B1740" s="515" t="s">
        <v>631</v>
      </c>
      <c r="C1740" s="52">
        <v>278254.19877308398</v>
      </c>
      <c r="D1740" s="56">
        <v>3.6090410741890858E-2</v>
      </c>
      <c r="E1740" s="224">
        <v>1519.3333333333301</v>
      </c>
      <c r="F1740" s="515" t="s">
        <v>3374</v>
      </c>
      <c r="G1740" s="52">
        <v>243669.51449746199</v>
      </c>
      <c r="H1740" s="56">
        <v>0.13704406825750853</v>
      </c>
      <c r="I1740" s="224" t="s">
        <v>2</v>
      </c>
    </row>
    <row r="1741" spans="1:9" x14ac:dyDescent="0.25">
      <c r="A1741" s="515">
        <v>32811</v>
      </c>
      <c r="B1741" s="515" t="s">
        <v>517</v>
      </c>
      <c r="C1741" s="52">
        <v>212155.95436452501</v>
      </c>
      <c r="D1741" s="56">
        <v>0.25306037659014646</v>
      </c>
      <c r="E1741" s="224">
        <v>1755.36157059314</v>
      </c>
      <c r="F1741" s="515" t="s">
        <v>1181</v>
      </c>
      <c r="G1741" s="52">
        <v>654217.92562805698</v>
      </c>
      <c r="H1741" s="56">
        <v>0.11551319035379805</v>
      </c>
      <c r="I1741" s="224">
        <v>1789.2833333333299</v>
      </c>
    </row>
    <row r="1742" spans="1:9" x14ac:dyDescent="0.25">
      <c r="A1742" s="515">
        <v>30102</v>
      </c>
      <c r="B1742" s="515" t="s">
        <v>957</v>
      </c>
      <c r="C1742" s="52">
        <v>354020.99113085098</v>
      </c>
      <c r="D1742" s="56">
        <v>0.10463235172801143</v>
      </c>
      <c r="E1742" s="224">
        <v>2046.4095238095199</v>
      </c>
      <c r="F1742" s="515" t="s">
        <v>3375</v>
      </c>
      <c r="G1742" s="52">
        <v>206833.406732537</v>
      </c>
      <c r="H1742" s="56">
        <v>9.8572263140011829E-2</v>
      </c>
      <c r="I1742" s="224">
        <v>1384.6666666666599</v>
      </c>
    </row>
    <row r="1743" spans="1:9" x14ac:dyDescent="0.25">
      <c r="A1743" s="515">
        <v>72076</v>
      </c>
      <c r="B1743" s="515" t="s">
        <v>393</v>
      </c>
      <c r="C1743" s="52">
        <v>140173.11098284999</v>
      </c>
      <c r="D1743" s="56">
        <v>8.1417326284599384E-2</v>
      </c>
      <c r="E1743" s="224">
        <v>986.26666666666597</v>
      </c>
      <c r="F1743" s="515" t="s">
        <v>3376</v>
      </c>
      <c r="G1743" s="52">
        <v>206487.76916395899</v>
      </c>
      <c r="H1743" s="56">
        <v>0.11900329088936505</v>
      </c>
      <c r="I1743" s="224" t="s">
        <v>2</v>
      </c>
    </row>
    <row r="1744" spans="1:9" x14ac:dyDescent="0.25">
      <c r="A1744" s="515">
        <v>29414</v>
      </c>
      <c r="B1744" s="515" t="s">
        <v>1009</v>
      </c>
      <c r="C1744" s="52">
        <v>402346.16996622999</v>
      </c>
      <c r="D1744" s="56">
        <v>8.9794117270313098E-2</v>
      </c>
      <c r="E1744" s="224">
        <v>1788.8044117647</v>
      </c>
      <c r="F1744" s="515" t="s">
        <v>3377</v>
      </c>
      <c r="G1744" s="52">
        <v>433069.33312557498</v>
      </c>
      <c r="H1744" s="56">
        <v>9.3558278188053914E-2</v>
      </c>
      <c r="I1744" s="224">
        <v>1797.2830687830599</v>
      </c>
    </row>
    <row r="1745" spans="1:9" x14ac:dyDescent="0.25">
      <c r="A1745" s="515">
        <v>85251</v>
      </c>
      <c r="B1745" s="515" t="s">
        <v>563</v>
      </c>
      <c r="C1745" s="52">
        <v>504443.81752654997</v>
      </c>
      <c r="D1745" s="56">
        <v>7.9185124736636053E-2</v>
      </c>
      <c r="E1745" s="224">
        <v>1921.12536686915</v>
      </c>
      <c r="F1745" s="515" t="s">
        <v>3378</v>
      </c>
      <c r="G1745" s="52">
        <v>838733.99497389805</v>
      </c>
      <c r="H1745" s="56">
        <v>3.7633143769862661E-2</v>
      </c>
      <c r="I1745" s="224">
        <v>2450</v>
      </c>
    </row>
    <row r="1746" spans="1:9" x14ac:dyDescent="0.25">
      <c r="A1746" s="515">
        <v>21220</v>
      </c>
      <c r="B1746" s="515" t="s">
        <v>582</v>
      </c>
      <c r="C1746" s="52">
        <v>285812.58855874999</v>
      </c>
      <c r="D1746" s="56">
        <v>4.5397175131774943E-2</v>
      </c>
      <c r="E1746" s="224">
        <v>1591.0673076922999</v>
      </c>
      <c r="F1746" s="515" t="s">
        <v>3379</v>
      </c>
      <c r="G1746" s="52">
        <v>182682.50015884699</v>
      </c>
      <c r="H1746" s="56">
        <v>0.10277684569448332</v>
      </c>
      <c r="I1746" s="224">
        <v>895</v>
      </c>
    </row>
    <row r="1747" spans="1:9" x14ac:dyDescent="0.25">
      <c r="A1747" s="515">
        <v>80920</v>
      </c>
      <c r="B1747" s="515" t="s">
        <v>701</v>
      </c>
      <c r="C1747" s="52">
        <v>505867.36021871801</v>
      </c>
      <c r="D1747" s="56">
        <v>1.9114079733443722E-2</v>
      </c>
      <c r="E1747" s="224">
        <v>1936.5416666666599</v>
      </c>
      <c r="F1747" s="515" t="s">
        <v>3380</v>
      </c>
      <c r="G1747" s="52">
        <v>381106.326930999</v>
      </c>
      <c r="H1747" s="56">
        <v>8.284338562404385E-2</v>
      </c>
      <c r="I1747" s="224">
        <v>2038.7777777777701</v>
      </c>
    </row>
    <row r="1748" spans="1:9" x14ac:dyDescent="0.25">
      <c r="A1748" s="515">
        <v>80401</v>
      </c>
      <c r="B1748" s="515" t="s">
        <v>401</v>
      </c>
      <c r="C1748" s="52">
        <v>801293.54394545197</v>
      </c>
      <c r="D1748" s="56">
        <v>3.909380557927393E-2</v>
      </c>
      <c r="E1748" s="224">
        <v>2085.8561253561202</v>
      </c>
      <c r="F1748" s="515" t="s">
        <v>3381</v>
      </c>
      <c r="G1748" s="52">
        <v>394995.60763289401</v>
      </c>
      <c r="H1748" s="56">
        <v>9.4692805266719152E-2</v>
      </c>
      <c r="I1748" s="224">
        <v>2131.4</v>
      </c>
    </row>
    <row r="1749" spans="1:9" x14ac:dyDescent="0.25">
      <c r="A1749" s="515">
        <v>84121</v>
      </c>
      <c r="B1749" s="515" t="s">
        <v>617</v>
      </c>
      <c r="C1749" s="52">
        <v>655020.70890661003</v>
      </c>
      <c r="D1749" s="56">
        <v>2.4703318010082968E-2</v>
      </c>
      <c r="E1749" s="224">
        <v>1929.3333333333301</v>
      </c>
      <c r="F1749" s="515" t="s">
        <v>3382</v>
      </c>
      <c r="G1749" s="52">
        <v>150839.99872373199</v>
      </c>
      <c r="H1749" s="56">
        <v>0.18863089002724365</v>
      </c>
      <c r="I1749" s="224">
        <v>1944.44444444444</v>
      </c>
    </row>
    <row r="1750" spans="1:9" x14ac:dyDescent="0.25">
      <c r="A1750" s="515">
        <v>90605</v>
      </c>
      <c r="B1750" s="515" t="s">
        <v>375</v>
      </c>
      <c r="C1750" s="52">
        <v>695831.60768132901</v>
      </c>
      <c r="D1750" s="56">
        <v>4.8205046155340978E-2</v>
      </c>
      <c r="E1750" s="224">
        <v>2483.3333333333298</v>
      </c>
      <c r="F1750" s="515" t="s">
        <v>3383</v>
      </c>
      <c r="G1750" s="52">
        <v>256693.40659761499</v>
      </c>
      <c r="H1750" s="56">
        <v>1.1173906084962546E-2</v>
      </c>
      <c r="I1750" s="224">
        <v>1335.0833333333301</v>
      </c>
    </row>
    <row r="1751" spans="1:9" x14ac:dyDescent="0.25">
      <c r="A1751" s="515">
        <v>95621</v>
      </c>
      <c r="B1751" s="515" t="s">
        <v>355</v>
      </c>
      <c r="C1751" s="52">
        <v>426448.92656574101</v>
      </c>
      <c r="D1751" s="56">
        <v>3.0906295808952239E-2</v>
      </c>
      <c r="E1751" s="224">
        <v>1887.55</v>
      </c>
      <c r="F1751" s="515" t="s">
        <v>3384</v>
      </c>
      <c r="G1751" s="52">
        <v>421434.64159993298</v>
      </c>
      <c r="H1751" s="56">
        <v>0.11520254735007979</v>
      </c>
      <c r="I1751" s="224">
        <v>2007</v>
      </c>
    </row>
    <row r="1752" spans="1:9" x14ac:dyDescent="0.25">
      <c r="A1752" s="515">
        <v>28412</v>
      </c>
      <c r="B1752" s="515" t="s">
        <v>1038</v>
      </c>
      <c r="C1752" s="52">
        <v>350410.58125968301</v>
      </c>
      <c r="D1752" s="56">
        <v>0.12944370635281061</v>
      </c>
      <c r="E1752" s="224">
        <v>1593.51388888888</v>
      </c>
      <c r="F1752" s="515" t="s">
        <v>392</v>
      </c>
      <c r="G1752" s="52">
        <v>104461.729181038</v>
      </c>
      <c r="H1752" s="56">
        <v>-1.2895691503325766E-2</v>
      </c>
      <c r="I1752" s="224" t="s">
        <v>2</v>
      </c>
    </row>
    <row r="1753" spans="1:9" x14ac:dyDescent="0.25">
      <c r="A1753" s="515">
        <v>85249</v>
      </c>
      <c r="B1753" s="515" t="s">
        <v>563</v>
      </c>
      <c r="C1753" s="52">
        <v>633492.73504617496</v>
      </c>
      <c r="D1753" s="56">
        <v>2.9804524577180583E-2</v>
      </c>
      <c r="E1753" s="224">
        <v>2566.2777777777701</v>
      </c>
      <c r="F1753" s="515" t="s">
        <v>339</v>
      </c>
      <c r="G1753" s="52">
        <v>78857.421582983094</v>
      </c>
      <c r="H1753" s="56">
        <v>1.5921002126229062E-2</v>
      </c>
      <c r="I1753" s="224" t="s">
        <v>2</v>
      </c>
    </row>
    <row r="1754" spans="1:9" x14ac:dyDescent="0.25">
      <c r="A1754" s="515">
        <v>84057</v>
      </c>
      <c r="B1754" s="515" t="s">
        <v>726</v>
      </c>
      <c r="C1754" s="52">
        <v>445185.86990476999</v>
      </c>
      <c r="D1754" s="56">
        <v>4.1658234184608602E-2</v>
      </c>
      <c r="E1754" s="224">
        <v>1613.7777777777701</v>
      </c>
      <c r="F1754" s="515" t="s">
        <v>3385</v>
      </c>
      <c r="G1754" s="52">
        <v>457768.78265565098</v>
      </c>
      <c r="H1754" s="56">
        <v>0.10046500549867249</v>
      </c>
      <c r="I1754" s="224">
        <v>2467.6666666666601</v>
      </c>
    </row>
    <row r="1755" spans="1:9" x14ac:dyDescent="0.25">
      <c r="A1755" s="515">
        <v>95205</v>
      </c>
      <c r="B1755" s="515" t="s">
        <v>852</v>
      </c>
      <c r="C1755" s="52">
        <v>311010.03671105299</v>
      </c>
      <c r="D1755" s="56">
        <v>8.3992558595963787E-2</v>
      </c>
      <c r="E1755" s="224" t="s">
        <v>2</v>
      </c>
      <c r="F1755" s="515" t="s">
        <v>3386</v>
      </c>
      <c r="G1755" s="52">
        <v>166934.98260916301</v>
      </c>
      <c r="H1755" s="56">
        <v>7.4141627047657963E-2</v>
      </c>
      <c r="I1755" s="224" t="s">
        <v>2</v>
      </c>
    </row>
    <row r="1756" spans="1:9" x14ac:dyDescent="0.25">
      <c r="A1756" s="515">
        <v>85323</v>
      </c>
      <c r="B1756" s="515" t="s">
        <v>563</v>
      </c>
      <c r="C1756" s="52">
        <v>373667.42787398997</v>
      </c>
      <c r="D1756" s="56">
        <v>5.5062163286593468E-2</v>
      </c>
      <c r="E1756" s="224">
        <v>1953.6425925925901</v>
      </c>
      <c r="F1756" s="515" t="s">
        <v>3387</v>
      </c>
      <c r="G1756" s="52">
        <v>455627.89269020897</v>
      </c>
      <c r="H1756" s="56">
        <v>2.5690999434796927E-2</v>
      </c>
      <c r="I1756" s="224">
        <v>1703.6</v>
      </c>
    </row>
    <row r="1757" spans="1:9" x14ac:dyDescent="0.25">
      <c r="A1757" s="515">
        <v>42240</v>
      </c>
      <c r="B1757" s="515" t="s">
        <v>651</v>
      </c>
      <c r="C1757" s="52">
        <v>155628.10691869201</v>
      </c>
      <c r="D1757" s="56">
        <v>0.15472770847222306</v>
      </c>
      <c r="E1757" s="224" t="s">
        <v>2</v>
      </c>
      <c r="F1757" s="515" t="s">
        <v>3388</v>
      </c>
      <c r="G1757" s="52">
        <v>1383472.6089352199</v>
      </c>
      <c r="H1757" s="56">
        <v>7.3749498152144155E-2</v>
      </c>
      <c r="I1757" s="224">
        <v>3684.5993783993699</v>
      </c>
    </row>
    <row r="1758" spans="1:9" x14ac:dyDescent="0.25">
      <c r="A1758" s="515">
        <v>45036</v>
      </c>
      <c r="B1758" s="515" t="s">
        <v>344</v>
      </c>
      <c r="C1758" s="52">
        <v>339398.07330950198</v>
      </c>
      <c r="D1758" s="56">
        <v>7.9383835375666317E-2</v>
      </c>
      <c r="E1758" s="224">
        <v>1823.5</v>
      </c>
      <c r="F1758" s="515" t="s">
        <v>3389</v>
      </c>
      <c r="G1758" s="52">
        <v>629662.53870787704</v>
      </c>
      <c r="H1758" s="56">
        <v>5.7498845800922807E-2</v>
      </c>
      <c r="I1758" s="224" t="s">
        <v>2</v>
      </c>
    </row>
    <row r="1759" spans="1:9" x14ac:dyDescent="0.25">
      <c r="A1759" s="515">
        <v>28079</v>
      </c>
      <c r="B1759" s="515" t="s">
        <v>360</v>
      </c>
      <c r="C1759" s="52">
        <v>408869.59959798399</v>
      </c>
      <c r="D1759" s="56">
        <v>0.10356952530804928</v>
      </c>
      <c r="E1759" s="224">
        <v>1965.2550505050499</v>
      </c>
      <c r="F1759" s="515" t="s">
        <v>3390</v>
      </c>
      <c r="G1759" s="52">
        <v>1318671.35314002</v>
      </c>
      <c r="H1759" s="56">
        <v>8.1851012433499418E-2</v>
      </c>
      <c r="I1759" s="224">
        <v>3137</v>
      </c>
    </row>
    <row r="1760" spans="1:9" x14ac:dyDescent="0.25">
      <c r="A1760" s="515">
        <v>28092</v>
      </c>
      <c r="B1760" s="515" t="s">
        <v>360</v>
      </c>
      <c r="C1760" s="52">
        <v>263006.67997994903</v>
      </c>
      <c r="D1760" s="56">
        <v>0.14650795400604488</v>
      </c>
      <c r="E1760" s="224" t="s">
        <v>2</v>
      </c>
      <c r="F1760" s="515" t="s">
        <v>3391</v>
      </c>
      <c r="G1760" s="52">
        <v>269806.54564148502</v>
      </c>
      <c r="H1760" s="56">
        <v>6.2124844605862324E-2</v>
      </c>
      <c r="I1760" s="224">
        <v>1457.5833333333301</v>
      </c>
    </row>
    <row r="1761" spans="1:9" x14ac:dyDescent="0.25">
      <c r="A1761" s="515">
        <v>64068</v>
      </c>
      <c r="B1761" s="515" t="s">
        <v>455</v>
      </c>
      <c r="C1761" s="52">
        <v>290247.40058687702</v>
      </c>
      <c r="D1761" s="56">
        <v>8.5569319698116694E-2</v>
      </c>
      <c r="E1761" s="224">
        <v>1346.75</v>
      </c>
      <c r="F1761" s="515" t="s">
        <v>1215</v>
      </c>
      <c r="G1761" s="52">
        <v>170070.249903171</v>
      </c>
      <c r="H1761" s="56">
        <v>5.1153397219024616E-4</v>
      </c>
      <c r="I1761" s="224" t="s">
        <v>2</v>
      </c>
    </row>
    <row r="1762" spans="1:9" x14ac:dyDescent="0.25">
      <c r="A1762" s="515">
        <v>95762</v>
      </c>
      <c r="B1762" s="515" t="s">
        <v>355</v>
      </c>
      <c r="C1762" s="52">
        <v>870675.87709515495</v>
      </c>
      <c r="D1762" s="56">
        <v>7.744382863953814E-3</v>
      </c>
      <c r="E1762" s="224">
        <v>2602.4722222222199</v>
      </c>
      <c r="F1762" s="515" t="s">
        <v>3392</v>
      </c>
      <c r="G1762" s="52">
        <v>414520.17115824501</v>
      </c>
      <c r="H1762" s="56">
        <v>1.808097661787449E-2</v>
      </c>
      <c r="I1762" s="224">
        <v>1435</v>
      </c>
    </row>
    <row r="1763" spans="1:9" x14ac:dyDescent="0.25">
      <c r="A1763" s="515">
        <v>2150</v>
      </c>
      <c r="B1763" s="515" t="s">
        <v>534</v>
      </c>
      <c r="C1763" s="52">
        <v>443425.74977884599</v>
      </c>
      <c r="D1763" s="56">
        <v>3.5384380423828209E-2</v>
      </c>
      <c r="E1763" s="224">
        <v>2478.3813700918899</v>
      </c>
      <c r="F1763" s="515" t="s">
        <v>3393</v>
      </c>
      <c r="G1763" s="52">
        <v>472416.33338997199</v>
      </c>
      <c r="H1763" s="56">
        <v>6.6788041107996396E-2</v>
      </c>
      <c r="I1763" s="224" t="s">
        <v>2</v>
      </c>
    </row>
    <row r="1764" spans="1:9" x14ac:dyDescent="0.25">
      <c r="A1764" s="515">
        <v>12065</v>
      </c>
      <c r="B1764" s="515" t="s">
        <v>609</v>
      </c>
      <c r="C1764" s="52">
        <v>372513.19771973899</v>
      </c>
      <c r="D1764" s="56">
        <v>5.869957421760872E-2</v>
      </c>
      <c r="E1764" s="224">
        <v>1427.86574074074</v>
      </c>
      <c r="F1764" s="515" t="s">
        <v>3394</v>
      </c>
      <c r="G1764" s="52">
        <v>726984.45963995298</v>
      </c>
      <c r="H1764" s="56">
        <v>0</v>
      </c>
      <c r="I1764" s="224">
        <v>2695.8333333333298</v>
      </c>
    </row>
    <row r="1765" spans="1:9" x14ac:dyDescent="0.25">
      <c r="A1765" s="515">
        <v>98290</v>
      </c>
      <c r="B1765" s="515" t="s">
        <v>384</v>
      </c>
      <c r="C1765" s="52">
        <v>766997.61625266494</v>
      </c>
      <c r="D1765" s="56">
        <v>4.0292786069063849E-2</v>
      </c>
      <c r="E1765" s="224">
        <v>2113.88888888888</v>
      </c>
      <c r="F1765" s="515" t="s">
        <v>3395</v>
      </c>
      <c r="G1765" s="52">
        <v>206473.20269750201</v>
      </c>
      <c r="H1765" s="56">
        <v>6.7840334707830505E-2</v>
      </c>
      <c r="I1765" s="224" t="s">
        <v>2</v>
      </c>
    </row>
    <row r="1766" spans="1:9" x14ac:dyDescent="0.25">
      <c r="A1766" s="515">
        <v>76248</v>
      </c>
      <c r="B1766" s="515" t="s">
        <v>458</v>
      </c>
      <c r="C1766" s="52">
        <v>565758.70165755705</v>
      </c>
      <c r="D1766" s="56">
        <v>7.7077667547112011E-2</v>
      </c>
      <c r="E1766" s="224">
        <v>1897.1703703703699</v>
      </c>
      <c r="F1766" s="515" t="s">
        <v>3396</v>
      </c>
      <c r="G1766" s="52">
        <v>595248.52723195695</v>
      </c>
      <c r="H1766" s="56">
        <v>3.0025468738992703E-2</v>
      </c>
      <c r="I1766" s="224">
        <v>2004.0972222222199</v>
      </c>
    </row>
    <row r="1767" spans="1:9" x14ac:dyDescent="0.25">
      <c r="A1767" s="515">
        <v>38115</v>
      </c>
      <c r="B1767" s="515" t="s">
        <v>951</v>
      </c>
      <c r="C1767" s="52">
        <v>170826.82648725799</v>
      </c>
      <c r="D1767" s="56">
        <v>0.11974866730414706</v>
      </c>
      <c r="E1767" s="224">
        <v>1265.6428571428501</v>
      </c>
      <c r="F1767" s="515" t="s">
        <v>3397</v>
      </c>
      <c r="G1767" s="52">
        <v>578122.51868141501</v>
      </c>
      <c r="H1767" s="56">
        <v>6.4022779502835289E-2</v>
      </c>
      <c r="I1767" s="224">
        <v>2498.2666666666601</v>
      </c>
    </row>
    <row r="1768" spans="1:9" x14ac:dyDescent="0.25">
      <c r="A1768" s="515">
        <v>37207</v>
      </c>
      <c r="B1768" s="515" t="s">
        <v>684</v>
      </c>
      <c r="C1768" s="52">
        <v>355405.83015143301</v>
      </c>
      <c r="D1768" s="56">
        <v>0.12475037772458052</v>
      </c>
      <c r="E1768" s="224">
        <v>2140.38888888888</v>
      </c>
      <c r="F1768" s="515" t="s">
        <v>3398</v>
      </c>
      <c r="G1768" s="52">
        <v>3812799.8130193101</v>
      </c>
      <c r="H1768" s="56">
        <v>3.6466344146013942E-2</v>
      </c>
      <c r="I1768" s="224">
        <v>5005</v>
      </c>
    </row>
    <row r="1769" spans="1:9" x14ac:dyDescent="0.25">
      <c r="A1769" s="515">
        <v>30213</v>
      </c>
      <c r="B1769" s="515" t="s">
        <v>957</v>
      </c>
      <c r="C1769" s="52">
        <v>325677.65127070999</v>
      </c>
      <c r="D1769" s="56">
        <v>0.12735834542628141</v>
      </c>
      <c r="E1769" s="224">
        <v>2126.6481481481401</v>
      </c>
      <c r="F1769" s="515" t="s">
        <v>3399</v>
      </c>
      <c r="G1769" s="52">
        <v>616667.18157434196</v>
      </c>
      <c r="H1769" s="56">
        <v>-2.036732605814574E-2</v>
      </c>
      <c r="I1769" s="224">
        <v>2449.1666666666601</v>
      </c>
    </row>
    <row r="1770" spans="1:9" x14ac:dyDescent="0.25">
      <c r="A1770" s="515">
        <v>48221</v>
      </c>
      <c r="B1770" s="515" t="s">
        <v>685</v>
      </c>
      <c r="C1770" s="52">
        <v>133848.56014978001</v>
      </c>
      <c r="D1770" s="56">
        <v>5.1648177660792938E-2</v>
      </c>
      <c r="E1770" s="224">
        <v>1319.5</v>
      </c>
      <c r="F1770" s="515" t="s">
        <v>1182</v>
      </c>
      <c r="G1770" s="52">
        <v>167513.50341160101</v>
      </c>
      <c r="H1770" s="56">
        <v>9.4294149540879182E-2</v>
      </c>
      <c r="I1770" s="224" t="s">
        <v>2</v>
      </c>
    </row>
    <row r="1771" spans="1:9" x14ac:dyDescent="0.25">
      <c r="A1771" s="515">
        <v>88240</v>
      </c>
      <c r="B1771" s="515" t="s">
        <v>1097</v>
      </c>
      <c r="C1771" s="52">
        <v>144754.980328106</v>
      </c>
      <c r="D1771" s="56">
        <v>-6.854878317457834E-2</v>
      </c>
      <c r="E1771" s="224">
        <v>1025</v>
      </c>
      <c r="F1771" s="515" t="s">
        <v>3400</v>
      </c>
      <c r="G1771" s="52">
        <v>264511.73639105202</v>
      </c>
      <c r="H1771" s="56">
        <v>6.5162232340900211E-2</v>
      </c>
      <c r="I1771" s="224" t="s">
        <v>2</v>
      </c>
    </row>
    <row r="1772" spans="1:9" x14ac:dyDescent="0.25">
      <c r="A1772" s="515">
        <v>72762</v>
      </c>
      <c r="B1772" s="515" t="s">
        <v>675</v>
      </c>
      <c r="C1772" s="52">
        <v>312809.38573825097</v>
      </c>
      <c r="D1772" s="56">
        <v>0.11264286821789575</v>
      </c>
      <c r="E1772" s="224" t="s">
        <v>2</v>
      </c>
      <c r="F1772" s="515" t="s">
        <v>3401</v>
      </c>
      <c r="G1772" s="52">
        <v>810686.73273605097</v>
      </c>
      <c r="H1772" s="56">
        <v>4.7296147831488555E-2</v>
      </c>
      <c r="I1772" s="224">
        <v>2627.3333333333298</v>
      </c>
    </row>
    <row r="1773" spans="1:9" x14ac:dyDescent="0.25">
      <c r="A1773" s="515">
        <v>1040</v>
      </c>
      <c r="B1773" s="515" t="s">
        <v>575</v>
      </c>
      <c r="C1773" s="52">
        <v>272458.71018937899</v>
      </c>
      <c r="D1773" s="56">
        <v>6.7712116668076416E-2</v>
      </c>
      <c r="E1773" s="224">
        <v>1475</v>
      </c>
      <c r="F1773" s="515" t="s">
        <v>1022</v>
      </c>
      <c r="G1773" s="52">
        <v>92031.126982044196</v>
      </c>
      <c r="H1773" s="56">
        <v>8.3990940610413081E-2</v>
      </c>
      <c r="I1773" s="224" t="s">
        <v>2</v>
      </c>
    </row>
    <row r="1774" spans="1:9" x14ac:dyDescent="0.25">
      <c r="A1774" s="515">
        <v>52302</v>
      </c>
      <c r="B1774" s="515" t="s">
        <v>404</v>
      </c>
      <c r="C1774" s="52">
        <v>240751.322805298</v>
      </c>
      <c r="D1774" s="56">
        <v>6.7581020818101203E-2</v>
      </c>
      <c r="E1774" s="224">
        <v>808.77777777777703</v>
      </c>
      <c r="F1774" s="515" t="s">
        <v>3402</v>
      </c>
      <c r="G1774" s="52">
        <v>682563.21010854305</v>
      </c>
      <c r="H1774" s="56">
        <v>2.0852578502725826E-2</v>
      </c>
      <c r="I1774" s="224">
        <v>1901.4166666666599</v>
      </c>
    </row>
    <row r="1775" spans="1:9" x14ac:dyDescent="0.25">
      <c r="A1775" s="515">
        <v>21042</v>
      </c>
      <c r="B1775" s="515" t="s">
        <v>582</v>
      </c>
      <c r="C1775" s="52">
        <v>706787.52153204102</v>
      </c>
      <c r="D1775" s="56">
        <v>4.6796603152483761E-2</v>
      </c>
      <c r="E1775" s="224">
        <v>2152.3333333333298</v>
      </c>
      <c r="F1775" s="515" t="s">
        <v>3403</v>
      </c>
      <c r="G1775" s="52">
        <v>205044.14648584599</v>
      </c>
      <c r="H1775" s="56">
        <v>5.5653178745023797E-2</v>
      </c>
      <c r="I1775" s="224" t="s">
        <v>2</v>
      </c>
    </row>
    <row r="1776" spans="1:9" x14ac:dyDescent="0.25">
      <c r="A1776" s="515">
        <v>97236</v>
      </c>
      <c r="B1776" s="515" t="s">
        <v>659</v>
      </c>
      <c r="C1776" s="52">
        <v>413556.20300238603</v>
      </c>
      <c r="D1776" s="56">
        <v>2.930776946784223E-3</v>
      </c>
      <c r="E1776" s="224">
        <v>1707.13333333333</v>
      </c>
      <c r="F1776" s="515" t="s">
        <v>3404</v>
      </c>
      <c r="G1776" s="52">
        <v>330303.75558621</v>
      </c>
      <c r="H1776" s="56">
        <v>8.4138902805746985E-2</v>
      </c>
      <c r="I1776" s="224" t="s">
        <v>2</v>
      </c>
    </row>
    <row r="1777" spans="1:9" x14ac:dyDescent="0.25">
      <c r="A1777" s="515">
        <v>30084</v>
      </c>
      <c r="B1777" s="515" t="s">
        <v>957</v>
      </c>
      <c r="C1777" s="52">
        <v>356348.78751833801</v>
      </c>
      <c r="D1777" s="56">
        <v>6.9542524149685828E-2</v>
      </c>
      <c r="E1777" s="224">
        <v>1858.11794871794</v>
      </c>
      <c r="F1777" s="515" t="s">
        <v>3405</v>
      </c>
      <c r="G1777" s="52">
        <v>541235.27895644598</v>
      </c>
      <c r="H1777" s="56">
        <v>4.6577747475452215E-2</v>
      </c>
      <c r="I1777" s="224" t="s">
        <v>2</v>
      </c>
    </row>
    <row r="1778" spans="1:9" x14ac:dyDescent="0.25">
      <c r="A1778" s="515">
        <v>20175</v>
      </c>
      <c r="B1778" s="515" t="s">
        <v>321</v>
      </c>
      <c r="C1778" s="52">
        <v>701416.51471884397</v>
      </c>
      <c r="D1778" s="56">
        <v>3.8118785793910641E-2</v>
      </c>
      <c r="E1778" s="224">
        <v>2107.0833333333298</v>
      </c>
      <c r="F1778" s="515" t="s">
        <v>3406</v>
      </c>
      <c r="G1778" s="52">
        <v>153936.59523669499</v>
      </c>
      <c r="H1778" s="56">
        <v>-1.0355449617082405E-2</v>
      </c>
      <c r="I1778" s="224">
        <v>1025.2222222222199</v>
      </c>
    </row>
    <row r="1779" spans="1:9" x14ac:dyDescent="0.25">
      <c r="A1779" s="515">
        <v>1801</v>
      </c>
      <c r="B1779" s="515" t="s">
        <v>534</v>
      </c>
      <c r="C1779" s="52">
        <v>618278.53334848699</v>
      </c>
      <c r="D1779" s="56">
        <v>4.5880492497423903E-2</v>
      </c>
      <c r="E1779" s="224">
        <v>2652.5925925925899</v>
      </c>
      <c r="F1779" s="515" t="s">
        <v>1103</v>
      </c>
      <c r="G1779" s="52">
        <v>410699.86431872199</v>
      </c>
      <c r="H1779" s="56">
        <v>0.1252687070121192</v>
      </c>
      <c r="I1779" s="224" t="s">
        <v>2</v>
      </c>
    </row>
    <row r="1780" spans="1:9" x14ac:dyDescent="0.25">
      <c r="A1780" s="515">
        <v>85044</v>
      </c>
      <c r="B1780" s="515" t="s">
        <v>563</v>
      </c>
      <c r="C1780" s="52">
        <v>457554.40237531898</v>
      </c>
      <c r="D1780" s="56">
        <v>4.7011168584865329E-2</v>
      </c>
      <c r="E1780" s="224">
        <v>1677.2277432712201</v>
      </c>
      <c r="F1780" s="515" t="s">
        <v>3407</v>
      </c>
      <c r="G1780" s="52">
        <v>202181.07775542099</v>
      </c>
      <c r="H1780" s="56">
        <v>6.8733922163427719E-2</v>
      </c>
      <c r="I1780" s="224">
        <v>1200</v>
      </c>
    </row>
    <row r="1781" spans="1:9" x14ac:dyDescent="0.25">
      <c r="A1781" s="515">
        <v>48911</v>
      </c>
      <c r="B1781" s="515" t="s">
        <v>528</v>
      </c>
      <c r="C1781" s="52">
        <v>137885.96390110601</v>
      </c>
      <c r="D1781" s="56">
        <v>4.5013009958980221E-2</v>
      </c>
      <c r="E1781" s="224">
        <v>1177.0833333333301</v>
      </c>
      <c r="F1781" s="515" t="s">
        <v>395</v>
      </c>
      <c r="G1781" s="52">
        <v>206384.90233644799</v>
      </c>
      <c r="H1781" s="56">
        <v>0</v>
      </c>
      <c r="I1781" s="224" t="s">
        <v>2</v>
      </c>
    </row>
    <row r="1782" spans="1:9" x14ac:dyDescent="0.25">
      <c r="A1782" s="515">
        <v>30120</v>
      </c>
      <c r="B1782" s="515" t="s">
        <v>957</v>
      </c>
      <c r="C1782" s="52">
        <v>297591.96168032498</v>
      </c>
      <c r="D1782" s="56">
        <v>0.11253476336132077</v>
      </c>
      <c r="E1782" s="224">
        <v>1943.7361111111099</v>
      </c>
      <c r="F1782" s="515" t="s">
        <v>3408</v>
      </c>
      <c r="G1782" s="52">
        <v>304319.31849737698</v>
      </c>
      <c r="H1782" s="56">
        <v>6.1253707524535482E-2</v>
      </c>
      <c r="I1782" s="224" t="s">
        <v>2</v>
      </c>
    </row>
    <row r="1783" spans="1:9" x14ac:dyDescent="0.25">
      <c r="A1783" s="515">
        <v>49221</v>
      </c>
      <c r="B1783" s="515" t="s">
        <v>958</v>
      </c>
      <c r="C1783" s="52">
        <v>173465.931456588</v>
      </c>
      <c r="D1783" s="56">
        <v>8.4763421634807129E-2</v>
      </c>
      <c r="E1783" s="224" t="s">
        <v>2</v>
      </c>
      <c r="F1783" s="515" t="s">
        <v>3409</v>
      </c>
      <c r="G1783" s="52">
        <v>382241.17786886101</v>
      </c>
      <c r="H1783" s="56">
        <v>5.278720552032188E-2</v>
      </c>
      <c r="I1783" s="224" t="s">
        <v>2</v>
      </c>
    </row>
    <row r="1784" spans="1:9" x14ac:dyDescent="0.25">
      <c r="A1784" s="515">
        <v>34952</v>
      </c>
      <c r="B1784" s="515" t="s">
        <v>1180</v>
      </c>
      <c r="C1784" s="52">
        <v>313036.06221382099</v>
      </c>
      <c r="D1784" s="56">
        <v>0.14441770556518099</v>
      </c>
      <c r="E1784" s="224">
        <v>1969.25</v>
      </c>
      <c r="F1784" s="515" t="s">
        <v>3410</v>
      </c>
      <c r="G1784" s="52">
        <v>353339.33992408501</v>
      </c>
      <c r="H1784" s="56">
        <v>2.9228881792617602E-3</v>
      </c>
      <c r="I1784" s="224" t="s">
        <v>2</v>
      </c>
    </row>
    <row r="1785" spans="1:9" x14ac:dyDescent="0.25">
      <c r="A1785" s="515">
        <v>76131</v>
      </c>
      <c r="B1785" s="515" t="s">
        <v>458</v>
      </c>
      <c r="C1785" s="52">
        <v>346438.40834637103</v>
      </c>
      <c r="D1785" s="56">
        <v>6.5101115668146595E-2</v>
      </c>
      <c r="E1785" s="224">
        <v>1946.55952380952</v>
      </c>
      <c r="F1785" s="515" t="s">
        <v>1087</v>
      </c>
      <c r="G1785" s="52">
        <v>214186.56614782201</v>
      </c>
      <c r="H1785" s="56">
        <v>6.924854609997011E-2</v>
      </c>
      <c r="I1785" s="224" t="s">
        <v>2</v>
      </c>
    </row>
    <row r="1786" spans="1:9" x14ac:dyDescent="0.25">
      <c r="A1786" s="515">
        <v>84770</v>
      </c>
      <c r="B1786" s="515" t="s">
        <v>522</v>
      </c>
      <c r="C1786" s="52">
        <v>457428.55338177702</v>
      </c>
      <c r="D1786" s="56">
        <v>2.0430475009128753E-2</v>
      </c>
      <c r="E1786" s="224">
        <v>1626.13095238095</v>
      </c>
      <c r="F1786" s="515" t="s">
        <v>3411</v>
      </c>
      <c r="G1786" s="52">
        <v>142774.86117431501</v>
      </c>
      <c r="H1786" s="56">
        <v>1.2500144147962234E-2</v>
      </c>
      <c r="I1786" s="224" t="s">
        <v>2</v>
      </c>
    </row>
    <row r="1787" spans="1:9" x14ac:dyDescent="0.25">
      <c r="A1787" s="515">
        <v>60615</v>
      </c>
      <c r="B1787" s="515" t="s">
        <v>394</v>
      </c>
      <c r="C1787" s="52">
        <v>239931.29078031101</v>
      </c>
      <c r="D1787" s="56">
        <v>-7.1046306010084465E-2</v>
      </c>
      <c r="E1787" s="224">
        <v>1712.36639825728</v>
      </c>
      <c r="F1787" s="515" t="s">
        <v>3412</v>
      </c>
      <c r="G1787" s="52">
        <v>322707.752399572</v>
      </c>
      <c r="H1787" s="56">
        <v>0.12141305178730767</v>
      </c>
      <c r="I1787" s="224">
        <v>1512.9166666666599</v>
      </c>
    </row>
    <row r="1788" spans="1:9" x14ac:dyDescent="0.25">
      <c r="A1788" s="515">
        <v>2136</v>
      </c>
      <c r="B1788" s="515" t="s">
        <v>534</v>
      </c>
      <c r="C1788" s="52">
        <v>537794.195203649</v>
      </c>
      <c r="D1788" s="56">
        <v>4.7066341717121617E-2</v>
      </c>
      <c r="E1788" s="224">
        <v>2337.5</v>
      </c>
      <c r="F1788" s="515" t="s">
        <v>3413</v>
      </c>
      <c r="G1788" s="52">
        <v>274908.11492456699</v>
      </c>
      <c r="H1788" s="56">
        <v>8.0423093708816354E-2</v>
      </c>
      <c r="I1788" s="224">
        <v>1505.5</v>
      </c>
    </row>
    <row r="1789" spans="1:9" x14ac:dyDescent="0.25">
      <c r="A1789" s="515">
        <v>27127</v>
      </c>
      <c r="B1789" s="515" t="s">
        <v>735</v>
      </c>
      <c r="C1789" s="52">
        <v>223808.871818449</v>
      </c>
      <c r="D1789" s="56">
        <v>0.13135311919706752</v>
      </c>
      <c r="E1789" s="224">
        <v>1605.05555555555</v>
      </c>
      <c r="F1789" s="515" t="s">
        <v>473</v>
      </c>
      <c r="G1789" s="52">
        <v>432126.96372653201</v>
      </c>
      <c r="H1789" s="56">
        <v>6.9037019530828622E-2</v>
      </c>
      <c r="I1789" s="224">
        <v>1617.2222222222199</v>
      </c>
    </row>
    <row r="1790" spans="1:9" x14ac:dyDescent="0.25">
      <c r="A1790" s="515">
        <v>33135</v>
      </c>
      <c r="B1790" s="515" t="s">
        <v>831</v>
      </c>
      <c r="C1790" s="52">
        <v>427019.60595225898</v>
      </c>
      <c r="D1790" s="56">
        <v>0.16677081850997733</v>
      </c>
      <c r="E1790" s="224">
        <v>2456.6071428571399</v>
      </c>
      <c r="F1790" s="515" t="s">
        <v>3414</v>
      </c>
      <c r="G1790" s="52">
        <v>158904.34716388301</v>
      </c>
      <c r="H1790" s="56">
        <v>8.1101964945560934E-2</v>
      </c>
      <c r="I1790" s="224">
        <v>1117.7083333333301</v>
      </c>
    </row>
    <row r="1791" spans="1:9" x14ac:dyDescent="0.25">
      <c r="A1791" s="515">
        <v>75231</v>
      </c>
      <c r="B1791" s="515" t="s">
        <v>458</v>
      </c>
      <c r="C1791" s="52">
        <v>286153.21659052098</v>
      </c>
      <c r="D1791" s="56">
        <v>-2.882272871383617E-2</v>
      </c>
      <c r="E1791" s="224">
        <v>1354.71032628846</v>
      </c>
      <c r="F1791" s="515" t="s">
        <v>3415</v>
      </c>
      <c r="G1791" s="52">
        <v>333877.46421343001</v>
      </c>
      <c r="H1791" s="56">
        <v>5.7898400908889376E-2</v>
      </c>
      <c r="I1791" s="224">
        <v>1616.3333333333301</v>
      </c>
    </row>
    <row r="1792" spans="1:9" x14ac:dyDescent="0.25">
      <c r="A1792" s="515">
        <v>44720</v>
      </c>
      <c r="B1792" s="515" t="s">
        <v>863</v>
      </c>
      <c r="C1792" s="52">
        <v>238610.84502310399</v>
      </c>
      <c r="D1792" s="56">
        <v>7.9343418850948255E-2</v>
      </c>
      <c r="E1792" s="224">
        <v>1479.7222222222199</v>
      </c>
      <c r="F1792" s="515" t="s">
        <v>3416</v>
      </c>
      <c r="G1792" s="52">
        <v>714642.67558089294</v>
      </c>
      <c r="H1792" s="56">
        <v>1.6977392652553838E-2</v>
      </c>
      <c r="I1792" s="224">
        <v>2837.7777777777701</v>
      </c>
    </row>
    <row r="1793" spans="1:9" x14ac:dyDescent="0.25">
      <c r="A1793" s="515">
        <v>45324</v>
      </c>
      <c r="B1793" s="515" t="s">
        <v>340</v>
      </c>
      <c r="C1793" s="52">
        <v>164690.206890751</v>
      </c>
      <c r="D1793" s="56">
        <v>7.0725054083548927E-2</v>
      </c>
      <c r="E1793" s="224">
        <v>1115.0833333333301</v>
      </c>
      <c r="F1793" s="515" t="s">
        <v>3417</v>
      </c>
      <c r="G1793" s="52">
        <v>568802.94642504805</v>
      </c>
      <c r="H1793" s="56">
        <v>0.15219714087534278</v>
      </c>
      <c r="I1793" s="224">
        <v>2016.3679653679601</v>
      </c>
    </row>
    <row r="1794" spans="1:9" x14ac:dyDescent="0.25">
      <c r="A1794" s="515">
        <v>12601</v>
      </c>
      <c r="B1794" s="515" t="s">
        <v>529</v>
      </c>
      <c r="C1794" s="52">
        <v>312248.06821424398</v>
      </c>
      <c r="D1794" s="56">
        <v>8.2022784867675308E-2</v>
      </c>
      <c r="E1794" s="224">
        <v>1818.86243386243</v>
      </c>
      <c r="F1794" s="515" t="s">
        <v>3418</v>
      </c>
      <c r="G1794" s="52">
        <v>334538.952516024</v>
      </c>
      <c r="H1794" s="56">
        <v>5.5853408131242531E-2</v>
      </c>
      <c r="I1794" s="224" t="s">
        <v>2</v>
      </c>
    </row>
    <row r="1795" spans="1:9" x14ac:dyDescent="0.25">
      <c r="A1795" s="515">
        <v>17403</v>
      </c>
      <c r="B1795" s="515" t="s">
        <v>509</v>
      </c>
      <c r="C1795" s="52">
        <v>208880.69962527999</v>
      </c>
      <c r="D1795" s="56">
        <v>0.11841915961651822</v>
      </c>
      <c r="E1795" s="224">
        <v>978</v>
      </c>
      <c r="F1795" s="515" t="s">
        <v>3419</v>
      </c>
      <c r="G1795" s="52">
        <v>307269.06557261402</v>
      </c>
      <c r="H1795" s="56">
        <v>3.1089063417618794E-2</v>
      </c>
      <c r="I1795" s="224">
        <v>1623.25</v>
      </c>
    </row>
    <row r="1796" spans="1:9" x14ac:dyDescent="0.25">
      <c r="A1796" s="515">
        <v>30265</v>
      </c>
      <c r="B1796" s="515" t="s">
        <v>957</v>
      </c>
      <c r="C1796" s="52">
        <v>372590.92048548802</v>
      </c>
      <c r="D1796" s="56">
        <v>0.10015902955966659</v>
      </c>
      <c r="E1796" s="224">
        <v>2342.4555555555498</v>
      </c>
      <c r="F1796" s="515" t="s">
        <v>3420</v>
      </c>
      <c r="G1796" s="52">
        <v>582786.44237464003</v>
      </c>
      <c r="H1796" s="56">
        <v>4.8052131355149685E-2</v>
      </c>
      <c r="I1796" s="224">
        <v>1875</v>
      </c>
    </row>
    <row r="1797" spans="1:9" x14ac:dyDescent="0.25">
      <c r="A1797" s="515">
        <v>76706</v>
      </c>
      <c r="B1797" s="515" t="s">
        <v>1057</v>
      </c>
      <c r="C1797" s="52">
        <v>237615.69362585299</v>
      </c>
      <c r="D1797" s="56">
        <v>0.11047951374303547</v>
      </c>
      <c r="E1797" s="224">
        <v>1511.4761904761899</v>
      </c>
      <c r="F1797" s="515" t="s">
        <v>3421</v>
      </c>
      <c r="G1797" s="52">
        <v>402067.36150351702</v>
      </c>
      <c r="H1797" s="56">
        <v>3.4847285362602266E-2</v>
      </c>
      <c r="I1797" s="224" t="s">
        <v>2</v>
      </c>
    </row>
    <row r="1798" spans="1:9" x14ac:dyDescent="0.25">
      <c r="A1798" s="515">
        <v>27520</v>
      </c>
      <c r="B1798" s="515" t="s">
        <v>484</v>
      </c>
      <c r="C1798" s="52">
        <v>326185.75159460498</v>
      </c>
      <c r="D1798" s="56">
        <v>9.2003935642661974E-2</v>
      </c>
      <c r="E1798" s="224">
        <v>1827.56613756613</v>
      </c>
      <c r="F1798" s="515" t="s">
        <v>3422</v>
      </c>
      <c r="G1798" s="52">
        <v>839122.80035256397</v>
      </c>
      <c r="H1798" s="56">
        <v>0.13592101813813759</v>
      </c>
      <c r="I1798" s="224" t="s">
        <v>2</v>
      </c>
    </row>
    <row r="1799" spans="1:9" x14ac:dyDescent="0.25">
      <c r="A1799" s="515">
        <v>10583</v>
      </c>
      <c r="B1799" s="515" t="s">
        <v>324</v>
      </c>
      <c r="C1799" s="52">
        <v>1218767.7277728</v>
      </c>
      <c r="D1799" s="56">
        <v>5.7325942960265351E-2</v>
      </c>
      <c r="E1799" s="224">
        <v>6125</v>
      </c>
      <c r="F1799" s="515" t="s">
        <v>3423</v>
      </c>
      <c r="G1799" s="52">
        <v>524864.75414573599</v>
      </c>
      <c r="H1799" s="56">
        <v>4.649478666942089E-2</v>
      </c>
      <c r="I1799" s="224">
        <v>2089.5376984126901</v>
      </c>
    </row>
    <row r="1800" spans="1:9" x14ac:dyDescent="0.25">
      <c r="A1800" s="515">
        <v>29687</v>
      </c>
      <c r="B1800" s="515" t="s">
        <v>613</v>
      </c>
      <c r="C1800" s="52">
        <v>273483.52167833998</v>
      </c>
      <c r="D1800" s="56">
        <v>0.13046343495122537</v>
      </c>
      <c r="E1800" s="224">
        <v>1303.6666666666599</v>
      </c>
      <c r="F1800" s="515" t="s">
        <v>3424</v>
      </c>
      <c r="G1800" s="52">
        <v>261015.37306418101</v>
      </c>
      <c r="H1800" s="56">
        <v>3.3470745292586195E-2</v>
      </c>
      <c r="I1800" s="224">
        <v>1075</v>
      </c>
    </row>
    <row r="1801" spans="1:9" x14ac:dyDescent="0.25">
      <c r="A1801" s="515">
        <v>94561</v>
      </c>
      <c r="B1801" s="515" t="s">
        <v>593</v>
      </c>
      <c r="C1801" s="52">
        <v>643312.98839600803</v>
      </c>
      <c r="D1801" s="56">
        <v>-1.9889134761872214E-2</v>
      </c>
      <c r="E1801" s="224">
        <v>3136.0555555555502</v>
      </c>
      <c r="F1801" s="515" t="s">
        <v>3425</v>
      </c>
      <c r="G1801" s="52">
        <v>274479.37958261702</v>
      </c>
      <c r="H1801" s="56">
        <v>7.1521294501356122E-2</v>
      </c>
      <c r="I1801" s="224">
        <v>1526.5</v>
      </c>
    </row>
    <row r="1802" spans="1:9" x14ac:dyDescent="0.25">
      <c r="A1802" s="515">
        <v>21236</v>
      </c>
      <c r="B1802" s="515" t="s">
        <v>582</v>
      </c>
      <c r="C1802" s="52">
        <v>294161.72686338902</v>
      </c>
      <c r="D1802" s="56">
        <v>3.7678609403469017E-2</v>
      </c>
      <c r="E1802" s="224">
        <v>1833.1428571428501</v>
      </c>
      <c r="F1802" s="515" t="s">
        <v>3426</v>
      </c>
      <c r="G1802" s="52">
        <v>107765.94946854901</v>
      </c>
      <c r="H1802" s="56">
        <v>0.19695917957857981</v>
      </c>
      <c r="I1802" s="224" t="s">
        <v>2</v>
      </c>
    </row>
    <row r="1803" spans="1:9" x14ac:dyDescent="0.25">
      <c r="A1803" s="515">
        <v>11217</v>
      </c>
      <c r="B1803" s="515" t="s">
        <v>324</v>
      </c>
      <c r="C1803" s="52">
        <v>1101491.4207906099</v>
      </c>
      <c r="D1803" s="56">
        <v>5.3481719568406719E-4</v>
      </c>
      <c r="E1803" s="224">
        <v>3892.58</v>
      </c>
      <c r="F1803" s="515" t="s">
        <v>1255</v>
      </c>
      <c r="G1803" s="52">
        <v>116075.622647321</v>
      </c>
      <c r="H1803" s="56">
        <v>6.4124303902209495E-2</v>
      </c>
      <c r="I1803" s="224" t="s">
        <v>2</v>
      </c>
    </row>
    <row r="1804" spans="1:9" x14ac:dyDescent="0.25">
      <c r="A1804" s="515">
        <v>72758</v>
      </c>
      <c r="B1804" s="515" t="s">
        <v>675</v>
      </c>
      <c r="C1804" s="52">
        <v>368537.16346004402</v>
      </c>
      <c r="D1804" s="56">
        <v>0.10394654635294309</v>
      </c>
      <c r="E1804" s="224">
        <v>1395.8470418470399</v>
      </c>
      <c r="F1804" s="515" t="s">
        <v>410</v>
      </c>
      <c r="G1804" s="52">
        <v>289915.02833123098</v>
      </c>
      <c r="H1804" s="56">
        <v>9.3337745507978534E-2</v>
      </c>
      <c r="I1804" s="224">
        <v>1507.2317460317399</v>
      </c>
    </row>
    <row r="1805" spans="1:9" x14ac:dyDescent="0.25">
      <c r="A1805" s="515">
        <v>7666</v>
      </c>
      <c r="B1805" s="515" t="s">
        <v>324</v>
      </c>
      <c r="C1805" s="52">
        <v>521790.934451957</v>
      </c>
      <c r="D1805" s="56">
        <v>4.9468412953705986E-2</v>
      </c>
      <c r="E1805" s="224">
        <v>2533.75</v>
      </c>
      <c r="F1805" s="515" t="s">
        <v>3427</v>
      </c>
      <c r="G1805" s="52">
        <v>359004.803606164</v>
      </c>
      <c r="H1805" s="56">
        <v>0.19212416459399531</v>
      </c>
      <c r="I1805" s="224">
        <v>2762.5</v>
      </c>
    </row>
    <row r="1806" spans="1:9" x14ac:dyDescent="0.25">
      <c r="A1806" s="515">
        <v>33418</v>
      </c>
      <c r="B1806" s="515" t="s">
        <v>831</v>
      </c>
      <c r="C1806" s="52">
        <v>675878.83641427895</v>
      </c>
      <c r="D1806" s="56">
        <v>0.14274380847979853</v>
      </c>
      <c r="E1806" s="224">
        <v>2978.8227840843902</v>
      </c>
      <c r="F1806" s="515" t="s">
        <v>3428</v>
      </c>
      <c r="G1806" s="52">
        <v>509966.73435884702</v>
      </c>
      <c r="H1806" s="56">
        <v>1.5850179584377774E-2</v>
      </c>
      <c r="I1806" s="224">
        <v>2072.5</v>
      </c>
    </row>
    <row r="1807" spans="1:9" x14ac:dyDescent="0.25">
      <c r="A1807" s="515">
        <v>92307</v>
      </c>
      <c r="B1807" s="515" t="s">
        <v>599</v>
      </c>
      <c r="C1807" s="52">
        <v>405243.70376727398</v>
      </c>
      <c r="D1807" s="56">
        <v>4.4259938179335427E-2</v>
      </c>
      <c r="E1807" s="224">
        <v>1736.9722222222199</v>
      </c>
      <c r="F1807" s="515" t="s">
        <v>3429</v>
      </c>
      <c r="G1807" s="52">
        <v>336158.63023099798</v>
      </c>
      <c r="H1807" s="56">
        <v>6.877758390078681E-2</v>
      </c>
      <c r="I1807" s="224">
        <v>1519.44444444444</v>
      </c>
    </row>
    <row r="1808" spans="1:9" x14ac:dyDescent="0.25">
      <c r="A1808" s="515">
        <v>95401</v>
      </c>
      <c r="B1808" s="515" t="s">
        <v>331</v>
      </c>
      <c r="C1808" s="52">
        <v>625219.93767462496</v>
      </c>
      <c r="D1808" s="56">
        <v>2.9889969005368229E-2</v>
      </c>
      <c r="E1808" s="224">
        <v>2449.7666666666601</v>
      </c>
      <c r="F1808" s="515" t="s">
        <v>1155</v>
      </c>
      <c r="G1808" s="52">
        <v>201905.933862042</v>
      </c>
      <c r="H1808" s="56">
        <v>3.1205970567559586E-2</v>
      </c>
      <c r="I1808" s="224">
        <v>1058.05555555555</v>
      </c>
    </row>
    <row r="1809" spans="1:9" x14ac:dyDescent="0.25">
      <c r="A1809" s="515">
        <v>97478</v>
      </c>
      <c r="B1809" s="515" t="s">
        <v>801</v>
      </c>
      <c r="C1809" s="52">
        <v>405143.82942503598</v>
      </c>
      <c r="D1809" s="56">
        <v>5.5314690763719768E-2</v>
      </c>
      <c r="E1809" s="224">
        <v>1605</v>
      </c>
      <c r="F1809" s="515" t="s">
        <v>3430</v>
      </c>
      <c r="G1809" s="52">
        <v>326612.248574925</v>
      </c>
      <c r="H1809" s="56">
        <v>6.9513576368771882E-2</v>
      </c>
      <c r="I1809" s="224">
        <v>1801.38888888888</v>
      </c>
    </row>
    <row r="1810" spans="1:9" x14ac:dyDescent="0.25">
      <c r="A1810" s="515">
        <v>97302</v>
      </c>
      <c r="B1810" s="515" t="s">
        <v>416</v>
      </c>
      <c r="C1810" s="52">
        <v>423295.37660038099</v>
      </c>
      <c r="D1810" s="56">
        <v>2.6531980579836006E-2</v>
      </c>
      <c r="E1810" s="224">
        <v>1514.5777777777701</v>
      </c>
      <c r="F1810" s="515" t="s">
        <v>3431</v>
      </c>
      <c r="G1810" s="52">
        <v>680487.09443531802</v>
      </c>
      <c r="H1810" s="56">
        <v>1.5323430927958299E-2</v>
      </c>
      <c r="I1810" s="224">
        <v>2065.7121212121201</v>
      </c>
    </row>
    <row r="1811" spans="1:9" x14ac:dyDescent="0.25">
      <c r="A1811" s="515">
        <v>2130</v>
      </c>
      <c r="B1811" s="515" t="s">
        <v>534</v>
      </c>
      <c r="C1811" s="52">
        <v>683485.04287599202</v>
      </c>
      <c r="D1811" s="56">
        <v>-2.8567225371144535E-3</v>
      </c>
      <c r="E1811" s="224">
        <v>2884.63888888888</v>
      </c>
      <c r="F1811" s="515" t="s">
        <v>3432</v>
      </c>
      <c r="G1811" s="52">
        <v>258295.295164707</v>
      </c>
      <c r="H1811" s="56">
        <v>7.1761154080322367E-2</v>
      </c>
      <c r="I1811" s="224">
        <v>1191.55555555555</v>
      </c>
    </row>
    <row r="1812" spans="1:9" x14ac:dyDescent="0.25">
      <c r="A1812" s="515">
        <v>91763</v>
      </c>
      <c r="B1812" s="515" t="s">
        <v>599</v>
      </c>
      <c r="C1812" s="52">
        <v>589396.23090228997</v>
      </c>
      <c r="D1812" s="56">
        <v>4.3723651715980021E-2</v>
      </c>
      <c r="E1812" s="224">
        <v>2625.1547619047601</v>
      </c>
      <c r="F1812" s="515" t="s">
        <v>662</v>
      </c>
      <c r="G1812" s="52">
        <v>213898.74733333601</v>
      </c>
      <c r="H1812" s="56">
        <v>7.4856924562113222E-2</v>
      </c>
      <c r="I1812" s="224" t="s">
        <v>2</v>
      </c>
    </row>
    <row r="1813" spans="1:9" x14ac:dyDescent="0.25">
      <c r="A1813" s="515">
        <v>70056</v>
      </c>
      <c r="B1813" s="515" t="s">
        <v>777</v>
      </c>
      <c r="C1813" s="52">
        <v>221150.22463988201</v>
      </c>
      <c r="D1813" s="56">
        <v>1.0802178464326469E-2</v>
      </c>
      <c r="E1813" s="224" t="s">
        <v>2</v>
      </c>
      <c r="F1813" s="515" t="s">
        <v>3433</v>
      </c>
      <c r="G1813" s="52">
        <v>200458.24469098201</v>
      </c>
      <c r="H1813" s="56">
        <v>7.4056478467772496E-2</v>
      </c>
      <c r="I1813" s="224" t="s">
        <v>2</v>
      </c>
    </row>
    <row r="1814" spans="1:9" x14ac:dyDescent="0.25">
      <c r="A1814" s="515">
        <v>37660</v>
      </c>
      <c r="B1814" s="515" t="s">
        <v>902</v>
      </c>
      <c r="C1814" s="52">
        <v>180748.36197582999</v>
      </c>
      <c r="D1814" s="56">
        <v>0.10865868503327974</v>
      </c>
      <c r="E1814" s="224">
        <v>1270.4761904761899</v>
      </c>
      <c r="F1814" s="515" t="s">
        <v>3434</v>
      </c>
      <c r="G1814" s="52">
        <v>313731.86481420702</v>
      </c>
      <c r="H1814" s="56">
        <v>9.2753789445033014E-2</v>
      </c>
      <c r="I1814" s="224">
        <v>2075</v>
      </c>
    </row>
    <row r="1815" spans="1:9" x14ac:dyDescent="0.25">
      <c r="A1815" s="515">
        <v>8844</v>
      </c>
      <c r="B1815" s="515" t="s">
        <v>324</v>
      </c>
      <c r="C1815" s="52">
        <v>541442.97608518205</v>
      </c>
      <c r="D1815" s="56">
        <v>6.8257589279848874E-2</v>
      </c>
      <c r="E1815" s="224">
        <v>2050</v>
      </c>
      <c r="F1815" s="515" t="s">
        <v>1237</v>
      </c>
      <c r="G1815" s="52">
        <v>238267.74747957999</v>
      </c>
      <c r="H1815" s="56">
        <v>4.3261272351480834E-2</v>
      </c>
      <c r="I1815" s="224" t="s">
        <v>2</v>
      </c>
    </row>
    <row r="1816" spans="1:9" x14ac:dyDescent="0.25">
      <c r="A1816" s="515">
        <v>92037</v>
      </c>
      <c r="B1816" s="515" t="s">
        <v>396</v>
      </c>
      <c r="C1816" s="52">
        <v>1998431.8070219399</v>
      </c>
      <c r="D1816" s="56">
        <v>5.7550976883156399E-2</v>
      </c>
      <c r="E1816" s="224">
        <v>4270.9386446886401</v>
      </c>
      <c r="F1816" s="515" t="s">
        <v>3435</v>
      </c>
      <c r="G1816" s="52">
        <v>689589.10232226003</v>
      </c>
      <c r="H1816" s="56">
        <v>3.5103285049651343E-2</v>
      </c>
      <c r="I1816" s="224">
        <v>1700</v>
      </c>
    </row>
    <row r="1817" spans="1:9" x14ac:dyDescent="0.25">
      <c r="A1817" s="515">
        <v>27295</v>
      </c>
      <c r="B1817" s="515" t="s">
        <v>735</v>
      </c>
      <c r="C1817" s="52">
        <v>235114.91359584199</v>
      </c>
      <c r="D1817" s="56">
        <v>0.17169159053229346</v>
      </c>
      <c r="E1817" s="224">
        <v>1825</v>
      </c>
      <c r="F1817" s="515" t="s">
        <v>3436</v>
      </c>
      <c r="G1817" s="52">
        <v>267946.84106312098</v>
      </c>
      <c r="H1817" s="56">
        <v>4.3237922745293679E-2</v>
      </c>
      <c r="I1817" s="224">
        <v>928.5</v>
      </c>
    </row>
    <row r="1818" spans="1:9" x14ac:dyDescent="0.25">
      <c r="A1818" s="515">
        <v>20120</v>
      </c>
      <c r="B1818" s="515" t="s">
        <v>321</v>
      </c>
      <c r="C1818" s="52">
        <v>598117.63100777694</v>
      </c>
      <c r="D1818" s="56">
        <v>2.7321707867967417E-2</v>
      </c>
      <c r="E1818" s="224">
        <v>2094.7341269841199</v>
      </c>
      <c r="F1818" s="515" t="s">
        <v>3437</v>
      </c>
      <c r="G1818" s="52">
        <v>322254.852784032</v>
      </c>
      <c r="H1818" s="56">
        <v>3.6045731220770733E-2</v>
      </c>
      <c r="I1818" s="224">
        <v>1426.6207912457901</v>
      </c>
    </row>
    <row r="1819" spans="1:9" x14ac:dyDescent="0.25">
      <c r="A1819" s="515">
        <v>38501</v>
      </c>
      <c r="B1819" s="515" t="s">
        <v>833</v>
      </c>
      <c r="C1819" s="52">
        <v>261779.62427125601</v>
      </c>
      <c r="D1819" s="56">
        <v>0.10248687092325939</v>
      </c>
      <c r="E1819" s="224">
        <v>1158.88888888888</v>
      </c>
      <c r="F1819" s="515" t="s">
        <v>3438</v>
      </c>
      <c r="G1819" s="52">
        <v>480641.72526247398</v>
      </c>
      <c r="H1819" s="56">
        <v>7.9049556188133294E-2</v>
      </c>
      <c r="I1819" s="224">
        <v>1916.4629629629601</v>
      </c>
    </row>
    <row r="1820" spans="1:9" x14ac:dyDescent="0.25">
      <c r="A1820" s="515">
        <v>33624</v>
      </c>
      <c r="B1820" s="515" t="s">
        <v>461</v>
      </c>
      <c r="C1820" s="52">
        <v>384293.61228458502</v>
      </c>
      <c r="D1820" s="56">
        <v>0.1048469869326745</v>
      </c>
      <c r="E1820" s="224">
        <v>1997.68386243386</v>
      </c>
      <c r="F1820" s="515" t="s">
        <v>3439</v>
      </c>
      <c r="G1820" s="52">
        <v>206395.99005363</v>
      </c>
      <c r="H1820" s="56">
        <v>0.15880625053750974</v>
      </c>
      <c r="I1820" s="224">
        <v>1331.38888888888</v>
      </c>
    </row>
    <row r="1821" spans="1:9" x14ac:dyDescent="0.25">
      <c r="A1821" s="515">
        <v>7011</v>
      </c>
      <c r="B1821" s="515" t="s">
        <v>324</v>
      </c>
      <c r="C1821" s="52">
        <v>449916.30629900302</v>
      </c>
      <c r="D1821" s="56">
        <v>2.3824985532489434E-2</v>
      </c>
      <c r="E1821" s="224" t="s">
        <v>2</v>
      </c>
      <c r="F1821" s="515" t="s">
        <v>3440</v>
      </c>
      <c r="G1821" s="52">
        <v>646046.46152284695</v>
      </c>
      <c r="H1821" s="56">
        <v>9.2936318160867101E-2</v>
      </c>
      <c r="I1821" s="224">
        <v>2524.0333333333301</v>
      </c>
    </row>
    <row r="1822" spans="1:9" x14ac:dyDescent="0.25">
      <c r="A1822" s="515">
        <v>27105</v>
      </c>
      <c r="B1822" s="515" t="s">
        <v>735</v>
      </c>
      <c r="C1822" s="52">
        <v>132596.56226782699</v>
      </c>
      <c r="D1822" s="56">
        <v>0.1906632032008917</v>
      </c>
      <c r="E1822" s="224">
        <v>1372</v>
      </c>
      <c r="F1822" s="515" t="s">
        <v>3441</v>
      </c>
      <c r="G1822" s="52">
        <v>143290.20142405899</v>
      </c>
      <c r="H1822" s="56">
        <v>5.9812058612096985E-2</v>
      </c>
      <c r="I1822" s="224">
        <v>1312.4821428571399</v>
      </c>
    </row>
    <row r="1823" spans="1:9" x14ac:dyDescent="0.25">
      <c r="A1823" s="515">
        <v>54915</v>
      </c>
      <c r="B1823" s="515" t="s">
        <v>821</v>
      </c>
      <c r="C1823" s="52">
        <v>275973.83907667198</v>
      </c>
      <c r="D1823" s="56">
        <v>7.7520746607788252E-2</v>
      </c>
      <c r="E1823" s="224">
        <v>1137.5</v>
      </c>
      <c r="F1823" s="515" t="s">
        <v>1264</v>
      </c>
      <c r="G1823" s="52">
        <v>118415.907123902</v>
      </c>
      <c r="H1823" s="56">
        <v>3.07592720718005E-2</v>
      </c>
      <c r="I1823" s="224">
        <v>686.66666666666595</v>
      </c>
    </row>
    <row r="1824" spans="1:9" x14ac:dyDescent="0.25">
      <c r="A1824" s="515">
        <v>37920</v>
      </c>
      <c r="B1824" s="515" t="s">
        <v>907</v>
      </c>
      <c r="C1824" s="52">
        <v>259078.20130710601</v>
      </c>
      <c r="D1824" s="56">
        <v>0.16394725738840205</v>
      </c>
      <c r="E1824" s="224">
        <v>1727.0888888888801</v>
      </c>
      <c r="F1824" s="515" t="s">
        <v>3442</v>
      </c>
      <c r="G1824" s="52">
        <v>336373.20357112499</v>
      </c>
      <c r="H1824" s="56">
        <v>5.8417440028324587E-2</v>
      </c>
      <c r="I1824" s="224" t="s">
        <v>2</v>
      </c>
    </row>
    <row r="1825" spans="1:9" x14ac:dyDescent="0.25">
      <c r="A1825" s="515">
        <v>90804</v>
      </c>
      <c r="B1825" s="515" t="s">
        <v>375</v>
      </c>
      <c r="C1825" s="52">
        <v>627199.44313736004</v>
      </c>
      <c r="D1825" s="56">
        <v>2.1074654800861312E-3</v>
      </c>
      <c r="E1825" s="224">
        <v>2156.7880116959</v>
      </c>
      <c r="F1825" s="515" t="s">
        <v>3443</v>
      </c>
      <c r="G1825" s="52">
        <v>525697.58978418005</v>
      </c>
      <c r="H1825" s="56">
        <v>1.7395050614156592E-2</v>
      </c>
      <c r="I1825" s="224">
        <v>3200</v>
      </c>
    </row>
    <row r="1826" spans="1:9" x14ac:dyDescent="0.25">
      <c r="A1826" s="515">
        <v>46037</v>
      </c>
      <c r="B1826" s="515" t="s">
        <v>403</v>
      </c>
      <c r="C1826" s="52">
        <v>420973.497681215</v>
      </c>
      <c r="D1826" s="56">
        <v>4.4800703520369398E-2</v>
      </c>
      <c r="E1826" s="224">
        <v>1782.8999999999901</v>
      </c>
      <c r="F1826" s="515" t="s">
        <v>3444</v>
      </c>
      <c r="G1826" s="52">
        <v>217129.640175899</v>
      </c>
      <c r="H1826" s="56">
        <v>3.1634356620010837E-2</v>
      </c>
      <c r="I1826" s="224">
        <v>1235.1111111111099</v>
      </c>
    </row>
    <row r="1827" spans="1:9" x14ac:dyDescent="0.25">
      <c r="A1827" s="515">
        <v>76108</v>
      </c>
      <c r="B1827" s="515" t="s">
        <v>458</v>
      </c>
      <c r="C1827" s="52">
        <v>285399.07101002103</v>
      </c>
      <c r="D1827" s="56">
        <v>9.6686496610388084E-2</v>
      </c>
      <c r="E1827" s="224">
        <v>1663.1507936507901</v>
      </c>
      <c r="F1827" s="515" t="s">
        <v>3445</v>
      </c>
      <c r="G1827" s="52">
        <v>266437.82868867001</v>
      </c>
      <c r="H1827" s="56">
        <v>6.8759937668146767E-2</v>
      </c>
      <c r="I1827" s="224" t="s">
        <v>2</v>
      </c>
    </row>
    <row r="1828" spans="1:9" x14ac:dyDescent="0.25">
      <c r="A1828" s="515">
        <v>33604</v>
      </c>
      <c r="B1828" s="515" t="s">
        <v>461</v>
      </c>
      <c r="C1828" s="52">
        <v>302408.62891060102</v>
      </c>
      <c r="D1828" s="56">
        <v>0.14126572453177277</v>
      </c>
      <c r="E1828" s="224">
        <v>1844.18518518518</v>
      </c>
      <c r="F1828" s="515" t="s">
        <v>3446</v>
      </c>
      <c r="G1828" s="52">
        <v>409738.48916891002</v>
      </c>
      <c r="H1828" s="56">
        <v>7.090407522146018E-2</v>
      </c>
      <c r="I1828" s="224" t="s">
        <v>2</v>
      </c>
    </row>
    <row r="1829" spans="1:9" x14ac:dyDescent="0.25">
      <c r="A1829" s="515">
        <v>60610</v>
      </c>
      <c r="B1829" s="515" t="s">
        <v>394</v>
      </c>
      <c r="C1829" s="52">
        <v>319198.01586149802</v>
      </c>
      <c r="D1829" s="56">
        <v>-7.2762285366679447E-2</v>
      </c>
      <c r="E1829" s="224">
        <v>2334.0659674722601</v>
      </c>
      <c r="F1829" s="515" t="s">
        <v>530</v>
      </c>
      <c r="G1829" s="52">
        <v>104015.839243825</v>
      </c>
      <c r="H1829" s="56">
        <v>0.12503713939365826</v>
      </c>
      <c r="I1829" s="224">
        <v>954.5</v>
      </c>
    </row>
    <row r="1830" spans="1:9" x14ac:dyDescent="0.25">
      <c r="A1830" s="515">
        <v>55407</v>
      </c>
      <c r="B1830" s="515" t="s">
        <v>532</v>
      </c>
      <c r="C1830" s="52">
        <v>287559.25348975701</v>
      </c>
      <c r="D1830" s="56">
        <v>1.5473234887003855E-2</v>
      </c>
      <c r="E1830" s="224">
        <v>1450.7</v>
      </c>
      <c r="F1830" s="515" t="s">
        <v>3447</v>
      </c>
      <c r="G1830" s="52">
        <v>703568.00504044897</v>
      </c>
      <c r="H1830" s="56">
        <v>5.4921730732950549E-2</v>
      </c>
      <c r="I1830" s="224" t="s">
        <v>2</v>
      </c>
    </row>
    <row r="1831" spans="1:9" x14ac:dyDescent="0.25">
      <c r="A1831" s="515">
        <v>77502</v>
      </c>
      <c r="B1831" s="515" t="s">
        <v>314</v>
      </c>
      <c r="C1831" s="52">
        <v>202916.15388956</v>
      </c>
      <c r="D1831" s="56">
        <v>8.9647514615066676E-2</v>
      </c>
      <c r="E1831" s="224">
        <v>1560</v>
      </c>
      <c r="F1831" s="515" t="s">
        <v>3448</v>
      </c>
      <c r="G1831" s="52">
        <v>584962.82045044901</v>
      </c>
      <c r="H1831" s="56">
        <v>5.4952328688267528E-2</v>
      </c>
      <c r="I1831" s="224">
        <v>2300</v>
      </c>
    </row>
    <row r="1832" spans="1:9" x14ac:dyDescent="0.25">
      <c r="A1832" s="515">
        <v>21093</v>
      </c>
      <c r="B1832" s="515" t="s">
        <v>582</v>
      </c>
      <c r="C1832" s="52">
        <v>441308.80127122899</v>
      </c>
      <c r="D1832" s="56">
        <v>3.0469985350119157E-2</v>
      </c>
      <c r="E1832" s="224">
        <v>2053.125</v>
      </c>
      <c r="F1832" s="515" t="s">
        <v>792</v>
      </c>
      <c r="G1832" s="52">
        <v>233772.873018896</v>
      </c>
      <c r="H1832" s="56">
        <v>0.12501108668470554</v>
      </c>
      <c r="I1832" s="224">
        <v>1207.5</v>
      </c>
    </row>
    <row r="1833" spans="1:9" x14ac:dyDescent="0.25">
      <c r="A1833" s="515">
        <v>14701</v>
      </c>
      <c r="B1833" s="515" t="s">
        <v>560</v>
      </c>
      <c r="C1833" s="52">
        <v>105674.516882831</v>
      </c>
      <c r="D1833" s="56">
        <v>0.12344219923336372</v>
      </c>
      <c r="E1833" s="224">
        <v>691.66666666666595</v>
      </c>
      <c r="F1833" s="515" t="s">
        <v>3449</v>
      </c>
      <c r="G1833" s="52">
        <v>981282.23320627899</v>
      </c>
      <c r="H1833" s="56">
        <v>0.16197307593073271</v>
      </c>
      <c r="I1833" s="224">
        <v>5328.5714285714203</v>
      </c>
    </row>
    <row r="1834" spans="1:9" x14ac:dyDescent="0.25">
      <c r="A1834" s="515">
        <v>30813</v>
      </c>
      <c r="B1834" s="515" t="s">
        <v>888</v>
      </c>
      <c r="C1834" s="52">
        <v>279239.466547994</v>
      </c>
      <c r="D1834" s="56">
        <v>9.5295346994352853E-2</v>
      </c>
      <c r="E1834" s="224">
        <v>1573.90151515151</v>
      </c>
      <c r="F1834" s="515" t="s">
        <v>357</v>
      </c>
      <c r="G1834" s="52">
        <v>191650.703241671</v>
      </c>
      <c r="H1834" s="56">
        <v>8.0826476399494279E-2</v>
      </c>
      <c r="I1834" s="224" t="s">
        <v>2</v>
      </c>
    </row>
    <row r="1835" spans="1:9" x14ac:dyDescent="0.25">
      <c r="A1835" s="515">
        <v>77642</v>
      </c>
      <c r="B1835" s="515" t="s">
        <v>492</v>
      </c>
      <c r="C1835" s="52">
        <v>90522.796084128204</v>
      </c>
      <c r="D1835" s="56">
        <v>3.5083896066825979E-2</v>
      </c>
      <c r="E1835" s="224">
        <v>958.66666666666595</v>
      </c>
      <c r="F1835" s="515" t="s">
        <v>3450</v>
      </c>
      <c r="G1835" s="52">
        <v>653648.453805172</v>
      </c>
      <c r="H1835" s="56">
        <v>4.8140209828972304E-2</v>
      </c>
      <c r="I1835" s="224" t="s">
        <v>2</v>
      </c>
    </row>
    <row r="1836" spans="1:9" x14ac:dyDescent="0.25">
      <c r="A1836" s="515">
        <v>85226</v>
      </c>
      <c r="B1836" s="515" t="s">
        <v>563</v>
      </c>
      <c r="C1836" s="52">
        <v>472092.37284396897</v>
      </c>
      <c r="D1836" s="56">
        <v>2.0362537394997129E-2</v>
      </c>
      <c r="E1836" s="224">
        <v>1933.1221832358599</v>
      </c>
      <c r="F1836" s="515" t="s">
        <v>3451</v>
      </c>
      <c r="G1836" s="52">
        <v>93587.639376770094</v>
      </c>
      <c r="H1836" s="56">
        <v>0.12842755586482754</v>
      </c>
      <c r="I1836" s="224" t="s">
        <v>2</v>
      </c>
    </row>
    <row r="1837" spans="1:9" x14ac:dyDescent="0.25">
      <c r="A1837" s="515">
        <v>29803</v>
      </c>
      <c r="B1837" s="515" t="s">
        <v>888</v>
      </c>
      <c r="C1837" s="52">
        <v>268047.50582633202</v>
      </c>
      <c r="D1837" s="56">
        <v>9.3270856717705367E-2</v>
      </c>
      <c r="E1837" s="224">
        <v>1347.25</v>
      </c>
      <c r="F1837" s="515" t="s">
        <v>3452</v>
      </c>
      <c r="G1837" s="52">
        <v>261307.963002153</v>
      </c>
      <c r="H1837" s="56">
        <v>7.1073192467063354E-2</v>
      </c>
      <c r="I1837" s="224">
        <v>1514.3444444444399</v>
      </c>
    </row>
    <row r="1838" spans="1:9" x14ac:dyDescent="0.25">
      <c r="A1838" s="515">
        <v>11357</v>
      </c>
      <c r="B1838" s="515" t="s">
        <v>324</v>
      </c>
      <c r="C1838" s="52">
        <v>751339.25224424398</v>
      </c>
      <c r="D1838" s="56">
        <v>-2.4251469124714566E-2</v>
      </c>
      <c r="E1838" s="224">
        <v>2700</v>
      </c>
      <c r="F1838" s="515" t="s">
        <v>440</v>
      </c>
      <c r="G1838" s="52">
        <v>262261.83459583402</v>
      </c>
      <c r="H1838" s="56">
        <v>0.11080118062390094</v>
      </c>
      <c r="I1838" s="224">
        <v>1550</v>
      </c>
    </row>
    <row r="1839" spans="1:9" x14ac:dyDescent="0.25">
      <c r="A1839" s="515">
        <v>80916</v>
      </c>
      <c r="B1839" s="515" t="s">
        <v>701</v>
      </c>
      <c r="C1839" s="52">
        <v>345865.79983975599</v>
      </c>
      <c r="D1839" s="56">
        <v>3.2891633034106339E-2</v>
      </c>
      <c r="E1839" s="224">
        <v>1681.9486531986499</v>
      </c>
      <c r="F1839" s="515" t="s">
        <v>3453</v>
      </c>
      <c r="G1839" s="52">
        <v>727072.57300988701</v>
      </c>
      <c r="H1839" s="56">
        <v>3.7144169574650186E-2</v>
      </c>
      <c r="I1839" s="224">
        <v>2744.5666666666598</v>
      </c>
    </row>
    <row r="1840" spans="1:9" x14ac:dyDescent="0.25">
      <c r="A1840" s="515">
        <v>10705</v>
      </c>
      <c r="B1840" s="515" t="s">
        <v>324</v>
      </c>
      <c r="C1840" s="52">
        <v>594407.75545941596</v>
      </c>
      <c r="D1840" s="56">
        <v>4.9206661476599751E-2</v>
      </c>
      <c r="E1840" s="224">
        <v>1876.3333333333301</v>
      </c>
      <c r="F1840" s="515" t="s">
        <v>3454</v>
      </c>
      <c r="G1840" s="52">
        <v>243740.64126661699</v>
      </c>
      <c r="H1840" s="56">
        <v>8.3739776505692698E-2</v>
      </c>
      <c r="I1840" s="224">
        <v>1688.05555555555</v>
      </c>
    </row>
    <row r="1841" spans="1:9" x14ac:dyDescent="0.25">
      <c r="A1841" s="515">
        <v>14215</v>
      </c>
      <c r="B1841" s="515" t="s">
        <v>336</v>
      </c>
      <c r="C1841" s="52">
        <v>110959.877481376</v>
      </c>
      <c r="D1841" s="56">
        <v>8.5281581721010122E-2</v>
      </c>
      <c r="E1841" s="224">
        <v>1215.7666666666601</v>
      </c>
      <c r="F1841" s="515" t="s">
        <v>1233</v>
      </c>
      <c r="G1841" s="52">
        <v>163346.29942327199</v>
      </c>
      <c r="H1841" s="56">
        <v>6.874541197790271E-2</v>
      </c>
      <c r="I1841" s="224" t="s">
        <v>2</v>
      </c>
    </row>
    <row r="1842" spans="1:9" x14ac:dyDescent="0.25">
      <c r="A1842" s="515">
        <v>1915</v>
      </c>
      <c r="B1842" s="515" t="s">
        <v>534</v>
      </c>
      <c r="C1842" s="52">
        <v>616696.296980154</v>
      </c>
      <c r="D1842" s="56">
        <v>5.1583661144120378E-2</v>
      </c>
      <c r="E1842" s="224">
        <v>2394.6666666666601</v>
      </c>
      <c r="F1842" s="515" t="s">
        <v>3455</v>
      </c>
      <c r="G1842" s="52">
        <v>470075.98981094197</v>
      </c>
      <c r="H1842" s="56">
        <v>7.702808086904632E-2</v>
      </c>
      <c r="I1842" s="224">
        <v>1707.46675246675</v>
      </c>
    </row>
    <row r="1843" spans="1:9" x14ac:dyDescent="0.25">
      <c r="A1843" s="515">
        <v>27909</v>
      </c>
      <c r="B1843" s="515" t="s">
        <v>1017</v>
      </c>
      <c r="C1843" s="52">
        <v>213997.50652826601</v>
      </c>
      <c r="D1843" s="56">
        <v>0.14859201191008164</v>
      </c>
      <c r="E1843" s="224">
        <v>1368.48888888888</v>
      </c>
      <c r="F1843" s="515" t="s">
        <v>3456</v>
      </c>
      <c r="G1843" s="52">
        <v>234226.39457347</v>
      </c>
      <c r="H1843" s="56">
        <v>6.9594680774263895E-2</v>
      </c>
      <c r="I1843" s="224">
        <v>1198.3333333333301</v>
      </c>
    </row>
    <row r="1844" spans="1:9" x14ac:dyDescent="0.25">
      <c r="A1844" s="515">
        <v>1702</v>
      </c>
      <c r="B1844" s="515" t="s">
        <v>534</v>
      </c>
      <c r="C1844" s="52">
        <v>459715.26622103702</v>
      </c>
      <c r="D1844" s="56">
        <v>5.4095003044337238E-2</v>
      </c>
      <c r="E1844" s="224">
        <v>2323.9089743589702</v>
      </c>
      <c r="F1844" s="515" t="s">
        <v>3457</v>
      </c>
      <c r="G1844" s="52">
        <v>238605.637266062</v>
      </c>
      <c r="H1844" s="56">
        <v>7.9972318196166958E-2</v>
      </c>
      <c r="I1844" s="224">
        <v>1753.75</v>
      </c>
    </row>
    <row r="1845" spans="1:9" x14ac:dyDescent="0.25">
      <c r="A1845" s="515">
        <v>44109</v>
      </c>
      <c r="B1845" s="515" t="s">
        <v>520</v>
      </c>
      <c r="C1845" s="52">
        <v>119328.280711757</v>
      </c>
      <c r="D1845" s="56">
        <v>9.5630133436391332E-2</v>
      </c>
      <c r="E1845" s="224">
        <v>935.57936507936495</v>
      </c>
      <c r="F1845" s="515" t="s">
        <v>798</v>
      </c>
      <c r="G1845" s="52">
        <v>157724.87914042</v>
      </c>
      <c r="H1845" s="56">
        <v>9.9531683941470259E-2</v>
      </c>
      <c r="I1845" s="224" t="s">
        <v>2</v>
      </c>
    </row>
    <row r="1846" spans="1:9" x14ac:dyDescent="0.25">
      <c r="A1846" s="515">
        <v>11704</v>
      </c>
      <c r="B1846" s="515" t="s">
        <v>324</v>
      </c>
      <c r="C1846" s="52">
        <v>512393.51857988402</v>
      </c>
      <c r="D1846" s="56">
        <v>4.1715198110431846E-2</v>
      </c>
      <c r="E1846" s="224" t="s">
        <v>2</v>
      </c>
      <c r="F1846" s="515" t="s">
        <v>3458</v>
      </c>
      <c r="G1846" s="52">
        <v>392265.51866652502</v>
      </c>
      <c r="H1846" s="56">
        <v>7.4100611622439205E-3</v>
      </c>
      <c r="I1846" s="224">
        <v>1989.3571428571399</v>
      </c>
    </row>
    <row r="1847" spans="1:9" x14ac:dyDescent="0.25">
      <c r="A1847" s="515">
        <v>45342</v>
      </c>
      <c r="B1847" s="515" t="s">
        <v>340</v>
      </c>
      <c r="C1847" s="52">
        <v>216108.03765742399</v>
      </c>
      <c r="D1847" s="56">
        <v>7.0316022194513036E-2</v>
      </c>
      <c r="E1847" s="224">
        <v>1293.30793650793</v>
      </c>
      <c r="F1847" s="515" t="s">
        <v>3459</v>
      </c>
      <c r="G1847" s="52">
        <v>172758.32067972401</v>
      </c>
      <c r="H1847" s="56">
        <v>7.9191659689191091E-2</v>
      </c>
      <c r="I1847" s="224">
        <v>1343.325</v>
      </c>
    </row>
    <row r="1848" spans="1:9" x14ac:dyDescent="0.25">
      <c r="A1848" s="515">
        <v>33071</v>
      </c>
      <c r="B1848" s="515" t="s">
        <v>831</v>
      </c>
      <c r="C1848" s="52">
        <v>552544.98620322603</v>
      </c>
      <c r="D1848" s="56">
        <v>0.11341333051158588</v>
      </c>
      <c r="E1848" s="224">
        <v>2353.18787878787</v>
      </c>
      <c r="F1848" s="515" t="s">
        <v>3460</v>
      </c>
      <c r="G1848" s="52">
        <v>3399188.6180634601</v>
      </c>
      <c r="H1848" s="56">
        <v>4.980785114244303E-2</v>
      </c>
      <c r="I1848" s="224">
        <v>5443.8888888888896</v>
      </c>
    </row>
    <row r="1849" spans="1:9" x14ac:dyDescent="0.25">
      <c r="A1849" s="515">
        <v>29210</v>
      </c>
      <c r="B1849" s="515" t="s">
        <v>762</v>
      </c>
      <c r="C1849" s="52">
        <v>175286.28129735001</v>
      </c>
      <c r="D1849" s="56">
        <v>0.15119457503226899</v>
      </c>
      <c r="E1849" s="224">
        <v>1037.6875</v>
      </c>
      <c r="F1849" s="515" t="s">
        <v>3461</v>
      </c>
      <c r="G1849" s="52">
        <v>393105.02069168398</v>
      </c>
      <c r="H1849" s="56">
        <v>9.8029240083279873E-2</v>
      </c>
      <c r="I1849" s="224">
        <v>1977.2986111111099</v>
      </c>
    </row>
    <row r="1850" spans="1:9" x14ac:dyDescent="0.25">
      <c r="A1850" s="515">
        <v>8857</v>
      </c>
      <c r="B1850" s="515" t="s">
        <v>324</v>
      </c>
      <c r="C1850" s="52">
        <v>490091.80411309202</v>
      </c>
      <c r="D1850" s="56">
        <v>6.5265770745927404E-2</v>
      </c>
      <c r="E1850" s="224">
        <v>2706.25</v>
      </c>
      <c r="F1850" s="515" t="s">
        <v>3462</v>
      </c>
      <c r="G1850" s="52">
        <v>262817.91560155601</v>
      </c>
      <c r="H1850" s="56">
        <v>8.2568226895176483E-2</v>
      </c>
      <c r="I1850" s="224">
        <v>1593.3333333333301</v>
      </c>
    </row>
    <row r="1851" spans="1:9" x14ac:dyDescent="0.25">
      <c r="A1851" s="515">
        <v>48170</v>
      </c>
      <c r="B1851" s="515" t="s">
        <v>685</v>
      </c>
      <c r="C1851" s="52">
        <v>397075.69987035898</v>
      </c>
      <c r="D1851" s="56">
        <v>6.2029655179091307E-2</v>
      </c>
      <c r="E1851" s="224">
        <v>1444.6666666666599</v>
      </c>
      <c r="F1851" s="515" t="s">
        <v>3463</v>
      </c>
      <c r="G1851" s="52">
        <v>332946.06114310998</v>
      </c>
      <c r="H1851" s="56">
        <v>0.10586722936380924</v>
      </c>
      <c r="I1851" s="224">
        <v>1594.75</v>
      </c>
    </row>
    <row r="1852" spans="1:9" x14ac:dyDescent="0.25">
      <c r="A1852" s="515">
        <v>20748</v>
      </c>
      <c r="B1852" s="515" t="s">
        <v>321</v>
      </c>
      <c r="C1852" s="52">
        <v>339077.158505178</v>
      </c>
      <c r="D1852" s="56">
        <v>1.9713548495543388E-2</v>
      </c>
      <c r="E1852" s="224">
        <v>1437.23809523809</v>
      </c>
      <c r="F1852" s="515" t="s">
        <v>3464</v>
      </c>
      <c r="G1852" s="52">
        <v>326502.23029474198</v>
      </c>
      <c r="H1852" s="56">
        <v>5.3675270639652967E-2</v>
      </c>
      <c r="I1852" s="224">
        <v>1586.8619047619</v>
      </c>
    </row>
    <row r="1853" spans="1:9" x14ac:dyDescent="0.25">
      <c r="A1853" s="515">
        <v>90278</v>
      </c>
      <c r="B1853" s="515" t="s">
        <v>375</v>
      </c>
      <c r="C1853" s="52">
        <v>1290704.0425255499</v>
      </c>
      <c r="D1853" s="56">
        <v>3.5688867901873672E-2</v>
      </c>
      <c r="E1853" s="224">
        <v>3250.5793650793598</v>
      </c>
      <c r="F1853" s="515" t="s">
        <v>3465</v>
      </c>
      <c r="G1853" s="52">
        <v>381943.09686609602</v>
      </c>
      <c r="H1853" s="56">
        <v>0</v>
      </c>
      <c r="I1853" s="224" t="s">
        <v>2</v>
      </c>
    </row>
    <row r="1854" spans="1:9" x14ac:dyDescent="0.25">
      <c r="A1854" s="515">
        <v>34655</v>
      </c>
      <c r="B1854" s="515" t="s">
        <v>461</v>
      </c>
      <c r="C1854" s="52">
        <v>405028.66900235001</v>
      </c>
      <c r="D1854" s="56">
        <v>8.464653108140488E-2</v>
      </c>
      <c r="E1854" s="224">
        <v>2229.8365384615299</v>
      </c>
      <c r="F1854" s="515" t="s">
        <v>3466</v>
      </c>
      <c r="G1854" s="52">
        <v>511129.07007355499</v>
      </c>
      <c r="H1854" s="56">
        <v>0.10013704713686239</v>
      </c>
      <c r="I1854" s="224">
        <v>2298.88888888888</v>
      </c>
    </row>
    <row r="1855" spans="1:9" x14ac:dyDescent="0.25">
      <c r="A1855" s="515">
        <v>90810</v>
      </c>
      <c r="B1855" s="515" t="s">
        <v>375</v>
      </c>
      <c r="C1855" s="52">
        <v>626816.38765922305</v>
      </c>
      <c r="D1855" s="56">
        <v>6.4493128755834184E-2</v>
      </c>
      <c r="E1855" s="224" t="s">
        <v>2</v>
      </c>
      <c r="F1855" s="515" t="s">
        <v>3467</v>
      </c>
      <c r="G1855" s="52">
        <v>137537.40595923801</v>
      </c>
      <c r="H1855" s="56">
        <v>0.15841378796541675</v>
      </c>
      <c r="I1855" s="224" t="s">
        <v>2</v>
      </c>
    </row>
    <row r="1856" spans="1:9" x14ac:dyDescent="0.25">
      <c r="A1856" s="515">
        <v>22801</v>
      </c>
      <c r="B1856" s="515" t="s">
        <v>1026</v>
      </c>
      <c r="C1856" s="52">
        <v>328848.89184520498</v>
      </c>
      <c r="D1856" s="56">
        <v>5.4066541173510334E-2</v>
      </c>
      <c r="E1856" s="224">
        <v>1536.94444444444</v>
      </c>
      <c r="F1856" s="515" t="s">
        <v>3468</v>
      </c>
      <c r="G1856" s="52">
        <v>270947.63255361101</v>
      </c>
      <c r="H1856" s="56">
        <v>8.8814571462502975E-2</v>
      </c>
      <c r="I1856" s="224" t="s">
        <v>2</v>
      </c>
    </row>
    <row r="1857" spans="1:9" x14ac:dyDescent="0.25">
      <c r="A1857" s="515">
        <v>95120</v>
      </c>
      <c r="B1857" s="515" t="s">
        <v>850</v>
      </c>
      <c r="C1857" s="52">
        <v>1938336.9568692199</v>
      </c>
      <c r="D1857" s="56">
        <v>3.1559980761341269E-2</v>
      </c>
      <c r="E1857" s="224">
        <v>4453.3333333333303</v>
      </c>
      <c r="F1857" s="515" t="s">
        <v>3469</v>
      </c>
      <c r="G1857" s="52">
        <v>428924.90284046601</v>
      </c>
      <c r="H1857" s="56">
        <v>0.10465410940938148</v>
      </c>
      <c r="I1857" s="224">
        <v>1992.3611111111099</v>
      </c>
    </row>
    <row r="1858" spans="1:9" x14ac:dyDescent="0.25">
      <c r="A1858" s="515">
        <v>11743</v>
      </c>
      <c r="B1858" s="515" t="s">
        <v>324</v>
      </c>
      <c r="C1858" s="52">
        <v>759573.10249401501</v>
      </c>
      <c r="D1858" s="56">
        <v>4.7697291566345189E-2</v>
      </c>
      <c r="E1858" s="224">
        <v>2675</v>
      </c>
      <c r="F1858" s="515" t="s">
        <v>3470</v>
      </c>
      <c r="G1858" s="52">
        <v>329172.51726619201</v>
      </c>
      <c r="H1858" s="56">
        <v>2.6425031573277458E-2</v>
      </c>
      <c r="I1858" s="224" t="s">
        <v>2</v>
      </c>
    </row>
    <row r="1859" spans="1:9" x14ac:dyDescent="0.25">
      <c r="A1859" s="515">
        <v>48047</v>
      </c>
      <c r="B1859" s="515" t="s">
        <v>685</v>
      </c>
      <c r="C1859" s="52">
        <v>294321.09931104799</v>
      </c>
      <c r="D1859" s="56">
        <v>5.3543446219911688E-2</v>
      </c>
      <c r="E1859" s="224" t="s">
        <v>2</v>
      </c>
      <c r="F1859" s="515" t="s">
        <v>3471</v>
      </c>
      <c r="G1859" s="52">
        <v>510919.31097117701</v>
      </c>
      <c r="H1859" s="56">
        <v>1.3754338397478028E-2</v>
      </c>
      <c r="I1859" s="224">
        <v>2295</v>
      </c>
    </row>
    <row r="1860" spans="1:9" x14ac:dyDescent="0.25">
      <c r="A1860" s="515">
        <v>90808</v>
      </c>
      <c r="B1860" s="515" t="s">
        <v>375</v>
      </c>
      <c r="C1860" s="52">
        <v>903858.19832965301</v>
      </c>
      <c r="D1860" s="56">
        <v>3.6651350889324585E-2</v>
      </c>
      <c r="E1860" s="224">
        <v>2994.4444444444398</v>
      </c>
      <c r="F1860" s="515" t="s">
        <v>3472</v>
      </c>
      <c r="G1860" s="52">
        <v>669999.10772006901</v>
      </c>
      <c r="H1860" s="56">
        <v>3.6041181942503456E-2</v>
      </c>
      <c r="I1860" s="224">
        <v>1787.05555555555</v>
      </c>
    </row>
    <row r="1861" spans="1:9" x14ac:dyDescent="0.25">
      <c r="A1861" s="515">
        <v>60462</v>
      </c>
      <c r="B1861" s="515" t="s">
        <v>394</v>
      </c>
      <c r="C1861" s="52">
        <v>313046.41308672703</v>
      </c>
      <c r="D1861" s="56">
        <v>3.683380085124853E-2</v>
      </c>
      <c r="E1861" s="224">
        <v>2500</v>
      </c>
      <c r="F1861" s="515" t="s">
        <v>3473</v>
      </c>
      <c r="G1861" s="52">
        <v>400242.676888955</v>
      </c>
      <c r="H1861" s="56">
        <v>9.0895245894447751E-2</v>
      </c>
      <c r="I1861" s="224" t="s">
        <v>2</v>
      </c>
    </row>
    <row r="1862" spans="1:9" x14ac:dyDescent="0.25">
      <c r="A1862" s="515">
        <v>32935</v>
      </c>
      <c r="B1862" s="515" t="s">
        <v>1133</v>
      </c>
      <c r="C1862" s="52">
        <v>273569.79911991197</v>
      </c>
      <c r="D1862" s="56">
        <v>0.12880914732570942</v>
      </c>
      <c r="E1862" s="224">
        <v>1694.41245791245</v>
      </c>
      <c r="F1862" s="515" t="s">
        <v>3474</v>
      </c>
      <c r="G1862" s="52">
        <v>290824.42298334697</v>
      </c>
      <c r="H1862" s="56">
        <v>9.4927697360361232E-2</v>
      </c>
      <c r="I1862" s="224">
        <v>1307.5</v>
      </c>
    </row>
    <row r="1863" spans="1:9" x14ac:dyDescent="0.25">
      <c r="A1863" s="515">
        <v>70570</v>
      </c>
      <c r="B1863" s="515" t="s">
        <v>1162</v>
      </c>
      <c r="C1863" s="52">
        <v>99434.012859569601</v>
      </c>
      <c r="D1863" s="56">
        <v>3.4668005823965287E-2</v>
      </c>
      <c r="E1863" s="224" t="s">
        <v>2</v>
      </c>
      <c r="F1863" s="515" t="s">
        <v>3475</v>
      </c>
      <c r="G1863" s="52">
        <v>211058.27397579799</v>
      </c>
      <c r="H1863" s="56">
        <v>5.2362822060217536E-2</v>
      </c>
      <c r="I1863" s="224">
        <v>1287.5</v>
      </c>
    </row>
    <row r="1864" spans="1:9" x14ac:dyDescent="0.25">
      <c r="A1864" s="515">
        <v>19082</v>
      </c>
      <c r="B1864" s="515" t="s">
        <v>294</v>
      </c>
      <c r="C1864" s="52">
        <v>168117.008801975</v>
      </c>
      <c r="D1864" s="56">
        <v>0.16669587676068345</v>
      </c>
      <c r="E1864" s="224">
        <v>1345.7333333333299</v>
      </c>
      <c r="F1864" s="515" t="s">
        <v>3476</v>
      </c>
      <c r="G1864" s="52">
        <v>682993.69087067002</v>
      </c>
      <c r="H1864" s="56">
        <v>6.2809470906533132E-2</v>
      </c>
      <c r="I1864" s="224">
        <v>2410.0416666666601</v>
      </c>
    </row>
    <row r="1865" spans="1:9" x14ac:dyDescent="0.25">
      <c r="A1865" s="515">
        <v>32216</v>
      </c>
      <c r="B1865" s="515" t="s">
        <v>1158</v>
      </c>
      <c r="C1865" s="52">
        <v>266417.25020458997</v>
      </c>
      <c r="D1865" s="56">
        <v>0.1426122003351456</v>
      </c>
      <c r="E1865" s="224">
        <v>1660.7228070175399</v>
      </c>
      <c r="F1865" s="515" t="s">
        <v>3477</v>
      </c>
      <c r="G1865" s="52">
        <v>495273.44223597902</v>
      </c>
      <c r="H1865" s="56">
        <v>8.0523436171750076E-2</v>
      </c>
      <c r="I1865" s="224" t="s">
        <v>2</v>
      </c>
    </row>
    <row r="1866" spans="1:9" x14ac:dyDescent="0.25">
      <c r="A1866" s="515">
        <v>27292</v>
      </c>
      <c r="B1866" s="515" t="s">
        <v>735</v>
      </c>
      <c r="C1866" s="52">
        <v>201419.668521688</v>
      </c>
      <c r="D1866" s="56">
        <v>0.2071054913492355</v>
      </c>
      <c r="E1866" s="224" t="s">
        <v>2</v>
      </c>
      <c r="F1866" s="515" t="s">
        <v>3478</v>
      </c>
      <c r="G1866" s="52">
        <v>85819.667055334998</v>
      </c>
      <c r="H1866" s="56">
        <v>0.1500609640885556</v>
      </c>
      <c r="I1866" s="224">
        <v>852.77777777777703</v>
      </c>
    </row>
    <row r="1867" spans="1:9" x14ac:dyDescent="0.25">
      <c r="A1867" s="515">
        <v>48060</v>
      </c>
      <c r="B1867" s="515" t="s">
        <v>685</v>
      </c>
      <c r="C1867" s="52">
        <v>144847.86104961301</v>
      </c>
      <c r="D1867" s="56">
        <v>8.441613309902718E-2</v>
      </c>
      <c r="E1867" s="224">
        <v>912.5</v>
      </c>
      <c r="F1867" s="515" t="s">
        <v>3479</v>
      </c>
      <c r="G1867" s="52">
        <v>312775.20620321599</v>
      </c>
      <c r="H1867" s="56">
        <v>6.7114314869254801E-2</v>
      </c>
      <c r="I1867" s="224">
        <v>1890.26923076923</v>
      </c>
    </row>
    <row r="1868" spans="1:9" x14ac:dyDescent="0.25">
      <c r="A1868" s="515">
        <v>80524</v>
      </c>
      <c r="B1868" s="515" t="s">
        <v>738</v>
      </c>
      <c r="C1868" s="52">
        <v>563312.72567799804</v>
      </c>
      <c r="D1868" s="56">
        <v>5.4155567191977352E-2</v>
      </c>
      <c r="E1868" s="224">
        <v>1981.80952380952</v>
      </c>
      <c r="F1868" s="515" t="s">
        <v>3480</v>
      </c>
      <c r="G1868" s="52">
        <v>460348.14571921201</v>
      </c>
      <c r="H1868" s="56">
        <v>0.15080627496670265</v>
      </c>
      <c r="I1868" s="224">
        <v>2333.6111111111099</v>
      </c>
    </row>
    <row r="1869" spans="1:9" x14ac:dyDescent="0.25">
      <c r="A1869" s="515">
        <v>20747</v>
      </c>
      <c r="B1869" s="515" t="s">
        <v>321</v>
      </c>
      <c r="C1869" s="52">
        <v>318132.67755734199</v>
      </c>
      <c r="D1869" s="56">
        <v>2.2900878398518999E-2</v>
      </c>
      <c r="E1869" s="224">
        <v>1629.31111111111</v>
      </c>
      <c r="F1869" s="515" t="s">
        <v>3481</v>
      </c>
      <c r="G1869" s="52">
        <v>1123842.4344482799</v>
      </c>
      <c r="H1869" s="56">
        <v>8.9139853068717953E-2</v>
      </c>
      <c r="I1869" s="224">
        <v>3325</v>
      </c>
    </row>
    <row r="1870" spans="1:9" x14ac:dyDescent="0.25">
      <c r="A1870" s="515">
        <v>89431</v>
      </c>
      <c r="B1870" s="515" t="s">
        <v>581</v>
      </c>
      <c r="C1870" s="52">
        <v>358648.71845976001</v>
      </c>
      <c r="D1870" s="56">
        <v>1.7963540635144899E-2</v>
      </c>
      <c r="E1870" s="224">
        <v>1506.39956709956</v>
      </c>
      <c r="F1870" s="515" t="s">
        <v>3482</v>
      </c>
      <c r="G1870" s="52">
        <v>456288.04451389599</v>
      </c>
      <c r="H1870" s="56">
        <v>3.1871155568267098E-2</v>
      </c>
      <c r="I1870" s="224">
        <v>2047.2222222222199</v>
      </c>
    </row>
    <row r="1871" spans="1:9" x14ac:dyDescent="0.25">
      <c r="A1871" s="515">
        <v>33433</v>
      </c>
      <c r="B1871" s="515" t="s">
        <v>831</v>
      </c>
      <c r="C1871" s="52">
        <v>456211.367624095</v>
      </c>
      <c r="D1871" s="56">
        <v>0.12050915280652832</v>
      </c>
      <c r="E1871" s="224">
        <v>2774.1802232854802</v>
      </c>
      <c r="F1871" s="515" t="s">
        <v>3483</v>
      </c>
      <c r="G1871" s="52">
        <v>271864.51054542197</v>
      </c>
      <c r="H1871" s="56">
        <v>0.11570143623714321</v>
      </c>
      <c r="I1871" s="224">
        <v>1451.25</v>
      </c>
    </row>
    <row r="1872" spans="1:9" x14ac:dyDescent="0.25">
      <c r="A1872" s="515">
        <v>75154</v>
      </c>
      <c r="B1872" s="515" t="s">
        <v>458</v>
      </c>
      <c r="C1872" s="52">
        <v>338083.00444395299</v>
      </c>
      <c r="D1872" s="56">
        <v>8.73033588756192E-2</v>
      </c>
      <c r="E1872" s="224" t="s">
        <v>2</v>
      </c>
      <c r="F1872" s="515" t="s">
        <v>3484</v>
      </c>
      <c r="G1872" s="52">
        <v>280557.768322944</v>
      </c>
      <c r="H1872" s="56">
        <v>8.513811470509948E-2</v>
      </c>
      <c r="I1872" s="224">
        <v>1280</v>
      </c>
    </row>
    <row r="1873" spans="1:9" x14ac:dyDescent="0.25">
      <c r="A1873" s="515">
        <v>85203</v>
      </c>
      <c r="B1873" s="515" t="s">
        <v>563</v>
      </c>
      <c r="C1873" s="52">
        <v>419558.70109617797</v>
      </c>
      <c r="D1873" s="56">
        <v>2.8897496751658043E-2</v>
      </c>
      <c r="E1873" s="224">
        <v>1444.8326118326099</v>
      </c>
      <c r="F1873" s="515" t="s">
        <v>3485</v>
      </c>
      <c r="G1873" s="52">
        <v>246880.13693925401</v>
      </c>
      <c r="H1873" s="56">
        <v>0.10838986685407952</v>
      </c>
      <c r="I1873" s="224">
        <v>1173</v>
      </c>
    </row>
    <row r="1874" spans="1:9" x14ac:dyDescent="0.25">
      <c r="A1874" s="515">
        <v>95835</v>
      </c>
      <c r="B1874" s="515" t="s">
        <v>355</v>
      </c>
      <c r="C1874" s="52">
        <v>546622.89385835896</v>
      </c>
      <c r="D1874" s="56">
        <v>-1.4717432672129642E-3</v>
      </c>
      <c r="E1874" s="224">
        <v>2598.1677248677202</v>
      </c>
      <c r="F1874" s="515" t="s">
        <v>3486</v>
      </c>
      <c r="G1874" s="52">
        <v>222179.13383092501</v>
      </c>
      <c r="H1874" s="56">
        <v>7.8506228734366898E-2</v>
      </c>
      <c r="I1874" s="224">
        <v>1545.6666666666599</v>
      </c>
    </row>
    <row r="1875" spans="1:9" x14ac:dyDescent="0.25">
      <c r="A1875" s="515">
        <v>1752</v>
      </c>
      <c r="B1875" s="515" t="s">
        <v>534</v>
      </c>
      <c r="C1875" s="52">
        <v>483558.94830684998</v>
      </c>
      <c r="D1875" s="56">
        <v>6.0124063228734488E-2</v>
      </c>
      <c r="E1875" s="224">
        <v>2224.50833333333</v>
      </c>
      <c r="F1875" s="515" t="s">
        <v>3487</v>
      </c>
      <c r="G1875" s="52">
        <v>343288.94695146399</v>
      </c>
      <c r="H1875" s="56">
        <v>4.2452027391993989E-2</v>
      </c>
      <c r="I1875" s="224">
        <v>2051.38888888888</v>
      </c>
    </row>
    <row r="1876" spans="1:9" x14ac:dyDescent="0.25">
      <c r="A1876" s="515">
        <v>87109</v>
      </c>
      <c r="B1876" s="515" t="s">
        <v>406</v>
      </c>
      <c r="C1876" s="52">
        <v>335822.40993622702</v>
      </c>
      <c r="D1876" s="56">
        <v>7.5206909121058277E-2</v>
      </c>
      <c r="E1876" s="224">
        <v>1356.33838383838</v>
      </c>
      <c r="F1876" s="515" t="s">
        <v>3488</v>
      </c>
      <c r="G1876" s="52">
        <v>471969.65864987997</v>
      </c>
      <c r="H1876" s="56">
        <v>6.8525659201044184E-2</v>
      </c>
      <c r="I1876" s="224" t="s">
        <v>2</v>
      </c>
    </row>
    <row r="1877" spans="1:9" x14ac:dyDescent="0.25">
      <c r="A1877" s="515">
        <v>30350</v>
      </c>
      <c r="B1877" s="515" t="s">
        <v>957</v>
      </c>
      <c r="C1877" s="52">
        <v>508251.795651211</v>
      </c>
      <c r="D1877" s="56">
        <v>8.2138809631044751E-2</v>
      </c>
      <c r="E1877" s="224">
        <v>1739.7682539682501</v>
      </c>
      <c r="F1877" s="515" t="s">
        <v>1034</v>
      </c>
      <c r="G1877" s="52">
        <v>156648.1442137</v>
      </c>
      <c r="H1877" s="56">
        <v>9.0597471988474551E-2</v>
      </c>
      <c r="I1877" s="224">
        <v>925.55555555555497</v>
      </c>
    </row>
    <row r="1878" spans="1:9" x14ac:dyDescent="0.25">
      <c r="A1878" s="515">
        <v>66048</v>
      </c>
      <c r="B1878" s="515" t="s">
        <v>455</v>
      </c>
      <c r="C1878" s="52">
        <v>212021.47159308501</v>
      </c>
      <c r="D1878" s="56">
        <v>7.444509382213621E-2</v>
      </c>
      <c r="E1878" s="224">
        <v>940.37698412698398</v>
      </c>
      <c r="F1878" s="515" t="s">
        <v>3489</v>
      </c>
      <c r="G1878" s="52">
        <v>264387.593144254</v>
      </c>
      <c r="H1878" s="56">
        <v>8.0499857085161899E-2</v>
      </c>
      <c r="I1878" s="224">
        <v>1603.6666666666599</v>
      </c>
    </row>
    <row r="1879" spans="1:9" x14ac:dyDescent="0.25">
      <c r="A1879" s="515">
        <v>30038</v>
      </c>
      <c r="B1879" s="515" t="s">
        <v>957</v>
      </c>
      <c r="C1879" s="52">
        <v>267398.272341331</v>
      </c>
      <c r="D1879" s="56">
        <v>0.13484448531319373</v>
      </c>
      <c r="E1879" s="224">
        <v>1739.89194139194</v>
      </c>
      <c r="F1879" s="515" t="s">
        <v>960</v>
      </c>
      <c r="G1879" s="52">
        <v>294510.36568447598</v>
      </c>
      <c r="H1879" s="56">
        <v>3.3500636036898762E-2</v>
      </c>
      <c r="I1879" s="224">
        <v>953.80244755244701</v>
      </c>
    </row>
    <row r="1880" spans="1:9" x14ac:dyDescent="0.25">
      <c r="A1880" s="515">
        <v>46203</v>
      </c>
      <c r="B1880" s="515" t="s">
        <v>403</v>
      </c>
      <c r="C1880" s="52">
        <v>161679.23900699601</v>
      </c>
      <c r="D1880" s="56">
        <v>0.11701012443079219</v>
      </c>
      <c r="E1880" s="224">
        <v>1210.69312169312</v>
      </c>
      <c r="F1880" s="515" t="s">
        <v>642</v>
      </c>
      <c r="G1880" s="52">
        <v>134784.06049805699</v>
      </c>
      <c r="H1880" s="56">
        <v>5.4426570487599614E-2</v>
      </c>
      <c r="I1880" s="224" t="s">
        <v>2</v>
      </c>
    </row>
    <row r="1881" spans="1:9" x14ac:dyDescent="0.25">
      <c r="A1881" s="515">
        <v>90301</v>
      </c>
      <c r="B1881" s="515" t="s">
        <v>375</v>
      </c>
      <c r="C1881" s="52">
        <v>642049.07703791501</v>
      </c>
      <c r="D1881" s="56">
        <v>2.3172554809522884E-2</v>
      </c>
      <c r="E1881" s="224">
        <v>2305.9722222222199</v>
      </c>
      <c r="F1881" s="515" t="s">
        <v>3490</v>
      </c>
      <c r="G1881" s="52">
        <v>269141.41374168202</v>
      </c>
      <c r="H1881" s="56">
        <v>0.10082359603378403</v>
      </c>
      <c r="I1881" s="224">
        <v>1559</v>
      </c>
    </row>
    <row r="1882" spans="1:9" x14ac:dyDescent="0.25">
      <c r="A1882" s="515">
        <v>21804</v>
      </c>
      <c r="B1882" s="515" t="s">
        <v>552</v>
      </c>
      <c r="C1882" s="52">
        <v>204428.19177108299</v>
      </c>
      <c r="D1882" s="56">
        <v>7.6782761362953728E-2</v>
      </c>
      <c r="E1882" s="224">
        <v>1602.5</v>
      </c>
      <c r="F1882" s="515" t="s">
        <v>3491</v>
      </c>
      <c r="G1882" s="52">
        <v>259805.69628256801</v>
      </c>
      <c r="H1882" s="56">
        <v>0.10889768226863014</v>
      </c>
      <c r="I1882" s="224">
        <v>1816.6476190476101</v>
      </c>
    </row>
    <row r="1883" spans="1:9" x14ac:dyDescent="0.25">
      <c r="A1883" s="515">
        <v>97701</v>
      </c>
      <c r="B1883" s="515" t="s">
        <v>1190</v>
      </c>
      <c r="C1883" s="52">
        <v>567307.62652032101</v>
      </c>
      <c r="D1883" s="56">
        <v>2.6178815499871186E-3</v>
      </c>
      <c r="E1883" s="224">
        <v>2151.89102564102</v>
      </c>
      <c r="F1883" s="515" t="s">
        <v>3492</v>
      </c>
      <c r="G1883" s="52">
        <v>340342.81123834499</v>
      </c>
      <c r="H1883" s="56">
        <v>3.5892511409382093E-2</v>
      </c>
      <c r="I1883" s="224">
        <v>1932.875</v>
      </c>
    </row>
    <row r="1884" spans="1:9" x14ac:dyDescent="0.25">
      <c r="A1884" s="515">
        <v>76502</v>
      </c>
      <c r="B1884" s="515" t="s">
        <v>859</v>
      </c>
      <c r="C1884" s="52">
        <v>283454.76592667098</v>
      </c>
      <c r="D1884" s="56">
        <v>9.3627718479271482E-2</v>
      </c>
      <c r="E1884" s="224">
        <v>1668.0446428571399</v>
      </c>
      <c r="F1884" s="515" t="s">
        <v>3493</v>
      </c>
      <c r="G1884" s="52">
        <v>514818.47472271998</v>
      </c>
      <c r="H1884" s="56">
        <v>6.3390563918045345E-2</v>
      </c>
      <c r="I1884" s="224">
        <v>1905.69444444444</v>
      </c>
    </row>
    <row r="1885" spans="1:9" x14ac:dyDescent="0.25">
      <c r="A1885" s="515">
        <v>48706</v>
      </c>
      <c r="B1885" s="515" t="s">
        <v>1022</v>
      </c>
      <c r="C1885" s="52">
        <v>148372.71187905699</v>
      </c>
      <c r="D1885" s="56">
        <v>7.4830889296680594E-2</v>
      </c>
      <c r="E1885" s="224" t="s">
        <v>2</v>
      </c>
      <c r="F1885" s="515" t="s">
        <v>3494</v>
      </c>
      <c r="G1885" s="52">
        <v>2427967.2271341002</v>
      </c>
      <c r="H1885" s="56">
        <v>-6.4003250871796005E-3</v>
      </c>
      <c r="I1885" s="224">
        <v>2738.6511671335102</v>
      </c>
    </row>
    <row r="1886" spans="1:9" x14ac:dyDescent="0.25">
      <c r="A1886" s="515">
        <v>11101</v>
      </c>
      <c r="B1886" s="515" t="s">
        <v>324</v>
      </c>
      <c r="C1886" s="52">
        <v>915341.44193584903</v>
      </c>
      <c r="D1886" s="56">
        <v>-2.3367732484345524E-2</v>
      </c>
      <c r="E1886" s="224">
        <v>3623.1227661227599</v>
      </c>
      <c r="F1886" s="515" t="s">
        <v>3495</v>
      </c>
      <c r="G1886" s="52">
        <v>267515.88774678198</v>
      </c>
      <c r="H1886" s="56">
        <v>8.0675474165619612E-2</v>
      </c>
      <c r="I1886" s="224">
        <v>1302.7777777777701</v>
      </c>
    </row>
    <row r="1887" spans="1:9" x14ac:dyDescent="0.25">
      <c r="A1887" s="515">
        <v>13440</v>
      </c>
      <c r="B1887" s="515" t="s">
        <v>543</v>
      </c>
      <c r="C1887" s="52">
        <v>166216.045110532</v>
      </c>
      <c r="D1887" s="56">
        <v>0.10714826653971504</v>
      </c>
      <c r="E1887" s="224" t="s">
        <v>2</v>
      </c>
      <c r="F1887" s="515" t="s">
        <v>3496</v>
      </c>
      <c r="G1887" s="52">
        <v>414463.360402708</v>
      </c>
      <c r="H1887" s="56">
        <v>5.7323424907850369E-2</v>
      </c>
      <c r="I1887" s="224">
        <v>1779.7142857142801</v>
      </c>
    </row>
    <row r="1888" spans="1:9" x14ac:dyDescent="0.25">
      <c r="A1888" s="515">
        <v>94954</v>
      </c>
      <c r="B1888" s="515" t="s">
        <v>331</v>
      </c>
      <c r="C1888" s="52">
        <v>796048.65901342395</v>
      </c>
      <c r="D1888" s="56">
        <v>3.7259460209825984E-2</v>
      </c>
      <c r="E1888" s="224">
        <v>2561.2359307359302</v>
      </c>
      <c r="F1888" s="515" t="s">
        <v>3497</v>
      </c>
      <c r="G1888" s="52">
        <v>329658.09598951699</v>
      </c>
      <c r="H1888" s="56">
        <v>4.1476295126486477E-2</v>
      </c>
      <c r="I1888" s="224">
        <v>1895.19444444444</v>
      </c>
    </row>
    <row r="1889" spans="1:9" x14ac:dyDescent="0.25">
      <c r="A1889" s="515">
        <v>42303</v>
      </c>
      <c r="B1889" s="515" t="s">
        <v>1024</v>
      </c>
      <c r="C1889" s="52">
        <v>189232.31790647699</v>
      </c>
      <c r="D1889" s="56">
        <v>0.10960913257371586</v>
      </c>
      <c r="E1889" s="224" t="s">
        <v>2</v>
      </c>
      <c r="F1889" s="515" t="s">
        <v>3498</v>
      </c>
      <c r="G1889" s="52">
        <v>372562.00002752698</v>
      </c>
      <c r="H1889" s="56">
        <v>0.12855510593466754</v>
      </c>
      <c r="I1889" s="224">
        <v>1983.3333333333301</v>
      </c>
    </row>
    <row r="1890" spans="1:9" x14ac:dyDescent="0.25">
      <c r="A1890" s="515">
        <v>43615</v>
      </c>
      <c r="B1890" s="515" t="s">
        <v>300</v>
      </c>
      <c r="C1890" s="52">
        <v>142507.591782</v>
      </c>
      <c r="D1890" s="56">
        <v>6.9324106892068083E-2</v>
      </c>
      <c r="E1890" s="224">
        <v>1263.7777777777701</v>
      </c>
      <c r="F1890" s="515" t="s">
        <v>3499</v>
      </c>
      <c r="G1890" s="52">
        <v>707806.51126645796</v>
      </c>
      <c r="H1890" s="56">
        <v>3.3586760609338823E-2</v>
      </c>
      <c r="I1890" s="224">
        <v>2451.1111111111099</v>
      </c>
    </row>
    <row r="1891" spans="1:9" x14ac:dyDescent="0.25">
      <c r="A1891" s="515">
        <v>28625</v>
      </c>
      <c r="B1891" s="515" t="s">
        <v>360</v>
      </c>
      <c r="C1891" s="52">
        <v>270397.51857591397</v>
      </c>
      <c r="D1891" s="56">
        <v>0.12633565923830184</v>
      </c>
      <c r="E1891" s="224">
        <v>1686.5</v>
      </c>
      <c r="F1891" s="515" t="s">
        <v>3500</v>
      </c>
      <c r="G1891" s="52">
        <v>378687.21102780499</v>
      </c>
      <c r="H1891" s="56">
        <v>1.3531080071888362E-2</v>
      </c>
      <c r="I1891" s="224">
        <v>1634.7666666666601</v>
      </c>
    </row>
    <row r="1892" spans="1:9" x14ac:dyDescent="0.25">
      <c r="A1892" s="515">
        <v>30701</v>
      </c>
      <c r="B1892" s="515" t="s">
        <v>1056</v>
      </c>
      <c r="C1892" s="52">
        <v>231960.389599666</v>
      </c>
      <c r="D1892" s="56">
        <v>0.10688022642117333</v>
      </c>
      <c r="E1892" s="224" t="s">
        <v>2</v>
      </c>
      <c r="F1892" s="515" t="s">
        <v>3501</v>
      </c>
      <c r="G1892" s="52">
        <v>168093.86815518199</v>
      </c>
      <c r="H1892" s="56">
        <v>5.0459682093438568E-2</v>
      </c>
      <c r="I1892" s="224">
        <v>1299.5</v>
      </c>
    </row>
    <row r="1893" spans="1:9" x14ac:dyDescent="0.25">
      <c r="A1893" s="515">
        <v>92083</v>
      </c>
      <c r="B1893" s="515" t="s">
        <v>396</v>
      </c>
      <c r="C1893" s="52">
        <v>681705.82868980302</v>
      </c>
      <c r="D1893" s="56">
        <v>7.5217639365828926E-2</v>
      </c>
      <c r="E1893" s="224">
        <v>2605.6878306878298</v>
      </c>
      <c r="F1893" s="515" t="s">
        <v>3502</v>
      </c>
      <c r="G1893" s="52">
        <v>272543.423175768</v>
      </c>
      <c r="H1893" s="56">
        <v>8.0373484437694223E-2</v>
      </c>
      <c r="I1893" s="224">
        <v>1599.1666666666599</v>
      </c>
    </row>
    <row r="1894" spans="1:9" x14ac:dyDescent="0.25">
      <c r="A1894" s="515">
        <v>78221</v>
      </c>
      <c r="B1894" s="515" t="s">
        <v>717</v>
      </c>
      <c r="C1894" s="52">
        <v>175542.41609967701</v>
      </c>
      <c r="D1894" s="56">
        <v>6.3532946080562175E-2</v>
      </c>
      <c r="E1894" s="224">
        <v>1037.5</v>
      </c>
      <c r="F1894" s="515" t="s">
        <v>3503</v>
      </c>
      <c r="G1894" s="52">
        <v>998048.30549723096</v>
      </c>
      <c r="H1894" s="56">
        <v>8.1297431944990256E-2</v>
      </c>
      <c r="I1894" s="224">
        <v>2837.2857142857101</v>
      </c>
    </row>
    <row r="1895" spans="1:9" x14ac:dyDescent="0.25">
      <c r="A1895" s="515">
        <v>27502</v>
      </c>
      <c r="B1895" s="515" t="s">
        <v>484</v>
      </c>
      <c r="C1895" s="52">
        <v>519745.96976510697</v>
      </c>
      <c r="D1895" s="56">
        <v>7.1927639759842038E-2</v>
      </c>
      <c r="E1895" s="224">
        <v>2052.75661375661</v>
      </c>
      <c r="F1895" s="515" t="s">
        <v>3504</v>
      </c>
      <c r="G1895" s="52">
        <v>245684.036406603</v>
      </c>
      <c r="H1895" s="56">
        <v>4.0232683317262964E-2</v>
      </c>
      <c r="I1895" s="224">
        <v>1463.9166666666599</v>
      </c>
    </row>
    <row r="1896" spans="1:9" x14ac:dyDescent="0.25">
      <c r="A1896" s="515">
        <v>60133</v>
      </c>
      <c r="B1896" s="515" t="s">
        <v>394</v>
      </c>
      <c r="C1896" s="52">
        <v>261210.11888646401</v>
      </c>
      <c r="D1896" s="56">
        <v>5.9279328573788967E-2</v>
      </c>
      <c r="E1896" s="224">
        <v>1837.5</v>
      </c>
      <c r="F1896" s="515" t="s">
        <v>3505</v>
      </c>
      <c r="G1896" s="52">
        <v>295767.91548692598</v>
      </c>
      <c r="H1896" s="56">
        <v>0.1232640808265545</v>
      </c>
      <c r="I1896" s="224">
        <v>1921.9166666666599</v>
      </c>
    </row>
    <row r="1897" spans="1:9" x14ac:dyDescent="0.25">
      <c r="A1897" s="515">
        <v>74014</v>
      </c>
      <c r="B1897" s="515" t="s">
        <v>348</v>
      </c>
      <c r="C1897" s="52">
        <v>263741.479008255</v>
      </c>
      <c r="D1897" s="56">
        <v>6.7782304886708292E-2</v>
      </c>
      <c r="E1897" s="224">
        <v>1619.43333333333</v>
      </c>
      <c r="F1897" s="515" t="s">
        <v>3506</v>
      </c>
      <c r="G1897" s="52">
        <v>1234494.69759296</v>
      </c>
      <c r="H1897" s="56">
        <v>4.5686961725851481E-2</v>
      </c>
      <c r="I1897" s="224">
        <v>3684</v>
      </c>
    </row>
    <row r="1898" spans="1:9" x14ac:dyDescent="0.25">
      <c r="A1898" s="515">
        <v>44870</v>
      </c>
      <c r="B1898" s="515" t="s">
        <v>712</v>
      </c>
      <c r="C1898" s="52">
        <v>147645.24083535999</v>
      </c>
      <c r="D1898" s="56">
        <v>0.10847904527754207</v>
      </c>
      <c r="E1898" s="224" t="s">
        <v>2</v>
      </c>
      <c r="F1898" s="515" t="s">
        <v>3507</v>
      </c>
      <c r="G1898" s="52">
        <v>162718.35398507101</v>
      </c>
      <c r="H1898" s="56">
        <v>0.14762762326657236</v>
      </c>
      <c r="I1898" s="224" t="s">
        <v>2</v>
      </c>
    </row>
    <row r="1899" spans="1:9" x14ac:dyDescent="0.25">
      <c r="A1899" s="515">
        <v>55311</v>
      </c>
      <c r="B1899" s="515" t="s">
        <v>532</v>
      </c>
      <c r="C1899" s="52">
        <v>452144.03867450799</v>
      </c>
      <c r="D1899" s="56">
        <v>3.1401040578511508E-2</v>
      </c>
      <c r="E1899" s="224">
        <v>1975.75</v>
      </c>
      <c r="F1899" s="515" t="s">
        <v>3508</v>
      </c>
      <c r="G1899" s="52">
        <v>325089.04965682101</v>
      </c>
      <c r="H1899" s="56">
        <v>0.12063366186848097</v>
      </c>
      <c r="I1899" s="224">
        <v>1237.5</v>
      </c>
    </row>
    <row r="1900" spans="1:9" x14ac:dyDescent="0.25">
      <c r="A1900" s="515">
        <v>27330</v>
      </c>
      <c r="B1900" s="515" t="s">
        <v>1216</v>
      </c>
      <c r="C1900" s="52">
        <v>250371.25419388199</v>
      </c>
      <c r="D1900" s="56">
        <v>0.19783904950956924</v>
      </c>
      <c r="E1900" s="224">
        <v>1375</v>
      </c>
      <c r="F1900" s="515" t="s">
        <v>3509</v>
      </c>
      <c r="G1900" s="52">
        <v>560583.37376910797</v>
      </c>
      <c r="H1900" s="56">
        <v>8.4263166050796576E-2</v>
      </c>
      <c r="I1900" s="224">
        <v>2563.5595238095202</v>
      </c>
    </row>
    <row r="1901" spans="1:9" x14ac:dyDescent="0.25">
      <c r="A1901" s="515">
        <v>43016</v>
      </c>
      <c r="B1901" s="515" t="s">
        <v>345</v>
      </c>
      <c r="C1901" s="52">
        <v>419347.02723938</v>
      </c>
      <c r="D1901" s="56">
        <v>8.999511590292307E-2</v>
      </c>
      <c r="E1901" s="224">
        <v>1709.30476190476</v>
      </c>
      <c r="F1901" s="515" t="s">
        <v>644</v>
      </c>
      <c r="G1901" s="52">
        <v>465712.57284181798</v>
      </c>
      <c r="H1901" s="56">
        <v>-7.3566536528490517E-2</v>
      </c>
      <c r="I1901" s="224" t="s">
        <v>2</v>
      </c>
    </row>
    <row r="1902" spans="1:9" x14ac:dyDescent="0.25">
      <c r="A1902" s="515">
        <v>38125</v>
      </c>
      <c r="B1902" s="515" t="s">
        <v>951</v>
      </c>
      <c r="C1902" s="52">
        <v>277358.84307381703</v>
      </c>
      <c r="D1902" s="56">
        <v>6.772384158215182E-2</v>
      </c>
      <c r="E1902" s="224">
        <v>1745.8517094017</v>
      </c>
      <c r="F1902" s="515" t="s">
        <v>3510</v>
      </c>
      <c r="G1902" s="52">
        <v>349995.58010567498</v>
      </c>
      <c r="H1902" s="56">
        <v>0.13052763801700046</v>
      </c>
      <c r="I1902" s="224">
        <v>2373.8941798941801</v>
      </c>
    </row>
    <row r="1903" spans="1:9" x14ac:dyDescent="0.25">
      <c r="A1903" s="515">
        <v>85302</v>
      </c>
      <c r="B1903" s="515" t="s">
        <v>563</v>
      </c>
      <c r="C1903" s="52">
        <v>360828.71798406198</v>
      </c>
      <c r="D1903" s="56">
        <v>3.826296799450981E-2</v>
      </c>
      <c r="E1903" s="224">
        <v>1675.9166666666599</v>
      </c>
      <c r="F1903" s="515" t="s">
        <v>3511</v>
      </c>
      <c r="G1903" s="52">
        <v>239166.18425634099</v>
      </c>
      <c r="H1903" s="56">
        <v>0.15408070954334432</v>
      </c>
      <c r="I1903" s="224" t="s">
        <v>2</v>
      </c>
    </row>
    <row r="1904" spans="1:9" x14ac:dyDescent="0.25">
      <c r="A1904" s="515">
        <v>30005</v>
      </c>
      <c r="B1904" s="515" t="s">
        <v>957</v>
      </c>
      <c r="C1904" s="52">
        <v>659456.89823506295</v>
      </c>
      <c r="D1904" s="56">
        <v>9.3059366766318083E-2</v>
      </c>
      <c r="E1904" s="224">
        <v>2132.5457875457801</v>
      </c>
      <c r="F1904" s="515" t="s">
        <v>3512</v>
      </c>
      <c r="G1904" s="52">
        <v>336200.58280000102</v>
      </c>
      <c r="H1904" s="56">
        <v>0.10956470260606044</v>
      </c>
      <c r="I1904" s="224">
        <v>1364.05555555555</v>
      </c>
    </row>
    <row r="1905" spans="1:9" x14ac:dyDescent="0.25">
      <c r="A1905" s="515">
        <v>95926</v>
      </c>
      <c r="B1905" s="515" t="s">
        <v>580</v>
      </c>
      <c r="C1905" s="52">
        <v>421775.41901051602</v>
      </c>
      <c r="D1905" s="56">
        <v>1.0759367156091845E-2</v>
      </c>
      <c r="E1905" s="224">
        <v>1508.6044973544899</v>
      </c>
      <c r="F1905" s="515" t="s">
        <v>3513</v>
      </c>
      <c r="G1905" s="52">
        <v>550442.42109690595</v>
      </c>
      <c r="H1905" s="56">
        <v>5.8353510880280693E-2</v>
      </c>
      <c r="I1905" s="224">
        <v>1859.88888888888</v>
      </c>
    </row>
    <row r="1906" spans="1:9" x14ac:dyDescent="0.25">
      <c r="A1906" s="515">
        <v>94928</v>
      </c>
      <c r="B1906" s="515" t="s">
        <v>331</v>
      </c>
      <c r="C1906" s="52">
        <v>657594.546066068</v>
      </c>
      <c r="D1906" s="56">
        <v>2.0991574457759791E-2</v>
      </c>
      <c r="E1906" s="224">
        <v>2496.61038961038</v>
      </c>
      <c r="F1906" s="515" t="s">
        <v>3514</v>
      </c>
      <c r="G1906" s="52">
        <v>486808.16324310697</v>
      </c>
      <c r="H1906" s="56">
        <v>6.5036122263634644E-2</v>
      </c>
      <c r="I1906" s="224">
        <v>1621.375</v>
      </c>
    </row>
    <row r="1907" spans="1:9" x14ac:dyDescent="0.25">
      <c r="A1907" s="515">
        <v>98503</v>
      </c>
      <c r="B1907" s="515" t="s">
        <v>527</v>
      </c>
      <c r="C1907" s="52">
        <v>442438.38361997699</v>
      </c>
      <c r="D1907" s="56">
        <v>3.0602114902464863E-2</v>
      </c>
      <c r="E1907" s="224">
        <v>2161.00925925925</v>
      </c>
      <c r="F1907" s="515" t="s">
        <v>3515</v>
      </c>
      <c r="G1907" s="52">
        <v>434661.66969442402</v>
      </c>
      <c r="H1907" s="56">
        <v>3.3420779579291723E-2</v>
      </c>
      <c r="I1907" s="224" t="s">
        <v>2</v>
      </c>
    </row>
    <row r="1908" spans="1:9" x14ac:dyDescent="0.25">
      <c r="A1908" s="515">
        <v>92807</v>
      </c>
      <c r="B1908" s="515" t="s">
        <v>375</v>
      </c>
      <c r="C1908" s="52">
        <v>952814.37214780005</v>
      </c>
      <c r="D1908" s="56">
        <v>5.4511013421539863E-2</v>
      </c>
      <c r="E1908" s="224">
        <v>2672.0833333333298</v>
      </c>
      <c r="F1908" s="515" t="s">
        <v>3516</v>
      </c>
      <c r="G1908" s="52">
        <v>287979.965043895</v>
      </c>
      <c r="H1908" s="56">
        <v>7.9373350419848665E-2</v>
      </c>
      <c r="I1908" s="224">
        <v>1371.6666666666599</v>
      </c>
    </row>
    <row r="1909" spans="1:9" x14ac:dyDescent="0.25">
      <c r="A1909" s="515">
        <v>79707</v>
      </c>
      <c r="B1909" s="515" t="s">
        <v>802</v>
      </c>
      <c r="C1909" s="52">
        <v>360287.028961387</v>
      </c>
      <c r="D1909" s="56">
        <v>2.6393733325528895E-2</v>
      </c>
      <c r="E1909" s="224">
        <v>1348.1987239340101</v>
      </c>
      <c r="F1909" s="515" t="s">
        <v>3517</v>
      </c>
      <c r="G1909" s="52">
        <v>596419.95139839698</v>
      </c>
      <c r="H1909" s="56">
        <v>2.5751214521538647E-2</v>
      </c>
      <c r="I1909" s="224">
        <v>1768.83736263736</v>
      </c>
    </row>
    <row r="1910" spans="1:9" x14ac:dyDescent="0.25">
      <c r="A1910" s="515">
        <v>46383</v>
      </c>
      <c r="B1910" s="515" t="s">
        <v>394</v>
      </c>
      <c r="C1910" s="52">
        <v>297549.28414522699</v>
      </c>
      <c r="D1910" s="56">
        <v>6.9199917104680375E-2</v>
      </c>
      <c r="E1910" s="224">
        <v>1468.75</v>
      </c>
      <c r="F1910" s="515" t="s">
        <v>3518</v>
      </c>
      <c r="G1910" s="52">
        <v>266894.25021350099</v>
      </c>
      <c r="H1910" s="56">
        <v>1.9019711989040674E-2</v>
      </c>
      <c r="I1910" s="224" t="s">
        <v>2</v>
      </c>
    </row>
    <row r="1911" spans="1:9" x14ac:dyDescent="0.25">
      <c r="A1911" s="515">
        <v>22201</v>
      </c>
      <c r="B1911" s="515" t="s">
        <v>321</v>
      </c>
      <c r="C1911" s="52">
        <v>651734.11091301497</v>
      </c>
      <c r="D1911" s="56">
        <v>-1.7347131917204744E-2</v>
      </c>
      <c r="E1911" s="224">
        <v>2395.2092503489798</v>
      </c>
      <c r="F1911" s="515" t="s">
        <v>3519</v>
      </c>
      <c r="G1911" s="52">
        <v>327957.10459484399</v>
      </c>
      <c r="H1911" s="56">
        <v>0.11354051495387707</v>
      </c>
      <c r="I1911" s="224">
        <v>1812</v>
      </c>
    </row>
    <row r="1912" spans="1:9" x14ac:dyDescent="0.25">
      <c r="A1912" s="515">
        <v>93012</v>
      </c>
      <c r="B1912" s="515" t="s">
        <v>1021</v>
      </c>
      <c r="C1912" s="52">
        <v>790301.73207748705</v>
      </c>
      <c r="D1912" s="56">
        <v>2.3331363608309279E-2</v>
      </c>
      <c r="E1912" s="224">
        <v>2969.6888888888798</v>
      </c>
      <c r="F1912" s="515" t="s">
        <v>3520</v>
      </c>
      <c r="G1912" s="52">
        <v>381082.50342369999</v>
      </c>
      <c r="H1912" s="56">
        <v>2.549365741129388E-2</v>
      </c>
      <c r="I1912" s="224" t="s">
        <v>2</v>
      </c>
    </row>
    <row r="1913" spans="1:9" x14ac:dyDescent="0.25">
      <c r="A1913" s="515">
        <v>60477</v>
      </c>
      <c r="B1913" s="515" t="s">
        <v>394</v>
      </c>
      <c r="C1913" s="52">
        <v>258112.248166893</v>
      </c>
      <c r="D1913" s="56">
        <v>5.3271934354748841E-2</v>
      </c>
      <c r="E1913" s="224">
        <v>1948</v>
      </c>
      <c r="F1913" s="515" t="s">
        <v>3521</v>
      </c>
      <c r="G1913" s="52">
        <v>212950.856478234</v>
      </c>
      <c r="H1913" s="56">
        <v>4.5468132177897871E-2</v>
      </c>
      <c r="I1913" s="224" t="s">
        <v>2</v>
      </c>
    </row>
    <row r="1914" spans="1:9" x14ac:dyDescent="0.25">
      <c r="A1914" s="515">
        <v>23669</v>
      </c>
      <c r="B1914" s="515" t="s">
        <v>301</v>
      </c>
      <c r="C1914" s="52">
        <v>246742.65973132299</v>
      </c>
      <c r="D1914" s="56">
        <v>8.9106033798381154E-2</v>
      </c>
      <c r="E1914" s="224">
        <v>1462.1666666666599</v>
      </c>
      <c r="F1914" s="515" t="s">
        <v>1016</v>
      </c>
      <c r="G1914" s="52">
        <v>194404.99482388201</v>
      </c>
      <c r="H1914" s="56">
        <v>6.058210370728135E-2</v>
      </c>
      <c r="I1914" s="224" t="s">
        <v>2</v>
      </c>
    </row>
    <row r="1915" spans="1:9" x14ac:dyDescent="0.25">
      <c r="A1915" s="515">
        <v>52404</v>
      </c>
      <c r="B1915" s="515" t="s">
        <v>404</v>
      </c>
      <c r="C1915" s="52">
        <v>165328.606579254</v>
      </c>
      <c r="D1915" s="56">
        <v>8.4005328261059345E-2</v>
      </c>
      <c r="E1915" s="224">
        <v>1000.30555555555</v>
      </c>
      <c r="F1915" s="515" t="s">
        <v>3522</v>
      </c>
      <c r="G1915" s="52">
        <v>140767.93351591501</v>
      </c>
      <c r="H1915" s="56">
        <v>6.5602269395497362E-2</v>
      </c>
      <c r="I1915" s="224" t="s">
        <v>2</v>
      </c>
    </row>
    <row r="1916" spans="1:9" x14ac:dyDescent="0.25">
      <c r="A1916" s="515">
        <v>54220</v>
      </c>
      <c r="B1916" s="515" t="s">
        <v>446</v>
      </c>
      <c r="C1916" s="52">
        <v>176964.083710223</v>
      </c>
      <c r="D1916" s="56">
        <v>0.11789671277304943</v>
      </c>
      <c r="E1916" s="224" t="s">
        <v>2</v>
      </c>
      <c r="F1916" s="515" t="s">
        <v>3523</v>
      </c>
      <c r="G1916" s="52">
        <v>737658.81079525105</v>
      </c>
      <c r="H1916" s="56">
        <v>4.084255060570275E-2</v>
      </c>
      <c r="I1916" s="224">
        <v>2047.5</v>
      </c>
    </row>
    <row r="1917" spans="1:9" x14ac:dyDescent="0.25">
      <c r="A1917" s="515">
        <v>94578</v>
      </c>
      <c r="B1917" s="515" t="s">
        <v>593</v>
      </c>
      <c r="C1917" s="52">
        <v>770818.35424748994</v>
      </c>
      <c r="D1917" s="56">
        <v>-1.3685055008077257E-2</v>
      </c>
      <c r="E1917" s="224">
        <v>2498.1666666666601</v>
      </c>
      <c r="F1917" s="515" t="s">
        <v>3524</v>
      </c>
      <c r="G1917" s="52">
        <v>210638.468531611</v>
      </c>
      <c r="H1917" s="56">
        <v>0.10030728910154314</v>
      </c>
      <c r="I1917" s="224" t="s">
        <v>2</v>
      </c>
    </row>
    <row r="1918" spans="1:9" x14ac:dyDescent="0.25">
      <c r="A1918" s="515">
        <v>58201</v>
      </c>
      <c r="B1918" s="515" t="s">
        <v>624</v>
      </c>
      <c r="C1918" s="52">
        <v>267114.692048939</v>
      </c>
      <c r="D1918" s="56">
        <v>1.8301370357294282E-2</v>
      </c>
      <c r="E1918" s="224">
        <v>857.73809523809496</v>
      </c>
      <c r="F1918" s="515" t="s">
        <v>1189</v>
      </c>
      <c r="G1918" s="52">
        <v>219547.37946844101</v>
      </c>
      <c r="H1918" s="56">
        <v>0.13250033163402755</v>
      </c>
      <c r="I1918" s="224" t="s">
        <v>2</v>
      </c>
    </row>
    <row r="1919" spans="1:9" x14ac:dyDescent="0.25">
      <c r="A1919" s="515">
        <v>85730</v>
      </c>
      <c r="B1919" s="515" t="s">
        <v>368</v>
      </c>
      <c r="C1919" s="52">
        <v>269283.73367725703</v>
      </c>
      <c r="D1919" s="56">
        <v>5.5792493560585417E-2</v>
      </c>
      <c r="E1919" s="224">
        <v>1652.0833333333301</v>
      </c>
      <c r="F1919" s="515" t="s">
        <v>3525</v>
      </c>
      <c r="G1919" s="52">
        <v>626783.31290699495</v>
      </c>
      <c r="H1919" s="56">
        <v>-1.2937668251246552E-4</v>
      </c>
      <c r="I1919" s="224" t="s">
        <v>2</v>
      </c>
    </row>
    <row r="1920" spans="1:9" x14ac:dyDescent="0.25">
      <c r="A1920" s="515">
        <v>13021</v>
      </c>
      <c r="B1920" s="515" t="s">
        <v>986</v>
      </c>
      <c r="C1920" s="52">
        <v>173953.09976904601</v>
      </c>
      <c r="D1920" s="56">
        <v>9.3342418307302305E-2</v>
      </c>
      <c r="E1920" s="224" t="s">
        <v>2</v>
      </c>
      <c r="F1920" s="515" t="s">
        <v>3526</v>
      </c>
      <c r="G1920" s="52">
        <v>223250.51538160199</v>
      </c>
      <c r="H1920" s="56">
        <v>9.0349816666087327E-3</v>
      </c>
      <c r="I1920" s="224" t="s">
        <v>2</v>
      </c>
    </row>
    <row r="1921" spans="1:9" x14ac:dyDescent="0.25">
      <c r="A1921" s="515">
        <v>78413</v>
      </c>
      <c r="B1921" s="515" t="s">
        <v>415</v>
      </c>
      <c r="C1921" s="52">
        <v>251184.67858698999</v>
      </c>
      <c r="D1921" s="56">
        <v>3.884280279050361E-2</v>
      </c>
      <c r="E1921" s="224">
        <v>1200.4017094016999</v>
      </c>
      <c r="F1921" s="515" t="s">
        <v>755</v>
      </c>
      <c r="G1921" s="52">
        <v>162696.34848269899</v>
      </c>
      <c r="H1921" s="56">
        <v>6.4753094691260282E-2</v>
      </c>
      <c r="I1921" s="224">
        <v>900</v>
      </c>
    </row>
    <row r="1922" spans="1:9" x14ac:dyDescent="0.25">
      <c r="A1922" s="515">
        <v>98026</v>
      </c>
      <c r="B1922" s="515" t="s">
        <v>384</v>
      </c>
      <c r="C1922" s="52">
        <v>768371.73210471799</v>
      </c>
      <c r="D1922" s="56">
        <v>3.962911038088128E-2</v>
      </c>
      <c r="E1922" s="224">
        <v>2174.8333333333298</v>
      </c>
      <c r="F1922" s="515" t="s">
        <v>3527</v>
      </c>
      <c r="G1922" s="52">
        <v>799494.72581211501</v>
      </c>
      <c r="H1922" s="56">
        <v>2.7608297690340194E-3</v>
      </c>
      <c r="I1922" s="224">
        <v>3183.3333333333298</v>
      </c>
    </row>
    <row r="1923" spans="1:9" x14ac:dyDescent="0.25">
      <c r="A1923" s="515">
        <v>91776</v>
      </c>
      <c r="B1923" s="515" t="s">
        <v>375</v>
      </c>
      <c r="C1923" s="52">
        <v>852415.17595667497</v>
      </c>
      <c r="D1923" s="56">
        <v>5.6560035791146969E-2</v>
      </c>
      <c r="E1923" s="224">
        <v>2412.7777777777701</v>
      </c>
      <c r="F1923" s="515" t="s">
        <v>3528</v>
      </c>
      <c r="G1923" s="52">
        <v>253263.848610071</v>
      </c>
      <c r="H1923" s="56">
        <v>8.5716824187581031E-2</v>
      </c>
      <c r="I1923" s="224" t="s">
        <v>2</v>
      </c>
    </row>
    <row r="1924" spans="1:9" x14ac:dyDescent="0.25">
      <c r="A1924" s="515">
        <v>90031</v>
      </c>
      <c r="B1924" s="515" t="s">
        <v>375</v>
      </c>
      <c r="C1924" s="52">
        <v>763607.69174323301</v>
      </c>
      <c r="D1924" s="56">
        <v>4.3062511791443797E-2</v>
      </c>
      <c r="E1924" s="224">
        <v>1992.5</v>
      </c>
      <c r="F1924" s="515" t="s">
        <v>829</v>
      </c>
      <c r="G1924" s="52">
        <v>168068.67364578499</v>
      </c>
      <c r="H1924" s="56">
        <v>7.7507960095014442E-2</v>
      </c>
      <c r="I1924" s="224" t="s">
        <v>2</v>
      </c>
    </row>
    <row r="1925" spans="1:9" x14ac:dyDescent="0.25">
      <c r="A1925" s="515">
        <v>85043</v>
      </c>
      <c r="B1925" s="515" t="s">
        <v>563</v>
      </c>
      <c r="C1925" s="52">
        <v>359249.51272420899</v>
      </c>
      <c r="D1925" s="56">
        <v>5.3628390847433371E-2</v>
      </c>
      <c r="E1925" s="224">
        <v>2047.3416666666601</v>
      </c>
      <c r="F1925" s="515" t="s">
        <v>3529</v>
      </c>
      <c r="G1925" s="52">
        <v>260142.136469844</v>
      </c>
      <c r="H1925" s="56">
        <v>6.0644245322113322E-2</v>
      </c>
      <c r="I1925" s="224">
        <v>1187.5</v>
      </c>
    </row>
    <row r="1926" spans="1:9" x14ac:dyDescent="0.25">
      <c r="A1926" s="515">
        <v>60565</v>
      </c>
      <c r="B1926" s="515" t="s">
        <v>394</v>
      </c>
      <c r="C1926" s="52">
        <v>467469.09526090202</v>
      </c>
      <c r="D1926" s="56">
        <v>6.2262630004334255E-2</v>
      </c>
      <c r="E1926" s="224">
        <v>1772.4722222222199</v>
      </c>
      <c r="F1926" s="515" t="s">
        <v>3530</v>
      </c>
      <c r="G1926" s="52">
        <v>301087.23376432201</v>
      </c>
      <c r="H1926" s="56">
        <v>8.775832171985834E-2</v>
      </c>
      <c r="I1926" s="224">
        <v>1760.8333333333301</v>
      </c>
    </row>
    <row r="1927" spans="1:9" x14ac:dyDescent="0.25">
      <c r="A1927" s="515">
        <v>60025</v>
      </c>
      <c r="B1927" s="515" t="s">
        <v>394</v>
      </c>
      <c r="C1927" s="52">
        <v>461786.895114891</v>
      </c>
      <c r="D1927" s="56">
        <v>3.9845797155694841E-2</v>
      </c>
      <c r="E1927" s="224">
        <v>2122.6666666666601</v>
      </c>
      <c r="F1927" s="515" t="s">
        <v>3531</v>
      </c>
      <c r="G1927" s="52">
        <v>363673.03728714999</v>
      </c>
      <c r="H1927" s="56">
        <v>7.4244103721072388E-2</v>
      </c>
      <c r="I1927" s="224">
        <v>2529.6944444444398</v>
      </c>
    </row>
    <row r="1928" spans="1:9" x14ac:dyDescent="0.25">
      <c r="A1928" s="515">
        <v>8820</v>
      </c>
      <c r="B1928" s="515" t="s">
        <v>324</v>
      </c>
      <c r="C1928" s="52">
        <v>625715.08244038001</v>
      </c>
      <c r="D1928" s="56">
        <v>4.8596318168356946E-2</v>
      </c>
      <c r="E1928" s="224">
        <v>2650</v>
      </c>
      <c r="F1928" s="515" t="s">
        <v>3532</v>
      </c>
      <c r="G1928" s="52">
        <v>1043537.37089556</v>
      </c>
      <c r="H1928" s="56">
        <v>3.0726336547400097E-2</v>
      </c>
      <c r="I1928" s="224">
        <v>2517.8605006104999</v>
      </c>
    </row>
    <row r="1929" spans="1:9" x14ac:dyDescent="0.25">
      <c r="A1929" s="515">
        <v>95928</v>
      </c>
      <c r="B1929" s="515" t="s">
        <v>580</v>
      </c>
      <c r="C1929" s="52">
        <v>448416.32208712702</v>
      </c>
      <c r="D1929" s="56">
        <v>9.2468229645286393E-3</v>
      </c>
      <c r="E1929" s="224">
        <v>1620.55131143366</v>
      </c>
      <c r="F1929" s="515" t="s">
        <v>3533</v>
      </c>
      <c r="G1929" s="52">
        <v>611773.501040195</v>
      </c>
      <c r="H1929" s="56">
        <v>0.13283479706118956</v>
      </c>
      <c r="I1929" s="224">
        <v>2662.5</v>
      </c>
    </row>
    <row r="1930" spans="1:9" x14ac:dyDescent="0.25">
      <c r="A1930" s="515">
        <v>78109</v>
      </c>
      <c r="B1930" s="515" t="s">
        <v>717</v>
      </c>
      <c r="C1930" s="52">
        <v>265158.20008741302</v>
      </c>
      <c r="D1930" s="56">
        <v>8.3041962275303721E-2</v>
      </c>
      <c r="E1930" s="224">
        <v>1648.7599067599001</v>
      </c>
      <c r="F1930" s="515" t="s">
        <v>3534</v>
      </c>
      <c r="G1930" s="52">
        <v>347267.57143901498</v>
      </c>
      <c r="H1930" s="56">
        <v>0.13302998773534649</v>
      </c>
      <c r="I1930" s="224">
        <v>2415.6944444444398</v>
      </c>
    </row>
    <row r="1931" spans="1:9" x14ac:dyDescent="0.25">
      <c r="A1931" s="515">
        <v>53221</v>
      </c>
      <c r="B1931" s="515" t="s">
        <v>950</v>
      </c>
      <c r="C1931" s="52">
        <v>227897.39884768901</v>
      </c>
      <c r="D1931" s="56">
        <v>7.0771261498945706E-2</v>
      </c>
      <c r="E1931" s="224" t="s">
        <v>2</v>
      </c>
      <c r="F1931" s="515" t="s">
        <v>3535</v>
      </c>
      <c r="G1931" s="52">
        <v>2101920.3744803099</v>
      </c>
      <c r="H1931" s="56">
        <v>9.367162626866897E-3</v>
      </c>
      <c r="I1931" s="224">
        <v>3572.9799498746802</v>
      </c>
    </row>
    <row r="1932" spans="1:9" x14ac:dyDescent="0.25">
      <c r="A1932" s="515">
        <v>62704</v>
      </c>
      <c r="B1932" s="515" t="s">
        <v>819</v>
      </c>
      <c r="C1932" s="52">
        <v>154048.23014703201</v>
      </c>
      <c r="D1932" s="56">
        <v>4.4846868337872034E-2</v>
      </c>
      <c r="E1932" s="224">
        <v>905.83333333333303</v>
      </c>
      <c r="F1932" s="515" t="s">
        <v>3536</v>
      </c>
      <c r="G1932" s="52">
        <v>131098.049129227</v>
      </c>
      <c r="H1932" s="56">
        <v>2.0508485486108403E-2</v>
      </c>
      <c r="I1932" s="224" t="s">
        <v>2</v>
      </c>
    </row>
    <row r="1933" spans="1:9" x14ac:dyDescent="0.25">
      <c r="A1933" s="515">
        <v>20706</v>
      </c>
      <c r="B1933" s="515" t="s">
        <v>321</v>
      </c>
      <c r="C1933" s="52">
        <v>402499.12253427901</v>
      </c>
      <c r="D1933" s="56">
        <v>1.8866773687392081E-2</v>
      </c>
      <c r="E1933" s="224" t="s">
        <v>2</v>
      </c>
      <c r="F1933" s="515" t="s">
        <v>3537</v>
      </c>
      <c r="G1933" s="52">
        <v>390397.38608433702</v>
      </c>
      <c r="H1933" s="56">
        <v>5.5573853190980127E-2</v>
      </c>
      <c r="I1933" s="224">
        <v>1838.3333333333301</v>
      </c>
    </row>
    <row r="1934" spans="1:9" x14ac:dyDescent="0.25">
      <c r="A1934" s="515">
        <v>28226</v>
      </c>
      <c r="B1934" s="515" t="s">
        <v>360</v>
      </c>
      <c r="C1934" s="52">
        <v>540033.302278811</v>
      </c>
      <c r="D1934" s="56">
        <v>8.5448658964975555E-2</v>
      </c>
      <c r="E1934" s="224">
        <v>1637.7777777777701</v>
      </c>
      <c r="F1934" s="515" t="s">
        <v>3538</v>
      </c>
      <c r="G1934" s="52">
        <v>392182.60435201402</v>
      </c>
      <c r="H1934" s="56">
        <v>2.0483793867438916E-2</v>
      </c>
      <c r="I1934" s="224">
        <v>1796</v>
      </c>
    </row>
    <row r="1935" spans="1:9" x14ac:dyDescent="0.25">
      <c r="A1935" s="515">
        <v>79927</v>
      </c>
      <c r="B1935" s="515" t="s">
        <v>1119</v>
      </c>
      <c r="C1935" s="52">
        <v>161871.02911884099</v>
      </c>
      <c r="D1935" s="56">
        <v>0.15011059234282212</v>
      </c>
      <c r="E1935" s="224" t="s">
        <v>2</v>
      </c>
      <c r="F1935" s="515" t="s">
        <v>3539</v>
      </c>
      <c r="G1935" s="52">
        <v>317899.60203494702</v>
      </c>
      <c r="H1935" s="56">
        <v>6.3971954303785536E-2</v>
      </c>
      <c r="I1935" s="224" t="s">
        <v>2</v>
      </c>
    </row>
    <row r="1936" spans="1:9" x14ac:dyDescent="0.25">
      <c r="A1936" s="515">
        <v>33160</v>
      </c>
      <c r="B1936" s="515" t="s">
        <v>831</v>
      </c>
      <c r="C1936" s="52">
        <v>548116.94415246905</v>
      </c>
      <c r="D1936" s="56">
        <v>0.14806565494826188</v>
      </c>
      <c r="E1936" s="224">
        <v>3733.8488082039898</v>
      </c>
      <c r="F1936" s="515" t="s">
        <v>3540</v>
      </c>
      <c r="G1936" s="52">
        <v>288890.78791172698</v>
      </c>
      <c r="H1936" s="56">
        <v>8.8929207135322111E-2</v>
      </c>
      <c r="I1936" s="224">
        <v>1455.55555555555</v>
      </c>
    </row>
    <row r="1937" spans="1:9" x14ac:dyDescent="0.25">
      <c r="A1937" s="515">
        <v>60101</v>
      </c>
      <c r="B1937" s="515" t="s">
        <v>394</v>
      </c>
      <c r="C1937" s="52">
        <v>292605.716453548</v>
      </c>
      <c r="D1937" s="56">
        <v>2.9996921209140857E-2</v>
      </c>
      <c r="E1937" s="224" t="s">
        <v>2</v>
      </c>
      <c r="F1937" s="515" t="s">
        <v>1224</v>
      </c>
      <c r="G1937" s="52">
        <v>118704.318497959</v>
      </c>
      <c r="H1937" s="56">
        <v>-3.8597441033586727E-2</v>
      </c>
      <c r="I1937" s="224" t="s">
        <v>2</v>
      </c>
    </row>
    <row r="1938" spans="1:9" x14ac:dyDescent="0.25">
      <c r="A1938" s="515">
        <v>95833</v>
      </c>
      <c r="B1938" s="515" t="s">
        <v>355</v>
      </c>
      <c r="C1938" s="52">
        <v>425331.54967499699</v>
      </c>
      <c r="D1938" s="56">
        <v>3.7451345519312687E-2</v>
      </c>
      <c r="E1938" s="224">
        <v>2198.88888888888</v>
      </c>
      <c r="F1938" s="515" t="s">
        <v>3541</v>
      </c>
      <c r="G1938" s="52">
        <v>165532.73472735999</v>
      </c>
      <c r="H1938" s="56">
        <v>2.2113621355750814E-2</v>
      </c>
      <c r="I1938" s="224">
        <v>1351.3555555555499</v>
      </c>
    </row>
    <row r="1939" spans="1:9" x14ac:dyDescent="0.25">
      <c r="A1939" s="515">
        <v>21157</v>
      </c>
      <c r="B1939" s="515" t="s">
        <v>582</v>
      </c>
      <c r="C1939" s="52">
        <v>397894.203653907</v>
      </c>
      <c r="D1939" s="56">
        <v>3.395255087313747E-2</v>
      </c>
      <c r="E1939" s="224">
        <v>1506.80555555555</v>
      </c>
      <c r="F1939" s="515" t="s">
        <v>3542</v>
      </c>
      <c r="G1939" s="52">
        <v>634948.613810429</v>
      </c>
      <c r="H1939" s="56">
        <v>5.5611620926295936E-2</v>
      </c>
      <c r="I1939" s="224" t="s">
        <v>2</v>
      </c>
    </row>
    <row r="1940" spans="1:9" x14ac:dyDescent="0.25">
      <c r="A1940" s="515">
        <v>95765</v>
      </c>
      <c r="B1940" s="515" t="s">
        <v>355</v>
      </c>
      <c r="C1940" s="52">
        <v>681410.48881342704</v>
      </c>
      <c r="D1940" s="56">
        <v>-8.9700239673443961E-3</v>
      </c>
      <c r="E1940" s="224">
        <v>2784.8619047619</v>
      </c>
      <c r="F1940" s="515" t="s">
        <v>3543</v>
      </c>
      <c r="G1940" s="52">
        <v>282424.404480025</v>
      </c>
      <c r="H1940" s="56">
        <v>0.12379313649840101</v>
      </c>
      <c r="I1940" s="224" t="s">
        <v>2</v>
      </c>
    </row>
    <row r="1941" spans="1:9" x14ac:dyDescent="0.25">
      <c r="A1941" s="515">
        <v>10026</v>
      </c>
      <c r="B1941" s="515" t="s">
        <v>324</v>
      </c>
      <c r="C1941" s="52">
        <v>792582.31951211405</v>
      </c>
      <c r="D1941" s="56">
        <v>-4.6496020072906055E-2</v>
      </c>
      <c r="E1941" s="224">
        <v>2962.2185185185099</v>
      </c>
      <c r="F1941" s="515" t="s">
        <v>3544</v>
      </c>
      <c r="G1941" s="52">
        <v>270421.27275933902</v>
      </c>
      <c r="H1941" s="56">
        <v>2.7575751925638613E-2</v>
      </c>
      <c r="I1941" s="224">
        <v>2094.3333333333298</v>
      </c>
    </row>
    <row r="1942" spans="1:9" x14ac:dyDescent="0.25">
      <c r="A1942" s="515">
        <v>33908</v>
      </c>
      <c r="B1942" s="515" t="s">
        <v>661</v>
      </c>
      <c r="C1942" s="52">
        <v>399161.92281791702</v>
      </c>
      <c r="D1942" s="56">
        <v>0.12117117769335929</v>
      </c>
      <c r="E1942" s="224">
        <v>2577.8194444444398</v>
      </c>
      <c r="F1942" s="515" t="s">
        <v>3545</v>
      </c>
      <c r="G1942" s="52">
        <v>303059.66882521001</v>
      </c>
      <c r="H1942" s="56">
        <v>0.20736243184709974</v>
      </c>
      <c r="I1942" s="224" t="s">
        <v>2</v>
      </c>
    </row>
    <row r="1943" spans="1:9" x14ac:dyDescent="0.25">
      <c r="A1943" s="515">
        <v>89149</v>
      </c>
      <c r="B1943" s="515" t="s">
        <v>323</v>
      </c>
      <c r="C1943" s="52">
        <v>452014.61213280098</v>
      </c>
      <c r="D1943" s="56">
        <v>3.6230411581030526E-2</v>
      </c>
      <c r="E1943" s="224">
        <v>1921.6260683760599</v>
      </c>
      <c r="F1943" s="515" t="s">
        <v>3546</v>
      </c>
      <c r="G1943" s="52">
        <v>372812.40347914997</v>
      </c>
      <c r="H1943" s="56">
        <v>6.2614381959197468E-2</v>
      </c>
      <c r="I1943" s="224" t="s">
        <v>2</v>
      </c>
    </row>
    <row r="1944" spans="1:9" x14ac:dyDescent="0.25">
      <c r="A1944" s="515">
        <v>85018</v>
      </c>
      <c r="B1944" s="515" t="s">
        <v>563</v>
      </c>
      <c r="C1944" s="52">
        <v>838416.75520994002</v>
      </c>
      <c r="D1944" s="56">
        <v>6.7676038815997722E-2</v>
      </c>
      <c r="E1944" s="224">
        <v>1918.34102564102</v>
      </c>
      <c r="F1944" s="515" t="s">
        <v>3547</v>
      </c>
      <c r="G1944" s="52">
        <v>590767.36008224904</v>
      </c>
      <c r="H1944" s="56">
        <v>2.5985570938286653E-2</v>
      </c>
      <c r="I1944" s="224">
        <v>1810.29545454545</v>
      </c>
    </row>
    <row r="1945" spans="1:9" x14ac:dyDescent="0.25">
      <c r="A1945" s="515">
        <v>95382</v>
      </c>
      <c r="B1945" s="515" t="s">
        <v>797</v>
      </c>
      <c r="C1945" s="52">
        <v>473566.02554673399</v>
      </c>
      <c r="D1945" s="56">
        <v>3.3397141363555094E-2</v>
      </c>
      <c r="E1945" s="224">
        <v>2214.8611111111099</v>
      </c>
      <c r="F1945" s="515" t="s">
        <v>3548</v>
      </c>
      <c r="G1945" s="52">
        <v>611414.72911580501</v>
      </c>
      <c r="H1945" s="56">
        <v>5.7126830321757513E-2</v>
      </c>
      <c r="I1945" s="224">
        <v>2377.5</v>
      </c>
    </row>
    <row r="1946" spans="1:9" x14ac:dyDescent="0.25">
      <c r="A1946" s="515">
        <v>60504</v>
      </c>
      <c r="B1946" s="515" t="s">
        <v>394</v>
      </c>
      <c r="C1946" s="52">
        <v>277899.50989339902</v>
      </c>
      <c r="D1946" s="56">
        <v>6.433993363142862E-2</v>
      </c>
      <c r="E1946" s="224">
        <v>1938.125</v>
      </c>
      <c r="F1946" s="515" t="s">
        <v>329</v>
      </c>
      <c r="G1946" s="52">
        <v>166453.74468029899</v>
      </c>
      <c r="H1946" s="56">
        <v>6.5611141588834423E-2</v>
      </c>
      <c r="I1946" s="224">
        <v>1056.25</v>
      </c>
    </row>
    <row r="1947" spans="1:9" x14ac:dyDescent="0.25">
      <c r="A1947" s="515">
        <v>20032</v>
      </c>
      <c r="B1947" s="515" t="s">
        <v>321</v>
      </c>
      <c r="C1947" s="52">
        <v>353916.44602209597</v>
      </c>
      <c r="D1947" s="56">
        <v>2.300596051657933E-2</v>
      </c>
      <c r="E1947" s="224">
        <v>1480.55555555555</v>
      </c>
      <c r="F1947" s="515" t="s">
        <v>3549</v>
      </c>
      <c r="G1947" s="52">
        <v>279851.18640511599</v>
      </c>
      <c r="H1947" s="56">
        <v>7.3541504528453233E-2</v>
      </c>
      <c r="I1947" s="224" t="s">
        <v>2</v>
      </c>
    </row>
    <row r="1948" spans="1:9" x14ac:dyDescent="0.25">
      <c r="A1948" s="515">
        <v>32257</v>
      </c>
      <c r="B1948" s="515" t="s">
        <v>1158</v>
      </c>
      <c r="C1948" s="52">
        <v>340891.11580950202</v>
      </c>
      <c r="D1948" s="56">
        <v>0.10386977240242068</v>
      </c>
      <c r="E1948" s="224">
        <v>1697.0277777777701</v>
      </c>
      <c r="F1948" s="515" t="s">
        <v>3550</v>
      </c>
      <c r="G1948" s="52">
        <v>283652.15405379498</v>
      </c>
      <c r="H1948" s="56">
        <v>0.1004300393848342</v>
      </c>
      <c r="I1948" s="224">
        <v>1800</v>
      </c>
    </row>
    <row r="1949" spans="1:9" x14ac:dyDescent="0.25">
      <c r="A1949" s="515">
        <v>23602</v>
      </c>
      <c r="B1949" s="515" t="s">
        <v>301</v>
      </c>
      <c r="C1949" s="52">
        <v>265816.27294658701</v>
      </c>
      <c r="D1949" s="56">
        <v>7.4769742059506566E-2</v>
      </c>
      <c r="E1949" s="224">
        <v>1441.4787330316699</v>
      </c>
      <c r="F1949" s="515" t="s">
        <v>1141</v>
      </c>
      <c r="G1949" s="52">
        <v>149542.702221085</v>
      </c>
      <c r="H1949" s="56">
        <v>4.9541985683611248E-2</v>
      </c>
      <c r="I1949" s="224" t="s">
        <v>2</v>
      </c>
    </row>
    <row r="1950" spans="1:9" x14ac:dyDescent="0.25">
      <c r="A1950" s="515">
        <v>63017</v>
      </c>
      <c r="B1950" s="515" t="s">
        <v>498</v>
      </c>
      <c r="C1950" s="52">
        <v>457197.29087069799</v>
      </c>
      <c r="D1950" s="56">
        <v>7.1835135754024504E-2</v>
      </c>
      <c r="E1950" s="224">
        <v>1491.7777777777701</v>
      </c>
      <c r="F1950" s="515" t="s">
        <v>3551</v>
      </c>
      <c r="G1950" s="52">
        <v>529409.28705195198</v>
      </c>
      <c r="H1950" s="56">
        <v>9.6632318964763198E-3</v>
      </c>
      <c r="I1950" s="224">
        <v>2559.1666666666601</v>
      </c>
    </row>
    <row r="1951" spans="1:9" x14ac:dyDescent="0.25">
      <c r="A1951" s="515">
        <v>7731</v>
      </c>
      <c r="B1951" s="515" t="s">
        <v>324</v>
      </c>
      <c r="C1951" s="52">
        <v>516848.05239831202</v>
      </c>
      <c r="D1951" s="56">
        <v>0.13022586626553062</v>
      </c>
      <c r="E1951" s="224">
        <v>2306</v>
      </c>
      <c r="F1951" s="515" t="s">
        <v>3552</v>
      </c>
      <c r="G1951" s="52">
        <v>184300.85166202899</v>
      </c>
      <c r="H1951" s="56">
        <v>-5.1780204849928166E-2</v>
      </c>
      <c r="I1951" s="224">
        <v>1619.1666666666599</v>
      </c>
    </row>
    <row r="1952" spans="1:9" x14ac:dyDescent="0.25">
      <c r="A1952" s="515">
        <v>97303</v>
      </c>
      <c r="B1952" s="515" t="s">
        <v>416</v>
      </c>
      <c r="C1952" s="52">
        <v>415293.53291873302</v>
      </c>
      <c r="D1952" s="56">
        <v>1.9382997855291302E-2</v>
      </c>
      <c r="E1952" s="224">
        <v>1435</v>
      </c>
      <c r="F1952" s="515" t="s">
        <v>3553</v>
      </c>
      <c r="G1952" s="52">
        <v>245469.52878110201</v>
      </c>
      <c r="H1952" s="56">
        <v>8.1630574717844448E-2</v>
      </c>
      <c r="I1952" s="224" t="s">
        <v>2</v>
      </c>
    </row>
    <row r="1953" spans="1:9" x14ac:dyDescent="0.25">
      <c r="A1953" s="515">
        <v>19146</v>
      </c>
      <c r="B1953" s="515" t="s">
        <v>294</v>
      </c>
      <c r="C1953" s="52">
        <v>367031.52468129602</v>
      </c>
      <c r="D1953" s="56">
        <v>1.1019277381863332E-2</v>
      </c>
      <c r="E1953" s="224">
        <v>1859.75992063492</v>
      </c>
      <c r="F1953" s="515" t="s">
        <v>3554</v>
      </c>
      <c r="G1953" s="52">
        <v>444353.35982800898</v>
      </c>
      <c r="H1953" s="56">
        <v>4.3161255664708582E-2</v>
      </c>
      <c r="I1953" s="224">
        <v>3067.8333333333298</v>
      </c>
    </row>
    <row r="1954" spans="1:9" x14ac:dyDescent="0.25">
      <c r="A1954" s="515">
        <v>85260</v>
      </c>
      <c r="B1954" s="515" t="s">
        <v>563</v>
      </c>
      <c r="C1954" s="52">
        <v>640923.464984903</v>
      </c>
      <c r="D1954" s="56">
        <v>4.0601370251452315E-2</v>
      </c>
      <c r="E1954" s="224">
        <v>2188.6765689553399</v>
      </c>
      <c r="F1954" s="515" t="s">
        <v>3555</v>
      </c>
      <c r="G1954" s="52">
        <v>1024191.9253628</v>
      </c>
      <c r="H1954" s="56">
        <v>2.9366332330810208E-3</v>
      </c>
      <c r="I1954" s="224">
        <v>2572.5</v>
      </c>
    </row>
    <row r="1955" spans="1:9" x14ac:dyDescent="0.25">
      <c r="A1955" s="515">
        <v>93706</v>
      </c>
      <c r="B1955" s="515" t="s">
        <v>541</v>
      </c>
      <c r="C1955" s="52">
        <v>232921.215849834</v>
      </c>
      <c r="D1955" s="56">
        <v>8.157146726003113E-2</v>
      </c>
      <c r="E1955" s="224" t="s">
        <v>2</v>
      </c>
      <c r="F1955" s="515" t="s">
        <v>3556</v>
      </c>
      <c r="G1955" s="52">
        <v>315120.21461859997</v>
      </c>
      <c r="H1955" s="56">
        <v>6.2435422842181058E-2</v>
      </c>
      <c r="I1955" s="224">
        <v>1658.3333333333301</v>
      </c>
    </row>
    <row r="1956" spans="1:9" x14ac:dyDescent="0.25">
      <c r="A1956" s="515">
        <v>46237</v>
      </c>
      <c r="B1956" s="515" t="s">
        <v>403</v>
      </c>
      <c r="C1956" s="52">
        <v>245216.88843693901</v>
      </c>
      <c r="D1956" s="56">
        <v>5.942811880877813E-2</v>
      </c>
      <c r="E1956" s="224">
        <v>1595.8392857142801</v>
      </c>
      <c r="F1956" s="515" t="s">
        <v>3557</v>
      </c>
      <c r="G1956" s="52">
        <v>312939.78705154097</v>
      </c>
      <c r="H1956" s="56">
        <v>8.9889494125274166E-2</v>
      </c>
      <c r="I1956" s="224" t="s">
        <v>2</v>
      </c>
    </row>
    <row r="1957" spans="1:9" x14ac:dyDescent="0.25">
      <c r="A1957" s="515">
        <v>60586</v>
      </c>
      <c r="B1957" s="515" t="s">
        <v>394</v>
      </c>
      <c r="C1957" s="52">
        <v>316731.66695274803</v>
      </c>
      <c r="D1957" s="56">
        <v>6.8202457691285176E-2</v>
      </c>
      <c r="E1957" s="224">
        <v>2283.75</v>
      </c>
      <c r="F1957" s="515" t="s">
        <v>3558</v>
      </c>
      <c r="G1957" s="52">
        <v>770871.83299733698</v>
      </c>
      <c r="H1957" s="56">
        <v>5.3830903538856403E-2</v>
      </c>
      <c r="I1957" s="224">
        <v>3725</v>
      </c>
    </row>
    <row r="1958" spans="1:9" x14ac:dyDescent="0.25">
      <c r="A1958" s="515">
        <v>6513</v>
      </c>
      <c r="B1958" s="515" t="s">
        <v>1172</v>
      </c>
      <c r="C1958" s="52">
        <v>228862.618057735</v>
      </c>
      <c r="D1958" s="56">
        <v>0.10264303085965219</v>
      </c>
      <c r="E1958" s="224">
        <v>1513.3333333333301</v>
      </c>
      <c r="F1958" s="515" t="s">
        <v>3559</v>
      </c>
      <c r="G1958" s="52">
        <v>347398.02051254699</v>
      </c>
      <c r="H1958" s="56">
        <v>8.6161816223366411E-2</v>
      </c>
      <c r="I1958" s="224">
        <v>1759.5238095238001</v>
      </c>
    </row>
    <row r="1959" spans="1:9" x14ac:dyDescent="0.25">
      <c r="A1959" s="515">
        <v>85392</v>
      </c>
      <c r="B1959" s="515" t="s">
        <v>563</v>
      </c>
      <c r="C1959" s="52">
        <v>404129.277571343</v>
      </c>
      <c r="D1959" s="56">
        <v>3.7774708617507792E-2</v>
      </c>
      <c r="E1959" s="224">
        <v>1777.97565217391</v>
      </c>
      <c r="F1959" s="515" t="s">
        <v>3560</v>
      </c>
      <c r="G1959" s="52">
        <v>189131.64237820599</v>
      </c>
      <c r="H1959" s="56">
        <v>8.7243351990700407E-2</v>
      </c>
      <c r="I1959" s="224">
        <v>1383.05555555555</v>
      </c>
    </row>
    <row r="1960" spans="1:9" x14ac:dyDescent="0.25">
      <c r="A1960" s="515">
        <v>70810</v>
      </c>
      <c r="B1960" s="515" t="s">
        <v>610</v>
      </c>
      <c r="C1960" s="52">
        <v>302952.34676985099</v>
      </c>
      <c r="D1960" s="56">
        <v>3.9960421799899469E-2</v>
      </c>
      <c r="E1960" s="224">
        <v>1355.8207070707001</v>
      </c>
      <c r="F1960" s="515" t="s">
        <v>334</v>
      </c>
      <c r="G1960" s="52">
        <v>210736.31835129001</v>
      </c>
      <c r="H1960" s="56">
        <v>8.2746256431419626E-2</v>
      </c>
      <c r="I1960" s="224">
        <v>1031.94444444444</v>
      </c>
    </row>
    <row r="1961" spans="1:9" x14ac:dyDescent="0.25">
      <c r="A1961" s="515">
        <v>27893</v>
      </c>
      <c r="B1961" s="515" t="s">
        <v>780</v>
      </c>
      <c r="C1961" s="52">
        <v>142064.07136221699</v>
      </c>
      <c r="D1961" s="56">
        <v>0.23989812833785143</v>
      </c>
      <c r="E1961" s="224" t="s">
        <v>2</v>
      </c>
      <c r="F1961" s="515" t="s">
        <v>3561</v>
      </c>
      <c r="G1961" s="52">
        <v>715002.44453218603</v>
      </c>
      <c r="H1961" s="56">
        <v>2.4868796876204056E-2</v>
      </c>
      <c r="I1961" s="224">
        <v>2317.3293650793598</v>
      </c>
    </row>
    <row r="1962" spans="1:9" x14ac:dyDescent="0.25">
      <c r="A1962" s="515">
        <v>60169</v>
      </c>
      <c r="B1962" s="515" t="s">
        <v>394</v>
      </c>
      <c r="C1962" s="52">
        <v>274347.55245650298</v>
      </c>
      <c r="D1962" s="56">
        <v>4.962830034160045E-2</v>
      </c>
      <c r="E1962" s="224">
        <v>1614.0277777777701</v>
      </c>
      <c r="F1962" s="515" t="s">
        <v>3562</v>
      </c>
      <c r="G1962" s="52">
        <v>345853.78024723998</v>
      </c>
      <c r="H1962" s="56">
        <v>8.2132138307258545E-2</v>
      </c>
      <c r="I1962" s="224">
        <v>1649.44444444444</v>
      </c>
    </row>
    <row r="1963" spans="1:9" x14ac:dyDescent="0.25">
      <c r="A1963" s="515">
        <v>95826</v>
      </c>
      <c r="B1963" s="515" t="s">
        <v>355</v>
      </c>
      <c r="C1963" s="52">
        <v>442269.162790948</v>
      </c>
      <c r="D1963" s="56">
        <v>4.6169435721760854E-2</v>
      </c>
      <c r="E1963" s="224">
        <v>1993.6535714285701</v>
      </c>
      <c r="F1963" s="515" t="s">
        <v>3563</v>
      </c>
      <c r="G1963" s="52">
        <v>1035872.57804603</v>
      </c>
      <c r="H1963" s="56">
        <v>5.6829639254466845E-2</v>
      </c>
      <c r="I1963" s="224" t="s">
        <v>2</v>
      </c>
    </row>
    <row r="1964" spans="1:9" x14ac:dyDescent="0.25">
      <c r="A1964" s="515">
        <v>98006</v>
      </c>
      <c r="B1964" s="515" t="s">
        <v>384</v>
      </c>
      <c r="C1964" s="52">
        <v>1438487.78116174</v>
      </c>
      <c r="D1964" s="56">
        <v>3.803769007330577E-2</v>
      </c>
      <c r="E1964" s="224">
        <v>3487.7976190476102</v>
      </c>
      <c r="F1964" s="515" t="s">
        <v>3564</v>
      </c>
      <c r="G1964" s="52">
        <v>385308.41009103297</v>
      </c>
      <c r="H1964" s="56">
        <v>0.1374340160549348</v>
      </c>
      <c r="I1964" s="224">
        <v>2331.6666666666601</v>
      </c>
    </row>
    <row r="1965" spans="1:9" x14ac:dyDescent="0.25">
      <c r="A1965" s="515">
        <v>77583</v>
      </c>
      <c r="B1965" s="515" t="s">
        <v>314</v>
      </c>
      <c r="C1965" s="52">
        <v>325308.92774387199</v>
      </c>
      <c r="D1965" s="56">
        <v>7.5801436316767085E-2</v>
      </c>
      <c r="E1965" s="224">
        <v>2108.5833333333298</v>
      </c>
      <c r="F1965" s="515" t="s">
        <v>1236</v>
      </c>
      <c r="G1965" s="52">
        <v>203711.438965899</v>
      </c>
      <c r="H1965" s="56">
        <v>1.4815801120670101E-2</v>
      </c>
      <c r="I1965" s="224">
        <v>1116.6666666666599</v>
      </c>
    </row>
    <row r="1966" spans="1:9" x14ac:dyDescent="0.25">
      <c r="A1966" s="515">
        <v>85382</v>
      </c>
      <c r="B1966" s="515" t="s">
        <v>563</v>
      </c>
      <c r="C1966" s="52">
        <v>440174.07355160097</v>
      </c>
      <c r="D1966" s="56">
        <v>3.587840805785153E-2</v>
      </c>
      <c r="E1966" s="224">
        <v>1870.37777777777</v>
      </c>
      <c r="F1966" s="515" t="s">
        <v>3565</v>
      </c>
      <c r="G1966" s="52">
        <v>152405.66492601499</v>
      </c>
      <c r="H1966" s="56">
        <v>6.9867027673994275E-2</v>
      </c>
      <c r="I1966" s="224" t="s">
        <v>2</v>
      </c>
    </row>
    <row r="1967" spans="1:9" x14ac:dyDescent="0.25">
      <c r="A1967" s="515">
        <v>33880</v>
      </c>
      <c r="B1967" s="515" t="s">
        <v>359</v>
      </c>
      <c r="C1967" s="52">
        <v>248675.90351423301</v>
      </c>
      <c r="D1967" s="56">
        <v>0.14571401910275747</v>
      </c>
      <c r="E1967" s="224">
        <v>1507.2659932659899</v>
      </c>
      <c r="F1967" s="515" t="s">
        <v>1232</v>
      </c>
      <c r="G1967" s="52">
        <v>263646.09020615998</v>
      </c>
      <c r="H1967" s="56">
        <v>4.5003271235138934E-2</v>
      </c>
      <c r="I1967" s="224">
        <v>1195</v>
      </c>
    </row>
    <row r="1968" spans="1:9" x14ac:dyDescent="0.25">
      <c r="A1968" s="515">
        <v>85374</v>
      </c>
      <c r="B1968" s="515" t="s">
        <v>563</v>
      </c>
      <c r="C1968" s="52">
        <v>401398.08482890902</v>
      </c>
      <c r="D1968" s="56">
        <v>3.8168514166148679E-2</v>
      </c>
      <c r="E1968" s="224">
        <v>1873.32407407407</v>
      </c>
      <c r="F1968" s="515" t="s">
        <v>989</v>
      </c>
      <c r="G1968" s="52">
        <v>130936.148409296</v>
      </c>
      <c r="H1968" s="56">
        <v>9.2564396226946566E-2</v>
      </c>
      <c r="I1968" s="224">
        <v>1172.1111111111099</v>
      </c>
    </row>
    <row r="1969" spans="1:9" x14ac:dyDescent="0.25">
      <c r="A1969" s="515">
        <v>49504</v>
      </c>
      <c r="B1969" s="515" t="s">
        <v>631</v>
      </c>
      <c r="C1969" s="52">
        <v>236019.867955333</v>
      </c>
      <c r="D1969" s="56">
        <v>5.5128394908410955E-2</v>
      </c>
      <c r="E1969" s="224">
        <v>1744.34975961538</v>
      </c>
      <c r="F1969" s="515" t="s">
        <v>1023</v>
      </c>
      <c r="G1969" s="52">
        <v>162317.18885495799</v>
      </c>
      <c r="H1969" s="56">
        <v>7.5947862701738533E-2</v>
      </c>
      <c r="I1969" s="224" t="s">
        <v>2</v>
      </c>
    </row>
    <row r="1970" spans="1:9" x14ac:dyDescent="0.25">
      <c r="A1970" s="515">
        <v>71111</v>
      </c>
      <c r="B1970" s="515" t="s">
        <v>739</v>
      </c>
      <c r="C1970" s="52">
        <v>247271.71347785101</v>
      </c>
      <c r="D1970" s="56">
        <v>6.8431186862509916E-2</v>
      </c>
      <c r="E1970" s="224">
        <v>1280.3869047619</v>
      </c>
      <c r="F1970" s="515" t="s">
        <v>3566</v>
      </c>
      <c r="G1970" s="52">
        <v>271771.96614981798</v>
      </c>
      <c r="H1970" s="56">
        <v>9.6929889126822835E-2</v>
      </c>
      <c r="I1970" s="224" t="s">
        <v>2</v>
      </c>
    </row>
    <row r="1971" spans="1:9" x14ac:dyDescent="0.25">
      <c r="A1971" s="515">
        <v>2138</v>
      </c>
      <c r="B1971" s="515" t="s">
        <v>534</v>
      </c>
      <c r="C1971" s="52">
        <v>989446.86335823499</v>
      </c>
      <c r="D1971" s="56">
        <v>-2.6331760381947393E-2</v>
      </c>
      <c r="E1971" s="224">
        <v>2882.3750841750798</v>
      </c>
      <c r="F1971" s="515" t="s">
        <v>845</v>
      </c>
      <c r="G1971" s="52">
        <v>99746.197274807695</v>
      </c>
      <c r="H1971" s="56">
        <v>9.1926210161374269E-2</v>
      </c>
      <c r="I1971" s="224" t="s">
        <v>2</v>
      </c>
    </row>
    <row r="1972" spans="1:9" x14ac:dyDescent="0.25">
      <c r="A1972" s="515">
        <v>60074</v>
      </c>
      <c r="B1972" s="515" t="s">
        <v>394</v>
      </c>
      <c r="C1972" s="52">
        <v>237708.98087527999</v>
      </c>
      <c r="D1972" s="56">
        <v>1.8199618225667038E-2</v>
      </c>
      <c r="E1972" s="224">
        <v>1375</v>
      </c>
      <c r="F1972" s="515" t="s">
        <v>3567</v>
      </c>
      <c r="G1972" s="52">
        <v>246769.22313527</v>
      </c>
      <c r="H1972" s="56">
        <v>0.14751228021195134</v>
      </c>
      <c r="I1972" s="224">
        <v>1702.5</v>
      </c>
    </row>
    <row r="1973" spans="1:9" x14ac:dyDescent="0.25">
      <c r="A1973" s="515">
        <v>33322</v>
      </c>
      <c r="B1973" s="515" t="s">
        <v>831</v>
      </c>
      <c r="C1973" s="52">
        <v>280247.01304879697</v>
      </c>
      <c r="D1973" s="56">
        <v>0.17847113905651502</v>
      </c>
      <c r="E1973" s="224">
        <v>2387.25</v>
      </c>
      <c r="F1973" s="515" t="s">
        <v>1114</v>
      </c>
      <c r="G1973" s="52">
        <v>105008.796030142</v>
      </c>
      <c r="H1973" s="56">
        <v>0.16383252403342796</v>
      </c>
      <c r="I1973" s="224" t="s">
        <v>2</v>
      </c>
    </row>
    <row r="1974" spans="1:9" x14ac:dyDescent="0.25">
      <c r="A1974" s="515">
        <v>86314</v>
      </c>
      <c r="B1974" s="515" t="s">
        <v>332</v>
      </c>
      <c r="C1974" s="52">
        <v>406933.248851543</v>
      </c>
      <c r="D1974" s="56">
        <v>1.4706719513409581E-2</v>
      </c>
      <c r="E1974" s="224">
        <v>1850.49074074074</v>
      </c>
      <c r="F1974" s="515" t="s">
        <v>525</v>
      </c>
      <c r="G1974" s="52">
        <v>303777.57347660698</v>
      </c>
      <c r="H1974" s="56">
        <v>7.8136663465409421E-3</v>
      </c>
      <c r="I1974" s="224" t="s">
        <v>2</v>
      </c>
    </row>
    <row r="1975" spans="1:9" x14ac:dyDescent="0.25">
      <c r="A1975" s="515">
        <v>78218</v>
      </c>
      <c r="B1975" s="515" t="s">
        <v>717</v>
      </c>
      <c r="C1975" s="52">
        <v>209981.740030463</v>
      </c>
      <c r="D1975" s="56">
        <v>0.10705599727631902</v>
      </c>
      <c r="E1975" s="224">
        <v>1570.19047619047</v>
      </c>
      <c r="F1975" s="515" t="s">
        <v>3568</v>
      </c>
      <c r="G1975" s="52">
        <v>201446.14998067601</v>
      </c>
      <c r="H1975" s="56">
        <v>9.1117701109595217E-2</v>
      </c>
      <c r="I1975" s="224">
        <v>1467.2222222222199</v>
      </c>
    </row>
    <row r="1976" spans="1:9" x14ac:dyDescent="0.25">
      <c r="A1976" s="515">
        <v>63122</v>
      </c>
      <c r="B1976" s="515" t="s">
        <v>498</v>
      </c>
      <c r="C1976" s="52">
        <v>420887.552469644</v>
      </c>
      <c r="D1976" s="56">
        <v>7.3578690043448955E-2</v>
      </c>
      <c r="E1976" s="224">
        <v>1616.07222222222</v>
      </c>
      <c r="F1976" s="515" t="s">
        <v>3569</v>
      </c>
      <c r="G1976" s="52">
        <v>240740.56434454399</v>
      </c>
      <c r="H1976" s="56">
        <v>8.0162329116413258E-2</v>
      </c>
      <c r="I1976" s="224" t="s">
        <v>2</v>
      </c>
    </row>
    <row r="1977" spans="1:9" x14ac:dyDescent="0.25">
      <c r="A1977" s="515">
        <v>94061</v>
      </c>
      <c r="B1977" s="515" t="s">
        <v>593</v>
      </c>
      <c r="C1977" s="52">
        <v>1715970.5834802799</v>
      </c>
      <c r="D1977" s="56">
        <v>2.0536477380343507E-3</v>
      </c>
      <c r="E1977" s="224">
        <v>3292.3917378917299</v>
      </c>
      <c r="F1977" s="515" t="s">
        <v>809</v>
      </c>
      <c r="G1977" s="52">
        <v>164558.87349736699</v>
      </c>
      <c r="H1977" s="56">
        <v>0.12692771220628871</v>
      </c>
      <c r="I1977" s="224" t="s">
        <v>2</v>
      </c>
    </row>
    <row r="1978" spans="1:9" x14ac:dyDescent="0.25">
      <c r="A1978" s="515">
        <v>98087</v>
      </c>
      <c r="B1978" s="515" t="s">
        <v>384</v>
      </c>
      <c r="C1978" s="52">
        <v>685395.66225414095</v>
      </c>
      <c r="D1978" s="56">
        <v>6.9202462998668141E-2</v>
      </c>
      <c r="E1978" s="224">
        <v>2105.0762527233101</v>
      </c>
      <c r="F1978" s="515" t="s">
        <v>3570</v>
      </c>
      <c r="G1978" s="52">
        <v>1859022.9543049999</v>
      </c>
      <c r="H1978" s="56">
        <v>4.6491177810519646E-2</v>
      </c>
      <c r="I1978" s="224">
        <v>3595.7222222222199</v>
      </c>
    </row>
    <row r="1979" spans="1:9" x14ac:dyDescent="0.25">
      <c r="A1979" s="515">
        <v>12866</v>
      </c>
      <c r="B1979" s="515" t="s">
        <v>609</v>
      </c>
      <c r="C1979" s="52">
        <v>485472.85122036003</v>
      </c>
      <c r="D1979" s="56">
        <v>6.4000170603447967E-2</v>
      </c>
      <c r="E1979" s="224">
        <v>2332.11441798941</v>
      </c>
      <c r="F1979" s="515" t="s">
        <v>3571</v>
      </c>
      <c r="G1979" s="52">
        <v>157352.96533958599</v>
      </c>
      <c r="H1979" s="56">
        <v>8.80198978102089E-2</v>
      </c>
      <c r="I1979" s="224" t="s">
        <v>2</v>
      </c>
    </row>
    <row r="1980" spans="1:9" x14ac:dyDescent="0.25">
      <c r="A1980" s="515">
        <v>46901</v>
      </c>
      <c r="B1980" s="515" t="s">
        <v>1185</v>
      </c>
      <c r="C1980" s="52">
        <v>124254.32893895599</v>
      </c>
      <c r="D1980" s="56">
        <v>5.0968329769538023E-2</v>
      </c>
      <c r="E1980" s="224">
        <v>802.77777777777703</v>
      </c>
      <c r="F1980" s="515" t="s">
        <v>3572</v>
      </c>
      <c r="G1980" s="52">
        <v>398947.508231538</v>
      </c>
      <c r="H1980" s="56">
        <v>2.5344981532177038E-2</v>
      </c>
      <c r="I1980" s="224">
        <v>2010.6702075702001</v>
      </c>
    </row>
    <row r="1981" spans="1:9" x14ac:dyDescent="0.25">
      <c r="A1981" s="515">
        <v>70058</v>
      </c>
      <c r="B1981" s="515" t="s">
        <v>777</v>
      </c>
      <c r="C1981" s="52">
        <v>189535.04421723101</v>
      </c>
      <c r="D1981" s="56">
        <v>-3.1019692097944652E-3</v>
      </c>
      <c r="E1981" s="224">
        <v>1239.9814814814799</v>
      </c>
      <c r="F1981" s="515" t="s">
        <v>674</v>
      </c>
      <c r="G1981" s="52">
        <v>258126.65069129801</v>
      </c>
      <c r="H1981" s="56">
        <v>9.5654725860074757E-2</v>
      </c>
      <c r="I1981" s="224" t="s">
        <v>2</v>
      </c>
    </row>
    <row r="1982" spans="1:9" x14ac:dyDescent="0.25">
      <c r="A1982" s="515">
        <v>90020</v>
      </c>
      <c r="B1982" s="515" t="s">
        <v>375</v>
      </c>
      <c r="C1982" s="52">
        <v>710262.70489433897</v>
      </c>
      <c r="D1982" s="56">
        <v>-3.3016320567601801E-2</v>
      </c>
      <c r="E1982" s="224">
        <v>2064.4015458225899</v>
      </c>
      <c r="F1982" s="515" t="s">
        <v>378</v>
      </c>
      <c r="G1982" s="52">
        <v>194209.07007007001</v>
      </c>
      <c r="H1982" s="56">
        <v>0</v>
      </c>
      <c r="I1982" s="224" t="s">
        <v>2</v>
      </c>
    </row>
    <row r="1983" spans="1:9" x14ac:dyDescent="0.25">
      <c r="A1983" s="515">
        <v>22033</v>
      </c>
      <c r="B1983" s="515" t="s">
        <v>321</v>
      </c>
      <c r="C1983" s="52">
        <v>608556.73387759598</v>
      </c>
      <c r="D1983" s="56">
        <v>3.4560495269861172E-2</v>
      </c>
      <c r="E1983" s="224">
        <v>2063.69971224357</v>
      </c>
      <c r="F1983" s="515" t="s">
        <v>3573</v>
      </c>
      <c r="G1983" s="52">
        <v>923580.72645807604</v>
      </c>
      <c r="H1983" s="56">
        <v>3.536819133045261E-2</v>
      </c>
      <c r="I1983" s="224">
        <v>2637.7777777777701</v>
      </c>
    </row>
    <row r="1984" spans="1:9" x14ac:dyDescent="0.25">
      <c r="A1984" s="515">
        <v>75081</v>
      </c>
      <c r="B1984" s="515" t="s">
        <v>458</v>
      </c>
      <c r="C1984" s="52">
        <v>378540.77255717898</v>
      </c>
      <c r="D1984" s="56">
        <v>8.9101574968455374E-2</v>
      </c>
      <c r="E1984" s="224">
        <v>1703.7037037037001</v>
      </c>
      <c r="F1984" s="515" t="s">
        <v>3574</v>
      </c>
      <c r="G1984" s="52">
        <v>184671.57534195701</v>
      </c>
      <c r="H1984" s="56">
        <v>6.4672472803548917E-2</v>
      </c>
      <c r="I1984" s="224">
        <v>1652.88888888888</v>
      </c>
    </row>
    <row r="1985" spans="1:9" x14ac:dyDescent="0.25">
      <c r="A1985" s="515">
        <v>48198</v>
      </c>
      <c r="B1985" s="515" t="s">
        <v>783</v>
      </c>
      <c r="C1985" s="52">
        <v>192723.66066403501</v>
      </c>
      <c r="D1985" s="56">
        <v>9.0616885908352762E-2</v>
      </c>
      <c r="E1985" s="224">
        <v>1245.30555555555</v>
      </c>
      <c r="F1985" s="515" t="s">
        <v>3575</v>
      </c>
      <c r="G1985" s="52">
        <v>152074.36899634599</v>
      </c>
      <c r="H1985" s="56">
        <v>0.15656421851991739</v>
      </c>
      <c r="I1985" s="224" t="s">
        <v>2</v>
      </c>
    </row>
    <row r="1986" spans="1:9" x14ac:dyDescent="0.25">
      <c r="A1986" s="515">
        <v>79763</v>
      </c>
      <c r="B1986" s="515" t="s">
        <v>1001</v>
      </c>
      <c r="C1986" s="52">
        <v>157556.45857580099</v>
      </c>
      <c r="D1986" s="56">
        <v>-4.169289179521015E-2</v>
      </c>
      <c r="E1986" s="224" t="s">
        <v>2</v>
      </c>
      <c r="F1986" s="515" t="s">
        <v>3576</v>
      </c>
      <c r="G1986" s="52">
        <v>300064.99548298097</v>
      </c>
      <c r="H1986" s="56">
        <v>7.6677842984655686E-2</v>
      </c>
      <c r="I1986" s="224">
        <v>1571.56944444444</v>
      </c>
    </row>
    <row r="1987" spans="1:9" x14ac:dyDescent="0.25">
      <c r="A1987" s="515">
        <v>83704</v>
      </c>
      <c r="B1987" s="515" t="s">
        <v>500</v>
      </c>
      <c r="C1987" s="52">
        <v>393187.80850203102</v>
      </c>
      <c r="D1987" s="56">
        <v>-2.4176690219400603E-2</v>
      </c>
      <c r="E1987" s="224">
        <v>1540.2020202020201</v>
      </c>
      <c r="F1987" s="515" t="s">
        <v>3577</v>
      </c>
      <c r="G1987" s="52">
        <v>352513.39118860901</v>
      </c>
      <c r="H1987" s="56">
        <v>5.5243322269935911E-2</v>
      </c>
      <c r="I1987" s="224">
        <v>1458.2222222222199</v>
      </c>
    </row>
    <row r="1988" spans="1:9" x14ac:dyDescent="0.25">
      <c r="A1988" s="515">
        <v>84129</v>
      </c>
      <c r="B1988" s="515" t="s">
        <v>617</v>
      </c>
      <c r="C1988" s="52">
        <v>449377.94071541203</v>
      </c>
      <c r="D1988" s="56">
        <v>1.602271352062086E-2</v>
      </c>
      <c r="E1988" s="224" t="s">
        <v>2</v>
      </c>
      <c r="F1988" s="515" t="s">
        <v>3578</v>
      </c>
      <c r="G1988" s="52">
        <v>906720.413850346</v>
      </c>
      <c r="H1988" s="56">
        <v>4.418125396276551E-2</v>
      </c>
      <c r="I1988" s="224" t="s">
        <v>2</v>
      </c>
    </row>
    <row r="1989" spans="1:9" x14ac:dyDescent="0.25">
      <c r="A1989" s="515">
        <v>80909</v>
      </c>
      <c r="B1989" s="515" t="s">
        <v>701</v>
      </c>
      <c r="C1989" s="52">
        <v>368239.35543179902</v>
      </c>
      <c r="D1989" s="56">
        <v>3.5741993493556778E-2</v>
      </c>
      <c r="E1989" s="224">
        <v>1366.88095238095</v>
      </c>
      <c r="F1989" s="515" t="s">
        <v>3579</v>
      </c>
      <c r="G1989" s="52">
        <v>306092.73466875398</v>
      </c>
      <c r="H1989" s="56">
        <v>8.1336354137482664E-2</v>
      </c>
      <c r="I1989" s="224" t="s">
        <v>2</v>
      </c>
    </row>
    <row r="1990" spans="1:9" x14ac:dyDescent="0.25">
      <c r="A1990" s="515">
        <v>99206</v>
      </c>
      <c r="B1990" s="515" t="s">
        <v>820</v>
      </c>
      <c r="C1990" s="52">
        <v>398318.64172997698</v>
      </c>
      <c r="D1990" s="56">
        <v>3.5636124237638608E-2</v>
      </c>
      <c r="E1990" s="224">
        <v>1587.31388888888</v>
      </c>
      <c r="F1990" s="515" t="s">
        <v>3580</v>
      </c>
      <c r="G1990" s="52">
        <v>247327.54606560399</v>
      </c>
      <c r="H1990" s="56">
        <v>5.7808812674772489E-2</v>
      </c>
      <c r="I1990" s="224" t="s">
        <v>2</v>
      </c>
    </row>
    <row r="1991" spans="1:9" x14ac:dyDescent="0.25">
      <c r="A1991" s="515">
        <v>20743</v>
      </c>
      <c r="B1991" s="515" t="s">
        <v>321</v>
      </c>
      <c r="C1991" s="52">
        <v>310468.61872694403</v>
      </c>
      <c r="D1991" s="56">
        <v>2.2687546404636497E-2</v>
      </c>
      <c r="E1991" s="224">
        <v>1752.01111111111</v>
      </c>
      <c r="F1991" s="515" t="s">
        <v>3581</v>
      </c>
      <c r="G1991" s="52">
        <v>263404.42006498401</v>
      </c>
      <c r="H1991" s="56">
        <v>4.2108209870833177E-2</v>
      </c>
      <c r="I1991" s="224" t="s">
        <v>2</v>
      </c>
    </row>
    <row r="1992" spans="1:9" x14ac:dyDescent="0.25">
      <c r="A1992" s="515">
        <v>54701</v>
      </c>
      <c r="B1992" s="515" t="s">
        <v>1028</v>
      </c>
      <c r="C1992" s="52">
        <v>299792.32616469898</v>
      </c>
      <c r="D1992" s="56">
        <v>5.6293492282370863E-2</v>
      </c>
      <c r="E1992" s="224">
        <v>943.05555555555497</v>
      </c>
      <c r="F1992" s="515" t="s">
        <v>411</v>
      </c>
      <c r="G1992" s="52">
        <v>96447.066216466294</v>
      </c>
      <c r="H1992" s="56">
        <v>6.2455380618492817E-2</v>
      </c>
      <c r="I1992" s="224" t="s">
        <v>2</v>
      </c>
    </row>
    <row r="1993" spans="1:9" x14ac:dyDescent="0.25">
      <c r="A1993" s="515">
        <v>84037</v>
      </c>
      <c r="B1993" s="515" t="s">
        <v>628</v>
      </c>
      <c r="C1993" s="52">
        <v>624568.99361866398</v>
      </c>
      <c r="D1993" s="56">
        <v>2.5850097586144181E-2</v>
      </c>
      <c r="E1993" s="224" t="s">
        <v>2</v>
      </c>
      <c r="F1993" s="515" t="s">
        <v>3582</v>
      </c>
      <c r="G1993" s="52">
        <v>471172.03216335399</v>
      </c>
      <c r="H1993" s="56">
        <v>2.3953040832096175E-2</v>
      </c>
      <c r="I1993" s="224">
        <v>1495</v>
      </c>
    </row>
    <row r="1994" spans="1:9" x14ac:dyDescent="0.25">
      <c r="A1994" s="515">
        <v>91325</v>
      </c>
      <c r="B1994" s="515" t="s">
        <v>375</v>
      </c>
      <c r="C1994" s="52">
        <v>917118.75951636594</v>
      </c>
      <c r="D1994" s="56">
        <v>4.2965828489413688E-2</v>
      </c>
      <c r="E1994" s="224">
        <v>2489.6777777777702</v>
      </c>
      <c r="F1994" s="515" t="s">
        <v>838</v>
      </c>
      <c r="G1994" s="52">
        <v>102098.68454663199</v>
      </c>
      <c r="H1994" s="56">
        <v>-4.2393804391806927E-2</v>
      </c>
      <c r="I1994" s="224" t="s">
        <v>2</v>
      </c>
    </row>
    <row r="1995" spans="1:9" x14ac:dyDescent="0.25">
      <c r="A1995" s="515">
        <v>70560</v>
      </c>
      <c r="B1995" s="515" t="s">
        <v>1004</v>
      </c>
      <c r="C1995" s="52">
        <v>126686.544576026</v>
      </c>
      <c r="D1995" s="56">
        <v>-5.4907205824968941E-2</v>
      </c>
      <c r="E1995" s="224" t="s">
        <v>2</v>
      </c>
      <c r="F1995" s="515" t="s">
        <v>878</v>
      </c>
      <c r="G1995" s="52">
        <v>143435.39811553899</v>
      </c>
      <c r="H1995" s="56">
        <v>6.9126915256059088E-2</v>
      </c>
      <c r="I1995" s="224" t="s">
        <v>2</v>
      </c>
    </row>
    <row r="1996" spans="1:9" x14ac:dyDescent="0.25">
      <c r="A1996" s="515">
        <v>89102</v>
      </c>
      <c r="B1996" s="515" t="s">
        <v>323</v>
      </c>
      <c r="C1996" s="52">
        <v>338828.00282895099</v>
      </c>
      <c r="D1996" s="56">
        <v>5.6803513366348306E-2</v>
      </c>
      <c r="E1996" s="224">
        <v>1517.6454545454501</v>
      </c>
      <c r="F1996" s="515" t="s">
        <v>3583</v>
      </c>
      <c r="G1996" s="52">
        <v>261077.35419947599</v>
      </c>
      <c r="H1996" s="56">
        <v>5.9069505391319277E-2</v>
      </c>
      <c r="I1996" s="224">
        <v>1556.5</v>
      </c>
    </row>
    <row r="1997" spans="1:9" x14ac:dyDescent="0.25">
      <c r="A1997" s="515">
        <v>94583</v>
      </c>
      <c r="B1997" s="515" t="s">
        <v>593</v>
      </c>
      <c r="C1997" s="52">
        <v>1346564.6217567699</v>
      </c>
      <c r="D1997" s="56">
        <v>2.7251851695776073E-2</v>
      </c>
      <c r="E1997" s="224">
        <v>2665.32863247863</v>
      </c>
      <c r="F1997" s="515" t="s">
        <v>3584</v>
      </c>
      <c r="G1997" s="52">
        <v>509564.71183085802</v>
      </c>
      <c r="H1997" s="56">
        <v>4.6267563508757679E-2</v>
      </c>
      <c r="I1997" s="224">
        <v>1721.55555555555</v>
      </c>
    </row>
    <row r="1998" spans="1:9" x14ac:dyDescent="0.25">
      <c r="A1998" s="515">
        <v>33317</v>
      </c>
      <c r="B1998" s="515" t="s">
        <v>831</v>
      </c>
      <c r="C1998" s="52">
        <v>482677.570643802</v>
      </c>
      <c r="D1998" s="56">
        <v>0.11876505844917196</v>
      </c>
      <c r="E1998" s="224">
        <v>2394.8055555555502</v>
      </c>
      <c r="F1998" s="515" t="s">
        <v>3585</v>
      </c>
      <c r="G1998" s="52">
        <v>396361.69546437002</v>
      </c>
      <c r="H1998" s="56">
        <v>8.3622136735722247E-2</v>
      </c>
      <c r="I1998" s="224">
        <v>2297.6666666666601</v>
      </c>
    </row>
    <row r="1999" spans="1:9" x14ac:dyDescent="0.25">
      <c r="A1999" s="515">
        <v>70001</v>
      </c>
      <c r="B1999" s="515" t="s">
        <v>777</v>
      </c>
      <c r="C1999" s="52">
        <v>289596.45212456299</v>
      </c>
      <c r="D1999" s="56">
        <v>-1.2883254575738114E-2</v>
      </c>
      <c r="E1999" s="224">
        <v>1589.44444444444</v>
      </c>
      <c r="F1999" s="515" t="s">
        <v>3586</v>
      </c>
      <c r="G1999" s="52">
        <v>405519.87000265002</v>
      </c>
      <c r="H1999" s="56">
        <v>1.2218879195342745E-3</v>
      </c>
      <c r="I1999" s="224">
        <v>2283.3333333333298</v>
      </c>
    </row>
    <row r="2000" spans="1:9" x14ac:dyDescent="0.25">
      <c r="A2000" s="515">
        <v>83687</v>
      </c>
      <c r="B2000" s="515" t="s">
        <v>500</v>
      </c>
      <c r="C2000" s="52">
        <v>391213.664585541</v>
      </c>
      <c r="D2000" s="56">
        <v>-4.1364478967697245E-2</v>
      </c>
      <c r="E2000" s="224">
        <v>1684.1666666666599</v>
      </c>
      <c r="F2000" s="515" t="s">
        <v>3587</v>
      </c>
      <c r="G2000" s="52">
        <v>531540.40114627301</v>
      </c>
      <c r="H2000" s="56">
        <v>4.8380362485462743E-2</v>
      </c>
      <c r="I2000" s="224">
        <v>1794.1</v>
      </c>
    </row>
    <row r="2001" spans="1:9" x14ac:dyDescent="0.25">
      <c r="A2001" s="515">
        <v>92618</v>
      </c>
      <c r="B2001" s="515" t="s">
        <v>375</v>
      </c>
      <c r="C2001" s="52">
        <v>1254298.97474025</v>
      </c>
      <c r="D2001" s="56">
        <v>0.10933959082641607</v>
      </c>
      <c r="E2001" s="224">
        <v>3192.5598202882602</v>
      </c>
      <c r="F2001" s="515" t="s">
        <v>3588</v>
      </c>
      <c r="G2001" s="52">
        <v>600337.03426232794</v>
      </c>
      <c r="H2001" s="56">
        <v>6.1576403272859445E-2</v>
      </c>
      <c r="I2001" s="224">
        <v>2509.88888888888</v>
      </c>
    </row>
    <row r="2002" spans="1:9" x14ac:dyDescent="0.25">
      <c r="A2002" s="515">
        <v>30328</v>
      </c>
      <c r="B2002" s="515" t="s">
        <v>957</v>
      </c>
      <c r="C2002" s="52">
        <v>550228.1955575</v>
      </c>
      <c r="D2002" s="56">
        <v>9.6765207697109556E-2</v>
      </c>
      <c r="E2002" s="224">
        <v>2018.8</v>
      </c>
      <c r="F2002" s="515" t="s">
        <v>1277</v>
      </c>
      <c r="G2002" s="52">
        <v>348248.94880908501</v>
      </c>
      <c r="H2002" s="56">
        <v>0.12411559403238348</v>
      </c>
      <c r="I2002" s="224">
        <v>2375</v>
      </c>
    </row>
    <row r="2003" spans="1:9" x14ac:dyDescent="0.25">
      <c r="A2003" s="515">
        <v>37363</v>
      </c>
      <c r="B2003" s="515" t="s">
        <v>622</v>
      </c>
      <c r="C2003" s="52">
        <v>395637.20590780198</v>
      </c>
      <c r="D2003" s="56">
        <v>8.1571002158180597E-2</v>
      </c>
      <c r="E2003" s="224">
        <v>2251.0833333333298</v>
      </c>
      <c r="F2003" s="515" t="s">
        <v>1239</v>
      </c>
      <c r="G2003" s="52">
        <v>319457.56225956301</v>
      </c>
      <c r="H2003" s="56">
        <v>4.4115401309196042E-2</v>
      </c>
      <c r="I2003" s="224">
        <v>1531.6666666666599</v>
      </c>
    </row>
    <row r="2004" spans="1:9" x14ac:dyDescent="0.25">
      <c r="A2004" s="515">
        <v>29466</v>
      </c>
      <c r="B2004" s="515" t="s">
        <v>1009</v>
      </c>
      <c r="C2004" s="52">
        <v>688055.38863023603</v>
      </c>
      <c r="D2004" s="56">
        <v>0.12885869656631577</v>
      </c>
      <c r="E2004" s="224">
        <v>2387.2916666666601</v>
      </c>
      <c r="F2004" s="515" t="s">
        <v>3589</v>
      </c>
      <c r="G2004" s="52">
        <v>649495.63909651595</v>
      </c>
      <c r="H2004" s="56">
        <v>5.1635719207776445E-2</v>
      </c>
      <c r="I2004" s="224" t="s">
        <v>2</v>
      </c>
    </row>
    <row r="2005" spans="1:9" x14ac:dyDescent="0.25">
      <c r="A2005" s="515">
        <v>60446</v>
      </c>
      <c r="B2005" s="515" t="s">
        <v>394</v>
      </c>
      <c r="C2005" s="52">
        <v>263092.26328475698</v>
      </c>
      <c r="D2005" s="56">
        <v>6.6538764506969911E-2</v>
      </c>
      <c r="E2005" s="224">
        <v>1793.55555555555</v>
      </c>
      <c r="F2005" s="515" t="s">
        <v>3590</v>
      </c>
      <c r="G2005" s="52">
        <v>431014.93371037598</v>
      </c>
      <c r="H2005" s="56">
        <v>7.6715893701632509E-2</v>
      </c>
      <c r="I2005" s="224">
        <v>1606.5</v>
      </c>
    </row>
    <row r="2006" spans="1:9" x14ac:dyDescent="0.25">
      <c r="A2006" s="515">
        <v>91387</v>
      </c>
      <c r="B2006" s="515" t="s">
        <v>375</v>
      </c>
      <c r="C2006" s="52">
        <v>746745.45719436102</v>
      </c>
      <c r="D2006" s="56">
        <v>1.7785267735322297E-2</v>
      </c>
      <c r="E2006" s="224">
        <v>2630.50869963369</v>
      </c>
      <c r="F2006" s="515" t="s">
        <v>3591</v>
      </c>
      <c r="G2006" s="52">
        <v>361075.94070201501</v>
      </c>
      <c r="H2006" s="56">
        <v>7.5945800876858149E-2</v>
      </c>
      <c r="I2006" s="224">
        <v>1937.5</v>
      </c>
    </row>
    <row r="2007" spans="1:9" x14ac:dyDescent="0.25">
      <c r="A2007" s="515">
        <v>7107</v>
      </c>
      <c r="B2007" s="515" t="s">
        <v>324</v>
      </c>
      <c r="C2007" s="52">
        <v>412435.39332093601</v>
      </c>
      <c r="D2007" s="56">
        <v>7.9491085750314022E-2</v>
      </c>
      <c r="E2007" s="224">
        <v>1853.88888888888</v>
      </c>
      <c r="F2007" s="515" t="s">
        <v>709</v>
      </c>
      <c r="G2007" s="52">
        <v>102856.27033682801</v>
      </c>
      <c r="H2007" s="56">
        <v>-7.2191525356603116E-3</v>
      </c>
      <c r="I2007" s="224" t="s">
        <v>2</v>
      </c>
    </row>
    <row r="2008" spans="1:9" x14ac:dyDescent="0.25">
      <c r="A2008" s="515">
        <v>86001</v>
      </c>
      <c r="B2008" s="515" t="s">
        <v>600</v>
      </c>
      <c r="C2008" s="52">
        <v>592529.10191843705</v>
      </c>
      <c r="D2008" s="56">
        <v>8.1429751575890427E-2</v>
      </c>
      <c r="E2008" s="224">
        <v>2239.9333333333302</v>
      </c>
      <c r="F2008" s="515" t="s">
        <v>3592</v>
      </c>
      <c r="G2008" s="52">
        <v>369846.99079625699</v>
      </c>
      <c r="H2008" s="56">
        <v>4.9660293789795071E-2</v>
      </c>
      <c r="I2008" s="224">
        <v>1563.4722222222199</v>
      </c>
    </row>
    <row r="2009" spans="1:9" x14ac:dyDescent="0.25">
      <c r="A2009" s="515">
        <v>19147</v>
      </c>
      <c r="B2009" s="515" t="s">
        <v>294</v>
      </c>
      <c r="C2009" s="52">
        <v>430764.66369941202</v>
      </c>
      <c r="D2009" s="56">
        <v>-1.0844949053422249E-2</v>
      </c>
      <c r="E2009" s="224">
        <v>1857.12472848788</v>
      </c>
      <c r="F2009" s="515" t="s">
        <v>3593</v>
      </c>
      <c r="G2009" s="52">
        <v>641927.64698015805</v>
      </c>
      <c r="H2009" s="56">
        <v>-2.3957712038882129E-2</v>
      </c>
      <c r="I2009" s="224">
        <v>2107.7222222222199</v>
      </c>
    </row>
    <row r="2010" spans="1:9" x14ac:dyDescent="0.25">
      <c r="A2010" s="515">
        <v>61201</v>
      </c>
      <c r="B2010" s="515" t="s">
        <v>439</v>
      </c>
      <c r="C2010" s="52">
        <v>108521.416371767</v>
      </c>
      <c r="D2010" s="56">
        <v>2.4702329287584476E-2</v>
      </c>
      <c r="E2010" s="224" t="s">
        <v>2</v>
      </c>
      <c r="F2010" s="515" t="s">
        <v>3594</v>
      </c>
      <c r="G2010" s="52">
        <v>231374.736920414</v>
      </c>
      <c r="H2010" s="56">
        <v>0.27485529842152617</v>
      </c>
      <c r="I2010" s="224">
        <v>1395.2777777777701</v>
      </c>
    </row>
    <row r="2011" spans="1:9" x14ac:dyDescent="0.25">
      <c r="A2011" s="515">
        <v>39564</v>
      </c>
      <c r="B2011" s="515" t="s">
        <v>963</v>
      </c>
      <c r="C2011" s="52">
        <v>233802.70325078501</v>
      </c>
      <c r="D2011" s="56">
        <v>7.7737562368588295E-2</v>
      </c>
      <c r="E2011" s="224">
        <v>1528.1666666666599</v>
      </c>
      <c r="F2011" s="515" t="s">
        <v>3595</v>
      </c>
      <c r="G2011" s="52">
        <v>407745.70630920702</v>
      </c>
      <c r="H2011" s="56">
        <v>6.3765759289909865E-2</v>
      </c>
      <c r="I2011" s="224">
        <v>2190</v>
      </c>
    </row>
    <row r="2012" spans="1:9" x14ac:dyDescent="0.25">
      <c r="A2012" s="515">
        <v>75224</v>
      </c>
      <c r="B2012" s="515" t="s">
        <v>458</v>
      </c>
      <c r="C2012" s="52">
        <v>237491.55592096999</v>
      </c>
      <c r="D2012" s="56">
        <v>0.13367314126693927</v>
      </c>
      <c r="E2012" s="224" t="s">
        <v>2</v>
      </c>
      <c r="F2012" s="515" t="s">
        <v>3596</v>
      </c>
      <c r="G2012" s="52">
        <v>588417.26724133804</v>
      </c>
      <c r="H2012" s="56">
        <v>1.3330599140061671E-2</v>
      </c>
      <c r="I2012" s="224">
        <v>2900</v>
      </c>
    </row>
    <row r="2013" spans="1:9" x14ac:dyDescent="0.25">
      <c r="A2013" s="515">
        <v>87110</v>
      </c>
      <c r="B2013" s="515" t="s">
        <v>406</v>
      </c>
      <c r="C2013" s="52">
        <v>280605.87950675102</v>
      </c>
      <c r="D2013" s="56">
        <v>7.6304394870914102E-2</v>
      </c>
      <c r="E2013" s="224">
        <v>1625.3333333333301</v>
      </c>
      <c r="F2013" s="515" t="s">
        <v>3597</v>
      </c>
      <c r="G2013" s="52">
        <v>518256.68949099898</v>
      </c>
      <c r="H2013" s="56">
        <v>3.9520082358396963E-2</v>
      </c>
      <c r="I2013" s="224">
        <v>2038.3333333333301</v>
      </c>
    </row>
    <row r="2014" spans="1:9" x14ac:dyDescent="0.25">
      <c r="A2014" s="515">
        <v>94606</v>
      </c>
      <c r="B2014" s="515" t="s">
        <v>593</v>
      </c>
      <c r="C2014" s="52">
        <v>700439.90673896298</v>
      </c>
      <c r="D2014" s="56">
        <v>-7.0351397063222618E-2</v>
      </c>
      <c r="E2014" s="224">
        <v>2216.3567460317399</v>
      </c>
      <c r="F2014" s="515" t="s">
        <v>3598</v>
      </c>
      <c r="G2014" s="52">
        <v>219939.73756457699</v>
      </c>
      <c r="H2014" s="56">
        <v>4.6597228173117775E-2</v>
      </c>
      <c r="I2014" s="224">
        <v>1303.44444444444</v>
      </c>
    </row>
    <row r="2015" spans="1:9" x14ac:dyDescent="0.25">
      <c r="A2015" s="515">
        <v>85745</v>
      </c>
      <c r="B2015" s="515" t="s">
        <v>368</v>
      </c>
      <c r="C2015" s="52">
        <v>341384.66476793698</v>
      </c>
      <c r="D2015" s="56">
        <v>7.0454928813150269E-2</v>
      </c>
      <c r="E2015" s="224">
        <v>1510.1071428571399</v>
      </c>
      <c r="F2015" s="515" t="s">
        <v>3599</v>
      </c>
      <c r="G2015" s="52">
        <v>260679.690168186</v>
      </c>
      <c r="H2015" s="56">
        <v>8.8352964475336082E-2</v>
      </c>
      <c r="I2015" s="224">
        <v>999</v>
      </c>
    </row>
    <row r="2016" spans="1:9" x14ac:dyDescent="0.25">
      <c r="A2016" s="515">
        <v>98277</v>
      </c>
      <c r="B2016" s="515" t="s">
        <v>1146</v>
      </c>
      <c r="C2016" s="52">
        <v>461949.34779819701</v>
      </c>
      <c r="D2016" s="56">
        <v>3.0442868060861904E-2</v>
      </c>
      <c r="E2016" s="224">
        <v>1617.0833333333301</v>
      </c>
      <c r="F2016" s="515" t="s">
        <v>3600</v>
      </c>
      <c r="G2016" s="52">
        <v>747372.82499975502</v>
      </c>
      <c r="H2016" s="56">
        <v>5.7596476553334018E-2</v>
      </c>
      <c r="I2016" s="224" t="s">
        <v>2</v>
      </c>
    </row>
    <row r="2017" spans="1:9" x14ac:dyDescent="0.25">
      <c r="A2017" s="515">
        <v>78626</v>
      </c>
      <c r="B2017" s="515" t="s">
        <v>380</v>
      </c>
      <c r="C2017" s="52">
        <v>389351.93253587402</v>
      </c>
      <c r="D2017" s="56">
        <v>2.6193811071012978E-2</v>
      </c>
      <c r="E2017" s="224">
        <v>1763.0231968810899</v>
      </c>
      <c r="F2017" s="515" t="s">
        <v>1077</v>
      </c>
      <c r="G2017" s="52">
        <v>247871.96645468599</v>
      </c>
      <c r="H2017" s="56">
        <v>3.4009839413567937E-2</v>
      </c>
      <c r="I2017" s="224" t="s">
        <v>2</v>
      </c>
    </row>
    <row r="2018" spans="1:9" x14ac:dyDescent="0.25">
      <c r="A2018" s="515">
        <v>80014</v>
      </c>
      <c r="B2018" s="515" t="s">
        <v>401</v>
      </c>
      <c r="C2018" s="52">
        <v>397091.97621086799</v>
      </c>
      <c r="D2018" s="56">
        <v>4.1357866264088092E-2</v>
      </c>
      <c r="E2018" s="224">
        <v>1905.9022154316201</v>
      </c>
      <c r="F2018" s="515" t="s">
        <v>3601</v>
      </c>
      <c r="G2018" s="52">
        <v>498060.91668510903</v>
      </c>
      <c r="H2018" s="56">
        <v>0.10371094117484829</v>
      </c>
      <c r="I2018" s="224">
        <v>2799.88888888888</v>
      </c>
    </row>
    <row r="2019" spans="1:9" x14ac:dyDescent="0.25">
      <c r="A2019" s="515">
        <v>60103</v>
      </c>
      <c r="B2019" s="515" t="s">
        <v>394</v>
      </c>
      <c r="C2019" s="52">
        <v>349281.21281001798</v>
      </c>
      <c r="D2019" s="56">
        <v>4.3427633511473968E-2</v>
      </c>
      <c r="E2019" s="224">
        <v>2400</v>
      </c>
      <c r="F2019" s="515" t="s">
        <v>3602</v>
      </c>
      <c r="G2019" s="52">
        <v>259463.74135254</v>
      </c>
      <c r="H2019" s="56">
        <v>9.0347655404828434E-2</v>
      </c>
      <c r="I2019" s="224">
        <v>1425</v>
      </c>
    </row>
    <row r="2020" spans="1:9" x14ac:dyDescent="0.25">
      <c r="A2020" s="515">
        <v>23060</v>
      </c>
      <c r="B2020" s="515" t="s">
        <v>667</v>
      </c>
      <c r="C2020" s="52">
        <v>382933.50302731799</v>
      </c>
      <c r="D2020" s="56">
        <v>6.3701604029795661E-2</v>
      </c>
      <c r="E2020" s="224">
        <v>1929.7142857142801</v>
      </c>
      <c r="F2020" s="515" t="s">
        <v>634</v>
      </c>
      <c r="G2020" s="52">
        <v>135258.76089428799</v>
      </c>
      <c r="H2020" s="56">
        <v>9.079120765474423E-2</v>
      </c>
      <c r="I2020" s="224" t="s">
        <v>2</v>
      </c>
    </row>
    <row r="2021" spans="1:9" x14ac:dyDescent="0.25">
      <c r="A2021" s="515">
        <v>28411</v>
      </c>
      <c r="B2021" s="515" t="s">
        <v>1038</v>
      </c>
      <c r="C2021" s="52">
        <v>412438.60535113001</v>
      </c>
      <c r="D2021" s="56">
        <v>0.11790577542677218</v>
      </c>
      <c r="E2021" s="224">
        <v>1908.75</v>
      </c>
      <c r="F2021" s="515" t="s">
        <v>3603</v>
      </c>
      <c r="G2021" s="52">
        <v>400080.35091442597</v>
      </c>
      <c r="H2021" s="56">
        <v>8.6748719741975705E-2</v>
      </c>
      <c r="I2021" s="224" t="s">
        <v>2</v>
      </c>
    </row>
    <row r="2022" spans="1:9" x14ac:dyDescent="0.25">
      <c r="A2022" s="515">
        <v>75206</v>
      </c>
      <c r="B2022" s="515" t="s">
        <v>458</v>
      </c>
      <c r="C2022" s="52">
        <v>535145.11200454098</v>
      </c>
      <c r="D2022" s="56">
        <v>3.788767468088057E-2</v>
      </c>
      <c r="E2022" s="224">
        <v>1970.5081363616</v>
      </c>
      <c r="F2022" s="515" t="s">
        <v>3604</v>
      </c>
      <c r="G2022" s="52">
        <v>498719.78926947701</v>
      </c>
      <c r="H2022" s="56">
        <v>6.7635822323405856E-2</v>
      </c>
      <c r="I2022" s="224">
        <v>2015.7</v>
      </c>
    </row>
    <row r="2023" spans="1:9" x14ac:dyDescent="0.25">
      <c r="A2023" s="515">
        <v>77065</v>
      </c>
      <c r="B2023" s="515" t="s">
        <v>314</v>
      </c>
      <c r="C2023" s="52">
        <v>280823.53281047201</v>
      </c>
      <c r="D2023" s="56">
        <v>9.8251396786779563E-2</v>
      </c>
      <c r="E2023" s="224">
        <v>1483.84685314685</v>
      </c>
      <c r="F2023" s="515" t="s">
        <v>3605</v>
      </c>
      <c r="G2023" s="52">
        <v>115184.49020905999</v>
      </c>
      <c r="H2023" s="56">
        <v>2.1094451287688696E-2</v>
      </c>
      <c r="I2023" s="224" t="s">
        <v>2</v>
      </c>
    </row>
    <row r="2024" spans="1:9" x14ac:dyDescent="0.25">
      <c r="A2024" s="515">
        <v>90505</v>
      </c>
      <c r="B2024" s="515" t="s">
        <v>375</v>
      </c>
      <c r="C2024" s="52">
        <v>1243683.1167532499</v>
      </c>
      <c r="D2024" s="56">
        <v>7.6209754619312814E-2</v>
      </c>
      <c r="E2024" s="224">
        <v>2725.5</v>
      </c>
      <c r="F2024" s="515" t="s">
        <v>3606</v>
      </c>
      <c r="G2024" s="52">
        <v>256836.612815901</v>
      </c>
      <c r="H2024" s="56">
        <v>7.2561586674938353E-2</v>
      </c>
      <c r="I2024" s="224">
        <v>1322.9166666666599</v>
      </c>
    </row>
    <row r="2025" spans="1:9" x14ac:dyDescent="0.25">
      <c r="A2025" s="515">
        <v>90036</v>
      </c>
      <c r="B2025" s="515" t="s">
        <v>375</v>
      </c>
      <c r="C2025" s="52">
        <v>1771453.0369994701</v>
      </c>
      <c r="D2025" s="56">
        <v>-1.2887023477808821E-3</v>
      </c>
      <c r="E2025" s="224">
        <v>3268.9267653542302</v>
      </c>
      <c r="F2025" s="515" t="s">
        <v>3607</v>
      </c>
      <c r="G2025" s="52">
        <v>504613.52107684402</v>
      </c>
      <c r="H2025" s="56">
        <v>5.5817201871452261E-2</v>
      </c>
      <c r="I2025" s="224">
        <v>2388</v>
      </c>
    </row>
    <row r="2026" spans="1:9" x14ac:dyDescent="0.25">
      <c r="A2026" s="515">
        <v>90802</v>
      </c>
      <c r="B2026" s="515" t="s">
        <v>375</v>
      </c>
      <c r="C2026" s="52">
        <v>505746.90102578897</v>
      </c>
      <c r="D2026" s="56">
        <v>4.9573622796726217E-2</v>
      </c>
      <c r="E2026" s="224">
        <v>2480.8122389482201</v>
      </c>
      <c r="F2026" s="515" t="s">
        <v>3608</v>
      </c>
      <c r="G2026" s="52">
        <v>256631.756206249</v>
      </c>
      <c r="H2026" s="56">
        <v>7.4019597095706172E-2</v>
      </c>
      <c r="I2026" s="224" t="s">
        <v>2</v>
      </c>
    </row>
    <row r="2027" spans="1:9" x14ac:dyDescent="0.25">
      <c r="A2027" s="515">
        <v>17042</v>
      </c>
      <c r="B2027" s="515" t="s">
        <v>562</v>
      </c>
      <c r="C2027" s="52">
        <v>242622.61785311799</v>
      </c>
      <c r="D2027" s="56">
        <v>0.1093205381149075</v>
      </c>
      <c r="E2027" s="224">
        <v>1361.25</v>
      </c>
      <c r="F2027" s="515" t="s">
        <v>3609</v>
      </c>
      <c r="G2027" s="52">
        <v>411577.27411776001</v>
      </c>
      <c r="H2027" s="56">
        <v>8.9086866775076087E-2</v>
      </c>
      <c r="I2027" s="224" t="s">
        <v>2</v>
      </c>
    </row>
    <row r="2028" spans="1:9" x14ac:dyDescent="0.25">
      <c r="A2028" s="515">
        <v>53207</v>
      </c>
      <c r="B2028" s="515" t="s">
        <v>950</v>
      </c>
      <c r="C2028" s="52">
        <v>234412.09635206099</v>
      </c>
      <c r="D2028" s="56">
        <v>5.6381906077878352E-2</v>
      </c>
      <c r="E2028" s="224">
        <v>1416.4111111111099</v>
      </c>
      <c r="F2028" s="515" t="s">
        <v>3610</v>
      </c>
      <c r="G2028" s="52">
        <v>168323.311698779</v>
      </c>
      <c r="H2028" s="56">
        <v>6.1335611188578998E-2</v>
      </c>
      <c r="I2028" s="224">
        <v>1718</v>
      </c>
    </row>
    <row r="2029" spans="1:9" x14ac:dyDescent="0.25">
      <c r="A2029" s="515">
        <v>85143</v>
      </c>
      <c r="B2029" s="515" t="s">
        <v>563</v>
      </c>
      <c r="C2029" s="52">
        <v>386324.056659839</v>
      </c>
      <c r="D2029" s="56">
        <v>2.0416155776117339E-2</v>
      </c>
      <c r="E2029" s="224">
        <v>2004.25952380952</v>
      </c>
      <c r="F2029" s="515" t="s">
        <v>646</v>
      </c>
      <c r="G2029" s="52">
        <v>245993.79621142501</v>
      </c>
      <c r="H2029" s="56">
        <v>4.6790726446197341E-2</v>
      </c>
      <c r="I2029" s="224">
        <v>1268.7301587301499</v>
      </c>
    </row>
    <row r="2030" spans="1:9" x14ac:dyDescent="0.25">
      <c r="A2030" s="515">
        <v>17055</v>
      </c>
      <c r="B2030" s="515" t="s">
        <v>428</v>
      </c>
      <c r="C2030" s="52">
        <v>296007.05482091103</v>
      </c>
      <c r="D2030" s="56">
        <v>0.10714372529451412</v>
      </c>
      <c r="E2030" s="224">
        <v>1512.12962962962</v>
      </c>
      <c r="F2030" s="515" t="s">
        <v>3611</v>
      </c>
      <c r="G2030" s="52">
        <v>1010901.03994684</v>
      </c>
      <c r="H2030" s="56">
        <v>4.8690062507292659E-2</v>
      </c>
      <c r="I2030" s="224" t="s">
        <v>2</v>
      </c>
    </row>
    <row r="2031" spans="1:9" x14ac:dyDescent="0.25">
      <c r="A2031" s="515">
        <v>44224</v>
      </c>
      <c r="B2031" s="515" t="s">
        <v>1000</v>
      </c>
      <c r="C2031" s="52">
        <v>242340.20604474901</v>
      </c>
      <c r="D2031" s="56">
        <v>4.9572224156416926E-2</v>
      </c>
      <c r="E2031" s="224" t="s">
        <v>2</v>
      </c>
      <c r="F2031" s="515" t="s">
        <v>3612</v>
      </c>
      <c r="G2031" s="52">
        <v>422156.83204524498</v>
      </c>
      <c r="H2031" s="56">
        <v>8.2133018813914507E-2</v>
      </c>
      <c r="I2031" s="224">
        <v>2069.1</v>
      </c>
    </row>
    <row r="2032" spans="1:9" x14ac:dyDescent="0.25">
      <c r="A2032" s="515">
        <v>42420</v>
      </c>
      <c r="B2032" s="515" t="s">
        <v>911</v>
      </c>
      <c r="C2032" s="52">
        <v>161846.41264801001</v>
      </c>
      <c r="D2032" s="56">
        <v>0.10880454420925846</v>
      </c>
      <c r="E2032" s="224" t="s">
        <v>2</v>
      </c>
      <c r="F2032" s="515" t="s">
        <v>507</v>
      </c>
      <c r="G2032" s="52">
        <v>166172.68537658401</v>
      </c>
      <c r="H2032" s="56">
        <v>6.5437797330044373E-2</v>
      </c>
      <c r="I2032" s="224" t="s">
        <v>2</v>
      </c>
    </row>
    <row r="2033" spans="1:9" x14ac:dyDescent="0.25">
      <c r="A2033" s="515">
        <v>60901</v>
      </c>
      <c r="B2033" s="515" t="s">
        <v>774</v>
      </c>
      <c r="C2033" s="52">
        <v>121647.053138207</v>
      </c>
      <c r="D2033" s="56">
        <v>7.8960974526218891E-2</v>
      </c>
      <c r="E2033" s="224">
        <v>1150.6666666666599</v>
      </c>
      <c r="F2033" s="515" t="s">
        <v>421</v>
      </c>
      <c r="G2033" s="52">
        <v>130275.188412387</v>
      </c>
      <c r="H2033" s="56">
        <v>0.11372977458742799</v>
      </c>
      <c r="I2033" s="224" t="s">
        <v>2</v>
      </c>
    </row>
    <row r="2034" spans="1:9" x14ac:dyDescent="0.25">
      <c r="A2034" s="515">
        <v>48105</v>
      </c>
      <c r="B2034" s="515" t="s">
        <v>783</v>
      </c>
      <c r="C2034" s="52">
        <v>466903.74699147401</v>
      </c>
      <c r="D2034" s="56">
        <v>3.0702760649269824E-2</v>
      </c>
      <c r="E2034" s="224">
        <v>1922.1047619047599</v>
      </c>
      <c r="F2034" s="515" t="s">
        <v>3613</v>
      </c>
      <c r="G2034" s="52">
        <v>343727.561126585</v>
      </c>
      <c r="H2034" s="56">
        <v>0.11513994427180321</v>
      </c>
      <c r="I2034" s="224">
        <v>2061.6018518518499</v>
      </c>
    </row>
    <row r="2035" spans="1:9" x14ac:dyDescent="0.25">
      <c r="A2035" s="515">
        <v>34698</v>
      </c>
      <c r="B2035" s="515" t="s">
        <v>461</v>
      </c>
      <c r="C2035" s="52">
        <v>408829.53760093101</v>
      </c>
      <c r="D2035" s="56">
        <v>9.4898724473181859E-2</v>
      </c>
      <c r="E2035" s="224">
        <v>2035.93265993266</v>
      </c>
      <c r="F2035" s="515" t="s">
        <v>3614</v>
      </c>
      <c r="G2035" s="52">
        <v>402345.35792434902</v>
      </c>
      <c r="H2035" s="56">
        <v>6.5924283860396449E-2</v>
      </c>
      <c r="I2035" s="224">
        <v>2165.6944444444398</v>
      </c>
    </row>
    <row r="2036" spans="1:9" x14ac:dyDescent="0.25">
      <c r="A2036" s="515">
        <v>85027</v>
      </c>
      <c r="B2036" s="515" t="s">
        <v>563</v>
      </c>
      <c r="C2036" s="52">
        <v>368591.89155908203</v>
      </c>
      <c r="D2036" s="56">
        <v>4.5585789696975521E-2</v>
      </c>
      <c r="E2036" s="224">
        <v>1658.2500416458399</v>
      </c>
      <c r="F2036" s="515" t="s">
        <v>857</v>
      </c>
      <c r="G2036" s="52">
        <v>420098.42153177102</v>
      </c>
      <c r="H2036" s="56">
        <v>5.9377676042909472E-2</v>
      </c>
      <c r="I2036" s="224" t="s">
        <v>2</v>
      </c>
    </row>
    <row r="2037" spans="1:9" x14ac:dyDescent="0.25">
      <c r="A2037" s="515">
        <v>84088</v>
      </c>
      <c r="B2037" s="515" t="s">
        <v>617</v>
      </c>
      <c r="C2037" s="52">
        <v>521892.93860547699</v>
      </c>
      <c r="D2037" s="56">
        <v>1.6344006761546691E-2</v>
      </c>
      <c r="E2037" s="224">
        <v>1734.31666666666</v>
      </c>
      <c r="F2037" s="515" t="s">
        <v>3615</v>
      </c>
      <c r="G2037" s="52">
        <v>370823.53785628901</v>
      </c>
      <c r="H2037" s="56">
        <v>0.11444149855555885</v>
      </c>
      <c r="I2037" s="224">
        <v>2058.3333333333298</v>
      </c>
    </row>
    <row r="2038" spans="1:9" x14ac:dyDescent="0.25">
      <c r="A2038" s="515">
        <v>33141</v>
      </c>
      <c r="B2038" s="515" t="s">
        <v>831</v>
      </c>
      <c r="C2038" s="52">
        <v>403465.82737509703</v>
      </c>
      <c r="D2038" s="56">
        <v>0.13399476771017049</v>
      </c>
      <c r="E2038" s="224">
        <v>2650.2854504120401</v>
      </c>
      <c r="F2038" s="515" t="s">
        <v>1137</v>
      </c>
      <c r="G2038" s="52">
        <v>158563.32163476699</v>
      </c>
      <c r="H2038" s="56">
        <v>6.666027352795828E-2</v>
      </c>
      <c r="I2038" s="224" t="s">
        <v>2</v>
      </c>
    </row>
    <row r="2039" spans="1:9" x14ac:dyDescent="0.25">
      <c r="A2039" s="515">
        <v>94555</v>
      </c>
      <c r="B2039" s="515" t="s">
        <v>593</v>
      </c>
      <c r="C2039" s="52">
        <v>1361225.5152577399</v>
      </c>
      <c r="D2039" s="56">
        <v>8.7093803181451587E-3</v>
      </c>
      <c r="E2039" s="224">
        <v>3111.3994708994701</v>
      </c>
      <c r="F2039" s="515" t="s">
        <v>3616</v>
      </c>
      <c r="G2039" s="52">
        <v>159479.99779392601</v>
      </c>
      <c r="H2039" s="56">
        <v>1.4141784988521882E-2</v>
      </c>
      <c r="I2039" s="224" t="s">
        <v>2</v>
      </c>
    </row>
    <row r="2040" spans="1:9" x14ac:dyDescent="0.25">
      <c r="A2040" s="515">
        <v>49507</v>
      </c>
      <c r="B2040" s="515" t="s">
        <v>631</v>
      </c>
      <c r="C2040" s="52">
        <v>190912.59248364301</v>
      </c>
      <c r="D2040" s="56">
        <v>3.7468922794429864E-2</v>
      </c>
      <c r="E2040" s="224">
        <v>1496.67857142857</v>
      </c>
      <c r="F2040" s="515" t="s">
        <v>3617</v>
      </c>
      <c r="G2040" s="52">
        <v>480046.61949515698</v>
      </c>
      <c r="H2040" s="56">
        <v>5.849600075095273E-2</v>
      </c>
      <c r="I2040" s="224" t="s">
        <v>2</v>
      </c>
    </row>
    <row r="2041" spans="1:9" x14ac:dyDescent="0.25">
      <c r="A2041" s="515">
        <v>37115</v>
      </c>
      <c r="B2041" s="515" t="s">
        <v>684</v>
      </c>
      <c r="C2041" s="52">
        <v>316384.735826677</v>
      </c>
      <c r="D2041" s="56">
        <v>0.12040232187403335</v>
      </c>
      <c r="E2041" s="224">
        <v>1404.6507936507901</v>
      </c>
      <c r="F2041" s="515" t="s">
        <v>3618</v>
      </c>
      <c r="G2041" s="52">
        <v>227972.02855008101</v>
      </c>
      <c r="H2041" s="56">
        <v>0.14247921843939101</v>
      </c>
      <c r="I2041" s="224">
        <v>1714.69444444444</v>
      </c>
    </row>
    <row r="2042" spans="1:9" x14ac:dyDescent="0.25">
      <c r="A2042" s="515">
        <v>92508</v>
      </c>
      <c r="B2042" s="515" t="s">
        <v>599</v>
      </c>
      <c r="C2042" s="52">
        <v>688121.04302705603</v>
      </c>
      <c r="D2042" s="56">
        <v>2.8465949442332321E-2</v>
      </c>
      <c r="E2042" s="224">
        <v>2638.9611111111099</v>
      </c>
      <c r="F2042" s="515" t="s">
        <v>3619</v>
      </c>
      <c r="G2042" s="52">
        <v>606726.22592487396</v>
      </c>
      <c r="H2042" s="56">
        <v>3.6906404935691001E-2</v>
      </c>
      <c r="I2042" s="224">
        <v>2527.5238095238001</v>
      </c>
    </row>
    <row r="2043" spans="1:9" x14ac:dyDescent="0.25">
      <c r="A2043" s="515">
        <v>29715</v>
      </c>
      <c r="B2043" s="515" t="s">
        <v>360</v>
      </c>
      <c r="C2043" s="52">
        <v>432492.88549857098</v>
      </c>
      <c r="D2043" s="56">
        <v>9.1002005002163988E-2</v>
      </c>
      <c r="E2043" s="224" t="s">
        <v>2</v>
      </c>
      <c r="F2043" s="515" t="s">
        <v>3620</v>
      </c>
      <c r="G2043" s="52">
        <v>392692.00133897201</v>
      </c>
      <c r="H2043" s="56">
        <v>6.1315190272994993E-2</v>
      </c>
      <c r="I2043" s="224" t="s">
        <v>2</v>
      </c>
    </row>
    <row r="2044" spans="1:9" x14ac:dyDescent="0.25">
      <c r="A2044" s="515">
        <v>73170</v>
      </c>
      <c r="B2044" s="515" t="s">
        <v>385</v>
      </c>
      <c r="C2044" s="52">
        <v>268696.17098526598</v>
      </c>
      <c r="D2044" s="56">
        <v>8.5701993681443475E-2</v>
      </c>
      <c r="E2044" s="224">
        <v>1541.0833333333301</v>
      </c>
      <c r="F2044" s="515" t="s">
        <v>3621</v>
      </c>
      <c r="G2044" s="52">
        <v>429653.90517535899</v>
      </c>
      <c r="H2044" s="56">
        <v>5.5975458246610155E-2</v>
      </c>
      <c r="I2044" s="224">
        <v>1989.1666666666599</v>
      </c>
    </row>
    <row r="2045" spans="1:9" x14ac:dyDescent="0.25">
      <c r="A2045" s="515">
        <v>11418</v>
      </c>
      <c r="B2045" s="515" t="s">
        <v>324</v>
      </c>
      <c r="C2045" s="52">
        <v>613735.68385358294</v>
      </c>
      <c r="D2045" s="56">
        <v>5.3614846800339993E-3</v>
      </c>
      <c r="E2045" s="224">
        <v>2060.5</v>
      </c>
      <c r="F2045" s="515" t="s">
        <v>3622</v>
      </c>
      <c r="G2045" s="52">
        <v>312085.77798546402</v>
      </c>
      <c r="H2045" s="56">
        <v>6.3866335808367897E-2</v>
      </c>
      <c r="I2045" s="224">
        <v>1000</v>
      </c>
    </row>
    <row r="2046" spans="1:9" x14ac:dyDescent="0.25">
      <c r="A2046" s="515">
        <v>60110</v>
      </c>
      <c r="B2046" s="515" t="s">
        <v>394</v>
      </c>
      <c r="C2046" s="52">
        <v>222967.24192177501</v>
      </c>
      <c r="D2046" s="56">
        <v>7.4158918237389695E-2</v>
      </c>
      <c r="E2046" s="224">
        <v>1650</v>
      </c>
      <c r="F2046" s="515" t="s">
        <v>1254</v>
      </c>
      <c r="G2046" s="52">
        <v>152477.25802532901</v>
      </c>
      <c r="H2046" s="56">
        <v>0.10554170984681875</v>
      </c>
      <c r="I2046" s="224">
        <v>1028.75</v>
      </c>
    </row>
    <row r="2047" spans="1:9" x14ac:dyDescent="0.25">
      <c r="A2047" s="515">
        <v>19063</v>
      </c>
      <c r="B2047" s="515" t="s">
        <v>294</v>
      </c>
      <c r="C2047" s="52">
        <v>521887.15734139498</v>
      </c>
      <c r="D2047" s="56">
        <v>6.6286711246642496E-2</v>
      </c>
      <c r="E2047" s="224">
        <v>2208.3333333333298</v>
      </c>
      <c r="F2047" s="515" t="s">
        <v>3623</v>
      </c>
      <c r="G2047" s="52">
        <v>396009.308377282</v>
      </c>
      <c r="H2047" s="56">
        <v>2.247077798544151E-2</v>
      </c>
      <c r="I2047" s="224">
        <v>1890.6666666666599</v>
      </c>
    </row>
    <row r="2048" spans="1:9" x14ac:dyDescent="0.25">
      <c r="A2048" s="515">
        <v>33073</v>
      </c>
      <c r="B2048" s="515" t="s">
        <v>831</v>
      </c>
      <c r="C2048" s="52">
        <v>496946.936922152</v>
      </c>
      <c r="D2048" s="56">
        <v>0.11645931823898394</v>
      </c>
      <c r="E2048" s="224">
        <v>2465.91608391608</v>
      </c>
      <c r="F2048" s="515" t="s">
        <v>3624</v>
      </c>
      <c r="G2048" s="52">
        <v>574967.13940001302</v>
      </c>
      <c r="H2048" s="56">
        <v>5.6528126050525644E-2</v>
      </c>
      <c r="I2048" s="224" t="s">
        <v>2</v>
      </c>
    </row>
    <row r="2049" spans="1:9" x14ac:dyDescent="0.25">
      <c r="A2049" s="515">
        <v>29461</v>
      </c>
      <c r="B2049" s="515" t="s">
        <v>1009</v>
      </c>
      <c r="C2049" s="52">
        <v>339818.93409335299</v>
      </c>
      <c r="D2049" s="56">
        <v>9.9221079500131329E-2</v>
      </c>
      <c r="E2049" s="224">
        <v>2210</v>
      </c>
      <c r="F2049" s="515" t="s">
        <v>3625</v>
      </c>
      <c r="G2049" s="52">
        <v>299873.77398560301</v>
      </c>
      <c r="H2049" s="56">
        <v>8.0020297544195026E-2</v>
      </c>
      <c r="I2049" s="224" t="s">
        <v>2</v>
      </c>
    </row>
    <row r="2050" spans="1:9" x14ac:dyDescent="0.25">
      <c r="A2050" s="515">
        <v>10301</v>
      </c>
      <c r="B2050" s="515" t="s">
        <v>324</v>
      </c>
      <c r="C2050" s="52">
        <v>594650.10498937196</v>
      </c>
      <c r="D2050" s="56">
        <v>5.2049569094058269E-4</v>
      </c>
      <c r="E2050" s="224">
        <v>2077.7777777777701</v>
      </c>
      <c r="F2050" s="515" t="s">
        <v>615</v>
      </c>
      <c r="G2050" s="52">
        <v>212248.40125738201</v>
      </c>
      <c r="H2050" s="56">
        <v>5.7240858472656218E-2</v>
      </c>
      <c r="I2050" s="224" t="s">
        <v>2</v>
      </c>
    </row>
    <row r="2051" spans="1:9" x14ac:dyDescent="0.25">
      <c r="A2051" s="515">
        <v>75069</v>
      </c>
      <c r="B2051" s="515" t="s">
        <v>458</v>
      </c>
      <c r="C2051" s="52">
        <v>431372.21410655603</v>
      </c>
      <c r="D2051" s="56">
        <v>6.1487162040812143E-2</v>
      </c>
      <c r="E2051" s="224">
        <v>1594.5178062678001</v>
      </c>
      <c r="F2051" s="515" t="s">
        <v>3626</v>
      </c>
      <c r="G2051" s="52">
        <v>1831136.7965448</v>
      </c>
      <c r="H2051" s="56">
        <v>5.9338061785917912E-2</v>
      </c>
      <c r="I2051" s="224">
        <v>4589.7222222222199</v>
      </c>
    </row>
    <row r="2052" spans="1:9" x14ac:dyDescent="0.25">
      <c r="A2052" s="515">
        <v>10573</v>
      </c>
      <c r="B2052" s="515" t="s">
        <v>324</v>
      </c>
      <c r="C2052" s="52">
        <v>688873.45089246903</v>
      </c>
      <c r="D2052" s="56">
        <v>4.898933252172695E-2</v>
      </c>
      <c r="E2052" s="224">
        <v>2500</v>
      </c>
      <c r="F2052" s="515" t="s">
        <v>3627</v>
      </c>
      <c r="G2052" s="52">
        <v>654977.25794770895</v>
      </c>
      <c r="H2052" s="56">
        <v>8.0133126304953242E-2</v>
      </c>
      <c r="I2052" s="224">
        <v>2096.8571428571399</v>
      </c>
    </row>
    <row r="2053" spans="1:9" x14ac:dyDescent="0.25">
      <c r="A2053" s="515">
        <v>20735</v>
      </c>
      <c r="B2053" s="515" t="s">
        <v>321</v>
      </c>
      <c r="C2053" s="52">
        <v>402767.40443259798</v>
      </c>
      <c r="D2053" s="56">
        <v>2.961972631827222E-2</v>
      </c>
      <c r="E2053" s="224" t="s">
        <v>2</v>
      </c>
      <c r="F2053" s="515" t="s">
        <v>931</v>
      </c>
      <c r="G2053" s="52">
        <v>256652.11836920999</v>
      </c>
      <c r="H2053" s="56">
        <v>0.12339649973971828</v>
      </c>
      <c r="I2053" s="224">
        <v>1521.6666666666599</v>
      </c>
    </row>
    <row r="2054" spans="1:9" x14ac:dyDescent="0.25">
      <c r="A2054" s="515">
        <v>84403</v>
      </c>
      <c r="B2054" s="515" t="s">
        <v>628</v>
      </c>
      <c r="C2054" s="52">
        <v>409732.92438153701</v>
      </c>
      <c r="D2054" s="56">
        <v>9.0803372675560528E-3</v>
      </c>
      <c r="E2054" s="224">
        <v>1330</v>
      </c>
      <c r="F2054" s="515" t="s">
        <v>468</v>
      </c>
      <c r="G2054" s="52">
        <v>359510.49526779901</v>
      </c>
      <c r="H2054" s="56">
        <v>2.495136504974926E-2</v>
      </c>
      <c r="I2054" s="224" t="s">
        <v>2</v>
      </c>
    </row>
    <row r="2055" spans="1:9" x14ac:dyDescent="0.25">
      <c r="A2055" s="515">
        <v>78210</v>
      </c>
      <c r="B2055" s="515" t="s">
        <v>717</v>
      </c>
      <c r="C2055" s="52">
        <v>187136.87735552399</v>
      </c>
      <c r="D2055" s="56">
        <v>7.3587119765637518E-2</v>
      </c>
      <c r="E2055" s="224">
        <v>1364.8333333333301</v>
      </c>
      <c r="F2055" s="515" t="s">
        <v>3628</v>
      </c>
      <c r="G2055" s="52">
        <v>544283.62561984302</v>
      </c>
      <c r="H2055" s="56">
        <v>4.3123835438945497E-2</v>
      </c>
      <c r="I2055" s="224" t="s">
        <v>2</v>
      </c>
    </row>
    <row r="2056" spans="1:9" x14ac:dyDescent="0.25">
      <c r="A2056" s="515">
        <v>32404</v>
      </c>
      <c r="B2056" s="515" t="s">
        <v>1160</v>
      </c>
      <c r="C2056" s="52">
        <v>259784.63710609099</v>
      </c>
      <c r="D2056" s="56">
        <v>0.12744864394451519</v>
      </c>
      <c r="E2056" s="224">
        <v>1523.5416666666599</v>
      </c>
      <c r="F2056" s="515" t="s">
        <v>1282</v>
      </c>
      <c r="G2056" s="52">
        <v>909279.66576723906</v>
      </c>
      <c r="H2056" s="56">
        <v>0.14354474094768979</v>
      </c>
      <c r="I2056" s="224" t="s">
        <v>2</v>
      </c>
    </row>
    <row r="2057" spans="1:9" x14ac:dyDescent="0.25">
      <c r="A2057" s="515">
        <v>34758</v>
      </c>
      <c r="B2057" s="515" t="s">
        <v>517</v>
      </c>
      <c r="C2057" s="52">
        <v>331062.86259816698</v>
      </c>
      <c r="D2057" s="56">
        <v>9.90558821753008E-2</v>
      </c>
      <c r="E2057" s="224">
        <v>2025.9425770308101</v>
      </c>
      <c r="F2057" s="515" t="s">
        <v>3629</v>
      </c>
      <c r="G2057" s="52">
        <v>579007.81048697303</v>
      </c>
      <c r="H2057" s="56">
        <v>5.3673460258134201E-2</v>
      </c>
      <c r="I2057" s="224">
        <v>2689.3333333333298</v>
      </c>
    </row>
    <row r="2058" spans="1:9" x14ac:dyDescent="0.25">
      <c r="A2058" s="515">
        <v>40165</v>
      </c>
      <c r="B2058" s="515" t="s">
        <v>479</v>
      </c>
      <c r="C2058" s="52">
        <v>253112.95749499701</v>
      </c>
      <c r="D2058" s="56">
        <v>4.5312010378155597E-2</v>
      </c>
      <c r="E2058" s="224">
        <v>1553.05555555555</v>
      </c>
      <c r="F2058" s="515" t="s">
        <v>3630</v>
      </c>
      <c r="G2058" s="52">
        <v>546557.44502944103</v>
      </c>
      <c r="H2058" s="56">
        <v>0.10700923632845041</v>
      </c>
      <c r="I2058" s="224">
        <v>2528.2666666666601</v>
      </c>
    </row>
    <row r="2059" spans="1:9" x14ac:dyDescent="0.25">
      <c r="A2059" s="515">
        <v>85138</v>
      </c>
      <c r="B2059" s="515" t="s">
        <v>563</v>
      </c>
      <c r="C2059" s="52">
        <v>364250.130254752</v>
      </c>
      <c r="D2059" s="56">
        <v>1.5458481045254711E-2</v>
      </c>
      <c r="E2059" s="224">
        <v>1962.0213675213599</v>
      </c>
      <c r="F2059" s="515" t="s">
        <v>3631</v>
      </c>
      <c r="G2059" s="52">
        <v>625196.92489945504</v>
      </c>
      <c r="H2059" s="56">
        <v>0.11172604600039274</v>
      </c>
      <c r="I2059" s="224">
        <v>3043.2</v>
      </c>
    </row>
    <row r="2060" spans="1:9" x14ac:dyDescent="0.25">
      <c r="A2060" s="515">
        <v>30014</v>
      </c>
      <c r="B2060" s="515" t="s">
        <v>957</v>
      </c>
      <c r="C2060" s="52">
        <v>281909.04981572501</v>
      </c>
      <c r="D2060" s="56">
        <v>0.11116395840321867</v>
      </c>
      <c r="E2060" s="224">
        <v>1752.8333333333301</v>
      </c>
      <c r="F2060" s="515" t="s">
        <v>3632</v>
      </c>
      <c r="G2060" s="52">
        <v>388237.18951431802</v>
      </c>
      <c r="H2060" s="56">
        <v>1.0987454365140998E-2</v>
      </c>
      <c r="I2060" s="224">
        <v>1583.3333333333301</v>
      </c>
    </row>
    <row r="2061" spans="1:9" x14ac:dyDescent="0.25">
      <c r="A2061" s="515">
        <v>95301</v>
      </c>
      <c r="B2061" s="515" t="s">
        <v>594</v>
      </c>
      <c r="C2061" s="52">
        <v>380414.32025965001</v>
      </c>
      <c r="D2061" s="56">
        <v>1.7638265977881085E-2</v>
      </c>
      <c r="E2061" s="224">
        <v>1400</v>
      </c>
      <c r="F2061" s="515" t="s">
        <v>3633</v>
      </c>
      <c r="G2061" s="52">
        <v>466282.62233138602</v>
      </c>
      <c r="H2061" s="56">
        <v>7.2825336621950565E-2</v>
      </c>
      <c r="I2061" s="224" t="s">
        <v>2</v>
      </c>
    </row>
    <row r="2062" spans="1:9" x14ac:dyDescent="0.25">
      <c r="A2062" s="515">
        <v>92337</v>
      </c>
      <c r="B2062" s="515" t="s">
        <v>599</v>
      </c>
      <c r="C2062" s="52">
        <v>548650.71558067098</v>
      </c>
      <c r="D2062" s="56">
        <v>2.8207519545354925E-2</v>
      </c>
      <c r="E2062" s="224">
        <v>3122.5</v>
      </c>
      <c r="F2062" s="515" t="s">
        <v>3634</v>
      </c>
      <c r="G2062" s="52">
        <v>299880.36688574997</v>
      </c>
      <c r="H2062" s="56">
        <v>8.0571425263033583E-2</v>
      </c>
      <c r="I2062" s="224" t="s">
        <v>2</v>
      </c>
    </row>
    <row r="2063" spans="1:9" x14ac:dyDescent="0.25">
      <c r="A2063" s="515">
        <v>60068</v>
      </c>
      <c r="B2063" s="515" t="s">
        <v>394</v>
      </c>
      <c r="C2063" s="52">
        <v>462269.43958465202</v>
      </c>
      <c r="D2063" s="56">
        <v>1.6293231389350592E-2</v>
      </c>
      <c r="E2063" s="224" t="s">
        <v>2</v>
      </c>
      <c r="F2063" s="515" t="s">
        <v>3635</v>
      </c>
      <c r="G2063" s="52">
        <v>187642.141366917</v>
      </c>
      <c r="H2063" s="56">
        <v>0.1146863539637768</v>
      </c>
      <c r="I2063" s="224">
        <v>1225.1666666666599</v>
      </c>
    </row>
    <row r="2064" spans="1:9" x14ac:dyDescent="0.25">
      <c r="A2064" s="515">
        <v>92253</v>
      </c>
      <c r="B2064" s="515" t="s">
        <v>599</v>
      </c>
      <c r="C2064" s="52">
        <v>713720.86977085902</v>
      </c>
      <c r="D2064" s="56">
        <v>9.0162029254339568E-2</v>
      </c>
      <c r="E2064" s="224">
        <v>3376.4074074074001</v>
      </c>
      <c r="F2064" s="515" t="s">
        <v>1223</v>
      </c>
      <c r="G2064" s="52">
        <v>109728.34863181799</v>
      </c>
      <c r="H2064" s="56">
        <v>7.275862222314726E-2</v>
      </c>
      <c r="I2064" s="224" t="s">
        <v>2</v>
      </c>
    </row>
    <row r="2065" spans="1:9" x14ac:dyDescent="0.25">
      <c r="A2065" s="515">
        <v>46033</v>
      </c>
      <c r="B2065" s="515" t="s">
        <v>403</v>
      </c>
      <c r="C2065" s="52">
        <v>496158.57580353803</v>
      </c>
      <c r="D2065" s="56">
        <v>4.7800579533562572E-2</v>
      </c>
      <c r="E2065" s="224" t="s">
        <v>2</v>
      </c>
      <c r="F2065" s="515" t="s">
        <v>3636</v>
      </c>
      <c r="G2065" s="52">
        <v>280916.71603401401</v>
      </c>
      <c r="H2065" s="56">
        <v>9.4881565569386414E-2</v>
      </c>
      <c r="I2065" s="224">
        <v>1716.6666666666599</v>
      </c>
    </row>
    <row r="2066" spans="1:9" x14ac:dyDescent="0.25">
      <c r="A2066" s="515">
        <v>39402</v>
      </c>
      <c r="B2066" s="515" t="s">
        <v>1074</v>
      </c>
      <c r="C2066" s="52">
        <v>248731.33949624401</v>
      </c>
      <c r="D2066" s="56">
        <v>5.4499541541393845E-2</v>
      </c>
      <c r="E2066" s="224">
        <v>1429.51388888888</v>
      </c>
      <c r="F2066" s="515" t="s">
        <v>3637</v>
      </c>
      <c r="G2066" s="52">
        <v>284494.15313612402</v>
      </c>
      <c r="H2066" s="56">
        <v>8.6449873848046685E-2</v>
      </c>
      <c r="I2066" s="224" t="s">
        <v>2</v>
      </c>
    </row>
    <row r="2067" spans="1:9" x14ac:dyDescent="0.25">
      <c r="A2067" s="515">
        <v>60090</v>
      </c>
      <c r="B2067" s="515" t="s">
        <v>394</v>
      </c>
      <c r="C2067" s="52">
        <v>243510.84343255701</v>
      </c>
      <c r="D2067" s="56">
        <v>5.1471288004116669E-2</v>
      </c>
      <c r="E2067" s="224">
        <v>1766.4552706552699</v>
      </c>
      <c r="F2067" s="515" t="s">
        <v>3638</v>
      </c>
      <c r="G2067" s="52"/>
      <c r="H2067" s="56">
        <v>0</v>
      </c>
      <c r="I2067" s="224" t="s">
        <v>2</v>
      </c>
    </row>
    <row r="2068" spans="1:9" x14ac:dyDescent="0.25">
      <c r="A2068" s="515">
        <v>46123</v>
      </c>
      <c r="B2068" s="515" t="s">
        <v>403</v>
      </c>
      <c r="C2068" s="52">
        <v>317862.12163552397</v>
      </c>
      <c r="D2068" s="56">
        <v>6.1167995704077383E-2</v>
      </c>
      <c r="E2068" s="224">
        <v>1745</v>
      </c>
      <c r="F2068" s="515" t="s">
        <v>3639</v>
      </c>
      <c r="G2068" s="52">
        <v>271483.85730642598</v>
      </c>
      <c r="H2068" s="56">
        <v>5.3697932595074223E-2</v>
      </c>
      <c r="I2068" s="224">
        <v>1232.94444444444</v>
      </c>
    </row>
    <row r="2069" spans="1:9" x14ac:dyDescent="0.25">
      <c r="A2069" s="515">
        <v>78028</v>
      </c>
      <c r="B2069" s="515" t="s">
        <v>1105</v>
      </c>
      <c r="C2069" s="52">
        <v>337821.01241435797</v>
      </c>
      <c r="D2069" s="56">
        <v>5.2769468276311238E-2</v>
      </c>
      <c r="E2069" s="224">
        <v>1772.2222222222199</v>
      </c>
      <c r="F2069" s="515" t="s">
        <v>3640</v>
      </c>
      <c r="G2069" s="52">
        <v>1628821.11250436</v>
      </c>
      <c r="H2069" s="56">
        <v>6.9442814843555745E-2</v>
      </c>
      <c r="I2069" s="224" t="s">
        <v>2</v>
      </c>
    </row>
    <row r="2070" spans="1:9" x14ac:dyDescent="0.25">
      <c r="A2070" s="515">
        <v>30215</v>
      </c>
      <c r="B2070" s="515" t="s">
        <v>957</v>
      </c>
      <c r="C2070" s="52">
        <v>412381.73002119298</v>
      </c>
      <c r="D2070" s="56">
        <v>7.4012835857433998E-2</v>
      </c>
      <c r="E2070" s="224">
        <v>2301</v>
      </c>
      <c r="F2070" s="515" t="s">
        <v>1096</v>
      </c>
      <c r="G2070" s="52">
        <v>141995.98813233801</v>
      </c>
      <c r="H2070" s="56">
        <v>-1.4893142964299435E-2</v>
      </c>
      <c r="I2070" s="224" t="s">
        <v>2</v>
      </c>
    </row>
    <row r="2071" spans="1:9" x14ac:dyDescent="0.25">
      <c r="A2071" s="515">
        <v>77073</v>
      </c>
      <c r="B2071" s="515" t="s">
        <v>314</v>
      </c>
      <c r="C2071" s="52">
        <v>240186.588297927</v>
      </c>
      <c r="D2071" s="56">
        <v>0.10107437193028429</v>
      </c>
      <c r="E2071" s="224">
        <v>1732.69841269841</v>
      </c>
      <c r="F2071" s="515" t="s">
        <v>3641</v>
      </c>
      <c r="G2071" s="52">
        <v>321218.72909800999</v>
      </c>
      <c r="H2071" s="56">
        <v>9.3111731552379562E-2</v>
      </c>
      <c r="I2071" s="224">
        <v>1388.88888888888</v>
      </c>
    </row>
    <row r="2072" spans="1:9" x14ac:dyDescent="0.25">
      <c r="A2072" s="515">
        <v>63011</v>
      </c>
      <c r="B2072" s="515" t="s">
        <v>498</v>
      </c>
      <c r="C2072" s="52">
        <v>369207.24211854499</v>
      </c>
      <c r="D2072" s="56">
        <v>7.0117594228917182E-2</v>
      </c>
      <c r="E2072" s="224">
        <v>2041.6666666666599</v>
      </c>
      <c r="F2072" s="515" t="s">
        <v>3642</v>
      </c>
      <c r="G2072" s="52">
        <v>784552.36602634704</v>
      </c>
      <c r="H2072" s="56">
        <v>0.12110742193135747</v>
      </c>
      <c r="I2072" s="224">
        <v>2536.1111111111099</v>
      </c>
    </row>
    <row r="2073" spans="1:9" x14ac:dyDescent="0.25">
      <c r="A2073" s="515">
        <v>95337</v>
      </c>
      <c r="B2073" s="515" t="s">
        <v>852</v>
      </c>
      <c r="C2073" s="52">
        <v>630219.42172772402</v>
      </c>
      <c r="D2073" s="56">
        <v>2.2028169796588802E-2</v>
      </c>
      <c r="E2073" s="224">
        <v>2458.1999999999998</v>
      </c>
      <c r="F2073" s="515" t="s">
        <v>3643</v>
      </c>
      <c r="G2073" s="52">
        <v>379581.25292944402</v>
      </c>
      <c r="H2073" s="56">
        <v>5.7641746842508147E-2</v>
      </c>
      <c r="I2073" s="224" t="s">
        <v>2</v>
      </c>
    </row>
    <row r="2074" spans="1:9" x14ac:dyDescent="0.25">
      <c r="A2074" s="515">
        <v>76106</v>
      </c>
      <c r="B2074" s="515" t="s">
        <v>458</v>
      </c>
      <c r="C2074" s="52">
        <v>180617.44169371901</v>
      </c>
      <c r="D2074" s="56">
        <v>0.23006151291688937</v>
      </c>
      <c r="E2074" s="224">
        <v>1282.5</v>
      </c>
      <c r="F2074" s="515" t="s">
        <v>3644</v>
      </c>
      <c r="G2074" s="52">
        <v>267129.84664493997</v>
      </c>
      <c r="H2074" s="56">
        <v>5.9180809480222141E-2</v>
      </c>
      <c r="I2074" s="224" t="s">
        <v>2</v>
      </c>
    </row>
    <row r="2075" spans="1:9" x14ac:dyDescent="0.25">
      <c r="A2075" s="515">
        <v>93711</v>
      </c>
      <c r="B2075" s="515" t="s">
        <v>541</v>
      </c>
      <c r="C2075" s="52">
        <v>464650.09508899</v>
      </c>
      <c r="D2075" s="56">
        <v>4.9919494938812821E-2</v>
      </c>
      <c r="E2075" s="224">
        <v>2150</v>
      </c>
      <c r="F2075" s="515" t="s">
        <v>866</v>
      </c>
      <c r="G2075" s="52">
        <v>222870.36911346501</v>
      </c>
      <c r="H2075" s="56">
        <v>9.4708415971868715E-2</v>
      </c>
      <c r="I2075" s="224" t="s">
        <v>2</v>
      </c>
    </row>
    <row r="2076" spans="1:9" x14ac:dyDescent="0.25">
      <c r="A2076" s="515">
        <v>77087</v>
      </c>
      <c r="B2076" s="515" t="s">
        <v>314</v>
      </c>
      <c r="C2076" s="52">
        <v>188552.11677566799</v>
      </c>
      <c r="D2076" s="56">
        <v>0.19851499583806265</v>
      </c>
      <c r="E2076" s="224">
        <v>1397.5</v>
      </c>
      <c r="F2076" s="515" t="s">
        <v>3645</v>
      </c>
      <c r="G2076" s="52">
        <v>524875.06054230698</v>
      </c>
      <c r="H2076" s="56">
        <v>3.5636277086293563E-2</v>
      </c>
      <c r="I2076" s="224">
        <v>2075</v>
      </c>
    </row>
    <row r="2077" spans="1:9" x14ac:dyDescent="0.25">
      <c r="A2077" s="515">
        <v>76262</v>
      </c>
      <c r="B2077" s="515" t="s">
        <v>458</v>
      </c>
      <c r="C2077" s="52">
        <v>575367.05731616402</v>
      </c>
      <c r="D2077" s="56">
        <v>8.7968605391829019E-2</v>
      </c>
      <c r="E2077" s="224">
        <v>1692.59536541889</v>
      </c>
      <c r="F2077" s="515" t="s">
        <v>3646</v>
      </c>
      <c r="G2077" s="52">
        <v>299443.06794807297</v>
      </c>
      <c r="H2077" s="56">
        <v>7.9370145026746899E-2</v>
      </c>
      <c r="I2077" s="224">
        <v>2124.5</v>
      </c>
    </row>
    <row r="2078" spans="1:9" x14ac:dyDescent="0.25">
      <c r="A2078" s="515">
        <v>43551</v>
      </c>
      <c r="B2078" s="515" t="s">
        <v>300</v>
      </c>
      <c r="C2078" s="52">
        <v>292398.23919162602</v>
      </c>
      <c r="D2078" s="56">
        <v>8.0737928445959312E-2</v>
      </c>
      <c r="E2078" s="224">
        <v>1669.1666666666599</v>
      </c>
      <c r="F2078" s="515" t="s">
        <v>3647</v>
      </c>
      <c r="G2078" s="52">
        <v>232285.42811890101</v>
      </c>
      <c r="H2078" s="56">
        <v>4.972316886907905E-2</v>
      </c>
      <c r="I2078" s="224" t="s">
        <v>2</v>
      </c>
    </row>
    <row r="2079" spans="1:9" x14ac:dyDescent="0.25">
      <c r="A2079" s="515">
        <v>6106</v>
      </c>
      <c r="B2079" s="515" t="s">
        <v>894</v>
      </c>
      <c r="C2079" s="52">
        <v>206017.082177351</v>
      </c>
      <c r="D2079" s="56">
        <v>0.17564068458258381</v>
      </c>
      <c r="E2079" s="224">
        <v>1504.8611111111099</v>
      </c>
      <c r="F2079" s="515" t="s">
        <v>3648</v>
      </c>
      <c r="G2079" s="52">
        <v>257690.93622849201</v>
      </c>
      <c r="H2079" s="56">
        <v>0.1172085890251475</v>
      </c>
      <c r="I2079" s="224">
        <v>1575</v>
      </c>
    </row>
    <row r="2080" spans="1:9" x14ac:dyDescent="0.25">
      <c r="A2080" s="515">
        <v>10454</v>
      </c>
      <c r="B2080" s="515" t="s">
        <v>324</v>
      </c>
      <c r="C2080" s="52">
        <v>675770.86925965198</v>
      </c>
      <c r="D2080" s="56">
        <v>3.2864202762427505E-2</v>
      </c>
      <c r="E2080" s="224">
        <v>2685.75</v>
      </c>
      <c r="F2080" s="515" t="s">
        <v>3649</v>
      </c>
      <c r="G2080" s="52">
        <v>275467.58014924597</v>
      </c>
      <c r="H2080" s="56">
        <v>8.613268905259383E-2</v>
      </c>
      <c r="I2080" s="224" t="s">
        <v>2</v>
      </c>
    </row>
    <row r="2081" spans="1:9" x14ac:dyDescent="0.25">
      <c r="A2081" s="515">
        <v>93552</v>
      </c>
      <c r="B2081" s="515" t="s">
        <v>375</v>
      </c>
      <c r="C2081" s="52">
        <v>460409.89314989501</v>
      </c>
      <c r="D2081" s="56">
        <v>2.3910411412772885E-2</v>
      </c>
      <c r="E2081" s="224">
        <v>2734</v>
      </c>
      <c r="F2081" s="515" t="s">
        <v>3650</v>
      </c>
      <c r="G2081" s="52">
        <v>332523.82717861398</v>
      </c>
      <c r="H2081" s="56">
        <v>7.8261207220483714E-2</v>
      </c>
      <c r="I2081" s="224" t="s">
        <v>2</v>
      </c>
    </row>
    <row r="2082" spans="1:9" x14ac:dyDescent="0.25">
      <c r="A2082" s="515">
        <v>20817</v>
      </c>
      <c r="B2082" s="515" t="s">
        <v>321</v>
      </c>
      <c r="C2082" s="52">
        <v>1108003.0973356001</v>
      </c>
      <c r="D2082" s="56">
        <v>5.457083012948457E-2</v>
      </c>
      <c r="E2082" s="224">
        <v>3091.25</v>
      </c>
      <c r="F2082" s="515" t="s">
        <v>3651</v>
      </c>
      <c r="G2082" s="52">
        <v>258379.53428827299</v>
      </c>
      <c r="H2082" s="56">
        <v>7.6468747424974198E-2</v>
      </c>
      <c r="I2082" s="224">
        <v>1399.75</v>
      </c>
    </row>
    <row r="2083" spans="1:9" x14ac:dyDescent="0.25">
      <c r="A2083" s="515">
        <v>28115</v>
      </c>
      <c r="B2083" s="515" t="s">
        <v>360</v>
      </c>
      <c r="C2083" s="52">
        <v>376773.63655727799</v>
      </c>
      <c r="D2083" s="56">
        <v>0.1110489045538821</v>
      </c>
      <c r="E2083" s="224">
        <v>1918.9111111111099</v>
      </c>
      <c r="F2083" s="515" t="s">
        <v>962</v>
      </c>
      <c r="G2083" s="52">
        <v>298931.458776752</v>
      </c>
      <c r="H2083" s="56">
        <v>7.8655857994767986E-2</v>
      </c>
      <c r="I2083" s="224" t="s">
        <v>2</v>
      </c>
    </row>
    <row r="2084" spans="1:9" x14ac:dyDescent="0.25">
      <c r="A2084" s="515">
        <v>72143</v>
      </c>
      <c r="B2084" s="515" t="s">
        <v>414</v>
      </c>
      <c r="C2084" s="52">
        <v>175312.59786895799</v>
      </c>
      <c r="D2084" s="56">
        <v>8.5190149900703796E-2</v>
      </c>
      <c r="E2084" s="224" t="s">
        <v>2</v>
      </c>
      <c r="F2084" s="515" t="s">
        <v>3652</v>
      </c>
      <c r="G2084" s="52">
        <v>425863.521132397</v>
      </c>
      <c r="H2084" s="56">
        <v>6.6667791925945005E-2</v>
      </c>
      <c r="I2084" s="224">
        <v>1896.3783068783</v>
      </c>
    </row>
    <row r="2085" spans="1:9" x14ac:dyDescent="0.25">
      <c r="A2085" s="515">
        <v>95821</v>
      </c>
      <c r="B2085" s="515" t="s">
        <v>355</v>
      </c>
      <c r="C2085" s="52">
        <v>458580.38987745403</v>
      </c>
      <c r="D2085" s="56">
        <v>1.097139991075965E-2</v>
      </c>
      <c r="E2085" s="224">
        <v>1759.2857142857099</v>
      </c>
      <c r="F2085" s="515" t="s">
        <v>3653</v>
      </c>
      <c r="G2085" s="52">
        <v>577964.34715515305</v>
      </c>
      <c r="H2085" s="56">
        <v>0.15346326967327856</v>
      </c>
      <c r="I2085" s="224">
        <v>2579.9597069596998</v>
      </c>
    </row>
    <row r="2086" spans="1:9" x14ac:dyDescent="0.25">
      <c r="A2086" s="515">
        <v>7712</v>
      </c>
      <c r="B2086" s="515" t="s">
        <v>324</v>
      </c>
      <c r="C2086" s="52">
        <v>585538.45505788305</v>
      </c>
      <c r="D2086" s="56">
        <v>9.0496613271888654E-2</v>
      </c>
      <c r="E2086" s="224">
        <v>2220.9444444444398</v>
      </c>
      <c r="F2086" s="515" t="s">
        <v>3654</v>
      </c>
      <c r="G2086" s="52">
        <v>499964.35827451001</v>
      </c>
      <c r="H2086" s="56">
        <v>6.9592743674961946E-2</v>
      </c>
      <c r="I2086" s="224">
        <v>2338.3611111111099</v>
      </c>
    </row>
    <row r="2087" spans="1:9" x14ac:dyDescent="0.25">
      <c r="A2087" s="515">
        <v>11222</v>
      </c>
      <c r="B2087" s="515" t="s">
        <v>324</v>
      </c>
      <c r="C2087" s="52">
        <v>1105924.93470406</v>
      </c>
      <c r="D2087" s="56">
        <v>-2.1841091973268402E-3</v>
      </c>
      <c r="E2087" s="224">
        <v>3580.6511585477101</v>
      </c>
      <c r="F2087" s="515" t="s">
        <v>760</v>
      </c>
      <c r="G2087" s="52">
        <v>167924.12088827699</v>
      </c>
      <c r="H2087" s="56">
        <v>8.0864952082273109E-2</v>
      </c>
      <c r="I2087" s="224">
        <v>916.66666666666595</v>
      </c>
    </row>
    <row r="2088" spans="1:9" x14ac:dyDescent="0.25">
      <c r="A2088" s="515">
        <v>98032</v>
      </c>
      <c r="B2088" s="515" t="s">
        <v>384</v>
      </c>
      <c r="C2088" s="52">
        <v>509496.24105055298</v>
      </c>
      <c r="D2088" s="56">
        <v>3.511364136620812E-2</v>
      </c>
      <c r="E2088" s="224">
        <v>1941.17119917119</v>
      </c>
      <c r="F2088" s="515" t="s">
        <v>3655</v>
      </c>
      <c r="G2088" s="52">
        <v>266965.193374708</v>
      </c>
      <c r="H2088" s="56">
        <v>0.18357447888041148</v>
      </c>
      <c r="I2088" s="224">
        <v>1498.75</v>
      </c>
    </row>
    <row r="2089" spans="1:9" x14ac:dyDescent="0.25">
      <c r="A2089" s="515">
        <v>11779</v>
      </c>
      <c r="B2089" s="515" t="s">
        <v>324</v>
      </c>
      <c r="C2089" s="52">
        <v>494767.575384636</v>
      </c>
      <c r="D2089" s="56">
        <v>4.422506906322024E-2</v>
      </c>
      <c r="E2089" s="224">
        <v>2909.9259259259202</v>
      </c>
      <c r="F2089" s="515" t="s">
        <v>3656</v>
      </c>
      <c r="G2089" s="52">
        <v>314306.049144883</v>
      </c>
      <c r="H2089" s="56">
        <v>5.74778516483248E-2</v>
      </c>
      <c r="I2089" s="224" t="s">
        <v>2</v>
      </c>
    </row>
    <row r="2090" spans="1:9" x14ac:dyDescent="0.25">
      <c r="A2090" s="515">
        <v>77014</v>
      </c>
      <c r="B2090" s="515" t="s">
        <v>314</v>
      </c>
      <c r="C2090" s="52">
        <v>251510.593187124</v>
      </c>
      <c r="D2090" s="56">
        <v>0.11106663507017334</v>
      </c>
      <c r="E2090" s="224">
        <v>1342.48842592592</v>
      </c>
      <c r="F2090" s="515" t="s">
        <v>3657</v>
      </c>
      <c r="G2090" s="52">
        <v>750187.76949410397</v>
      </c>
      <c r="H2090" s="56">
        <v>0</v>
      </c>
      <c r="I2090" s="224">
        <v>2014.5833333333301</v>
      </c>
    </row>
    <row r="2091" spans="1:9" x14ac:dyDescent="0.25">
      <c r="A2091" s="515">
        <v>11412</v>
      </c>
      <c r="B2091" s="515" t="s">
        <v>324</v>
      </c>
      <c r="C2091" s="52">
        <v>608514.34789602901</v>
      </c>
      <c r="D2091" s="56">
        <v>3.3617622016080713E-2</v>
      </c>
      <c r="E2091" s="224" t="s">
        <v>2</v>
      </c>
      <c r="F2091" s="515" t="s">
        <v>3658</v>
      </c>
      <c r="G2091" s="52">
        <v>514545.41158918099</v>
      </c>
      <c r="H2091" s="56">
        <v>1.5535069301255821E-2</v>
      </c>
      <c r="I2091" s="224">
        <v>2003.125</v>
      </c>
    </row>
    <row r="2092" spans="1:9" x14ac:dyDescent="0.25">
      <c r="A2092" s="515">
        <v>37174</v>
      </c>
      <c r="B2092" s="515" t="s">
        <v>684</v>
      </c>
      <c r="C2092" s="52">
        <v>490351.08168505202</v>
      </c>
      <c r="D2092" s="56">
        <v>0.10037564651296174</v>
      </c>
      <c r="E2092" s="224">
        <v>2208.7027777777698</v>
      </c>
      <c r="F2092" s="515" t="s">
        <v>3659</v>
      </c>
      <c r="G2092" s="52">
        <v>345884.48987526097</v>
      </c>
      <c r="H2092" s="56">
        <v>7.3661282394004282E-2</v>
      </c>
      <c r="I2092" s="224" t="s">
        <v>2</v>
      </c>
    </row>
    <row r="2093" spans="1:9" x14ac:dyDescent="0.25">
      <c r="A2093" s="515">
        <v>33428</v>
      </c>
      <c r="B2093" s="515" t="s">
        <v>831</v>
      </c>
      <c r="C2093" s="52">
        <v>462971.06893130997</v>
      </c>
      <c r="D2093" s="56">
        <v>0.11449372293840089</v>
      </c>
      <c r="E2093" s="224">
        <v>2801.0850168350098</v>
      </c>
      <c r="F2093" s="515" t="s">
        <v>3660</v>
      </c>
      <c r="G2093" s="52">
        <v>393517.92608569202</v>
      </c>
      <c r="H2093" s="56">
        <v>0.11060693687648915</v>
      </c>
      <c r="I2093" s="224" t="s">
        <v>2</v>
      </c>
    </row>
    <row r="2094" spans="1:9" x14ac:dyDescent="0.25">
      <c r="A2094" s="515">
        <v>83651</v>
      </c>
      <c r="B2094" s="515" t="s">
        <v>500</v>
      </c>
      <c r="C2094" s="52">
        <v>347766.35713904799</v>
      </c>
      <c r="D2094" s="56">
        <v>-1.4490480732566036E-2</v>
      </c>
      <c r="E2094" s="224">
        <v>1347.31481481481</v>
      </c>
      <c r="F2094" s="515" t="s">
        <v>3661</v>
      </c>
      <c r="G2094" s="52">
        <v>489699.737449323</v>
      </c>
      <c r="H2094" s="56">
        <v>2.0498727774269872E-2</v>
      </c>
      <c r="I2094" s="224" t="s">
        <v>2</v>
      </c>
    </row>
    <row r="2095" spans="1:9" x14ac:dyDescent="0.25">
      <c r="A2095" s="515">
        <v>8807</v>
      </c>
      <c r="B2095" s="515" t="s">
        <v>324</v>
      </c>
      <c r="C2095" s="52">
        <v>567780.07069232699</v>
      </c>
      <c r="D2095" s="56">
        <v>5.3100712277958859E-2</v>
      </c>
      <c r="E2095" s="224" t="s">
        <v>2</v>
      </c>
      <c r="F2095" s="515" t="s">
        <v>3662</v>
      </c>
      <c r="G2095" s="52">
        <v>315518.08223010902</v>
      </c>
      <c r="H2095" s="56">
        <v>1.6396488930866943E-2</v>
      </c>
      <c r="I2095" s="224">
        <v>1275</v>
      </c>
    </row>
    <row r="2096" spans="1:9" x14ac:dyDescent="0.25">
      <c r="A2096" s="515">
        <v>84067</v>
      </c>
      <c r="B2096" s="515" t="s">
        <v>628</v>
      </c>
      <c r="C2096" s="52">
        <v>393858.07906799897</v>
      </c>
      <c r="D2096" s="56">
        <v>1.8163281079050762E-2</v>
      </c>
      <c r="E2096" s="224">
        <v>1960.5</v>
      </c>
      <c r="F2096" s="515" t="s">
        <v>3663</v>
      </c>
      <c r="G2096" s="52">
        <v>297149.99967476103</v>
      </c>
      <c r="H2096" s="56">
        <v>7.9978462532632771E-2</v>
      </c>
      <c r="I2096" s="224">
        <v>1327.2222222222199</v>
      </c>
    </row>
    <row r="2097" spans="1:9" x14ac:dyDescent="0.25">
      <c r="A2097" s="515">
        <v>45211</v>
      </c>
      <c r="B2097" s="515" t="s">
        <v>344</v>
      </c>
      <c r="C2097" s="52">
        <v>166011.01289683199</v>
      </c>
      <c r="D2097" s="56">
        <v>5.9673156343015225E-2</v>
      </c>
      <c r="E2097" s="224">
        <v>1093.05555555555</v>
      </c>
      <c r="F2097" s="515" t="s">
        <v>3664</v>
      </c>
      <c r="G2097" s="52">
        <v>1146993.2818936</v>
      </c>
      <c r="H2097" s="56">
        <v>9.3353849298997454E-2</v>
      </c>
      <c r="I2097" s="224">
        <v>3782.0833333333298</v>
      </c>
    </row>
    <row r="2098" spans="1:9" x14ac:dyDescent="0.25">
      <c r="A2098" s="515">
        <v>11554</v>
      </c>
      <c r="B2098" s="515" t="s">
        <v>324</v>
      </c>
      <c r="C2098" s="52">
        <v>642498.32751788595</v>
      </c>
      <c r="D2098" s="56">
        <v>5.8664316713530534E-2</v>
      </c>
      <c r="E2098" s="224" t="s">
        <v>2</v>
      </c>
      <c r="F2098" s="515" t="s">
        <v>1035</v>
      </c>
      <c r="G2098" s="52">
        <v>150076.16925363499</v>
      </c>
      <c r="H2098" s="56">
        <v>3.8568615211994658E-2</v>
      </c>
      <c r="I2098" s="224">
        <v>1019</v>
      </c>
    </row>
    <row r="2099" spans="1:9" x14ac:dyDescent="0.25">
      <c r="A2099" s="515">
        <v>30542</v>
      </c>
      <c r="B2099" s="515" t="s">
        <v>1102</v>
      </c>
      <c r="C2099" s="52">
        <v>391644.16024044802</v>
      </c>
      <c r="D2099" s="56">
        <v>0.10319153755042508</v>
      </c>
      <c r="E2099" s="224">
        <v>1802.5851851851801</v>
      </c>
      <c r="F2099" s="515" t="s">
        <v>3665</v>
      </c>
      <c r="G2099" s="52">
        <v>406743.63787176902</v>
      </c>
      <c r="H2099" s="56">
        <v>4.7852590876099568E-2</v>
      </c>
      <c r="I2099" s="224">
        <v>1760.3333333333301</v>
      </c>
    </row>
    <row r="2100" spans="1:9" x14ac:dyDescent="0.25">
      <c r="A2100" s="515">
        <v>86004</v>
      </c>
      <c r="B2100" s="515" t="s">
        <v>600</v>
      </c>
      <c r="C2100" s="52">
        <v>541882.80312109401</v>
      </c>
      <c r="D2100" s="56">
        <v>5.7668728785700875E-2</v>
      </c>
      <c r="E2100" s="224">
        <v>2491.1111111111099</v>
      </c>
      <c r="F2100" s="515" t="s">
        <v>3666</v>
      </c>
      <c r="G2100" s="52">
        <v>492642.39894262998</v>
      </c>
      <c r="H2100" s="56">
        <v>4.649858819249994E-2</v>
      </c>
      <c r="I2100" s="224" t="s">
        <v>2</v>
      </c>
    </row>
    <row r="2101" spans="1:9" x14ac:dyDescent="0.25">
      <c r="A2101" s="515">
        <v>2184</v>
      </c>
      <c r="B2101" s="515" t="s">
        <v>534</v>
      </c>
      <c r="C2101" s="52">
        <v>608792.26941930398</v>
      </c>
      <c r="D2101" s="56">
        <v>5.4197306331399013E-2</v>
      </c>
      <c r="E2101" s="224">
        <v>2701.7777777777701</v>
      </c>
      <c r="F2101" s="515" t="s">
        <v>3667</v>
      </c>
      <c r="G2101" s="52">
        <v>190539.18248183801</v>
      </c>
      <c r="H2101" s="56">
        <v>8.8212414842122375E-2</v>
      </c>
      <c r="I2101" s="224">
        <v>1645</v>
      </c>
    </row>
    <row r="2102" spans="1:9" x14ac:dyDescent="0.25">
      <c r="A2102" s="515">
        <v>77007</v>
      </c>
      <c r="B2102" s="515" t="s">
        <v>314</v>
      </c>
      <c r="C2102" s="52">
        <v>488774.343635495</v>
      </c>
      <c r="D2102" s="56">
        <v>5.5050335024295058E-2</v>
      </c>
      <c r="E2102" s="224">
        <v>1987.9390562969199</v>
      </c>
      <c r="F2102" s="515" t="s">
        <v>3668</v>
      </c>
      <c r="G2102" s="52">
        <v>1018872.6366293</v>
      </c>
      <c r="H2102" s="56">
        <v>3.4010998220312685E-2</v>
      </c>
      <c r="I2102" s="224">
        <v>5500</v>
      </c>
    </row>
    <row r="2103" spans="1:9" x14ac:dyDescent="0.25">
      <c r="A2103" s="515">
        <v>97128</v>
      </c>
      <c r="B2103" s="515" t="s">
        <v>659</v>
      </c>
      <c r="C2103" s="52">
        <v>451051.01419086702</v>
      </c>
      <c r="D2103" s="56">
        <v>2.7902372836735089E-2</v>
      </c>
      <c r="E2103" s="224">
        <v>1917.2222222222199</v>
      </c>
      <c r="F2103" s="515" t="s">
        <v>3669</v>
      </c>
      <c r="G2103" s="52">
        <v>564080.096713632</v>
      </c>
      <c r="H2103" s="56">
        <v>0.11521850255087523</v>
      </c>
      <c r="I2103" s="224" t="s">
        <v>2</v>
      </c>
    </row>
    <row r="2104" spans="1:9" x14ac:dyDescent="0.25">
      <c r="A2104" s="515">
        <v>85756</v>
      </c>
      <c r="B2104" s="515" t="s">
        <v>368</v>
      </c>
      <c r="C2104" s="52">
        <v>287305.845162604</v>
      </c>
      <c r="D2104" s="56">
        <v>7.638102225582899E-2</v>
      </c>
      <c r="E2104" s="224">
        <v>1774.44444444444</v>
      </c>
      <c r="F2104" s="515" t="s">
        <v>3670</v>
      </c>
      <c r="G2104" s="52">
        <v>541808.93426170805</v>
      </c>
      <c r="H2104" s="56">
        <v>5.9990165572707116E-2</v>
      </c>
      <c r="I2104" s="224">
        <v>1763.85</v>
      </c>
    </row>
    <row r="2105" spans="1:9" x14ac:dyDescent="0.25">
      <c r="A2105" s="515">
        <v>43110</v>
      </c>
      <c r="B2105" s="515" t="s">
        <v>345</v>
      </c>
      <c r="C2105" s="52">
        <v>283903.96020148799</v>
      </c>
      <c r="D2105" s="56">
        <v>8.7452941365586429E-2</v>
      </c>
      <c r="E2105" s="224">
        <v>1863.2023809523801</v>
      </c>
      <c r="F2105" s="515" t="s">
        <v>3671</v>
      </c>
      <c r="G2105" s="52">
        <v>496101.11433261703</v>
      </c>
      <c r="H2105" s="56">
        <v>0.13877614281835549</v>
      </c>
      <c r="I2105" s="224">
        <v>2701.7323232323201</v>
      </c>
    </row>
    <row r="2106" spans="1:9" x14ac:dyDescent="0.25">
      <c r="A2106" s="515">
        <v>52402</v>
      </c>
      <c r="B2106" s="515" t="s">
        <v>404</v>
      </c>
      <c r="C2106" s="52">
        <v>185364.66131856901</v>
      </c>
      <c r="D2106" s="56">
        <v>6.4409112526453691E-2</v>
      </c>
      <c r="E2106" s="224">
        <v>1102.95454545454</v>
      </c>
      <c r="F2106" s="515" t="s">
        <v>3672</v>
      </c>
      <c r="G2106" s="52">
        <v>497106.95642438298</v>
      </c>
      <c r="H2106" s="56">
        <v>5.9923483865803519E-2</v>
      </c>
      <c r="I2106" s="224" t="s">
        <v>2</v>
      </c>
    </row>
    <row r="2107" spans="1:9" x14ac:dyDescent="0.25">
      <c r="A2107" s="515">
        <v>85303</v>
      </c>
      <c r="B2107" s="515" t="s">
        <v>563</v>
      </c>
      <c r="C2107" s="52">
        <v>355538.04408416903</v>
      </c>
      <c r="D2107" s="56">
        <v>5.247957153180003E-2</v>
      </c>
      <c r="E2107" s="224">
        <v>1787.2095238095201</v>
      </c>
      <c r="F2107" s="515" t="s">
        <v>3673</v>
      </c>
      <c r="G2107" s="52">
        <v>491636.04194109002</v>
      </c>
      <c r="H2107" s="56">
        <v>5.4849784237787962E-2</v>
      </c>
      <c r="I2107" s="224">
        <v>2670.3585858585802</v>
      </c>
    </row>
    <row r="2108" spans="1:9" x14ac:dyDescent="0.25">
      <c r="A2108" s="515">
        <v>48430</v>
      </c>
      <c r="B2108" s="515" t="s">
        <v>759</v>
      </c>
      <c r="C2108" s="52">
        <v>319534.77055236202</v>
      </c>
      <c r="D2108" s="56">
        <v>5.3085170369276194E-2</v>
      </c>
      <c r="E2108" s="224">
        <v>1498.8333333333301</v>
      </c>
      <c r="F2108" s="515" t="s">
        <v>3674</v>
      </c>
      <c r="G2108" s="52">
        <v>398450.66871767503</v>
      </c>
      <c r="H2108" s="56">
        <v>8.6650455201073132E-2</v>
      </c>
      <c r="I2108" s="224" t="s">
        <v>2</v>
      </c>
    </row>
    <row r="2109" spans="1:9" x14ac:dyDescent="0.25">
      <c r="A2109" s="515">
        <v>2139</v>
      </c>
      <c r="B2109" s="515" t="s">
        <v>534</v>
      </c>
      <c r="C2109" s="52">
        <v>866773.45806097204</v>
      </c>
      <c r="D2109" s="56">
        <v>-3.088580257774071E-2</v>
      </c>
      <c r="E2109" s="224">
        <v>3297.83623188405</v>
      </c>
      <c r="F2109" s="515" t="s">
        <v>3675</v>
      </c>
      <c r="G2109" s="52">
        <v>775088.71128763701</v>
      </c>
      <c r="H2109" s="56">
        <v>6.2021975782797292E-2</v>
      </c>
      <c r="I2109" s="224" t="s">
        <v>2</v>
      </c>
    </row>
    <row r="2110" spans="1:9" x14ac:dyDescent="0.25">
      <c r="A2110" s="515">
        <v>76180</v>
      </c>
      <c r="B2110" s="515" t="s">
        <v>458</v>
      </c>
      <c r="C2110" s="52">
        <v>322696.01817051403</v>
      </c>
      <c r="D2110" s="56">
        <v>9.2684187215413369E-2</v>
      </c>
      <c r="E2110" s="224">
        <v>1513.80423280423</v>
      </c>
      <c r="F2110" s="515" t="s">
        <v>3676</v>
      </c>
      <c r="G2110" s="52">
        <v>237856.85848873999</v>
      </c>
      <c r="H2110" s="56">
        <v>0.11496481174588347</v>
      </c>
      <c r="I2110" s="224" t="s">
        <v>2</v>
      </c>
    </row>
    <row r="2111" spans="1:9" x14ac:dyDescent="0.25">
      <c r="A2111" s="515">
        <v>80031</v>
      </c>
      <c r="B2111" s="515" t="s">
        <v>401</v>
      </c>
      <c r="C2111" s="52">
        <v>514301.72338784102</v>
      </c>
      <c r="D2111" s="56">
        <v>2.2639058856542649E-2</v>
      </c>
      <c r="E2111" s="224">
        <v>2193.9833333333299</v>
      </c>
      <c r="F2111" s="515" t="s">
        <v>3677</v>
      </c>
      <c r="G2111" s="52">
        <v>336825.44413097203</v>
      </c>
      <c r="H2111" s="56">
        <v>3.7603919607301112E-2</v>
      </c>
      <c r="I2111" s="224">
        <v>1838.0444444444399</v>
      </c>
    </row>
    <row r="2112" spans="1:9" x14ac:dyDescent="0.25">
      <c r="A2112" s="515">
        <v>28358</v>
      </c>
      <c r="B2112" s="515" t="s">
        <v>1161</v>
      </c>
      <c r="C2112" s="52">
        <v>124530.636981435</v>
      </c>
      <c r="D2112" s="56">
        <v>0.18645854253120678</v>
      </c>
      <c r="E2112" s="224" t="s">
        <v>2</v>
      </c>
      <c r="F2112" s="515" t="s">
        <v>665</v>
      </c>
      <c r="G2112" s="52">
        <v>169824.499272513</v>
      </c>
      <c r="H2112" s="56">
        <v>4.8208422737698202E-2</v>
      </c>
      <c r="I2112" s="224" t="s">
        <v>2</v>
      </c>
    </row>
    <row r="2113" spans="1:9" x14ac:dyDescent="0.25">
      <c r="A2113" s="515">
        <v>97222</v>
      </c>
      <c r="B2113" s="515" t="s">
        <v>659</v>
      </c>
      <c r="C2113" s="52">
        <v>469840.75038204499</v>
      </c>
      <c r="D2113" s="56">
        <v>1.2973820178375266E-2</v>
      </c>
      <c r="E2113" s="224">
        <v>1666.4642857142801</v>
      </c>
      <c r="F2113" s="515" t="s">
        <v>1042</v>
      </c>
      <c r="G2113" s="52">
        <v>134753.544895061</v>
      </c>
      <c r="H2113" s="56">
        <v>0.10410859430649873</v>
      </c>
      <c r="I2113" s="224">
        <v>650</v>
      </c>
    </row>
    <row r="2114" spans="1:9" x14ac:dyDescent="0.25">
      <c r="A2114" s="515">
        <v>92596</v>
      </c>
      <c r="B2114" s="515" t="s">
        <v>599</v>
      </c>
      <c r="C2114" s="52">
        <v>626293.56675589597</v>
      </c>
      <c r="D2114" s="56">
        <v>3.5784713144338696E-2</v>
      </c>
      <c r="E2114" s="224">
        <v>3098.3333333333298</v>
      </c>
      <c r="F2114" s="515" t="s">
        <v>341</v>
      </c>
      <c r="G2114" s="52">
        <v>203649.00058528301</v>
      </c>
      <c r="H2114" s="56">
        <v>7.8480984214732541E-2</v>
      </c>
      <c r="I2114" s="224" t="s">
        <v>2</v>
      </c>
    </row>
    <row r="2115" spans="1:9" x14ac:dyDescent="0.25">
      <c r="A2115" s="515">
        <v>95838</v>
      </c>
      <c r="B2115" s="515" t="s">
        <v>355</v>
      </c>
      <c r="C2115" s="52">
        <v>366351.30438319501</v>
      </c>
      <c r="D2115" s="56">
        <v>3.2068207030826308E-2</v>
      </c>
      <c r="E2115" s="224">
        <v>1931.6666666666599</v>
      </c>
      <c r="F2115" s="515" t="s">
        <v>474</v>
      </c>
      <c r="G2115" s="52">
        <v>103775.529044988</v>
      </c>
      <c r="H2115" s="56">
        <v>0.10550443783222924</v>
      </c>
      <c r="I2115" s="224" t="s">
        <v>2</v>
      </c>
    </row>
    <row r="2116" spans="1:9" x14ac:dyDescent="0.25">
      <c r="A2116" s="515">
        <v>88220</v>
      </c>
      <c r="B2116" s="515" t="s">
        <v>3678</v>
      </c>
      <c r="C2116" s="52">
        <v>185307.90957579901</v>
      </c>
      <c r="D2116" s="56">
        <v>-6.9763198488626166E-2</v>
      </c>
      <c r="E2116" s="224" t="s">
        <v>2</v>
      </c>
      <c r="F2116" s="515" t="s">
        <v>929</v>
      </c>
      <c r="G2116" s="52">
        <v>156685.713505097</v>
      </c>
      <c r="H2116" s="56">
        <v>9.8101030411485421E-2</v>
      </c>
      <c r="I2116" s="224" t="s">
        <v>2</v>
      </c>
    </row>
    <row r="2117" spans="1:9" x14ac:dyDescent="0.25">
      <c r="A2117" s="515">
        <v>27320</v>
      </c>
      <c r="B2117" s="515" t="s">
        <v>1148</v>
      </c>
      <c r="C2117" s="52">
        <v>147536.52540628699</v>
      </c>
      <c r="D2117" s="56">
        <v>3.1751475758511845E-2</v>
      </c>
      <c r="E2117" s="224" t="s">
        <v>2</v>
      </c>
      <c r="F2117" s="515" t="s">
        <v>463</v>
      </c>
      <c r="G2117" s="52">
        <v>152200.172900326</v>
      </c>
      <c r="H2117" s="56">
        <v>5.3823680916244836E-2</v>
      </c>
      <c r="I2117" s="224">
        <v>782</v>
      </c>
    </row>
    <row r="2118" spans="1:9" x14ac:dyDescent="0.25">
      <c r="A2118" s="515">
        <v>32526</v>
      </c>
      <c r="B2118" s="515" t="s">
        <v>1131</v>
      </c>
      <c r="C2118" s="52">
        <v>257856.31749367999</v>
      </c>
      <c r="D2118" s="56">
        <v>8.26590449704043E-2</v>
      </c>
      <c r="E2118" s="224">
        <v>1641.9090909090901</v>
      </c>
      <c r="F2118" s="515" t="s">
        <v>3679</v>
      </c>
      <c r="G2118" s="52">
        <v>143318.11337395399</v>
      </c>
      <c r="H2118" s="56">
        <v>4.4973451076830429E-2</v>
      </c>
      <c r="I2118" s="224" t="s">
        <v>2</v>
      </c>
    </row>
    <row r="2119" spans="1:9" x14ac:dyDescent="0.25">
      <c r="A2119" s="515">
        <v>91350</v>
      </c>
      <c r="B2119" s="515" t="s">
        <v>375</v>
      </c>
      <c r="C2119" s="52">
        <v>755939.46781692398</v>
      </c>
      <c r="D2119" s="56">
        <v>2.4944272675174274E-2</v>
      </c>
      <c r="E2119" s="224">
        <v>3122.6944444444398</v>
      </c>
      <c r="F2119" s="515" t="s">
        <v>3680</v>
      </c>
      <c r="G2119" s="52">
        <v>258800.701668522</v>
      </c>
      <c r="H2119" s="56">
        <v>9.5407111456133106E-2</v>
      </c>
      <c r="I2119" s="224">
        <v>1501.38888888888</v>
      </c>
    </row>
    <row r="2120" spans="1:9" x14ac:dyDescent="0.25">
      <c r="A2120" s="515">
        <v>11231</v>
      </c>
      <c r="B2120" s="515" t="s">
        <v>324</v>
      </c>
      <c r="C2120" s="52">
        <v>1319811.8727827501</v>
      </c>
      <c r="D2120" s="56">
        <v>4.1419064556735691E-3</v>
      </c>
      <c r="E2120" s="224">
        <v>3454.4578754578702</v>
      </c>
      <c r="F2120" s="515" t="s">
        <v>3681</v>
      </c>
      <c r="G2120" s="52">
        <v>313382.93934807798</v>
      </c>
      <c r="H2120" s="56">
        <v>5.7189368028226863E-2</v>
      </c>
      <c r="I2120" s="224">
        <v>1210</v>
      </c>
    </row>
    <row r="2121" spans="1:9" x14ac:dyDescent="0.25">
      <c r="A2121" s="515">
        <v>92065</v>
      </c>
      <c r="B2121" s="515" t="s">
        <v>396</v>
      </c>
      <c r="C2121" s="52">
        <v>715266.61407601496</v>
      </c>
      <c r="D2121" s="56">
        <v>2.9511899912502051E-2</v>
      </c>
      <c r="E2121" s="224">
        <v>3645</v>
      </c>
      <c r="F2121" s="515" t="s">
        <v>3682</v>
      </c>
      <c r="G2121" s="52">
        <v>243907.85780244801</v>
      </c>
      <c r="H2121" s="56">
        <v>5.0454121414918417E-2</v>
      </c>
      <c r="I2121" s="224">
        <v>1577.0222222222201</v>
      </c>
    </row>
    <row r="2122" spans="1:9" x14ac:dyDescent="0.25">
      <c r="A2122" s="515">
        <v>33351</v>
      </c>
      <c r="B2122" s="515" t="s">
        <v>831</v>
      </c>
      <c r="C2122" s="52">
        <v>349957.08446115098</v>
      </c>
      <c r="D2122" s="56">
        <v>0.1026709473619407</v>
      </c>
      <c r="E2122" s="224">
        <v>2307.2259259259199</v>
      </c>
      <c r="F2122" s="515" t="s">
        <v>707</v>
      </c>
      <c r="G2122" s="52">
        <v>144405.19646269799</v>
      </c>
      <c r="H2122" s="56">
        <v>4.7028591635351821E-2</v>
      </c>
      <c r="I2122" s="224" t="s">
        <v>2</v>
      </c>
    </row>
    <row r="2123" spans="1:9" x14ac:dyDescent="0.25">
      <c r="A2123" s="515">
        <v>6460</v>
      </c>
      <c r="B2123" s="515" t="s">
        <v>1172</v>
      </c>
      <c r="C2123" s="52">
        <v>403055.384201593</v>
      </c>
      <c r="D2123" s="56">
        <v>0.10630169943347986</v>
      </c>
      <c r="E2123" s="224">
        <v>2254.8055555555502</v>
      </c>
      <c r="F2123" s="515" t="s">
        <v>3683</v>
      </c>
      <c r="G2123" s="52">
        <v>371730.22344991402</v>
      </c>
      <c r="H2123" s="56">
        <v>9.5107750716386205E-2</v>
      </c>
      <c r="I2123" s="224">
        <v>2006.94444444444</v>
      </c>
    </row>
    <row r="2124" spans="1:9" x14ac:dyDescent="0.25">
      <c r="A2124" s="515">
        <v>44118</v>
      </c>
      <c r="B2124" s="515" t="s">
        <v>520</v>
      </c>
      <c r="C2124" s="52">
        <v>204430.32157186701</v>
      </c>
      <c r="D2124" s="56">
        <v>9.1839019252200157E-2</v>
      </c>
      <c r="E2124" s="224">
        <v>1410.43019480519</v>
      </c>
      <c r="F2124" s="515" t="s">
        <v>3684</v>
      </c>
      <c r="G2124" s="52">
        <v>384150.272856155</v>
      </c>
      <c r="H2124" s="56">
        <v>3.2947655393115165E-2</v>
      </c>
      <c r="I2124" s="224">
        <v>2030</v>
      </c>
    </row>
    <row r="2125" spans="1:9" x14ac:dyDescent="0.25">
      <c r="A2125" s="515">
        <v>24153</v>
      </c>
      <c r="B2125" s="515" t="s">
        <v>861</v>
      </c>
      <c r="C2125" s="52">
        <v>251768.947031274</v>
      </c>
      <c r="D2125" s="56">
        <v>0.11557994005879095</v>
      </c>
      <c r="E2125" s="224">
        <v>1401.7777777777701</v>
      </c>
      <c r="F2125" s="515" t="s">
        <v>3685</v>
      </c>
      <c r="G2125" s="52">
        <v>170660.94194881001</v>
      </c>
      <c r="H2125" s="56">
        <v>0.14221366697991406</v>
      </c>
      <c r="I2125" s="224" t="s">
        <v>2</v>
      </c>
    </row>
    <row r="2126" spans="1:9" x14ac:dyDescent="0.25">
      <c r="A2126" s="515">
        <v>78232</v>
      </c>
      <c r="B2126" s="515" t="s">
        <v>717</v>
      </c>
      <c r="C2126" s="52">
        <v>371445.62501728302</v>
      </c>
      <c r="D2126" s="56">
        <v>8.7519750873774116E-2</v>
      </c>
      <c r="E2126" s="224">
        <v>1326.18518518518</v>
      </c>
      <c r="F2126" s="515" t="s">
        <v>3686</v>
      </c>
      <c r="G2126" s="52">
        <v>651040.01973069401</v>
      </c>
      <c r="H2126" s="56">
        <v>5.457323071695605E-2</v>
      </c>
      <c r="I2126" s="224" t="s">
        <v>2</v>
      </c>
    </row>
    <row r="2127" spans="1:9" x14ac:dyDescent="0.25">
      <c r="A2127" s="515">
        <v>78596</v>
      </c>
      <c r="B2127" s="515" t="s">
        <v>550</v>
      </c>
      <c r="C2127" s="52">
        <v>142891.15976567601</v>
      </c>
      <c r="D2127" s="56">
        <v>0.1638708212834242</v>
      </c>
      <c r="E2127" s="224" t="s">
        <v>2</v>
      </c>
      <c r="F2127" s="515" t="s">
        <v>670</v>
      </c>
      <c r="G2127" s="52">
        <v>115449.89558276</v>
      </c>
      <c r="H2127" s="56">
        <v>3.8599140848748527E-2</v>
      </c>
      <c r="I2127" s="224" t="s">
        <v>2</v>
      </c>
    </row>
    <row r="2128" spans="1:9" x14ac:dyDescent="0.25">
      <c r="A2128" s="515">
        <v>33437</v>
      </c>
      <c r="B2128" s="515" t="s">
        <v>831</v>
      </c>
      <c r="C2128" s="52">
        <v>451265.70496219699</v>
      </c>
      <c r="D2128" s="56">
        <v>0.1258015380930107</v>
      </c>
      <c r="E2128" s="224">
        <v>2806.1666666666601</v>
      </c>
      <c r="F2128" s="515" t="s">
        <v>3687</v>
      </c>
      <c r="G2128" s="52">
        <v>1406173.27238221</v>
      </c>
      <c r="H2128" s="56">
        <v>8.1756070515165605E-2</v>
      </c>
      <c r="I2128" s="224" t="s">
        <v>2</v>
      </c>
    </row>
    <row r="2129" spans="1:9" x14ac:dyDescent="0.25">
      <c r="A2129" s="515">
        <v>7302</v>
      </c>
      <c r="B2129" s="515" t="s">
        <v>324</v>
      </c>
      <c r="C2129" s="52">
        <v>827394.59303967096</v>
      </c>
      <c r="D2129" s="56">
        <v>6.3041041596612526E-3</v>
      </c>
      <c r="E2129" s="224">
        <v>3429.34242620951</v>
      </c>
      <c r="F2129" s="515" t="s">
        <v>3688</v>
      </c>
      <c r="G2129" s="52">
        <v>418082.41145644197</v>
      </c>
      <c r="H2129" s="56">
        <v>3.2966113998820344E-2</v>
      </c>
      <c r="I2129" s="224">
        <v>1676.6111111111099</v>
      </c>
    </row>
    <row r="2130" spans="1:9" x14ac:dyDescent="0.25">
      <c r="A2130" s="515">
        <v>79423</v>
      </c>
      <c r="B2130" s="515" t="s">
        <v>354</v>
      </c>
      <c r="C2130" s="52">
        <v>224545.31427517001</v>
      </c>
      <c r="D2130" s="56">
        <v>9.0838398762766503E-2</v>
      </c>
      <c r="E2130" s="224">
        <v>1396.2</v>
      </c>
      <c r="F2130" s="515" t="s">
        <v>3689</v>
      </c>
      <c r="G2130" s="52">
        <v>357195.18874271802</v>
      </c>
      <c r="H2130" s="56">
        <v>7.6954129846733652E-2</v>
      </c>
      <c r="I2130" s="224">
        <v>1523</v>
      </c>
    </row>
    <row r="2131" spans="1:9" x14ac:dyDescent="0.25">
      <c r="A2131" s="515">
        <v>73012</v>
      </c>
      <c r="B2131" s="515" t="s">
        <v>385</v>
      </c>
      <c r="C2131" s="52">
        <v>306511.69152759202</v>
      </c>
      <c r="D2131" s="56">
        <v>7.9698898673294105E-2</v>
      </c>
      <c r="E2131" s="224">
        <v>1687.88888888888</v>
      </c>
      <c r="F2131" s="515" t="s">
        <v>3690</v>
      </c>
      <c r="G2131" s="52">
        <v>497288.64380034298</v>
      </c>
      <c r="H2131" s="56">
        <v>4.2550317492741657E-2</v>
      </c>
      <c r="I2131" s="224" t="s">
        <v>2</v>
      </c>
    </row>
    <row r="2132" spans="1:9" x14ac:dyDescent="0.25">
      <c r="A2132" s="515">
        <v>11106</v>
      </c>
      <c r="B2132" s="515" t="s">
        <v>324</v>
      </c>
      <c r="C2132" s="52">
        <v>523568.10592809803</v>
      </c>
      <c r="D2132" s="56">
        <v>-3.6977099190744635E-2</v>
      </c>
      <c r="E2132" s="224">
        <v>2497.8907407407401</v>
      </c>
      <c r="F2132" s="515" t="s">
        <v>555</v>
      </c>
      <c r="G2132" s="52">
        <v>387204.23046771798</v>
      </c>
      <c r="H2132" s="56">
        <v>-7.8125836706699429E-3</v>
      </c>
      <c r="I2132" s="224" t="s">
        <v>2</v>
      </c>
    </row>
    <row r="2133" spans="1:9" x14ac:dyDescent="0.25">
      <c r="A2133" s="515">
        <v>19128</v>
      </c>
      <c r="B2133" s="515" t="s">
        <v>294</v>
      </c>
      <c r="C2133" s="52">
        <v>318537.61456709797</v>
      </c>
      <c r="D2133" s="56">
        <v>4.1158970642958988E-2</v>
      </c>
      <c r="E2133" s="224">
        <v>1734.1919191919101</v>
      </c>
      <c r="F2133" s="515" t="s">
        <v>3691</v>
      </c>
      <c r="G2133" s="52">
        <v>525086.519883367</v>
      </c>
      <c r="H2133" s="56">
        <v>9.4897840927600507E-2</v>
      </c>
      <c r="I2133" s="224">
        <v>2298.6984126984098</v>
      </c>
    </row>
    <row r="2134" spans="1:9" x14ac:dyDescent="0.25">
      <c r="A2134" s="515">
        <v>23803</v>
      </c>
      <c r="B2134" s="515" t="s">
        <v>667</v>
      </c>
      <c r="C2134" s="52">
        <v>244666.985911378</v>
      </c>
      <c r="D2134" s="56">
        <v>0.39382946339621644</v>
      </c>
      <c r="E2134" s="224">
        <v>1169.9238095237999</v>
      </c>
      <c r="F2134" s="515" t="s">
        <v>3692</v>
      </c>
      <c r="G2134" s="52">
        <v>523190.21299488202</v>
      </c>
      <c r="H2134" s="56">
        <v>4.9737441239241986E-3</v>
      </c>
      <c r="I2134" s="224">
        <v>2673.0333333333301</v>
      </c>
    </row>
    <row r="2135" spans="1:9" x14ac:dyDescent="0.25">
      <c r="A2135" s="515">
        <v>50317</v>
      </c>
      <c r="B2135" s="515" t="s">
        <v>295</v>
      </c>
      <c r="C2135" s="52">
        <v>166356.37240920399</v>
      </c>
      <c r="D2135" s="56">
        <v>7.4869888601958645E-2</v>
      </c>
      <c r="E2135" s="224" t="s">
        <v>2</v>
      </c>
      <c r="F2135" s="515" t="s">
        <v>3693</v>
      </c>
      <c r="G2135" s="52">
        <v>199497.44347428699</v>
      </c>
      <c r="H2135" s="56">
        <v>6.5931804888065937E-2</v>
      </c>
      <c r="I2135" s="224">
        <v>1340.69444444444</v>
      </c>
    </row>
    <row r="2136" spans="1:9" x14ac:dyDescent="0.25">
      <c r="A2136" s="515">
        <v>32714</v>
      </c>
      <c r="B2136" s="515" t="s">
        <v>517</v>
      </c>
      <c r="C2136" s="52">
        <v>296358.86391811701</v>
      </c>
      <c r="D2136" s="56">
        <v>0.12636783095739174</v>
      </c>
      <c r="E2136" s="224">
        <v>1690.98649237472</v>
      </c>
      <c r="F2136" s="515" t="s">
        <v>3694</v>
      </c>
      <c r="G2136" s="52">
        <v>589696.25673604896</v>
      </c>
      <c r="H2136" s="56">
        <v>9.6196895276774996E-2</v>
      </c>
      <c r="I2136" s="224">
        <v>3025.63333333333</v>
      </c>
    </row>
    <row r="2137" spans="1:9" x14ac:dyDescent="0.25">
      <c r="A2137" s="515">
        <v>38118</v>
      </c>
      <c r="B2137" s="515" t="s">
        <v>951</v>
      </c>
      <c r="C2137" s="52">
        <v>123478.847208391</v>
      </c>
      <c r="D2137" s="56">
        <v>0.14942096464040133</v>
      </c>
      <c r="E2137" s="224">
        <v>1211.82142857142</v>
      </c>
      <c r="F2137" s="515" t="s">
        <v>3695</v>
      </c>
      <c r="G2137" s="52">
        <v>522759.945550112</v>
      </c>
      <c r="H2137" s="56">
        <v>8.0120735082176556E-2</v>
      </c>
      <c r="I2137" s="224" t="s">
        <v>2</v>
      </c>
    </row>
    <row r="2138" spans="1:9" x14ac:dyDescent="0.25">
      <c r="A2138" s="515">
        <v>60089</v>
      </c>
      <c r="B2138" s="515" t="s">
        <v>394</v>
      </c>
      <c r="C2138" s="52">
        <v>343924.56798260298</v>
      </c>
      <c r="D2138" s="56">
        <v>4.9044515189205599E-2</v>
      </c>
      <c r="E2138" s="224">
        <v>1975.7</v>
      </c>
      <c r="F2138" s="515" t="s">
        <v>3696</v>
      </c>
      <c r="G2138" s="52">
        <v>116291.946694118</v>
      </c>
      <c r="H2138" s="56">
        <v>7.6512112368943924E-2</v>
      </c>
      <c r="I2138" s="224">
        <v>1193.5833333333301</v>
      </c>
    </row>
    <row r="2139" spans="1:9" x14ac:dyDescent="0.25">
      <c r="A2139" s="515">
        <v>95128</v>
      </c>
      <c r="B2139" s="515" t="s">
        <v>850</v>
      </c>
      <c r="C2139" s="52">
        <v>1268960.04669919</v>
      </c>
      <c r="D2139" s="56">
        <v>4.4906800560652986E-2</v>
      </c>
      <c r="E2139" s="224">
        <v>3188.0420227920199</v>
      </c>
      <c r="F2139" s="515" t="s">
        <v>3697</v>
      </c>
      <c r="G2139" s="52">
        <v>656956.741600518</v>
      </c>
      <c r="H2139" s="56">
        <v>5.0102508284885536E-2</v>
      </c>
      <c r="I2139" s="224">
        <v>2273.3333333333298</v>
      </c>
    </row>
    <row r="2140" spans="1:9" x14ac:dyDescent="0.25">
      <c r="A2140" s="515">
        <v>91321</v>
      </c>
      <c r="B2140" s="515" t="s">
        <v>375</v>
      </c>
      <c r="C2140" s="52">
        <v>627558.73931123398</v>
      </c>
      <c r="D2140" s="56">
        <v>2.7664110461765545E-2</v>
      </c>
      <c r="E2140" s="224">
        <v>2488.87301587301</v>
      </c>
      <c r="F2140" s="515" t="s">
        <v>3698</v>
      </c>
      <c r="G2140" s="52">
        <v>141148.30335386001</v>
      </c>
      <c r="H2140" s="56">
        <v>3.9702111246973204E-2</v>
      </c>
      <c r="I2140" s="224" t="s">
        <v>2</v>
      </c>
    </row>
    <row r="2141" spans="1:9" x14ac:dyDescent="0.25">
      <c r="A2141" s="515">
        <v>37620</v>
      </c>
      <c r="B2141" s="515" t="s">
        <v>902</v>
      </c>
      <c r="C2141" s="52">
        <v>184700.10916150201</v>
      </c>
      <c r="D2141" s="56">
        <v>8.6257312963284774E-2</v>
      </c>
      <c r="E2141" s="224">
        <v>1148.75</v>
      </c>
      <c r="F2141" s="515" t="s">
        <v>3699</v>
      </c>
      <c r="G2141" s="52">
        <v>197939.471237919</v>
      </c>
      <c r="H2141" s="56">
        <v>0</v>
      </c>
      <c r="I2141" s="224" t="s">
        <v>2</v>
      </c>
    </row>
    <row r="2142" spans="1:9" x14ac:dyDescent="0.25">
      <c r="A2142" s="515">
        <v>33914</v>
      </c>
      <c r="B2142" s="515" t="s">
        <v>661</v>
      </c>
      <c r="C2142" s="52">
        <v>483894.06284351001</v>
      </c>
      <c r="D2142" s="56">
        <v>9.0850123310851669E-2</v>
      </c>
      <c r="E2142" s="224">
        <v>2460.3571428571399</v>
      </c>
      <c r="F2142" s="515" t="s">
        <v>3700</v>
      </c>
      <c r="G2142" s="52">
        <v>374957.696204137</v>
      </c>
      <c r="H2142" s="56">
        <v>8.9924378342387964E-2</v>
      </c>
      <c r="I2142" s="224" t="s">
        <v>2</v>
      </c>
    </row>
    <row r="2143" spans="1:9" x14ac:dyDescent="0.25">
      <c r="A2143" s="515">
        <v>93705</v>
      </c>
      <c r="B2143" s="515" t="s">
        <v>541</v>
      </c>
      <c r="C2143" s="52">
        <v>291823.85692575201</v>
      </c>
      <c r="D2143" s="56">
        <v>6.9798310985924719E-2</v>
      </c>
      <c r="E2143" s="224">
        <v>1408.3333333333301</v>
      </c>
      <c r="F2143" s="515" t="s">
        <v>3701</v>
      </c>
      <c r="G2143" s="52">
        <v>283720.43881227297</v>
      </c>
      <c r="H2143" s="56">
        <v>6.1196484440209906E-2</v>
      </c>
      <c r="I2143" s="224" t="s">
        <v>2</v>
      </c>
    </row>
    <row r="2144" spans="1:9" x14ac:dyDescent="0.25">
      <c r="A2144" s="515">
        <v>1604</v>
      </c>
      <c r="B2144" s="515" t="s">
        <v>751</v>
      </c>
      <c r="C2144" s="52">
        <v>356841.65271462698</v>
      </c>
      <c r="D2144" s="56">
        <v>7.7231510017903141E-2</v>
      </c>
      <c r="E2144" s="224">
        <v>1924.85</v>
      </c>
      <c r="F2144" s="515" t="s">
        <v>3702</v>
      </c>
      <c r="G2144" s="52">
        <v>882870.18633547495</v>
      </c>
      <c r="H2144" s="56">
        <v>5.2071922628531254E-2</v>
      </c>
      <c r="I2144" s="224" t="s">
        <v>2</v>
      </c>
    </row>
    <row r="2145" spans="1:9" x14ac:dyDescent="0.25">
      <c r="A2145" s="515">
        <v>11249</v>
      </c>
      <c r="B2145" s="515" t="s">
        <v>324</v>
      </c>
      <c r="C2145" s="52">
        <v>1085856.283387</v>
      </c>
      <c r="D2145" s="56">
        <v>2.1663997094692852E-2</v>
      </c>
      <c r="E2145" s="224">
        <v>4676.7906602254398</v>
      </c>
      <c r="F2145" s="515" t="s">
        <v>3703</v>
      </c>
      <c r="G2145" s="52">
        <v>620381.19711972005</v>
      </c>
      <c r="H2145" s="56">
        <v>7.7076542220212499E-2</v>
      </c>
      <c r="I2145" s="224">
        <v>2437.5</v>
      </c>
    </row>
    <row r="2146" spans="1:9" x14ac:dyDescent="0.25">
      <c r="A2146" s="515">
        <v>98584</v>
      </c>
      <c r="B2146" s="515" t="s">
        <v>839</v>
      </c>
      <c r="C2146" s="52">
        <v>391312.98141130601</v>
      </c>
      <c r="D2146" s="56">
        <v>3.2406770499298403E-2</v>
      </c>
      <c r="E2146" s="224" t="s">
        <v>2</v>
      </c>
      <c r="F2146" s="515" t="s">
        <v>3704</v>
      </c>
      <c r="G2146" s="52">
        <v>314340.68601654598</v>
      </c>
      <c r="H2146" s="56">
        <v>9.0683714149968467E-2</v>
      </c>
      <c r="I2146" s="224" t="s">
        <v>2</v>
      </c>
    </row>
    <row r="2147" spans="1:9" x14ac:dyDescent="0.25">
      <c r="A2147" s="515">
        <v>11379</v>
      </c>
      <c r="B2147" s="515" t="s">
        <v>324</v>
      </c>
      <c r="C2147" s="52">
        <v>810579.95694978198</v>
      </c>
      <c r="D2147" s="56">
        <v>4.434837254144721E-2</v>
      </c>
      <c r="E2147" s="224" t="s">
        <v>2</v>
      </c>
      <c r="F2147" s="515" t="s">
        <v>3705</v>
      </c>
      <c r="G2147" s="52">
        <v>288032.86543421698</v>
      </c>
      <c r="H2147" s="56">
        <v>2.0163650120932977E-2</v>
      </c>
      <c r="I2147" s="224">
        <v>1596.3333333333301</v>
      </c>
    </row>
    <row r="2148" spans="1:9" x14ac:dyDescent="0.25">
      <c r="A2148" s="515">
        <v>78006</v>
      </c>
      <c r="B2148" s="515" t="s">
        <v>717</v>
      </c>
      <c r="C2148" s="52">
        <v>573546.45367227704</v>
      </c>
      <c r="D2148" s="56">
        <v>7.464680930031993E-2</v>
      </c>
      <c r="E2148" s="224">
        <v>1639.18333333333</v>
      </c>
      <c r="F2148" s="515" t="s">
        <v>3706</v>
      </c>
      <c r="G2148" s="52">
        <v>501724.032256715</v>
      </c>
      <c r="H2148" s="56">
        <v>3.505152301772816E-2</v>
      </c>
      <c r="I2148" s="224">
        <v>1917.91802641802</v>
      </c>
    </row>
    <row r="2149" spans="1:9" x14ac:dyDescent="0.25">
      <c r="A2149" s="515">
        <v>93021</v>
      </c>
      <c r="B2149" s="515" t="s">
        <v>1021</v>
      </c>
      <c r="C2149" s="52">
        <v>850969.83107326995</v>
      </c>
      <c r="D2149" s="56">
        <v>3.7398849565821825E-2</v>
      </c>
      <c r="E2149" s="224">
        <v>3384</v>
      </c>
      <c r="F2149" s="515" t="s">
        <v>3707</v>
      </c>
      <c r="G2149" s="52">
        <v>757295.63100402604</v>
      </c>
      <c r="H2149" s="56">
        <v>4.4672179426215659E-2</v>
      </c>
      <c r="I2149" s="224">
        <v>2793.3042328042302</v>
      </c>
    </row>
    <row r="2150" spans="1:9" x14ac:dyDescent="0.25">
      <c r="A2150" s="515">
        <v>8401</v>
      </c>
      <c r="B2150" s="515" t="s">
        <v>800</v>
      </c>
      <c r="C2150" s="52">
        <v>172189.84557320099</v>
      </c>
      <c r="D2150" s="56">
        <v>0.13855123842167577</v>
      </c>
      <c r="E2150" s="224">
        <v>1377.7777777777701</v>
      </c>
      <c r="F2150" s="515" t="s">
        <v>3708</v>
      </c>
      <c r="G2150" s="52">
        <v>459863.43998560001</v>
      </c>
      <c r="H2150" s="56">
        <v>4.3386078810723303E-2</v>
      </c>
      <c r="I2150" s="224" t="s">
        <v>2</v>
      </c>
    </row>
    <row r="2151" spans="1:9" x14ac:dyDescent="0.25">
      <c r="A2151" s="515">
        <v>77045</v>
      </c>
      <c r="B2151" s="515" t="s">
        <v>314</v>
      </c>
      <c r="C2151" s="52">
        <v>191362.35045567201</v>
      </c>
      <c r="D2151" s="56">
        <v>0.14957126399799092</v>
      </c>
      <c r="E2151" s="224">
        <v>1633.0833333333301</v>
      </c>
      <c r="F2151" s="515" t="s">
        <v>3709</v>
      </c>
      <c r="G2151" s="52">
        <v>326193.39321790298</v>
      </c>
      <c r="H2151" s="56">
        <v>8.3666895549131065E-2</v>
      </c>
      <c r="I2151" s="224" t="s">
        <v>2</v>
      </c>
    </row>
    <row r="2152" spans="1:9" x14ac:dyDescent="0.25">
      <c r="A2152" s="515">
        <v>18017</v>
      </c>
      <c r="B2152" s="515" t="s">
        <v>327</v>
      </c>
      <c r="C2152" s="52">
        <v>319116.437433435</v>
      </c>
      <c r="D2152" s="56">
        <v>9.5915631327001011E-2</v>
      </c>
      <c r="E2152" s="224">
        <v>1932.6666666666599</v>
      </c>
      <c r="F2152" s="515" t="s">
        <v>3710</v>
      </c>
      <c r="G2152" s="52">
        <v>1422301.2007875701</v>
      </c>
      <c r="H2152" s="56">
        <v>7.0665773580539479E-2</v>
      </c>
      <c r="I2152" s="224">
        <v>3795.8333333333298</v>
      </c>
    </row>
    <row r="2153" spans="1:9" x14ac:dyDescent="0.25">
      <c r="A2153" s="515">
        <v>76002</v>
      </c>
      <c r="B2153" s="515" t="s">
        <v>458</v>
      </c>
      <c r="C2153" s="52">
        <v>345719.156128373</v>
      </c>
      <c r="D2153" s="56">
        <v>6.6567936221937879E-2</v>
      </c>
      <c r="E2153" s="224">
        <v>2383.6944444444398</v>
      </c>
      <c r="F2153" s="515" t="s">
        <v>3711</v>
      </c>
      <c r="G2153" s="52">
        <v>267927.29648474598</v>
      </c>
      <c r="H2153" s="56">
        <v>0.1213204247947601</v>
      </c>
      <c r="I2153" s="224">
        <v>1815.05555555555</v>
      </c>
    </row>
    <row r="2154" spans="1:9" x14ac:dyDescent="0.25">
      <c r="A2154" s="515">
        <v>77489</v>
      </c>
      <c r="B2154" s="515" t="s">
        <v>314</v>
      </c>
      <c r="C2154" s="52">
        <v>227817.08695807599</v>
      </c>
      <c r="D2154" s="56">
        <v>0.10507181973208475</v>
      </c>
      <c r="E2154" s="224">
        <v>1763.6111111111099</v>
      </c>
      <c r="F2154" s="515" t="s">
        <v>3712</v>
      </c>
      <c r="G2154" s="52">
        <v>266615.18537560699</v>
      </c>
      <c r="H2154" s="56">
        <v>9.9569358419103499E-2</v>
      </c>
      <c r="I2154" s="224">
        <v>1542.5962962962899</v>
      </c>
    </row>
    <row r="2155" spans="1:9" x14ac:dyDescent="0.25">
      <c r="A2155" s="515">
        <v>93245</v>
      </c>
      <c r="B2155" s="515" t="s">
        <v>942</v>
      </c>
      <c r="C2155" s="52">
        <v>342476.363229785</v>
      </c>
      <c r="D2155" s="56">
        <v>3.4319344396108349E-2</v>
      </c>
      <c r="E2155" s="224">
        <v>2050</v>
      </c>
      <c r="F2155" s="515" t="s">
        <v>3713</v>
      </c>
      <c r="G2155" s="52">
        <v>413455.237481458</v>
      </c>
      <c r="H2155" s="56">
        <v>0.18200869305253012</v>
      </c>
      <c r="I2155" s="224">
        <v>2118.1716247139502</v>
      </c>
    </row>
    <row r="2156" spans="1:9" x14ac:dyDescent="0.25">
      <c r="A2156" s="515">
        <v>52722</v>
      </c>
      <c r="B2156" s="515" t="s">
        <v>439</v>
      </c>
      <c r="C2156" s="52">
        <v>277051.433902119</v>
      </c>
      <c r="D2156" s="56">
        <v>6.0652745657187722E-2</v>
      </c>
      <c r="E2156" s="224">
        <v>1370.5</v>
      </c>
      <c r="F2156" s="515" t="s">
        <v>3714</v>
      </c>
      <c r="G2156" s="52">
        <v>428731.05323776498</v>
      </c>
      <c r="H2156" s="56">
        <v>7.823024345377344E-2</v>
      </c>
      <c r="I2156" s="224">
        <v>2063.0555555555502</v>
      </c>
    </row>
    <row r="2157" spans="1:9" x14ac:dyDescent="0.25">
      <c r="A2157" s="515">
        <v>91362</v>
      </c>
      <c r="B2157" s="515" t="s">
        <v>1021</v>
      </c>
      <c r="C2157" s="52">
        <v>1079799.12732205</v>
      </c>
      <c r="D2157" s="56">
        <v>4.3281878997724836E-2</v>
      </c>
      <c r="E2157" s="224">
        <v>3273.3063492063402</v>
      </c>
      <c r="F2157" s="515" t="s">
        <v>3715</v>
      </c>
      <c r="G2157" s="52">
        <v>304658.71629389498</v>
      </c>
      <c r="H2157" s="56">
        <v>0.11558430523313096</v>
      </c>
      <c r="I2157" s="224">
        <v>1817.7619047619</v>
      </c>
    </row>
    <row r="2158" spans="1:9" x14ac:dyDescent="0.25">
      <c r="A2158" s="515">
        <v>75075</v>
      </c>
      <c r="B2158" s="515" t="s">
        <v>458</v>
      </c>
      <c r="C2158" s="52">
        <v>437177.25081202498</v>
      </c>
      <c r="D2158" s="56">
        <v>4.4044553892012381E-2</v>
      </c>
      <c r="E2158" s="224">
        <v>1702.19444444444</v>
      </c>
      <c r="F2158" s="515" t="s">
        <v>3716</v>
      </c>
      <c r="G2158" s="52">
        <v>315006.03052173299</v>
      </c>
      <c r="H2158" s="56">
        <v>7.0434795355933943E-2</v>
      </c>
      <c r="I2158" s="224" t="s">
        <v>2</v>
      </c>
    </row>
    <row r="2159" spans="1:9" x14ac:dyDescent="0.25">
      <c r="A2159" s="515">
        <v>11378</v>
      </c>
      <c r="B2159" s="515" t="s">
        <v>324</v>
      </c>
      <c r="C2159" s="52">
        <v>756041.38222798402</v>
      </c>
      <c r="D2159" s="56">
        <v>1.585054567122017E-2</v>
      </c>
      <c r="E2159" s="224">
        <v>2249.9166666666601</v>
      </c>
      <c r="F2159" s="515" t="s">
        <v>457</v>
      </c>
      <c r="G2159" s="52">
        <v>299872.88093597902</v>
      </c>
      <c r="H2159" s="56">
        <v>6.2400267943108816E-2</v>
      </c>
      <c r="I2159" s="224" t="s">
        <v>2</v>
      </c>
    </row>
    <row r="2160" spans="1:9" x14ac:dyDescent="0.25">
      <c r="A2160" s="515">
        <v>16001</v>
      </c>
      <c r="B2160" s="515" t="s">
        <v>297</v>
      </c>
      <c r="C2160" s="52">
        <v>185071.79028261401</v>
      </c>
      <c r="D2160" s="56">
        <v>5.3755537234957761E-2</v>
      </c>
      <c r="E2160" s="224">
        <v>785</v>
      </c>
      <c r="F2160" s="515" t="s">
        <v>3717</v>
      </c>
      <c r="G2160" s="52">
        <v>351363.09708169801</v>
      </c>
      <c r="H2160" s="56">
        <v>5.2533172286631687E-2</v>
      </c>
      <c r="I2160" s="224">
        <v>1412.7777777777701</v>
      </c>
    </row>
    <row r="2161" spans="1:9" x14ac:dyDescent="0.25">
      <c r="A2161" s="515">
        <v>53204</v>
      </c>
      <c r="B2161" s="515" t="s">
        <v>950</v>
      </c>
      <c r="C2161" s="52">
        <v>106395.637420874</v>
      </c>
      <c r="D2161" s="56">
        <v>9.3369505413047615E-2</v>
      </c>
      <c r="E2161" s="224">
        <v>980.83333333333303</v>
      </c>
      <c r="F2161" s="515" t="s">
        <v>3718</v>
      </c>
      <c r="G2161" s="52">
        <v>147787.870909027</v>
      </c>
      <c r="H2161" s="56">
        <v>0.22414706475772483</v>
      </c>
      <c r="I2161" s="224" t="s">
        <v>2</v>
      </c>
    </row>
    <row r="2162" spans="1:9" x14ac:dyDescent="0.25">
      <c r="A2162" s="515">
        <v>94590</v>
      </c>
      <c r="B2162" s="515" t="s">
        <v>835</v>
      </c>
      <c r="C2162" s="52">
        <v>476923.77732217399</v>
      </c>
      <c r="D2162" s="56">
        <v>-7.3554164129239642E-3</v>
      </c>
      <c r="E2162" s="224">
        <v>2027.0562770562699</v>
      </c>
      <c r="F2162" s="515" t="s">
        <v>3719</v>
      </c>
      <c r="G2162" s="52">
        <v>291813.66699823999</v>
      </c>
      <c r="H2162" s="56">
        <v>0.11621180190132455</v>
      </c>
      <c r="I2162" s="224">
        <v>1683.3333333333301</v>
      </c>
    </row>
    <row r="2163" spans="1:9" x14ac:dyDescent="0.25">
      <c r="A2163" s="515">
        <v>48212</v>
      </c>
      <c r="B2163" s="515" t="s">
        <v>685</v>
      </c>
      <c r="C2163" s="52">
        <v>106420.653461863</v>
      </c>
      <c r="D2163" s="56">
        <v>4.6481652845599769E-2</v>
      </c>
      <c r="E2163" s="224">
        <v>975.25</v>
      </c>
      <c r="F2163" s="515" t="s">
        <v>3720</v>
      </c>
      <c r="G2163" s="52">
        <v>386727.15679937898</v>
      </c>
      <c r="H2163" s="56">
        <v>3.9204772273808815E-2</v>
      </c>
      <c r="I2163" s="224">
        <v>1973.6111111111099</v>
      </c>
    </row>
    <row r="2164" spans="1:9" x14ac:dyDescent="0.25">
      <c r="A2164" s="515">
        <v>92831</v>
      </c>
      <c r="B2164" s="515" t="s">
        <v>375</v>
      </c>
      <c r="C2164" s="52">
        <v>874172.77758533496</v>
      </c>
      <c r="D2164" s="56">
        <v>6.749056040062279E-2</v>
      </c>
      <c r="E2164" s="224">
        <v>2331.1428571428501</v>
      </c>
      <c r="F2164" s="515" t="s">
        <v>3721</v>
      </c>
      <c r="G2164" s="52">
        <v>312444.28167812497</v>
      </c>
      <c r="H2164" s="56">
        <v>5.3723350312354728E-2</v>
      </c>
      <c r="I2164" s="224" t="s">
        <v>2</v>
      </c>
    </row>
    <row r="2165" spans="1:9" x14ac:dyDescent="0.25">
      <c r="A2165" s="515">
        <v>44124</v>
      </c>
      <c r="B2165" s="515" t="s">
        <v>520</v>
      </c>
      <c r="C2165" s="52">
        <v>204793.524700423</v>
      </c>
      <c r="D2165" s="56">
        <v>6.3610260549030073E-2</v>
      </c>
      <c r="E2165" s="224">
        <v>1359.44444444444</v>
      </c>
      <c r="F2165" s="515" t="s">
        <v>3722</v>
      </c>
      <c r="G2165" s="52">
        <v>527336.57377041399</v>
      </c>
      <c r="H2165" s="56">
        <v>5.4507035495316852E-2</v>
      </c>
      <c r="I2165" s="224">
        <v>2081.2727272727202</v>
      </c>
    </row>
    <row r="2166" spans="1:9" x14ac:dyDescent="0.25">
      <c r="A2166" s="515">
        <v>95973</v>
      </c>
      <c r="B2166" s="515" t="s">
        <v>580</v>
      </c>
      <c r="C2166" s="52">
        <v>485566.928946384</v>
      </c>
      <c r="D2166" s="56">
        <v>5.8327486460669565E-3</v>
      </c>
      <c r="E2166" s="224">
        <v>1802.8333333333301</v>
      </c>
      <c r="F2166" s="515" t="s">
        <v>3723</v>
      </c>
      <c r="G2166" s="52">
        <v>601334.65591002</v>
      </c>
      <c r="H2166" s="56">
        <v>3.9823709919675397E-2</v>
      </c>
      <c r="I2166" s="224">
        <v>2732.7888888888801</v>
      </c>
    </row>
    <row r="2167" spans="1:9" x14ac:dyDescent="0.25">
      <c r="A2167" s="515">
        <v>23832</v>
      </c>
      <c r="B2167" s="515" t="s">
        <v>667</v>
      </c>
      <c r="C2167" s="52">
        <v>343936.038551112</v>
      </c>
      <c r="D2167" s="56">
        <v>6.5816232294228755E-2</v>
      </c>
      <c r="E2167" s="224">
        <v>1848.5</v>
      </c>
      <c r="F2167" s="515" t="s">
        <v>3724</v>
      </c>
      <c r="G2167" s="52">
        <v>341624.11860129097</v>
      </c>
      <c r="H2167" s="56">
        <v>0.10587326653627205</v>
      </c>
      <c r="I2167" s="224" t="s">
        <v>2</v>
      </c>
    </row>
    <row r="2168" spans="1:9" x14ac:dyDescent="0.25">
      <c r="A2168" s="515">
        <v>95820</v>
      </c>
      <c r="B2168" s="515" t="s">
        <v>355</v>
      </c>
      <c r="C2168" s="52">
        <v>382586.23655960697</v>
      </c>
      <c r="D2168" s="56">
        <v>3.6413684979843992E-2</v>
      </c>
      <c r="E2168" s="224">
        <v>2159.7222222222199</v>
      </c>
      <c r="F2168" s="515" t="s">
        <v>3725</v>
      </c>
      <c r="G2168" s="52">
        <v>358709.88726157899</v>
      </c>
      <c r="H2168" s="56">
        <v>2.7985937840612582E-2</v>
      </c>
      <c r="I2168" s="224">
        <v>1797.5</v>
      </c>
    </row>
    <row r="2169" spans="1:9" x14ac:dyDescent="0.25">
      <c r="A2169" s="515">
        <v>38671</v>
      </c>
      <c r="B2169" s="515" t="s">
        <v>951</v>
      </c>
      <c r="C2169" s="52">
        <v>210921.559199665</v>
      </c>
      <c r="D2169" s="56">
        <v>9.024090498159365E-2</v>
      </c>
      <c r="E2169" s="224">
        <v>1596.5470085469999</v>
      </c>
      <c r="F2169" s="515" t="s">
        <v>3726</v>
      </c>
      <c r="G2169" s="52">
        <v>806834.819542101</v>
      </c>
      <c r="H2169" s="56">
        <v>0.10184256293084765</v>
      </c>
      <c r="I2169" s="224" t="s">
        <v>2</v>
      </c>
    </row>
    <row r="2170" spans="1:9" x14ac:dyDescent="0.25">
      <c r="A2170" s="515">
        <v>77063</v>
      </c>
      <c r="B2170" s="515" t="s">
        <v>314</v>
      </c>
      <c r="C2170" s="52">
        <v>238053.76130175599</v>
      </c>
      <c r="D2170" s="56">
        <v>6.7725091500796253E-2</v>
      </c>
      <c r="E2170" s="224">
        <v>1366.15870910698</v>
      </c>
      <c r="F2170" s="515" t="s">
        <v>3727</v>
      </c>
      <c r="G2170" s="52">
        <v>312456.908958313</v>
      </c>
      <c r="H2170" s="56">
        <v>0.14513449647242649</v>
      </c>
      <c r="I2170" s="224">
        <v>1737.5</v>
      </c>
    </row>
    <row r="2171" spans="1:9" x14ac:dyDescent="0.25">
      <c r="A2171" s="515">
        <v>32940</v>
      </c>
      <c r="B2171" s="515" t="s">
        <v>1133</v>
      </c>
      <c r="C2171" s="52">
        <v>474023.617435625</v>
      </c>
      <c r="D2171" s="56">
        <v>9.9521716148729719E-2</v>
      </c>
      <c r="E2171" s="224">
        <v>2147.6805555555502</v>
      </c>
      <c r="F2171" s="515" t="s">
        <v>3728</v>
      </c>
      <c r="G2171" s="52">
        <v>299085.72200311098</v>
      </c>
      <c r="H2171" s="56">
        <v>7.7108035637007022E-2</v>
      </c>
      <c r="I2171" s="224" t="s">
        <v>2</v>
      </c>
    </row>
    <row r="2172" spans="1:9" x14ac:dyDescent="0.25">
      <c r="A2172" s="515">
        <v>31602</v>
      </c>
      <c r="B2172" s="515" t="s">
        <v>505</v>
      </c>
      <c r="C2172" s="52">
        <v>170935.914201651</v>
      </c>
      <c r="D2172" s="56">
        <v>0.11320066016785758</v>
      </c>
      <c r="E2172" s="224">
        <v>1412.75</v>
      </c>
      <c r="F2172" s="515" t="s">
        <v>3729</v>
      </c>
      <c r="G2172" s="52">
        <v>1145866.2985894899</v>
      </c>
      <c r="H2172" s="56">
        <v>8.8868884051785724E-2</v>
      </c>
      <c r="I2172" s="224">
        <v>3421.4166666666601</v>
      </c>
    </row>
    <row r="2173" spans="1:9" x14ac:dyDescent="0.25">
      <c r="A2173" s="515">
        <v>60201</v>
      </c>
      <c r="B2173" s="515" t="s">
        <v>394</v>
      </c>
      <c r="C2173" s="52">
        <v>458207.34245848597</v>
      </c>
      <c r="D2173" s="56">
        <v>-1.1453880089688609E-2</v>
      </c>
      <c r="E2173" s="224">
        <v>2502.1767252355398</v>
      </c>
      <c r="F2173" s="515" t="s">
        <v>3730</v>
      </c>
      <c r="G2173" s="52">
        <v>273911.34667422803</v>
      </c>
      <c r="H2173" s="56">
        <v>7.4895211585774155E-2</v>
      </c>
      <c r="I2173" s="224">
        <v>1507.6111111111099</v>
      </c>
    </row>
    <row r="2174" spans="1:9" x14ac:dyDescent="0.25">
      <c r="A2174" s="515">
        <v>32724</v>
      </c>
      <c r="B2174" s="515" t="s">
        <v>974</v>
      </c>
      <c r="C2174" s="52">
        <v>330085.30712145602</v>
      </c>
      <c r="D2174" s="56">
        <v>0.11494512564109849</v>
      </c>
      <c r="E2174" s="224">
        <v>2197.86666666666</v>
      </c>
      <c r="F2174" s="515" t="s">
        <v>3731</v>
      </c>
      <c r="G2174" s="52">
        <v>721692.73819440196</v>
      </c>
      <c r="H2174" s="56">
        <v>6.6970028627908157E-2</v>
      </c>
      <c r="I2174" s="224">
        <v>2958.75</v>
      </c>
    </row>
    <row r="2175" spans="1:9" x14ac:dyDescent="0.25">
      <c r="A2175" s="515">
        <v>32780</v>
      </c>
      <c r="B2175" s="515" t="s">
        <v>1133</v>
      </c>
      <c r="C2175" s="52">
        <v>271490.67238133098</v>
      </c>
      <c r="D2175" s="56">
        <v>0.11565712932062422</v>
      </c>
      <c r="E2175" s="224">
        <v>1768.5185185185101</v>
      </c>
      <c r="F2175" s="515" t="s">
        <v>3732</v>
      </c>
      <c r="G2175" s="52">
        <v>384362.00223194098</v>
      </c>
      <c r="H2175" s="56">
        <v>8.764388793300748E-2</v>
      </c>
      <c r="I2175" s="224">
        <v>1945</v>
      </c>
    </row>
    <row r="2176" spans="1:9" x14ac:dyDescent="0.25">
      <c r="A2176" s="515">
        <v>40517</v>
      </c>
      <c r="B2176" s="515" t="s">
        <v>515</v>
      </c>
      <c r="C2176" s="52">
        <v>206643.524255447</v>
      </c>
      <c r="D2176" s="56">
        <v>9.3484811695517089E-2</v>
      </c>
      <c r="E2176" s="224">
        <v>1195.4761904761899</v>
      </c>
      <c r="F2176" s="515" t="s">
        <v>1168</v>
      </c>
      <c r="G2176" s="52">
        <v>222120.06053031699</v>
      </c>
      <c r="H2176" s="56">
        <v>0.20844377811788375</v>
      </c>
      <c r="I2176" s="224" t="s">
        <v>2</v>
      </c>
    </row>
    <row r="2177" spans="1:9" x14ac:dyDescent="0.25">
      <c r="A2177" s="515">
        <v>37209</v>
      </c>
      <c r="B2177" s="515" t="s">
        <v>684</v>
      </c>
      <c r="C2177" s="52">
        <v>531769.98960685497</v>
      </c>
      <c r="D2177" s="56">
        <v>0.11368138282400654</v>
      </c>
      <c r="E2177" s="224">
        <v>1712.6531339031301</v>
      </c>
      <c r="F2177" s="515" t="s">
        <v>3733</v>
      </c>
      <c r="G2177" s="52">
        <v>385717.89820664498</v>
      </c>
      <c r="H2177" s="56">
        <v>6.506340726898649E-2</v>
      </c>
      <c r="I2177" s="224" t="s">
        <v>2</v>
      </c>
    </row>
    <row r="2178" spans="1:9" x14ac:dyDescent="0.25">
      <c r="A2178" s="515">
        <v>40219</v>
      </c>
      <c r="B2178" s="515" t="s">
        <v>479</v>
      </c>
      <c r="C2178" s="52">
        <v>198745.80128162299</v>
      </c>
      <c r="D2178" s="56">
        <v>6.2307013983779247E-2</v>
      </c>
      <c r="E2178" s="224">
        <v>1315</v>
      </c>
      <c r="F2178" s="515" t="s">
        <v>3734</v>
      </c>
      <c r="G2178" s="52">
        <v>426189.67679659999</v>
      </c>
      <c r="H2178" s="56">
        <v>4.8736838440847495E-2</v>
      </c>
      <c r="I2178" s="224" t="s">
        <v>2</v>
      </c>
    </row>
    <row r="2179" spans="1:9" x14ac:dyDescent="0.25">
      <c r="A2179" s="515">
        <v>11358</v>
      </c>
      <c r="B2179" s="515" t="s">
        <v>324</v>
      </c>
      <c r="C2179" s="52">
        <v>954134.57678472996</v>
      </c>
      <c r="D2179" s="56">
        <v>6.0525250005395811E-2</v>
      </c>
      <c r="E2179" s="224">
        <v>2300.9722222222199</v>
      </c>
      <c r="F2179" s="515" t="s">
        <v>679</v>
      </c>
      <c r="G2179" s="52">
        <v>194705.242001053</v>
      </c>
      <c r="H2179" s="56">
        <v>4.6084921985337902E-2</v>
      </c>
      <c r="I2179" s="224" t="s">
        <v>2</v>
      </c>
    </row>
    <row r="2180" spans="1:9" x14ac:dyDescent="0.25">
      <c r="A2180" s="515">
        <v>85206</v>
      </c>
      <c r="B2180" s="515" t="s">
        <v>563</v>
      </c>
      <c r="C2180" s="52">
        <v>377759.12379428599</v>
      </c>
      <c r="D2180" s="56">
        <v>2.7562300305620513E-2</v>
      </c>
      <c r="E2180" s="224">
        <v>1717.2655971479501</v>
      </c>
      <c r="F2180" s="515" t="s">
        <v>3735</v>
      </c>
      <c r="G2180" s="52">
        <v>290927.17086526798</v>
      </c>
      <c r="H2180" s="56">
        <v>6.7590046925914846E-2</v>
      </c>
      <c r="I2180" s="224">
        <v>1949.5</v>
      </c>
    </row>
    <row r="2181" spans="1:9" x14ac:dyDescent="0.25">
      <c r="A2181" s="515">
        <v>71203</v>
      </c>
      <c r="B2181" s="515" t="s">
        <v>695</v>
      </c>
      <c r="C2181" s="52">
        <v>165008.142051617</v>
      </c>
      <c r="D2181" s="56">
        <v>8.3099154827145125E-2</v>
      </c>
      <c r="E2181" s="224">
        <v>1350</v>
      </c>
      <c r="F2181" s="515" t="s">
        <v>3736</v>
      </c>
      <c r="G2181" s="52">
        <v>115902.195516543</v>
      </c>
      <c r="H2181" s="56">
        <v>0.27423861665486476</v>
      </c>
      <c r="I2181" s="224">
        <v>887.5</v>
      </c>
    </row>
    <row r="2182" spans="1:9" x14ac:dyDescent="0.25">
      <c r="A2182" s="515">
        <v>80231</v>
      </c>
      <c r="B2182" s="515" t="s">
        <v>401</v>
      </c>
      <c r="C2182" s="52">
        <v>455922.90400883602</v>
      </c>
      <c r="D2182" s="56">
        <v>2.7985273407389273E-2</v>
      </c>
      <c r="E2182" s="224">
        <v>1657.1747368420999</v>
      </c>
      <c r="F2182" s="515" t="s">
        <v>3737</v>
      </c>
      <c r="G2182" s="52">
        <v>217203.31060982801</v>
      </c>
      <c r="H2182" s="56">
        <v>7.9796451057089074E-2</v>
      </c>
      <c r="I2182" s="224">
        <v>1167.9166666666599</v>
      </c>
    </row>
    <row r="2183" spans="1:9" x14ac:dyDescent="0.25">
      <c r="A2183" s="515">
        <v>98366</v>
      </c>
      <c r="B2183" s="515" t="s">
        <v>620</v>
      </c>
      <c r="C2183" s="52">
        <v>456252.38897623197</v>
      </c>
      <c r="D2183" s="56">
        <v>2.8407525027259052E-2</v>
      </c>
      <c r="E2183" s="224">
        <v>1816.2321428571399</v>
      </c>
      <c r="F2183" s="515" t="s">
        <v>391</v>
      </c>
      <c r="G2183" s="52">
        <v>117859.597835982</v>
      </c>
      <c r="H2183" s="56">
        <v>0.10145308000984894</v>
      </c>
      <c r="I2183" s="224" t="s">
        <v>2</v>
      </c>
    </row>
    <row r="2184" spans="1:9" x14ac:dyDescent="0.25">
      <c r="A2184" s="515">
        <v>21703</v>
      </c>
      <c r="B2184" s="515" t="s">
        <v>321</v>
      </c>
      <c r="C2184" s="52">
        <v>374659.031183741</v>
      </c>
      <c r="D2184" s="56">
        <v>5.7310829026763266E-2</v>
      </c>
      <c r="E2184" s="224">
        <v>2066.00793650793</v>
      </c>
      <c r="F2184" s="515" t="s">
        <v>3738</v>
      </c>
      <c r="G2184" s="52">
        <v>618194.66945019597</v>
      </c>
      <c r="H2184" s="56">
        <v>1.8764018323196831E-2</v>
      </c>
      <c r="I2184" s="224">
        <v>1897.11538461538</v>
      </c>
    </row>
    <row r="2185" spans="1:9" x14ac:dyDescent="0.25">
      <c r="A2185" s="515">
        <v>94952</v>
      </c>
      <c r="B2185" s="515" t="s">
        <v>331</v>
      </c>
      <c r="C2185" s="52">
        <v>1010515.15104482</v>
      </c>
      <c r="D2185" s="56">
        <v>3.0708251384722565E-2</v>
      </c>
      <c r="E2185" s="224">
        <v>2708.5</v>
      </c>
      <c r="F2185" s="515" t="s">
        <v>3739</v>
      </c>
      <c r="G2185" s="52">
        <v>160180.52284833899</v>
      </c>
      <c r="H2185" s="56">
        <v>2.1618957054335655E-2</v>
      </c>
      <c r="I2185" s="224">
        <v>900</v>
      </c>
    </row>
    <row r="2186" spans="1:9" x14ac:dyDescent="0.25">
      <c r="A2186" s="515">
        <v>53051</v>
      </c>
      <c r="B2186" s="515" t="s">
        <v>950</v>
      </c>
      <c r="C2186" s="52">
        <v>329798.74803882098</v>
      </c>
      <c r="D2186" s="56">
        <v>1.9562648244759392E-2</v>
      </c>
      <c r="E2186" s="224" t="s">
        <v>2</v>
      </c>
      <c r="F2186" s="515" t="s">
        <v>3740</v>
      </c>
      <c r="G2186" s="52">
        <v>529596.73286423204</v>
      </c>
      <c r="H2186" s="56">
        <v>3.9724854703625058E-2</v>
      </c>
      <c r="I2186" s="224" t="s">
        <v>2</v>
      </c>
    </row>
    <row r="2187" spans="1:9" x14ac:dyDescent="0.25">
      <c r="A2187" s="515">
        <v>89107</v>
      </c>
      <c r="B2187" s="515" t="s">
        <v>323</v>
      </c>
      <c r="C2187" s="52">
        <v>311691.86290350702</v>
      </c>
      <c r="D2187" s="56">
        <v>6.950105663850549E-2</v>
      </c>
      <c r="E2187" s="224">
        <v>1650.5</v>
      </c>
      <c r="F2187" s="515" t="s">
        <v>3741</v>
      </c>
      <c r="G2187" s="52">
        <v>348009.36299723497</v>
      </c>
      <c r="H2187" s="56">
        <v>0.12150765241121665</v>
      </c>
      <c r="I2187" s="224" t="s">
        <v>2</v>
      </c>
    </row>
    <row r="2188" spans="1:9" x14ac:dyDescent="0.25">
      <c r="A2188" s="515">
        <v>95340</v>
      </c>
      <c r="B2188" s="515" t="s">
        <v>594</v>
      </c>
      <c r="C2188" s="52">
        <v>374246.41317577497</v>
      </c>
      <c r="D2188" s="56">
        <v>2.3080827485256257E-2</v>
      </c>
      <c r="E2188" s="224">
        <v>1644.1666666666599</v>
      </c>
      <c r="F2188" s="515" t="s">
        <v>3742</v>
      </c>
      <c r="G2188" s="52">
        <v>369773.34146493598</v>
      </c>
      <c r="H2188" s="56">
        <v>0.10908904520233324</v>
      </c>
      <c r="I2188" s="224">
        <v>1912.9166666666599</v>
      </c>
    </row>
    <row r="2189" spans="1:9" x14ac:dyDescent="0.25">
      <c r="A2189" s="515">
        <v>70508</v>
      </c>
      <c r="B2189" s="515" t="s">
        <v>1004</v>
      </c>
      <c r="C2189" s="52">
        <v>269705.86969736899</v>
      </c>
      <c r="D2189" s="56">
        <v>2.6882792490953857E-2</v>
      </c>
      <c r="E2189" s="224">
        <v>1461.0899470899401</v>
      </c>
      <c r="F2189" s="515" t="s">
        <v>3743</v>
      </c>
      <c r="G2189" s="52">
        <v>750507.70907035796</v>
      </c>
      <c r="H2189" s="56">
        <v>1.2727733288928487E-2</v>
      </c>
      <c r="I2189" s="224" t="s">
        <v>2</v>
      </c>
    </row>
    <row r="2190" spans="1:9" x14ac:dyDescent="0.25">
      <c r="A2190" s="515">
        <v>36532</v>
      </c>
      <c r="B2190" s="515" t="s">
        <v>488</v>
      </c>
      <c r="C2190" s="52">
        <v>430464.19643970701</v>
      </c>
      <c r="D2190" s="56">
        <v>7.3768828830980848E-2</v>
      </c>
      <c r="E2190" s="224">
        <v>1990.2777777777701</v>
      </c>
      <c r="F2190" s="515" t="s">
        <v>3744</v>
      </c>
      <c r="G2190" s="52">
        <v>485155.65839847398</v>
      </c>
      <c r="H2190" s="56">
        <v>4.8970755573025729E-2</v>
      </c>
      <c r="I2190" s="224" t="s">
        <v>2</v>
      </c>
    </row>
    <row r="2191" spans="1:9" x14ac:dyDescent="0.25">
      <c r="A2191" s="515">
        <v>21701</v>
      </c>
      <c r="B2191" s="515" t="s">
        <v>321</v>
      </c>
      <c r="C2191" s="52">
        <v>397903.54744156398</v>
      </c>
      <c r="D2191" s="56">
        <v>6.1421902183602405E-2</v>
      </c>
      <c r="E2191" s="224">
        <v>1813.5</v>
      </c>
      <c r="F2191" s="515" t="s">
        <v>3745</v>
      </c>
      <c r="G2191" s="52">
        <v>358304.50845208298</v>
      </c>
      <c r="H2191" s="56">
        <v>2.8700152858947569E-2</v>
      </c>
      <c r="I2191" s="224">
        <v>1863.6428571428501</v>
      </c>
    </row>
    <row r="2192" spans="1:9" x14ac:dyDescent="0.25">
      <c r="A2192" s="515">
        <v>28304</v>
      </c>
      <c r="B2192" s="515" t="s">
        <v>1149</v>
      </c>
      <c r="C2192" s="52">
        <v>165741.54396807301</v>
      </c>
      <c r="D2192" s="56">
        <v>0.2076085960639131</v>
      </c>
      <c r="E2192" s="224">
        <v>1288.80357142857</v>
      </c>
      <c r="F2192" s="515" t="s">
        <v>3746</v>
      </c>
      <c r="G2192" s="52">
        <v>331259.587342566</v>
      </c>
      <c r="H2192" s="56">
        <v>5.4598332903458301E-2</v>
      </c>
      <c r="I2192" s="224" t="s">
        <v>2</v>
      </c>
    </row>
    <row r="2193" spans="1:9" x14ac:dyDescent="0.25">
      <c r="A2193" s="515">
        <v>24401</v>
      </c>
      <c r="B2193" s="515" t="s">
        <v>728</v>
      </c>
      <c r="C2193" s="52">
        <v>258681.90055091801</v>
      </c>
      <c r="D2193" s="56">
        <v>7.9481023026662406E-2</v>
      </c>
      <c r="E2193" s="224">
        <v>1077.5</v>
      </c>
      <c r="F2193" s="515" t="s">
        <v>3747</v>
      </c>
      <c r="G2193" s="52">
        <v>259318.913479237</v>
      </c>
      <c r="H2193" s="56">
        <v>0.10457877314360096</v>
      </c>
      <c r="I2193" s="224">
        <v>1627.5</v>
      </c>
    </row>
    <row r="2194" spans="1:9" x14ac:dyDescent="0.25">
      <c r="A2194" s="515">
        <v>33139</v>
      </c>
      <c r="B2194" s="515" t="s">
        <v>831</v>
      </c>
      <c r="C2194" s="52">
        <v>431158.989053445</v>
      </c>
      <c r="D2194" s="56">
        <v>0.17104772979803901</v>
      </c>
      <c r="E2194" s="224">
        <v>3081.9489765580302</v>
      </c>
      <c r="F2194" s="515" t="s">
        <v>3748</v>
      </c>
      <c r="G2194" s="52">
        <v>175494.33542909601</v>
      </c>
      <c r="H2194" s="56">
        <v>3.1489299661796546E-2</v>
      </c>
      <c r="I2194" s="224" t="s">
        <v>2</v>
      </c>
    </row>
    <row r="2195" spans="1:9" x14ac:dyDescent="0.25">
      <c r="A2195" s="515">
        <v>91601</v>
      </c>
      <c r="B2195" s="515" t="s">
        <v>375</v>
      </c>
      <c r="C2195" s="52">
        <v>893682.78660710098</v>
      </c>
      <c r="D2195" s="56">
        <v>-4.9492135134543086E-3</v>
      </c>
      <c r="E2195" s="224">
        <v>2881.2031462901</v>
      </c>
      <c r="F2195" s="515" t="s">
        <v>3749</v>
      </c>
      <c r="G2195" s="52">
        <v>382226.70991676499</v>
      </c>
      <c r="H2195" s="56">
        <v>6.3048837950265862E-2</v>
      </c>
      <c r="I2195" s="224" t="s">
        <v>2</v>
      </c>
    </row>
    <row r="2196" spans="1:9" x14ac:dyDescent="0.25">
      <c r="A2196" s="515">
        <v>1545</v>
      </c>
      <c r="B2196" s="515" t="s">
        <v>751</v>
      </c>
      <c r="C2196" s="52">
        <v>569951.27337877604</v>
      </c>
      <c r="D2196" s="56">
        <v>7.5930773842947469E-2</v>
      </c>
      <c r="E2196" s="224">
        <v>2182.3523809523799</v>
      </c>
      <c r="F2196" s="515" t="s">
        <v>3750</v>
      </c>
      <c r="G2196" s="52">
        <v>265228.33803198702</v>
      </c>
      <c r="H2196" s="56">
        <v>5.557219653163973E-2</v>
      </c>
      <c r="I2196" s="224">
        <v>1375.38888888888</v>
      </c>
    </row>
    <row r="2197" spans="1:9" x14ac:dyDescent="0.25">
      <c r="A2197" s="515">
        <v>22309</v>
      </c>
      <c r="B2197" s="515" t="s">
        <v>321</v>
      </c>
      <c r="C2197" s="52">
        <v>520708.83364601299</v>
      </c>
      <c r="D2197" s="56">
        <v>3.9884696938937522E-2</v>
      </c>
      <c r="E2197" s="224">
        <v>2600.8333333333298</v>
      </c>
      <c r="F2197" s="515" t="s">
        <v>1123</v>
      </c>
      <c r="G2197" s="52">
        <v>124696.208215311</v>
      </c>
      <c r="H2197" s="56">
        <v>-2.9687723124007637E-2</v>
      </c>
      <c r="I2197" s="224" t="s">
        <v>2</v>
      </c>
    </row>
    <row r="2198" spans="1:9" x14ac:dyDescent="0.25">
      <c r="A2198" s="515">
        <v>97233</v>
      </c>
      <c r="B2198" s="515" t="s">
        <v>659</v>
      </c>
      <c r="C2198" s="52">
        <v>387129.52645894402</v>
      </c>
      <c r="D2198" s="56">
        <v>1.1657042678193596E-2</v>
      </c>
      <c r="E2198" s="224">
        <v>1640.125</v>
      </c>
      <c r="F2198" s="515" t="s">
        <v>3751</v>
      </c>
      <c r="G2198" s="52">
        <v>453963.92911515402</v>
      </c>
      <c r="H2198" s="56">
        <v>8.4842004058176212E-2</v>
      </c>
      <c r="I2198" s="224">
        <v>1804.91414141414</v>
      </c>
    </row>
    <row r="2199" spans="1:9" x14ac:dyDescent="0.25">
      <c r="A2199" s="515">
        <v>95993</v>
      </c>
      <c r="B2199" s="515" t="s">
        <v>796</v>
      </c>
      <c r="C2199" s="52">
        <v>443630.23942073598</v>
      </c>
      <c r="D2199" s="56">
        <v>1.9073386013891525E-2</v>
      </c>
      <c r="E2199" s="224" t="s">
        <v>2</v>
      </c>
      <c r="F2199" s="515" t="s">
        <v>3752</v>
      </c>
      <c r="G2199" s="52">
        <v>262576.74208827701</v>
      </c>
      <c r="H2199" s="56">
        <v>0.13443507917726027</v>
      </c>
      <c r="I2199" s="224" t="s">
        <v>2</v>
      </c>
    </row>
    <row r="2200" spans="1:9" x14ac:dyDescent="0.25">
      <c r="A2200" s="515">
        <v>46222</v>
      </c>
      <c r="B2200" s="515" t="s">
        <v>403</v>
      </c>
      <c r="C2200" s="52">
        <v>114936.849960953</v>
      </c>
      <c r="D2200" s="56">
        <v>0.21582640158721547</v>
      </c>
      <c r="E2200" s="224">
        <v>986.142857142857</v>
      </c>
      <c r="F2200" s="515" t="s">
        <v>3753</v>
      </c>
      <c r="G2200" s="52">
        <v>180078.290368872</v>
      </c>
      <c r="H2200" s="56">
        <v>5.7405498250237018E-2</v>
      </c>
      <c r="I2200" s="224" t="s">
        <v>2</v>
      </c>
    </row>
    <row r="2201" spans="1:9" x14ac:dyDescent="0.25">
      <c r="A2201" s="515">
        <v>93305</v>
      </c>
      <c r="B2201" s="515" t="s">
        <v>419</v>
      </c>
      <c r="C2201" s="52">
        <v>238377.33351780099</v>
      </c>
      <c r="D2201" s="56">
        <v>0.10466954906939402</v>
      </c>
      <c r="E2201" s="224" t="s">
        <v>2</v>
      </c>
      <c r="F2201" s="515" t="s">
        <v>3754</v>
      </c>
      <c r="G2201" s="52">
        <v>233661.81018079899</v>
      </c>
      <c r="H2201" s="56">
        <v>8.2749176990283529E-2</v>
      </c>
      <c r="I2201" s="224">
        <v>1096.3333333333301</v>
      </c>
    </row>
    <row r="2202" spans="1:9" x14ac:dyDescent="0.25">
      <c r="A2202" s="515">
        <v>80112</v>
      </c>
      <c r="B2202" s="515" t="s">
        <v>401</v>
      </c>
      <c r="C2202" s="52">
        <v>625452.63291197596</v>
      </c>
      <c r="D2202" s="56">
        <v>3.8477555529946222E-2</v>
      </c>
      <c r="E2202" s="224">
        <v>2014.11962962962</v>
      </c>
      <c r="F2202" s="515" t="s">
        <v>3755</v>
      </c>
      <c r="G2202" s="52">
        <v>321241.32608656201</v>
      </c>
      <c r="H2202" s="56">
        <v>8.0172552417331483E-2</v>
      </c>
      <c r="I2202" s="224">
        <v>2058.5555555555502</v>
      </c>
    </row>
    <row r="2203" spans="1:9" x14ac:dyDescent="0.25">
      <c r="A2203" s="515">
        <v>15068</v>
      </c>
      <c r="B2203" s="515" t="s">
        <v>297</v>
      </c>
      <c r="C2203" s="52">
        <v>144898.93975943001</v>
      </c>
      <c r="D2203" s="56">
        <v>3.143002694781382E-2</v>
      </c>
      <c r="E2203" s="224">
        <v>958.33333333333303</v>
      </c>
      <c r="F2203" s="515" t="s">
        <v>3756</v>
      </c>
      <c r="G2203" s="52">
        <v>263301.43617891998</v>
      </c>
      <c r="H2203" s="56">
        <v>8.6554955077174783E-2</v>
      </c>
      <c r="I2203" s="224">
        <v>1730</v>
      </c>
    </row>
    <row r="2204" spans="1:9" x14ac:dyDescent="0.25">
      <c r="A2204" s="515">
        <v>91001</v>
      </c>
      <c r="B2204" s="515" t="s">
        <v>375</v>
      </c>
      <c r="C2204" s="52">
        <v>1118943.68135777</v>
      </c>
      <c r="D2204" s="56">
        <v>5.5556588176540751E-2</v>
      </c>
      <c r="E2204" s="224">
        <v>2955.8333333333298</v>
      </c>
      <c r="F2204" s="515" t="s">
        <v>3757</v>
      </c>
      <c r="G2204" s="52">
        <v>951636.93366992497</v>
      </c>
      <c r="H2204" s="56">
        <v>-6.8186307085663506E-2</v>
      </c>
      <c r="I2204" s="224">
        <v>2020.1666666666599</v>
      </c>
    </row>
    <row r="2205" spans="1:9" x14ac:dyDescent="0.25">
      <c r="A2205" s="515">
        <v>91711</v>
      </c>
      <c r="B2205" s="515" t="s">
        <v>375</v>
      </c>
      <c r="C2205" s="52">
        <v>864786.34012690501</v>
      </c>
      <c r="D2205" s="56">
        <v>3.7131656497958014E-2</v>
      </c>
      <c r="E2205" s="224">
        <v>2974.4444444444398</v>
      </c>
      <c r="F2205" s="515" t="s">
        <v>3758</v>
      </c>
      <c r="G2205" s="52">
        <v>491844.65069865802</v>
      </c>
      <c r="H2205" s="56">
        <v>7.6196943917391763E-2</v>
      </c>
      <c r="I2205" s="224" t="s">
        <v>2</v>
      </c>
    </row>
    <row r="2206" spans="1:9" x14ac:dyDescent="0.25">
      <c r="A2206" s="515">
        <v>92672</v>
      </c>
      <c r="B2206" s="515" t="s">
        <v>375</v>
      </c>
      <c r="C2206" s="52">
        <v>1410398.2496321199</v>
      </c>
      <c r="D2206" s="56">
        <v>9.7362652407895933E-2</v>
      </c>
      <c r="E2206" s="224">
        <v>3137.3968253968201</v>
      </c>
      <c r="F2206" s="515" t="s">
        <v>3759</v>
      </c>
      <c r="G2206" s="52">
        <v>254375.65005615799</v>
      </c>
      <c r="H2206" s="56">
        <v>6.168582299316306E-2</v>
      </c>
      <c r="I2206" s="224" t="s">
        <v>2</v>
      </c>
    </row>
    <row r="2207" spans="1:9" x14ac:dyDescent="0.25">
      <c r="A2207" s="515">
        <v>60185</v>
      </c>
      <c r="B2207" s="515" t="s">
        <v>394</v>
      </c>
      <c r="C2207" s="52">
        <v>305198.83171109902</v>
      </c>
      <c r="D2207" s="56">
        <v>4.1410257444040081E-2</v>
      </c>
      <c r="E2207" s="224" t="s">
        <v>2</v>
      </c>
      <c r="F2207" s="515" t="s">
        <v>3760</v>
      </c>
      <c r="G2207" s="52">
        <v>356416.357297651</v>
      </c>
      <c r="H2207" s="56">
        <v>9.4249469389490428E-2</v>
      </c>
      <c r="I2207" s="224" t="s">
        <v>2</v>
      </c>
    </row>
    <row r="2208" spans="1:9" x14ac:dyDescent="0.25">
      <c r="A2208" s="515">
        <v>46224</v>
      </c>
      <c r="B2208" s="515" t="s">
        <v>403</v>
      </c>
      <c r="C2208" s="52">
        <v>189351.044396585</v>
      </c>
      <c r="D2208" s="56">
        <v>0.1194964817756559</v>
      </c>
      <c r="E2208" s="224">
        <v>892.90476190476102</v>
      </c>
      <c r="F2208" s="515" t="s">
        <v>3761</v>
      </c>
      <c r="G2208" s="52">
        <v>670338.16256084898</v>
      </c>
      <c r="H2208" s="56">
        <v>5.0884388630488407E-2</v>
      </c>
      <c r="I2208" s="224">
        <v>2696.1666666666601</v>
      </c>
    </row>
    <row r="2209" spans="1:9" x14ac:dyDescent="0.25">
      <c r="A2209" s="515">
        <v>85213</v>
      </c>
      <c r="B2209" s="515" t="s">
        <v>563</v>
      </c>
      <c r="C2209" s="52">
        <v>519494.17320372502</v>
      </c>
      <c r="D2209" s="56">
        <v>4.3931930298262138E-2</v>
      </c>
      <c r="E2209" s="224">
        <v>1610.73809523809</v>
      </c>
      <c r="F2209" s="515" t="s">
        <v>3762</v>
      </c>
      <c r="G2209" s="52">
        <v>398854.36056614702</v>
      </c>
      <c r="H2209" s="56">
        <v>8.1510436167855332E-2</v>
      </c>
      <c r="I2209" s="224">
        <v>2341.8611111111099</v>
      </c>
    </row>
    <row r="2210" spans="1:9" x14ac:dyDescent="0.25">
      <c r="A2210" s="515">
        <v>97322</v>
      </c>
      <c r="B2210" s="515" t="s">
        <v>591</v>
      </c>
      <c r="C2210" s="52">
        <v>371569.55050079001</v>
      </c>
      <c r="D2210" s="56">
        <v>3.3641924997539416E-2</v>
      </c>
      <c r="E2210" s="224">
        <v>1692.9166666666599</v>
      </c>
      <c r="F2210" s="515" t="s">
        <v>3763</v>
      </c>
      <c r="G2210" s="52">
        <v>719319.19965457602</v>
      </c>
      <c r="H2210" s="56">
        <v>0</v>
      </c>
      <c r="I2210" s="224" t="s">
        <v>2</v>
      </c>
    </row>
    <row r="2211" spans="1:9" x14ac:dyDescent="0.25">
      <c r="A2211" s="515">
        <v>22079</v>
      </c>
      <c r="B2211" s="515" t="s">
        <v>321</v>
      </c>
      <c r="C2211" s="52">
        <v>593722.42737677798</v>
      </c>
      <c r="D2211" s="56">
        <v>2.2035231106626828E-2</v>
      </c>
      <c r="E2211" s="224">
        <v>2139.8142857142798</v>
      </c>
      <c r="F2211" s="515" t="s">
        <v>3764</v>
      </c>
      <c r="G2211" s="52">
        <v>264141.931001583</v>
      </c>
      <c r="H2211" s="56">
        <v>6.8400359439966196E-2</v>
      </c>
      <c r="I2211" s="224">
        <v>1033</v>
      </c>
    </row>
    <row r="2212" spans="1:9" x14ac:dyDescent="0.25">
      <c r="A2212" s="515">
        <v>32817</v>
      </c>
      <c r="B2212" s="515" t="s">
        <v>517</v>
      </c>
      <c r="C2212" s="52">
        <v>375851.42831259198</v>
      </c>
      <c r="D2212" s="56">
        <v>0.10871921201433832</v>
      </c>
      <c r="E2212" s="224">
        <v>2163.11904761904</v>
      </c>
      <c r="F2212" s="515" t="s">
        <v>3765</v>
      </c>
      <c r="G2212" s="52">
        <v>374704.34998874599</v>
      </c>
      <c r="H2212" s="56">
        <v>6.3933829459383307E-2</v>
      </c>
      <c r="I2212" s="224" t="s">
        <v>2</v>
      </c>
    </row>
    <row r="2213" spans="1:9" x14ac:dyDescent="0.25">
      <c r="A2213" s="515">
        <v>70122</v>
      </c>
      <c r="B2213" s="515" t="s">
        <v>777</v>
      </c>
      <c r="C2213" s="52">
        <v>248449.087737558</v>
      </c>
      <c r="D2213" s="56">
        <v>7.8167665899333844E-3</v>
      </c>
      <c r="E2213" s="224">
        <v>1411.9841269841199</v>
      </c>
      <c r="F2213" s="515" t="s">
        <v>3766</v>
      </c>
      <c r="G2213" s="52">
        <v>649224.67082159803</v>
      </c>
      <c r="H2213" s="56">
        <v>5.8985916118209372E-2</v>
      </c>
      <c r="I2213" s="224" t="s">
        <v>2</v>
      </c>
    </row>
    <row r="2214" spans="1:9" x14ac:dyDescent="0.25">
      <c r="A2214" s="515">
        <v>65804</v>
      </c>
      <c r="B2214" s="515" t="s">
        <v>603</v>
      </c>
      <c r="C2214" s="52">
        <v>237678.613067036</v>
      </c>
      <c r="D2214" s="56">
        <v>0.10400669518167546</v>
      </c>
      <c r="E2214" s="224">
        <v>1395.55555555555</v>
      </c>
      <c r="F2214" s="515" t="s">
        <v>3767</v>
      </c>
      <c r="G2214" s="52">
        <v>396403.30867519102</v>
      </c>
      <c r="H2214" s="56">
        <v>7.1153849334032182E-2</v>
      </c>
      <c r="I2214" s="224" t="s">
        <v>2</v>
      </c>
    </row>
    <row r="2215" spans="1:9" x14ac:dyDescent="0.25">
      <c r="A2215" s="515">
        <v>21401</v>
      </c>
      <c r="B2215" s="515" t="s">
        <v>582</v>
      </c>
      <c r="C2215" s="52">
        <v>541400.30076678004</v>
      </c>
      <c r="D2215" s="56">
        <v>5.9069224157042494E-2</v>
      </c>
      <c r="E2215" s="224">
        <v>2294.7495098039199</v>
      </c>
      <c r="F2215" s="515" t="s">
        <v>3768</v>
      </c>
      <c r="G2215" s="52">
        <v>636845.74551935995</v>
      </c>
      <c r="H2215" s="56">
        <v>3.5446913505740682E-2</v>
      </c>
      <c r="I2215" s="224">
        <v>2164.5</v>
      </c>
    </row>
    <row r="2216" spans="1:9" x14ac:dyDescent="0.25">
      <c r="A2216" s="515">
        <v>20111</v>
      </c>
      <c r="B2216" s="515" t="s">
        <v>321</v>
      </c>
      <c r="C2216" s="52">
        <v>447213.49604721298</v>
      </c>
      <c r="D2216" s="56">
        <v>2.9852343098465871E-2</v>
      </c>
      <c r="E2216" s="224">
        <v>1917.24074074074</v>
      </c>
      <c r="F2216" s="515" t="s">
        <v>3769</v>
      </c>
      <c r="G2216" s="52">
        <v>540328.36356336705</v>
      </c>
      <c r="H2216" s="56">
        <v>0.15050698385598063</v>
      </c>
      <c r="I2216" s="224" t="s">
        <v>2</v>
      </c>
    </row>
    <row r="2217" spans="1:9" x14ac:dyDescent="0.25">
      <c r="A2217" s="515">
        <v>88310</v>
      </c>
      <c r="B2217" s="515" t="s">
        <v>476</v>
      </c>
      <c r="C2217" s="52">
        <v>184910.51124156101</v>
      </c>
      <c r="D2217" s="56">
        <v>0.12943121674926331</v>
      </c>
      <c r="E2217" s="224">
        <v>1134.7222222222199</v>
      </c>
      <c r="F2217" s="515" t="s">
        <v>3770</v>
      </c>
      <c r="G2217" s="52">
        <v>363534.01918945397</v>
      </c>
      <c r="H2217" s="56">
        <v>7.8322589939617007E-2</v>
      </c>
      <c r="I2217" s="224" t="s">
        <v>2</v>
      </c>
    </row>
    <row r="2218" spans="1:9" x14ac:dyDescent="0.25">
      <c r="A2218" s="515">
        <v>36330</v>
      </c>
      <c r="B2218" s="515" t="s">
        <v>1013</v>
      </c>
      <c r="C2218" s="52">
        <v>192466.773873411</v>
      </c>
      <c r="D2218" s="56">
        <v>7.5017430790036019E-2</v>
      </c>
      <c r="E2218" s="224">
        <v>1319.7817460317401</v>
      </c>
      <c r="F2218" s="515" t="s">
        <v>3771</v>
      </c>
      <c r="G2218" s="52">
        <v>2029227.79164976</v>
      </c>
      <c r="H2218" s="56">
        <v>2.653204548689473E-2</v>
      </c>
      <c r="I2218" s="224">
        <v>2506.5714285714198</v>
      </c>
    </row>
    <row r="2219" spans="1:9" x14ac:dyDescent="0.25">
      <c r="A2219" s="515">
        <v>78539</v>
      </c>
      <c r="B2219" s="515" t="s">
        <v>550</v>
      </c>
      <c r="C2219" s="52">
        <v>220342.06741216101</v>
      </c>
      <c r="D2219" s="56">
        <v>0.1316113846347462</v>
      </c>
      <c r="E2219" s="224">
        <v>1080.8333333333301</v>
      </c>
      <c r="F2219" s="515" t="s">
        <v>3772</v>
      </c>
      <c r="G2219" s="52">
        <v>226004.656353072</v>
      </c>
      <c r="H2219" s="56">
        <v>0.11581347554568884</v>
      </c>
      <c r="I2219" s="224">
        <v>1697.5</v>
      </c>
    </row>
    <row r="2220" spans="1:9" x14ac:dyDescent="0.25">
      <c r="A2220" s="515">
        <v>20901</v>
      </c>
      <c r="B2220" s="515" t="s">
        <v>321</v>
      </c>
      <c r="C2220" s="52">
        <v>537571.76981562097</v>
      </c>
      <c r="D2220" s="56">
        <v>2.6999464132157251E-2</v>
      </c>
      <c r="E2220" s="224">
        <v>1977.3333333333301</v>
      </c>
      <c r="F2220" s="515" t="s">
        <v>3773</v>
      </c>
      <c r="G2220" s="52">
        <v>453434.81018958101</v>
      </c>
      <c r="H2220" s="56">
        <v>0.10163104731820752</v>
      </c>
      <c r="I2220" s="224">
        <v>1623.5833333333301</v>
      </c>
    </row>
    <row r="2221" spans="1:9" x14ac:dyDescent="0.25">
      <c r="A2221" s="515">
        <v>97756</v>
      </c>
      <c r="B2221" s="515" t="s">
        <v>1190</v>
      </c>
      <c r="C2221" s="52">
        <v>482757.23319117102</v>
      </c>
      <c r="D2221" s="56">
        <v>1.766643383277719E-2</v>
      </c>
      <c r="E2221" s="224">
        <v>2019.3333333333301</v>
      </c>
      <c r="F2221" s="515" t="s">
        <v>1235</v>
      </c>
      <c r="G2221" s="52">
        <v>137064.42482256601</v>
      </c>
      <c r="H2221" s="56">
        <v>-2.02967601202456E-3</v>
      </c>
      <c r="I2221" s="224" t="s">
        <v>2</v>
      </c>
    </row>
    <row r="2222" spans="1:9" x14ac:dyDescent="0.25">
      <c r="A2222" s="515">
        <v>24018</v>
      </c>
      <c r="B2222" s="515" t="s">
        <v>861</v>
      </c>
      <c r="C2222" s="52">
        <v>312216.038883081</v>
      </c>
      <c r="D2222" s="56">
        <v>7.3096099144994056E-2</v>
      </c>
      <c r="E2222" s="224">
        <v>1397.4722222222199</v>
      </c>
      <c r="F2222" s="515" t="s">
        <v>3774</v>
      </c>
      <c r="G2222" s="52">
        <v>172575.864704843</v>
      </c>
      <c r="H2222" s="56">
        <v>0.20111988705762313</v>
      </c>
      <c r="I2222" s="224">
        <v>1428.1547619047601</v>
      </c>
    </row>
    <row r="2223" spans="1:9" x14ac:dyDescent="0.25">
      <c r="A2223" s="515">
        <v>89012</v>
      </c>
      <c r="B2223" s="515" t="s">
        <v>323</v>
      </c>
      <c r="C2223" s="52">
        <v>481301.61324463802</v>
      </c>
      <c r="D2223" s="56">
        <v>3.4871614491029282E-2</v>
      </c>
      <c r="E2223" s="224">
        <v>1908.70889894419</v>
      </c>
      <c r="F2223" s="515" t="s">
        <v>3775</v>
      </c>
      <c r="G2223" s="52">
        <v>260929.221967152</v>
      </c>
      <c r="H2223" s="56">
        <v>0.10052194844095229</v>
      </c>
      <c r="I2223" s="224">
        <v>1595.4166666666599</v>
      </c>
    </row>
    <row r="2224" spans="1:9" x14ac:dyDescent="0.25">
      <c r="A2224" s="515">
        <v>29615</v>
      </c>
      <c r="B2224" s="515" t="s">
        <v>613</v>
      </c>
      <c r="C2224" s="52">
        <v>365279.98972012399</v>
      </c>
      <c r="D2224" s="56">
        <v>0.13500384805831619</v>
      </c>
      <c r="E2224" s="224">
        <v>1251.1871794871699</v>
      </c>
      <c r="F2224" s="515" t="s">
        <v>1047</v>
      </c>
      <c r="G2224" s="52">
        <v>226571.78942274899</v>
      </c>
      <c r="H2224" s="56">
        <v>3.9257744052460748E-2</v>
      </c>
      <c r="I2224" s="224">
        <v>870.47619047619003</v>
      </c>
    </row>
    <row r="2225" spans="1:9" x14ac:dyDescent="0.25">
      <c r="A2225" s="515">
        <v>33183</v>
      </c>
      <c r="B2225" s="515" t="s">
        <v>831</v>
      </c>
      <c r="C2225" s="52">
        <v>367821.05256010202</v>
      </c>
      <c r="D2225" s="56">
        <v>0.15949670584723502</v>
      </c>
      <c r="E2225" s="224">
        <v>2483.3333333333298</v>
      </c>
      <c r="F2225" s="515" t="s">
        <v>3776</v>
      </c>
      <c r="G2225" s="52">
        <v>167357.23606994801</v>
      </c>
      <c r="H2225" s="56">
        <v>7.3257303986183117E-2</v>
      </c>
      <c r="I2225" s="224">
        <v>869.11375661375598</v>
      </c>
    </row>
    <row r="2226" spans="1:9" x14ac:dyDescent="0.25">
      <c r="A2226" s="515">
        <v>19808</v>
      </c>
      <c r="B2226" s="515" t="s">
        <v>294</v>
      </c>
      <c r="C2226" s="52">
        <v>319623.67486917402</v>
      </c>
      <c r="D2226" s="56">
        <v>7.8000179513426707E-2</v>
      </c>
      <c r="E2226" s="224">
        <v>1692.44444444444</v>
      </c>
      <c r="F2226" s="515" t="s">
        <v>771</v>
      </c>
      <c r="G2226" s="52">
        <v>266393.78821166197</v>
      </c>
      <c r="H2226" s="56">
        <v>3.4153538064537067E-2</v>
      </c>
      <c r="I2226" s="224" t="s">
        <v>2</v>
      </c>
    </row>
    <row r="2227" spans="1:9" x14ac:dyDescent="0.25">
      <c r="A2227" s="515">
        <v>80003</v>
      </c>
      <c r="B2227" s="515" t="s">
        <v>401</v>
      </c>
      <c r="C2227" s="52">
        <v>522675.68372039899</v>
      </c>
      <c r="D2227" s="56">
        <v>3.3807318765973447E-2</v>
      </c>
      <c r="E2227" s="224">
        <v>1883.25396825396</v>
      </c>
      <c r="F2227" s="515" t="s">
        <v>3777</v>
      </c>
      <c r="G2227" s="52">
        <v>423842.41076137399</v>
      </c>
      <c r="H2227" s="56">
        <v>1.5584542845159019E-2</v>
      </c>
      <c r="I2227" s="224">
        <v>1716.81746031746</v>
      </c>
    </row>
    <row r="2228" spans="1:9" x14ac:dyDescent="0.25">
      <c r="A2228" s="515">
        <v>17050</v>
      </c>
      <c r="B2228" s="515" t="s">
        <v>428</v>
      </c>
      <c r="C2228" s="52">
        <v>379705.38563390501</v>
      </c>
      <c r="D2228" s="56">
        <v>9.7788602588769022E-2</v>
      </c>
      <c r="E2228" s="224">
        <v>1948.69444444444</v>
      </c>
      <c r="F2228" s="515" t="s">
        <v>3778</v>
      </c>
      <c r="G2228" s="52">
        <v>607169.68980914296</v>
      </c>
      <c r="H2228" s="56">
        <v>3.2309111008951917E-2</v>
      </c>
      <c r="I2228" s="224" t="s">
        <v>2</v>
      </c>
    </row>
    <row r="2229" spans="1:9" x14ac:dyDescent="0.25">
      <c r="A2229" s="515">
        <v>95688</v>
      </c>
      <c r="B2229" s="515" t="s">
        <v>835</v>
      </c>
      <c r="C2229" s="52">
        <v>636754.19567702198</v>
      </c>
      <c r="D2229" s="56">
        <v>-1.9636455264633265E-3</v>
      </c>
      <c r="E2229" s="224">
        <v>2454.4761904761899</v>
      </c>
      <c r="F2229" s="515" t="s">
        <v>3779</v>
      </c>
      <c r="G2229" s="52">
        <v>476885.93640824303</v>
      </c>
      <c r="H2229" s="56">
        <v>2.6885387937884891E-2</v>
      </c>
      <c r="I2229" s="224" t="s">
        <v>2</v>
      </c>
    </row>
    <row r="2230" spans="1:9" x14ac:dyDescent="0.25">
      <c r="A2230" s="515">
        <v>32904</v>
      </c>
      <c r="B2230" s="515" t="s">
        <v>1133</v>
      </c>
      <c r="C2230" s="52">
        <v>394670.13963212899</v>
      </c>
      <c r="D2230" s="56">
        <v>0.10208928938928005</v>
      </c>
      <c r="E2230" s="224">
        <v>2301.9111111111101</v>
      </c>
      <c r="F2230" s="515" t="s">
        <v>3780</v>
      </c>
      <c r="G2230" s="52">
        <v>1268278.4244527901</v>
      </c>
      <c r="H2230" s="56">
        <v>-1.3333412496163306E-2</v>
      </c>
      <c r="I2230" s="224">
        <v>0</v>
      </c>
    </row>
    <row r="2231" spans="1:9" x14ac:dyDescent="0.25">
      <c r="A2231" s="515">
        <v>77035</v>
      </c>
      <c r="B2231" s="515" t="s">
        <v>314</v>
      </c>
      <c r="C2231" s="52">
        <v>255206.654331934</v>
      </c>
      <c r="D2231" s="56">
        <v>8.1317781597602293E-2</v>
      </c>
      <c r="E2231" s="224">
        <v>1724.2709401709401</v>
      </c>
      <c r="F2231" s="515" t="s">
        <v>3781</v>
      </c>
      <c r="G2231" s="52">
        <v>369258.77534356603</v>
      </c>
      <c r="H2231" s="56">
        <v>5.0837275330054187E-2</v>
      </c>
      <c r="I2231" s="224">
        <v>1627.0277777777701</v>
      </c>
    </row>
    <row r="2232" spans="1:9" x14ac:dyDescent="0.25">
      <c r="A2232" s="515">
        <v>97477</v>
      </c>
      <c r="B2232" s="515" t="s">
        <v>801</v>
      </c>
      <c r="C2232" s="52">
        <v>371675.421622578</v>
      </c>
      <c r="D2232" s="56">
        <v>3.8422349254565794E-2</v>
      </c>
      <c r="E2232" s="224">
        <v>1557.1666666666599</v>
      </c>
      <c r="F2232" s="515" t="s">
        <v>3782</v>
      </c>
      <c r="G2232" s="52">
        <v>262040.87837812901</v>
      </c>
      <c r="H2232" s="56">
        <v>9.2782382399024366E-2</v>
      </c>
      <c r="I2232" s="224" t="s">
        <v>2</v>
      </c>
    </row>
    <row r="2233" spans="1:9" x14ac:dyDescent="0.25">
      <c r="A2233" s="515">
        <v>80210</v>
      </c>
      <c r="B2233" s="515" t="s">
        <v>401</v>
      </c>
      <c r="C2233" s="52">
        <v>811160.62560639495</v>
      </c>
      <c r="D2233" s="56">
        <v>4.3363947272572131E-2</v>
      </c>
      <c r="E2233" s="224">
        <v>2126.4073716759399</v>
      </c>
      <c r="F2233" s="515" t="s">
        <v>3783</v>
      </c>
      <c r="G2233" s="52">
        <v>628519.14306251903</v>
      </c>
      <c r="H2233" s="56">
        <v>2.2434758771084997E-2</v>
      </c>
      <c r="I2233" s="224">
        <v>2753.88888888888</v>
      </c>
    </row>
    <row r="2234" spans="1:9" x14ac:dyDescent="0.25">
      <c r="A2234" s="515">
        <v>91104</v>
      </c>
      <c r="B2234" s="515" t="s">
        <v>375</v>
      </c>
      <c r="C2234" s="52">
        <v>1080817.0146691201</v>
      </c>
      <c r="D2234" s="56">
        <v>4.5992107303432263E-2</v>
      </c>
      <c r="E2234" s="224">
        <v>2294.75</v>
      </c>
      <c r="F2234" s="515" t="s">
        <v>438</v>
      </c>
      <c r="G2234" s="52">
        <v>200457.668391974</v>
      </c>
      <c r="H2234" s="56">
        <v>4.5065899405060887E-2</v>
      </c>
      <c r="I2234" s="224" t="s">
        <v>2</v>
      </c>
    </row>
    <row r="2235" spans="1:9" x14ac:dyDescent="0.25">
      <c r="A2235" s="515">
        <v>46410</v>
      </c>
      <c r="B2235" s="515" t="s">
        <v>394</v>
      </c>
      <c r="C2235" s="52">
        <v>212557.01387043399</v>
      </c>
      <c r="D2235" s="56">
        <v>8.993253891926635E-2</v>
      </c>
      <c r="E2235" s="224">
        <v>1313.5833333333301</v>
      </c>
      <c r="F2235" s="515" t="s">
        <v>330</v>
      </c>
      <c r="G2235" s="52">
        <v>110092.575843824</v>
      </c>
      <c r="H2235" s="56">
        <v>6.0993147679415362E-2</v>
      </c>
      <c r="I2235" s="224" t="s">
        <v>2</v>
      </c>
    </row>
    <row r="2236" spans="1:9" x14ac:dyDescent="0.25">
      <c r="A2236" s="515">
        <v>7753</v>
      </c>
      <c r="B2236" s="515" t="s">
        <v>324</v>
      </c>
      <c r="C2236" s="52">
        <v>434274.15207524598</v>
      </c>
      <c r="D2236" s="56">
        <v>0.10059553041768056</v>
      </c>
      <c r="E2236" s="224">
        <v>2706.6944444444398</v>
      </c>
      <c r="F2236" s="515" t="s">
        <v>3784</v>
      </c>
      <c r="G2236" s="52">
        <v>330577.08952649398</v>
      </c>
      <c r="H2236" s="56">
        <v>0.10120625083835204</v>
      </c>
      <c r="I2236" s="224">
        <v>1906.88888888888</v>
      </c>
    </row>
    <row r="2237" spans="1:9" x14ac:dyDescent="0.25">
      <c r="A2237" s="515">
        <v>46038</v>
      </c>
      <c r="B2237" s="515" t="s">
        <v>403</v>
      </c>
      <c r="C2237" s="52">
        <v>331020.938522232</v>
      </c>
      <c r="D2237" s="56">
        <v>4.8992505345691349E-2</v>
      </c>
      <c r="E2237" s="224">
        <v>1758.57142857142</v>
      </c>
      <c r="F2237" s="515" t="s">
        <v>3785</v>
      </c>
      <c r="G2237" s="52">
        <v>772753.67209804198</v>
      </c>
      <c r="H2237" s="56">
        <v>3.3158187419436692E-2</v>
      </c>
      <c r="I2237" s="224">
        <v>4350</v>
      </c>
    </row>
    <row r="2238" spans="1:9" x14ac:dyDescent="0.25">
      <c r="A2238" s="515">
        <v>44134</v>
      </c>
      <c r="B2238" s="515" t="s">
        <v>520</v>
      </c>
      <c r="C2238" s="52">
        <v>168421.93305368201</v>
      </c>
      <c r="D2238" s="56">
        <v>7.257321809288754E-2</v>
      </c>
      <c r="E2238" s="224">
        <v>1137.7777777777701</v>
      </c>
      <c r="F2238" s="515" t="s">
        <v>3786</v>
      </c>
      <c r="G2238" s="52">
        <v>718115.56455482601</v>
      </c>
      <c r="H2238" s="56">
        <v>5.0352722613344121E-2</v>
      </c>
      <c r="I2238" s="224">
        <v>3075.25</v>
      </c>
    </row>
    <row r="2239" spans="1:9" x14ac:dyDescent="0.25">
      <c r="A2239" s="515">
        <v>75234</v>
      </c>
      <c r="B2239" s="515" t="s">
        <v>458</v>
      </c>
      <c r="C2239" s="52">
        <v>334839.16345675598</v>
      </c>
      <c r="D2239" s="56">
        <v>8.2104930853789948E-2</v>
      </c>
      <c r="E2239" s="224">
        <v>1808.5470085469999</v>
      </c>
      <c r="F2239" s="515" t="s">
        <v>961</v>
      </c>
      <c r="G2239" s="52">
        <v>162847.04914621901</v>
      </c>
      <c r="H2239" s="56">
        <v>-2.9820330927623736E-3</v>
      </c>
      <c r="I2239" s="224" t="s">
        <v>2</v>
      </c>
    </row>
    <row r="2240" spans="1:9" x14ac:dyDescent="0.25">
      <c r="A2240" s="515">
        <v>72450</v>
      </c>
      <c r="B2240" s="515" t="s">
        <v>1023</v>
      </c>
      <c r="C2240" s="52">
        <v>161465.39414389001</v>
      </c>
      <c r="D2240" s="56">
        <v>7.1792755521831633E-2</v>
      </c>
      <c r="E2240" s="224" t="s">
        <v>2</v>
      </c>
      <c r="F2240" s="515" t="s">
        <v>3787</v>
      </c>
      <c r="G2240" s="52">
        <v>522642.54136212799</v>
      </c>
      <c r="H2240" s="56">
        <v>5.8275311866548878E-2</v>
      </c>
      <c r="I2240" s="224" t="s">
        <v>2</v>
      </c>
    </row>
    <row r="2241" spans="1:9" x14ac:dyDescent="0.25">
      <c r="A2241" s="515">
        <v>75248</v>
      </c>
      <c r="B2241" s="515" t="s">
        <v>458</v>
      </c>
      <c r="C2241" s="52">
        <v>548945.423732728</v>
      </c>
      <c r="D2241" s="56">
        <v>0.14179469844608861</v>
      </c>
      <c r="E2241" s="224">
        <v>1795.80555555555</v>
      </c>
      <c r="F2241" s="515" t="s">
        <v>3788</v>
      </c>
      <c r="G2241" s="52">
        <v>349356.55478253099</v>
      </c>
      <c r="H2241" s="56">
        <v>3.8927127335787168E-2</v>
      </c>
      <c r="I2241" s="224">
        <v>1734.1666666666599</v>
      </c>
    </row>
    <row r="2242" spans="1:9" x14ac:dyDescent="0.25">
      <c r="A2242" s="515">
        <v>84116</v>
      </c>
      <c r="B2242" s="515" t="s">
        <v>617</v>
      </c>
      <c r="C2242" s="52">
        <v>408277.755576314</v>
      </c>
      <c r="D2242" s="56">
        <v>2.0833181840814702E-2</v>
      </c>
      <c r="E2242" s="224">
        <v>1492.69444444444</v>
      </c>
      <c r="F2242" s="515" t="s">
        <v>3789</v>
      </c>
      <c r="G2242" s="52">
        <v>226922.69278130701</v>
      </c>
      <c r="H2242" s="56">
        <v>0.11808940842842637</v>
      </c>
      <c r="I2242" s="224">
        <v>1640</v>
      </c>
    </row>
    <row r="2243" spans="1:9" x14ac:dyDescent="0.25">
      <c r="A2243" s="515">
        <v>56301</v>
      </c>
      <c r="B2243" s="515" t="s">
        <v>418</v>
      </c>
      <c r="C2243" s="52">
        <v>272616.90328498703</v>
      </c>
      <c r="D2243" s="56">
        <v>5.1400382016296882E-2</v>
      </c>
      <c r="E2243" s="224">
        <v>1282</v>
      </c>
      <c r="F2243" s="515" t="s">
        <v>886</v>
      </c>
      <c r="G2243" s="52">
        <v>126277.283951383</v>
      </c>
      <c r="H2243" s="56">
        <v>-1.339866301382078E-3</v>
      </c>
      <c r="I2243" s="224" t="s">
        <v>2</v>
      </c>
    </row>
    <row r="2244" spans="1:9" x14ac:dyDescent="0.25">
      <c r="A2244" s="515">
        <v>32092</v>
      </c>
      <c r="B2244" s="515" t="s">
        <v>1158</v>
      </c>
      <c r="C2244" s="52">
        <v>487903.46645021997</v>
      </c>
      <c r="D2244" s="56">
        <v>0.12370604015972858</v>
      </c>
      <c r="E2244" s="224">
        <v>2538.8869047619</v>
      </c>
      <c r="F2244" s="515" t="s">
        <v>1293</v>
      </c>
      <c r="G2244" s="52">
        <v>304190.83525606297</v>
      </c>
      <c r="H2244" s="56">
        <v>8.3872881136351579E-2</v>
      </c>
      <c r="I2244" s="224">
        <v>1473.66951566951</v>
      </c>
    </row>
    <row r="2245" spans="1:9" x14ac:dyDescent="0.25">
      <c r="A2245" s="515">
        <v>95121</v>
      </c>
      <c r="B2245" s="515" t="s">
        <v>850</v>
      </c>
      <c r="C2245" s="52">
        <v>1072802.6468176299</v>
      </c>
      <c r="D2245" s="56">
        <v>4.8571448878110914E-2</v>
      </c>
      <c r="E2245" s="224">
        <v>3067.0833333333298</v>
      </c>
      <c r="F2245" s="515" t="s">
        <v>3790</v>
      </c>
      <c r="G2245" s="52">
        <v>312482.70067250403</v>
      </c>
      <c r="H2245" s="56">
        <v>0.10983989977856105</v>
      </c>
      <c r="I2245" s="224">
        <v>1732.7777777777701</v>
      </c>
    </row>
    <row r="2246" spans="1:9" x14ac:dyDescent="0.25">
      <c r="A2246" s="515">
        <v>94040</v>
      </c>
      <c r="B2246" s="515" t="s">
        <v>850</v>
      </c>
      <c r="C2246" s="52">
        <v>2362204.78187413</v>
      </c>
      <c r="D2246" s="56">
        <v>3.7803233854505777E-2</v>
      </c>
      <c r="E2246" s="224">
        <v>3592.5117283950599</v>
      </c>
      <c r="F2246" s="515" t="s">
        <v>3791</v>
      </c>
      <c r="G2246" s="52">
        <v>302559.55091799499</v>
      </c>
      <c r="H2246" s="56">
        <v>6.2006991588860222E-2</v>
      </c>
      <c r="I2246" s="224">
        <v>1775</v>
      </c>
    </row>
    <row r="2247" spans="1:9" x14ac:dyDescent="0.25">
      <c r="A2247" s="515">
        <v>46112</v>
      </c>
      <c r="B2247" s="515" t="s">
        <v>403</v>
      </c>
      <c r="C2247" s="52">
        <v>313568.649618497</v>
      </c>
      <c r="D2247" s="56">
        <v>6.850383734272944E-2</v>
      </c>
      <c r="E2247" s="224">
        <v>1775.88888888888</v>
      </c>
      <c r="F2247" s="515" t="s">
        <v>3792</v>
      </c>
      <c r="G2247" s="52">
        <v>572920.91939372395</v>
      </c>
      <c r="H2247" s="56">
        <v>4.5588951623385873E-2</v>
      </c>
      <c r="I2247" s="224">
        <v>2827.7777777777701</v>
      </c>
    </row>
    <row r="2248" spans="1:9" x14ac:dyDescent="0.25">
      <c r="A2248" s="515">
        <v>29209</v>
      </c>
      <c r="B2248" s="515" t="s">
        <v>762</v>
      </c>
      <c r="C2248" s="52">
        <v>204012.00453314299</v>
      </c>
      <c r="D2248" s="56">
        <v>0.15179213771269545</v>
      </c>
      <c r="E2248" s="224">
        <v>1323.7619047619</v>
      </c>
      <c r="F2248" s="515" t="s">
        <v>3793</v>
      </c>
      <c r="G2248" s="52">
        <v>197187.186980728</v>
      </c>
      <c r="H2248" s="56">
        <v>0.14268555777356773</v>
      </c>
      <c r="I2248" s="224" t="s">
        <v>2</v>
      </c>
    </row>
    <row r="2249" spans="1:9" x14ac:dyDescent="0.25">
      <c r="A2249" s="515">
        <v>27612</v>
      </c>
      <c r="B2249" s="515" t="s">
        <v>484</v>
      </c>
      <c r="C2249" s="52">
        <v>501269.16982775298</v>
      </c>
      <c r="D2249" s="56">
        <v>5.9090582425211501E-2</v>
      </c>
      <c r="E2249" s="224">
        <v>1440.8184057971</v>
      </c>
      <c r="F2249" s="515" t="s">
        <v>881</v>
      </c>
      <c r="G2249" s="52">
        <v>172641.80087639199</v>
      </c>
      <c r="H2249" s="56">
        <v>6.7989695392489488E-2</v>
      </c>
      <c r="I2249" s="224" t="s">
        <v>2</v>
      </c>
    </row>
    <row r="2250" spans="1:9" x14ac:dyDescent="0.25">
      <c r="A2250" s="515">
        <v>32807</v>
      </c>
      <c r="B2250" s="515" t="s">
        <v>517</v>
      </c>
      <c r="C2250" s="52">
        <v>296210.90727944701</v>
      </c>
      <c r="D2250" s="56">
        <v>0.13876277846158558</v>
      </c>
      <c r="E2250" s="224">
        <v>1843.8571428571399</v>
      </c>
      <c r="F2250" s="515" t="s">
        <v>3794</v>
      </c>
      <c r="G2250" s="52">
        <v>654828.21848346596</v>
      </c>
      <c r="H2250" s="56">
        <v>5.2011751313655243E-2</v>
      </c>
      <c r="I2250" s="224">
        <v>2447.5</v>
      </c>
    </row>
    <row r="2251" spans="1:9" x14ac:dyDescent="0.25">
      <c r="A2251" s="515">
        <v>50023</v>
      </c>
      <c r="B2251" s="515" t="s">
        <v>295</v>
      </c>
      <c r="C2251" s="52">
        <v>321267.185640215</v>
      </c>
      <c r="D2251" s="56">
        <v>5.7676630656705599E-2</v>
      </c>
      <c r="E2251" s="224">
        <v>1386.1666666666599</v>
      </c>
      <c r="F2251" s="515" t="s">
        <v>3795</v>
      </c>
      <c r="G2251" s="52">
        <v>170467.80081127799</v>
      </c>
      <c r="H2251" s="56">
        <v>5.2447666335214603E-2</v>
      </c>
      <c r="I2251" s="224">
        <v>1311.6666666666599</v>
      </c>
    </row>
    <row r="2252" spans="1:9" x14ac:dyDescent="0.25">
      <c r="A2252" s="515">
        <v>76065</v>
      </c>
      <c r="B2252" s="515" t="s">
        <v>458</v>
      </c>
      <c r="C2252" s="52">
        <v>429996.53589375899</v>
      </c>
      <c r="D2252" s="56">
        <v>7.9017673857467857E-2</v>
      </c>
      <c r="E2252" s="224">
        <v>2340.4444444444398</v>
      </c>
      <c r="F2252" s="515" t="s">
        <v>3796</v>
      </c>
      <c r="G2252" s="52">
        <v>254370.55120828099</v>
      </c>
      <c r="H2252" s="56">
        <v>3.695261820374518E-2</v>
      </c>
      <c r="I2252" s="224" t="s">
        <v>2</v>
      </c>
    </row>
    <row r="2253" spans="1:9" x14ac:dyDescent="0.25">
      <c r="A2253" s="515">
        <v>7024</v>
      </c>
      <c r="B2253" s="515" t="s">
        <v>324</v>
      </c>
      <c r="C2253" s="52">
        <v>571608.36508409795</v>
      </c>
      <c r="D2253" s="56">
        <v>-5.7391499682268789E-2</v>
      </c>
      <c r="E2253" s="224">
        <v>3318.4682539682499</v>
      </c>
      <c r="F2253" s="515" t="s">
        <v>3797</v>
      </c>
      <c r="G2253" s="52">
        <v>199172.20255236901</v>
      </c>
      <c r="H2253" s="56">
        <v>0.10746826924873987</v>
      </c>
      <c r="I2253" s="224" t="s">
        <v>2</v>
      </c>
    </row>
    <row r="2254" spans="1:9" x14ac:dyDescent="0.25">
      <c r="A2254" s="515">
        <v>99654</v>
      </c>
      <c r="B2254" s="515" t="s">
        <v>405</v>
      </c>
      <c r="C2254" s="52">
        <v>349949.25259915902</v>
      </c>
      <c r="D2254" s="56">
        <v>1.4968980949995395E-2</v>
      </c>
      <c r="E2254" s="224">
        <v>1750</v>
      </c>
      <c r="F2254" s="515" t="s">
        <v>3798</v>
      </c>
      <c r="G2254" s="52">
        <v>359504.68341672601</v>
      </c>
      <c r="H2254" s="56">
        <v>4.8270214077089202E-2</v>
      </c>
      <c r="I2254" s="224" t="s">
        <v>2</v>
      </c>
    </row>
    <row r="2255" spans="1:9" x14ac:dyDescent="0.25">
      <c r="A2255" s="515">
        <v>99507</v>
      </c>
      <c r="B2255" s="515" t="s">
        <v>405</v>
      </c>
      <c r="C2255" s="52">
        <v>354931.55447181</v>
      </c>
      <c r="D2255" s="56">
        <v>3.6546731154537625E-2</v>
      </c>
      <c r="E2255" s="224">
        <v>1354.1666666666599</v>
      </c>
      <c r="F2255" s="515" t="s">
        <v>1069</v>
      </c>
      <c r="G2255" s="52">
        <v>101622.40622569701</v>
      </c>
      <c r="H2255" s="56">
        <v>6.4474876334319017E-2</v>
      </c>
      <c r="I2255" s="224" t="s">
        <v>2</v>
      </c>
    </row>
    <row r="2256" spans="1:9" x14ac:dyDescent="0.25">
      <c r="A2256" s="515">
        <v>95667</v>
      </c>
      <c r="B2256" s="515" t="s">
        <v>355</v>
      </c>
      <c r="C2256" s="52">
        <v>494016.30345775402</v>
      </c>
      <c r="D2256" s="56">
        <v>-1.9883623090913797E-2</v>
      </c>
      <c r="E2256" s="224">
        <v>1932.5</v>
      </c>
      <c r="F2256" s="515" t="s">
        <v>3799</v>
      </c>
      <c r="G2256" s="52">
        <v>153169.445385189</v>
      </c>
      <c r="H2256" s="56">
        <v>-1.2247373370359896E-2</v>
      </c>
      <c r="I2256" s="224" t="s">
        <v>2</v>
      </c>
    </row>
    <row r="2257" spans="1:9" x14ac:dyDescent="0.25">
      <c r="A2257" s="515">
        <v>90621</v>
      </c>
      <c r="B2257" s="515" t="s">
        <v>375</v>
      </c>
      <c r="C2257" s="52">
        <v>750768.78871145996</v>
      </c>
      <c r="D2257" s="56">
        <v>4.9093144505614424E-2</v>
      </c>
      <c r="E2257" s="224">
        <v>2804.1666666666601</v>
      </c>
      <c r="F2257" s="515" t="s">
        <v>3800</v>
      </c>
      <c r="G2257" s="52">
        <v>255326.90993764301</v>
      </c>
      <c r="H2257" s="56">
        <v>4.5697311123357211E-2</v>
      </c>
      <c r="I2257" s="224" t="s">
        <v>2</v>
      </c>
    </row>
    <row r="2258" spans="1:9" x14ac:dyDescent="0.25">
      <c r="A2258" s="515">
        <v>33613</v>
      </c>
      <c r="B2258" s="515" t="s">
        <v>461</v>
      </c>
      <c r="C2258" s="52">
        <v>324585.60153452802</v>
      </c>
      <c r="D2258" s="56">
        <v>0.14747578954314605</v>
      </c>
      <c r="E2258" s="224">
        <v>1812.8333333333301</v>
      </c>
      <c r="F2258" s="515" t="s">
        <v>3801</v>
      </c>
      <c r="G2258" s="52">
        <v>142248.849260766</v>
      </c>
      <c r="H2258" s="56">
        <v>9.3482802891198091E-2</v>
      </c>
      <c r="I2258" s="224">
        <v>795</v>
      </c>
    </row>
    <row r="2259" spans="1:9" x14ac:dyDescent="0.25">
      <c r="A2259" s="515">
        <v>17011</v>
      </c>
      <c r="B2259" s="515" t="s">
        <v>428</v>
      </c>
      <c r="C2259" s="52">
        <v>273330.26723435102</v>
      </c>
      <c r="D2259" s="56">
        <v>9.5541981406874671E-2</v>
      </c>
      <c r="E2259" s="224">
        <v>1407.2916666666599</v>
      </c>
      <c r="F2259" s="515" t="s">
        <v>3802</v>
      </c>
      <c r="G2259" s="52">
        <v>274281.11847918201</v>
      </c>
      <c r="H2259" s="56">
        <v>0.10645848607927369</v>
      </c>
      <c r="I2259" s="224">
        <v>1479.4666666666601</v>
      </c>
    </row>
    <row r="2260" spans="1:9" x14ac:dyDescent="0.25">
      <c r="A2260" s="515">
        <v>92841</v>
      </c>
      <c r="B2260" s="515" t="s">
        <v>375</v>
      </c>
      <c r="C2260" s="52">
        <v>823114.888798606</v>
      </c>
      <c r="D2260" s="56">
        <v>3.1969219478796419E-2</v>
      </c>
      <c r="E2260" s="224">
        <v>2175</v>
      </c>
      <c r="F2260" s="515" t="s">
        <v>3803</v>
      </c>
      <c r="G2260" s="52">
        <v>308516.918362653</v>
      </c>
      <c r="H2260" s="56">
        <v>2.1128557448237256E-2</v>
      </c>
      <c r="I2260" s="224">
        <v>1427.6739926739899</v>
      </c>
    </row>
    <row r="2261" spans="1:9" x14ac:dyDescent="0.25">
      <c r="A2261" s="515">
        <v>92869</v>
      </c>
      <c r="B2261" s="515" t="s">
        <v>375</v>
      </c>
      <c r="C2261" s="52">
        <v>974921.95671310299</v>
      </c>
      <c r="D2261" s="56">
        <v>6.5830276470928067E-2</v>
      </c>
      <c r="E2261" s="224">
        <v>3077.0833333333298</v>
      </c>
      <c r="F2261" s="515" t="s">
        <v>3804</v>
      </c>
      <c r="G2261" s="52">
        <v>764608.58017911902</v>
      </c>
      <c r="H2261" s="56">
        <v>1.8760192396403915E-2</v>
      </c>
      <c r="I2261" s="224">
        <v>2505.3928571428501</v>
      </c>
    </row>
    <row r="2262" spans="1:9" x14ac:dyDescent="0.25">
      <c r="A2262" s="515">
        <v>92595</v>
      </c>
      <c r="B2262" s="515" t="s">
        <v>599</v>
      </c>
      <c r="C2262" s="52">
        <v>592412.26814845798</v>
      </c>
      <c r="D2262" s="56">
        <v>2.4710559414669247E-2</v>
      </c>
      <c r="E2262" s="224">
        <v>2744.1</v>
      </c>
      <c r="F2262" s="515" t="s">
        <v>3805</v>
      </c>
      <c r="G2262" s="52">
        <v>363795.26405228698</v>
      </c>
      <c r="H2262" s="56">
        <v>0</v>
      </c>
      <c r="I2262" s="224" t="s">
        <v>2</v>
      </c>
    </row>
    <row r="2263" spans="1:9" x14ac:dyDescent="0.25">
      <c r="A2263" s="515">
        <v>53590</v>
      </c>
      <c r="B2263" s="515" t="s">
        <v>727</v>
      </c>
      <c r="C2263" s="52">
        <v>364287.22351706598</v>
      </c>
      <c r="D2263" s="56">
        <v>4.7995913207300768E-2</v>
      </c>
      <c r="E2263" s="224">
        <v>1412.7777777777701</v>
      </c>
      <c r="F2263" s="515" t="s">
        <v>3806</v>
      </c>
      <c r="G2263" s="52">
        <v>248192.824124404</v>
      </c>
      <c r="H2263" s="56">
        <v>7.1431998456810267E-2</v>
      </c>
      <c r="I2263" s="224">
        <v>1357.7777777777701</v>
      </c>
    </row>
    <row r="2264" spans="1:9" x14ac:dyDescent="0.25">
      <c r="A2264" s="515">
        <v>70119</v>
      </c>
      <c r="B2264" s="515" t="s">
        <v>777</v>
      </c>
      <c r="C2264" s="52">
        <v>319811.66917993798</v>
      </c>
      <c r="D2264" s="56">
        <v>-1.715180738197921E-2</v>
      </c>
      <c r="E2264" s="224">
        <v>1621.1842105263099</v>
      </c>
      <c r="F2264" s="515" t="s">
        <v>3807</v>
      </c>
      <c r="G2264" s="52">
        <v>701072.69863605103</v>
      </c>
      <c r="H2264" s="56">
        <v>5.8377978698676142E-3</v>
      </c>
      <c r="I2264" s="224">
        <v>3357.1414141414102</v>
      </c>
    </row>
    <row r="2265" spans="1:9" x14ac:dyDescent="0.25">
      <c r="A2265" s="515">
        <v>54901</v>
      </c>
      <c r="B2265" s="515" t="s">
        <v>383</v>
      </c>
      <c r="C2265" s="52">
        <v>177877.607854995</v>
      </c>
      <c r="D2265" s="56">
        <v>0.1351439749900421</v>
      </c>
      <c r="E2265" s="224">
        <v>945.77777777777703</v>
      </c>
      <c r="F2265" s="515" t="s">
        <v>3808</v>
      </c>
      <c r="G2265" s="52">
        <v>215748.06732114201</v>
      </c>
      <c r="H2265" s="56">
        <v>6.773962115938624E-2</v>
      </c>
      <c r="I2265" s="224" t="s">
        <v>2</v>
      </c>
    </row>
    <row r="2266" spans="1:9" x14ac:dyDescent="0.25">
      <c r="A2266" s="515">
        <v>92675</v>
      </c>
      <c r="B2266" s="515" t="s">
        <v>375</v>
      </c>
      <c r="C2266" s="52">
        <v>1075492.01507721</v>
      </c>
      <c r="D2266" s="56">
        <v>9.4854343207056546E-2</v>
      </c>
      <c r="E2266" s="224">
        <v>3601.6666666666601</v>
      </c>
      <c r="F2266" s="515" t="s">
        <v>3809</v>
      </c>
      <c r="G2266" s="52">
        <v>323340.40906370903</v>
      </c>
      <c r="H2266" s="56">
        <v>9.2478149585222158E-2</v>
      </c>
      <c r="I2266" s="224">
        <v>2091.9523809523798</v>
      </c>
    </row>
    <row r="2267" spans="1:9" x14ac:dyDescent="0.25">
      <c r="A2267" s="515">
        <v>51503</v>
      </c>
      <c r="B2267" s="515" t="s">
        <v>367</v>
      </c>
      <c r="C2267" s="52">
        <v>246798.816944794</v>
      </c>
      <c r="D2267" s="56">
        <v>7.8443028722095839E-2</v>
      </c>
      <c r="E2267" s="224" t="s">
        <v>2</v>
      </c>
      <c r="F2267" s="515" t="s">
        <v>3810</v>
      </c>
      <c r="G2267" s="52">
        <v>351065.79760879901</v>
      </c>
      <c r="H2267" s="56">
        <v>0.12686917094571512</v>
      </c>
      <c r="I2267" s="224" t="s">
        <v>2</v>
      </c>
    </row>
    <row r="2268" spans="1:9" x14ac:dyDescent="0.25">
      <c r="A2268" s="515">
        <v>92545</v>
      </c>
      <c r="B2268" s="515" t="s">
        <v>599</v>
      </c>
      <c r="C2268" s="52">
        <v>418727.49334421899</v>
      </c>
      <c r="D2268" s="56">
        <v>5.7058657203256265E-2</v>
      </c>
      <c r="E2268" s="224">
        <v>1938.6507936507901</v>
      </c>
      <c r="F2268" s="515" t="s">
        <v>535</v>
      </c>
      <c r="G2268" s="52">
        <v>110160.671409057</v>
      </c>
      <c r="H2268" s="56">
        <v>0.17762634363438182</v>
      </c>
      <c r="I2268" s="224" t="s">
        <v>2</v>
      </c>
    </row>
    <row r="2269" spans="1:9" x14ac:dyDescent="0.25">
      <c r="A2269" s="515">
        <v>98030</v>
      </c>
      <c r="B2269" s="515" t="s">
        <v>384</v>
      </c>
      <c r="C2269" s="52">
        <v>578927.15307637001</v>
      </c>
      <c r="D2269" s="56">
        <v>3.1544497306435403E-2</v>
      </c>
      <c r="E2269" s="224">
        <v>1953.2371332371299</v>
      </c>
      <c r="F2269" s="515" t="s">
        <v>3811</v>
      </c>
      <c r="G2269" s="52">
        <v>187471.95840272101</v>
      </c>
      <c r="H2269" s="56">
        <v>2.8670927755971801E-2</v>
      </c>
      <c r="I2269" s="224" t="s">
        <v>2</v>
      </c>
    </row>
    <row r="2270" spans="1:9" x14ac:dyDescent="0.25">
      <c r="A2270" s="515">
        <v>94621</v>
      </c>
      <c r="B2270" s="515" t="s">
        <v>593</v>
      </c>
      <c r="C2270" s="52">
        <v>502853.28630733601</v>
      </c>
      <c r="D2270" s="56">
        <v>-5.2034014773218777E-2</v>
      </c>
      <c r="E2270" s="224" t="s">
        <v>2</v>
      </c>
      <c r="F2270" s="515" t="s">
        <v>763</v>
      </c>
      <c r="G2270" s="52">
        <v>101705.29521676499</v>
      </c>
      <c r="H2270" s="56">
        <v>0.12575064995606067</v>
      </c>
      <c r="I2270" s="224" t="s">
        <v>2</v>
      </c>
    </row>
    <row r="2271" spans="1:9" x14ac:dyDescent="0.25">
      <c r="A2271" s="515">
        <v>40229</v>
      </c>
      <c r="B2271" s="515" t="s">
        <v>479</v>
      </c>
      <c r="C2271" s="52">
        <v>211869.273127024</v>
      </c>
      <c r="D2271" s="56">
        <v>6.5077862590818478E-2</v>
      </c>
      <c r="E2271" s="224">
        <v>1437.5</v>
      </c>
      <c r="F2271" s="515" t="s">
        <v>3812</v>
      </c>
      <c r="G2271" s="52">
        <v>1514775.7531564501</v>
      </c>
      <c r="H2271" s="56">
        <v>0.11208226743830461</v>
      </c>
      <c r="I2271" s="224" t="s">
        <v>2</v>
      </c>
    </row>
    <row r="2272" spans="1:9" x14ac:dyDescent="0.25">
      <c r="A2272" s="515">
        <v>80249</v>
      </c>
      <c r="B2272" s="515" t="s">
        <v>401</v>
      </c>
      <c r="C2272" s="52">
        <v>485711.14930646401</v>
      </c>
      <c r="D2272" s="56">
        <v>1.6519950214952853E-2</v>
      </c>
      <c r="E2272" s="224">
        <v>2097.7685185185101</v>
      </c>
      <c r="F2272" s="515" t="s">
        <v>3813</v>
      </c>
      <c r="G2272" s="52">
        <v>272489.46530568902</v>
      </c>
      <c r="H2272" s="56">
        <v>8.8854529691432052E-2</v>
      </c>
      <c r="I2272" s="224">
        <v>1300</v>
      </c>
    </row>
    <row r="2273" spans="1:9" x14ac:dyDescent="0.25">
      <c r="A2273" s="515">
        <v>27217</v>
      </c>
      <c r="B2273" s="515" t="s">
        <v>1186</v>
      </c>
      <c r="C2273" s="52">
        <v>188392.326091956</v>
      </c>
      <c r="D2273" s="56">
        <v>0.18048299004705001</v>
      </c>
      <c r="E2273" s="224">
        <v>1100</v>
      </c>
      <c r="F2273" s="515" t="s">
        <v>3814</v>
      </c>
      <c r="G2273" s="52">
        <v>643189.86487839604</v>
      </c>
      <c r="H2273" s="56">
        <v>0.11530941627240407</v>
      </c>
      <c r="I2273" s="224">
        <v>2080.28782051282</v>
      </c>
    </row>
    <row r="2274" spans="1:9" x14ac:dyDescent="0.25">
      <c r="A2274" s="515">
        <v>60563</v>
      </c>
      <c r="B2274" s="515" t="s">
        <v>394</v>
      </c>
      <c r="C2274" s="52">
        <v>359958.13887421798</v>
      </c>
      <c r="D2274" s="56">
        <v>5.4139504469032727E-2</v>
      </c>
      <c r="E2274" s="224">
        <v>1862.61038961038</v>
      </c>
      <c r="F2274" s="515" t="s">
        <v>3815</v>
      </c>
      <c r="G2274" s="52">
        <v>181664.77527792199</v>
      </c>
      <c r="H2274" s="56">
        <v>8.5232174409938813E-2</v>
      </c>
      <c r="I2274" s="224">
        <v>1303.125</v>
      </c>
    </row>
    <row r="2275" spans="1:9" x14ac:dyDescent="0.25">
      <c r="A2275" s="515">
        <v>29650</v>
      </c>
      <c r="B2275" s="515" t="s">
        <v>613</v>
      </c>
      <c r="C2275" s="52">
        <v>334111.20942149701</v>
      </c>
      <c r="D2275" s="56">
        <v>0.11641959910918516</v>
      </c>
      <c r="E2275" s="224">
        <v>1663.84848484848</v>
      </c>
      <c r="F2275" s="515" t="s">
        <v>3816</v>
      </c>
      <c r="G2275" s="52">
        <v>249496.63643069399</v>
      </c>
      <c r="H2275" s="56">
        <v>5.6939601747033025E-2</v>
      </c>
      <c r="I2275" s="224" t="s">
        <v>2</v>
      </c>
    </row>
    <row r="2276" spans="1:9" x14ac:dyDescent="0.25">
      <c r="A2276" s="515">
        <v>13601</v>
      </c>
      <c r="B2276" s="515" t="s">
        <v>431</v>
      </c>
      <c r="C2276" s="52">
        <v>170416.41354879501</v>
      </c>
      <c r="D2276" s="56">
        <v>8.816551563727329E-2</v>
      </c>
      <c r="E2276" s="224">
        <v>1302.44444444444</v>
      </c>
      <c r="F2276" s="515" t="s">
        <v>895</v>
      </c>
      <c r="G2276" s="52">
        <v>264676.29687102197</v>
      </c>
      <c r="H2276" s="56">
        <v>6.9734406116026007E-2</v>
      </c>
      <c r="I2276" s="224">
        <v>1122.8125</v>
      </c>
    </row>
    <row r="2277" spans="1:9" x14ac:dyDescent="0.25">
      <c r="A2277" s="515">
        <v>49503</v>
      </c>
      <c r="B2277" s="515" t="s">
        <v>631</v>
      </c>
      <c r="C2277" s="52">
        <v>231956.49111939399</v>
      </c>
      <c r="D2277" s="56">
        <v>5.3647529679636874E-2</v>
      </c>
      <c r="E2277" s="224">
        <v>1536.4925213675201</v>
      </c>
      <c r="F2277" s="515" t="s">
        <v>3817</v>
      </c>
      <c r="G2277" s="52">
        <v>315869.51553089998</v>
      </c>
      <c r="H2277" s="56">
        <v>4.030079502118205E-2</v>
      </c>
      <c r="I2277" s="224" t="s">
        <v>2</v>
      </c>
    </row>
    <row r="2278" spans="1:9" x14ac:dyDescent="0.25">
      <c r="A2278" s="515">
        <v>79915</v>
      </c>
      <c r="B2278" s="515" t="s">
        <v>1119</v>
      </c>
      <c r="C2278" s="52">
        <v>141731.99047003401</v>
      </c>
      <c r="D2278" s="56">
        <v>0.11243547680216832</v>
      </c>
      <c r="E2278" s="224" t="s">
        <v>2</v>
      </c>
      <c r="F2278" s="515" t="s">
        <v>3818</v>
      </c>
      <c r="G2278" s="52">
        <v>238860.126591487</v>
      </c>
      <c r="H2278" s="56">
        <v>0</v>
      </c>
      <c r="I2278" s="224" t="s">
        <v>2</v>
      </c>
    </row>
    <row r="2279" spans="1:9" x14ac:dyDescent="0.25">
      <c r="A2279" s="515">
        <v>46217</v>
      </c>
      <c r="B2279" s="515" t="s">
        <v>403</v>
      </c>
      <c r="C2279" s="52">
        <v>243884.46296068199</v>
      </c>
      <c r="D2279" s="56">
        <v>7.9144957426649079E-2</v>
      </c>
      <c r="E2279" s="224">
        <v>1729.3333333333301</v>
      </c>
      <c r="F2279" s="515" t="s">
        <v>3819</v>
      </c>
      <c r="G2279" s="52">
        <v>320361.852372794</v>
      </c>
      <c r="H2279" s="56">
        <v>8.4140313873025327E-2</v>
      </c>
      <c r="I2279" s="224">
        <v>1950</v>
      </c>
    </row>
    <row r="2280" spans="1:9" x14ac:dyDescent="0.25">
      <c r="A2280" s="515">
        <v>29710</v>
      </c>
      <c r="B2280" s="515" t="s">
        <v>360</v>
      </c>
      <c r="C2280" s="52">
        <v>379338.20948453998</v>
      </c>
      <c r="D2280" s="56">
        <v>8.6060718296828528E-2</v>
      </c>
      <c r="E2280" s="224">
        <v>2332.5</v>
      </c>
      <c r="F2280" s="515" t="s">
        <v>3820</v>
      </c>
      <c r="G2280" s="52">
        <v>816007.685750679</v>
      </c>
      <c r="H2280" s="56">
        <v>3.4853766929828778E-2</v>
      </c>
      <c r="I2280" s="224">
        <v>3400</v>
      </c>
    </row>
    <row r="2281" spans="1:9" x14ac:dyDescent="0.25">
      <c r="A2281" s="515">
        <v>98004</v>
      </c>
      <c r="B2281" s="515" t="s">
        <v>384</v>
      </c>
      <c r="C2281" s="52">
        <v>1859065.74258566</v>
      </c>
      <c r="D2281" s="56">
        <v>1.2347857947591445E-2</v>
      </c>
      <c r="E2281" s="224">
        <v>2642.3851547388699</v>
      </c>
      <c r="F2281" s="515" t="s">
        <v>754</v>
      </c>
      <c r="G2281" s="52">
        <v>164961.947563636</v>
      </c>
      <c r="H2281" s="56">
        <v>5.8353827493656404E-2</v>
      </c>
      <c r="I2281" s="224" t="s">
        <v>2</v>
      </c>
    </row>
    <row r="2282" spans="1:9" x14ac:dyDescent="0.25">
      <c r="A2282" s="515">
        <v>85048</v>
      </c>
      <c r="B2282" s="515" t="s">
        <v>563</v>
      </c>
      <c r="C2282" s="52">
        <v>536426.19871825899</v>
      </c>
      <c r="D2282" s="56">
        <v>2.9939169264223277E-2</v>
      </c>
      <c r="E2282" s="224">
        <v>1872.45454545454</v>
      </c>
      <c r="F2282" s="515" t="s">
        <v>3821</v>
      </c>
      <c r="G2282" s="52">
        <v>227862.611647374</v>
      </c>
      <c r="H2282" s="56">
        <v>7.1936640319733028E-2</v>
      </c>
      <c r="I2282" s="224" t="s">
        <v>2</v>
      </c>
    </row>
    <row r="2283" spans="1:9" x14ac:dyDescent="0.25">
      <c r="A2283" s="515">
        <v>60098</v>
      </c>
      <c r="B2283" s="515" t="s">
        <v>394</v>
      </c>
      <c r="C2283" s="52">
        <v>269252.200809573</v>
      </c>
      <c r="D2283" s="56">
        <v>6.4043350845845254E-2</v>
      </c>
      <c r="E2283" s="224" t="s">
        <v>2</v>
      </c>
      <c r="F2283" s="515" t="s">
        <v>920</v>
      </c>
      <c r="G2283" s="52">
        <v>178317.90976652899</v>
      </c>
      <c r="H2283" s="56">
        <v>0.11266730101781701</v>
      </c>
      <c r="I2283" s="224" t="s">
        <v>2</v>
      </c>
    </row>
    <row r="2284" spans="1:9" x14ac:dyDescent="0.25">
      <c r="A2284" s="515">
        <v>48146</v>
      </c>
      <c r="B2284" s="515" t="s">
        <v>685</v>
      </c>
      <c r="C2284" s="52">
        <v>129402.605550402</v>
      </c>
      <c r="D2284" s="56">
        <v>6.0160711165302673E-2</v>
      </c>
      <c r="E2284" s="224">
        <v>1164.38888888888</v>
      </c>
      <c r="F2284" s="515" t="s">
        <v>3822</v>
      </c>
      <c r="G2284" s="52">
        <v>906394.10340253904</v>
      </c>
      <c r="H2284" s="56">
        <v>4.8716482188976673E-2</v>
      </c>
      <c r="I2284" s="224" t="s">
        <v>2</v>
      </c>
    </row>
    <row r="2285" spans="1:9" x14ac:dyDescent="0.25">
      <c r="A2285" s="515">
        <v>23111</v>
      </c>
      <c r="B2285" s="515" t="s">
        <v>667</v>
      </c>
      <c r="C2285" s="52">
        <v>335390.26053691801</v>
      </c>
      <c r="D2285" s="56">
        <v>0.10172486665963806</v>
      </c>
      <c r="E2285" s="224">
        <v>1786.25</v>
      </c>
      <c r="F2285" s="515" t="s">
        <v>3823</v>
      </c>
      <c r="G2285" s="52">
        <v>220995.59450021299</v>
      </c>
      <c r="H2285" s="56">
        <v>1.5293745588691905E-2</v>
      </c>
      <c r="I2285" s="224" t="s">
        <v>2</v>
      </c>
    </row>
    <row r="2286" spans="1:9" x14ac:dyDescent="0.25">
      <c r="A2286" s="515">
        <v>77092</v>
      </c>
      <c r="B2286" s="515" t="s">
        <v>314</v>
      </c>
      <c r="C2286" s="52">
        <v>269980.50623061898</v>
      </c>
      <c r="D2286" s="56">
        <v>0.110083957072243</v>
      </c>
      <c r="E2286" s="224">
        <v>1537.56547619047</v>
      </c>
      <c r="F2286" s="515" t="s">
        <v>3824</v>
      </c>
      <c r="G2286" s="52">
        <v>399492.457376384</v>
      </c>
      <c r="H2286" s="56">
        <v>5.6201157425437728E-2</v>
      </c>
      <c r="I2286" s="224" t="s">
        <v>2</v>
      </c>
    </row>
    <row r="2287" spans="1:9" x14ac:dyDescent="0.25">
      <c r="A2287" s="515">
        <v>26505</v>
      </c>
      <c r="B2287" s="515" t="s">
        <v>643</v>
      </c>
      <c r="C2287" s="52">
        <v>224859.04870986799</v>
      </c>
      <c r="D2287" s="56">
        <v>3.592512747506469E-2</v>
      </c>
      <c r="E2287" s="224">
        <v>1290.7878787878701</v>
      </c>
      <c r="F2287" s="515" t="s">
        <v>3825</v>
      </c>
      <c r="G2287" s="52">
        <v>386394.74834577402</v>
      </c>
      <c r="H2287" s="56">
        <v>7.2104841802621042E-2</v>
      </c>
      <c r="I2287" s="224">
        <v>1606.86666666666</v>
      </c>
    </row>
    <row r="2288" spans="1:9" x14ac:dyDescent="0.25">
      <c r="A2288" s="515">
        <v>98001</v>
      </c>
      <c r="B2288" s="515" t="s">
        <v>384</v>
      </c>
      <c r="C2288" s="52">
        <v>569995.19576092495</v>
      </c>
      <c r="D2288" s="56">
        <v>2.2233683016148791E-2</v>
      </c>
      <c r="E2288" s="224">
        <v>2427.63888888888</v>
      </c>
      <c r="F2288" s="515" t="s">
        <v>3826</v>
      </c>
      <c r="G2288" s="52">
        <v>133046.821409378</v>
      </c>
      <c r="H2288" s="56">
        <v>2.6306252952210646E-2</v>
      </c>
      <c r="I2288" s="224">
        <v>1082.5833333333301</v>
      </c>
    </row>
    <row r="2289" spans="1:9" x14ac:dyDescent="0.25">
      <c r="A2289" s="515">
        <v>59718</v>
      </c>
      <c r="B2289" s="515" t="s">
        <v>561</v>
      </c>
      <c r="C2289" s="52">
        <v>584494.46989244805</v>
      </c>
      <c r="D2289" s="56">
        <v>3.7984803899038272E-2</v>
      </c>
      <c r="E2289" s="224">
        <v>2452.1587301587301</v>
      </c>
      <c r="F2289" s="515" t="s">
        <v>3827</v>
      </c>
      <c r="G2289" s="52">
        <v>318250.54800423101</v>
      </c>
      <c r="H2289" s="56">
        <v>8.3172689649348819E-2</v>
      </c>
      <c r="I2289" s="224">
        <v>1469.5833333333301</v>
      </c>
    </row>
    <row r="2290" spans="1:9" x14ac:dyDescent="0.25">
      <c r="A2290" s="515">
        <v>98059</v>
      </c>
      <c r="B2290" s="515" t="s">
        <v>384</v>
      </c>
      <c r="C2290" s="52">
        <v>846094.968755865</v>
      </c>
      <c r="D2290" s="56">
        <v>3.0649190813219821E-2</v>
      </c>
      <c r="E2290" s="224">
        <v>2689.875</v>
      </c>
      <c r="F2290" s="515" t="s">
        <v>3828</v>
      </c>
      <c r="G2290" s="52">
        <v>277978.863306135</v>
      </c>
      <c r="H2290" s="56">
        <v>4.5910620732576637E-2</v>
      </c>
      <c r="I2290" s="224">
        <v>2040.5833333333301</v>
      </c>
    </row>
    <row r="2291" spans="1:9" x14ac:dyDescent="0.25">
      <c r="A2291" s="515">
        <v>21244</v>
      </c>
      <c r="B2291" s="515" t="s">
        <v>582</v>
      </c>
      <c r="C2291" s="52">
        <v>274088.536097351</v>
      </c>
      <c r="D2291" s="56">
        <v>4.7399031368424924E-2</v>
      </c>
      <c r="E2291" s="224">
        <v>1491.4222222222199</v>
      </c>
      <c r="F2291" s="515" t="s">
        <v>3829</v>
      </c>
      <c r="G2291" s="52">
        <v>528152.23535106005</v>
      </c>
      <c r="H2291" s="56">
        <v>2.5457244084195137E-2</v>
      </c>
      <c r="I2291" s="224" t="s">
        <v>2</v>
      </c>
    </row>
    <row r="2292" spans="1:9" x14ac:dyDescent="0.25">
      <c r="A2292" s="515">
        <v>59715</v>
      </c>
      <c r="B2292" s="515" t="s">
        <v>561</v>
      </c>
      <c r="C2292" s="52">
        <v>746944.27298951102</v>
      </c>
      <c r="D2292" s="56">
        <v>4.4720852826141182E-2</v>
      </c>
      <c r="E2292" s="224">
        <v>2333.3333333333298</v>
      </c>
      <c r="F2292" s="515" t="s">
        <v>3830</v>
      </c>
      <c r="G2292" s="52">
        <v>220392.38429816399</v>
      </c>
      <c r="H2292" s="56">
        <v>0.16626855302465088</v>
      </c>
      <c r="I2292" s="224" t="s">
        <v>2</v>
      </c>
    </row>
    <row r="2293" spans="1:9" x14ac:dyDescent="0.25">
      <c r="A2293" s="515">
        <v>40291</v>
      </c>
      <c r="B2293" s="515" t="s">
        <v>479</v>
      </c>
      <c r="C2293" s="52">
        <v>268745.41264436097</v>
      </c>
      <c r="D2293" s="56">
        <v>5.3868562975077777E-2</v>
      </c>
      <c r="E2293" s="224">
        <v>1201.1481481481401</v>
      </c>
      <c r="F2293" s="515" t="s">
        <v>3831</v>
      </c>
      <c r="G2293" s="52">
        <v>413992.04842528101</v>
      </c>
      <c r="H2293" s="56">
        <v>7.2965702689454182E-2</v>
      </c>
      <c r="I2293" s="224" t="s">
        <v>2</v>
      </c>
    </row>
    <row r="2294" spans="1:9" x14ac:dyDescent="0.25">
      <c r="A2294" s="515">
        <v>93612</v>
      </c>
      <c r="B2294" s="515" t="s">
        <v>541</v>
      </c>
      <c r="C2294" s="52">
        <v>343403.64679409203</v>
      </c>
      <c r="D2294" s="56">
        <v>5.229704154036572E-2</v>
      </c>
      <c r="E2294" s="224">
        <v>1590.0793650793601</v>
      </c>
      <c r="F2294" s="515" t="s">
        <v>3832</v>
      </c>
      <c r="G2294" s="52">
        <v>2066423.7920826499</v>
      </c>
      <c r="H2294" s="56">
        <v>4.132280820944266E-2</v>
      </c>
      <c r="I2294" s="224">
        <v>2497.3388888888799</v>
      </c>
    </row>
    <row r="2295" spans="1:9" x14ac:dyDescent="0.25">
      <c r="A2295" s="515">
        <v>21784</v>
      </c>
      <c r="B2295" s="515" t="s">
        <v>582</v>
      </c>
      <c r="C2295" s="52">
        <v>490173.73236190598</v>
      </c>
      <c r="D2295" s="56">
        <v>4.5122977297524403E-2</v>
      </c>
      <c r="E2295" s="224">
        <v>1769.1111111111099</v>
      </c>
      <c r="F2295" s="515" t="s">
        <v>3833</v>
      </c>
      <c r="G2295" s="52">
        <v>271391.25651639502</v>
      </c>
      <c r="H2295" s="56">
        <v>0.14413771116341179</v>
      </c>
      <c r="I2295" s="224">
        <v>1737.2222222222199</v>
      </c>
    </row>
    <row r="2296" spans="1:9" x14ac:dyDescent="0.25">
      <c r="A2296" s="515">
        <v>91205</v>
      </c>
      <c r="B2296" s="515" t="s">
        <v>375</v>
      </c>
      <c r="C2296" s="52">
        <v>821442.76041976199</v>
      </c>
      <c r="D2296" s="56">
        <v>2.4352747573869502E-2</v>
      </c>
      <c r="E2296" s="224">
        <v>2419.1204545454498</v>
      </c>
      <c r="F2296" s="515" t="s">
        <v>3834</v>
      </c>
      <c r="G2296" s="52">
        <v>873724.07559597399</v>
      </c>
      <c r="H2296" s="56">
        <v>5.2319288769469063E-2</v>
      </c>
      <c r="I2296" s="224">
        <v>3083.3333333333298</v>
      </c>
    </row>
    <row r="2297" spans="1:9" x14ac:dyDescent="0.25">
      <c r="A2297" s="515">
        <v>20152</v>
      </c>
      <c r="B2297" s="515" t="s">
        <v>321</v>
      </c>
      <c r="C2297" s="52">
        <v>736071.13700908097</v>
      </c>
      <c r="D2297" s="56">
        <v>2.3872381075467571E-2</v>
      </c>
      <c r="E2297" s="224">
        <v>2750</v>
      </c>
      <c r="F2297" s="515" t="s">
        <v>3835</v>
      </c>
      <c r="G2297" s="52">
        <v>439911.72884558502</v>
      </c>
      <c r="H2297" s="56">
        <v>0.1106504175730995</v>
      </c>
      <c r="I2297" s="224" t="s">
        <v>2</v>
      </c>
    </row>
    <row r="2298" spans="1:9" x14ac:dyDescent="0.25">
      <c r="A2298" s="515">
        <v>32506</v>
      </c>
      <c r="B2298" s="515" t="s">
        <v>1131</v>
      </c>
      <c r="C2298" s="52">
        <v>223813.75668656401</v>
      </c>
      <c r="D2298" s="56">
        <v>0.1125792501685436</v>
      </c>
      <c r="E2298" s="224">
        <v>1497.63703703703</v>
      </c>
      <c r="F2298" s="515" t="s">
        <v>1144</v>
      </c>
      <c r="G2298" s="52">
        <v>151992.47077191199</v>
      </c>
      <c r="H2298" s="56">
        <v>8.6294354977406701E-2</v>
      </c>
      <c r="I2298" s="224" t="s">
        <v>2</v>
      </c>
    </row>
    <row r="2299" spans="1:9" x14ac:dyDescent="0.25">
      <c r="A2299" s="515">
        <v>87108</v>
      </c>
      <c r="B2299" s="515" t="s">
        <v>406</v>
      </c>
      <c r="C2299" s="52">
        <v>251856.39094306499</v>
      </c>
      <c r="D2299" s="56">
        <v>9.952691771289085E-2</v>
      </c>
      <c r="E2299" s="224">
        <v>941.34656084656001</v>
      </c>
      <c r="F2299" s="515" t="s">
        <v>3836</v>
      </c>
      <c r="G2299" s="52">
        <v>546361.35637082497</v>
      </c>
      <c r="H2299" s="56">
        <v>1.2448971519471153E-2</v>
      </c>
      <c r="I2299" s="224">
        <v>1778.38461538461</v>
      </c>
    </row>
    <row r="2300" spans="1:9" x14ac:dyDescent="0.25">
      <c r="A2300" s="515">
        <v>76227</v>
      </c>
      <c r="B2300" s="515" t="s">
        <v>458</v>
      </c>
      <c r="C2300" s="52">
        <v>386959.66969810601</v>
      </c>
      <c r="D2300" s="56">
        <v>6.9342174613536922E-2</v>
      </c>
      <c r="E2300" s="224">
        <v>2065.8634992458501</v>
      </c>
      <c r="F2300" s="515" t="s">
        <v>3837</v>
      </c>
      <c r="G2300" s="52">
        <v>350509.28481219697</v>
      </c>
      <c r="H2300" s="56">
        <v>4.3538650691764505E-2</v>
      </c>
      <c r="I2300" s="224">
        <v>1815.4166666666599</v>
      </c>
    </row>
    <row r="2301" spans="1:9" x14ac:dyDescent="0.25">
      <c r="A2301" s="515">
        <v>29456</v>
      </c>
      <c r="B2301" s="515" t="s">
        <v>1009</v>
      </c>
      <c r="C2301" s="52">
        <v>293003.797490408</v>
      </c>
      <c r="D2301" s="56">
        <v>8.9998681070809952E-2</v>
      </c>
      <c r="E2301" s="224">
        <v>1656.4166666666599</v>
      </c>
      <c r="F2301" s="515" t="s">
        <v>761</v>
      </c>
      <c r="G2301" s="52">
        <v>167871.708114131</v>
      </c>
      <c r="H2301" s="56">
        <v>0.14581349270948737</v>
      </c>
      <c r="I2301" s="224" t="s">
        <v>2</v>
      </c>
    </row>
    <row r="2302" spans="1:9" x14ac:dyDescent="0.25">
      <c r="A2302" s="515">
        <v>54313</v>
      </c>
      <c r="B2302" s="515" t="s">
        <v>897</v>
      </c>
      <c r="C2302" s="52">
        <v>317075.40190031601</v>
      </c>
      <c r="D2302" s="56">
        <v>6.3530226308008197E-2</v>
      </c>
      <c r="E2302" s="224" t="s">
        <v>2</v>
      </c>
      <c r="F2302" s="515" t="s">
        <v>3838</v>
      </c>
      <c r="G2302" s="52">
        <v>138128.759500969</v>
      </c>
      <c r="H2302" s="56">
        <v>5.9069519230336757E-2</v>
      </c>
      <c r="I2302" s="224" t="s">
        <v>2</v>
      </c>
    </row>
    <row r="2303" spans="1:9" x14ac:dyDescent="0.25">
      <c r="A2303" s="515">
        <v>98604</v>
      </c>
      <c r="B2303" s="515" t="s">
        <v>659</v>
      </c>
      <c r="C2303" s="52">
        <v>555322.58946019399</v>
      </c>
      <c r="D2303" s="56">
        <v>5.2279533990528752E-2</v>
      </c>
      <c r="E2303" s="224">
        <v>1683</v>
      </c>
      <c r="F2303" s="515" t="s">
        <v>3839</v>
      </c>
      <c r="G2303" s="52">
        <v>346287.90619172202</v>
      </c>
      <c r="H2303" s="56">
        <v>8.8045577084993276E-2</v>
      </c>
      <c r="I2303" s="224" t="s">
        <v>2</v>
      </c>
    </row>
    <row r="2304" spans="1:9" x14ac:dyDescent="0.25">
      <c r="A2304" s="515">
        <v>89128</v>
      </c>
      <c r="B2304" s="515" t="s">
        <v>323</v>
      </c>
      <c r="C2304" s="52">
        <v>361858.50465012802</v>
      </c>
      <c r="D2304" s="56">
        <v>4.0567576057134971E-2</v>
      </c>
      <c r="E2304" s="224">
        <v>1749.4667519181501</v>
      </c>
      <c r="F2304" s="515" t="s">
        <v>3840</v>
      </c>
      <c r="G2304" s="52">
        <v>645895.198028896</v>
      </c>
      <c r="H2304" s="56">
        <v>3.6240877520613689E-2</v>
      </c>
      <c r="I2304" s="224">
        <v>1382.1111111111099</v>
      </c>
    </row>
    <row r="2305" spans="1:9" x14ac:dyDescent="0.25">
      <c r="A2305" s="515">
        <v>34232</v>
      </c>
      <c r="B2305" s="515" t="s">
        <v>466</v>
      </c>
      <c r="C2305" s="52">
        <v>385775.33945217298</v>
      </c>
      <c r="D2305" s="56">
        <v>0.14220621404035375</v>
      </c>
      <c r="E2305" s="224">
        <v>2459.62777777777</v>
      </c>
      <c r="F2305" s="515" t="s">
        <v>598</v>
      </c>
      <c r="G2305" s="52">
        <v>133469.781904056</v>
      </c>
      <c r="H2305" s="56">
        <v>0.13209652548166795</v>
      </c>
      <c r="I2305" s="224" t="s">
        <v>2</v>
      </c>
    </row>
    <row r="2306" spans="1:9" x14ac:dyDescent="0.25">
      <c r="A2306" s="515">
        <v>19083</v>
      </c>
      <c r="B2306" s="515" t="s">
        <v>294</v>
      </c>
      <c r="C2306" s="52">
        <v>429576.64105800301</v>
      </c>
      <c r="D2306" s="56">
        <v>6.1164699063212827E-2</v>
      </c>
      <c r="E2306" s="224">
        <v>1317.25</v>
      </c>
      <c r="F2306" s="515" t="s">
        <v>3841</v>
      </c>
      <c r="G2306" s="52">
        <v>197044.66768321901</v>
      </c>
      <c r="H2306" s="56">
        <v>5.7952026276589089E-2</v>
      </c>
      <c r="I2306" s="224" t="s">
        <v>2</v>
      </c>
    </row>
    <row r="2307" spans="1:9" x14ac:dyDescent="0.25">
      <c r="A2307" s="515">
        <v>91340</v>
      </c>
      <c r="B2307" s="515" t="s">
        <v>375</v>
      </c>
      <c r="C2307" s="52">
        <v>645868.28514616401</v>
      </c>
      <c r="D2307" s="56">
        <v>6.1877107442156132E-2</v>
      </c>
      <c r="E2307" s="224" t="s">
        <v>2</v>
      </c>
      <c r="F2307" s="515" t="s">
        <v>3842</v>
      </c>
      <c r="G2307" s="52">
        <v>497822.78245616902</v>
      </c>
      <c r="H2307" s="56">
        <v>0.10646537828423278</v>
      </c>
      <c r="I2307" s="224" t="s">
        <v>2</v>
      </c>
    </row>
    <row r="2308" spans="1:9" x14ac:dyDescent="0.25">
      <c r="A2308" s="515">
        <v>60137</v>
      </c>
      <c r="B2308" s="515" t="s">
        <v>394</v>
      </c>
      <c r="C2308" s="52">
        <v>431567.29042011901</v>
      </c>
      <c r="D2308" s="56">
        <v>6.9944861217059437E-2</v>
      </c>
      <c r="E2308" s="224" t="s">
        <v>2</v>
      </c>
      <c r="F2308" s="515" t="s">
        <v>3843</v>
      </c>
      <c r="G2308" s="52">
        <v>122103.290892766</v>
      </c>
      <c r="H2308" s="56">
        <v>0.20046035811881441</v>
      </c>
      <c r="I2308" s="224" t="s">
        <v>2</v>
      </c>
    </row>
    <row r="2309" spans="1:9" x14ac:dyDescent="0.25">
      <c r="A2309" s="515">
        <v>30223</v>
      </c>
      <c r="B2309" s="515" t="s">
        <v>957</v>
      </c>
      <c r="C2309" s="52">
        <v>179141.26656307501</v>
      </c>
      <c r="D2309" s="56">
        <v>0.15415944002346488</v>
      </c>
      <c r="E2309" s="224">
        <v>1222.80555555555</v>
      </c>
      <c r="F2309" s="515" t="s">
        <v>3844</v>
      </c>
      <c r="G2309" s="52">
        <v>122090.86527542</v>
      </c>
      <c r="H2309" s="56">
        <v>0.10549784096451831</v>
      </c>
      <c r="I2309" s="224" t="s">
        <v>2</v>
      </c>
    </row>
    <row r="2310" spans="1:9" x14ac:dyDescent="0.25">
      <c r="A2310" s="515">
        <v>35401</v>
      </c>
      <c r="B2310" s="515" t="s">
        <v>841</v>
      </c>
      <c r="C2310" s="52">
        <v>141073.149749784</v>
      </c>
      <c r="D2310" s="56">
        <v>0.13980168098192669</v>
      </c>
      <c r="E2310" s="224">
        <v>1385.2083333333301</v>
      </c>
      <c r="F2310" s="515" t="s">
        <v>3845</v>
      </c>
      <c r="G2310" s="52">
        <v>358429.07552251301</v>
      </c>
      <c r="H2310" s="56">
        <v>9.3911117449619747E-2</v>
      </c>
      <c r="I2310" s="224">
        <v>1462.5</v>
      </c>
    </row>
    <row r="2311" spans="1:9" x14ac:dyDescent="0.25">
      <c r="A2311" s="515">
        <v>94124</v>
      </c>
      <c r="B2311" s="515" t="s">
        <v>593</v>
      </c>
      <c r="C2311" s="52">
        <v>892013.09337938298</v>
      </c>
      <c r="D2311" s="56">
        <v>-0.10082962937678019</v>
      </c>
      <c r="E2311" s="224">
        <v>4041.9166666666601</v>
      </c>
      <c r="F2311" s="515" t="s">
        <v>3846</v>
      </c>
      <c r="G2311" s="52">
        <v>715920.92700770102</v>
      </c>
      <c r="H2311" s="56">
        <v>1.5233152065402794E-2</v>
      </c>
      <c r="I2311" s="224" t="s">
        <v>2</v>
      </c>
    </row>
    <row r="2312" spans="1:9" x14ac:dyDescent="0.25">
      <c r="A2312" s="515">
        <v>70458</v>
      </c>
      <c r="B2312" s="515" t="s">
        <v>777</v>
      </c>
      <c r="C2312" s="52">
        <v>223593.38767362901</v>
      </c>
      <c r="D2312" s="56">
        <v>2.7021359053853534E-2</v>
      </c>
      <c r="E2312" s="224">
        <v>1545.62777777777</v>
      </c>
      <c r="F2312" s="515" t="s">
        <v>3847</v>
      </c>
      <c r="G2312" s="52">
        <v>373106.34857052501</v>
      </c>
      <c r="H2312" s="56">
        <v>8.5372406684638316E-2</v>
      </c>
      <c r="I2312" s="224">
        <v>1911.38888888888</v>
      </c>
    </row>
    <row r="2313" spans="1:9" x14ac:dyDescent="0.25">
      <c r="A2313" s="515">
        <v>53188</v>
      </c>
      <c r="B2313" s="515" t="s">
        <v>950</v>
      </c>
      <c r="C2313" s="52">
        <v>327989.469601102</v>
      </c>
      <c r="D2313" s="56">
        <v>5.4688799775828016E-2</v>
      </c>
      <c r="E2313" s="224">
        <v>1330</v>
      </c>
      <c r="F2313" s="515" t="s">
        <v>571</v>
      </c>
      <c r="G2313" s="52">
        <v>394269.244484469</v>
      </c>
      <c r="H2313" s="56">
        <v>1.6174791076341913E-2</v>
      </c>
      <c r="I2313" s="224">
        <v>1494.1666666666599</v>
      </c>
    </row>
    <row r="2314" spans="1:9" x14ac:dyDescent="0.25">
      <c r="A2314" s="515">
        <v>61820</v>
      </c>
      <c r="B2314" s="515" t="s">
        <v>417</v>
      </c>
      <c r="C2314" s="52">
        <v>147713.275397438</v>
      </c>
      <c r="D2314" s="56">
        <v>5.1753174557141464E-2</v>
      </c>
      <c r="E2314" s="224">
        <v>903.16507936507901</v>
      </c>
      <c r="F2314" s="515" t="s">
        <v>3848</v>
      </c>
      <c r="G2314" s="52">
        <v>237998.04885871199</v>
      </c>
      <c r="H2314" s="56">
        <v>9.3767733944214837E-2</v>
      </c>
      <c r="I2314" s="224">
        <v>1387.3999999999901</v>
      </c>
    </row>
    <row r="2315" spans="1:9" x14ac:dyDescent="0.25">
      <c r="A2315" s="515">
        <v>75501</v>
      </c>
      <c r="B2315" s="515" t="s">
        <v>390</v>
      </c>
      <c r="C2315" s="52">
        <v>121574.64903169499</v>
      </c>
      <c r="D2315" s="56">
        <v>4.4704437506131067E-2</v>
      </c>
      <c r="E2315" s="224" t="s">
        <v>2</v>
      </c>
      <c r="F2315" s="515" t="s">
        <v>3849</v>
      </c>
      <c r="G2315" s="52">
        <v>592060.97650394996</v>
      </c>
      <c r="H2315" s="56">
        <v>8.4473476328095418E-2</v>
      </c>
      <c r="I2315" s="224" t="s">
        <v>2</v>
      </c>
    </row>
    <row r="2316" spans="1:9" x14ac:dyDescent="0.25">
      <c r="A2316" s="515">
        <v>11105</v>
      </c>
      <c r="B2316" s="515" t="s">
        <v>324</v>
      </c>
      <c r="C2316" s="52">
        <v>948675.81327588798</v>
      </c>
      <c r="D2316" s="56">
        <v>1.5837786661387104E-2</v>
      </c>
      <c r="E2316" s="224">
        <v>2404.01322751322</v>
      </c>
      <c r="F2316" s="515" t="s">
        <v>958</v>
      </c>
      <c r="G2316" s="52">
        <v>156539.540521321</v>
      </c>
      <c r="H2316" s="56">
        <v>7.0490735195871831E-2</v>
      </c>
      <c r="I2316" s="224" t="s">
        <v>2</v>
      </c>
    </row>
    <row r="2317" spans="1:9" x14ac:dyDescent="0.25">
      <c r="A2317" s="515">
        <v>18966</v>
      </c>
      <c r="B2317" s="515" t="s">
        <v>294</v>
      </c>
      <c r="C2317" s="52">
        <v>462347.908865495</v>
      </c>
      <c r="D2317" s="56">
        <v>6.5890854536045151E-2</v>
      </c>
      <c r="E2317" s="224" t="s">
        <v>2</v>
      </c>
      <c r="F2317" s="515" t="s">
        <v>506</v>
      </c>
      <c r="G2317" s="52">
        <v>320967.85762991902</v>
      </c>
      <c r="H2317" s="56">
        <v>3.5479630483934314E-2</v>
      </c>
      <c r="I2317" s="224" t="s">
        <v>2</v>
      </c>
    </row>
    <row r="2318" spans="1:9" x14ac:dyDescent="0.25">
      <c r="A2318" s="515">
        <v>18015</v>
      </c>
      <c r="B2318" s="515" t="s">
        <v>327</v>
      </c>
      <c r="C2318" s="52">
        <v>228281.823044652</v>
      </c>
      <c r="D2318" s="56">
        <v>0.10222718143071058</v>
      </c>
      <c r="E2318" s="224">
        <v>1545.19444444444</v>
      </c>
      <c r="F2318" s="515" t="s">
        <v>3850</v>
      </c>
      <c r="G2318" s="52">
        <v>307872.88531226898</v>
      </c>
      <c r="H2318" s="56">
        <v>8.4582043930636869E-2</v>
      </c>
      <c r="I2318" s="224" t="s">
        <v>2</v>
      </c>
    </row>
    <row r="2319" spans="1:9" x14ac:dyDescent="0.25">
      <c r="A2319" s="515">
        <v>92649</v>
      </c>
      <c r="B2319" s="515" t="s">
        <v>375</v>
      </c>
      <c r="C2319" s="52">
        <v>1161392.8086049799</v>
      </c>
      <c r="D2319" s="56">
        <v>6.2565472821137183E-2</v>
      </c>
      <c r="E2319" s="224">
        <v>3392.2083333333298</v>
      </c>
      <c r="F2319" s="515" t="s">
        <v>3851</v>
      </c>
      <c r="G2319" s="52">
        <v>318439.522378169</v>
      </c>
      <c r="H2319" s="56">
        <v>9.4794051663148873E-2</v>
      </c>
      <c r="I2319" s="224">
        <v>1962.5</v>
      </c>
    </row>
    <row r="2320" spans="1:9" x14ac:dyDescent="0.25">
      <c r="A2320" s="515">
        <v>31909</v>
      </c>
      <c r="B2320" s="515" t="s">
        <v>778</v>
      </c>
      <c r="C2320" s="52">
        <v>201100.914514567</v>
      </c>
      <c r="D2320" s="56">
        <v>9.3074467388506388E-2</v>
      </c>
      <c r="E2320" s="224">
        <v>1175</v>
      </c>
      <c r="F2320" s="515" t="s">
        <v>3852</v>
      </c>
      <c r="G2320" s="52">
        <v>290615.12033487402</v>
      </c>
      <c r="H2320" s="56">
        <v>7.9563031302038734E-2</v>
      </c>
      <c r="I2320" s="224" t="s">
        <v>2</v>
      </c>
    </row>
    <row r="2321" spans="1:9" x14ac:dyDescent="0.25">
      <c r="A2321" s="515">
        <v>80521</v>
      </c>
      <c r="B2321" s="515" t="s">
        <v>738</v>
      </c>
      <c r="C2321" s="52">
        <v>492872.31868881802</v>
      </c>
      <c r="D2321" s="56">
        <v>4.1656029425812993E-2</v>
      </c>
      <c r="E2321" s="224">
        <v>1863.3333333333301</v>
      </c>
      <c r="F2321" s="515" t="s">
        <v>648</v>
      </c>
      <c r="G2321" s="52">
        <v>385508.77004597703</v>
      </c>
      <c r="H2321" s="56">
        <v>7.0095162915108131E-2</v>
      </c>
      <c r="I2321" s="224" t="s">
        <v>2</v>
      </c>
    </row>
    <row r="2322" spans="1:9" x14ac:dyDescent="0.25">
      <c r="A2322" s="515">
        <v>71360</v>
      </c>
      <c r="B2322" s="515" t="s">
        <v>968</v>
      </c>
      <c r="C2322" s="52">
        <v>172030.153102026</v>
      </c>
      <c r="D2322" s="56">
        <v>3.2287306607408611E-2</v>
      </c>
      <c r="E2322" s="224" t="s">
        <v>2</v>
      </c>
      <c r="F2322" s="515" t="s">
        <v>3853</v>
      </c>
      <c r="G2322" s="52">
        <v>304586.40415174997</v>
      </c>
      <c r="H2322" s="56">
        <v>8.7276108803811564E-2</v>
      </c>
      <c r="I2322" s="224">
        <v>2300</v>
      </c>
    </row>
    <row r="2323" spans="1:9" x14ac:dyDescent="0.25">
      <c r="A2323" s="515">
        <v>84606</v>
      </c>
      <c r="B2323" s="515" t="s">
        <v>726</v>
      </c>
      <c r="C2323" s="52">
        <v>404736.25249848998</v>
      </c>
      <c r="D2323" s="56">
        <v>3.0365917312248698E-2</v>
      </c>
      <c r="E2323" s="224">
        <v>1205.9722222222199</v>
      </c>
      <c r="F2323" s="515" t="s">
        <v>627</v>
      </c>
      <c r="G2323" s="52">
        <v>153417.54349964301</v>
      </c>
      <c r="H2323" s="56">
        <v>9.9614591646404363E-2</v>
      </c>
      <c r="I2323" s="224" t="s">
        <v>2</v>
      </c>
    </row>
    <row r="2324" spans="1:9" x14ac:dyDescent="0.25">
      <c r="A2324" s="515">
        <v>19135</v>
      </c>
      <c r="B2324" s="515" t="s">
        <v>294</v>
      </c>
      <c r="C2324" s="52">
        <v>188623.529070202</v>
      </c>
      <c r="D2324" s="56">
        <v>3.664253687524751E-2</v>
      </c>
      <c r="E2324" s="224">
        <v>1284.37777777777</v>
      </c>
      <c r="F2324" s="515" t="s">
        <v>3854</v>
      </c>
      <c r="G2324" s="52">
        <v>777002.77991661802</v>
      </c>
      <c r="H2324" s="56">
        <v>1.9410270874889536E-2</v>
      </c>
      <c r="I2324" s="224">
        <v>2633.77171717171</v>
      </c>
    </row>
    <row r="2325" spans="1:9" x14ac:dyDescent="0.25">
      <c r="A2325" s="515">
        <v>91752</v>
      </c>
      <c r="B2325" s="515" t="s">
        <v>599</v>
      </c>
      <c r="C2325" s="52">
        <v>722790.31990224705</v>
      </c>
      <c r="D2325" s="56">
        <v>6.8139514903832965E-2</v>
      </c>
      <c r="E2325" s="224">
        <v>3003.8444444444399</v>
      </c>
      <c r="F2325" s="515" t="s">
        <v>3855</v>
      </c>
      <c r="G2325" s="52">
        <v>263656.61990055401</v>
      </c>
      <c r="H2325" s="56">
        <v>5.5687603185967681E-2</v>
      </c>
      <c r="I2325" s="224">
        <v>1526</v>
      </c>
    </row>
    <row r="2326" spans="1:9" x14ac:dyDescent="0.25">
      <c r="A2326" s="515">
        <v>10010</v>
      </c>
      <c r="B2326" s="515" t="s">
        <v>324</v>
      </c>
      <c r="C2326" s="52">
        <v>1338471.66370185</v>
      </c>
      <c r="D2326" s="56">
        <v>8.7024270564035854E-3</v>
      </c>
      <c r="E2326" s="224">
        <v>4629.5684177825697</v>
      </c>
      <c r="F2326" s="515" t="s">
        <v>1240</v>
      </c>
      <c r="G2326" s="52">
        <v>172253.23946163899</v>
      </c>
      <c r="H2326" s="56">
        <v>5.2076454578379061E-2</v>
      </c>
      <c r="I2326" s="224" t="s">
        <v>2</v>
      </c>
    </row>
    <row r="2327" spans="1:9" x14ac:dyDescent="0.25">
      <c r="A2327" s="515">
        <v>76123</v>
      </c>
      <c r="B2327" s="515" t="s">
        <v>458</v>
      </c>
      <c r="C2327" s="52">
        <v>315323.30232909299</v>
      </c>
      <c r="D2327" s="56">
        <v>6.9093585232097035E-2</v>
      </c>
      <c r="E2327" s="224">
        <v>2050.9234006734</v>
      </c>
      <c r="F2327" s="515" t="s">
        <v>3856</v>
      </c>
      <c r="G2327" s="52">
        <v>395905.06953306502</v>
      </c>
      <c r="H2327" s="56">
        <v>1.2937503717346494E-2</v>
      </c>
      <c r="I2327" s="224" t="s">
        <v>2</v>
      </c>
    </row>
    <row r="2328" spans="1:9" x14ac:dyDescent="0.25">
      <c r="A2328" s="515">
        <v>36301</v>
      </c>
      <c r="B2328" s="515" t="s">
        <v>816</v>
      </c>
      <c r="C2328" s="52">
        <v>149308.55616025301</v>
      </c>
      <c r="D2328" s="56">
        <v>8.94028015005493E-2</v>
      </c>
      <c r="E2328" s="224" t="s">
        <v>2</v>
      </c>
      <c r="F2328" s="515" t="s">
        <v>3857</v>
      </c>
      <c r="G2328" s="52">
        <v>1259450.14071382</v>
      </c>
      <c r="H2328" s="56">
        <v>3.9315211788147363E-2</v>
      </c>
      <c r="I2328" s="224">
        <v>2863</v>
      </c>
    </row>
    <row r="2329" spans="1:9" x14ac:dyDescent="0.25">
      <c r="A2329" s="515">
        <v>77339</v>
      </c>
      <c r="B2329" s="515" t="s">
        <v>314</v>
      </c>
      <c r="C2329" s="52">
        <v>286837.18479341897</v>
      </c>
      <c r="D2329" s="56">
        <v>9.1623466136318429E-2</v>
      </c>
      <c r="E2329" s="224">
        <v>1554.7229575163301</v>
      </c>
      <c r="F2329" s="515" t="s">
        <v>3858</v>
      </c>
      <c r="G2329" s="52">
        <v>120329.645608491</v>
      </c>
      <c r="H2329" s="56">
        <v>-6.2786322469192361E-3</v>
      </c>
      <c r="I2329" s="224" t="s">
        <v>2</v>
      </c>
    </row>
    <row r="2330" spans="1:9" x14ac:dyDescent="0.25">
      <c r="A2330" s="515">
        <v>3103</v>
      </c>
      <c r="B2330" s="515" t="s">
        <v>996</v>
      </c>
      <c r="C2330" s="52">
        <v>343417.85118740599</v>
      </c>
      <c r="D2330" s="56">
        <v>8.9260957084086365E-2</v>
      </c>
      <c r="E2330" s="224">
        <v>1595</v>
      </c>
      <c r="F2330" s="515" t="s">
        <v>3859</v>
      </c>
      <c r="G2330" s="52">
        <v>417474.29913609498</v>
      </c>
      <c r="H2330" s="56">
        <v>8.6701793578165209E-2</v>
      </c>
      <c r="I2330" s="224">
        <v>2002.4953427425701</v>
      </c>
    </row>
    <row r="2331" spans="1:9" x14ac:dyDescent="0.25">
      <c r="A2331" s="515">
        <v>77535</v>
      </c>
      <c r="B2331" s="515" t="s">
        <v>314</v>
      </c>
      <c r="C2331" s="52">
        <v>278431.68583544903</v>
      </c>
      <c r="D2331" s="56">
        <v>5.6265570058566354E-2</v>
      </c>
      <c r="E2331" s="224" t="s">
        <v>2</v>
      </c>
      <c r="F2331" s="515" t="s">
        <v>3860</v>
      </c>
      <c r="G2331" s="52">
        <v>268506.23060495697</v>
      </c>
      <c r="H2331" s="56">
        <v>4.1008219967806687E-2</v>
      </c>
      <c r="I2331" s="224">
        <v>1279.7222222222199</v>
      </c>
    </row>
    <row r="2332" spans="1:9" x14ac:dyDescent="0.25">
      <c r="A2332" s="515">
        <v>77377</v>
      </c>
      <c r="B2332" s="515" t="s">
        <v>314</v>
      </c>
      <c r="C2332" s="52">
        <v>389003.35870513</v>
      </c>
      <c r="D2332" s="56">
        <v>8.9701932847826404E-2</v>
      </c>
      <c r="E2332" s="224">
        <v>1755.9623015873001</v>
      </c>
      <c r="F2332" s="515" t="s">
        <v>3861</v>
      </c>
      <c r="G2332" s="52">
        <v>114689.970127454</v>
      </c>
      <c r="H2332" s="56">
        <v>6.1643444734108634E-2</v>
      </c>
      <c r="I2332" s="224" t="s">
        <v>2</v>
      </c>
    </row>
    <row r="2333" spans="1:9" x14ac:dyDescent="0.25">
      <c r="A2333" s="515">
        <v>46220</v>
      </c>
      <c r="B2333" s="515" t="s">
        <v>403</v>
      </c>
      <c r="C2333" s="52">
        <v>314493.98583632498</v>
      </c>
      <c r="D2333" s="56">
        <v>4.3419699333869549E-2</v>
      </c>
      <c r="E2333" s="224">
        <v>1445.6986531986499</v>
      </c>
      <c r="F2333" s="515" t="s">
        <v>1143</v>
      </c>
      <c r="G2333" s="52">
        <v>452739.50381964998</v>
      </c>
      <c r="H2333" s="56">
        <v>1.2008651624483817E-2</v>
      </c>
      <c r="I2333" s="224" t="s">
        <v>2</v>
      </c>
    </row>
    <row r="2334" spans="1:9" x14ac:dyDescent="0.25">
      <c r="A2334" s="515">
        <v>55082</v>
      </c>
      <c r="B2334" s="515" t="s">
        <v>532</v>
      </c>
      <c r="C2334" s="52">
        <v>465561.74469994399</v>
      </c>
      <c r="D2334" s="56">
        <v>4.1232406161858283E-2</v>
      </c>
      <c r="E2334" s="224">
        <v>1600</v>
      </c>
      <c r="F2334" s="515" t="s">
        <v>3862</v>
      </c>
      <c r="G2334" s="52">
        <v>300397.97305093601</v>
      </c>
      <c r="H2334" s="56">
        <v>0.15052933476760444</v>
      </c>
      <c r="I2334" s="224">
        <v>1700</v>
      </c>
    </row>
    <row r="2335" spans="1:9" x14ac:dyDescent="0.25">
      <c r="A2335" s="515">
        <v>23321</v>
      </c>
      <c r="B2335" s="515" t="s">
        <v>301</v>
      </c>
      <c r="C2335" s="52">
        <v>339930.72145174397</v>
      </c>
      <c r="D2335" s="56">
        <v>5.6783750440215469E-2</v>
      </c>
      <c r="E2335" s="224">
        <v>1356</v>
      </c>
      <c r="F2335" s="515" t="s">
        <v>3863</v>
      </c>
      <c r="G2335" s="52">
        <v>182175.56907944099</v>
      </c>
      <c r="H2335" s="56">
        <v>0.16403947510463429</v>
      </c>
      <c r="I2335" s="224" t="s">
        <v>2</v>
      </c>
    </row>
    <row r="2336" spans="1:9" x14ac:dyDescent="0.25">
      <c r="A2336" s="515">
        <v>36608</v>
      </c>
      <c r="B2336" s="515" t="s">
        <v>815</v>
      </c>
      <c r="C2336" s="52">
        <v>211777.78372318999</v>
      </c>
      <c r="D2336" s="56">
        <v>7.4733781284883588E-2</v>
      </c>
      <c r="E2336" s="224">
        <v>1187.6816239316199</v>
      </c>
      <c r="F2336" s="515" t="s">
        <v>3864</v>
      </c>
      <c r="G2336" s="52">
        <v>291313.38499869202</v>
      </c>
      <c r="H2336" s="56">
        <v>4.9357792906500261E-2</v>
      </c>
      <c r="I2336" s="224">
        <v>1066.25</v>
      </c>
    </row>
    <row r="2337" spans="1:9" x14ac:dyDescent="0.25">
      <c r="A2337" s="515">
        <v>37604</v>
      </c>
      <c r="B2337" s="515" t="s">
        <v>988</v>
      </c>
      <c r="C2337" s="52">
        <v>232120.919219623</v>
      </c>
      <c r="D2337" s="56">
        <v>0.10264182888150389</v>
      </c>
      <c r="E2337" s="224">
        <v>1482.5</v>
      </c>
      <c r="F2337" s="515" t="s">
        <v>3865</v>
      </c>
      <c r="G2337" s="52">
        <v>419875.752637823</v>
      </c>
      <c r="H2337" s="56">
        <v>0.1186710061424007</v>
      </c>
      <c r="I2337" s="224" t="s">
        <v>2</v>
      </c>
    </row>
    <row r="2338" spans="1:9" x14ac:dyDescent="0.25">
      <c r="A2338" s="515">
        <v>11433</v>
      </c>
      <c r="B2338" s="515" t="s">
        <v>324</v>
      </c>
      <c r="C2338" s="52">
        <v>599162.26299377705</v>
      </c>
      <c r="D2338" s="56">
        <v>4.6961477249649837E-2</v>
      </c>
      <c r="E2338" s="224" t="s">
        <v>2</v>
      </c>
      <c r="F2338" s="515" t="s">
        <v>3866</v>
      </c>
      <c r="G2338" s="52">
        <v>232621.477978168</v>
      </c>
      <c r="H2338" s="56">
        <v>6.4836399843517703E-2</v>
      </c>
      <c r="I2338" s="224" t="s">
        <v>2</v>
      </c>
    </row>
    <row r="2339" spans="1:9" x14ac:dyDescent="0.25">
      <c r="A2339" s="515">
        <v>90012</v>
      </c>
      <c r="B2339" s="515" t="s">
        <v>375</v>
      </c>
      <c r="C2339" s="52">
        <v>672877.539017473</v>
      </c>
      <c r="D2339" s="56">
        <v>3.8950737650497403E-3</v>
      </c>
      <c r="E2339" s="224">
        <v>2552.3740144478802</v>
      </c>
      <c r="F2339" s="515" t="s">
        <v>3867</v>
      </c>
      <c r="G2339" s="52">
        <v>454477.44782879902</v>
      </c>
      <c r="H2339" s="56">
        <v>0.12253220895996707</v>
      </c>
      <c r="I2339" s="224" t="s">
        <v>2</v>
      </c>
    </row>
    <row r="2340" spans="1:9" x14ac:dyDescent="0.25">
      <c r="A2340" s="515">
        <v>28054</v>
      </c>
      <c r="B2340" s="515" t="s">
        <v>360</v>
      </c>
      <c r="C2340" s="52">
        <v>258928.61185894601</v>
      </c>
      <c r="D2340" s="56">
        <v>0.12480141032928123</v>
      </c>
      <c r="E2340" s="224">
        <v>1771.5119047619</v>
      </c>
      <c r="F2340" s="515" t="s">
        <v>3868</v>
      </c>
      <c r="G2340" s="52">
        <v>392911.81961368298</v>
      </c>
      <c r="H2340" s="56">
        <v>5.652166166232974E-2</v>
      </c>
      <c r="I2340" s="224" t="s">
        <v>2</v>
      </c>
    </row>
    <row r="2341" spans="1:9" x14ac:dyDescent="0.25">
      <c r="A2341" s="515">
        <v>10550</v>
      </c>
      <c r="B2341" s="515" t="s">
        <v>324</v>
      </c>
      <c r="C2341" s="52">
        <v>472792.659309774</v>
      </c>
      <c r="D2341" s="56">
        <v>5.171102097274719E-3</v>
      </c>
      <c r="E2341" s="224">
        <v>2100</v>
      </c>
      <c r="F2341" s="515" t="s">
        <v>669</v>
      </c>
      <c r="G2341" s="52">
        <v>110465.073433082</v>
      </c>
      <c r="H2341" s="56">
        <v>0.1446371840973317</v>
      </c>
      <c r="I2341" s="224">
        <v>937.5</v>
      </c>
    </row>
    <row r="2342" spans="1:9" x14ac:dyDescent="0.25">
      <c r="A2342" s="515">
        <v>49120</v>
      </c>
      <c r="B2342" s="515" t="s">
        <v>698</v>
      </c>
      <c r="C2342" s="52">
        <v>165542.59628701201</v>
      </c>
      <c r="D2342" s="56">
        <v>4.9766992521831088E-2</v>
      </c>
      <c r="E2342" s="224" t="s">
        <v>2</v>
      </c>
      <c r="F2342" s="515" t="s">
        <v>3869</v>
      </c>
      <c r="G2342" s="52">
        <v>331856.91180474899</v>
      </c>
      <c r="H2342" s="56">
        <v>0.10202573088778367</v>
      </c>
      <c r="I2342" s="224">
        <v>2294.62222222222</v>
      </c>
    </row>
    <row r="2343" spans="1:9" x14ac:dyDescent="0.25">
      <c r="A2343" s="515">
        <v>80220</v>
      </c>
      <c r="B2343" s="515" t="s">
        <v>401</v>
      </c>
      <c r="C2343" s="52">
        <v>675937.46822368598</v>
      </c>
      <c r="D2343" s="56">
        <v>1.3701579552037437E-2</v>
      </c>
      <c r="E2343" s="224">
        <v>1693.6652777777699</v>
      </c>
      <c r="F2343" s="515" t="s">
        <v>3870</v>
      </c>
      <c r="G2343" s="52">
        <v>380291.48184236698</v>
      </c>
      <c r="H2343" s="56">
        <v>0.13227761764816051</v>
      </c>
      <c r="I2343" s="224">
        <v>1975</v>
      </c>
    </row>
    <row r="2344" spans="1:9" x14ac:dyDescent="0.25">
      <c r="A2344" s="515">
        <v>97526</v>
      </c>
      <c r="B2344" s="515" t="s">
        <v>626</v>
      </c>
      <c r="C2344" s="52">
        <v>370682.40819049801</v>
      </c>
      <c r="D2344" s="56">
        <v>9.858169644197206E-3</v>
      </c>
      <c r="E2344" s="224" t="s">
        <v>2</v>
      </c>
      <c r="F2344" s="515" t="s">
        <v>3871</v>
      </c>
      <c r="G2344" s="52">
        <v>420386.55417654401</v>
      </c>
      <c r="H2344" s="56">
        <v>2.528366585784627E-2</v>
      </c>
      <c r="I2344" s="224">
        <v>1478.6887464387401</v>
      </c>
    </row>
    <row r="2345" spans="1:9" x14ac:dyDescent="0.25">
      <c r="A2345" s="515">
        <v>85016</v>
      </c>
      <c r="B2345" s="515" t="s">
        <v>563</v>
      </c>
      <c r="C2345" s="52">
        <v>488310.51709016901</v>
      </c>
      <c r="D2345" s="56">
        <v>3.6079192008111556E-2</v>
      </c>
      <c r="E2345" s="224">
        <v>1775.6850591313701</v>
      </c>
      <c r="F2345" s="515" t="s">
        <v>3872</v>
      </c>
      <c r="G2345" s="52">
        <v>260291.396612048</v>
      </c>
      <c r="H2345" s="56">
        <v>9.8160629126545274E-2</v>
      </c>
      <c r="I2345" s="224" t="s">
        <v>2</v>
      </c>
    </row>
    <row r="2346" spans="1:9" x14ac:dyDescent="0.25">
      <c r="A2346" s="515">
        <v>45373</v>
      </c>
      <c r="B2346" s="515" t="s">
        <v>340</v>
      </c>
      <c r="C2346" s="52">
        <v>225534.38793090201</v>
      </c>
      <c r="D2346" s="56">
        <v>7.801460547007151E-2</v>
      </c>
      <c r="E2346" s="224">
        <v>1188</v>
      </c>
      <c r="F2346" s="515" t="s">
        <v>3873</v>
      </c>
      <c r="G2346" s="52">
        <v>34633.310356098998</v>
      </c>
      <c r="H2346" s="56">
        <v>2.8877607472076978E-2</v>
      </c>
      <c r="I2346" s="224" t="s">
        <v>2</v>
      </c>
    </row>
    <row r="2347" spans="1:9" x14ac:dyDescent="0.25">
      <c r="A2347" s="515">
        <v>70605</v>
      </c>
      <c r="B2347" s="515" t="s">
        <v>696</v>
      </c>
      <c r="C2347" s="52">
        <v>255204.696061375</v>
      </c>
      <c r="D2347" s="56">
        <v>1.3792688321540241E-2</v>
      </c>
      <c r="E2347" s="224">
        <v>1112.5925925925901</v>
      </c>
      <c r="F2347" s="515" t="s">
        <v>3874</v>
      </c>
      <c r="G2347" s="52">
        <v>367020.31782956602</v>
      </c>
      <c r="H2347" s="56">
        <v>6.3600453418668601E-2</v>
      </c>
      <c r="I2347" s="224">
        <v>1431.6666666666599</v>
      </c>
    </row>
    <row r="2348" spans="1:9" x14ac:dyDescent="0.25">
      <c r="A2348" s="515">
        <v>11364</v>
      </c>
      <c r="B2348" s="515" t="s">
        <v>324</v>
      </c>
      <c r="C2348" s="52">
        <v>551831.40091733402</v>
      </c>
      <c r="D2348" s="56">
        <v>3.3275863965712277E-2</v>
      </c>
      <c r="E2348" s="224">
        <v>2405.5555555555502</v>
      </c>
      <c r="F2348" s="515" t="s">
        <v>3875</v>
      </c>
      <c r="G2348" s="52">
        <v>1504230.63130895</v>
      </c>
      <c r="H2348" s="56">
        <v>3.2256471620620004E-3</v>
      </c>
      <c r="I2348" s="224">
        <v>2405.6111111111099</v>
      </c>
    </row>
    <row r="2349" spans="1:9" x14ac:dyDescent="0.25">
      <c r="A2349" s="515">
        <v>63701</v>
      </c>
      <c r="B2349" s="515" t="s">
        <v>424</v>
      </c>
      <c r="C2349" s="52">
        <v>206312.03591142801</v>
      </c>
      <c r="D2349" s="56">
        <v>6.8819739468115371E-2</v>
      </c>
      <c r="E2349" s="224">
        <v>1175.8333333333301</v>
      </c>
      <c r="F2349" s="515" t="s">
        <v>3876</v>
      </c>
      <c r="G2349" s="52">
        <v>546002.15429197706</v>
      </c>
      <c r="H2349" s="56">
        <v>1.5898353374765469E-2</v>
      </c>
      <c r="I2349" s="224" t="s">
        <v>2</v>
      </c>
    </row>
    <row r="2350" spans="1:9" x14ac:dyDescent="0.25">
      <c r="A2350" s="515">
        <v>93657</v>
      </c>
      <c r="B2350" s="515" t="s">
        <v>541</v>
      </c>
      <c r="C2350" s="52">
        <v>367075.10904097999</v>
      </c>
      <c r="D2350" s="56">
        <v>5.0890216853701181E-2</v>
      </c>
      <c r="E2350" s="224" t="s">
        <v>2</v>
      </c>
      <c r="F2350" s="515" t="s">
        <v>3877</v>
      </c>
      <c r="G2350" s="52">
        <v>555746.964684634</v>
      </c>
      <c r="H2350" s="56">
        <v>2.8017709033292267E-2</v>
      </c>
      <c r="I2350" s="224" t="s">
        <v>2</v>
      </c>
    </row>
    <row r="2351" spans="1:9" x14ac:dyDescent="0.25">
      <c r="A2351" s="515">
        <v>30045</v>
      </c>
      <c r="B2351" s="515" t="s">
        <v>957</v>
      </c>
      <c r="C2351" s="52">
        <v>377166.37581930601</v>
      </c>
      <c r="D2351" s="56">
        <v>7.7833308936871543E-2</v>
      </c>
      <c r="E2351" s="224">
        <v>2225.4748677248599</v>
      </c>
      <c r="F2351" s="515" t="s">
        <v>3878</v>
      </c>
      <c r="G2351" s="52">
        <v>321059.26680979098</v>
      </c>
      <c r="H2351" s="56">
        <v>9.8017963894552265E-2</v>
      </c>
      <c r="I2351" s="224" t="s">
        <v>2</v>
      </c>
    </row>
    <row r="2352" spans="1:9" x14ac:dyDescent="0.25">
      <c r="A2352" s="515">
        <v>68104</v>
      </c>
      <c r="B2352" s="515" t="s">
        <v>367</v>
      </c>
      <c r="C2352" s="52">
        <v>176968.32322565099</v>
      </c>
      <c r="D2352" s="56">
        <v>8.9889041809852091E-2</v>
      </c>
      <c r="E2352" s="224">
        <v>1284.0370370370299</v>
      </c>
      <c r="F2352" s="515" t="s">
        <v>3879</v>
      </c>
      <c r="G2352" s="52">
        <v>279800.93561231298</v>
      </c>
      <c r="H2352" s="56">
        <v>3.6722287017054801E-2</v>
      </c>
      <c r="I2352" s="224">
        <v>1835</v>
      </c>
    </row>
    <row r="2353" spans="1:9" x14ac:dyDescent="0.25">
      <c r="A2353" s="515">
        <v>32812</v>
      </c>
      <c r="B2353" s="515" t="s">
        <v>517</v>
      </c>
      <c r="C2353" s="52">
        <v>366548.33747692901</v>
      </c>
      <c r="D2353" s="56">
        <v>0.11485886557395728</v>
      </c>
      <c r="E2353" s="224">
        <v>1776.1666666666599</v>
      </c>
      <c r="F2353" s="515" t="s">
        <v>909</v>
      </c>
      <c r="G2353" s="52">
        <v>95128.523236402398</v>
      </c>
      <c r="H2353" s="56">
        <v>0.15612708267263689</v>
      </c>
      <c r="I2353" s="224" t="s">
        <v>2</v>
      </c>
    </row>
    <row r="2354" spans="1:9" x14ac:dyDescent="0.25">
      <c r="A2354" s="515">
        <v>85629</v>
      </c>
      <c r="B2354" s="515" t="s">
        <v>368</v>
      </c>
      <c r="C2354" s="52">
        <v>337671.16075101303</v>
      </c>
      <c r="D2354" s="56">
        <v>5.976392526520681E-2</v>
      </c>
      <c r="E2354" s="224">
        <v>2037</v>
      </c>
      <c r="F2354" s="515" t="s">
        <v>3880</v>
      </c>
      <c r="G2354" s="52">
        <v>80048.151793364406</v>
      </c>
      <c r="H2354" s="56">
        <v>7.6266472158601731E-2</v>
      </c>
      <c r="I2354" s="224">
        <v>780</v>
      </c>
    </row>
    <row r="2355" spans="1:9" x14ac:dyDescent="0.25">
      <c r="A2355" s="515">
        <v>2920</v>
      </c>
      <c r="B2355" s="515" t="s">
        <v>513</v>
      </c>
      <c r="C2355" s="52">
        <v>366766.89919284498</v>
      </c>
      <c r="D2355" s="56">
        <v>7.7566327088353482E-2</v>
      </c>
      <c r="E2355" s="224">
        <v>1869.1666666666599</v>
      </c>
      <c r="F2355" s="515" t="s">
        <v>3881</v>
      </c>
      <c r="G2355" s="52">
        <v>659235.13080565899</v>
      </c>
      <c r="H2355" s="56">
        <v>1.9378278460573242E-2</v>
      </c>
      <c r="I2355" s="224">
        <v>3366.6</v>
      </c>
    </row>
    <row r="2356" spans="1:9" x14ac:dyDescent="0.25">
      <c r="A2356" s="515">
        <v>46219</v>
      </c>
      <c r="B2356" s="515" t="s">
        <v>403</v>
      </c>
      <c r="C2356" s="52">
        <v>176707.67974017499</v>
      </c>
      <c r="D2356" s="56">
        <v>8.2073671327803244E-2</v>
      </c>
      <c r="E2356" s="224">
        <v>887.33838383838304</v>
      </c>
      <c r="F2356" s="515" t="s">
        <v>3882</v>
      </c>
      <c r="G2356" s="52">
        <v>291344.96287562902</v>
      </c>
      <c r="H2356" s="56">
        <v>8.3639926193411263E-2</v>
      </c>
      <c r="I2356" s="224" t="s">
        <v>2</v>
      </c>
    </row>
    <row r="2357" spans="1:9" x14ac:dyDescent="0.25">
      <c r="A2357" s="515">
        <v>29063</v>
      </c>
      <c r="B2357" s="515" t="s">
        <v>762</v>
      </c>
      <c r="C2357" s="52">
        <v>252882.670294029</v>
      </c>
      <c r="D2357" s="56">
        <v>0.11674612794574785</v>
      </c>
      <c r="E2357" s="224">
        <v>1614.625</v>
      </c>
      <c r="F2357" s="515" t="s">
        <v>757</v>
      </c>
      <c r="G2357" s="52">
        <v>245359.675277131</v>
      </c>
      <c r="H2357" s="56">
        <v>0.13855049482222076</v>
      </c>
      <c r="I2357" s="224" t="s">
        <v>2</v>
      </c>
    </row>
    <row r="2358" spans="1:9" x14ac:dyDescent="0.25">
      <c r="A2358" s="515">
        <v>92240</v>
      </c>
      <c r="B2358" s="515" t="s">
        <v>599</v>
      </c>
      <c r="C2358" s="52">
        <v>360798.26474406599</v>
      </c>
      <c r="D2358" s="56">
        <v>8.1206218029423669E-2</v>
      </c>
      <c r="E2358" s="224">
        <v>1957.94444444444</v>
      </c>
      <c r="F2358" s="515" t="s">
        <v>3883</v>
      </c>
      <c r="G2358" s="52">
        <v>506317.48375917098</v>
      </c>
      <c r="H2358" s="56">
        <v>6.5213238203682994E-2</v>
      </c>
      <c r="I2358" s="224" t="s">
        <v>2</v>
      </c>
    </row>
    <row r="2359" spans="1:9" x14ac:dyDescent="0.25">
      <c r="A2359" s="515">
        <v>30087</v>
      </c>
      <c r="B2359" s="515" t="s">
        <v>957</v>
      </c>
      <c r="C2359" s="52">
        <v>343307.695503144</v>
      </c>
      <c r="D2359" s="56">
        <v>9.7249528327740836E-2</v>
      </c>
      <c r="E2359" s="224">
        <v>2009.38888888888</v>
      </c>
      <c r="F2359" s="515" t="s">
        <v>3884</v>
      </c>
      <c r="G2359" s="52">
        <v>348360.36120751401</v>
      </c>
      <c r="H2359" s="56">
        <v>5.1624582074077288E-2</v>
      </c>
      <c r="I2359" s="224">
        <v>1283.3333333333301</v>
      </c>
    </row>
    <row r="2360" spans="1:9" x14ac:dyDescent="0.25">
      <c r="A2360" s="515">
        <v>44094</v>
      </c>
      <c r="B2360" s="515" t="s">
        <v>520</v>
      </c>
      <c r="C2360" s="52">
        <v>241311.34018008501</v>
      </c>
      <c r="D2360" s="56">
        <v>5.4287626534125326E-2</v>
      </c>
      <c r="E2360" s="224">
        <v>1161.05555555555</v>
      </c>
      <c r="F2360" s="515" t="s">
        <v>408</v>
      </c>
      <c r="G2360" s="52">
        <v>189005.451919449</v>
      </c>
      <c r="H2360" s="56">
        <v>7.4590913617566479E-2</v>
      </c>
      <c r="I2360" s="224">
        <v>857.66666666666595</v>
      </c>
    </row>
    <row r="2361" spans="1:9" x14ac:dyDescent="0.25">
      <c r="A2361" s="515">
        <v>6360</v>
      </c>
      <c r="B2361" s="515" t="s">
        <v>1091</v>
      </c>
      <c r="C2361" s="52">
        <v>225285.56160687801</v>
      </c>
      <c r="D2361" s="56">
        <v>0.10869620011764825</v>
      </c>
      <c r="E2361" s="224">
        <v>1415.8333333333301</v>
      </c>
      <c r="F2361" s="515" t="s">
        <v>3885</v>
      </c>
      <c r="G2361" s="52">
        <v>286279.40399285202</v>
      </c>
      <c r="H2361" s="56">
        <v>5.1437738139868135E-2</v>
      </c>
      <c r="I2361" s="224">
        <v>1537.5</v>
      </c>
    </row>
    <row r="2362" spans="1:9" x14ac:dyDescent="0.25">
      <c r="A2362" s="515">
        <v>71854</v>
      </c>
      <c r="B2362" s="515" t="s">
        <v>390</v>
      </c>
      <c r="C2362" s="52">
        <v>142001.02751028701</v>
      </c>
      <c r="D2362" s="56">
        <v>3.1943001245172818E-2</v>
      </c>
      <c r="E2362" s="224" t="s">
        <v>2</v>
      </c>
      <c r="F2362" s="515" t="s">
        <v>3886</v>
      </c>
      <c r="G2362" s="52">
        <v>253929.759681697</v>
      </c>
      <c r="H2362" s="56">
        <v>5.8816835500551369E-2</v>
      </c>
      <c r="I2362" s="224">
        <v>1650</v>
      </c>
    </row>
    <row r="2363" spans="1:9" x14ac:dyDescent="0.25">
      <c r="A2363" s="515">
        <v>70817</v>
      </c>
      <c r="B2363" s="515" t="s">
        <v>610</v>
      </c>
      <c r="C2363" s="52">
        <v>278573.22335614503</v>
      </c>
      <c r="D2363" s="56">
        <v>4.608544954437134E-2</v>
      </c>
      <c r="E2363" s="224">
        <v>1577.32222222222</v>
      </c>
      <c r="F2363" s="515" t="s">
        <v>3887</v>
      </c>
      <c r="G2363" s="52">
        <v>341433.14520927903</v>
      </c>
      <c r="H2363" s="56">
        <v>3.5882791591703024E-2</v>
      </c>
      <c r="I2363" s="224">
        <v>1250</v>
      </c>
    </row>
    <row r="2364" spans="1:9" x14ac:dyDescent="0.25">
      <c r="A2364" s="515">
        <v>76039</v>
      </c>
      <c r="B2364" s="515" t="s">
        <v>458</v>
      </c>
      <c r="C2364" s="52">
        <v>345913.96114554099</v>
      </c>
      <c r="D2364" s="56">
        <v>8.6236064581049265E-2</v>
      </c>
      <c r="E2364" s="224">
        <v>1788.51608187134</v>
      </c>
      <c r="F2364" s="515" t="s">
        <v>3888</v>
      </c>
      <c r="G2364" s="52">
        <v>199992.476739064</v>
      </c>
      <c r="H2364" s="56">
        <v>0.16589664871107682</v>
      </c>
      <c r="I2364" s="224">
        <v>1402.1407407407401</v>
      </c>
    </row>
    <row r="2365" spans="1:9" x14ac:dyDescent="0.25">
      <c r="A2365" s="515">
        <v>53132</v>
      </c>
      <c r="B2365" s="515" t="s">
        <v>950</v>
      </c>
      <c r="C2365" s="52">
        <v>342841.57816054998</v>
      </c>
      <c r="D2365" s="56">
        <v>4.7440977055554279E-2</v>
      </c>
      <c r="E2365" s="224" t="s">
        <v>2</v>
      </c>
      <c r="F2365" s="515" t="s">
        <v>3889</v>
      </c>
      <c r="G2365" s="52">
        <v>173898.51047649299</v>
      </c>
      <c r="H2365" s="56">
        <v>7.5654501580547054E-2</v>
      </c>
      <c r="I2365" s="224" t="s">
        <v>2</v>
      </c>
    </row>
    <row r="2366" spans="1:9" x14ac:dyDescent="0.25">
      <c r="A2366" s="515">
        <v>49426</v>
      </c>
      <c r="B2366" s="515" t="s">
        <v>631</v>
      </c>
      <c r="C2366" s="52">
        <v>365213.80697874603</v>
      </c>
      <c r="D2366" s="56">
        <v>8.491245708189589E-2</v>
      </c>
      <c r="E2366" s="224" t="s">
        <v>2</v>
      </c>
      <c r="F2366" s="515" t="s">
        <v>3890</v>
      </c>
      <c r="G2366" s="52">
        <v>274737.12160846603</v>
      </c>
      <c r="H2366" s="56">
        <v>0.12261148296328915</v>
      </c>
      <c r="I2366" s="224" t="s">
        <v>2</v>
      </c>
    </row>
    <row r="2367" spans="1:9" x14ac:dyDescent="0.25">
      <c r="A2367" s="515">
        <v>55423</v>
      </c>
      <c r="B2367" s="515" t="s">
        <v>532</v>
      </c>
      <c r="C2367" s="52">
        <v>312628.28542869003</v>
      </c>
      <c r="D2367" s="56">
        <v>5.2414831522017924E-2</v>
      </c>
      <c r="E2367" s="224">
        <v>1311.2857142857099</v>
      </c>
      <c r="F2367" s="515" t="s">
        <v>768</v>
      </c>
      <c r="G2367" s="52">
        <v>207632.58219465299</v>
      </c>
      <c r="H2367" s="56">
        <v>0.1729777226444176</v>
      </c>
      <c r="I2367" s="224" t="s">
        <v>2</v>
      </c>
    </row>
    <row r="2368" spans="1:9" x14ac:dyDescent="0.25">
      <c r="A2368" s="515">
        <v>33056</v>
      </c>
      <c r="B2368" s="515" t="s">
        <v>831</v>
      </c>
      <c r="C2368" s="52">
        <v>396395.26335830899</v>
      </c>
      <c r="D2368" s="56">
        <v>0.17674044480098214</v>
      </c>
      <c r="E2368" s="224" t="s">
        <v>2</v>
      </c>
      <c r="F2368" s="515" t="s">
        <v>3891</v>
      </c>
      <c r="G2368" s="52">
        <v>136401.00018365699</v>
      </c>
      <c r="H2368" s="56">
        <v>3.4296569607770347E-2</v>
      </c>
      <c r="I2368" s="224" t="s">
        <v>2</v>
      </c>
    </row>
    <row r="2369" spans="1:9" x14ac:dyDescent="0.25">
      <c r="A2369" s="515">
        <v>80017</v>
      </c>
      <c r="B2369" s="515" t="s">
        <v>401</v>
      </c>
      <c r="C2369" s="52">
        <v>424113.02588491101</v>
      </c>
      <c r="D2369" s="56">
        <v>5.0643771418774602E-2</v>
      </c>
      <c r="E2369" s="224">
        <v>1673.06984126984</v>
      </c>
      <c r="F2369" s="515" t="s">
        <v>3892</v>
      </c>
      <c r="G2369" s="52">
        <v>194411.30596141299</v>
      </c>
      <c r="H2369" s="56">
        <v>0.2011515163806204</v>
      </c>
      <c r="I2369" s="224" t="s">
        <v>2</v>
      </c>
    </row>
    <row r="2370" spans="1:9" x14ac:dyDescent="0.25">
      <c r="A2370" s="515">
        <v>39042</v>
      </c>
      <c r="B2370" s="515" t="s">
        <v>851</v>
      </c>
      <c r="C2370" s="52">
        <v>253587.92275259001</v>
      </c>
      <c r="D2370" s="56">
        <v>6.8186565459358917E-2</v>
      </c>
      <c r="E2370" s="224">
        <v>1635.75</v>
      </c>
      <c r="F2370" s="515" t="s">
        <v>3893</v>
      </c>
      <c r="G2370" s="52">
        <v>291633.209215037</v>
      </c>
      <c r="H2370" s="56">
        <v>8.1906225746963629E-2</v>
      </c>
      <c r="I2370" s="224">
        <v>1733.55555555555</v>
      </c>
    </row>
    <row r="2371" spans="1:9" x14ac:dyDescent="0.25">
      <c r="A2371" s="515">
        <v>90049</v>
      </c>
      <c r="B2371" s="515" t="s">
        <v>375</v>
      </c>
      <c r="C2371" s="52">
        <v>2717113.2463793498</v>
      </c>
      <c r="D2371" s="56">
        <v>2.5655562206151995E-2</v>
      </c>
      <c r="E2371" s="224">
        <v>3915.8843759726101</v>
      </c>
      <c r="F2371" s="515" t="s">
        <v>3894</v>
      </c>
      <c r="G2371" s="52">
        <v>409731.16216681403</v>
      </c>
      <c r="H2371" s="56">
        <v>5.5658385461972937E-2</v>
      </c>
      <c r="I2371" s="224" t="s">
        <v>2</v>
      </c>
    </row>
    <row r="2372" spans="1:9" x14ac:dyDescent="0.25">
      <c r="A2372" s="515">
        <v>8332</v>
      </c>
      <c r="B2372" s="515" t="s">
        <v>557</v>
      </c>
      <c r="C2372" s="52">
        <v>198234.938519324</v>
      </c>
      <c r="D2372" s="56">
        <v>8.0470812631184593E-2</v>
      </c>
      <c r="E2372" s="224">
        <v>1449.1666666666599</v>
      </c>
      <c r="F2372" s="515" t="s">
        <v>3895</v>
      </c>
      <c r="G2372" s="52">
        <v>195317.23386895499</v>
      </c>
      <c r="H2372" s="56">
        <v>7.9157643281550144E-2</v>
      </c>
      <c r="I2372" s="224">
        <v>1695</v>
      </c>
    </row>
    <row r="2373" spans="1:9" x14ac:dyDescent="0.25">
      <c r="A2373" s="515">
        <v>17402</v>
      </c>
      <c r="B2373" s="515" t="s">
        <v>509</v>
      </c>
      <c r="C2373" s="52">
        <v>275975.61214726698</v>
      </c>
      <c r="D2373" s="56">
        <v>8.0619089218060297E-2</v>
      </c>
      <c r="E2373" s="224">
        <v>1480</v>
      </c>
      <c r="F2373" s="515" t="s">
        <v>3896</v>
      </c>
      <c r="G2373" s="52">
        <v>461360.00218762702</v>
      </c>
      <c r="H2373" s="56">
        <v>5.8365136282244365E-2</v>
      </c>
      <c r="I2373" s="224">
        <v>1903.75</v>
      </c>
    </row>
    <row r="2374" spans="1:9" x14ac:dyDescent="0.25">
      <c r="A2374" s="515">
        <v>50315</v>
      </c>
      <c r="B2374" s="515" t="s">
        <v>295</v>
      </c>
      <c r="C2374" s="52">
        <v>171787.29802317001</v>
      </c>
      <c r="D2374" s="56">
        <v>9.1838066523207917E-2</v>
      </c>
      <c r="E2374" s="224">
        <v>1038.3333333333301</v>
      </c>
      <c r="F2374" s="515" t="s">
        <v>3897</v>
      </c>
      <c r="G2374" s="52">
        <v>209412.27542970699</v>
      </c>
      <c r="H2374" s="56">
        <v>6.2432837630708296E-2</v>
      </c>
      <c r="I2374" s="224" t="s">
        <v>2</v>
      </c>
    </row>
    <row r="2375" spans="1:9" x14ac:dyDescent="0.25">
      <c r="A2375" s="515">
        <v>77049</v>
      </c>
      <c r="B2375" s="515" t="s">
        <v>314</v>
      </c>
      <c r="C2375" s="52">
        <v>241696.61214071701</v>
      </c>
      <c r="D2375" s="56">
        <v>0.11494742900170175</v>
      </c>
      <c r="E2375" s="224">
        <v>1747.5</v>
      </c>
      <c r="F2375" s="515" t="s">
        <v>3898</v>
      </c>
      <c r="G2375" s="52">
        <v>250007.11471974</v>
      </c>
      <c r="H2375" s="56">
        <v>9.8124774769419484E-2</v>
      </c>
      <c r="I2375" s="224">
        <v>1622.0833333333301</v>
      </c>
    </row>
    <row r="2376" spans="1:9" x14ac:dyDescent="0.25">
      <c r="A2376" s="515">
        <v>98404</v>
      </c>
      <c r="B2376" s="515" t="s">
        <v>384</v>
      </c>
      <c r="C2376" s="52">
        <v>399702.22137221799</v>
      </c>
      <c r="D2376" s="56">
        <v>9.0829436170449356E-3</v>
      </c>
      <c r="E2376" s="224">
        <v>2015.9722222222199</v>
      </c>
      <c r="F2376" s="515" t="s">
        <v>3899</v>
      </c>
      <c r="G2376" s="52">
        <v>1114841.71723587</v>
      </c>
      <c r="H2376" s="56">
        <v>5.0667842731072889E-3</v>
      </c>
      <c r="I2376" s="224">
        <v>3060.0277777777701</v>
      </c>
    </row>
    <row r="2377" spans="1:9" x14ac:dyDescent="0.25">
      <c r="A2377" s="515">
        <v>97217</v>
      </c>
      <c r="B2377" s="515" t="s">
        <v>659</v>
      </c>
      <c r="C2377" s="52">
        <v>496923.578221681</v>
      </c>
      <c r="D2377" s="56">
        <v>-2.1338299761380908E-2</v>
      </c>
      <c r="E2377" s="224">
        <v>1761.0831372549001</v>
      </c>
      <c r="F2377" s="515" t="s">
        <v>3900</v>
      </c>
      <c r="G2377" s="52">
        <v>640014.258336275</v>
      </c>
      <c r="H2377" s="56">
        <v>4.2682178732382794E-2</v>
      </c>
      <c r="I2377" s="224">
        <v>2593.8333333333298</v>
      </c>
    </row>
    <row r="2378" spans="1:9" x14ac:dyDescent="0.25">
      <c r="A2378" s="515">
        <v>30315</v>
      </c>
      <c r="B2378" s="515" t="s">
        <v>957</v>
      </c>
      <c r="C2378" s="52">
        <v>254798.224603896</v>
      </c>
      <c r="D2378" s="56">
        <v>0.1083270338755615</v>
      </c>
      <c r="E2378" s="224">
        <v>1754.3592592592499</v>
      </c>
      <c r="F2378" s="515" t="s">
        <v>3901</v>
      </c>
      <c r="G2378" s="52">
        <v>292267.51518283802</v>
      </c>
      <c r="H2378" s="56">
        <v>3.1823834585026196E-2</v>
      </c>
      <c r="I2378" s="224" t="s">
        <v>2</v>
      </c>
    </row>
    <row r="2379" spans="1:9" x14ac:dyDescent="0.25">
      <c r="A2379" s="515">
        <v>14624</v>
      </c>
      <c r="B2379" s="515" t="s">
        <v>337</v>
      </c>
      <c r="C2379" s="52">
        <v>204111.281099552</v>
      </c>
      <c r="D2379" s="56">
        <v>8.1838300182142887E-2</v>
      </c>
      <c r="E2379" s="224" t="s">
        <v>2</v>
      </c>
      <c r="F2379" s="515" t="s">
        <v>3902</v>
      </c>
      <c r="G2379" s="52">
        <v>123423.827775028</v>
      </c>
      <c r="H2379" s="56">
        <v>-4.0400450442063234E-3</v>
      </c>
      <c r="I2379" s="224" t="s">
        <v>2</v>
      </c>
    </row>
    <row r="2380" spans="1:9" x14ac:dyDescent="0.25">
      <c r="A2380" s="515">
        <v>77009</v>
      </c>
      <c r="B2380" s="515" t="s">
        <v>314</v>
      </c>
      <c r="C2380" s="52">
        <v>373156.91964830499</v>
      </c>
      <c r="D2380" s="56">
        <v>6.0934825944800021E-2</v>
      </c>
      <c r="E2380" s="224">
        <v>1600.4245852187</v>
      </c>
      <c r="F2380" s="515" t="s">
        <v>3903</v>
      </c>
      <c r="G2380" s="52">
        <v>385593.26720302802</v>
      </c>
      <c r="H2380" s="56">
        <v>9.921806185361938E-2</v>
      </c>
      <c r="I2380" s="224" t="s">
        <v>2</v>
      </c>
    </row>
    <row r="2381" spans="1:9" x14ac:dyDescent="0.25">
      <c r="A2381" s="515">
        <v>48154</v>
      </c>
      <c r="B2381" s="515" t="s">
        <v>685</v>
      </c>
      <c r="C2381" s="52">
        <v>283298.34524644102</v>
      </c>
      <c r="D2381" s="56">
        <v>3.5134548331472427E-2</v>
      </c>
      <c r="E2381" s="224" t="s">
        <v>2</v>
      </c>
      <c r="F2381" s="515" t="s">
        <v>3904</v>
      </c>
      <c r="G2381" s="52">
        <v>584823.16544488003</v>
      </c>
      <c r="H2381" s="56">
        <v>2.8421029803222531E-2</v>
      </c>
      <c r="I2381" s="224">
        <v>2147.9444444444398</v>
      </c>
    </row>
    <row r="2382" spans="1:9" x14ac:dyDescent="0.25">
      <c r="A2382" s="515">
        <v>78628</v>
      </c>
      <c r="B2382" s="515" t="s">
        <v>380</v>
      </c>
      <c r="C2382" s="52">
        <v>520211.04093770997</v>
      </c>
      <c r="D2382" s="56">
        <v>1.5088279402993704E-2</v>
      </c>
      <c r="E2382" s="224">
        <v>1763.9174603174599</v>
      </c>
      <c r="F2382" s="515" t="s">
        <v>3905</v>
      </c>
      <c r="G2382" s="52">
        <v>530446.466595829</v>
      </c>
      <c r="H2382" s="56">
        <v>-1.047090557345692E-2</v>
      </c>
      <c r="I2382" s="224">
        <v>1917.8333333333301</v>
      </c>
    </row>
    <row r="2383" spans="1:9" x14ac:dyDescent="0.25">
      <c r="A2383" s="515">
        <v>78723</v>
      </c>
      <c r="B2383" s="515" t="s">
        <v>380</v>
      </c>
      <c r="C2383" s="52">
        <v>546514.49813082395</v>
      </c>
      <c r="D2383" s="56">
        <v>3.1543687021983416E-2</v>
      </c>
      <c r="E2383" s="224">
        <v>1701.2882352941101</v>
      </c>
      <c r="F2383" s="515" t="s">
        <v>3906</v>
      </c>
      <c r="G2383" s="52">
        <v>305116.38462416502</v>
      </c>
      <c r="H2383" s="56">
        <v>5.7460197891119308E-2</v>
      </c>
      <c r="I2383" s="224" t="s">
        <v>2</v>
      </c>
    </row>
    <row r="2384" spans="1:9" x14ac:dyDescent="0.25">
      <c r="A2384" s="515">
        <v>7109</v>
      </c>
      <c r="B2384" s="515" t="s">
        <v>324</v>
      </c>
      <c r="C2384" s="52">
        <v>401878.67527402798</v>
      </c>
      <c r="D2384" s="56">
        <v>5.482508156578951E-2</v>
      </c>
      <c r="E2384" s="224">
        <v>1923.38095238095</v>
      </c>
      <c r="F2384" s="515" t="s">
        <v>3907</v>
      </c>
      <c r="G2384" s="52">
        <v>874834.21058438497</v>
      </c>
      <c r="H2384" s="56">
        <v>4.9998690666879383E-2</v>
      </c>
      <c r="I2384" s="224">
        <v>3262.5</v>
      </c>
    </row>
    <row r="2385" spans="1:9" x14ac:dyDescent="0.25">
      <c r="A2385" s="515">
        <v>37922</v>
      </c>
      <c r="B2385" s="515" t="s">
        <v>907</v>
      </c>
      <c r="C2385" s="52">
        <v>550634.80515301402</v>
      </c>
      <c r="D2385" s="56">
        <v>0.11793342889241248</v>
      </c>
      <c r="E2385" s="224">
        <v>1795.8583333333299</v>
      </c>
      <c r="F2385" s="515" t="s">
        <v>3908</v>
      </c>
      <c r="G2385" s="52">
        <v>400017.98107050499</v>
      </c>
      <c r="H2385" s="56">
        <v>4.9991616105346852E-2</v>
      </c>
      <c r="I2385" s="224" t="s">
        <v>2</v>
      </c>
    </row>
    <row r="2386" spans="1:9" x14ac:dyDescent="0.25">
      <c r="A2386" s="515">
        <v>53154</v>
      </c>
      <c r="B2386" s="515" t="s">
        <v>950</v>
      </c>
      <c r="C2386" s="52">
        <v>310000.54057390802</v>
      </c>
      <c r="D2386" s="56">
        <v>6.3803820052926397E-2</v>
      </c>
      <c r="E2386" s="224">
        <v>1621.7</v>
      </c>
      <c r="F2386" s="515" t="s">
        <v>3909</v>
      </c>
      <c r="G2386" s="52">
        <v>387105.46442920697</v>
      </c>
      <c r="H2386" s="56">
        <v>0.10541581360343008</v>
      </c>
      <c r="I2386" s="224">
        <v>1669.1666666666599</v>
      </c>
    </row>
    <row r="2387" spans="1:9" x14ac:dyDescent="0.25">
      <c r="A2387" s="515">
        <v>92583</v>
      </c>
      <c r="B2387" s="515" t="s">
        <v>599</v>
      </c>
      <c r="C2387" s="52">
        <v>408967.44711451902</v>
      </c>
      <c r="D2387" s="56">
        <v>6.7094570340834131E-2</v>
      </c>
      <c r="E2387" s="224">
        <v>2197.5</v>
      </c>
      <c r="F2387" s="515" t="s">
        <v>3910</v>
      </c>
      <c r="G2387" s="52">
        <v>199942.61530538899</v>
      </c>
      <c r="H2387" s="56">
        <v>3.6969368644547883E-2</v>
      </c>
      <c r="I2387" s="224" t="s">
        <v>2</v>
      </c>
    </row>
    <row r="2388" spans="1:9" x14ac:dyDescent="0.25">
      <c r="A2388" s="515">
        <v>2908</v>
      </c>
      <c r="B2388" s="515" t="s">
        <v>513</v>
      </c>
      <c r="C2388" s="52">
        <v>326533.32668215001</v>
      </c>
      <c r="D2388" s="56">
        <v>8.1954532528328697E-2</v>
      </c>
      <c r="E2388" s="224">
        <v>1788.56944444444</v>
      </c>
      <c r="F2388" s="515" t="s">
        <v>3911</v>
      </c>
      <c r="G2388" s="52">
        <v>734836.57739103399</v>
      </c>
      <c r="H2388" s="56">
        <v>5.8531977887099379E-2</v>
      </c>
      <c r="I2388" s="224">
        <v>3028.25</v>
      </c>
    </row>
    <row r="2389" spans="1:9" x14ac:dyDescent="0.25">
      <c r="A2389" s="515">
        <v>98117</v>
      </c>
      <c r="B2389" s="515" t="s">
        <v>384</v>
      </c>
      <c r="C2389" s="52">
        <v>955831.87250211195</v>
      </c>
      <c r="D2389" s="56">
        <v>2.9282359624820585E-2</v>
      </c>
      <c r="E2389" s="224">
        <v>2443.8333333333298</v>
      </c>
      <c r="F2389" s="515" t="s">
        <v>693</v>
      </c>
      <c r="G2389" s="52">
        <v>140173.83570193799</v>
      </c>
      <c r="H2389" s="56">
        <v>3.5164780348642774E-2</v>
      </c>
      <c r="I2389" s="224" t="s">
        <v>2</v>
      </c>
    </row>
    <row r="2390" spans="1:9" x14ac:dyDescent="0.25">
      <c r="A2390" s="515">
        <v>63114</v>
      </c>
      <c r="B2390" s="515" t="s">
        <v>498</v>
      </c>
      <c r="C2390" s="52">
        <v>120369.954976715</v>
      </c>
      <c r="D2390" s="56">
        <v>0.14581992930601081</v>
      </c>
      <c r="E2390" s="224">
        <v>1194.38888888888</v>
      </c>
      <c r="F2390" s="515" t="s">
        <v>868</v>
      </c>
      <c r="G2390" s="52">
        <v>311311.21340332797</v>
      </c>
      <c r="H2390" s="56">
        <v>7.3628891500066643E-2</v>
      </c>
      <c r="I2390" s="224" t="s">
        <v>2</v>
      </c>
    </row>
    <row r="2391" spans="1:9" x14ac:dyDescent="0.25">
      <c r="A2391" s="515">
        <v>92543</v>
      </c>
      <c r="B2391" s="515" t="s">
        <v>599</v>
      </c>
      <c r="C2391" s="52">
        <v>342266.94720743201</v>
      </c>
      <c r="D2391" s="56">
        <v>7.0200430416107212E-2</v>
      </c>
      <c r="E2391" s="224">
        <v>1692.8333333333301</v>
      </c>
      <c r="F2391" s="515" t="s">
        <v>3912</v>
      </c>
      <c r="G2391" s="52">
        <v>601264.91903238802</v>
      </c>
      <c r="H2391" s="56">
        <v>3.5183486776542837E-2</v>
      </c>
      <c r="I2391" s="224">
        <v>1859.3333333333301</v>
      </c>
    </row>
    <row r="2392" spans="1:9" x14ac:dyDescent="0.25">
      <c r="A2392" s="515">
        <v>70118</v>
      </c>
      <c r="B2392" s="515" t="s">
        <v>777</v>
      </c>
      <c r="C2392" s="52">
        <v>401788.74858128501</v>
      </c>
      <c r="D2392" s="56">
        <v>2.0638927685494093E-3</v>
      </c>
      <c r="E2392" s="224">
        <v>1768.13492063492</v>
      </c>
      <c r="F2392" s="515" t="s">
        <v>3913</v>
      </c>
      <c r="G2392" s="52">
        <v>275676.92984770198</v>
      </c>
      <c r="H2392" s="56">
        <v>8.4061771268350141E-2</v>
      </c>
      <c r="I2392" s="224" t="s">
        <v>2</v>
      </c>
    </row>
    <row r="2393" spans="1:9" x14ac:dyDescent="0.25">
      <c r="A2393" s="515">
        <v>55369</v>
      </c>
      <c r="B2393" s="515" t="s">
        <v>532</v>
      </c>
      <c r="C2393" s="52">
        <v>356571.02387889102</v>
      </c>
      <c r="D2393" s="56">
        <v>3.6654990529322841E-2</v>
      </c>
      <c r="E2393" s="224">
        <v>1793.18055555555</v>
      </c>
      <c r="F2393" s="515" t="s">
        <v>1015</v>
      </c>
      <c r="G2393" s="52">
        <v>210954.24122767401</v>
      </c>
      <c r="H2393" s="56">
        <v>0.1450174354272048</v>
      </c>
      <c r="I2393" s="224" t="s">
        <v>2</v>
      </c>
    </row>
    <row r="2394" spans="1:9" x14ac:dyDescent="0.25">
      <c r="A2394" s="515">
        <v>85297</v>
      </c>
      <c r="B2394" s="515" t="s">
        <v>563</v>
      </c>
      <c r="C2394" s="52">
        <v>566215.74810575496</v>
      </c>
      <c r="D2394" s="56">
        <v>3.0589670190853645E-2</v>
      </c>
      <c r="E2394" s="224">
        <v>2216.2222222222199</v>
      </c>
      <c r="F2394" s="515" t="s">
        <v>3914</v>
      </c>
      <c r="G2394" s="52">
        <v>342322.78579648101</v>
      </c>
      <c r="H2394" s="56">
        <v>9.6046119865902543E-2</v>
      </c>
      <c r="I2394" s="224">
        <v>2097.7777777777701</v>
      </c>
    </row>
    <row r="2395" spans="1:9" x14ac:dyDescent="0.25">
      <c r="A2395" s="515">
        <v>99508</v>
      </c>
      <c r="B2395" s="515" t="s">
        <v>405</v>
      </c>
      <c r="C2395" s="52">
        <v>292305.17850175197</v>
      </c>
      <c r="D2395" s="56">
        <v>3.8268609307899173E-2</v>
      </c>
      <c r="E2395" s="224">
        <v>1512.8333333333301</v>
      </c>
      <c r="F2395" s="515" t="s">
        <v>3915</v>
      </c>
      <c r="G2395" s="52">
        <v>770978.39218689699</v>
      </c>
      <c r="H2395" s="56">
        <v>8.6661433091135359E-2</v>
      </c>
      <c r="I2395" s="224" t="s">
        <v>2</v>
      </c>
    </row>
    <row r="2396" spans="1:9" x14ac:dyDescent="0.25">
      <c r="A2396" s="515">
        <v>21208</v>
      </c>
      <c r="B2396" s="515" t="s">
        <v>582</v>
      </c>
      <c r="C2396" s="52">
        <v>321697.500071535</v>
      </c>
      <c r="D2396" s="56">
        <v>4.1178512363182401E-2</v>
      </c>
      <c r="E2396" s="224">
        <v>1655</v>
      </c>
      <c r="F2396" s="515" t="s">
        <v>941</v>
      </c>
      <c r="G2396" s="52">
        <v>254161.63489787499</v>
      </c>
      <c r="H2396" s="56">
        <v>6.038203247318117E-2</v>
      </c>
      <c r="I2396" s="224" t="s">
        <v>2</v>
      </c>
    </row>
    <row r="2397" spans="1:9" x14ac:dyDescent="0.25">
      <c r="A2397" s="515">
        <v>95062</v>
      </c>
      <c r="B2397" s="515" t="s">
        <v>596</v>
      </c>
      <c r="C2397" s="52">
        <v>1233674.50483181</v>
      </c>
      <c r="D2397" s="56">
        <v>2.5760578243199602E-2</v>
      </c>
      <c r="E2397" s="224">
        <v>3363.1666666666601</v>
      </c>
      <c r="F2397" s="515" t="s">
        <v>3916</v>
      </c>
      <c r="G2397" s="52">
        <v>208417.33471329801</v>
      </c>
      <c r="H2397" s="56">
        <v>8.0539861009674391E-2</v>
      </c>
      <c r="I2397" s="224">
        <v>1517.1111111111099</v>
      </c>
    </row>
    <row r="2398" spans="1:9" x14ac:dyDescent="0.25">
      <c r="A2398" s="515">
        <v>40515</v>
      </c>
      <c r="B2398" s="515" t="s">
        <v>515</v>
      </c>
      <c r="C2398" s="52">
        <v>310617.04673045903</v>
      </c>
      <c r="D2398" s="56">
        <v>8.2285284389670282E-2</v>
      </c>
      <c r="E2398" s="224">
        <v>1453.99444444444</v>
      </c>
      <c r="F2398" s="515" t="s">
        <v>3917</v>
      </c>
      <c r="G2398" s="52">
        <v>249038.596531805</v>
      </c>
      <c r="H2398" s="56">
        <v>7.35943561950759E-2</v>
      </c>
      <c r="I2398" s="224">
        <v>1359.94444444444</v>
      </c>
    </row>
    <row r="2399" spans="1:9" x14ac:dyDescent="0.25">
      <c r="A2399" s="515">
        <v>12401</v>
      </c>
      <c r="B2399" s="515" t="s">
        <v>307</v>
      </c>
      <c r="C2399" s="52">
        <v>311285.45908967598</v>
      </c>
      <c r="D2399" s="56">
        <v>9.2711771965283657E-2</v>
      </c>
      <c r="E2399" s="224">
        <v>1712.5</v>
      </c>
      <c r="F2399" s="515" t="s">
        <v>3918</v>
      </c>
      <c r="G2399" s="52">
        <v>1109264.33868336</v>
      </c>
      <c r="H2399" s="56">
        <v>5.7944229830486881E-2</v>
      </c>
      <c r="I2399" s="224">
        <v>4100</v>
      </c>
    </row>
    <row r="2400" spans="1:9" x14ac:dyDescent="0.25">
      <c r="A2400" s="515">
        <v>6611</v>
      </c>
      <c r="B2400" s="515" t="s">
        <v>1173</v>
      </c>
      <c r="C2400" s="52">
        <v>517176.55491615698</v>
      </c>
      <c r="D2400" s="56">
        <v>8.6731224565968434E-2</v>
      </c>
      <c r="E2400" s="224" t="s">
        <v>2</v>
      </c>
      <c r="F2400" s="515" t="s">
        <v>3919</v>
      </c>
      <c r="G2400" s="52">
        <v>1074917.7631856599</v>
      </c>
      <c r="H2400" s="56">
        <v>0.16317309327513821</v>
      </c>
      <c r="I2400" s="224">
        <v>3525</v>
      </c>
    </row>
    <row r="2401" spans="1:9" x14ac:dyDescent="0.25">
      <c r="A2401" s="515">
        <v>76522</v>
      </c>
      <c r="B2401" s="515" t="s">
        <v>859</v>
      </c>
      <c r="C2401" s="52">
        <v>209855.662890907</v>
      </c>
      <c r="D2401" s="56">
        <v>0.13344597390923196</v>
      </c>
      <c r="E2401" s="224">
        <v>1093.79851398601</v>
      </c>
      <c r="F2401" s="515" t="s">
        <v>3920</v>
      </c>
      <c r="G2401" s="52">
        <v>176421.40930996</v>
      </c>
      <c r="H2401" s="56">
        <v>0.12443275125714297</v>
      </c>
      <c r="I2401" s="224">
        <v>1491.4583333333301</v>
      </c>
    </row>
    <row r="2402" spans="1:9" x14ac:dyDescent="0.25">
      <c r="A2402" s="515">
        <v>98056</v>
      </c>
      <c r="B2402" s="515" t="s">
        <v>384</v>
      </c>
      <c r="C2402" s="52">
        <v>764766.61790675099</v>
      </c>
      <c r="D2402" s="56">
        <v>3.5995780259638815E-2</v>
      </c>
      <c r="E2402" s="224">
        <v>2357.1684981684898</v>
      </c>
      <c r="F2402" s="515" t="s">
        <v>3921</v>
      </c>
      <c r="G2402" s="52">
        <v>534805.87576532899</v>
      </c>
      <c r="H2402" s="56">
        <v>2.3649607092768445E-2</v>
      </c>
      <c r="I2402" s="224">
        <v>2663.9111111111101</v>
      </c>
    </row>
    <row r="2403" spans="1:9" x14ac:dyDescent="0.25">
      <c r="A2403" s="515">
        <v>37601</v>
      </c>
      <c r="B2403" s="515" t="s">
        <v>988</v>
      </c>
      <c r="C2403" s="52">
        <v>212177.08166673299</v>
      </c>
      <c r="D2403" s="56">
        <v>9.4317720924217641E-2</v>
      </c>
      <c r="E2403" s="224">
        <v>1145.8333333333301</v>
      </c>
      <c r="F2403" s="515" t="s">
        <v>3922</v>
      </c>
      <c r="G2403" s="52">
        <v>1884754.8851459201</v>
      </c>
      <c r="H2403" s="56">
        <v>0.14008261287901855</v>
      </c>
      <c r="I2403" s="224">
        <v>3637.5</v>
      </c>
    </row>
    <row r="2404" spans="1:9" x14ac:dyDescent="0.25">
      <c r="A2404" s="515">
        <v>33030</v>
      </c>
      <c r="B2404" s="515" t="s">
        <v>831</v>
      </c>
      <c r="C2404" s="52">
        <v>415309.91895837302</v>
      </c>
      <c r="D2404" s="56">
        <v>0.13799477807383917</v>
      </c>
      <c r="E2404" s="224" t="s">
        <v>2</v>
      </c>
      <c r="F2404" s="515" t="s">
        <v>573</v>
      </c>
      <c r="G2404" s="52">
        <v>135329.06353099999</v>
      </c>
      <c r="H2404" s="56">
        <v>4.5739622720495018E-2</v>
      </c>
      <c r="I2404" s="224" t="s">
        <v>2</v>
      </c>
    </row>
    <row r="2405" spans="1:9" x14ac:dyDescent="0.25">
      <c r="A2405" s="515">
        <v>7017</v>
      </c>
      <c r="B2405" s="515" t="s">
        <v>324</v>
      </c>
      <c r="C2405" s="52">
        <v>367034.52250160201</v>
      </c>
      <c r="D2405" s="56">
        <v>8.8480877194350743E-2</v>
      </c>
      <c r="E2405" s="224">
        <v>1697.30555555555</v>
      </c>
      <c r="F2405" s="515" t="s">
        <v>731</v>
      </c>
      <c r="G2405" s="52">
        <v>250081.75433412599</v>
      </c>
      <c r="H2405" s="56">
        <v>7.6381060651012467E-2</v>
      </c>
      <c r="I2405" s="224">
        <v>1250</v>
      </c>
    </row>
    <row r="2406" spans="1:9" x14ac:dyDescent="0.25">
      <c r="A2406" s="515">
        <v>23059</v>
      </c>
      <c r="B2406" s="515" t="s">
        <v>667</v>
      </c>
      <c r="C2406" s="52">
        <v>487521.92235495697</v>
      </c>
      <c r="D2406" s="56">
        <v>-3.1419686307582004E-2</v>
      </c>
      <c r="E2406" s="224">
        <v>1977.62698412698</v>
      </c>
      <c r="F2406" s="515" t="s">
        <v>3923</v>
      </c>
      <c r="G2406" s="52">
        <v>961154.73180476297</v>
      </c>
      <c r="H2406" s="56">
        <v>0.19098572834974867</v>
      </c>
      <c r="I2406" s="224" t="s">
        <v>2</v>
      </c>
    </row>
    <row r="2407" spans="1:9" x14ac:dyDescent="0.25">
      <c r="A2407" s="515">
        <v>95825</v>
      </c>
      <c r="B2407" s="515" t="s">
        <v>355</v>
      </c>
      <c r="C2407" s="52">
        <v>391724.223262819</v>
      </c>
      <c r="D2407" s="56">
        <v>1.6573143201258143E-3</v>
      </c>
      <c r="E2407" s="224">
        <v>1788.8621794871699</v>
      </c>
      <c r="F2407" s="515" t="s">
        <v>694</v>
      </c>
      <c r="G2407" s="52">
        <v>153822.48445359999</v>
      </c>
      <c r="H2407" s="56">
        <v>0.10934421673585737</v>
      </c>
      <c r="I2407" s="224">
        <v>1057.3333333333301</v>
      </c>
    </row>
    <row r="2408" spans="1:9" x14ac:dyDescent="0.25">
      <c r="A2408" s="515">
        <v>1760</v>
      </c>
      <c r="B2408" s="515" t="s">
        <v>534</v>
      </c>
      <c r="C2408" s="52">
        <v>723841.74454165797</v>
      </c>
      <c r="D2408" s="56">
        <v>7.4801283373485697E-2</v>
      </c>
      <c r="E2408" s="224">
        <v>2675.0833333333298</v>
      </c>
      <c r="F2408" s="515" t="s">
        <v>3924</v>
      </c>
      <c r="G2408" s="52">
        <v>143188.51386250701</v>
      </c>
      <c r="H2408" s="56">
        <v>0.11249231356235842</v>
      </c>
      <c r="I2408" s="224" t="s">
        <v>2</v>
      </c>
    </row>
    <row r="2409" spans="1:9" x14ac:dyDescent="0.25">
      <c r="A2409" s="515">
        <v>65109</v>
      </c>
      <c r="B2409" s="515" t="s">
        <v>711</v>
      </c>
      <c r="C2409" s="52">
        <v>222030.832093142</v>
      </c>
      <c r="D2409" s="56">
        <v>7.6833184967715601E-2</v>
      </c>
      <c r="E2409" s="224" t="s">
        <v>2</v>
      </c>
      <c r="F2409" s="515" t="s">
        <v>3925</v>
      </c>
      <c r="G2409" s="52">
        <v>798768.481724952</v>
      </c>
      <c r="H2409" s="56">
        <v>2.0121442013280508E-2</v>
      </c>
      <c r="I2409" s="224">
        <v>2515.5</v>
      </c>
    </row>
    <row r="2410" spans="1:9" x14ac:dyDescent="0.25">
      <c r="A2410" s="515">
        <v>64804</v>
      </c>
      <c r="B2410" s="515" t="s">
        <v>784</v>
      </c>
      <c r="C2410" s="52">
        <v>203128.12304049099</v>
      </c>
      <c r="D2410" s="56">
        <v>0.14208538138457891</v>
      </c>
      <c r="E2410" s="224" t="s">
        <v>2</v>
      </c>
      <c r="F2410" s="515" t="s">
        <v>3926</v>
      </c>
      <c r="G2410" s="52">
        <v>163106.43402501199</v>
      </c>
      <c r="H2410" s="56">
        <v>5.5002245319637398E-2</v>
      </c>
      <c r="I2410" s="224">
        <v>965.27777777777703</v>
      </c>
    </row>
    <row r="2411" spans="1:9" x14ac:dyDescent="0.25">
      <c r="A2411" s="515">
        <v>19115</v>
      </c>
      <c r="B2411" s="515" t="s">
        <v>294</v>
      </c>
      <c r="C2411" s="52">
        <v>331482.13636322302</v>
      </c>
      <c r="D2411" s="56">
        <v>4.2000718345942802E-2</v>
      </c>
      <c r="E2411" s="224">
        <v>1478.6111111111099</v>
      </c>
      <c r="F2411" s="515" t="s">
        <v>3927</v>
      </c>
      <c r="G2411" s="52">
        <v>349407.31688291498</v>
      </c>
      <c r="H2411" s="56">
        <v>3.7353119155948543E-2</v>
      </c>
      <c r="I2411" s="224" t="s">
        <v>2</v>
      </c>
    </row>
    <row r="2412" spans="1:9" x14ac:dyDescent="0.25">
      <c r="A2412" s="515">
        <v>19805</v>
      </c>
      <c r="B2412" s="515" t="s">
        <v>294</v>
      </c>
      <c r="C2412" s="52">
        <v>185651.04959086099</v>
      </c>
      <c r="D2412" s="56">
        <v>0.10030247469698628</v>
      </c>
      <c r="E2412" s="224">
        <v>1508.3333333333301</v>
      </c>
      <c r="F2412" s="515" t="s">
        <v>3928</v>
      </c>
      <c r="G2412" s="52">
        <v>620080.44966922305</v>
      </c>
      <c r="H2412" s="56">
        <v>3.3230295241091917E-2</v>
      </c>
      <c r="I2412" s="224" t="s">
        <v>2</v>
      </c>
    </row>
    <row r="2413" spans="1:9" x14ac:dyDescent="0.25">
      <c r="A2413" s="515">
        <v>39110</v>
      </c>
      <c r="B2413" s="515" t="s">
        <v>851</v>
      </c>
      <c r="C2413" s="52">
        <v>359670.437087283</v>
      </c>
      <c r="D2413" s="56">
        <v>7.5166065674662622E-2</v>
      </c>
      <c r="E2413" s="224">
        <v>1893.75</v>
      </c>
      <c r="F2413" s="515" t="s">
        <v>3929</v>
      </c>
      <c r="G2413" s="52">
        <v>309871.16240289202</v>
      </c>
      <c r="H2413" s="56">
        <v>7.7918278589147807E-2</v>
      </c>
      <c r="I2413" s="224">
        <v>1763.81111111111</v>
      </c>
    </row>
    <row r="2414" spans="1:9" x14ac:dyDescent="0.25">
      <c r="A2414" s="515">
        <v>73401</v>
      </c>
      <c r="B2414" s="515" t="s">
        <v>710</v>
      </c>
      <c r="C2414" s="52">
        <v>158960.023603621</v>
      </c>
      <c r="D2414" s="56">
        <v>0.12941301484603634</v>
      </c>
      <c r="E2414" s="224">
        <v>1041.88888888888</v>
      </c>
      <c r="F2414" s="515" t="s">
        <v>3930</v>
      </c>
      <c r="G2414" s="52">
        <v>637150.69114479003</v>
      </c>
      <c r="H2414" s="56">
        <v>4.3962409714423549E-2</v>
      </c>
      <c r="I2414" s="224">
        <v>2541.5</v>
      </c>
    </row>
    <row r="2415" spans="1:9" x14ac:dyDescent="0.25">
      <c r="A2415" s="515">
        <v>80906</v>
      </c>
      <c r="B2415" s="515" t="s">
        <v>701</v>
      </c>
      <c r="C2415" s="52">
        <v>528597.43242275598</v>
      </c>
      <c r="D2415" s="56">
        <v>2.4483115046669453E-2</v>
      </c>
      <c r="E2415" s="224">
        <v>1726.82051282051</v>
      </c>
      <c r="F2415" s="515" t="s">
        <v>3931</v>
      </c>
      <c r="G2415" s="52">
        <v>196893.55205927699</v>
      </c>
      <c r="H2415" s="56">
        <v>9.563077068763022E-2</v>
      </c>
      <c r="I2415" s="224" t="s">
        <v>2</v>
      </c>
    </row>
    <row r="2416" spans="1:9" x14ac:dyDescent="0.25">
      <c r="A2416" s="515">
        <v>4240</v>
      </c>
      <c r="B2416" s="515" t="s">
        <v>1120</v>
      </c>
      <c r="C2416" s="52">
        <v>251106.28839886299</v>
      </c>
      <c r="D2416" s="56">
        <v>0.11086117327052515</v>
      </c>
      <c r="E2416" s="224">
        <v>990</v>
      </c>
      <c r="F2416" s="515" t="s">
        <v>899</v>
      </c>
      <c r="G2416" s="52">
        <v>166754.25440934199</v>
      </c>
      <c r="H2416" s="56">
        <v>0.11495327030353245</v>
      </c>
      <c r="I2416" s="224" t="s">
        <v>2</v>
      </c>
    </row>
    <row r="2417" spans="1:9" x14ac:dyDescent="0.25">
      <c r="A2417" s="515">
        <v>43040</v>
      </c>
      <c r="B2417" s="515" t="s">
        <v>345</v>
      </c>
      <c r="C2417" s="52">
        <v>322484.94984757202</v>
      </c>
      <c r="D2417" s="56">
        <v>8.3889859580182566E-2</v>
      </c>
      <c r="E2417" s="224">
        <v>1649.6111111111099</v>
      </c>
      <c r="F2417" s="515" t="s">
        <v>3932</v>
      </c>
      <c r="G2417" s="52">
        <v>475725.06659965799</v>
      </c>
      <c r="H2417" s="56">
        <v>6.9188189746082013E-2</v>
      </c>
      <c r="I2417" s="224" t="s">
        <v>2</v>
      </c>
    </row>
    <row r="2418" spans="1:9" x14ac:dyDescent="0.25">
      <c r="A2418" s="515">
        <v>46368</v>
      </c>
      <c r="B2418" s="515" t="s">
        <v>394</v>
      </c>
      <c r="C2418" s="52">
        <v>241460.51645608601</v>
      </c>
      <c r="D2418" s="56">
        <v>7.4822710539230175E-2</v>
      </c>
      <c r="E2418" s="224">
        <v>1235.55555555555</v>
      </c>
      <c r="F2418" s="515" t="s">
        <v>1135</v>
      </c>
      <c r="G2418" s="52">
        <v>217127.97194735499</v>
      </c>
      <c r="H2418" s="56">
        <v>0.11104136054834376</v>
      </c>
      <c r="I2418" s="224" t="s">
        <v>2</v>
      </c>
    </row>
    <row r="2419" spans="1:9" x14ac:dyDescent="0.25">
      <c r="A2419" s="515">
        <v>45701</v>
      </c>
      <c r="B2419" s="515" t="s">
        <v>578</v>
      </c>
      <c r="C2419" s="52">
        <v>201541.99976488599</v>
      </c>
      <c r="D2419" s="56">
        <v>5.9920782311773127E-2</v>
      </c>
      <c r="E2419" s="224">
        <v>950</v>
      </c>
      <c r="F2419" s="515" t="s">
        <v>3933</v>
      </c>
      <c r="G2419" s="52">
        <v>448222.66303967597</v>
      </c>
      <c r="H2419" s="56">
        <v>8.9528920571615198E-2</v>
      </c>
      <c r="I2419" s="224" t="s">
        <v>2</v>
      </c>
    </row>
    <row r="2420" spans="1:9" x14ac:dyDescent="0.25">
      <c r="A2420" s="515">
        <v>13501</v>
      </c>
      <c r="B2420" s="515" t="s">
        <v>543</v>
      </c>
      <c r="C2420" s="52">
        <v>166328.82732977701</v>
      </c>
      <c r="D2420" s="56">
        <v>9.6654283700288168E-2</v>
      </c>
      <c r="E2420" s="224" t="s">
        <v>2</v>
      </c>
      <c r="F2420" s="515" t="s">
        <v>3934</v>
      </c>
      <c r="G2420" s="52">
        <v>352553.73029231199</v>
      </c>
      <c r="H2420" s="56">
        <v>3.2502878361541296E-2</v>
      </c>
      <c r="I2420" s="224" t="s">
        <v>2</v>
      </c>
    </row>
    <row r="2421" spans="1:9" x14ac:dyDescent="0.25">
      <c r="A2421" s="515">
        <v>75087</v>
      </c>
      <c r="B2421" s="515" t="s">
        <v>458</v>
      </c>
      <c r="C2421" s="52">
        <v>441399.86177185399</v>
      </c>
      <c r="D2421" s="56">
        <v>9.4314537309379526E-2</v>
      </c>
      <c r="E2421" s="224">
        <v>1913.5833333333301</v>
      </c>
      <c r="F2421" s="515" t="s">
        <v>3935</v>
      </c>
      <c r="G2421" s="52">
        <v>455554.71981684101</v>
      </c>
      <c r="H2421" s="56">
        <v>3.6849369894095187E-2</v>
      </c>
      <c r="I2421" s="224" t="s">
        <v>2</v>
      </c>
    </row>
    <row r="2422" spans="1:9" x14ac:dyDescent="0.25">
      <c r="A2422" s="515">
        <v>43213</v>
      </c>
      <c r="B2422" s="515" t="s">
        <v>345</v>
      </c>
      <c r="C2422" s="52">
        <v>192407.74742511101</v>
      </c>
      <c r="D2422" s="56">
        <v>0.12376043207689404</v>
      </c>
      <c r="E2422" s="224">
        <v>1233.6500000000001</v>
      </c>
      <c r="F2422" s="515" t="s">
        <v>3936</v>
      </c>
      <c r="G2422" s="52">
        <v>194986.886646206</v>
      </c>
      <c r="H2422" s="56">
        <v>0.10674681409822348</v>
      </c>
      <c r="I2422" s="224">
        <v>1369.05555555555</v>
      </c>
    </row>
    <row r="2423" spans="1:9" x14ac:dyDescent="0.25">
      <c r="A2423" s="515">
        <v>27530</v>
      </c>
      <c r="B2423" s="515" t="s">
        <v>1178</v>
      </c>
      <c r="C2423" s="52">
        <v>156250.30175718601</v>
      </c>
      <c r="D2423" s="56">
        <v>0.13837456252874247</v>
      </c>
      <c r="E2423" s="224" t="s">
        <v>2</v>
      </c>
      <c r="F2423" s="515" t="s">
        <v>3937</v>
      </c>
      <c r="G2423" s="52">
        <v>290949.62681687402</v>
      </c>
      <c r="H2423" s="56">
        <v>4.6486073622751686E-2</v>
      </c>
      <c r="I2423" s="224" t="s">
        <v>2</v>
      </c>
    </row>
    <row r="2424" spans="1:9" x14ac:dyDescent="0.25">
      <c r="A2424" s="515">
        <v>19606</v>
      </c>
      <c r="B2424" s="515" t="s">
        <v>569</v>
      </c>
      <c r="C2424" s="52">
        <v>246393.570252081</v>
      </c>
      <c r="D2424" s="56">
        <v>0.12322027308206078</v>
      </c>
      <c r="E2424" s="224" t="s">
        <v>2</v>
      </c>
      <c r="F2424" s="515" t="s">
        <v>3938</v>
      </c>
      <c r="G2424" s="52">
        <v>264834.96229659801</v>
      </c>
      <c r="H2424" s="56">
        <v>6.110917956164108E-2</v>
      </c>
      <c r="I2424" s="224">
        <v>1395</v>
      </c>
    </row>
    <row r="2425" spans="1:9" x14ac:dyDescent="0.25">
      <c r="A2425" s="515">
        <v>34116</v>
      </c>
      <c r="B2425" s="515" t="s">
        <v>365</v>
      </c>
      <c r="C2425" s="52">
        <v>427056.02841729199</v>
      </c>
      <c r="D2425" s="56">
        <v>7.6561685140908692E-2</v>
      </c>
      <c r="E2425" s="224" t="s">
        <v>2</v>
      </c>
      <c r="F2425" s="515" t="s">
        <v>3939</v>
      </c>
      <c r="G2425" s="52">
        <v>407544.55252106901</v>
      </c>
      <c r="H2425" s="56">
        <v>8.3895234329559074E-2</v>
      </c>
      <c r="I2425" s="224">
        <v>2051.4285714285702</v>
      </c>
    </row>
    <row r="2426" spans="1:9" x14ac:dyDescent="0.25">
      <c r="A2426" s="515">
        <v>75077</v>
      </c>
      <c r="B2426" s="515" t="s">
        <v>458</v>
      </c>
      <c r="C2426" s="52">
        <v>468433.905808285</v>
      </c>
      <c r="D2426" s="56">
        <v>7.5474474118786397E-2</v>
      </c>
      <c r="E2426" s="224">
        <v>2282.5555555555502</v>
      </c>
      <c r="F2426" s="515" t="s">
        <v>3940</v>
      </c>
      <c r="G2426" s="52">
        <v>515528.322749238</v>
      </c>
      <c r="H2426" s="56">
        <v>9.628315745748435E-2</v>
      </c>
      <c r="I2426" s="224" t="s">
        <v>2</v>
      </c>
    </row>
    <row r="2427" spans="1:9" x14ac:dyDescent="0.25">
      <c r="A2427" s="515">
        <v>53211</v>
      </c>
      <c r="B2427" s="515" t="s">
        <v>950</v>
      </c>
      <c r="C2427" s="52">
        <v>400172.635798865</v>
      </c>
      <c r="D2427" s="56">
        <v>6.3647432578935972E-2</v>
      </c>
      <c r="E2427" s="224">
        <v>1381.7455716586101</v>
      </c>
      <c r="F2427" s="515" t="s">
        <v>3941</v>
      </c>
      <c r="G2427" s="52">
        <v>398690.18105903798</v>
      </c>
      <c r="H2427" s="56">
        <v>5.5060806053429154E-2</v>
      </c>
      <c r="I2427" s="224" t="s">
        <v>2</v>
      </c>
    </row>
    <row r="2428" spans="1:9" x14ac:dyDescent="0.25">
      <c r="A2428" s="515">
        <v>90062</v>
      </c>
      <c r="B2428" s="515" t="s">
        <v>375</v>
      </c>
      <c r="C2428" s="52">
        <v>686382.89847695804</v>
      </c>
      <c r="D2428" s="56">
        <v>3.686116746911948E-2</v>
      </c>
      <c r="E2428" s="224" t="s">
        <v>2</v>
      </c>
      <c r="F2428" s="515" t="s">
        <v>917</v>
      </c>
      <c r="G2428" s="52">
        <v>131176.57618245599</v>
      </c>
      <c r="H2428" s="56">
        <v>8.8867646572323558E-2</v>
      </c>
      <c r="I2428" s="224" t="s">
        <v>2</v>
      </c>
    </row>
    <row r="2429" spans="1:9" x14ac:dyDescent="0.25">
      <c r="A2429" s="515">
        <v>95476</v>
      </c>
      <c r="B2429" s="515" t="s">
        <v>331</v>
      </c>
      <c r="C2429" s="52">
        <v>939965.36958784296</v>
      </c>
      <c r="D2429" s="56">
        <v>1.7263474591299375E-2</v>
      </c>
      <c r="E2429" s="224">
        <v>3043.0555555555502</v>
      </c>
      <c r="F2429" s="515" t="s">
        <v>3942</v>
      </c>
      <c r="G2429" s="52">
        <v>348765.71860935999</v>
      </c>
      <c r="H2429" s="56">
        <v>5.179869000262062E-2</v>
      </c>
      <c r="I2429" s="224" t="s">
        <v>2</v>
      </c>
    </row>
    <row r="2430" spans="1:9" x14ac:dyDescent="0.25">
      <c r="A2430" s="515">
        <v>55016</v>
      </c>
      <c r="B2430" s="515" t="s">
        <v>532</v>
      </c>
      <c r="C2430" s="52">
        <v>354013.25391536701</v>
      </c>
      <c r="D2430" s="56">
        <v>3.7688065151790316E-2</v>
      </c>
      <c r="E2430" s="224">
        <v>1690</v>
      </c>
      <c r="F2430" s="515" t="s">
        <v>3943</v>
      </c>
      <c r="G2430" s="52">
        <v>369457.04979029601</v>
      </c>
      <c r="H2430" s="56">
        <v>3.5836119696979224E-2</v>
      </c>
      <c r="I2430" s="224" t="s">
        <v>2</v>
      </c>
    </row>
    <row r="2431" spans="1:9" x14ac:dyDescent="0.25">
      <c r="A2431" s="515">
        <v>44105</v>
      </c>
      <c r="B2431" s="515" t="s">
        <v>520</v>
      </c>
      <c r="C2431" s="52">
        <v>57856.018330526997</v>
      </c>
      <c r="D2431" s="56">
        <v>0.14155909820014884</v>
      </c>
      <c r="E2431" s="224">
        <v>896.388888888888</v>
      </c>
      <c r="F2431" s="515" t="s">
        <v>3944</v>
      </c>
      <c r="G2431" s="52">
        <v>290300.217155608</v>
      </c>
      <c r="H2431" s="56">
        <v>0.13523297912821144</v>
      </c>
      <c r="I2431" s="224">
        <v>1841.0777777777701</v>
      </c>
    </row>
    <row r="2432" spans="1:9" x14ac:dyDescent="0.25">
      <c r="A2432" s="515">
        <v>29301</v>
      </c>
      <c r="B2432" s="515" t="s">
        <v>447</v>
      </c>
      <c r="C2432" s="52">
        <v>211850.541391128</v>
      </c>
      <c r="D2432" s="56">
        <v>0.13787945407957042</v>
      </c>
      <c r="E2432" s="224">
        <v>1213.80952380952</v>
      </c>
      <c r="F2432" s="515" t="s">
        <v>3945</v>
      </c>
      <c r="G2432" s="52">
        <v>243813.45302644899</v>
      </c>
      <c r="H2432" s="56">
        <v>6.1278095860294923E-2</v>
      </c>
      <c r="I2432" s="224" t="s">
        <v>2</v>
      </c>
    </row>
    <row r="2433" spans="1:9" x14ac:dyDescent="0.25">
      <c r="A2433" s="515">
        <v>80817</v>
      </c>
      <c r="B2433" s="515" t="s">
        <v>701</v>
      </c>
      <c r="C2433" s="52">
        <v>392939.87357725197</v>
      </c>
      <c r="D2433" s="56">
        <v>8.0726104177758287E-3</v>
      </c>
      <c r="E2433" s="224">
        <v>1989.3571428571399</v>
      </c>
      <c r="F2433" s="515" t="s">
        <v>947</v>
      </c>
      <c r="G2433" s="52">
        <v>144433.013193413</v>
      </c>
      <c r="H2433" s="56">
        <v>2.8228250515026929E-3</v>
      </c>
      <c r="I2433" s="224" t="s">
        <v>2</v>
      </c>
    </row>
    <row r="2434" spans="1:9" x14ac:dyDescent="0.25">
      <c r="A2434" s="515">
        <v>28562</v>
      </c>
      <c r="B2434" s="515" t="s">
        <v>574</v>
      </c>
      <c r="C2434" s="52">
        <v>271183.32315838302</v>
      </c>
      <c r="D2434" s="56">
        <v>0.13254889723448343</v>
      </c>
      <c r="E2434" s="224" t="s">
        <v>2</v>
      </c>
      <c r="F2434" s="515" t="s">
        <v>1179</v>
      </c>
      <c r="G2434" s="52">
        <v>170813.42997215799</v>
      </c>
      <c r="H2434" s="56">
        <v>0.18697138543675795</v>
      </c>
      <c r="I2434" s="224" t="s">
        <v>2</v>
      </c>
    </row>
    <row r="2435" spans="1:9" x14ac:dyDescent="0.25">
      <c r="A2435" s="515">
        <v>23231</v>
      </c>
      <c r="B2435" s="515" t="s">
        <v>667</v>
      </c>
      <c r="C2435" s="52">
        <v>297698.53958400601</v>
      </c>
      <c r="D2435" s="56">
        <v>0.1735741172996885</v>
      </c>
      <c r="E2435" s="224">
        <v>1482.8333333333301</v>
      </c>
      <c r="F2435" s="515" t="s">
        <v>3946</v>
      </c>
      <c r="G2435" s="52">
        <v>344822.88429537299</v>
      </c>
      <c r="H2435" s="56">
        <v>9.9802299224045626E-2</v>
      </c>
      <c r="I2435" s="224" t="s">
        <v>2</v>
      </c>
    </row>
    <row r="2436" spans="1:9" x14ac:dyDescent="0.25">
      <c r="A2436" s="515">
        <v>61701</v>
      </c>
      <c r="B2436" s="515" t="s">
        <v>645</v>
      </c>
      <c r="C2436" s="52">
        <v>140172.585427427</v>
      </c>
      <c r="D2436" s="56">
        <v>0.12609689622886847</v>
      </c>
      <c r="E2436" s="224">
        <v>1182.9166666666599</v>
      </c>
      <c r="F2436" s="515" t="s">
        <v>720</v>
      </c>
      <c r="G2436" s="52">
        <v>196068.31728429499</v>
      </c>
      <c r="H2436" s="56">
        <v>9.725721062063146E-2</v>
      </c>
      <c r="I2436" s="224" t="s">
        <v>2</v>
      </c>
    </row>
    <row r="2437" spans="1:9" x14ac:dyDescent="0.25">
      <c r="A2437" s="515">
        <v>2127</v>
      </c>
      <c r="B2437" s="515" t="s">
        <v>534</v>
      </c>
      <c r="C2437" s="52">
        <v>747832.84004003298</v>
      </c>
      <c r="D2437" s="56">
        <v>-2.229812020819592E-2</v>
      </c>
      <c r="E2437" s="224">
        <v>3344.7719680464702</v>
      </c>
      <c r="F2437" s="515" t="s">
        <v>3947</v>
      </c>
      <c r="G2437" s="52">
        <v>140467.98292435499</v>
      </c>
      <c r="H2437" s="56">
        <v>2.4989590768463101E-2</v>
      </c>
      <c r="I2437" s="224" t="s">
        <v>2</v>
      </c>
    </row>
    <row r="2438" spans="1:9" x14ac:dyDescent="0.25">
      <c r="A2438" s="515">
        <v>21075</v>
      </c>
      <c r="B2438" s="515" t="s">
        <v>582</v>
      </c>
      <c r="C2438" s="52">
        <v>435350.23958966299</v>
      </c>
      <c r="D2438" s="56">
        <v>3.6197931545531532E-2</v>
      </c>
      <c r="E2438" s="224">
        <v>2093.1449494949402</v>
      </c>
      <c r="F2438" s="515" t="s">
        <v>3948</v>
      </c>
      <c r="G2438" s="52">
        <v>310853.94892863999</v>
      </c>
      <c r="H2438" s="56">
        <v>8.4781871476913476E-2</v>
      </c>
      <c r="I2438" s="224">
        <v>2026.5</v>
      </c>
    </row>
    <row r="2439" spans="1:9" x14ac:dyDescent="0.25">
      <c r="A2439" s="515">
        <v>44120</v>
      </c>
      <c r="B2439" s="515" t="s">
        <v>520</v>
      </c>
      <c r="C2439" s="52">
        <v>117514.352069032</v>
      </c>
      <c r="D2439" s="56">
        <v>3.3105744975872944E-2</v>
      </c>
      <c r="E2439" s="224">
        <v>1062.88888888888</v>
      </c>
      <c r="F2439" s="515" t="s">
        <v>3949</v>
      </c>
      <c r="G2439" s="52">
        <v>1306066.6401989199</v>
      </c>
      <c r="H2439" s="56">
        <v>4.0799524456247918E-2</v>
      </c>
      <c r="I2439" s="224">
        <v>3612.5</v>
      </c>
    </row>
    <row r="2440" spans="1:9" x14ac:dyDescent="0.25">
      <c r="A2440" s="515">
        <v>30078</v>
      </c>
      <c r="B2440" s="515" t="s">
        <v>957</v>
      </c>
      <c r="C2440" s="52">
        <v>350882.26032698702</v>
      </c>
      <c r="D2440" s="56">
        <v>8.8469112844899875E-2</v>
      </c>
      <c r="E2440" s="224">
        <v>2007.55555555555</v>
      </c>
      <c r="F2440" s="515" t="s">
        <v>3950</v>
      </c>
      <c r="G2440" s="52">
        <v>258224.417713439</v>
      </c>
      <c r="H2440" s="56">
        <v>0.104242190212038</v>
      </c>
      <c r="I2440" s="224">
        <v>1605.44444444444</v>
      </c>
    </row>
    <row r="2441" spans="1:9" x14ac:dyDescent="0.25">
      <c r="A2441" s="515">
        <v>92139</v>
      </c>
      <c r="B2441" s="515" t="s">
        <v>396</v>
      </c>
      <c r="C2441" s="52">
        <v>628730.77993419603</v>
      </c>
      <c r="D2441" s="56">
        <v>7.7195792249965367E-2</v>
      </c>
      <c r="E2441" s="224">
        <v>2856.6666666666601</v>
      </c>
      <c r="F2441" s="515" t="s">
        <v>3951</v>
      </c>
      <c r="G2441" s="52">
        <v>275485.02812388702</v>
      </c>
      <c r="H2441" s="56">
        <v>7.4923683795270812E-2</v>
      </c>
      <c r="I2441" s="224">
        <v>1742.5</v>
      </c>
    </row>
    <row r="2442" spans="1:9" x14ac:dyDescent="0.25">
      <c r="A2442" s="515">
        <v>77389</v>
      </c>
      <c r="B2442" s="515" t="s">
        <v>314</v>
      </c>
      <c r="C2442" s="52">
        <v>445486.27319712902</v>
      </c>
      <c r="D2442" s="56">
        <v>9.461064706058292E-2</v>
      </c>
      <c r="E2442" s="224">
        <v>1951.1666666666599</v>
      </c>
      <c r="F2442" s="515" t="s">
        <v>3952</v>
      </c>
      <c r="G2442" s="52">
        <v>440121.383064911</v>
      </c>
      <c r="H2442" s="56">
        <v>4.3560634583145283E-2</v>
      </c>
      <c r="I2442" s="224">
        <v>2035</v>
      </c>
    </row>
    <row r="2443" spans="1:9" x14ac:dyDescent="0.25">
      <c r="A2443" s="515">
        <v>48127</v>
      </c>
      <c r="B2443" s="515" t="s">
        <v>685</v>
      </c>
      <c r="C2443" s="52">
        <v>212537.25844900601</v>
      </c>
      <c r="D2443" s="56">
        <v>6.5466311419451265E-2</v>
      </c>
      <c r="E2443" s="224" t="s">
        <v>2</v>
      </c>
      <c r="F2443" s="515" t="s">
        <v>3953</v>
      </c>
      <c r="G2443" s="52">
        <v>213865.87090244301</v>
      </c>
      <c r="H2443" s="56">
        <v>6.9363099128495198E-2</v>
      </c>
      <c r="I2443" s="224" t="s">
        <v>2</v>
      </c>
    </row>
    <row r="2444" spans="1:9" x14ac:dyDescent="0.25">
      <c r="A2444" s="515">
        <v>32707</v>
      </c>
      <c r="B2444" s="515" t="s">
        <v>517</v>
      </c>
      <c r="C2444" s="52">
        <v>334906.66161250399</v>
      </c>
      <c r="D2444" s="56">
        <v>0.12321691494785146</v>
      </c>
      <c r="E2444" s="224">
        <v>2000.2916666666599</v>
      </c>
      <c r="F2444" s="515" t="s">
        <v>3954</v>
      </c>
      <c r="G2444" s="52">
        <v>580050.50157054898</v>
      </c>
      <c r="H2444" s="56">
        <v>8.5137119822509863E-2</v>
      </c>
      <c r="I2444" s="224">
        <v>2500</v>
      </c>
    </row>
    <row r="2445" spans="1:9" x14ac:dyDescent="0.25">
      <c r="A2445" s="515">
        <v>32207</v>
      </c>
      <c r="B2445" s="515" t="s">
        <v>1158</v>
      </c>
      <c r="C2445" s="52">
        <v>267579.22749544098</v>
      </c>
      <c r="D2445" s="56">
        <v>0.14105921652367251</v>
      </c>
      <c r="E2445" s="224">
        <v>1617.38426279602</v>
      </c>
      <c r="F2445" s="515" t="s">
        <v>3955</v>
      </c>
      <c r="G2445" s="52">
        <v>607495.40682737296</v>
      </c>
      <c r="H2445" s="56">
        <v>5.0452483788662877E-2</v>
      </c>
      <c r="I2445" s="224" t="s">
        <v>2</v>
      </c>
    </row>
    <row r="2446" spans="1:9" x14ac:dyDescent="0.25">
      <c r="A2446" s="515">
        <v>95632</v>
      </c>
      <c r="B2446" s="515" t="s">
        <v>355</v>
      </c>
      <c r="C2446" s="52">
        <v>494792.95969562797</v>
      </c>
      <c r="D2446" s="56">
        <v>8.3333159372316647E-3</v>
      </c>
      <c r="E2446" s="224">
        <v>2100</v>
      </c>
      <c r="F2446" s="515" t="s">
        <v>3956</v>
      </c>
      <c r="G2446" s="52">
        <v>439428.290124772</v>
      </c>
      <c r="H2446" s="56">
        <v>8.2751156030485037E-2</v>
      </c>
      <c r="I2446" s="224" t="s">
        <v>2</v>
      </c>
    </row>
    <row r="2447" spans="1:9" x14ac:dyDescent="0.25">
      <c r="A2447" s="515">
        <v>34203</v>
      </c>
      <c r="B2447" s="515" t="s">
        <v>466</v>
      </c>
      <c r="C2447" s="52">
        <v>417359.651430086</v>
      </c>
      <c r="D2447" s="56">
        <v>0.14953092551365613</v>
      </c>
      <c r="E2447" s="224">
        <v>2930.1111111111099</v>
      </c>
      <c r="F2447" s="515" t="s">
        <v>906</v>
      </c>
      <c r="G2447" s="52">
        <v>126519.796342245</v>
      </c>
      <c r="H2447" s="56">
        <v>1.2021813061203805E-2</v>
      </c>
      <c r="I2447" s="224" t="s">
        <v>2</v>
      </c>
    </row>
    <row r="2448" spans="1:9" x14ac:dyDescent="0.25">
      <c r="A2448" s="515">
        <v>28056</v>
      </c>
      <c r="B2448" s="515" t="s">
        <v>360</v>
      </c>
      <c r="C2448" s="52">
        <v>333256.67102707899</v>
      </c>
      <c r="D2448" s="56">
        <v>9.7526531264150881E-2</v>
      </c>
      <c r="E2448" s="224">
        <v>1809.94444444444</v>
      </c>
      <c r="F2448" s="515" t="s">
        <v>3957</v>
      </c>
      <c r="G2448" s="52">
        <v>316491.97864135599</v>
      </c>
      <c r="H2448" s="56">
        <v>1.7559874670806393E-2</v>
      </c>
      <c r="I2448" s="224" t="s">
        <v>2</v>
      </c>
    </row>
    <row r="2449" spans="1:9" x14ac:dyDescent="0.25">
      <c r="A2449" s="515">
        <v>96782</v>
      </c>
      <c r="B2449" s="515" t="s">
        <v>1029</v>
      </c>
      <c r="C2449" s="52">
        <v>920909.02506127197</v>
      </c>
      <c r="D2449" s="56">
        <v>7.4640720733454069E-2</v>
      </c>
      <c r="E2449" s="224">
        <v>2427.0833333333298</v>
      </c>
      <c r="F2449" s="515" t="s">
        <v>933</v>
      </c>
      <c r="G2449" s="52">
        <v>138099.95251095499</v>
      </c>
      <c r="H2449" s="56">
        <v>0.22012258019642447</v>
      </c>
      <c r="I2449" s="224" t="s">
        <v>2</v>
      </c>
    </row>
    <row r="2450" spans="1:9" x14ac:dyDescent="0.25">
      <c r="A2450" s="515">
        <v>98908</v>
      </c>
      <c r="B2450" s="515" t="s">
        <v>948</v>
      </c>
      <c r="C2450" s="52">
        <v>384442.843227587</v>
      </c>
      <c r="D2450" s="56">
        <v>3.450302423490461E-2</v>
      </c>
      <c r="E2450" s="224" t="s">
        <v>2</v>
      </c>
      <c r="F2450" s="515" t="s">
        <v>3958</v>
      </c>
      <c r="G2450" s="52">
        <v>341032.12036464002</v>
      </c>
      <c r="H2450" s="56">
        <v>3.5238694698826248E-2</v>
      </c>
      <c r="I2450" s="224" t="s">
        <v>2</v>
      </c>
    </row>
    <row r="2451" spans="1:9" x14ac:dyDescent="0.25">
      <c r="A2451" s="515">
        <v>43402</v>
      </c>
      <c r="B2451" s="515" t="s">
        <v>300</v>
      </c>
      <c r="C2451" s="52">
        <v>227849.92530877999</v>
      </c>
      <c r="D2451" s="56">
        <v>6.3771433555871559E-2</v>
      </c>
      <c r="E2451" s="224" t="s">
        <v>2</v>
      </c>
      <c r="F2451" s="515" t="s">
        <v>3959</v>
      </c>
      <c r="G2451" s="52">
        <v>316286.135525861</v>
      </c>
      <c r="H2451" s="56">
        <v>0.11151662505783186</v>
      </c>
      <c r="I2451" s="224">
        <v>1991.6666666666599</v>
      </c>
    </row>
    <row r="2452" spans="1:9" x14ac:dyDescent="0.25">
      <c r="A2452" s="515">
        <v>92660</v>
      </c>
      <c r="B2452" s="515" t="s">
        <v>375</v>
      </c>
      <c r="C2452" s="52">
        <v>2408730.3411866701</v>
      </c>
      <c r="D2452" s="56">
        <v>8.3823998957929191E-2</v>
      </c>
      <c r="E2452" s="224">
        <v>4051.7806776556699</v>
      </c>
      <c r="F2452" s="515" t="s">
        <v>3960</v>
      </c>
      <c r="G2452" s="52">
        <v>645173.88401333604</v>
      </c>
      <c r="H2452" s="56">
        <v>4.5904197835457426E-2</v>
      </c>
      <c r="I2452" s="224" t="s">
        <v>2</v>
      </c>
    </row>
    <row r="2453" spans="1:9" x14ac:dyDescent="0.25">
      <c r="A2453" s="515">
        <v>1810</v>
      </c>
      <c r="B2453" s="515" t="s">
        <v>534</v>
      </c>
      <c r="C2453" s="52">
        <v>823274.04701565905</v>
      </c>
      <c r="D2453" s="56">
        <v>6.4190182485429195E-2</v>
      </c>
      <c r="E2453" s="224">
        <v>2519.2666666666601</v>
      </c>
      <c r="F2453" s="515" t="s">
        <v>3961</v>
      </c>
      <c r="G2453" s="52">
        <v>83938.831777311905</v>
      </c>
      <c r="H2453" s="56">
        <v>0.11219873627118124</v>
      </c>
      <c r="I2453" s="224">
        <v>1140.19047619047</v>
      </c>
    </row>
    <row r="2454" spans="1:9" x14ac:dyDescent="0.25">
      <c r="A2454" s="515">
        <v>28311</v>
      </c>
      <c r="B2454" s="515" t="s">
        <v>1149</v>
      </c>
      <c r="C2454" s="52">
        <v>199862.03618634099</v>
      </c>
      <c r="D2454" s="56">
        <v>0.17923619051273265</v>
      </c>
      <c r="E2454" s="224">
        <v>1416.0416666666599</v>
      </c>
      <c r="F2454" s="515" t="s">
        <v>3962</v>
      </c>
      <c r="G2454" s="52">
        <v>410076.77782953699</v>
      </c>
      <c r="H2454" s="56">
        <v>8.7439484611675056E-2</v>
      </c>
      <c r="I2454" s="224">
        <v>2154.38888888888</v>
      </c>
    </row>
    <row r="2455" spans="1:9" x14ac:dyDescent="0.25">
      <c r="A2455" s="515">
        <v>92694</v>
      </c>
      <c r="B2455" s="515" t="s">
        <v>375</v>
      </c>
      <c r="C2455" s="52">
        <v>1110039.1659528599</v>
      </c>
      <c r="D2455" s="56">
        <v>9.377195063147381E-2</v>
      </c>
      <c r="E2455" s="224">
        <v>3266.9613756613699</v>
      </c>
      <c r="F2455" s="515" t="s">
        <v>3963</v>
      </c>
      <c r="G2455" s="52">
        <v>374307.796360737</v>
      </c>
      <c r="H2455" s="56">
        <v>5.9648114600149481E-2</v>
      </c>
      <c r="I2455" s="224" t="s">
        <v>2</v>
      </c>
    </row>
    <row r="2456" spans="1:9" x14ac:dyDescent="0.25">
      <c r="A2456" s="515">
        <v>49341</v>
      </c>
      <c r="B2456" s="515" t="s">
        <v>631</v>
      </c>
      <c r="C2456" s="52">
        <v>370531.38834473101</v>
      </c>
      <c r="D2456" s="56">
        <v>4.7476520119564013E-2</v>
      </c>
      <c r="E2456" s="224" t="s">
        <v>2</v>
      </c>
      <c r="F2456" s="515" t="s">
        <v>3964</v>
      </c>
      <c r="G2456" s="52">
        <v>312301.388468978</v>
      </c>
      <c r="H2456" s="56">
        <v>0.13169783174592067</v>
      </c>
      <c r="I2456" s="224" t="s">
        <v>2</v>
      </c>
    </row>
    <row r="2457" spans="1:9" x14ac:dyDescent="0.25">
      <c r="A2457" s="515">
        <v>94044</v>
      </c>
      <c r="B2457" s="515" t="s">
        <v>593</v>
      </c>
      <c r="C2457" s="52">
        <v>1218583.1546577399</v>
      </c>
      <c r="D2457" s="56">
        <v>-1.572461757123235E-3</v>
      </c>
      <c r="E2457" s="224">
        <v>2999.875</v>
      </c>
      <c r="F2457" s="515" t="s">
        <v>3965</v>
      </c>
      <c r="G2457" s="52">
        <v>284150.90270809602</v>
      </c>
      <c r="H2457" s="56">
        <v>7.5583868890306299E-2</v>
      </c>
      <c r="I2457" s="224" t="s">
        <v>2</v>
      </c>
    </row>
    <row r="2458" spans="1:9" x14ac:dyDescent="0.25">
      <c r="A2458" s="515">
        <v>46835</v>
      </c>
      <c r="B2458" s="515" t="s">
        <v>1031</v>
      </c>
      <c r="C2458" s="52">
        <v>218201.099575039</v>
      </c>
      <c r="D2458" s="56">
        <v>7.9914231518907211E-2</v>
      </c>
      <c r="E2458" s="224">
        <v>1869</v>
      </c>
      <c r="F2458" s="515" t="s">
        <v>3966</v>
      </c>
      <c r="G2458" s="52">
        <v>343860.637182659</v>
      </c>
      <c r="H2458" s="56">
        <v>6.5096692180497032E-2</v>
      </c>
      <c r="I2458" s="224">
        <v>2033.06802413273</v>
      </c>
    </row>
    <row r="2459" spans="1:9" x14ac:dyDescent="0.25">
      <c r="A2459" s="515">
        <v>33462</v>
      </c>
      <c r="B2459" s="515" t="s">
        <v>831</v>
      </c>
      <c r="C2459" s="52">
        <v>372143.44330867298</v>
      </c>
      <c r="D2459" s="56">
        <v>0.13224000834441141</v>
      </c>
      <c r="E2459" s="224">
        <v>2690.1482683982599</v>
      </c>
      <c r="F2459" s="515" t="s">
        <v>3967</v>
      </c>
      <c r="G2459" s="52">
        <v>292669.27036392898</v>
      </c>
      <c r="H2459" s="56">
        <v>1.3749607778944595E-2</v>
      </c>
      <c r="I2459" s="224" t="s">
        <v>2</v>
      </c>
    </row>
    <row r="2460" spans="1:9" x14ac:dyDescent="0.25">
      <c r="A2460" s="515">
        <v>47802</v>
      </c>
      <c r="B2460" s="515" t="s">
        <v>318</v>
      </c>
      <c r="C2460" s="52">
        <v>155143.63953989299</v>
      </c>
      <c r="D2460" s="56">
        <v>7.7441264314846964E-2</v>
      </c>
      <c r="E2460" s="224">
        <v>843</v>
      </c>
      <c r="F2460" s="515" t="s">
        <v>3968</v>
      </c>
      <c r="G2460" s="52">
        <v>261007.19994765101</v>
      </c>
      <c r="H2460" s="56">
        <v>0.15227135154500526</v>
      </c>
      <c r="I2460" s="224" t="s">
        <v>2</v>
      </c>
    </row>
    <row r="2461" spans="1:9" x14ac:dyDescent="0.25">
      <c r="A2461" s="515">
        <v>77571</v>
      </c>
      <c r="B2461" s="515" t="s">
        <v>314</v>
      </c>
      <c r="C2461" s="52">
        <v>245415.03241611901</v>
      </c>
      <c r="D2461" s="56">
        <v>8.2403971533307876E-2</v>
      </c>
      <c r="E2461" s="224">
        <v>1617.8333333333301</v>
      </c>
      <c r="F2461" s="515" t="s">
        <v>3969</v>
      </c>
      <c r="G2461" s="52">
        <v>634429.82198652904</v>
      </c>
      <c r="H2461" s="56">
        <v>7.1417196121934257E-2</v>
      </c>
      <c r="I2461" s="224" t="s">
        <v>2</v>
      </c>
    </row>
    <row r="2462" spans="1:9" x14ac:dyDescent="0.25">
      <c r="A2462" s="515">
        <v>80205</v>
      </c>
      <c r="B2462" s="515" t="s">
        <v>401</v>
      </c>
      <c r="C2462" s="52">
        <v>600641.46257258102</v>
      </c>
      <c r="D2462" s="56">
        <v>2.9412211948930064E-2</v>
      </c>
      <c r="E2462" s="224">
        <v>1993.9061055316399</v>
      </c>
      <c r="F2462" s="515" t="s">
        <v>3970</v>
      </c>
      <c r="G2462" s="52">
        <v>295265.57821782399</v>
      </c>
      <c r="H2462" s="56">
        <v>6.0811946895832712E-2</v>
      </c>
      <c r="I2462" s="224">
        <v>1660.5</v>
      </c>
    </row>
    <row r="2463" spans="1:9" x14ac:dyDescent="0.25">
      <c r="A2463" s="515">
        <v>27030</v>
      </c>
      <c r="B2463" s="515" t="s">
        <v>1046</v>
      </c>
      <c r="C2463" s="52">
        <v>171301.33789212999</v>
      </c>
      <c r="D2463" s="56">
        <v>7.3569520098674651E-2</v>
      </c>
      <c r="E2463" s="224" t="s">
        <v>2</v>
      </c>
      <c r="F2463" s="515" t="s">
        <v>1197</v>
      </c>
      <c r="G2463" s="52">
        <v>212664.93767745301</v>
      </c>
      <c r="H2463" s="56">
        <v>0.10088427187517217</v>
      </c>
      <c r="I2463" s="224" t="s">
        <v>2</v>
      </c>
    </row>
    <row r="2464" spans="1:9" x14ac:dyDescent="0.25">
      <c r="A2464" s="515">
        <v>84095</v>
      </c>
      <c r="B2464" s="515" t="s">
        <v>617</v>
      </c>
      <c r="C2464" s="52">
        <v>718564.200837565</v>
      </c>
      <c r="D2464" s="56">
        <v>1.4809893904772839E-2</v>
      </c>
      <c r="E2464" s="224">
        <v>2048.3333333333298</v>
      </c>
      <c r="F2464" s="515" t="s">
        <v>3971</v>
      </c>
      <c r="G2464" s="52">
        <v>266350.09615386202</v>
      </c>
      <c r="H2464" s="56">
        <v>7.1216182071253104E-2</v>
      </c>
      <c r="I2464" s="224">
        <v>1958.75</v>
      </c>
    </row>
    <row r="2465" spans="1:9" x14ac:dyDescent="0.25">
      <c r="A2465" s="515">
        <v>93060</v>
      </c>
      <c r="B2465" s="515" t="s">
        <v>1021</v>
      </c>
      <c r="C2465" s="52">
        <v>609386.62912203802</v>
      </c>
      <c r="D2465" s="56">
        <v>3.8850503504163629E-2</v>
      </c>
      <c r="E2465" s="224" t="s">
        <v>2</v>
      </c>
      <c r="F2465" s="515" t="s">
        <v>3972</v>
      </c>
      <c r="G2465" s="52">
        <v>416708.04117005499</v>
      </c>
      <c r="H2465" s="56">
        <v>0.13188070303619739</v>
      </c>
      <c r="I2465" s="224">
        <v>2055</v>
      </c>
    </row>
    <row r="2466" spans="1:9" x14ac:dyDescent="0.25">
      <c r="A2466" s="515">
        <v>19904</v>
      </c>
      <c r="B2466" s="515" t="s">
        <v>410</v>
      </c>
      <c r="C2466" s="52">
        <v>289354.681688565</v>
      </c>
      <c r="D2466" s="56">
        <v>9.0478392549853126E-2</v>
      </c>
      <c r="E2466" s="224">
        <v>1664.125</v>
      </c>
      <c r="F2466" s="515" t="s">
        <v>3973</v>
      </c>
      <c r="G2466" s="52">
        <v>452670.71688563802</v>
      </c>
      <c r="H2466" s="56">
        <v>5.8003314763870578E-2</v>
      </c>
      <c r="I2466" s="224" t="s">
        <v>2</v>
      </c>
    </row>
    <row r="2467" spans="1:9" x14ac:dyDescent="0.25">
      <c r="A2467" s="515">
        <v>28409</v>
      </c>
      <c r="B2467" s="515" t="s">
        <v>1038</v>
      </c>
      <c r="C2467" s="52">
        <v>441392.16464081203</v>
      </c>
      <c r="D2467" s="56">
        <v>0.12052126486396418</v>
      </c>
      <c r="E2467" s="224">
        <v>2211</v>
      </c>
      <c r="F2467" s="515" t="s">
        <v>3974</v>
      </c>
      <c r="G2467" s="52">
        <v>605384.15260010201</v>
      </c>
      <c r="H2467" s="56">
        <v>3.9414663593484923E-2</v>
      </c>
      <c r="I2467" s="224">
        <v>2479.4444444444398</v>
      </c>
    </row>
    <row r="2468" spans="1:9" x14ac:dyDescent="0.25">
      <c r="A2468" s="515">
        <v>78108</v>
      </c>
      <c r="B2468" s="515" t="s">
        <v>717</v>
      </c>
      <c r="C2468" s="52">
        <v>340559.65699206298</v>
      </c>
      <c r="D2468" s="56">
        <v>5.9709692465700757E-2</v>
      </c>
      <c r="E2468" s="224">
        <v>1914.87962962962</v>
      </c>
      <c r="F2468" s="515" t="s">
        <v>3975</v>
      </c>
      <c r="G2468" s="52">
        <v>436412.58432265901</v>
      </c>
      <c r="H2468" s="56">
        <v>3.7820867651064398E-2</v>
      </c>
      <c r="I2468" s="224">
        <v>1766.6666666666599</v>
      </c>
    </row>
    <row r="2469" spans="1:9" x14ac:dyDescent="0.25">
      <c r="A2469" s="515">
        <v>92373</v>
      </c>
      <c r="B2469" s="515" t="s">
        <v>599</v>
      </c>
      <c r="C2469" s="52">
        <v>670880.011232686</v>
      </c>
      <c r="D2469" s="56">
        <v>3.6344761375926099E-2</v>
      </c>
      <c r="E2469" s="224">
        <v>2386.0952380952299</v>
      </c>
      <c r="F2469" s="515" t="s">
        <v>994</v>
      </c>
      <c r="G2469" s="52">
        <v>107234.26513266101</v>
      </c>
      <c r="H2469" s="56">
        <v>7.6472242287286052E-2</v>
      </c>
      <c r="I2469" s="224" t="s">
        <v>2</v>
      </c>
    </row>
    <row r="2470" spans="1:9" x14ac:dyDescent="0.25">
      <c r="A2470" s="515">
        <v>98198</v>
      </c>
      <c r="B2470" s="515" t="s">
        <v>384</v>
      </c>
      <c r="C2470" s="52">
        <v>541461.22973098594</v>
      </c>
      <c r="D2470" s="56">
        <v>5.658949473946652E-2</v>
      </c>
      <c r="E2470" s="224">
        <v>1788.36904761904</v>
      </c>
      <c r="F2470" s="515" t="s">
        <v>980</v>
      </c>
      <c r="G2470" s="52">
        <v>202075.91011634201</v>
      </c>
      <c r="H2470" s="56">
        <v>5.7699526714475542E-2</v>
      </c>
      <c r="I2470" s="224" t="s">
        <v>2</v>
      </c>
    </row>
    <row r="2471" spans="1:9" x14ac:dyDescent="0.25">
      <c r="A2471" s="515">
        <v>46168</v>
      </c>
      <c r="B2471" s="515" t="s">
        <v>403</v>
      </c>
      <c r="C2471" s="52">
        <v>293281.98382306402</v>
      </c>
      <c r="D2471" s="56">
        <v>6.3334608557358729E-2</v>
      </c>
      <c r="E2471" s="224">
        <v>1739.63888888888</v>
      </c>
      <c r="F2471" s="515" t="s">
        <v>547</v>
      </c>
      <c r="G2471" s="52">
        <v>118299.712362821</v>
      </c>
      <c r="H2471" s="56">
        <v>4.680046891300009E-2</v>
      </c>
      <c r="I2471" s="224" t="s">
        <v>2</v>
      </c>
    </row>
    <row r="2472" spans="1:9" x14ac:dyDescent="0.25">
      <c r="A2472" s="515">
        <v>1852</v>
      </c>
      <c r="B2472" s="515" t="s">
        <v>534</v>
      </c>
      <c r="C2472" s="52">
        <v>392903.20346593199</v>
      </c>
      <c r="D2472" s="56">
        <v>5.5313409332347817E-2</v>
      </c>
      <c r="E2472" s="224">
        <v>1990.07142857142</v>
      </c>
      <c r="F2472" s="515" t="s">
        <v>3976</v>
      </c>
      <c r="G2472" s="52">
        <v>899202.93477869895</v>
      </c>
      <c r="H2472" s="56">
        <v>0.19275006271618589</v>
      </c>
      <c r="I2472" s="224">
        <v>3141.0833333333298</v>
      </c>
    </row>
    <row r="2473" spans="1:9" x14ac:dyDescent="0.25">
      <c r="A2473" s="515">
        <v>83605</v>
      </c>
      <c r="B2473" s="515" t="s">
        <v>500</v>
      </c>
      <c r="C2473" s="52">
        <v>336234.63427620102</v>
      </c>
      <c r="D2473" s="56">
        <v>-4.531413815400038E-3</v>
      </c>
      <c r="E2473" s="224">
        <v>1277.7777777777701</v>
      </c>
      <c r="F2473" s="515" t="s">
        <v>3977</v>
      </c>
      <c r="G2473" s="52">
        <v>536304.41020943003</v>
      </c>
      <c r="H2473" s="56">
        <v>9.6623312108251487E-3</v>
      </c>
      <c r="I2473" s="224" t="s">
        <v>2</v>
      </c>
    </row>
    <row r="2474" spans="1:9" x14ac:dyDescent="0.25">
      <c r="A2474" s="515">
        <v>92706</v>
      </c>
      <c r="B2474" s="515" t="s">
        <v>375</v>
      </c>
      <c r="C2474" s="52">
        <v>842555.99862950202</v>
      </c>
      <c r="D2474" s="56">
        <v>6.1785502096976481E-2</v>
      </c>
      <c r="E2474" s="224">
        <v>1800</v>
      </c>
      <c r="F2474" s="515" t="s">
        <v>3978</v>
      </c>
      <c r="G2474" s="52">
        <v>295801.00199775898</v>
      </c>
      <c r="H2474" s="56">
        <v>8.3322983196063294E-2</v>
      </c>
      <c r="I2474" s="224">
        <v>1422.43333333333</v>
      </c>
    </row>
    <row r="2475" spans="1:9" x14ac:dyDescent="0.25">
      <c r="A2475" s="515">
        <v>48035</v>
      </c>
      <c r="B2475" s="515" t="s">
        <v>685</v>
      </c>
      <c r="C2475" s="52">
        <v>188925.56568829899</v>
      </c>
      <c r="D2475" s="56">
        <v>4.1442142320109218E-2</v>
      </c>
      <c r="E2475" s="224">
        <v>1149.1666666666599</v>
      </c>
      <c r="F2475" s="515" t="s">
        <v>3979</v>
      </c>
      <c r="G2475" s="52">
        <v>455954.452993388</v>
      </c>
      <c r="H2475" s="56">
        <v>3.6630745494532664E-2</v>
      </c>
      <c r="I2475" s="224" t="s">
        <v>2</v>
      </c>
    </row>
    <row r="2476" spans="1:9" x14ac:dyDescent="0.25">
      <c r="A2476" s="515">
        <v>60409</v>
      </c>
      <c r="B2476" s="515" t="s">
        <v>394</v>
      </c>
      <c r="C2476" s="52">
        <v>144741.51817043699</v>
      </c>
      <c r="D2476" s="56">
        <v>9.7102136540061362E-2</v>
      </c>
      <c r="E2476" s="224">
        <v>1536.8333333333301</v>
      </c>
      <c r="F2476" s="515" t="s">
        <v>3980</v>
      </c>
      <c r="G2476" s="52">
        <v>1584875.2133917001</v>
      </c>
      <c r="H2476" s="56">
        <v>6.5194702430539986E-2</v>
      </c>
      <c r="I2476" s="224">
        <v>3324.8681818181799</v>
      </c>
    </row>
    <row r="2477" spans="1:9" x14ac:dyDescent="0.25">
      <c r="A2477" s="515">
        <v>34207</v>
      </c>
      <c r="B2477" s="515" t="s">
        <v>466</v>
      </c>
      <c r="C2477" s="52">
        <v>239266.19609479801</v>
      </c>
      <c r="D2477" s="56">
        <v>0.23579904903826235</v>
      </c>
      <c r="E2477" s="224">
        <v>1718.57407407407</v>
      </c>
      <c r="F2477" s="515" t="s">
        <v>3981</v>
      </c>
      <c r="G2477" s="52">
        <v>394152.11912282603</v>
      </c>
      <c r="H2477" s="56">
        <v>4.1872859712266633E-2</v>
      </c>
      <c r="I2477" s="224">
        <v>1908.75</v>
      </c>
    </row>
    <row r="2478" spans="1:9" x14ac:dyDescent="0.25">
      <c r="A2478" s="515">
        <v>30117</v>
      </c>
      <c r="B2478" s="515" t="s">
        <v>957</v>
      </c>
      <c r="C2478" s="52">
        <v>249117.807812638</v>
      </c>
      <c r="D2478" s="56">
        <v>0.12728482463657273</v>
      </c>
      <c r="E2478" s="224">
        <v>1292.5333333333299</v>
      </c>
      <c r="F2478" s="515" t="s">
        <v>3982</v>
      </c>
      <c r="G2478" s="52">
        <v>133453.99108822001</v>
      </c>
      <c r="H2478" s="56">
        <v>5.9314425008368643E-2</v>
      </c>
      <c r="I2478" s="224">
        <v>900</v>
      </c>
    </row>
    <row r="2479" spans="1:9" x14ac:dyDescent="0.25">
      <c r="A2479" s="515">
        <v>32810</v>
      </c>
      <c r="B2479" s="515" t="s">
        <v>517</v>
      </c>
      <c r="C2479" s="52">
        <v>292470.17468706</v>
      </c>
      <c r="D2479" s="56">
        <v>0.13203042283249483</v>
      </c>
      <c r="E2479" s="224">
        <v>1880.0436507936499</v>
      </c>
      <c r="F2479" s="515" t="s">
        <v>3983</v>
      </c>
      <c r="G2479" s="52">
        <v>537904.15395753796</v>
      </c>
      <c r="H2479" s="56">
        <v>-6.4170802903082439E-3</v>
      </c>
      <c r="I2479" s="224">
        <v>1697.88888888888</v>
      </c>
    </row>
    <row r="2480" spans="1:9" x14ac:dyDescent="0.25">
      <c r="A2480" s="515">
        <v>62521</v>
      </c>
      <c r="B2480" s="515" t="s">
        <v>540</v>
      </c>
      <c r="C2480" s="52">
        <v>89018.081790142707</v>
      </c>
      <c r="D2480" s="56">
        <v>1.5886039467520419E-2</v>
      </c>
      <c r="E2480" s="224" t="s">
        <v>2</v>
      </c>
      <c r="F2480" s="515" t="s">
        <v>3984</v>
      </c>
      <c r="G2480" s="52">
        <v>588618.39984118904</v>
      </c>
      <c r="H2480" s="56">
        <v>1.4661364391916702E-2</v>
      </c>
      <c r="I2480" s="224">
        <v>2782.5</v>
      </c>
    </row>
    <row r="2481" spans="1:9" x14ac:dyDescent="0.25">
      <c r="A2481" s="515">
        <v>37086</v>
      </c>
      <c r="B2481" s="515" t="s">
        <v>684</v>
      </c>
      <c r="C2481" s="52">
        <v>321948.67521462002</v>
      </c>
      <c r="D2481" s="56">
        <v>7.5861509027771085E-2</v>
      </c>
      <c r="E2481" s="224">
        <v>2015.7708333333301</v>
      </c>
      <c r="F2481" s="515" t="s">
        <v>3985</v>
      </c>
      <c r="G2481" s="52">
        <v>431656.79524650302</v>
      </c>
      <c r="H2481" s="56">
        <v>4.7937735617611818E-2</v>
      </c>
      <c r="I2481" s="224">
        <v>2023.4555555555501</v>
      </c>
    </row>
    <row r="2482" spans="1:9" x14ac:dyDescent="0.25">
      <c r="A2482" s="515">
        <v>21014</v>
      </c>
      <c r="B2482" s="515" t="s">
        <v>582</v>
      </c>
      <c r="C2482" s="52">
        <v>394719.72831887798</v>
      </c>
      <c r="D2482" s="56">
        <v>3.9023526664236106E-2</v>
      </c>
      <c r="E2482" s="224">
        <v>1775</v>
      </c>
      <c r="F2482" s="515" t="s">
        <v>3986</v>
      </c>
      <c r="G2482" s="52">
        <v>488633.003677884</v>
      </c>
      <c r="H2482" s="56">
        <v>4.8429574208248657E-2</v>
      </c>
      <c r="I2482" s="224" t="s">
        <v>2</v>
      </c>
    </row>
    <row r="2483" spans="1:9" x14ac:dyDescent="0.25">
      <c r="A2483" s="515">
        <v>6824</v>
      </c>
      <c r="B2483" s="515" t="s">
        <v>1173</v>
      </c>
      <c r="C2483" s="52">
        <v>838827.06994931505</v>
      </c>
      <c r="D2483" s="56">
        <v>9.670212111066713E-2</v>
      </c>
      <c r="E2483" s="224">
        <v>4234.25238095238</v>
      </c>
      <c r="F2483" s="515" t="s">
        <v>3987</v>
      </c>
      <c r="G2483" s="52">
        <v>178343.65069282899</v>
      </c>
      <c r="H2483" s="56">
        <v>4.1859295239657292E-2</v>
      </c>
      <c r="I2483" s="224">
        <v>1125</v>
      </c>
    </row>
    <row r="2484" spans="1:9" x14ac:dyDescent="0.25">
      <c r="A2484" s="515">
        <v>85023</v>
      </c>
      <c r="B2484" s="515" t="s">
        <v>563</v>
      </c>
      <c r="C2484" s="52">
        <v>402797.04704900202</v>
      </c>
      <c r="D2484" s="56">
        <v>4.0112155363901621E-2</v>
      </c>
      <c r="E2484" s="224">
        <v>1474.8601398601299</v>
      </c>
      <c r="F2484" s="515" t="s">
        <v>3988</v>
      </c>
      <c r="G2484" s="52">
        <v>228009.447640322</v>
      </c>
      <c r="H2484" s="56">
        <v>9.0135297540442416E-2</v>
      </c>
      <c r="I2484" s="224" t="s">
        <v>2</v>
      </c>
    </row>
    <row r="2485" spans="1:9" x14ac:dyDescent="0.25">
      <c r="A2485" s="515">
        <v>80204</v>
      </c>
      <c r="B2485" s="515" t="s">
        <v>401</v>
      </c>
      <c r="C2485" s="52">
        <v>551830.00503379398</v>
      </c>
      <c r="D2485" s="56">
        <v>6.1006781975894785E-2</v>
      </c>
      <c r="E2485" s="224">
        <v>2054.82921735232</v>
      </c>
      <c r="F2485" s="515" t="s">
        <v>3989</v>
      </c>
      <c r="G2485" s="52">
        <v>344581.807168364</v>
      </c>
      <c r="H2485" s="56">
        <v>7.0023477488091748E-2</v>
      </c>
      <c r="I2485" s="224" t="s">
        <v>2</v>
      </c>
    </row>
    <row r="2486" spans="1:9" x14ac:dyDescent="0.25">
      <c r="A2486" s="515">
        <v>90266</v>
      </c>
      <c r="B2486" s="515" t="s">
        <v>375</v>
      </c>
      <c r="C2486" s="52">
        <v>2850703.29443473</v>
      </c>
      <c r="D2486" s="56">
        <v>6.5555318395863649E-2</v>
      </c>
      <c r="E2486" s="224">
        <v>5145.4353054352996</v>
      </c>
      <c r="F2486" s="515" t="s">
        <v>3990</v>
      </c>
      <c r="G2486" s="52">
        <v>308399.79216066102</v>
      </c>
      <c r="H2486" s="56">
        <v>9.6589445106057006E-2</v>
      </c>
      <c r="I2486" s="224">
        <v>0</v>
      </c>
    </row>
    <row r="2487" spans="1:9" x14ac:dyDescent="0.25">
      <c r="A2487" s="515">
        <v>97266</v>
      </c>
      <c r="B2487" s="515" t="s">
        <v>659</v>
      </c>
      <c r="C2487" s="52">
        <v>387228.33495442802</v>
      </c>
      <c r="D2487" s="56">
        <v>-7.5113487551886141E-3</v>
      </c>
      <c r="E2487" s="224">
        <v>1654.375</v>
      </c>
      <c r="F2487" s="515" t="s">
        <v>3991</v>
      </c>
      <c r="G2487" s="52">
        <v>710895.14547576499</v>
      </c>
      <c r="H2487" s="56">
        <v>6.8054993399770849E-2</v>
      </c>
      <c r="I2487" s="224" t="s">
        <v>2</v>
      </c>
    </row>
    <row r="2488" spans="1:9" x14ac:dyDescent="0.25">
      <c r="A2488" s="515">
        <v>97203</v>
      </c>
      <c r="B2488" s="515" t="s">
        <v>659</v>
      </c>
      <c r="C2488" s="52">
        <v>452965.447262934</v>
      </c>
      <c r="D2488" s="56">
        <v>-1.2206296686209366E-2</v>
      </c>
      <c r="E2488" s="224">
        <v>1945.2830687830599</v>
      </c>
      <c r="F2488" s="515" t="s">
        <v>3992</v>
      </c>
      <c r="G2488" s="52">
        <v>185533.77625685101</v>
      </c>
      <c r="H2488" s="56">
        <v>0.10750038390776982</v>
      </c>
      <c r="I2488" s="224" t="s">
        <v>2</v>
      </c>
    </row>
    <row r="2489" spans="1:9" x14ac:dyDescent="0.25">
      <c r="A2489" s="515">
        <v>64801</v>
      </c>
      <c r="B2489" s="515" t="s">
        <v>784</v>
      </c>
      <c r="C2489" s="52">
        <v>170487.348007886</v>
      </c>
      <c r="D2489" s="56">
        <v>8.3488572693217425E-2</v>
      </c>
      <c r="E2489" s="224">
        <v>898.33333333333303</v>
      </c>
      <c r="F2489" s="515" t="s">
        <v>3993</v>
      </c>
      <c r="G2489" s="52">
        <v>744477.69424767001</v>
      </c>
      <c r="H2489" s="56">
        <v>7.9313007525897761E-2</v>
      </c>
      <c r="I2489" s="224">
        <v>1797.18253968253</v>
      </c>
    </row>
    <row r="2490" spans="1:9" x14ac:dyDescent="0.25">
      <c r="A2490" s="515">
        <v>29605</v>
      </c>
      <c r="B2490" s="515" t="s">
        <v>613</v>
      </c>
      <c r="C2490" s="52">
        <v>242456.79457631501</v>
      </c>
      <c r="D2490" s="56">
        <v>0.12741156867273418</v>
      </c>
      <c r="E2490" s="224">
        <v>1570.9742063491999</v>
      </c>
      <c r="F2490" s="515" t="s">
        <v>3994</v>
      </c>
      <c r="G2490" s="52">
        <v>132489.30341021699</v>
      </c>
      <c r="H2490" s="56">
        <v>8.0981099686953384E-2</v>
      </c>
      <c r="I2490" s="224" t="s">
        <v>2</v>
      </c>
    </row>
    <row r="2491" spans="1:9" x14ac:dyDescent="0.25">
      <c r="A2491" s="515">
        <v>40391</v>
      </c>
      <c r="B2491" s="515" t="s">
        <v>515</v>
      </c>
      <c r="C2491" s="52">
        <v>208688.73158452901</v>
      </c>
      <c r="D2491" s="56">
        <v>0.11033651125373019</v>
      </c>
      <c r="E2491" s="224" t="s">
        <v>2</v>
      </c>
      <c r="F2491" s="515" t="s">
        <v>3995</v>
      </c>
      <c r="G2491" s="52">
        <v>721101.61036447098</v>
      </c>
      <c r="H2491" s="56">
        <v>2.6746375510736563E-2</v>
      </c>
      <c r="I2491" s="224">
        <v>2092.2111111111099</v>
      </c>
    </row>
    <row r="2492" spans="1:9" x14ac:dyDescent="0.25">
      <c r="A2492" s="515">
        <v>75063</v>
      </c>
      <c r="B2492" s="515" t="s">
        <v>458</v>
      </c>
      <c r="C2492" s="52">
        <v>572685.231087127</v>
      </c>
      <c r="D2492" s="56">
        <v>8.631564080714578E-2</v>
      </c>
      <c r="E2492" s="224">
        <v>1633.90075679394</v>
      </c>
      <c r="F2492" s="515" t="s">
        <v>3996</v>
      </c>
      <c r="G2492" s="52">
        <v>1043001.3258539099</v>
      </c>
      <c r="H2492" s="56">
        <v>-8.0862926081273438E-3</v>
      </c>
      <c r="I2492" s="224">
        <v>2987.5</v>
      </c>
    </row>
    <row r="2493" spans="1:9" x14ac:dyDescent="0.25">
      <c r="A2493" s="515">
        <v>10035</v>
      </c>
      <c r="B2493" s="515" t="s">
        <v>324</v>
      </c>
      <c r="C2493" s="52">
        <v>689300.49852519098</v>
      </c>
      <c r="D2493" s="56">
        <v>-9.0741242998235952E-2</v>
      </c>
      <c r="E2493" s="224">
        <v>2702.8333333333298</v>
      </c>
      <c r="F2493" s="515" t="s">
        <v>3997</v>
      </c>
      <c r="G2493" s="52">
        <v>491655.52518774499</v>
      </c>
      <c r="H2493" s="56">
        <v>3.8203421062976285E-2</v>
      </c>
      <c r="I2493" s="224">
        <v>2027.9166666666599</v>
      </c>
    </row>
    <row r="2494" spans="1:9" x14ac:dyDescent="0.25">
      <c r="A2494" s="515">
        <v>76021</v>
      </c>
      <c r="B2494" s="515" t="s">
        <v>458</v>
      </c>
      <c r="C2494" s="52">
        <v>381503.26997441601</v>
      </c>
      <c r="D2494" s="56">
        <v>6.7934035229992973E-2</v>
      </c>
      <c r="E2494" s="224">
        <v>1523.76388888888</v>
      </c>
      <c r="F2494" s="515" t="s">
        <v>3998</v>
      </c>
      <c r="G2494" s="52">
        <v>199829.19426538399</v>
      </c>
      <c r="H2494" s="56">
        <v>3.3958199119969494E-2</v>
      </c>
      <c r="I2494" s="224">
        <v>1358.3333333333301</v>
      </c>
    </row>
    <row r="2495" spans="1:9" x14ac:dyDescent="0.25">
      <c r="A2495" s="515">
        <v>31406</v>
      </c>
      <c r="B2495" s="515" t="s">
        <v>351</v>
      </c>
      <c r="C2495" s="52">
        <v>255773.45357047301</v>
      </c>
      <c r="D2495" s="56">
        <v>0.17889241782297055</v>
      </c>
      <c r="E2495" s="224">
        <v>1416.07142857142</v>
      </c>
      <c r="F2495" s="515" t="s">
        <v>3999</v>
      </c>
      <c r="G2495" s="52">
        <v>491674.28912841802</v>
      </c>
      <c r="H2495" s="56">
        <v>4.2347957249294244E-2</v>
      </c>
      <c r="I2495" s="224" t="s">
        <v>2</v>
      </c>
    </row>
    <row r="2496" spans="1:9" x14ac:dyDescent="0.25">
      <c r="A2496" s="515">
        <v>98513</v>
      </c>
      <c r="B2496" s="515" t="s">
        <v>527</v>
      </c>
      <c r="C2496" s="52">
        <v>462817.61169968202</v>
      </c>
      <c r="D2496" s="56">
        <v>2.8852685936898638E-2</v>
      </c>
      <c r="E2496" s="224">
        <v>2285.3333333333298</v>
      </c>
      <c r="F2496" s="515" t="s">
        <v>4000</v>
      </c>
      <c r="G2496" s="52">
        <v>337234.21330880298</v>
      </c>
      <c r="H2496" s="56">
        <v>2.8681320436592349E-2</v>
      </c>
      <c r="I2496" s="224">
        <v>1743.2777777777701</v>
      </c>
    </row>
    <row r="2497" spans="1:9" x14ac:dyDescent="0.25">
      <c r="A2497" s="515">
        <v>8759</v>
      </c>
      <c r="B2497" s="515" t="s">
        <v>324</v>
      </c>
      <c r="C2497" s="52">
        <v>307177.07356097299</v>
      </c>
      <c r="D2497" s="56">
        <v>7.3595074025946672E-2</v>
      </c>
      <c r="E2497" s="224" t="s">
        <v>2</v>
      </c>
      <c r="F2497" s="515" t="s">
        <v>4001</v>
      </c>
      <c r="G2497" s="52">
        <v>734129.71908173605</v>
      </c>
      <c r="H2497" s="56">
        <v>7.6319742286335562E-2</v>
      </c>
      <c r="I2497" s="224">
        <v>2094.4444444444398</v>
      </c>
    </row>
    <row r="2498" spans="1:9" x14ac:dyDescent="0.25">
      <c r="A2498" s="515">
        <v>17404</v>
      </c>
      <c r="B2498" s="515" t="s">
        <v>509</v>
      </c>
      <c r="C2498" s="52">
        <v>201325.866889114</v>
      </c>
      <c r="D2498" s="56">
        <v>0.10955038392885612</v>
      </c>
      <c r="E2498" s="224">
        <v>1212</v>
      </c>
      <c r="F2498" s="515" t="s">
        <v>4002</v>
      </c>
      <c r="G2498" s="52">
        <v>1060419.9101263599</v>
      </c>
      <c r="H2498" s="56">
        <v>-1.0470721159230097E-2</v>
      </c>
      <c r="I2498" s="224">
        <v>3095</v>
      </c>
    </row>
    <row r="2499" spans="1:9" x14ac:dyDescent="0.25">
      <c r="A2499" s="515">
        <v>85040</v>
      </c>
      <c r="B2499" s="515" t="s">
        <v>563</v>
      </c>
      <c r="C2499" s="52">
        <v>302568.259788925</v>
      </c>
      <c r="D2499" s="56">
        <v>5.4500691673864073E-2</v>
      </c>
      <c r="E2499" s="224">
        <v>1851.25833333333</v>
      </c>
      <c r="F2499" s="515" t="s">
        <v>1088</v>
      </c>
      <c r="G2499" s="52">
        <v>214391.6692114</v>
      </c>
      <c r="H2499" s="56">
        <v>7.6942659977728006E-2</v>
      </c>
      <c r="I2499" s="224">
        <v>1900</v>
      </c>
    </row>
    <row r="2500" spans="1:9" x14ac:dyDescent="0.25">
      <c r="A2500" s="515">
        <v>83201</v>
      </c>
      <c r="B2500" s="515" t="s">
        <v>884</v>
      </c>
      <c r="C2500" s="52">
        <v>290455.11733266298</v>
      </c>
      <c r="D2500" s="56">
        <v>2.6786420815310977E-2</v>
      </c>
      <c r="E2500" s="224" t="s">
        <v>2</v>
      </c>
      <c r="F2500" s="515" t="s">
        <v>4003</v>
      </c>
      <c r="G2500" s="52">
        <v>135072.73790454201</v>
      </c>
      <c r="H2500" s="56">
        <v>0.10705996503958158</v>
      </c>
      <c r="I2500" s="224">
        <v>1355</v>
      </c>
    </row>
    <row r="2501" spans="1:9" x14ac:dyDescent="0.25">
      <c r="A2501" s="515">
        <v>79107</v>
      </c>
      <c r="B2501" s="515" t="s">
        <v>869</v>
      </c>
      <c r="C2501" s="52">
        <v>95688.965202132094</v>
      </c>
      <c r="D2501" s="56">
        <v>0.20927791765655715</v>
      </c>
      <c r="E2501" s="224" t="s">
        <v>2</v>
      </c>
      <c r="F2501" s="515" t="s">
        <v>4004</v>
      </c>
      <c r="G2501" s="52">
        <v>376586.11474327702</v>
      </c>
      <c r="H2501" s="56">
        <v>4.7195849646256047E-2</v>
      </c>
      <c r="I2501" s="224" t="s">
        <v>2</v>
      </c>
    </row>
    <row r="2502" spans="1:9" x14ac:dyDescent="0.25">
      <c r="A2502" s="515">
        <v>95356</v>
      </c>
      <c r="B2502" s="515" t="s">
        <v>797</v>
      </c>
      <c r="C2502" s="52">
        <v>481514.48271517898</v>
      </c>
      <c r="D2502" s="56">
        <v>9.8114676025898365E-3</v>
      </c>
      <c r="E2502" s="224">
        <v>1960.6666666666599</v>
      </c>
      <c r="F2502" s="515" t="s">
        <v>4005</v>
      </c>
      <c r="G2502" s="52">
        <v>194402.14545222899</v>
      </c>
      <c r="H2502" s="56">
        <v>0.15755485937168762</v>
      </c>
      <c r="I2502" s="224" t="s">
        <v>2</v>
      </c>
    </row>
    <row r="2503" spans="1:9" x14ac:dyDescent="0.25">
      <c r="A2503" s="515">
        <v>77520</v>
      </c>
      <c r="B2503" s="515" t="s">
        <v>314</v>
      </c>
      <c r="C2503" s="52">
        <v>169489.69263068799</v>
      </c>
      <c r="D2503" s="56">
        <v>0.1255693125391325</v>
      </c>
      <c r="E2503" s="224">
        <v>1260.11904761904</v>
      </c>
      <c r="F2503" s="515" t="s">
        <v>4006</v>
      </c>
      <c r="G2503" s="52">
        <v>317072.72374249197</v>
      </c>
      <c r="H2503" s="56">
        <v>7.3984267600119141E-2</v>
      </c>
      <c r="I2503" s="224" t="s">
        <v>2</v>
      </c>
    </row>
    <row r="2504" spans="1:9" x14ac:dyDescent="0.25">
      <c r="A2504" s="515">
        <v>48178</v>
      </c>
      <c r="B2504" s="515" t="s">
        <v>685</v>
      </c>
      <c r="C2504" s="52">
        <v>419047.032516348</v>
      </c>
      <c r="D2504" s="56">
        <v>5.566361256096819E-2</v>
      </c>
      <c r="E2504" s="224" t="s">
        <v>2</v>
      </c>
      <c r="F2504" s="515" t="s">
        <v>4007</v>
      </c>
      <c r="G2504" s="52">
        <v>442866.44351041701</v>
      </c>
      <c r="H2504" s="56">
        <v>2.0287071934593E-2</v>
      </c>
      <c r="I2504" s="224" t="s">
        <v>2</v>
      </c>
    </row>
    <row r="2505" spans="1:9" x14ac:dyDescent="0.25">
      <c r="A2505" s="515">
        <v>77506</v>
      </c>
      <c r="B2505" s="515" t="s">
        <v>314</v>
      </c>
      <c r="C2505" s="52">
        <v>164221.303582789</v>
      </c>
      <c r="D2505" s="56">
        <v>0.13388412247191697</v>
      </c>
      <c r="E2505" s="224">
        <v>1121.3333333333301</v>
      </c>
      <c r="F2505" s="515" t="s">
        <v>1050</v>
      </c>
      <c r="G2505" s="52">
        <v>165575.55828467599</v>
      </c>
      <c r="H2505" s="56">
        <v>6.5266802524989426E-2</v>
      </c>
      <c r="I2505" s="224" t="s">
        <v>2</v>
      </c>
    </row>
    <row r="2506" spans="1:9" x14ac:dyDescent="0.25">
      <c r="A2506" s="515">
        <v>91326</v>
      </c>
      <c r="B2506" s="515" t="s">
        <v>375</v>
      </c>
      <c r="C2506" s="52">
        <v>1102677.7910861699</v>
      </c>
      <c r="D2506" s="56">
        <v>5.8850866324544136E-2</v>
      </c>
      <c r="E2506" s="224">
        <v>4799.1666666666597</v>
      </c>
      <c r="F2506" s="515" t="s">
        <v>531</v>
      </c>
      <c r="G2506" s="52">
        <v>113698.207138137</v>
      </c>
      <c r="H2506" s="56">
        <v>3.9999517989498357E-2</v>
      </c>
      <c r="I2506" s="224" t="s">
        <v>2</v>
      </c>
    </row>
    <row r="2507" spans="1:9" x14ac:dyDescent="0.25">
      <c r="A2507" s="515">
        <v>31405</v>
      </c>
      <c r="B2507" s="515" t="s">
        <v>351</v>
      </c>
      <c r="C2507" s="52">
        <v>282832.13588382798</v>
      </c>
      <c r="D2507" s="56">
        <v>0.18602432560325621</v>
      </c>
      <c r="E2507" s="224">
        <v>1797.5</v>
      </c>
      <c r="F2507" s="515" t="s">
        <v>4008</v>
      </c>
      <c r="G2507" s="52">
        <v>438179.97198634897</v>
      </c>
      <c r="H2507" s="56">
        <v>4.9182078896275704E-3</v>
      </c>
      <c r="I2507" s="224">
        <v>2407.2777777777701</v>
      </c>
    </row>
    <row r="2508" spans="1:9" x14ac:dyDescent="0.25">
      <c r="A2508" s="515">
        <v>48910</v>
      </c>
      <c r="B2508" s="515" t="s">
        <v>528</v>
      </c>
      <c r="C2508" s="52">
        <v>114729.595259447</v>
      </c>
      <c r="D2508" s="56">
        <v>5.6306003304642076E-2</v>
      </c>
      <c r="E2508" s="224">
        <v>1087.2222222222199</v>
      </c>
      <c r="F2508" s="515" t="s">
        <v>4009</v>
      </c>
      <c r="G2508" s="52">
        <v>589557.54143476195</v>
      </c>
      <c r="H2508" s="56">
        <v>8.0120793358439704E-2</v>
      </c>
      <c r="I2508" s="224">
        <v>2202.9444444444398</v>
      </c>
    </row>
    <row r="2509" spans="1:9" x14ac:dyDescent="0.25">
      <c r="A2509" s="515">
        <v>90260</v>
      </c>
      <c r="B2509" s="515" t="s">
        <v>375</v>
      </c>
      <c r="C2509" s="52">
        <v>750947.76343503897</v>
      </c>
      <c r="D2509" s="56">
        <v>2.5703886870456806E-2</v>
      </c>
      <c r="E2509" s="224">
        <v>3067.2777777777701</v>
      </c>
      <c r="F2509" s="515" t="s">
        <v>4010</v>
      </c>
      <c r="G2509" s="52">
        <v>212898.858980586</v>
      </c>
      <c r="H2509" s="56">
        <v>4.6932067012594676E-2</v>
      </c>
      <c r="I2509" s="224" t="s">
        <v>2</v>
      </c>
    </row>
    <row r="2510" spans="1:9" x14ac:dyDescent="0.25">
      <c r="A2510" s="515">
        <v>79720</v>
      </c>
      <c r="B2510" s="515" t="s">
        <v>1061</v>
      </c>
      <c r="C2510" s="52">
        <v>120833.038417936</v>
      </c>
      <c r="D2510" s="56">
        <v>-4.1096147785692969E-2</v>
      </c>
      <c r="E2510" s="224" t="s">
        <v>2</v>
      </c>
      <c r="F2510" s="515" t="s">
        <v>4011</v>
      </c>
      <c r="G2510" s="52">
        <v>299719.500545847</v>
      </c>
      <c r="H2510" s="56">
        <v>2.1652013434718592E-2</v>
      </c>
      <c r="I2510" s="224">
        <v>1462.2777777777701</v>
      </c>
    </row>
    <row r="2511" spans="1:9" x14ac:dyDescent="0.25">
      <c r="A2511" s="515">
        <v>98662</v>
      </c>
      <c r="B2511" s="515" t="s">
        <v>659</v>
      </c>
      <c r="C2511" s="52">
        <v>450253.36575745197</v>
      </c>
      <c r="D2511" s="56">
        <v>3.8754825020046672E-2</v>
      </c>
      <c r="E2511" s="224">
        <v>1770.6031746031699</v>
      </c>
      <c r="F2511" s="515" t="s">
        <v>984</v>
      </c>
      <c r="G2511" s="52">
        <v>178269.30018417299</v>
      </c>
      <c r="H2511" s="56">
        <v>0.13421472598911285</v>
      </c>
      <c r="I2511" s="224" t="s">
        <v>2</v>
      </c>
    </row>
    <row r="2512" spans="1:9" x14ac:dyDescent="0.25">
      <c r="A2512" s="515">
        <v>40272</v>
      </c>
      <c r="B2512" s="515" t="s">
        <v>479</v>
      </c>
      <c r="C2512" s="52">
        <v>182647.01675465499</v>
      </c>
      <c r="D2512" s="56">
        <v>6.0303557173733327E-2</v>
      </c>
      <c r="E2512" s="224">
        <v>1460.1111111111099</v>
      </c>
      <c r="F2512" s="515" t="s">
        <v>4012</v>
      </c>
      <c r="G2512" s="52">
        <v>537938.65217235801</v>
      </c>
      <c r="H2512" s="56">
        <v>9.1560700332216666E-2</v>
      </c>
      <c r="I2512" s="224">
        <v>2331.3154761904698</v>
      </c>
    </row>
    <row r="2513" spans="1:9" x14ac:dyDescent="0.25">
      <c r="A2513" s="515">
        <v>92881</v>
      </c>
      <c r="B2513" s="515" t="s">
        <v>599</v>
      </c>
      <c r="C2513" s="52">
        <v>776406.13183783297</v>
      </c>
      <c r="D2513" s="56">
        <v>4.253607805637645E-2</v>
      </c>
      <c r="E2513" s="224">
        <v>2766.2666666666601</v>
      </c>
      <c r="F2513" s="515" t="s">
        <v>4013</v>
      </c>
      <c r="G2513" s="52">
        <v>325153.74867178599</v>
      </c>
      <c r="H2513" s="56">
        <v>3.486004846592522E-2</v>
      </c>
      <c r="I2513" s="224">
        <v>1595.19444444444</v>
      </c>
    </row>
    <row r="2514" spans="1:9" x14ac:dyDescent="0.25">
      <c r="A2514" s="515">
        <v>60624</v>
      </c>
      <c r="B2514" s="515" t="s">
        <v>394</v>
      </c>
      <c r="C2514" s="52">
        <v>172736.32733167199</v>
      </c>
      <c r="D2514" s="56">
        <v>3.4677495306691071E-2</v>
      </c>
      <c r="E2514" s="224">
        <v>1441.49206349206</v>
      </c>
      <c r="F2514" s="515" t="s">
        <v>4014</v>
      </c>
      <c r="G2514" s="52">
        <v>148144.71169548499</v>
      </c>
      <c r="H2514" s="56">
        <v>0.10344833268834143</v>
      </c>
      <c r="I2514" s="224" t="s">
        <v>2</v>
      </c>
    </row>
    <row r="2515" spans="1:9" x14ac:dyDescent="0.25">
      <c r="A2515" s="515">
        <v>46260</v>
      </c>
      <c r="B2515" s="515" t="s">
        <v>403</v>
      </c>
      <c r="C2515" s="52">
        <v>273800.24526670401</v>
      </c>
      <c r="D2515" s="56">
        <v>4.2849745121162679E-2</v>
      </c>
      <c r="E2515" s="224">
        <v>1470</v>
      </c>
      <c r="F2515" s="515" t="s">
        <v>4015</v>
      </c>
      <c r="G2515" s="52">
        <v>420400.23501212802</v>
      </c>
      <c r="H2515" s="56">
        <v>6.1902722589704001E-2</v>
      </c>
      <c r="I2515" s="224" t="s">
        <v>2</v>
      </c>
    </row>
    <row r="2516" spans="1:9" x14ac:dyDescent="0.25">
      <c r="A2516" s="515">
        <v>49203</v>
      </c>
      <c r="B2516" s="515" t="s">
        <v>1125</v>
      </c>
      <c r="C2516" s="52">
        <v>141227.53039902</v>
      </c>
      <c r="D2516" s="56">
        <v>6.1774882700682085E-2</v>
      </c>
      <c r="E2516" s="224">
        <v>1045.4166666666599</v>
      </c>
      <c r="F2516" s="515" t="s">
        <v>4016</v>
      </c>
      <c r="G2516" s="52">
        <v>616439.12398630299</v>
      </c>
      <c r="H2516" s="56">
        <v>4.9278080969088249E-2</v>
      </c>
      <c r="I2516" s="224">
        <v>1773.90849673202</v>
      </c>
    </row>
    <row r="2517" spans="1:9" x14ac:dyDescent="0.25">
      <c r="A2517" s="515">
        <v>8012</v>
      </c>
      <c r="B2517" s="515" t="s">
        <v>294</v>
      </c>
      <c r="C2517" s="52">
        <v>293457.68794550799</v>
      </c>
      <c r="D2517" s="56">
        <v>9.0712677661133778E-2</v>
      </c>
      <c r="E2517" s="224" t="s">
        <v>2</v>
      </c>
      <c r="F2517" s="515" t="s">
        <v>811</v>
      </c>
      <c r="G2517" s="52">
        <v>219256.386182769</v>
      </c>
      <c r="H2517" s="56">
        <v>5.8344757997051098E-2</v>
      </c>
      <c r="I2517" s="224" t="s">
        <v>2</v>
      </c>
    </row>
    <row r="2518" spans="1:9" x14ac:dyDescent="0.25">
      <c r="A2518" s="515">
        <v>2472</v>
      </c>
      <c r="B2518" s="515" t="s">
        <v>534</v>
      </c>
      <c r="C2518" s="52">
        <v>684288.84046586906</v>
      </c>
      <c r="D2518" s="56">
        <v>1.3849396082030856E-2</v>
      </c>
      <c r="E2518" s="224">
        <v>2891.9418803418798</v>
      </c>
      <c r="F2518" s="515" t="s">
        <v>4017</v>
      </c>
      <c r="G2518" s="52">
        <v>374753.06347443402</v>
      </c>
      <c r="H2518" s="56">
        <v>8.0394605722473741E-2</v>
      </c>
      <c r="I2518" s="224" t="s">
        <v>2</v>
      </c>
    </row>
    <row r="2519" spans="1:9" x14ac:dyDescent="0.25">
      <c r="A2519" s="515">
        <v>43201</v>
      </c>
      <c r="B2519" s="515" t="s">
        <v>345</v>
      </c>
      <c r="C2519" s="52">
        <v>334393.50142191502</v>
      </c>
      <c r="D2519" s="56">
        <v>1.0936882627235179E-2</v>
      </c>
      <c r="E2519" s="224">
        <v>1269.5185185185101</v>
      </c>
      <c r="F2519" s="515" t="s">
        <v>413</v>
      </c>
      <c r="G2519" s="52">
        <v>152364.985938784</v>
      </c>
      <c r="H2519" s="56">
        <v>6.4540376826343712E-2</v>
      </c>
      <c r="I2519" s="224" t="s">
        <v>2</v>
      </c>
    </row>
    <row r="2520" spans="1:9" x14ac:dyDescent="0.25">
      <c r="A2520" s="515">
        <v>85248</v>
      </c>
      <c r="B2520" s="515" t="s">
        <v>563</v>
      </c>
      <c r="C2520" s="52">
        <v>542317.05999118998</v>
      </c>
      <c r="D2520" s="56">
        <v>4.6164009674522805E-2</v>
      </c>
      <c r="E2520" s="224">
        <v>2247.1</v>
      </c>
      <c r="F2520" s="515" t="s">
        <v>4018</v>
      </c>
      <c r="G2520" s="52">
        <v>287687.11291279801</v>
      </c>
      <c r="H2520" s="56">
        <v>-6.4473203126793289E-3</v>
      </c>
      <c r="I2520" s="224">
        <v>1825</v>
      </c>
    </row>
    <row r="2521" spans="1:9" x14ac:dyDescent="0.25">
      <c r="A2521" s="515">
        <v>89130</v>
      </c>
      <c r="B2521" s="515" t="s">
        <v>323</v>
      </c>
      <c r="C2521" s="52">
        <v>404969.09771765699</v>
      </c>
      <c r="D2521" s="56">
        <v>5.1756260749763056E-2</v>
      </c>
      <c r="E2521" s="224">
        <v>1852.9334369334299</v>
      </c>
      <c r="F2521" s="515" t="s">
        <v>4019</v>
      </c>
      <c r="G2521" s="52">
        <v>368581.27451947797</v>
      </c>
      <c r="H2521" s="56">
        <v>0.10128501422446068</v>
      </c>
      <c r="I2521" s="224">
        <v>2324.3333333333298</v>
      </c>
    </row>
    <row r="2522" spans="1:9" x14ac:dyDescent="0.25">
      <c r="A2522" s="515">
        <v>82009</v>
      </c>
      <c r="B2522" s="515" t="s">
        <v>639</v>
      </c>
      <c r="C2522" s="52">
        <v>434126.45369154803</v>
      </c>
      <c r="D2522" s="56">
        <v>2.5396416386407165E-2</v>
      </c>
      <c r="E2522" s="224">
        <v>1450</v>
      </c>
      <c r="F2522" s="515" t="s">
        <v>4020</v>
      </c>
      <c r="G2522" s="52">
        <v>477708.32301297598</v>
      </c>
      <c r="H2522" s="56">
        <v>9.7084905205195471E-2</v>
      </c>
      <c r="I2522" s="224" t="s">
        <v>2</v>
      </c>
    </row>
    <row r="2523" spans="1:9" x14ac:dyDescent="0.25">
      <c r="A2523" s="515">
        <v>6450</v>
      </c>
      <c r="B2523" s="515" t="s">
        <v>1172</v>
      </c>
      <c r="C2523" s="52">
        <v>244806.13689604599</v>
      </c>
      <c r="D2523" s="56">
        <v>9.9629130899964377E-2</v>
      </c>
      <c r="E2523" s="224">
        <v>1350</v>
      </c>
      <c r="F2523" s="515" t="s">
        <v>4021</v>
      </c>
      <c r="G2523" s="52">
        <v>110612.732335655</v>
      </c>
      <c r="H2523" s="56">
        <v>0.16461938295182021</v>
      </c>
      <c r="I2523" s="224">
        <v>1012.5</v>
      </c>
    </row>
    <row r="2524" spans="1:9" x14ac:dyDescent="0.25">
      <c r="A2524" s="515">
        <v>20155</v>
      </c>
      <c r="B2524" s="515" t="s">
        <v>321</v>
      </c>
      <c r="C2524" s="52">
        <v>641250.08307723806</v>
      </c>
      <c r="D2524" s="56">
        <v>2.4629412783087112E-2</v>
      </c>
      <c r="E2524" s="224">
        <v>2486.6999999999998</v>
      </c>
      <c r="F2524" s="515" t="s">
        <v>4022</v>
      </c>
      <c r="G2524" s="52">
        <v>101330.03220282499</v>
      </c>
      <c r="H2524" s="56">
        <v>0.1328499090339626</v>
      </c>
      <c r="I2524" s="224" t="s">
        <v>2</v>
      </c>
    </row>
    <row r="2525" spans="1:9" x14ac:dyDescent="0.25">
      <c r="A2525" s="515">
        <v>98168</v>
      </c>
      <c r="B2525" s="515" t="s">
        <v>384</v>
      </c>
      <c r="C2525" s="52">
        <v>531489.78533662704</v>
      </c>
      <c r="D2525" s="56">
        <v>3.9963048357083759E-2</v>
      </c>
      <c r="E2525" s="224">
        <v>1797.2666666666601</v>
      </c>
      <c r="F2525" s="515" t="s">
        <v>1200</v>
      </c>
      <c r="G2525" s="52">
        <v>167992.26058424101</v>
      </c>
      <c r="H2525" s="56">
        <v>5.6945950934497856E-2</v>
      </c>
      <c r="I2525" s="224" t="s">
        <v>2</v>
      </c>
    </row>
    <row r="2526" spans="1:9" x14ac:dyDescent="0.25">
      <c r="A2526" s="515">
        <v>49441</v>
      </c>
      <c r="B2526" s="515" t="s">
        <v>943</v>
      </c>
      <c r="C2526" s="52">
        <v>204500.23577250101</v>
      </c>
      <c r="D2526" s="56">
        <v>7.4044396618308153E-2</v>
      </c>
      <c r="E2526" s="224">
        <v>1200</v>
      </c>
      <c r="F2526" s="515" t="s">
        <v>556</v>
      </c>
      <c r="G2526" s="52">
        <v>155395.085183029</v>
      </c>
      <c r="H2526" s="56">
        <v>3.542561336145509E-2</v>
      </c>
      <c r="I2526" s="224" t="s">
        <v>2</v>
      </c>
    </row>
    <row r="2527" spans="1:9" x14ac:dyDescent="0.25">
      <c r="A2527" s="515">
        <v>48601</v>
      </c>
      <c r="B2527" s="515" t="s">
        <v>904</v>
      </c>
      <c r="C2527" s="52">
        <v>48020.5023952302</v>
      </c>
      <c r="D2527" s="56">
        <v>0.19941718669940794</v>
      </c>
      <c r="E2527" s="224">
        <v>800</v>
      </c>
      <c r="F2527" s="515" t="s">
        <v>4023</v>
      </c>
      <c r="G2527" s="52">
        <v>314638.69098620798</v>
      </c>
      <c r="H2527" s="56">
        <v>2.9257199398822688E-2</v>
      </c>
      <c r="I2527" s="224">
        <v>1580</v>
      </c>
    </row>
    <row r="2528" spans="1:9" x14ac:dyDescent="0.25">
      <c r="A2528" s="515">
        <v>94404</v>
      </c>
      <c r="B2528" s="515" t="s">
        <v>593</v>
      </c>
      <c r="C2528" s="52">
        <v>1567247.1274786801</v>
      </c>
      <c r="D2528" s="56">
        <v>-2.0577931946261108E-2</v>
      </c>
      <c r="E2528" s="224">
        <v>3535.2609649122801</v>
      </c>
      <c r="F2528" s="515" t="s">
        <v>4024</v>
      </c>
      <c r="G2528" s="52">
        <v>205104.566835451</v>
      </c>
      <c r="H2528" s="56">
        <v>6.0022914047654086E-2</v>
      </c>
      <c r="I2528" s="224">
        <v>1113</v>
      </c>
    </row>
    <row r="2529" spans="1:9" x14ac:dyDescent="0.25">
      <c r="A2529" s="515">
        <v>94401</v>
      </c>
      <c r="B2529" s="515" t="s">
        <v>593</v>
      </c>
      <c r="C2529" s="52">
        <v>1080169.2670013399</v>
      </c>
      <c r="D2529" s="56">
        <v>-4.1592875106993894E-2</v>
      </c>
      <c r="E2529" s="224">
        <v>2954.0777777777698</v>
      </c>
      <c r="F2529" s="515" t="s">
        <v>4025</v>
      </c>
      <c r="G2529" s="52">
        <v>406897.49365624401</v>
      </c>
      <c r="H2529" s="56">
        <v>4.0873140598706344E-2</v>
      </c>
      <c r="I2529" s="224" t="s">
        <v>2</v>
      </c>
    </row>
    <row r="2530" spans="1:9" x14ac:dyDescent="0.25">
      <c r="A2530" s="515">
        <v>18951</v>
      </c>
      <c r="B2530" s="515" t="s">
        <v>294</v>
      </c>
      <c r="C2530" s="52">
        <v>357912.231746306</v>
      </c>
      <c r="D2530" s="56">
        <v>8.8524526591709923E-2</v>
      </c>
      <c r="E2530" s="224">
        <v>1533.3333333333301</v>
      </c>
      <c r="F2530" s="515" t="s">
        <v>4026</v>
      </c>
      <c r="G2530" s="52">
        <v>256238.76188385699</v>
      </c>
      <c r="H2530" s="56">
        <v>4.9507311629106106E-2</v>
      </c>
      <c r="I2530" s="224" t="s">
        <v>2</v>
      </c>
    </row>
    <row r="2531" spans="1:9" x14ac:dyDescent="0.25">
      <c r="A2531" s="515">
        <v>98502</v>
      </c>
      <c r="B2531" s="515" t="s">
        <v>527</v>
      </c>
      <c r="C2531" s="52">
        <v>531595.07736027904</v>
      </c>
      <c r="D2531" s="56">
        <v>4.3378501184258074E-2</v>
      </c>
      <c r="E2531" s="224">
        <v>2008.6444444444401</v>
      </c>
      <c r="F2531" s="515" t="s">
        <v>1248</v>
      </c>
      <c r="G2531" s="52">
        <v>241819.77901674001</v>
      </c>
      <c r="H2531" s="56">
        <v>8.2086173407033697E-2</v>
      </c>
      <c r="I2531" s="224" t="s">
        <v>2</v>
      </c>
    </row>
    <row r="2532" spans="1:9" x14ac:dyDescent="0.25">
      <c r="A2532" s="515">
        <v>44601</v>
      </c>
      <c r="B2532" s="515" t="s">
        <v>863</v>
      </c>
      <c r="C2532" s="52">
        <v>130671.52693730099</v>
      </c>
      <c r="D2532" s="56">
        <v>7.3517194120986493E-2</v>
      </c>
      <c r="E2532" s="224" t="s">
        <v>2</v>
      </c>
      <c r="F2532" s="515" t="s">
        <v>4027</v>
      </c>
      <c r="G2532" s="52">
        <v>99470.176133128902</v>
      </c>
      <c r="H2532" s="56">
        <v>7.7234496633428074E-2</v>
      </c>
      <c r="I2532" s="224" t="s">
        <v>2</v>
      </c>
    </row>
    <row r="2533" spans="1:9" x14ac:dyDescent="0.25">
      <c r="A2533" s="515">
        <v>89509</v>
      </c>
      <c r="B2533" s="515" t="s">
        <v>581</v>
      </c>
      <c r="C2533" s="52">
        <v>590310.87630073598</v>
      </c>
      <c r="D2533" s="56">
        <v>-9.7704305693896622E-3</v>
      </c>
      <c r="E2533" s="224">
        <v>1752.9861111111099</v>
      </c>
      <c r="F2533" s="515" t="s">
        <v>4028</v>
      </c>
      <c r="G2533" s="52">
        <v>591048.56599740905</v>
      </c>
      <c r="H2533" s="56">
        <v>3.3429535131681447E-2</v>
      </c>
      <c r="I2533" s="224" t="s">
        <v>2</v>
      </c>
    </row>
    <row r="2534" spans="1:9" x14ac:dyDescent="0.25">
      <c r="A2534" s="515">
        <v>19013</v>
      </c>
      <c r="B2534" s="515" t="s">
        <v>294</v>
      </c>
      <c r="C2534" s="52">
        <v>81421.498738292794</v>
      </c>
      <c r="D2534" s="56">
        <v>0.32163263079018367</v>
      </c>
      <c r="E2534" s="224">
        <v>1237.3333333333301</v>
      </c>
      <c r="F2534" s="515" t="s">
        <v>4029</v>
      </c>
      <c r="G2534" s="52">
        <v>278598.03540387598</v>
      </c>
      <c r="H2534" s="56">
        <v>7.7265856675955202E-2</v>
      </c>
      <c r="I2534" s="224" t="s">
        <v>2</v>
      </c>
    </row>
    <row r="2535" spans="1:9" x14ac:dyDescent="0.25">
      <c r="A2535" s="515">
        <v>72032</v>
      </c>
      <c r="B2535" s="515" t="s">
        <v>393</v>
      </c>
      <c r="C2535" s="52">
        <v>188564.96575154099</v>
      </c>
      <c r="D2535" s="56">
        <v>8.8118711144023865E-2</v>
      </c>
      <c r="E2535" s="224">
        <v>1042.7777777777701</v>
      </c>
      <c r="F2535" s="515" t="s">
        <v>4030</v>
      </c>
      <c r="G2535" s="52">
        <v>236633.16275313901</v>
      </c>
      <c r="H2535" s="56">
        <v>7.5339816167120266E-2</v>
      </c>
      <c r="I2535" s="224">
        <v>1197.8333333333301</v>
      </c>
    </row>
    <row r="2536" spans="1:9" x14ac:dyDescent="0.25">
      <c r="A2536" s="515">
        <v>19002</v>
      </c>
      <c r="B2536" s="515" t="s">
        <v>294</v>
      </c>
      <c r="C2536" s="52">
        <v>560785.09695787705</v>
      </c>
      <c r="D2536" s="56">
        <v>0.11097555886998146</v>
      </c>
      <c r="E2536" s="224" t="s">
        <v>2</v>
      </c>
      <c r="F2536" s="515" t="s">
        <v>4031</v>
      </c>
      <c r="G2536" s="52">
        <v>561926.67158351105</v>
      </c>
      <c r="H2536" s="56">
        <v>8.2853952629912703E-3</v>
      </c>
      <c r="I2536" s="224" t="s">
        <v>2</v>
      </c>
    </row>
    <row r="2537" spans="1:9" x14ac:dyDescent="0.25">
      <c r="A2537" s="515">
        <v>30161</v>
      </c>
      <c r="B2537" s="515" t="s">
        <v>1138</v>
      </c>
      <c r="C2537" s="52">
        <v>176844.304477703</v>
      </c>
      <c r="D2537" s="56">
        <v>0.10261774956368162</v>
      </c>
      <c r="E2537" s="224" t="s">
        <v>2</v>
      </c>
      <c r="F2537" s="515" t="s">
        <v>4032</v>
      </c>
      <c r="G2537" s="52">
        <v>303659.71464909002</v>
      </c>
      <c r="H2537" s="56">
        <v>5.5673983546935063E-2</v>
      </c>
      <c r="I2537" s="224">
        <v>1244.88888888888</v>
      </c>
    </row>
    <row r="2538" spans="1:9" x14ac:dyDescent="0.25">
      <c r="A2538" s="515">
        <v>90029</v>
      </c>
      <c r="B2538" s="515" t="s">
        <v>375</v>
      </c>
      <c r="C2538" s="52">
        <v>986981.40609051601</v>
      </c>
      <c r="D2538" s="56">
        <v>-1.4711029352815255E-2</v>
      </c>
      <c r="E2538" s="224">
        <v>2029.5238095238001</v>
      </c>
      <c r="F2538" s="515" t="s">
        <v>4033</v>
      </c>
      <c r="G2538" s="52">
        <v>374345.23763254</v>
      </c>
      <c r="H2538" s="56">
        <v>1.838781402646833E-2</v>
      </c>
      <c r="I2538" s="224" t="s">
        <v>2</v>
      </c>
    </row>
    <row r="2539" spans="1:9" x14ac:dyDescent="0.25">
      <c r="A2539" s="515">
        <v>91780</v>
      </c>
      <c r="B2539" s="515" t="s">
        <v>375</v>
      </c>
      <c r="C2539" s="52">
        <v>990549.82144994801</v>
      </c>
      <c r="D2539" s="56">
        <v>5.1820255697937183E-2</v>
      </c>
      <c r="E2539" s="224">
        <v>2987.5</v>
      </c>
      <c r="F2539" s="515" t="s">
        <v>1214</v>
      </c>
      <c r="G2539" s="52">
        <v>119907.282020442</v>
      </c>
      <c r="H2539" s="56">
        <v>6.2352313606992664E-2</v>
      </c>
      <c r="I2539" s="224" t="s">
        <v>2</v>
      </c>
    </row>
    <row r="2540" spans="1:9" x14ac:dyDescent="0.25">
      <c r="A2540" s="515">
        <v>78749</v>
      </c>
      <c r="B2540" s="515" t="s">
        <v>380</v>
      </c>
      <c r="C2540" s="52">
        <v>590563.10122839105</v>
      </c>
      <c r="D2540" s="56">
        <v>2.2214441160494387E-2</v>
      </c>
      <c r="E2540" s="224">
        <v>1826.11904761904</v>
      </c>
      <c r="F2540" s="515" t="s">
        <v>4034</v>
      </c>
      <c r="G2540" s="52">
        <v>233635.18363414099</v>
      </c>
      <c r="H2540" s="56">
        <v>7.4907946672496992E-2</v>
      </c>
      <c r="I2540" s="224" t="s">
        <v>2</v>
      </c>
    </row>
    <row r="2541" spans="1:9" x14ac:dyDescent="0.25">
      <c r="A2541" s="515">
        <v>23228</v>
      </c>
      <c r="B2541" s="515" t="s">
        <v>667</v>
      </c>
      <c r="C2541" s="52">
        <v>289365.87045284698</v>
      </c>
      <c r="D2541" s="56">
        <v>0.14452702076991672</v>
      </c>
      <c r="E2541" s="224">
        <v>1509.1666666666599</v>
      </c>
      <c r="F2541" s="515" t="s">
        <v>4035</v>
      </c>
      <c r="G2541" s="52">
        <v>740406.07100250002</v>
      </c>
      <c r="H2541" s="56">
        <v>7.2940365207414967E-2</v>
      </c>
      <c r="I2541" s="224">
        <v>2045.5</v>
      </c>
    </row>
    <row r="2542" spans="1:9" x14ac:dyDescent="0.25">
      <c r="A2542" s="515">
        <v>21144</v>
      </c>
      <c r="B2542" s="515" t="s">
        <v>582</v>
      </c>
      <c r="C2542" s="52">
        <v>459416.08889257</v>
      </c>
      <c r="D2542" s="56">
        <v>4.3233404907946867E-2</v>
      </c>
      <c r="E2542" s="224">
        <v>1910.1111111111099</v>
      </c>
      <c r="F2542" s="515" t="s">
        <v>1228</v>
      </c>
      <c r="G2542" s="52">
        <v>122020.093581621</v>
      </c>
      <c r="H2542" s="56">
        <v>5.4942247327070926E-2</v>
      </c>
      <c r="I2542" s="224" t="s">
        <v>2</v>
      </c>
    </row>
    <row r="2543" spans="1:9" x14ac:dyDescent="0.25">
      <c r="A2543" s="515">
        <v>77008</v>
      </c>
      <c r="B2543" s="515" t="s">
        <v>314</v>
      </c>
      <c r="C2543" s="52">
        <v>537846.84926834702</v>
      </c>
      <c r="D2543" s="56">
        <v>5.044204399277024E-2</v>
      </c>
      <c r="E2543" s="224">
        <v>1989.36374627501</v>
      </c>
      <c r="F2543" s="515" t="s">
        <v>4036</v>
      </c>
      <c r="G2543" s="52">
        <v>355717.79352474998</v>
      </c>
      <c r="H2543" s="56">
        <v>4.6420859867640794E-2</v>
      </c>
      <c r="I2543" s="224" t="s">
        <v>2</v>
      </c>
    </row>
    <row r="2544" spans="1:9" x14ac:dyDescent="0.25">
      <c r="A2544" s="515">
        <v>90277</v>
      </c>
      <c r="B2544" s="515" t="s">
        <v>375</v>
      </c>
      <c r="C2544" s="52">
        <v>1515874.26695031</v>
      </c>
      <c r="D2544" s="56">
        <v>5.499810306144555E-2</v>
      </c>
      <c r="E2544" s="224">
        <v>3356.5968915343901</v>
      </c>
      <c r="F2544" s="515" t="s">
        <v>4037</v>
      </c>
      <c r="G2544" s="52">
        <v>320057.47595489299</v>
      </c>
      <c r="H2544" s="56">
        <v>0.13691262783940608</v>
      </c>
      <c r="I2544" s="224">
        <v>2180.75</v>
      </c>
    </row>
    <row r="2545" spans="1:9" x14ac:dyDescent="0.25">
      <c r="A2545" s="515">
        <v>19141</v>
      </c>
      <c r="B2545" s="515" t="s">
        <v>294</v>
      </c>
      <c r="C2545" s="52">
        <v>152866.52167670999</v>
      </c>
      <c r="D2545" s="56">
        <v>0.11111947626598208</v>
      </c>
      <c r="E2545" s="224">
        <v>1057.36944444444</v>
      </c>
      <c r="F2545" s="515" t="s">
        <v>4038</v>
      </c>
      <c r="G2545" s="52">
        <v>276014.48294895998</v>
      </c>
      <c r="H2545" s="56">
        <v>7.5594308396680868E-2</v>
      </c>
      <c r="I2545" s="224">
        <v>1943.4761904761899</v>
      </c>
    </row>
    <row r="2546" spans="1:9" x14ac:dyDescent="0.25">
      <c r="A2546" s="515">
        <v>19136</v>
      </c>
      <c r="B2546" s="515" t="s">
        <v>294</v>
      </c>
      <c r="C2546" s="52">
        <v>224264.862239359</v>
      </c>
      <c r="D2546" s="56">
        <v>4.7868792389968225E-2</v>
      </c>
      <c r="E2546" s="224">
        <v>1441.6666666666599</v>
      </c>
      <c r="F2546" s="515" t="s">
        <v>519</v>
      </c>
      <c r="G2546" s="52">
        <v>383590.05347536103</v>
      </c>
      <c r="H2546" s="56">
        <v>4.9045738433297584E-2</v>
      </c>
      <c r="I2546" s="224" t="s">
        <v>2</v>
      </c>
    </row>
    <row r="2547" spans="1:9" x14ac:dyDescent="0.25">
      <c r="A2547" s="515">
        <v>8016</v>
      </c>
      <c r="B2547" s="515" t="s">
        <v>294</v>
      </c>
      <c r="C2547" s="52">
        <v>317286.58987077099</v>
      </c>
      <c r="D2547" s="56">
        <v>9.1201881361473974E-2</v>
      </c>
      <c r="E2547" s="224">
        <v>2075</v>
      </c>
      <c r="F2547" s="515" t="s">
        <v>4039</v>
      </c>
      <c r="G2547" s="52">
        <v>889016.584401545</v>
      </c>
      <c r="H2547" s="56">
        <v>4.9852354487404042E-2</v>
      </c>
      <c r="I2547" s="224">
        <v>2086.1990231990198</v>
      </c>
    </row>
    <row r="2548" spans="1:9" x14ac:dyDescent="0.25">
      <c r="A2548" s="515">
        <v>57103</v>
      </c>
      <c r="B2548" s="515" t="s">
        <v>579</v>
      </c>
      <c r="C2548" s="52">
        <v>260429.816826717</v>
      </c>
      <c r="D2548" s="56">
        <v>7.9158804448019357E-2</v>
      </c>
      <c r="E2548" s="224">
        <v>1016.66666666666</v>
      </c>
      <c r="F2548" s="515" t="s">
        <v>4040</v>
      </c>
      <c r="G2548" s="52">
        <v>280961.81438248698</v>
      </c>
      <c r="H2548" s="56">
        <v>7.716875129097954E-2</v>
      </c>
      <c r="I2548" s="224">
        <v>1198.3333333333301</v>
      </c>
    </row>
    <row r="2549" spans="1:9" x14ac:dyDescent="0.25">
      <c r="A2549" s="515">
        <v>93314</v>
      </c>
      <c r="B2549" s="515" t="s">
        <v>419</v>
      </c>
      <c r="C2549" s="52">
        <v>530613.01841951802</v>
      </c>
      <c r="D2549" s="56">
        <v>5.9905595189165918E-2</v>
      </c>
      <c r="E2549" s="224">
        <v>2177.6111111111099</v>
      </c>
      <c r="F2549" s="515" t="s">
        <v>4041</v>
      </c>
      <c r="G2549" s="52">
        <v>281166.76459762902</v>
      </c>
      <c r="H2549" s="56">
        <v>5.4468544126544581E-2</v>
      </c>
      <c r="I2549" s="224" t="s">
        <v>2</v>
      </c>
    </row>
    <row r="2550" spans="1:9" x14ac:dyDescent="0.25">
      <c r="A2550" s="515">
        <v>99163</v>
      </c>
      <c r="B2550" s="515" t="s">
        <v>450</v>
      </c>
      <c r="C2550" s="52">
        <v>402858.71922130499</v>
      </c>
      <c r="D2550" s="56">
        <v>5.8342691786067817E-2</v>
      </c>
      <c r="E2550" s="224">
        <v>1340.38461538461</v>
      </c>
      <c r="F2550" s="515" t="s">
        <v>4042</v>
      </c>
      <c r="G2550" s="52">
        <v>168833.28355692601</v>
      </c>
      <c r="H2550" s="56">
        <v>6.885130819203733E-2</v>
      </c>
      <c r="I2550" s="224" t="s">
        <v>2</v>
      </c>
    </row>
    <row r="2551" spans="1:9" x14ac:dyDescent="0.25">
      <c r="A2551" s="515">
        <v>80503</v>
      </c>
      <c r="B2551" s="515" t="s">
        <v>702</v>
      </c>
      <c r="C2551" s="52">
        <v>732566.638473331</v>
      </c>
      <c r="D2551" s="56">
        <v>3.566882260931762E-2</v>
      </c>
      <c r="E2551" s="224">
        <v>1882.44126984126</v>
      </c>
      <c r="F2551" s="515" t="s">
        <v>4043</v>
      </c>
      <c r="G2551" s="52">
        <v>407301.73534482799</v>
      </c>
      <c r="H2551" s="56">
        <v>2.0823010479972266E-2</v>
      </c>
      <c r="I2551" s="224" t="s">
        <v>2</v>
      </c>
    </row>
    <row r="2552" spans="1:9" x14ac:dyDescent="0.25">
      <c r="A2552" s="515">
        <v>46241</v>
      </c>
      <c r="B2552" s="515" t="s">
        <v>403</v>
      </c>
      <c r="C2552" s="52">
        <v>137624.46686811899</v>
      </c>
      <c r="D2552" s="56">
        <v>0.13559023610050622</v>
      </c>
      <c r="E2552" s="224">
        <v>1232.5</v>
      </c>
      <c r="F2552" s="515" t="s">
        <v>4044</v>
      </c>
      <c r="G2552" s="52">
        <v>558315.47770361498</v>
      </c>
      <c r="H2552" s="56">
        <v>4.000208042250665E-2</v>
      </c>
      <c r="I2552" s="224">
        <v>2500</v>
      </c>
    </row>
    <row r="2553" spans="1:9" x14ac:dyDescent="0.25">
      <c r="A2553" s="515">
        <v>94523</v>
      </c>
      <c r="B2553" s="515" t="s">
        <v>593</v>
      </c>
      <c r="C2553" s="52">
        <v>950075.69572760595</v>
      </c>
      <c r="D2553" s="56">
        <v>6.9668117075937872E-3</v>
      </c>
      <c r="E2553" s="224">
        <v>2839.2739434478499</v>
      </c>
      <c r="F2553" s="515" t="s">
        <v>4045</v>
      </c>
      <c r="G2553" s="52">
        <v>225924.96235685999</v>
      </c>
      <c r="H2553" s="56">
        <v>0.12478109101256861</v>
      </c>
      <c r="I2553" s="224" t="s">
        <v>2</v>
      </c>
    </row>
    <row r="2554" spans="1:9" x14ac:dyDescent="0.25">
      <c r="A2554" s="515">
        <v>92131</v>
      </c>
      <c r="B2554" s="515" t="s">
        <v>396</v>
      </c>
      <c r="C2554" s="52">
        <v>1249899.9325266699</v>
      </c>
      <c r="D2554" s="56">
        <v>7.2809282719750096E-2</v>
      </c>
      <c r="E2554" s="224">
        <v>3289.5833333333298</v>
      </c>
      <c r="F2554" s="515" t="s">
        <v>4046</v>
      </c>
      <c r="G2554" s="52">
        <v>661341.23046085797</v>
      </c>
      <c r="H2554" s="56">
        <v>5.4396984368152566E-2</v>
      </c>
      <c r="I2554" s="224">
        <v>2789.88888888888</v>
      </c>
    </row>
    <row r="2555" spans="1:9" x14ac:dyDescent="0.25">
      <c r="A2555" s="515">
        <v>80128</v>
      </c>
      <c r="B2555" s="515" t="s">
        <v>401</v>
      </c>
      <c r="C2555" s="52">
        <v>578997.11297595606</v>
      </c>
      <c r="D2555" s="56">
        <v>3.1873459820479413E-2</v>
      </c>
      <c r="E2555" s="224">
        <v>2066.7333333333299</v>
      </c>
      <c r="F2555" s="515" t="s">
        <v>4047</v>
      </c>
      <c r="G2555" s="52">
        <v>635885.72230889101</v>
      </c>
      <c r="H2555" s="56">
        <v>8.613114869787418E-2</v>
      </c>
      <c r="I2555" s="224">
        <v>2686.3333333333298</v>
      </c>
    </row>
    <row r="2556" spans="1:9" x14ac:dyDescent="0.25">
      <c r="A2556" s="515">
        <v>2864</v>
      </c>
      <c r="B2556" s="515" t="s">
        <v>513</v>
      </c>
      <c r="C2556" s="52">
        <v>423047.92759854702</v>
      </c>
      <c r="D2556" s="56">
        <v>7.1722646011171398E-2</v>
      </c>
      <c r="E2556" s="224">
        <v>1803.3333333333301</v>
      </c>
      <c r="F2556" s="515" t="s">
        <v>4048</v>
      </c>
      <c r="G2556" s="52">
        <v>413446.51678408898</v>
      </c>
      <c r="H2556" s="56">
        <v>1.7308049558540008E-2</v>
      </c>
      <c r="I2556" s="224" t="s">
        <v>2</v>
      </c>
    </row>
    <row r="2557" spans="1:9" x14ac:dyDescent="0.25">
      <c r="A2557" s="515">
        <v>30338</v>
      </c>
      <c r="B2557" s="515" t="s">
        <v>957</v>
      </c>
      <c r="C2557" s="52">
        <v>613512.32384231302</v>
      </c>
      <c r="D2557" s="56">
        <v>6.190316587942217E-2</v>
      </c>
      <c r="E2557" s="224">
        <v>1881.9714912280699</v>
      </c>
      <c r="F2557" s="515" t="s">
        <v>4049</v>
      </c>
      <c r="G2557" s="52">
        <v>541938.21331185498</v>
      </c>
      <c r="H2557" s="56">
        <v>9.0811524481376402E-2</v>
      </c>
      <c r="I2557" s="224">
        <v>3057.9166666666601</v>
      </c>
    </row>
    <row r="2558" spans="1:9" x14ac:dyDescent="0.25">
      <c r="A2558" s="515">
        <v>94582</v>
      </c>
      <c r="B2558" s="515" t="s">
        <v>593</v>
      </c>
      <c r="C2558" s="52">
        <v>1631735.46882053</v>
      </c>
      <c r="D2558" s="56">
        <v>1.8443225630916053E-2</v>
      </c>
      <c r="E2558" s="224">
        <v>3702.9437229437199</v>
      </c>
      <c r="F2558" s="515" t="s">
        <v>4050</v>
      </c>
      <c r="G2558" s="52">
        <v>170769.01928382699</v>
      </c>
      <c r="H2558" s="56">
        <v>0.10152085975136201</v>
      </c>
      <c r="I2558" s="224" t="s">
        <v>2</v>
      </c>
    </row>
    <row r="2559" spans="1:9" x14ac:dyDescent="0.25">
      <c r="A2559" s="515">
        <v>33579</v>
      </c>
      <c r="B2559" s="515" t="s">
        <v>461</v>
      </c>
      <c r="C2559" s="52">
        <v>411784.12060293701</v>
      </c>
      <c r="D2559" s="56">
        <v>8.6265698682059883E-2</v>
      </c>
      <c r="E2559" s="224">
        <v>2412.7654012654002</v>
      </c>
      <c r="F2559" s="515" t="s">
        <v>4051</v>
      </c>
      <c r="G2559" s="52">
        <v>98991.666872782007</v>
      </c>
      <c r="H2559" s="56">
        <v>3.3302311265864019E-2</v>
      </c>
      <c r="I2559" s="224" t="s">
        <v>2</v>
      </c>
    </row>
    <row r="2560" spans="1:9" x14ac:dyDescent="0.25">
      <c r="A2560" s="515">
        <v>27205</v>
      </c>
      <c r="B2560" s="515" t="s">
        <v>1148</v>
      </c>
      <c r="C2560" s="52">
        <v>225105.513784804</v>
      </c>
      <c r="D2560" s="56">
        <v>7.0047343221512015E-2</v>
      </c>
      <c r="E2560" s="224" t="s">
        <v>2</v>
      </c>
      <c r="F2560" s="515" t="s">
        <v>4052</v>
      </c>
      <c r="G2560" s="52">
        <v>361513.472897764</v>
      </c>
      <c r="H2560" s="56">
        <v>4.2590895565580822E-2</v>
      </c>
      <c r="I2560" s="224" t="s">
        <v>2</v>
      </c>
    </row>
    <row r="2561" spans="1:9" x14ac:dyDescent="0.25">
      <c r="A2561" s="515">
        <v>77382</v>
      </c>
      <c r="B2561" s="515" t="s">
        <v>314</v>
      </c>
      <c r="C2561" s="52">
        <v>516472.87710443902</v>
      </c>
      <c r="D2561" s="56">
        <v>9.6370246100244555E-2</v>
      </c>
      <c r="E2561" s="224">
        <v>2452.8525641025599</v>
      </c>
      <c r="F2561" s="515" t="s">
        <v>4053</v>
      </c>
      <c r="G2561" s="52">
        <v>422318.92140786402</v>
      </c>
      <c r="H2561" s="56">
        <v>2.6229873411266896E-3</v>
      </c>
      <c r="I2561" s="224">
        <v>1690.87367724867</v>
      </c>
    </row>
    <row r="2562" spans="1:9" x14ac:dyDescent="0.25">
      <c r="A2562" s="515">
        <v>21136</v>
      </c>
      <c r="B2562" s="515" t="s">
        <v>582</v>
      </c>
      <c r="C2562" s="52">
        <v>360342.87750902399</v>
      </c>
      <c r="D2562" s="56">
        <v>4.6274382371659338E-2</v>
      </c>
      <c r="E2562" s="224">
        <v>1459.0909090908999</v>
      </c>
      <c r="F2562" s="515" t="s">
        <v>737</v>
      </c>
      <c r="G2562" s="52">
        <v>312038.530023125</v>
      </c>
      <c r="H2562" s="56">
        <v>4.7323068005652558E-2</v>
      </c>
      <c r="I2562" s="224" t="s">
        <v>2</v>
      </c>
    </row>
    <row r="2563" spans="1:9" x14ac:dyDescent="0.25">
      <c r="A2563" s="515">
        <v>48239</v>
      </c>
      <c r="B2563" s="515" t="s">
        <v>685</v>
      </c>
      <c r="C2563" s="52">
        <v>158443.325660865</v>
      </c>
      <c r="D2563" s="56">
        <v>7.120447811356137E-2</v>
      </c>
      <c r="E2563" s="224" t="s">
        <v>2</v>
      </c>
      <c r="F2563" s="515" t="s">
        <v>1107</v>
      </c>
      <c r="G2563" s="52">
        <v>173185.18206975501</v>
      </c>
      <c r="H2563" s="56">
        <v>3.7438918305479942E-2</v>
      </c>
      <c r="I2563" s="224" t="s">
        <v>2</v>
      </c>
    </row>
    <row r="2564" spans="1:9" x14ac:dyDescent="0.25">
      <c r="A2564" s="515">
        <v>98155</v>
      </c>
      <c r="B2564" s="515" t="s">
        <v>384</v>
      </c>
      <c r="C2564" s="52">
        <v>766669.20771091594</v>
      </c>
      <c r="D2564" s="56">
        <v>3.3356428547745821E-2</v>
      </c>
      <c r="E2564" s="224">
        <v>2195.9725829725799</v>
      </c>
      <c r="F2564" s="515" t="s">
        <v>4054</v>
      </c>
      <c r="G2564" s="52">
        <v>412691.89456707099</v>
      </c>
      <c r="H2564" s="56">
        <v>0.12348530722132214</v>
      </c>
      <c r="I2564" s="224">
        <v>1610.75</v>
      </c>
    </row>
    <row r="2565" spans="1:9" x14ac:dyDescent="0.25">
      <c r="A2565" s="515">
        <v>83440</v>
      </c>
      <c r="B2565" s="515" t="s">
        <v>843</v>
      </c>
      <c r="C2565" s="52">
        <v>388952.91983627598</v>
      </c>
      <c r="D2565" s="56">
        <v>2.5971777327721227E-2</v>
      </c>
      <c r="E2565" s="224">
        <v>1055.8333333333301</v>
      </c>
      <c r="F2565" s="515" t="s">
        <v>4055</v>
      </c>
      <c r="G2565" s="52">
        <v>204656.50068154899</v>
      </c>
      <c r="H2565" s="56">
        <v>0.11347964438891317</v>
      </c>
      <c r="I2565" s="224">
        <v>1107.5</v>
      </c>
    </row>
    <row r="2566" spans="1:9" x14ac:dyDescent="0.25">
      <c r="A2566" s="515">
        <v>48312</v>
      </c>
      <c r="B2566" s="515" t="s">
        <v>685</v>
      </c>
      <c r="C2566" s="52">
        <v>254005.27107247099</v>
      </c>
      <c r="D2566" s="56">
        <v>3.3300611542449343E-2</v>
      </c>
      <c r="E2566" s="224">
        <v>1752.7777777777701</v>
      </c>
      <c r="F2566" s="515" t="s">
        <v>4056</v>
      </c>
      <c r="G2566" s="52">
        <v>515751.05599531299</v>
      </c>
      <c r="H2566" s="56">
        <v>0.10682719851540162</v>
      </c>
      <c r="I2566" s="224" t="s">
        <v>2</v>
      </c>
    </row>
    <row r="2567" spans="1:9" x14ac:dyDescent="0.25">
      <c r="A2567" s="515">
        <v>30311</v>
      </c>
      <c r="B2567" s="515" t="s">
        <v>957</v>
      </c>
      <c r="C2567" s="52">
        <v>266696.48770273098</v>
      </c>
      <c r="D2567" s="56">
        <v>0.15772377308057861</v>
      </c>
      <c r="E2567" s="224">
        <v>1830</v>
      </c>
      <c r="F2567" s="515" t="s">
        <v>4057</v>
      </c>
      <c r="G2567" s="52">
        <v>224480.49111635899</v>
      </c>
      <c r="H2567" s="56">
        <v>0.1463500899432201</v>
      </c>
      <c r="I2567" s="224" t="s">
        <v>2</v>
      </c>
    </row>
    <row r="2568" spans="1:9" x14ac:dyDescent="0.25">
      <c r="A2568" s="515">
        <v>2125</v>
      </c>
      <c r="B2568" s="515" t="s">
        <v>534</v>
      </c>
      <c r="C2568" s="52">
        <v>570557.51624575898</v>
      </c>
      <c r="D2568" s="56">
        <v>-1.82453317294573E-2</v>
      </c>
      <c r="E2568" s="224">
        <v>3167.94347826086</v>
      </c>
      <c r="F2568" s="515" t="s">
        <v>998</v>
      </c>
      <c r="G2568" s="52">
        <v>87219.587657922501</v>
      </c>
      <c r="H2568" s="56">
        <v>0.14196733472736298</v>
      </c>
      <c r="I2568" s="224" t="s">
        <v>2</v>
      </c>
    </row>
    <row r="2569" spans="1:9" x14ac:dyDescent="0.25">
      <c r="A2569" s="515">
        <v>60099</v>
      </c>
      <c r="B2569" s="515" t="s">
        <v>394</v>
      </c>
      <c r="C2569" s="52">
        <v>193993.36558265399</v>
      </c>
      <c r="D2569" s="56">
        <v>9.9000932765519023E-2</v>
      </c>
      <c r="E2569" s="224" t="s">
        <v>2</v>
      </c>
      <c r="F2569" s="515" t="s">
        <v>4058</v>
      </c>
      <c r="G2569" s="52">
        <v>395243.231939241</v>
      </c>
      <c r="H2569" s="56">
        <v>4.7926304243589533E-2</v>
      </c>
      <c r="I2569" s="224" t="s">
        <v>2</v>
      </c>
    </row>
    <row r="2570" spans="1:9" x14ac:dyDescent="0.25">
      <c r="A2570" s="515">
        <v>77351</v>
      </c>
      <c r="C2570" s="52">
        <v>169508.55026963699</v>
      </c>
      <c r="D2570" s="56">
        <v>5.6254909523677094E-2</v>
      </c>
      <c r="E2570" s="224" t="s">
        <v>2</v>
      </c>
      <c r="F2570" s="515" t="s">
        <v>4059</v>
      </c>
      <c r="G2570" s="52">
        <v>491914.65495975799</v>
      </c>
      <c r="H2570" s="56">
        <v>9.2160476543414027E-2</v>
      </c>
      <c r="I2570" s="224">
        <v>1668</v>
      </c>
    </row>
    <row r="2571" spans="1:9" x14ac:dyDescent="0.25">
      <c r="A2571" s="515">
        <v>49506</v>
      </c>
      <c r="B2571" s="515" t="s">
        <v>631</v>
      </c>
      <c r="C2571" s="52">
        <v>348106.01774540299</v>
      </c>
      <c r="D2571" s="56">
        <v>4.7383584628424798E-2</v>
      </c>
      <c r="E2571" s="224">
        <v>1838.9722222222199</v>
      </c>
      <c r="F2571" s="515" t="s">
        <v>4060</v>
      </c>
      <c r="G2571" s="52">
        <v>478745.57939722599</v>
      </c>
      <c r="H2571" s="56">
        <v>2.7980428863237716E-2</v>
      </c>
      <c r="I2571" s="224">
        <v>1806.88888888888</v>
      </c>
    </row>
    <row r="2572" spans="1:9" x14ac:dyDescent="0.25">
      <c r="A2572" s="515">
        <v>28792</v>
      </c>
      <c r="B2572" s="515" t="s">
        <v>668</v>
      </c>
      <c r="C2572" s="52">
        <v>327970.36297378602</v>
      </c>
      <c r="D2572" s="56">
        <v>0.11069151220700887</v>
      </c>
      <c r="E2572" s="224" t="s">
        <v>2</v>
      </c>
      <c r="F2572" s="515" t="s">
        <v>4061</v>
      </c>
      <c r="G2572" s="52">
        <v>657164.64438029996</v>
      </c>
      <c r="H2572" s="56">
        <v>3.8914420411208607E-2</v>
      </c>
      <c r="I2572" s="224">
        <v>2800.8055555555502</v>
      </c>
    </row>
    <row r="2573" spans="1:9" x14ac:dyDescent="0.25">
      <c r="A2573" s="515">
        <v>33801</v>
      </c>
      <c r="B2573" s="515" t="s">
        <v>359</v>
      </c>
      <c r="C2573" s="52">
        <v>230783.25510236499</v>
      </c>
      <c r="D2573" s="56">
        <v>0.16709776976508456</v>
      </c>
      <c r="E2573" s="224">
        <v>1464.18518518518</v>
      </c>
      <c r="F2573" s="515" t="s">
        <v>808</v>
      </c>
      <c r="G2573" s="52">
        <v>161154.71920156199</v>
      </c>
      <c r="H2573" s="56">
        <v>9.5298134025233933E-2</v>
      </c>
      <c r="I2573" s="224">
        <v>750</v>
      </c>
    </row>
    <row r="2574" spans="1:9" x14ac:dyDescent="0.25">
      <c r="A2574" s="515">
        <v>95901</v>
      </c>
      <c r="B2574" s="515" t="s">
        <v>796</v>
      </c>
      <c r="C2574" s="52">
        <v>358329.41718951002</v>
      </c>
      <c r="D2574" s="56">
        <v>1.5113557459120259E-2</v>
      </c>
      <c r="E2574" s="224">
        <v>1990.9</v>
      </c>
      <c r="F2574" s="515" t="s">
        <v>803</v>
      </c>
      <c r="G2574" s="52">
        <v>200872.59450678399</v>
      </c>
      <c r="H2574" s="56">
        <v>5.1907126793626031E-2</v>
      </c>
      <c r="I2574" s="224" t="s">
        <v>2</v>
      </c>
    </row>
    <row r="2575" spans="1:9" x14ac:dyDescent="0.25">
      <c r="A2575" s="515">
        <v>46131</v>
      </c>
      <c r="B2575" s="515" t="s">
        <v>403</v>
      </c>
      <c r="C2575" s="52">
        <v>245147.33600966199</v>
      </c>
      <c r="D2575" s="56">
        <v>9.2765964075555291E-2</v>
      </c>
      <c r="E2575" s="224">
        <v>1583.7666666666601</v>
      </c>
      <c r="F2575" s="515" t="s">
        <v>293</v>
      </c>
      <c r="G2575" s="52">
        <v>86856.645561895901</v>
      </c>
      <c r="H2575" s="56">
        <v>1.9090720615172529E-2</v>
      </c>
      <c r="I2575" s="224" t="s">
        <v>2</v>
      </c>
    </row>
    <row r="2576" spans="1:9" x14ac:dyDescent="0.25">
      <c r="A2576" s="515">
        <v>78552</v>
      </c>
      <c r="B2576" s="515" t="s">
        <v>444</v>
      </c>
      <c r="C2576" s="52">
        <v>184191.908677375</v>
      </c>
      <c r="D2576" s="56">
        <v>9.9192378798484901E-2</v>
      </c>
      <c r="E2576" s="224">
        <v>1162.5</v>
      </c>
      <c r="F2576" s="515" t="s">
        <v>712</v>
      </c>
      <c r="G2576" s="52">
        <v>117012.28090962701</v>
      </c>
      <c r="H2576" s="56">
        <v>0.13061363393000905</v>
      </c>
      <c r="I2576" s="224" t="s">
        <v>2</v>
      </c>
    </row>
    <row r="2577" spans="1:9" x14ac:dyDescent="0.25">
      <c r="A2577" s="515">
        <v>80911</v>
      </c>
      <c r="B2577" s="515" t="s">
        <v>701</v>
      </c>
      <c r="C2577" s="52">
        <v>367267.90757822199</v>
      </c>
      <c r="D2577" s="56">
        <v>3.3769903860248869E-2</v>
      </c>
      <c r="E2577" s="224">
        <v>2014.1111111111099</v>
      </c>
      <c r="F2577" s="515" t="s">
        <v>4062</v>
      </c>
      <c r="G2577" s="52">
        <v>261091.17814496101</v>
      </c>
      <c r="H2577" s="56">
        <v>9.8691438713881335E-2</v>
      </c>
      <c r="I2577" s="224" t="s">
        <v>2</v>
      </c>
    </row>
    <row r="2578" spans="1:9" x14ac:dyDescent="0.25">
      <c r="A2578" s="515">
        <v>80004</v>
      </c>
      <c r="B2578" s="515" t="s">
        <v>401</v>
      </c>
      <c r="C2578" s="52">
        <v>586183.22194846405</v>
      </c>
      <c r="D2578" s="56">
        <v>3.0567791890054267E-2</v>
      </c>
      <c r="E2578" s="224">
        <v>1953.88888888888</v>
      </c>
      <c r="F2578" s="515" t="s">
        <v>4063</v>
      </c>
      <c r="G2578" s="52">
        <v>328538.637883274</v>
      </c>
      <c r="H2578" s="56">
        <v>0.2134607717928694</v>
      </c>
      <c r="I2578" s="224">
        <v>2721.63888888888</v>
      </c>
    </row>
    <row r="2579" spans="1:9" x14ac:dyDescent="0.25">
      <c r="A2579" s="515">
        <v>77320</v>
      </c>
      <c r="B2579" s="515" t="s">
        <v>503</v>
      </c>
      <c r="C2579" s="52">
        <v>229118.36933618601</v>
      </c>
      <c r="D2579" s="56">
        <v>7.6004936875160994E-2</v>
      </c>
      <c r="E2579" s="224">
        <v>1143.3333333333301</v>
      </c>
      <c r="F2579" s="515" t="s">
        <v>4064</v>
      </c>
      <c r="G2579" s="52">
        <v>533667.81981263706</v>
      </c>
      <c r="H2579" s="56">
        <v>5.7585232530515576E-2</v>
      </c>
      <c r="I2579" s="224">
        <v>1861.1111111111099</v>
      </c>
    </row>
    <row r="2580" spans="1:9" x14ac:dyDescent="0.25">
      <c r="A2580" s="515">
        <v>39208</v>
      </c>
      <c r="B2580" s="515" t="s">
        <v>851</v>
      </c>
      <c r="C2580" s="52">
        <v>180136.06342414001</v>
      </c>
      <c r="D2580" s="56">
        <v>8.0662327235062017E-2</v>
      </c>
      <c r="E2580" s="224">
        <v>1347.2361111111099</v>
      </c>
      <c r="F2580" s="515" t="s">
        <v>4065</v>
      </c>
      <c r="G2580" s="52">
        <v>289918.19861733401</v>
      </c>
      <c r="H2580" s="56">
        <v>4.992846615207254E-2</v>
      </c>
      <c r="I2580" s="224" t="s">
        <v>2</v>
      </c>
    </row>
    <row r="2581" spans="1:9" x14ac:dyDescent="0.25">
      <c r="A2581" s="515">
        <v>85335</v>
      </c>
      <c r="B2581" s="515" t="s">
        <v>563</v>
      </c>
      <c r="C2581" s="52">
        <v>345515.31460099702</v>
      </c>
      <c r="D2581" s="56">
        <v>4.8170603211394859E-2</v>
      </c>
      <c r="E2581" s="224">
        <v>1938.4055555555501</v>
      </c>
      <c r="F2581" s="515" t="s">
        <v>4066</v>
      </c>
      <c r="G2581" s="52">
        <v>546294.48545442405</v>
      </c>
      <c r="H2581" s="56">
        <v>3.5771977937668252E-2</v>
      </c>
      <c r="I2581" s="224">
        <v>1754.8333333333301</v>
      </c>
    </row>
    <row r="2582" spans="1:9" x14ac:dyDescent="0.25">
      <c r="A2582" s="515">
        <v>78570</v>
      </c>
      <c r="B2582" s="515" t="s">
        <v>550</v>
      </c>
      <c r="C2582" s="52">
        <v>106905.023016855</v>
      </c>
      <c r="D2582" s="56">
        <v>0.1996528508739914</v>
      </c>
      <c r="E2582" s="224" t="s">
        <v>2</v>
      </c>
      <c r="F2582" s="515" t="s">
        <v>4067</v>
      </c>
      <c r="G2582" s="52">
        <v>565195.36622282304</v>
      </c>
      <c r="H2582" s="56">
        <v>2.9075768700071412E-2</v>
      </c>
      <c r="I2582" s="224" t="s">
        <v>2</v>
      </c>
    </row>
    <row r="2583" spans="1:9" x14ac:dyDescent="0.25">
      <c r="A2583" s="515">
        <v>80211</v>
      </c>
      <c r="B2583" s="515" t="s">
        <v>401</v>
      </c>
      <c r="C2583" s="52">
        <v>719305.93372516998</v>
      </c>
      <c r="D2583" s="56">
        <v>3.3294892367200422E-2</v>
      </c>
      <c r="E2583" s="224">
        <v>2235.8201912557201</v>
      </c>
      <c r="F2583" s="515" t="s">
        <v>4068</v>
      </c>
      <c r="G2583" s="52">
        <v>352015.35468944698</v>
      </c>
      <c r="H2583" s="56">
        <v>5.412011660658575E-2</v>
      </c>
      <c r="I2583" s="224">
        <v>2210.88148148148</v>
      </c>
    </row>
    <row r="2584" spans="1:9" x14ac:dyDescent="0.25">
      <c r="A2584" s="515">
        <v>19154</v>
      </c>
      <c r="B2584" s="515" t="s">
        <v>294</v>
      </c>
      <c r="C2584" s="52">
        <v>283027.431204063</v>
      </c>
      <c r="D2584" s="56">
        <v>6.5332011112795851E-2</v>
      </c>
      <c r="E2584" s="224">
        <v>1733.44444444444</v>
      </c>
      <c r="F2584" s="515" t="s">
        <v>4069</v>
      </c>
      <c r="G2584" s="52">
        <v>404328.49545705901</v>
      </c>
      <c r="H2584" s="56">
        <v>7.8301600584922693E-2</v>
      </c>
      <c r="I2584" s="224" t="s">
        <v>2</v>
      </c>
    </row>
    <row r="2585" spans="1:9" x14ac:dyDescent="0.25">
      <c r="A2585" s="515">
        <v>60031</v>
      </c>
      <c r="B2585" s="515" t="s">
        <v>394</v>
      </c>
      <c r="C2585" s="52">
        <v>303435.26944205299</v>
      </c>
      <c r="D2585" s="56">
        <v>4.8937705503169199E-2</v>
      </c>
      <c r="E2585" s="224">
        <v>1756.8571428571399</v>
      </c>
      <c r="F2585" s="515" t="s">
        <v>342</v>
      </c>
      <c r="G2585" s="52">
        <v>197116.07885857401</v>
      </c>
      <c r="H2585" s="56">
        <v>7.0820102113917024E-2</v>
      </c>
      <c r="I2585" s="224" t="s">
        <v>2</v>
      </c>
    </row>
    <row r="2586" spans="1:9" x14ac:dyDescent="0.25">
      <c r="A2586" s="515">
        <v>85635</v>
      </c>
      <c r="B2586" s="515" t="s">
        <v>374</v>
      </c>
      <c r="C2586" s="52">
        <v>242685.89335981</v>
      </c>
      <c r="D2586" s="56">
        <v>6.6546468806947631E-2</v>
      </c>
      <c r="E2586" s="224">
        <v>1523.9166666666599</v>
      </c>
      <c r="F2586" s="515" t="s">
        <v>873</v>
      </c>
      <c r="G2586" s="52">
        <v>195288.72113547</v>
      </c>
      <c r="H2586" s="56">
        <v>5.5267495120221728E-2</v>
      </c>
      <c r="I2586" s="224" t="s">
        <v>2</v>
      </c>
    </row>
    <row r="2587" spans="1:9" x14ac:dyDescent="0.25">
      <c r="A2587" s="515">
        <v>6040</v>
      </c>
      <c r="B2587" s="515" t="s">
        <v>894</v>
      </c>
      <c r="C2587" s="52">
        <v>259718.89355689901</v>
      </c>
      <c r="D2587" s="56">
        <v>9.2383820266221647E-2</v>
      </c>
      <c r="E2587" s="224">
        <v>1512</v>
      </c>
      <c r="F2587" s="515" t="s">
        <v>4070</v>
      </c>
      <c r="G2587" s="52">
        <v>360335.20152131299</v>
      </c>
      <c r="H2587" s="56">
        <v>3.7793155041336374E-2</v>
      </c>
      <c r="I2587" s="224">
        <v>1808.75</v>
      </c>
    </row>
    <row r="2588" spans="1:9" x14ac:dyDescent="0.25">
      <c r="A2588" s="515">
        <v>2368</v>
      </c>
      <c r="B2588" s="515" t="s">
        <v>534</v>
      </c>
      <c r="C2588" s="52">
        <v>490642.07655133901</v>
      </c>
      <c r="D2588" s="56">
        <v>5.8575860033805216E-2</v>
      </c>
      <c r="E2588" s="224">
        <v>2322.4444444444398</v>
      </c>
      <c r="F2588" s="515" t="s">
        <v>4071</v>
      </c>
      <c r="G2588" s="52">
        <v>422024.679615381</v>
      </c>
      <c r="H2588" s="56">
        <v>6.0238797055375409E-2</v>
      </c>
      <c r="I2588" s="224" t="s">
        <v>2</v>
      </c>
    </row>
    <row r="2589" spans="1:9" x14ac:dyDescent="0.25">
      <c r="A2589" s="515">
        <v>76904</v>
      </c>
      <c r="B2589" s="515" t="s">
        <v>551</v>
      </c>
      <c r="C2589" s="52">
        <v>289727.89767740498</v>
      </c>
      <c r="D2589" s="56">
        <v>3.7467262041959583E-2</v>
      </c>
      <c r="E2589" s="224">
        <v>1574.5833333333301</v>
      </c>
      <c r="F2589" s="515" t="s">
        <v>4072</v>
      </c>
      <c r="G2589" s="52">
        <v>387866.00784714002</v>
      </c>
      <c r="H2589" s="56">
        <v>7.6482105958899302E-2</v>
      </c>
      <c r="I2589" s="224">
        <v>2131.25</v>
      </c>
    </row>
    <row r="2590" spans="1:9" x14ac:dyDescent="0.25">
      <c r="A2590" s="515">
        <v>95361</v>
      </c>
      <c r="B2590" s="515" t="s">
        <v>797</v>
      </c>
      <c r="C2590" s="52">
        <v>508227.73319407599</v>
      </c>
      <c r="D2590" s="56">
        <v>4.1102811359080997E-2</v>
      </c>
      <c r="E2590" s="224" t="s">
        <v>2</v>
      </c>
      <c r="F2590" s="515" t="s">
        <v>4073</v>
      </c>
      <c r="G2590" s="52">
        <v>256914.85552593399</v>
      </c>
      <c r="H2590" s="56">
        <v>5.9648067258880465E-2</v>
      </c>
      <c r="I2590" s="224" t="s">
        <v>2</v>
      </c>
    </row>
    <row r="2591" spans="1:9" x14ac:dyDescent="0.25">
      <c r="A2591" s="515">
        <v>88001</v>
      </c>
      <c r="B2591" s="515" t="s">
        <v>317</v>
      </c>
      <c r="C2591" s="52">
        <v>184848.08200215199</v>
      </c>
      <c r="D2591" s="56">
        <v>0.14709364577455203</v>
      </c>
      <c r="E2591" s="224">
        <v>914.30555555555497</v>
      </c>
      <c r="F2591" s="515" t="s">
        <v>4074</v>
      </c>
      <c r="G2591" s="52">
        <v>1286406.7945085501</v>
      </c>
      <c r="H2591" s="56">
        <v>8.1299499375424814E-2</v>
      </c>
      <c r="I2591" s="224">
        <v>2633.3333333333298</v>
      </c>
    </row>
    <row r="2592" spans="1:9" x14ac:dyDescent="0.25">
      <c r="A2592" s="515">
        <v>38018</v>
      </c>
      <c r="B2592" s="515" t="s">
        <v>951</v>
      </c>
      <c r="C2592" s="52">
        <v>289741.92521305801</v>
      </c>
      <c r="D2592" s="56">
        <v>7.6900572935224065E-2</v>
      </c>
      <c r="E2592" s="224">
        <v>1738.1903731392199</v>
      </c>
      <c r="F2592" s="515" t="s">
        <v>4075</v>
      </c>
      <c r="G2592" s="52">
        <v>256805.453335778</v>
      </c>
      <c r="H2592" s="56">
        <v>0.15415861956315471</v>
      </c>
      <c r="I2592" s="224">
        <v>1575</v>
      </c>
    </row>
    <row r="2593" spans="1:9" x14ac:dyDescent="0.25">
      <c r="A2593" s="515">
        <v>85233</v>
      </c>
      <c r="B2593" s="515" t="s">
        <v>563</v>
      </c>
      <c r="C2593" s="52">
        <v>497910.659850055</v>
      </c>
      <c r="D2593" s="56">
        <v>2.542624682439994E-2</v>
      </c>
      <c r="E2593" s="224">
        <v>2058.7235449735399</v>
      </c>
      <c r="F2593" s="515" t="s">
        <v>877</v>
      </c>
      <c r="G2593" s="52">
        <v>258023.56818249801</v>
      </c>
      <c r="H2593" s="56">
        <v>7.4941898567831858E-2</v>
      </c>
      <c r="I2593" s="224" t="s">
        <v>2</v>
      </c>
    </row>
    <row r="2594" spans="1:9" x14ac:dyDescent="0.25">
      <c r="A2594" s="515">
        <v>73120</v>
      </c>
      <c r="B2594" s="515" t="s">
        <v>385</v>
      </c>
      <c r="C2594" s="52">
        <v>224353.37420679099</v>
      </c>
      <c r="D2594" s="56">
        <v>0.10739782039686543</v>
      </c>
      <c r="E2594" s="224">
        <v>1293.8333333333301</v>
      </c>
      <c r="F2594" s="515" t="s">
        <v>4076</v>
      </c>
      <c r="G2594" s="52">
        <v>361023.70777358999</v>
      </c>
      <c r="H2594" s="56">
        <v>0.10354956981415595</v>
      </c>
      <c r="I2594" s="224">
        <v>1589.35</v>
      </c>
    </row>
    <row r="2595" spans="1:9" x14ac:dyDescent="0.25">
      <c r="A2595" s="515">
        <v>53066</v>
      </c>
      <c r="B2595" s="515" t="s">
        <v>950</v>
      </c>
      <c r="C2595" s="52">
        <v>425952.985620455</v>
      </c>
      <c r="D2595" s="56">
        <v>4.5205232178798883E-2</v>
      </c>
      <c r="E2595" s="224" t="s">
        <v>2</v>
      </c>
      <c r="F2595" s="515" t="s">
        <v>4077</v>
      </c>
      <c r="G2595" s="52">
        <v>264638.23002623802</v>
      </c>
      <c r="H2595" s="56">
        <v>3.5837466489288289E-2</v>
      </c>
      <c r="I2595" s="224" t="s">
        <v>2</v>
      </c>
    </row>
    <row r="2596" spans="1:9" x14ac:dyDescent="0.25">
      <c r="A2596" s="515">
        <v>48205</v>
      </c>
      <c r="B2596" s="515" t="s">
        <v>685</v>
      </c>
      <c r="C2596" s="52">
        <v>54253.992877250799</v>
      </c>
      <c r="D2596" s="56">
        <v>4.4706609213233002E-2</v>
      </c>
      <c r="E2596" s="224">
        <v>1213.69047619047</v>
      </c>
      <c r="F2596" s="515" t="s">
        <v>4078</v>
      </c>
      <c r="G2596" s="52">
        <v>638473.25992627605</v>
      </c>
      <c r="H2596" s="56">
        <v>5.3235720475583816E-2</v>
      </c>
      <c r="I2596" s="224" t="s">
        <v>2</v>
      </c>
    </row>
    <row r="2597" spans="1:9" x14ac:dyDescent="0.25">
      <c r="A2597" s="515">
        <v>34746</v>
      </c>
      <c r="B2597" s="515" t="s">
        <v>517</v>
      </c>
      <c r="C2597" s="52">
        <v>381812.21818637801</v>
      </c>
      <c r="D2597" s="56">
        <v>0.15423873928607781</v>
      </c>
      <c r="E2597" s="224">
        <v>2064.2454545454498</v>
      </c>
      <c r="F2597" s="515" t="s">
        <v>4079</v>
      </c>
      <c r="G2597" s="52">
        <v>551340.86937855801</v>
      </c>
      <c r="H2597" s="56">
        <v>5.6537033990575372E-2</v>
      </c>
      <c r="I2597" s="224">
        <v>2577.7777777777701</v>
      </c>
    </row>
    <row r="2598" spans="1:9" x14ac:dyDescent="0.25">
      <c r="A2598" s="515">
        <v>8096</v>
      </c>
      <c r="B2598" s="515" t="s">
        <v>294</v>
      </c>
      <c r="C2598" s="52">
        <v>265950.60744642402</v>
      </c>
      <c r="D2598" s="56">
        <v>0.10356790222721804</v>
      </c>
      <c r="E2598" s="224">
        <v>1630</v>
      </c>
      <c r="F2598" s="515" t="s">
        <v>4080</v>
      </c>
      <c r="G2598" s="52">
        <v>491762.01126134302</v>
      </c>
      <c r="H2598" s="56">
        <v>0.14651100294546024</v>
      </c>
      <c r="I2598" s="224">
        <v>2608.75</v>
      </c>
    </row>
    <row r="2599" spans="1:9" x14ac:dyDescent="0.25">
      <c r="A2599" s="515">
        <v>77076</v>
      </c>
      <c r="B2599" s="515" t="s">
        <v>314</v>
      </c>
      <c r="C2599" s="52">
        <v>187910.03261880501</v>
      </c>
      <c r="D2599" s="56">
        <v>0.16115247136893571</v>
      </c>
      <c r="E2599" s="224" t="s">
        <v>2</v>
      </c>
      <c r="F2599" s="515" t="s">
        <v>4081</v>
      </c>
      <c r="G2599" s="52">
        <v>1861558.02725213</v>
      </c>
      <c r="H2599" s="56">
        <v>3.9714082265794757E-3</v>
      </c>
      <c r="I2599" s="224">
        <v>3477.7777777777701</v>
      </c>
    </row>
    <row r="2600" spans="1:9" x14ac:dyDescent="0.25">
      <c r="A2600" s="515">
        <v>45103</v>
      </c>
      <c r="B2600" s="515" t="s">
        <v>344</v>
      </c>
      <c r="C2600" s="52">
        <v>262940.37781571498</v>
      </c>
      <c r="D2600" s="56">
        <v>7.7556766638442035E-2</v>
      </c>
      <c r="E2600" s="224">
        <v>1705.5333333333299</v>
      </c>
      <c r="F2600" s="515" t="s">
        <v>4082</v>
      </c>
      <c r="G2600" s="52">
        <v>271100.16233083402</v>
      </c>
      <c r="H2600" s="56">
        <v>8.8850296684498412E-2</v>
      </c>
      <c r="I2600" s="224" t="s">
        <v>2</v>
      </c>
    </row>
    <row r="2601" spans="1:9" x14ac:dyDescent="0.25">
      <c r="A2601" s="515">
        <v>58078</v>
      </c>
      <c r="B2601" s="515" t="s">
        <v>928</v>
      </c>
      <c r="C2601" s="52">
        <v>306195.74799576501</v>
      </c>
      <c r="D2601" s="56">
        <v>6.9117909789445625E-2</v>
      </c>
      <c r="E2601" s="224">
        <v>1572.9</v>
      </c>
      <c r="F2601" s="515" t="s">
        <v>4083</v>
      </c>
      <c r="G2601" s="52">
        <v>2204691.6079183598</v>
      </c>
      <c r="H2601" s="56">
        <v>3.9688825144816198E-2</v>
      </c>
      <c r="I2601" s="224">
        <v>4463.0492063492002</v>
      </c>
    </row>
    <row r="2602" spans="1:9" x14ac:dyDescent="0.25">
      <c r="A2602" s="515">
        <v>40245</v>
      </c>
      <c r="B2602" s="515" t="s">
        <v>479</v>
      </c>
      <c r="C2602" s="52">
        <v>440476.73972463602</v>
      </c>
      <c r="D2602" s="56">
        <v>5.7321410163814791E-2</v>
      </c>
      <c r="E2602" s="224">
        <v>1267</v>
      </c>
      <c r="F2602" s="515" t="s">
        <v>4084</v>
      </c>
      <c r="G2602" s="52">
        <v>387658.52892645</v>
      </c>
      <c r="H2602" s="56">
        <v>0.15855284001701067</v>
      </c>
      <c r="I2602" s="224">
        <v>2450</v>
      </c>
    </row>
    <row r="2603" spans="1:9" x14ac:dyDescent="0.25">
      <c r="A2603" s="515">
        <v>46902</v>
      </c>
      <c r="B2603" s="515" t="s">
        <v>1185</v>
      </c>
      <c r="C2603" s="52">
        <v>157937.13712231899</v>
      </c>
      <c r="D2603" s="56">
        <v>5.1345481748097256E-2</v>
      </c>
      <c r="E2603" s="224">
        <v>858.33333333333303</v>
      </c>
      <c r="F2603" s="515" t="s">
        <v>826</v>
      </c>
      <c r="G2603" s="52">
        <v>552052.96338834404</v>
      </c>
      <c r="H2603" s="56">
        <v>4.638913454252877E-2</v>
      </c>
      <c r="I2603" s="224" t="s">
        <v>2</v>
      </c>
    </row>
    <row r="2604" spans="1:9" x14ac:dyDescent="0.25">
      <c r="A2604" s="515">
        <v>21227</v>
      </c>
      <c r="B2604" s="515" t="s">
        <v>582</v>
      </c>
      <c r="C2604" s="52">
        <v>266770.722618873</v>
      </c>
      <c r="D2604" s="56">
        <v>4.4465549028379431E-2</v>
      </c>
      <c r="E2604" s="224">
        <v>1850</v>
      </c>
      <c r="F2604" s="515" t="s">
        <v>4085</v>
      </c>
      <c r="G2604" s="52">
        <v>402159.84119196102</v>
      </c>
      <c r="H2604" s="56">
        <v>6.4122029787645349E-2</v>
      </c>
      <c r="I2604" s="224" t="s">
        <v>2</v>
      </c>
    </row>
    <row r="2605" spans="1:9" x14ac:dyDescent="0.25">
      <c r="A2605" s="515">
        <v>32211</v>
      </c>
      <c r="B2605" s="515" t="s">
        <v>1158</v>
      </c>
      <c r="C2605" s="52">
        <v>241319.69249784399</v>
      </c>
      <c r="D2605" s="56">
        <v>0.12807880310011788</v>
      </c>
      <c r="E2605" s="224">
        <v>1402.2129629629601</v>
      </c>
      <c r="F2605" s="515" t="s">
        <v>4086</v>
      </c>
      <c r="G2605" s="52">
        <v>284077.72942233802</v>
      </c>
      <c r="H2605" s="56">
        <v>3.3050356551137465E-2</v>
      </c>
      <c r="I2605" s="224" t="s">
        <v>2</v>
      </c>
    </row>
    <row r="2606" spans="1:9" x14ac:dyDescent="0.25">
      <c r="A2606" s="515">
        <v>12590</v>
      </c>
      <c r="B2606" s="515" t="s">
        <v>529</v>
      </c>
      <c r="C2606" s="52">
        <v>399872.29192252801</v>
      </c>
      <c r="D2606" s="56">
        <v>8.6060932714997276E-2</v>
      </c>
      <c r="E2606" s="224" t="s">
        <v>2</v>
      </c>
      <c r="F2606" s="515" t="s">
        <v>4087</v>
      </c>
      <c r="G2606" s="52">
        <v>179839.65359816601</v>
      </c>
      <c r="H2606" s="56">
        <v>9.7784420554796317E-2</v>
      </c>
      <c r="I2606" s="224" t="s">
        <v>2</v>
      </c>
    </row>
    <row r="2607" spans="1:9" x14ac:dyDescent="0.25">
      <c r="A2607" s="515">
        <v>98607</v>
      </c>
      <c r="B2607" s="515" t="s">
        <v>659</v>
      </c>
      <c r="C2607" s="52">
        <v>685595.14791167004</v>
      </c>
      <c r="D2607" s="56">
        <v>6.34739039789049E-2</v>
      </c>
      <c r="E2607" s="224">
        <v>2216.0942760942698</v>
      </c>
      <c r="F2607" s="515" t="s">
        <v>4088</v>
      </c>
      <c r="G2607" s="52">
        <v>606374.45708438102</v>
      </c>
      <c r="H2607" s="56">
        <v>5.828412028610612E-2</v>
      </c>
      <c r="I2607" s="224" t="s">
        <v>2</v>
      </c>
    </row>
    <row r="2608" spans="1:9" x14ac:dyDescent="0.25">
      <c r="A2608" s="515">
        <v>85020</v>
      </c>
      <c r="B2608" s="515" t="s">
        <v>563</v>
      </c>
      <c r="C2608" s="52">
        <v>395784.66251413402</v>
      </c>
      <c r="D2608" s="56">
        <v>2.103408573662751E-2</v>
      </c>
      <c r="E2608" s="224">
        <v>1505.59935897435</v>
      </c>
      <c r="F2608" s="515" t="s">
        <v>4089</v>
      </c>
      <c r="G2608" s="52">
        <v>216537.87394889901</v>
      </c>
      <c r="H2608" s="56">
        <v>0.1164872971520641</v>
      </c>
      <c r="I2608" s="224">
        <v>1395.8333333333301</v>
      </c>
    </row>
    <row r="2609" spans="1:9" x14ac:dyDescent="0.25">
      <c r="A2609" s="515">
        <v>6053</v>
      </c>
      <c r="B2609" s="515" t="s">
        <v>894</v>
      </c>
      <c r="C2609" s="52">
        <v>227303.57671685101</v>
      </c>
      <c r="D2609" s="56">
        <v>0.12694087794920317</v>
      </c>
      <c r="E2609" s="224">
        <v>1431.5277777777701</v>
      </c>
      <c r="F2609" s="515" t="s">
        <v>747</v>
      </c>
      <c r="G2609" s="52">
        <v>284123.970384132</v>
      </c>
      <c r="H2609" s="56">
        <v>0.16180861809315997</v>
      </c>
      <c r="I2609" s="224">
        <v>1565</v>
      </c>
    </row>
    <row r="2610" spans="1:9" x14ac:dyDescent="0.25">
      <c r="A2610" s="515">
        <v>71112</v>
      </c>
      <c r="B2610" s="515" t="s">
        <v>739</v>
      </c>
      <c r="C2610" s="52">
        <v>163319.57295584501</v>
      </c>
      <c r="D2610" s="56">
        <v>6.8363369678306848E-2</v>
      </c>
      <c r="E2610" s="224">
        <v>1281.0846560846501</v>
      </c>
      <c r="F2610" s="515" t="s">
        <v>4090</v>
      </c>
      <c r="G2610" s="52">
        <v>366805.01101379399</v>
      </c>
      <c r="H2610" s="56">
        <v>5.5756624110547923E-2</v>
      </c>
      <c r="I2610" s="224">
        <v>1523.3333333333301</v>
      </c>
    </row>
    <row r="2611" spans="1:9" x14ac:dyDescent="0.25">
      <c r="A2611" s="515">
        <v>60046</v>
      </c>
      <c r="B2611" s="515" t="s">
        <v>394</v>
      </c>
      <c r="C2611" s="52">
        <v>277156.74251366401</v>
      </c>
      <c r="D2611" s="56">
        <v>7.4941190292818483E-2</v>
      </c>
      <c r="E2611" s="224" t="s">
        <v>2</v>
      </c>
      <c r="F2611" s="515" t="s">
        <v>4091</v>
      </c>
      <c r="G2611" s="52">
        <v>581073.075494383</v>
      </c>
      <c r="H2611" s="56">
        <v>2.1173411259884607E-2</v>
      </c>
      <c r="I2611" s="224" t="s">
        <v>2</v>
      </c>
    </row>
    <row r="2612" spans="1:9" x14ac:dyDescent="0.25">
      <c r="A2612" s="515">
        <v>92551</v>
      </c>
      <c r="B2612" s="515" t="s">
        <v>599</v>
      </c>
      <c r="C2612" s="52">
        <v>482311.348095642</v>
      </c>
      <c r="D2612" s="56">
        <v>5.7570995666234866E-2</v>
      </c>
      <c r="E2612" s="224">
        <v>2518.6666666666601</v>
      </c>
      <c r="F2612" s="515" t="s">
        <v>4092</v>
      </c>
      <c r="G2612" s="52">
        <v>274272.00512722897</v>
      </c>
      <c r="H2612" s="56">
        <v>7.3497204645946515E-2</v>
      </c>
      <c r="I2612" s="224">
        <v>1963.43333333333</v>
      </c>
    </row>
    <row r="2613" spans="1:9" x14ac:dyDescent="0.25">
      <c r="A2613" s="515">
        <v>47714</v>
      </c>
      <c r="B2613" s="515" t="s">
        <v>911</v>
      </c>
      <c r="C2613" s="52">
        <v>125348.89306731</v>
      </c>
      <c r="D2613" s="56">
        <v>8.8124260484847575E-2</v>
      </c>
      <c r="E2613" s="224">
        <v>930.41666666666595</v>
      </c>
      <c r="F2613" s="515" t="s">
        <v>4093</v>
      </c>
      <c r="G2613" s="52">
        <v>265991.38761464303</v>
      </c>
      <c r="H2613" s="56">
        <v>5.7058351333060281E-2</v>
      </c>
      <c r="I2613" s="224">
        <v>1650</v>
      </c>
    </row>
    <row r="2614" spans="1:9" x14ac:dyDescent="0.25">
      <c r="A2614" s="515">
        <v>11710</v>
      </c>
      <c r="B2614" s="515" t="s">
        <v>324</v>
      </c>
      <c r="C2614" s="52">
        <v>648569.83197086002</v>
      </c>
      <c r="D2614" s="56">
        <v>6.3980124584075926E-2</v>
      </c>
      <c r="E2614" s="224">
        <v>3800</v>
      </c>
      <c r="F2614" s="515" t="s">
        <v>4094</v>
      </c>
      <c r="G2614" s="52">
        <v>378384.178811814</v>
      </c>
      <c r="H2614" s="56">
        <v>3.4028630247480242E-2</v>
      </c>
      <c r="I2614" s="224" t="s">
        <v>2</v>
      </c>
    </row>
    <row r="2615" spans="1:9" x14ac:dyDescent="0.25">
      <c r="A2615" s="515">
        <v>6790</v>
      </c>
      <c r="B2615" s="515" t="s">
        <v>559</v>
      </c>
      <c r="C2615" s="52">
        <v>224434.29980166099</v>
      </c>
      <c r="D2615" s="56">
        <v>0.16261594649167233</v>
      </c>
      <c r="E2615" s="224">
        <v>1416.6666666666599</v>
      </c>
      <c r="F2615" s="515" t="s">
        <v>4095</v>
      </c>
      <c r="G2615" s="52">
        <v>278612.48701210303</v>
      </c>
      <c r="H2615" s="56">
        <v>0.1171341777218029</v>
      </c>
      <c r="I2615" s="224">
        <v>1683.3333333333301</v>
      </c>
    </row>
    <row r="2616" spans="1:9" x14ac:dyDescent="0.25">
      <c r="A2616" s="515">
        <v>19152</v>
      </c>
      <c r="B2616" s="515" t="s">
        <v>294</v>
      </c>
      <c r="C2616" s="52">
        <v>293140.87771678303</v>
      </c>
      <c r="D2616" s="56">
        <v>5.0195078275941961E-2</v>
      </c>
      <c r="E2616" s="224">
        <v>1483.5</v>
      </c>
      <c r="F2616" s="515" t="s">
        <v>4096</v>
      </c>
      <c r="G2616" s="52">
        <v>790164.36716174905</v>
      </c>
      <c r="H2616" s="56">
        <v>2.5130719401804898E-2</v>
      </c>
      <c r="I2616" s="224">
        <v>3387.5</v>
      </c>
    </row>
    <row r="2617" spans="1:9" x14ac:dyDescent="0.25">
      <c r="A2617" s="515">
        <v>98203</v>
      </c>
      <c r="B2617" s="515" t="s">
        <v>384</v>
      </c>
      <c r="C2617" s="52">
        <v>573968.89499296201</v>
      </c>
      <c r="D2617" s="56">
        <v>3.8207789100270652E-2</v>
      </c>
      <c r="E2617" s="224">
        <v>2023.7361111111099</v>
      </c>
      <c r="F2617" s="515" t="s">
        <v>4097</v>
      </c>
      <c r="G2617" s="52">
        <v>108166.490213108</v>
      </c>
      <c r="H2617" s="56">
        <v>4.055664800174999E-2</v>
      </c>
      <c r="I2617" s="224" t="s">
        <v>2</v>
      </c>
    </row>
    <row r="2618" spans="1:9" x14ac:dyDescent="0.25">
      <c r="A2618" s="515">
        <v>83616</v>
      </c>
      <c r="B2618" s="515" t="s">
        <v>500</v>
      </c>
      <c r="C2618" s="52">
        <v>786992.111039437</v>
      </c>
      <c r="D2618" s="56">
        <v>-4.4712376341542619E-2</v>
      </c>
      <c r="E2618" s="224">
        <v>2402.2222222222199</v>
      </c>
      <c r="F2618" s="515" t="s">
        <v>4098</v>
      </c>
      <c r="G2618" s="52">
        <v>1075006.6975370001</v>
      </c>
      <c r="H2618" s="56">
        <v>5.5730791123833161E-2</v>
      </c>
      <c r="I2618" s="224">
        <v>3307</v>
      </c>
    </row>
    <row r="2619" spans="1:9" x14ac:dyDescent="0.25">
      <c r="A2619" s="515">
        <v>92602</v>
      </c>
      <c r="B2619" s="515" t="s">
        <v>375</v>
      </c>
      <c r="C2619" s="52">
        <v>1479011.7488726701</v>
      </c>
      <c r="D2619" s="56">
        <v>0.16520514401074005</v>
      </c>
      <c r="E2619" s="224">
        <v>3176.3011695906398</v>
      </c>
      <c r="F2619" s="515" t="s">
        <v>4099</v>
      </c>
      <c r="G2619" s="52">
        <v>436906.81769163097</v>
      </c>
      <c r="H2619" s="56">
        <v>7.6627353414993771E-2</v>
      </c>
      <c r="I2619" s="224">
        <v>2218.4047619047601</v>
      </c>
    </row>
    <row r="2620" spans="1:9" x14ac:dyDescent="0.25">
      <c r="A2620" s="515">
        <v>33594</v>
      </c>
      <c r="B2620" s="515" t="s">
        <v>461</v>
      </c>
      <c r="C2620" s="52">
        <v>365678.44179535197</v>
      </c>
      <c r="D2620" s="56">
        <v>8.4071871959411168E-2</v>
      </c>
      <c r="E2620" s="224">
        <v>2274.6666666666601</v>
      </c>
      <c r="F2620" s="515" t="s">
        <v>4100</v>
      </c>
      <c r="G2620" s="52">
        <v>197730.94744762301</v>
      </c>
      <c r="H2620" s="56">
        <v>5.8059958352431849E-2</v>
      </c>
      <c r="I2620" s="224">
        <v>1020</v>
      </c>
    </row>
    <row r="2621" spans="1:9" x14ac:dyDescent="0.25">
      <c r="A2621" s="515">
        <v>92103</v>
      </c>
      <c r="B2621" s="515" t="s">
        <v>396</v>
      </c>
      <c r="C2621" s="52">
        <v>967468.68234526995</v>
      </c>
      <c r="D2621" s="56">
        <v>5.3141067506709279E-2</v>
      </c>
      <c r="E2621" s="224">
        <v>2753.39874141876</v>
      </c>
      <c r="F2621" s="515" t="s">
        <v>718</v>
      </c>
      <c r="G2621" s="52">
        <v>359163.45860357297</v>
      </c>
      <c r="H2621" s="56">
        <v>-2.8825478116384791E-3</v>
      </c>
      <c r="I2621" s="224">
        <v>1704.7222222222199</v>
      </c>
    </row>
    <row r="2622" spans="1:9" x14ac:dyDescent="0.25">
      <c r="A2622" s="515">
        <v>39047</v>
      </c>
      <c r="B2622" s="515" t="s">
        <v>851</v>
      </c>
      <c r="C2622" s="52">
        <v>262965.64101431402</v>
      </c>
      <c r="D2622" s="56">
        <v>7.1764806702334802E-2</v>
      </c>
      <c r="E2622" s="224">
        <v>1649.1111111111099</v>
      </c>
      <c r="F2622" s="515" t="s">
        <v>4101</v>
      </c>
      <c r="G2622" s="52">
        <v>541077.45964498399</v>
      </c>
      <c r="H2622" s="56">
        <v>2.6693202603672923E-2</v>
      </c>
      <c r="I2622" s="224">
        <v>2298.6111111111099</v>
      </c>
    </row>
    <row r="2623" spans="1:9" x14ac:dyDescent="0.25">
      <c r="A2623" s="515">
        <v>10309</v>
      </c>
      <c r="B2623" s="515" t="s">
        <v>324</v>
      </c>
      <c r="C2623" s="52">
        <v>686478.48602584295</v>
      </c>
      <c r="D2623" s="56">
        <v>5.7270460258568932E-2</v>
      </c>
      <c r="E2623" s="224">
        <v>1479.1666666666599</v>
      </c>
      <c r="F2623" s="515" t="s">
        <v>4102</v>
      </c>
      <c r="G2623" s="52">
        <v>529720.39189113595</v>
      </c>
      <c r="H2623" s="56">
        <v>8.8915117364824381E-2</v>
      </c>
      <c r="I2623" s="224">
        <v>2100</v>
      </c>
    </row>
    <row r="2624" spans="1:9" x14ac:dyDescent="0.25">
      <c r="A2624" s="515">
        <v>22306</v>
      </c>
      <c r="B2624" s="515" t="s">
        <v>321</v>
      </c>
      <c r="C2624" s="52">
        <v>558127.62890858494</v>
      </c>
      <c r="D2624" s="56">
        <v>3.5841065093025815E-2</v>
      </c>
      <c r="E2624" s="224">
        <v>1771.7685185185101</v>
      </c>
      <c r="F2624" s="515" t="s">
        <v>4103</v>
      </c>
      <c r="G2624" s="52">
        <v>914576.80071931705</v>
      </c>
      <c r="H2624" s="56">
        <v>3.979431925495857E-2</v>
      </c>
      <c r="I2624" s="224">
        <v>2399.0277777777701</v>
      </c>
    </row>
    <row r="2625" spans="1:9" x14ac:dyDescent="0.25">
      <c r="A2625" s="515">
        <v>51501</v>
      </c>
      <c r="B2625" s="515" t="s">
        <v>367</v>
      </c>
      <c r="C2625" s="52">
        <v>149515.825272399</v>
      </c>
      <c r="D2625" s="56">
        <v>8.4686079574033554E-2</v>
      </c>
      <c r="E2625" s="224">
        <v>1272.2222222222199</v>
      </c>
      <c r="F2625" s="515" t="s">
        <v>4104</v>
      </c>
      <c r="G2625" s="52">
        <v>302153.80379153299</v>
      </c>
      <c r="H2625" s="56">
        <v>3.5918483162488239E-2</v>
      </c>
      <c r="I2625" s="224" t="s">
        <v>2</v>
      </c>
    </row>
    <row r="2626" spans="1:9" x14ac:dyDescent="0.25">
      <c r="A2626" s="515">
        <v>28270</v>
      </c>
      <c r="B2626" s="515" t="s">
        <v>360</v>
      </c>
      <c r="C2626" s="52">
        <v>547841.10090667906</v>
      </c>
      <c r="D2626" s="56">
        <v>9.1473102005854359E-2</v>
      </c>
      <c r="E2626" s="224">
        <v>1718.05</v>
      </c>
      <c r="F2626" s="515" t="s">
        <v>4105</v>
      </c>
      <c r="G2626" s="52">
        <v>494058.15240633499</v>
      </c>
      <c r="H2626" s="56">
        <v>4.1040605821357115E-2</v>
      </c>
      <c r="I2626" s="224">
        <v>2145.5555555555502</v>
      </c>
    </row>
    <row r="2627" spans="1:9" x14ac:dyDescent="0.25">
      <c r="A2627" s="515">
        <v>60451</v>
      </c>
      <c r="B2627" s="515" t="s">
        <v>394</v>
      </c>
      <c r="C2627" s="52">
        <v>354639.31655242201</v>
      </c>
      <c r="D2627" s="56">
        <v>6.8307880436889526E-2</v>
      </c>
      <c r="E2627" s="224" t="s">
        <v>2</v>
      </c>
      <c r="F2627" s="515" t="s">
        <v>4106</v>
      </c>
      <c r="G2627" s="52">
        <v>230731.577135128</v>
      </c>
      <c r="H2627" s="56">
        <v>5.0920832333415413E-2</v>
      </c>
      <c r="I2627" s="224">
        <v>1287.5</v>
      </c>
    </row>
    <row r="2628" spans="1:9" x14ac:dyDescent="0.25">
      <c r="A2628" s="515">
        <v>70115</v>
      </c>
      <c r="B2628" s="515" t="s">
        <v>777</v>
      </c>
      <c r="C2628" s="52">
        <v>523625.92470646702</v>
      </c>
      <c r="D2628" s="56">
        <v>-2.2779504376840561E-2</v>
      </c>
      <c r="E2628" s="224">
        <v>1722.7795893719799</v>
      </c>
      <c r="F2628" s="515" t="s">
        <v>333</v>
      </c>
      <c r="G2628" s="52">
        <v>188113.36389422501</v>
      </c>
      <c r="H2628" s="56">
        <v>3.1795585869273016E-2</v>
      </c>
      <c r="I2628" s="224" t="s">
        <v>2</v>
      </c>
    </row>
    <row r="2629" spans="1:9" x14ac:dyDescent="0.25">
      <c r="A2629" s="515">
        <v>85298</v>
      </c>
      <c r="B2629" s="515" t="s">
        <v>563</v>
      </c>
      <c r="C2629" s="52">
        <v>639051.24686568696</v>
      </c>
      <c r="D2629" s="56">
        <v>2.9676171903895397E-2</v>
      </c>
      <c r="E2629" s="224">
        <v>2578.6904761904698</v>
      </c>
      <c r="F2629" s="515" t="s">
        <v>4107</v>
      </c>
      <c r="G2629" s="52">
        <v>406800.71910307702</v>
      </c>
      <c r="H2629" s="56">
        <v>5.3738746279323318E-2</v>
      </c>
      <c r="I2629" s="224">
        <v>1287.2222222222199</v>
      </c>
    </row>
    <row r="2630" spans="1:9" x14ac:dyDescent="0.25">
      <c r="A2630" s="515">
        <v>42104</v>
      </c>
      <c r="B2630" s="515" t="s">
        <v>799</v>
      </c>
      <c r="C2630" s="52">
        <v>287797.61739060102</v>
      </c>
      <c r="D2630" s="56">
        <v>9.9301812990398974E-2</v>
      </c>
      <c r="E2630" s="224">
        <v>1339.5833333333301</v>
      </c>
      <c r="F2630" s="515" t="s">
        <v>4108</v>
      </c>
      <c r="G2630" s="52">
        <v>364922.514725407</v>
      </c>
      <c r="H2630" s="56">
        <v>6.8478136270915785E-2</v>
      </c>
      <c r="I2630" s="224" t="s">
        <v>2</v>
      </c>
    </row>
    <row r="2631" spans="1:9" x14ac:dyDescent="0.25">
      <c r="A2631" s="515">
        <v>29407</v>
      </c>
      <c r="B2631" s="515" t="s">
        <v>1009</v>
      </c>
      <c r="C2631" s="52">
        <v>434187.15572982101</v>
      </c>
      <c r="D2631" s="56">
        <v>0.13281294028841539</v>
      </c>
      <c r="E2631" s="224">
        <v>1664.5174825174799</v>
      </c>
      <c r="F2631" s="515" t="s">
        <v>4109</v>
      </c>
      <c r="G2631" s="52">
        <v>431118.72866126802</v>
      </c>
      <c r="H2631" s="56">
        <v>5.0592125935046611E-2</v>
      </c>
      <c r="I2631" s="224">
        <v>1325</v>
      </c>
    </row>
    <row r="2632" spans="1:9" x14ac:dyDescent="0.25">
      <c r="A2632" s="515">
        <v>91006</v>
      </c>
      <c r="B2632" s="515" t="s">
        <v>375</v>
      </c>
      <c r="C2632" s="52">
        <v>1246744.35899605</v>
      </c>
      <c r="D2632" s="56">
        <v>4.4620439290249975E-2</v>
      </c>
      <c r="E2632" s="224">
        <v>3258.3333333333298</v>
      </c>
      <c r="F2632" s="515" t="s">
        <v>4110</v>
      </c>
      <c r="G2632" s="52">
        <v>498953.375634517</v>
      </c>
      <c r="H2632" s="56">
        <v>0</v>
      </c>
      <c r="I2632" s="224" t="s">
        <v>2</v>
      </c>
    </row>
    <row r="2633" spans="1:9" x14ac:dyDescent="0.25">
      <c r="A2633" s="515">
        <v>92311</v>
      </c>
      <c r="B2633" s="515" t="s">
        <v>599</v>
      </c>
      <c r="C2633" s="52">
        <v>246547.568417028</v>
      </c>
      <c r="D2633" s="56">
        <v>0.10936930298693656</v>
      </c>
      <c r="E2633" s="224">
        <v>1230.1444444444401</v>
      </c>
      <c r="F2633" s="515" t="s">
        <v>1064</v>
      </c>
      <c r="G2633" s="52">
        <v>118578.12118224399</v>
      </c>
      <c r="H2633" s="56">
        <v>0.10382301102963552</v>
      </c>
      <c r="I2633" s="224" t="s">
        <v>2</v>
      </c>
    </row>
    <row r="2634" spans="1:9" x14ac:dyDescent="0.25">
      <c r="A2634" s="515">
        <v>33905</v>
      </c>
      <c r="B2634" s="515" t="s">
        <v>661</v>
      </c>
      <c r="C2634" s="52">
        <v>306827.57830351999</v>
      </c>
      <c r="D2634" s="56">
        <v>0.16171748644506895</v>
      </c>
      <c r="E2634" s="224">
        <v>2117.3388888888799</v>
      </c>
      <c r="F2634" s="515" t="s">
        <v>4111</v>
      </c>
      <c r="G2634" s="52">
        <v>628726.54364811606</v>
      </c>
      <c r="H2634" s="56">
        <v>4.7523649294416659E-2</v>
      </c>
      <c r="I2634" s="224" t="s">
        <v>2</v>
      </c>
    </row>
    <row r="2635" spans="1:9" x14ac:dyDescent="0.25">
      <c r="A2635" s="515">
        <v>80226</v>
      </c>
      <c r="B2635" s="515" t="s">
        <v>401</v>
      </c>
      <c r="C2635" s="52">
        <v>537509.74230376596</v>
      </c>
      <c r="D2635" s="56">
        <v>4.1267701324438792E-2</v>
      </c>
      <c r="E2635" s="224">
        <v>1734.44642857142</v>
      </c>
      <c r="F2635" s="515" t="s">
        <v>4112</v>
      </c>
      <c r="G2635" s="52">
        <v>387734.69635149202</v>
      </c>
      <c r="H2635" s="56">
        <v>0.10887661281952669</v>
      </c>
      <c r="I2635" s="224">
        <v>1716.7222222222199</v>
      </c>
    </row>
    <row r="2636" spans="1:9" x14ac:dyDescent="0.25">
      <c r="A2636" s="515">
        <v>95660</v>
      </c>
      <c r="B2636" s="515" t="s">
        <v>355</v>
      </c>
      <c r="C2636" s="52">
        <v>361525.68213181698</v>
      </c>
      <c r="D2636" s="56">
        <v>3.6723843880011431E-2</v>
      </c>
      <c r="E2636" s="224" t="s">
        <v>2</v>
      </c>
      <c r="F2636" s="515" t="s">
        <v>4113</v>
      </c>
      <c r="G2636" s="52">
        <v>831694.15963694698</v>
      </c>
      <c r="H2636" s="56">
        <v>4.1773124219228755E-2</v>
      </c>
      <c r="I2636" s="224" t="s">
        <v>2</v>
      </c>
    </row>
    <row r="2637" spans="1:9" x14ac:dyDescent="0.25">
      <c r="A2637" s="515">
        <v>33813</v>
      </c>
      <c r="B2637" s="515" t="s">
        <v>359</v>
      </c>
      <c r="C2637" s="52">
        <v>366272.08443233202</v>
      </c>
      <c r="D2637" s="56">
        <v>9.5558557425095808E-2</v>
      </c>
      <c r="E2637" s="224">
        <v>2002.87222222222</v>
      </c>
      <c r="F2637" s="515" t="s">
        <v>4114</v>
      </c>
      <c r="G2637" s="52">
        <v>741611.44077463797</v>
      </c>
      <c r="H2637" s="56">
        <v>3.4771562193557794E-2</v>
      </c>
      <c r="I2637" s="224">
        <v>2995</v>
      </c>
    </row>
    <row r="2638" spans="1:9" x14ac:dyDescent="0.25">
      <c r="A2638" s="515">
        <v>26508</v>
      </c>
      <c r="B2638" s="515" t="s">
        <v>643</v>
      </c>
      <c r="C2638" s="52">
        <v>285286.21242273698</v>
      </c>
      <c r="D2638" s="56">
        <v>5.224051555404393E-2</v>
      </c>
      <c r="E2638" s="224">
        <v>1700</v>
      </c>
      <c r="F2638" s="515" t="s">
        <v>683</v>
      </c>
      <c r="G2638" s="52">
        <v>252905.61705574501</v>
      </c>
      <c r="H2638" s="56">
        <v>2.9929461831607655E-2</v>
      </c>
      <c r="I2638" s="224" t="s">
        <v>2</v>
      </c>
    </row>
    <row r="2639" spans="1:9" x14ac:dyDescent="0.25">
      <c r="A2639" s="515">
        <v>34608</v>
      </c>
      <c r="B2639" s="515" t="s">
        <v>461</v>
      </c>
      <c r="C2639" s="52">
        <v>294142.446451683</v>
      </c>
      <c r="D2639" s="56">
        <v>0.11886787195933921</v>
      </c>
      <c r="E2639" s="224">
        <v>1898.75</v>
      </c>
      <c r="F2639" s="515" t="s">
        <v>4115</v>
      </c>
      <c r="G2639" s="52">
        <v>318658.883812616</v>
      </c>
      <c r="H2639" s="56">
        <v>4.1461414680977457E-2</v>
      </c>
      <c r="I2639" s="224" t="s">
        <v>2</v>
      </c>
    </row>
    <row r="2640" spans="1:9" x14ac:dyDescent="0.25">
      <c r="A2640" s="515">
        <v>64133</v>
      </c>
      <c r="B2640" s="515" t="s">
        <v>455</v>
      </c>
      <c r="C2640" s="52">
        <v>191176.12795200499</v>
      </c>
      <c r="D2640" s="56">
        <v>0.11082831102084841</v>
      </c>
      <c r="E2640" s="224">
        <v>1094.0972222222199</v>
      </c>
      <c r="F2640" s="515" t="s">
        <v>4116</v>
      </c>
      <c r="G2640" s="52">
        <v>588611.56359870394</v>
      </c>
      <c r="H2640" s="56">
        <v>0.11673755352461453</v>
      </c>
      <c r="I2640" s="224" t="s">
        <v>2</v>
      </c>
    </row>
    <row r="2641" spans="1:9" x14ac:dyDescent="0.25">
      <c r="A2641" s="515">
        <v>33409</v>
      </c>
      <c r="B2641" s="515" t="s">
        <v>831</v>
      </c>
      <c r="C2641" s="52">
        <v>287066.679945799</v>
      </c>
      <c r="D2641" s="56">
        <v>0.13423274970706192</v>
      </c>
      <c r="E2641" s="224">
        <v>1993.1837606837601</v>
      </c>
      <c r="F2641" s="515" t="s">
        <v>4117</v>
      </c>
      <c r="G2641" s="52">
        <v>226917.11677620301</v>
      </c>
      <c r="H2641" s="56">
        <v>5.8698435086709494E-2</v>
      </c>
      <c r="I2641" s="224">
        <v>1325.8333333333301</v>
      </c>
    </row>
    <row r="2642" spans="1:9" x14ac:dyDescent="0.25">
      <c r="A2642" s="515">
        <v>11103</v>
      </c>
      <c r="B2642" s="515" t="s">
        <v>324</v>
      </c>
      <c r="C2642" s="52">
        <v>805967.74473036395</v>
      </c>
      <c r="D2642" s="56">
        <v>-5.4074230314277862E-2</v>
      </c>
      <c r="E2642" s="224">
        <v>2554.59217171717</v>
      </c>
      <c r="F2642" s="515" t="s">
        <v>4118</v>
      </c>
      <c r="G2642" s="52">
        <v>236075.559220564</v>
      </c>
      <c r="H2642" s="56">
        <v>6.2176361097460733E-2</v>
      </c>
      <c r="I2642" s="224">
        <v>1477.5</v>
      </c>
    </row>
    <row r="2643" spans="1:9" x14ac:dyDescent="0.25">
      <c r="A2643" s="515">
        <v>53214</v>
      </c>
      <c r="B2643" s="515" t="s">
        <v>950</v>
      </c>
      <c r="C2643" s="52">
        <v>196244.66090739999</v>
      </c>
      <c r="D2643" s="56">
        <v>8.3229337402815642E-2</v>
      </c>
      <c r="E2643" s="224">
        <v>1040</v>
      </c>
      <c r="F2643" s="515" t="s">
        <v>4119</v>
      </c>
      <c r="G2643" s="52">
        <v>310099.97763415799</v>
      </c>
      <c r="H2643" s="56">
        <v>4.178591463147481E-2</v>
      </c>
      <c r="I2643" s="224">
        <v>1762.5</v>
      </c>
    </row>
    <row r="2644" spans="1:9" x14ac:dyDescent="0.25">
      <c r="A2644" s="515">
        <v>48073</v>
      </c>
      <c r="B2644" s="515" t="s">
        <v>685</v>
      </c>
      <c r="C2644" s="52">
        <v>281432.84921946801</v>
      </c>
      <c r="D2644" s="56">
        <v>2.4056374942717635E-2</v>
      </c>
      <c r="E2644" s="224">
        <v>1829.24603174603</v>
      </c>
      <c r="F2644" s="515" t="s">
        <v>4120</v>
      </c>
      <c r="G2644" s="52">
        <v>691441.15744875302</v>
      </c>
      <c r="H2644" s="56">
        <v>-3.2138109524245248E-3</v>
      </c>
      <c r="I2644" s="224" t="s">
        <v>2</v>
      </c>
    </row>
    <row r="2645" spans="1:9" x14ac:dyDescent="0.25">
      <c r="A2645" s="515">
        <v>46062</v>
      </c>
      <c r="B2645" s="515" t="s">
        <v>403</v>
      </c>
      <c r="C2645" s="52">
        <v>380806.32180292998</v>
      </c>
      <c r="D2645" s="56">
        <v>5.8386093481278913E-2</v>
      </c>
      <c r="E2645" s="224">
        <v>1931.3611111111099</v>
      </c>
      <c r="F2645" s="515" t="s">
        <v>4121</v>
      </c>
      <c r="G2645" s="52">
        <v>342948.07084805798</v>
      </c>
      <c r="H2645" s="56">
        <v>5.1561339540126441E-2</v>
      </c>
      <c r="I2645" s="224">
        <v>1195.8333333333301</v>
      </c>
    </row>
    <row r="2646" spans="1:9" x14ac:dyDescent="0.25">
      <c r="A2646" s="515">
        <v>23453</v>
      </c>
      <c r="B2646" s="515" t="s">
        <v>301</v>
      </c>
      <c r="C2646" s="52">
        <v>313060.41084816499</v>
      </c>
      <c r="D2646" s="56">
        <v>4.8680907876812111E-2</v>
      </c>
      <c r="E2646" s="224">
        <v>1909.5</v>
      </c>
      <c r="F2646" s="515" t="s">
        <v>4122</v>
      </c>
      <c r="G2646" s="52">
        <v>343795.631389861</v>
      </c>
      <c r="H2646" s="56">
        <v>7.7156420295179384E-2</v>
      </c>
      <c r="I2646" s="224" t="s">
        <v>2</v>
      </c>
    </row>
    <row r="2647" spans="1:9" x14ac:dyDescent="0.25">
      <c r="A2647" s="515">
        <v>33410</v>
      </c>
      <c r="B2647" s="515" t="s">
        <v>831</v>
      </c>
      <c r="C2647" s="52">
        <v>543946.11731317104</v>
      </c>
      <c r="D2647" s="56">
        <v>0.14882376790940258</v>
      </c>
      <c r="E2647" s="224">
        <v>2608.4773809523799</v>
      </c>
      <c r="F2647" s="515" t="s">
        <v>688</v>
      </c>
      <c r="G2647" s="52">
        <v>162228.04341288001</v>
      </c>
      <c r="H2647" s="56">
        <v>2.4598660190859011E-2</v>
      </c>
      <c r="I2647" s="224" t="s">
        <v>2</v>
      </c>
    </row>
    <row r="2648" spans="1:9" x14ac:dyDescent="0.25">
      <c r="A2648" s="515">
        <v>77381</v>
      </c>
      <c r="B2648" s="515" t="s">
        <v>314</v>
      </c>
      <c r="C2648" s="52">
        <v>476581.993215747</v>
      </c>
      <c r="D2648" s="56">
        <v>8.2508096172317497E-2</v>
      </c>
      <c r="E2648" s="224">
        <v>2389.88253968253</v>
      </c>
      <c r="F2648" s="515" t="s">
        <v>4123</v>
      </c>
      <c r="G2648" s="52">
        <v>241103.89427464601</v>
      </c>
      <c r="H2648" s="56">
        <v>7.4758384715795087E-2</v>
      </c>
      <c r="I2648" s="224" t="s">
        <v>2</v>
      </c>
    </row>
    <row r="2649" spans="1:9" x14ac:dyDescent="0.25">
      <c r="A2649" s="515">
        <v>30316</v>
      </c>
      <c r="B2649" s="515" t="s">
        <v>957</v>
      </c>
      <c r="C2649" s="52">
        <v>391801.50660755299</v>
      </c>
      <c r="D2649" s="56">
        <v>6.6550879350919315E-2</v>
      </c>
      <c r="E2649" s="224">
        <v>2047.7787114845901</v>
      </c>
      <c r="F2649" s="515" t="s">
        <v>4124</v>
      </c>
      <c r="G2649" s="52">
        <v>729515.76860348706</v>
      </c>
      <c r="H2649" s="56">
        <v>3.1409938824417442E-2</v>
      </c>
      <c r="I2649" s="224">
        <v>2598.0555555555502</v>
      </c>
    </row>
    <row r="2650" spans="1:9" x14ac:dyDescent="0.25">
      <c r="A2650" s="515">
        <v>55987</v>
      </c>
      <c r="B2650" s="515" t="s">
        <v>875</v>
      </c>
      <c r="C2650" s="52">
        <v>204185.528606676</v>
      </c>
      <c r="D2650" s="56">
        <v>6.4786876024986922E-2</v>
      </c>
      <c r="E2650" s="224">
        <v>948.33333333333303</v>
      </c>
      <c r="F2650" s="515" t="s">
        <v>4125</v>
      </c>
      <c r="G2650" s="52">
        <v>270953.48555337999</v>
      </c>
      <c r="H2650" s="56">
        <v>7.2083003233555251E-2</v>
      </c>
      <c r="I2650" s="224" t="s">
        <v>2</v>
      </c>
    </row>
    <row r="2651" spans="1:9" x14ac:dyDescent="0.25">
      <c r="A2651" s="515">
        <v>91750</v>
      </c>
      <c r="B2651" s="515" t="s">
        <v>375</v>
      </c>
      <c r="C2651" s="52">
        <v>840146.32705236599</v>
      </c>
      <c r="D2651" s="56">
        <v>3.8330316758037303E-2</v>
      </c>
      <c r="E2651" s="224">
        <v>2450</v>
      </c>
      <c r="F2651" s="515" t="s">
        <v>4126</v>
      </c>
      <c r="G2651" s="52">
        <v>448636.59703171498</v>
      </c>
      <c r="H2651" s="56">
        <v>0.11472591641284727</v>
      </c>
      <c r="I2651" s="224">
        <v>2942.1111111111099</v>
      </c>
    </row>
    <row r="2652" spans="1:9" x14ac:dyDescent="0.25">
      <c r="A2652" s="515">
        <v>28052</v>
      </c>
      <c r="B2652" s="515" t="s">
        <v>360</v>
      </c>
      <c r="C2652" s="52">
        <v>197267.69611331401</v>
      </c>
      <c r="D2652" s="56">
        <v>0.15653068232632156</v>
      </c>
      <c r="E2652" s="224">
        <v>1400.2296296296199</v>
      </c>
      <c r="F2652" s="515" t="s">
        <v>4127</v>
      </c>
      <c r="G2652" s="52">
        <v>420526.08256931597</v>
      </c>
      <c r="H2652" s="56">
        <v>-4.3604084150096138E-2</v>
      </c>
      <c r="I2652" s="224">
        <v>1743.3333333333301</v>
      </c>
    </row>
    <row r="2653" spans="1:9" x14ac:dyDescent="0.25">
      <c r="A2653" s="515">
        <v>63901</v>
      </c>
      <c r="B2653" s="515" t="s">
        <v>972</v>
      </c>
      <c r="C2653" s="52">
        <v>137464.274236975</v>
      </c>
      <c r="D2653" s="56">
        <v>7.4924688363348604E-2</v>
      </c>
      <c r="E2653" s="224" t="s">
        <v>2</v>
      </c>
      <c r="F2653" s="515" t="s">
        <v>4128</v>
      </c>
      <c r="G2653" s="52">
        <v>169263.70908506299</v>
      </c>
      <c r="H2653" s="56">
        <v>7.0271212090243285E-2</v>
      </c>
      <c r="I2653" s="224">
        <v>1442.4166666666599</v>
      </c>
    </row>
    <row r="2654" spans="1:9" x14ac:dyDescent="0.25">
      <c r="A2654" s="515">
        <v>84106</v>
      </c>
      <c r="B2654" s="515" t="s">
        <v>617</v>
      </c>
      <c r="C2654" s="52">
        <v>542548.41539593099</v>
      </c>
      <c r="D2654" s="56">
        <v>3.964409659268793E-2</v>
      </c>
      <c r="E2654" s="224">
        <v>1976.94978632478</v>
      </c>
      <c r="F2654" s="515" t="s">
        <v>4129</v>
      </c>
      <c r="G2654" s="52">
        <v>574442.83823264402</v>
      </c>
      <c r="H2654" s="56">
        <v>4.9607993465250119E-2</v>
      </c>
      <c r="I2654" s="224">
        <v>2461.3047619047602</v>
      </c>
    </row>
    <row r="2655" spans="1:9" x14ac:dyDescent="0.25">
      <c r="A2655" s="515">
        <v>19151</v>
      </c>
      <c r="B2655" s="515" t="s">
        <v>294</v>
      </c>
      <c r="C2655" s="52">
        <v>189285.214854163</v>
      </c>
      <c r="D2655" s="56">
        <v>0.10488241519796936</v>
      </c>
      <c r="E2655" s="224">
        <v>1298.6111111111099</v>
      </c>
      <c r="F2655" s="515" t="s">
        <v>4130</v>
      </c>
      <c r="G2655" s="52">
        <v>267920.30721221003</v>
      </c>
      <c r="H2655" s="56">
        <v>0.10390536903049741</v>
      </c>
      <c r="I2655" s="224">
        <v>1641.6666666666599</v>
      </c>
    </row>
    <row r="2656" spans="1:9" x14ac:dyDescent="0.25">
      <c r="A2656" s="515">
        <v>76013</v>
      </c>
      <c r="B2656" s="515" t="s">
        <v>458</v>
      </c>
      <c r="C2656" s="52">
        <v>311279.42152901099</v>
      </c>
      <c r="D2656" s="56">
        <v>8.3057833988638155E-2</v>
      </c>
      <c r="E2656" s="224">
        <v>1930</v>
      </c>
      <c r="F2656" s="515" t="s">
        <v>4131</v>
      </c>
      <c r="G2656" s="52">
        <v>237987.98143338901</v>
      </c>
      <c r="H2656" s="56">
        <v>5.7541663366385672E-2</v>
      </c>
      <c r="I2656" s="224" t="s">
        <v>2</v>
      </c>
    </row>
    <row r="2657" spans="1:9" x14ac:dyDescent="0.25">
      <c r="A2657" s="515">
        <v>53219</v>
      </c>
      <c r="B2657" s="515" t="s">
        <v>950</v>
      </c>
      <c r="C2657" s="52">
        <v>206824.80626633199</v>
      </c>
      <c r="D2657" s="56">
        <v>7.075671516610027E-2</v>
      </c>
      <c r="E2657" s="224" t="s">
        <v>2</v>
      </c>
      <c r="F2657" s="515" t="s">
        <v>4132</v>
      </c>
      <c r="G2657" s="52">
        <v>166333.03083214199</v>
      </c>
      <c r="H2657" s="56">
        <v>7.5095476351861812E-2</v>
      </c>
      <c r="I2657" s="224" t="s">
        <v>2</v>
      </c>
    </row>
    <row r="2658" spans="1:9" x14ac:dyDescent="0.25">
      <c r="A2658" s="515">
        <v>83706</v>
      </c>
      <c r="B2658" s="515" t="s">
        <v>500</v>
      </c>
      <c r="C2658" s="52">
        <v>466453.52161879902</v>
      </c>
      <c r="D2658" s="56">
        <v>-9.876873972116295E-3</v>
      </c>
      <c r="E2658" s="224">
        <v>1694.0333333333299</v>
      </c>
      <c r="F2658" s="515" t="s">
        <v>964</v>
      </c>
      <c r="G2658" s="52">
        <v>146016.15469284501</v>
      </c>
      <c r="H2658" s="56">
        <v>0.20490988688861303</v>
      </c>
      <c r="I2658" s="224" t="s">
        <v>2</v>
      </c>
    </row>
    <row r="2659" spans="1:9" x14ac:dyDescent="0.25">
      <c r="A2659" s="515">
        <v>13126</v>
      </c>
      <c r="B2659" s="515" t="s">
        <v>361</v>
      </c>
      <c r="C2659" s="52">
        <v>140365.96215871599</v>
      </c>
      <c r="D2659" s="56">
        <v>9.0327574496352439E-2</v>
      </c>
      <c r="E2659" s="224">
        <v>1340</v>
      </c>
      <c r="F2659" s="515" t="s">
        <v>1118</v>
      </c>
      <c r="G2659" s="52">
        <v>156148.49780145299</v>
      </c>
      <c r="H2659" s="56">
        <v>-6.2986105668527163E-3</v>
      </c>
      <c r="I2659" s="224" t="s">
        <v>2</v>
      </c>
    </row>
    <row r="2660" spans="1:9" x14ac:dyDescent="0.25">
      <c r="A2660" s="515">
        <v>94114</v>
      </c>
      <c r="B2660" s="515" t="s">
        <v>593</v>
      </c>
      <c r="C2660" s="52">
        <v>1674505.55080652</v>
      </c>
      <c r="D2660" s="56">
        <v>-0.10988311263725553</v>
      </c>
      <c r="E2660" s="224">
        <v>3798.52475490196</v>
      </c>
      <c r="F2660" s="515" t="s">
        <v>758</v>
      </c>
      <c r="G2660" s="52">
        <v>113860.813247149</v>
      </c>
      <c r="H2660" s="56">
        <v>5.9606614735007696E-2</v>
      </c>
      <c r="I2660" s="224">
        <v>1000</v>
      </c>
    </row>
    <row r="2661" spans="1:9" x14ac:dyDescent="0.25">
      <c r="A2661" s="515">
        <v>63010</v>
      </c>
      <c r="B2661" s="515" t="s">
        <v>498</v>
      </c>
      <c r="C2661" s="52">
        <v>219640.315631073</v>
      </c>
      <c r="D2661" s="56">
        <v>4.1792565398280641E-2</v>
      </c>
      <c r="E2661" s="224" t="s">
        <v>2</v>
      </c>
      <c r="F2661" s="515" t="s">
        <v>4133</v>
      </c>
      <c r="G2661" s="52">
        <v>225374.534795012</v>
      </c>
      <c r="H2661" s="56">
        <v>8.1715716281809306E-2</v>
      </c>
      <c r="I2661" s="224">
        <v>1595</v>
      </c>
    </row>
    <row r="2662" spans="1:9" x14ac:dyDescent="0.25">
      <c r="A2662" s="515">
        <v>77004</v>
      </c>
      <c r="B2662" s="515" t="s">
        <v>314</v>
      </c>
      <c r="C2662" s="52">
        <v>348953.61444461002</v>
      </c>
      <c r="D2662" s="56">
        <v>5.2836590930538788E-2</v>
      </c>
      <c r="E2662" s="224">
        <v>2024.90884072927</v>
      </c>
      <c r="F2662" s="515" t="s">
        <v>744</v>
      </c>
      <c r="G2662" s="52">
        <v>138929.67529285801</v>
      </c>
      <c r="H2662" s="56">
        <v>9.1800153726854544E-2</v>
      </c>
      <c r="I2662" s="224" t="s">
        <v>2</v>
      </c>
    </row>
    <row r="2663" spans="1:9" x14ac:dyDescent="0.25">
      <c r="A2663" s="515">
        <v>46074</v>
      </c>
      <c r="B2663" s="515" t="s">
        <v>403</v>
      </c>
      <c r="C2663" s="52">
        <v>448364.94428426598</v>
      </c>
      <c r="D2663" s="56">
        <v>5.7582200601769704E-2</v>
      </c>
      <c r="E2663" s="224">
        <v>1853.2619047619</v>
      </c>
      <c r="F2663" s="515" t="s">
        <v>4134</v>
      </c>
      <c r="G2663" s="52">
        <v>262276.00760661502</v>
      </c>
      <c r="H2663" s="56">
        <v>0.17178725477226464</v>
      </c>
      <c r="I2663" s="224">
        <v>1636.3062770562699</v>
      </c>
    </row>
    <row r="2664" spans="1:9" x14ac:dyDescent="0.25">
      <c r="A2664" s="515">
        <v>33133</v>
      </c>
      <c r="B2664" s="515" t="s">
        <v>831</v>
      </c>
      <c r="C2664" s="52">
        <v>969180.55861685099</v>
      </c>
      <c r="D2664" s="56">
        <v>0.22333448031545336</v>
      </c>
      <c r="E2664" s="224">
        <v>3051.1723187206999</v>
      </c>
      <c r="F2664" s="515" t="s">
        <v>4135</v>
      </c>
      <c r="G2664" s="52">
        <v>327803.34538255702</v>
      </c>
      <c r="H2664" s="56">
        <v>3.7691558638229247E-2</v>
      </c>
      <c r="I2664" s="224">
        <v>1444.5185185185101</v>
      </c>
    </row>
    <row r="2665" spans="1:9" x14ac:dyDescent="0.25">
      <c r="A2665" s="515">
        <v>91768</v>
      </c>
      <c r="B2665" s="515" t="s">
        <v>375</v>
      </c>
      <c r="C2665" s="52">
        <v>582033.94941669295</v>
      </c>
      <c r="D2665" s="56">
        <v>4.4015210802203809E-2</v>
      </c>
      <c r="E2665" s="224">
        <v>1958.3333333333301</v>
      </c>
      <c r="F2665" s="515" t="s">
        <v>4136</v>
      </c>
      <c r="G2665" s="52">
        <v>232378.07123208701</v>
      </c>
      <c r="H2665" s="56">
        <v>8.1312322339645041E-2</v>
      </c>
      <c r="I2665" s="224">
        <v>1010</v>
      </c>
    </row>
    <row r="2666" spans="1:9" x14ac:dyDescent="0.25">
      <c r="A2666" s="515">
        <v>37643</v>
      </c>
      <c r="B2666" s="515" t="s">
        <v>988</v>
      </c>
      <c r="C2666" s="52">
        <v>183019.99590251001</v>
      </c>
      <c r="D2666" s="56">
        <v>0.10401495393005622</v>
      </c>
      <c r="E2666" s="224">
        <v>895</v>
      </c>
      <c r="F2666" s="515" t="s">
        <v>4137</v>
      </c>
      <c r="G2666" s="52">
        <v>254562.94555734799</v>
      </c>
      <c r="H2666" s="56">
        <v>8.3790514604427963E-2</v>
      </c>
      <c r="I2666" s="224" t="s">
        <v>2</v>
      </c>
    </row>
    <row r="2667" spans="1:9" x14ac:dyDescent="0.25">
      <c r="A2667" s="515">
        <v>22901</v>
      </c>
      <c r="B2667" s="515" t="s">
        <v>630</v>
      </c>
      <c r="C2667" s="52">
        <v>436383.07273791201</v>
      </c>
      <c r="D2667" s="56">
        <v>7.7713920524434765E-2</v>
      </c>
      <c r="E2667" s="224">
        <v>1529.7762237762199</v>
      </c>
      <c r="F2667" s="515" t="s">
        <v>4138</v>
      </c>
      <c r="G2667" s="52">
        <v>375457.14053104399</v>
      </c>
      <c r="H2667" s="56">
        <v>9.2376157049240196E-2</v>
      </c>
      <c r="I2667" s="224">
        <v>948.33333333333303</v>
      </c>
    </row>
    <row r="2668" spans="1:9" x14ac:dyDescent="0.25">
      <c r="A2668" s="515">
        <v>95126</v>
      </c>
      <c r="B2668" s="515" t="s">
        <v>850</v>
      </c>
      <c r="C2668" s="52">
        <v>1133707.78085077</v>
      </c>
      <c r="D2668" s="56">
        <v>6.2077215166738298E-3</v>
      </c>
      <c r="E2668" s="224">
        <v>2879.1788092440202</v>
      </c>
      <c r="F2668" s="515" t="s">
        <v>955</v>
      </c>
      <c r="G2668" s="52">
        <v>213788.46313834799</v>
      </c>
      <c r="H2668" s="56">
        <v>7.0348175359137288E-2</v>
      </c>
      <c r="I2668" s="224" t="s">
        <v>2</v>
      </c>
    </row>
    <row r="2669" spans="1:9" x14ac:dyDescent="0.25">
      <c r="A2669" s="515">
        <v>34653</v>
      </c>
      <c r="B2669" s="515" t="s">
        <v>461</v>
      </c>
      <c r="C2669" s="52">
        <v>258692.339756589</v>
      </c>
      <c r="D2669" s="56">
        <v>0.15131941125414677</v>
      </c>
      <c r="E2669" s="224">
        <v>1847.4166666666599</v>
      </c>
      <c r="F2669" s="515" t="s">
        <v>4139</v>
      </c>
      <c r="G2669" s="52">
        <v>108878.41020864301</v>
      </c>
      <c r="H2669" s="56">
        <v>0.10787108730230983</v>
      </c>
      <c r="I2669" s="224">
        <v>1163.9166666666599</v>
      </c>
    </row>
    <row r="2670" spans="1:9" x14ac:dyDescent="0.25">
      <c r="A2670" s="515">
        <v>17112</v>
      </c>
      <c r="B2670" s="515" t="s">
        <v>428</v>
      </c>
      <c r="C2670" s="52">
        <v>295148.61898156803</v>
      </c>
      <c r="D2670" s="56">
        <v>9.967009283276379E-2</v>
      </c>
      <c r="E2670" s="224" t="s">
        <v>2</v>
      </c>
      <c r="F2670" s="515" t="s">
        <v>4140</v>
      </c>
      <c r="G2670" s="52">
        <v>348753.30991730798</v>
      </c>
      <c r="H2670" s="56">
        <v>3.5687944474908702E-2</v>
      </c>
      <c r="I2670" s="224" t="s">
        <v>2</v>
      </c>
    </row>
    <row r="2671" spans="1:9" x14ac:dyDescent="0.25">
      <c r="A2671" s="515">
        <v>93710</v>
      </c>
      <c r="B2671" s="515" t="s">
        <v>541</v>
      </c>
      <c r="C2671" s="52">
        <v>368042.24225730298</v>
      </c>
      <c r="D2671" s="56">
        <v>6.3310001728469151E-2</v>
      </c>
      <c r="E2671" s="224">
        <v>1800.55555555555</v>
      </c>
      <c r="F2671" s="515" t="s">
        <v>4141</v>
      </c>
      <c r="G2671" s="52">
        <v>235879.046394609</v>
      </c>
      <c r="H2671" s="56">
        <v>6.2500452560756287E-2</v>
      </c>
      <c r="I2671" s="224">
        <v>1601.30555555555</v>
      </c>
    </row>
    <row r="2672" spans="1:9" x14ac:dyDescent="0.25">
      <c r="A2672" s="515">
        <v>50010</v>
      </c>
      <c r="B2672" s="515" t="s">
        <v>568</v>
      </c>
      <c r="C2672" s="52">
        <v>246808.91040649501</v>
      </c>
      <c r="D2672" s="56">
        <v>8.3442675557397983E-2</v>
      </c>
      <c r="E2672" s="224">
        <v>923.58974358974297</v>
      </c>
      <c r="F2672" s="515" t="s">
        <v>4142</v>
      </c>
      <c r="G2672" s="52">
        <v>451788.256847454</v>
      </c>
      <c r="H2672" s="56">
        <v>5.2388936681440498E-2</v>
      </c>
      <c r="I2672" s="224" t="s">
        <v>2</v>
      </c>
    </row>
    <row r="2673" spans="1:9" x14ac:dyDescent="0.25">
      <c r="A2673" s="515">
        <v>91722</v>
      </c>
      <c r="B2673" s="515" t="s">
        <v>375</v>
      </c>
      <c r="C2673" s="52">
        <v>668987.01275558199</v>
      </c>
      <c r="D2673" s="56">
        <v>4.4498767622628534E-2</v>
      </c>
      <c r="E2673" s="224">
        <v>3007.5</v>
      </c>
      <c r="F2673" s="515" t="s">
        <v>4143</v>
      </c>
      <c r="G2673" s="52">
        <v>425832.57170361199</v>
      </c>
      <c r="H2673" s="56">
        <v>4.5670399966938793E-2</v>
      </c>
      <c r="I2673" s="224">
        <v>2613.8333333333298</v>
      </c>
    </row>
    <row r="2674" spans="1:9" x14ac:dyDescent="0.25">
      <c r="A2674" s="515">
        <v>96002</v>
      </c>
      <c r="B2674" s="515" t="s">
        <v>514</v>
      </c>
      <c r="C2674" s="52">
        <v>351493.64187998301</v>
      </c>
      <c r="D2674" s="56">
        <v>2.6755852660456436E-2</v>
      </c>
      <c r="E2674" s="224">
        <v>1251.6666666666599</v>
      </c>
      <c r="F2674" s="515" t="s">
        <v>4144</v>
      </c>
      <c r="G2674" s="52">
        <v>383894.392802305</v>
      </c>
      <c r="H2674" s="56">
        <v>6.2562155387214949E-2</v>
      </c>
      <c r="I2674" s="224" t="s">
        <v>2</v>
      </c>
    </row>
    <row r="2675" spans="1:9" x14ac:dyDescent="0.25">
      <c r="A2675" s="515">
        <v>94534</v>
      </c>
      <c r="B2675" s="515" t="s">
        <v>835</v>
      </c>
      <c r="C2675" s="52">
        <v>688736.82004119398</v>
      </c>
      <c r="D2675" s="56">
        <v>2.8850432444915497E-3</v>
      </c>
      <c r="E2675" s="224">
        <v>2433.93989898989</v>
      </c>
      <c r="F2675" s="515" t="s">
        <v>4145</v>
      </c>
      <c r="G2675" s="52">
        <v>621226.26386131498</v>
      </c>
      <c r="H2675" s="56">
        <v>6.5101810388418183E-2</v>
      </c>
      <c r="I2675" s="224" t="s">
        <v>2</v>
      </c>
    </row>
    <row r="2676" spans="1:9" x14ac:dyDescent="0.25">
      <c r="A2676" s="515">
        <v>21217</v>
      </c>
      <c r="B2676" s="515" t="s">
        <v>582</v>
      </c>
      <c r="C2676" s="52">
        <v>78191.229643121405</v>
      </c>
      <c r="D2676" s="56">
        <v>9.1419783699072651E-2</v>
      </c>
      <c r="E2676" s="224">
        <v>1331.2106060606</v>
      </c>
      <c r="F2676" s="515" t="s">
        <v>4146</v>
      </c>
      <c r="G2676" s="52">
        <v>181114.166250543</v>
      </c>
      <c r="H2676" s="56">
        <v>6.2198498478904629E-2</v>
      </c>
      <c r="I2676" s="224" t="s">
        <v>2</v>
      </c>
    </row>
    <row r="2677" spans="1:9" x14ac:dyDescent="0.25">
      <c r="A2677" s="515">
        <v>40511</v>
      </c>
      <c r="B2677" s="515" t="s">
        <v>515</v>
      </c>
      <c r="C2677" s="52">
        <v>255341.67273364801</v>
      </c>
      <c r="D2677" s="56">
        <v>8.8926534841567623E-2</v>
      </c>
      <c r="E2677" s="224">
        <v>1563.0277777777701</v>
      </c>
      <c r="F2677" s="515" t="s">
        <v>1014</v>
      </c>
      <c r="G2677" s="52">
        <v>161294.793204452</v>
      </c>
      <c r="H2677" s="56">
        <v>0</v>
      </c>
      <c r="I2677" s="224" t="s">
        <v>2</v>
      </c>
    </row>
    <row r="2678" spans="1:9" x14ac:dyDescent="0.25">
      <c r="A2678" s="515">
        <v>20707</v>
      </c>
      <c r="B2678" s="515" t="s">
        <v>321</v>
      </c>
      <c r="C2678" s="52">
        <v>384123.88129631901</v>
      </c>
      <c r="D2678" s="56">
        <v>3.3412093540566831E-2</v>
      </c>
      <c r="E2678" s="224">
        <v>2129.3999999999901</v>
      </c>
      <c r="F2678" s="515" t="s">
        <v>4147</v>
      </c>
      <c r="G2678" s="52">
        <v>320351.46521701402</v>
      </c>
      <c r="H2678" s="56">
        <v>0.1014046036303056</v>
      </c>
      <c r="I2678" s="224" t="s">
        <v>2</v>
      </c>
    </row>
    <row r="2679" spans="1:9" x14ac:dyDescent="0.25">
      <c r="A2679" s="515">
        <v>99645</v>
      </c>
      <c r="B2679" s="515" t="s">
        <v>405</v>
      </c>
      <c r="C2679" s="52">
        <v>347191.36191486102</v>
      </c>
      <c r="D2679" s="56">
        <v>-1.2804238893855239E-3</v>
      </c>
      <c r="E2679" s="224" t="s">
        <v>2</v>
      </c>
      <c r="F2679" s="515" t="s">
        <v>4148</v>
      </c>
      <c r="G2679" s="52">
        <v>260294.92302129499</v>
      </c>
      <c r="H2679" s="56">
        <v>7.5409300064439799E-2</v>
      </c>
      <c r="I2679" s="224" t="s">
        <v>2</v>
      </c>
    </row>
    <row r="2680" spans="1:9" x14ac:dyDescent="0.25">
      <c r="A2680" s="515">
        <v>72023</v>
      </c>
      <c r="B2680" s="515" t="s">
        <v>393</v>
      </c>
      <c r="C2680" s="52">
        <v>211503.34811695799</v>
      </c>
      <c r="D2680" s="56">
        <v>9.1327490492140048E-2</v>
      </c>
      <c r="E2680" s="224">
        <v>1207.2222222222199</v>
      </c>
      <c r="F2680" s="515" t="s">
        <v>4149</v>
      </c>
      <c r="G2680" s="52">
        <v>295615.20515559602</v>
      </c>
      <c r="H2680" s="56">
        <v>1.4701370570722598E-2</v>
      </c>
      <c r="I2680" s="224">
        <v>1664.10866910866</v>
      </c>
    </row>
    <row r="2681" spans="1:9" x14ac:dyDescent="0.25">
      <c r="A2681" s="515">
        <v>55024</v>
      </c>
      <c r="B2681" s="515" t="s">
        <v>532</v>
      </c>
      <c r="C2681" s="52">
        <v>360054.785249635</v>
      </c>
      <c r="D2681" s="56">
        <v>2.2057133830057835E-2</v>
      </c>
      <c r="E2681" s="224">
        <v>1795</v>
      </c>
      <c r="F2681" s="515" t="s">
        <v>4150</v>
      </c>
      <c r="G2681" s="52">
        <v>394111.435728891</v>
      </c>
      <c r="H2681" s="56">
        <v>5.3762282057656721E-2</v>
      </c>
      <c r="I2681" s="224">
        <v>1677.0194444444401</v>
      </c>
    </row>
    <row r="2682" spans="1:9" x14ac:dyDescent="0.25">
      <c r="A2682" s="515">
        <v>83501</v>
      </c>
      <c r="B2682" s="515" t="s">
        <v>736</v>
      </c>
      <c r="C2682" s="52">
        <v>341509.50819204899</v>
      </c>
      <c r="D2682" s="56">
        <v>5.4466880493222618E-2</v>
      </c>
      <c r="E2682" s="224" t="s">
        <v>2</v>
      </c>
      <c r="F2682" s="515" t="s">
        <v>4151</v>
      </c>
      <c r="G2682" s="52">
        <v>496210.44207797799</v>
      </c>
      <c r="H2682" s="56">
        <v>9.0648086668627406E-2</v>
      </c>
      <c r="I2682" s="224">
        <v>3275</v>
      </c>
    </row>
    <row r="2683" spans="1:9" x14ac:dyDescent="0.25">
      <c r="A2683" s="515">
        <v>73159</v>
      </c>
      <c r="B2683" s="515" t="s">
        <v>385</v>
      </c>
      <c r="C2683" s="52">
        <v>163563.83222621301</v>
      </c>
      <c r="D2683" s="56">
        <v>0.13412652762280144</v>
      </c>
      <c r="E2683" s="224">
        <v>1316.38888888888</v>
      </c>
      <c r="F2683" s="515" t="s">
        <v>4152</v>
      </c>
      <c r="G2683" s="52">
        <v>248818.304142815</v>
      </c>
      <c r="H2683" s="56">
        <v>0.12780106055091592</v>
      </c>
      <c r="I2683" s="224" t="s">
        <v>2</v>
      </c>
    </row>
    <row r="2684" spans="1:9" x14ac:dyDescent="0.25">
      <c r="A2684" s="515">
        <v>32547</v>
      </c>
      <c r="B2684" s="515" t="s">
        <v>1078</v>
      </c>
      <c r="C2684" s="52">
        <v>317165.04049108498</v>
      </c>
      <c r="D2684" s="56">
        <v>9.0536479397527028E-2</v>
      </c>
      <c r="E2684" s="224">
        <v>1937.7916666666599</v>
      </c>
      <c r="F2684" s="515" t="s">
        <v>4153</v>
      </c>
      <c r="G2684" s="52">
        <v>540303.92994587903</v>
      </c>
      <c r="H2684" s="56">
        <v>9.5499853797134174E-2</v>
      </c>
      <c r="I2684" s="224" t="s">
        <v>2</v>
      </c>
    </row>
    <row r="2685" spans="1:9" x14ac:dyDescent="0.25">
      <c r="A2685" s="515">
        <v>30092</v>
      </c>
      <c r="B2685" s="515" t="s">
        <v>957</v>
      </c>
      <c r="C2685" s="52">
        <v>502742.07627526298</v>
      </c>
      <c r="D2685" s="56">
        <v>6.9078793923244522E-2</v>
      </c>
      <c r="E2685" s="224">
        <v>1782.7777777777701</v>
      </c>
      <c r="F2685" s="515" t="s">
        <v>4154</v>
      </c>
      <c r="G2685" s="52">
        <v>40435.447677194301</v>
      </c>
      <c r="H2685" s="56">
        <v>4.0456328043410879E-2</v>
      </c>
      <c r="I2685" s="224" t="s">
        <v>2</v>
      </c>
    </row>
    <row r="2686" spans="1:9" x14ac:dyDescent="0.25">
      <c r="A2686" s="515">
        <v>30705</v>
      </c>
      <c r="B2686" s="515" t="s">
        <v>769</v>
      </c>
      <c r="C2686" s="52">
        <v>196954.619457772</v>
      </c>
      <c r="D2686" s="56">
        <v>7.3760469209358609E-2</v>
      </c>
      <c r="E2686" s="224" t="s">
        <v>2</v>
      </c>
      <c r="F2686" s="515" t="s">
        <v>4155</v>
      </c>
      <c r="G2686" s="52">
        <v>365763.55734838702</v>
      </c>
      <c r="H2686" s="56">
        <v>6.7817218289852044E-2</v>
      </c>
      <c r="I2686" s="224" t="s">
        <v>2</v>
      </c>
    </row>
    <row r="2687" spans="1:9" x14ac:dyDescent="0.25">
      <c r="A2687" s="515">
        <v>92301</v>
      </c>
      <c r="B2687" s="515" t="s">
        <v>599</v>
      </c>
      <c r="C2687" s="52">
        <v>363040.76252262801</v>
      </c>
      <c r="D2687" s="56">
        <v>5.123703673753404E-2</v>
      </c>
      <c r="E2687" s="224">
        <v>1966.6666666666599</v>
      </c>
      <c r="F2687" s="515" t="s">
        <v>489</v>
      </c>
      <c r="G2687" s="52">
        <v>214212.88730284499</v>
      </c>
      <c r="H2687" s="56">
        <v>8.0057493439808516E-2</v>
      </c>
      <c r="I2687" s="224" t="s">
        <v>2</v>
      </c>
    </row>
    <row r="2688" spans="1:9" x14ac:dyDescent="0.25">
      <c r="A2688" s="515">
        <v>20723</v>
      </c>
      <c r="B2688" s="515" t="s">
        <v>582</v>
      </c>
      <c r="C2688" s="52">
        <v>510867.20602317102</v>
      </c>
      <c r="D2688" s="56">
        <v>4.0582528138663101E-2</v>
      </c>
      <c r="E2688" s="224">
        <v>2194.5555555555502</v>
      </c>
      <c r="F2688" s="515" t="s">
        <v>4156</v>
      </c>
      <c r="G2688" s="52">
        <v>1299334.9764930401</v>
      </c>
      <c r="H2688" s="56">
        <v>4.5040425093130755E-2</v>
      </c>
      <c r="I2688" s="224">
        <v>2392.7158119658102</v>
      </c>
    </row>
    <row r="2689" spans="1:9" x14ac:dyDescent="0.25">
      <c r="A2689" s="515">
        <v>63119</v>
      </c>
      <c r="B2689" s="515" t="s">
        <v>498</v>
      </c>
      <c r="C2689" s="52">
        <v>319653.15442570602</v>
      </c>
      <c r="D2689" s="56">
        <v>6.6983587665870384E-2</v>
      </c>
      <c r="E2689" s="224">
        <v>1176.42777777777</v>
      </c>
      <c r="F2689" s="515" t="s">
        <v>4157</v>
      </c>
      <c r="G2689" s="52">
        <v>236239.44702488399</v>
      </c>
      <c r="H2689" s="56">
        <v>4.3706632827623181E-2</v>
      </c>
      <c r="I2689" s="224" t="s">
        <v>2</v>
      </c>
    </row>
    <row r="2690" spans="1:9" x14ac:dyDescent="0.25">
      <c r="A2690" s="515">
        <v>43613</v>
      </c>
      <c r="B2690" s="515" t="s">
        <v>300</v>
      </c>
      <c r="C2690" s="52">
        <v>126447.066768119</v>
      </c>
      <c r="D2690" s="56">
        <v>7.4405955947618799E-2</v>
      </c>
      <c r="E2690" s="224">
        <v>1065.4166666666599</v>
      </c>
      <c r="F2690" s="515" t="s">
        <v>4158</v>
      </c>
      <c r="G2690" s="52">
        <v>207813.87052031301</v>
      </c>
      <c r="H2690" s="56">
        <v>9.0495654671787454E-2</v>
      </c>
      <c r="I2690" s="224" t="s">
        <v>2</v>
      </c>
    </row>
    <row r="2691" spans="1:9" x14ac:dyDescent="0.25">
      <c r="A2691" s="515">
        <v>89523</v>
      </c>
      <c r="B2691" s="515" t="s">
        <v>581</v>
      </c>
      <c r="C2691" s="52">
        <v>576428.38597271999</v>
      </c>
      <c r="D2691" s="56">
        <v>1.6130454711559116E-2</v>
      </c>
      <c r="E2691" s="224">
        <v>2031.7095959595899</v>
      </c>
      <c r="F2691" s="515" t="s">
        <v>4159</v>
      </c>
      <c r="G2691" s="52">
        <v>307761.53023058502</v>
      </c>
      <c r="H2691" s="56">
        <v>6.4142353308673239E-2</v>
      </c>
      <c r="I2691" s="224" t="s">
        <v>2</v>
      </c>
    </row>
    <row r="2692" spans="1:9" x14ac:dyDescent="0.25">
      <c r="A2692" s="515">
        <v>37160</v>
      </c>
      <c r="B2692" s="515" t="s">
        <v>1098</v>
      </c>
      <c r="C2692" s="52">
        <v>261559.77914474401</v>
      </c>
      <c r="D2692" s="56">
        <v>9.2658961295172496E-2</v>
      </c>
      <c r="E2692" s="224" t="s">
        <v>2</v>
      </c>
      <c r="F2692" s="515" t="s">
        <v>710</v>
      </c>
      <c r="G2692" s="52">
        <v>132753.756066553</v>
      </c>
      <c r="H2692" s="56">
        <v>0.14450655913841493</v>
      </c>
      <c r="I2692" s="224">
        <v>1041.88888888888</v>
      </c>
    </row>
    <row r="2693" spans="1:9" x14ac:dyDescent="0.25">
      <c r="A2693" s="515">
        <v>22031</v>
      </c>
      <c r="B2693" s="515" t="s">
        <v>321</v>
      </c>
      <c r="C2693" s="52">
        <v>653706.11420571199</v>
      </c>
      <c r="D2693" s="56">
        <v>1.1428835544287476E-2</v>
      </c>
      <c r="E2693" s="224">
        <v>2101.8999518999499</v>
      </c>
      <c r="F2693" s="515" t="s">
        <v>4160</v>
      </c>
      <c r="G2693" s="52">
        <v>224490.148990407</v>
      </c>
      <c r="H2693" s="56">
        <v>8.3388359770423637E-2</v>
      </c>
      <c r="I2693" s="224">
        <v>1392.7777777777701</v>
      </c>
    </row>
    <row r="2694" spans="1:9" x14ac:dyDescent="0.25">
      <c r="A2694" s="515">
        <v>71106</v>
      </c>
      <c r="B2694" s="515" t="s">
        <v>739</v>
      </c>
      <c r="C2694" s="52">
        <v>192505.85110951</v>
      </c>
      <c r="D2694" s="56">
        <v>3.1356887610244022E-2</v>
      </c>
      <c r="E2694" s="224" t="s">
        <v>2</v>
      </c>
      <c r="F2694" s="515" t="s">
        <v>4161</v>
      </c>
      <c r="G2694" s="52">
        <v>150766.457609409</v>
      </c>
      <c r="H2694" s="56">
        <v>8.2354719155904949E-2</v>
      </c>
      <c r="I2694" s="224" t="s">
        <v>2</v>
      </c>
    </row>
    <row r="2695" spans="1:9" x14ac:dyDescent="0.25">
      <c r="A2695" s="515">
        <v>97527</v>
      </c>
      <c r="B2695" s="515" t="s">
        <v>626</v>
      </c>
      <c r="C2695" s="52">
        <v>395984.43376833497</v>
      </c>
      <c r="D2695" s="56">
        <v>1.0904624944063487E-2</v>
      </c>
      <c r="E2695" s="224" t="s">
        <v>2</v>
      </c>
      <c r="F2695" s="515" t="s">
        <v>4162</v>
      </c>
      <c r="G2695" s="52">
        <v>459458.863438014</v>
      </c>
      <c r="H2695" s="56">
        <v>5.3093799834223479E-2</v>
      </c>
      <c r="I2695" s="224">
        <v>1698.6111111111099</v>
      </c>
    </row>
    <row r="2696" spans="1:9" x14ac:dyDescent="0.25">
      <c r="A2696" s="515">
        <v>77304</v>
      </c>
      <c r="B2696" s="515" t="s">
        <v>314</v>
      </c>
      <c r="C2696" s="52">
        <v>329758.27820654499</v>
      </c>
      <c r="D2696" s="56">
        <v>6.9661093187721124E-2</v>
      </c>
      <c r="E2696" s="224">
        <v>1513.0962962962899</v>
      </c>
      <c r="F2696" s="515" t="s">
        <v>4163</v>
      </c>
      <c r="G2696" s="52">
        <v>250063.746352341</v>
      </c>
      <c r="H2696" s="56">
        <v>4.052571970472009E-2</v>
      </c>
      <c r="I2696" s="224" t="s">
        <v>2</v>
      </c>
    </row>
    <row r="2697" spans="1:9" x14ac:dyDescent="0.25">
      <c r="A2697" s="515">
        <v>47630</v>
      </c>
      <c r="B2697" s="515" t="s">
        <v>911</v>
      </c>
      <c r="C2697" s="52">
        <v>270786.44737231301</v>
      </c>
      <c r="D2697" s="56">
        <v>4.9586032890015862E-2</v>
      </c>
      <c r="E2697" s="224" t="s">
        <v>2</v>
      </c>
      <c r="F2697" s="515" t="s">
        <v>4164</v>
      </c>
      <c r="G2697" s="52">
        <v>554942.11943907104</v>
      </c>
      <c r="H2697" s="56">
        <v>0</v>
      </c>
      <c r="I2697" s="224">
        <v>1891.1666666666599</v>
      </c>
    </row>
    <row r="2698" spans="1:9" x14ac:dyDescent="0.25">
      <c r="A2698" s="515">
        <v>47304</v>
      </c>
      <c r="B2698" s="515" t="s">
        <v>1154</v>
      </c>
      <c r="C2698" s="52">
        <v>170668.299745884</v>
      </c>
      <c r="D2698" s="56">
        <v>8.1671240939346162E-2</v>
      </c>
      <c r="E2698" s="224">
        <v>1126.2222222222199</v>
      </c>
      <c r="F2698" s="515" t="s">
        <v>4165</v>
      </c>
      <c r="G2698" s="52">
        <v>696388.84847936803</v>
      </c>
      <c r="H2698" s="56">
        <v>5.4715080711681588E-2</v>
      </c>
      <c r="I2698" s="224">
        <v>2788</v>
      </c>
    </row>
    <row r="2699" spans="1:9" x14ac:dyDescent="0.25">
      <c r="A2699" s="515">
        <v>60612</v>
      </c>
      <c r="B2699" s="515" t="s">
        <v>394</v>
      </c>
      <c r="C2699" s="52">
        <v>305624.96513605502</v>
      </c>
      <c r="D2699" s="56">
        <v>-5.759108292548782E-2</v>
      </c>
      <c r="E2699" s="224">
        <v>1913.1164021164</v>
      </c>
      <c r="F2699" s="515" t="s">
        <v>4166</v>
      </c>
      <c r="G2699" s="52">
        <v>93312.506211403801</v>
      </c>
      <c r="H2699" s="56">
        <v>2.0423101957452346E-2</v>
      </c>
      <c r="I2699" s="224" t="s">
        <v>2</v>
      </c>
    </row>
    <row r="2700" spans="1:9" x14ac:dyDescent="0.25">
      <c r="A2700" s="515">
        <v>62526</v>
      </c>
      <c r="B2700" s="515" t="s">
        <v>540</v>
      </c>
      <c r="C2700" s="52">
        <v>73748.424969625703</v>
      </c>
      <c r="D2700" s="56">
        <v>4.9891605880948139E-2</v>
      </c>
      <c r="E2700" s="224" t="s">
        <v>2</v>
      </c>
      <c r="F2700" s="515" t="s">
        <v>4167</v>
      </c>
      <c r="G2700" s="52">
        <v>329939.470036891</v>
      </c>
      <c r="H2700" s="56">
        <v>9.0393991959600878E-2</v>
      </c>
      <c r="I2700" s="224">
        <v>1831.5333333333299</v>
      </c>
    </row>
    <row r="2701" spans="1:9" x14ac:dyDescent="0.25">
      <c r="A2701" s="515">
        <v>94063</v>
      </c>
      <c r="B2701" s="515" t="s">
        <v>593</v>
      </c>
      <c r="C2701" s="52">
        <v>1186164.8147625099</v>
      </c>
      <c r="D2701" s="56">
        <v>-1.8039749112762193E-2</v>
      </c>
      <c r="E2701" s="224">
        <v>3407.5326086956502</v>
      </c>
      <c r="F2701" s="515" t="s">
        <v>4168</v>
      </c>
      <c r="G2701" s="52">
        <v>440470.01159905602</v>
      </c>
      <c r="H2701" s="56">
        <v>1.3590408023954935E-2</v>
      </c>
      <c r="I2701" s="224">
        <v>1382.5</v>
      </c>
    </row>
    <row r="2702" spans="1:9" x14ac:dyDescent="0.25">
      <c r="A2702" s="515">
        <v>33881</v>
      </c>
      <c r="B2702" s="515" t="s">
        <v>359</v>
      </c>
      <c r="C2702" s="52">
        <v>269245.27819939802</v>
      </c>
      <c r="D2702" s="56">
        <v>0.14703027629721779</v>
      </c>
      <c r="E2702" s="224">
        <v>1696.2142857142801</v>
      </c>
      <c r="F2702" s="515" t="s">
        <v>4169</v>
      </c>
      <c r="G2702" s="52">
        <v>264669.620045522</v>
      </c>
      <c r="H2702" s="56">
        <v>7.5976653784388212E-2</v>
      </c>
      <c r="I2702" s="224">
        <v>1419.81666666666</v>
      </c>
    </row>
    <row r="2703" spans="1:9" x14ac:dyDescent="0.25">
      <c r="A2703" s="515">
        <v>33990</v>
      </c>
      <c r="B2703" s="515" t="s">
        <v>661</v>
      </c>
      <c r="C2703" s="52">
        <v>375735.94875663001</v>
      </c>
      <c r="D2703" s="56">
        <v>9.8593275625627835E-2</v>
      </c>
      <c r="E2703" s="224">
        <v>2391.1706349206302</v>
      </c>
      <c r="F2703" s="515" t="s">
        <v>4170</v>
      </c>
      <c r="G2703" s="52">
        <v>301816.763281853</v>
      </c>
      <c r="H2703" s="56">
        <v>0.13949225675209484</v>
      </c>
      <c r="I2703" s="224" t="s">
        <v>2</v>
      </c>
    </row>
    <row r="2704" spans="1:9" x14ac:dyDescent="0.25">
      <c r="A2704" s="515">
        <v>40220</v>
      </c>
      <c r="B2704" s="515" t="s">
        <v>479</v>
      </c>
      <c r="C2704" s="52">
        <v>256172.02914560301</v>
      </c>
      <c r="D2704" s="56">
        <v>5.6995336182442888E-2</v>
      </c>
      <c r="E2704" s="224">
        <v>1230.0357142857099</v>
      </c>
      <c r="F2704" s="515" t="s">
        <v>4171</v>
      </c>
      <c r="G2704" s="52">
        <v>349717.087153951</v>
      </c>
      <c r="H2704" s="56">
        <v>6.5932649623718032E-2</v>
      </c>
      <c r="I2704" s="224" t="s">
        <v>2</v>
      </c>
    </row>
    <row r="2705" spans="1:9" x14ac:dyDescent="0.25">
      <c r="A2705" s="515">
        <v>95842</v>
      </c>
      <c r="B2705" s="515" t="s">
        <v>355</v>
      </c>
      <c r="C2705" s="52">
        <v>395516.07747483999</v>
      </c>
      <c r="D2705" s="56">
        <v>2.2686720602371854E-2</v>
      </c>
      <c r="E2705" s="224">
        <v>1931.0416666666599</v>
      </c>
      <c r="F2705" s="515" t="s">
        <v>4172</v>
      </c>
      <c r="G2705" s="52">
        <v>654729.85554770997</v>
      </c>
      <c r="H2705" s="56">
        <v>9.3131244934332759E-3</v>
      </c>
      <c r="I2705" s="224">
        <v>2224.6666666666601</v>
      </c>
    </row>
    <row r="2706" spans="1:9" x14ac:dyDescent="0.25">
      <c r="A2706" s="515">
        <v>77096</v>
      </c>
      <c r="B2706" s="515" t="s">
        <v>314</v>
      </c>
      <c r="C2706" s="52">
        <v>392196.51483354298</v>
      </c>
      <c r="D2706" s="56">
        <v>7.5867409884883233E-2</v>
      </c>
      <c r="E2706" s="224">
        <v>1504.47095959595</v>
      </c>
      <c r="F2706" s="515" t="s">
        <v>4173</v>
      </c>
      <c r="G2706" s="52">
        <v>235418.88487670201</v>
      </c>
      <c r="H2706" s="56">
        <v>6.4645021128279037E-2</v>
      </c>
      <c r="I2706" s="224">
        <v>2037</v>
      </c>
    </row>
    <row r="2707" spans="1:9" x14ac:dyDescent="0.25">
      <c r="A2707" s="515">
        <v>33435</v>
      </c>
      <c r="B2707" s="515" t="s">
        <v>831</v>
      </c>
      <c r="C2707" s="52">
        <v>298723.979507223</v>
      </c>
      <c r="D2707" s="56">
        <v>0.14400059531242951</v>
      </c>
      <c r="E2707" s="224">
        <v>2713.7393048128301</v>
      </c>
      <c r="F2707" s="515" t="s">
        <v>4174</v>
      </c>
      <c r="G2707" s="52">
        <v>284669.92977118498</v>
      </c>
      <c r="H2707" s="56">
        <v>-2.4224985978319904E-3</v>
      </c>
      <c r="I2707" s="224" t="s">
        <v>2</v>
      </c>
    </row>
    <row r="2708" spans="1:9" x14ac:dyDescent="0.25">
      <c r="A2708" s="515">
        <v>98027</v>
      </c>
      <c r="B2708" s="515" t="s">
        <v>384</v>
      </c>
      <c r="C2708" s="52">
        <v>1069445.3254066999</v>
      </c>
      <c r="D2708" s="56">
        <v>6.9610787566574447E-2</v>
      </c>
      <c r="E2708" s="224">
        <v>2621.0388888888801</v>
      </c>
      <c r="F2708" s="515" t="s">
        <v>4175</v>
      </c>
      <c r="G2708" s="52">
        <v>242234.654282631</v>
      </c>
      <c r="H2708" s="56">
        <v>6.2937086320355287E-2</v>
      </c>
      <c r="I2708" s="224" t="s">
        <v>2</v>
      </c>
    </row>
    <row r="2709" spans="1:9" x14ac:dyDescent="0.25">
      <c r="A2709" s="515">
        <v>30180</v>
      </c>
      <c r="B2709" s="515" t="s">
        <v>957</v>
      </c>
      <c r="C2709" s="52">
        <v>302793.16459341103</v>
      </c>
      <c r="D2709" s="56">
        <v>9.3125489272909534E-2</v>
      </c>
      <c r="E2709" s="224">
        <v>2070.78327228327</v>
      </c>
      <c r="F2709" s="515" t="s">
        <v>4176</v>
      </c>
      <c r="G2709" s="52">
        <v>305498.66227117798</v>
      </c>
      <c r="H2709" s="56">
        <v>7.8972790316799046E-2</v>
      </c>
      <c r="I2709" s="224">
        <v>1963.25</v>
      </c>
    </row>
    <row r="2710" spans="1:9" x14ac:dyDescent="0.25">
      <c r="A2710" s="515">
        <v>76092</v>
      </c>
      <c r="B2710" s="515" t="s">
        <v>458</v>
      </c>
      <c r="C2710" s="52">
        <v>1121321.30853795</v>
      </c>
      <c r="D2710" s="56">
        <v>8.7150603680232253E-2</v>
      </c>
      <c r="E2710" s="224">
        <v>3325</v>
      </c>
      <c r="F2710" s="515" t="s">
        <v>4177</v>
      </c>
      <c r="G2710" s="52">
        <v>766538.01390546095</v>
      </c>
      <c r="H2710" s="56">
        <v>1.0519534169672631E-2</v>
      </c>
      <c r="I2710" s="224">
        <v>3330.875</v>
      </c>
    </row>
    <row r="2711" spans="1:9" x14ac:dyDescent="0.25">
      <c r="A2711" s="515">
        <v>94115</v>
      </c>
      <c r="B2711" s="515" t="s">
        <v>593</v>
      </c>
      <c r="C2711" s="52">
        <v>1471233.2827326299</v>
      </c>
      <c r="D2711" s="56">
        <v>-0.10083696738401131</v>
      </c>
      <c r="E2711" s="224">
        <v>3492.5469696969599</v>
      </c>
      <c r="F2711" s="515" t="s">
        <v>979</v>
      </c>
      <c r="G2711" s="52">
        <v>171132.459655165</v>
      </c>
      <c r="H2711" s="56">
        <v>0.10320190860579381</v>
      </c>
      <c r="I2711" s="224" t="s">
        <v>2</v>
      </c>
    </row>
    <row r="2712" spans="1:9" x14ac:dyDescent="0.25">
      <c r="A2712" s="515">
        <v>19116</v>
      </c>
      <c r="B2712" s="515" t="s">
        <v>294</v>
      </c>
      <c r="C2712" s="52">
        <v>343899.88683576998</v>
      </c>
      <c r="D2712" s="56">
        <v>5.0347899436056519E-2</v>
      </c>
      <c r="E2712" s="224" t="s">
        <v>2</v>
      </c>
      <c r="F2712" s="515" t="s">
        <v>4178</v>
      </c>
      <c r="G2712" s="52">
        <v>72379.696420604101</v>
      </c>
      <c r="H2712" s="56">
        <v>0.15824442222319815</v>
      </c>
      <c r="I2712" s="224" t="s">
        <v>2</v>
      </c>
    </row>
    <row r="2713" spans="1:9" x14ac:dyDescent="0.25">
      <c r="A2713" s="515">
        <v>91007</v>
      </c>
      <c r="B2713" s="515" t="s">
        <v>375</v>
      </c>
      <c r="C2713" s="52">
        <v>1287993.5620478899</v>
      </c>
      <c r="D2713" s="56">
        <v>5.5871515806842159E-2</v>
      </c>
      <c r="E2713" s="224">
        <v>2733.5841269841198</v>
      </c>
      <c r="F2713" s="515" t="s">
        <v>4179</v>
      </c>
      <c r="G2713" s="52">
        <v>515745.19247435598</v>
      </c>
      <c r="H2713" s="56">
        <v>3.8988535607719553E-2</v>
      </c>
      <c r="I2713" s="224">
        <v>2700</v>
      </c>
    </row>
    <row r="2714" spans="1:9" x14ac:dyDescent="0.25">
      <c r="A2714" s="515">
        <v>54311</v>
      </c>
      <c r="B2714" s="515" t="s">
        <v>897</v>
      </c>
      <c r="C2714" s="52">
        <v>298806.42662817601</v>
      </c>
      <c r="D2714" s="56">
        <v>6.0161457085164828E-2</v>
      </c>
      <c r="E2714" s="224" t="s">
        <v>2</v>
      </c>
      <c r="F2714" s="515" t="s">
        <v>4180</v>
      </c>
      <c r="G2714" s="52">
        <v>352924.83629642602</v>
      </c>
      <c r="H2714" s="56">
        <v>4.3572796872057264E-2</v>
      </c>
      <c r="I2714" s="224" t="s">
        <v>2</v>
      </c>
    </row>
    <row r="2715" spans="1:9" x14ac:dyDescent="0.25">
      <c r="A2715" s="515">
        <v>27514</v>
      </c>
      <c r="B2715" s="515" t="s">
        <v>467</v>
      </c>
      <c r="C2715" s="52">
        <v>596519.61366929405</v>
      </c>
      <c r="D2715" s="56">
        <v>9.9947550121385439E-2</v>
      </c>
      <c r="E2715" s="224">
        <v>1749.2111111111101</v>
      </c>
      <c r="F2715" s="515" t="s">
        <v>4181</v>
      </c>
      <c r="G2715" s="52">
        <v>188403.014583112</v>
      </c>
      <c r="H2715" s="56">
        <v>8.2460574205851594E-2</v>
      </c>
      <c r="I2715" s="224" t="s">
        <v>2</v>
      </c>
    </row>
    <row r="2716" spans="1:9" x14ac:dyDescent="0.25">
      <c r="A2716" s="515">
        <v>32571</v>
      </c>
      <c r="B2716" s="515" t="s">
        <v>1131</v>
      </c>
      <c r="C2716" s="52">
        <v>317260.53636441199</v>
      </c>
      <c r="D2716" s="56">
        <v>9.2201330019135136E-2</v>
      </c>
      <c r="E2716" s="224">
        <v>1965.9722222222199</v>
      </c>
      <c r="F2716" s="515" t="s">
        <v>4182</v>
      </c>
      <c r="G2716" s="52">
        <v>96812.289776751903</v>
      </c>
      <c r="H2716" s="56">
        <v>0.20808434649565163</v>
      </c>
      <c r="I2716" s="224" t="s">
        <v>2</v>
      </c>
    </row>
    <row r="2717" spans="1:9" x14ac:dyDescent="0.25">
      <c r="A2717" s="515">
        <v>8618</v>
      </c>
      <c r="B2717" s="515" t="s">
        <v>938</v>
      </c>
      <c r="C2717" s="52">
        <v>186385.776783173</v>
      </c>
      <c r="D2717" s="56">
        <v>9.599612719325476E-2</v>
      </c>
      <c r="E2717" s="224">
        <v>2001.19047619047</v>
      </c>
      <c r="F2717" s="515" t="s">
        <v>4183</v>
      </c>
      <c r="G2717" s="52">
        <v>371126.81261858798</v>
      </c>
      <c r="H2717" s="56">
        <v>3.257809081789638E-2</v>
      </c>
      <c r="I2717" s="224">
        <v>2258.3333333333298</v>
      </c>
    </row>
    <row r="2718" spans="1:9" x14ac:dyDescent="0.25">
      <c r="A2718" s="515">
        <v>21225</v>
      </c>
      <c r="B2718" s="515" t="s">
        <v>582</v>
      </c>
      <c r="C2718" s="52">
        <v>185956.912103254</v>
      </c>
      <c r="D2718" s="56">
        <v>5.9767055163973487E-2</v>
      </c>
      <c r="E2718" s="224">
        <v>1242.9833333333299</v>
      </c>
      <c r="F2718" s="515" t="s">
        <v>4184</v>
      </c>
      <c r="G2718" s="52">
        <v>1021091.02790609</v>
      </c>
      <c r="H2718" s="56">
        <v>5.6863516893717485E-2</v>
      </c>
      <c r="I2718" s="224">
        <v>2955.6777777777702</v>
      </c>
    </row>
    <row r="2719" spans="1:9" x14ac:dyDescent="0.25">
      <c r="A2719" s="515">
        <v>23220</v>
      </c>
      <c r="B2719" s="515" t="s">
        <v>667</v>
      </c>
      <c r="C2719" s="52">
        <v>354674.26621104497</v>
      </c>
      <c r="D2719" s="56">
        <v>3.0997022033403515E-2</v>
      </c>
      <c r="E2719" s="224">
        <v>1625.5714814814801</v>
      </c>
      <c r="F2719" s="515" t="s">
        <v>4185</v>
      </c>
      <c r="G2719" s="52">
        <v>277072.08434119303</v>
      </c>
      <c r="H2719" s="56">
        <v>0.138420789724569</v>
      </c>
      <c r="I2719" s="224">
        <v>1688.88888888888</v>
      </c>
    </row>
    <row r="2720" spans="1:9" x14ac:dyDescent="0.25">
      <c r="A2720" s="515">
        <v>95358</v>
      </c>
      <c r="B2720" s="515" t="s">
        <v>797</v>
      </c>
      <c r="C2720" s="52">
        <v>396754.903441915</v>
      </c>
      <c r="D2720" s="56">
        <v>4.3397503500027121E-2</v>
      </c>
      <c r="E2720" s="224" t="s">
        <v>2</v>
      </c>
      <c r="F2720" s="515" t="s">
        <v>4186</v>
      </c>
      <c r="G2720" s="52">
        <v>247291.87698769799</v>
      </c>
      <c r="H2720" s="56">
        <v>0.12990185055712195</v>
      </c>
      <c r="I2720" s="224">
        <v>1256.25</v>
      </c>
    </row>
    <row r="2721" spans="1:9" x14ac:dyDescent="0.25">
      <c r="A2721" s="515">
        <v>76014</v>
      </c>
      <c r="B2721" s="515" t="s">
        <v>458</v>
      </c>
      <c r="C2721" s="52">
        <v>257105.096031642</v>
      </c>
      <c r="D2721" s="56">
        <v>0.1159392990502958</v>
      </c>
      <c r="E2721" s="224">
        <v>1735.7738095238001</v>
      </c>
      <c r="F2721" s="515" t="s">
        <v>4187</v>
      </c>
      <c r="G2721" s="52">
        <v>450646.17735679803</v>
      </c>
      <c r="H2721" s="56">
        <v>9.2116977021290222E-2</v>
      </c>
      <c r="I2721" s="224">
        <v>1741.25</v>
      </c>
    </row>
    <row r="2722" spans="1:9" x14ac:dyDescent="0.25">
      <c r="A2722" s="515">
        <v>94588</v>
      </c>
      <c r="B2722" s="515" t="s">
        <v>593</v>
      </c>
      <c r="C2722" s="52">
        <v>1345680.7137800099</v>
      </c>
      <c r="D2722" s="56">
        <v>6.9804768044841358E-3</v>
      </c>
      <c r="E2722" s="224">
        <v>2888.3982683982599</v>
      </c>
      <c r="F2722" s="515" t="s">
        <v>4188</v>
      </c>
      <c r="G2722" s="52">
        <v>320873.96040617902</v>
      </c>
      <c r="H2722" s="56">
        <v>6.7592455655154773E-2</v>
      </c>
      <c r="I2722" s="224" t="s">
        <v>2</v>
      </c>
    </row>
    <row r="2723" spans="1:9" x14ac:dyDescent="0.25">
      <c r="A2723" s="515">
        <v>37814</v>
      </c>
      <c r="B2723" s="515" t="s">
        <v>786</v>
      </c>
      <c r="C2723" s="52">
        <v>224696.62545212099</v>
      </c>
      <c r="D2723" s="56">
        <v>9.2000059573726353E-2</v>
      </c>
      <c r="E2723" s="224" t="s">
        <v>2</v>
      </c>
      <c r="F2723" s="515" t="s">
        <v>4189</v>
      </c>
      <c r="G2723" s="52">
        <v>254368.779629647</v>
      </c>
      <c r="H2723" s="56">
        <v>0.1300520996450672</v>
      </c>
      <c r="I2723" s="224" t="s">
        <v>2</v>
      </c>
    </row>
    <row r="2724" spans="1:9" x14ac:dyDescent="0.25">
      <c r="A2724" s="515">
        <v>35601</v>
      </c>
      <c r="B2724" s="515" t="s">
        <v>1007</v>
      </c>
      <c r="C2724" s="52">
        <v>145407.16218601601</v>
      </c>
      <c r="D2724" s="56">
        <v>4.3973591214407984E-2</v>
      </c>
      <c r="E2724" s="224" t="s">
        <v>2</v>
      </c>
      <c r="F2724" s="515" t="s">
        <v>4190</v>
      </c>
      <c r="G2724" s="52">
        <v>287190.74905500602</v>
      </c>
      <c r="H2724" s="56">
        <v>0.12537578285668552</v>
      </c>
      <c r="I2724" s="224" t="s">
        <v>2</v>
      </c>
    </row>
    <row r="2725" spans="1:9" x14ac:dyDescent="0.25">
      <c r="A2725" s="515">
        <v>34209</v>
      </c>
      <c r="B2725" s="515" t="s">
        <v>466</v>
      </c>
      <c r="C2725" s="52">
        <v>419324.18377333501</v>
      </c>
      <c r="D2725" s="56">
        <v>0.17874647796616031</v>
      </c>
      <c r="E2725" s="224">
        <v>3023.3333333333298</v>
      </c>
      <c r="F2725" s="515" t="s">
        <v>4191</v>
      </c>
      <c r="G2725" s="52">
        <v>300986.69875898102</v>
      </c>
      <c r="H2725" s="56">
        <v>0.11998178785250031</v>
      </c>
      <c r="I2725" s="224" t="s">
        <v>2</v>
      </c>
    </row>
    <row r="2726" spans="1:9" x14ac:dyDescent="0.25">
      <c r="A2726" s="515">
        <v>19047</v>
      </c>
      <c r="B2726" s="515" t="s">
        <v>294</v>
      </c>
      <c r="C2726" s="52">
        <v>477932.94787168701</v>
      </c>
      <c r="D2726" s="56">
        <v>7.7262385641848619E-2</v>
      </c>
      <c r="E2726" s="224" t="s">
        <v>2</v>
      </c>
      <c r="F2726" s="515" t="s">
        <v>4192</v>
      </c>
      <c r="G2726" s="52">
        <v>140244.08669803999</v>
      </c>
      <c r="H2726" s="56">
        <v>5.8014557407503331E-2</v>
      </c>
      <c r="I2726" s="224" t="s">
        <v>2</v>
      </c>
    </row>
    <row r="2727" spans="1:9" x14ac:dyDescent="0.25">
      <c r="A2727" s="515">
        <v>80260</v>
      </c>
      <c r="B2727" s="515" t="s">
        <v>401</v>
      </c>
      <c r="C2727" s="52">
        <v>413869.64699162397</v>
      </c>
      <c r="D2727" s="56">
        <v>3.7813117555438154E-2</v>
      </c>
      <c r="E2727" s="224">
        <v>1729.13888888888</v>
      </c>
      <c r="F2727" s="515" t="s">
        <v>4193</v>
      </c>
      <c r="G2727" s="52">
        <v>333423.10575764702</v>
      </c>
      <c r="H2727" s="56">
        <v>5.4497863507025374E-2</v>
      </c>
      <c r="I2727" s="224" t="s">
        <v>2</v>
      </c>
    </row>
    <row r="2728" spans="1:9" x14ac:dyDescent="0.25">
      <c r="A2728" s="515">
        <v>33407</v>
      </c>
      <c r="B2728" s="515" t="s">
        <v>831</v>
      </c>
      <c r="C2728" s="52">
        <v>316906.712047251</v>
      </c>
      <c r="D2728" s="56">
        <v>0.18051958700661402</v>
      </c>
      <c r="E2728" s="224">
        <v>2228.6075036074999</v>
      </c>
      <c r="F2728" s="515" t="s">
        <v>1212</v>
      </c>
      <c r="G2728" s="52">
        <v>125826.60980984999</v>
      </c>
      <c r="H2728" s="56">
        <v>0.14782430149414966</v>
      </c>
      <c r="I2728" s="224" t="s">
        <v>2</v>
      </c>
    </row>
    <row r="2729" spans="1:9" x14ac:dyDescent="0.25">
      <c r="A2729" s="515">
        <v>32034</v>
      </c>
      <c r="B2729" s="515" t="s">
        <v>1158</v>
      </c>
      <c r="C2729" s="52">
        <v>573636.67240356596</v>
      </c>
      <c r="D2729" s="56">
        <v>0.15200260511173427</v>
      </c>
      <c r="E2729" s="224">
        <v>2118.5833333333298</v>
      </c>
      <c r="F2729" s="515" t="s">
        <v>714</v>
      </c>
      <c r="G2729" s="52">
        <v>127861.47558758799</v>
      </c>
      <c r="H2729" s="56">
        <v>0.15017378877131993</v>
      </c>
      <c r="I2729" s="224" t="s">
        <v>2</v>
      </c>
    </row>
    <row r="2730" spans="1:9" x14ac:dyDescent="0.25">
      <c r="A2730" s="515">
        <v>48186</v>
      </c>
      <c r="B2730" s="515" t="s">
        <v>685</v>
      </c>
      <c r="C2730" s="52">
        <v>168421.95699206501</v>
      </c>
      <c r="D2730" s="56">
        <v>5.6504119520418179E-2</v>
      </c>
      <c r="E2730" s="224">
        <v>1172.6111111111099</v>
      </c>
      <c r="F2730" s="515" t="s">
        <v>4194</v>
      </c>
      <c r="G2730" s="52">
        <v>1290785.6613160199</v>
      </c>
      <c r="H2730" s="56">
        <v>7.3995412380000444E-2</v>
      </c>
      <c r="I2730" s="224">
        <v>3015</v>
      </c>
    </row>
    <row r="2731" spans="1:9" x14ac:dyDescent="0.25">
      <c r="A2731" s="515">
        <v>77515</v>
      </c>
      <c r="B2731" s="515" t="s">
        <v>314</v>
      </c>
      <c r="C2731" s="52">
        <v>219468.67717076201</v>
      </c>
      <c r="D2731" s="56">
        <v>3.4166114423398078E-2</v>
      </c>
      <c r="E2731" s="224">
        <v>1523.2666666666601</v>
      </c>
      <c r="F2731" s="515" t="s">
        <v>4195</v>
      </c>
      <c r="G2731" s="52">
        <v>276720.51591383701</v>
      </c>
      <c r="H2731" s="56">
        <v>9.2314594454617233E-2</v>
      </c>
      <c r="I2731" s="224">
        <v>1500</v>
      </c>
    </row>
    <row r="2732" spans="1:9" x14ac:dyDescent="0.25">
      <c r="A2732" s="515">
        <v>11787</v>
      </c>
      <c r="B2732" s="515" t="s">
        <v>324</v>
      </c>
      <c r="C2732" s="52">
        <v>648006.129432154</v>
      </c>
      <c r="D2732" s="56">
        <v>6.0829615811591894E-2</v>
      </c>
      <c r="E2732" s="224">
        <v>2653</v>
      </c>
      <c r="F2732" s="515" t="s">
        <v>4196</v>
      </c>
      <c r="G2732" s="52">
        <v>504615.092381689</v>
      </c>
      <c r="H2732" s="56">
        <v>6.3843087418895897E-2</v>
      </c>
      <c r="I2732" s="224">
        <v>1860.9988557105401</v>
      </c>
    </row>
    <row r="2733" spans="1:9" x14ac:dyDescent="0.25">
      <c r="A2733" s="515">
        <v>7106</v>
      </c>
      <c r="B2733" s="515" t="s">
        <v>324</v>
      </c>
      <c r="C2733" s="52">
        <v>361280.33768966998</v>
      </c>
      <c r="D2733" s="56">
        <v>8.9716083127936858E-2</v>
      </c>
      <c r="E2733" s="224">
        <v>1792.3333333333301</v>
      </c>
      <c r="F2733" s="515" t="s">
        <v>4197</v>
      </c>
      <c r="G2733" s="52">
        <v>414899.92773254402</v>
      </c>
      <c r="H2733" s="56">
        <v>9.3805681494719434E-2</v>
      </c>
      <c r="I2733" s="224">
        <v>2097.1031746031699</v>
      </c>
    </row>
    <row r="2734" spans="1:9" x14ac:dyDescent="0.25">
      <c r="A2734" s="515">
        <v>33069</v>
      </c>
      <c r="B2734" s="515" t="s">
        <v>831</v>
      </c>
      <c r="C2734" s="52">
        <v>266340.48670719302</v>
      </c>
      <c r="D2734" s="56">
        <v>0.20966227253601122</v>
      </c>
      <c r="E2734" s="224">
        <v>2144.0400584795302</v>
      </c>
      <c r="F2734" s="515" t="s">
        <v>4198</v>
      </c>
      <c r="G2734" s="52">
        <v>349894.50602092501</v>
      </c>
      <c r="H2734" s="56">
        <v>4.5372950101637097E-2</v>
      </c>
      <c r="I2734" s="224" t="s">
        <v>2</v>
      </c>
    </row>
    <row r="2735" spans="1:9" x14ac:dyDescent="0.25">
      <c r="A2735" s="515">
        <v>29406</v>
      </c>
      <c r="B2735" s="515" t="s">
        <v>1009</v>
      </c>
      <c r="C2735" s="52">
        <v>255259.96967964599</v>
      </c>
      <c r="D2735" s="56">
        <v>0.13154625930359506</v>
      </c>
      <c r="E2735" s="224">
        <v>1490.75384615384</v>
      </c>
      <c r="F2735" s="515" t="s">
        <v>865</v>
      </c>
      <c r="G2735" s="52">
        <v>192809.310218553</v>
      </c>
      <c r="H2735" s="56">
        <v>0.105398925766764</v>
      </c>
      <c r="I2735" s="224" t="s">
        <v>2</v>
      </c>
    </row>
    <row r="2736" spans="1:9" x14ac:dyDescent="0.25">
      <c r="A2736" s="515">
        <v>23229</v>
      </c>
      <c r="B2736" s="515" t="s">
        <v>667</v>
      </c>
      <c r="C2736" s="52">
        <v>398113.63163366198</v>
      </c>
      <c r="D2736" s="56">
        <v>2.861296779418699E-2</v>
      </c>
      <c r="E2736" s="224">
        <v>1802.1666666666599</v>
      </c>
      <c r="F2736" s="515" t="s">
        <v>4199</v>
      </c>
      <c r="G2736" s="52">
        <v>629519.97952492803</v>
      </c>
      <c r="H2736" s="56">
        <v>0.12898427577647834</v>
      </c>
      <c r="I2736" s="224">
        <v>2529.0555555555502</v>
      </c>
    </row>
    <row r="2737" spans="1:9" x14ac:dyDescent="0.25">
      <c r="A2737" s="515">
        <v>29150</v>
      </c>
      <c r="B2737" s="515" t="s">
        <v>1065</v>
      </c>
      <c r="C2737" s="52">
        <v>142630.240369921</v>
      </c>
      <c r="D2737" s="56">
        <v>6.8750831933482387E-2</v>
      </c>
      <c r="E2737" s="224">
        <v>1019.8611111111099</v>
      </c>
      <c r="F2737" s="515" t="s">
        <v>4200</v>
      </c>
      <c r="G2737" s="52">
        <v>199851.91074330601</v>
      </c>
      <c r="H2737" s="56">
        <v>4.9788132105981708E-2</v>
      </c>
      <c r="I2737" s="224" t="s">
        <v>2</v>
      </c>
    </row>
    <row r="2738" spans="1:9" x14ac:dyDescent="0.25">
      <c r="A2738" s="515">
        <v>33326</v>
      </c>
      <c r="B2738" s="515" t="s">
        <v>831</v>
      </c>
      <c r="C2738" s="52">
        <v>512480.38483735599</v>
      </c>
      <c r="D2738" s="56">
        <v>0.13404884179746512</v>
      </c>
      <c r="E2738" s="224">
        <v>2753.7804232804201</v>
      </c>
      <c r="F2738" s="515" t="s">
        <v>4201</v>
      </c>
      <c r="G2738" s="52">
        <v>229312.46191556199</v>
      </c>
      <c r="H2738" s="56">
        <v>0.10767061068856661</v>
      </c>
      <c r="I2738" s="224" t="s">
        <v>2</v>
      </c>
    </row>
    <row r="2739" spans="1:9" x14ac:dyDescent="0.25">
      <c r="A2739" s="515">
        <v>59701</v>
      </c>
      <c r="B2739" s="515" t="s">
        <v>611</v>
      </c>
      <c r="C2739" s="52">
        <v>249046.69384405701</v>
      </c>
      <c r="D2739" s="56">
        <v>0.11996545936925214</v>
      </c>
      <c r="E2739" s="224">
        <v>1137.5</v>
      </c>
      <c r="F2739" s="515" t="s">
        <v>4202</v>
      </c>
      <c r="G2739" s="52">
        <v>437713.64808482799</v>
      </c>
      <c r="H2739" s="56">
        <v>2.5278772049064341E-2</v>
      </c>
      <c r="I2739" s="224" t="s">
        <v>2</v>
      </c>
    </row>
    <row r="2740" spans="1:9" x14ac:dyDescent="0.25">
      <c r="A2740" s="515">
        <v>37876</v>
      </c>
      <c r="B2740" s="515" t="s">
        <v>1183</v>
      </c>
      <c r="C2740" s="52">
        <v>395158.055064991</v>
      </c>
      <c r="D2740" s="56">
        <v>0.13335303242240301</v>
      </c>
      <c r="E2740" s="224" t="s">
        <v>2</v>
      </c>
      <c r="F2740" s="515" t="s">
        <v>4203</v>
      </c>
      <c r="G2740" s="52">
        <v>1729175.5847727801</v>
      </c>
      <c r="H2740" s="56">
        <v>0.10432930718451475</v>
      </c>
      <c r="I2740" s="224" t="s">
        <v>2</v>
      </c>
    </row>
    <row r="2741" spans="1:9" x14ac:dyDescent="0.25">
      <c r="A2741" s="515">
        <v>98370</v>
      </c>
      <c r="B2741" s="515" t="s">
        <v>620</v>
      </c>
      <c r="C2741" s="52">
        <v>608994.82261625805</v>
      </c>
      <c r="D2741" s="56">
        <v>3.6637887784028891E-2</v>
      </c>
      <c r="E2741" s="224">
        <v>2535.1666666666601</v>
      </c>
      <c r="F2741" s="515" t="s">
        <v>4204</v>
      </c>
      <c r="G2741" s="52">
        <v>347010.632787137</v>
      </c>
      <c r="H2741" s="56">
        <v>4.4346547879162597E-2</v>
      </c>
      <c r="I2741" s="224" t="s">
        <v>2</v>
      </c>
    </row>
    <row r="2742" spans="1:9" x14ac:dyDescent="0.25">
      <c r="A2742" s="515">
        <v>23505</v>
      </c>
      <c r="B2742" s="515" t="s">
        <v>301</v>
      </c>
      <c r="C2742" s="52">
        <v>282481.59890261397</v>
      </c>
      <c r="D2742" s="56">
        <v>4.2772215519351876E-2</v>
      </c>
      <c r="E2742" s="224">
        <v>1340</v>
      </c>
      <c r="F2742" s="515" t="s">
        <v>4205</v>
      </c>
      <c r="G2742" s="52">
        <v>905635.13979728299</v>
      </c>
      <c r="H2742" s="56">
        <v>2.1724682507079995E-2</v>
      </c>
      <c r="I2742" s="224">
        <v>3737.5</v>
      </c>
    </row>
    <row r="2743" spans="1:9" x14ac:dyDescent="0.25">
      <c r="A2743" s="515">
        <v>58503</v>
      </c>
      <c r="B2743" s="515" t="s">
        <v>930</v>
      </c>
      <c r="C2743" s="52">
        <v>397334.06137636403</v>
      </c>
      <c r="D2743" s="56">
        <v>5.5086229525120566E-2</v>
      </c>
      <c r="E2743" s="224">
        <v>1260</v>
      </c>
      <c r="F2743" s="515" t="s">
        <v>4206</v>
      </c>
      <c r="G2743" s="52">
        <v>343512.96616703598</v>
      </c>
      <c r="H2743" s="56">
        <v>9.2684960186122392E-2</v>
      </c>
      <c r="I2743" s="224">
        <v>1870</v>
      </c>
    </row>
    <row r="2744" spans="1:9" x14ac:dyDescent="0.25">
      <c r="A2744" s="515">
        <v>80228</v>
      </c>
      <c r="B2744" s="515" t="s">
        <v>401</v>
      </c>
      <c r="C2744" s="52">
        <v>620972.18689325894</v>
      </c>
      <c r="D2744" s="56">
        <v>1.2821800352680905E-2</v>
      </c>
      <c r="E2744" s="224">
        <v>1844.6617647058799</v>
      </c>
      <c r="F2744" s="515" t="s">
        <v>4207</v>
      </c>
      <c r="G2744" s="52">
        <v>555435.13887088501</v>
      </c>
      <c r="H2744" s="56">
        <v>6.23338649616458E-2</v>
      </c>
      <c r="I2744" s="224">
        <v>2947.5</v>
      </c>
    </row>
    <row r="2745" spans="1:9" x14ac:dyDescent="0.25">
      <c r="A2745" s="515">
        <v>33710</v>
      </c>
      <c r="B2745" s="515" t="s">
        <v>461</v>
      </c>
      <c r="C2745" s="52">
        <v>354239.12315041502</v>
      </c>
      <c r="D2745" s="56">
        <v>0.10868740387773809</v>
      </c>
      <c r="E2745" s="224">
        <v>1956.0453703703699</v>
      </c>
      <c r="F2745" s="515" t="s">
        <v>4208</v>
      </c>
      <c r="G2745" s="52">
        <v>391013.69060999999</v>
      </c>
      <c r="H2745" s="56">
        <v>6.8591270608768878E-2</v>
      </c>
      <c r="I2745" s="224">
        <v>2455.0666666666598</v>
      </c>
    </row>
    <row r="2746" spans="1:9" x14ac:dyDescent="0.25">
      <c r="A2746" s="515">
        <v>17013</v>
      </c>
      <c r="B2746" s="515" t="s">
        <v>428</v>
      </c>
      <c r="C2746" s="52">
        <v>237576.10221547601</v>
      </c>
      <c r="D2746" s="56">
        <v>9.8027734839688713E-2</v>
      </c>
      <c r="E2746" s="224">
        <v>1284.30555555555</v>
      </c>
      <c r="F2746" s="515" t="s">
        <v>4209</v>
      </c>
      <c r="G2746" s="52">
        <v>345162.00745424698</v>
      </c>
      <c r="H2746" s="56">
        <v>5.9795282499162571E-2</v>
      </c>
      <c r="I2746" s="224" t="s">
        <v>2</v>
      </c>
    </row>
    <row r="2747" spans="1:9" x14ac:dyDescent="0.25">
      <c r="A2747" s="515">
        <v>86442</v>
      </c>
      <c r="B2747" s="515" t="s">
        <v>453</v>
      </c>
      <c r="C2747" s="52">
        <v>273216.45488015498</v>
      </c>
      <c r="D2747" s="56">
        <v>5.3701894746499515E-2</v>
      </c>
      <c r="E2747" s="224">
        <v>1380.55555555555</v>
      </c>
      <c r="F2747" s="515" t="s">
        <v>4210</v>
      </c>
      <c r="G2747" s="52">
        <v>170048.170230421</v>
      </c>
      <c r="H2747" s="56">
        <v>6.4673597895012494E-2</v>
      </c>
      <c r="I2747" s="224" t="s">
        <v>2</v>
      </c>
    </row>
    <row r="2748" spans="1:9" x14ac:dyDescent="0.25">
      <c r="A2748" s="515">
        <v>30344</v>
      </c>
      <c r="B2748" s="515" t="s">
        <v>957</v>
      </c>
      <c r="C2748" s="52">
        <v>259599.38897314199</v>
      </c>
      <c r="D2748" s="56">
        <v>0.1715783179645507</v>
      </c>
      <c r="E2748" s="224">
        <v>1575.42698412698</v>
      </c>
      <c r="F2748" s="515" t="s">
        <v>4211</v>
      </c>
      <c r="G2748" s="52">
        <v>194495.50035926001</v>
      </c>
      <c r="H2748" s="56">
        <v>0.14235924088895618</v>
      </c>
      <c r="I2748" s="224">
        <v>1422.63888888888</v>
      </c>
    </row>
    <row r="2749" spans="1:9" x14ac:dyDescent="0.25">
      <c r="A2749" s="515">
        <v>38301</v>
      </c>
      <c r="B2749" s="515" t="s">
        <v>691</v>
      </c>
      <c r="C2749" s="52">
        <v>110622.54755547699</v>
      </c>
      <c r="D2749" s="56">
        <v>5.4575241174194135E-2</v>
      </c>
      <c r="E2749" s="224">
        <v>1067.75</v>
      </c>
      <c r="F2749" s="515" t="s">
        <v>4212</v>
      </c>
      <c r="G2749" s="52">
        <v>138074.88720035899</v>
      </c>
      <c r="H2749" s="56">
        <v>5.7005111217952653E-2</v>
      </c>
      <c r="I2749" s="224" t="s">
        <v>2</v>
      </c>
    </row>
    <row r="2750" spans="1:9" x14ac:dyDescent="0.25">
      <c r="A2750" s="515">
        <v>55109</v>
      </c>
      <c r="B2750" s="515" t="s">
        <v>532</v>
      </c>
      <c r="C2750" s="52">
        <v>297493.79183752602</v>
      </c>
      <c r="D2750" s="56">
        <v>3.0094738703826535E-2</v>
      </c>
      <c r="E2750" s="224">
        <v>1237.9841269841199</v>
      </c>
      <c r="F2750" s="515" t="s">
        <v>4213</v>
      </c>
      <c r="G2750" s="52">
        <v>251331.26380315801</v>
      </c>
      <c r="H2750" s="56">
        <v>0.16834054703246024</v>
      </c>
      <c r="I2750" s="224" t="s">
        <v>2</v>
      </c>
    </row>
    <row r="2751" spans="1:9" x14ac:dyDescent="0.25">
      <c r="A2751" s="515">
        <v>75238</v>
      </c>
      <c r="B2751" s="515" t="s">
        <v>458</v>
      </c>
      <c r="C2751" s="52">
        <v>541573.78336535301</v>
      </c>
      <c r="D2751" s="56">
        <v>9.5405479328858539E-2</v>
      </c>
      <c r="E2751" s="224">
        <v>1517.51388888888</v>
      </c>
      <c r="F2751" s="515" t="s">
        <v>4214</v>
      </c>
      <c r="G2751" s="52">
        <v>259263.49151416801</v>
      </c>
      <c r="H2751" s="56">
        <v>7.8267064732698691E-2</v>
      </c>
      <c r="I2751" s="224" t="s">
        <v>2</v>
      </c>
    </row>
    <row r="2752" spans="1:9" x14ac:dyDescent="0.25">
      <c r="A2752" s="515">
        <v>48234</v>
      </c>
      <c r="B2752" s="515" t="s">
        <v>685</v>
      </c>
      <c r="C2752" s="52">
        <v>51632.181146798001</v>
      </c>
      <c r="D2752" s="56">
        <v>0.13102567881934124</v>
      </c>
      <c r="E2752" s="224">
        <v>1143.05555555555</v>
      </c>
      <c r="F2752" s="515" t="s">
        <v>4215</v>
      </c>
      <c r="G2752" s="52">
        <v>434757.66007477901</v>
      </c>
      <c r="H2752" s="56">
        <v>7.6176913677683894E-2</v>
      </c>
      <c r="I2752" s="224">
        <v>1749.7</v>
      </c>
    </row>
    <row r="2753" spans="1:9" x14ac:dyDescent="0.25">
      <c r="A2753" s="515">
        <v>22314</v>
      </c>
      <c r="B2753" s="515" t="s">
        <v>321</v>
      </c>
      <c r="C2753" s="52">
        <v>760887.16660076403</v>
      </c>
      <c r="D2753" s="56">
        <v>-4.1784367678636483E-3</v>
      </c>
      <c r="E2753" s="224">
        <v>2274.9869238773899</v>
      </c>
      <c r="F2753" s="515" t="s">
        <v>4216</v>
      </c>
      <c r="G2753" s="52">
        <v>377983.76373140898</v>
      </c>
      <c r="H2753" s="56">
        <v>1.9795110802128126E-2</v>
      </c>
      <c r="I2753" s="224">
        <v>2456.4285714285702</v>
      </c>
    </row>
    <row r="2754" spans="1:9" x14ac:dyDescent="0.25">
      <c r="A2754" s="515">
        <v>99337</v>
      </c>
      <c r="B2754" s="515" t="s">
        <v>1068</v>
      </c>
      <c r="C2754" s="52">
        <v>397368.80022758897</v>
      </c>
      <c r="D2754" s="56">
        <v>5.9251695692538096E-2</v>
      </c>
      <c r="E2754" s="224" t="s">
        <v>2</v>
      </c>
      <c r="F2754" s="515" t="s">
        <v>4217</v>
      </c>
      <c r="G2754" s="52">
        <v>398234.15957531199</v>
      </c>
      <c r="H2754" s="56">
        <v>4.7881298013461075E-2</v>
      </c>
      <c r="I2754" s="224" t="s">
        <v>2</v>
      </c>
    </row>
    <row r="2755" spans="1:9" x14ac:dyDescent="0.25">
      <c r="A2755" s="515">
        <v>75701</v>
      </c>
      <c r="B2755" s="515" t="s">
        <v>1157</v>
      </c>
      <c r="C2755" s="52">
        <v>211351.57717828799</v>
      </c>
      <c r="D2755" s="56">
        <v>0.10282057893706079</v>
      </c>
      <c r="E2755" s="224">
        <v>1415.69444444444</v>
      </c>
      <c r="F2755" s="515" t="s">
        <v>4218</v>
      </c>
      <c r="G2755" s="52">
        <v>329087.98071162502</v>
      </c>
      <c r="H2755" s="56">
        <v>8.1927473366283435E-2</v>
      </c>
      <c r="I2755" s="224">
        <v>1730</v>
      </c>
    </row>
    <row r="2756" spans="1:9" x14ac:dyDescent="0.25">
      <c r="A2756" s="515">
        <v>95219</v>
      </c>
      <c r="B2756" s="515" t="s">
        <v>852</v>
      </c>
      <c r="C2756" s="52">
        <v>528302.32842860103</v>
      </c>
      <c r="D2756" s="56">
        <v>1.4763433721745179E-2</v>
      </c>
      <c r="E2756" s="224">
        <v>2031.5972222222199</v>
      </c>
      <c r="F2756" s="515" t="s">
        <v>4219</v>
      </c>
      <c r="G2756" s="52">
        <v>91615.478100319597</v>
      </c>
      <c r="H2756" s="56">
        <v>0.11249279983288472</v>
      </c>
      <c r="I2756" s="224" t="s">
        <v>2</v>
      </c>
    </row>
    <row r="2757" spans="1:9" x14ac:dyDescent="0.25">
      <c r="A2757" s="515">
        <v>78229</v>
      </c>
      <c r="B2757" s="515" t="s">
        <v>717</v>
      </c>
      <c r="C2757" s="52">
        <v>214353.471878524</v>
      </c>
      <c r="D2757" s="56">
        <v>8.3842174462212593E-2</v>
      </c>
      <c r="E2757" s="224">
        <v>1244.8318411164701</v>
      </c>
      <c r="F2757" s="515" t="s">
        <v>4220</v>
      </c>
      <c r="G2757" s="52">
        <v>439246.569010259</v>
      </c>
      <c r="H2757" s="56">
        <v>0.12087174058155299</v>
      </c>
      <c r="I2757" s="224">
        <v>2098.3333333333298</v>
      </c>
    </row>
    <row r="2758" spans="1:9" x14ac:dyDescent="0.25">
      <c r="A2758" s="515">
        <v>93555</v>
      </c>
      <c r="B2758" s="515" t="s">
        <v>419</v>
      </c>
      <c r="C2758" s="52">
        <v>257240.07351323799</v>
      </c>
      <c r="D2758" s="56">
        <v>1.0867525214484055E-2</v>
      </c>
      <c r="E2758" s="224">
        <v>1335.0833333333301</v>
      </c>
      <c r="F2758" s="515" t="s">
        <v>4221</v>
      </c>
      <c r="G2758" s="52">
        <v>386791.342148286</v>
      </c>
      <c r="H2758" s="56">
        <v>6.9848913806165397E-2</v>
      </c>
      <c r="I2758" s="224" t="s">
        <v>2</v>
      </c>
    </row>
    <row r="2759" spans="1:9" x14ac:dyDescent="0.25">
      <c r="A2759" s="515">
        <v>84107</v>
      </c>
      <c r="B2759" s="515" t="s">
        <v>617</v>
      </c>
      <c r="C2759" s="52">
        <v>462633.697425358</v>
      </c>
      <c r="D2759" s="56">
        <v>4.223185333162241E-2</v>
      </c>
      <c r="E2759" s="224">
        <v>1461.8928571428501</v>
      </c>
      <c r="F2759" s="515" t="s">
        <v>4222</v>
      </c>
      <c r="G2759" s="52">
        <v>151074.16662624499</v>
      </c>
      <c r="H2759" s="56">
        <v>6.513721276990378E-2</v>
      </c>
      <c r="I2759" s="224">
        <v>1438.1111111111099</v>
      </c>
    </row>
    <row r="2760" spans="1:9" x14ac:dyDescent="0.25">
      <c r="A2760" s="515">
        <v>84047</v>
      </c>
      <c r="B2760" s="515" t="s">
        <v>617</v>
      </c>
      <c r="C2760" s="52">
        <v>449090.343490139</v>
      </c>
      <c r="D2760" s="56">
        <v>2.6911526600530276E-2</v>
      </c>
      <c r="E2760" s="224">
        <v>1729.81111111111</v>
      </c>
      <c r="F2760" s="515" t="s">
        <v>544</v>
      </c>
      <c r="G2760" s="52">
        <v>226880.946726725</v>
      </c>
      <c r="H2760" s="56">
        <v>4.7338838642682825E-2</v>
      </c>
      <c r="I2760" s="224" t="s">
        <v>2</v>
      </c>
    </row>
    <row r="2761" spans="1:9" x14ac:dyDescent="0.25">
      <c r="A2761" s="515">
        <v>3038</v>
      </c>
      <c r="B2761" s="515" t="s">
        <v>534</v>
      </c>
      <c r="C2761" s="52">
        <v>421290.87070984399</v>
      </c>
      <c r="D2761" s="56">
        <v>0.11375442070907982</v>
      </c>
      <c r="E2761" s="224">
        <v>2007</v>
      </c>
      <c r="F2761" s="515" t="s">
        <v>1018</v>
      </c>
      <c r="G2761" s="52">
        <v>184663.05011870901</v>
      </c>
      <c r="H2761" s="56">
        <v>0.18022782629499426</v>
      </c>
      <c r="I2761" s="224" t="s">
        <v>2</v>
      </c>
    </row>
    <row r="2762" spans="1:9" x14ac:dyDescent="0.25">
      <c r="A2762" s="515">
        <v>55318</v>
      </c>
      <c r="B2762" s="515" t="s">
        <v>532</v>
      </c>
      <c r="C2762" s="52">
        <v>402807.49846509099</v>
      </c>
      <c r="D2762" s="56">
        <v>2.8532341446884945E-2</v>
      </c>
      <c r="E2762" s="224">
        <v>1950</v>
      </c>
      <c r="F2762" s="515" t="s">
        <v>4223</v>
      </c>
      <c r="G2762" s="52">
        <v>394537.74578392803</v>
      </c>
      <c r="H2762" s="56">
        <v>3.0584791232885454E-2</v>
      </c>
      <c r="I2762" s="224">
        <v>1719.11428571428</v>
      </c>
    </row>
    <row r="2763" spans="1:9" x14ac:dyDescent="0.25">
      <c r="A2763" s="515">
        <v>77017</v>
      </c>
      <c r="B2763" s="515" t="s">
        <v>314</v>
      </c>
      <c r="C2763" s="52">
        <v>189735.43567361901</v>
      </c>
      <c r="D2763" s="56">
        <v>0.12253113507380238</v>
      </c>
      <c r="E2763" s="224">
        <v>1531.25</v>
      </c>
      <c r="F2763" s="515" t="s">
        <v>4224</v>
      </c>
      <c r="G2763" s="52">
        <v>696444.29825680004</v>
      </c>
      <c r="H2763" s="56">
        <v>4.6649636740129195E-2</v>
      </c>
      <c r="I2763" s="224" t="s">
        <v>2</v>
      </c>
    </row>
    <row r="2764" spans="1:9" x14ac:dyDescent="0.25">
      <c r="A2764" s="515">
        <v>11735</v>
      </c>
      <c r="B2764" s="515" t="s">
        <v>324</v>
      </c>
      <c r="C2764" s="52">
        <v>568050.87102484005</v>
      </c>
      <c r="D2764" s="56">
        <v>4.8659458167173007E-2</v>
      </c>
      <c r="E2764" s="224" t="s">
        <v>2</v>
      </c>
      <c r="F2764" s="515" t="s">
        <v>1213</v>
      </c>
      <c r="G2764" s="52">
        <v>337745.12042196101</v>
      </c>
      <c r="H2764" s="56">
        <v>1.4902768808448565E-2</v>
      </c>
      <c r="I2764" s="224" t="s">
        <v>2</v>
      </c>
    </row>
    <row r="2765" spans="1:9" x14ac:dyDescent="0.25">
      <c r="A2765" s="515">
        <v>6614</v>
      </c>
      <c r="B2765" s="515" t="s">
        <v>1173</v>
      </c>
      <c r="C2765" s="52">
        <v>373647.60430669499</v>
      </c>
      <c r="D2765" s="56">
        <v>8.8220629538840092E-2</v>
      </c>
      <c r="E2765" s="224" t="s">
        <v>2</v>
      </c>
      <c r="F2765" s="515" t="s">
        <v>4225</v>
      </c>
      <c r="G2765" s="52">
        <v>501500.42556090798</v>
      </c>
      <c r="H2765" s="56">
        <v>8.1907121230050173E-2</v>
      </c>
      <c r="I2765" s="224" t="s">
        <v>2</v>
      </c>
    </row>
    <row r="2766" spans="1:9" x14ac:dyDescent="0.25">
      <c r="A2766" s="515">
        <v>44266</v>
      </c>
      <c r="B2766" s="515" t="s">
        <v>1000</v>
      </c>
      <c r="C2766" s="52">
        <v>178836.89991152001</v>
      </c>
      <c r="D2766" s="56">
        <v>8.3558033514629065E-2</v>
      </c>
      <c r="E2766" s="224">
        <v>725</v>
      </c>
      <c r="F2766" s="515" t="s">
        <v>4226</v>
      </c>
      <c r="G2766" s="52">
        <v>327901.82180139399</v>
      </c>
      <c r="H2766" s="56">
        <v>5.0190886687266748E-2</v>
      </c>
      <c r="I2766" s="224">
        <v>1397.9206349206299</v>
      </c>
    </row>
    <row r="2767" spans="1:9" x14ac:dyDescent="0.25">
      <c r="A2767" s="515">
        <v>15235</v>
      </c>
      <c r="B2767" s="515" t="s">
        <v>297</v>
      </c>
      <c r="C2767" s="52">
        <v>153856.81167898301</v>
      </c>
      <c r="D2767" s="56">
        <v>7.7833739243990133E-2</v>
      </c>
      <c r="E2767" s="224">
        <v>1370.2777777777701</v>
      </c>
      <c r="F2767" s="515" t="s">
        <v>4227</v>
      </c>
      <c r="G2767" s="52">
        <v>214006.08767543299</v>
      </c>
      <c r="H2767" s="56">
        <v>0.10153285072064981</v>
      </c>
      <c r="I2767" s="224" t="s">
        <v>2</v>
      </c>
    </row>
    <row r="2768" spans="1:9" x14ac:dyDescent="0.25">
      <c r="A2768" s="515">
        <v>48042</v>
      </c>
      <c r="B2768" s="515" t="s">
        <v>685</v>
      </c>
      <c r="C2768" s="52">
        <v>388437.68277203297</v>
      </c>
      <c r="D2768" s="56">
        <v>5.6085947630495236E-2</v>
      </c>
      <c r="E2768" s="224">
        <v>1819.8333333333301</v>
      </c>
      <c r="F2768" s="515" t="s">
        <v>4228</v>
      </c>
      <c r="G2768" s="52">
        <v>285384.78299326199</v>
      </c>
      <c r="H2768" s="56">
        <v>0.16416481640277453</v>
      </c>
      <c r="I2768" s="224" t="s">
        <v>2</v>
      </c>
    </row>
    <row r="2769" spans="1:9" x14ac:dyDescent="0.25">
      <c r="A2769" s="515">
        <v>79761</v>
      </c>
      <c r="B2769" s="515" t="s">
        <v>1001</v>
      </c>
      <c r="C2769" s="52">
        <v>155720.39658216701</v>
      </c>
      <c r="D2769" s="56">
        <v>-2.7147499110403501E-2</v>
      </c>
      <c r="E2769" s="224">
        <v>1048.9166666666599</v>
      </c>
      <c r="F2769" s="515" t="s">
        <v>4229</v>
      </c>
      <c r="G2769" s="52">
        <v>816213.56490587397</v>
      </c>
      <c r="H2769" s="56">
        <v>6.8184199640462198E-2</v>
      </c>
      <c r="I2769" s="224" t="s">
        <v>2</v>
      </c>
    </row>
    <row r="2770" spans="1:9" x14ac:dyDescent="0.25">
      <c r="A2770" s="515">
        <v>91206</v>
      </c>
      <c r="B2770" s="515" t="s">
        <v>375</v>
      </c>
      <c r="C2770" s="52">
        <v>1025370.81754975</v>
      </c>
      <c r="D2770" s="56">
        <v>5.3273816386153958E-2</v>
      </c>
      <c r="E2770" s="224">
        <v>2638.3333333333298</v>
      </c>
      <c r="F2770" s="515" t="s">
        <v>4230</v>
      </c>
      <c r="G2770" s="52">
        <v>639665.06431536796</v>
      </c>
      <c r="H2770" s="56">
        <v>1.6984468277851609E-2</v>
      </c>
      <c r="I2770" s="224" t="s">
        <v>2</v>
      </c>
    </row>
    <row r="2771" spans="1:9" x14ac:dyDescent="0.25">
      <c r="A2771" s="515">
        <v>80241</v>
      </c>
      <c r="B2771" s="515" t="s">
        <v>401</v>
      </c>
      <c r="C2771" s="52">
        <v>524104.613456138</v>
      </c>
      <c r="D2771" s="56">
        <v>2.6969415976397328E-2</v>
      </c>
      <c r="E2771" s="224">
        <v>1971.9191553544399</v>
      </c>
      <c r="F2771" s="515" t="s">
        <v>4231</v>
      </c>
      <c r="G2771" s="52">
        <v>569213.728331291</v>
      </c>
      <c r="H2771" s="56">
        <v>5.1387880414100695E-2</v>
      </c>
      <c r="I2771" s="224" t="s">
        <v>2</v>
      </c>
    </row>
    <row r="2772" spans="1:9" x14ac:dyDescent="0.25">
      <c r="A2772" s="515">
        <v>44039</v>
      </c>
      <c r="B2772" s="515" t="s">
        <v>520</v>
      </c>
      <c r="C2772" s="52">
        <v>273560.136000689</v>
      </c>
      <c r="D2772" s="56">
        <v>6.4128022058984033E-2</v>
      </c>
      <c r="E2772" s="224">
        <v>1815</v>
      </c>
      <c r="F2772" s="515" t="s">
        <v>4232</v>
      </c>
      <c r="G2772" s="52">
        <v>274563.66513262002</v>
      </c>
      <c r="H2772" s="56">
        <v>7.4451603792444879E-2</v>
      </c>
      <c r="I2772" s="224">
        <v>1277.19444444444</v>
      </c>
    </row>
    <row r="2773" spans="1:9" x14ac:dyDescent="0.25">
      <c r="A2773" s="515">
        <v>78634</v>
      </c>
      <c r="B2773" s="515" t="s">
        <v>380</v>
      </c>
      <c r="C2773" s="52">
        <v>371242.45402774803</v>
      </c>
      <c r="D2773" s="56">
        <v>4.6655907172210818E-2</v>
      </c>
      <c r="E2773" s="224">
        <v>1981.1416666666601</v>
      </c>
      <c r="F2773" s="515" t="s">
        <v>4233</v>
      </c>
      <c r="G2773" s="52">
        <v>198519.203546237</v>
      </c>
      <c r="H2773" s="56">
        <v>0.1661770562800311</v>
      </c>
      <c r="I2773" s="224">
        <v>1260.63333333333</v>
      </c>
    </row>
    <row r="2774" spans="1:9" x14ac:dyDescent="0.25">
      <c r="A2774" s="515">
        <v>19901</v>
      </c>
      <c r="B2774" s="515" t="s">
        <v>410</v>
      </c>
      <c r="C2774" s="52">
        <v>282500.73110202502</v>
      </c>
      <c r="D2774" s="56">
        <v>9.8407717573086806E-2</v>
      </c>
      <c r="E2774" s="224">
        <v>1425.55555555555</v>
      </c>
      <c r="F2774" s="515" t="s">
        <v>4234</v>
      </c>
      <c r="G2774" s="52">
        <v>870803.45164897095</v>
      </c>
      <c r="H2774" s="56">
        <v>5.8850750392739806E-2</v>
      </c>
      <c r="I2774" s="224" t="s">
        <v>2</v>
      </c>
    </row>
    <row r="2775" spans="1:9" x14ac:dyDescent="0.25">
      <c r="A2775" s="515">
        <v>49548</v>
      </c>
      <c r="B2775" s="515" t="s">
        <v>631</v>
      </c>
      <c r="C2775" s="52">
        <v>208614.737418504</v>
      </c>
      <c r="D2775" s="56">
        <v>6.4517434728027456E-2</v>
      </c>
      <c r="E2775" s="224">
        <v>1420.8333333333301</v>
      </c>
      <c r="F2775" s="515" t="s">
        <v>1083</v>
      </c>
      <c r="G2775" s="52">
        <v>172870.06296733799</v>
      </c>
      <c r="H2775" s="56">
        <v>5.1560261714020082E-2</v>
      </c>
      <c r="I2775" s="224" t="s">
        <v>2</v>
      </c>
    </row>
    <row r="2776" spans="1:9" x14ac:dyDescent="0.25">
      <c r="A2776" s="515">
        <v>43221</v>
      </c>
      <c r="B2776" s="515" t="s">
        <v>345</v>
      </c>
      <c r="C2776" s="52">
        <v>404921.844356752</v>
      </c>
      <c r="D2776" s="56">
        <v>7.098313474752159E-2</v>
      </c>
      <c r="E2776" s="224">
        <v>2025.2777777777701</v>
      </c>
      <c r="F2776" s="515" t="s">
        <v>4235</v>
      </c>
      <c r="G2776" s="52">
        <v>396357.60998758202</v>
      </c>
      <c r="H2776" s="56">
        <v>5.3935738800451764E-2</v>
      </c>
      <c r="I2776" s="224">
        <v>2272</v>
      </c>
    </row>
    <row r="2777" spans="1:9" x14ac:dyDescent="0.25">
      <c r="A2777" s="515">
        <v>35216</v>
      </c>
      <c r="B2777" s="515" t="s">
        <v>640</v>
      </c>
      <c r="C2777" s="52">
        <v>367912.54230769002</v>
      </c>
      <c r="D2777" s="56">
        <v>7.0441956308867265E-2</v>
      </c>
      <c r="E2777" s="224">
        <v>1460.8333333333301</v>
      </c>
      <c r="F2777" s="515" t="s">
        <v>4236</v>
      </c>
      <c r="G2777" s="52">
        <v>572362.60527155595</v>
      </c>
      <c r="H2777" s="56">
        <v>1.54320600647952E-2</v>
      </c>
      <c r="I2777" s="224">
        <v>2470</v>
      </c>
    </row>
    <row r="2778" spans="1:9" x14ac:dyDescent="0.25">
      <c r="A2778" s="515">
        <v>28677</v>
      </c>
      <c r="B2778" s="515" t="s">
        <v>360</v>
      </c>
      <c r="C2778" s="52">
        <v>241969.35838857901</v>
      </c>
      <c r="D2778" s="56">
        <v>0.13345489713460468</v>
      </c>
      <c r="E2778" s="224">
        <v>1713.6111111111099</v>
      </c>
      <c r="F2778" s="515" t="s">
        <v>4237</v>
      </c>
      <c r="G2778" s="52">
        <v>444561.832877348</v>
      </c>
      <c r="H2778" s="56">
        <v>1.2152403610302634E-2</v>
      </c>
      <c r="I2778" s="224">
        <v>2195</v>
      </c>
    </row>
    <row r="2779" spans="1:9" x14ac:dyDescent="0.25">
      <c r="A2779" s="515">
        <v>2131</v>
      </c>
      <c r="B2779" s="515" t="s">
        <v>534</v>
      </c>
      <c r="C2779" s="52">
        <v>609783.65354245994</v>
      </c>
      <c r="D2779" s="56">
        <v>2.2028735261481983E-2</v>
      </c>
      <c r="E2779" s="224">
        <v>2606.2619047619</v>
      </c>
      <c r="F2779" s="515" t="s">
        <v>4238</v>
      </c>
      <c r="G2779" s="52">
        <v>405640.82083024998</v>
      </c>
      <c r="H2779" s="56">
        <v>5.2394857862423337E-2</v>
      </c>
      <c r="I2779" s="224">
        <v>1876.6666666666599</v>
      </c>
    </row>
    <row r="2780" spans="1:9" x14ac:dyDescent="0.25">
      <c r="A2780" s="515">
        <v>3301</v>
      </c>
      <c r="B2780" s="515" t="s">
        <v>981</v>
      </c>
      <c r="C2780" s="52">
        <v>365859.553642713</v>
      </c>
      <c r="D2780" s="56">
        <v>9.5580552888507253E-2</v>
      </c>
      <c r="E2780" s="224" t="s">
        <v>2</v>
      </c>
      <c r="F2780" s="515" t="s">
        <v>4239</v>
      </c>
      <c r="G2780" s="52">
        <v>301986.30913936603</v>
      </c>
      <c r="H2780" s="56">
        <v>8.0589553198234243E-2</v>
      </c>
      <c r="I2780" s="224" t="s">
        <v>2</v>
      </c>
    </row>
    <row r="2781" spans="1:9" x14ac:dyDescent="0.25">
      <c r="A2781" s="515">
        <v>61401</v>
      </c>
      <c r="B2781" s="515" t="s">
        <v>339</v>
      </c>
      <c r="C2781" s="52">
        <v>78702.014356433006</v>
      </c>
      <c r="D2781" s="56">
        <v>1.6090423212773691E-2</v>
      </c>
      <c r="E2781" s="224" t="s">
        <v>2</v>
      </c>
      <c r="F2781" s="515" t="s">
        <v>4240</v>
      </c>
      <c r="G2781" s="52">
        <v>354834.25553818699</v>
      </c>
      <c r="H2781" s="56">
        <v>8.6522003105379802E-2</v>
      </c>
      <c r="I2781" s="224">
        <v>1919.75</v>
      </c>
    </row>
    <row r="2782" spans="1:9" x14ac:dyDescent="0.25">
      <c r="A2782" s="515">
        <v>77530</v>
      </c>
      <c r="B2782" s="515" t="s">
        <v>314</v>
      </c>
      <c r="C2782" s="52">
        <v>206514.024110956</v>
      </c>
      <c r="D2782" s="56">
        <v>0.11977681485571391</v>
      </c>
      <c r="E2782" s="224" t="s">
        <v>2</v>
      </c>
      <c r="F2782" s="515" t="s">
        <v>4241</v>
      </c>
      <c r="G2782" s="52">
        <v>219527.52833691399</v>
      </c>
      <c r="H2782" s="56">
        <v>7.9596310713085483E-2</v>
      </c>
      <c r="I2782" s="224" t="s">
        <v>2</v>
      </c>
    </row>
    <row r="2783" spans="1:9" x14ac:dyDescent="0.25">
      <c r="A2783" s="515">
        <v>19087</v>
      </c>
      <c r="B2783" s="515" t="s">
        <v>294</v>
      </c>
      <c r="C2783" s="52">
        <v>669713.54577977001</v>
      </c>
      <c r="D2783" s="56">
        <v>8.3338092464095709E-2</v>
      </c>
      <c r="E2783" s="224">
        <v>2179.5833333333298</v>
      </c>
      <c r="F2783" s="515" t="s">
        <v>4242</v>
      </c>
      <c r="G2783" s="52">
        <v>386951.68529360899</v>
      </c>
      <c r="H2783" s="56">
        <v>8.4532608066657619E-2</v>
      </c>
      <c r="I2783" s="224">
        <v>2021.75</v>
      </c>
    </row>
    <row r="2784" spans="1:9" x14ac:dyDescent="0.25">
      <c r="A2784" s="515">
        <v>90504</v>
      </c>
      <c r="B2784" s="515" t="s">
        <v>375</v>
      </c>
      <c r="C2784" s="52">
        <v>917463.33739276102</v>
      </c>
      <c r="D2784" s="56">
        <v>7.081249747816333E-2</v>
      </c>
      <c r="E2784" s="224">
        <v>2639.6666666666601</v>
      </c>
      <c r="F2784" s="515" t="s">
        <v>4243</v>
      </c>
      <c r="G2784" s="52">
        <v>240178.82439303101</v>
      </c>
      <c r="H2784" s="56">
        <v>0.1401174331595289</v>
      </c>
      <c r="I2784" s="224" t="s">
        <v>2</v>
      </c>
    </row>
    <row r="2785" spans="1:9" x14ac:dyDescent="0.25">
      <c r="A2785" s="515">
        <v>27511</v>
      </c>
      <c r="B2785" s="515" t="s">
        <v>484</v>
      </c>
      <c r="C2785" s="52">
        <v>438330.23075153801</v>
      </c>
      <c r="D2785" s="56">
        <v>6.9110931904751205E-2</v>
      </c>
      <c r="E2785" s="224">
        <v>1664.7277777777699</v>
      </c>
      <c r="F2785" s="515" t="s">
        <v>4244</v>
      </c>
      <c r="G2785" s="52">
        <v>414352.34514269</v>
      </c>
      <c r="H2785" s="56">
        <v>0.10799621928942837</v>
      </c>
      <c r="I2785" s="224">
        <v>1758.3333333333301</v>
      </c>
    </row>
    <row r="2786" spans="1:9" x14ac:dyDescent="0.25">
      <c r="A2786" s="515">
        <v>97224</v>
      </c>
      <c r="B2786" s="515" t="s">
        <v>659</v>
      </c>
      <c r="C2786" s="52">
        <v>590341.80225499906</v>
      </c>
      <c r="D2786" s="56">
        <v>4.1750724023584318E-2</v>
      </c>
      <c r="E2786" s="224">
        <v>1901.4814814814799</v>
      </c>
      <c r="F2786" s="515" t="s">
        <v>4245</v>
      </c>
      <c r="G2786" s="52">
        <v>404885.684759825</v>
      </c>
      <c r="H2786" s="56">
        <v>4.8956774423667949E-2</v>
      </c>
      <c r="I2786" s="224" t="s">
        <v>2</v>
      </c>
    </row>
    <row r="2787" spans="1:9" x14ac:dyDescent="0.25">
      <c r="A2787" s="515">
        <v>77803</v>
      </c>
      <c r="B2787" s="515" t="s">
        <v>346</v>
      </c>
      <c r="C2787" s="52">
        <v>176810.918491772</v>
      </c>
      <c r="D2787" s="56">
        <v>0.1335002824786376</v>
      </c>
      <c r="E2787" s="224">
        <v>1086.1111111111099</v>
      </c>
      <c r="F2787" s="515" t="s">
        <v>4246</v>
      </c>
      <c r="G2787" s="52">
        <v>731330.264637082</v>
      </c>
      <c r="H2787" s="56">
        <v>6.7407731120879957E-2</v>
      </c>
      <c r="I2787" s="224">
        <v>2117.2916666666601</v>
      </c>
    </row>
    <row r="2788" spans="1:9" x14ac:dyDescent="0.25">
      <c r="A2788" s="515">
        <v>53703</v>
      </c>
      <c r="B2788" s="515" t="s">
        <v>727</v>
      </c>
      <c r="C2788" s="52">
        <v>436996.62781554001</v>
      </c>
      <c r="D2788" s="56">
        <v>7.4217794090076242E-2</v>
      </c>
      <c r="E2788" s="224">
        <v>1375.83851333851</v>
      </c>
      <c r="F2788" s="515" t="s">
        <v>4247</v>
      </c>
      <c r="G2788" s="52">
        <v>298372.92166669498</v>
      </c>
      <c r="H2788" s="56">
        <v>5.8782871525601348E-2</v>
      </c>
      <c r="I2788" s="224" t="s">
        <v>2</v>
      </c>
    </row>
    <row r="2789" spans="1:9" x14ac:dyDescent="0.25">
      <c r="A2789" s="515">
        <v>31210</v>
      </c>
      <c r="B2789" s="515" t="s">
        <v>995</v>
      </c>
      <c r="C2789" s="52">
        <v>256188.37138319801</v>
      </c>
      <c r="D2789" s="56">
        <v>0.11277653588164258</v>
      </c>
      <c r="E2789" s="224">
        <v>1114</v>
      </c>
      <c r="F2789" s="515" t="s">
        <v>4248</v>
      </c>
      <c r="G2789" s="52">
        <v>550897.49045035604</v>
      </c>
      <c r="H2789" s="56">
        <v>3.2736704936323933E-2</v>
      </c>
      <c r="I2789" s="224">
        <v>2023.75</v>
      </c>
    </row>
    <row r="2790" spans="1:9" x14ac:dyDescent="0.25">
      <c r="A2790" s="515">
        <v>67846</v>
      </c>
      <c r="B2790" s="515" t="s">
        <v>855</v>
      </c>
      <c r="C2790" s="52">
        <v>220369.09381930699</v>
      </c>
      <c r="D2790" s="56">
        <v>4.9761317038488288E-2</v>
      </c>
      <c r="E2790" s="224" t="s">
        <v>2</v>
      </c>
      <c r="F2790" s="515" t="s">
        <v>1211</v>
      </c>
      <c r="G2790" s="52">
        <v>82526.222648643103</v>
      </c>
      <c r="H2790" s="56">
        <v>9.3613773202878739E-2</v>
      </c>
      <c r="I2790" s="224" t="s">
        <v>2</v>
      </c>
    </row>
    <row r="2791" spans="1:9" x14ac:dyDescent="0.25">
      <c r="A2791" s="515">
        <v>93618</v>
      </c>
      <c r="B2791" s="515" t="s">
        <v>358</v>
      </c>
      <c r="C2791" s="52">
        <v>306891.878984357</v>
      </c>
      <c r="D2791" s="56">
        <v>6.3813952253065478E-2</v>
      </c>
      <c r="E2791" s="224" t="s">
        <v>2</v>
      </c>
      <c r="F2791" s="515" t="s">
        <v>4249</v>
      </c>
      <c r="G2791" s="52">
        <v>430583.86442586302</v>
      </c>
      <c r="H2791" s="56">
        <v>1.7633001413652642E-2</v>
      </c>
      <c r="I2791" s="224" t="s">
        <v>2</v>
      </c>
    </row>
    <row r="2792" spans="1:9" x14ac:dyDescent="0.25">
      <c r="A2792" s="515">
        <v>98926</v>
      </c>
      <c r="B2792" s="515" t="s">
        <v>473</v>
      </c>
      <c r="C2792" s="52">
        <v>437388.81256952003</v>
      </c>
      <c r="D2792" s="56">
        <v>6.9022744862595659E-2</v>
      </c>
      <c r="E2792" s="224">
        <v>1617.2222222222199</v>
      </c>
      <c r="F2792" s="515" t="s">
        <v>1041</v>
      </c>
      <c r="G2792" s="52">
        <v>115656.565396066</v>
      </c>
      <c r="H2792" s="56">
        <v>0.13860041249879609</v>
      </c>
      <c r="I2792" s="224" t="s">
        <v>2</v>
      </c>
    </row>
    <row r="2793" spans="1:9" x14ac:dyDescent="0.25">
      <c r="A2793" s="515">
        <v>55408</v>
      </c>
      <c r="B2793" s="515" t="s">
        <v>532</v>
      </c>
      <c r="C2793" s="52">
        <v>292603.05785445601</v>
      </c>
      <c r="D2793" s="56">
        <v>-1.2837786575175394E-2</v>
      </c>
      <c r="E2793" s="224">
        <v>1479.2237547892701</v>
      </c>
      <c r="F2793" s="515" t="s">
        <v>4250</v>
      </c>
      <c r="G2793" s="52">
        <v>405253.19458066003</v>
      </c>
      <c r="H2793" s="56">
        <v>7.6561357336894106E-2</v>
      </c>
      <c r="I2793" s="224" t="s">
        <v>2</v>
      </c>
    </row>
    <row r="2794" spans="1:9" x14ac:dyDescent="0.25">
      <c r="A2794" s="515">
        <v>46544</v>
      </c>
      <c r="B2794" s="515" t="s">
        <v>1002</v>
      </c>
      <c r="C2794" s="52">
        <v>168106.66916055599</v>
      </c>
      <c r="D2794" s="56">
        <v>8.9762498951872549E-2</v>
      </c>
      <c r="E2794" s="224">
        <v>1147.5</v>
      </c>
      <c r="F2794" s="515" t="s">
        <v>4251</v>
      </c>
      <c r="G2794" s="52">
        <v>320902.78424319002</v>
      </c>
      <c r="H2794" s="56">
        <v>5.1827739746863839E-2</v>
      </c>
      <c r="I2794" s="224" t="s">
        <v>2</v>
      </c>
    </row>
    <row r="2795" spans="1:9" x14ac:dyDescent="0.25">
      <c r="A2795" s="515">
        <v>33156</v>
      </c>
      <c r="B2795" s="515" t="s">
        <v>831</v>
      </c>
      <c r="C2795" s="52">
        <v>1247209.8923613101</v>
      </c>
      <c r="D2795" s="56">
        <v>0.26963208825309432</v>
      </c>
      <c r="E2795" s="224">
        <v>2953.7083333333298</v>
      </c>
      <c r="F2795" s="515" t="s">
        <v>4252</v>
      </c>
      <c r="G2795" s="52">
        <v>178492.76113130199</v>
      </c>
      <c r="H2795" s="56">
        <v>8.544409649509313E-2</v>
      </c>
      <c r="I2795" s="224" t="s">
        <v>2</v>
      </c>
    </row>
    <row r="2796" spans="1:9" x14ac:dyDescent="0.25">
      <c r="A2796" s="515">
        <v>91754</v>
      </c>
      <c r="B2796" s="515" t="s">
        <v>375</v>
      </c>
      <c r="C2796" s="52">
        <v>845713.32951508102</v>
      </c>
      <c r="D2796" s="56">
        <v>6.221424837613139E-2</v>
      </c>
      <c r="E2796" s="224">
        <v>2347.5</v>
      </c>
      <c r="F2796" s="515" t="s">
        <v>756</v>
      </c>
      <c r="G2796" s="52">
        <v>110918.24675247</v>
      </c>
      <c r="H2796" s="56">
        <v>7.584447114055079E-2</v>
      </c>
      <c r="I2796" s="224" t="s">
        <v>2</v>
      </c>
    </row>
    <row r="2797" spans="1:9" x14ac:dyDescent="0.25">
      <c r="A2797" s="515">
        <v>23831</v>
      </c>
      <c r="B2797" s="515" t="s">
        <v>667</v>
      </c>
      <c r="C2797" s="52">
        <v>331533.55543848302</v>
      </c>
      <c r="D2797" s="56">
        <v>8.6034689203340065E-2</v>
      </c>
      <c r="E2797" s="224">
        <v>1663.44285714285</v>
      </c>
      <c r="F2797" s="515" t="s">
        <v>4253</v>
      </c>
      <c r="G2797" s="52">
        <v>312626.21325496002</v>
      </c>
      <c r="H2797" s="56">
        <v>9.3115920992224446E-2</v>
      </c>
      <c r="I2797" s="224" t="s">
        <v>2</v>
      </c>
    </row>
    <row r="2798" spans="1:9" x14ac:dyDescent="0.25">
      <c r="A2798" s="515">
        <v>89521</v>
      </c>
      <c r="B2798" s="515" t="s">
        <v>581</v>
      </c>
      <c r="C2798" s="52">
        <v>615283.81224586896</v>
      </c>
      <c r="D2798" s="56">
        <v>-9.9656554735206623E-3</v>
      </c>
      <c r="E2798" s="224">
        <v>2335.1007834757802</v>
      </c>
      <c r="F2798" s="515" t="s">
        <v>4254</v>
      </c>
      <c r="G2798" s="52">
        <v>300907.08031918301</v>
      </c>
      <c r="H2798" s="56">
        <v>9.0832106475086105E-2</v>
      </c>
      <c r="I2798" s="224" t="s">
        <v>2</v>
      </c>
    </row>
    <row r="2799" spans="1:9" x14ac:dyDescent="0.25">
      <c r="A2799" s="515">
        <v>95682</v>
      </c>
      <c r="B2799" s="515" t="s">
        <v>355</v>
      </c>
      <c r="C2799" s="52">
        <v>616919.14261248196</v>
      </c>
      <c r="D2799" s="56">
        <v>-2.0693590493106442E-2</v>
      </c>
      <c r="E2799" s="224">
        <v>2449.1666666666601</v>
      </c>
      <c r="F2799" s="515" t="s">
        <v>4255</v>
      </c>
      <c r="G2799" s="52">
        <v>622472.69642331998</v>
      </c>
      <c r="H2799" s="56">
        <v>5.5006635643562403E-2</v>
      </c>
      <c r="I2799" s="224" t="s">
        <v>2</v>
      </c>
    </row>
    <row r="2800" spans="1:9" x14ac:dyDescent="0.25">
      <c r="A2800" s="515">
        <v>71107</v>
      </c>
      <c r="B2800" s="515" t="s">
        <v>739</v>
      </c>
      <c r="C2800" s="52">
        <v>114198.09493020301</v>
      </c>
      <c r="D2800" s="56">
        <v>6.1183716832914584E-2</v>
      </c>
      <c r="E2800" s="224" t="s">
        <v>2</v>
      </c>
      <c r="F2800" s="515" t="s">
        <v>4256</v>
      </c>
      <c r="G2800" s="52">
        <v>149513.38109278699</v>
      </c>
      <c r="H2800" s="56">
        <v>3.3470213119035759E-2</v>
      </c>
      <c r="I2800" s="224" t="s">
        <v>2</v>
      </c>
    </row>
    <row r="2801" spans="1:9" x14ac:dyDescent="0.25">
      <c r="A2801" s="515">
        <v>78516</v>
      </c>
      <c r="B2801" s="515" t="s">
        <v>550</v>
      </c>
      <c r="C2801" s="52">
        <v>136524.099282704</v>
      </c>
      <c r="D2801" s="56">
        <v>0.14904273388073289</v>
      </c>
      <c r="E2801" s="224" t="s">
        <v>2</v>
      </c>
      <c r="F2801" s="515" t="s">
        <v>4257</v>
      </c>
      <c r="G2801" s="52">
        <v>342805.76361791702</v>
      </c>
      <c r="H2801" s="56">
        <v>5.9087985538703661E-2</v>
      </c>
      <c r="I2801" s="224" t="s">
        <v>2</v>
      </c>
    </row>
    <row r="2802" spans="1:9" x14ac:dyDescent="0.25">
      <c r="A2802" s="515">
        <v>32578</v>
      </c>
      <c r="B2802" s="515" t="s">
        <v>1078</v>
      </c>
      <c r="C2802" s="52">
        <v>428134.41016776802</v>
      </c>
      <c r="D2802" s="56">
        <v>7.8875826598506713E-2</v>
      </c>
      <c r="E2802" s="224">
        <v>2063.0555555555502</v>
      </c>
      <c r="F2802" s="515" t="s">
        <v>4258</v>
      </c>
      <c r="G2802" s="52">
        <v>306647.51893278299</v>
      </c>
      <c r="H2802" s="56">
        <v>0.1104645712473578</v>
      </c>
      <c r="I2802" s="224">
        <v>1937.8333333333301</v>
      </c>
    </row>
    <row r="2803" spans="1:9" x14ac:dyDescent="0.25">
      <c r="A2803" s="515">
        <v>55433</v>
      </c>
      <c r="B2803" s="515" t="s">
        <v>532</v>
      </c>
      <c r="C2803" s="52">
        <v>283840.16148112703</v>
      </c>
      <c r="D2803" s="56">
        <v>1.5182042675822415E-2</v>
      </c>
      <c r="E2803" s="224">
        <v>1326.5</v>
      </c>
      <c r="F2803" s="515" t="s">
        <v>4259</v>
      </c>
      <c r="G2803" s="52">
        <v>160432.46818209899</v>
      </c>
      <c r="H2803" s="56">
        <v>3.5654497106328967E-2</v>
      </c>
      <c r="I2803" s="224" t="s">
        <v>2</v>
      </c>
    </row>
    <row r="2804" spans="1:9" x14ac:dyDescent="0.25">
      <c r="A2804" s="515">
        <v>84009</v>
      </c>
      <c r="B2804" s="515" t="s">
        <v>617</v>
      </c>
      <c r="C2804" s="52">
        <v>585408.24816507497</v>
      </c>
      <c r="D2804" s="56">
        <v>1.6078340216252929E-2</v>
      </c>
      <c r="E2804" s="224">
        <v>2140.86666666666</v>
      </c>
      <c r="F2804" s="515" t="s">
        <v>4260</v>
      </c>
      <c r="G2804" s="52">
        <v>177183.96904878301</v>
      </c>
      <c r="H2804" s="56">
        <v>7.6525182088752919E-2</v>
      </c>
      <c r="I2804" s="224" t="s">
        <v>2</v>
      </c>
    </row>
    <row r="2805" spans="1:9" x14ac:dyDescent="0.25">
      <c r="A2805" s="515">
        <v>62025</v>
      </c>
      <c r="B2805" s="515" t="s">
        <v>498</v>
      </c>
      <c r="C2805" s="52">
        <v>272976.06933424802</v>
      </c>
      <c r="D2805" s="56">
        <v>7.9914924184860736E-2</v>
      </c>
      <c r="E2805" s="224">
        <v>1599.1666666666599</v>
      </c>
      <c r="F2805" s="515" t="s">
        <v>4261</v>
      </c>
      <c r="G2805" s="52">
        <v>410869.75516536698</v>
      </c>
      <c r="H2805" s="56">
        <v>7.5889891800702464E-2</v>
      </c>
      <c r="I2805" s="224" t="s">
        <v>2</v>
      </c>
    </row>
    <row r="2806" spans="1:9" x14ac:dyDescent="0.25">
      <c r="A2806" s="515">
        <v>33756</v>
      </c>
      <c r="B2806" s="515" t="s">
        <v>461</v>
      </c>
      <c r="C2806" s="52">
        <v>349196.50981348997</v>
      </c>
      <c r="D2806" s="56">
        <v>0.10882385833999821</v>
      </c>
      <c r="E2806" s="224">
        <v>1826.37037037037</v>
      </c>
      <c r="F2806" s="515" t="s">
        <v>936</v>
      </c>
      <c r="G2806" s="52">
        <v>136786.675791877</v>
      </c>
      <c r="H2806" s="56">
        <v>5.698803412290971E-2</v>
      </c>
      <c r="I2806" s="224" t="s">
        <v>2</v>
      </c>
    </row>
    <row r="2807" spans="1:9" x14ac:dyDescent="0.25">
      <c r="A2807" s="515">
        <v>83607</v>
      </c>
      <c r="B2807" s="515" t="s">
        <v>500</v>
      </c>
      <c r="C2807" s="52">
        <v>407308.63340945297</v>
      </c>
      <c r="D2807" s="56">
        <v>-1.5474908781942558E-2</v>
      </c>
      <c r="E2807" s="224">
        <v>1625</v>
      </c>
      <c r="F2807" s="515" t="s">
        <v>4262</v>
      </c>
      <c r="G2807" s="52">
        <v>276882.06868914701</v>
      </c>
      <c r="H2807" s="56">
        <v>9.23775353167966E-2</v>
      </c>
      <c r="I2807" s="224" t="s">
        <v>2</v>
      </c>
    </row>
    <row r="2808" spans="1:9" x14ac:dyDescent="0.25">
      <c r="A2808" s="515">
        <v>76001</v>
      </c>
      <c r="B2808" s="515" t="s">
        <v>458</v>
      </c>
      <c r="C2808" s="52">
        <v>348407.36500603199</v>
      </c>
      <c r="D2808" s="56">
        <v>7.3448676435864044E-2</v>
      </c>
      <c r="E2808" s="224">
        <v>2051.7777777777701</v>
      </c>
      <c r="F2808" s="515" t="s">
        <v>4263</v>
      </c>
      <c r="G2808" s="52">
        <v>402406.33285256498</v>
      </c>
      <c r="H2808" s="56">
        <v>1.4127219132189089E-2</v>
      </c>
      <c r="I2808" s="224" t="s">
        <v>2</v>
      </c>
    </row>
    <row r="2809" spans="1:9" x14ac:dyDescent="0.25">
      <c r="A2809" s="515">
        <v>85741</v>
      </c>
      <c r="B2809" s="515" t="s">
        <v>368</v>
      </c>
      <c r="C2809" s="52">
        <v>309404.31214618997</v>
      </c>
      <c r="D2809" s="56">
        <v>6.2519951917062638E-2</v>
      </c>
      <c r="E2809" s="224">
        <v>1586.3328523328501</v>
      </c>
      <c r="F2809" s="515" t="s">
        <v>4264</v>
      </c>
      <c r="G2809" s="52">
        <v>101876.66651444499</v>
      </c>
      <c r="H2809" s="56">
        <v>-1.7194699789941131E-2</v>
      </c>
      <c r="I2809" s="224" t="s">
        <v>2</v>
      </c>
    </row>
    <row r="2810" spans="1:9" x14ac:dyDescent="0.25">
      <c r="A2810" s="515">
        <v>98312</v>
      </c>
      <c r="B2810" s="515" t="s">
        <v>620</v>
      </c>
      <c r="C2810" s="52">
        <v>438248.10329732002</v>
      </c>
      <c r="D2810" s="56">
        <v>1.3862313556397719E-2</v>
      </c>
      <c r="E2810" s="224">
        <v>1860.81481481481</v>
      </c>
      <c r="F2810" s="515" t="s">
        <v>4265</v>
      </c>
      <c r="G2810" s="52">
        <v>128596.323742083</v>
      </c>
      <c r="H2810" s="56">
        <v>0.17551862450248262</v>
      </c>
      <c r="I2810" s="224">
        <v>1059.0476190476099</v>
      </c>
    </row>
    <row r="2811" spans="1:9" x14ac:dyDescent="0.25">
      <c r="A2811" s="515">
        <v>73112</v>
      </c>
      <c r="B2811" s="515" t="s">
        <v>385</v>
      </c>
      <c r="C2811" s="52">
        <v>175837.20253054201</v>
      </c>
      <c r="D2811" s="56">
        <v>0.11747556410329386</v>
      </c>
      <c r="E2811" s="224">
        <v>1205.25396825396</v>
      </c>
      <c r="F2811" s="515" t="s">
        <v>4266</v>
      </c>
      <c r="G2811" s="52">
        <v>284002.13343745703</v>
      </c>
      <c r="H2811" s="56">
        <v>0.11436169998093466</v>
      </c>
      <c r="I2811" s="224">
        <v>1647.5</v>
      </c>
    </row>
    <row r="2812" spans="1:9" x14ac:dyDescent="0.25">
      <c r="A2812" s="515">
        <v>91107</v>
      </c>
      <c r="B2812" s="515" t="s">
        <v>375</v>
      </c>
      <c r="C2812" s="52">
        <v>1156880.94885072</v>
      </c>
      <c r="D2812" s="56">
        <v>4.6616674741269522E-2</v>
      </c>
      <c r="E2812" s="224">
        <v>2914.36507936507</v>
      </c>
      <c r="F2812" s="515" t="s">
        <v>1165</v>
      </c>
      <c r="G2812" s="52">
        <v>185601.72260951699</v>
      </c>
      <c r="H2812" s="56">
        <v>0.1378938464813729</v>
      </c>
      <c r="I2812" s="224" t="s">
        <v>2</v>
      </c>
    </row>
    <row r="2813" spans="1:9" x14ac:dyDescent="0.25">
      <c r="A2813" s="515">
        <v>33013</v>
      </c>
      <c r="B2813" s="515" t="s">
        <v>831</v>
      </c>
      <c r="C2813" s="52">
        <v>465314.58416293998</v>
      </c>
      <c r="D2813" s="56">
        <v>0.14474473208658473</v>
      </c>
      <c r="E2813" s="224" t="s">
        <v>2</v>
      </c>
      <c r="F2813" s="515" t="s">
        <v>4267</v>
      </c>
      <c r="G2813" s="52">
        <v>279945.42877477</v>
      </c>
      <c r="H2813" s="56">
        <v>5.8484012230136953E-2</v>
      </c>
      <c r="I2813" s="224" t="s">
        <v>2</v>
      </c>
    </row>
    <row r="2814" spans="1:9" x14ac:dyDescent="0.25">
      <c r="A2814" s="515">
        <v>92260</v>
      </c>
      <c r="B2814" s="515" t="s">
        <v>599</v>
      </c>
      <c r="C2814" s="52">
        <v>568412.55474759103</v>
      </c>
      <c r="D2814" s="56">
        <v>8.2165535343062104E-2</v>
      </c>
      <c r="E2814" s="224">
        <v>2495.5492424242402</v>
      </c>
      <c r="F2814" s="515" t="s">
        <v>4268</v>
      </c>
      <c r="G2814" s="52">
        <v>212588.08791037201</v>
      </c>
      <c r="H2814" s="56">
        <v>7.5534767438529174E-2</v>
      </c>
      <c r="I2814" s="224" t="s">
        <v>2</v>
      </c>
    </row>
    <row r="2815" spans="1:9" x14ac:dyDescent="0.25">
      <c r="A2815" s="515">
        <v>6489</v>
      </c>
      <c r="B2815" s="515" t="s">
        <v>894</v>
      </c>
      <c r="C2815" s="52">
        <v>358318.32803349302</v>
      </c>
      <c r="D2815" s="56">
        <v>0.11303434214385058</v>
      </c>
      <c r="E2815" s="224" t="s">
        <v>2</v>
      </c>
      <c r="F2815" s="515" t="s">
        <v>4269</v>
      </c>
      <c r="G2815" s="52">
        <v>270751.89437757898</v>
      </c>
      <c r="H2815" s="56">
        <v>0.15896715202841316</v>
      </c>
      <c r="I2815" s="224">
        <v>1916</v>
      </c>
    </row>
    <row r="2816" spans="1:9" x14ac:dyDescent="0.25">
      <c r="A2816" s="515">
        <v>19121</v>
      </c>
      <c r="B2816" s="515" t="s">
        <v>294</v>
      </c>
      <c r="C2816" s="52">
        <v>190233.86762984499</v>
      </c>
      <c r="D2816" s="56">
        <v>0.12362377473386145</v>
      </c>
      <c r="E2816" s="224">
        <v>1884.25604230923</v>
      </c>
      <c r="F2816" s="515" t="s">
        <v>4270</v>
      </c>
      <c r="G2816" s="52">
        <v>667743.011880851</v>
      </c>
      <c r="H2816" s="56">
        <v>9.0758978100964088E-2</v>
      </c>
      <c r="I2816" s="224" t="s">
        <v>2</v>
      </c>
    </row>
    <row r="2817" spans="1:9" x14ac:dyDescent="0.25">
      <c r="A2817" s="515">
        <v>45150</v>
      </c>
      <c r="B2817" s="515" t="s">
        <v>344</v>
      </c>
      <c r="C2817" s="52">
        <v>272262.66016962403</v>
      </c>
      <c r="D2817" s="56">
        <v>6.1167856591079241E-2</v>
      </c>
      <c r="E2817" s="224">
        <v>1457.5833333333301</v>
      </c>
      <c r="F2817" s="515" t="s">
        <v>4271</v>
      </c>
      <c r="G2817" s="52">
        <v>284090.48703744402</v>
      </c>
      <c r="H2817" s="56">
        <v>9.4367517089353828E-2</v>
      </c>
      <c r="I2817" s="224">
        <v>1507.5</v>
      </c>
    </row>
    <row r="2818" spans="1:9" x14ac:dyDescent="0.25">
      <c r="A2818" s="515">
        <v>60517</v>
      </c>
      <c r="B2818" s="515" t="s">
        <v>394</v>
      </c>
      <c r="C2818" s="52">
        <v>326756.99689099501</v>
      </c>
      <c r="D2818" s="56">
        <v>5.3361586047585965E-2</v>
      </c>
      <c r="E2818" s="224">
        <v>1586.8619047619</v>
      </c>
      <c r="F2818" s="515" t="s">
        <v>4272</v>
      </c>
      <c r="G2818" s="52">
        <v>533912.67753542401</v>
      </c>
      <c r="H2818" s="56">
        <v>2.5147459959095772E-2</v>
      </c>
      <c r="I2818" s="224">
        <v>1949.62222222222</v>
      </c>
    </row>
    <row r="2819" spans="1:9" x14ac:dyDescent="0.25">
      <c r="A2819" s="515">
        <v>47403</v>
      </c>
      <c r="B2819" s="515" t="s">
        <v>554</v>
      </c>
      <c r="C2819" s="52">
        <v>245876.37382031401</v>
      </c>
      <c r="D2819" s="56">
        <v>7.0128872851744656E-2</v>
      </c>
      <c r="E2819" s="224">
        <v>1282.9166666666599</v>
      </c>
      <c r="F2819" s="515" t="s">
        <v>4273</v>
      </c>
      <c r="G2819" s="52">
        <v>177629.71328857</v>
      </c>
      <c r="H2819" s="56">
        <v>0.1105342081175669</v>
      </c>
      <c r="I2819" s="224">
        <v>1771.9166666666599</v>
      </c>
    </row>
    <row r="2820" spans="1:9" x14ac:dyDescent="0.25">
      <c r="A2820" s="515">
        <v>77301</v>
      </c>
      <c r="B2820" s="515" t="s">
        <v>314</v>
      </c>
      <c r="C2820" s="52">
        <v>235315.65007469201</v>
      </c>
      <c r="D2820" s="56">
        <v>9.9205620455012106E-2</v>
      </c>
      <c r="E2820" s="224">
        <v>1616.7996031746</v>
      </c>
      <c r="F2820" s="515" t="s">
        <v>4274</v>
      </c>
      <c r="G2820" s="52">
        <v>220559.52420357999</v>
      </c>
      <c r="H2820" s="56">
        <v>0.19449127642832456</v>
      </c>
      <c r="I2820" s="224" t="s">
        <v>2</v>
      </c>
    </row>
    <row r="2821" spans="1:9" x14ac:dyDescent="0.25">
      <c r="A2821" s="515">
        <v>49505</v>
      </c>
      <c r="B2821" s="515" t="s">
        <v>631</v>
      </c>
      <c r="C2821" s="52">
        <v>245333.79531580501</v>
      </c>
      <c r="D2821" s="56">
        <v>3.8899475682561857E-2</v>
      </c>
      <c r="E2821" s="224" t="s">
        <v>2</v>
      </c>
      <c r="F2821" s="515" t="s">
        <v>4275</v>
      </c>
      <c r="G2821" s="52">
        <v>348152.32718758401</v>
      </c>
      <c r="H2821" s="56">
        <v>7.7840714972746597E-2</v>
      </c>
      <c r="I2821" s="224" t="s">
        <v>2</v>
      </c>
    </row>
    <row r="2822" spans="1:9" x14ac:dyDescent="0.25">
      <c r="A2822" s="515">
        <v>91915</v>
      </c>
      <c r="B2822" s="515" t="s">
        <v>396</v>
      </c>
      <c r="C2822" s="52">
        <v>787877.30306041206</v>
      </c>
      <c r="D2822" s="56">
        <v>2.2943285336259795E-2</v>
      </c>
      <c r="E2822" s="224">
        <v>3328.0086284086201</v>
      </c>
      <c r="F2822" s="515" t="s">
        <v>864</v>
      </c>
      <c r="G2822" s="52">
        <v>365018.47687210602</v>
      </c>
      <c r="H2822" s="56">
        <v>3.2182273977642867E-2</v>
      </c>
      <c r="I2822" s="224">
        <v>1623.3333333333301</v>
      </c>
    </row>
    <row r="2823" spans="1:9" x14ac:dyDescent="0.25">
      <c r="A2823" s="515">
        <v>22042</v>
      </c>
      <c r="B2823" s="515" t="s">
        <v>321</v>
      </c>
      <c r="C2823" s="52">
        <v>635244.75913277897</v>
      </c>
      <c r="D2823" s="56">
        <v>3.8449861111154775E-2</v>
      </c>
      <c r="E2823" s="224">
        <v>2563.8527777777699</v>
      </c>
      <c r="F2823" s="515" t="s">
        <v>4276</v>
      </c>
      <c r="G2823" s="52">
        <v>261027.641773315</v>
      </c>
      <c r="H2823" s="56">
        <v>9.1387343491368331E-2</v>
      </c>
      <c r="I2823" s="224">
        <v>1448.5416666666599</v>
      </c>
    </row>
    <row r="2824" spans="1:9" x14ac:dyDescent="0.25">
      <c r="A2824" s="515">
        <v>10022</v>
      </c>
      <c r="B2824" s="515" t="s">
        <v>324</v>
      </c>
      <c r="C2824" s="52">
        <v>1090596.15070053</v>
      </c>
      <c r="D2824" s="56">
        <v>-8.0976406109098509E-2</v>
      </c>
      <c r="E2824" s="224">
        <v>3933.1654886842298</v>
      </c>
      <c r="F2824" s="515" t="s">
        <v>4277</v>
      </c>
      <c r="G2824" s="52">
        <v>264560.79130687698</v>
      </c>
      <c r="H2824" s="56">
        <v>0.10521682402996255</v>
      </c>
      <c r="I2824" s="224" t="s">
        <v>2</v>
      </c>
    </row>
    <row r="2825" spans="1:9" x14ac:dyDescent="0.25">
      <c r="A2825" s="515">
        <v>37312</v>
      </c>
      <c r="B2825" s="515" t="s">
        <v>918</v>
      </c>
      <c r="C2825" s="52">
        <v>293539.47637693398</v>
      </c>
      <c r="D2825" s="56">
        <v>7.711892613336109E-2</v>
      </c>
      <c r="E2825" s="224">
        <v>1374.85</v>
      </c>
      <c r="F2825" s="515" t="s">
        <v>4278</v>
      </c>
      <c r="G2825" s="52">
        <v>227579.77097992599</v>
      </c>
      <c r="H2825" s="56">
        <v>5.7116510707084053E-2</v>
      </c>
      <c r="I2825" s="224" t="s">
        <v>2</v>
      </c>
    </row>
    <row r="2826" spans="1:9" x14ac:dyDescent="0.25">
      <c r="A2826" s="515">
        <v>53402</v>
      </c>
      <c r="B2826" s="515" t="s">
        <v>1151</v>
      </c>
      <c r="C2826" s="52">
        <v>219961.49350058701</v>
      </c>
      <c r="D2826" s="56">
        <v>4.4142467183508165E-2</v>
      </c>
      <c r="E2826" s="224" t="s">
        <v>2</v>
      </c>
      <c r="F2826" s="515" t="s">
        <v>867</v>
      </c>
      <c r="G2826" s="52">
        <v>135668.945017094</v>
      </c>
      <c r="H2826" s="56">
        <v>7.0444308088776081E-2</v>
      </c>
      <c r="I2826" s="224" t="s">
        <v>2</v>
      </c>
    </row>
    <row r="2827" spans="1:9" x14ac:dyDescent="0.25">
      <c r="A2827" s="515">
        <v>98109</v>
      </c>
      <c r="B2827" s="515" t="s">
        <v>384</v>
      </c>
      <c r="C2827" s="52">
        <v>761636.13841487002</v>
      </c>
      <c r="D2827" s="56">
        <v>-1.2475219444746995E-2</v>
      </c>
      <c r="E2827" s="224">
        <v>2289.0699357949402</v>
      </c>
      <c r="F2827" s="515" t="s">
        <v>4279</v>
      </c>
      <c r="G2827" s="52">
        <v>595726.37490981899</v>
      </c>
      <c r="H2827" s="56">
        <v>3.8564579346316692E-2</v>
      </c>
      <c r="I2827" s="224" t="s">
        <v>2</v>
      </c>
    </row>
    <row r="2828" spans="1:9" x14ac:dyDescent="0.25">
      <c r="A2828" s="515">
        <v>96793</v>
      </c>
      <c r="B2828" s="515" t="s">
        <v>400</v>
      </c>
      <c r="C2828" s="52">
        <v>839978.14217803895</v>
      </c>
      <c r="D2828" s="56">
        <v>0.13699173468969464</v>
      </c>
      <c r="E2828" s="224" t="s">
        <v>2</v>
      </c>
      <c r="F2828" s="515" t="s">
        <v>4280</v>
      </c>
      <c r="G2828" s="52">
        <v>339956.20468506898</v>
      </c>
      <c r="H2828" s="56">
        <v>0.13980329199235145</v>
      </c>
      <c r="I2828" s="224" t="s">
        <v>2</v>
      </c>
    </row>
    <row r="2829" spans="1:9" x14ac:dyDescent="0.25">
      <c r="A2829" s="515">
        <v>48313</v>
      </c>
      <c r="B2829" s="515" t="s">
        <v>685</v>
      </c>
      <c r="C2829" s="52">
        <v>259651.76741835399</v>
      </c>
      <c r="D2829" s="56">
        <v>3.3000338285887748E-2</v>
      </c>
      <c r="E2829" s="224">
        <v>1687.5</v>
      </c>
      <c r="F2829" s="515" t="s">
        <v>4281</v>
      </c>
      <c r="G2829" s="52">
        <v>370102.72699557798</v>
      </c>
      <c r="H2829" s="56">
        <v>9.9754791156900918E-2</v>
      </c>
      <c r="I2829" s="224">
        <v>2363.25</v>
      </c>
    </row>
    <row r="2830" spans="1:9" x14ac:dyDescent="0.25">
      <c r="A2830" s="515">
        <v>74008</v>
      </c>
      <c r="B2830" s="515" t="s">
        <v>348</v>
      </c>
      <c r="C2830" s="52">
        <v>310397.58496661199</v>
      </c>
      <c r="D2830" s="56">
        <v>8.1993254679091104E-2</v>
      </c>
      <c r="E2830" s="224">
        <v>1443.8583333333299</v>
      </c>
      <c r="F2830" s="515" t="s">
        <v>4282</v>
      </c>
      <c r="G2830" s="52">
        <v>511361.57806281903</v>
      </c>
      <c r="H2830" s="56">
        <v>0.1035331844324788</v>
      </c>
      <c r="I2830" s="224">
        <v>1554.25</v>
      </c>
    </row>
    <row r="2831" spans="1:9" x14ac:dyDescent="0.25">
      <c r="A2831" s="515">
        <v>97211</v>
      </c>
      <c r="B2831" s="515" t="s">
        <v>659</v>
      </c>
      <c r="C2831" s="52">
        <v>546886.55077276204</v>
      </c>
      <c r="D2831" s="56">
        <v>-1.8555184788030716E-2</v>
      </c>
      <c r="E2831" s="224">
        <v>2049.5238095238001</v>
      </c>
      <c r="F2831" s="515" t="s">
        <v>4283</v>
      </c>
      <c r="G2831" s="52">
        <v>147648.97348666901</v>
      </c>
      <c r="H2831" s="56">
        <v>9.1771425649171262E-2</v>
      </c>
      <c r="I2831" s="224">
        <v>1399.1666666666599</v>
      </c>
    </row>
    <row r="2832" spans="1:9" x14ac:dyDescent="0.25">
      <c r="A2832" s="515">
        <v>80602</v>
      </c>
      <c r="B2832" s="515" t="s">
        <v>401</v>
      </c>
      <c r="C2832" s="52">
        <v>648300.53501381597</v>
      </c>
      <c r="D2832" s="56">
        <v>1.5904496997237283E-2</v>
      </c>
      <c r="E2832" s="224">
        <v>2833</v>
      </c>
      <c r="F2832" s="515" t="s">
        <v>4284</v>
      </c>
      <c r="G2832" s="52">
        <v>282929.59147254302</v>
      </c>
      <c r="H2832" s="56">
        <v>7.8611662466616536E-2</v>
      </c>
      <c r="I2832" s="224">
        <v>2840.5423280423202</v>
      </c>
    </row>
    <row r="2833" spans="1:9" x14ac:dyDescent="0.25">
      <c r="A2833" s="515">
        <v>97267</v>
      </c>
      <c r="B2833" s="515" t="s">
        <v>659</v>
      </c>
      <c r="C2833" s="52">
        <v>510455.45864174701</v>
      </c>
      <c r="D2833" s="56">
        <v>1.8458227955475851E-3</v>
      </c>
      <c r="E2833" s="224">
        <v>2036</v>
      </c>
      <c r="F2833" s="515" t="s">
        <v>4285</v>
      </c>
      <c r="G2833" s="52">
        <v>295200.49669597001</v>
      </c>
      <c r="H2833" s="56">
        <v>0.13252909658588727</v>
      </c>
      <c r="I2833" s="224" t="s">
        <v>2</v>
      </c>
    </row>
    <row r="2834" spans="1:9" x14ac:dyDescent="0.25">
      <c r="A2834" s="515">
        <v>90606</v>
      </c>
      <c r="B2834" s="515" t="s">
        <v>375</v>
      </c>
      <c r="C2834" s="52">
        <v>665702.59093270102</v>
      </c>
      <c r="D2834" s="56">
        <v>6.0808141693935967E-2</v>
      </c>
      <c r="E2834" s="224" t="s">
        <v>2</v>
      </c>
      <c r="F2834" s="515" t="s">
        <v>4286</v>
      </c>
      <c r="G2834" s="52">
        <v>602236.70768622798</v>
      </c>
      <c r="H2834" s="56">
        <v>3.7499599362284787E-2</v>
      </c>
      <c r="I2834" s="224" t="s">
        <v>2</v>
      </c>
    </row>
    <row r="2835" spans="1:9" x14ac:dyDescent="0.25">
      <c r="A2835" s="515">
        <v>96001</v>
      </c>
      <c r="B2835" s="515" t="s">
        <v>514</v>
      </c>
      <c r="C2835" s="52">
        <v>364487.45040163997</v>
      </c>
      <c r="D2835" s="56">
        <v>2.9877303511222506E-2</v>
      </c>
      <c r="E2835" s="224">
        <v>1310.4166666666599</v>
      </c>
      <c r="F2835" s="515" t="s">
        <v>4287</v>
      </c>
      <c r="G2835" s="52">
        <v>244321.35434334501</v>
      </c>
      <c r="H2835" s="56">
        <v>0.10174797924425602</v>
      </c>
      <c r="I2835" s="224">
        <v>1760</v>
      </c>
    </row>
    <row r="2836" spans="1:9" x14ac:dyDescent="0.25">
      <c r="A2836" s="515">
        <v>93703</v>
      </c>
      <c r="B2836" s="515" t="s">
        <v>541</v>
      </c>
      <c r="C2836" s="52">
        <v>273425.24892617803</v>
      </c>
      <c r="D2836" s="56">
        <v>8.0507012160596664E-2</v>
      </c>
      <c r="E2836" s="224">
        <v>1365.8333333333301</v>
      </c>
      <c r="F2836" s="515" t="s">
        <v>4288</v>
      </c>
      <c r="G2836" s="52">
        <v>192368.36089935299</v>
      </c>
      <c r="H2836" s="56">
        <v>8.0037441517856286E-2</v>
      </c>
      <c r="I2836" s="224" t="s">
        <v>2</v>
      </c>
    </row>
    <row r="2837" spans="1:9" x14ac:dyDescent="0.25">
      <c r="A2837" s="515">
        <v>27560</v>
      </c>
      <c r="B2837" s="515" t="s">
        <v>484</v>
      </c>
      <c r="C2837" s="52">
        <v>485605.756936452</v>
      </c>
      <c r="D2837" s="56">
        <v>8.332757456595849E-2</v>
      </c>
      <c r="E2837" s="224">
        <v>1726.7193277310901</v>
      </c>
      <c r="F2837" s="515" t="s">
        <v>4289</v>
      </c>
      <c r="G2837" s="52">
        <v>221691.994885725</v>
      </c>
      <c r="H2837" s="56">
        <v>0.14488931566127816</v>
      </c>
      <c r="I2837" s="224" t="s">
        <v>2</v>
      </c>
    </row>
    <row r="2838" spans="1:9" x14ac:dyDescent="0.25">
      <c r="A2838" s="515">
        <v>12020</v>
      </c>
      <c r="B2838" s="515" t="s">
        <v>609</v>
      </c>
      <c r="C2838" s="52">
        <v>336869.22352747002</v>
      </c>
      <c r="D2838" s="56">
        <v>5.9367198838649146E-2</v>
      </c>
      <c r="E2838" s="224">
        <v>1616.3333333333301</v>
      </c>
      <c r="F2838" s="515" t="s">
        <v>4290</v>
      </c>
      <c r="G2838" s="52">
        <v>318159.09321372397</v>
      </c>
      <c r="H2838" s="56">
        <v>3.407314471665699E-2</v>
      </c>
      <c r="I2838" s="224">
        <v>1610.6666666666599</v>
      </c>
    </row>
    <row r="2839" spans="1:9" x14ac:dyDescent="0.25">
      <c r="A2839" s="515">
        <v>60611</v>
      </c>
      <c r="B2839" s="515" t="s">
        <v>394</v>
      </c>
      <c r="C2839" s="52">
        <v>307461.49988463602</v>
      </c>
      <c r="D2839" s="56">
        <v>-4.0567935411750113E-2</v>
      </c>
      <c r="E2839" s="224">
        <v>2534.8116993101698</v>
      </c>
      <c r="F2839" s="515" t="s">
        <v>4291</v>
      </c>
      <c r="G2839" s="52">
        <v>285148.67673872999</v>
      </c>
      <c r="H2839" s="56">
        <v>2.4648450302381358E-2</v>
      </c>
      <c r="I2839" s="224" t="s">
        <v>2</v>
      </c>
    </row>
    <row r="2840" spans="1:9" x14ac:dyDescent="0.25">
      <c r="A2840" s="515">
        <v>75214</v>
      </c>
      <c r="B2840" s="515" t="s">
        <v>458</v>
      </c>
      <c r="C2840" s="52">
        <v>711402.44803126995</v>
      </c>
      <c r="D2840" s="56">
        <v>0.11549064402744508</v>
      </c>
      <c r="E2840" s="224">
        <v>1752.0783068783001</v>
      </c>
      <c r="F2840" s="515" t="s">
        <v>1171</v>
      </c>
      <c r="G2840" s="52">
        <v>211594.02077405</v>
      </c>
      <c r="H2840" s="56">
        <v>6.0287699566127624E-2</v>
      </c>
      <c r="I2840" s="224" t="s">
        <v>2</v>
      </c>
    </row>
    <row r="2841" spans="1:9" x14ac:dyDescent="0.25">
      <c r="A2841" s="515">
        <v>60007</v>
      </c>
      <c r="B2841" s="515" t="s">
        <v>394</v>
      </c>
      <c r="C2841" s="52">
        <v>307772.27567707398</v>
      </c>
      <c r="D2841" s="56">
        <v>3.0649736832794983E-2</v>
      </c>
      <c r="E2841" s="224">
        <v>1560.375</v>
      </c>
      <c r="F2841" s="515" t="s">
        <v>4292</v>
      </c>
      <c r="G2841" s="52">
        <v>605931.58574556897</v>
      </c>
      <c r="H2841" s="56">
        <v>2.888308434546983E-2</v>
      </c>
      <c r="I2841" s="224">
        <v>2919</v>
      </c>
    </row>
    <row r="2842" spans="1:9" x14ac:dyDescent="0.25">
      <c r="A2842" s="515">
        <v>55406</v>
      </c>
      <c r="B2842" s="515" t="s">
        <v>532</v>
      </c>
      <c r="C2842" s="52">
        <v>306901.92271503701</v>
      </c>
      <c r="D2842" s="56">
        <v>2.5731404364090094E-2</v>
      </c>
      <c r="E2842" s="224">
        <v>1485</v>
      </c>
      <c r="F2842" s="515" t="s">
        <v>4293</v>
      </c>
      <c r="G2842" s="52">
        <v>679975.35913987202</v>
      </c>
      <c r="H2842" s="56">
        <v>0.14612648937650585</v>
      </c>
      <c r="I2842" s="224">
        <v>2810.0231481481401</v>
      </c>
    </row>
    <row r="2843" spans="1:9" x14ac:dyDescent="0.25">
      <c r="A2843" s="515">
        <v>33127</v>
      </c>
      <c r="B2843" s="515" t="s">
        <v>831</v>
      </c>
      <c r="C2843" s="52">
        <v>420585.11880411301</v>
      </c>
      <c r="D2843" s="56">
        <v>0.21317745997928972</v>
      </c>
      <c r="E2843" s="224">
        <v>2845.1421957671901</v>
      </c>
      <c r="F2843" s="515" t="s">
        <v>4294</v>
      </c>
      <c r="G2843" s="52">
        <v>269855.03718473</v>
      </c>
      <c r="H2843" s="56">
        <v>0.12070379704906589</v>
      </c>
      <c r="I2843" s="224" t="s">
        <v>2</v>
      </c>
    </row>
    <row r="2844" spans="1:9" x14ac:dyDescent="0.25">
      <c r="A2844" s="515">
        <v>92220</v>
      </c>
      <c r="B2844" s="515" t="s">
        <v>599</v>
      </c>
      <c r="C2844" s="52">
        <v>380828.63045928901</v>
      </c>
      <c r="D2844" s="56">
        <v>8.3279812295202621E-2</v>
      </c>
      <c r="E2844" s="224">
        <v>2038.7777777777701</v>
      </c>
      <c r="F2844" s="515" t="s">
        <v>4295</v>
      </c>
      <c r="G2844" s="52">
        <v>196615.694708592</v>
      </c>
      <c r="H2844" s="56">
        <v>2.5380782414959072E-2</v>
      </c>
      <c r="I2844" s="224" t="s">
        <v>2</v>
      </c>
    </row>
    <row r="2845" spans="1:9" x14ac:dyDescent="0.25">
      <c r="A2845" s="515">
        <v>78217</v>
      </c>
      <c r="B2845" s="515" t="s">
        <v>717</v>
      </c>
      <c r="C2845" s="52">
        <v>239169.36877737101</v>
      </c>
      <c r="D2845" s="56">
        <v>0.10643580923889708</v>
      </c>
      <c r="E2845" s="224">
        <v>1131.3968253968201</v>
      </c>
      <c r="F2845" s="515" t="s">
        <v>1183</v>
      </c>
      <c r="G2845" s="52">
        <v>359004.944619763</v>
      </c>
      <c r="H2845" s="56">
        <v>0.11905277895704727</v>
      </c>
      <c r="I2845" s="224" t="s">
        <v>2</v>
      </c>
    </row>
    <row r="2846" spans="1:9" x14ac:dyDescent="0.25">
      <c r="A2846" s="515">
        <v>20003</v>
      </c>
      <c r="B2846" s="515" t="s">
        <v>321</v>
      </c>
      <c r="C2846" s="52">
        <v>835250.87460032001</v>
      </c>
      <c r="D2846" s="56">
        <v>-3.3685636427251954E-2</v>
      </c>
      <c r="E2846" s="224">
        <v>2532.8306099637198</v>
      </c>
      <c r="F2846" s="515" t="s">
        <v>4296</v>
      </c>
      <c r="G2846" s="52">
        <v>578659.18205035897</v>
      </c>
      <c r="H2846" s="56">
        <v>2.4041898198879631E-2</v>
      </c>
      <c r="I2846" s="224">
        <v>2255.11904761904</v>
      </c>
    </row>
    <row r="2847" spans="1:9" x14ac:dyDescent="0.25">
      <c r="A2847" s="515">
        <v>56601</v>
      </c>
      <c r="B2847" s="515" t="s">
        <v>690</v>
      </c>
      <c r="C2847" s="52">
        <v>241728.52619463799</v>
      </c>
      <c r="D2847" s="56">
        <v>8.1734872004574494E-2</v>
      </c>
      <c r="E2847" s="224">
        <v>1633.3333333333301</v>
      </c>
      <c r="F2847" s="515" t="s">
        <v>4297</v>
      </c>
      <c r="G2847" s="52">
        <v>262811.38558703999</v>
      </c>
      <c r="H2847" s="56">
        <v>5.3725332395924148E-2</v>
      </c>
      <c r="I2847" s="224" t="s">
        <v>2</v>
      </c>
    </row>
    <row r="2848" spans="1:9" x14ac:dyDescent="0.25">
      <c r="A2848" s="515">
        <v>33952</v>
      </c>
      <c r="B2848" s="515" t="s">
        <v>1030</v>
      </c>
      <c r="C2848" s="52">
        <v>260348.405112098</v>
      </c>
      <c r="D2848" s="56">
        <v>0.12549725482432281</v>
      </c>
      <c r="E2848" s="224">
        <v>2162.3111111111102</v>
      </c>
      <c r="F2848" s="515" t="s">
        <v>4298</v>
      </c>
      <c r="G2848" s="52">
        <v>338101.73931901198</v>
      </c>
      <c r="H2848" s="56">
        <v>5.7151231876528347E-2</v>
      </c>
      <c r="I2848" s="224" t="s">
        <v>2</v>
      </c>
    </row>
    <row r="2849" spans="1:9" x14ac:dyDescent="0.25">
      <c r="A2849" s="515">
        <v>62234</v>
      </c>
      <c r="B2849" s="515" t="s">
        <v>498</v>
      </c>
      <c r="C2849" s="52">
        <v>159539.81712046399</v>
      </c>
      <c r="D2849" s="56">
        <v>8.141382385860689E-2</v>
      </c>
      <c r="E2849" s="224">
        <v>1117.7083333333301</v>
      </c>
      <c r="F2849" s="515" t="s">
        <v>4299</v>
      </c>
      <c r="G2849" s="52">
        <v>256665.347458937</v>
      </c>
      <c r="H2849" s="56">
        <v>8.0606388847607846E-2</v>
      </c>
      <c r="I2849" s="224">
        <v>906.99074074073997</v>
      </c>
    </row>
    <row r="2850" spans="1:9" x14ac:dyDescent="0.25">
      <c r="A2850" s="515">
        <v>2038</v>
      </c>
      <c r="B2850" s="515" t="s">
        <v>534</v>
      </c>
      <c r="C2850" s="52">
        <v>579068.62709252699</v>
      </c>
      <c r="D2850" s="56">
        <v>6.3315456467632369E-2</v>
      </c>
      <c r="E2850" s="224">
        <v>2498.2666666666601</v>
      </c>
      <c r="F2850" s="515" t="s">
        <v>794</v>
      </c>
      <c r="G2850" s="52">
        <v>273486.707776347</v>
      </c>
      <c r="H2850" s="56">
        <v>8.4967137117993183E-2</v>
      </c>
      <c r="I2850" s="224">
        <v>1300</v>
      </c>
    </row>
    <row r="2851" spans="1:9" x14ac:dyDescent="0.25">
      <c r="A2851" s="515">
        <v>80122</v>
      </c>
      <c r="B2851" s="515" t="s">
        <v>401</v>
      </c>
      <c r="C2851" s="52">
        <v>608940.90347231203</v>
      </c>
      <c r="D2851" s="56">
        <v>3.5224074199227809E-2</v>
      </c>
      <c r="E2851" s="224">
        <v>2083.0833333333298</v>
      </c>
      <c r="F2851" s="515" t="s">
        <v>4300</v>
      </c>
      <c r="G2851" s="52">
        <v>775308.50576128298</v>
      </c>
      <c r="H2851" s="56">
        <v>3.3503424263836526E-2</v>
      </c>
      <c r="I2851" s="224">
        <v>2633.3333333333298</v>
      </c>
    </row>
    <row r="2852" spans="1:9" x14ac:dyDescent="0.25">
      <c r="A2852" s="515">
        <v>80027</v>
      </c>
      <c r="B2852" s="515" t="s">
        <v>702</v>
      </c>
      <c r="C2852" s="52">
        <v>820304.90828152106</v>
      </c>
      <c r="D2852" s="56">
        <v>3.0736279122904817E-2</v>
      </c>
      <c r="E2852" s="224">
        <v>2213.5580952380901</v>
      </c>
      <c r="F2852" s="515" t="s">
        <v>4301</v>
      </c>
      <c r="G2852" s="52">
        <v>185375.271820928</v>
      </c>
      <c r="H2852" s="56">
        <v>5.5464294671654653E-2</v>
      </c>
      <c r="I2852" s="224" t="s">
        <v>2</v>
      </c>
    </row>
    <row r="2853" spans="1:9" x14ac:dyDescent="0.25">
      <c r="A2853" s="515">
        <v>82001</v>
      </c>
      <c r="B2853" s="515" t="s">
        <v>639</v>
      </c>
      <c r="C2853" s="52">
        <v>306937.12118596002</v>
      </c>
      <c r="D2853" s="56">
        <v>3.2775200863961067E-2</v>
      </c>
      <c r="E2853" s="224">
        <v>1386.57407407407</v>
      </c>
      <c r="F2853" s="515" t="s">
        <v>1194</v>
      </c>
      <c r="G2853" s="52">
        <v>100853.424565811</v>
      </c>
      <c r="H2853" s="56">
        <v>-7.2632709040862331E-2</v>
      </c>
      <c r="I2853" s="224" t="s">
        <v>2</v>
      </c>
    </row>
    <row r="2854" spans="1:9" x14ac:dyDescent="0.25">
      <c r="A2854" s="515">
        <v>78211</v>
      </c>
      <c r="B2854" s="515" t="s">
        <v>717</v>
      </c>
      <c r="C2854" s="52">
        <v>139593.22524178601</v>
      </c>
      <c r="D2854" s="56">
        <v>0.10187874230130585</v>
      </c>
      <c r="E2854" s="224" t="s">
        <v>2</v>
      </c>
      <c r="F2854" s="515" t="s">
        <v>4302</v>
      </c>
      <c r="G2854" s="52">
        <v>487027.26253408601</v>
      </c>
      <c r="H2854" s="56">
        <v>0.12883127132519831</v>
      </c>
      <c r="I2854" s="224">
        <v>2287.5</v>
      </c>
    </row>
    <row r="2855" spans="1:9" x14ac:dyDescent="0.25">
      <c r="A2855" s="515">
        <v>21113</v>
      </c>
      <c r="B2855" s="515" t="s">
        <v>582</v>
      </c>
      <c r="C2855" s="52">
        <v>418658.57746291999</v>
      </c>
      <c r="D2855" s="56">
        <v>5.5951362328826665E-2</v>
      </c>
      <c r="E2855" s="224">
        <v>2235.1031746031699</v>
      </c>
      <c r="F2855" s="515" t="s">
        <v>4303</v>
      </c>
      <c r="G2855" s="52">
        <v>191555.704982733</v>
      </c>
      <c r="H2855" s="56">
        <v>0</v>
      </c>
      <c r="I2855" s="224" t="s">
        <v>2</v>
      </c>
    </row>
    <row r="2856" spans="1:9" x14ac:dyDescent="0.25">
      <c r="A2856" s="515">
        <v>28607</v>
      </c>
      <c r="B2856" s="515" t="s">
        <v>1103</v>
      </c>
      <c r="C2856" s="52">
        <v>419662.37809032499</v>
      </c>
      <c r="D2856" s="56">
        <v>0.12309565930646239</v>
      </c>
      <c r="E2856" s="224" t="s">
        <v>2</v>
      </c>
      <c r="F2856" s="515" t="s">
        <v>4304</v>
      </c>
      <c r="G2856" s="52">
        <v>656205.36466676695</v>
      </c>
      <c r="H2856" s="56">
        <v>6.879778143681714E-2</v>
      </c>
      <c r="I2856" s="224" t="s">
        <v>2</v>
      </c>
    </row>
    <row r="2857" spans="1:9" x14ac:dyDescent="0.25">
      <c r="A2857" s="515">
        <v>94102</v>
      </c>
      <c r="B2857" s="515" t="s">
        <v>593</v>
      </c>
      <c r="C2857" s="52">
        <v>715444.56626554101</v>
      </c>
      <c r="D2857" s="56">
        <v>-0.11080045138616139</v>
      </c>
      <c r="E2857" s="224">
        <v>2904.3484674329502</v>
      </c>
      <c r="F2857" s="515" t="s">
        <v>1011</v>
      </c>
      <c r="G2857" s="52">
        <v>139753.756771004</v>
      </c>
      <c r="H2857" s="56">
        <v>3.5597428934114418E-2</v>
      </c>
      <c r="I2857" s="224" t="s">
        <v>2</v>
      </c>
    </row>
    <row r="2858" spans="1:9" x14ac:dyDescent="0.25">
      <c r="A2858" s="515">
        <v>94603</v>
      </c>
      <c r="B2858" s="515" t="s">
        <v>593</v>
      </c>
      <c r="C2858" s="52">
        <v>533976.235816197</v>
      </c>
      <c r="D2858" s="56">
        <v>-5.6736431443028597E-2</v>
      </c>
      <c r="E2858" s="224">
        <v>2652.7777777777701</v>
      </c>
      <c r="F2858" s="515" t="s">
        <v>4305</v>
      </c>
      <c r="G2858" s="52">
        <v>2006771.03426186</v>
      </c>
      <c r="H2858" s="56">
        <v>2.0349107792766115E-2</v>
      </c>
      <c r="I2858" s="224">
        <v>4700</v>
      </c>
    </row>
    <row r="2859" spans="1:9" x14ac:dyDescent="0.25">
      <c r="A2859" s="515">
        <v>84663</v>
      </c>
      <c r="B2859" s="515" t="s">
        <v>726</v>
      </c>
      <c r="C2859" s="52">
        <v>473774.28238162899</v>
      </c>
      <c r="D2859" s="56">
        <v>2.2076692918299955E-2</v>
      </c>
      <c r="E2859" s="224">
        <v>1495</v>
      </c>
      <c r="F2859" s="515" t="s">
        <v>4306</v>
      </c>
      <c r="G2859" s="52">
        <v>419402.28813844599</v>
      </c>
      <c r="H2859" s="56">
        <v>8.1719003159885895E-2</v>
      </c>
      <c r="I2859" s="224" t="s">
        <v>2</v>
      </c>
    </row>
    <row r="2860" spans="1:9" x14ac:dyDescent="0.25">
      <c r="A2860" s="515">
        <v>33809</v>
      </c>
      <c r="B2860" s="515" t="s">
        <v>359</v>
      </c>
      <c r="C2860" s="52">
        <v>310954.623312207</v>
      </c>
      <c r="D2860" s="56">
        <v>9.8229961653729603E-2</v>
      </c>
      <c r="E2860" s="224">
        <v>1803.0833333333301</v>
      </c>
      <c r="F2860" s="515" t="s">
        <v>4307</v>
      </c>
      <c r="G2860" s="52">
        <v>474621.189137051</v>
      </c>
      <c r="H2860" s="56">
        <v>6.4079908305384028E-2</v>
      </c>
      <c r="I2860" s="224">
        <v>2085.6666666666601</v>
      </c>
    </row>
    <row r="2861" spans="1:9" x14ac:dyDescent="0.25">
      <c r="A2861" s="515">
        <v>33611</v>
      </c>
      <c r="B2861" s="515" t="s">
        <v>461</v>
      </c>
      <c r="C2861" s="52">
        <v>439540.25558646303</v>
      </c>
      <c r="D2861" s="56">
        <v>0.10968320325847111</v>
      </c>
      <c r="E2861" s="224">
        <v>2246.75612107191</v>
      </c>
      <c r="F2861" s="515" t="s">
        <v>4308</v>
      </c>
      <c r="G2861" s="52">
        <v>531427.74874331197</v>
      </c>
      <c r="H2861" s="56">
        <v>4.6493304699104107E-2</v>
      </c>
      <c r="I2861" s="224" t="s">
        <v>2</v>
      </c>
    </row>
    <row r="2862" spans="1:9" x14ac:dyDescent="0.25">
      <c r="A2862" s="515">
        <v>92203</v>
      </c>
      <c r="B2862" s="515" t="s">
        <v>599</v>
      </c>
      <c r="C2862" s="52">
        <v>541235.48069569503</v>
      </c>
      <c r="D2862" s="56">
        <v>9.8079970316879372E-2</v>
      </c>
      <c r="E2862" s="224">
        <v>3143.88888888888</v>
      </c>
      <c r="F2862" s="515" t="s">
        <v>4309</v>
      </c>
      <c r="G2862" s="52">
        <v>801083.99576050695</v>
      </c>
      <c r="H2862" s="56">
        <v>7.0884557328994402E-2</v>
      </c>
      <c r="I2862" s="224" t="s">
        <v>2</v>
      </c>
    </row>
    <row r="2863" spans="1:9" x14ac:dyDescent="0.25">
      <c r="A2863" s="515">
        <v>11566</v>
      </c>
      <c r="B2863" s="515" t="s">
        <v>324</v>
      </c>
      <c r="C2863" s="52">
        <v>703548.454635186</v>
      </c>
      <c r="D2863" s="56">
        <v>5.5835574042702202E-2</v>
      </c>
      <c r="E2863" s="224" t="s">
        <v>2</v>
      </c>
      <c r="F2863" s="515" t="s">
        <v>4310</v>
      </c>
      <c r="G2863" s="52">
        <v>729727.03166774299</v>
      </c>
      <c r="H2863" s="56">
        <v>2.9059309558537402E-2</v>
      </c>
      <c r="I2863" s="224" t="s">
        <v>2</v>
      </c>
    </row>
    <row r="2864" spans="1:9" x14ac:dyDescent="0.25">
      <c r="A2864" s="515">
        <v>97213</v>
      </c>
      <c r="B2864" s="515" t="s">
        <v>659</v>
      </c>
      <c r="C2864" s="52">
        <v>544417.46614690602</v>
      </c>
      <c r="D2864" s="56">
        <v>6.8776058209907374E-3</v>
      </c>
      <c r="E2864" s="224">
        <v>1679.67226107226</v>
      </c>
      <c r="F2864" s="515" t="s">
        <v>4311</v>
      </c>
      <c r="G2864" s="52">
        <v>287911.19965620601</v>
      </c>
      <c r="H2864" s="56">
        <v>0.18703525494841297</v>
      </c>
      <c r="I2864" s="224" t="s">
        <v>2</v>
      </c>
    </row>
    <row r="2865" spans="1:9" x14ac:dyDescent="0.25">
      <c r="A2865" s="515">
        <v>63125</v>
      </c>
      <c r="B2865" s="515" t="s">
        <v>498</v>
      </c>
      <c r="C2865" s="52">
        <v>176921.738250608</v>
      </c>
      <c r="D2865" s="56">
        <v>9.653875736267481E-2</v>
      </c>
      <c r="E2865" s="224">
        <v>1374.75</v>
      </c>
      <c r="F2865" s="515" t="s">
        <v>4312</v>
      </c>
      <c r="G2865" s="52">
        <v>219028.72335948801</v>
      </c>
      <c r="H2865" s="56">
        <v>9.8309210893119697E-2</v>
      </c>
      <c r="I2865" s="224">
        <v>1295.75</v>
      </c>
    </row>
    <row r="2866" spans="1:9" x14ac:dyDescent="0.25">
      <c r="A2866" s="515">
        <v>77477</v>
      </c>
      <c r="B2866" s="515" t="s">
        <v>314</v>
      </c>
      <c r="C2866" s="52">
        <v>274839.436486347</v>
      </c>
      <c r="D2866" s="56">
        <v>8.4062271560805674E-2</v>
      </c>
      <c r="E2866" s="224">
        <v>1556.4218954248299</v>
      </c>
      <c r="F2866" s="515" t="s">
        <v>4313</v>
      </c>
      <c r="G2866" s="52">
        <v>348841.89625613601</v>
      </c>
      <c r="H2866" s="56">
        <v>5.0466179447711583E-2</v>
      </c>
      <c r="I2866" s="224" t="s">
        <v>2</v>
      </c>
    </row>
    <row r="2867" spans="1:9" x14ac:dyDescent="0.25">
      <c r="A2867" s="515">
        <v>94545</v>
      </c>
      <c r="B2867" s="515" t="s">
        <v>593</v>
      </c>
      <c r="C2867" s="52">
        <v>866323.10410344298</v>
      </c>
      <c r="D2867" s="56">
        <v>-2.156075115698076E-3</v>
      </c>
      <c r="E2867" s="224">
        <v>2505.5555555555502</v>
      </c>
      <c r="F2867" s="515" t="s">
        <v>4314</v>
      </c>
      <c r="G2867" s="52">
        <v>242481.347626804</v>
      </c>
      <c r="H2867" s="56">
        <v>8.4081446673408181E-2</v>
      </c>
      <c r="I2867" s="224">
        <v>2038.88888888888</v>
      </c>
    </row>
    <row r="2868" spans="1:9" x14ac:dyDescent="0.25">
      <c r="A2868" s="515">
        <v>85031</v>
      </c>
      <c r="B2868" s="515" t="s">
        <v>563</v>
      </c>
      <c r="C2868" s="52">
        <v>307926.40370191401</v>
      </c>
      <c r="D2868" s="56">
        <v>6.3928219202733852E-2</v>
      </c>
      <c r="E2868" s="224">
        <v>1581.94444444444</v>
      </c>
      <c r="F2868" s="515" t="s">
        <v>4315</v>
      </c>
      <c r="G2868" s="52">
        <v>509662.98516734701</v>
      </c>
      <c r="H2868" s="56">
        <v>3.6409317769285673E-2</v>
      </c>
      <c r="I2868" s="224">
        <v>2437.5</v>
      </c>
    </row>
    <row r="2869" spans="1:9" x14ac:dyDescent="0.25">
      <c r="A2869" s="515">
        <v>89141</v>
      </c>
      <c r="B2869" s="515" t="s">
        <v>323</v>
      </c>
      <c r="C2869" s="52">
        <v>492019.13671170903</v>
      </c>
      <c r="D2869" s="56">
        <v>3.1187458777961065E-2</v>
      </c>
      <c r="E2869" s="224">
        <v>2206.4961538461498</v>
      </c>
      <c r="F2869" s="515" t="s">
        <v>4316</v>
      </c>
      <c r="G2869" s="52">
        <v>499490.661218111</v>
      </c>
      <c r="H2869" s="56">
        <v>4.960810303562857E-2</v>
      </c>
      <c r="I2869" s="224">
        <v>2450</v>
      </c>
    </row>
    <row r="2870" spans="1:9" x14ac:dyDescent="0.25">
      <c r="A2870" s="515">
        <v>95348</v>
      </c>
      <c r="B2870" s="515" t="s">
        <v>594</v>
      </c>
      <c r="C2870" s="52">
        <v>387967.41721695301</v>
      </c>
      <c r="D2870" s="56">
        <v>2.3960446301847575E-2</v>
      </c>
      <c r="E2870" s="224">
        <v>1913.7962962962899</v>
      </c>
      <c r="F2870" s="515" t="s">
        <v>4317</v>
      </c>
      <c r="G2870" s="52">
        <v>489970.92551983299</v>
      </c>
      <c r="H2870" s="56">
        <v>8.5568884811869569E-2</v>
      </c>
      <c r="I2870" s="224">
        <v>1783.3333333333301</v>
      </c>
    </row>
    <row r="2871" spans="1:9" x14ac:dyDescent="0.25">
      <c r="A2871" s="515">
        <v>14225</v>
      </c>
      <c r="B2871" s="515" t="s">
        <v>336</v>
      </c>
      <c r="C2871" s="52">
        <v>191025.66368065501</v>
      </c>
      <c r="D2871" s="56">
        <v>7.3996653884539756E-2</v>
      </c>
      <c r="E2871" s="224" t="s">
        <v>2</v>
      </c>
      <c r="F2871" s="515" t="s">
        <v>4318</v>
      </c>
      <c r="G2871" s="52">
        <v>384750.99972938898</v>
      </c>
      <c r="H2871" s="56">
        <v>1.8676138197845766E-2</v>
      </c>
      <c r="I2871" s="224">
        <v>1720.25</v>
      </c>
    </row>
    <row r="2872" spans="1:9" x14ac:dyDescent="0.25">
      <c r="A2872" s="515">
        <v>22405</v>
      </c>
      <c r="B2872" s="515" t="s">
        <v>321</v>
      </c>
      <c r="C2872" s="52">
        <v>403986.48820108402</v>
      </c>
      <c r="D2872" s="56">
        <v>5.198526271697218E-2</v>
      </c>
      <c r="E2872" s="224">
        <v>2058.3333333333298</v>
      </c>
      <c r="F2872" s="515" t="s">
        <v>4319</v>
      </c>
      <c r="G2872" s="52">
        <v>299990.59196265199</v>
      </c>
      <c r="H2872" s="56">
        <v>5.4585838153415341E-2</v>
      </c>
      <c r="I2872" s="224" t="s">
        <v>2</v>
      </c>
    </row>
    <row r="2873" spans="1:9" x14ac:dyDescent="0.25">
      <c r="A2873" s="515">
        <v>98444</v>
      </c>
      <c r="B2873" s="515" t="s">
        <v>384</v>
      </c>
      <c r="C2873" s="52">
        <v>404735.12801911699</v>
      </c>
      <c r="D2873" s="56">
        <v>1.6983727327871699E-2</v>
      </c>
      <c r="E2873" s="224">
        <v>1770.9126984126899</v>
      </c>
      <c r="F2873" s="515" t="s">
        <v>4320</v>
      </c>
      <c r="G2873" s="52">
        <v>584486.51429335901</v>
      </c>
      <c r="H2873" s="56">
        <v>7.8289031292884295E-2</v>
      </c>
      <c r="I2873" s="224">
        <v>2282.1666666666601</v>
      </c>
    </row>
    <row r="2874" spans="1:9" x14ac:dyDescent="0.25">
      <c r="A2874" s="515">
        <v>80227</v>
      </c>
      <c r="B2874" s="515" t="s">
        <v>401</v>
      </c>
      <c r="C2874" s="52">
        <v>539449.53681544098</v>
      </c>
      <c r="D2874" s="56">
        <v>3.0330822243938734E-2</v>
      </c>
      <c r="E2874" s="224">
        <v>1734.3333333333301</v>
      </c>
      <c r="F2874" s="515" t="s">
        <v>533</v>
      </c>
      <c r="G2874" s="52">
        <v>389539.09296109201</v>
      </c>
      <c r="H2874" s="56">
        <v>6.8907289194971619E-2</v>
      </c>
      <c r="I2874" s="224" t="s">
        <v>2</v>
      </c>
    </row>
    <row r="2875" spans="1:9" x14ac:dyDescent="0.25">
      <c r="A2875" s="515">
        <v>14612</v>
      </c>
      <c r="B2875" s="515" t="s">
        <v>337</v>
      </c>
      <c r="C2875" s="52">
        <v>214862.11775095499</v>
      </c>
      <c r="D2875" s="56">
        <v>8.8114020979480095E-2</v>
      </c>
      <c r="E2875" s="224">
        <v>1255.25</v>
      </c>
      <c r="F2875" s="515" t="s">
        <v>4321</v>
      </c>
      <c r="G2875" s="52">
        <v>151795.462449435</v>
      </c>
      <c r="H2875" s="56">
        <v>6.9736344616082302E-2</v>
      </c>
      <c r="I2875" s="224">
        <v>1173.75</v>
      </c>
    </row>
    <row r="2876" spans="1:9" x14ac:dyDescent="0.25">
      <c r="A2876" s="515">
        <v>30269</v>
      </c>
      <c r="B2876" s="515" t="s">
        <v>957</v>
      </c>
      <c r="C2876" s="52">
        <v>484316.189938211</v>
      </c>
      <c r="D2876" s="56">
        <v>7.9207901123861404E-2</v>
      </c>
      <c r="E2876" s="224">
        <v>1916.4629629629601</v>
      </c>
      <c r="F2876" s="515" t="s">
        <v>844</v>
      </c>
      <c r="G2876" s="52">
        <v>327214.554042559</v>
      </c>
      <c r="H2876" s="56">
        <v>-1.5384573885631888E-2</v>
      </c>
      <c r="I2876" s="224" t="s">
        <v>2</v>
      </c>
    </row>
    <row r="2877" spans="1:9" x14ac:dyDescent="0.25">
      <c r="A2877" s="515">
        <v>70601</v>
      </c>
      <c r="B2877" s="515" t="s">
        <v>696</v>
      </c>
      <c r="C2877" s="52">
        <v>88596.880212345</v>
      </c>
      <c r="D2877" s="56">
        <v>5.9665863105051839E-4</v>
      </c>
      <c r="E2877" s="224">
        <v>978.75</v>
      </c>
      <c r="F2877" s="515" t="s">
        <v>4322</v>
      </c>
      <c r="G2877" s="52">
        <v>319059.62703970901</v>
      </c>
      <c r="H2877" s="56">
        <v>5.2820752510845004E-2</v>
      </c>
      <c r="I2877" s="224">
        <v>1776.55555555555</v>
      </c>
    </row>
    <row r="2878" spans="1:9" x14ac:dyDescent="0.25">
      <c r="A2878" s="515">
        <v>75904</v>
      </c>
      <c r="B2878" s="515" t="s">
        <v>1141</v>
      </c>
      <c r="C2878" s="52">
        <v>172175.72687883201</v>
      </c>
      <c r="D2878" s="56">
        <v>2.5246676338504165E-2</v>
      </c>
      <c r="E2878" s="224" t="s">
        <v>2</v>
      </c>
      <c r="F2878" s="515" t="s">
        <v>4323</v>
      </c>
      <c r="G2878" s="52">
        <v>122410.436854</v>
      </c>
      <c r="H2878" s="56">
        <v>5.8249802287158189E-2</v>
      </c>
      <c r="I2878" s="224" t="s">
        <v>2</v>
      </c>
    </row>
    <row r="2879" spans="1:9" x14ac:dyDescent="0.25">
      <c r="A2879" s="515">
        <v>84601</v>
      </c>
      <c r="B2879" s="515" t="s">
        <v>726</v>
      </c>
      <c r="C2879" s="52">
        <v>418408.80924067902</v>
      </c>
      <c r="D2879" s="56">
        <v>3.8492665097016349E-2</v>
      </c>
      <c r="E2879" s="224">
        <v>1337.5</v>
      </c>
      <c r="F2879" s="515" t="s">
        <v>4324</v>
      </c>
      <c r="G2879" s="52">
        <v>308962.44090377598</v>
      </c>
      <c r="H2879" s="56">
        <v>0.14939958336879119</v>
      </c>
      <c r="I2879" s="224" t="s">
        <v>2</v>
      </c>
    </row>
    <row r="2880" spans="1:9" x14ac:dyDescent="0.25">
      <c r="A2880" s="515">
        <v>27609</v>
      </c>
      <c r="B2880" s="515" t="s">
        <v>484</v>
      </c>
      <c r="C2880" s="52">
        <v>490183.98863278597</v>
      </c>
      <c r="D2880" s="56">
        <v>7.3899405305020122E-2</v>
      </c>
      <c r="E2880" s="224">
        <v>1738.00833333333</v>
      </c>
      <c r="F2880" s="515" t="s">
        <v>4325</v>
      </c>
      <c r="G2880" s="52">
        <v>125491.710175766</v>
      </c>
      <c r="H2880" s="56">
        <v>0.16423760605426441</v>
      </c>
      <c r="I2880" s="224" t="s">
        <v>2</v>
      </c>
    </row>
    <row r="2881" spans="1:9" x14ac:dyDescent="0.25">
      <c r="A2881" s="515">
        <v>44122</v>
      </c>
      <c r="B2881" s="515" t="s">
        <v>520</v>
      </c>
      <c r="C2881" s="52">
        <v>298886.53443589399</v>
      </c>
      <c r="D2881" s="56">
        <v>8.4215015147933323E-2</v>
      </c>
      <c r="E2881" s="224">
        <v>1736.81349206349</v>
      </c>
      <c r="F2881" s="515" t="s">
        <v>4326</v>
      </c>
      <c r="G2881" s="52">
        <v>730738.18009851605</v>
      </c>
      <c r="H2881" s="56">
        <v>3.4790890005797832E-2</v>
      </c>
      <c r="I2881" s="224" t="s">
        <v>2</v>
      </c>
    </row>
    <row r="2882" spans="1:9" x14ac:dyDescent="0.25">
      <c r="A2882" s="515">
        <v>28803</v>
      </c>
      <c r="B2882" s="515" t="s">
        <v>668</v>
      </c>
      <c r="C2882" s="52">
        <v>426328.37287225702</v>
      </c>
      <c r="D2882" s="56">
        <v>0.10476284284137266</v>
      </c>
      <c r="E2882" s="224">
        <v>1750.7777777777701</v>
      </c>
      <c r="F2882" s="515" t="s">
        <v>1049</v>
      </c>
      <c r="G2882" s="52">
        <v>141537.086545692</v>
      </c>
      <c r="H2882" s="56">
        <v>9.5481702951335276E-2</v>
      </c>
      <c r="I2882" s="224" t="s">
        <v>2</v>
      </c>
    </row>
    <row r="2883" spans="1:9" x14ac:dyDescent="0.25">
      <c r="A2883" s="515">
        <v>7103</v>
      </c>
      <c r="B2883" s="515" t="s">
        <v>324</v>
      </c>
      <c r="C2883" s="52">
        <v>322883.70164348697</v>
      </c>
      <c r="D2883" s="56">
        <v>5.7327322480466902E-2</v>
      </c>
      <c r="E2883" s="224">
        <v>1899.5476190476099</v>
      </c>
      <c r="F2883" s="515" t="s">
        <v>4327</v>
      </c>
      <c r="G2883" s="52">
        <v>325373.306809842</v>
      </c>
      <c r="H2883" s="56">
        <v>8.0875309754409638E-2</v>
      </c>
      <c r="I2883" s="224">
        <v>1946.4722222222199</v>
      </c>
    </row>
    <row r="2884" spans="1:9" x14ac:dyDescent="0.25">
      <c r="A2884" s="515">
        <v>98499</v>
      </c>
      <c r="B2884" s="515" t="s">
        <v>384</v>
      </c>
      <c r="C2884" s="52">
        <v>436476.00527787901</v>
      </c>
      <c r="D2884" s="56">
        <v>3.5263167214655109E-3</v>
      </c>
      <c r="E2884" s="224">
        <v>1685.125</v>
      </c>
      <c r="F2884" s="515" t="s">
        <v>4328</v>
      </c>
      <c r="G2884" s="52">
        <v>378785.15365300898</v>
      </c>
      <c r="H2884" s="56">
        <v>4.078730721853753E-2</v>
      </c>
      <c r="I2884" s="224" t="s">
        <v>2</v>
      </c>
    </row>
    <row r="2885" spans="1:9" x14ac:dyDescent="0.25">
      <c r="A2885" s="515">
        <v>85120</v>
      </c>
      <c r="B2885" s="515" t="s">
        <v>563</v>
      </c>
      <c r="C2885" s="52">
        <v>338255.74347715598</v>
      </c>
      <c r="D2885" s="56">
        <v>2.3905338639143323E-2</v>
      </c>
      <c r="E2885" s="224" t="s">
        <v>2</v>
      </c>
      <c r="F2885" s="515" t="s">
        <v>493</v>
      </c>
      <c r="G2885" s="52">
        <v>96418.918957697504</v>
      </c>
      <c r="H2885" s="56">
        <v>6.8435191803831827E-2</v>
      </c>
      <c r="I2885" s="224" t="s">
        <v>2</v>
      </c>
    </row>
    <row r="2886" spans="1:9" x14ac:dyDescent="0.25">
      <c r="A2886" s="515">
        <v>98901</v>
      </c>
      <c r="B2886" s="515" t="s">
        <v>948</v>
      </c>
      <c r="C2886" s="52">
        <v>292514.58527206897</v>
      </c>
      <c r="D2886" s="56">
        <v>5.0864086741622974E-2</v>
      </c>
      <c r="E2886" s="224" t="s">
        <v>2</v>
      </c>
      <c r="F2886" s="515" t="s">
        <v>4329</v>
      </c>
      <c r="G2886" s="52">
        <v>271108.49399860197</v>
      </c>
      <c r="H2886" s="56">
        <v>1.3440787513956033E-2</v>
      </c>
      <c r="I2886" s="224" t="s">
        <v>2</v>
      </c>
    </row>
    <row r="2887" spans="1:9" x14ac:dyDescent="0.25">
      <c r="A2887" s="515">
        <v>29609</v>
      </c>
      <c r="B2887" s="515" t="s">
        <v>613</v>
      </c>
      <c r="C2887" s="52">
        <v>288456.88311936799</v>
      </c>
      <c r="D2887" s="56">
        <v>0.12630464208096551</v>
      </c>
      <c r="E2887" s="224">
        <v>1589.1481481481401</v>
      </c>
      <c r="F2887" s="515" t="s">
        <v>4330</v>
      </c>
      <c r="G2887" s="52">
        <v>622113.85445352003</v>
      </c>
      <c r="H2887" s="56">
        <v>7.4778932168505799E-2</v>
      </c>
      <c r="I2887" s="224">
        <v>1955</v>
      </c>
    </row>
    <row r="2888" spans="1:9" x14ac:dyDescent="0.25">
      <c r="A2888" s="515">
        <v>92231</v>
      </c>
      <c r="B2888" s="515" t="s">
        <v>621</v>
      </c>
      <c r="C2888" s="52">
        <v>312111.58500187902</v>
      </c>
      <c r="D2888" s="56">
        <v>1.8095191640223121E-2</v>
      </c>
      <c r="E2888" s="224" t="s">
        <v>2</v>
      </c>
      <c r="F2888" s="515" t="s">
        <v>4331</v>
      </c>
      <c r="G2888" s="52">
        <v>346332.64703915903</v>
      </c>
      <c r="H2888" s="56">
        <v>0.1151851392598925</v>
      </c>
      <c r="I2888" s="224">
        <v>3686.5</v>
      </c>
    </row>
    <row r="2889" spans="1:9" x14ac:dyDescent="0.25">
      <c r="A2889" s="515">
        <v>30094</v>
      </c>
      <c r="B2889" s="515" t="s">
        <v>957</v>
      </c>
      <c r="C2889" s="52">
        <v>312051.34395730903</v>
      </c>
      <c r="D2889" s="56">
        <v>0.10846606333570886</v>
      </c>
      <c r="E2889" s="224">
        <v>1968.1111111111099</v>
      </c>
      <c r="F2889" s="515" t="s">
        <v>4332</v>
      </c>
      <c r="G2889" s="52">
        <v>226278.976912057</v>
      </c>
      <c r="H2889" s="56">
        <v>5.0961843814281683E-2</v>
      </c>
      <c r="I2889" s="224">
        <v>937.5</v>
      </c>
    </row>
    <row r="2890" spans="1:9" x14ac:dyDescent="0.25">
      <c r="A2890" s="515">
        <v>33180</v>
      </c>
      <c r="B2890" s="515" t="s">
        <v>831</v>
      </c>
      <c r="C2890" s="52">
        <v>514250.49018634</v>
      </c>
      <c r="D2890" s="56">
        <v>0.24402187638447922</v>
      </c>
      <c r="E2890" s="224">
        <v>3443.3231162196598</v>
      </c>
      <c r="F2890" s="515" t="s">
        <v>4333</v>
      </c>
      <c r="G2890" s="52">
        <v>590696.05607105698</v>
      </c>
      <c r="H2890" s="56">
        <v>3.0347962568890233E-2</v>
      </c>
      <c r="I2890" s="224">
        <v>2465</v>
      </c>
    </row>
    <row r="2891" spans="1:9" x14ac:dyDescent="0.25">
      <c r="A2891" s="515">
        <v>21212</v>
      </c>
      <c r="B2891" s="515" t="s">
        <v>582</v>
      </c>
      <c r="C2891" s="52">
        <v>298507.51533029799</v>
      </c>
      <c r="D2891" s="56">
        <v>5.1070330563487996E-2</v>
      </c>
      <c r="E2891" s="224">
        <v>1610.2833333333299</v>
      </c>
      <c r="F2891" s="515" t="s">
        <v>4334</v>
      </c>
      <c r="G2891" s="52">
        <v>429304.73219144298</v>
      </c>
      <c r="H2891" s="56">
        <v>5.6109963829765248E-2</v>
      </c>
      <c r="I2891" s="224">
        <v>1512.5</v>
      </c>
    </row>
    <row r="2892" spans="1:9" x14ac:dyDescent="0.25">
      <c r="A2892" s="515">
        <v>44095</v>
      </c>
      <c r="B2892" s="515" t="s">
        <v>520</v>
      </c>
      <c r="C2892" s="52">
        <v>165590.76468147599</v>
      </c>
      <c r="D2892" s="56">
        <v>7.4991111918396164E-2</v>
      </c>
      <c r="E2892" s="224">
        <v>1285.5</v>
      </c>
      <c r="F2892" s="515" t="s">
        <v>4335</v>
      </c>
      <c r="G2892" s="52">
        <v>269096.48968211602</v>
      </c>
      <c r="H2892" s="56">
        <v>3.676654355491072E-2</v>
      </c>
      <c r="I2892" s="224">
        <v>1825</v>
      </c>
    </row>
    <row r="2893" spans="1:9" x14ac:dyDescent="0.25">
      <c r="A2893" s="515">
        <v>19132</v>
      </c>
      <c r="B2893" s="515" t="s">
        <v>294</v>
      </c>
      <c r="C2893" s="52">
        <v>74123.491253735105</v>
      </c>
      <c r="D2893" s="56">
        <v>0.37843516801239035</v>
      </c>
      <c r="E2893" s="224">
        <v>1124.4166666666599</v>
      </c>
      <c r="F2893" s="515" t="s">
        <v>4336</v>
      </c>
      <c r="G2893" s="52">
        <v>480418.104577069</v>
      </c>
      <c r="H2893" s="56">
        <v>2.1369253131051799E-2</v>
      </c>
      <c r="I2893" s="224" t="s">
        <v>2</v>
      </c>
    </row>
    <row r="2894" spans="1:9" x14ac:dyDescent="0.25">
      <c r="A2894" s="515">
        <v>44121</v>
      </c>
      <c r="B2894" s="515" t="s">
        <v>520</v>
      </c>
      <c r="C2894" s="52">
        <v>147887.73431168901</v>
      </c>
      <c r="D2894" s="56">
        <v>7.047880998035716E-2</v>
      </c>
      <c r="E2894" s="224">
        <v>1419.5</v>
      </c>
      <c r="F2894" s="515" t="s">
        <v>4337</v>
      </c>
      <c r="G2894" s="52">
        <v>554843.22304832796</v>
      </c>
      <c r="H2894" s="56">
        <v>1.5151667089056372E-2</v>
      </c>
      <c r="I2894" s="224">
        <v>1931.6666666666599</v>
      </c>
    </row>
    <row r="2895" spans="1:9" x14ac:dyDescent="0.25">
      <c r="A2895" s="515">
        <v>30008</v>
      </c>
      <c r="B2895" s="515" t="s">
        <v>957</v>
      </c>
      <c r="C2895" s="52">
        <v>308800.43787336501</v>
      </c>
      <c r="D2895" s="56">
        <v>0.10801983386040846</v>
      </c>
      <c r="E2895" s="224">
        <v>1828.5</v>
      </c>
      <c r="F2895" s="515" t="s">
        <v>4338</v>
      </c>
      <c r="G2895" s="52">
        <v>257933.52026744999</v>
      </c>
      <c r="H2895" s="56">
        <v>5.0950048051475655E-2</v>
      </c>
      <c r="I2895" s="224">
        <v>1619.44444444444</v>
      </c>
    </row>
    <row r="2896" spans="1:9" x14ac:dyDescent="0.25">
      <c r="A2896" s="515">
        <v>8723</v>
      </c>
      <c r="B2896" s="515" t="s">
        <v>324</v>
      </c>
      <c r="C2896" s="52">
        <v>412549.45176585001</v>
      </c>
      <c r="D2896" s="56">
        <v>7.5638416142772461E-2</v>
      </c>
      <c r="E2896" s="224" t="s">
        <v>2</v>
      </c>
      <c r="F2896" s="515" t="s">
        <v>4339</v>
      </c>
      <c r="G2896" s="52">
        <v>205272.790989178</v>
      </c>
      <c r="H2896" s="56">
        <v>8.7522851063881885E-2</v>
      </c>
      <c r="I2896" s="224">
        <v>1065</v>
      </c>
    </row>
    <row r="2897" spans="1:9" x14ac:dyDescent="0.25">
      <c r="A2897" s="515">
        <v>20016</v>
      </c>
      <c r="B2897" s="515" t="s">
        <v>321</v>
      </c>
      <c r="C2897" s="52">
        <v>1104240.1089884101</v>
      </c>
      <c r="D2897" s="56">
        <v>-1.4654636885137498E-4</v>
      </c>
      <c r="E2897" s="224">
        <v>2672.3092592592502</v>
      </c>
      <c r="F2897" s="515" t="s">
        <v>4340</v>
      </c>
      <c r="G2897" s="52">
        <v>271421.59557403199</v>
      </c>
      <c r="H2897" s="56">
        <v>9.4310950516060074E-2</v>
      </c>
      <c r="I2897" s="224">
        <v>2347.1777777777702</v>
      </c>
    </row>
    <row r="2898" spans="1:9" x14ac:dyDescent="0.25">
      <c r="A2898" s="515">
        <v>85050</v>
      </c>
      <c r="B2898" s="515" t="s">
        <v>563</v>
      </c>
      <c r="C2898" s="52">
        <v>572974.06905503897</v>
      </c>
      <c r="D2898" s="56">
        <v>3.0515525564976387E-2</v>
      </c>
      <c r="E2898" s="224">
        <v>2692.6944444444398</v>
      </c>
      <c r="F2898" s="515" t="s">
        <v>4341</v>
      </c>
      <c r="G2898" s="52">
        <v>182218.04211356299</v>
      </c>
      <c r="H2898" s="56">
        <v>0.15089500659613936</v>
      </c>
      <c r="I2898" s="224">
        <v>825</v>
      </c>
    </row>
    <row r="2899" spans="1:9" x14ac:dyDescent="0.25">
      <c r="A2899" s="515">
        <v>90222</v>
      </c>
      <c r="B2899" s="515" t="s">
        <v>375</v>
      </c>
      <c r="C2899" s="52">
        <v>550870.13374082302</v>
      </c>
      <c r="D2899" s="56">
        <v>7.8895985859068971E-2</v>
      </c>
      <c r="E2899" s="224" t="s">
        <v>2</v>
      </c>
      <c r="F2899" s="515" t="s">
        <v>4342</v>
      </c>
      <c r="G2899" s="52">
        <v>289353.231577578</v>
      </c>
      <c r="H2899" s="56">
        <v>8.7346831524264326E-2</v>
      </c>
      <c r="I2899" s="224" t="s">
        <v>2</v>
      </c>
    </row>
    <row r="2900" spans="1:9" x14ac:dyDescent="0.25">
      <c r="A2900" s="515">
        <v>44805</v>
      </c>
      <c r="B2900" s="515" t="s">
        <v>305</v>
      </c>
      <c r="C2900" s="52">
        <v>185762.46630702799</v>
      </c>
      <c r="D2900" s="56">
        <v>6.8108641952621854E-2</v>
      </c>
      <c r="E2900" s="224">
        <v>670.66666666666595</v>
      </c>
      <c r="F2900" s="515" t="s">
        <v>4343</v>
      </c>
      <c r="G2900" s="52">
        <v>736719.527419816</v>
      </c>
      <c r="H2900" s="56">
        <v>8.0436134345043903E-2</v>
      </c>
      <c r="I2900" s="224">
        <v>2949.2287157287101</v>
      </c>
    </row>
    <row r="2901" spans="1:9" x14ac:dyDescent="0.25">
      <c r="A2901" s="515">
        <v>28405</v>
      </c>
      <c r="B2901" s="515" t="s">
        <v>1038</v>
      </c>
      <c r="C2901" s="52">
        <v>330534.09174735699</v>
      </c>
      <c r="D2901" s="56">
        <v>0.13724953892382216</v>
      </c>
      <c r="E2901" s="224">
        <v>1697.6666666666599</v>
      </c>
      <c r="F2901" s="515" t="s">
        <v>4344</v>
      </c>
      <c r="G2901" s="52">
        <v>414854.13281191298</v>
      </c>
      <c r="H2901" s="56">
        <v>4.8040890972666457E-2</v>
      </c>
      <c r="I2901" s="224" t="s">
        <v>2</v>
      </c>
    </row>
    <row r="2902" spans="1:9" x14ac:dyDescent="0.25">
      <c r="A2902" s="515">
        <v>95118</v>
      </c>
      <c r="B2902" s="515" t="s">
        <v>850</v>
      </c>
      <c r="C2902" s="52">
        <v>1376776.6955681201</v>
      </c>
      <c r="D2902" s="56">
        <v>6.1676135008692672E-2</v>
      </c>
      <c r="E2902" s="224">
        <v>3551.9444444444398</v>
      </c>
      <c r="F2902" s="515" t="s">
        <v>4345</v>
      </c>
      <c r="G2902" s="52">
        <v>428618.43479498598</v>
      </c>
      <c r="H2902" s="56">
        <v>6.5654809332415756E-2</v>
      </c>
      <c r="I2902" s="224" t="s">
        <v>2</v>
      </c>
    </row>
    <row r="2903" spans="1:9" x14ac:dyDescent="0.25">
      <c r="A2903" s="515">
        <v>99352</v>
      </c>
      <c r="B2903" s="515" t="s">
        <v>1068</v>
      </c>
      <c r="C2903" s="52">
        <v>463902.43452437501</v>
      </c>
      <c r="D2903" s="56">
        <v>6.0397632820436122E-2</v>
      </c>
      <c r="E2903" s="224">
        <v>1724.7</v>
      </c>
      <c r="F2903" s="515" t="s">
        <v>4346</v>
      </c>
      <c r="G2903" s="52">
        <v>188114.713824078</v>
      </c>
      <c r="H2903" s="56">
        <v>5.2018433448154093E-2</v>
      </c>
      <c r="I2903" s="224" t="s">
        <v>2</v>
      </c>
    </row>
    <row r="2904" spans="1:9" x14ac:dyDescent="0.25">
      <c r="A2904" s="515">
        <v>64055</v>
      </c>
      <c r="B2904" s="515" t="s">
        <v>455</v>
      </c>
      <c r="C2904" s="52">
        <v>202372.81994593999</v>
      </c>
      <c r="D2904" s="56">
        <v>0.10853865892125178</v>
      </c>
      <c r="E2904" s="224">
        <v>1238.3583333333299</v>
      </c>
      <c r="F2904" s="515" t="s">
        <v>4347</v>
      </c>
      <c r="G2904" s="52">
        <v>395445.37609065103</v>
      </c>
      <c r="H2904" s="56">
        <v>9.9486903719133823E-2</v>
      </c>
      <c r="I2904" s="224">
        <v>2325.4063492063401</v>
      </c>
    </row>
    <row r="2905" spans="1:9" x14ac:dyDescent="0.25">
      <c r="A2905" s="515">
        <v>46342</v>
      </c>
      <c r="B2905" s="515" t="s">
        <v>394</v>
      </c>
      <c r="C2905" s="52">
        <v>207635.50588977701</v>
      </c>
      <c r="D2905" s="56">
        <v>0.10179289227712576</v>
      </c>
      <c r="E2905" s="224" t="s">
        <v>2</v>
      </c>
      <c r="F2905" s="515" t="s">
        <v>4348</v>
      </c>
      <c r="G2905" s="52">
        <v>199647.42002623901</v>
      </c>
      <c r="H2905" s="56">
        <v>7.2100364282244936E-2</v>
      </c>
      <c r="I2905" s="224" t="s">
        <v>2</v>
      </c>
    </row>
    <row r="2906" spans="1:9" x14ac:dyDescent="0.25">
      <c r="A2906" s="515">
        <v>32084</v>
      </c>
      <c r="B2906" s="515" t="s">
        <v>1158</v>
      </c>
      <c r="C2906" s="52">
        <v>361929.66249955201</v>
      </c>
      <c r="D2906" s="56">
        <v>0.14649182619865569</v>
      </c>
      <c r="E2906" s="224">
        <v>1930.4761904761899</v>
      </c>
      <c r="F2906" s="515" t="s">
        <v>4349</v>
      </c>
      <c r="G2906" s="52">
        <v>592929.95055792097</v>
      </c>
      <c r="H2906" s="56">
        <v>3.7174118103526964E-2</v>
      </c>
      <c r="I2906" s="224">
        <v>1990.8999999999901</v>
      </c>
    </row>
    <row r="2907" spans="1:9" x14ac:dyDescent="0.25">
      <c r="A2907" s="515">
        <v>35630</v>
      </c>
      <c r="B2907" s="515" t="s">
        <v>1100</v>
      </c>
      <c r="C2907" s="52">
        <v>137059.15321544599</v>
      </c>
      <c r="D2907" s="56">
        <v>0.10613480107576394</v>
      </c>
      <c r="E2907" s="224">
        <v>921.11111111111097</v>
      </c>
      <c r="F2907" s="515" t="s">
        <v>4350</v>
      </c>
      <c r="G2907" s="52">
        <v>1620447.6421645901</v>
      </c>
      <c r="H2907" s="56">
        <v>0.10453393967532529</v>
      </c>
      <c r="I2907" s="224" t="s">
        <v>2</v>
      </c>
    </row>
    <row r="2908" spans="1:9" x14ac:dyDescent="0.25">
      <c r="A2908" s="515">
        <v>60441</v>
      </c>
      <c r="B2908" s="515" t="s">
        <v>394</v>
      </c>
      <c r="C2908" s="52">
        <v>284386.53922307701</v>
      </c>
      <c r="D2908" s="56">
        <v>6.8479376607135586E-2</v>
      </c>
      <c r="E2908" s="224">
        <v>1950.8333333333301</v>
      </c>
      <c r="F2908" s="515" t="s">
        <v>4351</v>
      </c>
      <c r="G2908" s="52">
        <v>197040.07991366801</v>
      </c>
      <c r="H2908" s="56">
        <v>5.571128161483474E-2</v>
      </c>
      <c r="I2908" s="224">
        <v>1537.88888888888</v>
      </c>
    </row>
    <row r="2909" spans="1:9" x14ac:dyDescent="0.25">
      <c r="A2909" s="515">
        <v>75232</v>
      </c>
      <c r="B2909" s="515" t="s">
        <v>458</v>
      </c>
      <c r="C2909" s="52">
        <v>237815.41859173699</v>
      </c>
      <c r="D2909" s="56">
        <v>0.13450807833434042</v>
      </c>
      <c r="E2909" s="224" t="s">
        <v>2</v>
      </c>
      <c r="F2909" s="515" t="s">
        <v>1128</v>
      </c>
      <c r="G2909" s="52">
        <v>167517.14439813801</v>
      </c>
      <c r="H2909" s="56">
        <v>0.23973923879185005</v>
      </c>
      <c r="I2909" s="224" t="s">
        <v>2</v>
      </c>
    </row>
    <row r="2910" spans="1:9" x14ac:dyDescent="0.25">
      <c r="A2910" s="515">
        <v>89142</v>
      </c>
      <c r="B2910" s="515" t="s">
        <v>323</v>
      </c>
      <c r="C2910" s="52">
        <v>333222.15034305397</v>
      </c>
      <c r="D2910" s="56">
        <v>6.2871324320256897E-2</v>
      </c>
      <c r="E2910" s="224">
        <v>1784.4166666666599</v>
      </c>
      <c r="F2910" s="515" t="s">
        <v>4352</v>
      </c>
      <c r="G2910" s="52">
        <v>223633.58215988599</v>
      </c>
      <c r="H2910" s="56">
        <v>2.7511326366701928E-2</v>
      </c>
      <c r="I2910" s="224" t="s">
        <v>2</v>
      </c>
    </row>
    <row r="2911" spans="1:9" x14ac:dyDescent="0.25">
      <c r="A2911" s="515">
        <v>72956</v>
      </c>
      <c r="B2911" s="515" t="s">
        <v>326</v>
      </c>
      <c r="C2911" s="52">
        <v>167111.99564213501</v>
      </c>
      <c r="D2911" s="56">
        <v>7.3364955084670697E-2</v>
      </c>
      <c r="E2911" s="224" t="s">
        <v>2</v>
      </c>
      <c r="F2911" s="515" t="s">
        <v>4353</v>
      </c>
      <c r="G2911" s="52">
        <v>208057.46019776401</v>
      </c>
      <c r="H2911" s="56">
        <v>0.11388869259507341</v>
      </c>
      <c r="I2911" s="224" t="s">
        <v>2</v>
      </c>
    </row>
    <row r="2912" spans="1:9" x14ac:dyDescent="0.25">
      <c r="A2912" s="515">
        <v>93001</v>
      </c>
      <c r="B2912" s="515" t="s">
        <v>1021</v>
      </c>
      <c r="C2912" s="52">
        <v>875695.32614225196</v>
      </c>
      <c r="D2912" s="56">
        <v>5.6128992314473498E-2</v>
      </c>
      <c r="E2912" s="224">
        <v>3091.3472222222199</v>
      </c>
      <c r="F2912" s="515" t="s">
        <v>4354</v>
      </c>
      <c r="G2912" s="52">
        <v>264285.170481993</v>
      </c>
      <c r="H2912" s="56">
        <v>9.1513853109693621E-2</v>
      </c>
      <c r="I2912" s="224" t="s">
        <v>2</v>
      </c>
    </row>
    <row r="2913" spans="1:9" x14ac:dyDescent="0.25">
      <c r="A2913" s="515">
        <v>28348</v>
      </c>
      <c r="B2913" s="515" t="s">
        <v>1149</v>
      </c>
      <c r="C2913" s="52">
        <v>207403.02138848999</v>
      </c>
      <c r="D2913" s="56">
        <v>0.15999817574773675</v>
      </c>
      <c r="E2913" s="224">
        <v>1422.56666666666</v>
      </c>
      <c r="F2913" s="515" t="s">
        <v>4355</v>
      </c>
      <c r="G2913" s="52">
        <v>260871.511300215</v>
      </c>
      <c r="H2913" s="56">
        <v>8.7194183223616439E-2</v>
      </c>
      <c r="I2913" s="224" t="s">
        <v>2</v>
      </c>
    </row>
    <row r="2914" spans="1:9" x14ac:dyDescent="0.25">
      <c r="A2914" s="515">
        <v>29680</v>
      </c>
      <c r="B2914" s="515" t="s">
        <v>613</v>
      </c>
      <c r="C2914" s="52">
        <v>318251.00653793599</v>
      </c>
      <c r="D2914" s="56">
        <v>0.11470272538157583</v>
      </c>
      <c r="E2914" s="224">
        <v>1715.9841269841199</v>
      </c>
      <c r="F2914" s="515" t="s">
        <v>4356</v>
      </c>
      <c r="G2914" s="52">
        <v>751165.180622958</v>
      </c>
      <c r="H2914" s="56">
        <v>4.81018150579152E-2</v>
      </c>
      <c r="I2914" s="224" t="s">
        <v>2</v>
      </c>
    </row>
    <row r="2915" spans="1:9" x14ac:dyDescent="0.25">
      <c r="A2915" s="515">
        <v>60202</v>
      </c>
      <c r="B2915" s="515" t="s">
        <v>394</v>
      </c>
      <c r="C2915" s="52">
        <v>323691.17156539898</v>
      </c>
      <c r="D2915" s="56">
        <v>7.6116094385219788E-4</v>
      </c>
      <c r="E2915" s="224">
        <v>1765.2813390313299</v>
      </c>
      <c r="F2915" s="515" t="s">
        <v>4357</v>
      </c>
      <c r="G2915" s="52">
        <v>182507.197935056</v>
      </c>
      <c r="H2915" s="56">
        <v>0.12186870713779668</v>
      </c>
      <c r="I2915" s="224" t="s">
        <v>2</v>
      </c>
    </row>
    <row r="2916" spans="1:9" x14ac:dyDescent="0.25">
      <c r="A2916" s="515">
        <v>31404</v>
      </c>
      <c r="B2916" s="515" t="s">
        <v>351</v>
      </c>
      <c r="C2916" s="52">
        <v>209309.65058940501</v>
      </c>
      <c r="D2916" s="56">
        <v>0.30158244426433578</v>
      </c>
      <c r="E2916" s="224">
        <v>1676.9555555555501</v>
      </c>
      <c r="F2916" s="515" t="s">
        <v>4358</v>
      </c>
      <c r="G2916" s="52">
        <v>618023.64937218104</v>
      </c>
      <c r="H2916" s="56">
        <v>3.7343385031341346E-2</v>
      </c>
      <c r="I2916" s="224">
        <v>2226.25238095238</v>
      </c>
    </row>
    <row r="2917" spans="1:9" x14ac:dyDescent="0.25">
      <c r="A2917" s="515">
        <v>68521</v>
      </c>
      <c r="B2917" s="515" t="s">
        <v>486</v>
      </c>
      <c r="C2917" s="52">
        <v>252938.02979428199</v>
      </c>
      <c r="D2917" s="56">
        <v>6.3342111788347269E-2</v>
      </c>
      <c r="E2917" s="224">
        <v>1314.48809523809</v>
      </c>
      <c r="F2917" s="515" t="s">
        <v>4359</v>
      </c>
      <c r="G2917" s="52">
        <v>279018.24635233299</v>
      </c>
      <c r="H2917" s="56">
        <v>6.7904293037400434E-2</v>
      </c>
      <c r="I2917" s="224" t="s">
        <v>2</v>
      </c>
    </row>
    <row r="2918" spans="1:9" x14ac:dyDescent="0.25">
      <c r="A2918" s="515">
        <v>7410</v>
      </c>
      <c r="B2918" s="515" t="s">
        <v>324</v>
      </c>
      <c r="C2918" s="52">
        <v>542034.34173011</v>
      </c>
      <c r="D2918" s="56">
        <v>4.7392640139738242E-2</v>
      </c>
      <c r="E2918" s="224" t="s">
        <v>2</v>
      </c>
      <c r="F2918" s="515" t="s">
        <v>4360</v>
      </c>
      <c r="G2918" s="52">
        <v>119320.01904493</v>
      </c>
      <c r="H2918" s="56">
        <v>0.11413396921696223</v>
      </c>
      <c r="I2918" s="224" t="s">
        <v>2</v>
      </c>
    </row>
    <row r="2919" spans="1:9" x14ac:dyDescent="0.25">
      <c r="A2919" s="515">
        <v>14086</v>
      </c>
      <c r="B2919" s="515" t="s">
        <v>336</v>
      </c>
      <c r="C2919" s="52">
        <v>311423.49724159599</v>
      </c>
      <c r="D2919" s="56">
        <v>7.2960021522690988E-2</v>
      </c>
      <c r="E2919" s="224">
        <v>1340</v>
      </c>
      <c r="F2919" s="515" t="s">
        <v>4361</v>
      </c>
      <c r="G2919" s="52">
        <v>305089.45338212798</v>
      </c>
      <c r="H2919" s="56">
        <v>7.8176969721405545E-2</v>
      </c>
      <c r="I2919" s="224" t="s">
        <v>2</v>
      </c>
    </row>
    <row r="2920" spans="1:9" x14ac:dyDescent="0.25">
      <c r="A2920" s="515">
        <v>92058</v>
      </c>
      <c r="B2920" s="515" t="s">
        <v>396</v>
      </c>
      <c r="C2920" s="52">
        <v>670726.61919921904</v>
      </c>
      <c r="D2920" s="56">
        <v>5.1149935466659857E-2</v>
      </c>
      <c r="E2920" s="224">
        <v>2790.74074074074</v>
      </c>
      <c r="F2920" s="515" t="s">
        <v>4362</v>
      </c>
      <c r="G2920" s="52">
        <v>239435.06437762201</v>
      </c>
      <c r="H2920" s="56">
        <v>0.12159032180349434</v>
      </c>
      <c r="I2920" s="224">
        <v>1446.6666666666599</v>
      </c>
    </row>
    <row r="2921" spans="1:9" x14ac:dyDescent="0.25">
      <c r="A2921" s="515">
        <v>37217</v>
      </c>
      <c r="B2921" s="515" t="s">
        <v>684</v>
      </c>
      <c r="C2921" s="52">
        <v>320226.543571794</v>
      </c>
      <c r="D2921" s="56">
        <v>9.9639010756489357E-2</v>
      </c>
      <c r="E2921" s="224">
        <v>1513.70606060606</v>
      </c>
      <c r="F2921" s="515" t="s">
        <v>4363</v>
      </c>
      <c r="G2921" s="52">
        <v>380655.48768262099</v>
      </c>
      <c r="H2921" s="56">
        <v>7.6490386454325376E-2</v>
      </c>
      <c r="I2921" s="224">
        <v>2167.3611111111099</v>
      </c>
    </row>
    <row r="2922" spans="1:9" x14ac:dyDescent="0.25">
      <c r="A2922" s="515">
        <v>73110</v>
      </c>
      <c r="B2922" s="515" t="s">
        <v>385</v>
      </c>
      <c r="C2922" s="52">
        <v>131505.663561219</v>
      </c>
      <c r="D2922" s="56">
        <v>0.15961582558882267</v>
      </c>
      <c r="E2922" s="224">
        <v>1013.81746031746</v>
      </c>
      <c r="F2922" s="515" t="s">
        <v>4364</v>
      </c>
      <c r="G2922" s="52">
        <v>143135.55753106499</v>
      </c>
      <c r="H2922" s="56">
        <v>7.2033090670085412E-2</v>
      </c>
      <c r="I2922" s="224" t="s">
        <v>2</v>
      </c>
    </row>
    <row r="2923" spans="1:9" x14ac:dyDescent="0.25">
      <c r="A2923" s="515">
        <v>53216</v>
      </c>
      <c r="B2923" s="515" t="s">
        <v>950</v>
      </c>
      <c r="C2923" s="52">
        <v>139524.89230904999</v>
      </c>
      <c r="D2923" s="56">
        <v>5.0881462922935952E-2</v>
      </c>
      <c r="E2923" s="224">
        <v>992.694444444444</v>
      </c>
      <c r="F2923" s="515" t="s">
        <v>692</v>
      </c>
      <c r="G2923" s="52">
        <v>412415.75555580499</v>
      </c>
      <c r="H2923" s="56">
        <v>4.8074252829123462E-2</v>
      </c>
      <c r="I2923" s="224" t="s">
        <v>2</v>
      </c>
    </row>
    <row r="2924" spans="1:9" x14ac:dyDescent="0.25">
      <c r="A2924" s="515">
        <v>46526</v>
      </c>
      <c r="B2924" s="515" t="s">
        <v>1170</v>
      </c>
      <c r="C2924" s="52">
        <v>229567.55383230001</v>
      </c>
      <c r="D2924" s="56">
        <v>6.3277618532131458E-2</v>
      </c>
      <c r="E2924" s="224">
        <v>1199.1666666666599</v>
      </c>
      <c r="F2924" s="515" t="s">
        <v>4365</v>
      </c>
      <c r="G2924" s="52">
        <v>278867.004164471</v>
      </c>
      <c r="H2924" s="56">
        <v>4.9830259428610031E-2</v>
      </c>
      <c r="I2924" s="224" t="s">
        <v>2</v>
      </c>
    </row>
    <row r="2925" spans="1:9" x14ac:dyDescent="0.25">
      <c r="A2925" s="515">
        <v>22207</v>
      </c>
      <c r="B2925" s="515" t="s">
        <v>321</v>
      </c>
      <c r="C2925" s="52">
        <v>1164713.3972859799</v>
      </c>
      <c r="D2925" s="56">
        <v>3.1929544306494466E-2</v>
      </c>
      <c r="E2925" s="224">
        <v>3575</v>
      </c>
      <c r="F2925" s="515" t="s">
        <v>4366</v>
      </c>
      <c r="G2925" s="52">
        <v>392063.09965613601</v>
      </c>
      <c r="H2925" s="56">
        <v>1.0070140338400669E-2</v>
      </c>
      <c r="I2925" s="224" t="s">
        <v>2</v>
      </c>
    </row>
    <row r="2926" spans="1:9" x14ac:dyDescent="0.25">
      <c r="A2926" s="515">
        <v>70131</v>
      </c>
      <c r="B2926" s="515" t="s">
        <v>777</v>
      </c>
      <c r="C2926" s="52">
        <v>226402.35503425001</v>
      </c>
      <c r="D2926" s="56">
        <v>2.3953452451903837E-2</v>
      </c>
      <c r="E2926" s="224">
        <v>1479.8</v>
      </c>
      <c r="F2926" s="515" t="s">
        <v>4367</v>
      </c>
      <c r="G2926" s="52">
        <v>366271.88376173202</v>
      </c>
      <c r="H2926" s="56">
        <v>6.6866369548029964E-2</v>
      </c>
      <c r="I2926" s="224" t="s">
        <v>2</v>
      </c>
    </row>
    <row r="2927" spans="1:9" x14ac:dyDescent="0.25">
      <c r="A2927" s="515">
        <v>35244</v>
      </c>
      <c r="B2927" s="515" t="s">
        <v>640</v>
      </c>
      <c r="C2927" s="52">
        <v>409725.55415100203</v>
      </c>
      <c r="D2927" s="56">
        <v>7.5101329794198785E-2</v>
      </c>
      <c r="E2927" s="224">
        <v>1248.98809523809</v>
      </c>
      <c r="F2927" s="515" t="s">
        <v>1187</v>
      </c>
      <c r="G2927" s="52">
        <v>465420.61541031901</v>
      </c>
      <c r="H2927" s="56">
        <v>5.1011959159236078E-2</v>
      </c>
      <c r="I2927" s="224" t="s">
        <v>2</v>
      </c>
    </row>
    <row r="2928" spans="1:9" x14ac:dyDescent="0.25">
      <c r="A2928" s="515">
        <v>40218</v>
      </c>
      <c r="B2928" s="515" t="s">
        <v>479</v>
      </c>
      <c r="C2928" s="52">
        <v>181408.75161069701</v>
      </c>
      <c r="D2928" s="56">
        <v>5.8674076615466669E-2</v>
      </c>
      <c r="E2928" s="224">
        <v>1379.44444444444</v>
      </c>
      <c r="F2928" s="515" t="s">
        <v>4368</v>
      </c>
      <c r="G2928" s="52">
        <v>182835.99993897</v>
      </c>
      <c r="H2928" s="56">
        <v>0.15248192956976414</v>
      </c>
      <c r="I2928" s="224" t="s">
        <v>2</v>
      </c>
    </row>
    <row r="2929" spans="1:9" x14ac:dyDescent="0.25">
      <c r="A2929" s="515">
        <v>85257</v>
      </c>
      <c r="B2929" s="515" t="s">
        <v>563</v>
      </c>
      <c r="C2929" s="52">
        <v>514759.15132796799</v>
      </c>
      <c r="D2929" s="56">
        <v>6.0728325026093391E-2</v>
      </c>
      <c r="E2929" s="224">
        <v>2039.91439628482</v>
      </c>
      <c r="F2929" s="515" t="s">
        <v>4369</v>
      </c>
      <c r="G2929" s="52">
        <v>576654.877678914</v>
      </c>
      <c r="H2929" s="56">
        <v>9.9106962719910013E-2</v>
      </c>
      <c r="I2929" s="224">
        <v>2432.0879629629599</v>
      </c>
    </row>
    <row r="2930" spans="1:9" x14ac:dyDescent="0.25">
      <c r="A2930" s="515">
        <v>27103</v>
      </c>
      <c r="B2930" s="515" t="s">
        <v>735</v>
      </c>
      <c r="C2930" s="52">
        <v>244857.924153678</v>
      </c>
      <c r="D2930" s="56">
        <v>0.1117565616125141</v>
      </c>
      <c r="E2930" s="224">
        <v>1619</v>
      </c>
      <c r="F2930" s="515" t="s">
        <v>4370</v>
      </c>
      <c r="G2930" s="52">
        <v>198420.67770810999</v>
      </c>
      <c r="H2930" s="56">
        <v>0.11894995853108799</v>
      </c>
      <c r="I2930" s="224" t="s">
        <v>2</v>
      </c>
    </row>
    <row r="2931" spans="1:9" x14ac:dyDescent="0.25">
      <c r="A2931" s="515">
        <v>77079</v>
      </c>
      <c r="B2931" s="515" t="s">
        <v>314</v>
      </c>
      <c r="C2931" s="52">
        <v>587296.17110865505</v>
      </c>
      <c r="D2931" s="56">
        <v>9.6239244865865409E-2</v>
      </c>
      <c r="E2931" s="224">
        <v>1607.1132716049301</v>
      </c>
      <c r="F2931" s="515" t="s">
        <v>4371</v>
      </c>
      <c r="G2931" s="52">
        <v>295411.02813632699</v>
      </c>
      <c r="H2931" s="56">
        <v>5.2184320068122535E-2</v>
      </c>
      <c r="I2931" s="224" t="s">
        <v>2</v>
      </c>
    </row>
    <row r="2932" spans="1:9" x14ac:dyDescent="0.25">
      <c r="A2932" s="515">
        <v>20853</v>
      </c>
      <c r="B2932" s="515" t="s">
        <v>321</v>
      </c>
      <c r="C2932" s="52">
        <v>556795.72585386701</v>
      </c>
      <c r="D2932" s="56">
        <v>2.7848152976370097E-2</v>
      </c>
      <c r="E2932" s="224" t="s">
        <v>2</v>
      </c>
      <c r="F2932" s="515" t="s">
        <v>4372</v>
      </c>
      <c r="G2932" s="52">
        <v>235958.95202942501</v>
      </c>
      <c r="H2932" s="56">
        <v>0.1100085519809974</v>
      </c>
      <c r="I2932" s="224">
        <v>1208.75</v>
      </c>
    </row>
    <row r="2933" spans="1:9" x14ac:dyDescent="0.25">
      <c r="A2933" s="515">
        <v>32208</v>
      </c>
      <c r="B2933" s="515" t="s">
        <v>1158</v>
      </c>
      <c r="C2933" s="52">
        <v>158979.648359207</v>
      </c>
      <c r="D2933" s="56">
        <v>0.20731483559313466</v>
      </c>
      <c r="E2933" s="224">
        <v>1320.1762820512799</v>
      </c>
      <c r="F2933" s="515" t="s">
        <v>4373</v>
      </c>
      <c r="G2933" s="52">
        <v>223573.64903313</v>
      </c>
      <c r="H2933" s="56">
        <v>5.014942035579302E-2</v>
      </c>
      <c r="I2933" s="224">
        <v>1563.3333333333301</v>
      </c>
    </row>
    <row r="2934" spans="1:9" x14ac:dyDescent="0.25">
      <c r="A2934" s="515">
        <v>33173</v>
      </c>
      <c r="B2934" s="515" t="s">
        <v>831</v>
      </c>
      <c r="C2934" s="52">
        <v>496600.58403791703</v>
      </c>
      <c r="D2934" s="56">
        <v>0.13481525037754241</v>
      </c>
      <c r="E2934" s="224">
        <v>2671.2920634920602</v>
      </c>
      <c r="F2934" s="515" t="s">
        <v>4374</v>
      </c>
      <c r="G2934" s="52">
        <v>358616.55641318299</v>
      </c>
      <c r="H2934" s="56">
        <v>8.4634629581509455E-2</v>
      </c>
      <c r="I2934" s="224" t="s">
        <v>2</v>
      </c>
    </row>
    <row r="2935" spans="1:9" x14ac:dyDescent="0.25">
      <c r="A2935" s="515">
        <v>91773</v>
      </c>
      <c r="B2935" s="515" t="s">
        <v>375</v>
      </c>
      <c r="C2935" s="52">
        <v>808798.49634796102</v>
      </c>
      <c r="D2935" s="56">
        <v>4.6712291039545058E-2</v>
      </c>
      <c r="E2935" s="224">
        <v>2636.0555555555502</v>
      </c>
      <c r="F2935" s="515" t="s">
        <v>908</v>
      </c>
      <c r="G2935" s="52">
        <v>398857.274820744</v>
      </c>
      <c r="H2935" s="56">
        <v>0.16300029946328576</v>
      </c>
      <c r="I2935" s="224" t="s">
        <v>2</v>
      </c>
    </row>
    <row r="2936" spans="1:9" x14ac:dyDescent="0.25">
      <c r="A2936" s="515">
        <v>32209</v>
      </c>
      <c r="B2936" s="515" t="s">
        <v>1158</v>
      </c>
      <c r="C2936" s="52">
        <v>116583.290871181</v>
      </c>
      <c r="D2936" s="56">
        <v>0.40853310439359791</v>
      </c>
      <c r="E2936" s="224">
        <v>1097.46324786324</v>
      </c>
      <c r="F2936" s="515" t="s">
        <v>4375</v>
      </c>
      <c r="G2936" s="52">
        <v>567715.70172665804</v>
      </c>
      <c r="H2936" s="56">
        <v>1.8973851966812994E-2</v>
      </c>
      <c r="I2936" s="224">
        <v>2792.5</v>
      </c>
    </row>
    <row r="2937" spans="1:9" x14ac:dyDescent="0.25">
      <c r="A2937" s="515">
        <v>76903</v>
      </c>
      <c r="B2937" s="515" t="s">
        <v>551</v>
      </c>
      <c r="C2937" s="52">
        <v>124611.73184130499</v>
      </c>
      <c r="D2937" s="56">
        <v>-2.5516257381339155E-2</v>
      </c>
      <c r="E2937" s="224">
        <v>980</v>
      </c>
      <c r="F2937" s="515" t="s">
        <v>4376</v>
      </c>
      <c r="G2937" s="52">
        <v>110483.48313711899</v>
      </c>
      <c r="H2937" s="56">
        <v>0.17208364842294013</v>
      </c>
      <c r="I2937" s="224">
        <v>1201.1111111111099</v>
      </c>
    </row>
    <row r="2938" spans="1:9" x14ac:dyDescent="0.25">
      <c r="A2938" s="515">
        <v>22312</v>
      </c>
      <c r="B2938" s="515" t="s">
        <v>321</v>
      </c>
      <c r="C2938" s="52">
        <v>560702.90356927505</v>
      </c>
      <c r="D2938" s="56">
        <v>4.2403114385453522E-2</v>
      </c>
      <c r="E2938" s="224">
        <v>2035.24710910005</v>
      </c>
      <c r="F2938" s="515" t="s">
        <v>4377</v>
      </c>
      <c r="G2938" s="52">
        <v>440666.18995469401</v>
      </c>
      <c r="H2938" s="56">
        <v>0.10534974745719929</v>
      </c>
      <c r="I2938" s="224">
        <v>1633.3333333333301</v>
      </c>
    </row>
    <row r="2939" spans="1:9" x14ac:dyDescent="0.25">
      <c r="A2939" s="515">
        <v>17522</v>
      </c>
      <c r="B2939" s="515" t="s">
        <v>537</v>
      </c>
      <c r="C2939" s="52">
        <v>299710.56698721001</v>
      </c>
      <c r="D2939" s="56">
        <v>9.8181518363411061E-2</v>
      </c>
      <c r="E2939" s="224">
        <v>1267.6666666666599</v>
      </c>
      <c r="F2939" s="515" t="s">
        <v>4378</v>
      </c>
      <c r="G2939" s="52">
        <v>270286.45848287601</v>
      </c>
      <c r="H2939" s="56">
        <v>4.8487057047326643E-2</v>
      </c>
      <c r="I2939" s="224">
        <v>1917.25</v>
      </c>
    </row>
    <row r="2940" spans="1:9" x14ac:dyDescent="0.25">
      <c r="A2940" s="515">
        <v>77067</v>
      </c>
      <c r="B2940" s="515" t="s">
        <v>314</v>
      </c>
      <c r="C2940" s="52">
        <v>214401.79512126901</v>
      </c>
      <c r="D2940" s="56">
        <v>0.10081491745393727</v>
      </c>
      <c r="E2940" s="224">
        <v>1725</v>
      </c>
      <c r="F2940" s="515" t="s">
        <v>4379</v>
      </c>
      <c r="G2940" s="52">
        <v>181546.694607229</v>
      </c>
      <c r="H2940" s="56">
        <v>0.10821638680539251</v>
      </c>
      <c r="I2940" s="224" t="s">
        <v>2</v>
      </c>
    </row>
    <row r="2941" spans="1:9" x14ac:dyDescent="0.25">
      <c r="A2941" s="515">
        <v>37110</v>
      </c>
      <c r="B2941" s="515" t="s">
        <v>1177</v>
      </c>
      <c r="C2941" s="52">
        <v>205843.73643630499</v>
      </c>
      <c r="D2941" s="56">
        <v>6.7036001282558003E-2</v>
      </c>
      <c r="E2941" s="224" t="s">
        <v>2</v>
      </c>
      <c r="F2941" s="515" t="s">
        <v>4380</v>
      </c>
      <c r="G2941" s="52">
        <v>487370.46256782202</v>
      </c>
      <c r="H2941" s="56">
        <v>6.1805400154300159E-2</v>
      </c>
      <c r="I2941" s="224" t="s">
        <v>2</v>
      </c>
    </row>
    <row r="2942" spans="1:9" x14ac:dyDescent="0.25">
      <c r="A2942" s="515">
        <v>78242</v>
      </c>
      <c r="B2942" s="515" t="s">
        <v>717</v>
      </c>
      <c r="C2942" s="52">
        <v>167643.59792172399</v>
      </c>
      <c r="D2942" s="56">
        <v>0.11872562654052636</v>
      </c>
      <c r="E2942" s="224" t="s">
        <v>2</v>
      </c>
      <c r="F2942" s="515" t="s">
        <v>4381</v>
      </c>
      <c r="G2942" s="52">
        <v>220307.85028176801</v>
      </c>
      <c r="H2942" s="56">
        <v>9.2571085625030913E-2</v>
      </c>
      <c r="I2942" s="224" t="s">
        <v>2</v>
      </c>
    </row>
    <row r="2943" spans="1:9" x14ac:dyDescent="0.25">
      <c r="A2943" s="515">
        <v>13027</v>
      </c>
      <c r="B2943" s="515" t="s">
        <v>361</v>
      </c>
      <c r="C2943" s="52">
        <v>240973.09212312099</v>
      </c>
      <c r="D2943" s="56">
        <v>0.10870412117092572</v>
      </c>
      <c r="E2943" s="224">
        <v>1680.625</v>
      </c>
      <c r="F2943" s="515" t="s">
        <v>4382</v>
      </c>
      <c r="G2943" s="52">
        <v>211098.87003517101</v>
      </c>
      <c r="H2943" s="56">
        <v>9.434566865513408E-2</v>
      </c>
      <c r="I2943" s="224" t="s">
        <v>2</v>
      </c>
    </row>
    <row r="2944" spans="1:9" x14ac:dyDescent="0.25">
      <c r="A2944" s="515">
        <v>32065</v>
      </c>
      <c r="B2944" s="515" t="s">
        <v>1158</v>
      </c>
      <c r="C2944" s="52">
        <v>339206.06065981201</v>
      </c>
      <c r="D2944" s="56">
        <v>8.3589223570453244E-2</v>
      </c>
      <c r="E2944" s="224">
        <v>1898.81388888888</v>
      </c>
      <c r="F2944" s="515" t="s">
        <v>4383</v>
      </c>
      <c r="G2944" s="52">
        <v>232451.99863110401</v>
      </c>
      <c r="H2944" s="56">
        <v>2.1568404910844975E-2</v>
      </c>
      <c r="I2944" s="224">
        <v>1275</v>
      </c>
    </row>
    <row r="2945" spans="1:9" x14ac:dyDescent="0.25">
      <c r="A2945" s="515">
        <v>50265</v>
      </c>
      <c r="B2945" s="515" t="s">
        <v>295</v>
      </c>
      <c r="C2945" s="52">
        <v>274505.53999776999</v>
      </c>
      <c r="D2945" s="56">
        <v>7.5929776819614103E-2</v>
      </c>
      <c r="E2945" s="224">
        <v>1030.9722222222199</v>
      </c>
      <c r="F2945" s="515" t="s">
        <v>4384</v>
      </c>
      <c r="G2945" s="52">
        <v>440982.04611953802</v>
      </c>
      <c r="H2945" s="56">
        <v>3.0785748578873839E-2</v>
      </c>
      <c r="I2945" s="224" t="s">
        <v>2</v>
      </c>
    </row>
    <row r="2946" spans="1:9" x14ac:dyDescent="0.25">
      <c r="A2946" s="515">
        <v>91423</v>
      </c>
      <c r="B2946" s="515" t="s">
        <v>375</v>
      </c>
      <c r="C2946" s="52">
        <v>1312704.2838374199</v>
      </c>
      <c r="D2946" s="56">
        <v>3.2101727782723632E-2</v>
      </c>
      <c r="E2946" s="224">
        <v>2961.2623672623599</v>
      </c>
      <c r="F2946" s="515" t="s">
        <v>4385</v>
      </c>
      <c r="G2946" s="52">
        <v>463600.27732911002</v>
      </c>
      <c r="H2946" s="56">
        <v>3.0523445335648915E-2</v>
      </c>
      <c r="I2946" s="224" t="s">
        <v>2</v>
      </c>
    </row>
    <row r="2947" spans="1:9" x14ac:dyDescent="0.25">
      <c r="A2947" s="515">
        <v>60636</v>
      </c>
      <c r="B2947" s="515" t="s">
        <v>394</v>
      </c>
      <c r="C2947" s="52">
        <v>119311.312694896</v>
      </c>
      <c r="D2947" s="56">
        <v>0.17920177823255698</v>
      </c>
      <c r="E2947" s="224">
        <v>1273.3333333333301</v>
      </c>
      <c r="F2947" s="515" t="s">
        <v>4386</v>
      </c>
      <c r="G2947" s="52">
        <v>174910.26613248</v>
      </c>
      <c r="H2947" s="56">
        <v>8.6469363954796499E-2</v>
      </c>
      <c r="I2947" s="224" t="s">
        <v>2</v>
      </c>
    </row>
    <row r="2948" spans="1:9" x14ac:dyDescent="0.25">
      <c r="A2948" s="515">
        <v>29486</v>
      </c>
      <c r="B2948" s="515" t="s">
        <v>1009</v>
      </c>
      <c r="C2948" s="52">
        <v>389493.44057058397</v>
      </c>
      <c r="D2948" s="56">
        <v>9.7484681389590377E-2</v>
      </c>
      <c r="E2948" s="224">
        <v>1699.97578347578</v>
      </c>
      <c r="F2948" s="515" t="s">
        <v>4387</v>
      </c>
      <c r="G2948" s="52">
        <v>281706.23202547798</v>
      </c>
      <c r="H2948" s="56">
        <v>0.13861076106330106</v>
      </c>
      <c r="I2948" s="224" t="s">
        <v>2</v>
      </c>
    </row>
    <row r="2949" spans="1:9" x14ac:dyDescent="0.25">
      <c r="A2949" s="515">
        <v>72120</v>
      </c>
      <c r="B2949" s="515" t="s">
        <v>393</v>
      </c>
      <c r="C2949" s="52">
        <v>201504.22828980099</v>
      </c>
      <c r="D2949" s="56">
        <v>6.7972360749558425E-2</v>
      </c>
      <c r="E2949" s="224">
        <v>1266.6666666666599</v>
      </c>
      <c r="F2949" s="515" t="s">
        <v>4388</v>
      </c>
      <c r="G2949" s="52">
        <v>475233.87451900402</v>
      </c>
      <c r="H2949" s="56">
        <v>9.4211897027365911E-3</v>
      </c>
      <c r="I2949" s="224">
        <v>2404.4444444444398</v>
      </c>
    </row>
    <row r="2950" spans="1:9" x14ac:dyDescent="0.25">
      <c r="A2950" s="515">
        <v>25801</v>
      </c>
      <c r="B2950" s="515" t="s">
        <v>566</v>
      </c>
      <c r="C2950" s="52">
        <v>116749.490935977</v>
      </c>
      <c r="D2950" s="56">
        <v>0.14758638572482494</v>
      </c>
      <c r="E2950" s="224" t="s">
        <v>2</v>
      </c>
      <c r="F2950" s="515" t="s">
        <v>4389</v>
      </c>
      <c r="G2950" s="52">
        <v>816559.26072059595</v>
      </c>
      <c r="H2950" s="56">
        <v>3.3104510250952603E-2</v>
      </c>
      <c r="I2950" s="224">
        <v>2082.7904761904701</v>
      </c>
    </row>
    <row r="2951" spans="1:9" x14ac:dyDescent="0.25">
      <c r="A2951" s="515">
        <v>70808</v>
      </c>
      <c r="B2951" s="515" t="s">
        <v>610</v>
      </c>
      <c r="C2951" s="52">
        <v>316124.563904259</v>
      </c>
      <c r="D2951" s="56">
        <v>3.4686231331098938E-2</v>
      </c>
      <c r="E2951" s="224">
        <v>1387.82407407407</v>
      </c>
      <c r="F2951" s="515" t="s">
        <v>4390</v>
      </c>
      <c r="G2951" s="52">
        <v>797979.10109598096</v>
      </c>
      <c r="H2951" s="56">
        <v>5.084607336937795E-2</v>
      </c>
      <c r="I2951" s="224" t="s">
        <v>2</v>
      </c>
    </row>
    <row r="2952" spans="1:9" x14ac:dyDescent="0.25">
      <c r="A2952" s="515">
        <v>80026</v>
      </c>
      <c r="B2952" s="515" t="s">
        <v>702</v>
      </c>
      <c r="C2952" s="52">
        <v>679260.10332655697</v>
      </c>
      <c r="D2952" s="56">
        <v>1.6919702770279835E-2</v>
      </c>
      <c r="E2952" s="224">
        <v>2065.7121212121201</v>
      </c>
      <c r="F2952" s="515" t="s">
        <v>975</v>
      </c>
      <c r="G2952" s="52">
        <v>164800.64401078</v>
      </c>
      <c r="H2952" s="56">
        <v>7.6680236867278831E-2</v>
      </c>
      <c r="I2952" s="224" t="s">
        <v>2</v>
      </c>
    </row>
    <row r="2953" spans="1:9" x14ac:dyDescent="0.25">
      <c r="A2953" s="515">
        <v>65714</v>
      </c>
      <c r="B2953" s="515" t="s">
        <v>603</v>
      </c>
      <c r="C2953" s="52">
        <v>293938.84168731899</v>
      </c>
      <c r="D2953" s="56">
        <v>8.7741660605929611E-2</v>
      </c>
      <c r="E2953" s="224">
        <v>1484.1666666666599</v>
      </c>
      <c r="F2953" s="515" t="s">
        <v>4391</v>
      </c>
      <c r="G2953" s="52">
        <v>225677.969479758</v>
      </c>
      <c r="H2953" s="56">
        <v>5.9173848872690483E-2</v>
      </c>
      <c r="I2953" s="224" t="s">
        <v>2</v>
      </c>
    </row>
    <row r="2954" spans="1:9" x14ac:dyDescent="0.25">
      <c r="A2954" s="515">
        <v>20010</v>
      </c>
      <c r="B2954" s="515" t="s">
        <v>321</v>
      </c>
      <c r="C2954" s="52">
        <v>722352.88909119496</v>
      </c>
      <c r="D2954" s="56">
        <v>-5.0530008459260829E-3</v>
      </c>
      <c r="E2954" s="224">
        <v>2265.8571428571399</v>
      </c>
      <c r="F2954" s="515" t="s">
        <v>4392</v>
      </c>
      <c r="G2954" s="52">
        <v>221988.36181850501</v>
      </c>
      <c r="H2954" s="56">
        <v>8.5632167861771524E-2</v>
      </c>
      <c r="I2954" s="224">
        <v>1445.3333333333301</v>
      </c>
    </row>
    <row r="2955" spans="1:9" x14ac:dyDescent="0.25">
      <c r="A2955" s="515">
        <v>91791</v>
      </c>
      <c r="B2955" s="515" t="s">
        <v>375</v>
      </c>
      <c r="C2955" s="52">
        <v>812871.75888083805</v>
      </c>
      <c r="D2955" s="56">
        <v>4.5207608732625491E-2</v>
      </c>
      <c r="E2955" s="224">
        <v>2724.7777777777701</v>
      </c>
      <c r="F2955" s="515" t="s">
        <v>369</v>
      </c>
      <c r="G2955" s="52">
        <v>128849.55394947001</v>
      </c>
      <c r="H2955" s="56">
        <v>0.13170707582736518</v>
      </c>
      <c r="I2955" s="224" t="s">
        <v>2</v>
      </c>
    </row>
    <row r="2956" spans="1:9" x14ac:dyDescent="0.25">
      <c r="A2956" s="515">
        <v>80111</v>
      </c>
      <c r="B2956" s="515" t="s">
        <v>401</v>
      </c>
      <c r="C2956" s="52">
        <v>871563.16245212895</v>
      </c>
      <c r="D2956" s="56">
        <v>3.5921005857035976E-2</v>
      </c>
      <c r="E2956" s="224">
        <v>2022.52051282051</v>
      </c>
      <c r="F2956" s="515" t="s">
        <v>4393</v>
      </c>
      <c r="G2956" s="52">
        <v>174728.67013474001</v>
      </c>
      <c r="H2956" s="56">
        <v>8.0436288566733252E-2</v>
      </c>
      <c r="I2956" s="224">
        <v>1342.7083333333301</v>
      </c>
    </row>
    <row r="2957" spans="1:9" x14ac:dyDescent="0.25">
      <c r="A2957" s="515">
        <v>92124</v>
      </c>
      <c r="B2957" s="515" t="s">
        <v>396</v>
      </c>
      <c r="C2957" s="52">
        <v>925222.71162841504</v>
      </c>
      <c r="D2957" s="56">
        <v>6.2137250522933847E-2</v>
      </c>
      <c r="E2957" s="224">
        <v>3113.2896825396801</v>
      </c>
      <c r="F2957" s="515" t="s">
        <v>4394</v>
      </c>
      <c r="G2957" s="52">
        <v>830865.55681395705</v>
      </c>
      <c r="H2957" s="56">
        <v>1.2983915247998764E-3</v>
      </c>
      <c r="I2957" s="224">
        <v>2907.5</v>
      </c>
    </row>
    <row r="2958" spans="1:9" x14ac:dyDescent="0.25">
      <c r="A2958" s="515">
        <v>48021</v>
      </c>
      <c r="B2958" s="515" t="s">
        <v>685</v>
      </c>
      <c r="C2958" s="52">
        <v>143291.49583260401</v>
      </c>
      <c r="D2958" s="56">
        <v>6.024336101317098E-2</v>
      </c>
      <c r="E2958" s="224">
        <v>1312.4821428571399</v>
      </c>
      <c r="F2958" s="515" t="s">
        <v>4395</v>
      </c>
      <c r="G2958" s="52">
        <v>175890.664970691</v>
      </c>
      <c r="H2958" s="56">
        <v>6.7622303613610074E-2</v>
      </c>
      <c r="I2958" s="224" t="s">
        <v>2</v>
      </c>
    </row>
    <row r="2959" spans="1:9" x14ac:dyDescent="0.25">
      <c r="A2959" s="515">
        <v>93654</v>
      </c>
      <c r="B2959" s="515" t="s">
        <v>541</v>
      </c>
      <c r="C2959" s="52">
        <v>332298.45511114202</v>
      </c>
      <c r="D2959" s="56">
        <v>5.5606085855416841E-2</v>
      </c>
      <c r="E2959" s="224" t="s">
        <v>2</v>
      </c>
      <c r="F2959" s="515" t="s">
        <v>1184</v>
      </c>
      <c r="G2959" s="52">
        <v>111212.220128475</v>
      </c>
      <c r="H2959" s="56">
        <v>3.6009611037731031E-2</v>
      </c>
      <c r="I2959" s="224" t="s">
        <v>2</v>
      </c>
    </row>
    <row r="2960" spans="1:9" x14ac:dyDescent="0.25">
      <c r="A2960" s="515">
        <v>80923</v>
      </c>
      <c r="B2960" s="515" t="s">
        <v>701</v>
      </c>
      <c r="C2960" s="52">
        <v>463040.12956875702</v>
      </c>
      <c r="D2960" s="56">
        <v>5.6224125781778661E-3</v>
      </c>
      <c r="E2960" s="224">
        <v>1956.6424501424499</v>
      </c>
      <c r="F2960" s="515" t="s">
        <v>1132</v>
      </c>
      <c r="G2960" s="52">
        <v>66794.449245563999</v>
      </c>
      <c r="H2960" s="56">
        <v>3.2847107002999344E-2</v>
      </c>
      <c r="I2960" s="224" t="s">
        <v>2</v>
      </c>
    </row>
    <row r="2961" spans="1:9" x14ac:dyDescent="0.25">
      <c r="A2961" s="515">
        <v>48322</v>
      </c>
      <c r="B2961" s="515" t="s">
        <v>685</v>
      </c>
      <c r="C2961" s="52">
        <v>362880.64559784398</v>
      </c>
      <c r="D2961" s="56">
        <v>1.6095015000930236E-2</v>
      </c>
      <c r="E2961" s="224">
        <v>2312.0555555555502</v>
      </c>
      <c r="F2961" s="515" t="s">
        <v>4396</v>
      </c>
      <c r="G2961" s="52">
        <v>370171.62922908098</v>
      </c>
      <c r="H2961" s="56">
        <v>3.4054794511672766E-2</v>
      </c>
      <c r="I2961" s="224">
        <v>1492.25</v>
      </c>
    </row>
    <row r="2962" spans="1:9" x14ac:dyDescent="0.25">
      <c r="A2962" s="515">
        <v>1821</v>
      </c>
      <c r="B2962" s="515" t="s">
        <v>534</v>
      </c>
      <c r="C2962" s="52">
        <v>575617.56813633104</v>
      </c>
      <c r="D2962" s="56">
        <v>7.3666723064023151E-2</v>
      </c>
      <c r="E2962" s="224">
        <v>2517.9222222222202</v>
      </c>
      <c r="F2962" s="515" t="s">
        <v>4397</v>
      </c>
      <c r="G2962" s="52">
        <v>426097.588735967</v>
      </c>
      <c r="H2962" s="56">
        <v>7.3456047190837398E-2</v>
      </c>
      <c r="I2962" s="224" t="s">
        <v>2</v>
      </c>
    </row>
    <row r="2963" spans="1:9" x14ac:dyDescent="0.25">
      <c r="A2963" s="515">
        <v>19038</v>
      </c>
      <c r="B2963" s="515" t="s">
        <v>294</v>
      </c>
      <c r="C2963" s="52">
        <v>400631.40328643803</v>
      </c>
      <c r="D2963" s="56">
        <v>9.1045613156337205E-2</v>
      </c>
      <c r="E2963" s="224" t="s">
        <v>2</v>
      </c>
      <c r="F2963" s="515" t="s">
        <v>4398</v>
      </c>
      <c r="G2963" s="52">
        <v>520798.18892516702</v>
      </c>
      <c r="H2963" s="56">
        <v>1.1745694048169225E-2</v>
      </c>
      <c r="I2963" s="224" t="s">
        <v>2</v>
      </c>
    </row>
    <row r="2964" spans="1:9" x14ac:dyDescent="0.25">
      <c r="A2964" s="515">
        <v>22980</v>
      </c>
      <c r="B2964" s="515" t="s">
        <v>728</v>
      </c>
      <c r="C2964" s="52">
        <v>259050.747814712</v>
      </c>
      <c r="D2964" s="56">
        <v>7.1670178578845334E-2</v>
      </c>
      <c r="E2964" s="224">
        <v>1191.55555555555</v>
      </c>
      <c r="F2964" s="515" t="s">
        <v>4399</v>
      </c>
      <c r="G2964" s="52">
        <v>304895.91088773002</v>
      </c>
      <c r="H2964" s="56">
        <v>0.13553301176746679</v>
      </c>
      <c r="I2964" s="224" t="s">
        <v>2</v>
      </c>
    </row>
    <row r="2965" spans="1:9" x14ac:dyDescent="0.25">
      <c r="A2965" s="515">
        <v>80021</v>
      </c>
      <c r="B2965" s="515" t="s">
        <v>401</v>
      </c>
      <c r="C2965" s="52">
        <v>554780.54160489095</v>
      </c>
      <c r="D2965" s="56">
        <v>2.5708234744911207E-4</v>
      </c>
      <c r="E2965" s="224">
        <v>1895.1508448540701</v>
      </c>
      <c r="F2965" s="515" t="s">
        <v>1247</v>
      </c>
      <c r="G2965" s="52">
        <v>90697.714996979994</v>
      </c>
      <c r="H2965" s="56">
        <v>0.22934728739507598</v>
      </c>
      <c r="I2965" s="224" t="s">
        <v>2</v>
      </c>
    </row>
    <row r="2966" spans="1:9" x14ac:dyDescent="0.25">
      <c r="A2966" s="515">
        <v>95482</v>
      </c>
      <c r="B2966" s="515" t="s">
        <v>644</v>
      </c>
      <c r="C2966" s="52">
        <v>465431.27322279999</v>
      </c>
      <c r="D2966" s="56">
        <v>-7.3308025409420746E-2</v>
      </c>
      <c r="E2966" s="224" t="s">
        <v>2</v>
      </c>
      <c r="F2966" s="515" t="s">
        <v>4400</v>
      </c>
      <c r="G2966" s="52">
        <v>269186.13386846398</v>
      </c>
      <c r="H2966" s="56">
        <v>5.1303176189142284E-2</v>
      </c>
      <c r="I2966" s="224" t="s">
        <v>2</v>
      </c>
    </row>
    <row r="2967" spans="1:9" x14ac:dyDescent="0.25">
      <c r="A2967" s="515">
        <v>90008</v>
      </c>
      <c r="B2967" s="515" t="s">
        <v>375</v>
      </c>
      <c r="C2967" s="52">
        <v>992911.75551576202</v>
      </c>
      <c r="D2967" s="56">
        <v>2.3673003044843842E-2</v>
      </c>
      <c r="E2967" s="224">
        <v>2036.24404761904</v>
      </c>
      <c r="F2967" s="515" t="s">
        <v>4401</v>
      </c>
      <c r="G2967" s="52">
        <v>220430.82801392701</v>
      </c>
      <c r="H2967" s="56">
        <v>0.15864543125787758</v>
      </c>
      <c r="I2967" s="224" t="s">
        <v>2</v>
      </c>
    </row>
    <row r="2968" spans="1:9" x14ac:dyDescent="0.25">
      <c r="A2968" s="515">
        <v>91941</v>
      </c>
      <c r="B2968" s="515" t="s">
        <v>396</v>
      </c>
      <c r="C2968" s="52">
        <v>900855.79049240099</v>
      </c>
      <c r="D2968" s="56">
        <v>4.5077417424177396E-2</v>
      </c>
      <c r="E2968" s="224">
        <v>2471.11904761904</v>
      </c>
      <c r="F2968" s="515" t="s">
        <v>4402</v>
      </c>
      <c r="G2968" s="52">
        <v>484723.84188346902</v>
      </c>
      <c r="H2968" s="56">
        <v>5.8634731728777208E-2</v>
      </c>
      <c r="I2968" s="224" t="s">
        <v>2</v>
      </c>
    </row>
    <row r="2969" spans="1:9" x14ac:dyDescent="0.25">
      <c r="A2969" s="515">
        <v>84058</v>
      </c>
      <c r="B2969" s="515" t="s">
        <v>726</v>
      </c>
      <c r="C2969" s="52">
        <v>459415.15962599398</v>
      </c>
      <c r="D2969" s="56">
        <v>3.5958432056393846E-2</v>
      </c>
      <c r="E2969" s="224">
        <v>1636.1474867724801</v>
      </c>
      <c r="F2969" s="515" t="s">
        <v>4403</v>
      </c>
      <c r="G2969" s="52">
        <v>619482.24403870804</v>
      </c>
      <c r="H2969" s="56">
        <v>3.5879904786846453E-2</v>
      </c>
      <c r="I2969" s="224">
        <v>2700</v>
      </c>
    </row>
    <row r="2970" spans="1:9" x14ac:dyDescent="0.25">
      <c r="A2970" s="515">
        <v>90601</v>
      </c>
      <c r="B2970" s="515" t="s">
        <v>375</v>
      </c>
      <c r="C2970" s="52">
        <v>747878.19987894199</v>
      </c>
      <c r="D2970" s="56">
        <v>2.9454966420450861E-2</v>
      </c>
      <c r="E2970" s="224">
        <v>2209.4444444444398</v>
      </c>
      <c r="F2970" s="515" t="s">
        <v>4404</v>
      </c>
      <c r="G2970" s="52">
        <v>245291.569778565</v>
      </c>
      <c r="H2970" s="56">
        <v>6.9711955969056855E-2</v>
      </c>
      <c r="I2970" s="224" t="s">
        <v>2</v>
      </c>
    </row>
    <row r="2971" spans="1:9" x14ac:dyDescent="0.25">
      <c r="A2971" s="515">
        <v>71291</v>
      </c>
      <c r="B2971" s="515" t="s">
        <v>695</v>
      </c>
      <c r="C2971" s="52">
        <v>196266.05723861299</v>
      </c>
      <c r="D2971" s="56">
        <v>4.0284440029585436E-2</v>
      </c>
      <c r="E2971" s="224" t="s">
        <v>2</v>
      </c>
      <c r="F2971" s="515" t="s">
        <v>4405</v>
      </c>
      <c r="G2971" s="52">
        <v>639891.74695792201</v>
      </c>
      <c r="H2971" s="56">
        <v>7.7844218080636379E-2</v>
      </c>
      <c r="I2971" s="224" t="s">
        <v>2</v>
      </c>
    </row>
    <row r="2972" spans="1:9" x14ac:dyDescent="0.25">
      <c r="A2972" s="515">
        <v>11510</v>
      </c>
      <c r="B2972" s="515" t="s">
        <v>324</v>
      </c>
      <c r="C2972" s="52">
        <v>585143.97439057403</v>
      </c>
      <c r="D2972" s="56">
        <v>5.467918003437381E-2</v>
      </c>
      <c r="E2972" s="224">
        <v>2300</v>
      </c>
      <c r="F2972" s="515" t="s">
        <v>4406</v>
      </c>
      <c r="G2972" s="52">
        <v>192079.930065166</v>
      </c>
      <c r="H2972" s="56">
        <v>8.0974236643560724E-2</v>
      </c>
      <c r="I2972" s="224" t="s">
        <v>2</v>
      </c>
    </row>
    <row r="2973" spans="1:9" x14ac:dyDescent="0.25">
      <c r="A2973" s="515">
        <v>49855</v>
      </c>
      <c r="B2973" s="515" t="s">
        <v>440</v>
      </c>
      <c r="C2973" s="52">
        <v>261962.03914501501</v>
      </c>
      <c r="D2973" s="56">
        <v>0.11070666640858193</v>
      </c>
      <c r="E2973" s="224">
        <v>1550</v>
      </c>
      <c r="F2973" s="515" t="s">
        <v>4407</v>
      </c>
      <c r="G2973" s="52">
        <v>233388.074695413</v>
      </c>
      <c r="H2973" s="56">
        <v>6.0689235003360521E-2</v>
      </c>
      <c r="I2973" s="224" t="s">
        <v>2</v>
      </c>
    </row>
    <row r="2974" spans="1:9" x14ac:dyDescent="0.25">
      <c r="A2974" s="515">
        <v>37072</v>
      </c>
      <c r="B2974" s="515" t="s">
        <v>684</v>
      </c>
      <c r="C2974" s="52">
        <v>380260.29028071102</v>
      </c>
      <c r="D2974" s="56">
        <v>8.5340963570954748E-2</v>
      </c>
      <c r="E2974" s="224">
        <v>2230.7222222222199</v>
      </c>
      <c r="F2974" s="515" t="s">
        <v>370</v>
      </c>
      <c r="G2974" s="52">
        <v>181236.09866392601</v>
      </c>
      <c r="H2974" s="56">
        <v>0</v>
      </c>
      <c r="I2974" s="224" t="s">
        <v>2</v>
      </c>
    </row>
    <row r="2975" spans="1:9" x14ac:dyDescent="0.25">
      <c r="A2975" s="515">
        <v>29642</v>
      </c>
      <c r="B2975" s="515" t="s">
        <v>613</v>
      </c>
      <c r="C2975" s="52">
        <v>311565.46034858999</v>
      </c>
      <c r="D2975" s="56">
        <v>0.10446530123377702</v>
      </c>
      <c r="E2975" s="224" t="s">
        <v>2</v>
      </c>
      <c r="F2975" s="515" t="s">
        <v>658</v>
      </c>
      <c r="G2975" s="52">
        <v>233110.44936363699</v>
      </c>
      <c r="H2975" s="56">
        <v>-2.4714316476572202E-4</v>
      </c>
      <c r="I2975" s="224" t="s">
        <v>2</v>
      </c>
    </row>
    <row r="2976" spans="1:9" x14ac:dyDescent="0.25">
      <c r="A2976" s="515">
        <v>60423</v>
      </c>
      <c r="B2976" s="515" t="s">
        <v>394</v>
      </c>
      <c r="C2976" s="52">
        <v>409144.07194917602</v>
      </c>
      <c r="D2976" s="56">
        <v>7.0496161326148943E-2</v>
      </c>
      <c r="E2976" s="224" t="s">
        <v>2</v>
      </c>
      <c r="F2976" s="515" t="s">
        <v>4408</v>
      </c>
      <c r="G2976" s="52">
        <v>551340.12869187596</v>
      </c>
      <c r="H2976" s="56">
        <v>4.534761150234292E-2</v>
      </c>
      <c r="I2976" s="224">
        <v>3500.8333333333298</v>
      </c>
    </row>
    <row r="2977" spans="1:9" x14ac:dyDescent="0.25">
      <c r="A2977" s="515">
        <v>34119</v>
      </c>
      <c r="B2977" s="515" t="s">
        <v>365</v>
      </c>
      <c r="C2977" s="52">
        <v>713225.76078176894</v>
      </c>
      <c r="D2977" s="56">
        <v>0.12971093877729473</v>
      </c>
      <c r="E2977" s="224">
        <v>2945.63888888888</v>
      </c>
      <c r="F2977" s="515" t="s">
        <v>4409</v>
      </c>
      <c r="G2977" s="52">
        <v>252808.191642878</v>
      </c>
      <c r="H2977" s="56">
        <v>5.9889359301768336E-2</v>
      </c>
      <c r="I2977" s="224" t="s">
        <v>2</v>
      </c>
    </row>
    <row r="2978" spans="1:9" x14ac:dyDescent="0.25">
      <c r="A2978" s="515">
        <v>77536</v>
      </c>
      <c r="B2978" s="515" t="s">
        <v>314</v>
      </c>
      <c r="C2978" s="52">
        <v>261478.430194393</v>
      </c>
      <c r="D2978" s="56">
        <v>7.217172180710206E-2</v>
      </c>
      <c r="E2978" s="224">
        <v>1488.0277777777701</v>
      </c>
      <c r="F2978" s="515" t="s">
        <v>4410</v>
      </c>
      <c r="G2978" s="52">
        <v>498586.83542027703</v>
      </c>
      <c r="H2978" s="56">
        <v>4.479846720230915E-2</v>
      </c>
      <c r="I2978" s="224">
        <v>2123.75</v>
      </c>
    </row>
    <row r="2979" spans="1:9" x14ac:dyDescent="0.25">
      <c r="A2979" s="515">
        <v>60302</v>
      </c>
      <c r="B2979" s="515" t="s">
        <v>394</v>
      </c>
      <c r="C2979" s="52">
        <v>363128.54190807801</v>
      </c>
      <c r="D2979" s="56">
        <v>-4.9877402152347927E-2</v>
      </c>
      <c r="E2979" s="224">
        <v>1480.4893939393901</v>
      </c>
      <c r="F2979" s="515" t="s">
        <v>302</v>
      </c>
      <c r="G2979" s="52">
        <v>152692.288304663</v>
      </c>
      <c r="H2979" s="56">
        <v>7.4931177948689157E-2</v>
      </c>
      <c r="I2979" s="224">
        <v>1150</v>
      </c>
    </row>
    <row r="2980" spans="1:9" x14ac:dyDescent="0.25">
      <c r="A2980" s="515">
        <v>97404</v>
      </c>
      <c r="B2980" s="515" t="s">
        <v>801</v>
      </c>
      <c r="C2980" s="52">
        <v>419051.224967052</v>
      </c>
      <c r="D2980" s="56">
        <v>4.7197255892854763E-2</v>
      </c>
      <c r="E2980" s="224">
        <v>1979.1666666666599</v>
      </c>
      <c r="F2980" s="515" t="s">
        <v>4411</v>
      </c>
      <c r="G2980" s="52">
        <v>99447.260948576499</v>
      </c>
      <c r="H2980" s="56">
        <v>0.21672052492242658</v>
      </c>
      <c r="I2980" s="224" t="s">
        <v>2</v>
      </c>
    </row>
    <row r="2981" spans="1:9" x14ac:dyDescent="0.25">
      <c r="A2981" s="515">
        <v>72204</v>
      </c>
      <c r="B2981" s="515" t="s">
        <v>393</v>
      </c>
      <c r="C2981" s="52">
        <v>104829.013431318</v>
      </c>
      <c r="D2981" s="56">
        <v>0.17355608834304681</v>
      </c>
      <c r="E2981" s="224">
        <v>1001.23809523809</v>
      </c>
      <c r="F2981" s="515" t="s">
        <v>4412</v>
      </c>
      <c r="G2981" s="52">
        <v>582863.86061676499</v>
      </c>
      <c r="H2981" s="56">
        <v>2.9104688825257807E-2</v>
      </c>
      <c r="I2981" s="224">
        <v>1694.7777777777701</v>
      </c>
    </row>
    <row r="2982" spans="1:9" x14ac:dyDescent="0.25">
      <c r="A2982" s="515">
        <v>3104</v>
      </c>
      <c r="B2982" s="515" t="s">
        <v>996</v>
      </c>
      <c r="C2982" s="52">
        <v>397718.68113063602</v>
      </c>
      <c r="D2982" s="56">
        <v>8.8565871708150223E-2</v>
      </c>
      <c r="E2982" s="224">
        <v>1686.6666666666599</v>
      </c>
      <c r="F2982" s="515" t="s">
        <v>4413</v>
      </c>
      <c r="G2982" s="52">
        <v>175450.30436456899</v>
      </c>
      <c r="H2982" s="56">
        <v>0.10008495646266796</v>
      </c>
      <c r="I2982" s="224" t="s">
        <v>2</v>
      </c>
    </row>
    <row r="2983" spans="1:9" x14ac:dyDescent="0.25">
      <c r="A2983" s="515">
        <v>1701</v>
      </c>
      <c r="B2983" s="515" t="s">
        <v>534</v>
      </c>
      <c r="C2983" s="52">
        <v>576929.01442070201</v>
      </c>
      <c r="D2983" s="56">
        <v>5.0312294560506211E-2</v>
      </c>
      <c r="E2983" s="224" t="s">
        <v>2</v>
      </c>
      <c r="F2983" s="515" t="s">
        <v>4414</v>
      </c>
      <c r="G2983" s="52">
        <v>1174757.72583403</v>
      </c>
      <c r="H2983" s="56">
        <v>-1.1866916899571161E-2</v>
      </c>
      <c r="I2983" s="224">
        <v>2674.4444444444398</v>
      </c>
    </row>
    <row r="2984" spans="1:9" x14ac:dyDescent="0.25">
      <c r="A2984" s="515">
        <v>73119</v>
      </c>
      <c r="B2984" s="515" t="s">
        <v>385</v>
      </c>
      <c r="C2984" s="52">
        <v>102342.808951888</v>
      </c>
      <c r="D2984" s="56">
        <v>0.20438945768887465</v>
      </c>
      <c r="E2984" s="224">
        <v>1022.5</v>
      </c>
      <c r="F2984" s="515" t="s">
        <v>4415</v>
      </c>
      <c r="G2984" s="52">
        <v>476440.83516124001</v>
      </c>
      <c r="H2984" s="56">
        <v>6.815744396869744E-2</v>
      </c>
      <c r="I2984" s="224" t="s">
        <v>2</v>
      </c>
    </row>
    <row r="2985" spans="1:9" x14ac:dyDescent="0.25">
      <c r="A2985" s="515">
        <v>94132</v>
      </c>
      <c r="B2985" s="515" t="s">
        <v>593</v>
      </c>
      <c r="C2985" s="52">
        <v>1270335.1275295699</v>
      </c>
      <c r="D2985" s="56">
        <v>-6.9335117640373978E-2</v>
      </c>
      <c r="E2985" s="224">
        <v>3282.5833333333298</v>
      </c>
      <c r="F2985" s="515" t="s">
        <v>4416</v>
      </c>
      <c r="G2985" s="52">
        <v>1025082.2672404801</v>
      </c>
      <c r="H2985" s="56">
        <v>4.5097947224556713E-2</v>
      </c>
      <c r="I2985" s="224">
        <v>3466.6666666666601</v>
      </c>
    </row>
    <row r="2986" spans="1:9" x14ac:dyDescent="0.25">
      <c r="A2986" s="515">
        <v>33830</v>
      </c>
      <c r="B2986" s="515" t="s">
        <v>359</v>
      </c>
      <c r="C2986" s="52">
        <v>250240.692420584</v>
      </c>
      <c r="D2986" s="56">
        <v>0.14629182952505496</v>
      </c>
      <c r="E2986" s="224">
        <v>1838.1666666666599</v>
      </c>
      <c r="F2986" s="515" t="s">
        <v>4417</v>
      </c>
      <c r="G2986" s="52">
        <v>252349.42872174701</v>
      </c>
      <c r="H2986" s="56">
        <v>4.6219760838863692E-2</v>
      </c>
      <c r="I2986" s="224" t="s">
        <v>2</v>
      </c>
    </row>
    <row r="2987" spans="1:9" x14ac:dyDescent="0.25">
      <c r="A2987" s="515">
        <v>76543</v>
      </c>
      <c r="B2987" s="515" t="s">
        <v>859</v>
      </c>
      <c r="C2987" s="52">
        <v>173790.693060886</v>
      </c>
      <c r="D2987" s="56">
        <v>0.14793918252758273</v>
      </c>
      <c r="E2987" s="224">
        <v>1050.4615384615299</v>
      </c>
      <c r="F2987" s="515" t="s">
        <v>4418</v>
      </c>
      <c r="G2987" s="52">
        <v>257596.67381706199</v>
      </c>
      <c r="H2987" s="56">
        <v>7.3072393779644959E-2</v>
      </c>
      <c r="I2987" s="224" t="s">
        <v>2</v>
      </c>
    </row>
    <row r="2988" spans="1:9" x14ac:dyDescent="0.25">
      <c r="A2988" s="515">
        <v>57401</v>
      </c>
      <c r="B2988" s="515" t="s">
        <v>662</v>
      </c>
      <c r="C2988" s="52">
        <v>211290.333484756</v>
      </c>
      <c r="D2988" s="56">
        <v>7.5733849903623071E-2</v>
      </c>
      <c r="E2988" s="224" t="s">
        <v>2</v>
      </c>
      <c r="F2988" s="515" t="s">
        <v>748</v>
      </c>
      <c r="G2988" s="52">
        <v>179923.44790110001</v>
      </c>
      <c r="H2988" s="56">
        <v>0.10541363292533415</v>
      </c>
      <c r="I2988" s="224" t="s">
        <v>2</v>
      </c>
    </row>
    <row r="2989" spans="1:9" x14ac:dyDescent="0.25">
      <c r="A2989" s="515">
        <v>77053</v>
      </c>
      <c r="B2989" s="515" t="s">
        <v>314</v>
      </c>
      <c r="C2989" s="52">
        <v>195170.11712878401</v>
      </c>
      <c r="D2989" s="56">
        <v>0.13848806832556942</v>
      </c>
      <c r="E2989" s="224">
        <v>1649.4166666666599</v>
      </c>
      <c r="F2989" s="515" t="s">
        <v>4419</v>
      </c>
      <c r="G2989" s="52">
        <v>218018.16185933599</v>
      </c>
      <c r="H2989" s="56">
        <v>7.2317401225858016E-2</v>
      </c>
      <c r="I2989" s="224" t="s">
        <v>2</v>
      </c>
    </row>
    <row r="2990" spans="1:9" x14ac:dyDescent="0.25">
      <c r="A2990" s="515">
        <v>93422</v>
      </c>
      <c r="B2990" s="515" t="s">
        <v>959</v>
      </c>
      <c r="C2990" s="52">
        <v>690553.14599614695</v>
      </c>
      <c r="D2990" s="56">
        <v>3.8328637392136794E-2</v>
      </c>
      <c r="E2990" s="224">
        <v>2000</v>
      </c>
      <c r="F2990" s="515" t="s">
        <v>4420</v>
      </c>
      <c r="G2990" s="52">
        <v>458468.40581140498</v>
      </c>
      <c r="H2990" s="56">
        <v>1.0706151614638374E-2</v>
      </c>
      <c r="I2990" s="224">
        <v>2495</v>
      </c>
    </row>
    <row r="2991" spans="1:9" x14ac:dyDescent="0.25">
      <c r="A2991" s="515">
        <v>95341</v>
      </c>
      <c r="B2991" s="515" t="s">
        <v>594</v>
      </c>
      <c r="C2991" s="52">
        <v>324223.78983451001</v>
      </c>
      <c r="D2991" s="56">
        <v>3.8885004948101272E-2</v>
      </c>
      <c r="E2991" s="224" t="s">
        <v>2</v>
      </c>
      <c r="F2991" s="515" t="s">
        <v>4421</v>
      </c>
      <c r="G2991" s="52">
        <v>231635.04788013001</v>
      </c>
      <c r="H2991" s="56">
        <v>3.4231952467347289E-2</v>
      </c>
      <c r="I2991" s="224" t="s">
        <v>2</v>
      </c>
    </row>
    <row r="2992" spans="1:9" x14ac:dyDescent="0.25">
      <c r="A2992" s="515">
        <v>60139</v>
      </c>
      <c r="B2992" s="515" t="s">
        <v>394</v>
      </c>
      <c r="C2992" s="52">
        <v>250836.96830503101</v>
      </c>
      <c r="D2992" s="56">
        <v>8.7166107693529254E-2</v>
      </c>
      <c r="E2992" s="224" t="s">
        <v>2</v>
      </c>
      <c r="F2992" s="515" t="s">
        <v>4422</v>
      </c>
      <c r="G2992" s="52">
        <v>225609.01497730901</v>
      </c>
      <c r="H2992" s="56">
        <v>8.3276910034985149E-2</v>
      </c>
      <c r="I2992" s="224">
        <v>895</v>
      </c>
    </row>
    <row r="2993" spans="1:9" x14ac:dyDescent="0.25">
      <c r="A2993" s="515">
        <v>21230</v>
      </c>
      <c r="B2993" s="515" t="s">
        <v>582</v>
      </c>
      <c r="C2993" s="52">
        <v>249891.83499581</v>
      </c>
      <c r="D2993" s="56">
        <v>2.294140504607076E-2</v>
      </c>
      <c r="E2993" s="224">
        <v>1960.5913041441099</v>
      </c>
      <c r="F2993" s="515" t="s">
        <v>4423</v>
      </c>
      <c r="G2993" s="52">
        <v>251601.06771391799</v>
      </c>
      <c r="H2993" s="56">
        <v>6.2264635090724538E-2</v>
      </c>
      <c r="I2993" s="224" t="s">
        <v>2</v>
      </c>
    </row>
    <row r="2994" spans="1:9" x14ac:dyDescent="0.25">
      <c r="A2994" s="515">
        <v>33993</v>
      </c>
      <c r="B2994" s="515" t="s">
        <v>661</v>
      </c>
      <c r="C2994" s="52">
        <v>344062.08005639201</v>
      </c>
      <c r="D2994" s="56">
        <v>0.16390048617435501</v>
      </c>
      <c r="E2994" s="224">
        <v>2321.6666666666601</v>
      </c>
      <c r="F2994" s="515" t="s">
        <v>4424</v>
      </c>
      <c r="G2994" s="52">
        <v>288134.68320220301</v>
      </c>
      <c r="H2994" s="56">
        <v>2.5795376032748913E-2</v>
      </c>
      <c r="I2994" s="224">
        <v>1394.2222222222199</v>
      </c>
    </row>
    <row r="2995" spans="1:9" x14ac:dyDescent="0.25">
      <c r="A2995" s="515">
        <v>60653</v>
      </c>
      <c r="B2995" s="515" t="s">
        <v>394</v>
      </c>
      <c r="C2995" s="52">
        <v>308765.21744571498</v>
      </c>
      <c r="D2995" s="56">
        <v>-8.2848600232826974E-2</v>
      </c>
      <c r="E2995" s="224">
        <v>1689.7777777777701</v>
      </c>
      <c r="F2995" s="515" t="s">
        <v>501</v>
      </c>
      <c r="G2995" s="52">
        <v>191901.19490156299</v>
      </c>
      <c r="H2995" s="56">
        <v>0.16253728848168711</v>
      </c>
      <c r="I2995" s="224" t="s">
        <v>2</v>
      </c>
    </row>
    <row r="2996" spans="1:9" x14ac:dyDescent="0.25">
      <c r="A2996" s="515">
        <v>29577</v>
      </c>
      <c r="B2996" s="515" t="s">
        <v>703</v>
      </c>
      <c r="C2996" s="52">
        <v>259594.27825277299</v>
      </c>
      <c r="D2996" s="56">
        <v>0.20779779614839444</v>
      </c>
      <c r="E2996" s="224">
        <v>1687.5</v>
      </c>
      <c r="F2996" s="515" t="s">
        <v>4425</v>
      </c>
      <c r="G2996" s="52">
        <v>137038.01958384301</v>
      </c>
      <c r="H2996" s="56">
        <v>1.2310755801248074E-2</v>
      </c>
      <c r="I2996" s="224">
        <v>840</v>
      </c>
    </row>
    <row r="2997" spans="1:9" x14ac:dyDescent="0.25">
      <c r="A2997" s="515">
        <v>23235</v>
      </c>
      <c r="B2997" s="515" t="s">
        <v>667</v>
      </c>
      <c r="C2997" s="52">
        <v>344048.390858614</v>
      </c>
      <c r="D2997" s="56">
        <v>8.9383302065831061E-2</v>
      </c>
      <c r="E2997" s="224">
        <v>1814.44444444444</v>
      </c>
      <c r="F2997" s="515" t="s">
        <v>1008</v>
      </c>
      <c r="G2997" s="52">
        <v>221608.998603168</v>
      </c>
      <c r="H2997" s="56">
        <v>6.8767201527367539E-2</v>
      </c>
      <c r="I2997" s="224" t="s">
        <v>2</v>
      </c>
    </row>
    <row r="2998" spans="1:9" x14ac:dyDescent="0.25">
      <c r="A2998" s="515">
        <v>22701</v>
      </c>
      <c r="B2998" s="515" t="s">
        <v>321</v>
      </c>
      <c r="C2998" s="52">
        <v>381626.36804815801</v>
      </c>
      <c r="D2998" s="56">
        <v>5.0954172961375457E-2</v>
      </c>
      <c r="E2998" s="224" t="s">
        <v>2</v>
      </c>
      <c r="F2998" s="515" t="s">
        <v>4426</v>
      </c>
      <c r="G2998" s="52">
        <v>247197.06208623201</v>
      </c>
      <c r="H2998" s="56">
        <v>9.9142595216653903E-2</v>
      </c>
      <c r="I2998" s="224" t="s">
        <v>2</v>
      </c>
    </row>
    <row r="2999" spans="1:9" x14ac:dyDescent="0.25">
      <c r="A2999" s="515">
        <v>16601</v>
      </c>
      <c r="B2999" s="515" t="s">
        <v>1086</v>
      </c>
      <c r="C2999" s="52">
        <v>123703.686798187</v>
      </c>
      <c r="D2999" s="56">
        <v>2.1560618809952685E-2</v>
      </c>
      <c r="E2999" s="224" t="s">
        <v>2</v>
      </c>
      <c r="F2999" s="515" t="s">
        <v>4427</v>
      </c>
      <c r="G2999" s="52">
        <v>154064.44434299099</v>
      </c>
      <c r="H2999" s="56">
        <v>7.4778636730589182E-2</v>
      </c>
      <c r="I2999" s="224" t="s">
        <v>2</v>
      </c>
    </row>
    <row r="3000" spans="1:9" x14ac:dyDescent="0.25">
      <c r="A3000" s="515">
        <v>89081</v>
      </c>
      <c r="B3000" s="515" t="s">
        <v>323</v>
      </c>
      <c r="C3000" s="52">
        <v>391634.23517388798</v>
      </c>
      <c r="D3000" s="56">
        <v>4.8698925780993566E-2</v>
      </c>
      <c r="E3000" s="224">
        <v>1830.5861823361799</v>
      </c>
      <c r="F3000" s="515" t="s">
        <v>1147</v>
      </c>
      <c r="G3000" s="52">
        <v>377439.76652879402</v>
      </c>
      <c r="H3000" s="56">
        <v>2.7880722212904933E-2</v>
      </c>
      <c r="I3000" s="224">
        <v>1600</v>
      </c>
    </row>
    <row r="3001" spans="1:9" x14ac:dyDescent="0.25">
      <c r="A3001" s="515">
        <v>77066</v>
      </c>
      <c r="B3001" s="515" t="s">
        <v>314</v>
      </c>
      <c r="C3001" s="52">
        <v>242843.43879614701</v>
      </c>
      <c r="D3001" s="56">
        <v>0.11083284350033121</v>
      </c>
      <c r="E3001" s="224">
        <v>1489.3238095238</v>
      </c>
      <c r="F3001" s="515" t="s">
        <v>4428</v>
      </c>
      <c r="G3001" s="52">
        <v>1145573.8970687301</v>
      </c>
      <c r="H3001" s="56">
        <v>2.8874651950086601E-2</v>
      </c>
      <c r="I3001" s="224">
        <v>2768.9682539682499</v>
      </c>
    </row>
    <row r="3002" spans="1:9" x14ac:dyDescent="0.25">
      <c r="A3002" s="515">
        <v>3102</v>
      </c>
      <c r="B3002" s="515" t="s">
        <v>996</v>
      </c>
      <c r="C3002" s="52">
        <v>345951.42705336801</v>
      </c>
      <c r="D3002" s="56">
        <v>0.10384273692736784</v>
      </c>
      <c r="E3002" s="224">
        <v>1820.8333333333301</v>
      </c>
      <c r="F3002" s="515" t="s">
        <v>1079</v>
      </c>
      <c r="G3002" s="52">
        <v>208838.68869884999</v>
      </c>
      <c r="H3002" s="56">
        <v>7.2373425495603397E-2</v>
      </c>
      <c r="I3002" s="224" t="s">
        <v>2</v>
      </c>
    </row>
    <row r="3003" spans="1:9" x14ac:dyDescent="0.25">
      <c r="A3003" s="515">
        <v>75229</v>
      </c>
      <c r="B3003" s="515" t="s">
        <v>458</v>
      </c>
      <c r="C3003" s="52">
        <v>600055.76670676796</v>
      </c>
      <c r="D3003" s="56">
        <v>0.11757525573424821</v>
      </c>
      <c r="E3003" s="224">
        <v>2446.1111111111099</v>
      </c>
      <c r="F3003" s="515" t="s">
        <v>4429</v>
      </c>
      <c r="G3003" s="52">
        <v>190705.697173091</v>
      </c>
      <c r="H3003" s="56">
        <v>2.5309614256083541E-2</v>
      </c>
      <c r="I3003" s="224">
        <v>1125.125</v>
      </c>
    </row>
    <row r="3004" spans="1:9" x14ac:dyDescent="0.25">
      <c r="A3004" s="515">
        <v>93561</v>
      </c>
      <c r="B3004" s="515" t="s">
        <v>419</v>
      </c>
      <c r="C3004" s="52">
        <v>386668.48957254703</v>
      </c>
      <c r="D3004" s="56">
        <v>4.5777123886964262E-2</v>
      </c>
      <c r="E3004" s="224" t="s">
        <v>2</v>
      </c>
      <c r="F3004" s="515" t="s">
        <v>4430</v>
      </c>
      <c r="G3004" s="52">
        <v>308247.837163424</v>
      </c>
      <c r="H3004" s="56">
        <v>7.6820212286087916E-2</v>
      </c>
      <c r="I3004" s="224">
        <v>1580.55555555555</v>
      </c>
    </row>
    <row r="3005" spans="1:9" x14ac:dyDescent="0.25">
      <c r="A3005" s="515">
        <v>61008</v>
      </c>
      <c r="B3005" s="515" t="s">
        <v>1104</v>
      </c>
      <c r="C3005" s="52">
        <v>201736.316224393</v>
      </c>
      <c r="D3005" s="56">
        <v>7.3598326218090829E-2</v>
      </c>
      <c r="E3005" s="224" t="s">
        <v>2</v>
      </c>
      <c r="F3005" s="515" t="s">
        <v>4431</v>
      </c>
      <c r="G3005" s="52">
        <v>272696.387774473</v>
      </c>
      <c r="H3005" s="56">
        <v>5.1776600038215444E-2</v>
      </c>
      <c r="I3005" s="224" t="s">
        <v>2</v>
      </c>
    </row>
    <row r="3006" spans="1:9" x14ac:dyDescent="0.25">
      <c r="A3006" s="515">
        <v>33026</v>
      </c>
      <c r="B3006" s="515" t="s">
        <v>831</v>
      </c>
      <c r="C3006" s="52">
        <v>422167.50057429698</v>
      </c>
      <c r="D3006" s="56">
        <v>0.13055394534784037</v>
      </c>
      <c r="E3006" s="224">
        <v>2627.7777777777701</v>
      </c>
      <c r="F3006" s="515" t="s">
        <v>4432</v>
      </c>
      <c r="G3006" s="52">
        <v>311734.40083404502</v>
      </c>
      <c r="H3006" s="56">
        <v>7.2185037758122669E-2</v>
      </c>
      <c r="I3006" s="224" t="s">
        <v>2</v>
      </c>
    </row>
    <row r="3007" spans="1:9" x14ac:dyDescent="0.25">
      <c r="A3007" s="515">
        <v>34120</v>
      </c>
      <c r="B3007" s="515" t="s">
        <v>365</v>
      </c>
      <c r="C3007" s="52">
        <v>537875.05893175502</v>
      </c>
      <c r="D3007" s="56">
        <v>0.14050556033062536</v>
      </c>
      <c r="E3007" s="224">
        <v>3024.1666666666601</v>
      </c>
      <c r="F3007" s="515" t="s">
        <v>4433</v>
      </c>
      <c r="G3007" s="52">
        <v>139291.50688826601</v>
      </c>
      <c r="H3007" s="56">
        <v>0.11499349975853891</v>
      </c>
      <c r="I3007" s="224">
        <v>1620.8333333333301</v>
      </c>
    </row>
    <row r="3008" spans="1:9" x14ac:dyDescent="0.25">
      <c r="A3008" s="515">
        <v>93725</v>
      </c>
      <c r="B3008" s="515" t="s">
        <v>541</v>
      </c>
      <c r="C3008" s="52">
        <v>303447.89209426497</v>
      </c>
      <c r="D3008" s="56">
        <v>5.9289106857876674E-2</v>
      </c>
      <c r="E3008" s="224" t="s">
        <v>2</v>
      </c>
      <c r="F3008" s="515" t="s">
        <v>4434</v>
      </c>
      <c r="G3008" s="52">
        <v>255480.63281513899</v>
      </c>
      <c r="H3008" s="56">
        <v>0.12214045249491456</v>
      </c>
      <c r="I3008" s="224">
        <v>1706.5277777777701</v>
      </c>
    </row>
    <row r="3009" spans="1:9" x14ac:dyDescent="0.25">
      <c r="A3009" s="515">
        <v>99223</v>
      </c>
      <c r="B3009" s="515" t="s">
        <v>820</v>
      </c>
      <c r="C3009" s="52">
        <v>471010.03290963598</v>
      </c>
      <c r="D3009" s="56">
        <v>2.5061356240342569E-2</v>
      </c>
      <c r="E3009" s="224">
        <v>1689.82142857142</v>
      </c>
      <c r="F3009" s="515" t="s">
        <v>4435</v>
      </c>
      <c r="G3009" s="52">
        <v>202950.339178789</v>
      </c>
      <c r="H3009" s="56">
        <v>6.0031653696415263E-2</v>
      </c>
      <c r="I3009" s="224">
        <v>1259.2222222222199</v>
      </c>
    </row>
    <row r="3010" spans="1:9" x14ac:dyDescent="0.25">
      <c r="A3010" s="515">
        <v>55372</v>
      </c>
      <c r="B3010" s="515" t="s">
        <v>532</v>
      </c>
      <c r="C3010" s="52">
        <v>460503.52672573703</v>
      </c>
      <c r="D3010" s="56">
        <v>4.2507783545392981E-2</v>
      </c>
      <c r="E3010" s="224">
        <v>2145</v>
      </c>
      <c r="F3010" s="515" t="s">
        <v>4436</v>
      </c>
      <c r="G3010" s="52">
        <v>169646.28320442201</v>
      </c>
      <c r="H3010" s="56">
        <v>0.12330965799265795</v>
      </c>
      <c r="I3010" s="224" t="s">
        <v>2</v>
      </c>
    </row>
    <row r="3011" spans="1:9" x14ac:dyDescent="0.25">
      <c r="A3011" s="515">
        <v>44512</v>
      </c>
      <c r="B3011" s="515" t="s">
        <v>397</v>
      </c>
      <c r="C3011" s="52">
        <v>163606.86950475801</v>
      </c>
      <c r="D3011" s="56">
        <v>9.8999485197914627E-2</v>
      </c>
      <c r="E3011" s="224">
        <v>750</v>
      </c>
      <c r="F3011" s="515" t="s">
        <v>4437</v>
      </c>
      <c r="G3011" s="52">
        <v>387068.55920774897</v>
      </c>
      <c r="H3011" s="56">
        <v>0.14346571507797093</v>
      </c>
      <c r="I3011" s="224">
        <v>2615</v>
      </c>
    </row>
    <row r="3012" spans="1:9" x14ac:dyDescent="0.25">
      <c r="A3012" s="515">
        <v>77086</v>
      </c>
      <c r="B3012" s="515" t="s">
        <v>314</v>
      </c>
      <c r="C3012" s="52">
        <v>218452.14652096599</v>
      </c>
      <c r="D3012" s="56">
        <v>0.12261003342110635</v>
      </c>
      <c r="E3012" s="224">
        <v>1666.44444444444</v>
      </c>
      <c r="F3012" s="515" t="s">
        <v>912</v>
      </c>
      <c r="G3012" s="52">
        <v>137966.645678075</v>
      </c>
      <c r="H3012" s="56">
        <v>0.10873655450473241</v>
      </c>
      <c r="I3012" s="224" t="s">
        <v>2</v>
      </c>
    </row>
    <row r="3013" spans="1:9" x14ac:dyDescent="0.25">
      <c r="A3013" s="515">
        <v>94941</v>
      </c>
      <c r="B3013" s="515" t="s">
        <v>593</v>
      </c>
      <c r="C3013" s="52">
        <v>1836020.32018676</v>
      </c>
      <c r="D3013" s="56">
        <v>5.9965802625730792E-2</v>
      </c>
      <c r="E3013" s="224">
        <v>4453.5714285714203</v>
      </c>
      <c r="F3013" s="515" t="s">
        <v>1257</v>
      </c>
      <c r="G3013" s="52">
        <v>127779.895291134</v>
      </c>
      <c r="H3013" s="56">
        <v>0.10701167412242928</v>
      </c>
      <c r="I3013" s="224">
        <v>735</v>
      </c>
    </row>
    <row r="3014" spans="1:9" x14ac:dyDescent="0.25">
      <c r="A3014" s="515">
        <v>37803</v>
      </c>
      <c r="B3014" s="515" t="s">
        <v>907</v>
      </c>
      <c r="C3014" s="52">
        <v>345290.99098472402</v>
      </c>
      <c r="D3014" s="56">
        <v>0.11313127153644578</v>
      </c>
      <c r="E3014" s="224" t="s">
        <v>2</v>
      </c>
      <c r="F3014" s="515" t="s">
        <v>4438</v>
      </c>
      <c r="G3014" s="52">
        <v>431512.037315391</v>
      </c>
      <c r="H3014" s="56">
        <v>0.14922222754306658</v>
      </c>
      <c r="I3014" s="224" t="s">
        <v>2</v>
      </c>
    </row>
    <row r="3015" spans="1:9" x14ac:dyDescent="0.25">
      <c r="A3015" s="515">
        <v>66102</v>
      </c>
      <c r="B3015" s="515" t="s">
        <v>455</v>
      </c>
      <c r="C3015" s="52">
        <v>127613.024349385</v>
      </c>
      <c r="D3015" s="56">
        <v>0.19443531196346428</v>
      </c>
      <c r="E3015" s="224" t="s">
        <v>2</v>
      </c>
      <c r="F3015" s="515" t="s">
        <v>4439</v>
      </c>
      <c r="G3015" s="52">
        <v>220615.732307639</v>
      </c>
      <c r="H3015" s="56">
        <v>7.7193945456231733E-2</v>
      </c>
      <c r="I3015" s="224" t="s">
        <v>2</v>
      </c>
    </row>
    <row r="3016" spans="1:9" x14ac:dyDescent="0.25">
      <c r="A3016" s="515">
        <v>17202</v>
      </c>
      <c r="B3016" s="515" t="s">
        <v>372</v>
      </c>
      <c r="C3016" s="52">
        <v>269381.54893633898</v>
      </c>
      <c r="D3016" s="56">
        <v>5.562614625071554E-2</v>
      </c>
      <c r="E3016" s="224" t="s">
        <v>2</v>
      </c>
      <c r="F3016" s="515" t="s">
        <v>4440</v>
      </c>
      <c r="G3016" s="52">
        <v>193279.968373574</v>
      </c>
      <c r="H3016" s="56">
        <v>4.4460863656223919E-2</v>
      </c>
      <c r="I3016" s="224" t="s">
        <v>2</v>
      </c>
    </row>
    <row r="3017" spans="1:9" x14ac:dyDescent="0.25">
      <c r="A3017" s="515">
        <v>54302</v>
      </c>
      <c r="B3017" s="515" t="s">
        <v>897</v>
      </c>
      <c r="C3017" s="52">
        <v>192345.82800267899</v>
      </c>
      <c r="D3017" s="56">
        <v>0.1056780882424161</v>
      </c>
      <c r="E3017" s="224">
        <v>899</v>
      </c>
      <c r="F3017" s="515" t="s">
        <v>4441</v>
      </c>
      <c r="G3017" s="52">
        <v>449761.30573748198</v>
      </c>
      <c r="H3017" s="56">
        <v>9.3095778167969767E-2</v>
      </c>
      <c r="I3017" s="224" t="s">
        <v>2</v>
      </c>
    </row>
    <row r="3018" spans="1:9" x14ac:dyDescent="0.25">
      <c r="A3018" s="515">
        <v>15701</v>
      </c>
      <c r="B3018" s="515" t="s">
        <v>343</v>
      </c>
      <c r="C3018" s="52">
        <v>168759.42714319701</v>
      </c>
      <c r="D3018" s="56">
        <v>7.1111647818042023E-2</v>
      </c>
      <c r="E3018" s="224">
        <v>1362.5</v>
      </c>
      <c r="F3018" s="515" t="s">
        <v>567</v>
      </c>
      <c r="G3018" s="52">
        <v>230166.63182238999</v>
      </c>
      <c r="H3018" s="56">
        <v>4.9582648584236493E-2</v>
      </c>
      <c r="I3018" s="224" t="s">
        <v>2</v>
      </c>
    </row>
    <row r="3019" spans="1:9" x14ac:dyDescent="0.25">
      <c r="A3019" s="515">
        <v>29841</v>
      </c>
      <c r="B3019" s="515" t="s">
        <v>888</v>
      </c>
      <c r="C3019" s="52">
        <v>186627.16479462699</v>
      </c>
      <c r="D3019" s="56">
        <v>0.10011333059271142</v>
      </c>
      <c r="E3019" s="224">
        <v>1099.6666666666599</v>
      </c>
      <c r="F3019" s="515" t="s">
        <v>4442</v>
      </c>
      <c r="G3019" s="52">
        <v>667471.46950471099</v>
      </c>
      <c r="H3019" s="56">
        <v>1.4303349919823764E-2</v>
      </c>
      <c r="I3019" s="224">
        <v>3062.375</v>
      </c>
    </row>
    <row r="3020" spans="1:9" x14ac:dyDescent="0.25">
      <c r="A3020" s="515">
        <v>44145</v>
      </c>
      <c r="B3020" s="515" t="s">
        <v>520</v>
      </c>
      <c r="C3020" s="52">
        <v>337182.87656720402</v>
      </c>
      <c r="D3020" s="56">
        <v>5.8014876289555574E-2</v>
      </c>
      <c r="E3020" s="224" t="s">
        <v>2</v>
      </c>
      <c r="F3020" s="515" t="s">
        <v>4443</v>
      </c>
      <c r="G3020" s="52">
        <v>287130.23158840003</v>
      </c>
      <c r="H3020" s="56">
        <v>6.487673368062051E-2</v>
      </c>
      <c r="I3020" s="224" t="s">
        <v>2</v>
      </c>
    </row>
    <row r="3021" spans="1:9" x14ac:dyDescent="0.25">
      <c r="A3021" s="515">
        <v>14621</v>
      </c>
      <c r="B3021" s="515" t="s">
        <v>337</v>
      </c>
      <c r="C3021" s="52">
        <v>83283.198861193698</v>
      </c>
      <c r="D3021" s="56">
        <v>8.2477160110655423E-2</v>
      </c>
      <c r="E3021" s="224">
        <v>1091.6666666666599</v>
      </c>
      <c r="F3021" s="515" t="s">
        <v>4444</v>
      </c>
      <c r="G3021" s="52">
        <v>155183.62729656001</v>
      </c>
      <c r="H3021" s="56">
        <v>4.0994718014179116E-2</v>
      </c>
      <c r="I3021" s="224" t="s">
        <v>2</v>
      </c>
    </row>
    <row r="3022" spans="1:9" x14ac:dyDescent="0.25">
      <c r="A3022" s="515">
        <v>98201</v>
      </c>
      <c r="B3022" s="515" t="s">
        <v>384</v>
      </c>
      <c r="C3022" s="52">
        <v>498432.84576987301</v>
      </c>
      <c r="D3022" s="56">
        <v>2.8320116912008097E-2</v>
      </c>
      <c r="E3022" s="224">
        <v>1732.0979020979</v>
      </c>
      <c r="F3022" s="515" t="s">
        <v>4445</v>
      </c>
      <c r="G3022" s="52">
        <v>106946.301256419</v>
      </c>
      <c r="H3022" s="56">
        <v>0.12804391283538072</v>
      </c>
      <c r="I3022" s="224" t="s">
        <v>2</v>
      </c>
    </row>
    <row r="3023" spans="1:9" x14ac:dyDescent="0.25">
      <c r="A3023" s="515">
        <v>65301</v>
      </c>
      <c r="B3023" s="515" t="s">
        <v>798</v>
      </c>
      <c r="C3023" s="52">
        <v>157441.06117022</v>
      </c>
      <c r="D3023" s="56">
        <v>9.9883394053759025E-2</v>
      </c>
      <c r="E3023" s="224" t="s">
        <v>2</v>
      </c>
      <c r="F3023" s="515" t="s">
        <v>4446</v>
      </c>
      <c r="G3023" s="52">
        <v>382182.55840097897</v>
      </c>
      <c r="H3023" s="56">
        <v>7.1623977561340535E-2</v>
      </c>
      <c r="I3023" s="224" t="s">
        <v>2</v>
      </c>
    </row>
    <row r="3024" spans="1:9" x14ac:dyDescent="0.25">
      <c r="A3024" s="515">
        <v>55428</v>
      </c>
      <c r="B3024" s="515" t="s">
        <v>532</v>
      </c>
      <c r="C3024" s="52">
        <v>287493.255023723</v>
      </c>
      <c r="D3024" s="56">
        <v>2.2119717505992235E-2</v>
      </c>
      <c r="E3024" s="224">
        <v>1726.6666666666599</v>
      </c>
      <c r="F3024" s="515" t="s">
        <v>4447</v>
      </c>
      <c r="G3024" s="52">
        <v>280499.248406097</v>
      </c>
      <c r="H3024" s="56">
        <v>5.4316165510281636E-2</v>
      </c>
      <c r="I3024" s="224">
        <v>1548.0277777777701</v>
      </c>
    </row>
    <row r="3025" spans="1:9" x14ac:dyDescent="0.25">
      <c r="A3025" s="515">
        <v>71270</v>
      </c>
      <c r="B3025" s="515" t="s">
        <v>1155</v>
      </c>
      <c r="C3025" s="52">
        <v>200858.40480900399</v>
      </c>
      <c r="D3025" s="56">
        <v>3.1008828953868885E-2</v>
      </c>
      <c r="E3025" s="224">
        <v>1058.05555555555</v>
      </c>
      <c r="F3025" s="515" t="s">
        <v>4448</v>
      </c>
      <c r="G3025" s="52">
        <v>177838.096114871</v>
      </c>
      <c r="H3025" s="56">
        <v>7.6128411123486353E-2</v>
      </c>
      <c r="I3025" s="224" t="s">
        <v>2</v>
      </c>
    </row>
    <row r="3026" spans="1:9" x14ac:dyDescent="0.25">
      <c r="A3026" s="515">
        <v>33174</v>
      </c>
      <c r="B3026" s="515" t="s">
        <v>831</v>
      </c>
      <c r="C3026" s="52">
        <v>411585.55623704998</v>
      </c>
      <c r="D3026" s="56">
        <v>0.16113804779486091</v>
      </c>
      <c r="E3026" s="224">
        <v>3013.74761904761</v>
      </c>
      <c r="F3026" s="515" t="s">
        <v>4449</v>
      </c>
      <c r="G3026" s="52">
        <v>199818.89079111299</v>
      </c>
      <c r="H3026" s="56">
        <v>8.204308393468028E-2</v>
      </c>
      <c r="I3026" s="224" t="s">
        <v>2</v>
      </c>
    </row>
    <row r="3027" spans="1:9" x14ac:dyDescent="0.25">
      <c r="A3027" s="515">
        <v>90005</v>
      </c>
      <c r="B3027" s="515" t="s">
        <v>375</v>
      </c>
      <c r="C3027" s="52">
        <v>924214.69151178596</v>
      </c>
      <c r="D3027" s="56">
        <v>-5.0480479080697825E-2</v>
      </c>
      <c r="E3027" s="224">
        <v>2530.63611111111</v>
      </c>
      <c r="F3027" s="515" t="s">
        <v>4450</v>
      </c>
      <c r="G3027" s="52">
        <v>361277.00550787902</v>
      </c>
      <c r="H3027" s="56">
        <v>0.13831969403814989</v>
      </c>
      <c r="I3027" s="224">
        <v>2134.1666666666601</v>
      </c>
    </row>
    <row r="3028" spans="1:9" x14ac:dyDescent="0.25">
      <c r="A3028" s="515">
        <v>78717</v>
      </c>
      <c r="B3028" s="515" t="s">
        <v>380</v>
      </c>
      <c r="C3028" s="52">
        <v>610028.06591659295</v>
      </c>
      <c r="D3028" s="56">
        <v>4.0147315096029514E-2</v>
      </c>
      <c r="E3028" s="224">
        <v>1826.1142970927899</v>
      </c>
      <c r="F3028" s="515" t="s">
        <v>4451</v>
      </c>
      <c r="G3028" s="52">
        <v>257458.66232020501</v>
      </c>
      <c r="H3028" s="56">
        <v>7.003092285926521E-2</v>
      </c>
      <c r="I3028" s="224">
        <v>1027.7777777777701</v>
      </c>
    </row>
    <row r="3029" spans="1:9" x14ac:dyDescent="0.25">
      <c r="A3029" s="515">
        <v>62269</v>
      </c>
      <c r="B3029" s="515" t="s">
        <v>498</v>
      </c>
      <c r="C3029" s="52">
        <v>263375.99364615098</v>
      </c>
      <c r="D3029" s="56">
        <v>5.4052858786108229E-2</v>
      </c>
      <c r="E3029" s="224">
        <v>1410.7111111111101</v>
      </c>
      <c r="F3029" s="515" t="s">
        <v>4452</v>
      </c>
      <c r="G3029" s="52">
        <v>859905.71996468399</v>
      </c>
      <c r="H3029" s="56">
        <v>7.7393767626966273E-2</v>
      </c>
      <c r="I3029" s="224">
        <v>2615.8333333333298</v>
      </c>
    </row>
    <row r="3030" spans="1:9" x14ac:dyDescent="0.25">
      <c r="A3030" s="515">
        <v>60631</v>
      </c>
      <c r="B3030" s="515" t="s">
        <v>394</v>
      </c>
      <c r="C3030" s="52">
        <v>376650.10775405599</v>
      </c>
      <c r="D3030" s="56">
        <v>8.3507091816052165E-3</v>
      </c>
      <c r="E3030" s="224">
        <v>1500</v>
      </c>
      <c r="F3030" s="515" t="s">
        <v>4453</v>
      </c>
      <c r="G3030" s="52">
        <v>171706.43654822299</v>
      </c>
      <c r="H3030" s="56">
        <v>0</v>
      </c>
      <c r="I3030" s="224" t="s">
        <v>2</v>
      </c>
    </row>
    <row r="3031" spans="1:9" x14ac:dyDescent="0.25">
      <c r="A3031" s="515">
        <v>29708</v>
      </c>
      <c r="B3031" s="515" t="s">
        <v>360</v>
      </c>
      <c r="C3031" s="52">
        <v>509132.45355369803</v>
      </c>
      <c r="D3031" s="56">
        <v>9.2732364533330863E-2</v>
      </c>
      <c r="E3031" s="224">
        <v>1921.1111111111099</v>
      </c>
      <c r="F3031" s="515" t="s">
        <v>572</v>
      </c>
      <c r="G3031" s="52">
        <v>983966.21857859194</v>
      </c>
      <c r="H3031" s="56">
        <v>0.19705828203769624</v>
      </c>
      <c r="I3031" s="224">
        <v>5358.3333333333303</v>
      </c>
    </row>
    <row r="3032" spans="1:9" x14ac:dyDescent="0.25">
      <c r="A3032" s="515">
        <v>16101</v>
      </c>
      <c r="B3032" s="515" t="s">
        <v>652</v>
      </c>
      <c r="C3032" s="52">
        <v>102666.850064784</v>
      </c>
      <c r="D3032" s="56">
        <v>0.16351183936861677</v>
      </c>
      <c r="E3032" s="224" t="s">
        <v>2</v>
      </c>
      <c r="F3032" s="515" t="s">
        <v>4454</v>
      </c>
      <c r="G3032" s="52">
        <v>564991.82554819598</v>
      </c>
      <c r="H3032" s="56">
        <v>5.5835875605828443E-2</v>
      </c>
      <c r="I3032" s="224" t="s">
        <v>2</v>
      </c>
    </row>
    <row r="3033" spans="1:9" x14ac:dyDescent="0.25">
      <c r="A3033" s="515">
        <v>32312</v>
      </c>
      <c r="B3033" s="515" t="s">
        <v>335</v>
      </c>
      <c r="C3033" s="52">
        <v>405701.71585080703</v>
      </c>
      <c r="D3033" s="56">
        <v>5.532754795737331E-2</v>
      </c>
      <c r="E3033" s="224">
        <v>1950</v>
      </c>
      <c r="F3033" s="515" t="s">
        <v>4455</v>
      </c>
      <c r="G3033" s="52">
        <v>1012455.29907584</v>
      </c>
      <c r="H3033" s="56">
        <v>1.2075562125370641E-2</v>
      </c>
      <c r="I3033" s="224">
        <v>3737.5</v>
      </c>
    </row>
    <row r="3034" spans="1:9" x14ac:dyDescent="0.25">
      <c r="A3034" s="515">
        <v>34759</v>
      </c>
      <c r="B3034" s="515" t="s">
        <v>359</v>
      </c>
      <c r="C3034" s="52">
        <v>303119.32404424599</v>
      </c>
      <c r="D3034" s="56">
        <v>0.11107606013862777</v>
      </c>
      <c r="E3034" s="224">
        <v>1901.4628787878701</v>
      </c>
      <c r="F3034" s="515" t="s">
        <v>4456</v>
      </c>
      <c r="G3034" s="52">
        <v>193484.85658902099</v>
      </c>
      <c r="H3034" s="56">
        <v>4.5813612985849426E-2</v>
      </c>
      <c r="I3034" s="224" t="s">
        <v>2</v>
      </c>
    </row>
    <row r="3035" spans="1:9" x14ac:dyDescent="0.25">
      <c r="A3035" s="515">
        <v>2302</v>
      </c>
      <c r="B3035" s="515" t="s">
        <v>534</v>
      </c>
      <c r="C3035" s="52">
        <v>417330.64319601102</v>
      </c>
      <c r="D3035" s="56">
        <v>4.2076864952915238E-2</v>
      </c>
      <c r="E3035" s="224" t="s">
        <v>2</v>
      </c>
      <c r="F3035" s="515" t="s">
        <v>4457</v>
      </c>
      <c r="G3035" s="52">
        <v>380528.24631874898</v>
      </c>
      <c r="H3035" s="56">
        <v>9.1694407701027519E-2</v>
      </c>
      <c r="I3035" s="224" t="s">
        <v>2</v>
      </c>
    </row>
    <row r="3036" spans="1:9" x14ac:dyDescent="0.25">
      <c r="A3036" s="515">
        <v>95242</v>
      </c>
      <c r="B3036" s="515" t="s">
        <v>852</v>
      </c>
      <c r="C3036" s="52">
        <v>535246.80413287098</v>
      </c>
      <c r="D3036" s="56">
        <v>2.5119757303619431E-2</v>
      </c>
      <c r="E3036" s="224">
        <v>2737.5</v>
      </c>
      <c r="F3036" s="515" t="s">
        <v>4458</v>
      </c>
      <c r="G3036" s="52">
        <v>303147.04616818298</v>
      </c>
      <c r="H3036" s="56">
        <v>6.5938183580516493E-2</v>
      </c>
      <c r="I3036" s="224" t="s">
        <v>2</v>
      </c>
    </row>
    <row r="3037" spans="1:9" x14ac:dyDescent="0.25">
      <c r="A3037" s="515">
        <v>55122</v>
      </c>
      <c r="B3037" s="515" t="s">
        <v>532</v>
      </c>
      <c r="C3037" s="52">
        <v>328423.59693659103</v>
      </c>
      <c r="D3037" s="56">
        <v>8.4933793003178926E-3</v>
      </c>
      <c r="E3037" s="224">
        <v>1489.62777777777</v>
      </c>
      <c r="F3037" s="515" t="s">
        <v>4459</v>
      </c>
      <c r="G3037" s="52">
        <v>291546.56323268998</v>
      </c>
      <c r="H3037" s="56">
        <v>7.6642633237875665E-2</v>
      </c>
      <c r="I3037" s="224" t="s">
        <v>2</v>
      </c>
    </row>
    <row r="3038" spans="1:9" x14ac:dyDescent="0.25">
      <c r="A3038" s="515">
        <v>33702</v>
      </c>
      <c r="B3038" s="515" t="s">
        <v>461</v>
      </c>
      <c r="C3038" s="52">
        <v>323442.39944100101</v>
      </c>
      <c r="D3038" s="56">
        <v>0.12700248029840219</v>
      </c>
      <c r="E3038" s="224">
        <v>2062.37037037037</v>
      </c>
      <c r="F3038" s="515" t="s">
        <v>4460</v>
      </c>
      <c r="G3038" s="52">
        <v>482771.241629317</v>
      </c>
      <c r="H3038" s="56">
        <v>0.11588803327142226</v>
      </c>
      <c r="I3038" s="224" t="s">
        <v>2</v>
      </c>
    </row>
    <row r="3039" spans="1:9" x14ac:dyDescent="0.25">
      <c r="A3039" s="515">
        <v>85704</v>
      </c>
      <c r="B3039" s="515" t="s">
        <v>368</v>
      </c>
      <c r="C3039" s="52">
        <v>416929.73982634401</v>
      </c>
      <c r="D3039" s="56">
        <v>7.4988754300327018E-2</v>
      </c>
      <c r="E3039" s="224">
        <v>1665.1400793650701</v>
      </c>
      <c r="F3039" s="515" t="s">
        <v>4461</v>
      </c>
      <c r="G3039" s="52">
        <v>417869.69362510002</v>
      </c>
      <c r="H3039" s="56">
        <v>0.10877651139315986</v>
      </c>
      <c r="I3039" s="224">
        <v>1804.81111111111</v>
      </c>
    </row>
    <row r="3040" spans="1:9" x14ac:dyDescent="0.25">
      <c r="A3040" s="515">
        <v>50266</v>
      </c>
      <c r="B3040" s="515" t="s">
        <v>295</v>
      </c>
      <c r="C3040" s="52">
        <v>296825.27578067401</v>
      </c>
      <c r="D3040" s="56">
        <v>7.0117571356431957E-2</v>
      </c>
      <c r="E3040" s="224">
        <v>1340.16577540106</v>
      </c>
      <c r="F3040" s="515" t="s">
        <v>4462</v>
      </c>
      <c r="G3040" s="52">
        <v>709381.47159981297</v>
      </c>
      <c r="H3040" s="56">
        <v>6.1791964306971064E-2</v>
      </c>
      <c r="I3040" s="224">
        <v>2700</v>
      </c>
    </row>
    <row r="3041" spans="1:9" x14ac:dyDescent="0.25">
      <c r="A3041" s="515">
        <v>33445</v>
      </c>
      <c r="B3041" s="515" t="s">
        <v>831</v>
      </c>
      <c r="C3041" s="52">
        <v>306832.17239838</v>
      </c>
      <c r="D3041" s="56">
        <v>0.16098350118542828</v>
      </c>
      <c r="E3041" s="224">
        <v>2737.7617845117802</v>
      </c>
      <c r="F3041" s="515" t="s">
        <v>4463</v>
      </c>
      <c r="G3041" s="52">
        <v>481877.69703805703</v>
      </c>
      <c r="H3041" s="56">
        <v>7.1716892503238955E-2</v>
      </c>
      <c r="I3041" s="224" t="s">
        <v>2</v>
      </c>
    </row>
    <row r="3042" spans="1:9" x14ac:dyDescent="0.25">
      <c r="A3042" s="515">
        <v>85208</v>
      </c>
      <c r="B3042" s="515" t="s">
        <v>563</v>
      </c>
      <c r="C3042" s="52">
        <v>369585.33407257398</v>
      </c>
      <c r="D3042" s="56">
        <v>4.7666991185507677E-2</v>
      </c>
      <c r="E3042" s="224">
        <v>1991.4722222222199</v>
      </c>
      <c r="F3042" s="515" t="s">
        <v>4464</v>
      </c>
      <c r="G3042" s="52">
        <v>269671.36426299001</v>
      </c>
      <c r="H3042" s="56">
        <v>0</v>
      </c>
      <c r="I3042" s="224" t="s">
        <v>2</v>
      </c>
    </row>
    <row r="3043" spans="1:9" x14ac:dyDescent="0.25">
      <c r="A3043" s="515">
        <v>21742</v>
      </c>
      <c r="B3043" s="515" t="s">
        <v>654</v>
      </c>
      <c r="C3043" s="52">
        <v>295692.90845999599</v>
      </c>
      <c r="D3043" s="56">
        <v>5.0213615815484176E-2</v>
      </c>
      <c r="E3043" s="224">
        <v>1563.7777777777701</v>
      </c>
      <c r="F3043" s="515" t="s">
        <v>4465</v>
      </c>
      <c r="G3043" s="52">
        <v>480426.14483724203</v>
      </c>
      <c r="H3043" s="56">
        <v>5.9082302174635684E-2</v>
      </c>
      <c r="I3043" s="224">
        <v>1561.88888888888</v>
      </c>
    </row>
    <row r="3044" spans="1:9" x14ac:dyDescent="0.25">
      <c r="A3044" s="515">
        <v>79701</v>
      </c>
      <c r="B3044" s="515" t="s">
        <v>802</v>
      </c>
      <c r="C3044" s="52">
        <v>185441.40084920599</v>
      </c>
      <c r="D3044" s="56">
        <v>-1.8538056115937466E-3</v>
      </c>
      <c r="E3044" s="224" t="s">
        <v>2</v>
      </c>
      <c r="F3044" s="515" t="s">
        <v>4466</v>
      </c>
      <c r="G3044" s="52">
        <v>318942.33784884802</v>
      </c>
      <c r="H3044" s="56">
        <v>9.1693813067934934E-2</v>
      </c>
      <c r="I3044" s="224">
        <v>1509.69444444444</v>
      </c>
    </row>
    <row r="3045" spans="1:9" x14ac:dyDescent="0.25">
      <c r="A3045" s="515">
        <v>95377</v>
      </c>
      <c r="B3045" s="515" t="s">
        <v>852</v>
      </c>
      <c r="C3045" s="52">
        <v>756820.68030143296</v>
      </c>
      <c r="D3045" s="56">
        <v>8.9757382539770829E-3</v>
      </c>
      <c r="E3045" s="224">
        <v>2867.5238095238001</v>
      </c>
      <c r="F3045" s="515" t="s">
        <v>4467</v>
      </c>
      <c r="G3045" s="52">
        <v>2654545.69957165</v>
      </c>
      <c r="H3045" s="56">
        <v>7.9459828091236626E-2</v>
      </c>
      <c r="I3045" s="224">
        <v>5268.0041666666602</v>
      </c>
    </row>
    <row r="3046" spans="1:9" x14ac:dyDescent="0.25">
      <c r="A3046" s="515">
        <v>34769</v>
      </c>
      <c r="B3046" s="515" t="s">
        <v>517</v>
      </c>
      <c r="C3046" s="52">
        <v>308746.76829451602</v>
      </c>
      <c r="D3046" s="56">
        <v>0.13250032202829023</v>
      </c>
      <c r="E3046" s="224">
        <v>1662</v>
      </c>
      <c r="F3046" s="515" t="s">
        <v>4468</v>
      </c>
      <c r="G3046" s="52">
        <v>212172.86709515101</v>
      </c>
      <c r="H3046" s="56">
        <v>7.4431838084566104E-2</v>
      </c>
      <c r="I3046" s="224" t="s">
        <v>2</v>
      </c>
    </row>
    <row r="3047" spans="1:9" x14ac:dyDescent="0.25">
      <c r="A3047" s="515">
        <v>85340</v>
      </c>
      <c r="B3047" s="515" t="s">
        <v>563</v>
      </c>
      <c r="C3047" s="52">
        <v>522405.831439164</v>
      </c>
      <c r="D3047" s="56">
        <v>4.2838332356494424E-2</v>
      </c>
      <c r="E3047" s="224">
        <v>2097.2784391534301</v>
      </c>
      <c r="F3047" s="515" t="s">
        <v>4469</v>
      </c>
      <c r="G3047" s="52">
        <v>535327.24074807297</v>
      </c>
      <c r="H3047" s="56">
        <v>-3.04868031910186E-2</v>
      </c>
      <c r="I3047" s="224" t="s">
        <v>2</v>
      </c>
    </row>
    <row r="3048" spans="1:9" x14ac:dyDescent="0.25">
      <c r="A3048" s="515">
        <v>34205</v>
      </c>
      <c r="B3048" s="515" t="s">
        <v>466</v>
      </c>
      <c r="C3048" s="52">
        <v>289370.35402585502</v>
      </c>
      <c r="D3048" s="56">
        <v>0.20076867001295826</v>
      </c>
      <c r="E3048" s="224">
        <v>2145.6857142857102</v>
      </c>
      <c r="F3048" s="515" t="s">
        <v>4470</v>
      </c>
      <c r="G3048" s="52">
        <v>932922.12207817205</v>
      </c>
      <c r="H3048" s="56">
        <v>2.6235755963514233E-2</v>
      </c>
      <c r="I3048" s="224">
        <v>3150</v>
      </c>
    </row>
    <row r="3049" spans="1:9" x14ac:dyDescent="0.25">
      <c r="A3049" s="515">
        <v>91324</v>
      </c>
      <c r="B3049" s="515" t="s">
        <v>375</v>
      </c>
      <c r="C3049" s="52">
        <v>845899.41595957405</v>
      </c>
      <c r="D3049" s="56">
        <v>1.9173560294933237E-2</v>
      </c>
      <c r="E3049" s="224">
        <v>2689.8392094016999</v>
      </c>
      <c r="F3049" s="515" t="s">
        <v>4471</v>
      </c>
      <c r="G3049" s="52">
        <v>379528.58479960298</v>
      </c>
      <c r="H3049" s="56">
        <v>5.5356239742851872E-3</v>
      </c>
      <c r="I3049" s="224">
        <v>1984.075</v>
      </c>
    </row>
    <row r="3050" spans="1:9" x14ac:dyDescent="0.25">
      <c r="A3050" s="515">
        <v>7747</v>
      </c>
      <c r="B3050" s="515" t="s">
        <v>324</v>
      </c>
      <c r="C3050" s="52">
        <v>511496.52989477501</v>
      </c>
      <c r="D3050" s="56">
        <v>0.10079748011614888</v>
      </c>
      <c r="E3050" s="224">
        <v>2298.88888888888</v>
      </c>
      <c r="F3050" s="515" t="s">
        <v>4472</v>
      </c>
      <c r="G3050" s="52">
        <v>512991.60138497502</v>
      </c>
      <c r="H3050" s="56">
        <v>3.9627469029331445E-2</v>
      </c>
      <c r="I3050" s="224" t="s">
        <v>2</v>
      </c>
    </row>
    <row r="3051" spans="1:9" x14ac:dyDescent="0.25">
      <c r="A3051" s="515">
        <v>85395</v>
      </c>
      <c r="B3051" s="515" t="s">
        <v>563</v>
      </c>
      <c r="C3051" s="52">
        <v>535070.28366095002</v>
      </c>
      <c r="D3051" s="56">
        <v>3.1576726021710258E-2</v>
      </c>
      <c r="E3051" s="224">
        <v>2004.55555555555</v>
      </c>
      <c r="F3051" s="515" t="s">
        <v>4473</v>
      </c>
      <c r="G3051" s="52">
        <v>442749.28180893802</v>
      </c>
      <c r="H3051" s="56">
        <v>0.12251289510732771</v>
      </c>
      <c r="I3051" s="224" t="s">
        <v>2</v>
      </c>
    </row>
    <row r="3052" spans="1:9" x14ac:dyDescent="0.25">
      <c r="A3052" s="515">
        <v>33823</v>
      </c>
      <c r="B3052" s="515" t="s">
        <v>359</v>
      </c>
      <c r="C3052" s="52">
        <v>296848.41414012702</v>
      </c>
      <c r="D3052" s="56">
        <v>0.12201404694443423</v>
      </c>
      <c r="E3052" s="224">
        <v>1921.9166666666599</v>
      </c>
      <c r="F3052" s="515" t="s">
        <v>4474</v>
      </c>
      <c r="G3052" s="52">
        <v>536054.65534813399</v>
      </c>
      <c r="H3052" s="56">
        <v>5.1039153510306988E-2</v>
      </c>
      <c r="I3052" s="224" t="s">
        <v>2</v>
      </c>
    </row>
    <row r="3053" spans="1:9" x14ac:dyDescent="0.25">
      <c r="A3053" s="515">
        <v>98229</v>
      </c>
      <c r="B3053" s="515" t="s">
        <v>412</v>
      </c>
      <c r="C3053" s="52">
        <v>643687.49621886399</v>
      </c>
      <c r="D3053" s="56">
        <v>3.7820746089720046E-2</v>
      </c>
      <c r="E3053" s="224">
        <v>2002.9166666666599</v>
      </c>
      <c r="F3053" s="515" t="s">
        <v>4475</v>
      </c>
      <c r="G3053" s="52">
        <v>449899.93745768903</v>
      </c>
      <c r="H3053" s="56">
        <v>9.3934016374094112E-2</v>
      </c>
      <c r="I3053" s="224">
        <v>1550</v>
      </c>
    </row>
    <row r="3054" spans="1:9" x14ac:dyDescent="0.25">
      <c r="A3054" s="515">
        <v>90807</v>
      </c>
      <c r="B3054" s="515" t="s">
        <v>375</v>
      </c>
      <c r="C3054" s="52">
        <v>846577.56214882003</v>
      </c>
      <c r="D3054" s="56">
        <v>3.8148789175925991E-2</v>
      </c>
      <c r="E3054" s="224">
        <v>2270.8333333333298</v>
      </c>
      <c r="F3054" s="515" t="s">
        <v>4476</v>
      </c>
      <c r="G3054" s="52">
        <v>463647.059377931</v>
      </c>
      <c r="H3054" s="56">
        <v>2.5380068130491464E-2</v>
      </c>
      <c r="I3054" s="224" t="s">
        <v>2</v>
      </c>
    </row>
    <row r="3055" spans="1:9" x14ac:dyDescent="0.25">
      <c r="A3055" s="515">
        <v>33713</v>
      </c>
      <c r="B3055" s="515" t="s">
        <v>461</v>
      </c>
      <c r="C3055" s="52">
        <v>337559.32414341799</v>
      </c>
      <c r="D3055" s="56">
        <v>0.13387101431397505</v>
      </c>
      <c r="E3055" s="224">
        <v>1934.70163170163</v>
      </c>
      <c r="F3055" s="515" t="s">
        <v>4477</v>
      </c>
      <c r="G3055" s="52">
        <v>190760.18424565601</v>
      </c>
      <c r="H3055" s="56">
        <v>0.11102988491316501</v>
      </c>
      <c r="I3055" s="224">
        <v>1008.75</v>
      </c>
    </row>
    <row r="3056" spans="1:9" x14ac:dyDescent="0.25">
      <c r="A3056" s="515">
        <v>77047</v>
      </c>
      <c r="B3056" s="515" t="s">
        <v>314</v>
      </c>
      <c r="C3056" s="52">
        <v>241522.70800335199</v>
      </c>
      <c r="D3056" s="56">
        <v>0.11799457493930447</v>
      </c>
      <c r="E3056" s="224">
        <v>1857.4583333333301</v>
      </c>
      <c r="F3056" s="515" t="s">
        <v>4478</v>
      </c>
      <c r="G3056" s="52">
        <v>306626.72458605003</v>
      </c>
      <c r="H3056" s="56">
        <v>4.2124280139311805E-2</v>
      </c>
      <c r="I3056" s="224" t="s">
        <v>2</v>
      </c>
    </row>
    <row r="3057" spans="1:9" x14ac:dyDescent="0.25">
      <c r="A3057" s="515">
        <v>48917</v>
      </c>
      <c r="B3057" s="515" t="s">
        <v>528</v>
      </c>
      <c r="C3057" s="52">
        <v>217804.11947453901</v>
      </c>
      <c r="D3057" s="56">
        <v>7.1578722998393851E-2</v>
      </c>
      <c r="E3057" s="224">
        <v>1559.4666666666601</v>
      </c>
      <c r="F3057" s="515" t="s">
        <v>791</v>
      </c>
      <c r="G3057" s="52">
        <v>218369.93131541499</v>
      </c>
      <c r="H3057" s="56">
        <v>6.1146945832484055E-2</v>
      </c>
      <c r="I3057" s="224" t="s">
        <v>2</v>
      </c>
    </row>
    <row r="3058" spans="1:9" x14ac:dyDescent="0.25">
      <c r="A3058" s="515">
        <v>70094</v>
      </c>
      <c r="B3058" s="515" t="s">
        <v>777</v>
      </c>
      <c r="C3058" s="52">
        <v>142738.275166017</v>
      </c>
      <c r="D3058" s="56">
        <v>1.2476490609502264E-2</v>
      </c>
      <c r="E3058" s="224" t="s">
        <v>2</v>
      </c>
      <c r="F3058" s="515" t="s">
        <v>4479</v>
      </c>
      <c r="G3058" s="52">
        <v>373903.45823401498</v>
      </c>
      <c r="H3058" s="56">
        <v>5.0657347889631867E-2</v>
      </c>
      <c r="I3058" s="224" t="s">
        <v>2</v>
      </c>
    </row>
    <row r="3059" spans="1:9" x14ac:dyDescent="0.25">
      <c r="A3059" s="515">
        <v>32309</v>
      </c>
      <c r="B3059" s="515" t="s">
        <v>335</v>
      </c>
      <c r="C3059" s="52">
        <v>353857.82508024998</v>
      </c>
      <c r="D3059" s="56">
        <v>6.321343406727363E-2</v>
      </c>
      <c r="E3059" s="224">
        <v>1210.3571428571399</v>
      </c>
      <c r="F3059" s="515" t="s">
        <v>4480</v>
      </c>
      <c r="G3059" s="52">
        <v>247365.63378087099</v>
      </c>
      <c r="H3059" s="56">
        <v>5.0988020627462903E-2</v>
      </c>
      <c r="I3059" s="224" t="s">
        <v>2</v>
      </c>
    </row>
    <row r="3060" spans="1:9" x14ac:dyDescent="0.25">
      <c r="A3060" s="515">
        <v>33771</v>
      </c>
      <c r="B3060" s="515" t="s">
        <v>461</v>
      </c>
      <c r="C3060" s="52">
        <v>291850.84974746098</v>
      </c>
      <c r="D3060" s="56">
        <v>0.13455771713994963</v>
      </c>
      <c r="E3060" s="224">
        <v>1672.8333333333301</v>
      </c>
      <c r="F3060" s="515" t="s">
        <v>4481</v>
      </c>
      <c r="G3060" s="52">
        <v>591630.57769350405</v>
      </c>
      <c r="H3060" s="56">
        <v>0.12186595500615839</v>
      </c>
      <c r="I3060" s="224" t="s">
        <v>2</v>
      </c>
    </row>
    <row r="3061" spans="1:9" x14ac:dyDescent="0.25">
      <c r="A3061" s="515">
        <v>97304</v>
      </c>
      <c r="B3061" s="515" t="s">
        <v>416</v>
      </c>
      <c r="C3061" s="52">
        <v>467487.21979199199</v>
      </c>
      <c r="D3061" s="56">
        <v>4.6214688291138631E-2</v>
      </c>
      <c r="E3061" s="224">
        <v>1747.2222222222199</v>
      </c>
      <c r="F3061" s="515" t="s">
        <v>4482</v>
      </c>
      <c r="G3061" s="52">
        <v>580307.49045167095</v>
      </c>
      <c r="H3061" s="56">
        <v>6.5307501946223409E-2</v>
      </c>
      <c r="I3061" s="224" t="s">
        <v>2</v>
      </c>
    </row>
    <row r="3062" spans="1:9" x14ac:dyDescent="0.25">
      <c r="A3062" s="515">
        <v>48423</v>
      </c>
      <c r="B3062" s="515" t="s">
        <v>759</v>
      </c>
      <c r="C3062" s="52">
        <v>217222.078049545</v>
      </c>
      <c r="D3062" s="56">
        <v>3.0737825141913505E-2</v>
      </c>
      <c r="E3062" s="224">
        <v>1224.3333333333301</v>
      </c>
      <c r="F3062" s="515" t="s">
        <v>4483</v>
      </c>
      <c r="G3062" s="52">
        <v>563679.78347404301</v>
      </c>
      <c r="H3062" s="56">
        <v>8.3920448292255798E-2</v>
      </c>
      <c r="I3062" s="224">
        <v>2393.3333333333298</v>
      </c>
    </row>
    <row r="3063" spans="1:9" x14ac:dyDescent="0.25">
      <c r="A3063" s="515">
        <v>62702</v>
      </c>
      <c r="B3063" s="515" t="s">
        <v>819</v>
      </c>
      <c r="C3063" s="52">
        <v>88458.251818758901</v>
      </c>
      <c r="D3063" s="56">
        <v>4.856884221430792E-2</v>
      </c>
      <c r="E3063" s="224" t="s">
        <v>2</v>
      </c>
      <c r="F3063" s="515" t="s">
        <v>4484</v>
      </c>
      <c r="G3063" s="52">
        <v>261785.22638076599</v>
      </c>
      <c r="H3063" s="56">
        <v>0.11596295489138324</v>
      </c>
      <c r="I3063" s="224" t="s">
        <v>2</v>
      </c>
    </row>
    <row r="3064" spans="1:9" x14ac:dyDescent="0.25">
      <c r="A3064" s="515">
        <v>29405</v>
      </c>
      <c r="B3064" s="515" t="s">
        <v>1009</v>
      </c>
      <c r="C3064" s="52">
        <v>245967.369118239</v>
      </c>
      <c r="D3064" s="56">
        <v>0.15697326021231295</v>
      </c>
      <c r="E3064" s="224">
        <v>1508.2259259259199</v>
      </c>
      <c r="F3064" s="515" t="s">
        <v>4485</v>
      </c>
      <c r="G3064" s="52">
        <v>379492.28806193598</v>
      </c>
      <c r="H3064" s="56">
        <v>8.0060420931627532E-2</v>
      </c>
      <c r="I3064" s="224" t="s">
        <v>2</v>
      </c>
    </row>
    <row r="3065" spans="1:9" x14ac:dyDescent="0.25">
      <c r="A3065" s="515">
        <v>29576</v>
      </c>
      <c r="B3065" s="515" t="s">
        <v>703</v>
      </c>
      <c r="C3065" s="52">
        <v>372942.13237109798</v>
      </c>
      <c r="D3065" s="56">
        <v>0.13003537457255465</v>
      </c>
      <c r="E3065" s="224">
        <v>1975</v>
      </c>
      <c r="F3065" s="515" t="s">
        <v>4486</v>
      </c>
      <c r="G3065" s="52">
        <v>112260.300232935</v>
      </c>
      <c r="H3065" s="56">
        <v>9.2237828608042097E-2</v>
      </c>
      <c r="I3065" s="224" t="s">
        <v>2</v>
      </c>
    </row>
    <row r="3066" spans="1:9" x14ac:dyDescent="0.25">
      <c r="A3066" s="515">
        <v>19114</v>
      </c>
      <c r="B3066" s="515" t="s">
        <v>294</v>
      </c>
      <c r="C3066" s="52">
        <v>278194.35471537698</v>
      </c>
      <c r="D3066" s="56">
        <v>4.1701342668818579E-2</v>
      </c>
      <c r="E3066" s="224">
        <v>1640.99206349206</v>
      </c>
      <c r="F3066" s="515" t="s">
        <v>4487</v>
      </c>
      <c r="G3066" s="52">
        <v>96148.578082315493</v>
      </c>
      <c r="H3066" s="56">
        <v>3.441849351248219E-2</v>
      </c>
      <c r="I3066" s="224" t="s">
        <v>2</v>
      </c>
    </row>
    <row r="3067" spans="1:9" x14ac:dyDescent="0.25">
      <c r="A3067" s="515">
        <v>79416</v>
      </c>
      <c r="B3067" s="515" t="s">
        <v>354</v>
      </c>
      <c r="C3067" s="52">
        <v>199518.06050596599</v>
      </c>
      <c r="D3067" s="56">
        <v>9.3816368208202008E-2</v>
      </c>
      <c r="E3067" s="224">
        <v>1299.37777777777</v>
      </c>
      <c r="F3067" s="515" t="s">
        <v>4488</v>
      </c>
      <c r="G3067" s="52">
        <v>466830.84043277497</v>
      </c>
      <c r="H3067" s="56">
        <v>6.9767509300600994E-2</v>
      </c>
      <c r="I3067" s="224" t="s">
        <v>2</v>
      </c>
    </row>
    <row r="3068" spans="1:9" x14ac:dyDescent="0.25">
      <c r="A3068" s="515">
        <v>27302</v>
      </c>
      <c r="B3068" s="515" t="s">
        <v>1186</v>
      </c>
      <c r="C3068" s="52">
        <v>320959.55921963498</v>
      </c>
      <c r="D3068" s="56">
        <v>0.12236704575727111</v>
      </c>
      <c r="E3068" s="224">
        <v>1506.25</v>
      </c>
      <c r="F3068" s="515" t="s">
        <v>862</v>
      </c>
      <c r="G3068" s="52">
        <v>157732.96854524</v>
      </c>
      <c r="H3068" s="56">
        <v>5.3704958456812529E-2</v>
      </c>
      <c r="I3068" s="224" t="s">
        <v>2</v>
      </c>
    </row>
    <row r="3069" spans="1:9" x14ac:dyDescent="0.25">
      <c r="A3069" s="515">
        <v>70403</v>
      </c>
      <c r="B3069" s="515" t="s">
        <v>814</v>
      </c>
      <c r="C3069" s="52">
        <v>200448.357853389</v>
      </c>
      <c r="D3069" s="56">
        <v>3.5038241669421301E-2</v>
      </c>
      <c r="E3069" s="224">
        <v>1187.68888888888</v>
      </c>
      <c r="F3069" s="515" t="s">
        <v>4489</v>
      </c>
      <c r="G3069" s="52">
        <v>482009.46030953497</v>
      </c>
      <c r="H3069" s="56">
        <v>0</v>
      </c>
      <c r="I3069" s="224">
        <v>2550</v>
      </c>
    </row>
    <row r="3070" spans="1:9" x14ac:dyDescent="0.25">
      <c r="A3070" s="515">
        <v>53105</v>
      </c>
      <c r="B3070" s="515" t="s">
        <v>1151</v>
      </c>
      <c r="C3070" s="52">
        <v>296706.19282192201</v>
      </c>
      <c r="D3070" s="56">
        <v>9.0136142979509323E-2</v>
      </c>
      <c r="E3070" s="224" t="s">
        <v>2</v>
      </c>
      <c r="F3070" s="515" t="s">
        <v>4490</v>
      </c>
      <c r="G3070" s="52">
        <v>188904.26425306799</v>
      </c>
      <c r="H3070" s="56">
        <v>0.10778593288420038</v>
      </c>
      <c r="I3070" s="224" t="s">
        <v>2</v>
      </c>
    </row>
    <row r="3071" spans="1:9" x14ac:dyDescent="0.25">
      <c r="A3071" s="515">
        <v>89135</v>
      </c>
      <c r="B3071" s="515" t="s">
        <v>323</v>
      </c>
      <c r="C3071" s="52">
        <v>620084.43464794499</v>
      </c>
      <c r="D3071" s="56">
        <v>3.1067032508150058E-2</v>
      </c>
      <c r="E3071" s="224">
        <v>2334.7343304843298</v>
      </c>
      <c r="F3071" s="515" t="s">
        <v>4491</v>
      </c>
      <c r="G3071" s="52">
        <v>301782.49783706199</v>
      </c>
      <c r="H3071" s="56">
        <v>0.12186112038074273</v>
      </c>
      <c r="I3071" s="224">
        <v>2145</v>
      </c>
    </row>
    <row r="3072" spans="1:9" x14ac:dyDescent="0.25">
      <c r="A3072" s="515">
        <v>37931</v>
      </c>
      <c r="B3072" s="515" t="s">
        <v>907</v>
      </c>
      <c r="C3072" s="52">
        <v>379617.427607177</v>
      </c>
      <c r="D3072" s="56">
        <v>0.1188256642269282</v>
      </c>
      <c r="E3072" s="224">
        <v>2280</v>
      </c>
      <c r="F3072" s="515" t="s">
        <v>767</v>
      </c>
      <c r="G3072" s="52">
        <v>158652.62633339499</v>
      </c>
      <c r="H3072" s="56">
        <v>3.909696808462268E-2</v>
      </c>
      <c r="I3072" s="224" t="s">
        <v>2</v>
      </c>
    </row>
    <row r="3073" spans="1:9" x14ac:dyDescent="0.25">
      <c r="A3073" s="515">
        <v>33460</v>
      </c>
      <c r="B3073" s="515" t="s">
        <v>831</v>
      </c>
      <c r="C3073" s="52">
        <v>354787.22040963901</v>
      </c>
      <c r="D3073" s="56">
        <v>0.16326350508919879</v>
      </c>
      <c r="E3073" s="224">
        <v>2129.6430976430902</v>
      </c>
      <c r="F3073" s="515" t="s">
        <v>4492</v>
      </c>
      <c r="G3073" s="52">
        <v>238423.53163075299</v>
      </c>
      <c r="H3073" s="56">
        <v>0.10938344396561923</v>
      </c>
      <c r="I3073" s="224" t="s">
        <v>2</v>
      </c>
    </row>
    <row r="3074" spans="1:9" x14ac:dyDescent="0.25">
      <c r="A3074" s="515">
        <v>27332</v>
      </c>
      <c r="B3074" s="515" t="s">
        <v>1216</v>
      </c>
      <c r="C3074" s="52">
        <v>263500.74461293803</v>
      </c>
      <c r="D3074" s="56">
        <v>0.1654077232934166</v>
      </c>
      <c r="E3074" s="224">
        <v>1691.6666666666599</v>
      </c>
      <c r="F3074" s="515" t="s">
        <v>4493</v>
      </c>
      <c r="G3074" s="52">
        <v>185312.13147349801</v>
      </c>
      <c r="H3074" s="56">
        <v>0.10295641336526561</v>
      </c>
      <c r="I3074" s="224">
        <v>935</v>
      </c>
    </row>
    <row r="3075" spans="1:9" x14ac:dyDescent="0.25">
      <c r="A3075" s="515">
        <v>34684</v>
      </c>
      <c r="B3075" s="515" t="s">
        <v>461</v>
      </c>
      <c r="C3075" s="52">
        <v>342734.57412557502</v>
      </c>
      <c r="D3075" s="56">
        <v>0.11721529072934279</v>
      </c>
      <c r="E3075" s="224">
        <v>2077.9861111111099</v>
      </c>
      <c r="F3075" s="515" t="s">
        <v>885</v>
      </c>
      <c r="G3075" s="52">
        <v>325722.37351329398</v>
      </c>
      <c r="H3075" s="56">
        <v>1.2925260572503186E-2</v>
      </c>
      <c r="I3075" s="224">
        <v>1250</v>
      </c>
    </row>
    <row r="3076" spans="1:9" x14ac:dyDescent="0.25">
      <c r="A3076" s="515">
        <v>48174</v>
      </c>
      <c r="B3076" s="515" t="s">
        <v>685</v>
      </c>
      <c r="C3076" s="52">
        <v>185912.79892571201</v>
      </c>
      <c r="D3076" s="56">
        <v>9.8555391102475867E-2</v>
      </c>
      <c r="E3076" s="224">
        <v>1801.3333333333301</v>
      </c>
      <c r="F3076" s="515" t="s">
        <v>4494</v>
      </c>
      <c r="G3076" s="52">
        <v>148046.848599333</v>
      </c>
      <c r="H3076" s="56">
        <v>8.1607594215552179E-2</v>
      </c>
      <c r="I3076" s="224">
        <v>1035</v>
      </c>
    </row>
    <row r="3077" spans="1:9" x14ac:dyDescent="0.25">
      <c r="A3077" s="515">
        <v>32277</v>
      </c>
      <c r="B3077" s="515" t="s">
        <v>1158</v>
      </c>
      <c r="C3077" s="52">
        <v>276781.821197871</v>
      </c>
      <c r="D3077" s="56">
        <v>0.10373926407334552</v>
      </c>
      <c r="E3077" s="224">
        <v>1515.38961038961</v>
      </c>
      <c r="F3077" s="515" t="s">
        <v>4495</v>
      </c>
      <c r="G3077" s="52">
        <v>710657.63406854495</v>
      </c>
      <c r="H3077" s="56">
        <v>1.0430469562344873E-2</v>
      </c>
      <c r="I3077" s="224">
        <v>3300</v>
      </c>
    </row>
    <row r="3078" spans="1:9" x14ac:dyDescent="0.25">
      <c r="A3078" s="515">
        <v>53186</v>
      </c>
      <c r="B3078" s="515" t="s">
        <v>950</v>
      </c>
      <c r="C3078" s="52">
        <v>280103.61116729898</v>
      </c>
      <c r="D3078" s="56">
        <v>5.6677965691244385E-2</v>
      </c>
      <c r="E3078" s="224">
        <v>872.375</v>
      </c>
      <c r="F3078" s="515" t="s">
        <v>4496</v>
      </c>
      <c r="G3078" s="52">
        <v>308775.23533881898</v>
      </c>
      <c r="H3078" s="56">
        <v>9.0847258920107796E-2</v>
      </c>
      <c r="I3078" s="224" t="s">
        <v>2</v>
      </c>
    </row>
    <row r="3079" spans="1:9" x14ac:dyDescent="0.25">
      <c r="A3079" s="515">
        <v>85331</v>
      </c>
      <c r="B3079" s="515" t="s">
        <v>563</v>
      </c>
      <c r="C3079" s="52">
        <v>764591.55602093204</v>
      </c>
      <c r="D3079" s="56">
        <v>6.805165774109323E-2</v>
      </c>
      <c r="E3079" s="224">
        <v>3030.5555555555502</v>
      </c>
      <c r="F3079" s="515" t="s">
        <v>4497</v>
      </c>
      <c r="G3079" s="52">
        <v>279201.60944143898</v>
      </c>
      <c r="H3079" s="56">
        <v>5.4522444789412892E-2</v>
      </c>
      <c r="I3079" s="224">
        <v>1349.5</v>
      </c>
    </row>
    <row r="3080" spans="1:9" x14ac:dyDescent="0.25">
      <c r="A3080" s="515">
        <v>39212</v>
      </c>
      <c r="B3080" s="515" t="s">
        <v>851</v>
      </c>
      <c r="C3080" s="52">
        <v>78870.295770714496</v>
      </c>
      <c r="D3080" s="56">
        <v>-1.4664950540297744E-2</v>
      </c>
      <c r="E3080" s="224">
        <v>1018.33333333333</v>
      </c>
      <c r="F3080" s="515" t="s">
        <v>4498</v>
      </c>
      <c r="G3080" s="52">
        <v>210635.31906562499</v>
      </c>
      <c r="H3080" s="56">
        <v>6.9031397904347216E-2</v>
      </c>
      <c r="I3080" s="224" t="s">
        <v>2</v>
      </c>
    </row>
    <row r="3081" spans="1:9" x14ac:dyDescent="0.25">
      <c r="A3081" s="515">
        <v>13502</v>
      </c>
      <c r="B3081" s="515" t="s">
        <v>543</v>
      </c>
      <c r="C3081" s="52">
        <v>162189.421062421</v>
      </c>
      <c r="D3081" s="56">
        <v>0.10371458401426212</v>
      </c>
      <c r="E3081" s="224" t="s">
        <v>2</v>
      </c>
      <c r="F3081" s="515" t="s">
        <v>4499</v>
      </c>
      <c r="G3081" s="52">
        <v>405217.99872218602</v>
      </c>
      <c r="H3081" s="56">
        <v>4.2441786008737777E-2</v>
      </c>
      <c r="I3081" s="224" t="s">
        <v>2</v>
      </c>
    </row>
    <row r="3082" spans="1:9" x14ac:dyDescent="0.25">
      <c r="A3082" s="515">
        <v>45458</v>
      </c>
      <c r="B3082" s="515" t="s">
        <v>340</v>
      </c>
      <c r="C3082" s="52">
        <v>347940.22192826</v>
      </c>
      <c r="D3082" s="56">
        <v>7.1361536767401174E-2</v>
      </c>
      <c r="E3082" s="224">
        <v>1650.55555555555</v>
      </c>
      <c r="F3082" s="515" t="s">
        <v>480</v>
      </c>
      <c r="G3082" s="52">
        <v>180385.99429825699</v>
      </c>
      <c r="H3082" s="56">
        <v>9.2274745063811767E-2</v>
      </c>
      <c r="I3082" s="224" t="s">
        <v>2</v>
      </c>
    </row>
    <row r="3083" spans="1:9" x14ac:dyDescent="0.25">
      <c r="A3083" s="515">
        <v>50310</v>
      </c>
      <c r="B3083" s="515" t="s">
        <v>295</v>
      </c>
      <c r="C3083" s="52">
        <v>207709.61994291801</v>
      </c>
      <c r="D3083" s="56">
        <v>7.0747118745825677E-2</v>
      </c>
      <c r="E3083" s="224">
        <v>994.80952380952294</v>
      </c>
      <c r="F3083" s="515" t="s">
        <v>4500</v>
      </c>
      <c r="G3083" s="52">
        <v>1915350.83268673</v>
      </c>
      <c r="H3083" s="56">
        <v>3.8062527082346587E-2</v>
      </c>
      <c r="I3083" s="224">
        <v>5180.6666666666597</v>
      </c>
    </row>
    <row r="3084" spans="1:9" x14ac:dyDescent="0.25">
      <c r="A3084" s="515">
        <v>33803</v>
      </c>
      <c r="B3084" s="515" t="s">
        <v>359</v>
      </c>
      <c r="C3084" s="52">
        <v>289050.40351324697</v>
      </c>
      <c r="D3084" s="56">
        <v>0.12069788993714875</v>
      </c>
      <c r="E3084" s="224">
        <v>1749.0857142857101</v>
      </c>
      <c r="F3084" s="515" t="s">
        <v>4501</v>
      </c>
      <c r="G3084" s="52">
        <v>440898.58918554202</v>
      </c>
      <c r="H3084" s="56">
        <v>6.5827022646105807E-2</v>
      </c>
      <c r="I3084" s="224" t="s">
        <v>2</v>
      </c>
    </row>
    <row r="3085" spans="1:9" x14ac:dyDescent="0.25">
      <c r="A3085" s="515">
        <v>94610</v>
      </c>
      <c r="B3085" s="515" t="s">
        <v>593</v>
      </c>
      <c r="C3085" s="52">
        <v>1300507.2758032801</v>
      </c>
      <c r="D3085" s="56">
        <v>-5.1778187979065825E-2</v>
      </c>
      <c r="E3085" s="224">
        <v>2406.38888888888</v>
      </c>
      <c r="F3085" s="515" t="s">
        <v>4502</v>
      </c>
      <c r="G3085" s="52">
        <v>335238.98492852401</v>
      </c>
      <c r="H3085" s="56">
        <v>7.598733774896918E-2</v>
      </c>
      <c r="I3085" s="224" t="s">
        <v>2</v>
      </c>
    </row>
    <row r="3086" spans="1:9" x14ac:dyDescent="0.25">
      <c r="A3086" s="515">
        <v>30274</v>
      </c>
      <c r="B3086" s="515" t="s">
        <v>957</v>
      </c>
      <c r="C3086" s="52">
        <v>205653.27164958199</v>
      </c>
      <c r="D3086" s="56">
        <v>0.15611362469835899</v>
      </c>
      <c r="E3086" s="224">
        <v>1674.7474747474701</v>
      </c>
      <c r="F3086" s="515" t="s">
        <v>4503</v>
      </c>
      <c r="G3086" s="52">
        <v>220954.451727501</v>
      </c>
      <c r="H3086" s="56">
        <v>8.3248643782298196E-2</v>
      </c>
      <c r="I3086" s="224" t="s">
        <v>2</v>
      </c>
    </row>
    <row r="3087" spans="1:9" x14ac:dyDescent="0.25">
      <c r="A3087" s="515">
        <v>98683</v>
      </c>
      <c r="B3087" s="515" t="s">
        <v>659</v>
      </c>
      <c r="C3087" s="52">
        <v>517815.902382834</v>
      </c>
      <c r="D3087" s="56">
        <v>3.4308901247168649E-2</v>
      </c>
      <c r="E3087" s="224">
        <v>1749.14212454212</v>
      </c>
      <c r="F3087" s="515" t="s">
        <v>4504</v>
      </c>
      <c r="G3087" s="52">
        <v>610633.34345350997</v>
      </c>
      <c r="H3087" s="56">
        <v>0</v>
      </c>
      <c r="I3087" s="224" t="s">
        <v>2</v>
      </c>
    </row>
    <row r="3088" spans="1:9" x14ac:dyDescent="0.25">
      <c r="A3088" s="515">
        <v>59801</v>
      </c>
      <c r="B3088" s="515" t="s">
        <v>1060</v>
      </c>
      <c r="C3088" s="52">
        <v>453257.95441905299</v>
      </c>
      <c r="D3088" s="56">
        <v>4.4006284758778935E-2</v>
      </c>
      <c r="E3088" s="224">
        <v>1756.0277777777701</v>
      </c>
      <c r="F3088" s="515" t="s">
        <v>4505</v>
      </c>
      <c r="G3088" s="52">
        <v>682035.78115999</v>
      </c>
      <c r="H3088" s="56">
        <v>0.15110350010761639</v>
      </c>
      <c r="I3088" s="224">
        <v>4437.6025879917097</v>
      </c>
    </row>
    <row r="3089" spans="1:9" x14ac:dyDescent="0.25">
      <c r="A3089" s="515">
        <v>32043</v>
      </c>
      <c r="B3089" s="515" t="s">
        <v>1158</v>
      </c>
      <c r="C3089" s="52">
        <v>350157.22180684097</v>
      </c>
      <c r="D3089" s="56">
        <v>0.11698605358050113</v>
      </c>
      <c r="E3089" s="224">
        <v>2067.63359788359</v>
      </c>
      <c r="F3089" s="515" t="s">
        <v>4506</v>
      </c>
      <c r="G3089" s="52">
        <v>434885.20353364898</v>
      </c>
      <c r="H3089" s="56">
        <v>0.10197429850610792</v>
      </c>
      <c r="I3089" s="224" t="s">
        <v>2</v>
      </c>
    </row>
    <row r="3090" spans="1:9" x14ac:dyDescent="0.25">
      <c r="A3090" s="515">
        <v>10956</v>
      </c>
      <c r="B3090" s="515" t="s">
        <v>324</v>
      </c>
      <c r="C3090" s="52">
        <v>631121.85693558794</v>
      </c>
      <c r="D3090" s="56">
        <v>5.829425644357418E-2</v>
      </c>
      <c r="E3090" s="224" t="s">
        <v>2</v>
      </c>
      <c r="F3090" s="515" t="s">
        <v>4507</v>
      </c>
      <c r="G3090" s="52">
        <v>159039.32835301699</v>
      </c>
      <c r="H3090" s="56">
        <v>6.6935457419964123E-2</v>
      </c>
      <c r="I3090" s="224" t="s">
        <v>2</v>
      </c>
    </row>
    <row r="3091" spans="1:9" x14ac:dyDescent="0.25">
      <c r="A3091" s="515">
        <v>39046</v>
      </c>
      <c r="B3091" s="515" t="s">
        <v>851</v>
      </c>
      <c r="C3091" s="52">
        <v>209700.848083936</v>
      </c>
      <c r="D3091" s="56">
        <v>5.6631864128335534E-2</v>
      </c>
      <c r="E3091" s="224" t="s">
        <v>2</v>
      </c>
      <c r="F3091" s="515" t="s">
        <v>4508</v>
      </c>
      <c r="G3091" s="52">
        <v>197077.84480423399</v>
      </c>
      <c r="H3091" s="56">
        <v>0.11648150973606319</v>
      </c>
      <c r="I3091" s="224" t="s">
        <v>2</v>
      </c>
    </row>
    <row r="3092" spans="1:9" x14ac:dyDescent="0.25">
      <c r="A3092" s="515">
        <v>47274</v>
      </c>
      <c r="B3092" s="515" t="s">
        <v>1016</v>
      </c>
      <c r="C3092" s="52">
        <v>195392.82915951</v>
      </c>
      <c r="D3092" s="56">
        <v>5.960759391512617E-2</v>
      </c>
      <c r="E3092" s="224" t="s">
        <v>2</v>
      </c>
      <c r="F3092" s="515" t="s">
        <v>4509</v>
      </c>
      <c r="G3092" s="52">
        <v>333315.07169129798</v>
      </c>
      <c r="H3092" s="56">
        <v>3.2246743232866748E-2</v>
      </c>
      <c r="I3092" s="224" t="s">
        <v>2</v>
      </c>
    </row>
    <row r="3093" spans="1:9" x14ac:dyDescent="0.25">
      <c r="A3093" s="515">
        <v>43082</v>
      </c>
      <c r="B3093" s="515" t="s">
        <v>345</v>
      </c>
      <c r="C3093" s="52">
        <v>469344.654589232</v>
      </c>
      <c r="D3093" s="56">
        <v>5.2052422444302963E-2</v>
      </c>
      <c r="E3093" s="224">
        <v>1510.6555555555501</v>
      </c>
      <c r="F3093" s="515" t="s">
        <v>4510</v>
      </c>
      <c r="G3093" s="52">
        <v>204892.04937987699</v>
      </c>
      <c r="H3093" s="56">
        <v>6.7508708883735336E-2</v>
      </c>
      <c r="I3093" s="224" t="s">
        <v>2</v>
      </c>
    </row>
    <row r="3094" spans="1:9" x14ac:dyDescent="0.25">
      <c r="A3094" s="515">
        <v>19713</v>
      </c>
      <c r="B3094" s="515" t="s">
        <v>294</v>
      </c>
      <c r="C3094" s="52">
        <v>269547.44920006901</v>
      </c>
      <c r="D3094" s="56">
        <v>8.3763891577399427E-2</v>
      </c>
      <c r="E3094" s="224">
        <v>1787.5</v>
      </c>
      <c r="F3094" s="515" t="s">
        <v>4511</v>
      </c>
      <c r="G3094" s="52">
        <v>571243.15708992002</v>
      </c>
      <c r="H3094" s="56">
        <v>0.11777572548697429</v>
      </c>
      <c r="I3094" s="224">
        <v>2401.3333333333298</v>
      </c>
    </row>
    <row r="3095" spans="1:9" x14ac:dyDescent="0.25">
      <c r="A3095" s="515">
        <v>19138</v>
      </c>
      <c r="B3095" s="515" t="s">
        <v>294</v>
      </c>
      <c r="C3095" s="52">
        <v>168382.28792047</v>
      </c>
      <c r="D3095" s="56">
        <v>0.13648596532009435</v>
      </c>
      <c r="E3095" s="224">
        <v>1399.7222222222199</v>
      </c>
      <c r="F3095" s="515" t="s">
        <v>4512</v>
      </c>
      <c r="G3095" s="52">
        <v>1151462.04597588</v>
      </c>
      <c r="H3095" s="56">
        <v>4.0908636280222226E-2</v>
      </c>
      <c r="I3095" s="224">
        <v>2692.2222222222199</v>
      </c>
    </row>
    <row r="3096" spans="1:9" x14ac:dyDescent="0.25">
      <c r="A3096" s="515">
        <v>48640</v>
      </c>
      <c r="B3096" s="515" t="s">
        <v>1121</v>
      </c>
      <c r="C3096" s="52">
        <v>188117.20349918801</v>
      </c>
      <c r="D3096" s="56">
        <v>5.9790963855310422E-2</v>
      </c>
      <c r="E3096" s="224" t="s">
        <v>2</v>
      </c>
      <c r="F3096" s="515" t="s">
        <v>874</v>
      </c>
      <c r="G3096" s="52">
        <v>231446.332115839</v>
      </c>
      <c r="H3096" s="56">
        <v>8.3710900937951582E-2</v>
      </c>
      <c r="I3096" s="224" t="s">
        <v>2</v>
      </c>
    </row>
    <row r="3097" spans="1:9" x14ac:dyDescent="0.25">
      <c r="A3097" s="515">
        <v>80138</v>
      </c>
      <c r="B3097" s="515" t="s">
        <v>401</v>
      </c>
      <c r="C3097" s="52">
        <v>703332.98131571605</v>
      </c>
      <c r="D3097" s="56">
        <v>2.6718408809387788E-2</v>
      </c>
      <c r="E3097" s="224">
        <v>2282.7777777777701</v>
      </c>
      <c r="F3097" s="515" t="s">
        <v>4513</v>
      </c>
      <c r="G3097" s="52">
        <v>277126.73546636599</v>
      </c>
      <c r="H3097" s="56">
        <v>2.5113997389486692E-2</v>
      </c>
      <c r="I3097" s="224" t="s">
        <v>2</v>
      </c>
    </row>
    <row r="3098" spans="1:9" x14ac:dyDescent="0.25">
      <c r="A3098" s="515">
        <v>8046</v>
      </c>
      <c r="B3098" s="515" t="s">
        <v>294</v>
      </c>
      <c r="C3098" s="52">
        <v>270959.95720824902</v>
      </c>
      <c r="D3098" s="56">
        <v>8.8385243214554682E-2</v>
      </c>
      <c r="E3098" s="224" t="s">
        <v>2</v>
      </c>
      <c r="F3098" s="515" t="s">
        <v>1109</v>
      </c>
      <c r="G3098" s="52">
        <v>650592.15086908499</v>
      </c>
      <c r="H3098" s="56">
        <v>5.5764922419667386E-2</v>
      </c>
      <c r="I3098" s="224" t="s">
        <v>2</v>
      </c>
    </row>
    <row r="3099" spans="1:9" x14ac:dyDescent="0.25">
      <c r="A3099" s="515">
        <v>21060</v>
      </c>
      <c r="B3099" s="515" t="s">
        <v>582</v>
      </c>
      <c r="C3099" s="52">
        <v>356646.289060877</v>
      </c>
      <c r="D3099" s="56">
        <v>4.9069837060708624E-2</v>
      </c>
      <c r="E3099" s="224">
        <v>1966.4166666666599</v>
      </c>
      <c r="F3099" s="515" t="s">
        <v>4514</v>
      </c>
      <c r="G3099" s="52">
        <v>1204473.32487449</v>
      </c>
      <c r="H3099" s="56">
        <v>5.7001685595634538E-2</v>
      </c>
      <c r="I3099" s="224" t="s">
        <v>2</v>
      </c>
    </row>
    <row r="3100" spans="1:9" x14ac:dyDescent="0.25">
      <c r="A3100" s="515">
        <v>34748</v>
      </c>
      <c r="B3100" s="515" t="s">
        <v>517</v>
      </c>
      <c r="C3100" s="52">
        <v>289396.61461968598</v>
      </c>
      <c r="D3100" s="56">
        <v>0.16155677767004284</v>
      </c>
      <c r="E3100" s="224">
        <v>1401.80555555555</v>
      </c>
      <c r="F3100" s="515" t="s">
        <v>4515</v>
      </c>
      <c r="G3100" s="52">
        <v>551168.27438629698</v>
      </c>
      <c r="H3100" s="56">
        <v>5.3410304913051466E-2</v>
      </c>
      <c r="I3100" s="224" t="s">
        <v>2</v>
      </c>
    </row>
    <row r="3101" spans="1:9" x14ac:dyDescent="0.25">
      <c r="A3101" s="515">
        <v>78132</v>
      </c>
      <c r="B3101" s="515" t="s">
        <v>717</v>
      </c>
      <c r="C3101" s="52">
        <v>599349.69345901103</v>
      </c>
      <c r="D3101" s="56">
        <v>9.7091856804050178E-2</v>
      </c>
      <c r="E3101" s="224">
        <v>1718.1</v>
      </c>
      <c r="F3101" s="515" t="s">
        <v>4516</v>
      </c>
      <c r="G3101" s="52">
        <v>244062.45016628999</v>
      </c>
      <c r="H3101" s="56">
        <v>9.6879039787754251E-2</v>
      </c>
      <c r="I3101" s="224">
        <v>1375</v>
      </c>
    </row>
    <row r="3102" spans="1:9" x14ac:dyDescent="0.25">
      <c r="A3102" s="515">
        <v>43219</v>
      </c>
      <c r="B3102" s="515" t="s">
        <v>345</v>
      </c>
      <c r="C3102" s="52">
        <v>156843.86609944701</v>
      </c>
      <c r="D3102" s="56">
        <v>0.15431570709606984</v>
      </c>
      <c r="E3102" s="224">
        <v>1309.0562770562699</v>
      </c>
      <c r="F3102" s="515" t="s">
        <v>4517</v>
      </c>
      <c r="G3102" s="52">
        <v>181433.55027226399</v>
      </c>
      <c r="H3102" s="56">
        <v>6.951280723110588E-2</v>
      </c>
      <c r="I3102" s="224" t="s">
        <v>2</v>
      </c>
    </row>
    <row r="3103" spans="1:9" x14ac:dyDescent="0.25">
      <c r="A3103" s="515">
        <v>97306</v>
      </c>
      <c r="B3103" s="515" t="s">
        <v>416</v>
      </c>
      <c r="C3103" s="52">
        <v>452351.73731932399</v>
      </c>
      <c r="D3103" s="56">
        <v>4.1236770556452342E-2</v>
      </c>
      <c r="E3103" s="224">
        <v>1780.9047619047601</v>
      </c>
      <c r="F3103" s="515" t="s">
        <v>892</v>
      </c>
      <c r="G3103" s="52">
        <v>170928.996535899</v>
      </c>
      <c r="H3103" s="56">
        <v>4.396968831771228E-2</v>
      </c>
      <c r="I3103" s="224" t="s">
        <v>2</v>
      </c>
    </row>
    <row r="3104" spans="1:9" x14ac:dyDescent="0.25">
      <c r="A3104" s="515">
        <v>95131</v>
      </c>
      <c r="B3104" s="515" t="s">
        <v>850</v>
      </c>
      <c r="C3104" s="52">
        <v>1197993.4763857699</v>
      </c>
      <c r="D3104" s="56">
        <v>4.9328793861655715E-2</v>
      </c>
      <c r="E3104" s="224">
        <v>3123.17948717948</v>
      </c>
      <c r="F3104" s="515" t="s">
        <v>4518</v>
      </c>
      <c r="G3104" s="52">
        <v>244367.194790579</v>
      </c>
      <c r="H3104" s="56">
        <v>0.10029774554794305</v>
      </c>
      <c r="I3104" s="224">
        <v>1457.5</v>
      </c>
    </row>
    <row r="3105" spans="1:9" x14ac:dyDescent="0.25">
      <c r="A3105" s="515">
        <v>90230</v>
      </c>
      <c r="B3105" s="515" t="s">
        <v>375</v>
      </c>
      <c r="C3105" s="52">
        <v>1043530.19852223</v>
      </c>
      <c r="D3105" s="56">
        <v>2.9624881542850787E-2</v>
      </c>
      <c r="E3105" s="224">
        <v>3142.5634920634898</v>
      </c>
      <c r="F3105" s="515" t="s">
        <v>772</v>
      </c>
      <c r="G3105" s="52">
        <v>66338.006187266597</v>
      </c>
      <c r="H3105" s="56">
        <v>0.12897952577261754</v>
      </c>
      <c r="I3105" s="224" t="s">
        <v>2</v>
      </c>
    </row>
    <row r="3106" spans="1:9" x14ac:dyDescent="0.25">
      <c r="A3106" s="515">
        <v>75604</v>
      </c>
      <c r="B3106" s="515" t="s">
        <v>319</v>
      </c>
      <c r="C3106" s="52">
        <v>201401.51372335799</v>
      </c>
      <c r="D3106" s="56">
        <v>9.372109679798972E-2</v>
      </c>
      <c r="E3106" s="224">
        <v>1493.3333333333301</v>
      </c>
      <c r="F3106" s="515" t="s">
        <v>4519</v>
      </c>
      <c r="G3106" s="52">
        <v>392797.15630736999</v>
      </c>
      <c r="H3106" s="56">
        <v>4.3436651788644358E-2</v>
      </c>
      <c r="I3106" s="224" t="s">
        <v>2</v>
      </c>
    </row>
    <row r="3107" spans="1:9" x14ac:dyDescent="0.25">
      <c r="A3107" s="515">
        <v>33060</v>
      </c>
      <c r="B3107" s="515" t="s">
        <v>831</v>
      </c>
      <c r="C3107" s="52">
        <v>391527.52070515603</v>
      </c>
      <c r="D3107" s="56">
        <v>0.14365414899265311</v>
      </c>
      <c r="E3107" s="224">
        <v>2194.8333333333298</v>
      </c>
      <c r="F3107" s="515" t="s">
        <v>741</v>
      </c>
      <c r="G3107" s="52">
        <v>102339.216588592</v>
      </c>
      <c r="H3107" s="56">
        <v>0.11291090329615616</v>
      </c>
      <c r="I3107" s="224">
        <v>580</v>
      </c>
    </row>
    <row r="3108" spans="1:9" x14ac:dyDescent="0.25">
      <c r="A3108" s="515">
        <v>6811</v>
      </c>
      <c r="B3108" s="515" t="s">
        <v>1173</v>
      </c>
      <c r="C3108" s="52">
        <v>414016.48408999603</v>
      </c>
      <c r="D3108" s="56">
        <v>7.4623056843132779E-2</v>
      </c>
      <c r="E3108" s="224">
        <v>2600</v>
      </c>
      <c r="F3108" s="515" t="s">
        <v>4520</v>
      </c>
      <c r="G3108" s="52">
        <v>290930.927460226</v>
      </c>
      <c r="H3108" s="56">
        <v>4.8517402945734166E-2</v>
      </c>
      <c r="I3108" s="224" t="s">
        <v>2</v>
      </c>
    </row>
    <row r="3109" spans="1:9" x14ac:dyDescent="0.25">
      <c r="A3109" s="515">
        <v>2816</v>
      </c>
      <c r="B3109" s="515" t="s">
        <v>513</v>
      </c>
      <c r="C3109" s="52">
        <v>361543.379633456</v>
      </c>
      <c r="D3109" s="56">
        <v>8.9167622891276749E-2</v>
      </c>
      <c r="E3109" s="224" t="s">
        <v>2</v>
      </c>
      <c r="F3109" s="515" t="s">
        <v>655</v>
      </c>
      <c r="G3109" s="52">
        <v>151981.82119420401</v>
      </c>
      <c r="H3109" s="56">
        <v>0.14186810127840449</v>
      </c>
      <c r="I3109" s="224">
        <v>1024.875</v>
      </c>
    </row>
    <row r="3110" spans="1:9" x14ac:dyDescent="0.25">
      <c r="A3110" s="515">
        <v>30341</v>
      </c>
      <c r="B3110" s="515" t="s">
        <v>957</v>
      </c>
      <c r="C3110" s="52">
        <v>449550.621659861</v>
      </c>
      <c r="D3110" s="56">
        <v>5.663704395297775E-2</v>
      </c>
      <c r="E3110" s="224">
        <v>2009.2306878306799</v>
      </c>
      <c r="F3110" s="515" t="s">
        <v>4521</v>
      </c>
      <c r="G3110" s="52">
        <v>547367.67543678195</v>
      </c>
      <c r="H3110" s="56">
        <v>5.014110532159613E-2</v>
      </c>
      <c r="I3110" s="224">
        <v>2079.1666666666601</v>
      </c>
    </row>
    <row r="3111" spans="1:9" x14ac:dyDescent="0.25">
      <c r="A3111" s="515">
        <v>79904</v>
      </c>
      <c r="B3111" s="515" t="s">
        <v>1119</v>
      </c>
      <c r="C3111" s="52">
        <v>155940.37437084099</v>
      </c>
      <c r="D3111" s="56">
        <v>0.12606641895440396</v>
      </c>
      <c r="E3111" s="224">
        <v>1088</v>
      </c>
      <c r="F3111" s="515" t="s">
        <v>4522</v>
      </c>
      <c r="G3111" s="52">
        <v>291640.15237226197</v>
      </c>
      <c r="H3111" s="56">
        <v>0</v>
      </c>
      <c r="I3111" s="224">
        <v>1685</v>
      </c>
    </row>
    <row r="3112" spans="1:9" x14ac:dyDescent="0.25">
      <c r="A3112" s="515">
        <v>30068</v>
      </c>
      <c r="B3112" s="515" t="s">
        <v>957</v>
      </c>
      <c r="C3112" s="52">
        <v>579327.47667946096</v>
      </c>
      <c r="D3112" s="56">
        <v>8.5411924563570815E-2</v>
      </c>
      <c r="E3112" s="224">
        <v>2361.4444444444398</v>
      </c>
      <c r="F3112" s="515" t="s">
        <v>4523</v>
      </c>
      <c r="G3112" s="52">
        <v>978266.93316153204</v>
      </c>
      <c r="H3112" s="56">
        <v>7.5908082318116313E-2</v>
      </c>
      <c r="I3112" s="224" t="s">
        <v>2</v>
      </c>
    </row>
    <row r="3113" spans="1:9" x14ac:dyDescent="0.25">
      <c r="A3113" s="515">
        <v>7026</v>
      </c>
      <c r="B3113" s="515" t="s">
        <v>324</v>
      </c>
      <c r="C3113" s="52">
        <v>456035.81976835098</v>
      </c>
      <c r="D3113" s="56">
        <v>3.0952703188707426E-2</v>
      </c>
      <c r="E3113" s="224">
        <v>2047.2222222222199</v>
      </c>
      <c r="F3113" s="515" t="s">
        <v>4524</v>
      </c>
      <c r="G3113" s="52">
        <v>391835.18687523599</v>
      </c>
      <c r="H3113" s="56">
        <v>9.0384078922991926E-2</v>
      </c>
      <c r="I3113" s="224" t="s">
        <v>2</v>
      </c>
    </row>
    <row r="3114" spans="1:9" x14ac:dyDescent="0.25">
      <c r="A3114" s="515">
        <v>27534</v>
      </c>
      <c r="B3114" s="515" t="s">
        <v>1178</v>
      </c>
      <c r="C3114" s="52">
        <v>194626.99774151199</v>
      </c>
      <c r="D3114" s="56">
        <v>0.15448552380058386</v>
      </c>
      <c r="E3114" s="224" t="s">
        <v>2</v>
      </c>
      <c r="F3114" s="515" t="s">
        <v>4525</v>
      </c>
      <c r="G3114" s="52">
        <v>353526.69591690903</v>
      </c>
      <c r="H3114" s="56">
        <v>6.5581118402329594E-2</v>
      </c>
      <c r="I3114" s="224">
        <v>1345.24444444444</v>
      </c>
    </row>
    <row r="3115" spans="1:9" x14ac:dyDescent="0.25">
      <c r="A3115" s="515">
        <v>34266</v>
      </c>
      <c r="B3115" s="515" t="s">
        <v>1192</v>
      </c>
      <c r="C3115" s="52">
        <v>229653.33435826999</v>
      </c>
      <c r="D3115" s="56">
        <v>0.18566683120206431</v>
      </c>
      <c r="E3115" s="224" t="s">
        <v>2</v>
      </c>
      <c r="F3115" s="515" t="s">
        <v>1244</v>
      </c>
      <c r="G3115" s="52">
        <v>970718.05784357595</v>
      </c>
      <c r="H3115" s="56">
        <v>-2.6301990195064989E-2</v>
      </c>
      <c r="I3115" s="224" t="s">
        <v>2</v>
      </c>
    </row>
    <row r="3116" spans="1:9" x14ac:dyDescent="0.25">
      <c r="A3116" s="515">
        <v>98512</v>
      </c>
      <c r="B3116" s="515" t="s">
        <v>527</v>
      </c>
      <c r="C3116" s="52">
        <v>503719.06789009698</v>
      </c>
      <c r="D3116" s="56">
        <v>4.1034475497286386E-2</v>
      </c>
      <c r="E3116" s="224">
        <v>1734.9185185185099</v>
      </c>
      <c r="F3116" s="515" t="s">
        <v>4526</v>
      </c>
      <c r="G3116" s="52">
        <v>474321.89388272102</v>
      </c>
      <c r="H3116" s="56">
        <v>3.5983953496359557E-2</v>
      </c>
      <c r="I3116" s="224">
        <v>1946</v>
      </c>
    </row>
    <row r="3117" spans="1:9" x14ac:dyDescent="0.25">
      <c r="A3117" s="515">
        <v>94801</v>
      </c>
      <c r="B3117" s="515" t="s">
        <v>593</v>
      </c>
      <c r="C3117" s="52">
        <v>514187.23948817502</v>
      </c>
      <c r="D3117" s="56">
        <v>-3.7318184363784551E-3</v>
      </c>
      <c r="E3117" s="224">
        <v>2575</v>
      </c>
      <c r="F3117" s="515" t="s">
        <v>4527</v>
      </c>
      <c r="G3117" s="52">
        <v>297849.20602721401</v>
      </c>
      <c r="H3117" s="56">
        <v>9.3264607196167637E-2</v>
      </c>
      <c r="I3117" s="224" t="s">
        <v>2</v>
      </c>
    </row>
    <row r="3118" spans="1:9" x14ac:dyDescent="0.25">
      <c r="A3118" s="515">
        <v>35226</v>
      </c>
      <c r="B3118" s="515" t="s">
        <v>640</v>
      </c>
      <c r="C3118" s="52">
        <v>383664.40241978201</v>
      </c>
      <c r="D3118" s="56">
        <v>7.8439834751663939E-2</v>
      </c>
      <c r="E3118" s="224">
        <v>1596.69444444444</v>
      </c>
      <c r="F3118" s="515" t="s">
        <v>4528</v>
      </c>
      <c r="G3118" s="52">
        <v>505606.53719398897</v>
      </c>
      <c r="H3118" s="56">
        <v>7.5058371553730227E-2</v>
      </c>
      <c r="I3118" s="224" t="s">
        <v>2</v>
      </c>
    </row>
    <row r="3119" spans="1:9" x14ac:dyDescent="0.25">
      <c r="A3119" s="515">
        <v>93101</v>
      </c>
      <c r="B3119" s="515" t="s">
        <v>847</v>
      </c>
      <c r="C3119" s="52">
        <v>1227724.1931557099</v>
      </c>
      <c r="D3119" s="56">
        <v>5.8139866288474382E-2</v>
      </c>
      <c r="E3119" s="224">
        <v>3458.0833333333298</v>
      </c>
      <c r="F3119" s="515" t="s">
        <v>4529</v>
      </c>
      <c r="G3119" s="52">
        <v>468176.03251968097</v>
      </c>
      <c r="H3119" s="56">
        <v>9.1987190746045694E-2</v>
      </c>
      <c r="I3119" s="224" t="s">
        <v>2</v>
      </c>
    </row>
    <row r="3120" spans="1:9" x14ac:dyDescent="0.25">
      <c r="A3120" s="515">
        <v>20782</v>
      </c>
      <c r="B3120" s="515" t="s">
        <v>321</v>
      </c>
      <c r="C3120" s="52">
        <v>408106.45737976697</v>
      </c>
      <c r="D3120" s="56">
        <v>4.0169831692221658E-3</v>
      </c>
      <c r="E3120" s="224">
        <v>1745.2976190476099</v>
      </c>
      <c r="F3120" s="515" t="s">
        <v>4530</v>
      </c>
      <c r="G3120" s="52">
        <v>211660.064009753</v>
      </c>
      <c r="H3120" s="56">
        <v>9.2470582818268809E-2</v>
      </c>
      <c r="I3120" s="224" t="s">
        <v>2</v>
      </c>
    </row>
    <row r="3121" spans="1:9" x14ac:dyDescent="0.25">
      <c r="A3121" s="515">
        <v>98002</v>
      </c>
      <c r="B3121" s="515" t="s">
        <v>384</v>
      </c>
      <c r="C3121" s="52">
        <v>459567.416393833</v>
      </c>
      <c r="D3121" s="56">
        <v>1.5402263862621134E-2</v>
      </c>
      <c r="E3121" s="224">
        <v>1723.3333333333301</v>
      </c>
      <c r="F3121" s="515" t="s">
        <v>4531</v>
      </c>
      <c r="G3121" s="52">
        <v>324128.41832946002</v>
      </c>
      <c r="H3121" s="56">
        <v>6.1701367029298758E-2</v>
      </c>
      <c r="I3121" s="224">
        <v>1375</v>
      </c>
    </row>
    <row r="3122" spans="1:9" x14ac:dyDescent="0.25">
      <c r="A3122" s="515">
        <v>34472</v>
      </c>
      <c r="B3122" s="515" t="s">
        <v>475</v>
      </c>
      <c r="C3122" s="52">
        <v>236844.36198080899</v>
      </c>
      <c r="D3122" s="56">
        <v>0.1613952276259947</v>
      </c>
      <c r="E3122" s="224">
        <v>1506.94444444444</v>
      </c>
      <c r="F3122" s="515" t="s">
        <v>4532</v>
      </c>
      <c r="G3122" s="52">
        <v>668108.47541190404</v>
      </c>
      <c r="H3122" s="56">
        <v>4.6270140147633296E-2</v>
      </c>
      <c r="I3122" s="224" t="s">
        <v>2</v>
      </c>
    </row>
    <row r="3123" spans="1:9" x14ac:dyDescent="0.25">
      <c r="A3123" s="515">
        <v>95662</v>
      </c>
      <c r="B3123" s="515" t="s">
        <v>355</v>
      </c>
      <c r="C3123" s="52">
        <v>510032.39739375102</v>
      </c>
      <c r="D3123" s="56">
        <v>1.3913385760658977E-2</v>
      </c>
      <c r="E3123" s="224">
        <v>2292.88888888888</v>
      </c>
      <c r="F3123" s="515" t="s">
        <v>1111</v>
      </c>
      <c r="G3123" s="52">
        <v>72784.653489400793</v>
      </c>
      <c r="H3123" s="56">
        <v>-8.4319830817750768E-3</v>
      </c>
      <c r="I3123" s="224" t="s">
        <v>2</v>
      </c>
    </row>
    <row r="3124" spans="1:9" x14ac:dyDescent="0.25">
      <c r="A3124" s="515">
        <v>85712</v>
      </c>
      <c r="B3124" s="515" t="s">
        <v>368</v>
      </c>
      <c r="C3124" s="52">
        <v>278743.14313328802</v>
      </c>
      <c r="D3124" s="56">
        <v>8.2137867609705054E-2</v>
      </c>
      <c r="E3124" s="224">
        <v>1123.25925925925</v>
      </c>
      <c r="F3124" s="515" t="s">
        <v>4533</v>
      </c>
      <c r="G3124" s="52">
        <v>1041841.49444014</v>
      </c>
      <c r="H3124" s="56">
        <v>0.19710805919712601</v>
      </c>
      <c r="I3124" s="224">
        <v>3950</v>
      </c>
    </row>
    <row r="3125" spans="1:9" x14ac:dyDescent="0.25">
      <c r="A3125" s="515">
        <v>17046</v>
      </c>
      <c r="B3125" s="515" t="s">
        <v>562</v>
      </c>
      <c r="C3125" s="52">
        <v>204844.27716773099</v>
      </c>
      <c r="D3125" s="56">
        <v>0.13702118800655941</v>
      </c>
      <c r="E3125" s="224">
        <v>900</v>
      </c>
      <c r="F3125" s="515" t="s">
        <v>1166</v>
      </c>
      <c r="G3125" s="52">
        <v>179457.46087567101</v>
      </c>
      <c r="H3125" s="56">
        <v>7.3733194662093188E-2</v>
      </c>
      <c r="I3125" s="224" t="s">
        <v>2</v>
      </c>
    </row>
    <row r="3126" spans="1:9" x14ac:dyDescent="0.25">
      <c r="A3126" s="515">
        <v>43560</v>
      </c>
      <c r="B3126" s="515" t="s">
        <v>300</v>
      </c>
      <c r="C3126" s="52">
        <v>266661.226451186</v>
      </c>
      <c r="D3126" s="56">
        <v>6.7964180831443274E-2</v>
      </c>
      <c r="E3126" s="224" t="s">
        <v>2</v>
      </c>
      <c r="F3126" s="515" t="s">
        <v>4534</v>
      </c>
      <c r="G3126" s="52">
        <v>643154.18247023795</v>
      </c>
      <c r="H3126" s="56">
        <v>6.5961570952684068E-2</v>
      </c>
      <c r="I3126" s="224" t="s">
        <v>2</v>
      </c>
    </row>
    <row r="3127" spans="1:9" x14ac:dyDescent="0.25">
      <c r="A3127" s="515">
        <v>45503</v>
      </c>
      <c r="B3127" s="515" t="s">
        <v>398</v>
      </c>
      <c r="C3127" s="52">
        <v>155120.87832571901</v>
      </c>
      <c r="D3127" s="56">
        <v>0.10956373471849729</v>
      </c>
      <c r="E3127" s="224">
        <v>850</v>
      </c>
      <c r="F3127" s="515" t="s">
        <v>4535</v>
      </c>
      <c r="G3127" s="52">
        <v>499610.10139646498</v>
      </c>
      <c r="H3127" s="56">
        <v>5.4818338182839904E-2</v>
      </c>
      <c r="I3127" s="224" t="s">
        <v>2</v>
      </c>
    </row>
    <row r="3128" spans="1:9" x14ac:dyDescent="0.25">
      <c r="A3128" s="515">
        <v>30501</v>
      </c>
      <c r="B3128" s="515" t="s">
        <v>1102</v>
      </c>
      <c r="C3128" s="52">
        <v>272140.620203703</v>
      </c>
      <c r="D3128" s="56">
        <v>0.11975663133316718</v>
      </c>
      <c r="E3128" s="224">
        <v>1504.37142857142</v>
      </c>
      <c r="F3128" s="515" t="s">
        <v>4536</v>
      </c>
      <c r="G3128" s="52">
        <v>167685.50342506199</v>
      </c>
      <c r="H3128" s="56">
        <v>0.16940310338931716</v>
      </c>
      <c r="I3128" s="224">
        <v>1264</v>
      </c>
    </row>
    <row r="3129" spans="1:9" x14ac:dyDescent="0.25">
      <c r="A3129" s="515">
        <v>59601</v>
      </c>
      <c r="B3129" s="515" t="s">
        <v>750</v>
      </c>
      <c r="C3129" s="52">
        <v>388491.33180070698</v>
      </c>
      <c r="D3129" s="56">
        <v>5.2991796690425655E-2</v>
      </c>
      <c r="E3129" s="224">
        <v>1562.5</v>
      </c>
      <c r="F3129" s="515" t="s">
        <v>4537</v>
      </c>
      <c r="G3129" s="52">
        <v>458161.79056982597</v>
      </c>
      <c r="H3129" s="56">
        <v>1.5563185562456908E-2</v>
      </c>
      <c r="I3129" s="224" t="s">
        <v>2</v>
      </c>
    </row>
    <row r="3130" spans="1:9" x14ac:dyDescent="0.25">
      <c r="A3130" s="515">
        <v>10562</v>
      </c>
      <c r="B3130" s="515" t="s">
        <v>324</v>
      </c>
      <c r="C3130" s="52">
        <v>537392.74409791501</v>
      </c>
      <c r="D3130" s="56">
        <v>6.9320553697139992E-2</v>
      </c>
      <c r="E3130" s="224">
        <v>2475</v>
      </c>
      <c r="F3130" s="515" t="s">
        <v>4538</v>
      </c>
      <c r="G3130" s="52">
        <v>631718.55113749497</v>
      </c>
      <c r="H3130" s="56">
        <v>5.0088077795165428E-2</v>
      </c>
      <c r="I3130" s="224">
        <v>2282</v>
      </c>
    </row>
    <row r="3131" spans="1:9" x14ac:dyDescent="0.25">
      <c r="A3131" s="515">
        <v>10704</v>
      </c>
      <c r="B3131" s="515" t="s">
        <v>324</v>
      </c>
      <c r="C3131" s="52">
        <v>566238.16300979699</v>
      </c>
      <c r="D3131" s="56">
        <v>1.9895370197852421E-2</v>
      </c>
      <c r="E3131" s="224">
        <v>2133.3333333333298</v>
      </c>
      <c r="F3131" s="515" t="s">
        <v>4539</v>
      </c>
      <c r="G3131" s="52">
        <v>81876.896914365396</v>
      </c>
      <c r="H3131" s="56">
        <v>5.2902722438248402E-2</v>
      </c>
      <c r="I3131" s="224" t="s">
        <v>2</v>
      </c>
    </row>
    <row r="3132" spans="1:9" x14ac:dyDescent="0.25">
      <c r="A3132" s="515">
        <v>76117</v>
      </c>
      <c r="B3132" s="515" t="s">
        <v>458</v>
      </c>
      <c r="C3132" s="52">
        <v>229744.759552459</v>
      </c>
      <c r="D3132" s="56">
        <v>0.12469908226637035</v>
      </c>
      <c r="E3132" s="224">
        <v>1203.55555555555</v>
      </c>
      <c r="F3132" s="515" t="s">
        <v>4540</v>
      </c>
      <c r="G3132" s="52">
        <v>508430.98358307901</v>
      </c>
      <c r="H3132" s="56">
        <v>7.8195203026831112E-2</v>
      </c>
      <c r="I3132" s="224">
        <v>2146.1481481481401</v>
      </c>
    </row>
    <row r="3133" spans="1:9" x14ac:dyDescent="0.25">
      <c r="A3133" s="515">
        <v>3820</v>
      </c>
      <c r="B3133" s="515" t="s">
        <v>534</v>
      </c>
      <c r="C3133" s="52">
        <v>428657.74605240201</v>
      </c>
      <c r="D3133" s="56">
        <v>0.10627990801669658</v>
      </c>
      <c r="E3133" s="224">
        <v>1992.3611111111099</v>
      </c>
      <c r="F3133" s="515" t="s">
        <v>4541</v>
      </c>
      <c r="G3133" s="52">
        <v>88127.677028719598</v>
      </c>
      <c r="H3133" s="56">
        <v>0.18580592078833244</v>
      </c>
      <c r="I3133" s="224" t="s">
        <v>2</v>
      </c>
    </row>
    <row r="3134" spans="1:9" x14ac:dyDescent="0.25">
      <c r="A3134" s="515">
        <v>91303</v>
      </c>
      <c r="B3134" s="515" t="s">
        <v>375</v>
      </c>
      <c r="C3134" s="52">
        <v>673627.51446590701</v>
      </c>
      <c r="D3134" s="56">
        <v>3.7234173305140228E-2</v>
      </c>
      <c r="E3134" s="224">
        <v>2823.6828282828201</v>
      </c>
      <c r="F3134" s="515" t="s">
        <v>4542</v>
      </c>
      <c r="G3134" s="52">
        <v>485753.86065658601</v>
      </c>
      <c r="H3134" s="56">
        <v>1.926760514212502E-2</v>
      </c>
      <c r="I3134" s="224">
        <v>2000</v>
      </c>
    </row>
    <row r="3135" spans="1:9" x14ac:dyDescent="0.25">
      <c r="A3135" s="515">
        <v>80120</v>
      </c>
      <c r="B3135" s="515" t="s">
        <v>401</v>
      </c>
      <c r="C3135" s="52">
        <v>591909.26215871004</v>
      </c>
      <c r="D3135" s="56">
        <v>2.4617449514478126E-2</v>
      </c>
      <c r="E3135" s="224">
        <v>1940.43055555555</v>
      </c>
      <c r="F3135" s="515" t="s">
        <v>4543</v>
      </c>
      <c r="G3135" s="52">
        <v>346192.51866677101</v>
      </c>
      <c r="H3135" s="56">
        <v>2.6289574213536518E-2</v>
      </c>
      <c r="I3135" s="224" t="s">
        <v>2</v>
      </c>
    </row>
    <row r="3136" spans="1:9" x14ac:dyDescent="0.25">
      <c r="A3136" s="515">
        <v>99577</v>
      </c>
      <c r="B3136" s="515" t="s">
        <v>405</v>
      </c>
      <c r="C3136" s="52">
        <v>410155.203032661</v>
      </c>
      <c r="D3136" s="56">
        <v>2.1461960689152664E-2</v>
      </c>
      <c r="E3136" s="224">
        <v>2181.6666666666601</v>
      </c>
      <c r="F3136" s="515" t="s">
        <v>4544</v>
      </c>
      <c r="G3136" s="52">
        <v>458037.00918771798</v>
      </c>
      <c r="H3136" s="56">
        <v>7.2863621269794357E-2</v>
      </c>
      <c r="I3136" s="224" t="s">
        <v>2</v>
      </c>
    </row>
    <row r="3137" spans="1:9" x14ac:dyDescent="0.25">
      <c r="A3137" s="515">
        <v>76901</v>
      </c>
      <c r="B3137" s="515" t="s">
        <v>551</v>
      </c>
      <c r="C3137" s="52">
        <v>185549.54620789201</v>
      </c>
      <c r="D3137" s="56">
        <v>1.1321178327665243E-2</v>
      </c>
      <c r="E3137" s="224">
        <v>1248.75</v>
      </c>
      <c r="F3137" s="515" t="s">
        <v>308</v>
      </c>
      <c r="G3137" s="52">
        <v>226586.95220873301</v>
      </c>
      <c r="H3137" s="56">
        <v>0.11030100274433148</v>
      </c>
      <c r="I3137" s="224">
        <v>945</v>
      </c>
    </row>
    <row r="3138" spans="1:9" x14ac:dyDescent="0.25">
      <c r="A3138" s="515">
        <v>17022</v>
      </c>
      <c r="B3138" s="515" t="s">
        <v>537</v>
      </c>
      <c r="C3138" s="52">
        <v>290504.78832580702</v>
      </c>
      <c r="D3138" s="56">
        <v>9.4091456401042453E-2</v>
      </c>
      <c r="E3138" s="224">
        <v>1307.5</v>
      </c>
      <c r="F3138" s="515" t="s">
        <v>4545</v>
      </c>
      <c r="G3138" s="52">
        <v>356541.328548447</v>
      </c>
      <c r="H3138" s="56">
        <v>7.4610989971082772E-2</v>
      </c>
      <c r="I3138" s="224">
        <v>1901.25</v>
      </c>
    </row>
    <row r="3139" spans="1:9" x14ac:dyDescent="0.25">
      <c r="A3139" s="515">
        <v>80302</v>
      </c>
      <c r="B3139" s="515" t="s">
        <v>702</v>
      </c>
      <c r="C3139" s="52">
        <v>1115589.4640176401</v>
      </c>
      <c r="D3139" s="56">
        <v>4.9753757929297093E-2</v>
      </c>
      <c r="E3139" s="224">
        <v>2881.5021505376299</v>
      </c>
      <c r="F3139" s="515" t="s">
        <v>4546</v>
      </c>
      <c r="G3139" s="52">
        <v>224971.16545554099</v>
      </c>
      <c r="H3139" s="56">
        <v>9.9902222733117205E-2</v>
      </c>
      <c r="I3139" s="224" t="s">
        <v>2</v>
      </c>
    </row>
    <row r="3140" spans="1:9" x14ac:dyDescent="0.25">
      <c r="A3140" s="515">
        <v>32221</v>
      </c>
      <c r="B3140" s="515" t="s">
        <v>1158</v>
      </c>
      <c r="C3140" s="52">
        <v>310770.313365307</v>
      </c>
      <c r="D3140" s="56">
        <v>9.8866544348334348E-2</v>
      </c>
      <c r="E3140" s="224">
        <v>1890.1666666666599</v>
      </c>
      <c r="F3140" s="515" t="s">
        <v>4547</v>
      </c>
      <c r="G3140" s="52">
        <v>275555.69980060798</v>
      </c>
      <c r="H3140" s="56">
        <v>7.7759549576673553E-2</v>
      </c>
      <c r="I3140" s="224" t="s">
        <v>2</v>
      </c>
    </row>
    <row r="3141" spans="1:9" x14ac:dyDescent="0.25">
      <c r="A3141" s="515">
        <v>39532</v>
      </c>
      <c r="B3141" s="515" t="s">
        <v>963</v>
      </c>
      <c r="C3141" s="52">
        <v>233296.66474915299</v>
      </c>
      <c r="D3141" s="56">
        <v>4.7387653649807834E-2</v>
      </c>
      <c r="E3141" s="224" t="s">
        <v>2</v>
      </c>
      <c r="F3141" s="515" t="s">
        <v>4548</v>
      </c>
      <c r="G3141" s="52">
        <v>263236.23538803798</v>
      </c>
      <c r="H3141" s="56">
        <v>7.1664968159524903E-2</v>
      </c>
      <c r="I3141" s="224" t="s">
        <v>2</v>
      </c>
    </row>
    <row r="3142" spans="1:9" x14ac:dyDescent="0.25">
      <c r="A3142" s="515">
        <v>14534</v>
      </c>
      <c r="B3142" s="515" t="s">
        <v>337</v>
      </c>
      <c r="C3142" s="52">
        <v>383581.35504302598</v>
      </c>
      <c r="D3142" s="56">
        <v>6.765193625052611E-2</v>
      </c>
      <c r="E3142" s="224" t="s">
        <v>2</v>
      </c>
      <c r="F3142" s="515" t="s">
        <v>4549</v>
      </c>
      <c r="G3142" s="52">
        <v>124486.16464064</v>
      </c>
      <c r="H3142" s="56">
        <v>0.1764873761950643</v>
      </c>
      <c r="I3142" s="224" t="s">
        <v>2</v>
      </c>
    </row>
    <row r="3143" spans="1:9" x14ac:dyDescent="0.25">
      <c r="A3143" s="515">
        <v>34142</v>
      </c>
      <c r="B3143" s="515" t="s">
        <v>365</v>
      </c>
      <c r="C3143" s="52">
        <v>326534.99432160001</v>
      </c>
      <c r="D3143" s="56">
        <v>0.13288094040560008</v>
      </c>
      <c r="E3143" s="224" t="s">
        <v>2</v>
      </c>
      <c r="F3143" s="515" t="s">
        <v>4550</v>
      </c>
      <c r="G3143" s="52">
        <v>947434.28504179697</v>
      </c>
      <c r="H3143" s="56">
        <v>4.7995215499084108E-2</v>
      </c>
      <c r="I3143" s="224" t="s">
        <v>2</v>
      </c>
    </row>
    <row r="3144" spans="1:9" x14ac:dyDescent="0.25">
      <c r="A3144" s="515">
        <v>81005</v>
      </c>
      <c r="B3144" s="515" t="s">
        <v>1003</v>
      </c>
      <c r="C3144" s="52">
        <v>296141.48910238699</v>
      </c>
      <c r="D3144" s="56">
        <v>4.4901634219383965E-2</v>
      </c>
      <c r="E3144" s="224">
        <v>975</v>
      </c>
      <c r="F3144" s="515" t="s">
        <v>4551</v>
      </c>
      <c r="G3144" s="52">
        <v>424776.62766844599</v>
      </c>
      <c r="H3144" s="56">
        <v>9.7999973674723836E-2</v>
      </c>
      <c r="I3144" s="224" t="s">
        <v>2</v>
      </c>
    </row>
    <row r="3145" spans="1:9" x14ac:dyDescent="0.25">
      <c r="A3145" s="515">
        <v>29349</v>
      </c>
      <c r="B3145" s="515" t="s">
        <v>447</v>
      </c>
      <c r="C3145" s="52">
        <v>272148.34229715599</v>
      </c>
      <c r="D3145" s="56">
        <v>0.11623808243494109</v>
      </c>
      <c r="E3145" s="224">
        <v>1451.25</v>
      </c>
      <c r="F3145" s="515" t="s">
        <v>4552</v>
      </c>
      <c r="G3145" s="52">
        <v>566084.43586729898</v>
      </c>
      <c r="H3145" s="56">
        <v>9.758607368686871E-2</v>
      </c>
      <c r="I3145" s="224" t="s">
        <v>2</v>
      </c>
    </row>
    <row r="3146" spans="1:9" x14ac:dyDescent="0.25">
      <c r="A3146" s="515">
        <v>98038</v>
      </c>
      <c r="B3146" s="515" t="s">
        <v>384</v>
      </c>
      <c r="C3146" s="52">
        <v>728894.36465955002</v>
      </c>
      <c r="D3146" s="56">
        <v>3.8535786645431877E-2</v>
      </c>
      <c r="E3146" s="224">
        <v>2744.5666666666598</v>
      </c>
      <c r="F3146" s="515" t="s">
        <v>4553</v>
      </c>
      <c r="G3146" s="52">
        <v>252866.35642389199</v>
      </c>
      <c r="H3146" s="56">
        <v>9.8103859017436165E-2</v>
      </c>
      <c r="I3146" s="224">
        <v>1478.75</v>
      </c>
    </row>
    <row r="3147" spans="1:9" x14ac:dyDescent="0.25">
      <c r="A3147" s="515">
        <v>44070</v>
      </c>
      <c r="B3147" s="515" t="s">
        <v>520</v>
      </c>
      <c r="C3147" s="52">
        <v>222172.39721395099</v>
      </c>
      <c r="D3147" s="56">
        <v>7.8932775439596745E-2</v>
      </c>
      <c r="E3147" s="224">
        <v>1545.6666666666599</v>
      </c>
      <c r="F3147" s="515" t="s">
        <v>4554</v>
      </c>
      <c r="G3147" s="52">
        <v>611700.62224420498</v>
      </c>
      <c r="H3147" s="56">
        <v>2.691121042730012E-2</v>
      </c>
      <c r="I3147" s="224" t="s">
        <v>2</v>
      </c>
    </row>
    <row r="3148" spans="1:9" x14ac:dyDescent="0.25">
      <c r="A3148" s="515">
        <v>39180</v>
      </c>
      <c r="B3148" s="515" t="s">
        <v>842</v>
      </c>
      <c r="C3148" s="52">
        <v>148899.90662544101</v>
      </c>
      <c r="D3148" s="56">
        <v>-1.9321688471028917E-2</v>
      </c>
      <c r="E3148" s="224" t="s">
        <v>2</v>
      </c>
      <c r="F3148" s="515" t="s">
        <v>1093</v>
      </c>
      <c r="G3148" s="52">
        <v>99579.351479355304</v>
      </c>
      <c r="H3148" s="56">
        <v>3.4776850727209714E-2</v>
      </c>
      <c r="I3148" s="224" t="s">
        <v>2</v>
      </c>
    </row>
    <row r="3149" spans="1:9" x14ac:dyDescent="0.25">
      <c r="A3149" s="515">
        <v>62301</v>
      </c>
      <c r="B3149" s="515" t="s">
        <v>697</v>
      </c>
      <c r="C3149" s="52">
        <v>116517.27530741799</v>
      </c>
      <c r="D3149" s="56">
        <v>7.9695173953412912E-2</v>
      </c>
      <c r="E3149" s="224">
        <v>725</v>
      </c>
      <c r="F3149" s="515" t="s">
        <v>4555</v>
      </c>
      <c r="G3149" s="52">
        <v>629202.03623621596</v>
      </c>
      <c r="H3149" s="56">
        <v>1.1053092029291469E-2</v>
      </c>
      <c r="I3149" s="224" t="s">
        <v>2</v>
      </c>
    </row>
    <row r="3150" spans="1:9" x14ac:dyDescent="0.25">
      <c r="A3150" s="515">
        <v>91214</v>
      </c>
      <c r="B3150" s="515" t="s">
        <v>375</v>
      </c>
      <c r="C3150" s="52">
        <v>1122320.7534872701</v>
      </c>
      <c r="D3150" s="56">
        <v>5.51361312953597E-2</v>
      </c>
      <c r="E3150" s="224">
        <v>2723.75</v>
      </c>
      <c r="F3150" s="515" t="s">
        <v>4556</v>
      </c>
      <c r="G3150" s="52">
        <v>208199.13962017701</v>
      </c>
      <c r="H3150" s="56">
        <v>0.11342415774043722</v>
      </c>
      <c r="I3150" s="224" t="s">
        <v>2</v>
      </c>
    </row>
    <row r="3151" spans="1:9" x14ac:dyDescent="0.25">
      <c r="A3151" s="515">
        <v>55411</v>
      </c>
      <c r="B3151" s="515" t="s">
        <v>532</v>
      </c>
      <c r="C3151" s="52">
        <v>224882.45563318999</v>
      </c>
      <c r="D3151" s="56">
        <v>3.0654872821776337E-3</v>
      </c>
      <c r="E3151" s="224">
        <v>1588.0952380952299</v>
      </c>
      <c r="F3151" s="515" t="s">
        <v>4557</v>
      </c>
      <c r="G3151" s="52">
        <v>144518.19455662099</v>
      </c>
      <c r="H3151" s="56">
        <v>7.0892446176988699E-2</v>
      </c>
      <c r="I3151" s="224" t="s">
        <v>2</v>
      </c>
    </row>
    <row r="3152" spans="1:9" x14ac:dyDescent="0.25">
      <c r="A3152" s="515">
        <v>60714</v>
      </c>
      <c r="B3152" s="515" t="s">
        <v>394</v>
      </c>
      <c r="C3152" s="52">
        <v>328451.38401949202</v>
      </c>
      <c r="D3152" s="56">
        <v>2.5742071848214573E-2</v>
      </c>
      <c r="E3152" s="224" t="s">
        <v>2</v>
      </c>
      <c r="F3152" s="515" t="s">
        <v>4558</v>
      </c>
      <c r="G3152" s="52">
        <v>476286.40100898501</v>
      </c>
      <c r="H3152" s="56">
        <v>0.1313765092108842</v>
      </c>
      <c r="I3152" s="224">
        <v>2542</v>
      </c>
    </row>
    <row r="3153" spans="1:9" x14ac:dyDescent="0.25">
      <c r="A3153" s="515">
        <v>12901</v>
      </c>
      <c r="B3153" s="515" t="s">
        <v>395</v>
      </c>
      <c r="C3153" s="52">
        <v>207123.836994857</v>
      </c>
      <c r="D3153" s="56">
        <v>7.8733530654547537E-2</v>
      </c>
      <c r="E3153" s="224" t="s">
        <v>2</v>
      </c>
      <c r="F3153" s="515" t="s">
        <v>4559</v>
      </c>
      <c r="G3153" s="52">
        <v>122081.90651311001</v>
      </c>
      <c r="H3153" s="56">
        <v>2.6853644104098906E-2</v>
      </c>
      <c r="I3153" s="224" t="s">
        <v>2</v>
      </c>
    </row>
    <row r="3154" spans="1:9" x14ac:dyDescent="0.25">
      <c r="A3154" s="515">
        <v>44004</v>
      </c>
      <c r="B3154" s="515" t="s">
        <v>592</v>
      </c>
      <c r="C3154" s="52">
        <v>126802.41389826901</v>
      </c>
      <c r="D3154" s="56">
        <v>0.11494826971098629</v>
      </c>
      <c r="E3154" s="224" t="s">
        <v>2</v>
      </c>
      <c r="F3154" s="515" t="s">
        <v>4560</v>
      </c>
      <c r="G3154" s="52">
        <v>416756.47130565398</v>
      </c>
      <c r="H3154" s="56">
        <v>8.7977813040187453E-2</v>
      </c>
      <c r="I3154" s="224" t="s">
        <v>2</v>
      </c>
    </row>
    <row r="3155" spans="1:9" x14ac:dyDescent="0.25">
      <c r="A3155" s="515">
        <v>32114</v>
      </c>
      <c r="B3155" s="515" t="s">
        <v>974</v>
      </c>
      <c r="C3155" s="52">
        <v>189279.32928562799</v>
      </c>
      <c r="D3155" s="56">
        <v>0.2070726467577135</v>
      </c>
      <c r="E3155" s="224">
        <v>1498.30303030303</v>
      </c>
      <c r="F3155" s="515" t="s">
        <v>876</v>
      </c>
      <c r="G3155" s="52">
        <v>138985.60483268299</v>
      </c>
      <c r="H3155" s="56">
        <v>4.9939561708065051E-2</v>
      </c>
      <c r="I3155" s="224" t="s">
        <v>2</v>
      </c>
    </row>
    <row r="3156" spans="1:9" x14ac:dyDescent="0.25">
      <c r="A3156" s="515">
        <v>28451</v>
      </c>
      <c r="B3156" s="515" t="s">
        <v>703</v>
      </c>
      <c r="C3156" s="52">
        <v>371118.81823245197</v>
      </c>
      <c r="D3156" s="56">
        <v>0.14350610238614406</v>
      </c>
      <c r="E3156" s="224">
        <v>2047.44444444444</v>
      </c>
      <c r="F3156" s="515" t="s">
        <v>4561</v>
      </c>
      <c r="G3156" s="52">
        <v>221050.83433793901</v>
      </c>
      <c r="H3156" s="56">
        <v>6.9220231843324501E-2</v>
      </c>
      <c r="I3156" s="224" t="s">
        <v>2</v>
      </c>
    </row>
    <row r="3157" spans="1:9" x14ac:dyDescent="0.25">
      <c r="A3157" s="515">
        <v>34990</v>
      </c>
      <c r="B3157" s="515" t="s">
        <v>1180</v>
      </c>
      <c r="C3157" s="52">
        <v>609942.12014621205</v>
      </c>
      <c r="D3157" s="56">
        <v>0.13346015547826834</v>
      </c>
      <c r="E3157" s="224">
        <v>2662.5</v>
      </c>
      <c r="F3157" s="515" t="s">
        <v>4562</v>
      </c>
      <c r="G3157" s="52">
        <v>207419.70357822601</v>
      </c>
      <c r="H3157" s="56">
        <v>6.8888775609147038E-2</v>
      </c>
      <c r="I3157" s="224" t="s">
        <v>2</v>
      </c>
    </row>
    <row r="3158" spans="1:9" x14ac:dyDescent="0.25">
      <c r="A3158" s="515">
        <v>34667</v>
      </c>
      <c r="B3158" s="515" t="s">
        <v>461</v>
      </c>
      <c r="C3158" s="52">
        <v>299956.93003390898</v>
      </c>
      <c r="D3158" s="56">
        <v>0.11732823513997112</v>
      </c>
      <c r="E3158" s="224">
        <v>1876.6666666666599</v>
      </c>
      <c r="F3158" s="515" t="s">
        <v>4563</v>
      </c>
      <c r="G3158" s="52">
        <v>410966.36242558202</v>
      </c>
      <c r="H3158" s="56">
        <v>0.10358209824696364</v>
      </c>
      <c r="I3158" s="224" t="s">
        <v>2</v>
      </c>
    </row>
    <row r="3159" spans="1:9" x14ac:dyDescent="0.25">
      <c r="A3159" s="515">
        <v>95070</v>
      </c>
      <c r="B3159" s="515" t="s">
        <v>850</v>
      </c>
      <c r="C3159" s="52">
        <v>3387247.54055316</v>
      </c>
      <c r="D3159" s="56">
        <v>5.7441525120372358E-2</v>
      </c>
      <c r="E3159" s="224">
        <v>5499.1666666666597</v>
      </c>
      <c r="F3159" s="515" t="s">
        <v>4564</v>
      </c>
      <c r="G3159" s="52">
        <v>443728.91764950298</v>
      </c>
      <c r="H3159" s="56">
        <v>3.2334987256010236E-2</v>
      </c>
      <c r="I3159" s="224" t="s">
        <v>2</v>
      </c>
    </row>
    <row r="3160" spans="1:9" x14ac:dyDescent="0.25">
      <c r="A3160" s="515">
        <v>32909</v>
      </c>
      <c r="B3160" s="515" t="s">
        <v>1133</v>
      </c>
      <c r="C3160" s="52">
        <v>315884.96618800401</v>
      </c>
      <c r="D3160" s="56">
        <v>0.11205669898842728</v>
      </c>
      <c r="E3160" s="224">
        <v>1931.07407407407</v>
      </c>
      <c r="F3160" s="515" t="s">
        <v>4565</v>
      </c>
      <c r="G3160" s="52">
        <v>265777.52628797299</v>
      </c>
      <c r="H3160" s="56">
        <v>0.1160307397894795</v>
      </c>
      <c r="I3160" s="224" t="s">
        <v>2</v>
      </c>
    </row>
    <row r="3161" spans="1:9" x14ac:dyDescent="0.25">
      <c r="A3161" s="515">
        <v>32779</v>
      </c>
      <c r="B3161" s="515" t="s">
        <v>517</v>
      </c>
      <c r="C3161" s="52">
        <v>492371.63738085597</v>
      </c>
      <c r="D3161" s="56">
        <v>0.11730513688510634</v>
      </c>
      <c r="E3161" s="224">
        <v>1767.48809523809</v>
      </c>
      <c r="F3161" s="515" t="s">
        <v>4566</v>
      </c>
      <c r="G3161" s="52">
        <v>314213.39589740901</v>
      </c>
      <c r="H3161" s="56">
        <v>3.0378006448883017E-2</v>
      </c>
      <c r="I3161" s="224" t="s">
        <v>2</v>
      </c>
    </row>
    <row r="3162" spans="1:9" x14ac:dyDescent="0.25">
      <c r="A3162" s="515">
        <v>44312</v>
      </c>
      <c r="B3162" s="515" t="s">
        <v>1000</v>
      </c>
      <c r="C3162" s="52">
        <v>146271.97020057001</v>
      </c>
      <c r="D3162" s="56">
        <v>6.103956505889422E-2</v>
      </c>
      <c r="E3162" s="224">
        <v>837.16666666666595</v>
      </c>
      <c r="F3162" s="515" t="s">
        <v>4567</v>
      </c>
      <c r="G3162" s="52">
        <v>188525.33908381301</v>
      </c>
      <c r="H3162" s="56">
        <v>5.8716384731330562E-2</v>
      </c>
      <c r="I3162" s="224">
        <v>1360.69444444444</v>
      </c>
    </row>
    <row r="3163" spans="1:9" x14ac:dyDescent="0.25">
      <c r="A3163" s="515">
        <v>53142</v>
      </c>
      <c r="B3163" s="515" t="s">
        <v>394</v>
      </c>
      <c r="C3163" s="52">
        <v>251137.56368809799</v>
      </c>
      <c r="D3163" s="56">
        <v>6.1326209260710723E-2</v>
      </c>
      <c r="E3163" s="224">
        <v>1820.8333333333301</v>
      </c>
      <c r="F3163" s="515" t="s">
        <v>4568</v>
      </c>
      <c r="G3163" s="52">
        <v>1706261.4608566801</v>
      </c>
      <c r="H3163" s="56">
        <v>5.4813065773888468E-2</v>
      </c>
      <c r="I3163" s="224">
        <v>3300</v>
      </c>
    </row>
    <row r="3164" spans="1:9" x14ac:dyDescent="0.25">
      <c r="A3164" s="515">
        <v>89002</v>
      </c>
      <c r="B3164" s="515" t="s">
        <v>323</v>
      </c>
      <c r="C3164" s="52">
        <v>433484.44142663199</v>
      </c>
      <c r="D3164" s="56">
        <v>4.5563037143470278E-2</v>
      </c>
      <c r="E3164" s="224">
        <v>1893.75476190476</v>
      </c>
      <c r="F3164" s="515" t="s">
        <v>4569</v>
      </c>
      <c r="G3164" s="52">
        <v>487091.79890965298</v>
      </c>
      <c r="H3164" s="56">
        <v>9.5225510609393091E-2</v>
      </c>
      <c r="I3164" s="224" t="s">
        <v>2</v>
      </c>
    </row>
    <row r="3165" spans="1:9" x14ac:dyDescent="0.25">
      <c r="A3165" s="515">
        <v>22310</v>
      </c>
      <c r="B3165" s="515" t="s">
        <v>321</v>
      </c>
      <c r="C3165" s="52">
        <v>582662.39182591403</v>
      </c>
      <c r="D3165" s="56">
        <v>1.7338786041811594E-2</v>
      </c>
      <c r="E3165" s="224">
        <v>2213.6011904761899</v>
      </c>
      <c r="F3165" s="515" t="s">
        <v>4570</v>
      </c>
      <c r="G3165" s="52">
        <v>151786.991382415</v>
      </c>
      <c r="H3165" s="56">
        <v>2.841413677982034E-2</v>
      </c>
      <c r="I3165" s="224" t="s">
        <v>2</v>
      </c>
    </row>
    <row r="3166" spans="1:9" x14ac:dyDescent="0.25">
      <c r="A3166" s="515">
        <v>65101</v>
      </c>
      <c r="B3166" s="515" t="s">
        <v>711</v>
      </c>
      <c r="C3166" s="52">
        <v>209806.45387688099</v>
      </c>
      <c r="D3166" s="56">
        <v>0.11850470251313043</v>
      </c>
      <c r="E3166" s="224" t="s">
        <v>2</v>
      </c>
      <c r="F3166" s="515" t="s">
        <v>4571</v>
      </c>
      <c r="G3166" s="52">
        <v>381156.31766060297</v>
      </c>
      <c r="H3166" s="56">
        <v>5.8396230617166957E-2</v>
      </c>
      <c r="I3166" s="224" t="s">
        <v>2</v>
      </c>
    </row>
    <row r="3167" spans="1:9" x14ac:dyDescent="0.25">
      <c r="A3167" s="515">
        <v>76033</v>
      </c>
      <c r="B3167" s="515" t="s">
        <v>458</v>
      </c>
      <c r="C3167" s="52">
        <v>253920.59431124601</v>
      </c>
      <c r="D3167" s="56">
        <v>0.11375865470280677</v>
      </c>
      <c r="E3167" s="224" t="s">
        <v>2</v>
      </c>
      <c r="F3167" s="515" t="s">
        <v>4572</v>
      </c>
      <c r="G3167" s="52">
        <v>189783.20002872299</v>
      </c>
      <c r="H3167" s="56">
        <v>6.8952529367547991E-2</v>
      </c>
      <c r="I3167" s="224" t="s">
        <v>2</v>
      </c>
    </row>
    <row r="3168" spans="1:9" x14ac:dyDescent="0.25">
      <c r="A3168" s="515">
        <v>59405</v>
      </c>
      <c r="B3168" s="515" t="s">
        <v>373</v>
      </c>
      <c r="C3168" s="52">
        <v>270774.70387617801</v>
      </c>
      <c r="D3168" s="56">
        <v>9.0357963743808167E-2</v>
      </c>
      <c r="E3168" s="224">
        <v>1384.44444444444</v>
      </c>
      <c r="F3168" s="515" t="s">
        <v>4573</v>
      </c>
      <c r="G3168" s="52">
        <v>282951.86162608798</v>
      </c>
      <c r="H3168" s="56">
        <v>4.3726346199006505E-2</v>
      </c>
      <c r="I3168" s="224" t="s">
        <v>2</v>
      </c>
    </row>
    <row r="3169" spans="1:9" x14ac:dyDescent="0.25">
      <c r="A3169" s="515">
        <v>97603</v>
      </c>
      <c r="B3169" s="515" t="s">
        <v>545</v>
      </c>
      <c r="C3169" s="52">
        <v>289012.16413835803</v>
      </c>
      <c r="D3169" s="56">
        <v>6.9645489047168302E-2</v>
      </c>
      <c r="E3169" s="224" t="s">
        <v>2</v>
      </c>
      <c r="F3169" s="515" t="s">
        <v>4574</v>
      </c>
      <c r="G3169" s="52">
        <v>104879.17195178301</v>
      </c>
      <c r="H3169" s="56">
        <v>0.11751222878578145</v>
      </c>
      <c r="I3169" s="224" t="s">
        <v>2</v>
      </c>
    </row>
    <row r="3170" spans="1:9" x14ac:dyDescent="0.25">
      <c r="A3170" s="515">
        <v>29745</v>
      </c>
      <c r="B3170" s="515" t="s">
        <v>360</v>
      </c>
      <c r="C3170" s="52">
        <v>309183.457085412</v>
      </c>
      <c r="D3170" s="56">
        <v>8.8155403214810454E-2</v>
      </c>
      <c r="E3170" s="224" t="s">
        <v>2</v>
      </c>
      <c r="F3170" s="515" t="s">
        <v>4575</v>
      </c>
      <c r="G3170" s="52">
        <v>172731.34466531701</v>
      </c>
      <c r="H3170" s="56">
        <v>9.7911314323317872E-2</v>
      </c>
      <c r="I3170" s="224" t="s">
        <v>2</v>
      </c>
    </row>
    <row r="3171" spans="1:9" x14ac:dyDescent="0.25">
      <c r="A3171" s="515">
        <v>76182</v>
      </c>
      <c r="B3171" s="515" t="s">
        <v>458</v>
      </c>
      <c r="C3171" s="52">
        <v>400266.52047046903</v>
      </c>
      <c r="D3171" s="56">
        <v>8.0149232857068931E-2</v>
      </c>
      <c r="E3171" s="224">
        <v>1952.75</v>
      </c>
      <c r="F3171" s="515" t="s">
        <v>1258</v>
      </c>
      <c r="G3171" s="52">
        <v>234054.45661401801</v>
      </c>
      <c r="H3171" s="56">
        <v>0.10476886635463162</v>
      </c>
      <c r="I3171" s="224">
        <v>1444.1666666666599</v>
      </c>
    </row>
    <row r="3172" spans="1:9" x14ac:dyDescent="0.25">
      <c r="A3172" s="515">
        <v>46151</v>
      </c>
      <c r="B3172" s="515" t="s">
        <v>403</v>
      </c>
      <c r="C3172" s="52">
        <v>247058.04154226699</v>
      </c>
      <c r="D3172" s="56">
        <v>8.3264481755599806E-2</v>
      </c>
      <c r="E3172" s="224" t="s">
        <v>2</v>
      </c>
      <c r="F3172" s="515" t="s">
        <v>985</v>
      </c>
      <c r="G3172" s="52">
        <v>174809.16979321101</v>
      </c>
      <c r="H3172" s="56">
        <v>7.8887822261716811E-2</v>
      </c>
      <c r="I3172" s="224" t="s">
        <v>2</v>
      </c>
    </row>
    <row r="3173" spans="1:9" x14ac:dyDescent="0.25">
      <c r="A3173" s="515">
        <v>93955</v>
      </c>
      <c r="B3173" s="515" t="s">
        <v>443</v>
      </c>
      <c r="C3173" s="52">
        <v>708151.00569291995</v>
      </c>
      <c r="D3173" s="56">
        <v>3.5970421082641195E-2</v>
      </c>
      <c r="E3173" s="224">
        <v>2451.1111111111099</v>
      </c>
      <c r="F3173" s="515" t="s">
        <v>4576</v>
      </c>
      <c r="G3173" s="52">
        <v>482659.01692193502</v>
      </c>
      <c r="H3173" s="56">
        <v>2.5846316244539966E-2</v>
      </c>
      <c r="I3173" s="224" t="s">
        <v>2</v>
      </c>
    </row>
    <row r="3174" spans="1:9" x14ac:dyDescent="0.25">
      <c r="A3174" s="515">
        <v>28217</v>
      </c>
      <c r="B3174" s="515" t="s">
        <v>360</v>
      </c>
      <c r="C3174" s="52">
        <v>275747.27587674902</v>
      </c>
      <c r="D3174" s="56">
        <v>0.12499084084498704</v>
      </c>
      <c r="E3174" s="224">
        <v>1646.0952380952299</v>
      </c>
      <c r="F3174" s="515" t="s">
        <v>4577</v>
      </c>
      <c r="G3174" s="52">
        <v>210190.24264660399</v>
      </c>
      <c r="H3174" s="56">
        <v>8.2034419293290348E-2</v>
      </c>
      <c r="I3174" s="224" t="s">
        <v>2</v>
      </c>
    </row>
    <row r="3175" spans="1:9" x14ac:dyDescent="0.25">
      <c r="A3175" s="515">
        <v>33909</v>
      </c>
      <c r="B3175" s="515" t="s">
        <v>661</v>
      </c>
      <c r="C3175" s="52">
        <v>326979.32747923402</v>
      </c>
      <c r="D3175" s="56">
        <v>0.1695265550948766</v>
      </c>
      <c r="E3175" s="224">
        <v>2279.5277777777701</v>
      </c>
      <c r="F3175" s="515" t="s">
        <v>4578</v>
      </c>
      <c r="G3175" s="52">
        <v>232194.68937104201</v>
      </c>
      <c r="H3175" s="56">
        <v>0.15413283625955479</v>
      </c>
      <c r="I3175" s="224">
        <v>1387.0833333333301</v>
      </c>
    </row>
    <row r="3176" spans="1:9" x14ac:dyDescent="0.25">
      <c r="A3176" s="515">
        <v>33596</v>
      </c>
      <c r="B3176" s="515" t="s">
        <v>461</v>
      </c>
      <c r="C3176" s="52">
        <v>452092.81460434</v>
      </c>
      <c r="D3176" s="56">
        <v>9.9608040919585736E-2</v>
      </c>
      <c r="E3176" s="224">
        <v>2560.0499999999902</v>
      </c>
      <c r="F3176" s="515" t="s">
        <v>4579</v>
      </c>
      <c r="G3176" s="52">
        <v>344641.83988100698</v>
      </c>
      <c r="H3176" s="56">
        <v>8.9388937307594687E-2</v>
      </c>
      <c r="I3176" s="224" t="s">
        <v>2</v>
      </c>
    </row>
    <row r="3177" spans="1:9" x14ac:dyDescent="0.25">
      <c r="A3177" s="515">
        <v>11722</v>
      </c>
      <c r="B3177" s="515" t="s">
        <v>324</v>
      </c>
      <c r="C3177" s="52">
        <v>434505.99258991599</v>
      </c>
      <c r="D3177" s="56">
        <v>3.322465090294989E-2</v>
      </c>
      <c r="E3177" s="224" t="s">
        <v>2</v>
      </c>
      <c r="F3177" s="515" t="s">
        <v>4580</v>
      </c>
      <c r="G3177" s="52">
        <v>1755989.2330308801</v>
      </c>
      <c r="H3177" s="56">
        <v>0.30635507520750876</v>
      </c>
      <c r="I3177" s="224">
        <v>7508.3333333333303</v>
      </c>
    </row>
    <row r="3178" spans="1:9" x14ac:dyDescent="0.25">
      <c r="A3178" s="515">
        <v>98802</v>
      </c>
      <c r="B3178" s="515" t="s">
        <v>521</v>
      </c>
      <c r="C3178" s="52">
        <v>464449.88221397402</v>
      </c>
      <c r="D3178" s="56">
        <v>3.6892835938853216E-2</v>
      </c>
      <c r="E3178" s="224" t="s">
        <v>2</v>
      </c>
      <c r="F3178" s="515" t="s">
        <v>4581</v>
      </c>
      <c r="G3178" s="52">
        <v>615257.45473107498</v>
      </c>
      <c r="H3178" s="56">
        <v>2.8245094791566783E-2</v>
      </c>
      <c r="I3178" s="224">
        <v>2152.1111111111099</v>
      </c>
    </row>
    <row r="3179" spans="1:9" x14ac:dyDescent="0.25">
      <c r="A3179" s="515">
        <v>45005</v>
      </c>
      <c r="B3179" s="515" t="s">
        <v>344</v>
      </c>
      <c r="C3179" s="52">
        <v>224561.060935199</v>
      </c>
      <c r="D3179" s="56">
        <v>0.10668086550497825</v>
      </c>
      <c r="E3179" s="224">
        <v>1064.44444444444</v>
      </c>
      <c r="F3179" s="515" t="s">
        <v>4582</v>
      </c>
      <c r="G3179" s="52">
        <v>255439.325754569</v>
      </c>
      <c r="H3179" s="56">
        <v>6.8266342994446089E-2</v>
      </c>
      <c r="I3179" s="224">
        <v>1711.6666666666599</v>
      </c>
    </row>
    <row r="3180" spans="1:9" x14ac:dyDescent="0.25">
      <c r="A3180" s="515">
        <v>33917</v>
      </c>
      <c r="B3180" s="515" t="s">
        <v>661</v>
      </c>
      <c r="C3180" s="52">
        <v>327539.57324419398</v>
      </c>
      <c r="D3180" s="56">
        <v>0.15837459565246301</v>
      </c>
      <c r="E3180" s="224" t="s">
        <v>2</v>
      </c>
      <c r="F3180" s="515" t="s">
        <v>4583</v>
      </c>
      <c r="G3180" s="52">
        <v>264072.54128177301</v>
      </c>
      <c r="H3180" s="56">
        <v>4.8816227065382425E-2</v>
      </c>
      <c r="I3180" s="224" t="s">
        <v>2</v>
      </c>
    </row>
    <row r="3181" spans="1:9" x14ac:dyDescent="0.25">
      <c r="A3181" s="515">
        <v>17268</v>
      </c>
      <c r="B3181" s="515" t="s">
        <v>372</v>
      </c>
      <c r="C3181" s="52">
        <v>234384.52783299601</v>
      </c>
      <c r="D3181" s="56">
        <v>6.8129287025306379E-2</v>
      </c>
      <c r="E3181" s="224">
        <v>1198.3333333333301</v>
      </c>
      <c r="F3181" s="515" t="s">
        <v>4584</v>
      </c>
      <c r="G3181" s="52">
        <v>149381.55869959001</v>
      </c>
      <c r="H3181" s="56">
        <v>-2.9753174779306571E-2</v>
      </c>
      <c r="I3181" s="224" t="s">
        <v>2</v>
      </c>
    </row>
    <row r="3182" spans="1:9" x14ac:dyDescent="0.25">
      <c r="A3182" s="515">
        <v>92679</v>
      </c>
      <c r="B3182" s="515" t="s">
        <v>375</v>
      </c>
      <c r="C3182" s="52">
        <v>1283795.4362293801</v>
      </c>
      <c r="D3182" s="56">
        <v>8.8127558868711584E-2</v>
      </c>
      <c r="E3182" s="224">
        <v>3913.3333333333298</v>
      </c>
      <c r="F3182" s="515" t="s">
        <v>4585</v>
      </c>
      <c r="G3182" s="52">
        <v>500915.89169921202</v>
      </c>
      <c r="H3182" s="56">
        <v>8.1319538127328062E-2</v>
      </c>
      <c r="I3182" s="224" t="s">
        <v>2</v>
      </c>
    </row>
    <row r="3183" spans="1:9" x14ac:dyDescent="0.25">
      <c r="A3183" s="515">
        <v>60076</v>
      </c>
      <c r="B3183" s="515" t="s">
        <v>394</v>
      </c>
      <c r="C3183" s="52">
        <v>364248.42720084602</v>
      </c>
      <c r="D3183" s="56">
        <v>3.4385238664001706E-2</v>
      </c>
      <c r="E3183" s="224">
        <v>2300</v>
      </c>
      <c r="F3183" s="515" t="s">
        <v>4586</v>
      </c>
      <c r="G3183" s="52">
        <v>369234.99160522601</v>
      </c>
      <c r="H3183" s="56">
        <v>5.0139719505191131E-2</v>
      </c>
      <c r="I3183" s="224">
        <v>2892.2222222222199</v>
      </c>
    </row>
    <row r="3184" spans="1:9" x14ac:dyDescent="0.25">
      <c r="A3184" s="515">
        <v>62002</v>
      </c>
      <c r="B3184" s="515" t="s">
        <v>498</v>
      </c>
      <c r="C3184" s="52">
        <v>94999.167538879701</v>
      </c>
      <c r="D3184" s="56">
        <v>7.9257596894204488E-2</v>
      </c>
      <c r="E3184" s="224">
        <v>855</v>
      </c>
      <c r="F3184" s="515" t="s">
        <v>4587</v>
      </c>
      <c r="G3184" s="52">
        <v>143366.901423551</v>
      </c>
      <c r="H3184" s="56">
        <v>4.4018646228540965E-2</v>
      </c>
      <c r="I3184" s="224" t="s">
        <v>2</v>
      </c>
    </row>
    <row r="3185" spans="1:9" x14ac:dyDescent="0.25">
      <c r="A3185" s="515">
        <v>65401</v>
      </c>
      <c r="B3185" s="515" t="s">
        <v>357</v>
      </c>
      <c r="C3185" s="52">
        <v>190625.02184460801</v>
      </c>
      <c r="D3185" s="56">
        <v>8.0025804221922667E-2</v>
      </c>
      <c r="E3185" s="224" t="s">
        <v>2</v>
      </c>
      <c r="F3185" s="515" t="s">
        <v>4588</v>
      </c>
      <c r="G3185" s="52">
        <v>585363.01784857898</v>
      </c>
      <c r="H3185" s="56">
        <v>3.5801548316853227E-2</v>
      </c>
      <c r="I3185" s="224">
        <v>2483.3333333333298</v>
      </c>
    </row>
    <row r="3186" spans="1:9" x14ac:dyDescent="0.25">
      <c r="A3186" s="515">
        <v>50158</v>
      </c>
      <c r="B3186" s="515" t="s">
        <v>642</v>
      </c>
      <c r="C3186" s="52">
        <v>135026.49391293401</v>
      </c>
      <c r="D3186" s="56">
        <v>5.4952152009215174E-2</v>
      </c>
      <c r="E3186" s="224" t="s">
        <v>2</v>
      </c>
      <c r="F3186" s="515" t="s">
        <v>4589</v>
      </c>
      <c r="G3186" s="52">
        <v>2074609.6912467901</v>
      </c>
      <c r="H3186" s="56">
        <v>4.2159474159080404E-2</v>
      </c>
      <c r="I3186" s="224">
        <v>3987.1957671957598</v>
      </c>
    </row>
    <row r="3187" spans="1:9" x14ac:dyDescent="0.25">
      <c r="A3187" s="515">
        <v>32301</v>
      </c>
      <c r="B3187" s="515" t="s">
        <v>335</v>
      </c>
      <c r="C3187" s="52">
        <v>192521.46448903999</v>
      </c>
      <c r="D3187" s="56">
        <v>0.10536293760868773</v>
      </c>
      <c r="E3187" s="224">
        <v>1195.2920634920599</v>
      </c>
      <c r="F3187" s="515" t="s">
        <v>4590</v>
      </c>
      <c r="G3187" s="52">
        <v>119401.180033075</v>
      </c>
      <c r="H3187" s="56">
        <v>9.6552883058122735E-2</v>
      </c>
      <c r="I3187" s="224" t="s">
        <v>2</v>
      </c>
    </row>
    <row r="3188" spans="1:9" x14ac:dyDescent="0.25">
      <c r="A3188" s="515">
        <v>28211</v>
      </c>
      <c r="B3188" s="515" t="s">
        <v>360</v>
      </c>
      <c r="C3188" s="52">
        <v>715244.39741277497</v>
      </c>
      <c r="D3188" s="56">
        <v>6.9443098214257037E-2</v>
      </c>
      <c r="E3188" s="224">
        <v>2149.4772727272698</v>
      </c>
      <c r="F3188" s="515" t="s">
        <v>4591</v>
      </c>
      <c r="G3188" s="52">
        <v>388118.36784624902</v>
      </c>
      <c r="H3188" s="56">
        <v>6.1872187100131502E-2</v>
      </c>
      <c r="I3188" s="224" t="s">
        <v>2</v>
      </c>
    </row>
    <row r="3189" spans="1:9" x14ac:dyDescent="0.25">
      <c r="A3189" s="515">
        <v>4103</v>
      </c>
      <c r="B3189" s="515" t="s">
        <v>570</v>
      </c>
      <c r="C3189" s="52">
        <v>444570.03186128603</v>
      </c>
      <c r="D3189" s="56">
        <v>7.5971222040619207E-2</v>
      </c>
      <c r="E3189" s="224">
        <v>2015.1111111111099</v>
      </c>
      <c r="F3189" s="515" t="s">
        <v>4592</v>
      </c>
      <c r="G3189" s="52">
        <v>757484.30407304503</v>
      </c>
      <c r="H3189" s="56">
        <v>2.3295819749788671E-2</v>
      </c>
      <c r="I3189" s="224" t="s">
        <v>2</v>
      </c>
    </row>
    <row r="3190" spans="1:9" x14ac:dyDescent="0.25">
      <c r="A3190" s="515">
        <v>77630</v>
      </c>
      <c r="B3190" s="515" t="s">
        <v>492</v>
      </c>
      <c r="C3190" s="52">
        <v>128611.763685371</v>
      </c>
      <c r="D3190" s="56">
        <v>-2.6286149159189413E-2</v>
      </c>
      <c r="E3190" s="224">
        <v>1075.55555555555</v>
      </c>
      <c r="F3190" s="515" t="s">
        <v>4593</v>
      </c>
      <c r="G3190" s="52">
        <v>650861.99022529996</v>
      </c>
      <c r="H3190" s="56">
        <v>6.224418461286127E-2</v>
      </c>
      <c r="I3190" s="224">
        <v>2372.3611111111099</v>
      </c>
    </row>
    <row r="3191" spans="1:9" x14ac:dyDescent="0.25">
      <c r="A3191" s="515">
        <v>21403</v>
      </c>
      <c r="B3191" s="515" t="s">
        <v>582</v>
      </c>
      <c r="C3191" s="52">
        <v>535599.074367441</v>
      </c>
      <c r="D3191" s="56">
        <v>6.4123219753651775E-2</v>
      </c>
      <c r="E3191" s="224">
        <v>1941.43333333333</v>
      </c>
      <c r="F3191" s="515" t="s">
        <v>4594</v>
      </c>
      <c r="G3191" s="52">
        <v>356026.01307050901</v>
      </c>
      <c r="H3191" s="56">
        <v>0.10359320369682248</v>
      </c>
      <c r="I3191" s="224">
        <v>1856.25</v>
      </c>
    </row>
    <row r="3192" spans="1:9" x14ac:dyDescent="0.25">
      <c r="A3192" s="515">
        <v>1826</v>
      </c>
      <c r="B3192" s="515" t="s">
        <v>534</v>
      </c>
      <c r="C3192" s="52">
        <v>472737.93710307602</v>
      </c>
      <c r="D3192" s="56">
        <v>6.8427256896123334E-2</v>
      </c>
      <c r="E3192" s="224" t="s">
        <v>2</v>
      </c>
      <c r="F3192" s="515" t="s">
        <v>4595</v>
      </c>
      <c r="G3192" s="52">
        <v>285003.67200988199</v>
      </c>
      <c r="H3192" s="56">
        <v>7.0316510881904631E-2</v>
      </c>
      <c r="I3192" s="224">
        <v>1406.25</v>
      </c>
    </row>
    <row r="3193" spans="1:9" x14ac:dyDescent="0.25">
      <c r="A3193" s="515">
        <v>87301</v>
      </c>
      <c r="B3193" s="515" t="s">
        <v>1215</v>
      </c>
      <c r="C3193" s="52">
        <v>171615.23082114599</v>
      </c>
      <c r="D3193" s="56">
        <v>1.575475937109992E-3</v>
      </c>
      <c r="E3193" s="224" t="s">
        <v>2</v>
      </c>
      <c r="F3193" s="515" t="s">
        <v>905</v>
      </c>
      <c r="G3193" s="52">
        <v>126298.027502432</v>
      </c>
      <c r="H3193" s="56">
        <v>0.10519348386695956</v>
      </c>
      <c r="I3193" s="224" t="s">
        <v>2</v>
      </c>
    </row>
    <row r="3194" spans="1:9" x14ac:dyDescent="0.25">
      <c r="A3194" s="515">
        <v>6770</v>
      </c>
      <c r="B3194" s="515" t="s">
        <v>1172</v>
      </c>
      <c r="C3194" s="52">
        <v>269380.12237627601</v>
      </c>
      <c r="D3194" s="56">
        <v>0.10075063815134611</v>
      </c>
      <c r="E3194" s="224">
        <v>1559</v>
      </c>
      <c r="F3194" s="515" t="s">
        <v>4596</v>
      </c>
      <c r="G3194" s="52">
        <v>576351.80155084596</v>
      </c>
      <c r="H3194" s="56">
        <v>3.6159816247309198E-2</v>
      </c>
      <c r="I3194" s="224">
        <v>2432.3055555555502</v>
      </c>
    </row>
    <row r="3195" spans="1:9" x14ac:dyDescent="0.25">
      <c r="A3195" s="515">
        <v>22153</v>
      </c>
      <c r="B3195" s="515" t="s">
        <v>321</v>
      </c>
      <c r="C3195" s="52">
        <v>656956.18133997102</v>
      </c>
      <c r="D3195" s="56">
        <v>4.7087114350448642E-2</v>
      </c>
      <c r="E3195" s="224">
        <v>2537.7777777777701</v>
      </c>
      <c r="F3195" s="515" t="s">
        <v>423</v>
      </c>
      <c r="G3195" s="52">
        <v>216574.68612921401</v>
      </c>
      <c r="H3195" s="56">
        <v>0.14152688578481051</v>
      </c>
      <c r="I3195" s="224" t="s">
        <v>2</v>
      </c>
    </row>
    <row r="3196" spans="1:9" x14ac:dyDescent="0.25">
      <c r="A3196" s="515">
        <v>75038</v>
      </c>
      <c r="B3196" s="515" t="s">
        <v>458</v>
      </c>
      <c r="C3196" s="52">
        <v>421552.78377984802</v>
      </c>
      <c r="D3196" s="56">
        <v>7.4798557280810529E-2</v>
      </c>
      <c r="E3196" s="224">
        <v>1645.4971509971499</v>
      </c>
      <c r="F3196" s="515" t="s">
        <v>4597</v>
      </c>
      <c r="G3196" s="52">
        <v>3310351.6476215301</v>
      </c>
      <c r="H3196" s="56">
        <v>2.6443380762700901E-2</v>
      </c>
      <c r="I3196" s="224">
        <v>11462.1964285714</v>
      </c>
    </row>
    <row r="3197" spans="1:9" x14ac:dyDescent="0.25">
      <c r="A3197" s="515">
        <v>49417</v>
      </c>
      <c r="B3197" s="515" t="s">
        <v>631</v>
      </c>
      <c r="C3197" s="52">
        <v>335806.22995535698</v>
      </c>
      <c r="D3197" s="56">
        <v>0.1097158713024413</v>
      </c>
      <c r="E3197" s="224">
        <v>1364.05555555555</v>
      </c>
      <c r="F3197" s="515" t="s">
        <v>4598</v>
      </c>
      <c r="G3197" s="52">
        <v>230579.43848983999</v>
      </c>
      <c r="H3197" s="56">
        <v>0.12659350119686893</v>
      </c>
      <c r="I3197" s="224" t="s">
        <v>2</v>
      </c>
    </row>
    <row r="3198" spans="1:9" x14ac:dyDescent="0.25">
      <c r="A3198" s="515">
        <v>91604</v>
      </c>
      <c r="B3198" s="515" t="s">
        <v>375</v>
      </c>
      <c r="C3198" s="52">
        <v>1543406.22086734</v>
      </c>
      <c r="D3198" s="56">
        <v>3.6615467216968567E-2</v>
      </c>
      <c r="E3198" s="224">
        <v>3242.1984126984098</v>
      </c>
      <c r="F3198" s="515" t="s">
        <v>4599</v>
      </c>
      <c r="G3198" s="52">
        <v>935038.20954820001</v>
      </c>
      <c r="H3198" s="56">
        <v>9.95477683826511E-2</v>
      </c>
      <c r="I3198" s="224" t="s">
        <v>2</v>
      </c>
    </row>
    <row r="3199" spans="1:9" x14ac:dyDescent="0.25">
      <c r="A3199" s="515">
        <v>95661</v>
      </c>
      <c r="B3199" s="515" t="s">
        <v>355</v>
      </c>
      <c r="C3199" s="52">
        <v>635030.81114262505</v>
      </c>
      <c r="D3199" s="56">
        <v>5.4908477308042436E-3</v>
      </c>
      <c r="E3199" s="224">
        <v>2307.9226190476102</v>
      </c>
      <c r="F3199" s="515" t="s">
        <v>663</v>
      </c>
      <c r="G3199" s="52">
        <v>261073.01954703801</v>
      </c>
      <c r="H3199" s="56">
        <v>3.9838288056252523E-2</v>
      </c>
      <c r="I3199" s="224" t="s">
        <v>2</v>
      </c>
    </row>
    <row r="3200" spans="1:9" x14ac:dyDescent="0.25">
      <c r="A3200" s="515">
        <v>19601</v>
      </c>
      <c r="B3200" s="515" t="s">
        <v>569</v>
      </c>
      <c r="C3200" s="52">
        <v>120753.680537768</v>
      </c>
      <c r="D3200" s="56">
        <v>0.26803991189028786</v>
      </c>
      <c r="E3200" s="224">
        <v>1260.8333333333301</v>
      </c>
      <c r="F3200" s="515" t="s">
        <v>4600</v>
      </c>
      <c r="G3200" s="52">
        <v>206923.112022866</v>
      </c>
      <c r="H3200" s="56">
        <v>7.8989011618865679E-2</v>
      </c>
      <c r="I3200" s="224" t="s">
        <v>2</v>
      </c>
    </row>
    <row r="3201" spans="1:9" x14ac:dyDescent="0.25">
      <c r="A3201" s="515">
        <v>32127</v>
      </c>
      <c r="B3201" s="515" t="s">
        <v>974</v>
      </c>
      <c r="C3201" s="52">
        <v>367645.442804583</v>
      </c>
      <c r="D3201" s="56">
        <v>0.11818453458026584</v>
      </c>
      <c r="E3201" s="224">
        <v>1981.7777777777701</v>
      </c>
      <c r="F3201" s="515" t="s">
        <v>4601</v>
      </c>
      <c r="G3201" s="52">
        <v>259332.361453691</v>
      </c>
      <c r="H3201" s="56">
        <v>4.8270570354108443E-2</v>
      </c>
      <c r="I3201" s="224" t="s">
        <v>2</v>
      </c>
    </row>
    <row r="3202" spans="1:9" x14ac:dyDescent="0.25">
      <c r="A3202" s="515">
        <v>48089</v>
      </c>
      <c r="B3202" s="515" t="s">
        <v>685</v>
      </c>
      <c r="C3202" s="52">
        <v>111035.856375274</v>
      </c>
      <c r="D3202" s="56">
        <v>7.9785818031613873E-2</v>
      </c>
      <c r="E3202" s="224">
        <v>1321.1548821548799</v>
      </c>
      <c r="F3202" s="515" t="s">
        <v>4602</v>
      </c>
      <c r="G3202" s="52">
        <v>365691.83001468901</v>
      </c>
      <c r="H3202" s="56">
        <v>3.1989330222440722E-2</v>
      </c>
      <c r="I3202" s="224" t="s">
        <v>2</v>
      </c>
    </row>
    <row r="3203" spans="1:9" x14ac:dyDescent="0.25">
      <c r="A3203" s="515">
        <v>66212</v>
      </c>
      <c r="B3203" s="515" t="s">
        <v>455</v>
      </c>
      <c r="C3203" s="52">
        <v>300693.53988876898</v>
      </c>
      <c r="D3203" s="56">
        <v>5.8952872033446624E-2</v>
      </c>
      <c r="E3203" s="224">
        <v>1689.6666666666599</v>
      </c>
      <c r="F3203" s="515" t="s">
        <v>4603</v>
      </c>
      <c r="G3203" s="52">
        <v>144059.20618295399</v>
      </c>
      <c r="H3203" s="56">
        <v>0.11409278009794584</v>
      </c>
      <c r="I3203" s="224" t="s">
        <v>2</v>
      </c>
    </row>
    <row r="3204" spans="1:9" x14ac:dyDescent="0.25">
      <c r="A3204" s="515">
        <v>48642</v>
      </c>
      <c r="B3204" s="515" t="s">
        <v>1121</v>
      </c>
      <c r="C3204" s="52">
        <v>204863.31683698899</v>
      </c>
      <c r="D3204" s="56">
        <v>9.0364317765989355E-2</v>
      </c>
      <c r="E3204" s="224" t="s">
        <v>2</v>
      </c>
      <c r="F3204" s="515" t="s">
        <v>4604</v>
      </c>
      <c r="G3204" s="52">
        <v>279106.11575528601</v>
      </c>
      <c r="H3204" s="56">
        <v>0.11002119486199069</v>
      </c>
      <c r="I3204" s="224" t="s">
        <v>2</v>
      </c>
    </row>
    <row r="3205" spans="1:9" x14ac:dyDescent="0.25">
      <c r="A3205" s="515">
        <v>98466</v>
      </c>
      <c r="B3205" s="515" t="s">
        <v>384</v>
      </c>
      <c r="C3205" s="52">
        <v>569760.78190685203</v>
      </c>
      <c r="D3205" s="56">
        <v>3.692196211606779E-2</v>
      </c>
      <c r="E3205" s="224">
        <v>1825.6108225108201</v>
      </c>
      <c r="F3205" s="515" t="s">
        <v>4605</v>
      </c>
      <c r="G3205" s="52">
        <v>149393.850939717</v>
      </c>
      <c r="H3205" s="56">
        <v>0.10590444186824167</v>
      </c>
      <c r="I3205" s="224">
        <v>1284.55555555555</v>
      </c>
    </row>
    <row r="3206" spans="1:9" x14ac:dyDescent="0.25">
      <c r="A3206" s="515">
        <v>32566</v>
      </c>
      <c r="B3206" s="515" t="s">
        <v>1131</v>
      </c>
      <c r="C3206" s="52">
        <v>402900.10751743201</v>
      </c>
      <c r="D3206" s="56">
        <v>6.6300539604079861E-2</v>
      </c>
      <c r="E3206" s="224">
        <v>2165.6944444444398</v>
      </c>
      <c r="F3206" s="515" t="s">
        <v>4606</v>
      </c>
      <c r="G3206" s="52">
        <v>198197.28766621801</v>
      </c>
      <c r="H3206" s="56">
        <v>9.8283541529259263E-2</v>
      </c>
      <c r="I3206" s="224" t="s">
        <v>2</v>
      </c>
    </row>
    <row r="3207" spans="1:9" x14ac:dyDescent="0.25">
      <c r="A3207" s="515">
        <v>34786</v>
      </c>
      <c r="B3207" s="515" t="s">
        <v>517</v>
      </c>
      <c r="C3207" s="52">
        <v>642287.53311920306</v>
      </c>
      <c r="D3207" s="56">
        <v>9.2758056168130265E-2</v>
      </c>
      <c r="E3207" s="224">
        <v>2525.42280701754</v>
      </c>
      <c r="F3207" s="515" t="s">
        <v>1072</v>
      </c>
      <c r="G3207" s="52">
        <v>253128.47055793999</v>
      </c>
      <c r="H3207" s="56">
        <v>5.5269387452487731E-2</v>
      </c>
      <c r="I3207" s="224" t="s">
        <v>2</v>
      </c>
    </row>
    <row r="3208" spans="1:9" x14ac:dyDescent="0.25">
      <c r="A3208" s="515">
        <v>91731</v>
      </c>
      <c r="B3208" s="515" t="s">
        <v>375</v>
      </c>
      <c r="C3208" s="52">
        <v>672825.678320028</v>
      </c>
      <c r="D3208" s="56">
        <v>5.9239851481644373E-2</v>
      </c>
      <c r="E3208" s="224">
        <v>2000</v>
      </c>
      <c r="F3208" s="515" t="s">
        <v>4607</v>
      </c>
      <c r="G3208" s="52">
        <v>157516.276601841</v>
      </c>
      <c r="H3208" s="56">
        <v>5.9688937773799362E-2</v>
      </c>
      <c r="I3208" s="224" t="s">
        <v>2</v>
      </c>
    </row>
    <row r="3209" spans="1:9" x14ac:dyDescent="0.25">
      <c r="A3209" s="515">
        <v>77041</v>
      </c>
      <c r="B3209" s="515" t="s">
        <v>314</v>
      </c>
      <c r="C3209" s="52">
        <v>281251.82656422199</v>
      </c>
      <c r="D3209" s="56">
        <v>0.11317968610258626</v>
      </c>
      <c r="E3209" s="224">
        <v>1730.06464646464</v>
      </c>
      <c r="F3209" s="515" t="s">
        <v>4608</v>
      </c>
      <c r="G3209" s="52">
        <v>421951.81775163999</v>
      </c>
      <c r="H3209" s="56">
        <v>6.5417732550834176E-2</v>
      </c>
      <c r="I3209" s="224" t="s">
        <v>2</v>
      </c>
    </row>
    <row r="3210" spans="1:9" x14ac:dyDescent="0.25">
      <c r="A3210" s="515">
        <v>68123</v>
      </c>
      <c r="B3210" s="515" t="s">
        <v>367</v>
      </c>
      <c r="C3210" s="52">
        <v>284432.84861138498</v>
      </c>
      <c r="D3210" s="56">
        <v>5.6765756652939987E-2</v>
      </c>
      <c r="E3210" s="224">
        <v>1301.67108585858</v>
      </c>
      <c r="F3210" s="515" t="s">
        <v>4609</v>
      </c>
      <c r="G3210" s="52">
        <v>580160.27709445194</v>
      </c>
      <c r="H3210" s="56">
        <v>3.5262327180891131E-2</v>
      </c>
      <c r="I3210" s="224">
        <v>2577.75</v>
      </c>
    </row>
    <row r="3211" spans="1:9" x14ac:dyDescent="0.25">
      <c r="A3211" s="515">
        <v>30033</v>
      </c>
      <c r="B3211" s="515" t="s">
        <v>957</v>
      </c>
      <c r="C3211" s="52">
        <v>441687.43978155602</v>
      </c>
      <c r="D3211" s="56">
        <v>7.2202306137107819E-2</v>
      </c>
      <c r="E3211" s="224">
        <v>1951.7570707070699</v>
      </c>
      <c r="F3211" s="515" t="s">
        <v>4610</v>
      </c>
      <c r="G3211" s="52">
        <v>497515.964591661</v>
      </c>
      <c r="H3211" s="56">
        <v>0</v>
      </c>
      <c r="I3211" s="224" t="s">
        <v>2</v>
      </c>
    </row>
    <row r="3212" spans="1:9" x14ac:dyDescent="0.25">
      <c r="A3212" s="515">
        <v>22032</v>
      </c>
      <c r="B3212" s="515" t="s">
        <v>321</v>
      </c>
      <c r="C3212" s="52">
        <v>726340.33940374199</v>
      </c>
      <c r="D3212" s="56">
        <v>4.520691894775427E-2</v>
      </c>
      <c r="E3212" s="224">
        <v>2900</v>
      </c>
      <c r="F3212" s="515" t="s">
        <v>4611</v>
      </c>
      <c r="G3212" s="52">
        <v>410700.94522565498</v>
      </c>
      <c r="H3212" s="56">
        <v>6.1329259367642767E-2</v>
      </c>
      <c r="I3212" s="224">
        <v>2525</v>
      </c>
    </row>
    <row r="3213" spans="1:9" x14ac:dyDescent="0.25">
      <c r="A3213" s="515">
        <v>70501</v>
      </c>
      <c r="B3213" s="515" t="s">
        <v>1004</v>
      </c>
      <c r="C3213" s="52">
        <v>86934.8057410334</v>
      </c>
      <c r="D3213" s="56">
        <v>1.28154255737405E-2</v>
      </c>
      <c r="E3213" s="224">
        <v>991.944444444444</v>
      </c>
      <c r="F3213" s="515" t="s">
        <v>4612</v>
      </c>
      <c r="G3213" s="52">
        <v>459644.55979395699</v>
      </c>
      <c r="H3213" s="56">
        <v>0.10392821789240358</v>
      </c>
      <c r="I3213" s="224" t="s">
        <v>2</v>
      </c>
    </row>
    <row r="3214" spans="1:9" x14ac:dyDescent="0.25">
      <c r="A3214" s="515">
        <v>75041</v>
      </c>
      <c r="B3214" s="515" t="s">
        <v>458</v>
      </c>
      <c r="C3214" s="52">
        <v>251054.553080282</v>
      </c>
      <c r="D3214" s="56">
        <v>0.1203204645007383</v>
      </c>
      <c r="E3214" s="224" t="s">
        <v>2</v>
      </c>
      <c r="F3214" s="515" t="s">
        <v>4613</v>
      </c>
      <c r="G3214" s="52">
        <v>164521.99088538799</v>
      </c>
      <c r="H3214" s="56">
        <v>0.13248922875490016</v>
      </c>
      <c r="I3214" s="224">
        <v>1240.8333333333301</v>
      </c>
    </row>
    <row r="3215" spans="1:9" x14ac:dyDescent="0.25">
      <c r="A3215" s="515">
        <v>78599</v>
      </c>
      <c r="B3215" s="515" t="s">
        <v>550</v>
      </c>
      <c r="C3215" s="52">
        <v>152202.27622453601</v>
      </c>
      <c r="D3215" s="56">
        <v>0.15631507084240218</v>
      </c>
      <c r="E3215" s="224">
        <v>850</v>
      </c>
      <c r="F3215" s="515" t="s">
        <v>4614</v>
      </c>
      <c r="G3215" s="52">
        <v>281755.90692332998</v>
      </c>
      <c r="H3215" s="56">
        <v>5.8263361894431757E-2</v>
      </c>
      <c r="I3215" s="224">
        <v>1573</v>
      </c>
    </row>
    <row r="3216" spans="1:9" x14ac:dyDescent="0.25">
      <c r="A3216" s="515">
        <v>44281</v>
      </c>
      <c r="B3216" s="515" t="s">
        <v>520</v>
      </c>
      <c r="C3216" s="52">
        <v>263847.31889464898</v>
      </c>
      <c r="D3216" s="56">
        <v>8.1660682469788248E-2</v>
      </c>
      <c r="E3216" s="224">
        <v>1603.6666666666599</v>
      </c>
      <c r="F3216" s="515" t="s">
        <v>4615</v>
      </c>
      <c r="G3216" s="52">
        <v>489200.74556559901</v>
      </c>
      <c r="H3216" s="56">
        <v>4.537158402631665E-2</v>
      </c>
      <c r="I3216" s="224" t="s">
        <v>2</v>
      </c>
    </row>
    <row r="3217" spans="1:9" x14ac:dyDescent="0.25">
      <c r="A3217" s="515">
        <v>29617</v>
      </c>
      <c r="B3217" s="515" t="s">
        <v>613</v>
      </c>
      <c r="C3217" s="52">
        <v>228607.596349567</v>
      </c>
      <c r="D3217" s="56">
        <v>0.14998737335102305</v>
      </c>
      <c r="E3217" s="224" t="s">
        <v>2</v>
      </c>
      <c r="F3217" s="515" t="s">
        <v>304</v>
      </c>
      <c r="G3217" s="52">
        <v>93529.595622233697</v>
      </c>
      <c r="H3217" s="56">
        <v>0.10892086084992697</v>
      </c>
      <c r="I3217" s="224" t="s">
        <v>2</v>
      </c>
    </row>
    <row r="3218" spans="1:9" x14ac:dyDescent="0.25">
      <c r="A3218" s="515">
        <v>53151</v>
      </c>
      <c r="B3218" s="515" t="s">
        <v>950</v>
      </c>
      <c r="C3218" s="52">
        <v>359971.56505520298</v>
      </c>
      <c r="D3218" s="56">
        <v>5.9816060006244801E-2</v>
      </c>
      <c r="E3218" s="224" t="s">
        <v>2</v>
      </c>
      <c r="F3218" s="515" t="s">
        <v>536</v>
      </c>
      <c r="G3218" s="52">
        <v>1057076.46274868</v>
      </c>
      <c r="H3218" s="56">
        <v>0.10696072200390054</v>
      </c>
      <c r="I3218" s="224" t="s">
        <v>2</v>
      </c>
    </row>
    <row r="3219" spans="1:9" x14ac:dyDescent="0.25">
      <c r="A3219" s="515">
        <v>75032</v>
      </c>
      <c r="B3219" s="515" t="s">
        <v>458</v>
      </c>
      <c r="C3219" s="52">
        <v>490050.572960274</v>
      </c>
      <c r="D3219" s="56">
        <v>8.2491969882322491E-2</v>
      </c>
      <c r="E3219" s="224">
        <v>1969.16624895572</v>
      </c>
      <c r="F3219" s="515" t="s">
        <v>4616</v>
      </c>
      <c r="G3219" s="52">
        <v>720832.76051590999</v>
      </c>
      <c r="H3219" s="56">
        <v>5.7559715764518439E-2</v>
      </c>
      <c r="I3219" s="224">
        <v>2632.5</v>
      </c>
    </row>
    <row r="3220" spans="1:9" x14ac:dyDescent="0.25">
      <c r="A3220" s="515">
        <v>33040</v>
      </c>
      <c r="B3220" s="515" t="s">
        <v>572</v>
      </c>
      <c r="C3220" s="52">
        <v>932196.78757032601</v>
      </c>
      <c r="D3220" s="56">
        <v>0.19195864029377277</v>
      </c>
      <c r="E3220" s="224">
        <v>5370</v>
      </c>
      <c r="F3220" s="515" t="s">
        <v>4617</v>
      </c>
      <c r="G3220" s="52">
        <v>483143.16778988799</v>
      </c>
      <c r="H3220" s="56">
        <v>4.049769236840986E-2</v>
      </c>
      <c r="I3220" s="224">
        <v>2241.4</v>
      </c>
    </row>
    <row r="3221" spans="1:9" x14ac:dyDescent="0.25">
      <c r="A3221" s="515">
        <v>76705</v>
      </c>
      <c r="B3221" s="515" t="s">
        <v>1057</v>
      </c>
      <c r="C3221" s="52">
        <v>192177.281676821</v>
      </c>
      <c r="D3221" s="56">
        <v>0.13169943043458562</v>
      </c>
      <c r="E3221" s="224">
        <v>1200</v>
      </c>
      <c r="F3221" s="515" t="s">
        <v>919</v>
      </c>
      <c r="G3221" s="52">
        <v>146207.27790421699</v>
      </c>
      <c r="H3221" s="56">
        <v>6.7937823649635173E-2</v>
      </c>
      <c r="I3221" s="224" t="s">
        <v>2</v>
      </c>
    </row>
    <row r="3222" spans="1:9" x14ac:dyDescent="0.25">
      <c r="A3222" s="515">
        <v>20165</v>
      </c>
      <c r="B3222" s="515" t="s">
        <v>321</v>
      </c>
      <c r="C3222" s="52">
        <v>644694.83567987196</v>
      </c>
      <c r="D3222" s="56">
        <v>2.255497571526989E-2</v>
      </c>
      <c r="E3222" s="224">
        <v>2134.375</v>
      </c>
      <c r="F3222" s="515" t="s">
        <v>4618</v>
      </c>
      <c r="G3222" s="52">
        <v>312622.96381997399</v>
      </c>
      <c r="H3222" s="56">
        <v>0.10523977494349214</v>
      </c>
      <c r="I3222" s="224" t="s">
        <v>2</v>
      </c>
    </row>
    <row r="3223" spans="1:9" x14ac:dyDescent="0.25">
      <c r="A3223" s="515">
        <v>24540</v>
      </c>
      <c r="B3223" s="515" t="s">
        <v>901</v>
      </c>
      <c r="C3223" s="52">
        <v>120278.769790979</v>
      </c>
      <c r="D3223" s="56">
        <v>0.14711503626712305</v>
      </c>
      <c r="E3223" s="224" t="s">
        <v>2</v>
      </c>
      <c r="F3223" s="515" t="s">
        <v>4619</v>
      </c>
      <c r="G3223" s="52">
        <v>239908.70106580699</v>
      </c>
      <c r="H3223" s="56">
        <v>9.3103470797468946E-2</v>
      </c>
      <c r="I3223" s="224">
        <v>1365</v>
      </c>
    </row>
    <row r="3224" spans="1:9" x14ac:dyDescent="0.25">
      <c r="A3224" s="515">
        <v>42071</v>
      </c>
      <c r="B3224" s="515" t="s">
        <v>1034</v>
      </c>
      <c r="C3224" s="52">
        <v>164773.23175254301</v>
      </c>
      <c r="D3224" s="56">
        <v>0.22697946404048863</v>
      </c>
      <c r="E3224" s="224">
        <v>983.888888888888</v>
      </c>
      <c r="F3224" s="515" t="s">
        <v>4620</v>
      </c>
      <c r="G3224" s="52">
        <v>242678.36998037601</v>
      </c>
      <c r="H3224" s="56">
        <v>6.0005024200428789E-2</v>
      </c>
      <c r="I3224" s="224">
        <v>1339.1666666666599</v>
      </c>
    </row>
    <row r="3225" spans="1:9" x14ac:dyDescent="0.25">
      <c r="A3225" s="515">
        <v>48209</v>
      </c>
      <c r="B3225" s="515" t="s">
        <v>685</v>
      </c>
      <c r="C3225" s="52">
        <v>68680.554185526693</v>
      </c>
      <c r="D3225" s="56">
        <v>1.8593215767767398E-2</v>
      </c>
      <c r="E3225" s="224">
        <v>890</v>
      </c>
      <c r="F3225" s="515" t="s">
        <v>4621</v>
      </c>
      <c r="G3225" s="52">
        <v>462586.79144403699</v>
      </c>
      <c r="H3225" s="56">
        <v>0.16605981578108497</v>
      </c>
      <c r="I3225" s="224" t="s">
        <v>2</v>
      </c>
    </row>
    <row r="3226" spans="1:9" x14ac:dyDescent="0.25">
      <c r="A3226" s="515">
        <v>1876</v>
      </c>
      <c r="B3226" s="515" t="s">
        <v>534</v>
      </c>
      <c r="C3226" s="52">
        <v>560957.05739514704</v>
      </c>
      <c r="D3226" s="56">
        <v>8.3080464680177879E-2</v>
      </c>
      <c r="E3226" s="224">
        <v>2563.5595238095202</v>
      </c>
      <c r="F3226" s="515" t="s">
        <v>4622</v>
      </c>
      <c r="G3226" s="52">
        <v>214206.851700475</v>
      </c>
      <c r="H3226" s="56">
        <v>7.9623845776911228E-2</v>
      </c>
      <c r="I3226" s="224" t="s">
        <v>2</v>
      </c>
    </row>
    <row r="3227" spans="1:9" x14ac:dyDescent="0.25">
      <c r="A3227" s="515">
        <v>18018</v>
      </c>
      <c r="B3227" s="515" t="s">
        <v>327</v>
      </c>
      <c r="C3227" s="52">
        <v>242983.77819505901</v>
      </c>
      <c r="D3227" s="56">
        <v>8.0392558255921634E-2</v>
      </c>
      <c r="E3227" s="224">
        <v>1588.6507936507901</v>
      </c>
      <c r="F3227" s="515" t="s">
        <v>890</v>
      </c>
      <c r="G3227" s="52">
        <v>210248.09540270601</v>
      </c>
      <c r="H3227" s="56">
        <v>8.062458338812821E-2</v>
      </c>
      <c r="I3227" s="224" t="s">
        <v>2</v>
      </c>
    </row>
    <row r="3228" spans="1:9" x14ac:dyDescent="0.25">
      <c r="A3228" s="515">
        <v>50701</v>
      </c>
      <c r="B3228" s="515" t="s">
        <v>315</v>
      </c>
      <c r="C3228" s="52">
        <v>159667.592043827</v>
      </c>
      <c r="D3228" s="56">
        <v>8.5115039602828457E-2</v>
      </c>
      <c r="E3228" s="224">
        <v>800</v>
      </c>
      <c r="F3228" s="515" t="s">
        <v>4623</v>
      </c>
      <c r="G3228" s="52">
        <v>404955.579830667</v>
      </c>
      <c r="H3228" s="56">
        <v>9.3952958032118991E-2</v>
      </c>
      <c r="I3228" s="224" t="s">
        <v>2</v>
      </c>
    </row>
    <row r="3229" spans="1:9" x14ac:dyDescent="0.25">
      <c r="A3229" s="515">
        <v>29673</v>
      </c>
      <c r="B3229" s="515" t="s">
        <v>613</v>
      </c>
      <c r="C3229" s="52">
        <v>249238.07297839699</v>
      </c>
      <c r="D3229" s="56">
        <v>0.10848933227781642</v>
      </c>
      <c r="E3229" s="224">
        <v>1186.3333333333301</v>
      </c>
      <c r="F3229" s="515" t="s">
        <v>4624</v>
      </c>
      <c r="G3229" s="52">
        <v>308610.17233754997</v>
      </c>
      <c r="H3229" s="56">
        <v>3.6155009993230278E-2</v>
      </c>
      <c r="I3229" s="224">
        <v>1226.25</v>
      </c>
    </row>
    <row r="3230" spans="1:9" x14ac:dyDescent="0.25">
      <c r="A3230" s="515">
        <v>55443</v>
      </c>
      <c r="B3230" s="515" t="s">
        <v>532</v>
      </c>
      <c r="C3230" s="52">
        <v>351044.67238476302</v>
      </c>
      <c r="D3230" s="56">
        <v>3.1216060083073534E-2</v>
      </c>
      <c r="E3230" s="224">
        <v>1457.6666666666599</v>
      </c>
      <c r="F3230" s="515" t="s">
        <v>4625</v>
      </c>
      <c r="G3230" s="52">
        <v>663462.18563674996</v>
      </c>
      <c r="H3230" s="56">
        <v>2.0275461728782158E-2</v>
      </c>
      <c r="I3230" s="224">
        <v>2499.1666666666601</v>
      </c>
    </row>
    <row r="3231" spans="1:9" x14ac:dyDescent="0.25">
      <c r="A3231" s="515">
        <v>27539</v>
      </c>
      <c r="B3231" s="515" t="s">
        <v>484</v>
      </c>
      <c r="C3231" s="52">
        <v>551359.68955536501</v>
      </c>
      <c r="D3231" s="56">
        <v>7.2590765540451199E-2</v>
      </c>
      <c r="E3231" s="224">
        <v>1732.3444444444399</v>
      </c>
      <c r="F3231" s="515" t="s">
        <v>822</v>
      </c>
      <c r="G3231" s="52">
        <v>57096.736635414803</v>
      </c>
      <c r="H3231" s="56">
        <v>-0.16658484818597205</v>
      </c>
      <c r="I3231" s="224" t="s">
        <v>2</v>
      </c>
    </row>
    <row r="3232" spans="1:9" x14ac:dyDescent="0.25">
      <c r="A3232" s="515">
        <v>48152</v>
      </c>
      <c r="B3232" s="515" t="s">
        <v>685</v>
      </c>
      <c r="C3232" s="52">
        <v>274925.64648932399</v>
      </c>
      <c r="D3232" s="56">
        <v>3.4851608640105641E-2</v>
      </c>
      <c r="E3232" s="224" t="s">
        <v>2</v>
      </c>
      <c r="F3232" s="515" t="s">
        <v>4626</v>
      </c>
      <c r="G3232" s="52">
        <v>454002.03057869698</v>
      </c>
      <c r="H3232" s="56">
        <v>0.1401966566275214</v>
      </c>
      <c r="I3232" s="224">
        <v>2015.8076923076901</v>
      </c>
    </row>
    <row r="3233" spans="1:9" x14ac:dyDescent="0.25">
      <c r="A3233" s="515">
        <v>98375</v>
      </c>
      <c r="B3233" s="515" t="s">
        <v>384</v>
      </c>
      <c r="C3233" s="52">
        <v>494709.35522201099</v>
      </c>
      <c r="D3233" s="56">
        <v>7.9911708667543199E-3</v>
      </c>
      <c r="E3233" s="224">
        <v>2569.9047619047601</v>
      </c>
      <c r="F3233" s="515" t="s">
        <v>4627</v>
      </c>
      <c r="G3233" s="52">
        <v>860164.44490889402</v>
      </c>
      <c r="H3233" s="56">
        <v>4.5870175160361445E-2</v>
      </c>
      <c r="I3233" s="224">
        <v>2100.5</v>
      </c>
    </row>
    <row r="3234" spans="1:9" x14ac:dyDescent="0.25">
      <c r="A3234" s="515">
        <v>46235</v>
      </c>
      <c r="B3234" s="515" t="s">
        <v>403</v>
      </c>
      <c r="C3234" s="52">
        <v>197909.75432518701</v>
      </c>
      <c r="D3234" s="56">
        <v>7.8637313729521471E-2</v>
      </c>
      <c r="E3234" s="224">
        <v>1476.5990740740699</v>
      </c>
      <c r="F3234" s="515" t="s">
        <v>4628</v>
      </c>
      <c r="G3234" s="52">
        <v>230897.04250392399</v>
      </c>
      <c r="H3234" s="56">
        <v>6.2892887200758529E-2</v>
      </c>
      <c r="I3234" s="224" t="s">
        <v>2</v>
      </c>
    </row>
    <row r="3235" spans="1:9" x14ac:dyDescent="0.25">
      <c r="A3235" s="515">
        <v>94608</v>
      </c>
      <c r="B3235" s="515" t="s">
        <v>593</v>
      </c>
      <c r="C3235" s="52">
        <v>710066.678765586</v>
      </c>
      <c r="D3235" s="56">
        <v>-4.9555267292225993E-2</v>
      </c>
      <c r="E3235" s="224">
        <v>2617.6763636363598</v>
      </c>
      <c r="F3235" s="515" t="s">
        <v>4629</v>
      </c>
      <c r="G3235" s="52">
        <v>371134.02772412199</v>
      </c>
      <c r="H3235" s="56">
        <v>8.2039115891329673E-2</v>
      </c>
      <c r="I3235" s="224" t="s">
        <v>2</v>
      </c>
    </row>
    <row r="3236" spans="1:9" x14ac:dyDescent="0.25">
      <c r="A3236" s="515">
        <v>60510</v>
      </c>
      <c r="B3236" s="515" t="s">
        <v>394</v>
      </c>
      <c r="C3236" s="52">
        <v>372801.62389330799</v>
      </c>
      <c r="D3236" s="56">
        <v>6.3070020716904471E-2</v>
      </c>
      <c r="E3236" s="224" t="s">
        <v>2</v>
      </c>
      <c r="F3236" s="515" t="s">
        <v>4630</v>
      </c>
      <c r="G3236" s="52">
        <v>547292.61605079402</v>
      </c>
      <c r="H3236" s="56">
        <v>5.8014492956676711E-2</v>
      </c>
      <c r="I3236" s="224" t="s">
        <v>2</v>
      </c>
    </row>
    <row r="3237" spans="1:9" x14ac:dyDescent="0.25">
      <c r="A3237" s="515">
        <v>55033</v>
      </c>
      <c r="B3237" s="515" t="s">
        <v>532</v>
      </c>
      <c r="C3237" s="52">
        <v>338670.30953663698</v>
      </c>
      <c r="D3237" s="56">
        <v>2.8712023651633393E-2</v>
      </c>
      <c r="E3237" s="224" t="s">
        <v>2</v>
      </c>
      <c r="F3237" s="515" t="s">
        <v>837</v>
      </c>
      <c r="G3237" s="52">
        <v>104486.891321096</v>
      </c>
      <c r="H3237" s="56">
        <v>5.5136859242942331E-3</v>
      </c>
      <c r="I3237" s="224" t="s">
        <v>2</v>
      </c>
    </row>
    <row r="3238" spans="1:9" x14ac:dyDescent="0.25">
      <c r="A3238" s="515">
        <v>54729</v>
      </c>
      <c r="B3238" s="515" t="s">
        <v>1028</v>
      </c>
      <c r="C3238" s="52">
        <v>273178.51651117101</v>
      </c>
      <c r="D3238" s="56">
        <v>5.378790449766168E-2</v>
      </c>
      <c r="E3238" s="224" t="s">
        <v>2</v>
      </c>
      <c r="F3238" s="515" t="s">
        <v>4631</v>
      </c>
      <c r="G3238" s="52">
        <v>136892.43097819999</v>
      </c>
      <c r="H3238" s="56">
        <v>1.9534533137249826E-2</v>
      </c>
      <c r="I3238" s="224" t="s">
        <v>2</v>
      </c>
    </row>
    <row r="3239" spans="1:9" x14ac:dyDescent="0.25">
      <c r="A3239" s="515">
        <v>72704</v>
      </c>
      <c r="B3239" s="515" t="s">
        <v>675</v>
      </c>
      <c r="C3239" s="52">
        <v>310068.91570070398</v>
      </c>
      <c r="D3239" s="56">
        <v>0.10792264329525617</v>
      </c>
      <c r="E3239" s="224">
        <v>1676.4642857142801</v>
      </c>
      <c r="F3239" s="515" t="s">
        <v>1126</v>
      </c>
      <c r="G3239" s="52">
        <v>138038.75064637899</v>
      </c>
      <c r="H3239" s="56">
        <v>2.0163066072258675E-2</v>
      </c>
      <c r="I3239" s="224" t="s">
        <v>2</v>
      </c>
    </row>
    <row r="3240" spans="1:9" x14ac:dyDescent="0.25">
      <c r="A3240" s="515">
        <v>75189</v>
      </c>
      <c r="B3240" s="515" t="s">
        <v>458</v>
      </c>
      <c r="C3240" s="52">
        <v>354994.93465621403</v>
      </c>
      <c r="D3240" s="56">
        <v>9.0234416994626851E-2</v>
      </c>
      <c r="E3240" s="224">
        <v>2234.4166666666601</v>
      </c>
      <c r="F3240" s="515" t="s">
        <v>4632</v>
      </c>
      <c r="G3240" s="52">
        <v>476515.67703068699</v>
      </c>
      <c r="H3240" s="56">
        <v>1.8516402894171762E-2</v>
      </c>
      <c r="I3240" s="224" t="s">
        <v>2</v>
      </c>
    </row>
    <row r="3241" spans="1:9" x14ac:dyDescent="0.25">
      <c r="A3241" s="515">
        <v>55418</v>
      </c>
      <c r="B3241" s="515" t="s">
        <v>532</v>
      </c>
      <c r="C3241" s="52">
        <v>312029.41714071698</v>
      </c>
      <c r="D3241" s="56">
        <v>2.1912945188411203E-2</v>
      </c>
      <c r="E3241" s="224">
        <v>1505.1555555555501</v>
      </c>
      <c r="F3241" s="515" t="s">
        <v>4633</v>
      </c>
      <c r="G3241" s="52">
        <v>390308.561266315</v>
      </c>
      <c r="H3241" s="56">
        <v>2.9694598875223566E-2</v>
      </c>
      <c r="I3241" s="224">
        <v>2300</v>
      </c>
    </row>
    <row r="3242" spans="1:9" x14ac:dyDescent="0.25">
      <c r="A3242" s="515">
        <v>32958</v>
      </c>
      <c r="B3242" s="515" t="s">
        <v>1176</v>
      </c>
      <c r="C3242" s="52">
        <v>348888.32356056297</v>
      </c>
      <c r="D3242" s="56">
        <v>0.12638869522596055</v>
      </c>
      <c r="E3242" s="224">
        <v>2375</v>
      </c>
      <c r="F3242" s="515" t="s">
        <v>4634</v>
      </c>
      <c r="G3242" s="52">
        <v>403542.81437838799</v>
      </c>
      <c r="H3242" s="56">
        <v>5.5912942798095812E-2</v>
      </c>
      <c r="I3242" s="224" t="s">
        <v>2</v>
      </c>
    </row>
    <row r="3243" spans="1:9" x14ac:dyDescent="0.25">
      <c r="A3243" s="515">
        <v>76107</v>
      </c>
      <c r="B3243" s="515" t="s">
        <v>458</v>
      </c>
      <c r="C3243" s="52">
        <v>366802.75653126702</v>
      </c>
      <c r="D3243" s="56">
        <v>8.4223098098076529E-2</v>
      </c>
      <c r="E3243" s="224">
        <v>1759.56927536231</v>
      </c>
      <c r="F3243" s="515" t="s">
        <v>4635</v>
      </c>
      <c r="G3243" s="52">
        <v>314669.33309333998</v>
      </c>
      <c r="H3243" s="56">
        <v>8.0002596698982173E-2</v>
      </c>
      <c r="I3243" s="224">
        <v>1659.44444444444</v>
      </c>
    </row>
    <row r="3244" spans="1:9" x14ac:dyDescent="0.25">
      <c r="A3244" s="515">
        <v>84405</v>
      </c>
      <c r="B3244" s="515" t="s">
        <v>628</v>
      </c>
      <c r="C3244" s="52">
        <v>419803.42748733802</v>
      </c>
      <c r="D3244" s="56">
        <v>3.1288542166832571E-2</v>
      </c>
      <c r="E3244" s="224">
        <v>1662.5</v>
      </c>
      <c r="F3244" s="515" t="s">
        <v>721</v>
      </c>
      <c r="G3244" s="52">
        <v>234173.10574621201</v>
      </c>
      <c r="H3244" s="56">
        <v>7.3562235391709405E-2</v>
      </c>
      <c r="I3244" s="224" t="s">
        <v>2</v>
      </c>
    </row>
    <row r="3245" spans="1:9" x14ac:dyDescent="0.25">
      <c r="A3245" s="515">
        <v>97220</v>
      </c>
      <c r="B3245" s="515" t="s">
        <v>659</v>
      </c>
      <c r="C3245" s="52">
        <v>414425.60103802598</v>
      </c>
      <c r="D3245" s="56">
        <v>3.049587540515538E-3</v>
      </c>
      <c r="E3245" s="224">
        <v>1786.9166666666599</v>
      </c>
      <c r="F3245" s="515" t="s">
        <v>4636</v>
      </c>
      <c r="G3245" s="52">
        <v>458597.10404337099</v>
      </c>
      <c r="H3245" s="56">
        <v>0.10136386231088175</v>
      </c>
      <c r="I3245" s="224" t="s">
        <v>2</v>
      </c>
    </row>
    <row r="3246" spans="1:9" x14ac:dyDescent="0.25">
      <c r="A3246" s="515">
        <v>37923</v>
      </c>
      <c r="B3246" s="515" t="s">
        <v>907</v>
      </c>
      <c r="C3246" s="52">
        <v>338995.46128637699</v>
      </c>
      <c r="D3246" s="56">
        <v>0.10382219570088043</v>
      </c>
      <c r="E3246" s="224">
        <v>1780.44444444444</v>
      </c>
      <c r="F3246" s="515" t="s">
        <v>590</v>
      </c>
      <c r="G3246" s="52">
        <v>215228.77128726101</v>
      </c>
      <c r="H3246" s="56">
        <v>6.0693975121598916E-2</v>
      </c>
      <c r="I3246" s="224" t="s">
        <v>2</v>
      </c>
    </row>
    <row r="3247" spans="1:9" x14ac:dyDescent="0.25">
      <c r="A3247" s="515">
        <v>98684</v>
      </c>
      <c r="B3247" s="515" t="s">
        <v>659</v>
      </c>
      <c r="C3247" s="52">
        <v>454735.32227111602</v>
      </c>
      <c r="D3247" s="56">
        <v>4.7996940387664028E-2</v>
      </c>
      <c r="E3247" s="224">
        <v>1944.68888888888</v>
      </c>
      <c r="F3247" s="515" t="s">
        <v>4637</v>
      </c>
      <c r="G3247" s="52">
        <v>212751.965947758</v>
      </c>
      <c r="H3247" s="56">
        <v>5.2330736170994353E-2</v>
      </c>
      <c r="I3247" s="224" t="s">
        <v>2</v>
      </c>
    </row>
    <row r="3248" spans="1:9" x14ac:dyDescent="0.25">
      <c r="A3248" s="515">
        <v>7208</v>
      </c>
      <c r="B3248" s="515" t="s">
        <v>324</v>
      </c>
      <c r="C3248" s="52">
        <v>469089.19638446398</v>
      </c>
      <c r="D3248" s="56">
        <v>5.4710199526850516E-2</v>
      </c>
      <c r="E3248" s="224">
        <v>1495</v>
      </c>
      <c r="F3248" s="515" t="s">
        <v>452</v>
      </c>
      <c r="G3248" s="52">
        <v>855402.38939957297</v>
      </c>
      <c r="H3248" s="56">
        <v>0.12382019543163417</v>
      </c>
      <c r="I3248" s="224" t="s">
        <v>2</v>
      </c>
    </row>
    <row r="3249" spans="1:9" x14ac:dyDescent="0.25">
      <c r="A3249" s="515">
        <v>29550</v>
      </c>
      <c r="B3249" s="515" t="s">
        <v>1039</v>
      </c>
      <c r="C3249" s="52">
        <v>140739.684851864</v>
      </c>
      <c r="D3249" s="56">
        <v>6.5583113582010688E-2</v>
      </c>
      <c r="E3249" s="224" t="s">
        <v>2</v>
      </c>
      <c r="F3249" s="515" t="s">
        <v>564</v>
      </c>
      <c r="G3249" s="52">
        <v>361252.26706478599</v>
      </c>
      <c r="H3249" s="56">
        <v>0.12216480546046063</v>
      </c>
      <c r="I3249" s="224">
        <v>2293.75</v>
      </c>
    </row>
    <row r="3250" spans="1:9" x14ac:dyDescent="0.25">
      <c r="A3250" s="515">
        <v>32570</v>
      </c>
      <c r="B3250" s="515" t="s">
        <v>1131</v>
      </c>
      <c r="C3250" s="52">
        <v>256268.62073662001</v>
      </c>
      <c r="D3250" s="56">
        <v>0.15084682477599326</v>
      </c>
      <c r="E3250" s="224">
        <v>1643.3333333333301</v>
      </c>
      <c r="F3250" s="515" t="s">
        <v>4638</v>
      </c>
      <c r="G3250" s="52">
        <v>465178.70688582503</v>
      </c>
      <c r="H3250" s="56">
        <v>4.5535913513032086E-2</v>
      </c>
      <c r="I3250" s="224">
        <v>2600</v>
      </c>
    </row>
    <row r="3251" spans="1:9" x14ac:dyDescent="0.25">
      <c r="A3251" s="515">
        <v>23435</v>
      </c>
      <c r="B3251" s="515" t="s">
        <v>301</v>
      </c>
      <c r="C3251" s="52">
        <v>387818.48593130102</v>
      </c>
      <c r="D3251" s="56">
        <v>6.6148426747114727E-2</v>
      </c>
      <c r="E3251" s="224">
        <v>1981.8333333333301</v>
      </c>
      <c r="F3251" s="515" t="s">
        <v>4639</v>
      </c>
      <c r="G3251" s="52">
        <v>309111.40641181503</v>
      </c>
      <c r="H3251" s="56">
        <v>6.3416798854547207E-2</v>
      </c>
      <c r="I3251" s="224" t="s">
        <v>2</v>
      </c>
    </row>
    <row r="3252" spans="1:9" x14ac:dyDescent="0.25">
      <c r="A3252" s="515">
        <v>50322</v>
      </c>
      <c r="B3252" s="515" t="s">
        <v>295</v>
      </c>
      <c r="C3252" s="52">
        <v>257693.53320182799</v>
      </c>
      <c r="D3252" s="56">
        <v>6.2241785296991217E-2</v>
      </c>
      <c r="E3252" s="224">
        <v>1036.5</v>
      </c>
      <c r="F3252" s="515" t="s">
        <v>4640</v>
      </c>
      <c r="G3252" s="52">
        <v>317786.60057575803</v>
      </c>
      <c r="H3252" s="56">
        <v>2.9568238370024882E-2</v>
      </c>
      <c r="I3252" s="224" t="s">
        <v>2</v>
      </c>
    </row>
    <row r="3253" spans="1:9" x14ac:dyDescent="0.25">
      <c r="A3253" s="515">
        <v>98445</v>
      </c>
      <c r="B3253" s="515" t="s">
        <v>384</v>
      </c>
      <c r="C3253" s="52">
        <v>444804.04885753302</v>
      </c>
      <c r="D3253" s="56">
        <v>7.5194128698169525E-3</v>
      </c>
      <c r="E3253" s="224">
        <v>1830.7142857142801</v>
      </c>
      <c r="F3253" s="515" t="s">
        <v>4641</v>
      </c>
      <c r="G3253" s="52">
        <v>502335.07560642401</v>
      </c>
      <c r="H3253" s="56">
        <v>6.5279672595182095E-2</v>
      </c>
      <c r="I3253" s="224">
        <v>1325.7169312169301</v>
      </c>
    </row>
    <row r="3254" spans="1:9" x14ac:dyDescent="0.25">
      <c r="A3254" s="515">
        <v>2904</v>
      </c>
      <c r="B3254" s="515" t="s">
        <v>513</v>
      </c>
      <c r="C3254" s="52">
        <v>324915.042510417</v>
      </c>
      <c r="D3254" s="56">
        <v>6.9827740247423331E-2</v>
      </c>
      <c r="E3254" s="224">
        <v>1630.6481481481401</v>
      </c>
      <c r="F3254" s="515" t="s">
        <v>4642</v>
      </c>
      <c r="G3254" s="52">
        <v>265249.41816137201</v>
      </c>
      <c r="H3254" s="56">
        <v>5.9073129935031568E-2</v>
      </c>
      <c r="I3254" s="224">
        <v>1225</v>
      </c>
    </row>
    <row r="3255" spans="1:9" x14ac:dyDescent="0.25">
      <c r="A3255" s="515">
        <v>60102</v>
      </c>
      <c r="B3255" s="515" t="s">
        <v>394</v>
      </c>
      <c r="C3255" s="52">
        <v>331954.79254263698</v>
      </c>
      <c r="D3255" s="56">
        <v>7.7940339103175507E-2</v>
      </c>
      <c r="E3255" s="224" t="s">
        <v>2</v>
      </c>
      <c r="F3255" s="515" t="s">
        <v>4643</v>
      </c>
      <c r="G3255" s="52">
        <v>974694.27428295801</v>
      </c>
      <c r="H3255" s="56">
        <v>4.535278234044874E-2</v>
      </c>
      <c r="I3255" s="224">
        <v>2801.4444444444398</v>
      </c>
    </row>
    <row r="3256" spans="1:9" x14ac:dyDescent="0.25">
      <c r="A3256" s="515">
        <v>76110</v>
      </c>
      <c r="B3256" s="515" t="s">
        <v>458</v>
      </c>
      <c r="C3256" s="52">
        <v>224264.356609968</v>
      </c>
      <c r="D3256" s="56">
        <v>0.16319015264430473</v>
      </c>
      <c r="E3256" s="224">
        <v>1771.1111111111099</v>
      </c>
      <c r="F3256" s="515" t="s">
        <v>4644</v>
      </c>
      <c r="G3256" s="52">
        <v>488985.28649095702</v>
      </c>
      <c r="H3256" s="56">
        <v>6.5552542949251058E-2</v>
      </c>
      <c r="I3256" s="224">
        <v>1875</v>
      </c>
    </row>
    <row r="3257" spans="1:9" x14ac:dyDescent="0.25">
      <c r="A3257" s="515">
        <v>20007</v>
      </c>
      <c r="B3257" s="515" t="s">
        <v>321</v>
      </c>
      <c r="C3257" s="52">
        <v>1135972.5339486899</v>
      </c>
      <c r="D3257" s="56">
        <v>-1.3286484257159885E-3</v>
      </c>
      <c r="E3257" s="224">
        <v>2492.9761904761899</v>
      </c>
      <c r="F3257" s="515" t="s">
        <v>4645</v>
      </c>
      <c r="G3257" s="52">
        <v>1016855.32697217</v>
      </c>
      <c r="H3257" s="56">
        <v>0.12714622029562159</v>
      </c>
      <c r="I3257" s="224" t="s">
        <v>2</v>
      </c>
    </row>
    <row r="3258" spans="1:9" x14ac:dyDescent="0.25">
      <c r="A3258" s="515">
        <v>75241</v>
      </c>
      <c r="B3258" s="515" t="s">
        <v>458</v>
      </c>
      <c r="C3258" s="52">
        <v>209865.32713435599</v>
      </c>
      <c r="D3258" s="56">
        <v>0.16941157483663938</v>
      </c>
      <c r="E3258" s="224">
        <v>1771.5277777777701</v>
      </c>
      <c r="F3258" s="515" t="s">
        <v>4646</v>
      </c>
      <c r="G3258" s="52">
        <v>194387.63735645299</v>
      </c>
      <c r="H3258" s="56">
        <v>5.2547781577251616E-2</v>
      </c>
      <c r="I3258" s="224" t="s">
        <v>2</v>
      </c>
    </row>
    <row r="3259" spans="1:9" x14ac:dyDescent="0.25">
      <c r="A3259" s="515">
        <v>90712</v>
      </c>
      <c r="B3259" s="515" t="s">
        <v>375</v>
      </c>
      <c r="C3259" s="52">
        <v>772656.80633626797</v>
      </c>
      <c r="D3259" s="56">
        <v>3.9576267017052046E-2</v>
      </c>
      <c r="E3259" s="224" t="s">
        <v>2</v>
      </c>
      <c r="F3259" s="515" t="s">
        <v>4647</v>
      </c>
      <c r="G3259" s="52">
        <v>236411.656183321</v>
      </c>
      <c r="H3259" s="56">
        <v>0.18180165894079714</v>
      </c>
      <c r="I3259" s="224" t="s">
        <v>2</v>
      </c>
    </row>
    <row r="3260" spans="1:9" x14ac:dyDescent="0.25">
      <c r="A3260" s="515">
        <v>34243</v>
      </c>
      <c r="B3260" s="515" t="s">
        <v>466</v>
      </c>
      <c r="C3260" s="52">
        <v>440961.74163574399</v>
      </c>
      <c r="D3260" s="56">
        <v>0.14509980433795766</v>
      </c>
      <c r="E3260" s="224">
        <v>2838.12169312169</v>
      </c>
      <c r="F3260" s="515" t="s">
        <v>4648</v>
      </c>
      <c r="G3260" s="52">
        <v>280897.715453171</v>
      </c>
      <c r="H3260" s="56">
        <v>7.414597166368396E-2</v>
      </c>
      <c r="I3260" s="224" t="s">
        <v>2</v>
      </c>
    </row>
    <row r="3261" spans="1:9" x14ac:dyDescent="0.25">
      <c r="A3261" s="515">
        <v>55434</v>
      </c>
      <c r="B3261" s="515" t="s">
        <v>532</v>
      </c>
      <c r="C3261" s="52">
        <v>298295.22512694402</v>
      </c>
      <c r="D3261" s="56">
        <v>2.5631438786490247E-2</v>
      </c>
      <c r="E3261" s="224" t="s">
        <v>2</v>
      </c>
      <c r="F3261" s="515" t="s">
        <v>4649</v>
      </c>
      <c r="G3261" s="52">
        <v>171487.43161381601</v>
      </c>
      <c r="H3261" s="56">
        <v>3.9988109316841769E-2</v>
      </c>
      <c r="I3261" s="224" t="s">
        <v>2</v>
      </c>
    </row>
    <row r="3262" spans="1:9" x14ac:dyDescent="0.25">
      <c r="A3262" s="515">
        <v>33442</v>
      </c>
      <c r="B3262" s="515" t="s">
        <v>831</v>
      </c>
      <c r="C3262" s="52">
        <v>228466.16144182801</v>
      </c>
      <c r="D3262" s="56">
        <v>0.19004154796846648</v>
      </c>
      <c r="E3262" s="224">
        <v>2673.0277777777701</v>
      </c>
      <c r="F3262" s="515" t="s">
        <v>4650</v>
      </c>
      <c r="G3262" s="52">
        <v>164649.92987449301</v>
      </c>
      <c r="H3262" s="56">
        <v>8.0512868681542643E-2</v>
      </c>
      <c r="I3262" s="224" t="s">
        <v>2</v>
      </c>
    </row>
    <row r="3263" spans="1:9" x14ac:dyDescent="0.25">
      <c r="A3263" s="515">
        <v>98296</v>
      </c>
      <c r="B3263" s="515" t="s">
        <v>384</v>
      </c>
      <c r="C3263" s="52">
        <v>942949.74315031595</v>
      </c>
      <c r="D3263" s="56">
        <v>5.5152441236272727E-2</v>
      </c>
      <c r="E3263" s="224">
        <v>3097.5</v>
      </c>
      <c r="F3263" s="515" t="s">
        <v>4651</v>
      </c>
      <c r="G3263" s="52">
        <v>142147.18988914101</v>
      </c>
      <c r="H3263" s="56">
        <v>7.8081135439225652E-2</v>
      </c>
      <c r="I3263" s="224" t="s">
        <v>2</v>
      </c>
    </row>
    <row r="3264" spans="1:9" x14ac:dyDescent="0.25">
      <c r="A3264" s="515">
        <v>53212</v>
      </c>
      <c r="B3264" s="515" t="s">
        <v>950</v>
      </c>
      <c r="C3264" s="52">
        <v>171833.166175299</v>
      </c>
      <c r="D3264" s="56">
        <v>6.9373413629576136E-2</v>
      </c>
      <c r="E3264" s="224">
        <v>918.76262626262599</v>
      </c>
      <c r="F3264" s="515" t="s">
        <v>4652</v>
      </c>
      <c r="G3264" s="52">
        <v>294426.64724240598</v>
      </c>
      <c r="H3264" s="56">
        <v>6.541682672961785E-2</v>
      </c>
      <c r="I3264" s="224" t="s">
        <v>2</v>
      </c>
    </row>
    <row r="3265" spans="1:9" x14ac:dyDescent="0.25">
      <c r="A3265" s="515">
        <v>92604</v>
      </c>
      <c r="B3265" s="515" t="s">
        <v>375</v>
      </c>
      <c r="C3265" s="52">
        <v>1037095.61296839</v>
      </c>
      <c r="D3265" s="56">
        <v>8.103689472017199E-2</v>
      </c>
      <c r="E3265" s="224">
        <v>3012.8095238095202</v>
      </c>
      <c r="F3265" s="515" t="s">
        <v>4653</v>
      </c>
      <c r="G3265" s="52">
        <v>197301.89448319501</v>
      </c>
      <c r="H3265" s="56">
        <v>5.9863006100797804E-2</v>
      </c>
      <c r="I3265" s="224" t="s">
        <v>2</v>
      </c>
    </row>
    <row r="3266" spans="1:9" x14ac:dyDescent="0.25">
      <c r="A3266" s="515">
        <v>91505</v>
      </c>
      <c r="B3266" s="515" t="s">
        <v>375</v>
      </c>
      <c r="C3266" s="52">
        <v>1027990.46076877</v>
      </c>
      <c r="D3266" s="56">
        <v>4.9842359958297118E-2</v>
      </c>
      <c r="E3266" s="224">
        <v>3029.17604617604</v>
      </c>
      <c r="F3266" s="515" t="s">
        <v>4654</v>
      </c>
      <c r="G3266" s="52">
        <v>467031.12033784698</v>
      </c>
      <c r="H3266" s="56">
        <v>0.10136094096055462</v>
      </c>
      <c r="I3266" s="224">
        <v>2220</v>
      </c>
    </row>
    <row r="3267" spans="1:9" x14ac:dyDescent="0.25">
      <c r="A3267" s="515">
        <v>93940</v>
      </c>
      <c r="B3267" s="515" t="s">
        <v>443</v>
      </c>
      <c r="C3267" s="52">
        <v>1018378.51085986</v>
      </c>
      <c r="D3267" s="56">
        <v>2.9911915517300276E-2</v>
      </c>
      <c r="E3267" s="224">
        <v>2521.4034299034302</v>
      </c>
      <c r="F3267" s="515" t="s">
        <v>4655</v>
      </c>
      <c r="G3267" s="52">
        <v>749594.46529894695</v>
      </c>
      <c r="H3267" s="56">
        <v>4.2477111815067664E-2</v>
      </c>
      <c r="I3267" s="224">
        <v>1798.5</v>
      </c>
    </row>
    <row r="3268" spans="1:9" x14ac:dyDescent="0.25">
      <c r="A3268" s="515">
        <v>92123</v>
      </c>
      <c r="B3268" s="515" t="s">
        <v>396</v>
      </c>
      <c r="C3268" s="52">
        <v>833586.543955</v>
      </c>
      <c r="D3268" s="56">
        <v>9.390682544796769E-2</v>
      </c>
      <c r="E3268" s="224">
        <v>3232.1121457489799</v>
      </c>
      <c r="F3268" s="515" t="s">
        <v>4656</v>
      </c>
      <c r="G3268" s="52">
        <v>310435.34494106303</v>
      </c>
      <c r="H3268" s="56">
        <v>7.3568998507961461E-2</v>
      </c>
      <c r="I3268" s="224">
        <v>1503.94444444444</v>
      </c>
    </row>
    <row r="3269" spans="1:9" x14ac:dyDescent="0.25">
      <c r="A3269" s="515">
        <v>81001</v>
      </c>
      <c r="B3269" s="515" t="s">
        <v>1003</v>
      </c>
      <c r="C3269" s="52">
        <v>221772.79706052199</v>
      </c>
      <c r="D3269" s="56">
        <v>9.5026793180333996E-2</v>
      </c>
      <c r="E3269" s="224">
        <v>1217.5</v>
      </c>
      <c r="F3269" s="515" t="s">
        <v>716</v>
      </c>
      <c r="G3269" s="52">
        <v>295501.44776066003</v>
      </c>
      <c r="H3269" s="56">
        <v>8.1639391561697458E-2</v>
      </c>
      <c r="I3269" s="224" t="s">
        <v>2</v>
      </c>
    </row>
    <row r="3270" spans="1:9" x14ac:dyDescent="0.25">
      <c r="A3270" s="515">
        <v>60048</v>
      </c>
      <c r="B3270" s="515" t="s">
        <v>394</v>
      </c>
      <c r="C3270" s="52">
        <v>480715.92868831998</v>
      </c>
      <c r="D3270" s="56">
        <v>5.9049223834321811E-2</v>
      </c>
      <c r="E3270" s="224" t="s">
        <v>2</v>
      </c>
      <c r="F3270" s="515" t="s">
        <v>983</v>
      </c>
      <c r="G3270" s="52">
        <v>120519.010001709</v>
      </c>
      <c r="H3270" s="56">
        <v>-4.9045997609047293E-2</v>
      </c>
      <c r="I3270" s="224" t="s">
        <v>2</v>
      </c>
    </row>
    <row r="3271" spans="1:9" x14ac:dyDescent="0.25">
      <c r="A3271" s="515">
        <v>20815</v>
      </c>
      <c r="B3271" s="515" t="s">
        <v>321</v>
      </c>
      <c r="C3271" s="52">
        <v>1216942.72040382</v>
      </c>
      <c r="D3271" s="56">
        <v>4.416750458483399E-2</v>
      </c>
      <c r="E3271" s="224">
        <v>2417.95947712418</v>
      </c>
      <c r="F3271" s="515" t="s">
        <v>4657</v>
      </c>
      <c r="G3271" s="52">
        <v>211660.27082740699</v>
      </c>
      <c r="H3271" s="56">
        <v>8.8180667220842709E-2</v>
      </c>
      <c r="I3271" s="224" t="s">
        <v>2</v>
      </c>
    </row>
    <row r="3272" spans="1:9" x14ac:dyDescent="0.25">
      <c r="A3272" s="515">
        <v>40241</v>
      </c>
      <c r="B3272" s="515" t="s">
        <v>479</v>
      </c>
      <c r="C3272" s="52">
        <v>365423.40913516597</v>
      </c>
      <c r="D3272" s="56">
        <v>6.9205011711496067E-2</v>
      </c>
      <c r="E3272" s="224">
        <v>1436.1380341880299</v>
      </c>
      <c r="F3272" s="515" t="s">
        <v>4658</v>
      </c>
      <c r="G3272" s="52">
        <v>465920.71003408497</v>
      </c>
      <c r="H3272" s="56">
        <v>2.3531936965872111E-2</v>
      </c>
      <c r="I3272" s="224">
        <v>1783.5833333333301</v>
      </c>
    </row>
    <row r="3273" spans="1:9" x14ac:dyDescent="0.25">
      <c r="A3273" s="515">
        <v>42141</v>
      </c>
      <c r="B3273" s="515" t="s">
        <v>829</v>
      </c>
      <c r="C3273" s="52">
        <v>168210.373581138</v>
      </c>
      <c r="D3273" s="56">
        <v>7.6882363370951057E-2</v>
      </c>
      <c r="E3273" s="224" t="s">
        <v>2</v>
      </c>
      <c r="F3273" s="515" t="s">
        <v>4659</v>
      </c>
      <c r="G3273" s="52">
        <v>744781.16481288697</v>
      </c>
      <c r="H3273" s="56">
        <v>5.7460594451556747E-2</v>
      </c>
      <c r="I3273" s="224">
        <v>2370</v>
      </c>
    </row>
    <row r="3274" spans="1:9" x14ac:dyDescent="0.25">
      <c r="A3274" s="515">
        <v>91607</v>
      </c>
      <c r="B3274" s="515" t="s">
        <v>375</v>
      </c>
      <c r="C3274" s="52">
        <v>1115892.76806639</v>
      </c>
      <c r="D3274" s="56">
        <v>1.9609427995988239E-2</v>
      </c>
      <c r="E3274" s="224">
        <v>2738.3148148148098</v>
      </c>
      <c r="F3274" s="515" t="s">
        <v>4660</v>
      </c>
      <c r="G3274" s="52">
        <v>437852.09693568602</v>
      </c>
      <c r="H3274" s="56">
        <v>2.8431691439628461E-2</v>
      </c>
      <c r="I3274" s="224" t="s">
        <v>2</v>
      </c>
    </row>
    <row r="3275" spans="1:9" x14ac:dyDescent="0.25">
      <c r="A3275" s="515">
        <v>46236</v>
      </c>
      <c r="B3275" s="515" t="s">
        <v>403</v>
      </c>
      <c r="C3275" s="52">
        <v>301395.218744952</v>
      </c>
      <c r="D3275" s="56">
        <v>4.6610203183711688E-2</v>
      </c>
      <c r="E3275" s="224">
        <v>1838.5</v>
      </c>
      <c r="F3275" s="515" t="s">
        <v>4661</v>
      </c>
      <c r="G3275" s="52">
        <v>283822.78760754899</v>
      </c>
      <c r="H3275" s="56">
        <v>8.5667783142351003E-2</v>
      </c>
      <c r="I3275" s="224">
        <v>1653.3333333333301</v>
      </c>
    </row>
    <row r="3276" spans="1:9" x14ac:dyDescent="0.25">
      <c r="A3276" s="515">
        <v>64015</v>
      </c>
      <c r="B3276" s="515" t="s">
        <v>455</v>
      </c>
      <c r="C3276" s="52">
        <v>275978.02427613299</v>
      </c>
      <c r="D3276" s="56">
        <v>6.4291015528078088E-2</v>
      </c>
      <c r="E3276" s="224">
        <v>1425.8333333333301</v>
      </c>
      <c r="F3276" s="515" t="s">
        <v>469</v>
      </c>
      <c r="G3276" s="52">
        <v>100445.03516455</v>
      </c>
      <c r="H3276" s="56">
        <v>5.9569285337577195E-2</v>
      </c>
      <c r="I3276" s="224" t="s">
        <v>2</v>
      </c>
    </row>
    <row r="3277" spans="1:9" x14ac:dyDescent="0.25">
      <c r="A3277" s="515">
        <v>19026</v>
      </c>
      <c r="B3277" s="515" t="s">
        <v>294</v>
      </c>
      <c r="C3277" s="52">
        <v>266859.25962270203</v>
      </c>
      <c r="D3277" s="56">
        <v>8.0387586231581501E-2</v>
      </c>
      <c r="E3277" s="224">
        <v>1289.2777777777701</v>
      </c>
      <c r="F3277" s="515" t="s">
        <v>952</v>
      </c>
      <c r="G3277" s="52">
        <v>200168.03894311099</v>
      </c>
      <c r="H3277" s="56">
        <v>7.094837484504149E-2</v>
      </c>
      <c r="I3277" s="224" t="s">
        <v>2</v>
      </c>
    </row>
    <row r="3278" spans="1:9" x14ac:dyDescent="0.25">
      <c r="A3278" s="515">
        <v>74136</v>
      </c>
      <c r="B3278" s="515" t="s">
        <v>348</v>
      </c>
      <c r="C3278" s="52">
        <v>241964.75992457601</v>
      </c>
      <c r="D3278" s="56">
        <v>5.0325439602205285E-2</v>
      </c>
      <c r="E3278" s="224">
        <v>881.21481481481396</v>
      </c>
      <c r="F3278" s="515" t="s">
        <v>623</v>
      </c>
      <c r="G3278" s="52">
        <v>525961.01314018795</v>
      </c>
      <c r="H3278" s="56">
        <v>2.1237231408648777E-2</v>
      </c>
      <c r="I3278" s="224" t="s">
        <v>2</v>
      </c>
    </row>
    <row r="3279" spans="1:9" x14ac:dyDescent="0.25">
      <c r="A3279" s="515">
        <v>32720</v>
      </c>
      <c r="B3279" s="515" t="s">
        <v>974</v>
      </c>
      <c r="C3279" s="52">
        <v>305025.92533120897</v>
      </c>
      <c r="D3279" s="56">
        <v>0.12842271346790954</v>
      </c>
      <c r="E3279" s="224">
        <v>1561.32222222222</v>
      </c>
      <c r="F3279" s="515" t="s">
        <v>4662</v>
      </c>
      <c r="G3279" s="52">
        <v>219803.13546203301</v>
      </c>
      <c r="H3279" s="56">
        <v>6.973796522622705E-2</v>
      </c>
      <c r="I3279" s="224" t="s">
        <v>2</v>
      </c>
    </row>
    <row r="3280" spans="1:9" x14ac:dyDescent="0.25">
      <c r="A3280" s="515">
        <v>92405</v>
      </c>
      <c r="B3280" s="515" t="s">
        <v>599</v>
      </c>
      <c r="C3280" s="52">
        <v>414902.273474688</v>
      </c>
      <c r="D3280" s="56">
        <v>9.7851170888516831E-2</v>
      </c>
      <c r="E3280" s="224">
        <v>1575</v>
      </c>
      <c r="F3280" s="515" t="s">
        <v>4663</v>
      </c>
      <c r="G3280" s="52">
        <v>328020.43682571099</v>
      </c>
      <c r="H3280" s="56">
        <v>3.1006278453220557E-2</v>
      </c>
      <c r="I3280" s="224" t="s">
        <v>2</v>
      </c>
    </row>
    <row r="3281" spans="1:9" x14ac:dyDescent="0.25">
      <c r="A3281" s="515">
        <v>94589</v>
      </c>
      <c r="B3281" s="515" t="s">
        <v>835</v>
      </c>
      <c r="C3281" s="52">
        <v>496869.59071256599</v>
      </c>
      <c r="D3281" s="56">
        <v>1.3376861483316748E-2</v>
      </c>
      <c r="E3281" s="224">
        <v>2238.5833333333298</v>
      </c>
      <c r="F3281" s="515" t="s">
        <v>4664</v>
      </c>
      <c r="G3281" s="52">
        <v>353990.26685683598</v>
      </c>
      <c r="H3281" s="56">
        <v>5.9436527127115141E-2</v>
      </c>
      <c r="I3281" s="224" t="s">
        <v>2</v>
      </c>
    </row>
    <row r="3282" spans="1:9" x14ac:dyDescent="0.25">
      <c r="A3282" s="515">
        <v>54914</v>
      </c>
      <c r="B3282" s="515" t="s">
        <v>821</v>
      </c>
      <c r="C3282" s="52">
        <v>237706.06323488799</v>
      </c>
      <c r="D3282" s="56">
        <v>6.6923686291537679E-2</v>
      </c>
      <c r="E3282" s="224">
        <v>1333</v>
      </c>
      <c r="F3282" s="515" t="s">
        <v>4665</v>
      </c>
      <c r="G3282" s="52">
        <v>412299.24584457697</v>
      </c>
      <c r="H3282" s="56">
        <v>9.1702713558513213E-2</v>
      </c>
      <c r="I3282" s="224" t="s">
        <v>2</v>
      </c>
    </row>
    <row r="3283" spans="1:9" x14ac:dyDescent="0.25">
      <c r="A3283" s="515">
        <v>31705</v>
      </c>
      <c r="B3283" s="515" t="s">
        <v>746</v>
      </c>
      <c r="C3283" s="52">
        <v>78732.783320116607</v>
      </c>
      <c r="D3283" s="56">
        <v>0.16559959256444504</v>
      </c>
      <c r="E3283" s="224" t="s">
        <v>2</v>
      </c>
      <c r="F3283" s="515" t="s">
        <v>4666</v>
      </c>
      <c r="G3283" s="52">
        <v>288138.59818339598</v>
      </c>
      <c r="H3283" s="56">
        <v>5.152970282291576E-2</v>
      </c>
      <c r="I3283" s="224" t="s">
        <v>2</v>
      </c>
    </row>
    <row r="3284" spans="1:9" x14ac:dyDescent="0.25">
      <c r="A3284" s="515">
        <v>14226</v>
      </c>
      <c r="B3284" s="515" t="s">
        <v>336</v>
      </c>
      <c r="C3284" s="52">
        <v>258567.74647242701</v>
      </c>
      <c r="D3284" s="56">
        <v>6.7601487923789186E-2</v>
      </c>
      <c r="E3284" s="224" t="s">
        <v>2</v>
      </c>
      <c r="F3284" s="515" t="s">
        <v>1207</v>
      </c>
      <c r="G3284" s="52">
        <v>103039.02844798</v>
      </c>
      <c r="H3284" s="56">
        <v>0.15711396100601838</v>
      </c>
      <c r="I3284" s="224" t="s">
        <v>2</v>
      </c>
    </row>
    <row r="3285" spans="1:9" x14ac:dyDescent="0.25">
      <c r="A3285" s="515">
        <v>48446</v>
      </c>
      <c r="B3285" s="515" t="s">
        <v>685</v>
      </c>
      <c r="C3285" s="52">
        <v>222858.123442243</v>
      </c>
      <c r="D3285" s="56">
        <v>9.35532081927439E-3</v>
      </c>
      <c r="E3285" s="224" t="s">
        <v>2</v>
      </c>
      <c r="F3285" s="515" t="s">
        <v>4667</v>
      </c>
      <c r="G3285" s="52">
        <v>541148.26256385201</v>
      </c>
      <c r="H3285" s="56">
        <v>7.6337060801290643E-2</v>
      </c>
      <c r="I3285" s="224">
        <v>1746.85</v>
      </c>
    </row>
    <row r="3286" spans="1:9" x14ac:dyDescent="0.25">
      <c r="A3286" s="515">
        <v>58102</v>
      </c>
      <c r="B3286" s="515" t="s">
        <v>928</v>
      </c>
      <c r="C3286" s="52">
        <v>236489.516643212</v>
      </c>
      <c r="D3286" s="56">
        <v>3.7541768114405877E-2</v>
      </c>
      <c r="E3286" s="224">
        <v>1066.5873015873001</v>
      </c>
      <c r="F3286" s="515" t="s">
        <v>4668</v>
      </c>
      <c r="G3286" s="52">
        <v>444492.09095914999</v>
      </c>
      <c r="H3286" s="56">
        <v>4.4542289224505316E-2</v>
      </c>
      <c r="I3286" s="224" t="s">
        <v>2</v>
      </c>
    </row>
    <row r="3287" spans="1:9" x14ac:dyDescent="0.25">
      <c r="A3287" s="515">
        <v>38801</v>
      </c>
      <c r="B3287" s="515" t="s">
        <v>1010</v>
      </c>
      <c r="C3287" s="52">
        <v>170375.190484513</v>
      </c>
      <c r="D3287" s="56">
        <v>3.665727015516753E-2</v>
      </c>
      <c r="E3287" s="224" t="s">
        <v>2</v>
      </c>
      <c r="F3287" s="515" t="s">
        <v>4669</v>
      </c>
      <c r="G3287" s="52">
        <v>128066.51395613801</v>
      </c>
      <c r="H3287" s="56">
        <v>-2.9856816486602353E-2</v>
      </c>
      <c r="I3287" s="224" t="s">
        <v>2</v>
      </c>
    </row>
    <row r="3288" spans="1:9" x14ac:dyDescent="0.25">
      <c r="A3288" s="515">
        <v>58701</v>
      </c>
      <c r="B3288" s="515" t="s">
        <v>849</v>
      </c>
      <c r="C3288" s="52">
        <v>244482.170260243</v>
      </c>
      <c r="D3288" s="56">
        <v>7.4602341819971107E-2</v>
      </c>
      <c r="E3288" s="224">
        <v>900.87301587301499</v>
      </c>
      <c r="F3288" s="515" t="s">
        <v>4670</v>
      </c>
      <c r="G3288" s="52">
        <v>273385.14612942899</v>
      </c>
      <c r="H3288" s="56">
        <v>5.5581138374973853E-2</v>
      </c>
      <c r="I3288" s="224" t="s">
        <v>2</v>
      </c>
    </row>
    <row r="3289" spans="1:9" x14ac:dyDescent="0.25">
      <c r="A3289" s="515">
        <v>46201</v>
      </c>
      <c r="B3289" s="515" t="s">
        <v>403</v>
      </c>
      <c r="C3289" s="52">
        <v>149286.12009844699</v>
      </c>
      <c r="D3289" s="56">
        <v>0.11661685169599222</v>
      </c>
      <c r="E3289" s="224">
        <v>970.32727272727197</v>
      </c>
      <c r="F3289" s="515" t="s">
        <v>4671</v>
      </c>
      <c r="G3289" s="52">
        <v>394453.14186277997</v>
      </c>
      <c r="H3289" s="56">
        <v>3.726419028781993E-2</v>
      </c>
      <c r="I3289" s="224" t="s">
        <v>2</v>
      </c>
    </row>
    <row r="3290" spans="1:9" x14ac:dyDescent="0.25">
      <c r="A3290" s="515">
        <v>11793</v>
      </c>
      <c r="B3290" s="515" t="s">
        <v>324</v>
      </c>
      <c r="C3290" s="52">
        <v>635358.52474851103</v>
      </c>
      <c r="D3290" s="56">
        <v>5.5652210077960201E-2</v>
      </c>
      <c r="E3290" s="224" t="s">
        <v>2</v>
      </c>
      <c r="F3290" s="515" t="s">
        <v>4672</v>
      </c>
      <c r="G3290" s="52">
        <v>398927.38320971502</v>
      </c>
      <c r="H3290" s="56">
        <v>2.4333502856581812E-2</v>
      </c>
      <c r="I3290" s="224" t="s">
        <v>2</v>
      </c>
    </row>
    <row r="3291" spans="1:9" x14ac:dyDescent="0.25">
      <c r="A3291" s="515">
        <v>48210</v>
      </c>
      <c r="B3291" s="515" t="s">
        <v>685</v>
      </c>
      <c r="C3291" s="52">
        <v>56145.521022105502</v>
      </c>
      <c r="D3291" s="56">
        <v>0.11751946782339956</v>
      </c>
      <c r="E3291" s="224" t="s">
        <v>2</v>
      </c>
      <c r="F3291" s="515" t="s">
        <v>4673</v>
      </c>
      <c r="G3291" s="52">
        <v>324214.27605825599</v>
      </c>
      <c r="H3291" s="56">
        <v>8.7300263983771539E-2</v>
      </c>
      <c r="I3291" s="224" t="s">
        <v>2</v>
      </c>
    </row>
    <row r="3292" spans="1:9" x14ac:dyDescent="0.25">
      <c r="A3292" s="515">
        <v>22408</v>
      </c>
      <c r="B3292" s="515" t="s">
        <v>321</v>
      </c>
      <c r="C3292" s="52">
        <v>382832.17318124702</v>
      </c>
      <c r="D3292" s="56">
        <v>5.3429284035869003E-2</v>
      </c>
      <c r="E3292" s="224">
        <v>1830.55555555555</v>
      </c>
      <c r="F3292" s="515" t="s">
        <v>4674</v>
      </c>
      <c r="G3292" s="52">
        <v>590881.84867061896</v>
      </c>
      <c r="H3292" s="56">
        <v>5.9933713633075238E-2</v>
      </c>
      <c r="I3292" s="224" t="s">
        <v>2</v>
      </c>
    </row>
    <row r="3293" spans="1:9" x14ac:dyDescent="0.25">
      <c r="A3293" s="515">
        <v>33145</v>
      </c>
      <c r="B3293" s="515" t="s">
        <v>831</v>
      </c>
      <c r="C3293" s="52">
        <v>606412.86168239999</v>
      </c>
      <c r="D3293" s="56">
        <v>0.1882951217260759</v>
      </c>
      <c r="E3293" s="224">
        <v>2877.0611111111102</v>
      </c>
      <c r="F3293" s="515" t="s">
        <v>4675</v>
      </c>
      <c r="G3293" s="52">
        <v>844381.22212903097</v>
      </c>
      <c r="H3293" s="56">
        <v>0.11566558782793702</v>
      </c>
      <c r="I3293" s="224">
        <v>4043.3333333333298</v>
      </c>
    </row>
    <row r="3294" spans="1:9" x14ac:dyDescent="0.25">
      <c r="A3294" s="515">
        <v>27614</v>
      </c>
      <c r="B3294" s="515" t="s">
        <v>484</v>
      </c>
      <c r="C3294" s="52">
        <v>583438.32972161705</v>
      </c>
      <c r="D3294" s="56">
        <v>6.5510497507340101E-2</v>
      </c>
      <c r="E3294" s="224">
        <v>1667.75925925925</v>
      </c>
      <c r="F3294" s="515" t="s">
        <v>4676</v>
      </c>
      <c r="G3294" s="52">
        <v>210586.981419666</v>
      </c>
      <c r="H3294" s="56">
        <v>0.12031192654305256</v>
      </c>
      <c r="I3294" s="224" t="s">
        <v>2</v>
      </c>
    </row>
    <row r="3295" spans="1:9" x14ac:dyDescent="0.25">
      <c r="A3295" s="515">
        <v>92316</v>
      </c>
      <c r="B3295" s="515" t="s">
        <v>599</v>
      </c>
      <c r="C3295" s="52">
        <v>487609.214336426</v>
      </c>
      <c r="D3295" s="56">
        <v>5.2545948489968547E-2</v>
      </c>
      <c r="E3295" s="224" t="s">
        <v>2</v>
      </c>
      <c r="F3295" s="515" t="s">
        <v>4677</v>
      </c>
      <c r="G3295" s="52">
        <v>220737.73994748099</v>
      </c>
      <c r="H3295" s="56">
        <v>7.1164900015193724E-2</v>
      </c>
      <c r="I3295" s="224" t="s">
        <v>2</v>
      </c>
    </row>
    <row r="3296" spans="1:9" x14ac:dyDescent="0.25">
      <c r="A3296" s="515">
        <v>93662</v>
      </c>
      <c r="B3296" s="515" t="s">
        <v>541</v>
      </c>
      <c r="C3296" s="52">
        <v>318884.17193602602</v>
      </c>
      <c r="D3296" s="56">
        <v>6.5248748516814253E-2</v>
      </c>
      <c r="E3296" s="224" t="s">
        <v>2</v>
      </c>
      <c r="F3296" s="515" t="s">
        <v>4678</v>
      </c>
      <c r="G3296" s="52">
        <v>837731.45640286396</v>
      </c>
      <c r="H3296" s="56">
        <v>2.181237563181318E-2</v>
      </c>
      <c r="I3296" s="224">
        <v>2221.7805555555501</v>
      </c>
    </row>
    <row r="3297" spans="1:9" x14ac:dyDescent="0.25">
      <c r="A3297" s="515">
        <v>1845</v>
      </c>
      <c r="B3297" s="515" t="s">
        <v>534</v>
      </c>
      <c r="C3297" s="52">
        <v>682861.75847139896</v>
      </c>
      <c r="D3297" s="56">
        <v>6.124905899252215E-2</v>
      </c>
      <c r="E3297" s="224">
        <v>2410.0416666666601</v>
      </c>
      <c r="F3297" s="515" t="s">
        <v>4679</v>
      </c>
      <c r="G3297" s="52">
        <v>919079.81361660699</v>
      </c>
      <c r="H3297" s="56">
        <v>9.9805905086115573E-2</v>
      </c>
      <c r="I3297" s="224" t="s">
        <v>2</v>
      </c>
    </row>
    <row r="3298" spans="1:9" x14ac:dyDescent="0.25">
      <c r="A3298" s="515">
        <v>58801</v>
      </c>
      <c r="B3298" s="515" t="s">
        <v>960</v>
      </c>
      <c r="C3298" s="52">
        <v>295229.97621794901</v>
      </c>
      <c r="D3298" s="56">
        <v>3.4192703386557305E-2</v>
      </c>
      <c r="E3298" s="224">
        <v>953.80244755244701</v>
      </c>
      <c r="F3298" s="515" t="s">
        <v>4680</v>
      </c>
      <c r="G3298" s="52">
        <v>192375.64933139001</v>
      </c>
      <c r="H3298" s="56">
        <v>5.3105339867483795E-2</v>
      </c>
      <c r="I3298" s="224" t="s">
        <v>2</v>
      </c>
    </row>
    <row r="3299" spans="1:9" x14ac:dyDescent="0.25">
      <c r="A3299" s="515">
        <v>84092</v>
      </c>
      <c r="B3299" s="515" t="s">
        <v>617</v>
      </c>
      <c r="C3299" s="52">
        <v>764385.44796279597</v>
      </c>
      <c r="D3299" s="56">
        <v>3.5215090181145089E-2</v>
      </c>
      <c r="E3299" s="224" t="s">
        <v>2</v>
      </c>
      <c r="F3299" s="515" t="s">
        <v>4681</v>
      </c>
      <c r="G3299" s="52">
        <v>491789.41790395702</v>
      </c>
      <c r="H3299" s="56">
        <v>3.1040826292799029E-2</v>
      </c>
      <c r="I3299" s="224" t="s">
        <v>2</v>
      </c>
    </row>
    <row r="3300" spans="1:9" x14ac:dyDescent="0.25">
      <c r="A3300" s="515">
        <v>10014</v>
      </c>
      <c r="B3300" s="515" t="s">
        <v>324</v>
      </c>
      <c r="C3300" s="52">
        <v>1686327.7755748101</v>
      </c>
      <c r="D3300" s="56">
        <v>5.0994069813230417E-2</v>
      </c>
      <c r="E3300" s="224">
        <v>4755.9735842985801</v>
      </c>
      <c r="F3300" s="515" t="s">
        <v>4682</v>
      </c>
      <c r="G3300" s="52">
        <v>458925.01746322197</v>
      </c>
      <c r="H3300" s="56">
        <v>4.6657884914676019E-2</v>
      </c>
      <c r="I3300" s="224" t="s">
        <v>2</v>
      </c>
    </row>
    <row r="3301" spans="1:9" x14ac:dyDescent="0.25">
      <c r="A3301" s="515">
        <v>90028</v>
      </c>
      <c r="B3301" s="515" t="s">
        <v>375</v>
      </c>
      <c r="C3301" s="52">
        <v>899666.38385700504</v>
      </c>
      <c r="D3301" s="56">
        <v>-0.12447762702619011</v>
      </c>
      <c r="E3301" s="224">
        <v>2900.9561685823701</v>
      </c>
      <c r="F3301" s="515" t="s">
        <v>4683</v>
      </c>
      <c r="G3301" s="52">
        <v>255941.5152158</v>
      </c>
      <c r="H3301" s="56">
        <v>0.11044167417066263</v>
      </c>
      <c r="I3301" s="224" t="s">
        <v>2</v>
      </c>
    </row>
    <row r="3302" spans="1:9" x14ac:dyDescent="0.25">
      <c r="A3302" s="515">
        <v>8648</v>
      </c>
      <c r="B3302" s="515" t="s">
        <v>938</v>
      </c>
      <c r="C3302" s="52">
        <v>367719.44881626102</v>
      </c>
      <c r="D3302" s="56">
        <v>7.3198155783531602E-2</v>
      </c>
      <c r="E3302" s="224">
        <v>2529.6944444444398</v>
      </c>
      <c r="F3302" s="515" t="s">
        <v>4684</v>
      </c>
      <c r="G3302" s="52">
        <v>437466.43345634401</v>
      </c>
      <c r="H3302" s="56">
        <v>3.9884435430540849E-2</v>
      </c>
      <c r="I3302" s="224">
        <v>2163.1666666666601</v>
      </c>
    </row>
    <row r="3303" spans="1:9" x14ac:dyDescent="0.25">
      <c r="A3303" s="515">
        <v>93405</v>
      </c>
      <c r="B3303" s="515" t="s">
        <v>959</v>
      </c>
      <c r="C3303" s="52">
        <v>940332.56127399404</v>
      </c>
      <c r="D3303" s="56">
        <v>7.6766434349305745E-2</v>
      </c>
      <c r="E3303" s="224">
        <v>3343.3333333333298</v>
      </c>
      <c r="F3303" s="515" t="s">
        <v>4685</v>
      </c>
      <c r="G3303" s="52">
        <v>219102.216683579</v>
      </c>
      <c r="H3303" s="56">
        <v>5.0383494981782816E-2</v>
      </c>
      <c r="I3303" s="224" t="s">
        <v>2</v>
      </c>
    </row>
    <row r="3304" spans="1:9" x14ac:dyDescent="0.25">
      <c r="A3304" s="515">
        <v>49022</v>
      </c>
      <c r="B3304" s="515" t="s">
        <v>698</v>
      </c>
      <c r="C3304" s="52">
        <v>121394.600529887</v>
      </c>
      <c r="D3304" s="56">
        <v>7.1193846251780601E-2</v>
      </c>
      <c r="E3304" s="224" t="s">
        <v>2</v>
      </c>
      <c r="F3304" s="515" t="s">
        <v>4686</v>
      </c>
      <c r="G3304" s="52">
        <v>440910.29084213497</v>
      </c>
      <c r="H3304" s="56">
        <v>6.3754303626068459E-2</v>
      </c>
      <c r="I3304" s="224">
        <v>2317.3611111111099</v>
      </c>
    </row>
    <row r="3305" spans="1:9" x14ac:dyDescent="0.25">
      <c r="A3305" s="515">
        <v>77033</v>
      </c>
      <c r="B3305" s="515" t="s">
        <v>314</v>
      </c>
      <c r="C3305" s="52">
        <v>149103.83764166501</v>
      </c>
      <c r="D3305" s="56">
        <v>0.24775018421178252</v>
      </c>
      <c r="E3305" s="224">
        <v>1419.0277777777701</v>
      </c>
      <c r="F3305" s="515" t="s">
        <v>4687</v>
      </c>
      <c r="G3305" s="52">
        <v>179567.09567917101</v>
      </c>
      <c r="H3305" s="56">
        <v>4.2230146460492779E-2</v>
      </c>
      <c r="I3305" s="224" t="s">
        <v>2</v>
      </c>
    </row>
    <row r="3306" spans="1:9" x14ac:dyDescent="0.25">
      <c r="A3306" s="515">
        <v>20603</v>
      </c>
      <c r="B3306" s="515" t="s">
        <v>321</v>
      </c>
      <c r="C3306" s="52">
        <v>448158.53421379399</v>
      </c>
      <c r="D3306" s="56">
        <v>3.4455523758158808E-2</v>
      </c>
      <c r="E3306" s="224">
        <v>1953.4095238095199</v>
      </c>
      <c r="F3306" s="515" t="s">
        <v>1167</v>
      </c>
      <c r="G3306" s="52">
        <v>228719.985136073</v>
      </c>
      <c r="H3306" s="56">
        <v>4.2372565192263796E-2</v>
      </c>
      <c r="I3306" s="224" t="s">
        <v>2</v>
      </c>
    </row>
    <row r="3307" spans="1:9" x14ac:dyDescent="0.25">
      <c r="A3307" s="515">
        <v>11369</v>
      </c>
      <c r="B3307" s="515" t="s">
        <v>324</v>
      </c>
      <c r="C3307" s="52">
        <v>686852.59001549601</v>
      </c>
      <c r="D3307" s="56">
        <v>2.600189945849278E-2</v>
      </c>
      <c r="E3307" s="224" t="s">
        <v>2</v>
      </c>
      <c r="F3307" s="515" t="s">
        <v>4688</v>
      </c>
      <c r="G3307" s="52">
        <v>265853.46007428103</v>
      </c>
      <c r="H3307" s="56">
        <v>9.1312916328508562E-2</v>
      </c>
      <c r="I3307" s="224" t="s">
        <v>2</v>
      </c>
    </row>
    <row r="3308" spans="1:9" x14ac:dyDescent="0.25">
      <c r="A3308" s="515">
        <v>49546</v>
      </c>
      <c r="B3308" s="515" t="s">
        <v>631</v>
      </c>
      <c r="C3308" s="52">
        <v>415160.44392090302</v>
      </c>
      <c r="D3308" s="56">
        <v>3.9644468773234222E-2</v>
      </c>
      <c r="E3308" s="224">
        <v>1808.25</v>
      </c>
      <c r="F3308" s="515" t="s">
        <v>4689</v>
      </c>
      <c r="G3308" s="52">
        <v>189326.20385478501</v>
      </c>
      <c r="H3308" s="56">
        <v>0.15721472420830102</v>
      </c>
      <c r="I3308" s="224" t="s">
        <v>2</v>
      </c>
    </row>
    <row r="3309" spans="1:9" x14ac:dyDescent="0.25">
      <c r="A3309" s="515">
        <v>75089</v>
      </c>
      <c r="B3309" s="515" t="s">
        <v>458</v>
      </c>
      <c r="C3309" s="52">
        <v>384509.51438768202</v>
      </c>
      <c r="D3309" s="56">
        <v>7.2880364915691456E-2</v>
      </c>
      <c r="E3309" s="224">
        <v>1895.80158730158</v>
      </c>
      <c r="F3309" s="515" t="s">
        <v>4690</v>
      </c>
      <c r="G3309" s="52">
        <v>565384.496379836</v>
      </c>
      <c r="H3309" s="56">
        <v>2.0012203589285009E-2</v>
      </c>
      <c r="I3309" s="224" t="s">
        <v>2</v>
      </c>
    </row>
    <row r="3310" spans="1:9" x14ac:dyDescent="0.25">
      <c r="A3310" s="515">
        <v>37214</v>
      </c>
      <c r="B3310" s="515" t="s">
        <v>684</v>
      </c>
      <c r="C3310" s="52">
        <v>353180.25576600601</v>
      </c>
      <c r="D3310" s="56">
        <v>0.11054807570304021</v>
      </c>
      <c r="E3310" s="224">
        <v>1683.3064102564099</v>
      </c>
      <c r="F3310" s="515" t="s">
        <v>4691</v>
      </c>
      <c r="G3310" s="52">
        <v>254151.904687214</v>
      </c>
      <c r="H3310" s="56">
        <v>7.1748690261270787E-2</v>
      </c>
      <c r="I3310" s="224" t="s">
        <v>2</v>
      </c>
    </row>
    <row r="3311" spans="1:9" x14ac:dyDescent="0.25">
      <c r="A3311" s="515">
        <v>36535</v>
      </c>
      <c r="B3311" s="515" t="s">
        <v>488</v>
      </c>
      <c r="C3311" s="52">
        <v>283114.86276355298</v>
      </c>
      <c r="D3311" s="56">
        <v>9.9759279817438831E-2</v>
      </c>
      <c r="E3311" s="224">
        <v>1800</v>
      </c>
      <c r="F3311" s="515" t="s">
        <v>4692</v>
      </c>
      <c r="G3311" s="52">
        <v>807548.15167069796</v>
      </c>
      <c r="H3311" s="56">
        <v>6.22375980269902E-2</v>
      </c>
      <c r="I3311" s="224">
        <v>2884.8333333333298</v>
      </c>
    </row>
    <row r="3312" spans="1:9" x14ac:dyDescent="0.25">
      <c r="A3312" s="515">
        <v>93105</v>
      </c>
      <c r="B3312" s="515" t="s">
        <v>847</v>
      </c>
      <c r="C3312" s="52">
        <v>1586870.1662244599</v>
      </c>
      <c r="D3312" s="56">
        <v>0.1106990215057875</v>
      </c>
      <c r="E3312" s="224">
        <v>4286.5277777777701</v>
      </c>
      <c r="F3312" s="515" t="s">
        <v>4693</v>
      </c>
      <c r="G3312" s="52">
        <v>593824.54088035296</v>
      </c>
      <c r="H3312" s="56">
        <v>5.0950156511587776E-2</v>
      </c>
      <c r="I3312" s="224">
        <v>2419.7222222222199</v>
      </c>
    </row>
    <row r="3313" spans="1:9" x14ac:dyDescent="0.25">
      <c r="A3313" s="515">
        <v>30339</v>
      </c>
      <c r="B3313" s="515" t="s">
        <v>957</v>
      </c>
      <c r="C3313" s="52">
        <v>468011.94201790699</v>
      </c>
      <c r="D3313" s="56">
        <v>6.4434660365682253E-2</v>
      </c>
      <c r="E3313" s="224">
        <v>1853.47851605758</v>
      </c>
      <c r="F3313" s="515" t="s">
        <v>4694</v>
      </c>
      <c r="G3313" s="52">
        <v>302104.540334469</v>
      </c>
      <c r="H3313" s="56">
        <v>3.6303604137539927E-2</v>
      </c>
      <c r="I3313" s="224">
        <v>1403.6111111111099</v>
      </c>
    </row>
    <row r="3314" spans="1:9" x14ac:dyDescent="0.25">
      <c r="A3314" s="515">
        <v>28303</v>
      </c>
      <c r="B3314" s="515" t="s">
        <v>1149</v>
      </c>
      <c r="C3314" s="52">
        <v>178032.35361996901</v>
      </c>
      <c r="D3314" s="56">
        <v>0.19679900874573444</v>
      </c>
      <c r="E3314" s="224">
        <v>1246.86666666666</v>
      </c>
      <c r="F3314" s="515" t="s">
        <v>966</v>
      </c>
      <c r="G3314" s="52">
        <v>150797.87697070299</v>
      </c>
      <c r="H3314" s="56">
        <v>9.3334711352758518E-2</v>
      </c>
      <c r="I3314" s="224" t="s">
        <v>2</v>
      </c>
    </row>
    <row r="3315" spans="1:9" x14ac:dyDescent="0.25">
      <c r="A3315" s="515">
        <v>20876</v>
      </c>
      <c r="B3315" s="515" t="s">
        <v>321</v>
      </c>
      <c r="C3315" s="52">
        <v>438069.64312219102</v>
      </c>
      <c r="D3315" s="56">
        <v>2.7618410999307001E-2</v>
      </c>
      <c r="E3315" s="224">
        <v>1979.8333333333301</v>
      </c>
      <c r="F3315" s="515" t="s">
        <v>4695</v>
      </c>
      <c r="G3315" s="52">
        <v>193207.787460694</v>
      </c>
      <c r="H3315" s="56">
        <v>6.2711962617451197E-2</v>
      </c>
      <c r="I3315" s="224" t="s">
        <v>2</v>
      </c>
    </row>
    <row r="3316" spans="1:9" x14ac:dyDescent="0.25">
      <c r="A3316" s="515">
        <v>32405</v>
      </c>
      <c r="B3316" s="515" t="s">
        <v>1160</v>
      </c>
      <c r="C3316" s="52">
        <v>273214.65682111098</v>
      </c>
      <c r="D3316" s="56">
        <v>0.13684275008334396</v>
      </c>
      <c r="E3316" s="224">
        <v>1678.88888888888</v>
      </c>
      <c r="F3316" s="515" t="s">
        <v>4696</v>
      </c>
      <c r="G3316" s="52">
        <v>555897.86093912297</v>
      </c>
      <c r="H3316" s="56">
        <v>7.1366441865517147E-2</v>
      </c>
      <c r="I3316" s="224">
        <v>2497.4444444444398</v>
      </c>
    </row>
    <row r="3317" spans="1:9" x14ac:dyDescent="0.25">
      <c r="A3317" s="515">
        <v>34639</v>
      </c>
      <c r="B3317" s="515" t="s">
        <v>461</v>
      </c>
      <c r="C3317" s="52">
        <v>411125.65408395202</v>
      </c>
      <c r="D3317" s="56">
        <v>7.4328404045445814E-2</v>
      </c>
      <c r="E3317" s="224">
        <v>2343.5206349206301</v>
      </c>
      <c r="F3317" s="515" t="s">
        <v>4697</v>
      </c>
      <c r="G3317" s="52">
        <v>353935.05177557899</v>
      </c>
      <c r="H3317" s="56">
        <v>7.4904216868706325E-2</v>
      </c>
      <c r="I3317" s="224" t="s">
        <v>2</v>
      </c>
    </row>
    <row r="3318" spans="1:9" x14ac:dyDescent="0.25">
      <c r="A3318" s="515">
        <v>77016</v>
      </c>
      <c r="B3318" s="515" t="s">
        <v>314</v>
      </c>
      <c r="C3318" s="52">
        <v>164835.213882696</v>
      </c>
      <c r="D3318" s="56">
        <v>0.19527788800567858</v>
      </c>
      <c r="E3318" s="224">
        <v>1266.6666666666599</v>
      </c>
      <c r="F3318" s="515" t="s">
        <v>4698</v>
      </c>
      <c r="G3318" s="52">
        <v>232540.508990337</v>
      </c>
      <c r="H3318" s="56">
        <v>9.753250586525275E-2</v>
      </c>
      <c r="I3318" s="224" t="s">
        <v>2</v>
      </c>
    </row>
    <row r="3319" spans="1:9" x14ac:dyDescent="0.25">
      <c r="A3319" s="515">
        <v>94602</v>
      </c>
      <c r="B3319" s="515" t="s">
        <v>593</v>
      </c>
      <c r="C3319" s="52">
        <v>1072832.6419076901</v>
      </c>
      <c r="D3319" s="56">
        <v>-3.2579880929105798E-2</v>
      </c>
      <c r="E3319" s="224">
        <v>2527.8333333333298</v>
      </c>
      <c r="F3319" s="515" t="s">
        <v>4699</v>
      </c>
      <c r="G3319" s="52">
        <v>337524.36790330301</v>
      </c>
      <c r="H3319" s="56">
        <v>3.9451450503446839E-2</v>
      </c>
      <c r="I3319" s="224" t="s">
        <v>2</v>
      </c>
    </row>
    <row r="3320" spans="1:9" x14ac:dyDescent="0.25">
      <c r="A3320" s="515">
        <v>90803</v>
      </c>
      <c r="B3320" s="515" t="s">
        <v>375</v>
      </c>
      <c r="C3320" s="52">
        <v>1195872.62736974</v>
      </c>
      <c r="D3320" s="56">
        <v>4.1090652158723491E-2</v>
      </c>
      <c r="E3320" s="224">
        <v>2532.1406926406898</v>
      </c>
      <c r="F3320" s="515" t="s">
        <v>4700</v>
      </c>
      <c r="G3320" s="52">
        <v>228703.555168552</v>
      </c>
      <c r="H3320" s="56">
        <v>9.7233985064515679E-2</v>
      </c>
      <c r="I3320" s="224" t="s">
        <v>2</v>
      </c>
    </row>
    <row r="3321" spans="1:9" x14ac:dyDescent="0.25">
      <c r="A3321" s="515">
        <v>94598</v>
      </c>
      <c r="B3321" s="515" t="s">
        <v>593</v>
      </c>
      <c r="C3321" s="52">
        <v>1318755.32313269</v>
      </c>
      <c r="D3321" s="56">
        <v>3.2678424062014814E-2</v>
      </c>
      <c r="E3321" s="224">
        <v>3219.0555555555502</v>
      </c>
      <c r="F3321" s="515" t="s">
        <v>4701</v>
      </c>
      <c r="G3321" s="52">
        <v>375467.88082474301</v>
      </c>
      <c r="H3321" s="56">
        <v>3.2160978208015271E-2</v>
      </c>
      <c r="I3321" s="224" t="s">
        <v>2</v>
      </c>
    </row>
    <row r="3322" spans="1:9" x14ac:dyDescent="0.25">
      <c r="A3322" s="515">
        <v>37172</v>
      </c>
      <c r="B3322" s="515" t="s">
        <v>684</v>
      </c>
      <c r="C3322" s="52">
        <v>302326.959631028</v>
      </c>
      <c r="D3322" s="56">
        <v>8.012329929755474E-2</v>
      </c>
      <c r="E3322" s="224">
        <v>1327.2222222222199</v>
      </c>
      <c r="F3322" s="515" t="s">
        <v>539</v>
      </c>
      <c r="G3322" s="52">
        <v>165470.421645289</v>
      </c>
      <c r="H3322" s="56">
        <v>4.6619103337505984E-2</v>
      </c>
      <c r="I3322" s="224" t="s">
        <v>2</v>
      </c>
    </row>
    <row r="3323" spans="1:9" x14ac:dyDescent="0.25">
      <c r="A3323" s="515">
        <v>85351</v>
      </c>
      <c r="B3323" s="515" t="s">
        <v>563</v>
      </c>
      <c r="C3323" s="52">
        <v>284046.325833857</v>
      </c>
      <c r="D3323" s="56">
        <v>4.468018917734861E-2</v>
      </c>
      <c r="E3323" s="224">
        <v>1674.1666666666599</v>
      </c>
      <c r="F3323" s="515" t="s">
        <v>4702</v>
      </c>
      <c r="G3323" s="52">
        <v>558889.475818626</v>
      </c>
      <c r="H3323" s="56">
        <v>0.1072978885901122</v>
      </c>
      <c r="I3323" s="224" t="s">
        <v>2</v>
      </c>
    </row>
    <row r="3324" spans="1:9" x14ac:dyDescent="0.25">
      <c r="A3324" s="515">
        <v>10030</v>
      </c>
      <c r="B3324" s="515" t="s">
        <v>324</v>
      </c>
      <c r="C3324" s="52">
        <v>641486.19796386699</v>
      </c>
      <c r="D3324" s="56">
        <v>2.1553222253484827E-2</v>
      </c>
      <c r="E3324" s="224">
        <v>2561</v>
      </c>
      <c r="F3324" s="515" t="s">
        <v>4703</v>
      </c>
      <c r="G3324" s="52">
        <v>118313.77985087399</v>
      </c>
      <c r="H3324" s="56">
        <v>2.9671563869088421E-2</v>
      </c>
      <c r="I3324" s="224" t="s">
        <v>2</v>
      </c>
    </row>
    <row r="3325" spans="1:9" x14ac:dyDescent="0.25">
      <c r="A3325" s="515">
        <v>70503</v>
      </c>
      <c r="B3325" s="515" t="s">
        <v>1004</v>
      </c>
      <c r="C3325" s="52">
        <v>255713.99193411801</v>
      </c>
      <c r="D3325" s="56">
        <v>3.2034853427326024E-2</v>
      </c>
      <c r="E3325" s="224">
        <v>1221.6714285714199</v>
      </c>
      <c r="F3325" s="515" t="s">
        <v>4704</v>
      </c>
      <c r="G3325" s="52">
        <v>239286.45365280201</v>
      </c>
      <c r="H3325" s="56">
        <v>6.0017316800658936E-2</v>
      </c>
      <c r="I3325" s="224">
        <v>1475</v>
      </c>
    </row>
    <row r="3326" spans="1:9" x14ac:dyDescent="0.25">
      <c r="A3326" s="515">
        <v>48507</v>
      </c>
      <c r="B3326" s="515" t="s">
        <v>759</v>
      </c>
      <c r="C3326" s="52">
        <v>91016.086598934795</v>
      </c>
      <c r="D3326" s="56">
        <v>7.0802880627472198E-2</v>
      </c>
      <c r="E3326" s="224">
        <v>812.5</v>
      </c>
      <c r="F3326" s="515" t="s">
        <v>4705</v>
      </c>
      <c r="G3326" s="52">
        <v>353441.54033409001</v>
      </c>
      <c r="H3326" s="56">
        <v>0.15924005787784482</v>
      </c>
      <c r="I3326" s="224" t="s">
        <v>2</v>
      </c>
    </row>
    <row r="3327" spans="1:9" x14ac:dyDescent="0.25">
      <c r="A3327" s="515">
        <v>87107</v>
      </c>
      <c r="B3327" s="515" t="s">
        <v>406</v>
      </c>
      <c r="C3327" s="52">
        <v>302201.98832628899</v>
      </c>
      <c r="D3327" s="56">
        <v>9.3599783515340373E-2</v>
      </c>
      <c r="E3327" s="224">
        <v>1154.32222222222</v>
      </c>
      <c r="F3327" s="515" t="s">
        <v>882</v>
      </c>
      <c r="G3327" s="52">
        <v>253552.34194265999</v>
      </c>
      <c r="H3327" s="56">
        <v>3.8785094997780767E-2</v>
      </c>
      <c r="I3327" s="224" t="s">
        <v>2</v>
      </c>
    </row>
    <row r="3328" spans="1:9" x14ac:dyDescent="0.25">
      <c r="A3328" s="515">
        <v>37921</v>
      </c>
      <c r="B3328" s="515" t="s">
        <v>907</v>
      </c>
      <c r="C3328" s="52">
        <v>241315.32211613</v>
      </c>
      <c r="D3328" s="56">
        <v>0.16822103641024821</v>
      </c>
      <c r="E3328" s="224">
        <v>1693.75</v>
      </c>
      <c r="F3328" s="515" t="s">
        <v>4706</v>
      </c>
      <c r="G3328" s="52">
        <v>258168.64380102101</v>
      </c>
      <c r="H3328" s="56">
        <v>6.1089081868328468E-2</v>
      </c>
      <c r="I3328" s="224" t="s">
        <v>2</v>
      </c>
    </row>
    <row r="3329" spans="1:9" x14ac:dyDescent="0.25">
      <c r="A3329" s="515">
        <v>39209</v>
      </c>
      <c r="B3329" s="515" t="s">
        <v>851</v>
      </c>
      <c r="C3329" s="52">
        <v>39167.816198452398</v>
      </c>
      <c r="D3329" s="56">
        <v>2.6475594962475847E-2</v>
      </c>
      <c r="E3329" s="224">
        <v>950</v>
      </c>
      <c r="F3329" s="515" t="s">
        <v>4707</v>
      </c>
      <c r="G3329" s="52">
        <v>147585.46662481001</v>
      </c>
      <c r="H3329" s="56">
        <v>9.4616480952131793E-2</v>
      </c>
      <c r="I3329" s="224">
        <v>1246.3333333333301</v>
      </c>
    </row>
    <row r="3330" spans="1:9" x14ac:dyDescent="0.25">
      <c r="A3330" s="515">
        <v>54016</v>
      </c>
      <c r="B3330" s="515" t="s">
        <v>532</v>
      </c>
      <c r="C3330" s="52">
        <v>420265.57423902903</v>
      </c>
      <c r="D3330" s="56">
        <v>5.1354170712803432E-2</v>
      </c>
      <c r="E3330" s="224" t="s">
        <v>2</v>
      </c>
      <c r="F3330" s="515" t="s">
        <v>4708</v>
      </c>
      <c r="G3330" s="52">
        <v>414357.45283177</v>
      </c>
      <c r="H3330" s="56">
        <v>-1.47933852294819E-2</v>
      </c>
      <c r="I3330" s="224" t="s">
        <v>2</v>
      </c>
    </row>
    <row r="3331" spans="1:9" x14ac:dyDescent="0.25">
      <c r="A3331" s="515">
        <v>98021</v>
      </c>
      <c r="B3331" s="515" t="s">
        <v>384</v>
      </c>
      <c r="C3331" s="52">
        <v>978954.00675804901</v>
      </c>
      <c r="D3331" s="56">
        <v>3.9700240925316738E-2</v>
      </c>
      <c r="E3331" s="224">
        <v>2783.5</v>
      </c>
      <c r="F3331" s="515" t="s">
        <v>4709</v>
      </c>
      <c r="G3331" s="52">
        <v>210297.32320203999</v>
      </c>
      <c r="H3331" s="56">
        <v>5.104408695960911E-2</v>
      </c>
      <c r="I3331" s="224" t="s">
        <v>2</v>
      </c>
    </row>
    <row r="3332" spans="1:9" x14ac:dyDescent="0.25">
      <c r="A3332" s="515">
        <v>15401</v>
      </c>
      <c r="B3332" s="515" t="s">
        <v>297</v>
      </c>
      <c r="C3332" s="52">
        <v>130872.961122433</v>
      </c>
      <c r="D3332" s="56">
        <v>2.3154050640546268E-2</v>
      </c>
      <c r="E3332" s="224" t="s">
        <v>2</v>
      </c>
      <c r="F3332" s="515" t="s">
        <v>4710</v>
      </c>
      <c r="G3332" s="52">
        <v>237132.534015068</v>
      </c>
      <c r="H3332" s="56">
        <v>5.3195970489272985E-2</v>
      </c>
      <c r="I3332" s="224" t="s">
        <v>2</v>
      </c>
    </row>
    <row r="3333" spans="1:9" x14ac:dyDescent="0.25">
      <c r="A3333" s="515">
        <v>85742</v>
      </c>
      <c r="B3333" s="515" t="s">
        <v>368</v>
      </c>
      <c r="C3333" s="52">
        <v>364740.454675077</v>
      </c>
      <c r="D3333" s="56">
        <v>6.3544349357348776E-2</v>
      </c>
      <c r="E3333" s="224">
        <v>1928</v>
      </c>
      <c r="F3333" s="515" t="s">
        <v>1222</v>
      </c>
      <c r="G3333" s="52">
        <v>128296.752863314</v>
      </c>
      <c r="H3333" s="56">
        <v>0.1024413118532653</v>
      </c>
      <c r="I3333" s="224" t="s">
        <v>2</v>
      </c>
    </row>
    <row r="3334" spans="1:9" x14ac:dyDescent="0.25">
      <c r="A3334" s="515">
        <v>7740</v>
      </c>
      <c r="B3334" s="515" t="s">
        <v>324</v>
      </c>
      <c r="C3334" s="52">
        <v>623806.86734283995</v>
      </c>
      <c r="D3334" s="56">
        <v>0.11133592712604654</v>
      </c>
      <c r="E3334" s="224">
        <v>2963.1682539682502</v>
      </c>
      <c r="F3334" s="515" t="s">
        <v>4711</v>
      </c>
      <c r="G3334" s="52">
        <v>274662.38863433298</v>
      </c>
      <c r="H3334" s="56">
        <v>9.3581080938981653E-2</v>
      </c>
      <c r="I3334" s="224">
        <v>1538.6111111111099</v>
      </c>
    </row>
    <row r="3335" spans="1:9" x14ac:dyDescent="0.25">
      <c r="A3335" s="515">
        <v>88011</v>
      </c>
      <c r="B3335" s="515" t="s">
        <v>317</v>
      </c>
      <c r="C3335" s="52">
        <v>337331.12883658399</v>
      </c>
      <c r="D3335" s="56">
        <v>7.9469180854744387E-2</v>
      </c>
      <c r="E3335" s="224">
        <v>1752.7777777777701</v>
      </c>
      <c r="F3335" s="515" t="s">
        <v>4712</v>
      </c>
      <c r="G3335" s="52">
        <v>252860.30709479301</v>
      </c>
      <c r="H3335" s="56">
        <v>3.2176854751507188E-2</v>
      </c>
      <c r="I3335" s="224" t="s">
        <v>2</v>
      </c>
    </row>
    <row r="3336" spans="1:9" x14ac:dyDescent="0.25">
      <c r="A3336" s="515">
        <v>97502</v>
      </c>
      <c r="B3336" s="515" t="s">
        <v>775</v>
      </c>
      <c r="C3336" s="52">
        <v>389369.67084587202</v>
      </c>
      <c r="D3336" s="56">
        <v>1.0326105208417771E-2</v>
      </c>
      <c r="E3336" s="224">
        <v>1583.3333333333301</v>
      </c>
      <c r="F3336" s="515" t="s">
        <v>4713</v>
      </c>
      <c r="G3336" s="52">
        <v>204118.116359493</v>
      </c>
      <c r="H3336" s="56">
        <v>0.1282244724709721</v>
      </c>
      <c r="I3336" s="224" t="s">
        <v>2</v>
      </c>
    </row>
    <row r="3337" spans="1:9" x14ac:dyDescent="0.25">
      <c r="A3337" s="515">
        <v>30342</v>
      </c>
      <c r="B3337" s="515" t="s">
        <v>957</v>
      </c>
      <c r="C3337" s="52">
        <v>726671.38826941105</v>
      </c>
      <c r="D3337" s="56">
        <v>7.3151114195007971E-2</v>
      </c>
      <c r="E3337" s="224">
        <v>1792.88470228601</v>
      </c>
      <c r="F3337" s="515" t="s">
        <v>4714</v>
      </c>
      <c r="G3337" s="52">
        <v>442330.02322384203</v>
      </c>
      <c r="H3337" s="56">
        <v>7.0138242037244308E-2</v>
      </c>
      <c r="I3337" s="224" t="s">
        <v>2</v>
      </c>
    </row>
    <row r="3338" spans="1:9" x14ac:dyDescent="0.25">
      <c r="A3338" s="515">
        <v>94103</v>
      </c>
      <c r="B3338" s="515" t="s">
        <v>593</v>
      </c>
      <c r="C3338" s="52">
        <v>853007.32151551999</v>
      </c>
      <c r="D3338" s="56">
        <v>-0.109582953685774</v>
      </c>
      <c r="E3338" s="224">
        <v>3385.8163265306098</v>
      </c>
      <c r="F3338" s="515" t="s">
        <v>4715</v>
      </c>
      <c r="G3338" s="52">
        <v>271033.671319958</v>
      </c>
      <c r="H3338" s="56">
        <v>6.7442920066917753E-2</v>
      </c>
      <c r="I3338" s="224" t="s">
        <v>2</v>
      </c>
    </row>
    <row r="3339" spans="1:9" x14ac:dyDescent="0.25">
      <c r="A3339" s="515">
        <v>32503</v>
      </c>
      <c r="B3339" s="515" t="s">
        <v>1131</v>
      </c>
      <c r="C3339" s="52">
        <v>266162.84281392099</v>
      </c>
      <c r="D3339" s="56">
        <v>9.5412289692665436E-2</v>
      </c>
      <c r="E3339" s="224">
        <v>1488.1865079365</v>
      </c>
      <c r="F3339" s="515" t="s">
        <v>4716</v>
      </c>
      <c r="G3339" s="52">
        <v>256793.66522610499</v>
      </c>
      <c r="H3339" s="56">
        <v>9.440240853668079E-2</v>
      </c>
      <c r="I3339" s="224" t="s">
        <v>2</v>
      </c>
    </row>
    <row r="3340" spans="1:9" x14ac:dyDescent="0.25">
      <c r="A3340" s="515">
        <v>1851</v>
      </c>
      <c r="B3340" s="515" t="s">
        <v>534</v>
      </c>
      <c r="C3340" s="52">
        <v>425076.506857306</v>
      </c>
      <c r="D3340" s="56">
        <v>5.2280130834932999E-2</v>
      </c>
      <c r="E3340" s="224">
        <v>1828</v>
      </c>
      <c r="F3340" s="515" t="s">
        <v>4717</v>
      </c>
      <c r="G3340" s="52">
        <v>251403.961294951</v>
      </c>
      <c r="H3340" s="56">
        <v>3.9376363070582399E-2</v>
      </c>
      <c r="I3340" s="224" t="s">
        <v>2</v>
      </c>
    </row>
    <row r="3341" spans="1:9" x14ac:dyDescent="0.25">
      <c r="A3341" s="515">
        <v>92394</v>
      </c>
      <c r="B3341" s="515" t="s">
        <v>599</v>
      </c>
      <c r="C3341" s="52">
        <v>396504.74125323998</v>
      </c>
      <c r="D3341" s="56">
        <v>3.5273447305534431E-2</v>
      </c>
      <c r="E3341" s="224">
        <v>2165</v>
      </c>
      <c r="F3341" s="515" t="s">
        <v>4718</v>
      </c>
      <c r="G3341" s="52">
        <v>209964.34155255399</v>
      </c>
      <c r="H3341" s="56">
        <v>0.10582998848302529</v>
      </c>
      <c r="I3341" s="224" t="s">
        <v>2</v>
      </c>
    </row>
    <row r="3342" spans="1:9" x14ac:dyDescent="0.25">
      <c r="A3342" s="515">
        <v>33144</v>
      </c>
      <c r="B3342" s="515" t="s">
        <v>831</v>
      </c>
      <c r="C3342" s="52">
        <v>530120.25849495002</v>
      </c>
      <c r="D3342" s="56">
        <v>0.17074732459225617</v>
      </c>
      <c r="E3342" s="224">
        <v>3262.5</v>
      </c>
      <c r="F3342" s="515" t="s">
        <v>4719</v>
      </c>
      <c r="G3342" s="52">
        <v>921262.65740837401</v>
      </c>
      <c r="H3342" s="56">
        <v>1.6378712658708681E-2</v>
      </c>
      <c r="I3342" s="224" t="s">
        <v>2</v>
      </c>
    </row>
    <row r="3343" spans="1:9" x14ac:dyDescent="0.25">
      <c r="A3343" s="515">
        <v>76018</v>
      </c>
      <c r="B3343" s="515" t="s">
        <v>458</v>
      </c>
      <c r="C3343" s="52">
        <v>292900.943013229</v>
      </c>
      <c r="D3343" s="56">
        <v>7.2647693588262868E-2</v>
      </c>
      <c r="E3343" s="224">
        <v>2102.5476190476102</v>
      </c>
      <c r="F3343" s="515" t="s">
        <v>4720</v>
      </c>
      <c r="G3343" s="52">
        <v>210167.80622603901</v>
      </c>
      <c r="H3343" s="56">
        <v>5.4033072862595413E-2</v>
      </c>
      <c r="I3343" s="224" t="s">
        <v>2</v>
      </c>
    </row>
    <row r="3344" spans="1:9" x14ac:dyDescent="0.25">
      <c r="A3344" s="515">
        <v>29640</v>
      </c>
      <c r="B3344" s="515" t="s">
        <v>613</v>
      </c>
      <c r="C3344" s="52">
        <v>231479.20813912901</v>
      </c>
      <c r="D3344" s="56">
        <v>0.16183117953810031</v>
      </c>
      <c r="E3344" s="224">
        <v>1312.94444444444</v>
      </c>
      <c r="F3344" s="515" t="s">
        <v>4721</v>
      </c>
      <c r="G3344" s="52">
        <v>128995.68143089701</v>
      </c>
      <c r="H3344" s="56">
        <v>0.20827403379100556</v>
      </c>
      <c r="I3344" s="224" t="s">
        <v>2</v>
      </c>
    </row>
    <row r="3345" spans="1:9" x14ac:dyDescent="0.25">
      <c r="A3345" s="515">
        <v>75605</v>
      </c>
      <c r="B3345" s="515" t="s">
        <v>319</v>
      </c>
      <c r="C3345" s="52">
        <v>258872.17841928799</v>
      </c>
      <c r="D3345" s="56">
        <v>8.7742303466347052E-2</v>
      </c>
      <c r="E3345" s="224">
        <v>1159.2944444444399</v>
      </c>
      <c r="F3345" s="515" t="s">
        <v>4722</v>
      </c>
      <c r="G3345" s="52">
        <v>321309.057112312</v>
      </c>
      <c r="H3345" s="56">
        <v>7.1587365786684676E-2</v>
      </c>
      <c r="I3345" s="224" t="s">
        <v>2</v>
      </c>
    </row>
    <row r="3346" spans="1:9" x14ac:dyDescent="0.25">
      <c r="A3346" s="515">
        <v>7501</v>
      </c>
      <c r="B3346" s="515" t="s">
        <v>324</v>
      </c>
      <c r="C3346" s="52">
        <v>353730.40293254203</v>
      </c>
      <c r="D3346" s="56">
        <v>6.3166908950233927E-2</v>
      </c>
      <c r="E3346" s="224">
        <v>1743.75</v>
      </c>
      <c r="F3346" s="515" t="s">
        <v>4723</v>
      </c>
      <c r="G3346" s="52">
        <v>1608423.40030232</v>
      </c>
      <c r="H3346" s="56">
        <v>1.1875831166878731E-2</v>
      </c>
      <c r="I3346" s="224">
        <v>4328.3333333333303</v>
      </c>
    </row>
    <row r="3347" spans="1:9" x14ac:dyDescent="0.25">
      <c r="A3347" s="515">
        <v>77340</v>
      </c>
      <c r="B3347" s="515" t="s">
        <v>503</v>
      </c>
      <c r="C3347" s="52">
        <v>265328.409487297</v>
      </c>
      <c r="D3347" s="56">
        <v>6.7454213073843944E-2</v>
      </c>
      <c r="E3347" s="224">
        <v>1050.69444444444</v>
      </c>
      <c r="F3347" s="515" t="s">
        <v>4724</v>
      </c>
      <c r="G3347" s="52">
        <v>462133.02184071002</v>
      </c>
      <c r="H3347" s="56">
        <v>7.0462685005261483E-2</v>
      </c>
      <c r="I3347" s="224" t="s">
        <v>2</v>
      </c>
    </row>
    <row r="3348" spans="1:9" x14ac:dyDescent="0.25">
      <c r="A3348" s="515">
        <v>60187</v>
      </c>
      <c r="B3348" s="515" t="s">
        <v>394</v>
      </c>
      <c r="C3348" s="52">
        <v>387337.93021048902</v>
      </c>
      <c r="D3348" s="56">
        <v>2.8597220248053612E-2</v>
      </c>
      <c r="E3348" s="224">
        <v>1966.48888888888</v>
      </c>
      <c r="F3348" s="515" t="s">
        <v>4725</v>
      </c>
      <c r="G3348" s="52">
        <v>344270.93086915399</v>
      </c>
      <c r="H3348" s="56">
        <v>0.11224830451451577</v>
      </c>
      <c r="I3348" s="224">
        <v>2305.4444444444398</v>
      </c>
    </row>
    <row r="3349" spans="1:9" x14ac:dyDescent="0.25">
      <c r="A3349" s="515">
        <v>33143</v>
      </c>
      <c r="B3349" s="515" t="s">
        <v>831</v>
      </c>
      <c r="C3349" s="52">
        <v>730897.37154600199</v>
      </c>
      <c r="D3349" s="56">
        <v>0.19187665384758415</v>
      </c>
      <c r="E3349" s="224">
        <v>2805.90512820512</v>
      </c>
      <c r="F3349" s="515" t="s">
        <v>510</v>
      </c>
      <c r="G3349" s="52">
        <v>316805.87884810998</v>
      </c>
      <c r="H3349" s="56">
        <v>5.0745242361772358E-2</v>
      </c>
      <c r="I3349" s="224" t="s">
        <v>2</v>
      </c>
    </row>
    <row r="3350" spans="1:9" x14ac:dyDescent="0.25">
      <c r="A3350" s="515">
        <v>68025</v>
      </c>
      <c r="B3350" s="515" t="s">
        <v>334</v>
      </c>
      <c r="C3350" s="52">
        <v>211072.06994948399</v>
      </c>
      <c r="D3350" s="56">
        <v>8.1448909362414043E-2</v>
      </c>
      <c r="E3350" s="224">
        <v>1031.94444444444</v>
      </c>
      <c r="F3350" s="515" t="s">
        <v>4726</v>
      </c>
      <c r="G3350" s="52">
        <v>183054.294837711</v>
      </c>
      <c r="H3350" s="56">
        <v>8.9726911223125219E-2</v>
      </c>
      <c r="I3350" s="224" t="s">
        <v>2</v>
      </c>
    </row>
    <row r="3351" spans="1:9" x14ac:dyDescent="0.25">
      <c r="A3351" s="515">
        <v>55432</v>
      </c>
      <c r="B3351" s="515" t="s">
        <v>532</v>
      </c>
      <c r="C3351" s="52">
        <v>286581.895035744</v>
      </c>
      <c r="D3351" s="56">
        <v>1.791930835174415E-2</v>
      </c>
      <c r="E3351" s="224">
        <v>1697.75</v>
      </c>
      <c r="F3351" s="515" t="s">
        <v>4727</v>
      </c>
      <c r="G3351" s="52">
        <v>507349.50897457101</v>
      </c>
      <c r="H3351" s="56">
        <v>4.9016447229920969E-2</v>
      </c>
      <c r="I3351" s="224" t="s">
        <v>2</v>
      </c>
    </row>
    <row r="3352" spans="1:9" x14ac:dyDescent="0.25">
      <c r="A3352" s="515">
        <v>94549</v>
      </c>
      <c r="B3352" s="515" t="s">
        <v>593</v>
      </c>
      <c r="C3352" s="52">
        <v>1859782.41759597</v>
      </c>
      <c r="D3352" s="56">
        <v>4.7338500548904677E-2</v>
      </c>
      <c r="E3352" s="224">
        <v>3595.7222222222199</v>
      </c>
      <c r="F3352" s="515" t="s">
        <v>4728</v>
      </c>
      <c r="G3352" s="52">
        <v>298011.11208334402</v>
      </c>
      <c r="H3352" s="56">
        <v>3.340867057718374E-2</v>
      </c>
      <c r="I3352" s="224">
        <v>1321.6666666666599</v>
      </c>
    </row>
    <row r="3353" spans="1:9" x14ac:dyDescent="0.25">
      <c r="A3353" s="515">
        <v>6051</v>
      </c>
      <c r="B3353" s="515" t="s">
        <v>894</v>
      </c>
      <c r="C3353" s="52">
        <v>208854.84919091099</v>
      </c>
      <c r="D3353" s="56">
        <v>0.14453353734238078</v>
      </c>
      <c r="E3353" s="224">
        <v>1294.44444444444</v>
      </c>
      <c r="F3353" s="515" t="s">
        <v>4729</v>
      </c>
      <c r="G3353" s="52">
        <v>792890.81298287597</v>
      </c>
      <c r="H3353" s="56">
        <v>6.3513396664885452E-2</v>
      </c>
      <c r="I3353" s="224">
        <v>2868.73809523809</v>
      </c>
    </row>
    <row r="3354" spans="1:9" x14ac:dyDescent="0.25">
      <c r="A3354" s="515">
        <v>91356</v>
      </c>
      <c r="B3354" s="515" t="s">
        <v>375</v>
      </c>
      <c r="C3354" s="52">
        <v>1220634.32505214</v>
      </c>
      <c r="D3354" s="56">
        <v>5.1895234822933893E-2</v>
      </c>
      <c r="E3354" s="224">
        <v>3106.9444444444398</v>
      </c>
      <c r="F3354" s="515" t="s">
        <v>4730</v>
      </c>
      <c r="G3354" s="52">
        <v>90313.149371368097</v>
      </c>
      <c r="H3354" s="56">
        <v>0.19681609452874749</v>
      </c>
      <c r="I3354" s="224" t="s">
        <v>2</v>
      </c>
    </row>
    <row r="3355" spans="1:9" x14ac:dyDescent="0.25">
      <c r="A3355" s="515">
        <v>32117</v>
      </c>
      <c r="B3355" s="515" t="s">
        <v>974</v>
      </c>
      <c r="C3355" s="52">
        <v>214128.41835816699</v>
      </c>
      <c r="D3355" s="56">
        <v>0.17096446489814623</v>
      </c>
      <c r="E3355" s="224">
        <v>1805.8783068783</v>
      </c>
      <c r="F3355" s="515" t="s">
        <v>4731</v>
      </c>
      <c r="G3355" s="52">
        <v>373709.20945194701</v>
      </c>
      <c r="H3355" s="56">
        <v>0.103858003208626</v>
      </c>
      <c r="I3355" s="224" t="s">
        <v>2</v>
      </c>
    </row>
    <row r="3356" spans="1:9" x14ac:dyDescent="0.25">
      <c r="A3356" s="515">
        <v>33328</v>
      </c>
      <c r="B3356" s="515" t="s">
        <v>831</v>
      </c>
      <c r="C3356" s="52">
        <v>564041.05364405503</v>
      </c>
      <c r="D3356" s="56">
        <v>0.13366458076774065</v>
      </c>
      <c r="E3356" s="224">
        <v>2628.9047619047601</v>
      </c>
      <c r="F3356" s="515" t="s">
        <v>4732</v>
      </c>
      <c r="G3356" s="52">
        <v>520708.32245296502</v>
      </c>
      <c r="H3356" s="56">
        <v>2.4763925023062003E-2</v>
      </c>
      <c r="I3356" s="224" t="s">
        <v>2</v>
      </c>
    </row>
    <row r="3357" spans="1:9" x14ac:dyDescent="0.25">
      <c r="A3357" s="515">
        <v>24019</v>
      </c>
      <c r="B3357" s="515" t="s">
        <v>861</v>
      </c>
      <c r="C3357" s="52">
        <v>257439.746170812</v>
      </c>
      <c r="D3357" s="56">
        <v>8.6571786180363541E-2</v>
      </c>
      <c r="E3357" s="224" t="s">
        <v>2</v>
      </c>
      <c r="F3357" s="515" t="s">
        <v>4733</v>
      </c>
      <c r="G3357" s="52">
        <v>199967.77608795301</v>
      </c>
      <c r="H3357" s="56">
        <v>4.4708880856753112E-2</v>
      </c>
      <c r="I3357" s="224">
        <v>973.33333333333303</v>
      </c>
    </row>
    <row r="3358" spans="1:9" x14ac:dyDescent="0.25">
      <c r="A3358" s="515">
        <v>29611</v>
      </c>
      <c r="B3358" s="515" t="s">
        <v>613</v>
      </c>
      <c r="C3358" s="52">
        <v>166060.90924544699</v>
      </c>
      <c r="D3358" s="56">
        <v>0.17890002862480417</v>
      </c>
      <c r="E3358" s="224">
        <v>1692.9412069412001</v>
      </c>
      <c r="F3358" s="515" t="s">
        <v>4734</v>
      </c>
      <c r="G3358" s="52">
        <v>121918.84582197201</v>
      </c>
      <c r="H3358" s="56">
        <v>-1.6102337225153564E-2</v>
      </c>
      <c r="I3358" s="224" t="s">
        <v>2</v>
      </c>
    </row>
    <row r="3359" spans="1:9" x14ac:dyDescent="0.25">
      <c r="A3359" s="515">
        <v>80910</v>
      </c>
      <c r="B3359" s="515" t="s">
        <v>701</v>
      </c>
      <c r="C3359" s="52">
        <v>334262.49215176102</v>
      </c>
      <c r="D3359" s="56">
        <v>5.4801097643352829E-2</v>
      </c>
      <c r="E3359" s="224">
        <v>1622.1492063492001</v>
      </c>
      <c r="F3359" s="515" t="s">
        <v>4735</v>
      </c>
      <c r="G3359" s="52">
        <v>439745.98807689501</v>
      </c>
      <c r="H3359" s="56">
        <v>7.8681880190053871E-2</v>
      </c>
      <c r="I3359" s="224" t="s">
        <v>2</v>
      </c>
    </row>
    <row r="3360" spans="1:9" x14ac:dyDescent="0.25">
      <c r="A3360" s="515">
        <v>96080</v>
      </c>
      <c r="B3360" s="515" t="s">
        <v>525</v>
      </c>
      <c r="C3360" s="52">
        <v>306386.560398367</v>
      </c>
      <c r="D3360" s="56">
        <v>6.8201998265193199E-3</v>
      </c>
      <c r="E3360" s="224" t="s">
        <v>2</v>
      </c>
      <c r="F3360" s="515" t="s">
        <v>4736</v>
      </c>
      <c r="G3360" s="52">
        <v>231537.36010064001</v>
      </c>
      <c r="H3360" s="56">
        <v>0.16594208410590683</v>
      </c>
      <c r="I3360" s="224">
        <v>1917.5</v>
      </c>
    </row>
    <row r="3361" spans="1:9" x14ac:dyDescent="0.25">
      <c r="A3361" s="515">
        <v>74063</v>
      </c>
      <c r="B3361" s="515" t="s">
        <v>348</v>
      </c>
      <c r="C3361" s="52">
        <v>196231.31750663501</v>
      </c>
      <c r="D3361" s="56">
        <v>9.5069807691110286E-2</v>
      </c>
      <c r="E3361" s="224" t="s">
        <v>2</v>
      </c>
      <c r="F3361" s="515" t="s">
        <v>4737</v>
      </c>
      <c r="G3361" s="52">
        <v>251858.512358109</v>
      </c>
      <c r="H3361" s="56">
        <v>9.5011592910434595E-2</v>
      </c>
      <c r="I3361" s="224" t="s">
        <v>2</v>
      </c>
    </row>
    <row r="3362" spans="1:9" x14ac:dyDescent="0.25">
      <c r="A3362" s="515">
        <v>89084</v>
      </c>
      <c r="B3362" s="515" t="s">
        <v>323</v>
      </c>
      <c r="C3362" s="52">
        <v>426583.91806885198</v>
      </c>
      <c r="D3362" s="56">
        <v>3.5884322383373933E-2</v>
      </c>
      <c r="E3362" s="224">
        <v>1844.7643097642999</v>
      </c>
      <c r="F3362" s="515" t="s">
        <v>584</v>
      </c>
      <c r="G3362" s="52">
        <v>130532.737729788</v>
      </c>
      <c r="H3362" s="56">
        <v>5.0222892026964179E-2</v>
      </c>
      <c r="I3362" s="224" t="s">
        <v>2</v>
      </c>
    </row>
    <row r="3363" spans="1:9" x14ac:dyDescent="0.25">
      <c r="A3363" s="515">
        <v>54401</v>
      </c>
      <c r="B3363" s="515" t="s">
        <v>940</v>
      </c>
      <c r="C3363" s="52">
        <v>187633.151310538</v>
      </c>
      <c r="D3363" s="56">
        <v>3.2613812836238106E-2</v>
      </c>
      <c r="E3363" s="224">
        <v>850</v>
      </c>
      <c r="F3363" s="515" t="s">
        <v>742</v>
      </c>
      <c r="G3363" s="52">
        <v>450761.163098839</v>
      </c>
      <c r="H3363" s="56">
        <v>7.3504589782631635E-2</v>
      </c>
      <c r="I3363" s="224">
        <v>1345</v>
      </c>
    </row>
    <row r="3364" spans="1:9" x14ac:dyDescent="0.25">
      <c r="A3364" s="515">
        <v>71730</v>
      </c>
      <c r="B3364" s="515" t="s">
        <v>838</v>
      </c>
      <c r="C3364" s="52">
        <v>102818.989995165</v>
      </c>
      <c r="D3364" s="56">
        <v>-4.4042107864830114E-2</v>
      </c>
      <c r="E3364" s="224" t="s">
        <v>2</v>
      </c>
      <c r="F3364" s="515" t="s">
        <v>4738</v>
      </c>
      <c r="G3364" s="52">
        <v>600358.40359331795</v>
      </c>
      <c r="H3364" s="56">
        <v>5.3273658169663278E-2</v>
      </c>
      <c r="I3364" s="224" t="s">
        <v>2</v>
      </c>
    </row>
    <row r="3365" spans="1:9" x14ac:dyDescent="0.25">
      <c r="A3365" s="515">
        <v>48071</v>
      </c>
      <c r="B3365" s="515" t="s">
        <v>685</v>
      </c>
      <c r="C3365" s="52">
        <v>189130.47467118601</v>
      </c>
      <c r="D3365" s="56">
        <v>8.7048574929718833E-2</v>
      </c>
      <c r="E3365" s="224">
        <v>1383.05555555555</v>
      </c>
      <c r="F3365" s="515" t="s">
        <v>4739</v>
      </c>
      <c r="G3365" s="52">
        <v>506116.48449135898</v>
      </c>
      <c r="H3365" s="56">
        <v>5.439347907116409E-2</v>
      </c>
      <c r="I3365" s="224">
        <v>1656.8259655377301</v>
      </c>
    </row>
    <row r="3366" spans="1:9" x14ac:dyDescent="0.25">
      <c r="A3366" s="515">
        <v>72703</v>
      </c>
      <c r="B3366" s="515" t="s">
        <v>675</v>
      </c>
      <c r="C3366" s="52">
        <v>338819.41504020803</v>
      </c>
      <c r="D3366" s="56">
        <v>8.9221034098129814E-2</v>
      </c>
      <c r="E3366" s="224">
        <v>1489.44444444444</v>
      </c>
      <c r="F3366" s="515" t="s">
        <v>4740</v>
      </c>
      <c r="G3366" s="52">
        <v>893222.93218181003</v>
      </c>
      <c r="H3366" s="56">
        <v>4.6663859324504738E-2</v>
      </c>
      <c r="I3366" s="224" t="s">
        <v>2</v>
      </c>
    </row>
    <row r="3367" spans="1:9" x14ac:dyDescent="0.25">
      <c r="A3367" s="515">
        <v>46530</v>
      </c>
      <c r="B3367" s="515" t="s">
        <v>1002</v>
      </c>
      <c r="C3367" s="52">
        <v>351432.222198189</v>
      </c>
      <c r="D3367" s="56">
        <v>5.5159522427238393E-2</v>
      </c>
      <c r="E3367" s="224">
        <v>1458.2222222222199</v>
      </c>
      <c r="F3367" s="515" t="s">
        <v>4741</v>
      </c>
      <c r="G3367" s="52">
        <v>312005.91016303201</v>
      </c>
      <c r="H3367" s="56">
        <v>5.8185446834462695E-2</v>
      </c>
      <c r="I3367" s="224">
        <v>1081</v>
      </c>
    </row>
    <row r="3368" spans="1:9" x14ac:dyDescent="0.25">
      <c r="A3368" s="515">
        <v>71603</v>
      </c>
      <c r="B3368" s="515" t="s">
        <v>872</v>
      </c>
      <c r="C3368" s="52">
        <v>96447.299662901103</v>
      </c>
      <c r="D3368" s="56">
        <v>3.1525665674790711E-2</v>
      </c>
      <c r="E3368" s="224" t="s">
        <v>2</v>
      </c>
      <c r="F3368" s="515" t="s">
        <v>4742</v>
      </c>
      <c r="G3368" s="52">
        <v>275289.334409929</v>
      </c>
      <c r="H3368" s="56">
        <v>0.10019062558951569</v>
      </c>
      <c r="I3368" s="224" t="s">
        <v>2</v>
      </c>
    </row>
    <row r="3369" spans="1:9" x14ac:dyDescent="0.25">
      <c r="A3369" s="515">
        <v>16066</v>
      </c>
      <c r="B3369" s="515" t="s">
        <v>297</v>
      </c>
      <c r="C3369" s="52">
        <v>391002.18796303897</v>
      </c>
      <c r="D3369" s="56">
        <v>5.4891722027324751E-2</v>
      </c>
      <c r="E3369" s="224">
        <v>1838.3333333333301</v>
      </c>
      <c r="F3369" s="515" t="s">
        <v>4743</v>
      </c>
      <c r="G3369" s="52">
        <v>141741.83903483901</v>
      </c>
      <c r="H3369" s="56">
        <v>7.8875986531849254E-2</v>
      </c>
      <c r="I3369" s="224" t="s">
        <v>2</v>
      </c>
    </row>
    <row r="3370" spans="1:9" x14ac:dyDescent="0.25">
      <c r="A3370" s="515">
        <v>74074</v>
      </c>
      <c r="B3370" s="515" t="s">
        <v>969</v>
      </c>
      <c r="C3370" s="52">
        <v>220440.811970479</v>
      </c>
      <c r="D3370" s="56">
        <v>3.8176638937601905E-2</v>
      </c>
      <c r="E3370" s="224">
        <v>1275.8333333333301</v>
      </c>
      <c r="F3370" s="515" t="s">
        <v>4744</v>
      </c>
      <c r="G3370" s="52">
        <v>230627.29321770501</v>
      </c>
      <c r="H3370" s="56">
        <v>0.15883756589117087</v>
      </c>
      <c r="I3370" s="224" t="s">
        <v>2</v>
      </c>
    </row>
    <row r="3371" spans="1:9" x14ac:dyDescent="0.25">
      <c r="A3371" s="515">
        <v>33130</v>
      </c>
      <c r="B3371" s="515" t="s">
        <v>831</v>
      </c>
      <c r="C3371" s="52">
        <v>502004.13655813597</v>
      </c>
      <c r="D3371" s="56">
        <v>0.23222954838630275</v>
      </c>
      <c r="E3371" s="224">
        <v>3424.7210730446</v>
      </c>
      <c r="F3371" s="515" t="s">
        <v>4745</v>
      </c>
      <c r="G3371" s="52">
        <v>549502.42040339799</v>
      </c>
      <c r="H3371" s="56">
        <v>8.7315002018664434E-2</v>
      </c>
      <c r="I3371" s="224">
        <v>2422</v>
      </c>
    </row>
    <row r="3372" spans="1:9" x14ac:dyDescent="0.25">
      <c r="A3372" s="515">
        <v>10039</v>
      </c>
      <c r="B3372" s="515" t="s">
        <v>324</v>
      </c>
      <c r="C3372" s="52">
        <v>620222.463729713</v>
      </c>
      <c r="D3372" s="56">
        <v>0.21926073569419752</v>
      </c>
      <c r="E3372" s="224">
        <v>2289.7222222222199</v>
      </c>
      <c r="F3372" s="515" t="s">
        <v>993</v>
      </c>
      <c r="G3372" s="52">
        <v>225095.352919458</v>
      </c>
      <c r="H3372" s="56">
        <v>5.9110692527747255E-2</v>
      </c>
      <c r="I3372" s="224" t="s">
        <v>2</v>
      </c>
    </row>
    <row r="3373" spans="1:9" x14ac:dyDescent="0.25">
      <c r="A3373" s="515">
        <v>97132</v>
      </c>
      <c r="B3373" s="515" t="s">
        <v>659</v>
      </c>
      <c r="C3373" s="52">
        <v>512929.21992048901</v>
      </c>
      <c r="D3373" s="56">
        <v>4.6883871406744396E-2</v>
      </c>
      <c r="E3373" s="224">
        <v>1721.55555555555</v>
      </c>
      <c r="F3373" s="515" t="s">
        <v>719</v>
      </c>
      <c r="G3373" s="52">
        <v>293241.52541603701</v>
      </c>
      <c r="H3373" s="56">
        <v>0.10008229114277704</v>
      </c>
      <c r="I3373" s="224" t="s">
        <v>2</v>
      </c>
    </row>
    <row r="3374" spans="1:9" x14ac:dyDescent="0.25">
      <c r="A3374" s="515">
        <v>91792</v>
      </c>
      <c r="B3374" s="515" t="s">
        <v>375</v>
      </c>
      <c r="C3374" s="52">
        <v>710232.38108727499</v>
      </c>
      <c r="D3374" s="56">
        <v>7.125905522645426E-2</v>
      </c>
      <c r="E3374" s="224">
        <v>2863.3333333333298</v>
      </c>
      <c r="F3374" s="515" t="s">
        <v>4746</v>
      </c>
      <c r="G3374" s="52">
        <v>556304.34076248296</v>
      </c>
      <c r="H3374" s="56">
        <v>7.4078707352594572E-2</v>
      </c>
      <c r="I3374" s="224" t="s">
        <v>2</v>
      </c>
    </row>
    <row r="3375" spans="1:9" x14ac:dyDescent="0.25">
      <c r="A3375" s="515">
        <v>11102</v>
      </c>
      <c r="B3375" s="515" t="s">
        <v>324</v>
      </c>
      <c r="C3375" s="52">
        <v>638549.76147708704</v>
      </c>
      <c r="D3375" s="56">
        <v>-1.3138359127060448E-2</v>
      </c>
      <c r="E3375" s="224">
        <v>2595.68776106933</v>
      </c>
      <c r="F3375" s="515" t="s">
        <v>4747</v>
      </c>
      <c r="G3375" s="52">
        <v>157542.86459676299</v>
      </c>
      <c r="H3375" s="56">
        <v>0.10510321501801652</v>
      </c>
      <c r="I3375" s="224" t="s">
        <v>2</v>
      </c>
    </row>
    <row r="3376" spans="1:9" x14ac:dyDescent="0.25">
      <c r="A3376" s="515">
        <v>23513</v>
      </c>
      <c r="B3376" s="515" t="s">
        <v>301</v>
      </c>
      <c r="C3376" s="52">
        <v>227714.242130948</v>
      </c>
      <c r="D3376" s="56">
        <v>6.645093318975169E-2</v>
      </c>
      <c r="E3376" s="224">
        <v>1449.5</v>
      </c>
      <c r="F3376" s="515" t="s">
        <v>4748</v>
      </c>
      <c r="G3376" s="52">
        <v>318159.77243233903</v>
      </c>
      <c r="H3376" s="56">
        <v>9.9055648751297284E-2</v>
      </c>
      <c r="I3376" s="224" t="s">
        <v>2</v>
      </c>
    </row>
    <row r="3377" spans="1:9" x14ac:dyDescent="0.25">
      <c r="A3377" s="515">
        <v>92116</v>
      </c>
      <c r="B3377" s="515" t="s">
        <v>396</v>
      </c>
      <c r="C3377" s="52">
        <v>855783.21341933205</v>
      </c>
      <c r="D3377" s="56">
        <v>4.3406637536732288E-2</v>
      </c>
      <c r="E3377" s="224">
        <v>2428.3612677527099</v>
      </c>
      <c r="F3377" s="515" t="s">
        <v>4749</v>
      </c>
      <c r="G3377" s="52">
        <v>527038.856541057</v>
      </c>
      <c r="H3377" s="56">
        <v>-6.9501716347375462E-3</v>
      </c>
      <c r="I3377" s="224">
        <v>2484.5238095238001</v>
      </c>
    </row>
    <row r="3378" spans="1:9" x14ac:dyDescent="0.25">
      <c r="A3378" s="515">
        <v>34772</v>
      </c>
      <c r="B3378" s="515" t="s">
        <v>517</v>
      </c>
      <c r="C3378" s="52">
        <v>399741.42271469202</v>
      </c>
      <c r="D3378" s="56">
        <v>0.11235497845321139</v>
      </c>
      <c r="E3378" s="224">
        <v>2354.48888888888</v>
      </c>
      <c r="F3378" s="515" t="s">
        <v>4750</v>
      </c>
      <c r="G3378" s="52">
        <v>139151.491115696</v>
      </c>
      <c r="H3378" s="56">
        <v>5.8754125394333445E-2</v>
      </c>
      <c r="I3378" s="224" t="s">
        <v>2</v>
      </c>
    </row>
    <row r="3379" spans="1:9" x14ac:dyDescent="0.25">
      <c r="A3379" s="515">
        <v>74820</v>
      </c>
      <c r="B3379" s="515" t="s">
        <v>694</v>
      </c>
      <c r="C3379" s="52">
        <v>158007.85735869501</v>
      </c>
      <c r="D3379" s="56">
        <v>0.11619543290731391</v>
      </c>
      <c r="E3379" s="224">
        <v>1045.6666666666599</v>
      </c>
      <c r="F3379" s="515" t="s">
        <v>4751</v>
      </c>
      <c r="G3379" s="52">
        <v>275426.62682479399</v>
      </c>
      <c r="H3379" s="56">
        <v>0.11890561794462538</v>
      </c>
      <c r="I3379" s="224" t="s">
        <v>2</v>
      </c>
    </row>
    <row r="3380" spans="1:9" x14ac:dyDescent="0.25">
      <c r="A3380" s="515">
        <v>45365</v>
      </c>
      <c r="B3380" s="515" t="s">
        <v>329</v>
      </c>
      <c r="C3380" s="52">
        <v>167261.01692898001</v>
      </c>
      <c r="D3380" s="56">
        <v>6.7645655026273163E-2</v>
      </c>
      <c r="E3380" s="224">
        <v>1056.25</v>
      </c>
      <c r="F3380" s="515" t="s">
        <v>4752</v>
      </c>
      <c r="G3380" s="52">
        <v>210189.32197629401</v>
      </c>
      <c r="H3380" s="56">
        <v>1.7926375475444088E-2</v>
      </c>
      <c r="I3380" s="224" t="s">
        <v>2</v>
      </c>
    </row>
    <row r="3381" spans="1:9" x14ac:dyDescent="0.25">
      <c r="A3381" s="515">
        <v>77566</v>
      </c>
      <c r="B3381" s="515" t="s">
        <v>314</v>
      </c>
      <c r="C3381" s="52">
        <v>251150.63316701201</v>
      </c>
      <c r="D3381" s="56">
        <v>4.9115665602715686E-2</v>
      </c>
      <c r="E3381" s="224">
        <v>1586.32222222222</v>
      </c>
      <c r="F3381" s="515" t="s">
        <v>4753</v>
      </c>
      <c r="G3381" s="52">
        <v>226725.30752286001</v>
      </c>
      <c r="H3381" s="56">
        <v>6.2121669698996025E-2</v>
      </c>
      <c r="I3381" s="224" t="s">
        <v>2</v>
      </c>
    </row>
    <row r="3382" spans="1:9" x14ac:dyDescent="0.25">
      <c r="A3382" s="515">
        <v>40065</v>
      </c>
      <c r="B3382" s="515" t="s">
        <v>479</v>
      </c>
      <c r="C3382" s="52">
        <v>260530.64721060701</v>
      </c>
      <c r="D3382" s="56">
        <v>6.0992299040189803E-2</v>
      </c>
      <c r="E3382" s="224">
        <v>1187.5</v>
      </c>
      <c r="F3382" s="515" t="s">
        <v>4754</v>
      </c>
      <c r="G3382" s="52">
        <v>501309.34458413202</v>
      </c>
      <c r="H3382" s="56">
        <v>6.5621049069450585E-2</v>
      </c>
      <c r="I3382" s="224">
        <v>2687.1111111111099</v>
      </c>
    </row>
    <row r="3383" spans="1:9" x14ac:dyDescent="0.25">
      <c r="A3383" s="515">
        <v>92081</v>
      </c>
      <c r="B3383" s="515" t="s">
        <v>396</v>
      </c>
      <c r="C3383" s="52">
        <v>826204.80275593302</v>
      </c>
      <c r="D3383" s="56">
        <v>6.8551878354238399E-2</v>
      </c>
      <c r="E3383" s="224">
        <v>2582.5327635327599</v>
      </c>
      <c r="F3383" s="515" t="s">
        <v>4755</v>
      </c>
      <c r="G3383" s="52">
        <v>284875.309530153</v>
      </c>
      <c r="H3383" s="56">
        <v>9.0661123511954073E-2</v>
      </c>
      <c r="I3383" s="224" t="s">
        <v>2</v>
      </c>
    </row>
    <row r="3384" spans="1:9" x14ac:dyDescent="0.25">
      <c r="A3384" s="515">
        <v>55416</v>
      </c>
      <c r="B3384" s="515" t="s">
        <v>532</v>
      </c>
      <c r="C3384" s="52">
        <v>397295.20093861403</v>
      </c>
      <c r="D3384" s="56">
        <v>2.2977715913463797E-2</v>
      </c>
      <c r="E3384" s="224">
        <v>1791.94545454545</v>
      </c>
      <c r="F3384" s="515" t="s">
        <v>1130</v>
      </c>
      <c r="G3384" s="52">
        <v>80468.600514918799</v>
      </c>
      <c r="H3384" s="56">
        <v>9.157852098050763E-2</v>
      </c>
      <c r="I3384" s="224" t="s">
        <v>2</v>
      </c>
    </row>
    <row r="3385" spans="1:9" x14ac:dyDescent="0.25">
      <c r="A3385" s="515">
        <v>29212</v>
      </c>
      <c r="B3385" s="515" t="s">
        <v>762</v>
      </c>
      <c r="C3385" s="52">
        <v>252079.803306293</v>
      </c>
      <c r="D3385" s="56">
        <v>0.12956342190719608</v>
      </c>
      <c r="E3385" s="224">
        <v>1462.25833333333</v>
      </c>
      <c r="F3385" s="515" t="s">
        <v>4756</v>
      </c>
      <c r="G3385" s="52">
        <v>320460.26773561997</v>
      </c>
      <c r="H3385" s="56">
        <v>1.445363557974731E-2</v>
      </c>
      <c r="I3385" s="224" t="s">
        <v>2</v>
      </c>
    </row>
    <row r="3386" spans="1:9" x14ac:dyDescent="0.25">
      <c r="A3386" s="515">
        <v>97140</v>
      </c>
      <c r="B3386" s="515" t="s">
        <v>659</v>
      </c>
      <c r="C3386" s="52">
        <v>612580.58947246696</v>
      </c>
      <c r="D3386" s="56">
        <v>5.4738185941124944E-2</v>
      </c>
      <c r="E3386" s="224">
        <v>2351.6666666666601</v>
      </c>
      <c r="F3386" s="515" t="s">
        <v>4757</v>
      </c>
      <c r="G3386" s="52">
        <v>406867.32256244402</v>
      </c>
      <c r="H3386" s="56">
        <v>4.2968041436550891E-2</v>
      </c>
      <c r="I3386" s="224" t="s">
        <v>2</v>
      </c>
    </row>
    <row r="3387" spans="1:9" x14ac:dyDescent="0.25">
      <c r="A3387" s="515">
        <v>43614</v>
      </c>
      <c r="B3387" s="515" t="s">
        <v>300</v>
      </c>
      <c r="C3387" s="52">
        <v>161892.28031982199</v>
      </c>
      <c r="D3387" s="56">
        <v>6.1772121078577019E-2</v>
      </c>
      <c r="E3387" s="224">
        <v>1225</v>
      </c>
      <c r="F3387" s="515" t="s">
        <v>4758</v>
      </c>
      <c r="G3387" s="52">
        <v>284787.11405831098</v>
      </c>
      <c r="H3387" s="56">
        <v>6.0948510013570253E-2</v>
      </c>
      <c r="I3387" s="224" t="s">
        <v>2</v>
      </c>
    </row>
    <row r="3388" spans="1:9" x14ac:dyDescent="0.25">
      <c r="A3388" s="515">
        <v>11530</v>
      </c>
      <c r="B3388" s="515" t="s">
        <v>324</v>
      </c>
      <c r="C3388" s="52">
        <v>1027467.10468158</v>
      </c>
      <c r="D3388" s="56">
        <v>4.3689308472430327E-2</v>
      </c>
      <c r="E3388" s="224" t="s">
        <v>2</v>
      </c>
      <c r="F3388" s="515" t="s">
        <v>4759</v>
      </c>
      <c r="G3388" s="52">
        <v>223470.55698350901</v>
      </c>
      <c r="H3388" s="56">
        <v>7.9458620229654608E-2</v>
      </c>
      <c r="I3388" s="224">
        <v>1562.5</v>
      </c>
    </row>
    <row r="3389" spans="1:9" x14ac:dyDescent="0.25">
      <c r="A3389" s="515">
        <v>75901</v>
      </c>
      <c r="B3389" s="515" t="s">
        <v>1141</v>
      </c>
      <c r="C3389" s="52">
        <v>167472.28647279201</v>
      </c>
      <c r="D3389" s="56">
        <v>4.6590128275489508E-2</v>
      </c>
      <c r="E3389" s="224" t="s">
        <v>2</v>
      </c>
      <c r="F3389" s="515" t="s">
        <v>4760</v>
      </c>
      <c r="G3389" s="52">
        <v>490280.083328026</v>
      </c>
      <c r="H3389" s="56">
        <v>7.128830857651379E-2</v>
      </c>
      <c r="I3389" s="224">
        <v>1714.7936507936499</v>
      </c>
    </row>
    <row r="3390" spans="1:9" x14ac:dyDescent="0.25">
      <c r="A3390" s="515">
        <v>97471</v>
      </c>
      <c r="B3390" s="515" t="s">
        <v>449</v>
      </c>
      <c r="C3390" s="52">
        <v>355946.289097164</v>
      </c>
      <c r="D3390" s="56">
        <v>5.765388362362675E-2</v>
      </c>
      <c r="E3390" s="224" t="s">
        <v>2</v>
      </c>
      <c r="F3390" s="515" t="s">
        <v>4761</v>
      </c>
      <c r="G3390" s="52">
        <v>202160.283005134</v>
      </c>
      <c r="H3390" s="56">
        <v>0.11101463273083051</v>
      </c>
      <c r="I3390" s="224" t="s">
        <v>2</v>
      </c>
    </row>
    <row r="3391" spans="1:9" x14ac:dyDescent="0.25">
      <c r="A3391" s="515">
        <v>17111</v>
      </c>
      <c r="B3391" s="515" t="s">
        <v>428</v>
      </c>
      <c r="C3391" s="52">
        <v>244645.62052444799</v>
      </c>
      <c r="D3391" s="56">
        <v>0.10700877617587404</v>
      </c>
      <c r="E3391" s="224">
        <v>1620</v>
      </c>
      <c r="F3391" s="515" t="s">
        <v>4762</v>
      </c>
      <c r="G3391" s="52">
        <v>226866.07071207999</v>
      </c>
      <c r="H3391" s="56">
        <v>4.0708052902232117E-2</v>
      </c>
      <c r="I3391" s="224" t="s">
        <v>2</v>
      </c>
    </row>
    <row r="3392" spans="1:9" x14ac:dyDescent="0.25">
      <c r="A3392" s="515">
        <v>87505</v>
      </c>
      <c r="B3392" s="515" t="s">
        <v>926</v>
      </c>
      <c r="C3392" s="52">
        <v>506174.12016531097</v>
      </c>
      <c r="D3392" s="56">
        <v>5.8836338181046811E-2</v>
      </c>
      <c r="E3392" s="224">
        <v>1831.1729797979799</v>
      </c>
      <c r="F3392" s="515" t="s">
        <v>4763</v>
      </c>
      <c r="G3392" s="52">
        <v>191044.09296337501</v>
      </c>
      <c r="H3392" s="56">
        <v>-1.1731183914668023E-2</v>
      </c>
      <c r="I3392" s="224" t="s">
        <v>2</v>
      </c>
    </row>
    <row r="3393" spans="1:9" x14ac:dyDescent="0.25">
      <c r="A3393" s="515">
        <v>92673</v>
      </c>
      <c r="B3393" s="515" t="s">
        <v>375</v>
      </c>
      <c r="C3393" s="52">
        <v>1406662.9323617399</v>
      </c>
      <c r="D3393" s="56">
        <v>0.10346500558153288</v>
      </c>
      <c r="E3393" s="224">
        <v>5165.8333333333303</v>
      </c>
      <c r="F3393" s="515" t="s">
        <v>4764</v>
      </c>
      <c r="G3393" s="52">
        <v>50101.211659301</v>
      </c>
      <c r="H3393" s="56">
        <v>0.16463368081860472</v>
      </c>
      <c r="I3393" s="224">
        <v>802.33333333333303</v>
      </c>
    </row>
    <row r="3394" spans="1:9" x14ac:dyDescent="0.25">
      <c r="A3394" s="515">
        <v>94526</v>
      </c>
      <c r="B3394" s="515" t="s">
        <v>593</v>
      </c>
      <c r="C3394" s="52">
        <v>1634485.33308134</v>
      </c>
      <c r="D3394" s="56">
        <v>1.8204130457619174E-2</v>
      </c>
      <c r="E3394" s="224">
        <v>4008.1746031746002</v>
      </c>
      <c r="F3394" s="515" t="s">
        <v>4765</v>
      </c>
      <c r="G3394" s="52">
        <v>471374.66389312502</v>
      </c>
      <c r="H3394" s="56">
        <v>3.0430898450794192E-2</v>
      </c>
      <c r="I3394" s="224" t="s">
        <v>2</v>
      </c>
    </row>
    <row r="3395" spans="1:9" x14ac:dyDescent="0.25">
      <c r="A3395" s="515">
        <v>53719</v>
      </c>
      <c r="B3395" s="515" t="s">
        <v>727</v>
      </c>
      <c r="C3395" s="52">
        <v>355232.83887182601</v>
      </c>
      <c r="D3395" s="56">
        <v>6.145261688997479E-2</v>
      </c>
      <c r="E3395" s="224">
        <v>1600.2</v>
      </c>
      <c r="F3395" s="515" t="s">
        <v>4766</v>
      </c>
      <c r="G3395" s="52">
        <v>346505.90903387999</v>
      </c>
      <c r="H3395" s="56">
        <v>2.8203857711422101E-2</v>
      </c>
      <c r="I3395" s="224" t="s">
        <v>2</v>
      </c>
    </row>
    <row r="3396" spans="1:9" x14ac:dyDescent="0.25">
      <c r="A3396" s="515">
        <v>70068</v>
      </c>
      <c r="B3396" s="515" t="s">
        <v>777</v>
      </c>
      <c r="C3396" s="52">
        <v>184987.992465619</v>
      </c>
      <c r="D3396" s="56">
        <v>-5.0515325008721024E-2</v>
      </c>
      <c r="E3396" s="224">
        <v>1619.1666666666599</v>
      </c>
      <c r="F3396" s="515" t="s">
        <v>4767</v>
      </c>
      <c r="G3396" s="52">
        <v>201878.11411803699</v>
      </c>
      <c r="H3396" s="56">
        <v>0.11653385910313094</v>
      </c>
      <c r="I3396" s="224">
        <v>1750</v>
      </c>
    </row>
    <row r="3397" spans="1:9" x14ac:dyDescent="0.25">
      <c r="A3397" s="515">
        <v>66049</v>
      </c>
      <c r="B3397" s="515" t="s">
        <v>1116</v>
      </c>
      <c r="C3397" s="52">
        <v>331273.46286571497</v>
      </c>
      <c r="D3397" s="56">
        <v>4.9395757615373945E-2</v>
      </c>
      <c r="E3397" s="224">
        <v>1666.25</v>
      </c>
      <c r="F3397" s="515" t="s">
        <v>1052</v>
      </c>
      <c r="G3397" s="52">
        <v>198526.67321150599</v>
      </c>
      <c r="H3397" s="56">
        <v>0.11156361316473164</v>
      </c>
      <c r="I3397" s="224" t="s">
        <v>2</v>
      </c>
    </row>
    <row r="3398" spans="1:9" x14ac:dyDescent="0.25">
      <c r="A3398" s="515">
        <v>21015</v>
      </c>
      <c r="B3398" s="515" t="s">
        <v>582</v>
      </c>
      <c r="C3398" s="52">
        <v>420051.33174823498</v>
      </c>
      <c r="D3398" s="56">
        <v>4.1467671981400431E-2</v>
      </c>
      <c r="E3398" s="224">
        <v>1583.63333333333</v>
      </c>
      <c r="F3398" s="515" t="s">
        <v>4768</v>
      </c>
      <c r="G3398" s="52">
        <v>248682.695359381</v>
      </c>
      <c r="H3398" s="56">
        <v>4.3029426528003345E-2</v>
      </c>
      <c r="I3398" s="224" t="s">
        <v>2</v>
      </c>
    </row>
    <row r="3399" spans="1:9" x14ac:dyDescent="0.25">
      <c r="A3399" s="515">
        <v>37323</v>
      </c>
      <c r="B3399" s="515" t="s">
        <v>918</v>
      </c>
      <c r="C3399" s="52">
        <v>237856.94506253899</v>
      </c>
      <c r="D3399" s="56">
        <v>9.1465730616904758E-2</v>
      </c>
      <c r="E3399" s="224" t="s">
        <v>2</v>
      </c>
      <c r="F3399" s="515" t="s">
        <v>4769</v>
      </c>
      <c r="G3399" s="52">
        <v>124748.586866303</v>
      </c>
      <c r="H3399" s="56">
        <v>9.3063727927161458E-2</v>
      </c>
      <c r="I3399" s="224" t="s">
        <v>2</v>
      </c>
    </row>
    <row r="3400" spans="1:9" x14ac:dyDescent="0.25">
      <c r="A3400" s="515">
        <v>74501</v>
      </c>
      <c r="B3400" s="515" t="s">
        <v>451</v>
      </c>
      <c r="C3400" s="52">
        <v>128960.029376408</v>
      </c>
      <c r="D3400" s="56">
        <v>9.443619280160212E-2</v>
      </c>
      <c r="E3400" s="224" t="s">
        <v>2</v>
      </c>
      <c r="F3400" s="515" t="s">
        <v>4770</v>
      </c>
      <c r="G3400" s="52">
        <v>185287.956341685</v>
      </c>
      <c r="H3400" s="56">
        <v>7.0465524425794027E-2</v>
      </c>
      <c r="I3400" s="224" t="s">
        <v>2</v>
      </c>
    </row>
    <row r="3401" spans="1:9" x14ac:dyDescent="0.25">
      <c r="A3401" s="515">
        <v>97086</v>
      </c>
      <c r="B3401" s="515" t="s">
        <v>659</v>
      </c>
      <c r="C3401" s="52">
        <v>675718.54236170801</v>
      </c>
      <c r="D3401" s="56">
        <v>3.7157067290622708E-2</v>
      </c>
      <c r="E3401" s="224">
        <v>1690.94444444444</v>
      </c>
      <c r="F3401" s="515" t="s">
        <v>4771</v>
      </c>
      <c r="G3401" s="52">
        <v>589889.60465044004</v>
      </c>
      <c r="H3401" s="56">
        <v>2.9832393305386277E-2</v>
      </c>
      <c r="I3401" s="224" t="s">
        <v>2</v>
      </c>
    </row>
    <row r="3402" spans="1:9" x14ac:dyDescent="0.25">
      <c r="A3402" s="515">
        <v>21239</v>
      </c>
      <c r="B3402" s="515" t="s">
        <v>582</v>
      </c>
      <c r="C3402" s="52">
        <v>189336.42191193099</v>
      </c>
      <c r="D3402" s="56">
        <v>7.1339945820107512E-2</v>
      </c>
      <c r="E3402" s="224">
        <v>1421.6619047618999</v>
      </c>
      <c r="F3402" s="515" t="s">
        <v>4772</v>
      </c>
      <c r="G3402" s="52">
        <v>288197.94014092401</v>
      </c>
      <c r="H3402" s="56">
        <v>8.978532853227085E-2</v>
      </c>
      <c r="I3402" s="224">
        <v>1574.87037037037</v>
      </c>
    </row>
    <row r="3403" spans="1:9" x14ac:dyDescent="0.25">
      <c r="A3403" s="515">
        <v>21213</v>
      </c>
      <c r="B3403" s="515" t="s">
        <v>582</v>
      </c>
      <c r="C3403" s="52">
        <v>108659.660751822</v>
      </c>
      <c r="D3403" s="56">
        <v>0.10196476446600865</v>
      </c>
      <c r="E3403" s="224">
        <v>1440.1119047619</v>
      </c>
      <c r="F3403" s="515" t="s">
        <v>4773</v>
      </c>
      <c r="G3403" s="52">
        <v>123874.86878735499</v>
      </c>
      <c r="H3403" s="56">
        <v>0.13470836919087076</v>
      </c>
      <c r="I3403" s="224" t="s">
        <v>2</v>
      </c>
    </row>
    <row r="3404" spans="1:9" x14ac:dyDescent="0.25">
      <c r="A3404" s="515">
        <v>74066</v>
      </c>
      <c r="B3404" s="515" t="s">
        <v>348</v>
      </c>
      <c r="C3404" s="52">
        <v>167868.19052930301</v>
      </c>
      <c r="D3404" s="56">
        <v>5.028645256063663E-2</v>
      </c>
      <c r="E3404" s="224">
        <v>1299.5</v>
      </c>
      <c r="F3404" s="515" t="s">
        <v>4774</v>
      </c>
      <c r="G3404" s="52">
        <v>420584.45311337902</v>
      </c>
      <c r="H3404" s="56">
        <v>7.1664160994271767E-2</v>
      </c>
      <c r="I3404" s="224" t="s">
        <v>2</v>
      </c>
    </row>
    <row r="3405" spans="1:9" x14ac:dyDescent="0.25">
      <c r="A3405" s="515">
        <v>81007</v>
      </c>
      <c r="B3405" s="515" t="s">
        <v>1003</v>
      </c>
      <c r="C3405" s="52">
        <v>390800.16169188003</v>
      </c>
      <c r="D3405" s="56">
        <v>1.8978668265513737E-2</v>
      </c>
      <c r="E3405" s="224">
        <v>1531.25</v>
      </c>
      <c r="F3405" s="515" t="s">
        <v>4775</v>
      </c>
      <c r="G3405" s="52">
        <v>530479.49922372506</v>
      </c>
      <c r="H3405" s="56">
        <v>4.0499582074777336E-2</v>
      </c>
      <c r="I3405" s="224">
        <v>2306.25</v>
      </c>
    </row>
    <row r="3406" spans="1:9" x14ac:dyDescent="0.25">
      <c r="A3406" s="515">
        <v>18940</v>
      </c>
      <c r="B3406" s="515" t="s">
        <v>294</v>
      </c>
      <c r="C3406" s="52">
        <v>604348.41115681804</v>
      </c>
      <c r="D3406" s="56">
        <v>6.9695108293411662E-2</v>
      </c>
      <c r="E3406" s="224">
        <v>2474.1666666666601</v>
      </c>
      <c r="F3406" s="515" t="s">
        <v>4776</v>
      </c>
      <c r="G3406" s="52">
        <v>436988.756171096</v>
      </c>
      <c r="H3406" s="56">
        <v>5.1073886081368279E-2</v>
      </c>
      <c r="I3406" s="224" t="s">
        <v>2</v>
      </c>
    </row>
    <row r="3407" spans="1:9" x14ac:dyDescent="0.25">
      <c r="A3407" s="515">
        <v>94580</v>
      </c>
      <c r="B3407" s="515" t="s">
        <v>593</v>
      </c>
      <c r="C3407" s="52">
        <v>799458.89772650797</v>
      </c>
      <c r="D3407" s="56">
        <v>3.2946603540470313E-3</v>
      </c>
      <c r="E3407" s="224">
        <v>3183.3333333333298</v>
      </c>
      <c r="F3407" s="515" t="s">
        <v>4777</v>
      </c>
      <c r="G3407" s="52">
        <v>1399583.31753465</v>
      </c>
      <c r="H3407" s="56">
        <v>6.4029205462532976E-2</v>
      </c>
      <c r="I3407" s="224" t="s">
        <v>2</v>
      </c>
    </row>
    <row r="3408" spans="1:9" x14ac:dyDescent="0.25">
      <c r="A3408" s="515">
        <v>52761</v>
      </c>
      <c r="B3408" s="515" t="s">
        <v>755</v>
      </c>
      <c r="C3408" s="52">
        <v>161714.90478772199</v>
      </c>
      <c r="D3408" s="56">
        <v>6.5060434746778861E-2</v>
      </c>
      <c r="E3408" s="224">
        <v>900</v>
      </c>
      <c r="F3408" s="515" t="s">
        <v>4778</v>
      </c>
      <c r="G3408" s="52">
        <v>404216.12351744203</v>
      </c>
      <c r="H3408" s="56">
        <v>0.15170935382435005</v>
      </c>
      <c r="I3408" s="224">
        <v>2804.1255341880301</v>
      </c>
    </row>
    <row r="3409" spans="1:9" x14ac:dyDescent="0.25">
      <c r="A3409" s="515">
        <v>11731</v>
      </c>
      <c r="B3409" s="515" t="s">
        <v>324</v>
      </c>
      <c r="C3409" s="52">
        <v>627080.37764681503</v>
      </c>
      <c r="D3409" s="56">
        <v>5.0745917088027853E-6</v>
      </c>
      <c r="E3409" s="224" t="s">
        <v>2</v>
      </c>
      <c r="F3409" s="515" t="s">
        <v>4779</v>
      </c>
      <c r="G3409" s="52">
        <v>221912.840940569</v>
      </c>
      <c r="H3409" s="56">
        <v>5.7572807625038164E-2</v>
      </c>
      <c r="I3409" s="224">
        <v>1372.5</v>
      </c>
    </row>
    <row r="3410" spans="1:9" x14ac:dyDescent="0.25">
      <c r="A3410" s="515">
        <v>93420</v>
      </c>
      <c r="B3410" s="515" t="s">
        <v>959</v>
      </c>
      <c r="C3410" s="52">
        <v>911067.36679418001</v>
      </c>
      <c r="D3410" s="56">
        <v>4.3754339942588594E-2</v>
      </c>
      <c r="E3410" s="224" t="s">
        <v>2</v>
      </c>
      <c r="F3410" s="515" t="s">
        <v>4780</v>
      </c>
      <c r="G3410" s="52">
        <v>128308.629810288</v>
      </c>
      <c r="H3410" s="56">
        <v>1.0468387185235394E-2</v>
      </c>
      <c r="I3410" s="224" t="s">
        <v>2</v>
      </c>
    </row>
    <row r="3411" spans="1:9" x14ac:dyDescent="0.25">
      <c r="A3411" s="515">
        <v>15001</v>
      </c>
      <c r="B3411" s="515" t="s">
        <v>297</v>
      </c>
      <c r="C3411" s="52">
        <v>165874.29405128499</v>
      </c>
      <c r="D3411" s="56">
        <v>2.5933522349906136E-2</v>
      </c>
      <c r="E3411" s="224">
        <v>1344.55555555555</v>
      </c>
      <c r="F3411" s="515" t="s">
        <v>4781</v>
      </c>
      <c r="G3411" s="52">
        <v>201208.14486263401</v>
      </c>
      <c r="H3411" s="56">
        <v>0.14529339059951804</v>
      </c>
      <c r="I3411" s="224" t="s">
        <v>2</v>
      </c>
    </row>
    <row r="3412" spans="1:9" x14ac:dyDescent="0.25">
      <c r="A3412" s="515">
        <v>92262</v>
      </c>
      <c r="B3412" s="515" t="s">
        <v>599</v>
      </c>
      <c r="C3412" s="52">
        <v>674662.68941617699</v>
      </c>
      <c r="D3412" s="56">
        <v>9.7054222087303729E-2</v>
      </c>
      <c r="E3412" s="224">
        <v>2282.86243386243</v>
      </c>
      <c r="F3412" s="515" t="s">
        <v>4782</v>
      </c>
      <c r="G3412" s="52">
        <v>132402.19657524899</v>
      </c>
      <c r="H3412" s="56">
        <v>9.5064606021179762E-2</v>
      </c>
      <c r="I3412" s="224" t="s">
        <v>2</v>
      </c>
    </row>
    <row r="3413" spans="1:9" x14ac:dyDescent="0.25">
      <c r="A3413" s="515">
        <v>75181</v>
      </c>
      <c r="B3413" s="515" t="s">
        <v>458</v>
      </c>
      <c r="C3413" s="52">
        <v>324697.47423433798</v>
      </c>
      <c r="D3413" s="56">
        <v>7.5852743500281108E-2</v>
      </c>
      <c r="E3413" s="224">
        <v>2450.38888888888</v>
      </c>
      <c r="F3413" s="515" t="s">
        <v>776</v>
      </c>
      <c r="G3413" s="52">
        <v>165877.07192301401</v>
      </c>
      <c r="H3413" s="56">
        <v>5.2601220012304141E-2</v>
      </c>
      <c r="I3413" s="224" t="s">
        <v>2</v>
      </c>
    </row>
    <row r="3414" spans="1:9" x14ac:dyDescent="0.25">
      <c r="A3414" s="515">
        <v>30324</v>
      </c>
      <c r="B3414" s="515" t="s">
        <v>957</v>
      </c>
      <c r="C3414" s="52">
        <v>472435.66992870101</v>
      </c>
      <c r="D3414" s="56">
        <v>1.6691968943325461E-2</v>
      </c>
      <c r="E3414" s="224">
        <v>1856.2586710570699</v>
      </c>
      <c r="F3414" s="515" t="s">
        <v>4783</v>
      </c>
      <c r="G3414" s="52">
        <v>861142.02071100101</v>
      </c>
      <c r="H3414" s="56">
        <v>4.9431021615406745E-2</v>
      </c>
      <c r="I3414" s="224" t="s">
        <v>2</v>
      </c>
    </row>
    <row r="3415" spans="1:9" x14ac:dyDescent="0.25">
      <c r="A3415" s="515">
        <v>74464</v>
      </c>
      <c r="B3415" s="515" t="s">
        <v>899</v>
      </c>
      <c r="C3415" s="52">
        <v>167667.799677228</v>
      </c>
      <c r="D3415" s="56">
        <v>0.10869063153253117</v>
      </c>
      <c r="E3415" s="224" t="s">
        <v>2</v>
      </c>
      <c r="F3415" s="515" t="s">
        <v>4784</v>
      </c>
      <c r="G3415" s="52">
        <v>472534.24508303602</v>
      </c>
      <c r="H3415" s="56">
        <v>7.0837262230562623E-2</v>
      </c>
      <c r="I3415" s="224" t="s">
        <v>2</v>
      </c>
    </row>
    <row r="3416" spans="1:9" x14ac:dyDescent="0.25">
      <c r="A3416" s="515">
        <v>18704</v>
      </c>
      <c r="B3416" s="515" t="s">
        <v>512</v>
      </c>
      <c r="C3416" s="52">
        <v>161521.88806745899</v>
      </c>
      <c r="D3416" s="56">
        <v>7.1191420957220378E-2</v>
      </c>
      <c r="E3416" s="224">
        <v>1202.2222222222199</v>
      </c>
      <c r="F3416" s="515" t="s">
        <v>4785</v>
      </c>
      <c r="G3416" s="52">
        <v>451718.42251694499</v>
      </c>
      <c r="H3416" s="56">
        <v>3.4262549619008494E-2</v>
      </c>
      <c r="I3416" s="224" t="s">
        <v>2</v>
      </c>
    </row>
    <row r="3417" spans="1:9" x14ac:dyDescent="0.25">
      <c r="A3417" s="515">
        <v>81504</v>
      </c>
      <c r="B3417" s="515" t="s">
        <v>619</v>
      </c>
      <c r="C3417" s="52">
        <v>332993.22170676501</v>
      </c>
      <c r="D3417" s="56">
        <v>4.7642818712576009E-2</v>
      </c>
      <c r="E3417" s="224" t="s">
        <v>2</v>
      </c>
      <c r="F3417" s="515" t="s">
        <v>4786</v>
      </c>
      <c r="G3417" s="52">
        <v>123217.890863807</v>
      </c>
      <c r="H3417" s="56">
        <v>8.7424009699410873E-2</v>
      </c>
      <c r="I3417" s="224" t="s">
        <v>2</v>
      </c>
    </row>
    <row r="3418" spans="1:9" x14ac:dyDescent="0.25">
      <c r="A3418" s="515">
        <v>8003</v>
      </c>
      <c r="B3418" s="515" t="s">
        <v>294</v>
      </c>
      <c r="C3418" s="52">
        <v>433436.33648967103</v>
      </c>
      <c r="D3418" s="56">
        <v>9.0803878616490336E-2</v>
      </c>
      <c r="E3418" s="224" t="s">
        <v>2</v>
      </c>
      <c r="F3418" s="515" t="s">
        <v>4787</v>
      </c>
      <c r="G3418" s="52">
        <v>305435.17371384898</v>
      </c>
      <c r="H3418" s="56">
        <v>8.3733660782284253E-2</v>
      </c>
      <c r="I3418" s="224" t="s">
        <v>2</v>
      </c>
    </row>
    <row r="3419" spans="1:9" x14ac:dyDescent="0.25">
      <c r="A3419" s="515">
        <v>11422</v>
      </c>
      <c r="B3419" s="515" t="s">
        <v>324</v>
      </c>
      <c r="C3419" s="52">
        <v>616965.13103206805</v>
      </c>
      <c r="D3419" s="56">
        <v>5.5595225624121607E-2</v>
      </c>
      <c r="E3419" s="224" t="s">
        <v>2</v>
      </c>
      <c r="F3419" s="515" t="s">
        <v>4788</v>
      </c>
      <c r="G3419" s="52">
        <v>299088.10849147302</v>
      </c>
      <c r="H3419" s="56">
        <v>0.18188026234374169</v>
      </c>
      <c r="I3419" s="224" t="s">
        <v>2</v>
      </c>
    </row>
    <row r="3420" spans="1:9" x14ac:dyDescent="0.25">
      <c r="A3420" s="515">
        <v>92120</v>
      </c>
      <c r="B3420" s="515" t="s">
        <v>396</v>
      </c>
      <c r="C3420" s="52">
        <v>909654.94916047296</v>
      </c>
      <c r="D3420" s="56">
        <v>5.9080224925375319E-2</v>
      </c>
      <c r="E3420" s="224">
        <v>2861.13888888888</v>
      </c>
      <c r="F3420" s="515" t="s">
        <v>4789</v>
      </c>
      <c r="G3420" s="52">
        <v>453458.59345688199</v>
      </c>
      <c r="H3420" s="56">
        <v>6.6142701256307293E-2</v>
      </c>
      <c r="I3420" s="224" t="s">
        <v>2</v>
      </c>
    </row>
    <row r="3421" spans="1:9" x14ac:dyDescent="0.25">
      <c r="A3421" s="515">
        <v>20879</v>
      </c>
      <c r="B3421" s="515" t="s">
        <v>321</v>
      </c>
      <c r="C3421" s="52">
        <v>399853.51803306199</v>
      </c>
      <c r="D3421" s="56">
        <v>4.0580036947192505E-2</v>
      </c>
      <c r="E3421" s="224">
        <v>1800.13888888888</v>
      </c>
      <c r="F3421" s="515" t="s">
        <v>4790</v>
      </c>
      <c r="G3421" s="52">
        <v>355936.67181869398</v>
      </c>
      <c r="H3421" s="56">
        <v>6.2832595227540575E-2</v>
      </c>
      <c r="I3421" s="224">
        <v>2072.1</v>
      </c>
    </row>
    <row r="3422" spans="1:9" x14ac:dyDescent="0.25">
      <c r="A3422" s="515">
        <v>44133</v>
      </c>
      <c r="B3422" s="515" t="s">
        <v>520</v>
      </c>
      <c r="C3422" s="52">
        <v>279569.97446449299</v>
      </c>
      <c r="D3422" s="56">
        <v>7.4115363802641304E-2</v>
      </c>
      <c r="E3422" s="224" t="s">
        <v>2</v>
      </c>
      <c r="F3422" s="515" t="s">
        <v>4791</v>
      </c>
      <c r="G3422" s="52">
        <v>145883.724096566</v>
      </c>
      <c r="H3422" s="56">
        <v>6.6751735851281607E-2</v>
      </c>
      <c r="I3422" s="224">
        <v>1113.3333333333301</v>
      </c>
    </row>
    <row r="3423" spans="1:9" x14ac:dyDescent="0.25">
      <c r="A3423" s="515">
        <v>31601</v>
      </c>
      <c r="B3423" s="515" t="s">
        <v>505</v>
      </c>
      <c r="C3423" s="52">
        <v>87628.778055678602</v>
      </c>
      <c r="D3423" s="56">
        <v>7.3489444843102214E-2</v>
      </c>
      <c r="E3423" s="224" t="s">
        <v>2</v>
      </c>
      <c r="F3423" s="515" t="s">
        <v>4792</v>
      </c>
      <c r="G3423" s="52">
        <v>363437.18605115701</v>
      </c>
      <c r="H3423" s="56">
        <v>6.6752578300306939E-2</v>
      </c>
      <c r="I3423" s="224">
        <v>1400</v>
      </c>
    </row>
    <row r="3424" spans="1:9" x14ac:dyDescent="0.25">
      <c r="A3424" s="515">
        <v>99207</v>
      </c>
      <c r="B3424" s="515" t="s">
        <v>820</v>
      </c>
      <c r="C3424" s="52">
        <v>273534.704504314</v>
      </c>
      <c r="D3424" s="56">
        <v>5.6416905881969015E-2</v>
      </c>
      <c r="E3424" s="224">
        <v>1238.3333333333301</v>
      </c>
      <c r="F3424" s="515" t="s">
        <v>4793</v>
      </c>
      <c r="G3424" s="52">
        <v>569895.97897361103</v>
      </c>
      <c r="H3424" s="56">
        <v>0.17669620244289042</v>
      </c>
      <c r="I3424" s="224">
        <v>2660.35</v>
      </c>
    </row>
    <row r="3425" spans="1:9" x14ac:dyDescent="0.25">
      <c r="A3425" s="515">
        <v>7050</v>
      </c>
      <c r="B3425" s="515" t="s">
        <v>324</v>
      </c>
      <c r="C3425" s="52">
        <v>345683.50462973601</v>
      </c>
      <c r="D3425" s="56">
        <v>8.2332573095586406E-2</v>
      </c>
      <c r="E3425" s="224">
        <v>1657.5</v>
      </c>
      <c r="F3425" s="515" t="s">
        <v>4794</v>
      </c>
      <c r="G3425" s="52">
        <v>355545.698752228</v>
      </c>
      <c r="H3425" s="56">
        <v>0</v>
      </c>
      <c r="I3425" s="224" t="s">
        <v>2</v>
      </c>
    </row>
    <row r="3426" spans="1:9" x14ac:dyDescent="0.25">
      <c r="A3426" s="515">
        <v>61704</v>
      </c>
      <c r="B3426" s="515" t="s">
        <v>645</v>
      </c>
      <c r="C3426" s="52">
        <v>267824.63614610297</v>
      </c>
      <c r="D3426" s="56">
        <v>0.11471329554979014</v>
      </c>
      <c r="E3426" s="224">
        <v>1206.25</v>
      </c>
      <c r="F3426" s="515" t="s">
        <v>4795</v>
      </c>
      <c r="G3426" s="52">
        <v>220787.52554546201</v>
      </c>
      <c r="H3426" s="56">
        <v>0.14542505786639293</v>
      </c>
      <c r="I3426" s="224">
        <v>1460</v>
      </c>
    </row>
    <row r="3427" spans="1:9" x14ac:dyDescent="0.25">
      <c r="A3427" s="515">
        <v>45215</v>
      </c>
      <c r="B3427" s="515" t="s">
        <v>344</v>
      </c>
      <c r="C3427" s="52">
        <v>198281.549010902</v>
      </c>
      <c r="D3427" s="56">
        <v>0.10233890236471316</v>
      </c>
      <c r="E3427" s="224">
        <v>1499.81111111111</v>
      </c>
      <c r="F3427" s="515" t="s">
        <v>4796</v>
      </c>
      <c r="G3427" s="52">
        <v>308559.68819423398</v>
      </c>
      <c r="H3427" s="56">
        <v>4.5694859072269917E-2</v>
      </c>
      <c r="I3427" s="224" t="s">
        <v>2</v>
      </c>
    </row>
    <row r="3428" spans="1:9" x14ac:dyDescent="0.25">
      <c r="A3428" s="515">
        <v>11417</v>
      </c>
      <c r="B3428" s="515" t="s">
        <v>324</v>
      </c>
      <c r="C3428" s="52">
        <v>656349.24132778903</v>
      </c>
      <c r="D3428" s="56">
        <v>4.6173124970197502E-2</v>
      </c>
      <c r="E3428" s="224">
        <v>2900</v>
      </c>
      <c r="F3428" s="515" t="s">
        <v>4797</v>
      </c>
      <c r="G3428" s="52">
        <v>405122.95726398</v>
      </c>
      <c r="H3428" s="56">
        <v>3.688441635596406E-2</v>
      </c>
      <c r="I3428" s="224" t="s">
        <v>2</v>
      </c>
    </row>
    <row r="3429" spans="1:9" x14ac:dyDescent="0.25">
      <c r="A3429" s="515">
        <v>6111</v>
      </c>
      <c r="B3429" s="515" t="s">
        <v>894</v>
      </c>
      <c r="C3429" s="52">
        <v>283104.51457423298</v>
      </c>
      <c r="D3429" s="56">
        <v>0.12385020841169481</v>
      </c>
      <c r="E3429" s="224" t="s">
        <v>2</v>
      </c>
      <c r="F3429" s="515" t="s">
        <v>4798</v>
      </c>
      <c r="G3429" s="52">
        <v>201717.44499380601</v>
      </c>
      <c r="H3429" s="56">
        <v>3.113731858099341E-2</v>
      </c>
      <c r="I3429" s="224" t="s">
        <v>2</v>
      </c>
    </row>
    <row r="3430" spans="1:9" x14ac:dyDescent="0.25">
      <c r="A3430" s="515">
        <v>91316</v>
      </c>
      <c r="B3430" s="515" t="s">
        <v>375</v>
      </c>
      <c r="C3430" s="52">
        <v>900586.07278114301</v>
      </c>
      <c r="D3430" s="56">
        <v>1.9219663730522151E-2</v>
      </c>
      <c r="E3430" s="224">
        <v>2925.9333333333302</v>
      </c>
      <c r="F3430" s="515" t="s">
        <v>4799</v>
      </c>
      <c r="G3430" s="52">
        <v>207939.52345023799</v>
      </c>
      <c r="H3430" s="56">
        <v>8.0178067077710136E-2</v>
      </c>
      <c r="I3430" s="224" t="s">
        <v>2</v>
      </c>
    </row>
    <row r="3431" spans="1:9" x14ac:dyDescent="0.25">
      <c r="A3431" s="515">
        <v>45662</v>
      </c>
      <c r="B3431" s="515" t="s">
        <v>772</v>
      </c>
      <c r="C3431" s="52">
        <v>76443.699689207599</v>
      </c>
      <c r="D3431" s="56">
        <v>0.12489854721677415</v>
      </c>
      <c r="E3431" s="224" t="s">
        <v>2</v>
      </c>
      <c r="F3431" s="515" t="s">
        <v>4800</v>
      </c>
      <c r="G3431" s="52">
        <v>375230.61173285398</v>
      </c>
      <c r="H3431" s="56">
        <v>3.788387541847011E-2</v>
      </c>
      <c r="I3431" s="224" t="s">
        <v>2</v>
      </c>
    </row>
    <row r="3432" spans="1:9" x14ac:dyDescent="0.25">
      <c r="A3432" s="515">
        <v>56401</v>
      </c>
      <c r="B3432" s="515" t="s">
        <v>674</v>
      </c>
      <c r="C3432" s="52">
        <v>266050.40280775598</v>
      </c>
      <c r="D3432" s="56">
        <v>9.7029559090776568E-2</v>
      </c>
      <c r="E3432" s="224" t="s">
        <v>2</v>
      </c>
      <c r="F3432" s="515" t="s">
        <v>4801</v>
      </c>
      <c r="G3432" s="52">
        <v>535400.10551637597</v>
      </c>
      <c r="H3432" s="56">
        <v>3.2772889266966539E-2</v>
      </c>
      <c r="I3432" s="224" t="s">
        <v>2</v>
      </c>
    </row>
    <row r="3433" spans="1:9" x14ac:dyDescent="0.25">
      <c r="A3433" s="515">
        <v>41051</v>
      </c>
      <c r="B3433" s="515" t="s">
        <v>344</v>
      </c>
      <c r="C3433" s="52">
        <v>271011.97756607301</v>
      </c>
      <c r="D3433" s="56">
        <v>7.0503537987554529E-2</v>
      </c>
      <c r="E3433" s="224">
        <v>1976.875</v>
      </c>
      <c r="F3433" s="515" t="s">
        <v>4802</v>
      </c>
      <c r="G3433" s="52">
        <v>386632.91306073201</v>
      </c>
      <c r="H3433" s="56">
        <v>4.7422062331247336E-2</v>
      </c>
      <c r="I3433" s="224" t="s">
        <v>2</v>
      </c>
    </row>
    <row r="3434" spans="1:9" x14ac:dyDescent="0.25">
      <c r="A3434" s="515">
        <v>40207</v>
      </c>
      <c r="B3434" s="515" t="s">
        <v>479</v>
      </c>
      <c r="C3434" s="52">
        <v>372513.77960294503</v>
      </c>
      <c r="D3434" s="56">
        <v>6.040765866029358E-2</v>
      </c>
      <c r="E3434" s="224">
        <v>1586.8333333333301</v>
      </c>
      <c r="F3434" s="515" t="s">
        <v>4803</v>
      </c>
      <c r="G3434" s="52">
        <v>275919.82171362202</v>
      </c>
      <c r="H3434" s="56">
        <v>9.9844578372069212E-2</v>
      </c>
      <c r="I3434" s="224" t="s">
        <v>2</v>
      </c>
    </row>
    <row r="3435" spans="1:9" x14ac:dyDescent="0.25">
      <c r="A3435" s="515">
        <v>30260</v>
      </c>
      <c r="B3435" s="515" t="s">
        <v>957</v>
      </c>
      <c r="C3435" s="52">
        <v>218436.16687268001</v>
      </c>
      <c r="D3435" s="56">
        <v>0.1315585032838629</v>
      </c>
      <c r="E3435" s="224">
        <v>1651.5277777777701</v>
      </c>
      <c r="F3435" s="515" t="s">
        <v>4804</v>
      </c>
      <c r="G3435" s="52">
        <v>485505.851555489</v>
      </c>
      <c r="H3435" s="56">
        <v>6.9012644312300558E-2</v>
      </c>
      <c r="I3435" s="224" t="s">
        <v>2</v>
      </c>
    </row>
    <row r="3436" spans="1:9" x14ac:dyDescent="0.25">
      <c r="A3436" s="515">
        <v>46516</v>
      </c>
      <c r="B3436" s="515" t="s">
        <v>1170</v>
      </c>
      <c r="C3436" s="52">
        <v>154018.06606449501</v>
      </c>
      <c r="D3436" s="56">
        <v>9.1961851926827182E-2</v>
      </c>
      <c r="E3436" s="224" t="s">
        <v>2</v>
      </c>
      <c r="F3436" s="515" t="s">
        <v>4805</v>
      </c>
      <c r="G3436" s="52">
        <v>274594.49955199601</v>
      </c>
      <c r="H3436" s="56">
        <v>7.0978015310552645E-2</v>
      </c>
      <c r="I3436" s="224">
        <v>1429.0333333333299</v>
      </c>
    </row>
    <row r="3437" spans="1:9" x14ac:dyDescent="0.25">
      <c r="A3437" s="515">
        <v>22630</v>
      </c>
      <c r="B3437" s="515" t="s">
        <v>321</v>
      </c>
      <c r="C3437" s="52">
        <v>328715.08065221203</v>
      </c>
      <c r="D3437" s="56">
        <v>5.9413191523477626E-2</v>
      </c>
      <c r="E3437" s="224">
        <v>1725</v>
      </c>
      <c r="F3437" s="515" t="s">
        <v>4806</v>
      </c>
      <c r="G3437" s="52">
        <v>115711.37643201801</v>
      </c>
      <c r="H3437" s="56">
        <v>0.11051555966508936</v>
      </c>
      <c r="I3437" s="224" t="s">
        <v>2</v>
      </c>
    </row>
    <row r="3438" spans="1:9" x14ac:dyDescent="0.25">
      <c r="A3438" s="515">
        <v>68134</v>
      </c>
      <c r="B3438" s="515" t="s">
        <v>367</v>
      </c>
      <c r="C3438" s="52">
        <v>227574.147267216</v>
      </c>
      <c r="D3438" s="56">
        <v>7.8231410661800282E-2</v>
      </c>
      <c r="E3438" s="224">
        <v>1045.8928571428501</v>
      </c>
      <c r="F3438" s="515" t="s">
        <v>4807</v>
      </c>
      <c r="G3438" s="52">
        <v>401468.61131924298</v>
      </c>
      <c r="H3438" s="56">
        <v>6.9797879641705404E-2</v>
      </c>
      <c r="I3438" s="224">
        <v>2148.8425925925899</v>
      </c>
    </row>
    <row r="3439" spans="1:9" x14ac:dyDescent="0.25">
      <c r="A3439" s="515">
        <v>50014</v>
      </c>
      <c r="B3439" s="515" t="s">
        <v>568</v>
      </c>
      <c r="C3439" s="52">
        <v>243297.85774990299</v>
      </c>
      <c r="D3439" s="56">
        <v>9.747632391512652E-2</v>
      </c>
      <c r="E3439" s="224">
        <v>1309.94444444444</v>
      </c>
      <c r="F3439" s="515" t="s">
        <v>4808</v>
      </c>
      <c r="G3439" s="52">
        <v>227295.668441802</v>
      </c>
      <c r="H3439" s="56">
        <v>0.12680411285070958</v>
      </c>
      <c r="I3439" s="224" t="s">
        <v>2</v>
      </c>
    </row>
    <row r="3440" spans="1:9" x14ac:dyDescent="0.25">
      <c r="A3440" s="515">
        <v>55378</v>
      </c>
      <c r="B3440" s="515" t="s">
        <v>532</v>
      </c>
      <c r="C3440" s="52">
        <v>402502.10467611399</v>
      </c>
      <c r="D3440" s="56">
        <v>2.47059772786349E-2</v>
      </c>
      <c r="E3440" s="224">
        <v>1890.6666666666599</v>
      </c>
      <c r="F3440" s="515" t="s">
        <v>4809</v>
      </c>
      <c r="G3440" s="52">
        <v>397059.92715815298</v>
      </c>
      <c r="H3440" s="56">
        <v>3.2782062020294989E-2</v>
      </c>
      <c r="I3440" s="224">
        <v>1890.44444444444</v>
      </c>
    </row>
    <row r="3441" spans="1:9" x14ac:dyDescent="0.25">
      <c r="A3441" s="515">
        <v>80907</v>
      </c>
      <c r="B3441" s="515" t="s">
        <v>701</v>
      </c>
      <c r="C3441" s="52">
        <v>401127.10635046603</v>
      </c>
      <c r="D3441" s="56">
        <v>1.7666977780073111E-2</v>
      </c>
      <c r="E3441" s="224">
        <v>1513.1167557932199</v>
      </c>
      <c r="F3441" s="515" t="s">
        <v>4810</v>
      </c>
      <c r="G3441" s="52">
        <v>271697.72426316398</v>
      </c>
      <c r="H3441" s="56">
        <v>6.0084771453538022E-2</v>
      </c>
      <c r="I3441" s="224" t="s">
        <v>2</v>
      </c>
    </row>
    <row r="3442" spans="1:9" x14ac:dyDescent="0.25">
      <c r="A3442" s="515">
        <v>76016</v>
      </c>
      <c r="B3442" s="515" t="s">
        <v>458</v>
      </c>
      <c r="C3442" s="52">
        <v>341683.16947724897</v>
      </c>
      <c r="D3442" s="56">
        <v>6.1040820270768681E-2</v>
      </c>
      <c r="E3442" s="224">
        <v>2131.88888888888</v>
      </c>
      <c r="F3442" s="515" t="s">
        <v>4811</v>
      </c>
      <c r="G3442" s="52">
        <v>155080.68033043799</v>
      </c>
      <c r="H3442" s="56">
        <v>7.7041717684083952E-2</v>
      </c>
      <c r="I3442" s="224" t="s">
        <v>2</v>
      </c>
    </row>
    <row r="3443" spans="1:9" x14ac:dyDescent="0.25">
      <c r="A3443" s="515">
        <v>1930</v>
      </c>
      <c r="B3443" s="515" t="s">
        <v>534</v>
      </c>
      <c r="C3443" s="52">
        <v>620579.59412714199</v>
      </c>
      <c r="D3443" s="56">
        <v>7.7349030064449459E-2</v>
      </c>
      <c r="E3443" s="224">
        <v>2437.5</v>
      </c>
      <c r="F3443" s="515" t="s">
        <v>4812</v>
      </c>
      <c r="G3443" s="52">
        <v>293780.78643149999</v>
      </c>
      <c r="H3443" s="56">
        <v>9.5196792303955724E-2</v>
      </c>
      <c r="I3443" s="224" t="s">
        <v>2</v>
      </c>
    </row>
    <row r="3444" spans="1:9" x14ac:dyDescent="0.25">
      <c r="A3444" s="515">
        <v>96815</v>
      </c>
      <c r="B3444" s="515" t="s">
        <v>1029</v>
      </c>
      <c r="C3444" s="52">
        <v>513812.43879068102</v>
      </c>
      <c r="D3444" s="56">
        <v>4.0488574652523812E-2</v>
      </c>
      <c r="E3444" s="224">
        <v>2696.4646464646398</v>
      </c>
      <c r="F3444" s="515" t="s">
        <v>4813</v>
      </c>
      <c r="G3444" s="52">
        <v>727726.59340417199</v>
      </c>
      <c r="H3444" s="56">
        <v>4.8297115699420107E-2</v>
      </c>
      <c r="I3444" s="224" t="s">
        <v>2</v>
      </c>
    </row>
    <row r="3445" spans="1:9" x14ac:dyDescent="0.25">
      <c r="A3445" s="515">
        <v>95824</v>
      </c>
      <c r="B3445" s="515" t="s">
        <v>355</v>
      </c>
      <c r="C3445" s="52">
        <v>344163.19105374499</v>
      </c>
      <c r="D3445" s="56">
        <v>6.7962404007488944E-2</v>
      </c>
      <c r="E3445" s="224" t="s">
        <v>2</v>
      </c>
      <c r="F3445" s="515" t="s">
        <v>4814</v>
      </c>
      <c r="G3445" s="52">
        <v>425500.61979923001</v>
      </c>
      <c r="H3445" s="56">
        <v>8.3406224748414165E-2</v>
      </c>
      <c r="I3445" s="224" t="s">
        <v>2</v>
      </c>
    </row>
    <row r="3446" spans="1:9" x14ac:dyDescent="0.25">
      <c r="A3446" s="515">
        <v>55347</v>
      </c>
      <c r="B3446" s="515" t="s">
        <v>532</v>
      </c>
      <c r="C3446" s="52">
        <v>490997.99204873602</v>
      </c>
      <c r="D3446" s="56">
        <v>2.8840257489157892E-2</v>
      </c>
      <c r="E3446" s="224">
        <v>1733.3333333333301</v>
      </c>
      <c r="F3446" s="515" t="s">
        <v>4815</v>
      </c>
      <c r="G3446" s="52">
        <v>146370.26635907299</v>
      </c>
      <c r="H3446" s="56">
        <v>2.3354078745175009E-2</v>
      </c>
      <c r="I3446" s="224" t="s">
        <v>2</v>
      </c>
    </row>
    <row r="3447" spans="1:9" x14ac:dyDescent="0.25">
      <c r="A3447" s="515">
        <v>33904</v>
      </c>
      <c r="B3447" s="515" t="s">
        <v>661</v>
      </c>
      <c r="C3447" s="52">
        <v>397026.91771660402</v>
      </c>
      <c r="D3447" s="56">
        <v>8.9482583559410939E-2</v>
      </c>
      <c r="E3447" s="224">
        <v>2138.0833333333298</v>
      </c>
      <c r="F3447" s="515" t="s">
        <v>4816</v>
      </c>
      <c r="G3447" s="52">
        <v>257998.75234151501</v>
      </c>
      <c r="H3447" s="56">
        <v>5.7802004243648328E-2</v>
      </c>
      <c r="I3447" s="224" t="s">
        <v>2</v>
      </c>
    </row>
    <row r="3448" spans="1:9" x14ac:dyDescent="0.25">
      <c r="A3448" s="515">
        <v>32533</v>
      </c>
      <c r="B3448" s="515" t="s">
        <v>1131</v>
      </c>
      <c r="C3448" s="52">
        <v>300907.15642071702</v>
      </c>
      <c r="D3448" s="56">
        <v>8.8230272784364128E-2</v>
      </c>
      <c r="E3448" s="224">
        <v>1760.8333333333301</v>
      </c>
      <c r="F3448" s="515" t="s">
        <v>4817</v>
      </c>
      <c r="G3448" s="52">
        <v>355935.65286151302</v>
      </c>
      <c r="H3448" s="56">
        <v>6.7221465090478508E-2</v>
      </c>
      <c r="I3448" s="224">
        <v>1836.5</v>
      </c>
    </row>
    <row r="3449" spans="1:9" x14ac:dyDescent="0.25">
      <c r="A3449" s="515">
        <v>33919</v>
      </c>
      <c r="B3449" s="515" t="s">
        <v>661</v>
      </c>
      <c r="C3449" s="52">
        <v>317543.77077966102</v>
      </c>
      <c r="D3449" s="56">
        <v>0.16999981306460604</v>
      </c>
      <c r="E3449" s="224">
        <v>2154.2111111111099</v>
      </c>
      <c r="F3449" s="515" t="s">
        <v>4818</v>
      </c>
      <c r="G3449" s="52">
        <v>299421.98377402901</v>
      </c>
      <c r="H3449" s="56">
        <v>3.1370087618978706E-2</v>
      </c>
      <c r="I3449" s="224">
        <v>1587</v>
      </c>
    </row>
    <row r="3450" spans="1:9" x14ac:dyDescent="0.25">
      <c r="A3450" s="515">
        <v>33150</v>
      </c>
      <c r="B3450" s="515" t="s">
        <v>831</v>
      </c>
      <c r="C3450" s="52">
        <v>368678.47978679801</v>
      </c>
      <c r="D3450" s="56">
        <v>0.19514670600357062</v>
      </c>
      <c r="E3450" s="224">
        <v>2673.3333333333298</v>
      </c>
      <c r="F3450" s="515" t="s">
        <v>4819</v>
      </c>
      <c r="G3450" s="52">
        <v>147172.12510769299</v>
      </c>
      <c r="H3450" s="56">
        <v>9.9093559033487322E-2</v>
      </c>
      <c r="I3450" s="224" t="s">
        <v>2</v>
      </c>
    </row>
    <row r="3451" spans="1:9" x14ac:dyDescent="0.25">
      <c r="A3451" s="515">
        <v>21133</v>
      </c>
      <c r="B3451" s="515" t="s">
        <v>582</v>
      </c>
      <c r="C3451" s="52">
        <v>318392.58039531298</v>
      </c>
      <c r="D3451" s="56">
        <v>3.7241034837651871E-2</v>
      </c>
      <c r="E3451" s="224">
        <v>1411.9878917378901</v>
      </c>
      <c r="F3451" s="515" t="s">
        <v>4820</v>
      </c>
      <c r="G3451" s="52">
        <v>253083.78467881799</v>
      </c>
      <c r="H3451" s="56">
        <v>8.0959834067813485E-2</v>
      </c>
      <c r="I3451" s="224" t="s">
        <v>2</v>
      </c>
    </row>
    <row r="3452" spans="1:9" x14ac:dyDescent="0.25">
      <c r="A3452" s="515">
        <v>95133</v>
      </c>
      <c r="B3452" s="515" t="s">
        <v>850</v>
      </c>
      <c r="C3452" s="52">
        <v>1027722.00125627</v>
      </c>
      <c r="D3452" s="56">
        <v>4.7789483728010923E-2</v>
      </c>
      <c r="E3452" s="224">
        <v>3121.7666666666601</v>
      </c>
      <c r="F3452" s="515" t="s">
        <v>4821</v>
      </c>
      <c r="G3452" s="52">
        <v>174456.20443148201</v>
      </c>
      <c r="H3452" s="56">
        <v>9.3353051699751177E-3</v>
      </c>
      <c r="I3452" s="224" t="s">
        <v>2</v>
      </c>
    </row>
    <row r="3453" spans="1:9" x14ac:dyDescent="0.25">
      <c r="A3453" s="515">
        <v>20112</v>
      </c>
      <c r="B3453" s="515" t="s">
        <v>321</v>
      </c>
      <c r="C3453" s="52">
        <v>644295.52044574101</v>
      </c>
      <c r="D3453" s="56">
        <v>2.0676417900236093E-2</v>
      </c>
      <c r="E3453" s="224" t="s">
        <v>2</v>
      </c>
      <c r="F3453" s="515" t="s">
        <v>4822</v>
      </c>
      <c r="G3453" s="52">
        <v>435442.34302270802</v>
      </c>
      <c r="H3453" s="56">
        <v>0.10704369481079613</v>
      </c>
      <c r="I3453" s="224" t="s">
        <v>2</v>
      </c>
    </row>
    <row r="3454" spans="1:9" x14ac:dyDescent="0.25">
      <c r="A3454" s="515">
        <v>55912</v>
      </c>
      <c r="B3454" s="515" t="s">
        <v>413</v>
      </c>
      <c r="C3454" s="52">
        <v>158649.57833650499</v>
      </c>
      <c r="D3454" s="56">
        <v>6.3291738882238338E-2</v>
      </c>
      <c r="E3454" s="224" t="s">
        <v>2</v>
      </c>
      <c r="F3454" s="515" t="s">
        <v>4823</v>
      </c>
      <c r="G3454" s="52">
        <v>351631.53848149098</v>
      </c>
      <c r="H3454" s="56">
        <v>5.8637854061055955E-2</v>
      </c>
      <c r="I3454" s="224" t="s">
        <v>2</v>
      </c>
    </row>
    <row r="3455" spans="1:9" x14ac:dyDescent="0.25">
      <c r="A3455" s="515">
        <v>34231</v>
      </c>
      <c r="B3455" s="515" t="s">
        <v>466</v>
      </c>
      <c r="C3455" s="52">
        <v>415404.33905636601</v>
      </c>
      <c r="D3455" s="56">
        <v>0.16995201147781122</v>
      </c>
      <c r="E3455" s="224">
        <v>2435.8955026455001</v>
      </c>
      <c r="F3455" s="515" t="s">
        <v>4824</v>
      </c>
      <c r="G3455" s="52">
        <v>411524.34385493601</v>
      </c>
      <c r="H3455" s="56">
        <v>0</v>
      </c>
      <c r="I3455" s="224">
        <v>1833.75</v>
      </c>
    </row>
    <row r="3456" spans="1:9" x14ac:dyDescent="0.25">
      <c r="A3456" s="515">
        <v>77038</v>
      </c>
      <c r="B3456" s="515" t="s">
        <v>314</v>
      </c>
      <c r="C3456" s="52">
        <v>214000.81680718801</v>
      </c>
      <c r="D3456" s="56">
        <v>0.11783237940046783</v>
      </c>
      <c r="E3456" s="224">
        <v>1613.75</v>
      </c>
      <c r="F3456" s="515" t="s">
        <v>4825</v>
      </c>
      <c r="G3456" s="52">
        <v>259437.51651817199</v>
      </c>
      <c r="H3456" s="56">
        <v>0.10972725732015937</v>
      </c>
      <c r="I3456" s="224">
        <v>1625</v>
      </c>
    </row>
    <row r="3457" spans="1:9" x14ac:dyDescent="0.25">
      <c r="A3457" s="515">
        <v>63146</v>
      </c>
      <c r="B3457" s="515" t="s">
        <v>498</v>
      </c>
      <c r="C3457" s="52">
        <v>287897.63550060801</v>
      </c>
      <c r="D3457" s="56">
        <v>7.3532826985655705E-2</v>
      </c>
      <c r="E3457" s="224">
        <v>1167.4819139194101</v>
      </c>
      <c r="F3457" s="515" t="s">
        <v>967</v>
      </c>
      <c r="G3457" s="52">
        <v>125892.62275823099</v>
      </c>
      <c r="H3457" s="56">
        <v>0.15455956470470919</v>
      </c>
      <c r="I3457" s="224" t="s">
        <v>2</v>
      </c>
    </row>
    <row r="3458" spans="1:9" x14ac:dyDescent="0.25">
      <c r="A3458" s="515">
        <v>97008</v>
      </c>
      <c r="B3458" s="515" t="s">
        <v>659</v>
      </c>
      <c r="C3458" s="52">
        <v>550792.620699347</v>
      </c>
      <c r="D3458" s="56">
        <v>4.2375927946884946E-2</v>
      </c>
      <c r="E3458" s="224">
        <v>1958.1666666666599</v>
      </c>
      <c r="F3458" s="515" t="s">
        <v>4826</v>
      </c>
      <c r="G3458" s="52">
        <v>346512.28738165903</v>
      </c>
      <c r="H3458" s="56">
        <v>1.9321710442678698E-2</v>
      </c>
      <c r="I3458" s="224" t="s">
        <v>2</v>
      </c>
    </row>
    <row r="3459" spans="1:9" x14ac:dyDescent="0.25">
      <c r="A3459" s="515">
        <v>48091</v>
      </c>
      <c r="B3459" s="515" t="s">
        <v>685</v>
      </c>
      <c r="C3459" s="52">
        <v>145419.21657468501</v>
      </c>
      <c r="D3459" s="56">
        <v>8.1732214935953382E-2</v>
      </c>
      <c r="E3459" s="224">
        <v>1276.37301587301</v>
      </c>
      <c r="F3459" s="515" t="s">
        <v>4827</v>
      </c>
      <c r="G3459" s="52">
        <v>645903.83989575994</v>
      </c>
      <c r="H3459" s="56">
        <v>5.9895829632493576E-2</v>
      </c>
      <c r="I3459" s="224">
        <v>2384</v>
      </c>
    </row>
    <row r="3460" spans="1:9" x14ac:dyDescent="0.25">
      <c r="A3460" s="515">
        <v>40004</v>
      </c>
      <c r="B3460" s="515" t="s">
        <v>866</v>
      </c>
      <c r="C3460" s="52">
        <v>226974.02162638199</v>
      </c>
      <c r="D3460" s="56">
        <v>9.108549141693735E-2</v>
      </c>
      <c r="E3460" s="224" t="s">
        <v>2</v>
      </c>
      <c r="F3460" s="515" t="s">
        <v>4828</v>
      </c>
      <c r="G3460" s="52">
        <v>731421.12366489298</v>
      </c>
      <c r="H3460" s="56">
        <v>0.11729759945815767</v>
      </c>
      <c r="I3460" s="224" t="s">
        <v>2</v>
      </c>
    </row>
    <row r="3461" spans="1:9" x14ac:dyDescent="0.25">
      <c r="A3461" s="515">
        <v>32086</v>
      </c>
      <c r="B3461" s="515" t="s">
        <v>1158</v>
      </c>
      <c r="C3461" s="52">
        <v>377156.40490084398</v>
      </c>
      <c r="D3461" s="56">
        <v>0.11438879954320197</v>
      </c>
      <c r="E3461" s="224">
        <v>2205.9444444444398</v>
      </c>
      <c r="F3461" s="515" t="s">
        <v>4829</v>
      </c>
      <c r="G3461" s="52">
        <v>291331.06070238998</v>
      </c>
      <c r="H3461" s="56">
        <v>9.2510628331110387E-2</v>
      </c>
      <c r="I3461" s="224" t="s">
        <v>2</v>
      </c>
    </row>
    <row r="3462" spans="1:9" x14ac:dyDescent="0.25">
      <c r="A3462" s="515">
        <v>76040</v>
      </c>
      <c r="B3462" s="515" t="s">
        <v>458</v>
      </c>
      <c r="C3462" s="52">
        <v>341248.312788165</v>
      </c>
      <c r="D3462" s="56">
        <v>8.2571040591762526E-2</v>
      </c>
      <c r="E3462" s="224">
        <v>1580.2857142857099</v>
      </c>
      <c r="F3462" s="515" t="s">
        <v>4830</v>
      </c>
      <c r="G3462" s="52">
        <v>319615.63629723701</v>
      </c>
      <c r="H3462" s="56">
        <v>5.0234635938701006E-2</v>
      </c>
      <c r="I3462" s="224" t="s">
        <v>2</v>
      </c>
    </row>
    <row r="3463" spans="1:9" x14ac:dyDescent="0.25">
      <c r="A3463" s="515">
        <v>5401</v>
      </c>
      <c r="B3463" s="515" t="s">
        <v>441</v>
      </c>
      <c r="C3463" s="52">
        <v>525203.78391516395</v>
      </c>
      <c r="D3463" s="56">
        <v>0.13866766123095253</v>
      </c>
      <c r="E3463" s="224">
        <v>1846.0101010101</v>
      </c>
      <c r="F3463" s="515" t="s">
        <v>4831</v>
      </c>
      <c r="G3463" s="52">
        <v>135099.233175912</v>
      </c>
      <c r="H3463" s="56">
        <v>0.11017203359536978</v>
      </c>
      <c r="I3463" s="224">
        <v>1249.5</v>
      </c>
    </row>
    <row r="3464" spans="1:9" x14ac:dyDescent="0.25">
      <c r="A3464" s="515">
        <v>3060</v>
      </c>
      <c r="B3464" s="515" t="s">
        <v>996</v>
      </c>
      <c r="C3464" s="52">
        <v>377262.61686587997</v>
      </c>
      <c r="D3464" s="56">
        <v>7.303726536468845E-2</v>
      </c>
      <c r="E3464" s="224">
        <v>1855.6726190476099</v>
      </c>
      <c r="F3464" s="515" t="s">
        <v>4832</v>
      </c>
      <c r="G3464" s="52">
        <v>163161.635819577</v>
      </c>
      <c r="H3464" s="56">
        <v>7.7904778004648359E-2</v>
      </c>
      <c r="I3464" s="224" t="s">
        <v>2</v>
      </c>
    </row>
    <row r="3465" spans="1:9" x14ac:dyDescent="0.25">
      <c r="A3465" s="515">
        <v>35603</v>
      </c>
      <c r="B3465" s="515" t="s">
        <v>1007</v>
      </c>
      <c r="C3465" s="52">
        <v>252387.18132052399</v>
      </c>
      <c r="D3465" s="56">
        <v>6.1166361359226991E-2</v>
      </c>
      <c r="E3465" s="224" t="s">
        <v>2</v>
      </c>
      <c r="F3465" s="515" t="s">
        <v>4833</v>
      </c>
      <c r="G3465" s="52">
        <v>159530.00495125301</v>
      </c>
      <c r="H3465" s="56">
        <v>0.14827482598106961</v>
      </c>
      <c r="I3465" s="224" t="s">
        <v>2</v>
      </c>
    </row>
    <row r="3466" spans="1:9" x14ac:dyDescent="0.25">
      <c r="A3466" s="515">
        <v>68116</v>
      </c>
      <c r="B3466" s="515" t="s">
        <v>367</v>
      </c>
      <c r="C3466" s="52">
        <v>341975.51740750199</v>
      </c>
      <c r="D3466" s="56">
        <v>7.0344424289632862E-2</v>
      </c>
      <c r="E3466" s="224">
        <v>1412.93333333333</v>
      </c>
      <c r="F3466" s="515" t="s">
        <v>4834</v>
      </c>
      <c r="G3466" s="52">
        <v>278669.82431978598</v>
      </c>
      <c r="H3466" s="56">
        <v>0.14421128237615402</v>
      </c>
      <c r="I3466" s="224">
        <v>2014.6666666666599</v>
      </c>
    </row>
    <row r="3467" spans="1:9" x14ac:dyDescent="0.25">
      <c r="A3467" s="515">
        <v>30030</v>
      </c>
      <c r="B3467" s="515" t="s">
        <v>957</v>
      </c>
      <c r="C3467" s="52">
        <v>576066.80060087994</v>
      </c>
      <c r="D3467" s="56">
        <v>4.3502171668512765E-2</v>
      </c>
      <c r="E3467" s="224">
        <v>1935.2829725829699</v>
      </c>
      <c r="F3467" s="515" t="s">
        <v>4835</v>
      </c>
      <c r="G3467" s="52">
        <v>130146.82216969501</v>
      </c>
      <c r="H3467" s="56">
        <v>0.11583600129826621</v>
      </c>
      <c r="I3467" s="224" t="s">
        <v>2</v>
      </c>
    </row>
    <row r="3468" spans="1:9" x14ac:dyDescent="0.25">
      <c r="A3468" s="515">
        <v>22315</v>
      </c>
      <c r="B3468" s="515" t="s">
        <v>321</v>
      </c>
      <c r="C3468" s="52">
        <v>595043.78972055204</v>
      </c>
      <c r="D3468" s="56">
        <v>2.6237516817033804E-2</v>
      </c>
      <c r="E3468" s="224">
        <v>2410.4306878306802</v>
      </c>
      <c r="F3468" s="515" t="s">
        <v>4836</v>
      </c>
      <c r="G3468" s="52">
        <v>1485742.75630396</v>
      </c>
      <c r="H3468" s="56">
        <v>-7.3579217885431925E-3</v>
      </c>
      <c r="I3468" s="224">
        <v>2833.5642857142798</v>
      </c>
    </row>
    <row r="3469" spans="1:9" x14ac:dyDescent="0.25">
      <c r="A3469" s="515">
        <v>85716</v>
      </c>
      <c r="B3469" s="515" t="s">
        <v>368</v>
      </c>
      <c r="C3469" s="52">
        <v>302733.86756200501</v>
      </c>
      <c r="D3469" s="56">
        <v>7.1650061358609643E-2</v>
      </c>
      <c r="E3469" s="224">
        <v>1231.4680555555501</v>
      </c>
      <c r="F3469" s="515" t="s">
        <v>4837</v>
      </c>
      <c r="G3469" s="52">
        <v>366517.826348481</v>
      </c>
      <c r="H3469" s="56">
        <v>2.3115107795518071E-2</v>
      </c>
      <c r="I3469" s="224" t="s">
        <v>2</v>
      </c>
    </row>
    <row r="3470" spans="1:9" x14ac:dyDescent="0.25">
      <c r="A3470" s="515">
        <v>46077</v>
      </c>
      <c r="B3470" s="515" t="s">
        <v>403</v>
      </c>
      <c r="C3470" s="52">
        <v>547560.59720909898</v>
      </c>
      <c r="D3470" s="56">
        <v>5.9181137816286637E-2</v>
      </c>
      <c r="E3470" s="224">
        <v>1767.31111111111</v>
      </c>
      <c r="F3470" s="515" t="s">
        <v>4838</v>
      </c>
      <c r="G3470" s="52">
        <v>376187.94926568703</v>
      </c>
      <c r="H3470" s="56">
        <v>0</v>
      </c>
      <c r="I3470" s="224" t="s">
        <v>2</v>
      </c>
    </row>
    <row r="3471" spans="1:9" x14ac:dyDescent="0.25">
      <c r="A3471" s="515">
        <v>68107</v>
      </c>
      <c r="B3471" s="515" t="s">
        <v>367</v>
      </c>
      <c r="C3471" s="52">
        <v>158488.68930377299</v>
      </c>
      <c r="D3471" s="56">
        <v>0.10377443079631087</v>
      </c>
      <c r="E3471" s="224" t="s">
        <v>2</v>
      </c>
      <c r="F3471" s="515" t="s">
        <v>4839</v>
      </c>
      <c r="G3471" s="52">
        <v>240348.571801952</v>
      </c>
      <c r="H3471" s="56">
        <v>6.5530409807608589E-2</v>
      </c>
      <c r="I3471" s="224" t="s">
        <v>2</v>
      </c>
    </row>
    <row r="3472" spans="1:9" x14ac:dyDescent="0.25">
      <c r="A3472" s="515">
        <v>2907</v>
      </c>
      <c r="B3472" s="515" t="s">
        <v>513</v>
      </c>
      <c r="C3472" s="52">
        <v>307636.82745991502</v>
      </c>
      <c r="D3472" s="56">
        <v>7.313204276372505E-2</v>
      </c>
      <c r="E3472" s="224">
        <v>1500</v>
      </c>
      <c r="F3472" s="515" t="s">
        <v>1012</v>
      </c>
      <c r="G3472" s="52">
        <v>106685.768354546</v>
      </c>
      <c r="H3472" s="56">
        <v>-4.9218473498618076E-2</v>
      </c>
      <c r="I3472" s="224" t="s">
        <v>2</v>
      </c>
    </row>
    <row r="3473" spans="1:9" x14ac:dyDescent="0.25">
      <c r="A3473" s="515">
        <v>60532</v>
      </c>
      <c r="B3473" s="515" t="s">
        <v>394</v>
      </c>
      <c r="C3473" s="52">
        <v>337217.80962046201</v>
      </c>
      <c r="D3473" s="56">
        <v>3.74049194772577E-2</v>
      </c>
      <c r="E3473" s="224">
        <v>1838.0444444444399</v>
      </c>
      <c r="F3473" s="515" t="s">
        <v>4840</v>
      </c>
      <c r="G3473" s="52">
        <v>208851.07263843101</v>
      </c>
      <c r="H3473" s="56">
        <v>9.3794583583587485E-2</v>
      </c>
      <c r="I3473" s="224">
        <v>2200</v>
      </c>
    </row>
    <row r="3474" spans="1:9" x14ac:dyDescent="0.25">
      <c r="A3474" s="515">
        <v>53208</v>
      </c>
      <c r="B3474" s="515" t="s">
        <v>950</v>
      </c>
      <c r="C3474" s="52">
        <v>178397.91275126301</v>
      </c>
      <c r="D3474" s="56">
        <v>8.1278422656410346E-2</v>
      </c>
      <c r="E3474" s="224">
        <v>795.83333333333303</v>
      </c>
      <c r="F3474" s="515" t="s">
        <v>4841</v>
      </c>
      <c r="G3474" s="52">
        <v>250964.92869465199</v>
      </c>
      <c r="H3474" s="56">
        <v>0</v>
      </c>
      <c r="I3474" s="224">
        <v>1200</v>
      </c>
    </row>
    <row r="3475" spans="1:9" x14ac:dyDescent="0.25">
      <c r="A3475" s="515">
        <v>30088</v>
      </c>
      <c r="B3475" s="515" t="s">
        <v>957</v>
      </c>
      <c r="C3475" s="52">
        <v>242670.47412234099</v>
      </c>
      <c r="D3475" s="56">
        <v>0.1412305254065985</v>
      </c>
      <c r="E3475" s="224">
        <v>1648.00396825396</v>
      </c>
      <c r="F3475" s="515" t="s">
        <v>4842</v>
      </c>
      <c r="G3475" s="52">
        <v>156665.601035742</v>
      </c>
      <c r="H3475" s="56">
        <v>8.7854199918447617E-2</v>
      </c>
      <c r="I3475" s="224" t="s">
        <v>2</v>
      </c>
    </row>
    <row r="3476" spans="1:9" x14ac:dyDescent="0.25">
      <c r="A3476" s="515">
        <v>6708</v>
      </c>
      <c r="B3476" s="515" t="s">
        <v>1172</v>
      </c>
      <c r="C3476" s="52">
        <v>232005.49634674299</v>
      </c>
      <c r="D3476" s="56">
        <v>0.12565725203533878</v>
      </c>
      <c r="E3476" s="224">
        <v>1308.3333333333301</v>
      </c>
      <c r="F3476" s="515" t="s">
        <v>4843</v>
      </c>
      <c r="G3476" s="52">
        <v>388305.052365613</v>
      </c>
      <c r="H3476" s="56">
        <v>8.4831339522830826E-2</v>
      </c>
      <c r="I3476" s="224" t="s">
        <v>2</v>
      </c>
    </row>
    <row r="3477" spans="1:9" x14ac:dyDescent="0.25">
      <c r="A3477" s="515">
        <v>55068</v>
      </c>
      <c r="B3477" s="515" t="s">
        <v>532</v>
      </c>
      <c r="C3477" s="52">
        <v>371821.58002542902</v>
      </c>
      <c r="D3477" s="56">
        <v>3.9719892295878433E-2</v>
      </c>
      <c r="E3477" s="224">
        <v>1908.75</v>
      </c>
      <c r="F3477" s="515" t="s">
        <v>4844</v>
      </c>
      <c r="G3477" s="52">
        <v>2317722.26428395</v>
      </c>
      <c r="H3477" s="56">
        <v>3.6744787244329974E-2</v>
      </c>
      <c r="I3477" s="224" t="s">
        <v>2</v>
      </c>
    </row>
    <row r="3478" spans="1:9" x14ac:dyDescent="0.25">
      <c r="A3478" s="515">
        <v>77071</v>
      </c>
      <c r="B3478" s="515" t="s">
        <v>314</v>
      </c>
      <c r="C3478" s="52">
        <v>233610.79893920099</v>
      </c>
      <c r="D3478" s="56">
        <v>8.9562376931917084E-2</v>
      </c>
      <c r="E3478" s="224">
        <v>1730</v>
      </c>
      <c r="F3478" s="515" t="s">
        <v>830</v>
      </c>
      <c r="G3478" s="52">
        <v>117315.82871751901</v>
      </c>
      <c r="H3478" s="56">
        <v>4.4522771115798609E-2</v>
      </c>
      <c r="I3478" s="224" t="s">
        <v>2</v>
      </c>
    </row>
    <row r="3479" spans="1:9" x14ac:dyDescent="0.25">
      <c r="A3479" s="515">
        <v>30534</v>
      </c>
      <c r="B3479" s="515" t="s">
        <v>957</v>
      </c>
      <c r="C3479" s="52">
        <v>388359.31219199701</v>
      </c>
      <c r="D3479" s="56">
        <v>0.10994544160740356</v>
      </c>
      <c r="E3479" s="224">
        <v>1931.6666666666599</v>
      </c>
      <c r="F3479" s="515" t="s">
        <v>4845</v>
      </c>
      <c r="G3479" s="52">
        <v>242584.65742899801</v>
      </c>
      <c r="H3479" s="56">
        <v>8.4319434808674404E-2</v>
      </c>
      <c r="I3479" s="224" t="s">
        <v>2</v>
      </c>
    </row>
    <row r="3480" spans="1:9" x14ac:dyDescent="0.25">
      <c r="A3480" s="515">
        <v>75208</v>
      </c>
      <c r="B3480" s="515" t="s">
        <v>458</v>
      </c>
      <c r="C3480" s="52">
        <v>394980.01527647203</v>
      </c>
      <c r="D3480" s="56">
        <v>0.11340204541120368</v>
      </c>
      <c r="E3480" s="224">
        <v>1568.5101010101</v>
      </c>
      <c r="F3480" s="515" t="s">
        <v>4846</v>
      </c>
      <c r="G3480" s="52">
        <v>257140.135509382</v>
      </c>
      <c r="H3480" s="56">
        <v>0.1718094723706492</v>
      </c>
      <c r="I3480" s="224">
        <v>2343.5615079365002</v>
      </c>
    </row>
    <row r="3481" spans="1:9" x14ac:dyDescent="0.25">
      <c r="A3481" s="515">
        <v>32205</v>
      </c>
      <c r="B3481" s="515" t="s">
        <v>1158</v>
      </c>
      <c r="C3481" s="52">
        <v>260473.191820148</v>
      </c>
      <c r="D3481" s="56">
        <v>0.14309891246266576</v>
      </c>
      <c r="E3481" s="224">
        <v>1514.05800653594</v>
      </c>
      <c r="F3481" s="515" t="s">
        <v>4847</v>
      </c>
      <c r="G3481" s="52">
        <v>215373.73741991501</v>
      </c>
      <c r="H3481" s="56">
        <v>6.1768383372948724E-2</v>
      </c>
      <c r="I3481" s="224" t="s">
        <v>2</v>
      </c>
    </row>
    <row r="3482" spans="1:9" x14ac:dyDescent="0.25">
      <c r="A3482" s="515">
        <v>22152</v>
      </c>
      <c r="B3482" s="515" t="s">
        <v>321</v>
      </c>
      <c r="C3482" s="52">
        <v>615190.96627937898</v>
      </c>
      <c r="D3482" s="56">
        <v>3.9281673243499425E-2</v>
      </c>
      <c r="E3482" s="224">
        <v>2350</v>
      </c>
      <c r="F3482" s="515" t="s">
        <v>4848</v>
      </c>
      <c r="G3482" s="52">
        <v>402509.23078288801</v>
      </c>
      <c r="H3482" s="56">
        <v>9.9814904919085248E-2</v>
      </c>
      <c r="I3482" s="224" t="s">
        <v>2</v>
      </c>
    </row>
    <row r="3483" spans="1:9" x14ac:dyDescent="0.25">
      <c r="A3483" s="515">
        <v>55422</v>
      </c>
      <c r="B3483" s="515" t="s">
        <v>532</v>
      </c>
      <c r="C3483" s="52">
        <v>306047.777792704</v>
      </c>
      <c r="D3483" s="56">
        <v>3.1632999717097605E-2</v>
      </c>
      <c r="E3483" s="224">
        <v>1315.3333333333301</v>
      </c>
      <c r="F3483" s="515" t="s">
        <v>4849</v>
      </c>
      <c r="G3483" s="52">
        <v>313544.00477685197</v>
      </c>
      <c r="H3483" s="56">
        <v>9.0991677075603808E-2</v>
      </c>
      <c r="I3483" s="224" t="s">
        <v>2</v>
      </c>
    </row>
    <row r="3484" spans="1:9" x14ac:dyDescent="0.25">
      <c r="A3484" s="515">
        <v>27253</v>
      </c>
      <c r="B3484" s="515" t="s">
        <v>1186</v>
      </c>
      <c r="C3484" s="52">
        <v>260775.12377673801</v>
      </c>
      <c r="D3484" s="56">
        <v>0.1423736555200944</v>
      </c>
      <c r="E3484" s="224">
        <v>1100</v>
      </c>
      <c r="F3484" s="515" t="s">
        <v>4850</v>
      </c>
      <c r="G3484" s="52">
        <v>217720.250060361</v>
      </c>
      <c r="H3484" s="56">
        <v>4.1970819398533303E-2</v>
      </c>
      <c r="I3484" s="224">
        <v>900</v>
      </c>
    </row>
    <row r="3485" spans="1:9" x14ac:dyDescent="0.25">
      <c r="A3485" s="515">
        <v>53546</v>
      </c>
      <c r="B3485" s="515" t="s">
        <v>379</v>
      </c>
      <c r="C3485" s="52">
        <v>245720.285883098</v>
      </c>
      <c r="D3485" s="56">
        <v>4.5009698876752699E-2</v>
      </c>
      <c r="E3485" s="224" t="s">
        <v>2</v>
      </c>
      <c r="F3485" s="515" t="s">
        <v>388</v>
      </c>
      <c r="G3485" s="52">
        <v>223191.05590156399</v>
      </c>
      <c r="H3485" s="56">
        <v>6.4147251684199019E-2</v>
      </c>
      <c r="I3485" s="224" t="s">
        <v>2</v>
      </c>
    </row>
    <row r="3486" spans="1:9" x14ac:dyDescent="0.25">
      <c r="A3486" s="515">
        <v>96826</v>
      </c>
      <c r="B3486" s="515" t="s">
        <v>1029</v>
      </c>
      <c r="C3486" s="52">
        <v>495027.98474993202</v>
      </c>
      <c r="D3486" s="56">
        <v>1.7491437298484357E-3</v>
      </c>
      <c r="E3486" s="224">
        <v>1763.6111111111099</v>
      </c>
      <c r="F3486" s="515" t="s">
        <v>4851</v>
      </c>
      <c r="G3486" s="52">
        <v>381047.79697414697</v>
      </c>
      <c r="H3486" s="56">
        <v>2.6695493645443116E-2</v>
      </c>
      <c r="I3486" s="224" t="s">
        <v>2</v>
      </c>
    </row>
    <row r="3487" spans="1:9" x14ac:dyDescent="0.25">
      <c r="A3487" s="515">
        <v>33404</v>
      </c>
      <c r="B3487" s="515" t="s">
        <v>831</v>
      </c>
      <c r="C3487" s="52">
        <v>382001.13815195498</v>
      </c>
      <c r="D3487" s="56">
        <v>0.15360668374904407</v>
      </c>
      <c r="E3487" s="224">
        <v>2369.8414918414901</v>
      </c>
      <c r="F3487" s="515" t="s">
        <v>4852</v>
      </c>
      <c r="G3487" s="52">
        <v>723172.44025453099</v>
      </c>
      <c r="H3487" s="56">
        <v>2.6540894482253965E-2</v>
      </c>
      <c r="I3487" s="224">
        <v>2950</v>
      </c>
    </row>
    <row r="3488" spans="1:9" x14ac:dyDescent="0.25">
      <c r="A3488" s="515">
        <v>94070</v>
      </c>
      <c r="B3488" s="515" t="s">
        <v>593</v>
      </c>
      <c r="C3488" s="52">
        <v>2102211.1540140002</v>
      </c>
      <c r="D3488" s="56">
        <v>1.0258193711336154E-2</v>
      </c>
      <c r="E3488" s="224">
        <v>3589.0873015872999</v>
      </c>
      <c r="F3488" s="515" t="s">
        <v>4853</v>
      </c>
      <c r="G3488" s="52">
        <v>330920.53740492999</v>
      </c>
      <c r="H3488" s="56">
        <v>9.1684154445392574E-2</v>
      </c>
      <c r="I3488" s="224" t="s">
        <v>2</v>
      </c>
    </row>
    <row r="3489" spans="1:9" x14ac:dyDescent="0.25">
      <c r="A3489" s="515">
        <v>60525</v>
      </c>
      <c r="B3489" s="515" t="s">
        <v>394</v>
      </c>
      <c r="C3489" s="52">
        <v>384154.54474497901</v>
      </c>
      <c r="D3489" s="56">
        <v>3.8811646709275782E-2</v>
      </c>
      <c r="E3489" s="224">
        <v>2423.8333333333298</v>
      </c>
      <c r="F3489" s="515" t="s">
        <v>4854</v>
      </c>
      <c r="G3489" s="52">
        <v>219868.54031005199</v>
      </c>
      <c r="H3489" s="56">
        <v>0.1457983073915306</v>
      </c>
      <c r="I3489" s="224" t="s">
        <v>2</v>
      </c>
    </row>
    <row r="3490" spans="1:9" x14ac:dyDescent="0.25">
      <c r="A3490" s="515">
        <v>29154</v>
      </c>
      <c r="B3490" s="515" t="s">
        <v>1065</v>
      </c>
      <c r="C3490" s="52">
        <v>193946.50573077699</v>
      </c>
      <c r="D3490" s="56">
        <v>7.7411023466711026E-2</v>
      </c>
      <c r="E3490" s="224">
        <v>1333.3333333333301</v>
      </c>
      <c r="F3490" s="515" t="s">
        <v>4855</v>
      </c>
      <c r="G3490" s="52">
        <v>306284.53548049898</v>
      </c>
      <c r="H3490" s="56">
        <v>9.0018217195381389E-2</v>
      </c>
      <c r="I3490" s="224" t="s">
        <v>2</v>
      </c>
    </row>
    <row r="3491" spans="1:9" x14ac:dyDescent="0.25">
      <c r="A3491" s="515">
        <v>7840</v>
      </c>
      <c r="B3491" s="515" t="s">
        <v>327</v>
      </c>
      <c r="C3491" s="52">
        <v>392968.34772321099</v>
      </c>
      <c r="D3491" s="56">
        <v>6.190416074281118E-2</v>
      </c>
      <c r="E3491" s="224" t="s">
        <v>2</v>
      </c>
      <c r="F3491" s="515" t="s">
        <v>4856</v>
      </c>
      <c r="G3491" s="52">
        <v>186116.42910555899</v>
      </c>
      <c r="H3491" s="56">
        <v>6.8986598241825847E-2</v>
      </c>
      <c r="I3491" s="224" t="s">
        <v>2</v>
      </c>
    </row>
    <row r="3492" spans="1:9" x14ac:dyDescent="0.25">
      <c r="A3492" s="515">
        <v>49525</v>
      </c>
      <c r="B3492" s="515" t="s">
        <v>631</v>
      </c>
      <c r="C3492" s="52">
        <v>302604.35557099502</v>
      </c>
      <c r="D3492" s="56">
        <v>4.4086075151029643E-2</v>
      </c>
      <c r="E3492" s="224" t="s">
        <v>2</v>
      </c>
      <c r="F3492" s="515" t="s">
        <v>4857</v>
      </c>
      <c r="G3492" s="52">
        <v>235828.466319789</v>
      </c>
      <c r="H3492" s="56">
        <v>5.0491226304774449E-2</v>
      </c>
      <c r="I3492" s="224">
        <v>1156.6666666666599</v>
      </c>
    </row>
    <row r="3493" spans="1:9" x14ac:dyDescent="0.25">
      <c r="A3493" s="515">
        <v>47362</v>
      </c>
      <c r="B3493" s="515" t="s">
        <v>421</v>
      </c>
      <c r="C3493" s="52">
        <v>131915.83123484199</v>
      </c>
      <c r="D3493" s="56">
        <v>0.11148451808847418</v>
      </c>
      <c r="E3493" s="224" t="s">
        <v>2</v>
      </c>
      <c r="F3493" s="515" t="s">
        <v>4858</v>
      </c>
      <c r="G3493" s="52">
        <v>384668.95343402401</v>
      </c>
      <c r="H3493" s="56">
        <v>7.6066236632067685E-2</v>
      </c>
      <c r="I3493" s="224" t="s">
        <v>2</v>
      </c>
    </row>
    <row r="3494" spans="1:9" x14ac:dyDescent="0.25">
      <c r="A3494" s="515">
        <v>90061</v>
      </c>
      <c r="B3494" s="515" t="s">
        <v>375</v>
      </c>
      <c r="C3494" s="52">
        <v>568594.38964840805</v>
      </c>
      <c r="D3494" s="56">
        <v>4.6553439501508746E-2</v>
      </c>
      <c r="E3494" s="224" t="s">
        <v>2</v>
      </c>
      <c r="F3494" s="515" t="s">
        <v>4859</v>
      </c>
      <c r="G3494" s="52">
        <v>201518.704827785</v>
      </c>
      <c r="H3494" s="56">
        <v>0.11822875470624189</v>
      </c>
      <c r="I3494" s="224">
        <v>1115.8333333333301</v>
      </c>
    </row>
    <row r="3495" spans="1:9" x14ac:dyDescent="0.25">
      <c r="A3495" s="515">
        <v>44903</v>
      </c>
      <c r="B3495" s="515" t="s">
        <v>1140</v>
      </c>
      <c r="C3495" s="52">
        <v>165278.55163066101</v>
      </c>
      <c r="D3495" s="56">
        <v>8.7686505940204218E-2</v>
      </c>
      <c r="E3495" s="224" t="s">
        <v>2</v>
      </c>
      <c r="F3495" s="515" t="s">
        <v>4860</v>
      </c>
      <c r="G3495" s="52">
        <v>276510.89467151399</v>
      </c>
      <c r="H3495" s="56">
        <v>6.4882045214871675E-2</v>
      </c>
      <c r="I3495" s="224" t="s">
        <v>2</v>
      </c>
    </row>
    <row r="3496" spans="1:9" x14ac:dyDescent="0.25">
      <c r="A3496" s="515">
        <v>78418</v>
      </c>
      <c r="B3496" s="515" t="s">
        <v>415</v>
      </c>
      <c r="C3496" s="52">
        <v>303096.76470307499</v>
      </c>
      <c r="D3496" s="56">
        <v>7.3156095704097104E-2</v>
      </c>
      <c r="E3496" s="224">
        <v>1560.8611111111099</v>
      </c>
      <c r="F3496" s="515" t="s">
        <v>834</v>
      </c>
      <c r="G3496" s="52">
        <v>266987.12963405199</v>
      </c>
      <c r="H3496" s="56">
        <v>7.705093457223483E-2</v>
      </c>
      <c r="I3496" s="224" t="s">
        <v>2</v>
      </c>
    </row>
    <row r="3497" spans="1:9" x14ac:dyDescent="0.25">
      <c r="A3497" s="515">
        <v>7039</v>
      </c>
      <c r="B3497" s="515" t="s">
        <v>324</v>
      </c>
      <c r="C3497" s="52">
        <v>771285.80940172705</v>
      </c>
      <c r="D3497" s="56">
        <v>5.3739694966529097E-2</v>
      </c>
      <c r="E3497" s="224">
        <v>3725</v>
      </c>
      <c r="F3497" s="515" t="s">
        <v>4861</v>
      </c>
      <c r="G3497" s="52">
        <v>154477.992975734</v>
      </c>
      <c r="H3497" s="56">
        <v>0</v>
      </c>
      <c r="I3497" s="224" t="s">
        <v>2</v>
      </c>
    </row>
    <row r="3498" spans="1:9" x14ac:dyDescent="0.25">
      <c r="A3498" s="515">
        <v>60914</v>
      </c>
      <c r="B3498" s="515" t="s">
        <v>774</v>
      </c>
      <c r="C3498" s="52">
        <v>247242.76745467799</v>
      </c>
      <c r="D3498" s="56">
        <v>5.7700752595309393E-2</v>
      </c>
      <c r="E3498" s="224" t="s">
        <v>2</v>
      </c>
      <c r="F3498" s="515" t="s">
        <v>4862</v>
      </c>
      <c r="G3498" s="52">
        <v>335166.23342429398</v>
      </c>
      <c r="H3498" s="56">
        <v>2.4797782558240791E-2</v>
      </c>
      <c r="I3498" s="224">
        <v>1199</v>
      </c>
    </row>
    <row r="3499" spans="1:9" x14ac:dyDescent="0.25">
      <c r="A3499" s="515">
        <v>55021</v>
      </c>
      <c r="B3499" s="515" t="s">
        <v>504</v>
      </c>
      <c r="C3499" s="52">
        <v>263091.57835451502</v>
      </c>
      <c r="D3499" s="56">
        <v>4.4421062077305583E-2</v>
      </c>
      <c r="E3499" s="224">
        <v>1195</v>
      </c>
      <c r="F3499" s="515" t="s">
        <v>4863</v>
      </c>
      <c r="G3499" s="52">
        <v>1193885.9980059599</v>
      </c>
      <c r="H3499" s="56">
        <v>7.9101165226814471E-2</v>
      </c>
      <c r="I3499" s="224" t="s">
        <v>2</v>
      </c>
    </row>
    <row r="3500" spans="1:9" x14ac:dyDescent="0.25">
      <c r="A3500" s="515">
        <v>17815</v>
      </c>
      <c r="B3500" s="515" t="s">
        <v>676</v>
      </c>
      <c r="C3500" s="52">
        <v>203581.42297826699</v>
      </c>
      <c r="D3500" s="56">
        <v>1.3771804310094204E-2</v>
      </c>
      <c r="E3500" s="224">
        <v>1116.6666666666599</v>
      </c>
      <c r="F3500" s="515" t="s">
        <v>4864</v>
      </c>
      <c r="G3500" s="52">
        <v>130305.32944119201</v>
      </c>
      <c r="H3500" s="56">
        <v>6.6316966656421866E-2</v>
      </c>
      <c r="I3500" s="224" t="s">
        <v>2</v>
      </c>
    </row>
    <row r="3501" spans="1:9" x14ac:dyDescent="0.25">
      <c r="A3501" s="515">
        <v>24501</v>
      </c>
      <c r="B3501" s="515" t="s">
        <v>705</v>
      </c>
      <c r="C3501" s="52">
        <v>158884.387790879</v>
      </c>
      <c r="D3501" s="56">
        <v>0.13276531884648629</v>
      </c>
      <c r="E3501" s="224" t="s">
        <v>2</v>
      </c>
      <c r="F3501" s="515" t="s">
        <v>4865</v>
      </c>
      <c r="G3501" s="52">
        <v>550550.738886117</v>
      </c>
      <c r="H3501" s="56">
        <v>0.1069890825760529</v>
      </c>
      <c r="I3501" s="224" t="s">
        <v>2</v>
      </c>
    </row>
    <row r="3502" spans="1:9" x14ac:dyDescent="0.25">
      <c r="A3502" s="515">
        <v>35810</v>
      </c>
      <c r="B3502" s="515" t="s">
        <v>997</v>
      </c>
      <c r="C3502" s="52">
        <v>153206.90983585099</v>
      </c>
      <c r="D3502" s="56">
        <v>0.1017547825255237</v>
      </c>
      <c r="E3502" s="224">
        <v>1326.7777777777701</v>
      </c>
      <c r="F3502" s="515" t="s">
        <v>4866</v>
      </c>
      <c r="G3502" s="52">
        <v>206265.81938179201</v>
      </c>
      <c r="H3502" s="56">
        <v>4.9565985440549284E-2</v>
      </c>
      <c r="I3502" s="224">
        <v>1700</v>
      </c>
    </row>
    <row r="3503" spans="1:9" x14ac:dyDescent="0.25">
      <c r="A3503" s="515">
        <v>78212</v>
      </c>
      <c r="B3503" s="515" t="s">
        <v>717</v>
      </c>
      <c r="C3503" s="52">
        <v>288923.69926178001</v>
      </c>
      <c r="D3503" s="56">
        <v>2.7223809928900659E-2</v>
      </c>
      <c r="E3503" s="224">
        <v>1255.2962962962899</v>
      </c>
      <c r="F3503" s="515" t="s">
        <v>4867</v>
      </c>
      <c r="G3503" s="52">
        <v>146570.37905713299</v>
      </c>
      <c r="H3503" s="56">
        <v>7.7592581602749025E-2</v>
      </c>
      <c r="I3503" s="224">
        <v>1293.4722222222199</v>
      </c>
    </row>
    <row r="3504" spans="1:9" x14ac:dyDescent="0.25">
      <c r="A3504" s="515">
        <v>52501</v>
      </c>
      <c r="B3504" s="515" t="s">
        <v>845</v>
      </c>
      <c r="C3504" s="52">
        <v>99727.265681815901</v>
      </c>
      <c r="D3504" s="56">
        <v>9.4211887507209782E-2</v>
      </c>
      <c r="E3504" s="224" t="s">
        <v>2</v>
      </c>
      <c r="F3504" s="515" t="s">
        <v>4868</v>
      </c>
      <c r="G3504" s="52">
        <v>287792.36465926102</v>
      </c>
      <c r="H3504" s="56">
        <v>0.13371598901377271</v>
      </c>
      <c r="I3504" s="224" t="s">
        <v>2</v>
      </c>
    </row>
    <row r="3505" spans="1:9" x14ac:dyDescent="0.25">
      <c r="A3505" s="515">
        <v>42001</v>
      </c>
      <c r="B3505" s="515" t="s">
        <v>846</v>
      </c>
      <c r="C3505" s="52">
        <v>189151.733002497</v>
      </c>
      <c r="D3505" s="56">
        <v>0.11860029125475895</v>
      </c>
      <c r="E3505" s="224" t="s">
        <v>2</v>
      </c>
      <c r="F3505" s="515" t="s">
        <v>4869</v>
      </c>
      <c r="G3505" s="52">
        <v>129595.231750832</v>
      </c>
      <c r="H3505" s="56">
        <v>0.13445418825933003</v>
      </c>
      <c r="I3505" s="224" t="s">
        <v>2</v>
      </c>
    </row>
    <row r="3506" spans="1:9" x14ac:dyDescent="0.25">
      <c r="A3506" s="515">
        <v>75204</v>
      </c>
      <c r="B3506" s="515" t="s">
        <v>458</v>
      </c>
      <c r="C3506" s="52">
        <v>467375.15539772599</v>
      </c>
      <c r="D3506" s="56">
        <v>9.4872197874651849E-3</v>
      </c>
      <c r="E3506" s="224">
        <v>1997.17018973518</v>
      </c>
      <c r="F3506" s="515" t="s">
        <v>4870</v>
      </c>
      <c r="G3506" s="52">
        <v>953045.26532912301</v>
      </c>
      <c r="H3506" s="56">
        <v>6.8457977490320482E-2</v>
      </c>
      <c r="I3506" s="224" t="s">
        <v>2</v>
      </c>
    </row>
    <row r="3507" spans="1:9" x14ac:dyDescent="0.25">
      <c r="A3507" s="515">
        <v>23503</v>
      </c>
      <c r="B3507" s="515" t="s">
        <v>301</v>
      </c>
      <c r="C3507" s="52">
        <v>268285.67582558398</v>
      </c>
      <c r="D3507" s="56">
        <v>5.9323056827236015E-2</v>
      </c>
      <c r="E3507" s="224">
        <v>1522.80471380471</v>
      </c>
      <c r="F3507" s="515" t="s">
        <v>381</v>
      </c>
      <c r="G3507" s="52">
        <v>143948.199656949</v>
      </c>
      <c r="H3507" s="56">
        <v>6.5749632689133947E-2</v>
      </c>
      <c r="I3507" s="224" t="s">
        <v>2</v>
      </c>
    </row>
    <row r="3508" spans="1:9" x14ac:dyDescent="0.25">
      <c r="A3508" s="515">
        <v>79605</v>
      </c>
      <c r="B3508" s="515" t="s">
        <v>704</v>
      </c>
      <c r="C3508" s="52">
        <v>150661.41636029101</v>
      </c>
      <c r="D3508" s="56">
        <v>8.4371490536928856E-2</v>
      </c>
      <c r="E3508" s="224">
        <v>862.83333333333303</v>
      </c>
      <c r="F3508" s="515" t="s">
        <v>4871</v>
      </c>
      <c r="G3508" s="52">
        <v>860506.23031507898</v>
      </c>
      <c r="H3508" s="56">
        <v>5.2191848222132707E-2</v>
      </c>
      <c r="I3508" s="224" t="s">
        <v>2</v>
      </c>
    </row>
    <row r="3509" spans="1:9" x14ac:dyDescent="0.25">
      <c r="A3509" s="515">
        <v>20740</v>
      </c>
      <c r="B3509" s="515" t="s">
        <v>321</v>
      </c>
      <c r="C3509" s="52">
        <v>401311.73498207203</v>
      </c>
      <c r="D3509" s="56">
        <v>2.1867586171276487E-2</v>
      </c>
      <c r="E3509" s="224">
        <v>1980.71280364372</v>
      </c>
      <c r="F3509" s="515" t="s">
        <v>4872</v>
      </c>
      <c r="G3509" s="52">
        <v>243326.071766451</v>
      </c>
      <c r="H3509" s="56">
        <v>0.10131185956607597</v>
      </c>
      <c r="I3509" s="224">
        <v>1975.05555555555</v>
      </c>
    </row>
    <row r="3510" spans="1:9" x14ac:dyDescent="0.25">
      <c r="A3510" s="515">
        <v>23860</v>
      </c>
      <c r="B3510" s="515" t="s">
        <v>667</v>
      </c>
      <c r="C3510" s="52">
        <v>232040.230625208</v>
      </c>
      <c r="D3510" s="56">
        <v>0.27426303049058065</v>
      </c>
      <c r="E3510" s="224">
        <v>1395.2777777777701</v>
      </c>
      <c r="F3510" s="515" t="s">
        <v>4873</v>
      </c>
      <c r="G3510" s="52">
        <v>473410.53810408601</v>
      </c>
      <c r="H3510" s="56">
        <v>9.4603975845559712E-2</v>
      </c>
      <c r="I3510" s="224">
        <v>2168.88888888888</v>
      </c>
    </row>
    <row r="3511" spans="1:9" x14ac:dyDescent="0.25">
      <c r="A3511" s="515">
        <v>46142</v>
      </c>
      <c r="B3511" s="515" t="s">
        <v>403</v>
      </c>
      <c r="C3511" s="52">
        <v>287332.83180503099</v>
      </c>
      <c r="D3511" s="56">
        <v>6.9967985973949279E-2</v>
      </c>
      <c r="E3511" s="224">
        <v>1834.7222222222199</v>
      </c>
      <c r="F3511" s="515" t="s">
        <v>4874</v>
      </c>
      <c r="G3511" s="52">
        <v>343257.90398505703</v>
      </c>
      <c r="H3511" s="56">
        <v>0.13455782926577095</v>
      </c>
      <c r="I3511" s="224">
        <v>1400</v>
      </c>
    </row>
    <row r="3512" spans="1:9" x14ac:dyDescent="0.25">
      <c r="A3512" s="515">
        <v>61821</v>
      </c>
      <c r="B3512" s="515" t="s">
        <v>417</v>
      </c>
      <c r="C3512" s="52">
        <v>158465.83951596101</v>
      </c>
      <c r="D3512" s="56">
        <v>5.1338413921384801E-2</v>
      </c>
      <c r="E3512" s="224" t="s">
        <v>2</v>
      </c>
      <c r="F3512" s="515" t="s">
        <v>4875</v>
      </c>
      <c r="G3512" s="52">
        <v>223656.930389833</v>
      </c>
      <c r="H3512" s="56">
        <v>0.1403939262037284</v>
      </c>
      <c r="I3512" s="224" t="s">
        <v>2</v>
      </c>
    </row>
    <row r="3513" spans="1:9" x14ac:dyDescent="0.25">
      <c r="A3513" s="515">
        <v>60035</v>
      </c>
      <c r="B3513" s="515" t="s">
        <v>394</v>
      </c>
      <c r="C3513" s="52">
        <v>590113.13334473397</v>
      </c>
      <c r="D3513" s="56">
        <v>9.6780601819030407E-2</v>
      </c>
      <c r="E3513" s="224">
        <v>3025.63333333333</v>
      </c>
      <c r="F3513" s="515" t="s">
        <v>4876</v>
      </c>
      <c r="G3513" s="52">
        <v>203528.02821313401</v>
      </c>
      <c r="H3513" s="56">
        <v>7.1942956086887624E-2</v>
      </c>
      <c r="I3513" s="224" t="s">
        <v>2</v>
      </c>
    </row>
    <row r="3514" spans="1:9" x14ac:dyDescent="0.25">
      <c r="A3514" s="515">
        <v>72601</v>
      </c>
      <c r="B3514" s="515" t="s">
        <v>647</v>
      </c>
      <c r="C3514" s="52">
        <v>180363.37832572201</v>
      </c>
      <c r="D3514" s="56">
        <v>0.12988219413496402</v>
      </c>
      <c r="E3514" s="224" t="s">
        <v>2</v>
      </c>
      <c r="F3514" s="515" t="s">
        <v>4877</v>
      </c>
      <c r="G3514" s="52">
        <v>212379.82364968199</v>
      </c>
      <c r="H3514" s="56">
        <v>6.1496017935061389E-2</v>
      </c>
      <c r="I3514" s="224" t="s">
        <v>2</v>
      </c>
    </row>
    <row r="3515" spans="1:9" x14ac:dyDescent="0.25">
      <c r="A3515" s="515">
        <v>30310</v>
      </c>
      <c r="B3515" s="515" t="s">
        <v>957</v>
      </c>
      <c r="C3515" s="52">
        <v>299131.90408637398</v>
      </c>
      <c r="D3515" s="56">
        <v>0.10264417621562789</v>
      </c>
      <c r="E3515" s="224">
        <v>1695.9703703703699</v>
      </c>
      <c r="F3515" s="515" t="s">
        <v>4878</v>
      </c>
      <c r="G3515" s="52">
        <v>469087.75351413799</v>
      </c>
      <c r="H3515" s="56">
        <v>0.1059117005433183</v>
      </c>
      <c r="I3515" s="224">
        <v>2058.3333333333298</v>
      </c>
    </row>
    <row r="3516" spans="1:9" x14ac:dyDescent="0.25">
      <c r="A3516" s="515">
        <v>20191</v>
      </c>
      <c r="B3516" s="515" t="s">
        <v>321</v>
      </c>
      <c r="C3516" s="52">
        <v>545442.93350881699</v>
      </c>
      <c r="D3516" s="56">
        <v>3.2718651417982678E-2</v>
      </c>
      <c r="E3516" s="224">
        <v>2114.6952380952298</v>
      </c>
      <c r="F3516" s="515" t="s">
        <v>4879</v>
      </c>
      <c r="G3516" s="52">
        <v>562176.85809329397</v>
      </c>
      <c r="H3516" s="56">
        <v>4.4811967140561959E-2</v>
      </c>
      <c r="I3516" s="224" t="s">
        <v>2</v>
      </c>
    </row>
    <row r="3517" spans="1:9" x14ac:dyDescent="0.25">
      <c r="A3517" s="515">
        <v>97068</v>
      </c>
      <c r="B3517" s="515" t="s">
        <v>659</v>
      </c>
      <c r="C3517" s="52">
        <v>713119.99305619497</v>
      </c>
      <c r="D3517" s="56">
        <v>2.3347083739149906E-2</v>
      </c>
      <c r="E3517" s="224">
        <v>2317.3293650793598</v>
      </c>
      <c r="F3517" s="515" t="s">
        <v>4880</v>
      </c>
      <c r="G3517" s="52">
        <v>810529.07548112795</v>
      </c>
      <c r="H3517" s="56">
        <v>5.4453597071079711E-2</v>
      </c>
      <c r="I3517" s="224">
        <v>3297.3333333333298</v>
      </c>
    </row>
    <row r="3518" spans="1:9" x14ac:dyDescent="0.25">
      <c r="A3518" s="515">
        <v>7090</v>
      </c>
      <c r="B3518" s="515" t="s">
        <v>324</v>
      </c>
      <c r="C3518" s="52">
        <v>921436.357582164</v>
      </c>
      <c r="D3518" s="56">
        <v>3.6335589492870891E-2</v>
      </c>
      <c r="E3518" s="224">
        <v>2579.4444444444398</v>
      </c>
      <c r="F3518" s="515" t="s">
        <v>4881</v>
      </c>
      <c r="G3518" s="52">
        <v>555652.689892155</v>
      </c>
      <c r="H3518" s="56">
        <v>8.1126665364363887E-2</v>
      </c>
      <c r="I3518" s="224">
        <v>2048.13888888888</v>
      </c>
    </row>
    <row r="3519" spans="1:9" x14ac:dyDescent="0.25">
      <c r="A3519" s="515">
        <v>35209</v>
      </c>
      <c r="B3519" s="515" t="s">
        <v>640</v>
      </c>
      <c r="C3519" s="52">
        <v>450563.41416527098</v>
      </c>
      <c r="D3519" s="56">
        <v>5.8037265792284992E-2</v>
      </c>
      <c r="E3519" s="224">
        <v>1935.5</v>
      </c>
      <c r="F3519" s="515" t="s">
        <v>4882</v>
      </c>
      <c r="G3519" s="52">
        <v>345521.51456296002</v>
      </c>
      <c r="H3519" s="56">
        <v>7.9399563416154825E-2</v>
      </c>
      <c r="I3519" s="224" t="s">
        <v>2</v>
      </c>
    </row>
    <row r="3520" spans="1:9" x14ac:dyDescent="0.25">
      <c r="A3520" s="515">
        <v>43420</v>
      </c>
      <c r="B3520" s="515" t="s">
        <v>878</v>
      </c>
      <c r="C3520" s="52">
        <v>143487.910047621</v>
      </c>
      <c r="D3520" s="56">
        <v>6.8908586693105012E-2</v>
      </c>
      <c r="E3520" s="224" t="s">
        <v>2</v>
      </c>
      <c r="F3520" s="515" t="s">
        <v>4883</v>
      </c>
      <c r="G3520" s="52">
        <v>366215.83453531098</v>
      </c>
      <c r="H3520" s="56">
        <v>2.1507528210457635E-2</v>
      </c>
      <c r="I3520" s="224" t="s">
        <v>2</v>
      </c>
    </row>
    <row r="3521" spans="1:9" x14ac:dyDescent="0.25">
      <c r="A3521" s="515">
        <v>48309</v>
      </c>
      <c r="B3521" s="515" t="s">
        <v>685</v>
      </c>
      <c r="C3521" s="52">
        <v>404699.17504448601</v>
      </c>
      <c r="D3521" s="56">
        <v>4.1032735140849048E-2</v>
      </c>
      <c r="E3521" s="224" t="s">
        <v>2</v>
      </c>
      <c r="F3521" s="515" t="s">
        <v>4884</v>
      </c>
      <c r="G3521" s="52">
        <v>353940.71018836601</v>
      </c>
      <c r="H3521" s="56">
        <v>8.5878494414491358E-2</v>
      </c>
      <c r="I3521" s="224" t="s">
        <v>2</v>
      </c>
    </row>
    <row r="3522" spans="1:9" x14ac:dyDescent="0.25">
      <c r="A3522" s="515">
        <v>91746</v>
      </c>
      <c r="B3522" s="515" t="s">
        <v>375</v>
      </c>
      <c r="C3522" s="52">
        <v>652305.86884488305</v>
      </c>
      <c r="D3522" s="56">
        <v>7.4666051567210359E-2</v>
      </c>
      <c r="E3522" s="224" t="s">
        <v>2</v>
      </c>
      <c r="F3522" s="515" t="s">
        <v>4885</v>
      </c>
      <c r="G3522" s="52">
        <v>533925.07091660996</v>
      </c>
      <c r="H3522" s="56">
        <v>4.0916138953437112E-2</v>
      </c>
      <c r="I3522" s="224" t="s">
        <v>2</v>
      </c>
    </row>
    <row r="3523" spans="1:9" x14ac:dyDescent="0.25">
      <c r="A3523" s="515">
        <v>79930</v>
      </c>
      <c r="B3523" s="515" t="s">
        <v>1119</v>
      </c>
      <c r="C3523" s="52"/>
      <c r="D3523" s="56">
        <v>0</v>
      </c>
      <c r="E3523" s="224">
        <v>1254.94444444444</v>
      </c>
      <c r="F3523" s="515" t="s">
        <v>4886</v>
      </c>
      <c r="G3523" s="52">
        <v>258811.62389790299</v>
      </c>
      <c r="H3523" s="56">
        <v>6.335353394165158E-2</v>
      </c>
      <c r="I3523" s="224" t="s">
        <v>2</v>
      </c>
    </row>
    <row r="3524" spans="1:9" x14ac:dyDescent="0.25">
      <c r="A3524" s="515">
        <v>32507</v>
      </c>
      <c r="B3524" s="515" t="s">
        <v>1131</v>
      </c>
      <c r="C3524" s="52">
        <v>336164.02687751502</v>
      </c>
      <c r="D3524" s="56">
        <v>0.13334866318895117</v>
      </c>
      <c r="E3524" s="224">
        <v>1723.9166666666599</v>
      </c>
      <c r="F3524" s="515" t="s">
        <v>4887</v>
      </c>
      <c r="G3524" s="52">
        <v>400894.27524023002</v>
      </c>
      <c r="H3524" s="56">
        <v>5.0750002012146744E-2</v>
      </c>
      <c r="I3524" s="224" t="s">
        <v>2</v>
      </c>
    </row>
    <row r="3525" spans="1:9" x14ac:dyDescent="0.25">
      <c r="A3525" s="515">
        <v>23233</v>
      </c>
      <c r="B3525" s="515" t="s">
        <v>667</v>
      </c>
      <c r="C3525" s="52">
        <v>425463.01601627999</v>
      </c>
      <c r="D3525" s="56">
        <v>1.9510628658002016E-2</v>
      </c>
      <c r="E3525" s="224">
        <v>1867.0473193473099</v>
      </c>
      <c r="F3525" s="515" t="s">
        <v>4888</v>
      </c>
      <c r="G3525" s="52">
        <v>151895.37338859099</v>
      </c>
      <c r="H3525" s="56">
        <v>9.948697090815907E-2</v>
      </c>
      <c r="I3525" s="224">
        <v>1140.6666666666599</v>
      </c>
    </row>
    <row r="3526" spans="1:9" x14ac:dyDescent="0.25">
      <c r="A3526" s="515">
        <v>23606</v>
      </c>
      <c r="B3526" s="515" t="s">
        <v>301</v>
      </c>
      <c r="C3526" s="52">
        <v>313625.37878843897</v>
      </c>
      <c r="D3526" s="56">
        <v>7.0147576863480207E-2</v>
      </c>
      <c r="E3526" s="224">
        <v>1486.7777777777701</v>
      </c>
      <c r="F3526" s="515" t="s">
        <v>4889</v>
      </c>
      <c r="G3526" s="52">
        <v>502821.53002382</v>
      </c>
      <c r="H3526" s="56">
        <v>2.9533156945657123E-2</v>
      </c>
      <c r="I3526" s="224">
        <v>2435.3333333333298</v>
      </c>
    </row>
    <row r="3527" spans="1:9" x14ac:dyDescent="0.25">
      <c r="A3527" s="515">
        <v>89156</v>
      </c>
      <c r="B3527" s="515" t="s">
        <v>323</v>
      </c>
      <c r="C3527" s="52">
        <v>323788.39329109801</v>
      </c>
      <c r="D3527" s="56">
        <v>7.2251850062252196E-2</v>
      </c>
      <c r="E3527" s="224">
        <v>1631.4583333333301</v>
      </c>
      <c r="F3527" s="515" t="s">
        <v>4890</v>
      </c>
      <c r="G3527" s="52">
        <v>448210.940244039</v>
      </c>
      <c r="H3527" s="56">
        <v>4.8194903957373733E-2</v>
      </c>
      <c r="I3527" s="224" t="s">
        <v>2</v>
      </c>
    </row>
    <row r="3528" spans="1:9" x14ac:dyDescent="0.25">
      <c r="A3528" s="515">
        <v>52806</v>
      </c>
      <c r="B3528" s="515" t="s">
        <v>439</v>
      </c>
      <c r="C3528" s="52">
        <v>183693.42577716301</v>
      </c>
      <c r="D3528" s="56">
        <v>5.625033846781035E-2</v>
      </c>
      <c r="E3528" s="224">
        <v>1219.2222222222199</v>
      </c>
      <c r="F3528" s="515" t="s">
        <v>4891</v>
      </c>
      <c r="G3528" s="52">
        <v>424197.33903344901</v>
      </c>
      <c r="H3528" s="56">
        <v>7.8642006522592053E-2</v>
      </c>
      <c r="I3528" s="224" t="s">
        <v>2</v>
      </c>
    </row>
    <row r="3529" spans="1:9" x14ac:dyDescent="0.25">
      <c r="A3529" s="515">
        <v>60050</v>
      </c>
      <c r="B3529" s="515" t="s">
        <v>394</v>
      </c>
      <c r="C3529" s="52">
        <v>245284.763459468</v>
      </c>
      <c r="D3529" s="56">
        <v>5.9841618822417356E-2</v>
      </c>
      <c r="E3529" s="224" t="s">
        <v>2</v>
      </c>
      <c r="F3529" s="515" t="s">
        <v>4892</v>
      </c>
      <c r="G3529" s="52">
        <v>159417.25883973399</v>
      </c>
      <c r="H3529" s="56">
        <v>3.4934217307804528E-2</v>
      </c>
      <c r="I3529" s="224">
        <v>1347.5</v>
      </c>
    </row>
    <row r="3530" spans="1:9" x14ac:dyDescent="0.25">
      <c r="A3530" s="515">
        <v>84104</v>
      </c>
      <c r="B3530" s="515" t="s">
        <v>617</v>
      </c>
      <c r="C3530" s="52">
        <v>370688.87338369398</v>
      </c>
      <c r="D3530" s="56">
        <v>2.2164801852052649E-2</v>
      </c>
      <c r="E3530" s="224" t="s">
        <v>2</v>
      </c>
      <c r="F3530" s="515" t="s">
        <v>4893</v>
      </c>
      <c r="G3530" s="52">
        <v>818918.52229329199</v>
      </c>
      <c r="H3530" s="56">
        <v>-1.4290433991253107E-2</v>
      </c>
      <c r="I3530" s="224" t="s">
        <v>2</v>
      </c>
    </row>
    <row r="3531" spans="1:9" x14ac:dyDescent="0.25">
      <c r="A3531" s="515">
        <v>85747</v>
      </c>
      <c r="B3531" s="515" t="s">
        <v>368</v>
      </c>
      <c r="C3531" s="52">
        <v>348604.28645537299</v>
      </c>
      <c r="D3531" s="56">
        <v>6.1066194320379186E-2</v>
      </c>
      <c r="E3531" s="224">
        <v>1875.38095238095</v>
      </c>
      <c r="F3531" s="515" t="s">
        <v>4894</v>
      </c>
      <c r="G3531" s="52">
        <v>370687.36401920201</v>
      </c>
      <c r="H3531" s="56">
        <v>8.722252441189951E-2</v>
      </c>
      <c r="I3531" s="224">
        <v>1850</v>
      </c>
    </row>
    <row r="3532" spans="1:9" x14ac:dyDescent="0.25">
      <c r="A3532" s="515">
        <v>8757</v>
      </c>
      <c r="B3532" s="515" t="s">
        <v>324</v>
      </c>
      <c r="C3532" s="52">
        <v>292073.98809166002</v>
      </c>
      <c r="D3532" s="56">
        <v>9.6904236148963721E-2</v>
      </c>
      <c r="E3532" s="224" t="s">
        <v>2</v>
      </c>
      <c r="F3532" s="515" t="s">
        <v>4895</v>
      </c>
      <c r="G3532" s="52">
        <v>369260.58228619699</v>
      </c>
      <c r="H3532" s="56">
        <v>5.3586242522965656E-2</v>
      </c>
      <c r="I3532" s="224" t="s">
        <v>2</v>
      </c>
    </row>
    <row r="3533" spans="1:9" x14ac:dyDescent="0.25">
      <c r="A3533" s="515">
        <v>59105</v>
      </c>
      <c r="B3533" s="515" t="s">
        <v>637</v>
      </c>
      <c r="C3533" s="52">
        <v>372407.17450531397</v>
      </c>
      <c r="D3533" s="56">
        <v>8.5332923912191036E-2</v>
      </c>
      <c r="E3533" s="224" t="s">
        <v>2</v>
      </c>
      <c r="F3533" s="515" t="s">
        <v>4896</v>
      </c>
      <c r="G3533" s="52">
        <v>344035.71930524003</v>
      </c>
      <c r="H3533" s="56">
        <v>0.2037654393615452</v>
      </c>
      <c r="I3533" s="224" t="s">
        <v>2</v>
      </c>
    </row>
    <row r="3534" spans="1:9" x14ac:dyDescent="0.25">
      <c r="A3534" s="515">
        <v>76036</v>
      </c>
      <c r="B3534" s="515" t="s">
        <v>458</v>
      </c>
      <c r="C3534" s="52">
        <v>320862.89709290501</v>
      </c>
      <c r="D3534" s="56">
        <v>7.5458839478361669E-2</v>
      </c>
      <c r="E3534" s="224">
        <v>2048.3214285714198</v>
      </c>
      <c r="F3534" s="515" t="s">
        <v>4897</v>
      </c>
      <c r="G3534" s="52">
        <v>358925.81122275302</v>
      </c>
      <c r="H3534" s="56">
        <v>0.18607343332272769</v>
      </c>
      <c r="I3534" s="224" t="s">
        <v>2</v>
      </c>
    </row>
    <row r="3535" spans="1:9" x14ac:dyDescent="0.25">
      <c r="A3535" s="515">
        <v>95966</v>
      </c>
      <c r="B3535" s="515" t="s">
        <v>580</v>
      </c>
      <c r="C3535" s="52">
        <v>305998.26676856598</v>
      </c>
      <c r="D3535" s="56">
        <v>3.1673938611326597E-3</v>
      </c>
      <c r="E3535" s="224" t="s">
        <v>2</v>
      </c>
      <c r="F3535" s="515" t="s">
        <v>4898</v>
      </c>
      <c r="G3535" s="52">
        <v>246377.648507684</v>
      </c>
      <c r="H3535" s="56">
        <v>0.12991232936066827</v>
      </c>
      <c r="I3535" s="224">
        <v>1595</v>
      </c>
    </row>
    <row r="3536" spans="1:9" x14ac:dyDescent="0.25">
      <c r="A3536" s="515">
        <v>13090</v>
      </c>
      <c r="B3536" s="515" t="s">
        <v>361</v>
      </c>
      <c r="C3536" s="52">
        <v>225429.439141771</v>
      </c>
      <c r="D3536" s="56">
        <v>8.5263929241112701E-2</v>
      </c>
      <c r="E3536" s="224">
        <v>2157.5</v>
      </c>
      <c r="F3536" s="515" t="s">
        <v>4899</v>
      </c>
      <c r="G3536" s="52">
        <v>317520.05292228598</v>
      </c>
      <c r="H3536" s="56">
        <v>6.0230235844459398E-2</v>
      </c>
      <c r="I3536" s="224" t="s">
        <v>2</v>
      </c>
    </row>
    <row r="3537" spans="1:9" x14ac:dyDescent="0.25">
      <c r="A3537" s="515">
        <v>2121</v>
      </c>
      <c r="B3537" s="515" t="s">
        <v>534</v>
      </c>
      <c r="C3537" s="52">
        <v>483108.30931080901</v>
      </c>
      <c r="D3537" s="56">
        <v>2.3139686258268163E-2</v>
      </c>
      <c r="E3537" s="224" t="s">
        <v>2</v>
      </c>
      <c r="F3537" s="515" t="s">
        <v>945</v>
      </c>
      <c r="G3537" s="52">
        <v>257996.60845812</v>
      </c>
      <c r="H3537" s="56">
        <v>0.13244804379196776</v>
      </c>
      <c r="I3537" s="224" t="s">
        <v>2</v>
      </c>
    </row>
    <row r="3538" spans="1:9" x14ac:dyDescent="0.25">
      <c r="A3538" s="515">
        <v>46614</v>
      </c>
      <c r="B3538" s="515" t="s">
        <v>1002</v>
      </c>
      <c r="C3538" s="52">
        <v>197611.05999690501</v>
      </c>
      <c r="D3538" s="56">
        <v>8.7368586437981163E-2</v>
      </c>
      <c r="E3538" s="224" t="s">
        <v>2</v>
      </c>
      <c r="F3538" s="515" t="s">
        <v>4900</v>
      </c>
      <c r="G3538" s="52">
        <v>203476.811912726</v>
      </c>
      <c r="H3538" s="56">
        <v>6.7992811381829832E-2</v>
      </c>
      <c r="I3538" s="224" t="s">
        <v>2</v>
      </c>
    </row>
    <row r="3539" spans="1:9" x14ac:dyDescent="0.25">
      <c r="A3539" s="515">
        <v>33185</v>
      </c>
      <c r="B3539" s="515" t="s">
        <v>831</v>
      </c>
      <c r="C3539" s="52">
        <v>594111.25014113402</v>
      </c>
      <c r="D3539" s="56">
        <v>0.13542594842883418</v>
      </c>
      <c r="E3539" s="224">
        <v>3630</v>
      </c>
      <c r="F3539" s="515" t="s">
        <v>4901</v>
      </c>
      <c r="G3539" s="52">
        <v>138438.68074193699</v>
      </c>
      <c r="H3539" s="56">
        <v>5.9277016311307322E-2</v>
      </c>
      <c r="I3539" s="224" t="s">
        <v>2</v>
      </c>
    </row>
    <row r="3540" spans="1:9" x14ac:dyDescent="0.25">
      <c r="A3540" s="515">
        <v>12205</v>
      </c>
      <c r="B3540" s="515" t="s">
        <v>609</v>
      </c>
      <c r="C3540" s="52">
        <v>259926.193792537</v>
      </c>
      <c r="D3540" s="56">
        <v>3.9058536485159411E-2</v>
      </c>
      <c r="E3540" s="224">
        <v>2100</v>
      </c>
      <c r="F3540" s="515" t="s">
        <v>4902</v>
      </c>
      <c r="G3540" s="52">
        <v>285315.879207302</v>
      </c>
      <c r="H3540" s="56">
        <v>8.3141521109663219E-2</v>
      </c>
      <c r="I3540" s="224" t="s">
        <v>2</v>
      </c>
    </row>
    <row r="3541" spans="1:9" x14ac:dyDescent="0.25">
      <c r="A3541" s="515">
        <v>72209</v>
      </c>
      <c r="B3541" s="515" t="s">
        <v>393</v>
      </c>
      <c r="C3541" s="52">
        <v>98678.943015466502</v>
      </c>
      <c r="D3541" s="56">
        <v>0.10735697252110811</v>
      </c>
      <c r="E3541" s="224">
        <v>939.05555555555497</v>
      </c>
      <c r="F3541" s="515" t="s">
        <v>4903</v>
      </c>
      <c r="G3541" s="52">
        <v>239655.032357588</v>
      </c>
      <c r="H3541" s="56">
        <v>8.0060113459649737E-2</v>
      </c>
      <c r="I3541" s="224" t="s">
        <v>2</v>
      </c>
    </row>
    <row r="3542" spans="1:9" x14ac:dyDescent="0.25">
      <c r="A3542" s="515">
        <v>1020</v>
      </c>
      <c r="B3542" s="515" t="s">
        <v>575</v>
      </c>
      <c r="C3542" s="52">
        <v>272730.72734756698</v>
      </c>
      <c r="D3542" s="56">
        <v>7.5511281057767901E-2</v>
      </c>
      <c r="E3542" s="224" t="s">
        <v>2</v>
      </c>
      <c r="F3542" s="515" t="s">
        <v>4904</v>
      </c>
      <c r="G3542" s="52">
        <v>510544.271207446</v>
      </c>
      <c r="H3542" s="56">
        <v>-6.687326017889658E-3</v>
      </c>
      <c r="I3542" s="224" t="s">
        <v>2</v>
      </c>
    </row>
    <row r="3543" spans="1:9" x14ac:dyDescent="0.25">
      <c r="A3543" s="515">
        <v>23518</v>
      </c>
      <c r="B3543" s="515" t="s">
        <v>301</v>
      </c>
      <c r="C3543" s="52">
        <v>290652.10241552902</v>
      </c>
      <c r="D3543" s="56">
        <v>5.6622187542859137E-2</v>
      </c>
      <c r="E3543" s="224">
        <v>1605.0833333333301</v>
      </c>
      <c r="F3543" s="515" t="s">
        <v>4905</v>
      </c>
      <c r="G3543" s="52"/>
      <c r="H3543" s="56">
        <v>0</v>
      </c>
      <c r="I3543" s="224" t="s">
        <v>2</v>
      </c>
    </row>
    <row r="3544" spans="1:9" x14ac:dyDescent="0.25">
      <c r="A3544" s="515">
        <v>31904</v>
      </c>
      <c r="B3544" s="515" t="s">
        <v>778</v>
      </c>
      <c r="C3544" s="52">
        <v>172732.92905416101</v>
      </c>
      <c r="D3544" s="56">
        <v>9.0329118963708946E-2</v>
      </c>
      <c r="E3544" s="224">
        <v>1287.2222222222199</v>
      </c>
      <c r="F3544" s="515" t="s">
        <v>4906</v>
      </c>
      <c r="G3544" s="52">
        <v>325257.00178744103</v>
      </c>
      <c r="H3544" s="56">
        <v>0.11149949186030342</v>
      </c>
      <c r="I3544" s="224" t="s">
        <v>2</v>
      </c>
    </row>
    <row r="3545" spans="1:9" x14ac:dyDescent="0.25">
      <c r="A3545" s="515">
        <v>94062</v>
      </c>
      <c r="B3545" s="515" t="s">
        <v>593</v>
      </c>
      <c r="C3545" s="52">
        <v>2378668.8944635498</v>
      </c>
      <c r="D3545" s="56">
        <v>1.753895902554338E-2</v>
      </c>
      <c r="E3545" s="224">
        <v>2612.0707070706999</v>
      </c>
      <c r="F3545" s="515" t="s">
        <v>1208</v>
      </c>
      <c r="G3545" s="52">
        <v>202508.787431868</v>
      </c>
      <c r="H3545" s="56">
        <v>-2.8557862754837106E-2</v>
      </c>
      <c r="I3545" s="224" t="s">
        <v>2</v>
      </c>
    </row>
    <row r="3546" spans="1:9" x14ac:dyDescent="0.25">
      <c r="A3546" s="515">
        <v>32082</v>
      </c>
      <c r="B3546" s="515" t="s">
        <v>1158</v>
      </c>
      <c r="C3546" s="52">
        <v>785398.765066394</v>
      </c>
      <c r="D3546" s="56">
        <v>0.12095377335977227</v>
      </c>
      <c r="E3546" s="224">
        <v>2519.5238095238001</v>
      </c>
      <c r="F3546" s="515" t="s">
        <v>1124</v>
      </c>
      <c r="G3546" s="52">
        <v>147603.02431820799</v>
      </c>
      <c r="H3546" s="56">
        <v>9.7615484011481568E-2</v>
      </c>
      <c r="I3546" s="224" t="s">
        <v>2</v>
      </c>
    </row>
    <row r="3547" spans="1:9" x14ac:dyDescent="0.25">
      <c r="A3547" s="515">
        <v>49464</v>
      </c>
      <c r="B3547" s="515" t="s">
        <v>631</v>
      </c>
      <c r="C3547" s="52">
        <v>327693.17607157998</v>
      </c>
      <c r="D3547" s="56">
        <v>0.11268227220077109</v>
      </c>
      <c r="E3547" s="224">
        <v>1812</v>
      </c>
      <c r="F3547" s="515" t="s">
        <v>4907</v>
      </c>
      <c r="G3547" s="52">
        <v>235817.577720801</v>
      </c>
      <c r="H3547" s="56">
        <v>6.9521783723447597E-2</v>
      </c>
      <c r="I3547" s="224">
        <v>1665.3333333333301</v>
      </c>
    </row>
    <row r="3548" spans="1:9" x14ac:dyDescent="0.25">
      <c r="A3548" s="515">
        <v>68135</v>
      </c>
      <c r="B3548" s="515" t="s">
        <v>367</v>
      </c>
      <c r="C3548" s="52">
        <v>355700.84520915401</v>
      </c>
      <c r="D3548" s="56">
        <v>7.4717690801584427E-2</v>
      </c>
      <c r="E3548" s="224">
        <v>1757.88888888888</v>
      </c>
      <c r="F3548" s="515" t="s">
        <v>1006</v>
      </c>
      <c r="G3548" s="52">
        <v>351287.99288337701</v>
      </c>
      <c r="H3548" s="56">
        <v>9.8905055536339312E-2</v>
      </c>
      <c r="I3548" s="224" t="s">
        <v>2</v>
      </c>
    </row>
    <row r="3549" spans="1:9" x14ac:dyDescent="0.25">
      <c r="A3549" s="515">
        <v>24073</v>
      </c>
      <c r="B3549" s="515" t="s">
        <v>597</v>
      </c>
      <c r="C3549" s="52">
        <v>259615.99064732299</v>
      </c>
      <c r="D3549" s="56">
        <v>7.5446055862283826E-2</v>
      </c>
      <c r="E3549" s="224">
        <v>1433.0833333333301</v>
      </c>
      <c r="F3549" s="515" t="s">
        <v>4908</v>
      </c>
      <c r="G3549" s="52">
        <v>349792.93709324102</v>
      </c>
      <c r="H3549" s="56">
        <v>0.12617865256085575</v>
      </c>
      <c r="I3549" s="224">
        <v>1161.6666666666599</v>
      </c>
    </row>
    <row r="3550" spans="1:9" x14ac:dyDescent="0.25">
      <c r="A3550" s="515">
        <v>44221</v>
      </c>
      <c r="B3550" s="515" t="s">
        <v>1000</v>
      </c>
      <c r="C3550" s="52">
        <v>161405.950983877</v>
      </c>
      <c r="D3550" s="56">
        <v>6.107368610021012E-2</v>
      </c>
      <c r="E3550" s="224">
        <v>1186.1111111111099</v>
      </c>
      <c r="F3550" s="515" t="s">
        <v>4909</v>
      </c>
      <c r="G3550" s="52">
        <v>539754.46262907097</v>
      </c>
      <c r="H3550" s="56">
        <v>2.723658074255169E-2</v>
      </c>
      <c r="I3550" s="224">
        <v>1700.23809523809</v>
      </c>
    </row>
    <row r="3551" spans="1:9" x14ac:dyDescent="0.25">
      <c r="A3551" s="515">
        <v>50401</v>
      </c>
      <c r="B3551" s="515" t="s">
        <v>634</v>
      </c>
      <c r="C3551" s="52">
        <v>134983.07739253799</v>
      </c>
      <c r="D3551" s="56">
        <v>9.0188617690531284E-2</v>
      </c>
      <c r="E3551" s="224" t="s">
        <v>2</v>
      </c>
      <c r="F3551" s="515" t="s">
        <v>1221</v>
      </c>
      <c r="G3551" s="52">
        <v>1527992.6700516599</v>
      </c>
      <c r="H3551" s="56">
        <v>0.14825187690689975</v>
      </c>
      <c r="I3551" s="224" t="s">
        <v>2</v>
      </c>
    </row>
    <row r="3552" spans="1:9" x14ac:dyDescent="0.25">
      <c r="A3552" s="515">
        <v>65721</v>
      </c>
      <c r="B3552" s="515" t="s">
        <v>603</v>
      </c>
      <c r="C3552" s="52">
        <v>279463.92346795998</v>
      </c>
      <c r="D3552" s="56">
        <v>8.4450519947551317E-2</v>
      </c>
      <c r="E3552" s="224">
        <v>1280</v>
      </c>
      <c r="F3552" s="515" t="s">
        <v>4910</v>
      </c>
      <c r="G3552" s="52">
        <v>117234.05778269999</v>
      </c>
      <c r="H3552" s="56">
        <v>3.3568268855589721E-4</v>
      </c>
      <c r="I3552" s="224" t="s">
        <v>2</v>
      </c>
    </row>
    <row r="3553" spans="1:9" x14ac:dyDescent="0.25">
      <c r="A3553" s="515">
        <v>77091</v>
      </c>
      <c r="B3553" s="515" t="s">
        <v>314</v>
      </c>
      <c r="C3553" s="52">
        <v>221950.97701490999</v>
      </c>
      <c r="D3553" s="56">
        <v>0.15857821913214537</v>
      </c>
      <c r="E3553" s="224" t="s">
        <v>2</v>
      </c>
      <c r="F3553" s="515" t="s">
        <v>4911</v>
      </c>
      <c r="G3553" s="52">
        <v>512207.20663493802</v>
      </c>
      <c r="H3553" s="56">
        <v>0.12757321499368149</v>
      </c>
      <c r="I3553" s="224">
        <v>2630.5555555555502</v>
      </c>
    </row>
    <row r="3554" spans="1:9" x14ac:dyDescent="0.25">
      <c r="A3554" s="515">
        <v>28278</v>
      </c>
      <c r="B3554" s="515" t="s">
        <v>360</v>
      </c>
      <c r="C3554" s="52">
        <v>464371.24079111201</v>
      </c>
      <c r="D3554" s="56">
        <v>7.8562089285711054E-2</v>
      </c>
      <c r="E3554" s="224">
        <v>1805.6735042734999</v>
      </c>
      <c r="F3554" s="515" t="s">
        <v>4912</v>
      </c>
      <c r="G3554" s="52">
        <v>230128.87252345899</v>
      </c>
      <c r="H3554" s="56">
        <v>5.2889875380878429E-2</v>
      </c>
      <c r="I3554" s="224" t="s">
        <v>2</v>
      </c>
    </row>
    <row r="3555" spans="1:9" x14ac:dyDescent="0.25">
      <c r="A3555" s="515">
        <v>74403</v>
      </c>
      <c r="B3555" s="515" t="s">
        <v>538</v>
      </c>
      <c r="C3555" s="52">
        <v>131910.73895249699</v>
      </c>
      <c r="D3555" s="56">
        <v>0.10538672429390981</v>
      </c>
      <c r="E3555" s="224" t="s">
        <v>2</v>
      </c>
      <c r="F3555" s="515" t="s">
        <v>773</v>
      </c>
      <c r="G3555" s="52">
        <v>77939.757745155905</v>
      </c>
      <c r="H3555" s="56">
        <v>3.4692221231205141E-2</v>
      </c>
      <c r="I3555" s="224" t="s">
        <v>2</v>
      </c>
    </row>
    <row r="3556" spans="1:9" x14ac:dyDescent="0.25">
      <c r="A3556" s="515">
        <v>48602</v>
      </c>
      <c r="B3556" s="515" t="s">
        <v>904</v>
      </c>
      <c r="C3556" s="52">
        <v>64163.267519597597</v>
      </c>
      <c r="D3556" s="56">
        <v>8.7197274991385451E-2</v>
      </c>
      <c r="E3556" s="224">
        <v>791.66666666666595</v>
      </c>
      <c r="F3556" s="515" t="s">
        <v>4913</v>
      </c>
      <c r="G3556" s="52">
        <v>162753.56824421301</v>
      </c>
      <c r="H3556" s="56">
        <v>8.4887173726971299E-2</v>
      </c>
      <c r="I3556" s="224" t="s">
        <v>2</v>
      </c>
    </row>
    <row r="3557" spans="1:9" x14ac:dyDescent="0.25">
      <c r="A3557" s="515">
        <v>21009</v>
      </c>
      <c r="B3557" s="515" t="s">
        <v>582</v>
      </c>
      <c r="C3557" s="52">
        <v>330481.45004522102</v>
      </c>
      <c r="D3557" s="56">
        <v>4.1547881944011322E-2</v>
      </c>
      <c r="E3557" s="224">
        <v>1895.19444444444</v>
      </c>
      <c r="F3557" s="515" t="s">
        <v>566</v>
      </c>
      <c r="G3557" s="52">
        <v>105872.60305814</v>
      </c>
      <c r="H3557" s="56">
        <v>0.16432334749006466</v>
      </c>
      <c r="I3557" s="224" t="s">
        <v>2</v>
      </c>
    </row>
    <row r="3558" spans="1:9" x14ac:dyDescent="0.25">
      <c r="A3558" s="515">
        <v>32773</v>
      </c>
      <c r="B3558" s="515" t="s">
        <v>517</v>
      </c>
      <c r="C3558" s="52">
        <v>294775.396869121</v>
      </c>
      <c r="D3558" s="56">
        <v>0.13707432456902846</v>
      </c>
      <c r="E3558" s="224">
        <v>1852.8412698412701</v>
      </c>
      <c r="F3558" s="515" t="s">
        <v>4914</v>
      </c>
      <c r="G3558" s="52">
        <v>420517.16836071602</v>
      </c>
      <c r="H3558" s="56">
        <v>9.285672059986283E-2</v>
      </c>
      <c r="I3558" s="224" t="s">
        <v>2</v>
      </c>
    </row>
    <row r="3559" spans="1:9" x14ac:dyDescent="0.25">
      <c r="A3559" s="515">
        <v>48236</v>
      </c>
      <c r="B3559" s="515" t="s">
        <v>685</v>
      </c>
      <c r="C3559" s="52">
        <v>346534.38937176601</v>
      </c>
      <c r="D3559" s="56">
        <v>4.9348465323655895E-2</v>
      </c>
      <c r="E3559" s="224" t="s">
        <v>2</v>
      </c>
      <c r="F3559" s="515" t="s">
        <v>4915</v>
      </c>
      <c r="G3559" s="52">
        <v>194599.260173555</v>
      </c>
      <c r="H3559" s="56">
        <v>9.7459916289281037E-2</v>
      </c>
      <c r="I3559" s="224" t="s">
        <v>2</v>
      </c>
    </row>
    <row r="3560" spans="1:9" x14ac:dyDescent="0.25">
      <c r="A3560" s="515">
        <v>14626</v>
      </c>
      <c r="B3560" s="515" t="s">
        <v>337</v>
      </c>
      <c r="C3560" s="52">
        <v>211860.616749615</v>
      </c>
      <c r="D3560" s="56">
        <v>7.2349218322188033E-2</v>
      </c>
      <c r="E3560" s="224">
        <v>1542.2222222222199</v>
      </c>
      <c r="F3560" s="515" t="s">
        <v>4916</v>
      </c>
      <c r="G3560" s="52">
        <v>232453.05468733801</v>
      </c>
      <c r="H3560" s="56">
        <v>0.15418220659143314</v>
      </c>
      <c r="I3560" s="224" t="s">
        <v>2</v>
      </c>
    </row>
    <row r="3561" spans="1:9" x14ac:dyDescent="0.25">
      <c r="A3561" s="515">
        <v>15236</v>
      </c>
      <c r="B3561" s="515" t="s">
        <v>297</v>
      </c>
      <c r="C3561" s="52">
        <v>223442.59146040099</v>
      </c>
      <c r="D3561" s="56">
        <v>5.6033680299206315E-2</v>
      </c>
      <c r="E3561" s="224">
        <v>956.944444444444</v>
      </c>
      <c r="F3561" s="515" t="s">
        <v>4917</v>
      </c>
      <c r="G3561" s="52">
        <v>204604.706552605</v>
      </c>
      <c r="H3561" s="56">
        <v>3.8567567769185761E-2</v>
      </c>
      <c r="I3561" s="224" t="s">
        <v>2</v>
      </c>
    </row>
    <row r="3562" spans="1:9" x14ac:dyDescent="0.25">
      <c r="A3562" s="515">
        <v>60438</v>
      </c>
      <c r="B3562" s="515" t="s">
        <v>394</v>
      </c>
      <c r="C3562" s="52">
        <v>184089.84081921601</v>
      </c>
      <c r="D3562" s="56">
        <v>6.691452866718986E-2</v>
      </c>
      <c r="E3562" s="224">
        <v>1652.88888888888</v>
      </c>
      <c r="F3562" s="515" t="s">
        <v>4918</v>
      </c>
      <c r="G3562" s="52">
        <v>236878.52732415599</v>
      </c>
      <c r="H3562" s="56">
        <v>0.18228035116467212</v>
      </c>
      <c r="I3562" s="224" t="s">
        <v>2</v>
      </c>
    </row>
    <row r="3563" spans="1:9" x14ac:dyDescent="0.25">
      <c r="A3563" s="515">
        <v>77598</v>
      </c>
      <c r="B3563" s="515" t="s">
        <v>314</v>
      </c>
      <c r="C3563" s="52">
        <v>249398.67907419399</v>
      </c>
      <c r="D3563" s="56">
        <v>8.3059496199870464E-2</v>
      </c>
      <c r="E3563" s="224">
        <v>1257.8603174603099</v>
      </c>
      <c r="F3563" s="515" t="s">
        <v>4919</v>
      </c>
      <c r="G3563" s="52">
        <v>351346.84600780299</v>
      </c>
      <c r="H3563" s="56">
        <v>8.0817007720247289E-2</v>
      </c>
      <c r="I3563" s="224" t="s">
        <v>2</v>
      </c>
    </row>
    <row r="3564" spans="1:9" x14ac:dyDescent="0.25">
      <c r="A3564" s="515">
        <v>76548</v>
      </c>
      <c r="B3564" s="515" t="s">
        <v>859</v>
      </c>
      <c r="C3564" s="52">
        <v>299046.30841409002</v>
      </c>
      <c r="D3564" s="56">
        <v>7.7684476671664671E-2</v>
      </c>
      <c r="E3564" s="224">
        <v>1547.9583333333301</v>
      </c>
      <c r="F3564" s="515" t="s">
        <v>1225</v>
      </c>
      <c r="G3564" s="52">
        <v>279604.17316452001</v>
      </c>
      <c r="H3564" s="56">
        <v>9.0742196087066782E-2</v>
      </c>
      <c r="I3564" s="224" t="s">
        <v>2</v>
      </c>
    </row>
    <row r="3565" spans="1:9" x14ac:dyDescent="0.25">
      <c r="A3565" s="515">
        <v>84070</v>
      </c>
      <c r="B3565" s="515" t="s">
        <v>617</v>
      </c>
      <c r="C3565" s="52">
        <v>481292.76379424002</v>
      </c>
      <c r="D3565" s="56">
        <v>2.1270409153662365E-2</v>
      </c>
      <c r="E3565" s="224">
        <v>1563.62301587301</v>
      </c>
      <c r="F3565" s="515" t="s">
        <v>4920</v>
      </c>
      <c r="G3565" s="52">
        <v>161163.41226559901</v>
      </c>
      <c r="H3565" s="56">
        <v>2.3735688797497278E-2</v>
      </c>
      <c r="I3565" s="224" t="s">
        <v>2</v>
      </c>
    </row>
    <row r="3566" spans="1:9" x14ac:dyDescent="0.25">
      <c r="A3566" s="515">
        <v>18360</v>
      </c>
      <c r="B3566" s="515" t="s">
        <v>338</v>
      </c>
      <c r="C3566" s="52">
        <v>306963.51261576999</v>
      </c>
      <c r="D3566" s="56">
        <v>8.3575289898674118E-2</v>
      </c>
      <c r="E3566" s="224" t="s">
        <v>2</v>
      </c>
      <c r="F3566" s="515" t="s">
        <v>4921</v>
      </c>
      <c r="G3566" s="52">
        <v>240228.904920965</v>
      </c>
      <c r="H3566" s="56">
        <v>0.1573244680214769</v>
      </c>
      <c r="I3566" s="224" t="s">
        <v>2</v>
      </c>
    </row>
    <row r="3567" spans="1:9" x14ac:dyDescent="0.25">
      <c r="A3567" s="515">
        <v>33054</v>
      </c>
      <c r="B3567" s="515" t="s">
        <v>831</v>
      </c>
      <c r="C3567" s="52">
        <v>347326.09751856502</v>
      </c>
      <c r="D3567" s="56">
        <v>0.16178764805506293</v>
      </c>
      <c r="E3567" s="224">
        <v>2458.3333333333298</v>
      </c>
      <c r="F3567" s="515" t="s">
        <v>934</v>
      </c>
      <c r="G3567" s="52">
        <v>372534.59558526002</v>
      </c>
      <c r="H3567" s="56">
        <v>6.1682208868439621E-2</v>
      </c>
      <c r="I3567" s="224" t="s">
        <v>2</v>
      </c>
    </row>
    <row r="3568" spans="1:9" x14ac:dyDescent="0.25">
      <c r="A3568" s="515">
        <v>30741</v>
      </c>
      <c r="B3568" s="515" t="s">
        <v>622</v>
      </c>
      <c r="C3568" s="52">
        <v>166671.653647545</v>
      </c>
      <c r="D3568" s="56">
        <v>0.11571153864623702</v>
      </c>
      <c r="E3568" s="224" t="s">
        <v>2</v>
      </c>
      <c r="F3568" s="515" t="s">
        <v>4922</v>
      </c>
      <c r="G3568" s="52">
        <v>150775.46742338699</v>
      </c>
      <c r="H3568" s="56">
        <v>0.18308731657476007</v>
      </c>
      <c r="I3568" s="224" t="s">
        <v>2</v>
      </c>
    </row>
    <row r="3569" spans="1:9" x14ac:dyDescent="0.25">
      <c r="A3569" s="515">
        <v>36303</v>
      </c>
      <c r="B3569" s="515" t="s">
        <v>816</v>
      </c>
      <c r="C3569" s="52">
        <v>158328.96006137301</v>
      </c>
      <c r="D3569" s="56">
        <v>8.6093858495385103E-2</v>
      </c>
      <c r="E3569" s="224" t="s">
        <v>2</v>
      </c>
      <c r="F3569" s="515" t="s">
        <v>349</v>
      </c>
      <c r="G3569" s="52">
        <v>75291.830873308994</v>
      </c>
      <c r="H3569" s="56">
        <v>0.12226826213450007</v>
      </c>
      <c r="I3569" s="224" t="s">
        <v>2</v>
      </c>
    </row>
    <row r="3570" spans="1:9" x14ac:dyDescent="0.25">
      <c r="A3570" s="515">
        <v>85053</v>
      </c>
      <c r="B3570" s="515" t="s">
        <v>563</v>
      </c>
      <c r="C3570" s="52">
        <v>361410.17839747301</v>
      </c>
      <c r="D3570" s="56">
        <v>4.3926424297012344E-2</v>
      </c>
      <c r="E3570" s="224">
        <v>1386.18055555555</v>
      </c>
      <c r="F3570" s="515" t="s">
        <v>4923</v>
      </c>
      <c r="G3570" s="52">
        <v>623600.31323145097</v>
      </c>
      <c r="H3570" s="56">
        <v>2.7615330224984577E-2</v>
      </c>
      <c r="I3570" s="224">
        <v>1898.75</v>
      </c>
    </row>
    <row r="3571" spans="1:9" x14ac:dyDescent="0.25">
      <c r="A3571" s="515">
        <v>92227</v>
      </c>
      <c r="B3571" s="515" t="s">
        <v>621</v>
      </c>
      <c r="C3571" s="52">
        <v>286494.00751970703</v>
      </c>
      <c r="D3571" s="56">
        <v>2.2953826592005271E-2</v>
      </c>
      <c r="E3571" s="224" t="s">
        <v>2</v>
      </c>
      <c r="F3571" s="515" t="s">
        <v>4924</v>
      </c>
      <c r="G3571" s="52">
        <v>249868.22536381101</v>
      </c>
      <c r="H3571" s="56">
        <v>6.6516176636411489E-2</v>
      </c>
      <c r="I3571" s="224">
        <v>1531.6666666666599</v>
      </c>
    </row>
    <row r="3572" spans="1:9" x14ac:dyDescent="0.25">
      <c r="A3572" s="515">
        <v>91351</v>
      </c>
      <c r="B3572" s="515" t="s">
        <v>375</v>
      </c>
      <c r="C3572" s="52">
        <v>661987.84186428599</v>
      </c>
      <c r="D3572" s="56">
        <v>4.3272147433973819E-2</v>
      </c>
      <c r="E3572" s="224">
        <v>2572.3333333333298</v>
      </c>
      <c r="F3572" s="515" t="s">
        <v>4925</v>
      </c>
      <c r="G3572" s="52">
        <v>438766.356868623</v>
      </c>
      <c r="H3572" s="56">
        <v>5.4925596362982936E-2</v>
      </c>
      <c r="I3572" s="224">
        <v>2440</v>
      </c>
    </row>
    <row r="3573" spans="1:9" x14ac:dyDescent="0.25">
      <c r="A3573" s="515">
        <v>46239</v>
      </c>
      <c r="B3573" s="515" t="s">
        <v>403</v>
      </c>
      <c r="C3573" s="52">
        <v>267379.99385376001</v>
      </c>
      <c r="D3573" s="56">
        <v>5.4692077253572335E-2</v>
      </c>
      <c r="E3573" s="224">
        <v>1747.4126984126899</v>
      </c>
      <c r="F3573" s="515" t="s">
        <v>4926</v>
      </c>
      <c r="G3573" s="52">
        <v>358326.12854558299</v>
      </c>
      <c r="H3573" s="56">
        <v>7.8517271963927646E-2</v>
      </c>
      <c r="I3573" s="224" t="s">
        <v>2</v>
      </c>
    </row>
    <row r="3574" spans="1:9" x14ac:dyDescent="0.25">
      <c r="A3574" s="515">
        <v>22556</v>
      </c>
      <c r="B3574" s="515" t="s">
        <v>321</v>
      </c>
      <c r="C3574" s="52">
        <v>463583.747677951</v>
      </c>
      <c r="D3574" s="56">
        <v>2.6450476541712776E-2</v>
      </c>
      <c r="E3574" s="224">
        <v>2400</v>
      </c>
      <c r="F3574" s="515" t="s">
        <v>4927</v>
      </c>
      <c r="G3574" s="52">
        <v>375500.95869943203</v>
      </c>
      <c r="H3574" s="56">
        <v>5.3633689433666552E-2</v>
      </c>
      <c r="I3574" s="224" t="s">
        <v>2</v>
      </c>
    </row>
    <row r="3575" spans="1:9" x14ac:dyDescent="0.25">
      <c r="A3575" s="515">
        <v>8610</v>
      </c>
      <c r="B3575" s="515" t="s">
        <v>938</v>
      </c>
      <c r="C3575" s="52">
        <v>264202.21366209799</v>
      </c>
      <c r="D3575" s="56">
        <v>9.51218616749923E-2</v>
      </c>
      <c r="E3575" s="224" t="s">
        <v>2</v>
      </c>
      <c r="F3575" s="515" t="s">
        <v>4928</v>
      </c>
      <c r="G3575" s="52">
        <v>618361.37827398605</v>
      </c>
      <c r="H3575" s="56">
        <v>0.13228298346554626</v>
      </c>
      <c r="I3575" s="224">
        <v>2023.6635031635001</v>
      </c>
    </row>
    <row r="3576" spans="1:9" x14ac:dyDescent="0.25">
      <c r="A3576" s="515">
        <v>12010</v>
      </c>
      <c r="B3576" s="515" t="s">
        <v>378</v>
      </c>
      <c r="C3576" s="52">
        <v>194976.60749009799</v>
      </c>
      <c r="D3576" s="56">
        <v>7.6133824984448761E-2</v>
      </c>
      <c r="E3576" s="224" t="s">
        <v>2</v>
      </c>
      <c r="F3576" s="515" t="s">
        <v>4929</v>
      </c>
      <c r="G3576" s="52">
        <v>1427690.0668351401</v>
      </c>
      <c r="H3576" s="56">
        <v>1.9359167615761185E-2</v>
      </c>
      <c r="I3576" s="224">
        <v>3733.3333333333298</v>
      </c>
    </row>
    <row r="3577" spans="1:9" x14ac:dyDescent="0.25">
      <c r="A3577" s="515">
        <v>67207</v>
      </c>
      <c r="B3577" s="515" t="s">
        <v>485</v>
      </c>
      <c r="C3577" s="52">
        <v>214121.802118644</v>
      </c>
      <c r="D3577" s="56">
        <v>9.2219260433385269E-2</v>
      </c>
      <c r="E3577" s="224">
        <v>1103.75</v>
      </c>
      <c r="F3577" s="515" t="s">
        <v>4930</v>
      </c>
      <c r="G3577" s="52">
        <v>282423.37177139602</v>
      </c>
      <c r="H3577" s="56">
        <v>0.15194487451698099</v>
      </c>
      <c r="I3577" s="224" t="s">
        <v>2</v>
      </c>
    </row>
    <row r="3578" spans="1:9" x14ac:dyDescent="0.25">
      <c r="A3578" s="515">
        <v>75119</v>
      </c>
      <c r="B3578" s="515" t="s">
        <v>458</v>
      </c>
      <c r="C3578" s="52">
        <v>244082.63116509799</v>
      </c>
      <c r="D3578" s="56">
        <v>4.0866389725669139E-2</v>
      </c>
      <c r="E3578" s="224">
        <v>1548.75</v>
      </c>
      <c r="F3578" s="515" t="s">
        <v>4931</v>
      </c>
      <c r="G3578" s="52">
        <v>191755.95191047399</v>
      </c>
      <c r="H3578" s="56">
        <v>6.468737206772672E-2</v>
      </c>
      <c r="I3578" s="224" t="s">
        <v>2</v>
      </c>
    </row>
    <row r="3579" spans="1:9" x14ac:dyDescent="0.25">
      <c r="A3579" s="515">
        <v>98338</v>
      </c>
      <c r="B3579" s="515" t="s">
        <v>384</v>
      </c>
      <c r="C3579" s="52">
        <v>528865.73471348605</v>
      </c>
      <c r="D3579" s="56">
        <v>1.0700108831092604E-2</v>
      </c>
      <c r="E3579" s="224">
        <v>2488.1111111111099</v>
      </c>
      <c r="F3579" s="515" t="s">
        <v>4932</v>
      </c>
      <c r="G3579" s="52">
        <v>293463.65028940601</v>
      </c>
      <c r="H3579" s="56">
        <v>9.5709296560633372E-2</v>
      </c>
      <c r="I3579" s="224">
        <v>1524.8333333333301</v>
      </c>
    </row>
    <row r="3580" spans="1:9" x14ac:dyDescent="0.25">
      <c r="A3580" s="515">
        <v>54481</v>
      </c>
      <c r="B3580" s="515" t="s">
        <v>1095</v>
      </c>
      <c r="C3580" s="52">
        <v>199270.60775540501</v>
      </c>
      <c r="D3580" s="56">
        <v>7.4365185535566827E-2</v>
      </c>
      <c r="E3580" s="224" t="s">
        <v>2</v>
      </c>
      <c r="F3580" s="515" t="s">
        <v>4933</v>
      </c>
      <c r="G3580" s="52">
        <v>254452.21216504701</v>
      </c>
      <c r="H3580" s="56">
        <v>0.11292968617426156</v>
      </c>
      <c r="I3580" s="224">
        <v>1620</v>
      </c>
    </row>
    <row r="3581" spans="1:9" x14ac:dyDescent="0.25">
      <c r="A3581" s="515">
        <v>60005</v>
      </c>
      <c r="B3581" s="515" t="s">
        <v>394</v>
      </c>
      <c r="C3581" s="52">
        <v>338538.06169429101</v>
      </c>
      <c r="D3581" s="56">
        <v>2.3819063010915503E-2</v>
      </c>
      <c r="E3581" s="224">
        <v>1628.61574074074</v>
      </c>
      <c r="F3581" s="515" t="s">
        <v>4934</v>
      </c>
      <c r="G3581" s="52">
        <v>1013041.09110896</v>
      </c>
      <c r="H3581" s="56">
        <v>4.7712347213106028E-2</v>
      </c>
      <c r="I3581" s="224">
        <v>3155.3333333333298</v>
      </c>
    </row>
    <row r="3582" spans="1:9" x14ac:dyDescent="0.25">
      <c r="A3582" s="515">
        <v>78750</v>
      </c>
      <c r="B3582" s="515" t="s">
        <v>380</v>
      </c>
      <c r="C3582" s="52">
        <v>651384.79828915</v>
      </c>
      <c r="D3582" s="56">
        <v>4.1488758030537004E-2</v>
      </c>
      <c r="E3582" s="224">
        <v>1614.62535612535</v>
      </c>
      <c r="F3582" s="515" t="s">
        <v>4935</v>
      </c>
      <c r="G3582" s="52">
        <v>63011.216236737899</v>
      </c>
      <c r="H3582" s="56">
        <v>0.2732190913521832</v>
      </c>
      <c r="I3582" s="224" t="s">
        <v>2</v>
      </c>
    </row>
    <row r="3583" spans="1:9" x14ac:dyDescent="0.25">
      <c r="A3583" s="515">
        <v>61032</v>
      </c>
      <c r="B3583" s="515" t="s">
        <v>411</v>
      </c>
      <c r="C3583" s="52">
        <v>95256.070505356402</v>
      </c>
      <c r="D3583" s="56">
        <v>6.1530591195326112E-2</v>
      </c>
      <c r="E3583" s="224" t="s">
        <v>2</v>
      </c>
      <c r="F3583" s="515" t="s">
        <v>4936</v>
      </c>
      <c r="G3583" s="52">
        <v>221301.44731028401</v>
      </c>
      <c r="H3583" s="56">
        <v>0.10182070417618759</v>
      </c>
      <c r="I3583" s="224">
        <v>1150</v>
      </c>
    </row>
    <row r="3584" spans="1:9" x14ac:dyDescent="0.25">
      <c r="A3584" s="515">
        <v>19050</v>
      </c>
      <c r="B3584" s="515" t="s">
        <v>294</v>
      </c>
      <c r="C3584" s="52">
        <v>217536.34324112599</v>
      </c>
      <c r="D3584" s="56">
        <v>0.11075631990614793</v>
      </c>
      <c r="E3584" s="224" t="s">
        <v>2</v>
      </c>
      <c r="F3584" s="515" t="s">
        <v>4937</v>
      </c>
      <c r="G3584" s="52">
        <v>295243.21152058901</v>
      </c>
      <c r="H3584" s="56">
        <v>4.8502490959659729E-2</v>
      </c>
      <c r="I3584" s="224" t="s">
        <v>2</v>
      </c>
    </row>
    <row r="3585" spans="1:9" x14ac:dyDescent="0.25">
      <c r="A3585" s="515">
        <v>53223</v>
      </c>
      <c r="B3585" s="515" t="s">
        <v>950</v>
      </c>
      <c r="C3585" s="52">
        <v>185564.08271717399</v>
      </c>
      <c r="D3585" s="56">
        <v>6.8658208513257074E-2</v>
      </c>
      <c r="E3585" s="224">
        <v>1195</v>
      </c>
      <c r="F3585" s="515" t="s">
        <v>4938</v>
      </c>
      <c r="G3585" s="52">
        <v>458030.103779139</v>
      </c>
      <c r="H3585" s="56">
        <v>0.1325592707043661</v>
      </c>
      <c r="I3585" s="224" t="s">
        <v>2</v>
      </c>
    </row>
    <row r="3586" spans="1:9" x14ac:dyDescent="0.25">
      <c r="A3586" s="515">
        <v>77532</v>
      </c>
      <c r="B3586" s="515" t="s">
        <v>314</v>
      </c>
      <c r="C3586" s="52">
        <v>263665.05116012599</v>
      </c>
      <c r="D3586" s="56">
        <v>8.5794222237586079E-2</v>
      </c>
      <c r="E3586" s="224">
        <v>1723.6111111111099</v>
      </c>
      <c r="F3586" s="515" t="s">
        <v>4939</v>
      </c>
      <c r="G3586" s="52">
        <v>558009.451479821</v>
      </c>
      <c r="H3586" s="56">
        <v>3.0621905105051271E-2</v>
      </c>
      <c r="I3586" s="224">
        <v>2529.13333333333</v>
      </c>
    </row>
    <row r="3587" spans="1:9" x14ac:dyDescent="0.25">
      <c r="A3587" s="515">
        <v>11763</v>
      </c>
      <c r="B3587" s="515" t="s">
        <v>324</v>
      </c>
      <c r="C3587" s="52">
        <v>458755.49060195597</v>
      </c>
      <c r="D3587" s="56">
        <v>4.2357293172278092E-2</v>
      </c>
      <c r="E3587" s="224" t="s">
        <v>2</v>
      </c>
      <c r="F3587" s="515" t="s">
        <v>4940</v>
      </c>
      <c r="G3587" s="52">
        <v>123363.37717067701</v>
      </c>
      <c r="H3587" s="56">
        <v>9.9517409162340947E-2</v>
      </c>
      <c r="I3587" s="224" t="s">
        <v>2</v>
      </c>
    </row>
    <row r="3588" spans="1:9" x14ac:dyDescent="0.25">
      <c r="A3588" s="515">
        <v>78244</v>
      </c>
      <c r="B3588" s="515" t="s">
        <v>717</v>
      </c>
      <c r="C3588" s="52">
        <v>235804.798391488</v>
      </c>
      <c r="D3588" s="56">
        <v>0.11820776359998569</v>
      </c>
      <c r="E3588" s="224">
        <v>1477.5558922558901</v>
      </c>
      <c r="F3588" s="515" t="s">
        <v>4941</v>
      </c>
      <c r="G3588" s="52">
        <v>222431.87588658201</v>
      </c>
      <c r="H3588" s="56">
        <v>6.7259086894283504E-2</v>
      </c>
      <c r="I3588" s="224">
        <v>1845</v>
      </c>
    </row>
    <row r="3589" spans="1:9" x14ac:dyDescent="0.25">
      <c r="A3589" s="515">
        <v>97355</v>
      </c>
      <c r="B3589" s="515" t="s">
        <v>591</v>
      </c>
      <c r="C3589" s="52">
        <v>369798.57247506297</v>
      </c>
      <c r="D3589" s="56">
        <v>5.1408731077053266E-2</v>
      </c>
      <c r="E3589" s="224">
        <v>1563.4722222222199</v>
      </c>
      <c r="F3589" s="515" t="s">
        <v>4942</v>
      </c>
      <c r="G3589" s="52">
        <v>192097.51326503401</v>
      </c>
      <c r="H3589" s="56">
        <v>0.14949154401370596</v>
      </c>
      <c r="I3589" s="224">
        <v>1375.2777777777701</v>
      </c>
    </row>
    <row r="3590" spans="1:9" x14ac:dyDescent="0.25">
      <c r="A3590" s="515">
        <v>7065</v>
      </c>
      <c r="B3590" s="515" t="s">
        <v>324</v>
      </c>
      <c r="C3590" s="52">
        <v>407829.24828718801</v>
      </c>
      <c r="D3590" s="56">
        <v>6.4053691156430365E-2</v>
      </c>
      <c r="E3590" s="224">
        <v>2201.1111111111099</v>
      </c>
      <c r="F3590" s="515" t="s">
        <v>4943</v>
      </c>
      <c r="G3590" s="52">
        <v>352691.62365346903</v>
      </c>
      <c r="H3590" s="56">
        <v>4.0327438836706316E-2</v>
      </c>
      <c r="I3590" s="224" t="s">
        <v>2</v>
      </c>
    </row>
    <row r="3591" spans="1:9" x14ac:dyDescent="0.25">
      <c r="A3591" s="515">
        <v>70364</v>
      </c>
      <c r="B3591" s="515" t="s">
        <v>898</v>
      </c>
      <c r="C3591" s="52">
        <v>165430.37596067399</v>
      </c>
      <c r="D3591" s="56">
        <v>-5.6362664857194267E-2</v>
      </c>
      <c r="E3591" s="224" t="s">
        <v>2</v>
      </c>
      <c r="F3591" s="515" t="s">
        <v>4944</v>
      </c>
      <c r="G3591" s="52">
        <v>553812.17142314999</v>
      </c>
      <c r="H3591" s="56">
        <v>9.3253216953916973E-2</v>
      </c>
      <c r="I3591" s="224" t="s">
        <v>2</v>
      </c>
    </row>
    <row r="3592" spans="1:9" x14ac:dyDescent="0.25">
      <c r="A3592" s="515">
        <v>48237</v>
      </c>
      <c r="B3592" s="515" t="s">
        <v>685</v>
      </c>
      <c r="C3592" s="52">
        <v>201435.57705810299</v>
      </c>
      <c r="D3592" s="56">
        <v>9.1647979958084699E-2</v>
      </c>
      <c r="E3592" s="224">
        <v>1467.2222222222199</v>
      </c>
      <c r="F3592" s="515" t="s">
        <v>4945</v>
      </c>
      <c r="G3592" s="52">
        <v>322178.192107076</v>
      </c>
      <c r="H3592" s="56">
        <v>0.1200955854214069</v>
      </c>
      <c r="I3592" s="224" t="s">
        <v>2</v>
      </c>
    </row>
    <row r="3593" spans="1:9" x14ac:dyDescent="0.25">
      <c r="A3593" s="515">
        <v>11725</v>
      </c>
      <c r="B3593" s="515" t="s">
        <v>324</v>
      </c>
      <c r="C3593" s="52">
        <v>650034.56640866096</v>
      </c>
      <c r="D3593" s="56">
        <v>5.2156921205051825E-2</v>
      </c>
      <c r="E3593" s="224" t="s">
        <v>2</v>
      </c>
      <c r="F3593" s="515" t="s">
        <v>664</v>
      </c>
      <c r="G3593" s="52">
        <v>208429.129383116</v>
      </c>
      <c r="H3593" s="56">
        <v>2.1246628340355327E-2</v>
      </c>
      <c r="I3593" s="224" t="s">
        <v>2</v>
      </c>
    </row>
    <row r="3594" spans="1:9" x14ac:dyDescent="0.25">
      <c r="A3594" s="515">
        <v>33510</v>
      </c>
      <c r="B3594" s="515" t="s">
        <v>461</v>
      </c>
      <c r="C3594" s="52">
        <v>331926.39269423299</v>
      </c>
      <c r="D3594" s="56">
        <v>9.9875484471684081E-2</v>
      </c>
      <c r="E3594" s="224">
        <v>2108.2083333333298</v>
      </c>
      <c r="F3594" s="515" t="s">
        <v>788</v>
      </c>
      <c r="G3594" s="52">
        <v>170634.07853999099</v>
      </c>
      <c r="H3594" s="56">
        <v>9.6659023603360261E-2</v>
      </c>
      <c r="I3594" s="224" t="s">
        <v>2</v>
      </c>
    </row>
    <row r="3595" spans="1:9" x14ac:dyDescent="0.25">
      <c r="A3595" s="515">
        <v>94131</v>
      </c>
      <c r="B3595" s="515" t="s">
        <v>593</v>
      </c>
      <c r="C3595" s="52">
        <v>1488080.10055989</v>
      </c>
      <c r="D3595" s="56">
        <v>-0.10374748973297998</v>
      </c>
      <c r="E3595" s="224">
        <v>3606.4861111111099</v>
      </c>
      <c r="F3595" s="515" t="s">
        <v>4946</v>
      </c>
      <c r="G3595" s="52">
        <v>563412.90725450695</v>
      </c>
      <c r="H3595" s="56">
        <v>9.2439157583363615E-2</v>
      </c>
      <c r="I3595" s="224" t="s">
        <v>2</v>
      </c>
    </row>
    <row r="3596" spans="1:9" x14ac:dyDescent="0.25">
      <c r="A3596" s="515">
        <v>43612</v>
      </c>
      <c r="B3596" s="515" t="s">
        <v>300</v>
      </c>
      <c r="C3596" s="52">
        <v>92688.965313597495</v>
      </c>
      <c r="D3596" s="56">
        <v>0.13528315826841453</v>
      </c>
      <c r="E3596" s="224">
        <v>958.66666666666595</v>
      </c>
      <c r="F3596" s="515" t="s">
        <v>4947</v>
      </c>
      <c r="G3596" s="52">
        <v>160581.790110189</v>
      </c>
      <c r="H3596" s="56">
        <v>7.8170743419350194E-2</v>
      </c>
      <c r="I3596" s="224">
        <v>1175</v>
      </c>
    </row>
    <row r="3597" spans="1:9" x14ac:dyDescent="0.25">
      <c r="A3597" s="515">
        <v>15221</v>
      </c>
      <c r="B3597" s="515" t="s">
        <v>297</v>
      </c>
      <c r="C3597" s="52">
        <v>132394.85422796899</v>
      </c>
      <c r="D3597" s="56">
        <v>5.8518960435681333E-2</v>
      </c>
      <c r="E3597" s="224">
        <v>1171.8444444444399</v>
      </c>
      <c r="F3597" s="515" t="s">
        <v>4948</v>
      </c>
      <c r="G3597" s="52">
        <v>556240.96757205995</v>
      </c>
      <c r="H3597" s="56">
        <v>6.740024423503653E-2</v>
      </c>
      <c r="I3597" s="224">
        <v>2650</v>
      </c>
    </row>
    <row r="3598" spans="1:9" x14ac:dyDescent="0.25">
      <c r="A3598" s="515">
        <v>53095</v>
      </c>
      <c r="B3598" s="515" t="s">
        <v>950</v>
      </c>
      <c r="C3598" s="52">
        <v>307594.17647013097</v>
      </c>
      <c r="D3598" s="56">
        <v>5.3757940359765173E-2</v>
      </c>
      <c r="E3598" s="224">
        <v>975</v>
      </c>
      <c r="F3598" s="515" t="s">
        <v>4949</v>
      </c>
      <c r="G3598" s="52">
        <v>378914.52164496499</v>
      </c>
      <c r="H3598" s="56">
        <v>6.1166319261519206E-2</v>
      </c>
      <c r="I3598" s="224" t="s">
        <v>2</v>
      </c>
    </row>
    <row r="3599" spans="1:9" x14ac:dyDescent="0.25">
      <c r="A3599" s="515">
        <v>60605</v>
      </c>
      <c r="B3599" s="515" t="s">
        <v>394</v>
      </c>
      <c r="C3599" s="52">
        <v>292873.45232505602</v>
      </c>
      <c r="D3599" s="56">
        <v>-8.7079674585198871E-2</v>
      </c>
      <c r="E3599" s="224">
        <v>2429.0947504507799</v>
      </c>
      <c r="F3599" s="515" t="s">
        <v>4950</v>
      </c>
      <c r="G3599" s="52">
        <v>87007.383189235305</v>
      </c>
      <c r="H3599" s="56">
        <v>3.3387583203844912E-2</v>
      </c>
      <c r="I3599" s="224" t="s">
        <v>2</v>
      </c>
    </row>
    <row r="3600" spans="1:9" x14ac:dyDescent="0.25">
      <c r="A3600" s="515">
        <v>21801</v>
      </c>
      <c r="B3600" s="515" t="s">
        <v>552</v>
      </c>
      <c r="C3600" s="52">
        <v>244382.87764291</v>
      </c>
      <c r="D3600" s="56">
        <v>6.9396310597646324E-2</v>
      </c>
      <c r="E3600" s="224">
        <v>1307.7777777777701</v>
      </c>
      <c r="F3600" s="515" t="s">
        <v>4951</v>
      </c>
      <c r="G3600" s="52">
        <v>147658.94494836801</v>
      </c>
      <c r="H3600" s="56">
        <v>8.8566032889122293E-2</v>
      </c>
      <c r="I3600" s="224" t="s">
        <v>2</v>
      </c>
    </row>
    <row r="3601" spans="1:9" x14ac:dyDescent="0.25">
      <c r="A3601" s="515">
        <v>26101</v>
      </c>
      <c r="B3601" s="515" t="s">
        <v>956</v>
      </c>
      <c r="C3601" s="52">
        <v>113267.815359621</v>
      </c>
      <c r="D3601" s="56">
        <v>9.8282535247004463E-2</v>
      </c>
      <c r="E3601" s="224">
        <v>695</v>
      </c>
      <c r="F3601" s="515" t="s">
        <v>4952</v>
      </c>
      <c r="G3601" s="52">
        <v>792372.28531060298</v>
      </c>
      <c r="H3601" s="56">
        <v>0.1485979556915486</v>
      </c>
      <c r="I3601" s="224" t="s">
        <v>2</v>
      </c>
    </row>
    <row r="3602" spans="1:9" x14ac:dyDescent="0.25">
      <c r="A3602" s="515">
        <v>91803</v>
      </c>
      <c r="B3602" s="515" t="s">
        <v>375</v>
      </c>
      <c r="C3602" s="52">
        <v>860168.02082944405</v>
      </c>
      <c r="D3602" s="56">
        <v>5.3907248023919233E-2</v>
      </c>
      <c r="E3602" s="224">
        <v>2182.5</v>
      </c>
      <c r="F3602" s="515" t="s">
        <v>4953</v>
      </c>
      <c r="G3602" s="52">
        <v>368581.82601366402</v>
      </c>
      <c r="H3602" s="56">
        <v>1.2332538069011557E-2</v>
      </c>
      <c r="I3602" s="224" t="s">
        <v>2</v>
      </c>
    </row>
    <row r="3603" spans="1:9" x14ac:dyDescent="0.25">
      <c r="A3603" s="515">
        <v>1002</v>
      </c>
      <c r="B3603" s="515" t="s">
        <v>575</v>
      </c>
      <c r="C3603" s="52">
        <v>438776.33547318302</v>
      </c>
      <c r="D3603" s="56">
        <v>7.7424315744372321E-2</v>
      </c>
      <c r="E3603" s="224">
        <v>2330</v>
      </c>
      <c r="F3603" s="515" t="s">
        <v>4954</v>
      </c>
      <c r="G3603" s="52">
        <v>407050.96863521897</v>
      </c>
      <c r="H3603" s="56">
        <v>6.6907535012195568E-2</v>
      </c>
      <c r="I3603" s="224" t="s">
        <v>2</v>
      </c>
    </row>
    <row r="3604" spans="1:9" x14ac:dyDescent="0.25">
      <c r="A3604" s="515">
        <v>60515</v>
      </c>
      <c r="B3604" s="515" t="s">
        <v>394</v>
      </c>
      <c r="C3604" s="52">
        <v>386598.75200955902</v>
      </c>
      <c r="D3604" s="56">
        <v>4.7050951291194777E-2</v>
      </c>
      <c r="E3604" s="224">
        <v>2230.00793650793</v>
      </c>
      <c r="F3604" s="515" t="s">
        <v>4955</v>
      </c>
      <c r="G3604" s="52">
        <v>155762.71577777501</v>
      </c>
      <c r="H3604" s="56">
        <v>6.4182362114553526E-2</v>
      </c>
      <c r="I3604" s="224" t="s">
        <v>2</v>
      </c>
    </row>
    <row r="3605" spans="1:9" x14ac:dyDescent="0.25">
      <c r="A3605" s="515">
        <v>61822</v>
      </c>
      <c r="B3605" s="515" t="s">
        <v>417</v>
      </c>
      <c r="C3605" s="52">
        <v>271470.89108179498</v>
      </c>
      <c r="D3605" s="56">
        <v>6.06858174049974E-2</v>
      </c>
      <c r="E3605" s="224" t="s">
        <v>2</v>
      </c>
      <c r="F3605" s="515" t="s">
        <v>4956</v>
      </c>
      <c r="G3605" s="52">
        <v>269636.41694081202</v>
      </c>
      <c r="H3605" s="56">
        <v>0.1165815995226229</v>
      </c>
      <c r="I3605" s="224" t="s">
        <v>2</v>
      </c>
    </row>
    <row r="3606" spans="1:9" x14ac:dyDescent="0.25">
      <c r="A3606" s="515">
        <v>8520</v>
      </c>
      <c r="B3606" s="515" t="s">
        <v>938</v>
      </c>
      <c r="C3606" s="52">
        <v>375173.11460981303</v>
      </c>
      <c r="D3606" s="56">
        <v>8.4673941080904411E-2</v>
      </c>
      <c r="E3606" s="224">
        <v>1945</v>
      </c>
      <c r="F3606" s="515" t="s">
        <v>4957</v>
      </c>
      <c r="G3606" s="52">
        <v>145283.736091648</v>
      </c>
      <c r="H3606" s="56">
        <v>7.522177798813226E-2</v>
      </c>
      <c r="I3606" s="224" t="s">
        <v>2</v>
      </c>
    </row>
    <row r="3607" spans="1:9" x14ac:dyDescent="0.25">
      <c r="A3607" s="515">
        <v>24112</v>
      </c>
      <c r="B3607" s="515" t="s">
        <v>1114</v>
      </c>
      <c r="C3607" s="52">
        <v>105395.49973891</v>
      </c>
      <c r="D3607" s="56">
        <v>0.16458790245345517</v>
      </c>
      <c r="E3607" s="224" t="s">
        <v>2</v>
      </c>
      <c r="F3607" s="515" t="s">
        <v>4958</v>
      </c>
      <c r="G3607" s="52">
        <v>342710.147321328</v>
      </c>
      <c r="H3607" s="56">
        <v>6.3838375298205005E-2</v>
      </c>
      <c r="I3607" s="224" t="s">
        <v>2</v>
      </c>
    </row>
    <row r="3608" spans="1:9" x14ac:dyDescent="0.25">
      <c r="A3608" s="515">
        <v>20121</v>
      </c>
      <c r="B3608" s="515" t="s">
        <v>321</v>
      </c>
      <c r="C3608" s="52">
        <v>486084.09134188702</v>
      </c>
      <c r="D3608" s="56">
        <v>2.5491275013140646E-2</v>
      </c>
      <c r="E3608" s="224">
        <v>2001.61507936507</v>
      </c>
      <c r="F3608" s="515" t="s">
        <v>4959</v>
      </c>
      <c r="G3608" s="52">
        <v>978560.70963493001</v>
      </c>
      <c r="H3608" s="56">
        <v>5.9852339196774011E-2</v>
      </c>
      <c r="I3608" s="224">
        <v>3600</v>
      </c>
    </row>
    <row r="3609" spans="1:9" x14ac:dyDescent="0.25">
      <c r="A3609" s="515">
        <v>39120</v>
      </c>
      <c r="B3609" s="515" t="s">
        <v>1081</v>
      </c>
      <c r="C3609" s="52">
        <v>118609.84625497401</v>
      </c>
      <c r="D3609" s="56">
        <v>-3.8131242369408291E-2</v>
      </c>
      <c r="E3609" s="224" t="s">
        <v>2</v>
      </c>
      <c r="F3609" s="515" t="s">
        <v>4960</v>
      </c>
      <c r="G3609" s="52">
        <v>308716.22350897401</v>
      </c>
      <c r="H3609" s="56">
        <v>0.12614900000202134</v>
      </c>
      <c r="I3609" s="224" t="s">
        <v>2</v>
      </c>
    </row>
    <row r="3610" spans="1:9" x14ac:dyDescent="0.25">
      <c r="A3610" s="515">
        <v>1109</v>
      </c>
      <c r="B3610" s="515" t="s">
        <v>575</v>
      </c>
      <c r="C3610" s="52">
        <v>223725.13681378201</v>
      </c>
      <c r="D3610" s="56">
        <v>7.6482099867310874E-2</v>
      </c>
      <c r="E3610" s="224" t="s">
        <v>2</v>
      </c>
      <c r="F3610" s="515" t="s">
        <v>4961</v>
      </c>
      <c r="G3610" s="52">
        <v>284205.09896191402</v>
      </c>
      <c r="H3610" s="56">
        <v>0.10730244824033042</v>
      </c>
      <c r="I3610" s="224" t="s">
        <v>2</v>
      </c>
    </row>
    <row r="3611" spans="1:9" x14ac:dyDescent="0.25">
      <c r="A3611" s="515">
        <v>54880</v>
      </c>
      <c r="B3611" s="515" t="s">
        <v>350</v>
      </c>
      <c r="C3611" s="52">
        <v>186475.71739159501</v>
      </c>
      <c r="D3611" s="56">
        <v>8.0644311350200226E-2</v>
      </c>
      <c r="E3611" s="224">
        <v>1303.125</v>
      </c>
      <c r="F3611" s="515" t="s">
        <v>4962</v>
      </c>
      <c r="G3611" s="52">
        <v>616172.53611468198</v>
      </c>
      <c r="H3611" s="56">
        <v>0.11484027933354365</v>
      </c>
      <c r="I3611" s="224">
        <v>2655.5555555555502</v>
      </c>
    </row>
    <row r="3612" spans="1:9" x14ac:dyDescent="0.25">
      <c r="A3612" s="515">
        <v>60646</v>
      </c>
      <c r="B3612" s="515" t="s">
        <v>394</v>
      </c>
      <c r="C3612" s="52">
        <v>453281.47685264098</v>
      </c>
      <c r="D3612" s="56">
        <v>1.5948089126927373E-2</v>
      </c>
      <c r="E3612" s="224" t="s">
        <v>2</v>
      </c>
      <c r="F3612" s="515" t="s">
        <v>4963</v>
      </c>
      <c r="G3612" s="52">
        <v>326829.64534822601</v>
      </c>
      <c r="H3612" s="56">
        <v>8.4684920043630721E-2</v>
      </c>
      <c r="I3612" s="224">
        <v>1534.5</v>
      </c>
    </row>
    <row r="3613" spans="1:9" x14ac:dyDescent="0.25">
      <c r="A3613" s="515">
        <v>21237</v>
      </c>
      <c r="B3613" s="515" t="s">
        <v>582</v>
      </c>
      <c r="C3613" s="52">
        <v>278422.89277870499</v>
      </c>
      <c r="D3613" s="56">
        <v>4.7397388165144383E-2</v>
      </c>
      <c r="E3613" s="224">
        <v>1766.8531746031699</v>
      </c>
      <c r="F3613" s="515" t="s">
        <v>4964</v>
      </c>
      <c r="G3613" s="52">
        <v>181451.78421660201</v>
      </c>
      <c r="H3613" s="56">
        <v>7.229669094042818E-3</v>
      </c>
      <c r="I3613" s="224" t="s">
        <v>2</v>
      </c>
    </row>
    <row r="3614" spans="1:9" x14ac:dyDescent="0.25">
      <c r="A3614" s="515">
        <v>55060</v>
      </c>
      <c r="B3614" s="515" t="s">
        <v>1077</v>
      </c>
      <c r="C3614" s="52">
        <v>247781.63926389901</v>
      </c>
      <c r="D3614" s="56">
        <v>3.3132440413830941E-2</v>
      </c>
      <c r="E3614" s="224" t="s">
        <v>2</v>
      </c>
      <c r="F3614" s="515" t="s">
        <v>4965</v>
      </c>
      <c r="G3614" s="52">
        <v>212085.95758632</v>
      </c>
      <c r="H3614" s="56">
        <v>5.0975785745525408E-2</v>
      </c>
      <c r="I3614" s="224" t="s">
        <v>2</v>
      </c>
    </row>
    <row r="3615" spans="1:9" x14ac:dyDescent="0.25">
      <c r="A3615" s="515">
        <v>14127</v>
      </c>
      <c r="B3615" s="515" t="s">
        <v>336</v>
      </c>
      <c r="C3615" s="52">
        <v>349190.35328938701</v>
      </c>
      <c r="D3615" s="56">
        <v>7.7887556573215097E-2</v>
      </c>
      <c r="E3615" s="224">
        <v>1995</v>
      </c>
      <c r="F3615" s="515" t="s">
        <v>4966</v>
      </c>
      <c r="G3615" s="52">
        <v>181119.026723474</v>
      </c>
      <c r="H3615" s="56">
        <v>8.6365569653660629E-2</v>
      </c>
      <c r="I3615" s="224" t="s">
        <v>2</v>
      </c>
    </row>
    <row r="3616" spans="1:9" x14ac:dyDescent="0.25">
      <c r="A3616" s="515">
        <v>98273</v>
      </c>
      <c r="B3616" s="515" t="s">
        <v>454</v>
      </c>
      <c r="C3616" s="52">
        <v>490570.517041402</v>
      </c>
      <c r="D3616" s="56">
        <v>3.9727199060477406E-2</v>
      </c>
      <c r="E3616" s="224">
        <v>1875</v>
      </c>
      <c r="F3616" s="515" t="s">
        <v>4967</v>
      </c>
      <c r="G3616" s="52">
        <v>241512.65095915299</v>
      </c>
      <c r="H3616" s="56">
        <v>2.5263323347047787E-2</v>
      </c>
      <c r="I3616" s="224" t="s">
        <v>2</v>
      </c>
    </row>
    <row r="3617" spans="1:9" x14ac:dyDescent="0.25">
      <c r="A3617" s="515">
        <v>95834</v>
      </c>
      <c r="B3617" s="515" t="s">
        <v>355</v>
      </c>
      <c r="C3617" s="52">
        <v>513789.59070301399</v>
      </c>
      <c r="D3617" s="56">
        <v>1.1763208713495454E-2</v>
      </c>
      <c r="E3617" s="224">
        <v>2301.0378787878699</v>
      </c>
      <c r="F3617" s="515" t="s">
        <v>4968</v>
      </c>
      <c r="G3617" s="52">
        <v>166670.131519774</v>
      </c>
      <c r="H3617" s="56">
        <v>6.8179808284606833E-2</v>
      </c>
      <c r="I3617" s="224" t="s">
        <v>2</v>
      </c>
    </row>
    <row r="3618" spans="1:9" x14ac:dyDescent="0.25">
      <c r="A3618" s="515">
        <v>15206</v>
      </c>
      <c r="B3618" s="515" t="s">
        <v>297</v>
      </c>
      <c r="C3618" s="52">
        <v>245704.182677512</v>
      </c>
      <c r="D3618" s="56">
        <v>5.2992875418299661E-2</v>
      </c>
      <c r="E3618" s="224">
        <v>1464.0902777777701</v>
      </c>
      <c r="F3618" s="515" t="s">
        <v>4969</v>
      </c>
      <c r="G3618" s="52">
        <v>286361.932694152</v>
      </c>
      <c r="H3618" s="56">
        <v>2.3197425906769483E-2</v>
      </c>
      <c r="I3618" s="224" t="s">
        <v>2</v>
      </c>
    </row>
    <row r="3619" spans="1:9" x14ac:dyDescent="0.25">
      <c r="A3619" s="515">
        <v>17257</v>
      </c>
      <c r="B3619" s="515" t="s">
        <v>428</v>
      </c>
      <c r="C3619" s="52">
        <v>248165.179601298</v>
      </c>
      <c r="D3619" s="56">
        <v>8.3759703569876096E-2</v>
      </c>
      <c r="E3619" s="224" t="s">
        <v>2</v>
      </c>
      <c r="F3619" s="515" t="s">
        <v>4970</v>
      </c>
      <c r="G3619" s="52">
        <v>425063.23895623098</v>
      </c>
      <c r="H3619" s="56">
        <v>5.3016791120743027E-2</v>
      </c>
      <c r="I3619" s="224">
        <v>1736.25</v>
      </c>
    </row>
    <row r="3620" spans="1:9" x14ac:dyDescent="0.25">
      <c r="A3620" s="515">
        <v>2919</v>
      </c>
      <c r="B3620" s="515" t="s">
        <v>513</v>
      </c>
      <c r="C3620" s="52">
        <v>361277.19400405599</v>
      </c>
      <c r="D3620" s="56">
        <v>7.4562645584376377E-2</v>
      </c>
      <c r="E3620" s="224">
        <v>1937.5</v>
      </c>
      <c r="F3620" s="515" t="s">
        <v>896</v>
      </c>
      <c r="G3620" s="52">
        <v>199662.12143568901</v>
      </c>
      <c r="H3620" s="56">
        <v>4.8665857451151401E-2</v>
      </c>
      <c r="I3620" s="224" t="s">
        <v>2</v>
      </c>
    </row>
    <row r="3621" spans="1:9" x14ac:dyDescent="0.25">
      <c r="A3621" s="515">
        <v>80108</v>
      </c>
      <c r="B3621" s="515" t="s">
        <v>401</v>
      </c>
      <c r="C3621" s="52">
        <v>842777.57105052599</v>
      </c>
      <c r="D3621" s="56">
        <v>1.939722188066129E-2</v>
      </c>
      <c r="E3621" s="224">
        <v>2287.0833333333298</v>
      </c>
      <c r="F3621" s="515" t="s">
        <v>4971</v>
      </c>
      <c r="G3621" s="52">
        <v>357541.65969068801</v>
      </c>
      <c r="H3621" s="56">
        <v>9.0173280801105621E-2</v>
      </c>
      <c r="I3621" s="224" t="s">
        <v>2</v>
      </c>
    </row>
    <row r="3622" spans="1:9" x14ac:dyDescent="0.25">
      <c r="A3622" s="515">
        <v>30082</v>
      </c>
      <c r="B3622" s="515" t="s">
        <v>957</v>
      </c>
      <c r="C3622" s="52">
        <v>423208.08846664801</v>
      </c>
      <c r="D3622" s="56">
        <v>7.2020300181253424E-2</v>
      </c>
      <c r="E3622" s="224">
        <v>1953.68518518518</v>
      </c>
      <c r="F3622" s="515" t="s">
        <v>4972</v>
      </c>
      <c r="G3622" s="52">
        <v>374443.18399036501</v>
      </c>
      <c r="H3622" s="56">
        <v>5.0236243235974865E-2</v>
      </c>
      <c r="I3622" s="224" t="s">
        <v>2</v>
      </c>
    </row>
    <row r="3623" spans="1:9" x14ac:dyDescent="0.25">
      <c r="A3623" s="515">
        <v>66213</v>
      </c>
      <c r="B3623" s="515" t="s">
        <v>455</v>
      </c>
      <c r="C3623" s="52">
        <v>471275.31797074899</v>
      </c>
      <c r="D3623" s="56">
        <v>5.0371433459894158E-2</v>
      </c>
      <c r="E3623" s="224">
        <v>1533.92592592592</v>
      </c>
      <c r="F3623" s="515" t="s">
        <v>4973</v>
      </c>
      <c r="G3623" s="52">
        <v>262548.58100317302</v>
      </c>
      <c r="H3623" s="56">
        <v>0.12294653233384642</v>
      </c>
      <c r="I3623" s="224" t="s">
        <v>2</v>
      </c>
    </row>
    <row r="3624" spans="1:9" x14ac:dyDescent="0.25">
      <c r="A3624" s="515">
        <v>75010</v>
      </c>
      <c r="B3624" s="515" t="s">
        <v>458</v>
      </c>
      <c r="C3624" s="52">
        <v>496376.15840086603</v>
      </c>
      <c r="D3624" s="56">
        <v>7.4593869623864148E-2</v>
      </c>
      <c r="E3624" s="224">
        <v>1735.1636363636301</v>
      </c>
      <c r="F3624" s="515" t="s">
        <v>305</v>
      </c>
      <c r="G3624" s="52">
        <v>150942.016052594</v>
      </c>
      <c r="H3624" s="56">
        <v>5.6796953329784905E-2</v>
      </c>
      <c r="I3624" s="224">
        <v>654</v>
      </c>
    </row>
    <row r="3625" spans="1:9" x14ac:dyDescent="0.25">
      <c r="A3625" s="515">
        <v>12309</v>
      </c>
      <c r="B3625" s="515" t="s">
        <v>609</v>
      </c>
      <c r="C3625" s="52">
        <v>321733.71861166903</v>
      </c>
      <c r="D3625" s="56">
        <v>7.3904771814471498E-2</v>
      </c>
      <c r="E3625" s="224" t="s">
        <v>2</v>
      </c>
      <c r="F3625" s="515" t="s">
        <v>4974</v>
      </c>
      <c r="G3625" s="52">
        <v>269935.83337473602</v>
      </c>
      <c r="H3625" s="56">
        <v>0.10273562986114411</v>
      </c>
      <c r="I3625" s="224" t="s">
        <v>2</v>
      </c>
    </row>
    <row r="3626" spans="1:9" x14ac:dyDescent="0.25">
      <c r="A3626" s="515">
        <v>90039</v>
      </c>
      <c r="B3626" s="515" t="s">
        <v>375</v>
      </c>
      <c r="C3626" s="52">
        <v>1249784.86209383</v>
      </c>
      <c r="D3626" s="56">
        <v>2.7261245610155142E-2</v>
      </c>
      <c r="E3626" s="224">
        <v>2934.6944444444398</v>
      </c>
      <c r="F3626" s="515" t="s">
        <v>4975</v>
      </c>
      <c r="G3626" s="52">
        <v>554013.541433395</v>
      </c>
      <c r="H3626" s="56">
        <v>6.5891708541524166E-2</v>
      </c>
      <c r="I3626" s="224" t="s">
        <v>2</v>
      </c>
    </row>
    <row r="3627" spans="1:9" x14ac:dyDescent="0.25">
      <c r="A3627" s="515">
        <v>65536</v>
      </c>
      <c r="B3627" s="515" t="s">
        <v>813</v>
      </c>
      <c r="C3627" s="52">
        <v>184621.88954264001</v>
      </c>
      <c r="D3627" s="56">
        <v>0.12067678776432296</v>
      </c>
      <c r="E3627" s="224" t="s">
        <v>2</v>
      </c>
      <c r="F3627" s="515" t="s">
        <v>4976</v>
      </c>
      <c r="G3627" s="52">
        <v>288977.893850894</v>
      </c>
      <c r="H3627" s="56">
        <v>7.377683275083767E-2</v>
      </c>
      <c r="I3627" s="224" t="s">
        <v>2</v>
      </c>
    </row>
    <row r="3628" spans="1:9" x14ac:dyDescent="0.25">
      <c r="A3628" s="515">
        <v>77039</v>
      </c>
      <c r="B3628" s="515" t="s">
        <v>314</v>
      </c>
      <c r="C3628" s="52">
        <v>190185.79848307799</v>
      </c>
      <c r="D3628" s="56">
        <v>0.18342985616150914</v>
      </c>
      <c r="E3628" s="224" t="s">
        <v>2</v>
      </c>
      <c r="F3628" s="515" t="s">
        <v>4977</v>
      </c>
      <c r="G3628" s="52">
        <v>671307.64984599606</v>
      </c>
      <c r="H3628" s="56">
        <v>0.10830123191405866</v>
      </c>
      <c r="I3628" s="224">
        <v>2786.0833333333298</v>
      </c>
    </row>
    <row r="3629" spans="1:9" x14ac:dyDescent="0.25">
      <c r="A3629" s="515">
        <v>27540</v>
      </c>
      <c r="B3629" s="515" t="s">
        <v>484</v>
      </c>
      <c r="C3629" s="52">
        <v>516239.13870650798</v>
      </c>
      <c r="D3629" s="56">
        <v>6.5130013368520021E-2</v>
      </c>
      <c r="E3629" s="224">
        <v>1894.7619047619</v>
      </c>
      <c r="F3629" s="515" t="s">
        <v>4978</v>
      </c>
      <c r="G3629" s="52">
        <v>546940.97453861404</v>
      </c>
      <c r="H3629" s="56">
        <v>5.0303800247067564E-2</v>
      </c>
      <c r="I3629" s="224" t="s">
        <v>2</v>
      </c>
    </row>
    <row r="3630" spans="1:9" x14ac:dyDescent="0.25">
      <c r="A3630" s="515">
        <v>30012</v>
      </c>
      <c r="B3630" s="515" t="s">
        <v>957</v>
      </c>
      <c r="C3630" s="52">
        <v>253896.39007424799</v>
      </c>
      <c r="D3630" s="56">
        <v>0.14291572945660849</v>
      </c>
      <c r="E3630" s="224">
        <v>1634.31666666666</v>
      </c>
      <c r="F3630" s="515" t="s">
        <v>4979</v>
      </c>
      <c r="G3630" s="52">
        <v>315060.67732380098</v>
      </c>
      <c r="H3630" s="56">
        <v>9.1889813082584051E-2</v>
      </c>
      <c r="I3630" s="224" t="s">
        <v>2</v>
      </c>
    </row>
    <row r="3631" spans="1:9" x14ac:dyDescent="0.25">
      <c r="A3631" s="515">
        <v>73162</v>
      </c>
      <c r="B3631" s="515" t="s">
        <v>385</v>
      </c>
      <c r="C3631" s="52">
        <v>254082.88721428701</v>
      </c>
      <c r="D3631" s="56">
        <v>9.5606393591095074E-2</v>
      </c>
      <c r="E3631" s="224">
        <v>1428.1111111111099</v>
      </c>
      <c r="F3631" s="515" t="s">
        <v>4980</v>
      </c>
      <c r="G3631" s="52">
        <v>236626.29351189701</v>
      </c>
      <c r="H3631" s="56">
        <v>6.8859156148847328E-2</v>
      </c>
      <c r="I3631" s="224" t="s">
        <v>2</v>
      </c>
    </row>
    <row r="3632" spans="1:9" x14ac:dyDescent="0.25">
      <c r="A3632" s="515">
        <v>26301</v>
      </c>
      <c r="B3632" s="515" t="s">
        <v>347</v>
      </c>
      <c r="C3632" s="52">
        <v>104787.414916397</v>
      </c>
      <c r="D3632" s="56">
        <v>5.3764271521904043E-2</v>
      </c>
      <c r="E3632" s="224">
        <v>735</v>
      </c>
      <c r="F3632" s="515" t="s">
        <v>4981</v>
      </c>
      <c r="G3632" s="52">
        <v>573536.84258058295</v>
      </c>
      <c r="H3632" s="56">
        <v>0.11827158630372937</v>
      </c>
      <c r="I3632" s="224" t="s">
        <v>2</v>
      </c>
    </row>
    <row r="3633" spans="1:9" x14ac:dyDescent="0.25">
      <c r="A3633" s="515">
        <v>33543</v>
      </c>
      <c r="B3633" s="515" t="s">
        <v>461</v>
      </c>
      <c r="C3633" s="52">
        <v>421292.13238630799</v>
      </c>
      <c r="D3633" s="56">
        <v>9.1621322344853734E-2</v>
      </c>
      <c r="E3633" s="224">
        <v>2458.88888888888</v>
      </c>
      <c r="F3633" s="515" t="s">
        <v>4982</v>
      </c>
      <c r="G3633" s="52">
        <v>395934.03595002601</v>
      </c>
      <c r="H3633" s="56">
        <v>2.7887717349568721E-2</v>
      </c>
      <c r="I3633" s="224" t="s">
        <v>2</v>
      </c>
    </row>
    <row r="3634" spans="1:9" x14ac:dyDescent="0.25">
      <c r="A3634" s="515">
        <v>61604</v>
      </c>
      <c r="B3634" s="515" t="s">
        <v>303</v>
      </c>
      <c r="C3634" s="52">
        <v>84908.285109250297</v>
      </c>
      <c r="D3634" s="56">
        <v>0.10224400452906134</v>
      </c>
      <c r="E3634" s="224" t="s">
        <v>2</v>
      </c>
      <c r="F3634" s="515" t="s">
        <v>4983</v>
      </c>
      <c r="G3634" s="52">
        <v>308580.53424277803</v>
      </c>
      <c r="H3634" s="56">
        <v>6.3603935789453434E-2</v>
      </c>
      <c r="I3634" s="224" t="s">
        <v>2</v>
      </c>
    </row>
    <row r="3635" spans="1:9" x14ac:dyDescent="0.25">
      <c r="A3635" s="515">
        <v>63052</v>
      </c>
      <c r="B3635" s="515" t="s">
        <v>498</v>
      </c>
      <c r="C3635" s="52">
        <v>263144.55982559599</v>
      </c>
      <c r="D3635" s="56">
        <v>5.9935587416613867E-2</v>
      </c>
      <c r="E3635" s="224">
        <v>1395</v>
      </c>
      <c r="F3635" s="515" t="s">
        <v>4984</v>
      </c>
      <c r="G3635" s="52">
        <v>413251.53596602898</v>
      </c>
      <c r="H3635" s="56">
        <v>8.3233250040413556E-2</v>
      </c>
      <c r="I3635" s="224" t="s">
        <v>2</v>
      </c>
    </row>
    <row r="3636" spans="1:9" x14ac:dyDescent="0.25">
      <c r="A3636" s="515">
        <v>92883</v>
      </c>
      <c r="B3636" s="515" t="s">
        <v>599</v>
      </c>
      <c r="C3636" s="52">
        <v>701505.127676907</v>
      </c>
      <c r="D3636" s="56">
        <v>5.0766222557293197E-2</v>
      </c>
      <c r="E3636" s="224">
        <v>2857.63333333333</v>
      </c>
      <c r="F3636" s="515" t="s">
        <v>435</v>
      </c>
      <c r="G3636" s="52">
        <v>143079.19235885699</v>
      </c>
      <c r="H3636" s="56">
        <v>8.7399342204102032E-2</v>
      </c>
      <c r="I3636" s="224" t="s">
        <v>2</v>
      </c>
    </row>
    <row r="3637" spans="1:9" x14ac:dyDescent="0.25">
      <c r="A3637" s="515">
        <v>60544</v>
      </c>
      <c r="B3637" s="515" t="s">
        <v>394</v>
      </c>
      <c r="C3637" s="52">
        <v>304193.94533672399</v>
      </c>
      <c r="D3637" s="56">
        <v>7.1147372916873744E-2</v>
      </c>
      <c r="E3637" s="224">
        <v>2188.25</v>
      </c>
      <c r="F3637" s="515" t="s">
        <v>4985</v>
      </c>
      <c r="G3637" s="52">
        <v>299983.23987579299</v>
      </c>
      <c r="H3637" s="56">
        <v>0.11990193049718059</v>
      </c>
      <c r="I3637" s="224" t="s">
        <v>2</v>
      </c>
    </row>
    <row r="3638" spans="1:9" x14ac:dyDescent="0.25">
      <c r="A3638" s="515">
        <v>97838</v>
      </c>
      <c r="B3638" s="515" t="s">
        <v>733</v>
      </c>
      <c r="C3638" s="52">
        <v>320113.85751390998</v>
      </c>
      <c r="D3638" s="56">
        <v>4.4014706974108336E-2</v>
      </c>
      <c r="E3638" s="224">
        <v>1531.6666666666599</v>
      </c>
      <c r="F3638" s="515" t="s">
        <v>4986</v>
      </c>
      <c r="G3638" s="52">
        <v>362805.20637757803</v>
      </c>
      <c r="H3638" s="56">
        <v>9.3274357296491237E-2</v>
      </c>
      <c r="I3638" s="224" t="s">
        <v>2</v>
      </c>
    </row>
    <row r="3639" spans="1:9" x14ac:dyDescent="0.25">
      <c r="A3639" s="515">
        <v>76087</v>
      </c>
      <c r="B3639" s="515" t="s">
        <v>458</v>
      </c>
      <c r="C3639" s="52">
        <v>423895.486068047</v>
      </c>
      <c r="D3639" s="56">
        <v>7.1007196180825682E-2</v>
      </c>
      <c r="E3639" s="224">
        <v>1619.06666666666</v>
      </c>
      <c r="F3639" s="515" t="s">
        <v>4987</v>
      </c>
      <c r="G3639" s="52">
        <v>721988.25238302199</v>
      </c>
      <c r="H3639" s="56">
        <v>9.1202646774316051E-3</v>
      </c>
      <c r="I3639" s="224" t="s">
        <v>2</v>
      </c>
    </row>
    <row r="3640" spans="1:9" x14ac:dyDescent="0.25">
      <c r="A3640" s="515">
        <v>44128</v>
      </c>
      <c r="B3640" s="515" t="s">
        <v>520</v>
      </c>
      <c r="C3640" s="52">
        <v>86677.333181396694</v>
      </c>
      <c r="D3640" s="56">
        <v>0.12629428197906981</v>
      </c>
      <c r="E3640" s="224">
        <v>1031.6666666666599</v>
      </c>
      <c r="F3640" s="515" t="s">
        <v>708</v>
      </c>
      <c r="G3640" s="52">
        <v>206860.97714219199</v>
      </c>
      <c r="H3640" s="56">
        <v>4.3446462546285675E-2</v>
      </c>
      <c r="I3640" s="224" t="s">
        <v>2</v>
      </c>
    </row>
    <row r="3641" spans="1:9" x14ac:dyDescent="0.25">
      <c r="A3641" s="515">
        <v>78332</v>
      </c>
      <c r="B3641" s="515" t="s">
        <v>709</v>
      </c>
      <c r="C3641" s="52">
        <v>103641.146930715</v>
      </c>
      <c r="D3641" s="56">
        <v>-8.8868052085845622E-3</v>
      </c>
      <c r="E3641" s="224" t="s">
        <v>2</v>
      </c>
      <c r="F3641" s="515" t="s">
        <v>4988</v>
      </c>
      <c r="G3641" s="52">
        <v>409150.40227329498</v>
      </c>
      <c r="H3641" s="56">
        <v>1.6789361475881399E-2</v>
      </c>
      <c r="I3641" s="224" t="s">
        <v>2</v>
      </c>
    </row>
    <row r="3642" spans="1:9" x14ac:dyDescent="0.25">
      <c r="A3642" s="515">
        <v>2062</v>
      </c>
      <c r="B3642" s="515" t="s">
        <v>534</v>
      </c>
      <c r="C3642" s="52">
        <v>599858.41958970996</v>
      </c>
      <c r="D3642" s="56">
        <v>5.97967289117632E-2</v>
      </c>
      <c r="E3642" s="224">
        <v>2509.88888888888</v>
      </c>
      <c r="F3642" s="515" t="s">
        <v>4989</v>
      </c>
      <c r="G3642" s="52">
        <v>344374.523944541</v>
      </c>
      <c r="H3642" s="56">
        <v>8.0415251311547309E-2</v>
      </c>
      <c r="I3642" s="224" t="s">
        <v>2</v>
      </c>
    </row>
    <row r="3643" spans="1:9" x14ac:dyDescent="0.25">
      <c r="A3643" s="515">
        <v>27545</v>
      </c>
      <c r="B3643" s="515" t="s">
        <v>484</v>
      </c>
      <c r="C3643" s="52">
        <v>350934.80732338899</v>
      </c>
      <c r="D3643" s="56">
        <v>8.8058889594404929E-2</v>
      </c>
      <c r="E3643" s="224">
        <v>1759.5238095238001</v>
      </c>
      <c r="F3643" s="515" t="s">
        <v>4990</v>
      </c>
      <c r="G3643" s="52">
        <v>343208.87472448801</v>
      </c>
      <c r="H3643" s="56">
        <v>7.9748984335804615E-2</v>
      </c>
      <c r="I3643" s="224" t="s">
        <v>2</v>
      </c>
    </row>
    <row r="3644" spans="1:9" x14ac:dyDescent="0.25">
      <c r="A3644" s="515">
        <v>47711</v>
      </c>
      <c r="B3644" s="515" t="s">
        <v>911</v>
      </c>
      <c r="C3644" s="52">
        <v>156129.20594351599</v>
      </c>
      <c r="D3644" s="56">
        <v>6.5480251471820156E-2</v>
      </c>
      <c r="E3644" s="224">
        <v>755</v>
      </c>
      <c r="F3644" s="515" t="s">
        <v>4991</v>
      </c>
      <c r="G3644" s="52">
        <v>654202.08513402403</v>
      </c>
      <c r="H3644" s="56">
        <v>4.6227071009614776E-2</v>
      </c>
      <c r="I3644" s="224" t="s">
        <v>2</v>
      </c>
    </row>
    <row r="3645" spans="1:9" x14ac:dyDescent="0.25">
      <c r="A3645" s="515">
        <v>77022</v>
      </c>
      <c r="B3645" s="515" t="s">
        <v>314</v>
      </c>
      <c r="C3645" s="52">
        <v>201369.67444940799</v>
      </c>
      <c r="D3645" s="56">
        <v>0.1006945029949928</v>
      </c>
      <c r="E3645" s="224">
        <v>1332.4166666666599</v>
      </c>
      <c r="F3645" s="515" t="s">
        <v>4992</v>
      </c>
      <c r="G3645" s="52">
        <v>179558.11979894899</v>
      </c>
      <c r="H3645" s="56">
        <v>2.2024389443976694E-2</v>
      </c>
      <c r="I3645" s="224" t="s">
        <v>2</v>
      </c>
    </row>
    <row r="3646" spans="1:9" x14ac:dyDescent="0.25">
      <c r="A3646" s="515">
        <v>95472</v>
      </c>
      <c r="B3646" s="515" t="s">
        <v>331</v>
      </c>
      <c r="C3646" s="52">
        <v>1027775.1463851</v>
      </c>
      <c r="D3646" s="56">
        <v>2.7984502974541894E-3</v>
      </c>
      <c r="E3646" s="224">
        <v>2572.5</v>
      </c>
      <c r="F3646" s="515" t="s">
        <v>4993</v>
      </c>
      <c r="G3646" s="52">
        <v>164324.75071512099</v>
      </c>
      <c r="H3646" s="56">
        <v>0.11219162240221486</v>
      </c>
      <c r="I3646" s="224" t="s">
        <v>2</v>
      </c>
    </row>
    <row r="3647" spans="1:9" x14ac:dyDescent="0.25">
      <c r="A3647" s="515">
        <v>20886</v>
      </c>
      <c r="B3647" s="515" t="s">
        <v>321</v>
      </c>
      <c r="C3647" s="52">
        <v>345755.70797967602</v>
      </c>
      <c r="D3647" s="56">
        <v>4.0186897907761997E-2</v>
      </c>
      <c r="E3647" s="224">
        <v>2054.8333333333298</v>
      </c>
      <c r="F3647" s="515" t="s">
        <v>482</v>
      </c>
      <c r="G3647" s="52">
        <v>80404.374131222197</v>
      </c>
      <c r="H3647" s="56">
        <v>-0.15688702139955785</v>
      </c>
      <c r="I3647" s="224" t="s">
        <v>2</v>
      </c>
    </row>
    <row r="3648" spans="1:9" x14ac:dyDescent="0.25">
      <c r="A3648" s="515">
        <v>28104</v>
      </c>
      <c r="B3648" s="515" t="s">
        <v>360</v>
      </c>
      <c r="C3648" s="52">
        <v>528701.65786223195</v>
      </c>
      <c r="D3648" s="56">
        <v>9.0660645998910466E-2</v>
      </c>
      <c r="E3648" s="224">
        <v>2287.2222222222199</v>
      </c>
      <c r="F3648" s="515" t="s">
        <v>4994</v>
      </c>
      <c r="G3648" s="52">
        <v>489888.76077954099</v>
      </c>
      <c r="H3648" s="56">
        <v>8.3385425448432443E-2</v>
      </c>
      <c r="I3648" s="224" t="s">
        <v>2</v>
      </c>
    </row>
    <row r="3649" spans="1:9" x14ac:dyDescent="0.25">
      <c r="A3649" s="515">
        <v>22101</v>
      </c>
      <c r="B3649" s="515" t="s">
        <v>321</v>
      </c>
      <c r="C3649" s="52">
        <v>1374442.2105682699</v>
      </c>
      <c r="D3649" s="56">
        <v>5.5465789278502098E-2</v>
      </c>
      <c r="E3649" s="224">
        <v>3322.4</v>
      </c>
      <c r="F3649" s="515" t="s">
        <v>4995</v>
      </c>
      <c r="G3649" s="52">
        <v>277947.15990296</v>
      </c>
      <c r="H3649" s="56">
        <v>0.11156493353853651</v>
      </c>
      <c r="I3649" s="224" t="s">
        <v>2</v>
      </c>
    </row>
    <row r="3650" spans="1:9" x14ac:dyDescent="0.25">
      <c r="A3650" s="515">
        <v>21771</v>
      </c>
      <c r="B3650" s="515" t="s">
        <v>321</v>
      </c>
      <c r="C3650" s="52">
        <v>543161.78099246696</v>
      </c>
      <c r="D3650" s="56">
        <v>4.3651280832382171E-2</v>
      </c>
      <c r="E3650" s="224" t="s">
        <v>2</v>
      </c>
      <c r="F3650" s="515" t="s">
        <v>4996</v>
      </c>
      <c r="G3650" s="52">
        <v>154393.96132042899</v>
      </c>
      <c r="H3650" s="56">
        <v>8.1468012168956383E-2</v>
      </c>
      <c r="I3650" s="224" t="s">
        <v>2</v>
      </c>
    </row>
    <row r="3651" spans="1:9" x14ac:dyDescent="0.25">
      <c r="A3651" s="515">
        <v>70815</v>
      </c>
      <c r="B3651" s="515" t="s">
        <v>610</v>
      </c>
      <c r="C3651" s="52">
        <v>201320.98138909999</v>
      </c>
      <c r="D3651" s="56">
        <v>2.9717554181486548E-2</v>
      </c>
      <c r="E3651" s="224">
        <v>1200</v>
      </c>
      <c r="F3651" s="515" t="s">
        <v>4997</v>
      </c>
      <c r="G3651" s="52">
        <v>433600.15971500799</v>
      </c>
      <c r="H3651" s="56">
        <v>8.2846466673616431E-3</v>
      </c>
      <c r="I3651" s="224">
        <v>2733</v>
      </c>
    </row>
    <row r="3652" spans="1:9" x14ac:dyDescent="0.25">
      <c r="A3652" s="515">
        <v>76140</v>
      </c>
      <c r="B3652" s="515" t="s">
        <v>458</v>
      </c>
      <c r="C3652" s="52">
        <v>250177.26284580599</v>
      </c>
      <c r="D3652" s="56">
        <v>0.105277414691463</v>
      </c>
      <c r="E3652" s="224">
        <v>2025.44444444444</v>
      </c>
      <c r="F3652" s="515" t="s">
        <v>4998</v>
      </c>
      <c r="G3652" s="52">
        <v>214653.03852625701</v>
      </c>
      <c r="H3652" s="56">
        <v>8.2178084458055217E-2</v>
      </c>
      <c r="I3652" s="224" t="s">
        <v>2</v>
      </c>
    </row>
    <row r="3653" spans="1:9" x14ac:dyDescent="0.25">
      <c r="A3653" s="515">
        <v>55414</v>
      </c>
      <c r="B3653" s="515" t="s">
        <v>532</v>
      </c>
      <c r="C3653" s="52">
        <v>318305.56750223599</v>
      </c>
      <c r="D3653" s="56">
        <v>3.8462084640042253E-4</v>
      </c>
      <c r="E3653" s="224">
        <v>2198.1094060812702</v>
      </c>
      <c r="F3653" s="515" t="s">
        <v>4999</v>
      </c>
      <c r="G3653" s="52">
        <v>372778.83223030198</v>
      </c>
      <c r="H3653" s="56">
        <v>8.1532055502316486E-2</v>
      </c>
      <c r="I3653" s="224" t="s">
        <v>2</v>
      </c>
    </row>
    <row r="3654" spans="1:9" x14ac:dyDescent="0.25">
      <c r="A3654" s="515">
        <v>33067</v>
      </c>
      <c r="B3654" s="515" t="s">
        <v>831</v>
      </c>
      <c r="C3654" s="52">
        <v>694331.56795893505</v>
      </c>
      <c r="D3654" s="56">
        <v>0.14408456600223934</v>
      </c>
      <c r="E3654" s="224">
        <v>2940.25</v>
      </c>
      <c r="F3654" s="515" t="s">
        <v>725</v>
      </c>
      <c r="G3654" s="52">
        <v>726802.00769283203</v>
      </c>
      <c r="H3654" s="56">
        <v>0.10699406739673387</v>
      </c>
      <c r="I3654" s="224" t="s">
        <v>2</v>
      </c>
    </row>
    <row r="3655" spans="1:9" x14ac:dyDescent="0.25">
      <c r="A3655" s="515">
        <v>68506</v>
      </c>
      <c r="B3655" s="515" t="s">
        <v>486</v>
      </c>
      <c r="C3655" s="52">
        <v>248723.999474096</v>
      </c>
      <c r="D3655" s="56">
        <v>5.6867422900387203E-2</v>
      </c>
      <c r="E3655" s="224">
        <v>1099.4642857142801</v>
      </c>
      <c r="F3655" s="515" t="s">
        <v>5000</v>
      </c>
      <c r="G3655" s="52">
        <v>366638.64783397299</v>
      </c>
      <c r="H3655" s="56">
        <v>6.1142777872394319E-2</v>
      </c>
      <c r="I3655" s="224" t="s">
        <v>2</v>
      </c>
    </row>
    <row r="3656" spans="1:9" x14ac:dyDescent="0.25">
      <c r="A3656" s="515">
        <v>20708</v>
      </c>
      <c r="B3656" s="515" t="s">
        <v>321</v>
      </c>
      <c r="C3656" s="52">
        <v>439500.81065340299</v>
      </c>
      <c r="D3656" s="56">
        <v>3.0241066269806001E-2</v>
      </c>
      <c r="E3656" s="224">
        <v>1563.7916666666599</v>
      </c>
      <c r="F3656" s="515" t="s">
        <v>5001</v>
      </c>
      <c r="G3656" s="52">
        <v>876581.86907766899</v>
      </c>
      <c r="H3656" s="56">
        <v>4.7065792604137409E-2</v>
      </c>
      <c r="I3656" s="224" t="s">
        <v>2</v>
      </c>
    </row>
    <row r="3657" spans="1:9" x14ac:dyDescent="0.25">
      <c r="A3657" s="515">
        <v>92107</v>
      </c>
      <c r="B3657" s="515" t="s">
        <v>396</v>
      </c>
      <c r="C3657" s="52">
        <v>1257771.16374717</v>
      </c>
      <c r="D3657" s="56">
        <v>1.7574471254472143E-2</v>
      </c>
      <c r="E3657" s="224">
        <v>3049.5</v>
      </c>
      <c r="F3657" s="515" t="s">
        <v>5002</v>
      </c>
      <c r="G3657" s="52">
        <v>442855.28595522803</v>
      </c>
      <c r="H3657" s="56">
        <v>6.2024303810062485E-2</v>
      </c>
      <c r="I3657" s="224" t="s">
        <v>2</v>
      </c>
    </row>
    <row r="3658" spans="1:9" x14ac:dyDescent="0.25">
      <c r="A3658" s="515">
        <v>19142</v>
      </c>
      <c r="B3658" s="515" t="s">
        <v>294</v>
      </c>
      <c r="C3658" s="52">
        <v>116145.60980221799</v>
      </c>
      <c r="D3658" s="56">
        <v>0.17601519763258638</v>
      </c>
      <c r="E3658" s="224">
        <v>1157.3333333333301</v>
      </c>
      <c r="F3658" s="515" t="s">
        <v>5003</v>
      </c>
      <c r="G3658" s="52">
        <v>207597.54029615899</v>
      </c>
      <c r="H3658" s="56">
        <v>5.6007187034206742E-2</v>
      </c>
      <c r="I3658" s="224">
        <v>1451.30952380952</v>
      </c>
    </row>
    <row r="3659" spans="1:9" x14ac:dyDescent="0.25">
      <c r="A3659" s="515">
        <v>92653</v>
      </c>
      <c r="B3659" s="515" t="s">
        <v>375</v>
      </c>
      <c r="C3659" s="52">
        <v>1029098.3863093799</v>
      </c>
      <c r="D3659" s="56">
        <v>8.7325667940868865E-2</v>
      </c>
      <c r="E3659" s="224">
        <v>2840.9375661375602</v>
      </c>
      <c r="F3659" s="515" t="s">
        <v>5004</v>
      </c>
      <c r="G3659" s="52">
        <v>107805.043982238</v>
      </c>
      <c r="H3659" s="56">
        <v>5.8846905887769488E-2</v>
      </c>
      <c r="I3659" s="224" t="s">
        <v>2</v>
      </c>
    </row>
    <row r="3660" spans="1:9" x14ac:dyDescent="0.25">
      <c r="A3660" s="515">
        <v>94704</v>
      </c>
      <c r="B3660" s="515" t="s">
        <v>593</v>
      </c>
      <c r="C3660" s="52">
        <v>1104376.25553681</v>
      </c>
      <c r="D3660" s="56">
        <v>-7.7932526741724809E-2</v>
      </c>
      <c r="E3660" s="224">
        <v>2951.74761904761</v>
      </c>
      <c r="F3660" s="515" t="s">
        <v>5005</v>
      </c>
      <c r="G3660" s="52">
        <v>243182.28184904699</v>
      </c>
      <c r="H3660" s="56">
        <v>0.16579901654534174</v>
      </c>
      <c r="I3660" s="224">
        <v>1896.82222222222</v>
      </c>
    </row>
    <row r="3661" spans="1:9" x14ac:dyDescent="0.25">
      <c r="A3661" s="515">
        <v>76053</v>
      </c>
      <c r="B3661" s="515" t="s">
        <v>458</v>
      </c>
      <c r="C3661" s="52">
        <v>292514.63433398999</v>
      </c>
      <c r="D3661" s="56">
        <v>8.7086021786494702E-2</v>
      </c>
      <c r="E3661" s="224">
        <v>1725.18333333333</v>
      </c>
      <c r="F3661" s="515" t="s">
        <v>5006</v>
      </c>
      <c r="G3661" s="52">
        <v>271429.61183195101</v>
      </c>
      <c r="H3661" s="56">
        <v>7.500541273427408E-2</v>
      </c>
      <c r="I3661" s="224" t="s">
        <v>2</v>
      </c>
    </row>
    <row r="3662" spans="1:9" x14ac:dyDescent="0.25">
      <c r="A3662" s="515">
        <v>33325</v>
      </c>
      <c r="B3662" s="515" t="s">
        <v>831</v>
      </c>
      <c r="C3662" s="52">
        <v>561345.17408346303</v>
      </c>
      <c r="D3662" s="56">
        <v>0.12246310037644285</v>
      </c>
      <c r="E3662" s="224">
        <v>2593.37962962962</v>
      </c>
      <c r="F3662" s="515" t="s">
        <v>5007</v>
      </c>
      <c r="G3662" s="52">
        <v>129360.669701497</v>
      </c>
      <c r="H3662" s="56">
        <v>0.11019041519225892</v>
      </c>
      <c r="I3662" s="224" t="s">
        <v>2</v>
      </c>
    </row>
    <row r="3663" spans="1:9" x14ac:dyDescent="0.25">
      <c r="A3663" s="515">
        <v>93401</v>
      </c>
      <c r="B3663" s="515" t="s">
        <v>959</v>
      </c>
      <c r="C3663" s="52">
        <v>939286.349070022</v>
      </c>
      <c r="D3663" s="56">
        <v>7.9762494769148831E-2</v>
      </c>
      <c r="E3663" s="224">
        <v>2566.1111111111099</v>
      </c>
      <c r="F3663" s="515" t="s">
        <v>5008</v>
      </c>
      <c r="G3663" s="52">
        <v>460896.85251364298</v>
      </c>
      <c r="H3663" s="56">
        <v>3.3843283595855742E-2</v>
      </c>
      <c r="I3663" s="224" t="s">
        <v>2</v>
      </c>
    </row>
    <row r="3664" spans="1:9" x14ac:dyDescent="0.25">
      <c r="A3664" s="515">
        <v>13045</v>
      </c>
      <c r="B3664" s="515" t="s">
        <v>507</v>
      </c>
      <c r="C3664" s="52">
        <v>165736.39309524899</v>
      </c>
      <c r="D3664" s="56">
        <v>6.5634451798002799E-2</v>
      </c>
      <c r="E3664" s="224" t="s">
        <v>2</v>
      </c>
      <c r="F3664" s="515" t="s">
        <v>5009</v>
      </c>
      <c r="G3664" s="52">
        <v>250693.74035596001</v>
      </c>
      <c r="H3664" s="56">
        <v>3.7481126646113458E-2</v>
      </c>
      <c r="I3664" s="224" t="s">
        <v>2</v>
      </c>
    </row>
    <row r="3665" spans="1:9" x14ac:dyDescent="0.25">
      <c r="A3665" s="515">
        <v>37659</v>
      </c>
      <c r="B3665" s="515" t="s">
        <v>988</v>
      </c>
      <c r="C3665" s="52">
        <v>271682.16506514797</v>
      </c>
      <c r="D3665" s="56">
        <v>9.7585334304145122E-2</v>
      </c>
      <c r="E3665" s="224" t="s">
        <v>2</v>
      </c>
      <c r="F3665" s="515" t="s">
        <v>5010</v>
      </c>
      <c r="G3665" s="52">
        <v>319528.77868426201</v>
      </c>
      <c r="H3665" s="56">
        <v>4.3500873584811008E-2</v>
      </c>
      <c r="I3665" s="224">
        <v>2072.5</v>
      </c>
    </row>
    <row r="3666" spans="1:9" x14ac:dyDescent="0.25">
      <c r="A3666" s="515">
        <v>67217</v>
      </c>
      <c r="B3666" s="515" t="s">
        <v>485</v>
      </c>
      <c r="C3666" s="52">
        <v>143311.12162241401</v>
      </c>
      <c r="D3666" s="56">
        <v>0.10565319358160316</v>
      </c>
      <c r="E3666" s="224">
        <v>1009.83333333333</v>
      </c>
      <c r="F3666" s="515" t="s">
        <v>5011</v>
      </c>
      <c r="G3666" s="52">
        <v>528828.89683310199</v>
      </c>
      <c r="H3666" s="56">
        <v>5.8807994110028024E-2</v>
      </c>
      <c r="I3666" s="224">
        <v>2367.5</v>
      </c>
    </row>
    <row r="3667" spans="1:9" x14ac:dyDescent="0.25">
      <c r="A3667" s="515">
        <v>88203</v>
      </c>
      <c r="B3667" s="515" t="s">
        <v>858</v>
      </c>
      <c r="C3667" s="52">
        <v>127975.55614780801</v>
      </c>
      <c r="D3667" s="56">
        <v>4.6055231354338276E-2</v>
      </c>
      <c r="E3667" s="224" t="s">
        <v>2</v>
      </c>
      <c r="F3667" s="515" t="s">
        <v>5012</v>
      </c>
      <c r="G3667" s="52">
        <v>113655.768667704</v>
      </c>
      <c r="H3667" s="56">
        <v>0.18432475155145586</v>
      </c>
      <c r="I3667" s="224" t="s">
        <v>2</v>
      </c>
    </row>
    <row r="3668" spans="1:9" x14ac:dyDescent="0.25">
      <c r="A3668" s="515">
        <v>3079</v>
      </c>
      <c r="B3668" s="515" t="s">
        <v>534</v>
      </c>
      <c r="C3668" s="52">
        <v>497995.26553584501</v>
      </c>
      <c r="D3668" s="56">
        <v>0.1036084295848989</v>
      </c>
      <c r="E3668" s="224">
        <v>2799.88888888888</v>
      </c>
      <c r="F3668" s="515" t="s">
        <v>5013</v>
      </c>
      <c r="G3668" s="52">
        <v>439493.97203636798</v>
      </c>
      <c r="H3668" s="56">
        <v>8.4453174556318442E-2</v>
      </c>
      <c r="I3668" s="224" t="s">
        <v>2</v>
      </c>
    </row>
    <row r="3669" spans="1:9" x14ac:dyDescent="0.25">
      <c r="A3669" s="515">
        <v>32809</v>
      </c>
      <c r="B3669" s="515" t="s">
        <v>517</v>
      </c>
      <c r="C3669" s="52">
        <v>286433.61927358201</v>
      </c>
      <c r="D3669" s="56">
        <v>0.13147851279284961</v>
      </c>
      <c r="E3669" s="224">
        <v>1692.2222222222199</v>
      </c>
      <c r="F3669" s="515" t="s">
        <v>5014</v>
      </c>
      <c r="G3669" s="52">
        <v>243316.717629144</v>
      </c>
      <c r="H3669" s="56">
        <v>7.3947977013641891E-2</v>
      </c>
      <c r="I3669" s="224" t="s">
        <v>2</v>
      </c>
    </row>
    <row r="3670" spans="1:9" x14ac:dyDescent="0.25">
      <c r="A3670" s="515">
        <v>6066</v>
      </c>
      <c r="B3670" s="515" t="s">
        <v>894</v>
      </c>
      <c r="C3670" s="52">
        <v>260098.56441706899</v>
      </c>
      <c r="D3670" s="56">
        <v>9.1931992945229149E-2</v>
      </c>
      <c r="E3670" s="224">
        <v>1425</v>
      </c>
      <c r="F3670" s="515" t="s">
        <v>5015</v>
      </c>
      <c r="G3670" s="52">
        <v>252458.31329117401</v>
      </c>
      <c r="H3670" s="56">
        <v>6.8325003289718189E-2</v>
      </c>
      <c r="I3670" s="224">
        <v>1618</v>
      </c>
    </row>
    <row r="3671" spans="1:9" x14ac:dyDescent="0.25">
      <c r="A3671" s="515">
        <v>11572</v>
      </c>
      <c r="B3671" s="515" t="s">
        <v>324</v>
      </c>
      <c r="C3671" s="52">
        <v>651084.61090082303</v>
      </c>
      <c r="D3671" s="56">
        <v>5.4470428506938104E-2</v>
      </c>
      <c r="E3671" s="224" t="s">
        <v>2</v>
      </c>
      <c r="F3671" s="515" t="s">
        <v>5016</v>
      </c>
      <c r="G3671" s="52">
        <v>263384.01495797402</v>
      </c>
      <c r="H3671" s="56">
        <v>6.3357121398755864E-2</v>
      </c>
      <c r="I3671" s="224" t="s">
        <v>2</v>
      </c>
    </row>
    <row r="3672" spans="1:9" x14ac:dyDescent="0.25">
      <c r="A3672" s="515">
        <v>60181</v>
      </c>
      <c r="B3672" s="515" t="s">
        <v>394</v>
      </c>
      <c r="C3672" s="52">
        <v>282686.92857722298</v>
      </c>
      <c r="D3672" s="56">
        <v>3.7555491887447723E-2</v>
      </c>
      <c r="E3672" s="224">
        <v>1818.74444444444</v>
      </c>
      <c r="F3672" s="515" t="s">
        <v>5017</v>
      </c>
      <c r="G3672" s="52">
        <v>410060.41763342102</v>
      </c>
      <c r="H3672" s="56">
        <v>7.7904414360262964E-2</v>
      </c>
      <c r="I3672" s="224" t="s">
        <v>2</v>
      </c>
    </row>
    <row r="3673" spans="1:9" x14ac:dyDescent="0.25">
      <c r="A3673" s="515">
        <v>32819</v>
      </c>
      <c r="B3673" s="515" t="s">
        <v>517</v>
      </c>
      <c r="C3673" s="52">
        <v>447979.693485934</v>
      </c>
      <c r="D3673" s="56">
        <v>0.14752397483614255</v>
      </c>
      <c r="E3673" s="224">
        <v>2161.2805555555501</v>
      </c>
      <c r="F3673" s="515" t="s">
        <v>5018</v>
      </c>
      <c r="G3673" s="52">
        <v>493941.64990537602</v>
      </c>
      <c r="H3673" s="56">
        <v>4.617142823534251E-2</v>
      </c>
      <c r="I3673" s="224" t="s">
        <v>2</v>
      </c>
    </row>
    <row r="3674" spans="1:9" x14ac:dyDescent="0.25">
      <c r="A3674" s="515">
        <v>93035</v>
      </c>
      <c r="B3674" s="515" t="s">
        <v>1021</v>
      </c>
      <c r="C3674" s="52">
        <v>830667.06003771699</v>
      </c>
      <c r="D3674" s="56">
        <v>3.9356476012937715E-2</v>
      </c>
      <c r="E3674" s="224">
        <v>2902.4365079365002</v>
      </c>
      <c r="F3674" s="515" t="s">
        <v>5019</v>
      </c>
      <c r="G3674" s="52">
        <v>438104.67066397797</v>
      </c>
      <c r="H3674" s="56">
        <v>2.4751933102276136E-2</v>
      </c>
      <c r="I3674" s="224" t="s">
        <v>2</v>
      </c>
    </row>
    <row r="3675" spans="1:9" x14ac:dyDescent="0.25">
      <c r="A3675" s="515">
        <v>77020</v>
      </c>
      <c r="B3675" s="515" t="s">
        <v>314</v>
      </c>
      <c r="C3675" s="52">
        <v>171005.072351982</v>
      </c>
      <c r="D3675" s="56">
        <v>0.22220247516646185</v>
      </c>
      <c r="E3675" s="224">
        <v>1954.8333333333301</v>
      </c>
      <c r="F3675" s="515" t="s">
        <v>5020</v>
      </c>
      <c r="G3675" s="52">
        <v>2741840.6040961901</v>
      </c>
      <c r="H3675" s="56">
        <v>2.8886501336715043E-2</v>
      </c>
      <c r="I3675" s="224" t="s">
        <v>2</v>
      </c>
    </row>
    <row r="3676" spans="1:9" x14ac:dyDescent="0.25">
      <c r="A3676" s="515">
        <v>92612</v>
      </c>
      <c r="B3676" s="515" t="s">
        <v>375</v>
      </c>
      <c r="C3676" s="52">
        <v>942865.92464857199</v>
      </c>
      <c r="D3676" s="56">
        <v>8.7816161403054566E-2</v>
      </c>
      <c r="E3676" s="224">
        <v>3099.7745007680401</v>
      </c>
      <c r="F3676" s="515" t="s">
        <v>982</v>
      </c>
      <c r="G3676" s="52">
        <v>137559.16634274801</v>
      </c>
      <c r="H3676" s="56">
        <v>-5.0564207396073625E-2</v>
      </c>
      <c r="I3676" s="224" t="s">
        <v>2</v>
      </c>
    </row>
    <row r="3677" spans="1:9" x14ac:dyDescent="0.25">
      <c r="A3677" s="515">
        <v>8043</v>
      </c>
      <c r="B3677" s="515" t="s">
        <v>294</v>
      </c>
      <c r="C3677" s="52">
        <v>403053.85067606898</v>
      </c>
      <c r="D3677" s="56">
        <v>8.6600720555264299E-2</v>
      </c>
      <c r="E3677" s="224" t="s">
        <v>2</v>
      </c>
      <c r="F3677" s="515" t="s">
        <v>5021</v>
      </c>
      <c r="G3677" s="52">
        <v>135154.14304380899</v>
      </c>
      <c r="H3677" s="56">
        <v>-1.6919816574107096E-2</v>
      </c>
      <c r="I3677" s="224" t="s">
        <v>2</v>
      </c>
    </row>
    <row r="3678" spans="1:9" x14ac:dyDescent="0.25">
      <c r="A3678" s="515">
        <v>78705</v>
      </c>
      <c r="B3678" s="515" t="s">
        <v>380</v>
      </c>
      <c r="C3678" s="52">
        <v>450060.49713610602</v>
      </c>
      <c r="D3678" s="56">
        <v>-3.5748145870664348E-2</v>
      </c>
      <c r="E3678" s="224">
        <v>2308.0942028985501</v>
      </c>
      <c r="F3678" s="515" t="s">
        <v>5022</v>
      </c>
      <c r="G3678" s="52">
        <v>271063.500804146</v>
      </c>
      <c r="H3678" s="56">
        <v>1.3587583034714931E-2</v>
      </c>
      <c r="I3678" s="224">
        <v>1777.76388888888</v>
      </c>
    </row>
    <row r="3679" spans="1:9" x14ac:dyDescent="0.25">
      <c r="A3679" s="515">
        <v>97003</v>
      </c>
      <c r="B3679" s="515" t="s">
        <v>659</v>
      </c>
      <c r="C3679" s="52">
        <v>470314.29078888299</v>
      </c>
      <c r="D3679" s="56">
        <v>4.0510548144337279E-2</v>
      </c>
      <c r="E3679" s="224">
        <v>2007.1428571428501</v>
      </c>
      <c r="F3679" s="515" t="s">
        <v>5023</v>
      </c>
      <c r="G3679" s="52">
        <v>521152.82763919397</v>
      </c>
      <c r="H3679" s="56">
        <v>6.5095529165668214E-2</v>
      </c>
      <c r="I3679" s="224" t="s">
        <v>2</v>
      </c>
    </row>
    <row r="3680" spans="1:9" x14ac:dyDescent="0.25">
      <c r="A3680" s="515">
        <v>60621</v>
      </c>
      <c r="B3680" s="515" t="s">
        <v>394</v>
      </c>
      <c r="C3680" s="52">
        <v>106135.58196789501</v>
      </c>
      <c r="D3680" s="56">
        <v>9.9713744164951948E-2</v>
      </c>
      <c r="E3680" s="224">
        <v>1336.3611111111099</v>
      </c>
      <c r="F3680" s="515" t="s">
        <v>5024</v>
      </c>
      <c r="G3680" s="52">
        <v>388846.09702977497</v>
      </c>
      <c r="H3680" s="56">
        <v>8.2399961716247583E-2</v>
      </c>
      <c r="I3680" s="224" t="s">
        <v>2</v>
      </c>
    </row>
    <row r="3681" spans="1:9" x14ac:dyDescent="0.25">
      <c r="A3681" s="515">
        <v>84094</v>
      </c>
      <c r="B3681" s="515" t="s">
        <v>617</v>
      </c>
      <c r="C3681" s="52">
        <v>519704.77132600301</v>
      </c>
      <c r="D3681" s="56">
        <v>1.4559628154266683E-2</v>
      </c>
      <c r="E3681" s="224">
        <v>2040.4555555555501</v>
      </c>
      <c r="F3681" s="515" t="s">
        <v>5025</v>
      </c>
      <c r="G3681" s="52">
        <v>137064.10643302399</v>
      </c>
      <c r="H3681" s="56">
        <v>7.9069581373768169E-2</v>
      </c>
      <c r="I3681" s="224" t="s">
        <v>2</v>
      </c>
    </row>
    <row r="3682" spans="1:9" x14ac:dyDescent="0.25">
      <c r="A3682" s="515">
        <v>90302</v>
      </c>
      <c r="B3682" s="515" t="s">
        <v>375</v>
      </c>
      <c r="C3682" s="52">
        <v>660590.58321262896</v>
      </c>
      <c r="D3682" s="56">
        <v>-9.5625217990956256E-3</v>
      </c>
      <c r="E3682" s="224">
        <v>2350.1111111111099</v>
      </c>
      <c r="F3682" s="515" t="s">
        <v>5026</v>
      </c>
      <c r="G3682" s="52">
        <v>316893.19291370601</v>
      </c>
      <c r="H3682" s="56">
        <v>0.15731052633135656</v>
      </c>
      <c r="I3682" s="224" t="s">
        <v>2</v>
      </c>
    </row>
    <row r="3683" spans="1:9" x14ac:dyDescent="0.25">
      <c r="A3683" s="515">
        <v>95603</v>
      </c>
      <c r="B3683" s="515" t="s">
        <v>355</v>
      </c>
      <c r="C3683" s="52">
        <v>574996.75185744104</v>
      </c>
      <c r="D3683" s="56">
        <v>-9.5803323929265962E-3</v>
      </c>
      <c r="E3683" s="224">
        <v>2210.99999999999</v>
      </c>
      <c r="F3683" s="515" t="s">
        <v>5027</v>
      </c>
      <c r="G3683" s="52">
        <v>480765.97397644998</v>
      </c>
      <c r="H3683" s="56">
        <v>2.4827802132598525E-2</v>
      </c>
      <c r="I3683" s="224">
        <v>2350</v>
      </c>
    </row>
    <row r="3684" spans="1:9" x14ac:dyDescent="0.25">
      <c r="A3684" s="515">
        <v>40701</v>
      </c>
      <c r="B3684" s="515" t="s">
        <v>633</v>
      </c>
      <c r="C3684" s="52">
        <v>154050.24042317999</v>
      </c>
      <c r="D3684" s="56">
        <v>0.15749111887009423</v>
      </c>
      <c r="E3684" s="224" t="s">
        <v>2</v>
      </c>
      <c r="F3684" s="515" t="s">
        <v>5028</v>
      </c>
      <c r="G3684" s="52">
        <v>271864.31704849098</v>
      </c>
      <c r="H3684" s="56">
        <v>8.89707922112382E-2</v>
      </c>
      <c r="I3684" s="224" t="s">
        <v>2</v>
      </c>
    </row>
    <row r="3685" spans="1:9" x14ac:dyDescent="0.25">
      <c r="A3685" s="515">
        <v>68801</v>
      </c>
      <c r="B3685" s="515" t="s">
        <v>650</v>
      </c>
      <c r="C3685" s="52">
        <v>174294.710427579</v>
      </c>
      <c r="D3685" s="56">
        <v>5.5528946230163495E-2</v>
      </c>
      <c r="E3685" s="224" t="s">
        <v>2</v>
      </c>
      <c r="F3685" s="515" t="s">
        <v>5029</v>
      </c>
      <c r="G3685" s="52">
        <v>383975.87697075401</v>
      </c>
      <c r="H3685" s="56">
        <v>6.7418378714513089E-2</v>
      </c>
      <c r="I3685" s="224">
        <v>1842.7777777777701</v>
      </c>
    </row>
    <row r="3686" spans="1:9" x14ac:dyDescent="0.25">
      <c r="A3686" s="515">
        <v>44129</v>
      </c>
      <c r="B3686" s="515" t="s">
        <v>520</v>
      </c>
      <c r="C3686" s="52">
        <v>163883.102075645</v>
      </c>
      <c r="D3686" s="56">
        <v>6.4760210115414552E-2</v>
      </c>
      <c r="E3686" s="224">
        <v>1018.13333333333</v>
      </c>
      <c r="F3686" s="515" t="s">
        <v>5030</v>
      </c>
      <c r="G3686" s="52">
        <v>230885.29973235799</v>
      </c>
      <c r="H3686" s="56">
        <v>7.1879358394382142E-2</v>
      </c>
      <c r="I3686" s="224" t="s">
        <v>2</v>
      </c>
    </row>
    <row r="3687" spans="1:9" x14ac:dyDescent="0.25">
      <c r="A3687" s="515">
        <v>88012</v>
      </c>
      <c r="B3687" s="515" t="s">
        <v>317</v>
      </c>
      <c r="C3687" s="52">
        <v>270094.80077294097</v>
      </c>
      <c r="D3687" s="56">
        <v>0.13076365010073249</v>
      </c>
      <c r="E3687" s="224">
        <v>1566.6666666666599</v>
      </c>
      <c r="F3687" s="515" t="s">
        <v>5031</v>
      </c>
      <c r="G3687" s="52">
        <v>265692.60483956302</v>
      </c>
      <c r="H3687" s="56">
        <v>6.9133854781090687E-2</v>
      </c>
      <c r="I3687" s="224" t="s">
        <v>2</v>
      </c>
    </row>
    <row r="3688" spans="1:9" x14ac:dyDescent="0.25">
      <c r="A3688" s="515">
        <v>92110</v>
      </c>
      <c r="B3688" s="515" t="s">
        <v>396</v>
      </c>
      <c r="C3688" s="52">
        <v>859092.28214234801</v>
      </c>
      <c r="D3688" s="56">
        <v>9.416134146383065E-2</v>
      </c>
      <c r="E3688" s="224">
        <v>3214.3917748917702</v>
      </c>
      <c r="F3688" s="515" t="s">
        <v>1073</v>
      </c>
      <c r="G3688" s="52">
        <v>147582.37487009799</v>
      </c>
      <c r="H3688" s="56">
        <v>7.2509673110303499E-2</v>
      </c>
      <c r="I3688" s="224" t="s">
        <v>2</v>
      </c>
    </row>
    <row r="3689" spans="1:9" x14ac:dyDescent="0.25">
      <c r="A3689" s="515">
        <v>53140</v>
      </c>
      <c r="B3689" s="515" t="s">
        <v>394</v>
      </c>
      <c r="C3689" s="52">
        <v>189432.771674897</v>
      </c>
      <c r="D3689" s="56">
        <v>8.5545977912918431E-2</v>
      </c>
      <c r="E3689" s="224">
        <v>1075.8611111111099</v>
      </c>
      <c r="F3689" s="515" t="s">
        <v>5032</v>
      </c>
      <c r="G3689" s="52">
        <v>321012.174205544</v>
      </c>
      <c r="H3689" s="56">
        <v>1.4392898927283616E-2</v>
      </c>
      <c r="I3689" s="224" t="s">
        <v>2</v>
      </c>
    </row>
    <row r="3690" spans="1:9" x14ac:dyDescent="0.25">
      <c r="A3690" s="515">
        <v>96732</v>
      </c>
      <c r="B3690" s="515" t="s">
        <v>400</v>
      </c>
      <c r="C3690" s="52">
        <v>907483.34505500295</v>
      </c>
      <c r="D3690" s="56">
        <v>0.14023816237529149</v>
      </c>
      <c r="E3690" s="224" t="s">
        <v>2</v>
      </c>
      <c r="F3690" s="515" t="s">
        <v>5033</v>
      </c>
      <c r="G3690" s="52">
        <v>135060.90766826499</v>
      </c>
      <c r="H3690" s="56">
        <v>1.0019585710019558E-2</v>
      </c>
      <c r="I3690" s="224" t="s">
        <v>2</v>
      </c>
    </row>
    <row r="3691" spans="1:9" x14ac:dyDescent="0.25">
      <c r="A3691" s="515">
        <v>34683</v>
      </c>
      <c r="B3691" s="515" t="s">
        <v>461</v>
      </c>
      <c r="C3691" s="52">
        <v>452675.623529331</v>
      </c>
      <c r="D3691" s="56">
        <v>7.5303748689550531E-2</v>
      </c>
      <c r="E3691" s="224">
        <v>2133</v>
      </c>
      <c r="F3691" s="515" t="s">
        <v>5034</v>
      </c>
      <c r="G3691" s="52">
        <v>262093.873249731</v>
      </c>
      <c r="H3691" s="56">
        <v>5.65529438831451E-2</v>
      </c>
      <c r="I3691" s="224" t="s">
        <v>2</v>
      </c>
    </row>
    <row r="3692" spans="1:9" x14ac:dyDescent="0.25">
      <c r="A3692" s="515">
        <v>48195</v>
      </c>
      <c r="B3692" s="515" t="s">
        <v>685</v>
      </c>
      <c r="C3692" s="52">
        <v>168201.51231312499</v>
      </c>
      <c r="D3692" s="56">
        <v>6.1314448918529052E-2</v>
      </c>
      <c r="E3692" s="224">
        <v>1718</v>
      </c>
      <c r="F3692" s="515" t="s">
        <v>5035</v>
      </c>
      <c r="G3692" s="52">
        <v>182560.864617874</v>
      </c>
      <c r="H3692" s="56">
        <v>0.11140597124772479</v>
      </c>
      <c r="I3692" s="224" t="s">
        <v>2</v>
      </c>
    </row>
    <row r="3693" spans="1:9" x14ac:dyDescent="0.25">
      <c r="A3693" s="515">
        <v>99709</v>
      </c>
      <c r="B3693" s="515" t="s">
        <v>1080</v>
      </c>
      <c r="C3693" s="52">
        <v>279446.963283088</v>
      </c>
      <c r="D3693" s="56">
        <v>9.1456247947532144E-3</v>
      </c>
      <c r="E3693" s="224">
        <v>1822.5</v>
      </c>
      <c r="F3693" s="515" t="s">
        <v>5036</v>
      </c>
      <c r="G3693" s="52">
        <v>216642.07626293099</v>
      </c>
      <c r="H3693" s="56">
        <v>2.2495076171925518E-2</v>
      </c>
      <c r="I3693" s="224" t="s">
        <v>2</v>
      </c>
    </row>
    <row r="3694" spans="1:9" x14ac:dyDescent="0.25">
      <c r="A3694" s="515">
        <v>33884</v>
      </c>
      <c r="B3694" s="515" t="s">
        <v>359</v>
      </c>
      <c r="C3694" s="52">
        <v>309182.84556195798</v>
      </c>
      <c r="D3694" s="56">
        <v>9.5168266656355388E-2</v>
      </c>
      <c r="E3694" s="224">
        <v>1919.5</v>
      </c>
      <c r="F3694" s="515" t="s">
        <v>5037</v>
      </c>
      <c r="G3694" s="52">
        <v>431851.84751832997</v>
      </c>
      <c r="H3694" s="56">
        <v>2.4163979907230348E-2</v>
      </c>
      <c r="I3694" s="224">
        <v>1373.69047619047</v>
      </c>
    </row>
    <row r="3695" spans="1:9" x14ac:dyDescent="0.25">
      <c r="A3695" s="515">
        <v>63128</v>
      </c>
      <c r="B3695" s="515" t="s">
        <v>498</v>
      </c>
      <c r="C3695" s="52">
        <v>315799.20257421199</v>
      </c>
      <c r="D3695" s="56">
        <v>8.3660011222427014E-2</v>
      </c>
      <c r="E3695" s="224" t="s">
        <v>2</v>
      </c>
      <c r="F3695" s="515" t="s">
        <v>5038</v>
      </c>
      <c r="G3695" s="52">
        <v>560863.31805029197</v>
      </c>
      <c r="H3695" s="56">
        <v>5.5349951622996788E-2</v>
      </c>
      <c r="I3695" s="224" t="s">
        <v>2</v>
      </c>
    </row>
    <row r="3696" spans="1:9" x14ac:dyDescent="0.25">
      <c r="A3696" s="515">
        <v>60527</v>
      </c>
      <c r="B3696" s="515" t="s">
        <v>394</v>
      </c>
      <c r="C3696" s="52">
        <v>407028.09050948598</v>
      </c>
      <c r="D3696" s="56">
        <v>2.6721154387681301E-2</v>
      </c>
      <c r="E3696" s="224">
        <v>1777.76388888888</v>
      </c>
      <c r="F3696" s="515" t="s">
        <v>5039</v>
      </c>
      <c r="G3696" s="52">
        <v>235246.48881268199</v>
      </c>
      <c r="H3696" s="56">
        <v>0.12946769783941073</v>
      </c>
      <c r="I3696" s="224" t="s">
        <v>2</v>
      </c>
    </row>
    <row r="3697" spans="1:9" x14ac:dyDescent="0.25">
      <c r="A3697" s="515">
        <v>68701</v>
      </c>
      <c r="B3697" s="515" t="s">
        <v>615</v>
      </c>
      <c r="C3697" s="52">
        <v>212382.38344138901</v>
      </c>
      <c r="D3697" s="56">
        <v>5.5872411703868204E-2</v>
      </c>
      <c r="E3697" s="224" t="s">
        <v>2</v>
      </c>
      <c r="F3697" s="515" t="s">
        <v>5040</v>
      </c>
      <c r="G3697" s="52">
        <v>113641.544515915</v>
      </c>
      <c r="H3697" s="56">
        <v>0.11787709819247996</v>
      </c>
      <c r="I3697" s="224" t="s">
        <v>2</v>
      </c>
    </row>
    <row r="3698" spans="1:9" x14ac:dyDescent="0.25">
      <c r="A3698" s="515">
        <v>67037</v>
      </c>
      <c r="B3698" s="515" t="s">
        <v>485</v>
      </c>
      <c r="C3698" s="52">
        <v>257812.90769604</v>
      </c>
      <c r="D3698" s="56">
        <v>7.2195966861358166E-2</v>
      </c>
      <c r="E3698" s="224">
        <v>1320.55555555555</v>
      </c>
      <c r="F3698" s="515" t="s">
        <v>5041</v>
      </c>
      <c r="G3698" s="52">
        <v>241803.691577069</v>
      </c>
      <c r="H3698" s="56">
        <v>6.9308235838606874E-2</v>
      </c>
      <c r="I3698" s="224">
        <v>1205.38888888888</v>
      </c>
    </row>
    <row r="3699" spans="1:9" x14ac:dyDescent="0.25">
      <c r="A3699" s="515">
        <v>85388</v>
      </c>
      <c r="B3699" s="515" t="s">
        <v>563</v>
      </c>
      <c r="C3699" s="52">
        <v>436159.29086638999</v>
      </c>
      <c r="D3699" s="56">
        <v>1.2823740013166095E-2</v>
      </c>
      <c r="E3699" s="224">
        <v>2097.2740740740701</v>
      </c>
      <c r="F3699" s="515" t="s">
        <v>5042</v>
      </c>
      <c r="G3699" s="52">
        <v>386668.92902606999</v>
      </c>
      <c r="H3699" s="56">
        <v>9.7972408700475397E-2</v>
      </c>
      <c r="I3699" s="224" t="s">
        <v>2</v>
      </c>
    </row>
    <row r="3700" spans="1:9" x14ac:dyDescent="0.25">
      <c r="A3700" s="515">
        <v>21216</v>
      </c>
      <c r="B3700" s="515" t="s">
        <v>582</v>
      </c>
      <c r="C3700" s="52">
        <v>111713.95594111401</v>
      </c>
      <c r="D3700" s="56">
        <v>0.13687647266110178</v>
      </c>
      <c r="E3700" s="224">
        <v>1305.6666666666599</v>
      </c>
      <c r="F3700" s="515" t="s">
        <v>5043</v>
      </c>
      <c r="G3700" s="52">
        <v>319775.12581691198</v>
      </c>
      <c r="H3700" s="56">
        <v>0.13477009361370282</v>
      </c>
      <c r="I3700" s="224" t="s">
        <v>2</v>
      </c>
    </row>
    <row r="3701" spans="1:9" x14ac:dyDescent="0.25">
      <c r="A3701" s="515">
        <v>45230</v>
      </c>
      <c r="B3701" s="515" t="s">
        <v>344</v>
      </c>
      <c r="C3701" s="52">
        <v>257995.21080997901</v>
      </c>
      <c r="D3701" s="56">
        <v>4.9824692289145739E-2</v>
      </c>
      <c r="E3701" s="224">
        <v>1140.0833333333301</v>
      </c>
      <c r="F3701" s="515" t="s">
        <v>5044</v>
      </c>
      <c r="G3701" s="52">
        <v>532504.59387696802</v>
      </c>
      <c r="H3701" s="56">
        <v>6.1006486706727328E-2</v>
      </c>
      <c r="I3701" s="224">
        <v>2151.6666666666601</v>
      </c>
    </row>
    <row r="3702" spans="1:9" x14ac:dyDescent="0.25">
      <c r="A3702" s="515">
        <v>33138</v>
      </c>
      <c r="B3702" s="515" t="s">
        <v>831</v>
      </c>
      <c r="C3702" s="52">
        <v>709235.48250976799</v>
      </c>
      <c r="D3702" s="56">
        <v>0.24546736772263891</v>
      </c>
      <c r="E3702" s="224">
        <v>2419.8908382066202</v>
      </c>
      <c r="F3702" s="515" t="s">
        <v>770</v>
      </c>
      <c r="G3702" s="52">
        <v>191064.915545567</v>
      </c>
      <c r="H3702" s="56">
        <v>0.12719467383764085</v>
      </c>
      <c r="I3702" s="224" t="s">
        <v>2</v>
      </c>
    </row>
    <row r="3703" spans="1:9" x14ac:dyDescent="0.25">
      <c r="A3703" s="515">
        <v>63130</v>
      </c>
      <c r="B3703" s="515" t="s">
        <v>498</v>
      </c>
      <c r="C3703" s="52">
        <v>234621.33593355</v>
      </c>
      <c r="D3703" s="56">
        <v>5.9967402812801246E-2</v>
      </c>
      <c r="E3703" s="224">
        <v>1311.92857142857</v>
      </c>
      <c r="F3703" s="515" t="s">
        <v>5045</v>
      </c>
      <c r="G3703" s="52">
        <v>136695.409227005</v>
      </c>
      <c r="H3703" s="56">
        <v>0.10807393247969023</v>
      </c>
      <c r="I3703" s="224" t="s">
        <v>2</v>
      </c>
    </row>
    <row r="3704" spans="1:9" x14ac:dyDescent="0.25">
      <c r="A3704" s="515">
        <v>48124</v>
      </c>
      <c r="B3704" s="515" t="s">
        <v>685</v>
      </c>
      <c r="C3704" s="52">
        <v>195812.69194894601</v>
      </c>
      <c r="D3704" s="56">
        <v>7.5635368485630447E-2</v>
      </c>
      <c r="E3704" s="224">
        <v>1613.88888888888</v>
      </c>
      <c r="F3704" s="515" t="s">
        <v>5046</v>
      </c>
      <c r="G3704" s="52">
        <v>574525.94341329997</v>
      </c>
      <c r="H3704" s="56">
        <v>6.3346077685965785E-2</v>
      </c>
      <c r="I3704" s="224" t="s">
        <v>2</v>
      </c>
    </row>
    <row r="3705" spans="1:9" x14ac:dyDescent="0.25">
      <c r="A3705" s="515">
        <v>11561</v>
      </c>
      <c r="B3705" s="515" t="s">
        <v>324</v>
      </c>
      <c r="C3705" s="52">
        <v>713066.70298183803</v>
      </c>
      <c r="D3705" s="56">
        <v>1.1876199999029377E-2</v>
      </c>
      <c r="E3705" s="224">
        <v>3491.5449735449702</v>
      </c>
      <c r="F3705" s="515" t="s">
        <v>5047</v>
      </c>
      <c r="G3705" s="52">
        <v>304787.13767905597</v>
      </c>
      <c r="H3705" s="56">
        <v>4.9100308331695354E-2</v>
      </c>
      <c r="I3705" s="224" t="s">
        <v>2</v>
      </c>
    </row>
    <row r="3706" spans="1:9" x14ac:dyDescent="0.25">
      <c r="A3706" s="515">
        <v>6340</v>
      </c>
      <c r="B3706" s="515" t="s">
        <v>1091</v>
      </c>
      <c r="C3706" s="52">
        <v>297426.183368125</v>
      </c>
      <c r="D3706" s="56">
        <v>9.5554604520756037E-2</v>
      </c>
      <c r="E3706" s="224">
        <v>1595</v>
      </c>
      <c r="F3706" s="515" t="s">
        <v>5048</v>
      </c>
      <c r="G3706" s="52">
        <v>233116.05819333499</v>
      </c>
      <c r="H3706" s="56">
        <v>8.2566357236319735E-2</v>
      </c>
      <c r="I3706" s="224" t="s">
        <v>2</v>
      </c>
    </row>
    <row r="3707" spans="1:9" x14ac:dyDescent="0.25">
      <c r="A3707" s="515">
        <v>67203</v>
      </c>
      <c r="B3707" s="515" t="s">
        <v>485</v>
      </c>
      <c r="C3707" s="52">
        <v>142036.771634176</v>
      </c>
      <c r="D3707" s="56">
        <v>9.9290553749378216E-2</v>
      </c>
      <c r="E3707" s="224">
        <v>908.79761904761801</v>
      </c>
      <c r="F3707" s="515" t="s">
        <v>5049</v>
      </c>
      <c r="G3707" s="52">
        <v>350528.31660931697</v>
      </c>
      <c r="H3707" s="56">
        <v>4.0893165315387399E-2</v>
      </c>
      <c r="I3707" s="224" t="s">
        <v>2</v>
      </c>
    </row>
    <row r="3708" spans="1:9" x14ac:dyDescent="0.25">
      <c r="A3708" s="515">
        <v>96150</v>
      </c>
      <c r="B3708" s="515" t="s">
        <v>355</v>
      </c>
      <c r="C3708" s="52">
        <v>650055.95992955205</v>
      </c>
      <c r="D3708" s="56">
        <v>-2.8519023389510408E-2</v>
      </c>
      <c r="E3708" s="224">
        <v>2107.7222222222199</v>
      </c>
      <c r="F3708" s="515" t="s">
        <v>5050</v>
      </c>
      <c r="G3708" s="52">
        <v>234412.55773442899</v>
      </c>
      <c r="H3708" s="56">
        <v>7.179854712107317E-2</v>
      </c>
      <c r="I3708" s="224">
        <v>1486.6666666666599</v>
      </c>
    </row>
    <row r="3709" spans="1:9" x14ac:dyDescent="0.25">
      <c r="A3709" s="515">
        <v>44052</v>
      </c>
      <c r="B3709" s="515" t="s">
        <v>520</v>
      </c>
      <c r="C3709" s="52">
        <v>106905.662144859</v>
      </c>
      <c r="D3709" s="56">
        <v>8.7894806656439603E-2</v>
      </c>
      <c r="E3709" s="224" t="s">
        <v>2</v>
      </c>
      <c r="F3709" s="515" t="s">
        <v>5051</v>
      </c>
      <c r="G3709" s="52">
        <v>209262.67766649299</v>
      </c>
      <c r="H3709" s="56">
        <v>0.13348764376457922</v>
      </c>
      <c r="I3709" s="224" t="s">
        <v>2</v>
      </c>
    </row>
    <row r="3710" spans="1:9" x14ac:dyDescent="0.25">
      <c r="A3710" s="515">
        <v>16823</v>
      </c>
      <c r="B3710" s="515" t="s">
        <v>491</v>
      </c>
      <c r="C3710" s="52">
        <v>262495.07698368398</v>
      </c>
      <c r="D3710" s="56">
        <v>5.7879858611391354E-2</v>
      </c>
      <c r="E3710" s="224" t="s">
        <v>2</v>
      </c>
      <c r="F3710" s="515" t="s">
        <v>5052</v>
      </c>
      <c r="G3710" s="52">
        <v>309648.64556341601</v>
      </c>
      <c r="H3710" s="56">
        <v>5.1371933052982918E-2</v>
      </c>
      <c r="I3710" s="224" t="s">
        <v>2</v>
      </c>
    </row>
    <row r="3711" spans="1:9" x14ac:dyDescent="0.25">
      <c r="A3711" s="515">
        <v>52601</v>
      </c>
      <c r="B3711" s="515" t="s">
        <v>672</v>
      </c>
      <c r="C3711" s="52">
        <v>109953.63891403</v>
      </c>
      <c r="D3711" s="56">
        <v>7.569084486864866E-2</v>
      </c>
      <c r="E3711" s="224" t="s">
        <v>2</v>
      </c>
      <c r="F3711" s="515" t="s">
        <v>5053</v>
      </c>
      <c r="G3711" s="52">
        <v>223991.802767063</v>
      </c>
      <c r="H3711" s="56">
        <v>0.11076461125678579</v>
      </c>
      <c r="I3711" s="224" t="s">
        <v>2</v>
      </c>
    </row>
    <row r="3712" spans="1:9" x14ac:dyDescent="0.25">
      <c r="A3712" s="515">
        <v>20008</v>
      </c>
      <c r="B3712" s="515" t="s">
        <v>321</v>
      </c>
      <c r="C3712" s="52">
        <v>882619.34180014802</v>
      </c>
      <c r="D3712" s="56">
        <v>-1.7667188512081967E-2</v>
      </c>
      <c r="E3712" s="224">
        <v>2096.5355786189102</v>
      </c>
      <c r="F3712" s="515" t="s">
        <v>5054</v>
      </c>
      <c r="G3712" s="52">
        <v>309484.12366439297</v>
      </c>
      <c r="H3712" s="56">
        <v>5.3429292242333309E-2</v>
      </c>
      <c r="I3712" s="224" t="s">
        <v>2</v>
      </c>
    </row>
    <row r="3713" spans="1:9" x14ac:dyDescent="0.25">
      <c r="A3713" s="515">
        <v>2893</v>
      </c>
      <c r="B3713" s="515" t="s">
        <v>513</v>
      </c>
      <c r="C3713" s="52">
        <v>321002.84620203398</v>
      </c>
      <c r="D3713" s="56">
        <v>9.4928194659524345E-2</v>
      </c>
      <c r="E3713" s="224">
        <v>1388.88888888888</v>
      </c>
      <c r="F3713" s="515" t="s">
        <v>5055</v>
      </c>
      <c r="G3713" s="52">
        <v>462522.41279485403</v>
      </c>
      <c r="H3713" s="56">
        <v>1.5418567597327662E-2</v>
      </c>
      <c r="I3713" s="224" t="s">
        <v>2</v>
      </c>
    </row>
    <row r="3714" spans="1:9" x14ac:dyDescent="0.25">
      <c r="A3714" s="515">
        <v>70127</v>
      </c>
      <c r="B3714" s="515" t="s">
        <v>777</v>
      </c>
      <c r="C3714" s="52">
        <v>178581.50427149999</v>
      </c>
      <c r="D3714" s="56">
        <v>3.7555223597509339E-2</v>
      </c>
      <c r="E3714" s="224">
        <v>1200</v>
      </c>
      <c r="F3714" s="515" t="s">
        <v>1084</v>
      </c>
      <c r="G3714" s="52">
        <v>210165.89757265101</v>
      </c>
      <c r="H3714" s="56">
        <v>2.9542223518428789E-2</v>
      </c>
      <c r="I3714" s="224" t="s">
        <v>2</v>
      </c>
    </row>
    <row r="3715" spans="1:9" x14ac:dyDescent="0.25">
      <c r="A3715" s="515">
        <v>55128</v>
      </c>
      <c r="B3715" s="515" t="s">
        <v>532</v>
      </c>
      <c r="C3715" s="52">
        <v>315687.56399658701</v>
      </c>
      <c r="D3715" s="56">
        <v>1.9204301722840864E-2</v>
      </c>
      <c r="E3715" s="224">
        <v>1275</v>
      </c>
      <c r="F3715" s="515" t="s">
        <v>5056</v>
      </c>
      <c r="G3715" s="52">
        <v>219835.023690528</v>
      </c>
      <c r="H3715" s="56">
        <v>6.2716425513505328E-2</v>
      </c>
      <c r="I3715" s="224" t="s">
        <v>2</v>
      </c>
    </row>
    <row r="3716" spans="1:9" x14ac:dyDescent="0.25">
      <c r="A3716" s="515">
        <v>60018</v>
      </c>
      <c r="B3716" s="515" t="s">
        <v>394</v>
      </c>
      <c r="C3716" s="52">
        <v>306585.77310712199</v>
      </c>
      <c r="D3716" s="56">
        <v>2.7169247365781416E-2</v>
      </c>
      <c r="E3716" s="224" t="s">
        <v>2</v>
      </c>
      <c r="F3716" s="515" t="s">
        <v>5057</v>
      </c>
      <c r="G3716" s="52">
        <v>259752.99148605901</v>
      </c>
      <c r="H3716" s="56">
        <v>0.28360249467343784</v>
      </c>
      <c r="I3716" s="224">
        <v>1450</v>
      </c>
    </row>
    <row r="3717" spans="1:9" x14ac:dyDescent="0.25">
      <c r="A3717" s="515">
        <v>6854</v>
      </c>
      <c r="B3717" s="515" t="s">
        <v>1173</v>
      </c>
      <c r="C3717" s="52">
        <v>433031.15474967402</v>
      </c>
      <c r="D3717" s="56">
        <v>7.6031915909106199E-2</v>
      </c>
      <c r="E3717" s="224">
        <v>2524.99206349206</v>
      </c>
      <c r="F3717" s="515" t="s">
        <v>5058</v>
      </c>
      <c r="G3717" s="52">
        <v>128675.507003873</v>
      </c>
      <c r="H3717" s="56">
        <v>2.2924007513165846E-2</v>
      </c>
      <c r="I3717" s="224" t="s">
        <v>2</v>
      </c>
    </row>
    <row r="3718" spans="1:9" x14ac:dyDescent="0.25">
      <c r="A3718" s="515">
        <v>15102</v>
      </c>
      <c r="B3718" s="515" t="s">
        <v>297</v>
      </c>
      <c r="C3718" s="52">
        <v>261865.301680367</v>
      </c>
      <c r="D3718" s="56">
        <v>5.9159642277335452E-2</v>
      </c>
      <c r="E3718" s="224">
        <v>1556.5</v>
      </c>
      <c r="F3718" s="515" t="s">
        <v>1250</v>
      </c>
      <c r="G3718" s="52">
        <v>101702.20556970099</v>
      </c>
      <c r="H3718" s="56">
        <v>8.5549537603478831E-2</v>
      </c>
      <c r="I3718" s="224" t="s">
        <v>2</v>
      </c>
    </row>
    <row r="3719" spans="1:9" x14ac:dyDescent="0.25">
      <c r="A3719" s="515">
        <v>97071</v>
      </c>
      <c r="B3719" s="515" t="s">
        <v>416</v>
      </c>
      <c r="C3719" s="52">
        <v>379880.62534226303</v>
      </c>
      <c r="D3719" s="56">
        <v>2.6323648660992328E-2</v>
      </c>
      <c r="E3719" s="224" t="s">
        <v>2</v>
      </c>
      <c r="F3719" s="515" t="s">
        <v>5059</v>
      </c>
      <c r="G3719" s="52">
        <v>705140.55212191201</v>
      </c>
      <c r="H3719" s="56">
        <v>3.2292998913098961E-2</v>
      </c>
      <c r="I3719" s="224">
        <v>1632.44444444444</v>
      </c>
    </row>
    <row r="3720" spans="1:9" x14ac:dyDescent="0.25">
      <c r="A3720" s="515">
        <v>2118</v>
      </c>
      <c r="B3720" s="515" t="s">
        <v>534</v>
      </c>
      <c r="C3720" s="52">
        <v>908383.86984339205</v>
      </c>
      <c r="D3720" s="56">
        <v>-4.8276623172963627E-2</v>
      </c>
      <c r="E3720" s="224">
        <v>3824.14858357091</v>
      </c>
      <c r="F3720" s="515" t="s">
        <v>5060</v>
      </c>
      <c r="G3720" s="52">
        <v>477778.76525120198</v>
      </c>
      <c r="H3720" s="56">
        <v>0.11478837997453242</v>
      </c>
      <c r="I3720" s="224" t="s">
        <v>2</v>
      </c>
    </row>
    <row r="3721" spans="1:9" x14ac:dyDescent="0.25">
      <c r="A3721" s="515">
        <v>67801</v>
      </c>
      <c r="B3721" s="515" t="s">
        <v>809</v>
      </c>
      <c r="C3721" s="52">
        <v>164562.35049390901</v>
      </c>
      <c r="D3721" s="56">
        <v>0.12649450491369704</v>
      </c>
      <c r="E3721" s="224" t="s">
        <v>2</v>
      </c>
      <c r="F3721" s="515" t="s">
        <v>5061</v>
      </c>
      <c r="G3721" s="52">
        <v>785990.78783701605</v>
      </c>
      <c r="H3721" s="56">
        <v>4.9161580123474137E-2</v>
      </c>
      <c r="I3721" s="224" t="s">
        <v>2</v>
      </c>
    </row>
    <row r="3722" spans="1:9" x14ac:dyDescent="0.25">
      <c r="A3722" s="515">
        <v>27607</v>
      </c>
      <c r="B3722" s="515" t="s">
        <v>484</v>
      </c>
      <c r="C3722" s="52">
        <v>612892.496167253</v>
      </c>
      <c r="D3722" s="56">
        <v>6.2872616454483124E-2</v>
      </c>
      <c r="E3722" s="224">
        <v>1514.28820261437</v>
      </c>
      <c r="F3722" s="515" t="s">
        <v>5062</v>
      </c>
      <c r="G3722" s="52">
        <v>284948.52217051701</v>
      </c>
      <c r="H3722" s="56">
        <v>0.11138157137577849</v>
      </c>
      <c r="I3722" s="224" t="s">
        <v>2</v>
      </c>
    </row>
    <row r="3723" spans="1:9" x14ac:dyDescent="0.25">
      <c r="A3723" s="515">
        <v>13850</v>
      </c>
      <c r="B3723" s="515" t="s">
        <v>840</v>
      </c>
      <c r="C3723" s="52">
        <v>195271.254771999</v>
      </c>
      <c r="D3723" s="56">
        <v>9.1492850145830695E-2</v>
      </c>
      <c r="E3723" s="224" t="s">
        <v>2</v>
      </c>
      <c r="F3723" s="515" t="s">
        <v>5063</v>
      </c>
      <c r="G3723" s="52">
        <v>144882.677284017</v>
      </c>
      <c r="H3723" s="56">
        <v>-8.7689094705526258E-2</v>
      </c>
      <c r="I3723" s="224" t="s">
        <v>2</v>
      </c>
    </row>
    <row r="3724" spans="1:9" x14ac:dyDescent="0.25">
      <c r="A3724" s="515">
        <v>46825</v>
      </c>
      <c r="B3724" s="515" t="s">
        <v>1031</v>
      </c>
      <c r="C3724" s="52">
        <v>214606.06817271601</v>
      </c>
      <c r="D3724" s="56">
        <v>8.8993310325177766E-2</v>
      </c>
      <c r="E3724" s="224">
        <v>1393.3333333333301</v>
      </c>
      <c r="F3724" s="515" t="s">
        <v>5064</v>
      </c>
      <c r="G3724" s="52">
        <v>273213.08555748902</v>
      </c>
      <c r="H3724" s="56">
        <v>9.0499625571242984E-2</v>
      </c>
      <c r="I3724" s="224">
        <v>1720</v>
      </c>
    </row>
    <row r="3725" spans="1:9" x14ac:dyDescent="0.25">
      <c r="A3725" s="515">
        <v>6410</v>
      </c>
      <c r="B3725" s="515" t="s">
        <v>1172</v>
      </c>
      <c r="C3725" s="52">
        <v>412483.186377295</v>
      </c>
      <c r="D3725" s="56">
        <v>8.8849362833678336E-2</v>
      </c>
      <c r="E3725" s="224" t="s">
        <v>2</v>
      </c>
      <c r="F3725" s="515" t="s">
        <v>1089</v>
      </c>
      <c r="G3725" s="52">
        <v>260779.673555021</v>
      </c>
      <c r="H3725" s="56">
        <v>6.3241033332689933E-2</v>
      </c>
      <c r="I3725" s="224" t="s">
        <v>2</v>
      </c>
    </row>
    <row r="3726" spans="1:9" x14ac:dyDescent="0.25">
      <c r="A3726" s="515">
        <v>85019</v>
      </c>
      <c r="B3726" s="515" t="s">
        <v>563</v>
      </c>
      <c r="C3726" s="52">
        <v>310213.01754459803</v>
      </c>
      <c r="D3726" s="56">
        <v>6.3880745655236645E-2</v>
      </c>
      <c r="E3726" s="224">
        <v>1913.3333333333301</v>
      </c>
      <c r="F3726" s="515" t="s">
        <v>5065</v>
      </c>
      <c r="G3726" s="52">
        <v>178269.221102482</v>
      </c>
      <c r="H3726" s="56">
        <v>8.839004161846227E-2</v>
      </c>
      <c r="I3726" s="224" t="s">
        <v>2</v>
      </c>
    </row>
    <row r="3727" spans="1:9" x14ac:dyDescent="0.25">
      <c r="A3727" s="515">
        <v>84084</v>
      </c>
      <c r="B3727" s="515" t="s">
        <v>617</v>
      </c>
      <c r="C3727" s="52">
        <v>468190.42754221201</v>
      </c>
      <c r="D3727" s="56">
        <v>1.7625209655757892E-2</v>
      </c>
      <c r="E3727" s="224">
        <v>2388.3333333333298</v>
      </c>
      <c r="F3727" s="515" t="s">
        <v>5066</v>
      </c>
      <c r="G3727" s="52">
        <v>652323.69641194004</v>
      </c>
      <c r="H3727" s="56">
        <v>1.2959397872460655E-2</v>
      </c>
      <c r="I3727" s="224" t="s">
        <v>2</v>
      </c>
    </row>
    <row r="3728" spans="1:9" x14ac:dyDescent="0.25">
      <c r="A3728" s="515">
        <v>11701</v>
      </c>
      <c r="B3728" s="515" t="s">
        <v>324</v>
      </c>
      <c r="C3728" s="52">
        <v>488124.89279120299</v>
      </c>
      <c r="D3728" s="56">
        <v>1.9688893209583728E-2</v>
      </c>
      <c r="E3728" s="224" t="s">
        <v>2</v>
      </c>
      <c r="F3728" s="515" t="s">
        <v>5067</v>
      </c>
      <c r="G3728" s="52">
        <v>297816.43693137402</v>
      </c>
      <c r="H3728" s="56">
        <v>9.3134027449406701E-2</v>
      </c>
      <c r="I3728" s="224" t="s">
        <v>2</v>
      </c>
    </row>
    <row r="3729" spans="1:9" x14ac:dyDescent="0.25">
      <c r="A3729" s="515">
        <v>18301</v>
      </c>
      <c r="B3729" s="515" t="s">
        <v>338</v>
      </c>
      <c r="C3729" s="52">
        <v>285247.01542335498</v>
      </c>
      <c r="D3729" s="56">
        <v>9.2094938469566998E-2</v>
      </c>
      <c r="E3729" s="224">
        <v>1882</v>
      </c>
      <c r="F3729" s="515" t="s">
        <v>456</v>
      </c>
      <c r="G3729" s="52">
        <v>309872.93903936702</v>
      </c>
      <c r="H3729" s="56">
        <v>7.4792504374174062E-2</v>
      </c>
      <c r="I3729" s="224" t="s">
        <v>2</v>
      </c>
    </row>
    <row r="3730" spans="1:9" x14ac:dyDescent="0.25">
      <c r="A3730" s="515">
        <v>6114</v>
      </c>
      <c r="B3730" s="515" t="s">
        <v>894</v>
      </c>
      <c r="C3730" s="52">
        <v>200075.85057774201</v>
      </c>
      <c r="D3730" s="56">
        <v>0.16794532792484282</v>
      </c>
      <c r="E3730" s="224">
        <v>1312.5</v>
      </c>
      <c r="F3730" s="515" t="s">
        <v>5068</v>
      </c>
      <c r="G3730" s="52">
        <v>296036.82351773803</v>
      </c>
      <c r="H3730" s="56">
        <v>4.4055035450111531E-2</v>
      </c>
      <c r="I3730" s="224" t="s">
        <v>2</v>
      </c>
    </row>
    <row r="3731" spans="1:9" x14ac:dyDescent="0.25">
      <c r="A3731" s="515">
        <v>28752</v>
      </c>
      <c r="B3731" s="515" t="s">
        <v>1189</v>
      </c>
      <c r="C3731" s="52">
        <v>218007.46297408699</v>
      </c>
      <c r="D3731" s="56">
        <v>0.13163330807475854</v>
      </c>
      <c r="E3731" s="224" t="s">
        <v>2</v>
      </c>
      <c r="F3731" s="515" t="s">
        <v>5069</v>
      </c>
      <c r="G3731" s="52">
        <v>311343.97252307402</v>
      </c>
      <c r="H3731" s="56">
        <v>7.6742223196649376E-2</v>
      </c>
      <c r="I3731" s="224" t="s">
        <v>2</v>
      </c>
    </row>
    <row r="3732" spans="1:9" x14ac:dyDescent="0.25">
      <c r="A3732" s="515">
        <v>48506</v>
      </c>
      <c r="B3732" s="515" t="s">
        <v>759</v>
      </c>
      <c r="C3732" s="52">
        <v>62234.754672706003</v>
      </c>
      <c r="D3732" s="56">
        <v>-7.22780037834645E-3</v>
      </c>
      <c r="E3732" s="224">
        <v>825</v>
      </c>
      <c r="F3732" s="515" t="s">
        <v>5070</v>
      </c>
      <c r="G3732" s="52">
        <v>570100.26439648599</v>
      </c>
      <c r="H3732" s="56">
        <v>4.6359386472225039E-2</v>
      </c>
      <c r="I3732" s="224" t="s">
        <v>2</v>
      </c>
    </row>
    <row r="3733" spans="1:9" x14ac:dyDescent="0.25">
      <c r="A3733" s="515">
        <v>2474</v>
      </c>
      <c r="B3733" s="515" t="s">
        <v>534</v>
      </c>
      <c r="C3733" s="52">
        <v>876589.83163632394</v>
      </c>
      <c r="D3733" s="56">
        <v>2.3169803292228879E-2</v>
      </c>
      <c r="E3733" s="224">
        <v>2411.3412698412699</v>
      </c>
      <c r="F3733" s="515" t="s">
        <v>5071</v>
      </c>
      <c r="G3733" s="52">
        <v>278927.91988200601</v>
      </c>
      <c r="H3733" s="56">
        <v>3.7664019849347072E-2</v>
      </c>
      <c r="I3733" s="224" t="s">
        <v>2</v>
      </c>
    </row>
    <row r="3734" spans="1:9" x14ac:dyDescent="0.25">
      <c r="A3734" s="515">
        <v>98498</v>
      </c>
      <c r="B3734" s="515" t="s">
        <v>384</v>
      </c>
      <c r="C3734" s="52">
        <v>478936.25785879599</v>
      </c>
      <c r="D3734" s="56">
        <v>2.2672085311335528E-2</v>
      </c>
      <c r="E3734" s="224">
        <v>1704.3968253968201</v>
      </c>
      <c r="F3734" s="515" t="s">
        <v>5072</v>
      </c>
      <c r="G3734" s="52">
        <v>93548.903908835302</v>
      </c>
      <c r="H3734" s="56">
        <v>-4.6131826495619706E-2</v>
      </c>
      <c r="I3734" s="224" t="s">
        <v>2</v>
      </c>
    </row>
    <row r="3735" spans="1:9" x14ac:dyDescent="0.25">
      <c r="A3735" s="515">
        <v>96825</v>
      </c>
      <c r="B3735" s="515" t="s">
        <v>1029</v>
      </c>
      <c r="C3735" s="52">
        <v>1214658.6531726699</v>
      </c>
      <c r="D3735" s="56">
        <v>0.10094988337808258</v>
      </c>
      <c r="E3735" s="224">
        <v>3614.4444444444398</v>
      </c>
      <c r="F3735" s="515" t="s">
        <v>5073</v>
      </c>
      <c r="G3735" s="52">
        <v>100866.290808373</v>
      </c>
      <c r="H3735" s="56">
        <v>2.8418360355027681E-2</v>
      </c>
      <c r="I3735" s="224" t="s">
        <v>2</v>
      </c>
    </row>
    <row r="3736" spans="1:9" x14ac:dyDescent="0.25">
      <c r="A3736" s="515">
        <v>46229</v>
      </c>
      <c r="B3736" s="515" t="s">
        <v>403</v>
      </c>
      <c r="C3736" s="52">
        <v>200350.16600925999</v>
      </c>
      <c r="D3736" s="56">
        <v>6.5232114580129397E-2</v>
      </c>
      <c r="E3736" s="224">
        <v>1527.38888888888</v>
      </c>
      <c r="F3736" s="515" t="s">
        <v>5074</v>
      </c>
      <c r="G3736" s="52">
        <v>466128.26190012199</v>
      </c>
      <c r="H3736" s="56">
        <v>6.2335529560090655E-2</v>
      </c>
      <c r="I3736" s="224" t="s">
        <v>2</v>
      </c>
    </row>
    <row r="3737" spans="1:9" x14ac:dyDescent="0.25">
      <c r="A3737" s="515">
        <v>32757</v>
      </c>
      <c r="B3737" s="515" t="s">
        <v>517</v>
      </c>
      <c r="C3737" s="52">
        <v>370680.67716423102</v>
      </c>
      <c r="D3737" s="56">
        <v>0.11579203667256874</v>
      </c>
      <c r="E3737" s="224">
        <v>2058.3333333333298</v>
      </c>
      <c r="F3737" s="515" t="s">
        <v>5075</v>
      </c>
      <c r="G3737" s="52">
        <v>111422.556900963</v>
      </c>
      <c r="H3737" s="56">
        <v>0.10490674471222321</v>
      </c>
      <c r="I3737" s="224" t="s">
        <v>2</v>
      </c>
    </row>
    <row r="3738" spans="1:9" x14ac:dyDescent="0.25">
      <c r="A3738" s="515">
        <v>30240</v>
      </c>
      <c r="B3738" s="515" t="s">
        <v>1066</v>
      </c>
      <c r="C3738" s="52">
        <v>210008.83733752501</v>
      </c>
      <c r="D3738" s="56">
        <v>0.136773569691475</v>
      </c>
      <c r="E3738" s="224" t="s">
        <v>2</v>
      </c>
      <c r="F3738" s="515" t="s">
        <v>5076</v>
      </c>
      <c r="G3738" s="52">
        <v>200825.53440101899</v>
      </c>
      <c r="H3738" s="56">
        <v>2.9588186062524786E-2</v>
      </c>
      <c r="I3738" s="224" t="s">
        <v>2</v>
      </c>
    </row>
    <row r="3739" spans="1:9" x14ac:dyDescent="0.25">
      <c r="A3739" s="515">
        <v>11803</v>
      </c>
      <c r="B3739" s="515" t="s">
        <v>324</v>
      </c>
      <c r="C3739" s="52">
        <v>747341.54154610098</v>
      </c>
      <c r="D3739" s="56">
        <v>5.8259791454088557E-2</v>
      </c>
      <c r="E3739" s="224" t="s">
        <v>2</v>
      </c>
      <c r="F3739" s="515" t="s">
        <v>477</v>
      </c>
      <c r="G3739" s="52">
        <v>145306.816507059</v>
      </c>
      <c r="H3739" s="56">
        <v>9.8268269689086932E-2</v>
      </c>
      <c r="I3739" s="224" t="s">
        <v>2</v>
      </c>
    </row>
    <row r="3740" spans="1:9" x14ac:dyDescent="0.25">
      <c r="A3740" s="515">
        <v>2446</v>
      </c>
      <c r="B3740" s="515" t="s">
        <v>534</v>
      </c>
      <c r="C3740" s="52">
        <v>940874.424521963</v>
      </c>
      <c r="D3740" s="56">
        <v>-2.843663041278811E-2</v>
      </c>
      <c r="E3740" s="224">
        <v>4244.6151443123899</v>
      </c>
      <c r="F3740" s="515" t="s">
        <v>5077</v>
      </c>
      <c r="G3740" s="52">
        <v>437625.07155197801</v>
      </c>
      <c r="H3740" s="56">
        <v>0.16700488042935863</v>
      </c>
      <c r="I3740" s="224" t="s">
        <v>2</v>
      </c>
    </row>
    <row r="3741" spans="1:9" x14ac:dyDescent="0.25">
      <c r="A3741" s="515">
        <v>98037</v>
      </c>
      <c r="B3741" s="515" t="s">
        <v>384</v>
      </c>
      <c r="C3741" s="52">
        <v>725158.03591548803</v>
      </c>
      <c r="D3741" s="56">
        <v>3.4004094096765226E-2</v>
      </c>
      <c r="E3741" s="224">
        <v>2092.8333333333298</v>
      </c>
      <c r="F3741" s="515" t="s">
        <v>939</v>
      </c>
      <c r="G3741" s="52">
        <v>133122.85099230899</v>
      </c>
      <c r="H3741" s="56">
        <v>3.4645281805459956E-2</v>
      </c>
      <c r="I3741" s="224" t="s">
        <v>2</v>
      </c>
    </row>
    <row r="3742" spans="1:9" x14ac:dyDescent="0.25">
      <c r="A3742" s="515">
        <v>45417</v>
      </c>
      <c r="B3742" s="515" t="s">
        <v>340</v>
      </c>
      <c r="C3742" s="52">
        <v>57301.1289991702</v>
      </c>
      <c r="D3742" s="56">
        <v>0.27647543515027018</v>
      </c>
      <c r="E3742" s="224">
        <v>944.16666666666595</v>
      </c>
      <c r="F3742" s="515" t="s">
        <v>5078</v>
      </c>
      <c r="G3742" s="52">
        <v>232459.46917430899</v>
      </c>
      <c r="H3742" s="56">
        <v>4.8400384983542828E-2</v>
      </c>
      <c r="I3742" s="224" t="s">
        <v>2</v>
      </c>
    </row>
    <row r="3743" spans="1:9" x14ac:dyDescent="0.25">
      <c r="A3743" s="515">
        <v>33417</v>
      </c>
      <c r="B3743" s="515" t="s">
        <v>831</v>
      </c>
      <c r="C3743" s="52">
        <v>175472.50460146999</v>
      </c>
      <c r="D3743" s="56">
        <v>0.24768223244210219</v>
      </c>
      <c r="E3743" s="224">
        <v>1912.4713804713799</v>
      </c>
      <c r="F3743" s="515" t="s">
        <v>1142</v>
      </c>
      <c r="G3743" s="52">
        <v>148921.844297831</v>
      </c>
      <c r="H3743" s="56">
        <v>0.47710805847493826</v>
      </c>
      <c r="I3743" s="224" t="s">
        <v>2</v>
      </c>
    </row>
    <row r="3744" spans="1:9" x14ac:dyDescent="0.25">
      <c r="A3744" s="515">
        <v>7201</v>
      </c>
      <c r="B3744" s="515" t="s">
        <v>324</v>
      </c>
      <c r="C3744" s="52">
        <v>433007.64630210702</v>
      </c>
      <c r="D3744" s="56">
        <v>8.7283873568688969E-2</v>
      </c>
      <c r="E3744" s="224" t="s">
        <v>2</v>
      </c>
      <c r="F3744" s="515" t="s">
        <v>5079</v>
      </c>
      <c r="G3744" s="52">
        <v>255506.42491066401</v>
      </c>
      <c r="H3744" s="56">
        <v>9.6427109335188915E-2</v>
      </c>
      <c r="I3744" s="224" t="s">
        <v>2</v>
      </c>
    </row>
    <row r="3745" spans="1:9" x14ac:dyDescent="0.25">
      <c r="A3745" s="515">
        <v>77706</v>
      </c>
      <c r="B3745" s="515" t="s">
        <v>492</v>
      </c>
      <c r="C3745" s="52">
        <v>217753.36822032</v>
      </c>
      <c r="D3745" s="56">
        <v>1.5043240402301259E-2</v>
      </c>
      <c r="E3745" s="224">
        <v>1518.3333333333301</v>
      </c>
      <c r="F3745" s="515" t="s">
        <v>5080</v>
      </c>
      <c r="G3745" s="52">
        <v>346385.67960205098</v>
      </c>
      <c r="H3745" s="56">
        <v>4.9488567340751223E-2</v>
      </c>
      <c r="I3745" s="224" t="s">
        <v>2</v>
      </c>
    </row>
    <row r="3746" spans="1:9" x14ac:dyDescent="0.25">
      <c r="A3746" s="515">
        <v>40504</v>
      </c>
      <c r="B3746" s="515" t="s">
        <v>515</v>
      </c>
      <c r="C3746" s="52">
        <v>210470.79342440801</v>
      </c>
      <c r="D3746" s="56">
        <v>9.2836923179746816E-2</v>
      </c>
      <c r="E3746" s="224">
        <v>1282.4166666666599</v>
      </c>
      <c r="F3746" s="515" t="s">
        <v>5081</v>
      </c>
      <c r="G3746" s="52">
        <v>342192.38293565297</v>
      </c>
      <c r="H3746" s="56">
        <v>8.1226499381323744E-2</v>
      </c>
      <c r="I3746" s="224">
        <v>2149.7777777777701</v>
      </c>
    </row>
    <row r="3747" spans="1:9" x14ac:dyDescent="0.25">
      <c r="A3747" s="515">
        <v>98144</v>
      </c>
      <c r="B3747" s="515" t="s">
        <v>384</v>
      </c>
      <c r="C3747" s="52">
        <v>792259.90896910301</v>
      </c>
      <c r="D3747" s="56">
        <v>-9.0459653032714075E-3</v>
      </c>
      <c r="E3747" s="224">
        <v>2035.9865841073199</v>
      </c>
      <c r="F3747" s="515" t="s">
        <v>5082</v>
      </c>
      <c r="G3747" s="52">
        <v>545450.71116863098</v>
      </c>
      <c r="H3747" s="56">
        <v>1.8804313925980559E-2</v>
      </c>
      <c r="I3747" s="224" t="s">
        <v>2</v>
      </c>
    </row>
    <row r="3748" spans="1:9" x14ac:dyDescent="0.25">
      <c r="A3748" s="515">
        <v>94585</v>
      </c>
      <c r="B3748" s="515" t="s">
        <v>835</v>
      </c>
      <c r="C3748" s="52">
        <v>524152.83859564801</v>
      </c>
      <c r="D3748" s="56">
        <v>5.0876234803771611E-3</v>
      </c>
      <c r="E3748" s="224">
        <v>2673.0333333333301</v>
      </c>
      <c r="F3748" s="515" t="s">
        <v>5083</v>
      </c>
      <c r="G3748" s="52">
        <v>353185.036429625</v>
      </c>
      <c r="H3748" s="56">
        <v>7.5056298773365115E-2</v>
      </c>
      <c r="I3748" s="224">
        <v>1650</v>
      </c>
    </row>
    <row r="3749" spans="1:9" x14ac:dyDescent="0.25">
      <c r="A3749" s="515">
        <v>54952</v>
      </c>
      <c r="B3749" s="515" t="s">
        <v>383</v>
      </c>
      <c r="C3749" s="52">
        <v>237965.09371580201</v>
      </c>
      <c r="D3749" s="56">
        <v>9.6893948929399135E-2</v>
      </c>
      <c r="E3749" s="224">
        <v>999</v>
      </c>
      <c r="F3749" s="515" t="s">
        <v>5084</v>
      </c>
      <c r="G3749" s="52">
        <v>415633.21047273098</v>
      </c>
      <c r="H3749" s="56">
        <v>4.6656656261826107E-2</v>
      </c>
      <c r="I3749" s="224">
        <v>1990</v>
      </c>
    </row>
    <row r="3750" spans="1:9" x14ac:dyDescent="0.25">
      <c r="A3750" s="515">
        <v>89512</v>
      </c>
      <c r="B3750" s="515" t="s">
        <v>581</v>
      </c>
      <c r="C3750" s="52">
        <v>322668.200896842</v>
      </c>
      <c r="D3750" s="56">
        <v>4.8812756939096346E-3</v>
      </c>
      <c r="E3750" s="224">
        <v>1447.4761904761899</v>
      </c>
      <c r="F3750" s="515" t="s">
        <v>5085</v>
      </c>
      <c r="G3750" s="52">
        <v>133516.10410379499</v>
      </c>
      <c r="H3750" s="56">
        <v>-0.10675335638112218</v>
      </c>
      <c r="I3750" s="224" t="s">
        <v>2</v>
      </c>
    </row>
    <row r="3751" spans="1:9" x14ac:dyDescent="0.25">
      <c r="A3751" s="515">
        <v>77590</v>
      </c>
      <c r="B3751" s="515" t="s">
        <v>314</v>
      </c>
      <c r="C3751" s="52">
        <v>179091.47514437101</v>
      </c>
      <c r="D3751" s="56">
        <v>7.2119283698524314E-2</v>
      </c>
      <c r="E3751" s="224">
        <v>1328.6481481481401</v>
      </c>
      <c r="F3751" s="515" t="s">
        <v>5086</v>
      </c>
      <c r="G3751" s="52">
        <v>271232.28818290803</v>
      </c>
      <c r="H3751" s="56">
        <v>5.9792959822357099E-2</v>
      </c>
      <c r="I3751" s="224" t="s">
        <v>2</v>
      </c>
    </row>
    <row r="3752" spans="1:9" x14ac:dyDescent="0.25">
      <c r="A3752" s="515">
        <v>33570</v>
      </c>
      <c r="B3752" s="515" t="s">
        <v>461</v>
      </c>
      <c r="C3752" s="52">
        <v>349528.88709582901</v>
      </c>
      <c r="D3752" s="56">
        <v>0.13548066597034922</v>
      </c>
      <c r="E3752" s="224">
        <v>2376.2678571428501</v>
      </c>
      <c r="F3752" s="515" t="s">
        <v>5087</v>
      </c>
      <c r="G3752" s="52">
        <v>622685.24271352997</v>
      </c>
      <c r="H3752" s="56">
        <v>3.2920836511702162E-2</v>
      </c>
      <c r="I3752" s="224">
        <v>2039.9833333333299</v>
      </c>
    </row>
    <row r="3753" spans="1:9" x14ac:dyDescent="0.25">
      <c r="A3753" s="515">
        <v>2453</v>
      </c>
      <c r="B3753" s="515" t="s">
        <v>534</v>
      </c>
      <c r="C3753" s="52">
        <v>675127.15319859597</v>
      </c>
      <c r="D3753" s="56">
        <v>3.773631869886411E-2</v>
      </c>
      <c r="E3753" s="224">
        <v>2886.9914529914499</v>
      </c>
      <c r="F3753" s="515" t="s">
        <v>1134</v>
      </c>
      <c r="G3753" s="52">
        <v>146237.00603457299</v>
      </c>
      <c r="H3753" s="56">
        <v>4.6663250489357933E-2</v>
      </c>
      <c r="I3753" s="224" t="s">
        <v>2</v>
      </c>
    </row>
    <row r="3754" spans="1:9" x14ac:dyDescent="0.25">
      <c r="A3754" s="515">
        <v>1757</v>
      </c>
      <c r="B3754" s="515" t="s">
        <v>751</v>
      </c>
      <c r="C3754" s="52">
        <v>467442.88655032602</v>
      </c>
      <c r="D3754" s="56">
        <v>7.3689152823104162E-2</v>
      </c>
      <c r="E3754" s="224" t="s">
        <v>2</v>
      </c>
      <c r="F3754" s="515" t="s">
        <v>5088</v>
      </c>
      <c r="G3754" s="52">
        <v>271357.14514806401</v>
      </c>
      <c r="H3754" s="56">
        <v>3.4174507136611076E-2</v>
      </c>
      <c r="I3754" s="224" t="s">
        <v>2</v>
      </c>
    </row>
    <row r="3755" spans="1:9" x14ac:dyDescent="0.25">
      <c r="A3755" s="515">
        <v>55448</v>
      </c>
      <c r="B3755" s="515" t="s">
        <v>532</v>
      </c>
      <c r="C3755" s="52">
        <v>308186.173442795</v>
      </c>
      <c r="D3755" s="56">
        <v>1.2651689062662107E-2</v>
      </c>
      <c r="E3755" s="224" t="s">
        <v>2</v>
      </c>
      <c r="F3755" s="515" t="s">
        <v>5089</v>
      </c>
      <c r="G3755" s="52">
        <v>100042.122226098</v>
      </c>
      <c r="H3755" s="56">
        <v>0.11386452057350245</v>
      </c>
      <c r="I3755" s="224" t="s">
        <v>2</v>
      </c>
    </row>
    <row r="3756" spans="1:9" x14ac:dyDescent="0.25">
      <c r="A3756" s="515">
        <v>77833</v>
      </c>
      <c r="B3756" s="515" t="s">
        <v>962</v>
      </c>
      <c r="C3756" s="52">
        <v>299668.84410599899</v>
      </c>
      <c r="D3756" s="56">
        <v>7.7767925350538822E-2</v>
      </c>
      <c r="E3756" s="224" t="s">
        <v>2</v>
      </c>
      <c r="F3756" s="515" t="s">
        <v>5090</v>
      </c>
      <c r="G3756" s="52">
        <v>235527.50285392301</v>
      </c>
      <c r="H3756" s="56">
        <v>5.9682549643372829E-2</v>
      </c>
      <c r="I3756" s="224" t="s">
        <v>2</v>
      </c>
    </row>
    <row r="3757" spans="1:9" x14ac:dyDescent="0.25">
      <c r="A3757" s="515">
        <v>84414</v>
      </c>
      <c r="B3757" s="515" t="s">
        <v>628</v>
      </c>
      <c r="C3757" s="52">
        <v>486654.87255710899</v>
      </c>
      <c r="D3757" s="56">
        <v>2.6605328421571497E-2</v>
      </c>
      <c r="E3757" s="224" t="s">
        <v>2</v>
      </c>
      <c r="F3757" s="515" t="s">
        <v>5091</v>
      </c>
      <c r="G3757" s="52">
        <v>63939.865352970999</v>
      </c>
      <c r="H3757" s="56">
        <v>-5.3012875331811232E-2</v>
      </c>
      <c r="I3757" s="224" t="s">
        <v>2</v>
      </c>
    </row>
    <row r="3758" spans="1:9" x14ac:dyDescent="0.25">
      <c r="A3758" s="515">
        <v>75254</v>
      </c>
      <c r="B3758" s="515" t="s">
        <v>458</v>
      </c>
      <c r="C3758" s="52">
        <v>285290.13258336397</v>
      </c>
      <c r="D3758" s="56">
        <v>-6.8277716252217865E-3</v>
      </c>
      <c r="E3758" s="224">
        <v>1552.6467236467199</v>
      </c>
      <c r="F3758" s="515" t="s">
        <v>5092</v>
      </c>
      <c r="G3758" s="52">
        <v>810988.28561254905</v>
      </c>
      <c r="H3758" s="56">
        <v>6.7628984460943703E-2</v>
      </c>
      <c r="I3758" s="224" t="s">
        <v>2</v>
      </c>
    </row>
    <row r="3759" spans="1:9" x14ac:dyDescent="0.25">
      <c r="A3759" s="515">
        <v>81301</v>
      </c>
      <c r="B3759" s="515" t="s">
        <v>1181</v>
      </c>
      <c r="C3759" s="52">
        <v>664384.55146918294</v>
      </c>
      <c r="D3759" s="56">
        <v>0.11400539155841809</v>
      </c>
      <c r="E3759" s="224">
        <v>1765.05555555555</v>
      </c>
      <c r="F3759" s="515" t="s">
        <v>5093</v>
      </c>
      <c r="G3759" s="52">
        <v>573803.03645257698</v>
      </c>
      <c r="H3759" s="56">
        <v>2.0143861979351713E-2</v>
      </c>
      <c r="I3759" s="224">
        <v>2098.75</v>
      </c>
    </row>
    <row r="3760" spans="1:9" x14ac:dyDescent="0.25">
      <c r="A3760" s="515">
        <v>49418</v>
      </c>
      <c r="B3760" s="515" t="s">
        <v>631</v>
      </c>
      <c r="C3760" s="52">
        <v>315725.29102335201</v>
      </c>
      <c r="D3760" s="56">
        <v>5.9864463021615071E-2</v>
      </c>
      <c r="E3760" s="224" t="s">
        <v>2</v>
      </c>
      <c r="F3760" s="515" t="s">
        <v>5094</v>
      </c>
      <c r="G3760" s="52">
        <v>284029.373254776</v>
      </c>
      <c r="H3760" s="56">
        <v>3.9319955980447352E-2</v>
      </c>
      <c r="I3760" s="224" t="s">
        <v>2</v>
      </c>
    </row>
    <row r="3761" spans="1:9" x14ac:dyDescent="0.25">
      <c r="A3761" s="515">
        <v>35022</v>
      </c>
      <c r="B3761" s="515" t="s">
        <v>640</v>
      </c>
      <c r="C3761" s="52">
        <v>256818.027784059</v>
      </c>
      <c r="D3761" s="56">
        <v>0.10912468297847298</v>
      </c>
      <c r="E3761" s="224">
        <v>1507.0833333333301</v>
      </c>
      <c r="F3761" s="515" t="s">
        <v>5095</v>
      </c>
      <c r="G3761" s="52">
        <v>212175.79044919001</v>
      </c>
      <c r="H3761" s="56">
        <v>7.6276348856284024E-2</v>
      </c>
      <c r="I3761" s="224" t="s">
        <v>2</v>
      </c>
    </row>
    <row r="3762" spans="1:9" x14ac:dyDescent="0.25">
      <c r="A3762" s="515">
        <v>79932</v>
      </c>
      <c r="B3762" s="515" t="s">
        <v>1119</v>
      </c>
      <c r="C3762" s="52">
        <v>275743.17710641102</v>
      </c>
      <c r="D3762" s="56">
        <v>0.11530484085468819</v>
      </c>
      <c r="E3762" s="224">
        <v>1735.2777777777701</v>
      </c>
      <c r="F3762" s="515" t="s">
        <v>5096</v>
      </c>
      <c r="G3762" s="52">
        <v>340247.639987025</v>
      </c>
      <c r="H3762" s="56">
        <v>4.7927574941123673E-2</v>
      </c>
      <c r="I3762" s="224" t="s">
        <v>2</v>
      </c>
    </row>
    <row r="3763" spans="1:9" x14ac:dyDescent="0.25">
      <c r="A3763" s="515">
        <v>37830</v>
      </c>
      <c r="B3763" s="515" t="s">
        <v>907</v>
      </c>
      <c r="C3763" s="52">
        <v>258754.11351867</v>
      </c>
      <c r="D3763" s="56">
        <v>0.11585674750117779</v>
      </c>
      <c r="E3763" s="224">
        <v>1575</v>
      </c>
      <c r="F3763" s="515" t="s">
        <v>5097</v>
      </c>
      <c r="G3763" s="52">
        <v>1916181.14843033</v>
      </c>
      <c r="H3763" s="56">
        <v>5.118315550543244E-2</v>
      </c>
      <c r="I3763" s="224" t="s">
        <v>2</v>
      </c>
    </row>
    <row r="3764" spans="1:9" x14ac:dyDescent="0.25">
      <c r="A3764" s="515">
        <v>61108</v>
      </c>
      <c r="B3764" s="515" t="s">
        <v>1104</v>
      </c>
      <c r="C3764" s="52">
        <v>135353.02169938301</v>
      </c>
      <c r="D3764" s="56">
        <v>4.9894594655014834E-2</v>
      </c>
      <c r="E3764" s="224" t="s">
        <v>2</v>
      </c>
      <c r="F3764" s="515" t="s">
        <v>5098</v>
      </c>
      <c r="G3764" s="52">
        <v>245990.07643577599</v>
      </c>
      <c r="H3764" s="56">
        <v>0.10910068784427007</v>
      </c>
      <c r="I3764" s="224" t="s">
        <v>2</v>
      </c>
    </row>
    <row r="3765" spans="1:9" x14ac:dyDescent="0.25">
      <c r="A3765" s="515">
        <v>32003</v>
      </c>
      <c r="B3765" s="515" t="s">
        <v>1158</v>
      </c>
      <c r="C3765" s="52">
        <v>425971.88539443299</v>
      </c>
      <c r="D3765" s="56">
        <v>6.734843156953077E-2</v>
      </c>
      <c r="E3765" s="224">
        <v>1896.3783068783</v>
      </c>
      <c r="F3765" s="515" t="s">
        <v>5099</v>
      </c>
      <c r="G3765" s="52">
        <v>181886.52687164699</v>
      </c>
      <c r="H3765" s="56">
        <v>6.4582403294861535E-2</v>
      </c>
      <c r="I3765" s="224" t="s">
        <v>2</v>
      </c>
    </row>
    <row r="3766" spans="1:9" x14ac:dyDescent="0.25">
      <c r="A3766" s="515">
        <v>60607</v>
      </c>
      <c r="B3766" s="515" t="s">
        <v>394</v>
      </c>
      <c r="C3766" s="52">
        <v>356039.12005007098</v>
      </c>
      <c r="D3766" s="56">
        <v>-5.3865637437481781E-2</v>
      </c>
      <c r="E3766" s="224">
        <v>2670.89556716995</v>
      </c>
      <c r="F3766" s="515" t="s">
        <v>5100</v>
      </c>
      <c r="G3766" s="52">
        <v>217817.80537705999</v>
      </c>
      <c r="H3766" s="56">
        <v>6.4216867532273056E-2</v>
      </c>
      <c r="I3766" s="224" t="s">
        <v>2</v>
      </c>
    </row>
    <row r="3767" spans="1:9" x14ac:dyDescent="0.25">
      <c r="A3767" s="515">
        <v>22150</v>
      </c>
      <c r="B3767" s="515" t="s">
        <v>321</v>
      </c>
      <c r="C3767" s="52">
        <v>580801.59692432301</v>
      </c>
      <c r="D3767" s="56">
        <v>3.9420668066888181E-2</v>
      </c>
      <c r="E3767" s="224">
        <v>2291.8571428571399</v>
      </c>
      <c r="F3767" s="515" t="s">
        <v>5101</v>
      </c>
      <c r="G3767" s="52">
        <v>472017.33485122299</v>
      </c>
      <c r="H3767" s="56">
        <v>4.1686642169689599E-2</v>
      </c>
      <c r="I3767" s="224" t="s">
        <v>2</v>
      </c>
    </row>
    <row r="3768" spans="1:9" x14ac:dyDescent="0.25">
      <c r="A3768" s="515">
        <v>33626</v>
      </c>
      <c r="B3768" s="515" t="s">
        <v>461</v>
      </c>
      <c r="C3768" s="52">
        <v>550874.61315044202</v>
      </c>
      <c r="D3768" s="56">
        <v>8.3906524547716022E-2</v>
      </c>
      <c r="E3768" s="224">
        <v>2412.4841269841199</v>
      </c>
      <c r="F3768" s="515" t="s">
        <v>5102</v>
      </c>
      <c r="G3768" s="52">
        <v>202722.92150197699</v>
      </c>
      <c r="H3768" s="56">
        <v>-6.8115534111704385E-3</v>
      </c>
      <c r="I3768" s="224" t="s">
        <v>2</v>
      </c>
    </row>
    <row r="3769" spans="1:9" x14ac:dyDescent="0.25">
      <c r="A3769" s="515">
        <v>98146</v>
      </c>
      <c r="B3769" s="515" t="s">
        <v>384</v>
      </c>
      <c r="C3769" s="52">
        <v>631256.58152461704</v>
      </c>
      <c r="D3769" s="56">
        <v>3.9065391392756783E-2</v>
      </c>
      <c r="E3769" s="224">
        <v>1977.7777777777701</v>
      </c>
      <c r="F3769" s="515" t="s">
        <v>5103</v>
      </c>
      <c r="G3769" s="52">
        <v>123506.895133453</v>
      </c>
      <c r="H3769" s="56">
        <v>-1.3353918823862635E-3</v>
      </c>
      <c r="I3769" s="224" t="s">
        <v>2</v>
      </c>
    </row>
    <row r="3770" spans="1:9" x14ac:dyDescent="0.25">
      <c r="A3770" s="515">
        <v>90041</v>
      </c>
      <c r="B3770" s="515" t="s">
        <v>375</v>
      </c>
      <c r="C3770" s="52">
        <v>1176867.4155379599</v>
      </c>
      <c r="D3770" s="56">
        <v>7.1697610987432214E-2</v>
      </c>
      <c r="E3770" s="224">
        <v>3165.8333333333298</v>
      </c>
      <c r="F3770" s="515" t="s">
        <v>743</v>
      </c>
      <c r="G3770" s="52">
        <v>103838.084647442</v>
      </c>
      <c r="H3770" s="56">
        <v>-5.0090803986055095E-2</v>
      </c>
      <c r="I3770" s="224" t="s">
        <v>2</v>
      </c>
    </row>
    <row r="3771" spans="1:9" x14ac:dyDescent="0.25">
      <c r="A3771" s="515">
        <v>33705</v>
      </c>
      <c r="B3771" s="515" t="s">
        <v>461</v>
      </c>
      <c r="C3771" s="52">
        <v>328499.87182876602</v>
      </c>
      <c r="D3771" s="56">
        <v>0.14425708396511855</v>
      </c>
      <c r="E3771" s="224">
        <v>2109.0820512820501</v>
      </c>
      <c r="F3771" s="515" t="s">
        <v>5104</v>
      </c>
      <c r="G3771" s="52">
        <v>386630.83977948403</v>
      </c>
      <c r="H3771" s="56">
        <v>6.7074376251887086E-2</v>
      </c>
      <c r="I3771" s="224" t="s">
        <v>2</v>
      </c>
    </row>
    <row r="3772" spans="1:9" x14ac:dyDescent="0.25">
      <c r="A3772" s="515">
        <v>33334</v>
      </c>
      <c r="B3772" s="515" t="s">
        <v>831</v>
      </c>
      <c r="C3772" s="52">
        <v>416676.47503800201</v>
      </c>
      <c r="D3772" s="56">
        <v>0.13879819409705094</v>
      </c>
      <c r="E3772" s="224">
        <v>2203.01068376068</v>
      </c>
      <c r="F3772" s="515" t="s">
        <v>812</v>
      </c>
      <c r="G3772" s="52">
        <v>184656.650144905</v>
      </c>
      <c r="H3772" s="56">
        <v>2.9020261592284623E-2</v>
      </c>
      <c r="I3772" s="224">
        <v>1000</v>
      </c>
    </row>
    <row r="3773" spans="1:9" x14ac:dyDescent="0.25">
      <c r="A3773" s="515">
        <v>94043</v>
      </c>
      <c r="B3773" s="515" t="s">
        <v>850</v>
      </c>
      <c r="C3773" s="52">
        <v>1453316.7724915501</v>
      </c>
      <c r="D3773" s="56">
        <v>-2.8827028447335507E-2</v>
      </c>
      <c r="E3773" s="224">
        <v>3602.13686868686</v>
      </c>
      <c r="F3773" s="515" t="s">
        <v>5105</v>
      </c>
      <c r="G3773" s="52">
        <v>146110.78051551199</v>
      </c>
      <c r="H3773" s="56">
        <v>0.10892895566622934</v>
      </c>
      <c r="I3773" s="224" t="s">
        <v>2</v>
      </c>
    </row>
    <row r="3774" spans="1:9" x14ac:dyDescent="0.25">
      <c r="A3774" s="515">
        <v>49024</v>
      </c>
      <c r="B3774" s="515" t="s">
        <v>1037</v>
      </c>
      <c r="C3774" s="52">
        <v>260876.832482731</v>
      </c>
      <c r="D3774" s="56">
        <v>3.3202430869198163E-2</v>
      </c>
      <c r="E3774" s="224">
        <v>2012.5</v>
      </c>
      <c r="F3774" s="515" t="s">
        <v>5106</v>
      </c>
      <c r="G3774" s="52">
        <v>303018.80113876902</v>
      </c>
      <c r="H3774" s="56">
        <v>8.6620928712618131E-2</v>
      </c>
      <c r="I3774" s="224" t="s">
        <v>2</v>
      </c>
    </row>
    <row r="3775" spans="1:9" x14ac:dyDescent="0.25">
      <c r="A3775" s="515">
        <v>84078</v>
      </c>
      <c r="B3775" s="515" t="s">
        <v>312</v>
      </c>
      <c r="C3775" s="52">
        <v>274976.55737877102</v>
      </c>
      <c r="D3775" s="56">
        <v>0.13423582141418122</v>
      </c>
      <c r="E3775" s="224" t="s">
        <v>2</v>
      </c>
      <c r="F3775" s="515" t="s">
        <v>5107</v>
      </c>
      <c r="G3775" s="52">
        <v>407986.33109148202</v>
      </c>
      <c r="H3775" s="56">
        <v>-1.8025309432028472E-2</v>
      </c>
      <c r="I3775" s="224" t="s">
        <v>2</v>
      </c>
    </row>
    <row r="3776" spans="1:9" x14ac:dyDescent="0.25">
      <c r="A3776" s="515">
        <v>38135</v>
      </c>
      <c r="B3776" s="515" t="s">
        <v>951</v>
      </c>
      <c r="C3776" s="52">
        <v>297062.83209757699</v>
      </c>
      <c r="D3776" s="56">
        <v>8.5100969007959673E-2</v>
      </c>
      <c r="E3776" s="224" t="s">
        <v>2</v>
      </c>
      <c r="F3776" s="515" t="s">
        <v>5108</v>
      </c>
      <c r="G3776" s="52">
        <v>246641.71365576901</v>
      </c>
      <c r="H3776" s="56">
        <v>7.3837174844893091E-2</v>
      </c>
      <c r="I3776" s="224" t="s">
        <v>2</v>
      </c>
    </row>
    <row r="3777" spans="1:9" x14ac:dyDescent="0.25">
      <c r="A3777" s="515">
        <v>22601</v>
      </c>
      <c r="B3777" s="515" t="s">
        <v>629</v>
      </c>
      <c r="C3777" s="52">
        <v>295878.88018081302</v>
      </c>
      <c r="D3777" s="56">
        <v>6.6925141760271062E-2</v>
      </c>
      <c r="E3777" s="224">
        <v>1582.7777777777701</v>
      </c>
      <c r="F3777" s="515" t="s">
        <v>5109</v>
      </c>
      <c r="G3777" s="52">
        <v>388783.26856257499</v>
      </c>
      <c r="H3777" s="56">
        <v>5.8704024709283258E-2</v>
      </c>
      <c r="I3777" s="224" t="s">
        <v>2</v>
      </c>
    </row>
    <row r="3778" spans="1:9" x14ac:dyDescent="0.25">
      <c r="A3778" s="515">
        <v>76401</v>
      </c>
      <c r="B3778" s="515" t="s">
        <v>931</v>
      </c>
      <c r="C3778" s="52">
        <v>260668.31614657701</v>
      </c>
      <c r="D3778" s="56">
        <v>0.12469256387955673</v>
      </c>
      <c r="E3778" s="224">
        <v>1521.6666666666599</v>
      </c>
      <c r="F3778" s="515" t="s">
        <v>5110</v>
      </c>
      <c r="G3778" s="52">
        <v>230709.15000223299</v>
      </c>
      <c r="H3778" s="56">
        <v>9.0062636024533613E-2</v>
      </c>
      <c r="I3778" s="224" t="s">
        <v>2</v>
      </c>
    </row>
    <row r="3779" spans="1:9" x14ac:dyDescent="0.25">
      <c r="A3779" s="515">
        <v>37919</v>
      </c>
      <c r="B3779" s="515" t="s">
        <v>907</v>
      </c>
      <c r="C3779" s="52">
        <v>443397.79479731701</v>
      </c>
      <c r="D3779" s="56">
        <v>0.10278499892582391</v>
      </c>
      <c r="E3779" s="224">
        <v>1674.75555555555</v>
      </c>
      <c r="F3779" s="515" t="s">
        <v>5111</v>
      </c>
      <c r="G3779" s="52">
        <v>380672.31131134299</v>
      </c>
      <c r="H3779" s="56">
        <v>5.4402046820608993E-2</v>
      </c>
      <c r="I3779" s="224" t="s">
        <v>2</v>
      </c>
    </row>
    <row r="3780" spans="1:9" x14ac:dyDescent="0.25">
      <c r="A3780" s="515">
        <v>60655</v>
      </c>
      <c r="B3780" s="515" t="s">
        <v>394</v>
      </c>
      <c r="C3780" s="52">
        <v>278037.16902624298</v>
      </c>
      <c r="D3780" s="56">
        <v>2.426715392169048E-3</v>
      </c>
      <c r="E3780" s="224" t="s">
        <v>2</v>
      </c>
      <c r="F3780" s="515" t="s">
        <v>5112</v>
      </c>
      <c r="G3780" s="52">
        <v>280363.46950606903</v>
      </c>
      <c r="H3780" s="56">
        <v>0.11698372452894799</v>
      </c>
      <c r="I3780" s="224" t="s">
        <v>2</v>
      </c>
    </row>
    <row r="3781" spans="1:9" x14ac:dyDescent="0.25">
      <c r="A3781" s="515">
        <v>22041</v>
      </c>
      <c r="B3781" s="515" t="s">
        <v>321</v>
      </c>
      <c r="C3781" s="52">
        <v>419655.19437940401</v>
      </c>
      <c r="D3781" s="56">
        <v>1.6161335032613005E-2</v>
      </c>
      <c r="E3781" s="224">
        <v>2196.1037037036999</v>
      </c>
      <c r="F3781" s="515" t="s">
        <v>5113</v>
      </c>
      <c r="G3781" s="52">
        <v>143805.15963891</v>
      </c>
      <c r="H3781" s="56">
        <v>0.1054159591057056</v>
      </c>
      <c r="I3781" s="224" t="s">
        <v>2</v>
      </c>
    </row>
    <row r="3782" spans="1:9" x14ac:dyDescent="0.25">
      <c r="A3782" s="515">
        <v>77904</v>
      </c>
      <c r="B3782" s="515" t="s">
        <v>1174</v>
      </c>
      <c r="C3782" s="52">
        <v>255782.826951725</v>
      </c>
      <c r="D3782" s="56">
        <v>7.6239658486691064E-2</v>
      </c>
      <c r="E3782" s="224">
        <v>1513.75</v>
      </c>
      <c r="F3782" s="515" t="s">
        <v>5114</v>
      </c>
      <c r="G3782" s="52">
        <v>177376.75507516999</v>
      </c>
      <c r="H3782" s="56">
        <v>7.4025314606842196E-2</v>
      </c>
      <c r="I3782" s="224" t="s">
        <v>2</v>
      </c>
    </row>
    <row r="3783" spans="1:9" x14ac:dyDescent="0.25">
      <c r="A3783" s="515">
        <v>18901</v>
      </c>
      <c r="B3783" s="515" t="s">
        <v>294</v>
      </c>
      <c r="C3783" s="52">
        <v>553583.28399171296</v>
      </c>
      <c r="D3783" s="56">
        <v>7.9080599789732794E-2</v>
      </c>
      <c r="E3783" s="224" t="s">
        <v>2</v>
      </c>
      <c r="F3783" s="515" t="s">
        <v>5115</v>
      </c>
      <c r="G3783" s="52">
        <v>305169.48674996302</v>
      </c>
      <c r="H3783" s="56">
        <v>5.7793546411328001E-2</v>
      </c>
      <c r="I3783" s="224">
        <v>1702.6666666666599</v>
      </c>
    </row>
    <row r="3784" spans="1:9" x14ac:dyDescent="0.25">
      <c r="A3784" s="515">
        <v>28031</v>
      </c>
      <c r="B3784" s="515" t="s">
        <v>360</v>
      </c>
      <c r="C3784" s="52">
        <v>467446.75934635103</v>
      </c>
      <c r="D3784" s="56">
        <v>8.6655791774374269E-2</v>
      </c>
      <c r="E3784" s="224">
        <v>1780.5</v>
      </c>
      <c r="F3784" s="515" t="s">
        <v>5116</v>
      </c>
      <c r="G3784" s="52">
        <v>1511746.8570731699</v>
      </c>
      <c r="H3784" s="56">
        <v>-1.1745182674154968E-2</v>
      </c>
      <c r="I3784" s="224">
        <v>3837.5</v>
      </c>
    </row>
    <row r="3785" spans="1:9" x14ac:dyDescent="0.25">
      <c r="A3785" s="515">
        <v>15650</v>
      </c>
      <c r="B3785" s="515" t="s">
        <v>297</v>
      </c>
      <c r="C3785" s="52">
        <v>159342.99195672301</v>
      </c>
      <c r="D3785" s="56">
        <v>1.5017272638843284E-2</v>
      </c>
      <c r="E3785" s="224" t="s">
        <v>2</v>
      </c>
      <c r="F3785" s="515" t="s">
        <v>5117</v>
      </c>
      <c r="G3785" s="52">
        <v>222047.51869862099</v>
      </c>
      <c r="H3785" s="56">
        <v>-1.1595569803497253E-2</v>
      </c>
      <c r="I3785" s="224" t="s">
        <v>2</v>
      </c>
    </row>
    <row r="3786" spans="1:9" x14ac:dyDescent="0.25">
      <c r="A3786" s="515">
        <v>55449</v>
      </c>
      <c r="B3786" s="515" t="s">
        <v>532</v>
      </c>
      <c r="C3786" s="52">
        <v>422391.21768549102</v>
      </c>
      <c r="D3786" s="56">
        <v>3.6683181300565665E-2</v>
      </c>
      <c r="E3786" s="224" t="s">
        <v>2</v>
      </c>
      <c r="F3786" s="515" t="s">
        <v>5118</v>
      </c>
      <c r="G3786" s="52">
        <v>99879.614443671599</v>
      </c>
      <c r="H3786" s="56">
        <v>0.11307524752045763</v>
      </c>
      <c r="I3786" s="224" t="s">
        <v>2</v>
      </c>
    </row>
    <row r="3787" spans="1:9" x14ac:dyDescent="0.25">
      <c r="A3787" s="515">
        <v>8822</v>
      </c>
      <c r="B3787" s="515" t="s">
        <v>324</v>
      </c>
      <c r="C3787" s="52">
        <v>504062.99896234798</v>
      </c>
      <c r="D3787" s="56">
        <v>5.4973043275183923E-2</v>
      </c>
      <c r="E3787" s="224">
        <v>2379.5</v>
      </c>
      <c r="F3787" s="515" t="s">
        <v>5119</v>
      </c>
      <c r="G3787" s="52">
        <v>383351.81695137598</v>
      </c>
      <c r="H3787" s="56">
        <v>9.3731452777595772E-2</v>
      </c>
      <c r="I3787" s="224" t="s">
        <v>2</v>
      </c>
    </row>
    <row r="3788" spans="1:9" x14ac:dyDescent="0.25">
      <c r="A3788" s="515">
        <v>18045</v>
      </c>
      <c r="B3788" s="515" t="s">
        <v>327</v>
      </c>
      <c r="C3788" s="52">
        <v>335999.83517919498</v>
      </c>
      <c r="D3788" s="56">
        <v>9.4325239295003332E-2</v>
      </c>
      <c r="E3788" s="224">
        <v>1935.8333333333301</v>
      </c>
      <c r="F3788" s="515" t="s">
        <v>5120</v>
      </c>
      <c r="G3788" s="52">
        <v>262925.52065265301</v>
      </c>
      <c r="H3788" s="56">
        <v>7.0734740108171462E-2</v>
      </c>
      <c r="I3788" s="224" t="s">
        <v>2</v>
      </c>
    </row>
    <row r="3789" spans="1:9" x14ac:dyDescent="0.25">
      <c r="A3789" s="515">
        <v>22401</v>
      </c>
      <c r="B3789" s="515" t="s">
        <v>321</v>
      </c>
      <c r="C3789" s="52">
        <v>409111.542740012</v>
      </c>
      <c r="D3789" s="56">
        <v>4.4633357913193179E-2</v>
      </c>
      <c r="E3789" s="224">
        <v>1735.9809523809499</v>
      </c>
      <c r="F3789" s="515" t="s">
        <v>5121</v>
      </c>
      <c r="G3789" s="52">
        <v>153905.68477057901</v>
      </c>
      <c r="H3789" s="56">
        <v>6.9763572740801902E-2</v>
      </c>
      <c r="I3789" s="224" t="s">
        <v>2</v>
      </c>
    </row>
    <row r="3790" spans="1:9" x14ac:dyDescent="0.25">
      <c r="A3790" s="515">
        <v>30122</v>
      </c>
      <c r="B3790" s="515" t="s">
        <v>957</v>
      </c>
      <c r="C3790" s="52">
        <v>268226.85361000599</v>
      </c>
      <c r="D3790" s="56">
        <v>9.9493742044508476E-2</v>
      </c>
      <c r="E3790" s="224">
        <v>1555.3370370370301</v>
      </c>
      <c r="F3790" s="515" t="s">
        <v>5122</v>
      </c>
      <c r="G3790" s="52">
        <v>351259.25095572101</v>
      </c>
      <c r="H3790" s="56">
        <v>3.1191466631597962E-2</v>
      </c>
      <c r="I3790" s="224" t="s">
        <v>2</v>
      </c>
    </row>
    <row r="3791" spans="1:9" x14ac:dyDescent="0.25">
      <c r="A3791" s="515">
        <v>49519</v>
      </c>
      <c r="B3791" s="515" t="s">
        <v>631</v>
      </c>
      <c r="C3791" s="52">
        <v>244584.150608394</v>
      </c>
      <c r="D3791" s="56">
        <v>2.5852759714974617E-2</v>
      </c>
      <c r="E3791" s="224" t="s">
        <v>2</v>
      </c>
      <c r="F3791" s="515" t="s">
        <v>1044</v>
      </c>
      <c r="G3791" s="52">
        <v>125076.742530524</v>
      </c>
      <c r="H3791" s="56">
        <v>5.0953247395960195E-2</v>
      </c>
      <c r="I3791" s="224" t="s">
        <v>2</v>
      </c>
    </row>
    <row r="3792" spans="1:9" x14ac:dyDescent="0.25">
      <c r="A3792" s="515">
        <v>76226</v>
      </c>
      <c r="B3792" s="515" t="s">
        <v>458</v>
      </c>
      <c r="C3792" s="52">
        <v>596593.116770074</v>
      </c>
      <c r="D3792" s="56">
        <v>8.3598338752087595E-2</v>
      </c>
      <c r="E3792" s="224">
        <v>2976.1111111111099</v>
      </c>
      <c r="F3792" s="515" t="s">
        <v>565</v>
      </c>
      <c r="G3792" s="52">
        <v>133348.64152731001</v>
      </c>
      <c r="H3792" s="56">
        <v>2.2185273447709129E-2</v>
      </c>
      <c r="I3792" s="224" t="s">
        <v>2</v>
      </c>
    </row>
    <row r="3793" spans="1:9" x14ac:dyDescent="0.25">
      <c r="A3793" s="515">
        <v>32250</v>
      </c>
      <c r="B3793" s="515" t="s">
        <v>1158</v>
      </c>
      <c r="C3793" s="52">
        <v>578342.05182966904</v>
      </c>
      <c r="D3793" s="56">
        <v>9.6673266756058057E-2</v>
      </c>
      <c r="E3793" s="224">
        <v>2415.2129629629599</v>
      </c>
      <c r="F3793" s="515" t="s">
        <v>1058</v>
      </c>
      <c r="G3793" s="52">
        <v>182386.20635385401</v>
      </c>
      <c r="H3793" s="56">
        <v>6.3629450804064694E-2</v>
      </c>
      <c r="I3793" s="224" t="s">
        <v>2</v>
      </c>
    </row>
    <row r="3794" spans="1:9" x14ac:dyDescent="0.25">
      <c r="A3794" s="515">
        <v>84005</v>
      </c>
      <c r="B3794" s="515" t="s">
        <v>726</v>
      </c>
      <c r="C3794" s="52">
        <v>514358.32397168298</v>
      </c>
      <c r="D3794" s="56">
        <v>1.5273379596534076E-2</v>
      </c>
      <c r="E3794" s="224">
        <v>1948.0952380952299</v>
      </c>
      <c r="F3794" s="515" t="s">
        <v>5123</v>
      </c>
      <c r="G3794" s="52">
        <v>231467.36618998201</v>
      </c>
      <c r="H3794" s="56">
        <v>5.5622984126122307E-2</v>
      </c>
      <c r="I3794" s="224" t="s">
        <v>2</v>
      </c>
    </row>
    <row r="3795" spans="1:9" x14ac:dyDescent="0.25">
      <c r="A3795" s="515">
        <v>64119</v>
      </c>
      <c r="B3795" s="515" t="s">
        <v>455</v>
      </c>
      <c r="C3795" s="52">
        <v>226384.418257727</v>
      </c>
      <c r="D3795" s="56">
        <v>8.2721951751853401E-2</v>
      </c>
      <c r="E3795" s="224">
        <v>1431.0277777777701</v>
      </c>
      <c r="F3795" s="515" t="s">
        <v>5124</v>
      </c>
      <c r="G3795" s="52">
        <v>454932.50727202801</v>
      </c>
      <c r="H3795" s="56">
        <v>4.5075942020237354E-2</v>
      </c>
      <c r="I3795" s="224">
        <v>2009.6666666666599</v>
      </c>
    </row>
    <row r="3796" spans="1:9" x14ac:dyDescent="0.25">
      <c r="A3796" s="515">
        <v>75088</v>
      </c>
      <c r="B3796" s="515" t="s">
        <v>458</v>
      </c>
      <c r="C3796" s="52">
        <v>357744.11199395999</v>
      </c>
      <c r="D3796" s="56">
        <v>6.9610665638631344E-2</v>
      </c>
      <c r="E3796" s="224">
        <v>1703.84155844155</v>
      </c>
      <c r="F3796" s="515" t="s">
        <v>5125</v>
      </c>
      <c r="G3796" s="52">
        <v>139876.11998191199</v>
      </c>
      <c r="H3796" s="56">
        <v>7.1567346236188989E-2</v>
      </c>
      <c r="I3796" s="224" t="s">
        <v>2</v>
      </c>
    </row>
    <row r="3797" spans="1:9" x14ac:dyDescent="0.25">
      <c r="A3797" s="515">
        <v>28560</v>
      </c>
      <c r="B3797" s="515" t="s">
        <v>574</v>
      </c>
      <c r="C3797" s="52">
        <v>225545.71296478101</v>
      </c>
      <c r="D3797" s="56">
        <v>0.15865829621549554</v>
      </c>
      <c r="E3797" s="224">
        <v>1588.3611111111099</v>
      </c>
      <c r="F3797" s="515" t="s">
        <v>5126</v>
      </c>
      <c r="G3797" s="52">
        <v>1338510.0410237501</v>
      </c>
      <c r="H3797" s="56">
        <v>5.6360644439435531E-2</v>
      </c>
      <c r="I3797" s="224">
        <v>3788.5416666666601</v>
      </c>
    </row>
    <row r="3798" spans="1:9" x14ac:dyDescent="0.25">
      <c r="A3798" s="515">
        <v>38834</v>
      </c>
      <c r="B3798" s="515" t="s">
        <v>1123</v>
      </c>
      <c r="C3798" s="52">
        <v>125499.48176629499</v>
      </c>
      <c r="D3798" s="56">
        <v>-2.6420032303047982E-2</v>
      </c>
      <c r="E3798" s="224" t="s">
        <v>2</v>
      </c>
      <c r="F3798" s="515" t="s">
        <v>880</v>
      </c>
      <c r="G3798" s="52">
        <v>186104.33580859899</v>
      </c>
      <c r="H3798" s="56">
        <v>6.4429488642198121E-2</v>
      </c>
      <c r="I3798" s="224" t="s">
        <v>2</v>
      </c>
    </row>
    <row r="3799" spans="1:9" x14ac:dyDescent="0.25">
      <c r="A3799" s="515">
        <v>12203</v>
      </c>
      <c r="B3799" s="515" t="s">
        <v>609</v>
      </c>
      <c r="C3799" s="52">
        <v>268751.72546904703</v>
      </c>
      <c r="D3799" s="56">
        <v>4.3106386038008822E-2</v>
      </c>
      <c r="E3799" s="224">
        <v>1862.2619047619</v>
      </c>
      <c r="F3799" s="515" t="s">
        <v>5127</v>
      </c>
      <c r="G3799" s="52">
        <v>132338.20783058499</v>
      </c>
      <c r="H3799" s="56">
        <v>3.8301894575833377E-2</v>
      </c>
      <c r="I3799" s="224" t="s">
        <v>2</v>
      </c>
    </row>
    <row r="3800" spans="1:9" x14ac:dyDescent="0.25">
      <c r="A3800" s="515">
        <v>2072</v>
      </c>
      <c r="B3800" s="515" t="s">
        <v>534</v>
      </c>
      <c r="C3800" s="52">
        <v>500376.99679608201</v>
      </c>
      <c r="D3800" s="56">
        <v>6.957548274636409E-2</v>
      </c>
      <c r="E3800" s="224">
        <v>2337.5555555555502</v>
      </c>
      <c r="F3800" s="515" t="s">
        <v>5128</v>
      </c>
      <c r="G3800" s="52">
        <v>341866.44309680501</v>
      </c>
      <c r="H3800" s="56">
        <v>5.3589417163458157E-2</v>
      </c>
      <c r="I3800" s="224" t="s">
        <v>2</v>
      </c>
    </row>
    <row r="3801" spans="1:9" x14ac:dyDescent="0.25">
      <c r="A3801" s="515">
        <v>70517</v>
      </c>
      <c r="B3801" s="515" t="s">
        <v>1004</v>
      </c>
      <c r="C3801" s="52">
        <v>143041.73469642899</v>
      </c>
      <c r="D3801" s="56">
        <v>-1.1129627394906905E-2</v>
      </c>
      <c r="E3801" s="224" t="s">
        <v>2</v>
      </c>
      <c r="F3801" s="515" t="s">
        <v>5129</v>
      </c>
      <c r="G3801" s="52">
        <v>510822.22051430598</v>
      </c>
      <c r="H3801" s="56">
        <v>6.1559306429195132E-2</v>
      </c>
      <c r="I3801" s="224" t="s">
        <v>2</v>
      </c>
    </row>
    <row r="3802" spans="1:9" x14ac:dyDescent="0.25">
      <c r="A3802" s="515">
        <v>46218</v>
      </c>
      <c r="B3802" s="515" t="s">
        <v>403</v>
      </c>
      <c r="C3802" s="52">
        <v>99486.0329519027</v>
      </c>
      <c r="D3802" s="56">
        <v>0.23905930891568014</v>
      </c>
      <c r="E3802" s="224">
        <v>986.26717171717098</v>
      </c>
      <c r="F3802" s="515" t="s">
        <v>5130</v>
      </c>
      <c r="G3802" s="52">
        <v>109226.98888886999</v>
      </c>
      <c r="H3802" s="56">
        <v>2.1504339900803672E-2</v>
      </c>
      <c r="I3802" s="224" t="s">
        <v>2</v>
      </c>
    </row>
    <row r="3803" spans="1:9" x14ac:dyDescent="0.25">
      <c r="A3803" s="515">
        <v>45429</v>
      </c>
      <c r="B3803" s="515" t="s">
        <v>340</v>
      </c>
      <c r="C3803" s="52">
        <v>226109.927440801</v>
      </c>
      <c r="D3803" s="56">
        <v>6.9687471546386978E-2</v>
      </c>
      <c r="E3803" s="224" t="s">
        <v>2</v>
      </c>
      <c r="F3803" s="515" t="s">
        <v>5131</v>
      </c>
      <c r="G3803" s="52">
        <v>180007.28600004601</v>
      </c>
      <c r="H3803" s="56">
        <v>9.176666639162892E-2</v>
      </c>
      <c r="I3803" s="224">
        <v>1100</v>
      </c>
    </row>
    <row r="3804" spans="1:9" x14ac:dyDescent="0.25">
      <c r="A3804" s="515">
        <v>80104</v>
      </c>
      <c r="B3804" s="515" t="s">
        <v>401</v>
      </c>
      <c r="C3804" s="52">
        <v>595866.93274476903</v>
      </c>
      <c r="D3804" s="56">
        <v>2.8130836805025764E-2</v>
      </c>
      <c r="E3804" s="224">
        <v>2012.2083333333301</v>
      </c>
      <c r="F3804" s="515" t="s">
        <v>5132</v>
      </c>
      <c r="G3804" s="52">
        <v>1322572.5673237201</v>
      </c>
      <c r="H3804" s="56">
        <v>4.472175454222195E-2</v>
      </c>
      <c r="I3804" s="224">
        <v>2146.8341991341899</v>
      </c>
    </row>
    <row r="3805" spans="1:9" x14ac:dyDescent="0.25">
      <c r="A3805" s="515">
        <v>90710</v>
      </c>
      <c r="B3805" s="515" t="s">
        <v>375</v>
      </c>
      <c r="C3805" s="52">
        <v>747392.15643377195</v>
      </c>
      <c r="D3805" s="56">
        <v>4.2838030259117789E-2</v>
      </c>
      <c r="E3805" s="224">
        <v>2311.25</v>
      </c>
      <c r="F3805" s="515" t="s">
        <v>5133</v>
      </c>
      <c r="G3805" s="52">
        <v>495486.23978619499</v>
      </c>
      <c r="H3805" s="56">
        <v>9.8094513351797127E-2</v>
      </c>
      <c r="I3805" s="224" t="s">
        <v>2</v>
      </c>
    </row>
    <row r="3806" spans="1:9" x14ac:dyDescent="0.25">
      <c r="A3806" s="515">
        <v>23834</v>
      </c>
      <c r="B3806" s="515" t="s">
        <v>667</v>
      </c>
      <c r="C3806" s="52">
        <v>266435.27129441901</v>
      </c>
      <c r="D3806" s="56">
        <v>0.18137536809665314</v>
      </c>
      <c r="E3806" s="224">
        <v>1498.75</v>
      </c>
      <c r="F3806" s="515" t="s">
        <v>356</v>
      </c>
      <c r="G3806" s="52">
        <v>138818.832271341</v>
      </c>
      <c r="H3806" s="56">
        <v>4.7542248795657882E-2</v>
      </c>
      <c r="I3806" s="224" t="s">
        <v>2</v>
      </c>
    </row>
    <row r="3807" spans="1:9" x14ac:dyDescent="0.25">
      <c r="A3807" s="515">
        <v>29801</v>
      </c>
      <c r="B3807" s="515" t="s">
        <v>888</v>
      </c>
      <c r="C3807" s="52">
        <v>155218.206881252</v>
      </c>
      <c r="D3807" s="56">
        <v>6.9724503491720088E-2</v>
      </c>
      <c r="E3807" s="224">
        <v>1370.13333333333</v>
      </c>
      <c r="F3807" s="515" t="s">
        <v>5134</v>
      </c>
      <c r="G3807" s="52">
        <v>211661.48414560701</v>
      </c>
      <c r="H3807" s="56">
        <v>0.16539484719589909</v>
      </c>
      <c r="I3807" s="224" t="s">
        <v>2</v>
      </c>
    </row>
    <row r="3808" spans="1:9" x14ac:dyDescent="0.25">
      <c r="A3808" s="515">
        <v>77355</v>
      </c>
      <c r="B3808" s="515" t="s">
        <v>314</v>
      </c>
      <c r="C3808" s="52">
        <v>372318.54024282697</v>
      </c>
      <c r="D3808" s="56">
        <v>6.4729946587083184E-2</v>
      </c>
      <c r="E3808" s="224">
        <v>1799</v>
      </c>
      <c r="F3808" s="515" t="s">
        <v>5135</v>
      </c>
      <c r="G3808" s="52">
        <v>227460.22960940699</v>
      </c>
      <c r="H3808" s="56">
        <v>0.1138252229697268</v>
      </c>
      <c r="I3808" s="224" t="s">
        <v>2</v>
      </c>
    </row>
    <row r="3809" spans="1:9" x14ac:dyDescent="0.25">
      <c r="A3809" s="515">
        <v>1854</v>
      </c>
      <c r="B3809" s="515" t="s">
        <v>534</v>
      </c>
      <c r="C3809" s="52">
        <v>392726.04817677097</v>
      </c>
      <c r="D3809" s="56">
        <v>6.9893933260934543E-2</v>
      </c>
      <c r="E3809" s="224">
        <v>2138.88888888888</v>
      </c>
      <c r="F3809" s="515" t="s">
        <v>5136</v>
      </c>
      <c r="G3809" s="52">
        <v>316203.92321370501</v>
      </c>
      <c r="H3809" s="56">
        <v>8.7219155781480415E-2</v>
      </c>
      <c r="I3809" s="224" t="s">
        <v>2</v>
      </c>
    </row>
    <row r="3810" spans="1:9" x14ac:dyDescent="0.25">
      <c r="A3810" s="515">
        <v>90713</v>
      </c>
      <c r="B3810" s="515" t="s">
        <v>375</v>
      </c>
      <c r="C3810" s="52">
        <v>796103.56965251197</v>
      </c>
      <c r="D3810" s="56">
        <v>4.8739737788413347E-2</v>
      </c>
      <c r="E3810" s="224" t="s">
        <v>2</v>
      </c>
      <c r="F3810" s="515" t="s">
        <v>5137</v>
      </c>
      <c r="G3810" s="52">
        <v>467464.60196177399</v>
      </c>
      <c r="H3810" s="56">
        <v>5.5754564317140876E-2</v>
      </c>
      <c r="I3810" s="224" t="s">
        <v>2</v>
      </c>
    </row>
    <row r="3811" spans="1:9" x14ac:dyDescent="0.25">
      <c r="A3811" s="515">
        <v>19966</v>
      </c>
      <c r="B3811" s="515" t="s">
        <v>552</v>
      </c>
      <c r="C3811" s="52">
        <v>356283.30187998601</v>
      </c>
      <c r="D3811" s="56">
        <v>3.5924009937191713E-2</v>
      </c>
      <c r="E3811" s="224" t="s">
        <v>2</v>
      </c>
      <c r="F3811" s="515" t="s">
        <v>5138</v>
      </c>
      <c r="G3811" s="52">
        <v>572025.40370752395</v>
      </c>
      <c r="H3811" s="56">
        <v>7.0542414298123746E-2</v>
      </c>
      <c r="I3811" s="224" t="s">
        <v>2</v>
      </c>
    </row>
    <row r="3812" spans="1:9" x14ac:dyDescent="0.25">
      <c r="A3812" s="515">
        <v>62959</v>
      </c>
      <c r="B3812" s="515" t="s">
        <v>471</v>
      </c>
      <c r="C3812" s="52">
        <v>144810.11139158599</v>
      </c>
      <c r="D3812" s="56">
        <v>4.4954540138157195E-2</v>
      </c>
      <c r="E3812" s="224" t="s">
        <v>2</v>
      </c>
      <c r="F3812" s="515" t="s">
        <v>5139</v>
      </c>
      <c r="G3812" s="52">
        <v>366820.610442837</v>
      </c>
      <c r="H3812" s="56">
        <v>8.7034939317010812E-2</v>
      </c>
      <c r="I3812" s="224">
        <v>1523.9666666666601</v>
      </c>
    </row>
    <row r="3813" spans="1:9" x14ac:dyDescent="0.25">
      <c r="A3813" s="515">
        <v>2886</v>
      </c>
      <c r="B3813" s="515" t="s">
        <v>513</v>
      </c>
      <c r="C3813" s="52">
        <v>342945.99771925801</v>
      </c>
      <c r="D3813" s="56">
        <v>8.6945953247623248E-2</v>
      </c>
      <c r="E3813" s="224">
        <v>1791.3333333333301</v>
      </c>
      <c r="F3813" s="515" t="s">
        <v>5140</v>
      </c>
      <c r="G3813" s="52">
        <v>332853.82664990402</v>
      </c>
      <c r="H3813" s="56">
        <v>1.6773061516338429E-2</v>
      </c>
      <c r="I3813" s="224" t="s">
        <v>2</v>
      </c>
    </row>
    <row r="3814" spans="1:9" x14ac:dyDescent="0.25">
      <c r="A3814" s="515">
        <v>98382</v>
      </c>
      <c r="B3814" s="515" t="s">
        <v>781</v>
      </c>
      <c r="C3814" s="52">
        <v>525392.57266009704</v>
      </c>
      <c r="D3814" s="56">
        <v>3.6066704128044511E-2</v>
      </c>
      <c r="E3814" s="224">
        <v>2075</v>
      </c>
      <c r="F3814" s="515" t="s">
        <v>5141</v>
      </c>
      <c r="G3814" s="52">
        <v>204352.118772952</v>
      </c>
      <c r="H3814" s="56">
        <v>4.5863850910799649E-2</v>
      </c>
      <c r="I3814" s="224" t="s">
        <v>2</v>
      </c>
    </row>
    <row r="3815" spans="1:9" x14ac:dyDescent="0.25">
      <c r="A3815" s="515">
        <v>55419</v>
      </c>
      <c r="B3815" s="515" t="s">
        <v>532</v>
      </c>
      <c r="C3815" s="52">
        <v>432655.92106647399</v>
      </c>
      <c r="D3815" s="56">
        <v>4.8203676713313881E-2</v>
      </c>
      <c r="E3815" s="224">
        <v>1693.75</v>
      </c>
      <c r="F3815" s="515" t="s">
        <v>5142</v>
      </c>
      <c r="G3815" s="52">
        <v>214346.128312068</v>
      </c>
      <c r="H3815" s="56">
        <v>7.0671348360104261E-2</v>
      </c>
      <c r="I3815" s="224" t="s">
        <v>2</v>
      </c>
    </row>
    <row r="3816" spans="1:9" x14ac:dyDescent="0.25">
      <c r="A3816" s="515">
        <v>8865</v>
      </c>
      <c r="B3816" s="515" t="s">
        <v>327</v>
      </c>
      <c r="C3816" s="52">
        <v>261087.82446955601</v>
      </c>
      <c r="D3816" s="56">
        <v>0.10477198730376934</v>
      </c>
      <c r="E3816" s="224">
        <v>1595.4166666666599</v>
      </c>
      <c r="F3816" s="515" t="s">
        <v>5143</v>
      </c>
      <c r="G3816" s="52">
        <v>447696.961451818</v>
      </c>
      <c r="H3816" s="56">
        <v>7.5854101217760261E-2</v>
      </c>
      <c r="I3816" s="224">
        <v>1688.2101353543701</v>
      </c>
    </row>
    <row r="3817" spans="1:9" x14ac:dyDescent="0.25">
      <c r="A3817" s="515">
        <v>93901</v>
      </c>
      <c r="B3817" s="515" t="s">
        <v>443</v>
      </c>
      <c r="C3817" s="52">
        <v>688504.29946621705</v>
      </c>
      <c r="D3817" s="56">
        <v>3.4960488146491824E-2</v>
      </c>
      <c r="E3817" s="224">
        <v>1957.3333333333301</v>
      </c>
      <c r="F3817" s="515" t="s">
        <v>5144</v>
      </c>
      <c r="G3817" s="52">
        <v>189197.88506783301</v>
      </c>
      <c r="H3817" s="56">
        <v>0.10488736385993078</v>
      </c>
      <c r="I3817" s="224" t="s">
        <v>2</v>
      </c>
    </row>
    <row r="3818" spans="1:9" x14ac:dyDescent="0.25">
      <c r="A3818" s="515">
        <v>80917</v>
      </c>
      <c r="B3818" s="515" t="s">
        <v>701</v>
      </c>
      <c r="C3818" s="52">
        <v>397596.52956628602</v>
      </c>
      <c r="D3818" s="56">
        <v>3.7117122757414717E-2</v>
      </c>
      <c r="E3818" s="224">
        <v>1676.625</v>
      </c>
      <c r="F3818" s="515" t="s">
        <v>818</v>
      </c>
      <c r="G3818" s="52">
        <v>137661.67742720401</v>
      </c>
      <c r="H3818" s="56">
        <v>6.3847840705507281E-2</v>
      </c>
      <c r="I3818" s="224" t="s">
        <v>2</v>
      </c>
    </row>
    <row r="3819" spans="1:9" x14ac:dyDescent="0.25">
      <c r="A3819" s="515">
        <v>7018</v>
      </c>
      <c r="B3819" s="515" t="s">
        <v>324</v>
      </c>
      <c r="C3819" s="52">
        <v>352489.555884036</v>
      </c>
      <c r="D3819" s="56">
        <v>6.2598242499076931E-2</v>
      </c>
      <c r="E3819" s="224">
        <v>1739.23888888888</v>
      </c>
      <c r="F3819" s="515" t="s">
        <v>5145</v>
      </c>
      <c r="G3819" s="52">
        <v>637538.67307601997</v>
      </c>
      <c r="H3819" s="56">
        <v>3.0517170471002886E-2</v>
      </c>
      <c r="I3819" s="224" t="s">
        <v>2</v>
      </c>
    </row>
    <row r="3820" spans="1:9" x14ac:dyDescent="0.25">
      <c r="A3820" s="515">
        <v>20784</v>
      </c>
      <c r="B3820" s="515" t="s">
        <v>321</v>
      </c>
      <c r="C3820" s="52">
        <v>354165.016671777</v>
      </c>
      <c r="D3820" s="56">
        <v>1.915872219783157E-2</v>
      </c>
      <c r="E3820" s="224" t="s">
        <v>2</v>
      </c>
      <c r="F3820" s="515" t="s">
        <v>5146</v>
      </c>
      <c r="G3820" s="52">
        <v>417635.18475805601</v>
      </c>
      <c r="H3820" s="56">
        <v>8.9561175101019214E-2</v>
      </c>
      <c r="I3820" s="224" t="s">
        <v>2</v>
      </c>
    </row>
    <row r="3821" spans="1:9" x14ac:dyDescent="0.25">
      <c r="A3821" s="515">
        <v>74017</v>
      </c>
      <c r="B3821" s="515" t="s">
        <v>348</v>
      </c>
      <c r="C3821" s="52">
        <v>196274.93986380199</v>
      </c>
      <c r="D3821" s="56">
        <v>0.11514972775725724</v>
      </c>
      <c r="E3821" s="224">
        <v>1237.3333333333301</v>
      </c>
      <c r="F3821" s="515" t="s">
        <v>5147</v>
      </c>
      <c r="G3821" s="52">
        <v>868526.64961066796</v>
      </c>
      <c r="H3821" s="56">
        <v>5.6531589540288578E-2</v>
      </c>
      <c r="I3821" s="224">
        <v>2558.75</v>
      </c>
    </row>
    <row r="3822" spans="1:9" x14ac:dyDescent="0.25">
      <c r="A3822" s="515">
        <v>95204</v>
      </c>
      <c r="B3822" s="515" t="s">
        <v>852</v>
      </c>
      <c r="C3822" s="52">
        <v>364540.56831242802</v>
      </c>
      <c r="D3822" s="56">
        <v>3.8664993483025364E-2</v>
      </c>
      <c r="E3822" s="224">
        <v>2007.0833333333301</v>
      </c>
      <c r="F3822" s="515" t="s">
        <v>5148</v>
      </c>
      <c r="G3822" s="52">
        <v>866624.05947534705</v>
      </c>
      <c r="H3822" s="56">
        <v>3.3936774290875812E-2</v>
      </c>
      <c r="I3822" s="224" t="s">
        <v>2</v>
      </c>
    </row>
    <row r="3823" spans="1:9" x14ac:dyDescent="0.25">
      <c r="A3823" s="515">
        <v>20814</v>
      </c>
      <c r="B3823" s="515" t="s">
        <v>321</v>
      </c>
      <c r="C3823" s="52">
        <v>799826.99706529803</v>
      </c>
      <c r="D3823" s="56">
        <v>1.2537756137189729E-2</v>
      </c>
      <c r="E3823" s="224">
        <v>2804.7452631578899</v>
      </c>
      <c r="F3823" s="515" t="s">
        <v>5149</v>
      </c>
      <c r="G3823" s="52">
        <v>185494.07129590001</v>
      </c>
      <c r="H3823" s="56">
        <v>4.8553164742454115E-2</v>
      </c>
      <c r="I3823" s="224" t="s">
        <v>2</v>
      </c>
    </row>
    <row r="3824" spans="1:9" x14ac:dyDescent="0.25">
      <c r="A3824" s="515">
        <v>43050</v>
      </c>
      <c r="B3824" s="515" t="s">
        <v>341</v>
      </c>
      <c r="C3824" s="52">
        <v>202533.42841275301</v>
      </c>
      <c r="D3824" s="56">
        <v>7.6109739356749098E-2</v>
      </c>
      <c r="E3824" s="224" t="s">
        <v>2</v>
      </c>
      <c r="F3824" s="515" t="s">
        <v>5150</v>
      </c>
      <c r="G3824" s="52">
        <v>624378.43557317299</v>
      </c>
      <c r="H3824" s="56">
        <v>5.7736979060800372E-2</v>
      </c>
      <c r="I3824" s="224" t="s">
        <v>2</v>
      </c>
    </row>
    <row r="3825" spans="1:9" x14ac:dyDescent="0.25">
      <c r="A3825" s="515">
        <v>53189</v>
      </c>
      <c r="B3825" s="515" t="s">
        <v>950</v>
      </c>
      <c r="C3825" s="52">
        <v>387822.53467591002</v>
      </c>
      <c r="D3825" s="56">
        <v>2.5616663298871425E-2</v>
      </c>
      <c r="E3825" s="224" t="s">
        <v>2</v>
      </c>
      <c r="F3825" s="515" t="s">
        <v>5151</v>
      </c>
      <c r="G3825" s="52">
        <v>227937.992709429</v>
      </c>
      <c r="H3825" s="56">
        <v>0.10576973917307564</v>
      </c>
      <c r="I3825" s="224" t="s">
        <v>2</v>
      </c>
    </row>
    <row r="3826" spans="1:9" x14ac:dyDescent="0.25">
      <c r="A3826" s="515">
        <v>19355</v>
      </c>
      <c r="B3826" s="515" t="s">
        <v>294</v>
      </c>
      <c r="C3826" s="52">
        <v>646028.309605513</v>
      </c>
      <c r="D3826" s="56">
        <v>8.0619445573359705E-2</v>
      </c>
      <c r="E3826" s="224">
        <v>2093.38095238095</v>
      </c>
      <c r="F3826" s="515" t="s">
        <v>5152</v>
      </c>
      <c r="G3826" s="52">
        <v>221154.45105974501</v>
      </c>
      <c r="H3826" s="56">
        <v>4.1588891905242543E-2</v>
      </c>
      <c r="I3826" s="224" t="s">
        <v>2</v>
      </c>
    </row>
    <row r="3827" spans="1:9" x14ac:dyDescent="0.25">
      <c r="A3827" s="515">
        <v>1906</v>
      </c>
      <c r="B3827" s="515" t="s">
        <v>534</v>
      </c>
      <c r="C3827" s="52">
        <v>578293.06184173201</v>
      </c>
      <c r="D3827" s="56">
        <v>5.3149410731943493E-2</v>
      </c>
      <c r="E3827" s="224" t="s">
        <v>2</v>
      </c>
      <c r="F3827" s="515" t="s">
        <v>5153</v>
      </c>
      <c r="G3827" s="52">
        <v>793368.284765244</v>
      </c>
      <c r="H3827" s="56">
        <v>8.6288951840355864E-3</v>
      </c>
      <c r="I3827" s="224">
        <v>3600.8570409982099</v>
      </c>
    </row>
    <row r="3828" spans="1:9" x14ac:dyDescent="0.25">
      <c r="A3828" s="515">
        <v>66614</v>
      </c>
      <c r="B3828" s="515" t="s">
        <v>549</v>
      </c>
      <c r="C3828" s="52">
        <v>208043.42250787001</v>
      </c>
      <c r="D3828" s="56">
        <v>9.2278742278932638E-2</v>
      </c>
      <c r="E3828" s="224" t="s">
        <v>2</v>
      </c>
      <c r="F3828" s="515" t="s">
        <v>5154</v>
      </c>
      <c r="G3828" s="52">
        <v>413330.54461553198</v>
      </c>
      <c r="H3828" s="56">
        <v>7.0929578140778118E-2</v>
      </c>
      <c r="I3828" s="224" t="s">
        <v>2</v>
      </c>
    </row>
    <row r="3829" spans="1:9" x14ac:dyDescent="0.25">
      <c r="A3829" s="515">
        <v>11720</v>
      </c>
      <c r="B3829" s="515" t="s">
        <v>324</v>
      </c>
      <c r="C3829" s="52">
        <v>493053.98434386501</v>
      </c>
      <c r="D3829" s="56">
        <v>4.6747620048880285E-2</v>
      </c>
      <c r="E3829" s="224" t="s">
        <v>2</v>
      </c>
      <c r="F3829" s="515" t="s">
        <v>5155</v>
      </c>
      <c r="G3829" s="52">
        <v>218981.083100699</v>
      </c>
      <c r="H3829" s="56">
        <v>6.195501906349847E-2</v>
      </c>
      <c r="I3829" s="224" t="s">
        <v>2</v>
      </c>
    </row>
    <row r="3830" spans="1:9" x14ac:dyDescent="0.25">
      <c r="A3830" s="515">
        <v>69101</v>
      </c>
      <c r="B3830" s="515" t="s">
        <v>760</v>
      </c>
      <c r="C3830" s="52">
        <v>167762.78390118</v>
      </c>
      <c r="D3830" s="56">
        <v>8.0693631531921176E-2</v>
      </c>
      <c r="E3830" s="224">
        <v>916.66666666666595</v>
      </c>
      <c r="F3830" s="515" t="s">
        <v>5156</v>
      </c>
      <c r="G3830" s="52">
        <v>270885.13788251003</v>
      </c>
      <c r="H3830" s="56">
        <v>0.10229261413707254</v>
      </c>
      <c r="I3830" s="224">
        <v>1950</v>
      </c>
    </row>
    <row r="3831" spans="1:9" x14ac:dyDescent="0.25">
      <c r="A3831" s="515">
        <v>37067</v>
      </c>
      <c r="B3831" s="515" t="s">
        <v>684</v>
      </c>
      <c r="C3831" s="52">
        <v>820703.76506067498</v>
      </c>
      <c r="D3831" s="56">
        <v>9.5031334214094196E-2</v>
      </c>
      <c r="E3831" s="224">
        <v>1788.0306372549001</v>
      </c>
      <c r="F3831" s="515" t="s">
        <v>749</v>
      </c>
      <c r="G3831" s="52">
        <v>198621.73913934999</v>
      </c>
      <c r="H3831" s="56">
        <v>9.587811820897027E-2</v>
      </c>
      <c r="I3831" s="224" t="s">
        <v>2</v>
      </c>
    </row>
    <row r="3832" spans="1:9" x14ac:dyDescent="0.25">
      <c r="A3832" s="515">
        <v>94518</v>
      </c>
      <c r="B3832" s="515" t="s">
        <v>593</v>
      </c>
      <c r="C3832" s="52">
        <v>814446.15694881801</v>
      </c>
      <c r="D3832" s="56">
        <v>6.235056768719628E-3</v>
      </c>
      <c r="E3832" s="224">
        <v>2892.1626984126901</v>
      </c>
      <c r="F3832" s="515" t="s">
        <v>5157</v>
      </c>
      <c r="G3832" s="52">
        <v>263569.19767043501</v>
      </c>
      <c r="H3832" s="56">
        <v>0.10132769029734273</v>
      </c>
      <c r="I3832" s="224" t="s">
        <v>2</v>
      </c>
    </row>
    <row r="3833" spans="1:9" x14ac:dyDescent="0.25">
      <c r="A3833" s="515">
        <v>70461</v>
      </c>
      <c r="B3833" s="515" t="s">
        <v>777</v>
      </c>
      <c r="C3833" s="52">
        <v>268293.34054855403</v>
      </c>
      <c r="D3833" s="56">
        <v>3.4413568995248618E-2</v>
      </c>
      <c r="E3833" s="224">
        <v>1592.55555555555</v>
      </c>
      <c r="F3833" s="515" t="s">
        <v>5158</v>
      </c>
      <c r="G3833" s="52">
        <v>345903.82223634998</v>
      </c>
      <c r="H3833" s="56">
        <v>3.377724156368903E-3</v>
      </c>
      <c r="I3833" s="224" t="s">
        <v>2</v>
      </c>
    </row>
    <row r="3834" spans="1:9" x14ac:dyDescent="0.25">
      <c r="A3834" s="515">
        <v>43062</v>
      </c>
      <c r="B3834" s="515" t="s">
        <v>345</v>
      </c>
      <c r="C3834" s="52">
        <v>339285.97468274698</v>
      </c>
      <c r="D3834" s="56">
        <v>8.9758696415777744E-2</v>
      </c>
      <c r="E3834" s="224" t="s">
        <v>2</v>
      </c>
      <c r="F3834" s="515" t="s">
        <v>5159</v>
      </c>
      <c r="G3834" s="52">
        <v>271563.602968338</v>
      </c>
      <c r="H3834" s="56">
        <v>4.0840394642275762E-2</v>
      </c>
      <c r="I3834" s="224">
        <v>1719.44444444444</v>
      </c>
    </row>
    <row r="3835" spans="1:9" x14ac:dyDescent="0.25">
      <c r="A3835" s="515">
        <v>44125</v>
      </c>
      <c r="B3835" s="515" t="s">
        <v>520</v>
      </c>
      <c r="C3835" s="52">
        <v>120529.10779157899</v>
      </c>
      <c r="D3835" s="56">
        <v>6.6196821818564747E-2</v>
      </c>
      <c r="E3835" s="224">
        <v>1147.88888888888</v>
      </c>
      <c r="F3835" s="515" t="s">
        <v>5160</v>
      </c>
      <c r="G3835" s="52">
        <v>276025.44477882702</v>
      </c>
      <c r="H3835" s="56">
        <v>9.432914026203397E-2</v>
      </c>
      <c r="I3835" s="224" t="s">
        <v>2</v>
      </c>
    </row>
    <row r="3836" spans="1:9" x14ac:dyDescent="0.25">
      <c r="A3836" s="515">
        <v>60827</v>
      </c>
      <c r="B3836" s="515" t="s">
        <v>394</v>
      </c>
      <c r="C3836" s="52">
        <v>116751.21765457399</v>
      </c>
      <c r="D3836" s="56">
        <v>9.2868272106438943E-2</v>
      </c>
      <c r="E3836" s="224">
        <v>1094.0277777777701</v>
      </c>
      <c r="F3836" s="515" t="s">
        <v>5161</v>
      </c>
      <c r="G3836" s="52">
        <v>389162.01611350803</v>
      </c>
      <c r="H3836" s="56">
        <v>0.11236523488101983</v>
      </c>
      <c r="I3836" s="224" t="s">
        <v>2</v>
      </c>
    </row>
    <row r="3837" spans="1:9" x14ac:dyDescent="0.25">
      <c r="A3837" s="515">
        <v>22802</v>
      </c>
      <c r="B3837" s="515" t="s">
        <v>1026</v>
      </c>
      <c r="C3837" s="52">
        <v>263389.29560458998</v>
      </c>
      <c r="D3837" s="56">
        <v>5.9729777518298818E-2</v>
      </c>
      <c r="E3837" s="224">
        <v>1350</v>
      </c>
      <c r="F3837" s="515" t="s">
        <v>5162</v>
      </c>
      <c r="G3837" s="52">
        <v>920724.86646603502</v>
      </c>
      <c r="H3837" s="56">
        <v>1.7605747583927796E-2</v>
      </c>
      <c r="I3837" s="224">
        <v>2007.2800334168701</v>
      </c>
    </row>
    <row r="3838" spans="1:9" x14ac:dyDescent="0.25">
      <c r="A3838" s="515">
        <v>53213</v>
      </c>
      <c r="B3838" s="515" t="s">
        <v>950</v>
      </c>
      <c r="C3838" s="52">
        <v>326054.37297305698</v>
      </c>
      <c r="D3838" s="56">
        <v>6.5164784627186403E-2</v>
      </c>
      <c r="E3838" s="224">
        <v>1501.98809523809</v>
      </c>
      <c r="F3838" s="515" t="s">
        <v>5163</v>
      </c>
      <c r="G3838" s="52">
        <v>448308.984337395</v>
      </c>
      <c r="H3838" s="56">
        <v>0.12200351374949403</v>
      </c>
      <c r="I3838" s="224" t="s">
        <v>2</v>
      </c>
    </row>
    <row r="3839" spans="1:9" x14ac:dyDescent="0.25">
      <c r="A3839" s="515">
        <v>92173</v>
      </c>
      <c r="B3839" s="515" t="s">
        <v>396</v>
      </c>
      <c r="C3839" s="52">
        <v>572512.75458312</v>
      </c>
      <c r="D3839" s="56">
        <v>6.8501201779054596E-2</v>
      </c>
      <c r="E3839" s="224">
        <v>1960</v>
      </c>
      <c r="F3839" s="515" t="s">
        <v>5164</v>
      </c>
      <c r="G3839" s="52">
        <v>241566.50885458401</v>
      </c>
      <c r="H3839" s="56">
        <v>8.9275763660184276E-2</v>
      </c>
      <c r="I3839" s="224" t="s">
        <v>2</v>
      </c>
    </row>
    <row r="3840" spans="1:9" x14ac:dyDescent="0.25">
      <c r="A3840" s="515">
        <v>11001</v>
      </c>
      <c r="B3840" s="515" t="s">
        <v>324</v>
      </c>
      <c r="C3840" s="52">
        <v>726652.52067646501</v>
      </c>
      <c r="D3840" s="56">
        <v>3.1713313168795082E-2</v>
      </c>
      <c r="E3840" s="224" t="s">
        <v>2</v>
      </c>
      <c r="F3840" s="515" t="s">
        <v>5165</v>
      </c>
      <c r="G3840" s="52">
        <v>473695.361951467</v>
      </c>
      <c r="H3840" s="56">
        <v>9.4576353174067151E-2</v>
      </c>
      <c r="I3840" s="224">
        <v>2606.5</v>
      </c>
    </row>
    <row r="3841" spans="1:9" x14ac:dyDescent="0.25">
      <c r="A3841" s="515">
        <v>35007</v>
      </c>
      <c r="B3841" s="515" t="s">
        <v>640</v>
      </c>
      <c r="C3841" s="52">
        <v>264931.27589818399</v>
      </c>
      <c r="D3841" s="56">
        <v>7.8590691434144641E-2</v>
      </c>
      <c r="E3841" s="224">
        <v>1487.44444444444</v>
      </c>
      <c r="F3841" s="515" t="s">
        <v>5166</v>
      </c>
      <c r="G3841" s="52">
        <v>242101.35233210199</v>
      </c>
      <c r="H3841" s="56">
        <v>9.0541680164649418E-2</v>
      </c>
      <c r="I3841" s="224">
        <v>1839.9166666666599</v>
      </c>
    </row>
    <row r="3842" spans="1:9" x14ac:dyDescent="0.25">
      <c r="A3842" s="515">
        <v>76114</v>
      </c>
      <c r="B3842" s="515" t="s">
        <v>458</v>
      </c>
      <c r="C3842" s="52">
        <v>227772.581228127</v>
      </c>
      <c r="D3842" s="56">
        <v>0.13728803579451632</v>
      </c>
      <c r="E3842" s="224">
        <v>1523.84217171717</v>
      </c>
      <c r="F3842" s="515" t="s">
        <v>5167</v>
      </c>
      <c r="G3842" s="52">
        <v>174003.052804971</v>
      </c>
      <c r="H3842" s="56">
        <v>4.1868148781786414E-2</v>
      </c>
      <c r="I3842" s="224" t="s">
        <v>2</v>
      </c>
    </row>
    <row r="3843" spans="1:9" x14ac:dyDescent="0.25">
      <c r="A3843" s="515">
        <v>30507</v>
      </c>
      <c r="B3843" s="515" t="s">
        <v>1102</v>
      </c>
      <c r="C3843" s="52">
        <v>282238.77117319702</v>
      </c>
      <c r="D3843" s="56">
        <v>0.13274730643315213</v>
      </c>
      <c r="E3843" s="224" t="s">
        <v>2</v>
      </c>
      <c r="F3843" s="515" t="s">
        <v>5168</v>
      </c>
      <c r="G3843" s="52">
        <v>339773.54349336401</v>
      </c>
      <c r="H3843" s="56">
        <v>9.3924834528749251E-2</v>
      </c>
      <c r="I3843" s="224" t="s">
        <v>2</v>
      </c>
    </row>
    <row r="3844" spans="1:9" x14ac:dyDescent="0.25">
      <c r="A3844" s="515">
        <v>55126</v>
      </c>
      <c r="B3844" s="515" t="s">
        <v>532</v>
      </c>
      <c r="C3844" s="52">
        <v>369627.57987850899</v>
      </c>
      <c r="D3844" s="56">
        <v>5.1550303215318893E-2</v>
      </c>
      <c r="E3844" s="224">
        <v>1627.0277777777701</v>
      </c>
      <c r="F3844" s="515" t="s">
        <v>5169</v>
      </c>
      <c r="G3844" s="52">
        <v>278785.11019590002</v>
      </c>
      <c r="H3844" s="56">
        <v>-3.1015989576983227E-3</v>
      </c>
      <c r="I3844" s="224" t="s">
        <v>2</v>
      </c>
    </row>
    <row r="3845" spans="1:9" x14ac:dyDescent="0.25">
      <c r="A3845" s="515">
        <v>68601</v>
      </c>
      <c r="B3845" s="515" t="s">
        <v>567</v>
      </c>
      <c r="C3845" s="52">
        <v>233012.57927735499</v>
      </c>
      <c r="D3845" s="56">
        <v>4.3489172775530209E-2</v>
      </c>
      <c r="E3845" s="224" t="s">
        <v>2</v>
      </c>
      <c r="F3845" s="515" t="s">
        <v>5170</v>
      </c>
      <c r="G3845" s="52">
        <v>405905.15601552802</v>
      </c>
      <c r="H3845" s="56">
        <v>6.8350906855690202E-2</v>
      </c>
      <c r="I3845" s="224">
        <v>1883.3333333333301</v>
      </c>
    </row>
    <row r="3846" spans="1:9" x14ac:dyDescent="0.25">
      <c r="A3846" s="515">
        <v>7110</v>
      </c>
      <c r="B3846" s="515" t="s">
        <v>324</v>
      </c>
      <c r="C3846" s="52">
        <v>497821.532828191</v>
      </c>
      <c r="D3846" s="56">
        <v>5.9549735794424012E-2</v>
      </c>
      <c r="E3846" s="224" t="s">
        <v>2</v>
      </c>
      <c r="F3846" s="515" t="s">
        <v>5171</v>
      </c>
      <c r="G3846" s="52">
        <v>230343.39411239201</v>
      </c>
      <c r="H3846" s="56">
        <v>8.2567273703783944E-2</v>
      </c>
      <c r="I3846" s="224">
        <v>1600</v>
      </c>
    </row>
    <row r="3847" spans="1:9" x14ac:dyDescent="0.25">
      <c r="A3847" s="515">
        <v>40503</v>
      </c>
      <c r="B3847" s="515" t="s">
        <v>515</v>
      </c>
      <c r="C3847" s="52">
        <v>276249.66465669702</v>
      </c>
      <c r="D3847" s="56">
        <v>6.8408813468525481E-2</v>
      </c>
      <c r="E3847" s="224">
        <v>1567.61038961038</v>
      </c>
      <c r="F3847" s="515" t="s">
        <v>5172</v>
      </c>
      <c r="G3847" s="52">
        <v>254692.05778677901</v>
      </c>
      <c r="H3847" s="56">
        <v>1.7429706961913524E-2</v>
      </c>
      <c r="I3847" s="224" t="s">
        <v>2</v>
      </c>
    </row>
    <row r="3848" spans="1:9" x14ac:dyDescent="0.25">
      <c r="A3848" s="515">
        <v>33406</v>
      </c>
      <c r="B3848" s="515" t="s">
        <v>831</v>
      </c>
      <c r="C3848" s="52">
        <v>380393.42900407797</v>
      </c>
      <c r="D3848" s="56">
        <v>9.950499444144642E-2</v>
      </c>
      <c r="E3848" s="224">
        <v>2352.3222222222198</v>
      </c>
      <c r="F3848" s="515" t="s">
        <v>5173</v>
      </c>
      <c r="G3848" s="52">
        <v>300752.86580658302</v>
      </c>
      <c r="H3848" s="56">
        <v>1.1789883207557897E-2</v>
      </c>
      <c r="I3848" s="224" t="s">
        <v>2</v>
      </c>
    </row>
    <row r="3849" spans="1:9" x14ac:dyDescent="0.25">
      <c r="A3849" s="515">
        <v>54130</v>
      </c>
      <c r="B3849" s="515" t="s">
        <v>821</v>
      </c>
      <c r="C3849" s="52">
        <v>257164.686377943</v>
      </c>
      <c r="D3849" s="56">
        <v>8.2714711854134232E-2</v>
      </c>
      <c r="E3849" s="224" t="s">
        <v>2</v>
      </c>
      <c r="F3849" s="515" t="s">
        <v>5174</v>
      </c>
      <c r="G3849" s="52">
        <v>223375.89728596201</v>
      </c>
      <c r="H3849" s="56">
        <v>6.72737644000094E-2</v>
      </c>
      <c r="I3849" s="224" t="s">
        <v>2</v>
      </c>
    </row>
    <row r="3850" spans="1:9" x14ac:dyDescent="0.25">
      <c r="A3850" s="515">
        <v>76132</v>
      </c>
      <c r="B3850" s="515" t="s">
        <v>458</v>
      </c>
      <c r="C3850" s="52">
        <v>431393.191889051</v>
      </c>
      <c r="D3850" s="56">
        <v>6.4164002071511891E-2</v>
      </c>
      <c r="E3850" s="224">
        <v>1410.2906746031699</v>
      </c>
      <c r="F3850" s="515" t="s">
        <v>5175</v>
      </c>
      <c r="G3850" s="52">
        <v>289319.32634212502</v>
      </c>
      <c r="H3850" s="56">
        <v>8.558412320541213E-2</v>
      </c>
      <c r="I3850" s="224" t="s">
        <v>2</v>
      </c>
    </row>
    <row r="3851" spans="1:9" x14ac:dyDescent="0.25">
      <c r="A3851" s="515">
        <v>91724</v>
      </c>
      <c r="B3851" s="515" t="s">
        <v>375</v>
      </c>
      <c r="C3851" s="52">
        <v>764990.53868876898</v>
      </c>
      <c r="D3851" s="56">
        <v>2.9626543244560523E-2</v>
      </c>
      <c r="E3851" s="224" t="s">
        <v>2</v>
      </c>
      <c r="F3851" s="515" t="s">
        <v>5176</v>
      </c>
      <c r="G3851" s="52">
        <v>287306.37439733098</v>
      </c>
      <c r="H3851" s="56">
        <v>8.2480770719145002E-2</v>
      </c>
      <c r="I3851" s="224" t="s">
        <v>2</v>
      </c>
    </row>
    <row r="3852" spans="1:9" x14ac:dyDescent="0.25">
      <c r="A3852" s="515">
        <v>7631</v>
      </c>
      <c r="B3852" s="515" t="s">
        <v>324</v>
      </c>
      <c r="C3852" s="52">
        <v>488932.327172024</v>
      </c>
      <c r="D3852" s="56">
        <v>5.4400387651307093E-2</v>
      </c>
      <c r="E3852" s="224">
        <v>2675.3055555555502</v>
      </c>
      <c r="F3852" s="515" t="s">
        <v>5177</v>
      </c>
      <c r="G3852" s="52">
        <v>218501.355225482</v>
      </c>
      <c r="H3852" s="56">
        <v>3.000578105361475E-2</v>
      </c>
      <c r="I3852" s="224" t="s">
        <v>2</v>
      </c>
    </row>
    <row r="3853" spans="1:9" x14ac:dyDescent="0.25">
      <c r="A3853" s="515">
        <v>82604</v>
      </c>
      <c r="B3853" s="515" t="s">
        <v>766</v>
      </c>
      <c r="C3853" s="52">
        <v>266616.42616862402</v>
      </c>
      <c r="D3853" s="56">
        <v>8.6636260517114316E-2</v>
      </c>
      <c r="E3853" s="224" t="s">
        <v>2</v>
      </c>
      <c r="F3853" s="515" t="s">
        <v>5178</v>
      </c>
      <c r="G3853" s="52">
        <v>636754.76705980697</v>
      </c>
      <c r="H3853" s="56">
        <v>8.625708236244034E-2</v>
      </c>
      <c r="I3853" s="224" t="s">
        <v>2</v>
      </c>
    </row>
    <row r="3854" spans="1:9" x14ac:dyDescent="0.25">
      <c r="A3854" s="515">
        <v>77023</v>
      </c>
      <c r="B3854" s="515" t="s">
        <v>314</v>
      </c>
      <c r="C3854" s="52">
        <v>253759.19728691099</v>
      </c>
      <c r="D3854" s="56">
        <v>6.8248368033607509E-2</v>
      </c>
      <c r="E3854" s="224">
        <v>1353.7448107448099</v>
      </c>
      <c r="F3854" s="515" t="s">
        <v>5179</v>
      </c>
      <c r="G3854" s="52">
        <v>164424.27535248501</v>
      </c>
      <c r="H3854" s="56">
        <v>0.11503914886016431</v>
      </c>
      <c r="I3854" s="224" t="s">
        <v>2</v>
      </c>
    </row>
    <row r="3855" spans="1:9" x14ac:dyDescent="0.25">
      <c r="A3855" s="515">
        <v>91741</v>
      </c>
      <c r="B3855" s="515" t="s">
        <v>375</v>
      </c>
      <c r="C3855" s="52">
        <v>914176.19310550403</v>
      </c>
      <c r="D3855" s="56">
        <v>4.3212828134939228E-2</v>
      </c>
      <c r="E3855" s="224">
        <v>3398.3333333333298</v>
      </c>
      <c r="F3855" s="515" t="s">
        <v>5180</v>
      </c>
      <c r="G3855" s="52">
        <v>541609.85363117501</v>
      </c>
      <c r="H3855" s="56">
        <v>2.012314162630546E-2</v>
      </c>
      <c r="I3855" s="224" t="s">
        <v>2</v>
      </c>
    </row>
    <row r="3856" spans="1:9" x14ac:dyDescent="0.25">
      <c r="A3856" s="515">
        <v>27104</v>
      </c>
      <c r="B3856" s="515" t="s">
        <v>735</v>
      </c>
      <c r="C3856" s="52">
        <v>316240.456475919</v>
      </c>
      <c r="D3856" s="56">
        <v>9.7618820434047016E-2</v>
      </c>
      <c r="E3856" s="224">
        <v>1648.3333333333301</v>
      </c>
      <c r="F3856" s="515" t="s">
        <v>5181</v>
      </c>
      <c r="G3856" s="52">
        <v>596727.58914168004</v>
      </c>
      <c r="H3856" s="56">
        <v>2.8406654011006473E-2</v>
      </c>
      <c r="I3856" s="224" t="s">
        <v>2</v>
      </c>
    </row>
    <row r="3857" spans="1:9" x14ac:dyDescent="0.25">
      <c r="A3857" s="515">
        <v>44883</v>
      </c>
      <c r="B3857" s="515" t="s">
        <v>463</v>
      </c>
      <c r="C3857" s="52">
        <v>152492.216954598</v>
      </c>
      <c r="D3857" s="56">
        <v>5.457727350069326E-2</v>
      </c>
      <c r="E3857" s="224">
        <v>782</v>
      </c>
      <c r="F3857" s="515" t="s">
        <v>347</v>
      </c>
      <c r="G3857" s="52">
        <v>95898.829307225795</v>
      </c>
      <c r="H3857" s="56">
        <v>6.6891902765726374E-2</v>
      </c>
      <c r="I3857" s="224">
        <v>776.66666666666595</v>
      </c>
    </row>
    <row r="3858" spans="1:9" x14ac:dyDescent="0.25">
      <c r="A3858" s="515">
        <v>94107</v>
      </c>
      <c r="B3858" s="515" t="s">
        <v>593</v>
      </c>
      <c r="C3858" s="52">
        <v>998642.76569326897</v>
      </c>
      <c r="D3858" s="56">
        <v>-0.10868290570374482</v>
      </c>
      <c r="E3858" s="224">
        <v>3448.7496240601499</v>
      </c>
      <c r="F3858" s="515" t="s">
        <v>5182</v>
      </c>
      <c r="G3858" s="52">
        <v>386468.67301570898</v>
      </c>
      <c r="H3858" s="56">
        <v>7.9146031578725726E-2</v>
      </c>
      <c r="I3858" s="224" t="s">
        <v>2</v>
      </c>
    </row>
    <row r="3859" spans="1:9" x14ac:dyDescent="0.25">
      <c r="A3859" s="515">
        <v>83705</v>
      </c>
      <c r="B3859" s="515" t="s">
        <v>500</v>
      </c>
      <c r="C3859" s="52">
        <v>393446.76756648201</v>
      </c>
      <c r="D3859" s="56">
        <v>-1.8628144070196865E-2</v>
      </c>
      <c r="E3859" s="224">
        <v>1572.44444444444</v>
      </c>
      <c r="F3859" s="515" t="s">
        <v>5183</v>
      </c>
      <c r="G3859" s="52">
        <v>397932.57130222698</v>
      </c>
      <c r="H3859" s="56">
        <v>1.1731476703332976E-2</v>
      </c>
      <c r="I3859" s="224" t="s">
        <v>2</v>
      </c>
    </row>
    <row r="3860" spans="1:9" x14ac:dyDescent="0.25">
      <c r="A3860" s="515">
        <v>11727</v>
      </c>
      <c r="B3860" s="515" t="s">
        <v>324</v>
      </c>
      <c r="C3860" s="52">
        <v>441668.98773354001</v>
      </c>
      <c r="D3860" s="56">
        <v>4.1142375917524746E-2</v>
      </c>
      <c r="E3860" s="224">
        <v>3064.8333333333298</v>
      </c>
      <c r="F3860" s="515" t="s">
        <v>5184</v>
      </c>
      <c r="G3860" s="52">
        <v>152067.13382211601</v>
      </c>
      <c r="H3860" s="56">
        <v>7.997301581770512E-2</v>
      </c>
      <c r="I3860" s="224" t="s">
        <v>2</v>
      </c>
    </row>
    <row r="3861" spans="1:9" x14ac:dyDescent="0.25">
      <c r="A3861" s="515">
        <v>46176</v>
      </c>
      <c r="B3861" s="515" t="s">
        <v>403</v>
      </c>
      <c r="C3861" s="52">
        <v>190200.48373830499</v>
      </c>
      <c r="D3861" s="56">
        <v>8.7926867630286981E-2</v>
      </c>
      <c r="E3861" s="224">
        <v>1645</v>
      </c>
      <c r="F3861" s="515" t="s">
        <v>5185</v>
      </c>
      <c r="G3861" s="52">
        <v>432570.03321782901</v>
      </c>
      <c r="H3861" s="56">
        <v>6.2466099133818322E-2</v>
      </c>
      <c r="I3861" s="224">
        <v>1699.5</v>
      </c>
    </row>
    <row r="3862" spans="1:9" x14ac:dyDescent="0.25">
      <c r="A3862" s="515">
        <v>61107</v>
      </c>
      <c r="B3862" s="515" t="s">
        <v>1104</v>
      </c>
      <c r="C3862" s="52">
        <v>162806.68171841599</v>
      </c>
      <c r="D3862" s="56">
        <v>6.282404598720473E-2</v>
      </c>
      <c r="E3862" s="224">
        <v>1124.375</v>
      </c>
      <c r="F3862" s="515" t="s">
        <v>5186</v>
      </c>
      <c r="G3862" s="52">
        <v>226163.043938769</v>
      </c>
      <c r="H3862" s="56">
        <v>7.6531750617789995E-2</v>
      </c>
      <c r="I3862" s="224">
        <v>1287.1111111111099</v>
      </c>
    </row>
    <row r="3863" spans="1:9" x14ac:dyDescent="0.25">
      <c r="A3863" s="515">
        <v>33331</v>
      </c>
      <c r="B3863" s="515" t="s">
        <v>831</v>
      </c>
      <c r="C3863" s="52">
        <v>747001.18296817399</v>
      </c>
      <c r="D3863" s="56">
        <v>0.14268700753758543</v>
      </c>
      <c r="E3863" s="224">
        <v>4058.3333333333298</v>
      </c>
      <c r="F3863" s="515" t="s">
        <v>5187</v>
      </c>
      <c r="G3863" s="52">
        <v>597853.94344619301</v>
      </c>
      <c r="H3863" s="56">
        <v>6.2530828447965675E-2</v>
      </c>
      <c r="I3863" s="224">
        <v>2300</v>
      </c>
    </row>
    <row r="3864" spans="1:9" x14ac:dyDescent="0.25">
      <c r="A3864" s="515">
        <v>27012</v>
      </c>
      <c r="B3864" s="515" t="s">
        <v>735</v>
      </c>
      <c r="C3864" s="52">
        <v>341086.08339874301</v>
      </c>
      <c r="D3864" s="56">
        <v>0.10226357160879766</v>
      </c>
      <c r="E3864" s="224">
        <v>1595.32222222222</v>
      </c>
      <c r="F3864" s="515" t="s">
        <v>5188</v>
      </c>
      <c r="G3864" s="52">
        <v>169824.358595244</v>
      </c>
      <c r="H3864" s="56">
        <v>7.1343427974888185E-2</v>
      </c>
      <c r="I3864" s="224" t="s">
        <v>2</v>
      </c>
    </row>
    <row r="3865" spans="1:9" x14ac:dyDescent="0.25">
      <c r="A3865" s="515">
        <v>2720</v>
      </c>
      <c r="B3865" s="515" t="s">
        <v>513</v>
      </c>
      <c r="C3865" s="52">
        <v>375775.44577823899</v>
      </c>
      <c r="D3865" s="56">
        <v>9.7277690451306534E-2</v>
      </c>
      <c r="E3865" s="224">
        <v>1709.5833333333301</v>
      </c>
      <c r="F3865" s="515" t="s">
        <v>5189</v>
      </c>
      <c r="G3865" s="52">
        <v>278942.381163224</v>
      </c>
      <c r="H3865" s="56">
        <v>3.9254374079314688E-2</v>
      </c>
      <c r="I3865" s="224" t="s">
        <v>2</v>
      </c>
    </row>
    <row r="3866" spans="1:9" x14ac:dyDescent="0.25">
      <c r="A3866" s="515">
        <v>30296</v>
      </c>
      <c r="B3866" s="515" t="s">
        <v>957</v>
      </c>
      <c r="C3866" s="52">
        <v>238885.67648030899</v>
      </c>
      <c r="D3866" s="56">
        <v>0.10556751274664107</v>
      </c>
      <c r="E3866" s="224">
        <v>1891.88095238095</v>
      </c>
      <c r="F3866" s="515" t="s">
        <v>5190</v>
      </c>
      <c r="G3866" s="52">
        <v>150131.893288455</v>
      </c>
      <c r="H3866" s="56">
        <v>9.2349586113353963E-2</v>
      </c>
      <c r="I3866" s="224" t="s">
        <v>2</v>
      </c>
    </row>
    <row r="3867" spans="1:9" x14ac:dyDescent="0.25">
      <c r="A3867" s="515">
        <v>89113</v>
      </c>
      <c r="B3867" s="515" t="s">
        <v>323</v>
      </c>
      <c r="C3867" s="52">
        <v>432876.16785516503</v>
      </c>
      <c r="D3867" s="56">
        <v>5.1881021244455192E-2</v>
      </c>
      <c r="E3867" s="224">
        <v>1785.3508771929801</v>
      </c>
      <c r="F3867" s="515" t="s">
        <v>5191</v>
      </c>
      <c r="G3867" s="52">
        <v>239021.10572530801</v>
      </c>
      <c r="H3867" s="56">
        <v>2.3393704714538676E-2</v>
      </c>
      <c r="I3867" s="224" t="s">
        <v>2</v>
      </c>
    </row>
    <row r="3868" spans="1:9" x14ac:dyDescent="0.25">
      <c r="A3868" s="515">
        <v>20705</v>
      </c>
      <c r="B3868" s="515" t="s">
        <v>321</v>
      </c>
      <c r="C3868" s="52">
        <v>420312.04450096702</v>
      </c>
      <c r="D3868" s="56">
        <v>3.4713677216015634E-2</v>
      </c>
      <c r="E3868" s="224">
        <v>1663.9722222222199</v>
      </c>
      <c r="F3868" s="515" t="s">
        <v>5192</v>
      </c>
      <c r="G3868" s="52">
        <v>448550.40077408502</v>
      </c>
      <c r="H3868" s="56">
        <v>9.6962482832208027E-2</v>
      </c>
      <c r="I3868" s="224">
        <v>2086.1111111111099</v>
      </c>
    </row>
    <row r="3869" spans="1:9" x14ac:dyDescent="0.25">
      <c r="A3869" s="515">
        <v>30329</v>
      </c>
      <c r="B3869" s="515" t="s">
        <v>957</v>
      </c>
      <c r="C3869" s="52">
        <v>481995.766778677</v>
      </c>
      <c r="D3869" s="56">
        <v>6.2348307317336628E-2</v>
      </c>
      <c r="E3869" s="224">
        <v>1768.3375863902099</v>
      </c>
      <c r="F3869" s="515" t="s">
        <v>5193</v>
      </c>
      <c r="G3869" s="52">
        <v>126908.64699019201</v>
      </c>
      <c r="H3869" s="56">
        <v>8.8521180344264025E-2</v>
      </c>
      <c r="I3869" s="224" t="s">
        <v>2</v>
      </c>
    </row>
    <row r="3870" spans="1:9" x14ac:dyDescent="0.25">
      <c r="A3870" s="515">
        <v>76020</v>
      </c>
      <c r="B3870" s="515" t="s">
        <v>458</v>
      </c>
      <c r="C3870" s="52">
        <v>314388.23724295298</v>
      </c>
      <c r="D3870" s="56">
        <v>8.2097684463221937E-2</v>
      </c>
      <c r="E3870" s="224">
        <v>1469.5833333333301</v>
      </c>
      <c r="F3870" s="515" t="s">
        <v>5194</v>
      </c>
      <c r="G3870" s="52">
        <v>329331.94872669398</v>
      </c>
      <c r="H3870" s="56">
        <v>3.6885126626788813E-2</v>
      </c>
      <c r="I3870" s="224" t="s">
        <v>2</v>
      </c>
    </row>
    <row r="3871" spans="1:9" x14ac:dyDescent="0.25">
      <c r="A3871" s="515">
        <v>6514</v>
      </c>
      <c r="B3871" s="515" t="s">
        <v>1172</v>
      </c>
      <c r="C3871" s="52">
        <v>264048.34382297902</v>
      </c>
      <c r="D3871" s="56">
        <v>0.11434511550125735</v>
      </c>
      <c r="E3871" s="224">
        <v>1748.75</v>
      </c>
      <c r="F3871" s="515" t="s">
        <v>5195</v>
      </c>
      <c r="G3871" s="52">
        <v>265700.74493710301</v>
      </c>
      <c r="H3871" s="56">
        <v>5.2805514061138738E-2</v>
      </c>
      <c r="I3871" s="224" t="s">
        <v>2</v>
      </c>
    </row>
    <row r="3872" spans="1:9" x14ac:dyDescent="0.25">
      <c r="A3872" s="515">
        <v>70806</v>
      </c>
      <c r="B3872" s="515" t="s">
        <v>610</v>
      </c>
      <c r="C3872" s="52">
        <v>230865.96088749901</v>
      </c>
      <c r="D3872" s="56">
        <v>3.8146039187371E-2</v>
      </c>
      <c r="E3872" s="224">
        <v>1182.7202380952299</v>
      </c>
      <c r="F3872" s="515" t="s">
        <v>5196</v>
      </c>
      <c r="G3872" s="52">
        <v>342264.72110621299</v>
      </c>
      <c r="H3872" s="56">
        <v>7.5407631652847182E-2</v>
      </c>
      <c r="I3872" s="224" t="s">
        <v>2</v>
      </c>
    </row>
    <row r="3873" spans="1:9" x14ac:dyDescent="0.25">
      <c r="A3873" s="515">
        <v>37311</v>
      </c>
      <c r="B3873" s="515" t="s">
        <v>918</v>
      </c>
      <c r="C3873" s="52">
        <v>204638.227399608</v>
      </c>
      <c r="D3873" s="56">
        <v>0.10145208481182998</v>
      </c>
      <c r="E3873" s="224">
        <v>1320.5</v>
      </c>
      <c r="F3873" s="515" t="s">
        <v>5197</v>
      </c>
      <c r="G3873" s="52">
        <v>348762.49299817899</v>
      </c>
      <c r="H3873" s="56">
        <v>9.5300960321881623E-2</v>
      </c>
      <c r="I3873" s="224" t="s">
        <v>2</v>
      </c>
    </row>
    <row r="3874" spans="1:9" x14ac:dyDescent="0.25">
      <c r="A3874" s="515">
        <v>33556</v>
      </c>
      <c r="B3874" s="515" t="s">
        <v>461</v>
      </c>
      <c r="C3874" s="52">
        <v>622391.37777525804</v>
      </c>
      <c r="D3874" s="56">
        <v>0.11248160539397792</v>
      </c>
      <c r="E3874" s="224">
        <v>2116.03299663299</v>
      </c>
      <c r="F3874" s="515" t="s">
        <v>5198</v>
      </c>
      <c r="G3874" s="52">
        <v>410947.008718836</v>
      </c>
      <c r="H3874" s="56">
        <v>3.9931291497123364E-2</v>
      </c>
      <c r="I3874" s="224" t="s">
        <v>2</v>
      </c>
    </row>
    <row r="3875" spans="1:9" x14ac:dyDescent="0.25">
      <c r="A3875" s="515">
        <v>73533</v>
      </c>
      <c r="B3875" s="515" t="s">
        <v>474</v>
      </c>
      <c r="C3875" s="52">
        <v>103687.11075877299</v>
      </c>
      <c r="D3875" s="56">
        <v>0.10289463752686431</v>
      </c>
      <c r="E3875" s="224" t="s">
        <v>2</v>
      </c>
      <c r="F3875" s="515" t="s">
        <v>5199</v>
      </c>
      <c r="G3875" s="52">
        <v>236494.78537725299</v>
      </c>
      <c r="H3875" s="56">
        <v>0.14074870733124151</v>
      </c>
      <c r="I3875" s="224">
        <v>1267.5</v>
      </c>
    </row>
    <row r="3876" spans="1:9" x14ac:dyDescent="0.25">
      <c r="A3876" s="515">
        <v>10308</v>
      </c>
      <c r="B3876" s="515" t="s">
        <v>324</v>
      </c>
      <c r="C3876" s="52">
        <v>630629.96652882302</v>
      </c>
      <c r="D3876" s="56">
        <v>4.4297830915740716E-2</v>
      </c>
      <c r="E3876" s="224">
        <v>1900</v>
      </c>
      <c r="F3876" s="515" t="s">
        <v>5200</v>
      </c>
      <c r="G3876" s="52">
        <v>336241.07015364</v>
      </c>
      <c r="H3876" s="56">
        <v>9.5931553485943191E-2</v>
      </c>
      <c r="I3876" s="224" t="s">
        <v>2</v>
      </c>
    </row>
    <row r="3877" spans="1:9" x14ac:dyDescent="0.25">
      <c r="A3877" s="515">
        <v>60189</v>
      </c>
      <c r="B3877" s="515" t="s">
        <v>394</v>
      </c>
      <c r="C3877" s="52">
        <v>405312.50865420402</v>
      </c>
      <c r="D3877" s="56">
        <v>5.4200672526577828E-2</v>
      </c>
      <c r="E3877" s="224">
        <v>2228.7777777777701</v>
      </c>
      <c r="F3877" s="515" t="s">
        <v>5201</v>
      </c>
      <c r="G3877" s="52">
        <v>255447.384007129</v>
      </c>
      <c r="H3877" s="56">
        <v>0.10145204144019068</v>
      </c>
      <c r="I3877" s="224">
        <v>1373.1666666666599</v>
      </c>
    </row>
    <row r="3878" spans="1:9" x14ac:dyDescent="0.25">
      <c r="A3878" s="515">
        <v>7054</v>
      </c>
      <c r="B3878" s="515" t="s">
        <v>324</v>
      </c>
      <c r="C3878" s="52">
        <v>566440.31184204796</v>
      </c>
      <c r="D3878" s="56">
        <v>4.2498970687070398E-2</v>
      </c>
      <c r="E3878" s="224">
        <v>2161.38888888888</v>
      </c>
      <c r="F3878" s="515" t="s">
        <v>5202</v>
      </c>
      <c r="G3878" s="52">
        <v>391085.16175395699</v>
      </c>
      <c r="H3878" s="56">
        <v>3.7836439615898651E-2</v>
      </c>
      <c r="I3878" s="224" t="s">
        <v>2</v>
      </c>
    </row>
    <row r="3879" spans="1:9" x14ac:dyDescent="0.25">
      <c r="A3879" s="515">
        <v>98074</v>
      </c>
      <c r="B3879" s="515" t="s">
        <v>384</v>
      </c>
      <c r="C3879" s="52">
        <v>1391591.6733621201</v>
      </c>
      <c r="D3879" s="56">
        <v>3.7421345337602024E-2</v>
      </c>
      <c r="E3879" s="224">
        <v>2832.9301587301502</v>
      </c>
      <c r="F3879" s="515" t="s">
        <v>5203</v>
      </c>
      <c r="G3879" s="52">
        <v>295424.494579577</v>
      </c>
      <c r="H3879" s="56">
        <v>6.0417821506753518E-2</v>
      </c>
      <c r="I3879" s="224" t="s">
        <v>2</v>
      </c>
    </row>
    <row r="3880" spans="1:9" x14ac:dyDescent="0.25">
      <c r="A3880" s="515">
        <v>48315</v>
      </c>
      <c r="B3880" s="515" t="s">
        <v>685</v>
      </c>
      <c r="C3880" s="52">
        <v>387096.05531562702</v>
      </c>
      <c r="D3880" s="56">
        <v>5.9720726719725351E-2</v>
      </c>
      <c r="E3880" s="224" t="s">
        <v>2</v>
      </c>
      <c r="F3880" s="515" t="s">
        <v>5204</v>
      </c>
      <c r="G3880" s="52">
        <v>234438.19738579501</v>
      </c>
      <c r="H3880" s="56">
        <v>6.8328693081574979E-2</v>
      </c>
      <c r="I3880" s="224" t="s">
        <v>2</v>
      </c>
    </row>
    <row r="3881" spans="1:9" x14ac:dyDescent="0.25">
      <c r="A3881" s="515">
        <v>77545</v>
      </c>
      <c r="B3881" s="515" t="s">
        <v>314</v>
      </c>
      <c r="C3881" s="52">
        <v>279497.13735928002</v>
      </c>
      <c r="D3881" s="56">
        <v>7.3534953786069404E-2</v>
      </c>
      <c r="E3881" s="224">
        <v>1944.9166666666599</v>
      </c>
      <c r="F3881" s="515" t="s">
        <v>5205</v>
      </c>
      <c r="G3881" s="52">
        <v>190167.20377118001</v>
      </c>
      <c r="H3881" s="56">
        <v>7.3809962322723383E-2</v>
      </c>
      <c r="I3881" s="224" t="s">
        <v>2</v>
      </c>
    </row>
    <row r="3882" spans="1:9" x14ac:dyDescent="0.25">
      <c r="A3882" s="515">
        <v>78102</v>
      </c>
      <c r="B3882" s="515" t="s">
        <v>1096</v>
      </c>
      <c r="C3882" s="52">
        <v>140461.42540165401</v>
      </c>
      <c r="D3882" s="56">
        <v>-1.382041568991569E-2</v>
      </c>
      <c r="E3882" s="224" t="s">
        <v>2</v>
      </c>
      <c r="F3882" s="515" t="s">
        <v>5206</v>
      </c>
      <c r="G3882" s="52">
        <v>1391882.5705504799</v>
      </c>
      <c r="H3882" s="56">
        <v>4.6135815470753523E-2</v>
      </c>
      <c r="I3882" s="224">
        <v>2701.6666666666601</v>
      </c>
    </row>
    <row r="3883" spans="1:9" x14ac:dyDescent="0.25">
      <c r="A3883" s="515">
        <v>28001</v>
      </c>
      <c r="B3883" s="515" t="s">
        <v>1168</v>
      </c>
      <c r="C3883" s="52">
        <v>221950.413096581</v>
      </c>
      <c r="D3883" s="56">
        <v>0.20835850931183014</v>
      </c>
      <c r="E3883" s="224" t="s">
        <v>2</v>
      </c>
      <c r="F3883" s="515" t="s">
        <v>5207</v>
      </c>
      <c r="G3883" s="52">
        <v>1243499.98518309</v>
      </c>
      <c r="H3883" s="56">
        <v>2.3417040324679731E-2</v>
      </c>
      <c r="I3883" s="224">
        <v>2640.6944444444398</v>
      </c>
    </row>
    <row r="3884" spans="1:9" x14ac:dyDescent="0.25">
      <c r="A3884" s="515">
        <v>6880</v>
      </c>
      <c r="B3884" s="515" t="s">
        <v>1173</v>
      </c>
      <c r="C3884" s="52">
        <v>1512410.50791284</v>
      </c>
      <c r="D3884" s="56">
        <v>0.1115885965900415</v>
      </c>
      <c r="E3884" s="224" t="s">
        <v>2</v>
      </c>
      <c r="F3884" s="515" t="s">
        <v>592</v>
      </c>
      <c r="G3884" s="52">
        <v>124050.402912373</v>
      </c>
      <c r="H3884" s="56">
        <v>0.14741538127538953</v>
      </c>
      <c r="I3884" s="224" t="s">
        <v>2</v>
      </c>
    </row>
    <row r="3885" spans="1:9" x14ac:dyDescent="0.25">
      <c r="A3885" s="515">
        <v>88201</v>
      </c>
      <c r="B3885" s="515" t="s">
        <v>858</v>
      </c>
      <c r="C3885" s="52">
        <v>204074.20765642999</v>
      </c>
      <c r="D3885" s="56">
        <v>3.572554506294822E-2</v>
      </c>
      <c r="E3885" s="224" t="s">
        <v>2</v>
      </c>
      <c r="F3885" s="515" t="s">
        <v>5208</v>
      </c>
      <c r="G3885" s="52">
        <v>963302.26387833897</v>
      </c>
      <c r="H3885" s="56">
        <v>5.8809493710132402E-2</v>
      </c>
      <c r="I3885" s="224" t="s">
        <v>2</v>
      </c>
    </row>
    <row r="3886" spans="1:9" x14ac:dyDescent="0.25">
      <c r="A3886" s="515">
        <v>32829</v>
      </c>
      <c r="B3886" s="515" t="s">
        <v>517</v>
      </c>
      <c r="C3886" s="52">
        <v>382039.02598203602</v>
      </c>
      <c r="D3886" s="56">
        <v>8.5866003606633434E-2</v>
      </c>
      <c r="E3886" s="224">
        <v>2247.2222222222199</v>
      </c>
      <c r="F3886" s="515" t="s">
        <v>5209</v>
      </c>
      <c r="G3886" s="52">
        <v>254641.11021297399</v>
      </c>
      <c r="H3886" s="56">
        <v>3.7070409727654713E-2</v>
      </c>
      <c r="I3886" s="224" t="s">
        <v>2</v>
      </c>
    </row>
    <row r="3887" spans="1:9" x14ac:dyDescent="0.25">
      <c r="A3887" s="515">
        <v>15044</v>
      </c>
      <c r="B3887" s="515" t="s">
        <v>297</v>
      </c>
      <c r="C3887" s="52">
        <v>373927.84125067998</v>
      </c>
      <c r="D3887" s="56">
        <v>6.1633645572836224E-2</v>
      </c>
      <c r="E3887" s="224" t="s">
        <v>2</v>
      </c>
      <c r="F3887" s="515" t="s">
        <v>5210</v>
      </c>
      <c r="G3887" s="52">
        <v>375076.35529363598</v>
      </c>
      <c r="H3887" s="56">
        <v>0.12267388361542748</v>
      </c>
      <c r="I3887" s="224">
        <v>2071.5</v>
      </c>
    </row>
    <row r="3888" spans="1:9" x14ac:dyDescent="0.25">
      <c r="A3888" s="515">
        <v>16335</v>
      </c>
      <c r="B3888" s="515" t="s">
        <v>1042</v>
      </c>
      <c r="C3888" s="52">
        <v>134683.767258693</v>
      </c>
      <c r="D3888" s="56">
        <v>0.10194181080046243</v>
      </c>
      <c r="E3888" s="224">
        <v>650</v>
      </c>
      <c r="F3888" s="515" t="s">
        <v>5211</v>
      </c>
      <c r="G3888" s="52">
        <v>230310.25980529201</v>
      </c>
      <c r="H3888" s="56">
        <v>9.4760215198505304E-2</v>
      </c>
      <c r="I3888" s="224">
        <v>1249</v>
      </c>
    </row>
    <row r="3889" spans="1:9" x14ac:dyDescent="0.25">
      <c r="A3889" s="515">
        <v>11050</v>
      </c>
      <c r="B3889" s="515" t="s">
        <v>324</v>
      </c>
      <c r="C3889" s="52">
        <v>1056431.3325185</v>
      </c>
      <c r="D3889" s="56">
        <v>3.5580207634111606E-2</v>
      </c>
      <c r="E3889" s="224">
        <v>5500</v>
      </c>
      <c r="F3889" s="515" t="s">
        <v>5212</v>
      </c>
      <c r="G3889" s="52">
        <v>321692.213756627</v>
      </c>
      <c r="H3889" s="56">
        <v>0.10849453803538479</v>
      </c>
      <c r="I3889" s="224" t="s">
        <v>2</v>
      </c>
    </row>
    <row r="3890" spans="1:9" x14ac:dyDescent="0.25">
      <c r="A3890" s="515">
        <v>15217</v>
      </c>
      <c r="B3890" s="515" t="s">
        <v>297</v>
      </c>
      <c r="C3890" s="52">
        <v>384674.23398752901</v>
      </c>
      <c r="D3890" s="56">
        <v>2.8136363071267798E-2</v>
      </c>
      <c r="E3890" s="224">
        <v>1804.50793650793</v>
      </c>
      <c r="F3890" s="515" t="s">
        <v>782</v>
      </c>
      <c r="G3890" s="52">
        <v>197468.428620691</v>
      </c>
      <c r="H3890" s="56">
        <v>7.9835068430922182E-2</v>
      </c>
      <c r="I3890" s="224" t="s">
        <v>2</v>
      </c>
    </row>
    <row r="3891" spans="1:9" x14ac:dyDescent="0.25">
      <c r="A3891" s="515">
        <v>77578</v>
      </c>
      <c r="B3891" s="515" t="s">
        <v>314</v>
      </c>
      <c r="C3891" s="52">
        <v>389843.25986480102</v>
      </c>
      <c r="D3891" s="56">
        <v>7.7028824702873588E-2</v>
      </c>
      <c r="E3891" s="224">
        <v>2131.25</v>
      </c>
      <c r="F3891" s="515" t="s">
        <v>5213</v>
      </c>
      <c r="G3891" s="52">
        <v>530471.58595194004</v>
      </c>
      <c r="H3891" s="56">
        <v>0</v>
      </c>
      <c r="I3891" s="224" t="s">
        <v>2</v>
      </c>
    </row>
    <row r="3892" spans="1:9" x14ac:dyDescent="0.25">
      <c r="A3892" s="515">
        <v>63028</v>
      </c>
      <c r="B3892" s="515" t="s">
        <v>498</v>
      </c>
      <c r="C3892" s="52">
        <v>231322.35584330701</v>
      </c>
      <c r="D3892" s="56">
        <v>4.8961463666553941E-2</v>
      </c>
      <c r="E3892" s="224" t="s">
        <v>2</v>
      </c>
      <c r="F3892" s="515" t="s">
        <v>5214</v>
      </c>
      <c r="G3892" s="52">
        <v>106973.861303538</v>
      </c>
      <c r="H3892" s="56">
        <v>3.3006288930669106E-2</v>
      </c>
      <c r="I3892" s="224">
        <v>741.944444444444</v>
      </c>
    </row>
    <row r="3893" spans="1:9" x14ac:dyDescent="0.25">
      <c r="A3893" s="515">
        <v>21209</v>
      </c>
      <c r="B3893" s="515" t="s">
        <v>582</v>
      </c>
      <c r="C3893" s="52">
        <v>395970.98774201499</v>
      </c>
      <c r="D3893" s="56">
        <v>6.0037060065685724E-2</v>
      </c>
      <c r="E3893" s="224">
        <v>1563.8106060606001</v>
      </c>
      <c r="F3893" s="515" t="s">
        <v>363</v>
      </c>
      <c r="G3893" s="52">
        <v>218462.709880957</v>
      </c>
      <c r="H3893" s="56">
        <v>1.3141600586548915E-2</v>
      </c>
      <c r="I3893" s="224" t="s">
        <v>2</v>
      </c>
    </row>
    <row r="3894" spans="1:9" x14ac:dyDescent="0.25">
      <c r="A3894" s="515">
        <v>31525</v>
      </c>
      <c r="B3894" s="515" t="s">
        <v>871</v>
      </c>
      <c r="C3894" s="52">
        <v>238241.10744605801</v>
      </c>
      <c r="D3894" s="56">
        <v>0.15464241187212907</v>
      </c>
      <c r="E3894" s="224">
        <v>1540.6666666666599</v>
      </c>
      <c r="F3894" s="515" t="s">
        <v>5215</v>
      </c>
      <c r="G3894" s="52">
        <v>348589.98376023798</v>
      </c>
      <c r="H3894" s="56">
        <v>4.9651754451728924E-2</v>
      </c>
      <c r="I3894" s="224" t="s">
        <v>2</v>
      </c>
    </row>
    <row r="3895" spans="1:9" x14ac:dyDescent="0.25">
      <c r="A3895" s="515">
        <v>71202</v>
      </c>
      <c r="B3895" s="515" t="s">
        <v>695</v>
      </c>
      <c r="C3895" s="52">
        <v>53701.824883598398</v>
      </c>
      <c r="D3895" s="56">
        <v>0.27870410667788392</v>
      </c>
      <c r="E3895" s="224" t="s">
        <v>2</v>
      </c>
      <c r="F3895" s="515" t="s">
        <v>971</v>
      </c>
      <c r="G3895" s="52">
        <v>169451.30461769601</v>
      </c>
      <c r="H3895" s="56">
        <v>8.0198896541255629E-2</v>
      </c>
      <c r="I3895" s="224" t="s">
        <v>2</v>
      </c>
    </row>
    <row r="3896" spans="1:9" x14ac:dyDescent="0.25">
      <c r="A3896" s="515">
        <v>36067</v>
      </c>
      <c r="B3896" s="515" t="s">
        <v>806</v>
      </c>
      <c r="C3896" s="52">
        <v>197486.55015808801</v>
      </c>
      <c r="D3896" s="56">
        <v>8.0527980903982943E-2</v>
      </c>
      <c r="E3896" s="224">
        <v>1409.1666666666599</v>
      </c>
      <c r="F3896" s="515" t="s">
        <v>5216</v>
      </c>
      <c r="G3896" s="52">
        <v>288319.38157312502</v>
      </c>
      <c r="H3896" s="56">
        <v>4.7738937582264905E-2</v>
      </c>
      <c r="I3896" s="224" t="s">
        <v>2</v>
      </c>
    </row>
    <row r="3897" spans="1:9" x14ac:dyDescent="0.25">
      <c r="A3897" s="515">
        <v>78746</v>
      </c>
      <c r="B3897" s="515" t="s">
        <v>380</v>
      </c>
      <c r="C3897" s="52">
        <v>1836889.90038035</v>
      </c>
      <c r="D3897" s="56">
        <v>0.10628468817188071</v>
      </c>
      <c r="E3897" s="224">
        <v>2077.6091269841199</v>
      </c>
      <c r="F3897" s="515" t="s">
        <v>5217</v>
      </c>
      <c r="G3897" s="52">
        <v>316054.62497724599</v>
      </c>
      <c r="H3897" s="56">
        <v>0.13883249925538135</v>
      </c>
      <c r="I3897" s="224">
        <v>1866.1255411255399</v>
      </c>
    </row>
    <row r="3898" spans="1:9" x14ac:dyDescent="0.25">
      <c r="A3898" s="515">
        <v>48906</v>
      </c>
      <c r="B3898" s="515" t="s">
        <v>528</v>
      </c>
      <c r="C3898" s="52">
        <v>128376.427205641</v>
      </c>
      <c r="D3898" s="56">
        <v>9.4037919733755387E-2</v>
      </c>
      <c r="E3898" s="224" t="s">
        <v>2</v>
      </c>
      <c r="F3898" s="515" t="s">
        <v>5218</v>
      </c>
      <c r="G3898" s="52">
        <v>388974.89434885798</v>
      </c>
      <c r="H3898" s="56">
        <v>6.4686872279150653E-2</v>
      </c>
      <c r="I3898" s="224" t="s">
        <v>2</v>
      </c>
    </row>
    <row r="3899" spans="1:9" x14ac:dyDescent="0.25">
      <c r="A3899" s="515">
        <v>28146</v>
      </c>
      <c r="B3899" s="515" t="s">
        <v>360</v>
      </c>
      <c r="C3899" s="52">
        <v>263613.86196483899</v>
      </c>
      <c r="D3899" s="56">
        <v>0.11546662616679214</v>
      </c>
      <c r="E3899" s="224" t="s">
        <v>2</v>
      </c>
      <c r="F3899" s="515" t="s">
        <v>5219</v>
      </c>
      <c r="G3899" s="52">
        <v>361999.01262531598</v>
      </c>
      <c r="H3899" s="56">
        <v>4.1677165440038917E-2</v>
      </c>
      <c r="I3899" s="224">
        <v>1932.44444444444</v>
      </c>
    </row>
    <row r="3900" spans="1:9" x14ac:dyDescent="0.25">
      <c r="A3900" s="515">
        <v>8105</v>
      </c>
      <c r="B3900" s="515" t="s">
        <v>294</v>
      </c>
      <c r="C3900" s="52">
        <v>118720.548609868</v>
      </c>
      <c r="D3900" s="56">
        <v>0.13596163671173356</v>
      </c>
      <c r="E3900" s="224" t="s">
        <v>2</v>
      </c>
      <c r="F3900" s="515" t="s">
        <v>5220</v>
      </c>
      <c r="G3900" s="52">
        <v>1175718.5217502699</v>
      </c>
      <c r="H3900" s="56">
        <v>1.9660170984484936E-2</v>
      </c>
      <c r="I3900" s="224" t="s">
        <v>2</v>
      </c>
    </row>
    <row r="3901" spans="1:9" x14ac:dyDescent="0.25">
      <c r="A3901" s="515">
        <v>97214</v>
      </c>
      <c r="B3901" s="515" t="s">
        <v>659</v>
      </c>
      <c r="C3901" s="52">
        <v>642970.60795546498</v>
      </c>
      <c r="D3901" s="56">
        <v>-1.7896916716095647E-2</v>
      </c>
      <c r="E3901" s="224">
        <v>1724.36649029982</v>
      </c>
      <c r="F3901" s="515" t="s">
        <v>5221</v>
      </c>
      <c r="G3901" s="52">
        <v>286100.15578012198</v>
      </c>
      <c r="H3901" s="56">
        <v>0.14809721161599496</v>
      </c>
      <c r="I3901" s="224" t="s">
        <v>2</v>
      </c>
    </row>
    <row r="3902" spans="1:9" x14ac:dyDescent="0.25">
      <c r="A3902" s="515">
        <v>85743</v>
      </c>
      <c r="B3902" s="515" t="s">
        <v>368</v>
      </c>
      <c r="C3902" s="52">
        <v>387496.27071796701</v>
      </c>
      <c r="D3902" s="56">
        <v>6.3138089186757271E-2</v>
      </c>
      <c r="E3902" s="224">
        <v>1835.94444444444</v>
      </c>
      <c r="F3902" s="515" t="s">
        <v>5222</v>
      </c>
      <c r="G3902" s="52">
        <v>95193.331198810905</v>
      </c>
      <c r="H3902" s="56">
        <v>-3.723077208557847E-2</v>
      </c>
      <c r="I3902" s="224" t="s">
        <v>2</v>
      </c>
    </row>
    <row r="3903" spans="1:9" x14ac:dyDescent="0.25">
      <c r="A3903" s="515">
        <v>44708</v>
      </c>
      <c r="B3903" s="515" t="s">
        <v>863</v>
      </c>
      <c r="C3903" s="52">
        <v>161783.549638236</v>
      </c>
      <c r="D3903" s="56">
        <v>6.5954392328303843E-2</v>
      </c>
      <c r="E3903" s="224">
        <v>1072.13333333333</v>
      </c>
      <c r="F3903" s="515" t="s">
        <v>5223</v>
      </c>
      <c r="G3903" s="52">
        <v>134839.14713455</v>
      </c>
      <c r="H3903" s="56">
        <v>0.12298705733811677</v>
      </c>
      <c r="I3903" s="224" t="s">
        <v>2</v>
      </c>
    </row>
    <row r="3904" spans="1:9" x14ac:dyDescent="0.25">
      <c r="A3904" s="515">
        <v>6095</v>
      </c>
      <c r="B3904" s="515" t="s">
        <v>894</v>
      </c>
      <c r="C3904" s="52">
        <v>284435.14779099502</v>
      </c>
      <c r="D3904" s="56">
        <v>8.7002752766900032E-2</v>
      </c>
      <c r="E3904" s="224" t="s">
        <v>2</v>
      </c>
      <c r="F3904" s="515" t="s">
        <v>5224</v>
      </c>
      <c r="G3904" s="52">
        <v>106953.47294291999</v>
      </c>
      <c r="H3904" s="56">
        <v>0</v>
      </c>
      <c r="I3904" s="224" t="s">
        <v>2</v>
      </c>
    </row>
    <row r="3905" spans="1:9" x14ac:dyDescent="0.25">
      <c r="A3905" s="515">
        <v>60134</v>
      </c>
      <c r="B3905" s="515" t="s">
        <v>394</v>
      </c>
      <c r="C3905" s="52">
        <v>431260.121682511</v>
      </c>
      <c r="D3905" s="56">
        <v>7.7608174517576914E-2</v>
      </c>
      <c r="E3905" s="224">
        <v>1606.5</v>
      </c>
      <c r="F3905" s="515" t="s">
        <v>5225</v>
      </c>
      <c r="G3905" s="52">
        <v>686672.82657906995</v>
      </c>
      <c r="H3905" s="56">
        <v>8.753342187017768E-2</v>
      </c>
      <c r="I3905" s="224" t="s">
        <v>2</v>
      </c>
    </row>
    <row r="3906" spans="1:9" x14ac:dyDescent="0.25">
      <c r="A3906" s="515">
        <v>63640</v>
      </c>
      <c r="B3906" s="515" t="s">
        <v>817</v>
      </c>
      <c r="C3906" s="52">
        <v>217614.44099058901</v>
      </c>
      <c r="D3906" s="56">
        <v>8.1491103058413436E-2</v>
      </c>
      <c r="E3906" s="224" t="s">
        <v>2</v>
      </c>
      <c r="F3906" s="515" t="s">
        <v>5226</v>
      </c>
      <c r="G3906" s="52">
        <v>457339.83394280402</v>
      </c>
      <c r="H3906" s="56">
        <v>9.8517540938846362E-2</v>
      </c>
      <c r="I3906" s="224" t="s">
        <v>2</v>
      </c>
    </row>
    <row r="3907" spans="1:9" x14ac:dyDescent="0.25">
      <c r="A3907" s="515">
        <v>98284</v>
      </c>
      <c r="B3907" s="515" t="s">
        <v>454</v>
      </c>
      <c r="C3907" s="52">
        <v>457972.96320041001</v>
      </c>
      <c r="D3907" s="56">
        <v>2.7126170277375322E-2</v>
      </c>
      <c r="E3907" s="224" t="s">
        <v>2</v>
      </c>
      <c r="F3907" s="515" t="s">
        <v>5227</v>
      </c>
      <c r="G3907" s="52">
        <v>1615904.2173913</v>
      </c>
      <c r="H3907" s="56">
        <v>0</v>
      </c>
      <c r="I3907" s="224">
        <v>33436.605555555499</v>
      </c>
    </row>
    <row r="3908" spans="1:9" x14ac:dyDescent="0.25">
      <c r="A3908" s="515">
        <v>44135</v>
      </c>
      <c r="B3908" s="515" t="s">
        <v>520</v>
      </c>
      <c r="C3908" s="52">
        <v>126767.330336838</v>
      </c>
      <c r="D3908" s="56">
        <v>9.6423704022937262E-2</v>
      </c>
      <c r="E3908" s="224">
        <v>1278.25</v>
      </c>
      <c r="F3908" s="515" t="s">
        <v>5228</v>
      </c>
      <c r="G3908" s="52">
        <v>174325.735196491</v>
      </c>
      <c r="H3908" s="56">
        <v>6.4124342659871297E-2</v>
      </c>
      <c r="I3908" s="224" t="s">
        <v>2</v>
      </c>
    </row>
    <row r="3909" spans="1:9" x14ac:dyDescent="0.25">
      <c r="A3909" s="515">
        <v>90035</v>
      </c>
      <c r="B3909" s="515" t="s">
        <v>375</v>
      </c>
      <c r="C3909" s="52">
        <v>1546969.3220367699</v>
      </c>
      <c r="D3909" s="56">
        <v>-2.8658198424423204E-2</v>
      </c>
      <c r="E3909" s="224">
        <v>3497.1746031746002</v>
      </c>
      <c r="F3909" s="515" t="s">
        <v>5229</v>
      </c>
      <c r="G3909" s="52">
        <v>281044.00805756799</v>
      </c>
      <c r="H3909" s="56">
        <v>8.8917935672897963E-2</v>
      </c>
      <c r="I3909" s="224" t="s">
        <v>2</v>
      </c>
    </row>
    <row r="3910" spans="1:9" x14ac:dyDescent="0.25">
      <c r="A3910" s="515">
        <v>1089</v>
      </c>
      <c r="B3910" s="515" t="s">
        <v>575</v>
      </c>
      <c r="C3910" s="52">
        <v>299740.90651243</v>
      </c>
      <c r="D3910" s="56">
        <v>8.0443817207028145E-2</v>
      </c>
      <c r="E3910" s="224" t="s">
        <v>2</v>
      </c>
      <c r="F3910" s="515" t="s">
        <v>5230</v>
      </c>
      <c r="G3910" s="52">
        <v>132344.99453598901</v>
      </c>
      <c r="H3910" s="56">
        <v>0.20218309935568302</v>
      </c>
      <c r="I3910" s="224" t="s">
        <v>2</v>
      </c>
    </row>
    <row r="3911" spans="1:9" x14ac:dyDescent="0.25">
      <c r="A3911" s="515">
        <v>46947</v>
      </c>
      <c r="B3911" s="515" t="s">
        <v>391</v>
      </c>
      <c r="C3911" s="52">
        <v>119444.082203253</v>
      </c>
      <c r="D3911" s="56">
        <v>0.10064468244530068</v>
      </c>
      <c r="E3911" s="224" t="s">
        <v>2</v>
      </c>
      <c r="F3911" s="515" t="s">
        <v>5231</v>
      </c>
      <c r="G3911" s="52">
        <v>876511.30846502201</v>
      </c>
      <c r="H3911" s="56">
        <v>5.9706310952248015E-2</v>
      </c>
      <c r="I3911" s="224">
        <v>2800.88888888888</v>
      </c>
    </row>
    <row r="3912" spans="1:9" x14ac:dyDescent="0.25">
      <c r="A3912" s="515">
        <v>29906</v>
      </c>
      <c r="B3912" s="515" t="s">
        <v>734</v>
      </c>
      <c r="C3912" s="52">
        <v>311613.84713695198</v>
      </c>
      <c r="D3912" s="56">
        <v>0.14047825277159681</v>
      </c>
      <c r="E3912" s="224">
        <v>2172</v>
      </c>
      <c r="F3912" s="515" t="s">
        <v>5232</v>
      </c>
      <c r="G3912" s="52">
        <v>657957.41234413895</v>
      </c>
      <c r="H3912" s="56">
        <v>5.1398196489799049E-2</v>
      </c>
      <c r="I3912" s="224" t="s">
        <v>2</v>
      </c>
    </row>
    <row r="3913" spans="1:9" x14ac:dyDescent="0.25">
      <c r="A3913" s="515">
        <v>55421</v>
      </c>
      <c r="B3913" s="515" t="s">
        <v>532</v>
      </c>
      <c r="C3913" s="52">
        <v>272033.00725122303</v>
      </c>
      <c r="D3913" s="56">
        <v>4.1222251302821838E-2</v>
      </c>
      <c r="E3913" s="224">
        <v>1568.9111111111099</v>
      </c>
      <c r="F3913" s="515" t="s">
        <v>5233</v>
      </c>
      <c r="G3913" s="52">
        <v>205670.95452493199</v>
      </c>
      <c r="H3913" s="56">
        <v>6.4440662613358013E-2</v>
      </c>
      <c r="I3913" s="224" t="s">
        <v>2</v>
      </c>
    </row>
    <row r="3914" spans="1:9" x14ac:dyDescent="0.25">
      <c r="A3914" s="515">
        <v>43209</v>
      </c>
      <c r="B3914" s="515" t="s">
        <v>345</v>
      </c>
      <c r="C3914" s="52">
        <v>353366.97622635699</v>
      </c>
      <c r="D3914" s="56">
        <v>6.745034369594001E-2</v>
      </c>
      <c r="E3914" s="224">
        <v>1173.75</v>
      </c>
      <c r="F3914" s="515" t="s">
        <v>5234</v>
      </c>
      <c r="G3914" s="52">
        <v>238134.744010758</v>
      </c>
      <c r="H3914" s="56">
        <v>9.223399479550895E-2</v>
      </c>
      <c r="I3914" s="224">
        <v>1533.8333333333301</v>
      </c>
    </row>
    <row r="3915" spans="1:9" x14ac:dyDescent="0.25">
      <c r="A3915" s="515">
        <v>23116</v>
      </c>
      <c r="B3915" s="515" t="s">
        <v>667</v>
      </c>
      <c r="C3915" s="52">
        <v>403181.80173598102</v>
      </c>
      <c r="D3915" s="56">
        <v>4.5197539725137424E-2</v>
      </c>
      <c r="E3915" s="224">
        <v>1643</v>
      </c>
      <c r="F3915" s="515" t="s">
        <v>5235</v>
      </c>
      <c r="G3915" s="52">
        <v>436969.530330104</v>
      </c>
      <c r="H3915" s="56">
        <v>0.13566071209057798</v>
      </c>
      <c r="I3915" s="224">
        <v>2220</v>
      </c>
    </row>
    <row r="3916" spans="1:9" x14ac:dyDescent="0.25">
      <c r="A3916" s="515">
        <v>58501</v>
      </c>
      <c r="B3916" s="515" t="s">
        <v>930</v>
      </c>
      <c r="C3916" s="52">
        <v>257811.93848009099</v>
      </c>
      <c r="D3916" s="56">
        <v>5.0389315442803298E-2</v>
      </c>
      <c r="E3916" s="224">
        <v>698.75</v>
      </c>
      <c r="F3916" s="515" t="s">
        <v>5236</v>
      </c>
      <c r="G3916" s="52">
        <v>281497.15994334401</v>
      </c>
      <c r="H3916" s="56">
        <v>7.5109312843806161E-2</v>
      </c>
      <c r="I3916" s="224" t="s">
        <v>2</v>
      </c>
    </row>
    <row r="3917" spans="1:9" x14ac:dyDescent="0.25">
      <c r="A3917" s="515">
        <v>78410</v>
      </c>
      <c r="B3917" s="515" t="s">
        <v>415</v>
      </c>
      <c r="C3917" s="52">
        <v>224992.48504618899</v>
      </c>
      <c r="D3917" s="56">
        <v>5.2963185014894443E-2</v>
      </c>
      <c r="E3917" s="224">
        <v>1349.8333333333301</v>
      </c>
      <c r="F3917" s="515" t="s">
        <v>5237</v>
      </c>
      <c r="G3917" s="52">
        <v>162082.73189704301</v>
      </c>
      <c r="H3917" s="56">
        <v>5.964753052065095E-2</v>
      </c>
      <c r="I3917" s="224" t="s">
        <v>2</v>
      </c>
    </row>
    <row r="3918" spans="1:9" x14ac:dyDescent="0.25">
      <c r="A3918" s="515">
        <v>71901</v>
      </c>
      <c r="B3918" s="515" t="s">
        <v>1082</v>
      </c>
      <c r="C3918" s="52">
        <v>189010.162815402</v>
      </c>
      <c r="D3918" s="56">
        <v>0.11504986386131782</v>
      </c>
      <c r="E3918" s="224" t="s">
        <v>2</v>
      </c>
      <c r="F3918" s="515" t="s">
        <v>5238</v>
      </c>
      <c r="G3918" s="52">
        <v>2963843.3189470498</v>
      </c>
      <c r="H3918" s="56">
        <v>9.5037868871424389E-2</v>
      </c>
      <c r="I3918" s="224">
        <v>8311.25</v>
      </c>
    </row>
    <row r="3919" spans="1:9" x14ac:dyDescent="0.25">
      <c r="A3919" s="515">
        <v>90405</v>
      </c>
      <c r="B3919" s="515" t="s">
        <v>375</v>
      </c>
      <c r="C3919" s="52">
        <v>1734487.07791099</v>
      </c>
      <c r="D3919" s="56">
        <v>-3.536883013065921E-2</v>
      </c>
      <c r="E3919" s="224">
        <v>3337.1818181818098</v>
      </c>
      <c r="F3919" s="515" t="s">
        <v>5239</v>
      </c>
      <c r="G3919" s="52">
        <v>353168.201439736</v>
      </c>
      <c r="H3919" s="56">
        <v>-1.9637145703642229E-2</v>
      </c>
      <c r="I3919" s="224" t="s">
        <v>2</v>
      </c>
    </row>
    <row r="3920" spans="1:9" x14ac:dyDescent="0.25">
      <c r="A3920" s="515">
        <v>45056</v>
      </c>
      <c r="B3920" s="515" t="s">
        <v>344</v>
      </c>
      <c r="C3920" s="52">
        <v>284819.09351800999</v>
      </c>
      <c r="D3920" s="56">
        <v>5.8103213337836572E-2</v>
      </c>
      <c r="E3920" s="224" t="s">
        <v>2</v>
      </c>
      <c r="F3920" s="515" t="s">
        <v>5240</v>
      </c>
      <c r="G3920" s="52">
        <v>604406.88460078696</v>
      </c>
      <c r="H3920" s="56">
        <v>6.4063527501421205E-2</v>
      </c>
      <c r="I3920" s="224" t="s">
        <v>2</v>
      </c>
    </row>
    <row r="3921" spans="1:9" x14ac:dyDescent="0.25">
      <c r="A3921" s="515">
        <v>82901</v>
      </c>
      <c r="B3921" s="515" t="s">
        <v>646</v>
      </c>
      <c r="C3921" s="52">
        <v>247955.91647612699</v>
      </c>
      <c r="D3921" s="56">
        <v>4.6517907665663147E-2</v>
      </c>
      <c r="E3921" s="224">
        <v>1268.7301587301499</v>
      </c>
      <c r="F3921" s="515" t="s">
        <v>949</v>
      </c>
      <c r="G3921" s="52">
        <v>131323.401859729</v>
      </c>
      <c r="H3921" s="56">
        <v>8.7736906254907779E-3</v>
      </c>
      <c r="I3921" s="224">
        <v>700.83333333333303</v>
      </c>
    </row>
    <row r="3922" spans="1:9" x14ac:dyDescent="0.25">
      <c r="A3922" s="515">
        <v>11423</v>
      </c>
      <c r="B3922" s="515" t="s">
        <v>324</v>
      </c>
      <c r="C3922" s="52">
        <v>674506.48452798196</v>
      </c>
      <c r="D3922" s="56">
        <v>6.5141256761294966E-2</v>
      </c>
      <c r="E3922" s="224" t="s">
        <v>2</v>
      </c>
      <c r="F3922" s="515" t="s">
        <v>5241</v>
      </c>
      <c r="G3922" s="52">
        <v>290436.68342315097</v>
      </c>
      <c r="H3922" s="56">
        <v>7.6518858502577322E-2</v>
      </c>
      <c r="I3922" s="224">
        <v>1989.6666666666599</v>
      </c>
    </row>
    <row r="3923" spans="1:9" x14ac:dyDescent="0.25">
      <c r="A3923" s="515">
        <v>10065</v>
      </c>
      <c r="B3923" s="515" t="s">
        <v>324</v>
      </c>
      <c r="C3923" s="52">
        <v>1566260.49881533</v>
      </c>
      <c r="D3923" s="56">
        <v>2.8458660713707146E-2</v>
      </c>
      <c r="E3923" s="224">
        <v>3897.5490114174299</v>
      </c>
      <c r="F3923" s="515" t="s">
        <v>5242</v>
      </c>
      <c r="G3923" s="52">
        <v>136400.39636502101</v>
      </c>
      <c r="H3923" s="56">
        <v>0.14434142398267583</v>
      </c>
      <c r="I3923" s="224" t="s">
        <v>2</v>
      </c>
    </row>
    <row r="3924" spans="1:9" x14ac:dyDescent="0.25">
      <c r="A3924" s="515">
        <v>62703</v>
      </c>
      <c r="B3924" s="515" t="s">
        <v>819</v>
      </c>
      <c r="C3924" s="52">
        <v>73627.143705725903</v>
      </c>
      <c r="D3924" s="56">
        <v>5.5788962152114097E-2</v>
      </c>
      <c r="E3924" s="224" t="s">
        <v>2</v>
      </c>
      <c r="F3924" s="515" t="s">
        <v>5243</v>
      </c>
      <c r="G3924" s="52">
        <v>231525.077472345</v>
      </c>
      <c r="H3924" s="56">
        <v>0.10212509411139728</v>
      </c>
      <c r="I3924" s="224" t="s">
        <v>2</v>
      </c>
    </row>
    <row r="3925" spans="1:9" x14ac:dyDescent="0.25">
      <c r="A3925" s="515">
        <v>60087</v>
      </c>
      <c r="B3925" s="515" t="s">
        <v>394</v>
      </c>
      <c r="C3925" s="52">
        <v>200576.55925224899</v>
      </c>
      <c r="D3925" s="56">
        <v>0.1094501741425695</v>
      </c>
      <c r="E3925" s="224" t="s">
        <v>2</v>
      </c>
      <c r="F3925" s="515" t="s">
        <v>5244</v>
      </c>
      <c r="G3925" s="52">
        <v>241933.177961037</v>
      </c>
      <c r="H3925" s="56">
        <v>0.1932655970474367</v>
      </c>
      <c r="I3925" s="224" t="s">
        <v>2</v>
      </c>
    </row>
    <row r="3926" spans="1:9" x14ac:dyDescent="0.25">
      <c r="A3926" s="515">
        <v>64012</v>
      </c>
      <c r="B3926" s="515" t="s">
        <v>455</v>
      </c>
      <c r="C3926" s="52">
        <v>238876.45896633499</v>
      </c>
      <c r="D3926" s="56">
        <v>5.0255008783230429E-2</v>
      </c>
      <c r="E3926" s="224">
        <v>1326.4166666666599</v>
      </c>
      <c r="F3926" s="515" t="s">
        <v>5245</v>
      </c>
      <c r="G3926" s="52">
        <v>258865.26229037601</v>
      </c>
      <c r="H3926" s="56">
        <v>-1.4862425125968458E-2</v>
      </c>
      <c r="I3926" s="224" t="s">
        <v>2</v>
      </c>
    </row>
    <row r="3927" spans="1:9" x14ac:dyDescent="0.25">
      <c r="A3927" s="515">
        <v>68164</v>
      </c>
      <c r="B3927" s="515" t="s">
        <v>367</v>
      </c>
      <c r="C3927" s="52">
        <v>258958.11094603001</v>
      </c>
      <c r="D3927" s="56">
        <v>5.1213524351536949E-2</v>
      </c>
      <c r="E3927" s="224">
        <v>1162.17857142857</v>
      </c>
      <c r="F3927" s="515" t="s">
        <v>5246</v>
      </c>
      <c r="G3927" s="52">
        <v>336691.58255653898</v>
      </c>
      <c r="H3927" s="56">
        <v>2.5256674446654848E-2</v>
      </c>
      <c r="I3927" s="224" t="s">
        <v>2</v>
      </c>
    </row>
    <row r="3928" spans="1:9" x14ac:dyDescent="0.25">
      <c r="A3928" s="515">
        <v>11967</v>
      </c>
      <c r="B3928" s="515" t="s">
        <v>324</v>
      </c>
      <c r="C3928" s="52">
        <v>410430.809081054</v>
      </c>
      <c r="D3928" s="56">
        <v>5.6126668871685985E-2</v>
      </c>
      <c r="E3928" s="224" t="s">
        <v>2</v>
      </c>
      <c r="F3928" s="515" t="s">
        <v>5247</v>
      </c>
      <c r="G3928" s="52">
        <v>146337.784600969</v>
      </c>
      <c r="H3928" s="56">
        <v>2.7143906740331267E-2</v>
      </c>
      <c r="I3928" s="224" t="s">
        <v>2</v>
      </c>
    </row>
    <row r="3929" spans="1:9" x14ac:dyDescent="0.25">
      <c r="A3929" s="515">
        <v>92651</v>
      </c>
      <c r="B3929" s="515" t="s">
        <v>375</v>
      </c>
      <c r="C3929" s="52">
        <v>2713468.9184115599</v>
      </c>
      <c r="D3929" s="56">
        <v>7.9844463109190564E-2</v>
      </c>
      <c r="E3929" s="224">
        <v>5312.35032051282</v>
      </c>
      <c r="F3929" s="515" t="s">
        <v>5248</v>
      </c>
      <c r="G3929" s="52">
        <v>202652.33950599199</v>
      </c>
      <c r="H3929" s="56">
        <v>8.8310261028217915E-2</v>
      </c>
      <c r="I3929" s="224" t="s">
        <v>2</v>
      </c>
    </row>
    <row r="3930" spans="1:9" x14ac:dyDescent="0.25">
      <c r="A3930" s="515">
        <v>89701</v>
      </c>
      <c r="B3930" s="515" t="s">
        <v>1196</v>
      </c>
      <c r="C3930" s="52">
        <v>412819.96680209198</v>
      </c>
      <c r="D3930" s="56">
        <v>-9.9151467410596734E-3</v>
      </c>
      <c r="E3930" s="224">
        <v>1525</v>
      </c>
      <c r="F3930" s="515" t="s">
        <v>5249</v>
      </c>
      <c r="G3930" s="52">
        <v>303591.10573665402</v>
      </c>
      <c r="H3930" s="56">
        <v>7.3145544557467523E-2</v>
      </c>
      <c r="I3930" s="224" t="s">
        <v>2</v>
      </c>
    </row>
    <row r="3931" spans="1:9" x14ac:dyDescent="0.25">
      <c r="A3931" s="515">
        <v>60175</v>
      </c>
      <c r="B3931" s="515" t="s">
        <v>394</v>
      </c>
      <c r="C3931" s="52">
        <v>499476.63803520403</v>
      </c>
      <c r="D3931" s="56">
        <v>6.6537536857850271E-2</v>
      </c>
      <c r="E3931" s="224" t="s">
        <v>2</v>
      </c>
      <c r="F3931" s="515" t="s">
        <v>5250</v>
      </c>
      <c r="G3931" s="52">
        <v>185688.73943658601</v>
      </c>
      <c r="H3931" s="56">
        <v>5.4700595693714257E-2</v>
      </c>
      <c r="I3931" s="224" t="s">
        <v>2</v>
      </c>
    </row>
    <row r="3932" spans="1:9" x14ac:dyDescent="0.25">
      <c r="A3932" s="515">
        <v>49428</v>
      </c>
      <c r="B3932" s="515" t="s">
        <v>631</v>
      </c>
      <c r="C3932" s="52">
        <v>302511.96650689997</v>
      </c>
      <c r="D3932" s="56">
        <v>6.1368962510793219E-2</v>
      </c>
      <c r="E3932" s="224">
        <v>1775</v>
      </c>
      <c r="F3932" s="515" t="s">
        <v>789</v>
      </c>
      <c r="G3932" s="52">
        <v>122281.097379545</v>
      </c>
      <c r="H3932" s="56">
        <v>0.10996856589178118</v>
      </c>
      <c r="I3932" s="224" t="s">
        <v>2</v>
      </c>
    </row>
    <row r="3933" spans="1:9" x14ac:dyDescent="0.25">
      <c r="A3933" s="515">
        <v>2115</v>
      </c>
      <c r="B3933" s="515" t="s">
        <v>534</v>
      </c>
      <c r="C3933" s="52">
        <v>813349.63408778002</v>
      </c>
      <c r="D3933" s="56">
        <v>-3.0291730212312833E-2</v>
      </c>
      <c r="E3933" s="224">
        <v>3422.5789433380501</v>
      </c>
      <c r="F3933" s="515" t="s">
        <v>5251</v>
      </c>
      <c r="G3933" s="52">
        <v>184478.05159330799</v>
      </c>
      <c r="H3933" s="56">
        <v>5.0318965506147374E-2</v>
      </c>
      <c r="I3933" s="224" t="s">
        <v>2</v>
      </c>
    </row>
    <row r="3934" spans="1:9" x14ac:dyDescent="0.25">
      <c r="A3934" s="515">
        <v>98531</v>
      </c>
      <c r="B3934" s="515" t="s">
        <v>468</v>
      </c>
      <c r="C3934" s="52">
        <v>359939.092267623</v>
      </c>
      <c r="D3934" s="56">
        <v>2.6143463423127525E-2</v>
      </c>
      <c r="E3934" s="224" t="s">
        <v>2</v>
      </c>
      <c r="F3934" s="515" t="s">
        <v>5252</v>
      </c>
      <c r="G3934" s="52">
        <v>287003.90970603703</v>
      </c>
      <c r="H3934" s="56">
        <v>2.4663209634616778E-2</v>
      </c>
      <c r="I3934" s="224">
        <v>1405.1111111111099</v>
      </c>
    </row>
    <row r="3935" spans="1:9" x14ac:dyDescent="0.25">
      <c r="A3935" s="515">
        <v>2145</v>
      </c>
      <c r="B3935" s="515" t="s">
        <v>534</v>
      </c>
      <c r="C3935" s="52">
        <v>706839.62097080098</v>
      </c>
      <c r="D3935" s="56">
        <v>-1.9906571881663893E-2</v>
      </c>
      <c r="E3935" s="224">
        <v>2915.93287037037</v>
      </c>
      <c r="F3935" s="515" t="s">
        <v>5253</v>
      </c>
      <c r="G3935" s="52">
        <v>128312.653416965</v>
      </c>
      <c r="H3935" s="56">
        <v>-2.0487647274605471E-2</v>
      </c>
      <c r="I3935" s="224" t="s">
        <v>2</v>
      </c>
    </row>
    <row r="3936" spans="1:9" x14ac:dyDescent="0.25">
      <c r="A3936" s="515">
        <v>70805</v>
      </c>
      <c r="B3936" s="515" t="s">
        <v>610</v>
      </c>
      <c r="C3936" s="52">
        <v>56347.142748543898</v>
      </c>
      <c r="D3936" s="56">
        <v>6.4548532546746931E-2</v>
      </c>
      <c r="E3936" s="224">
        <v>1048.3333333333301</v>
      </c>
      <c r="F3936" s="515" t="s">
        <v>5254</v>
      </c>
      <c r="G3936" s="52">
        <v>488660.53751475899</v>
      </c>
      <c r="H3936" s="56">
        <v>6.1340076716125083E-2</v>
      </c>
      <c r="I3936" s="224" t="s">
        <v>2</v>
      </c>
    </row>
    <row r="3937" spans="1:9" x14ac:dyDescent="0.25">
      <c r="A3937" s="515">
        <v>95961</v>
      </c>
      <c r="B3937" s="515" t="s">
        <v>796</v>
      </c>
      <c r="C3937" s="52">
        <v>405197.21816375799</v>
      </c>
      <c r="D3937" s="56">
        <v>1.4095857158001541E-3</v>
      </c>
      <c r="E3937" s="224">
        <v>2283.3333333333298</v>
      </c>
      <c r="F3937" s="515" t="s">
        <v>5255</v>
      </c>
      <c r="G3937" s="52">
        <v>630713.61289834499</v>
      </c>
      <c r="H3937" s="56">
        <v>4.460013466375345E-4</v>
      </c>
      <c r="I3937" s="224" t="s">
        <v>2</v>
      </c>
    </row>
    <row r="3938" spans="1:9" x14ac:dyDescent="0.25">
      <c r="A3938" s="515">
        <v>32177</v>
      </c>
      <c r="B3938" s="515" t="s">
        <v>920</v>
      </c>
      <c r="C3938" s="52">
        <v>176855.51072908999</v>
      </c>
      <c r="D3938" s="56">
        <v>0.11153218879691196</v>
      </c>
      <c r="E3938" s="224" t="s">
        <v>2</v>
      </c>
      <c r="F3938" s="515" t="s">
        <v>5256</v>
      </c>
      <c r="G3938" s="52">
        <v>200738.117257023</v>
      </c>
      <c r="H3938" s="56">
        <v>0.10481587979608264</v>
      </c>
      <c r="I3938" s="224" t="s">
        <v>2</v>
      </c>
    </row>
    <row r="3939" spans="1:9" x14ac:dyDescent="0.25">
      <c r="A3939" s="515">
        <v>10598</v>
      </c>
      <c r="B3939" s="515" t="s">
        <v>324</v>
      </c>
      <c r="C3939" s="52">
        <v>576661.73143530998</v>
      </c>
      <c r="D3939" s="56">
        <v>5.7380628216219892E-2</v>
      </c>
      <c r="E3939" s="224" t="s">
        <v>2</v>
      </c>
      <c r="F3939" s="515" t="s">
        <v>5257</v>
      </c>
      <c r="G3939" s="52">
        <v>679677.28724069404</v>
      </c>
      <c r="H3939" s="56">
        <v>4.469052000555309E-2</v>
      </c>
      <c r="I3939" s="224" t="s">
        <v>2</v>
      </c>
    </row>
    <row r="3940" spans="1:9" x14ac:dyDescent="0.25">
      <c r="A3940" s="515">
        <v>46205</v>
      </c>
      <c r="B3940" s="515" t="s">
        <v>403</v>
      </c>
      <c r="C3940" s="52">
        <v>240168.14263869901</v>
      </c>
      <c r="D3940" s="56">
        <v>5.0733899393725183E-2</v>
      </c>
      <c r="E3940" s="224">
        <v>1158.21885521885</v>
      </c>
      <c r="F3940" s="515" t="s">
        <v>5258</v>
      </c>
      <c r="G3940" s="52">
        <v>692072.64830444404</v>
      </c>
      <c r="H3940" s="56">
        <v>4.4343066803264858E-2</v>
      </c>
      <c r="I3940" s="224" t="s">
        <v>2</v>
      </c>
    </row>
    <row r="3941" spans="1:9" x14ac:dyDescent="0.25">
      <c r="A3941" s="515">
        <v>32539</v>
      </c>
      <c r="B3941" s="515" t="s">
        <v>1078</v>
      </c>
      <c r="C3941" s="52">
        <v>280903.74344276497</v>
      </c>
      <c r="D3941" s="56">
        <v>0.11585602808005151</v>
      </c>
      <c r="E3941" s="224">
        <v>1708.05555555555</v>
      </c>
      <c r="F3941" s="515" t="s">
        <v>422</v>
      </c>
      <c r="G3941" s="52">
        <v>206908.064444705</v>
      </c>
      <c r="H3941" s="56">
        <v>7.3562011325078724E-2</v>
      </c>
      <c r="I3941" s="224" t="s">
        <v>2</v>
      </c>
    </row>
    <row r="3942" spans="1:9" x14ac:dyDescent="0.25">
      <c r="A3942" s="515">
        <v>60516</v>
      </c>
      <c r="B3942" s="515" t="s">
        <v>394</v>
      </c>
      <c r="C3942" s="52">
        <v>381040.95799041202</v>
      </c>
      <c r="D3942" s="56">
        <v>3.9813532933041018E-2</v>
      </c>
      <c r="E3942" s="224">
        <v>1715</v>
      </c>
      <c r="F3942" s="515" t="s">
        <v>5259</v>
      </c>
      <c r="G3942" s="52">
        <v>1011070.28661206</v>
      </c>
      <c r="H3942" s="56">
        <v>4.9047398725139846E-3</v>
      </c>
      <c r="I3942" s="224" t="s">
        <v>2</v>
      </c>
    </row>
    <row r="3943" spans="1:9" x14ac:dyDescent="0.25">
      <c r="A3943" s="515">
        <v>98685</v>
      </c>
      <c r="B3943" s="515" t="s">
        <v>659</v>
      </c>
      <c r="C3943" s="52">
        <v>549261.32057923102</v>
      </c>
      <c r="D3943" s="56">
        <v>3.8979169956039179E-2</v>
      </c>
      <c r="E3943" s="224">
        <v>2120</v>
      </c>
      <c r="F3943" s="515" t="s">
        <v>5260</v>
      </c>
      <c r="G3943" s="52">
        <v>194962.90018200999</v>
      </c>
      <c r="H3943" s="56">
        <v>8.6571949518876368E-2</v>
      </c>
      <c r="I3943" s="224">
        <v>872.5</v>
      </c>
    </row>
    <row r="3944" spans="1:9" x14ac:dyDescent="0.25">
      <c r="A3944" s="515">
        <v>98119</v>
      </c>
      <c r="B3944" s="515" t="s">
        <v>384</v>
      </c>
      <c r="C3944" s="52">
        <v>1009954.42888885</v>
      </c>
      <c r="D3944" s="56">
        <v>1.3730998230065591E-2</v>
      </c>
      <c r="E3944" s="224">
        <v>2028.93333333333</v>
      </c>
      <c r="F3944" s="515" t="s">
        <v>5261</v>
      </c>
      <c r="G3944" s="52">
        <v>256640.839325662</v>
      </c>
      <c r="H3944" s="56">
        <v>6.9768609844884297E-2</v>
      </c>
      <c r="I3944" s="224" t="s">
        <v>2</v>
      </c>
    </row>
    <row r="3945" spans="1:9" x14ac:dyDescent="0.25">
      <c r="A3945" s="515">
        <v>38506</v>
      </c>
      <c r="B3945" s="515" t="s">
        <v>833</v>
      </c>
      <c r="C3945" s="52">
        <v>295384.61298722803</v>
      </c>
      <c r="D3945" s="56">
        <v>9.9973268841463181E-2</v>
      </c>
      <c r="E3945" s="224">
        <v>1607.5</v>
      </c>
      <c r="F3945" s="515" t="s">
        <v>5262</v>
      </c>
      <c r="G3945" s="52">
        <v>85934.454275534707</v>
      </c>
      <c r="H3945" s="56">
        <v>8.1014074749391832E-2</v>
      </c>
      <c r="I3945" s="224">
        <v>1071.7094017094</v>
      </c>
    </row>
    <row r="3946" spans="1:9" x14ac:dyDescent="0.25">
      <c r="A3946" s="515">
        <v>90017</v>
      </c>
      <c r="B3946" s="515" t="s">
        <v>375</v>
      </c>
      <c r="C3946" s="52">
        <v>675484.73162974196</v>
      </c>
      <c r="D3946" s="56">
        <v>-3.099419548745032E-3</v>
      </c>
      <c r="E3946" s="224">
        <v>2761.0856060606002</v>
      </c>
      <c r="F3946" s="515" t="s">
        <v>5263</v>
      </c>
      <c r="G3946" s="52">
        <v>362041.87974014098</v>
      </c>
      <c r="H3946" s="56">
        <v>4.3091243558286134E-2</v>
      </c>
      <c r="I3946" s="224">
        <v>1738.73888888888</v>
      </c>
    </row>
    <row r="3947" spans="1:9" x14ac:dyDescent="0.25">
      <c r="A3947" s="515">
        <v>48316</v>
      </c>
      <c r="B3947" s="515" t="s">
        <v>685</v>
      </c>
      <c r="C3947" s="52">
        <v>352367.51400503301</v>
      </c>
      <c r="D3947" s="56">
        <v>4.2084176134664371E-2</v>
      </c>
      <c r="E3947" s="224">
        <v>1950</v>
      </c>
      <c r="F3947" s="515" t="s">
        <v>5264</v>
      </c>
      <c r="G3947" s="52">
        <v>631703.25248467398</v>
      </c>
      <c r="H3947" s="56">
        <v>3.2213186107907819E-2</v>
      </c>
      <c r="I3947" s="224" t="s">
        <v>2</v>
      </c>
    </row>
    <row r="3948" spans="1:9" x14ac:dyDescent="0.25">
      <c r="A3948" s="515">
        <v>63118</v>
      </c>
      <c r="B3948" s="515" t="s">
        <v>498</v>
      </c>
      <c r="C3948" s="52">
        <v>172940.72068833001</v>
      </c>
      <c r="D3948" s="56">
        <v>6.337204806229331E-2</v>
      </c>
      <c r="E3948" s="224">
        <v>994.14733414733405</v>
      </c>
      <c r="F3948" s="515" t="s">
        <v>787</v>
      </c>
      <c r="G3948" s="52">
        <v>134943.00526626699</v>
      </c>
      <c r="H3948" s="56">
        <v>9.5079647519875785E-2</v>
      </c>
      <c r="I3948" s="224" t="s">
        <v>2</v>
      </c>
    </row>
    <row r="3949" spans="1:9" x14ac:dyDescent="0.25">
      <c r="A3949" s="515">
        <v>94903</v>
      </c>
      <c r="B3949" s="515" t="s">
        <v>593</v>
      </c>
      <c r="C3949" s="52">
        <v>1175134.65045195</v>
      </c>
      <c r="D3949" s="56">
        <v>4.9825204152269341E-2</v>
      </c>
      <c r="E3949" s="224">
        <v>3507.25</v>
      </c>
      <c r="F3949" s="515" t="s">
        <v>5265</v>
      </c>
      <c r="G3949" s="52">
        <v>249498.50984192899</v>
      </c>
      <c r="H3949" s="56">
        <v>7.884068854079096E-2</v>
      </c>
      <c r="I3949" s="224" t="s">
        <v>2</v>
      </c>
    </row>
    <row r="3950" spans="1:9" x14ac:dyDescent="0.25">
      <c r="A3950" s="515">
        <v>31093</v>
      </c>
      <c r="B3950" s="515" t="s">
        <v>1067</v>
      </c>
      <c r="C3950" s="52">
        <v>134938.96401754301</v>
      </c>
      <c r="D3950" s="56">
        <v>0.20322441513465644</v>
      </c>
      <c r="E3950" s="224" t="s">
        <v>2</v>
      </c>
      <c r="F3950" s="515" t="s">
        <v>5266</v>
      </c>
      <c r="G3950" s="52">
        <v>388243.21470093803</v>
      </c>
      <c r="H3950" s="56">
        <v>3.6325535860349333E-2</v>
      </c>
      <c r="I3950" s="224" t="s">
        <v>2</v>
      </c>
    </row>
    <row r="3951" spans="1:9" x14ac:dyDescent="0.25">
      <c r="A3951" s="515">
        <v>28715</v>
      </c>
      <c r="B3951" s="515" t="s">
        <v>668</v>
      </c>
      <c r="C3951" s="52">
        <v>379584.44448440801</v>
      </c>
      <c r="D3951" s="56">
        <v>0.13006406726251751</v>
      </c>
      <c r="E3951" s="224">
        <v>2000</v>
      </c>
      <c r="F3951" s="515" t="s">
        <v>5267</v>
      </c>
      <c r="G3951" s="52">
        <v>199749.434468244</v>
      </c>
      <c r="H3951" s="56">
        <v>5.4742771782927198E-2</v>
      </c>
      <c r="I3951" s="224" t="s">
        <v>2</v>
      </c>
    </row>
    <row r="3952" spans="1:9" x14ac:dyDescent="0.25">
      <c r="A3952" s="515">
        <v>66801</v>
      </c>
      <c r="B3952" s="515" t="s">
        <v>707</v>
      </c>
      <c r="C3952" s="52">
        <v>144721.19194278799</v>
      </c>
      <c r="D3952" s="56">
        <v>4.719925007889661E-2</v>
      </c>
      <c r="E3952" s="224" t="s">
        <v>2</v>
      </c>
      <c r="F3952" s="515" t="s">
        <v>320</v>
      </c>
      <c r="G3952" s="52">
        <v>184452.61177334699</v>
      </c>
      <c r="H3952" s="56">
        <v>6.4640526252071534E-2</v>
      </c>
      <c r="I3952" s="224" t="s">
        <v>2</v>
      </c>
    </row>
    <row r="3953" spans="1:9" x14ac:dyDescent="0.25">
      <c r="A3953" s="515">
        <v>40502</v>
      </c>
      <c r="B3953" s="515" t="s">
        <v>515</v>
      </c>
      <c r="C3953" s="52">
        <v>445055.67064134497</v>
      </c>
      <c r="D3953" s="56">
        <v>7.9911773253989973E-2</v>
      </c>
      <c r="E3953" s="224">
        <v>1283.7648148148101</v>
      </c>
      <c r="F3953" s="515" t="s">
        <v>5268</v>
      </c>
      <c r="G3953" s="52">
        <v>200361.05876878701</v>
      </c>
      <c r="H3953" s="56">
        <v>9.4901713812993962E-2</v>
      </c>
      <c r="I3953" s="224" t="s">
        <v>2</v>
      </c>
    </row>
    <row r="3954" spans="1:9" x14ac:dyDescent="0.25">
      <c r="A3954" s="515">
        <v>32926</v>
      </c>
      <c r="B3954" s="515" t="s">
        <v>1133</v>
      </c>
      <c r="C3954" s="52">
        <v>312761.846288339</v>
      </c>
      <c r="D3954" s="56">
        <v>0.1287109987938494</v>
      </c>
      <c r="E3954" s="224" t="s">
        <v>2</v>
      </c>
      <c r="F3954" s="515" t="s">
        <v>5269</v>
      </c>
      <c r="G3954" s="52">
        <v>81257.664142449998</v>
      </c>
      <c r="H3954" s="56">
        <v>0.11532826880224584</v>
      </c>
      <c r="I3954" s="224" t="s">
        <v>2</v>
      </c>
    </row>
    <row r="3955" spans="1:9" x14ac:dyDescent="0.25">
      <c r="A3955" s="515">
        <v>60015</v>
      </c>
      <c r="B3955" s="515" t="s">
        <v>394</v>
      </c>
      <c r="C3955" s="52">
        <v>524145.59095165599</v>
      </c>
      <c r="D3955" s="56">
        <v>7.3314903668186909E-2</v>
      </c>
      <c r="E3955" s="224">
        <v>2085.6666666666601</v>
      </c>
      <c r="F3955" s="515" t="s">
        <v>5270</v>
      </c>
      <c r="G3955" s="52">
        <v>256475.718780205</v>
      </c>
      <c r="H3955" s="56">
        <v>7.7840394630376814E-2</v>
      </c>
      <c r="I3955" s="224">
        <v>1551.8333333333301</v>
      </c>
    </row>
    <row r="3956" spans="1:9" x14ac:dyDescent="0.25">
      <c r="A3956" s="515">
        <v>48867</v>
      </c>
      <c r="B3956" s="515" t="s">
        <v>528</v>
      </c>
      <c r="C3956" s="52">
        <v>140731.88162255101</v>
      </c>
      <c r="D3956" s="56">
        <v>3.9658649492950178E-2</v>
      </c>
      <c r="E3956" s="224" t="s">
        <v>2</v>
      </c>
      <c r="F3956" s="515" t="s">
        <v>5271</v>
      </c>
      <c r="G3956" s="52">
        <v>894067.11647085799</v>
      </c>
      <c r="H3956" s="56">
        <v>7.6990981834356403E-2</v>
      </c>
      <c r="I3956" s="224" t="s">
        <v>2</v>
      </c>
    </row>
    <row r="3957" spans="1:9" x14ac:dyDescent="0.25">
      <c r="A3957" s="515">
        <v>2119</v>
      </c>
      <c r="B3957" s="515" t="s">
        <v>534</v>
      </c>
      <c r="C3957" s="52">
        <v>531006.31364479999</v>
      </c>
      <c r="D3957" s="56">
        <v>-1.6175502890109175E-2</v>
      </c>
      <c r="E3957" s="224">
        <v>3293.88888888888</v>
      </c>
      <c r="F3957" s="515" t="s">
        <v>5272</v>
      </c>
      <c r="G3957" s="52">
        <v>205640.060831362</v>
      </c>
      <c r="H3957" s="56">
        <v>9.6893554204824067E-2</v>
      </c>
      <c r="I3957" s="224" t="s">
        <v>2</v>
      </c>
    </row>
    <row r="3958" spans="1:9" x14ac:dyDescent="0.25">
      <c r="A3958" s="515">
        <v>32826</v>
      </c>
      <c r="B3958" s="515" t="s">
        <v>517</v>
      </c>
      <c r="C3958" s="52">
        <v>349429.93713335303</v>
      </c>
      <c r="D3958" s="56">
        <v>9.7040326350070039E-2</v>
      </c>
      <c r="E3958" s="224">
        <v>2042.69047619047</v>
      </c>
      <c r="F3958" s="515" t="s">
        <v>5273</v>
      </c>
      <c r="G3958" s="52">
        <v>417640.34311138903</v>
      </c>
      <c r="H3958" s="56">
        <v>4.4931411922313522E-2</v>
      </c>
      <c r="I3958" s="224" t="s">
        <v>2</v>
      </c>
    </row>
    <row r="3959" spans="1:9" x14ac:dyDescent="0.25">
      <c r="A3959" s="515">
        <v>24012</v>
      </c>
      <c r="B3959" s="515" t="s">
        <v>861</v>
      </c>
      <c r="C3959" s="52">
        <v>193653.10769002201</v>
      </c>
      <c r="D3959" s="56">
        <v>0.1241350167720323</v>
      </c>
      <c r="E3959" s="224">
        <v>1231.38888888888</v>
      </c>
      <c r="F3959" s="515" t="s">
        <v>5274</v>
      </c>
      <c r="G3959" s="52">
        <v>489476.11362665799</v>
      </c>
      <c r="H3959" s="56">
        <v>4.8123179163568702E-2</v>
      </c>
      <c r="I3959" s="224">
        <v>2423.8333333333298</v>
      </c>
    </row>
    <row r="3960" spans="1:9" x14ac:dyDescent="0.25">
      <c r="A3960" s="515">
        <v>50501</v>
      </c>
      <c r="B3960" s="515" t="s">
        <v>670</v>
      </c>
      <c r="C3960" s="52">
        <v>115510.00754219601</v>
      </c>
      <c r="D3960" s="56">
        <v>3.880355729700416E-2</v>
      </c>
      <c r="E3960" s="224" t="s">
        <v>2</v>
      </c>
      <c r="F3960" s="515" t="s">
        <v>5275</v>
      </c>
      <c r="G3960" s="52">
        <v>226911.00922646001</v>
      </c>
      <c r="H3960" s="56">
        <v>6.1646323872400724E-2</v>
      </c>
      <c r="I3960" s="224" t="s">
        <v>2</v>
      </c>
    </row>
    <row r="3961" spans="1:9" x14ac:dyDescent="0.25">
      <c r="A3961" s="515">
        <v>34638</v>
      </c>
      <c r="B3961" s="515" t="s">
        <v>461</v>
      </c>
      <c r="C3961" s="52">
        <v>442462.53582142299</v>
      </c>
      <c r="D3961" s="56">
        <v>8.1878966533169381E-2</v>
      </c>
      <c r="E3961" s="224">
        <v>2456.6666666666601</v>
      </c>
      <c r="F3961" s="515" t="s">
        <v>5276</v>
      </c>
      <c r="G3961" s="52">
        <v>155265.51062507401</v>
      </c>
      <c r="H3961" s="56">
        <v>4.0245579364492648E-2</v>
      </c>
      <c r="I3961" s="224" t="s">
        <v>2</v>
      </c>
    </row>
    <row r="3962" spans="1:9" x14ac:dyDescent="0.25">
      <c r="A3962" s="515">
        <v>2905</v>
      </c>
      <c r="B3962" s="515" t="s">
        <v>513</v>
      </c>
      <c r="C3962" s="52">
        <v>337866.01779871399</v>
      </c>
      <c r="D3962" s="56">
        <v>9.0519323834850646E-2</v>
      </c>
      <c r="E3962" s="224">
        <v>1790.8333333333301</v>
      </c>
      <c r="F3962" s="515" t="s">
        <v>5277</v>
      </c>
      <c r="G3962" s="52">
        <v>527218.83087783598</v>
      </c>
      <c r="H3962" s="56">
        <v>6.3156029751825049E-2</v>
      </c>
      <c r="I3962" s="224" t="s">
        <v>2</v>
      </c>
    </row>
    <row r="3963" spans="1:9" x14ac:dyDescent="0.25">
      <c r="A3963" s="515">
        <v>98007</v>
      </c>
      <c r="B3963" s="515" t="s">
        <v>384</v>
      </c>
      <c r="C3963" s="52">
        <v>942626.34733582195</v>
      </c>
      <c r="D3963" s="56">
        <v>1.5004279022516375E-2</v>
      </c>
      <c r="E3963" s="224">
        <v>2322.8194444444398</v>
      </c>
      <c r="F3963" s="515" t="s">
        <v>494</v>
      </c>
      <c r="G3963" s="52">
        <v>174552.18310284999</v>
      </c>
      <c r="H3963" s="56">
        <v>6.9792742110169337E-2</v>
      </c>
      <c r="I3963" s="224" t="s">
        <v>2</v>
      </c>
    </row>
    <row r="3964" spans="1:9" x14ac:dyDescent="0.25">
      <c r="A3964" s="515">
        <v>6033</v>
      </c>
      <c r="B3964" s="515" t="s">
        <v>894</v>
      </c>
      <c r="C3964" s="52">
        <v>413651.36313171597</v>
      </c>
      <c r="D3964" s="56">
        <v>9.6119581008922386E-2</v>
      </c>
      <c r="E3964" s="224">
        <v>2121.2666666666601</v>
      </c>
      <c r="F3964" s="515" t="s">
        <v>5278</v>
      </c>
      <c r="G3964" s="52">
        <v>143373.81553832101</v>
      </c>
      <c r="H3964" s="56">
        <v>6.1615792925917554E-2</v>
      </c>
      <c r="I3964" s="224" t="s">
        <v>2</v>
      </c>
    </row>
    <row r="3965" spans="1:9" x14ac:dyDescent="0.25">
      <c r="A3965" s="515">
        <v>35811</v>
      </c>
      <c r="B3965" s="515" t="s">
        <v>997</v>
      </c>
      <c r="C3965" s="52">
        <v>255259.38039779</v>
      </c>
      <c r="D3965" s="56">
        <v>7.5770634228618142E-2</v>
      </c>
      <c r="E3965" s="224">
        <v>1481.1111111111099</v>
      </c>
      <c r="F3965" s="515" t="s">
        <v>451</v>
      </c>
      <c r="G3965" s="52">
        <v>131054.019085165</v>
      </c>
      <c r="H3965" s="56">
        <v>8.9589333180871422E-2</v>
      </c>
      <c r="I3965" s="224" t="s">
        <v>2</v>
      </c>
    </row>
    <row r="3966" spans="1:9" x14ac:dyDescent="0.25">
      <c r="A3966" s="515">
        <v>28590</v>
      </c>
      <c r="B3966" s="515" t="s">
        <v>1101</v>
      </c>
      <c r="C3966" s="52">
        <v>259137.69682071</v>
      </c>
      <c r="D3966" s="56">
        <v>9.6254965660500888E-2</v>
      </c>
      <c r="E3966" s="224">
        <v>1501.38888888888</v>
      </c>
      <c r="F3966" s="515" t="s">
        <v>5279</v>
      </c>
      <c r="G3966" s="52">
        <v>501669.00185655698</v>
      </c>
      <c r="H3966" s="56">
        <v>4.7523212312554963E-2</v>
      </c>
      <c r="I3966" s="224" t="s">
        <v>2</v>
      </c>
    </row>
    <row r="3967" spans="1:9" x14ac:dyDescent="0.25">
      <c r="A3967" s="515">
        <v>83814</v>
      </c>
      <c r="B3967" s="515" t="s">
        <v>992</v>
      </c>
      <c r="C3967" s="52">
        <v>612027.03194667597</v>
      </c>
      <c r="D3967" s="56">
        <v>6.9453645330400909E-2</v>
      </c>
      <c r="E3967" s="224">
        <v>1903.6746031746</v>
      </c>
      <c r="F3967" s="515" t="s">
        <v>5280</v>
      </c>
      <c r="G3967" s="52">
        <v>123758.699435508</v>
      </c>
      <c r="H3967" s="56">
        <v>5.069983366821524E-2</v>
      </c>
      <c r="I3967" s="224" t="s">
        <v>2</v>
      </c>
    </row>
    <row r="3968" spans="1:9" x14ac:dyDescent="0.25">
      <c r="A3968" s="515">
        <v>48317</v>
      </c>
      <c r="B3968" s="515" t="s">
        <v>685</v>
      </c>
      <c r="C3968" s="52">
        <v>255178.536572043</v>
      </c>
      <c r="D3968" s="56">
        <v>4.7776644897702829E-2</v>
      </c>
      <c r="E3968" s="224">
        <v>1360.88888888888</v>
      </c>
      <c r="F3968" s="515" t="s">
        <v>5281</v>
      </c>
      <c r="G3968" s="52">
        <v>340139.225779275</v>
      </c>
      <c r="H3968" s="56">
        <v>0</v>
      </c>
      <c r="I3968" s="224" t="s">
        <v>2</v>
      </c>
    </row>
    <row r="3969" spans="1:9" x14ac:dyDescent="0.25">
      <c r="A3969" s="515">
        <v>91301</v>
      </c>
      <c r="B3969" s="515" t="s">
        <v>375</v>
      </c>
      <c r="C3969" s="52">
        <v>1096602.3362994599</v>
      </c>
      <c r="D3969" s="56">
        <v>5.6224727641525134E-2</v>
      </c>
      <c r="E3969" s="224">
        <v>3862.5</v>
      </c>
      <c r="F3969" s="515" t="s">
        <v>5282</v>
      </c>
      <c r="G3969" s="52">
        <v>222608.77923165099</v>
      </c>
      <c r="H3969" s="56">
        <v>7.1753175806546055E-2</v>
      </c>
      <c r="I3969" s="224" t="s">
        <v>2</v>
      </c>
    </row>
    <row r="3970" spans="1:9" x14ac:dyDescent="0.25">
      <c r="A3970" s="515">
        <v>95117</v>
      </c>
      <c r="B3970" s="515" t="s">
        <v>850</v>
      </c>
      <c r="C3970" s="52">
        <v>1475615.5387293</v>
      </c>
      <c r="D3970" s="56">
        <v>5.645952850570761E-2</v>
      </c>
      <c r="E3970" s="224">
        <v>2785.5833333333298</v>
      </c>
      <c r="F3970" s="515" t="s">
        <v>5283</v>
      </c>
      <c r="G3970" s="52">
        <v>158363.25736179799</v>
      </c>
      <c r="H3970" s="56">
        <v>3.7299026733852826E-3</v>
      </c>
      <c r="I3970" s="224" t="s">
        <v>2</v>
      </c>
    </row>
    <row r="3971" spans="1:9" x14ac:dyDescent="0.25">
      <c r="A3971" s="515">
        <v>28602</v>
      </c>
      <c r="B3971" s="515" t="s">
        <v>638</v>
      </c>
      <c r="C3971" s="52">
        <v>216149.15024060599</v>
      </c>
      <c r="D3971" s="56">
        <v>0.17867518719121819</v>
      </c>
      <c r="E3971" s="224">
        <v>1449.7222222222199</v>
      </c>
      <c r="F3971" s="515" t="s">
        <v>5284</v>
      </c>
      <c r="G3971" s="52">
        <v>162590.11232810799</v>
      </c>
      <c r="H3971" s="56">
        <v>0.11356162862473176</v>
      </c>
      <c r="I3971" s="224" t="s">
        <v>2</v>
      </c>
    </row>
    <row r="3972" spans="1:9" x14ac:dyDescent="0.25">
      <c r="A3972" s="515">
        <v>78023</v>
      </c>
      <c r="B3972" s="515" t="s">
        <v>717</v>
      </c>
      <c r="C3972" s="52">
        <v>438093.211380889</v>
      </c>
      <c r="D3972" s="56">
        <v>6.7759155679874561E-2</v>
      </c>
      <c r="E3972" s="224">
        <v>1887.7222222222199</v>
      </c>
      <c r="F3972" s="515" t="s">
        <v>5285</v>
      </c>
      <c r="G3972" s="52">
        <v>309190.82257722499</v>
      </c>
      <c r="H3972" s="56">
        <v>0.10188648678778649</v>
      </c>
      <c r="I3972" s="224">
        <v>2052.5</v>
      </c>
    </row>
    <row r="3973" spans="1:9" x14ac:dyDescent="0.25">
      <c r="A3973" s="515">
        <v>60077</v>
      </c>
      <c r="B3973" s="515" t="s">
        <v>394</v>
      </c>
      <c r="C3973" s="52">
        <v>299611.37930073001</v>
      </c>
      <c r="D3973" s="56">
        <v>9.965167893602812E-3</v>
      </c>
      <c r="E3973" s="224">
        <v>2300</v>
      </c>
      <c r="F3973" s="515" t="s">
        <v>5286</v>
      </c>
      <c r="G3973" s="52">
        <v>381126.38986094698</v>
      </c>
      <c r="H3973" s="56">
        <v>0.11296625510645011</v>
      </c>
      <c r="I3973" s="224" t="s">
        <v>2</v>
      </c>
    </row>
    <row r="3974" spans="1:9" x14ac:dyDescent="0.25">
      <c r="A3974" s="515">
        <v>98311</v>
      </c>
      <c r="B3974" s="515" t="s">
        <v>620</v>
      </c>
      <c r="C3974" s="52">
        <v>468626.01152389502</v>
      </c>
      <c r="D3974" s="56">
        <v>7.9126467906966251E-3</v>
      </c>
      <c r="E3974" s="224">
        <v>2169.5</v>
      </c>
      <c r="F3974" s="515" t="s">
        <v>5287</v>
      </c>
      <c r="G3974" s="52">
        <v>254879.95638432601</v>
      </c>
      <c r="H3974" s="56">
        <v>9.0489551580576338E-2</v>
      </c>
      <c r="I3974" s="224" t="s">
        <v>2</v>
      </c>
    </row>
    <row r="3975" spans="1:9" x14ac:dyDescent="0.25">
      <c r="A3975" s="515">
        <v>20721</v>
      </c>
      <c r="B3975" s="515" t="s">
        <v>321</v>
      </c>
      <c r="C3975" s="52">
        <v>538312.03330857598</v>
      </c>
      <c r="D3975" s="56">
        <v>4.0181784150758737E-2</v>
      </c>
      <c r="E3975" s="224">
        <v>1730</v>
      </c>
      <c r="F3975" s="515" t="s">
        <v>5288</v>
      </c>
      <c r="G3975" s="52">
        <v>345311.14030038798</v>
      </c>
      <c r="H3975" s="56">
        <v>3.5327539326701421E-2</v>
      </c>
      <c r="I3975" s="224" t="s">
        <v>2</v>
      </c>
    </row>
    <row r="3976" spans="1:9" x14ac:dyDescent="0.25">
      <c r="A3976" s="515">
        <v>2186</v>
      </c>
      <c r="B3976" s="515" t="s">
        <v>534</v>
      </c>
      <c r="C3976" s="52">
        <v>883796.09579723596</v>
      </c>
      <c r="D3976" s="56">
        <v>5.1119868152991368E-2</v>
      </c>
      <c r="E3976" s="224" t="s">
        <v>2</v>
      </c>
      <c r="F3976" s="515" t="s">
        <v>5289</v>
      </c>
      <c r="G3976" s="52">
        <v>170218.32660414599</v>
      </c>
      <c r="H3976" s="56">
        <v>5.1957054465807756E-2</v>
      </c>
      <c r="I3976" s="224" t="s">
        <v>2</v>
      </c>
    </row>
    <row r="3977" spans="1:9" x14ac:dyDescent="0.25">
      <c r="A3977" s="515">
        <v>19119</v>
      </c>
      <c r="B3977" s="515" t="s">
        <v>294</v>
      </c>
      <c r="C3977" s="52">
        <v>327305.09258318902</v>
      </c>
      <c r="D3977" s="56">
        <v>3.0428036893962909E-2</v>
      </c>
      <c r="E3977" s="224">
        <v>1670.0606060606001</v>
      </c>
      <c r="F3977" s="515" t="s">
        <v>5290</v>
      </c>
      <c r="G3977" s="52">
        <v>236008.881092472</v>
      </c>
      <c r="H3977" s="56">
        <v>6.4564201257853129E-2</v>
      </c>
      <c r="I3977" s="224" t="s">
        <v>2</v>
      </c>
    </row>
    <row r="3978" spans="1:9" x14ac:dyDescent="0.25">
      <c r="A3978" s="515">
        <v>14304</v>
      </c>
      <c r="B3978" s="515" t="s">
        <v>336</v>
      </c>
      <c r="C3978" s="52">
        <v>168449.37108299299</v>
      </c>
      <c r="D3978" s="56">
        <v>5.1007267946827341E-2</v>
      </c>
      <c r="E3978" s="224" t="s">
        <v>2</v>
      </c>
      <c r="F3978" s="515" t="s">
        <v>5291</v>
      </c>
      <c r="G3978" s="52">
        <v>222388.49412697999</v>
      </c>
      <c r="H3978" s="56">
        <v>0.17609445478751298</v>
      </c>
      <c r="I3978" s="224" t="s">
        <v>2</v>
      </c>
    </row>
    <row r="3979" spans="1:9" x14ac:dyDescent="0.25">
      <c r="A3979" s="515">
        <v>34606</v>
      </c>
      <c r="B3979" s="515" t="s">
        <v>461</v>
      </c>
      <c r="C3979" s="52">
        <v>275315.17493077298</v>
      </c>
      <c r="D3979" s="56">
        <v>0.14271234158889151</v>
      </c>
      <c r="E3979" s="224">
        <v>1650.68333333333</v>
      </c>
      <c r="F3979" s="515" t="s">
        <v>5292</v>
      </c>
      <c r="G3979" s="52">
        <v>320767.15383124002</v>
      </c>
      <c r="H3979" s="56">
        <v>7.0507505976337773E-2</v>
      </c>
      <c r="I3979" s="224" t="s">
        <v>2</v>
      </c>
    </row>
    <row r="3980" spans="1:9" x14ac:dyDescent="0.25">
      <c r="A3980" s="515">
        <v>97116</v>
      </c>
      <c r="B3980" s="515" t="s">
        <v>659</v>
      </c>
      <c r="C3980" s="52">
        <v>498403.86879701703</v>
      </c>
      <c r="D3980" s="56">
        <v>4.6725086261727868E-2</v>
      </c>
      <c r="E3980" s="224" t="s">
        <v>2</v>
      </c>
      <c r="F3980" s="515" t="s">
        <v>5293</v>
      </c>
      <c r="G3980" s="52">
        <v>409232.37412123597</v>
      </c>
      <c r="H3980" s="56">
        <v>4.5487361281762652E-2</v>
      </c>
      <c r="I3980" s="224">
        <v>1646.25</v>
      </c>
    </row>
    <row r="3981" spans="1:9" x14ac:dyDescent="0.25">
      <c r="A3981" s="515">
        <v>93704</v>
      </c>
      <c r="B3981" s="515" t="s">
        <v>541</v>
      </c>
      <c r="C3981" s="52">
        <v>349249.83233425498</v>
      </c>
      <c r="D3981" s="56">
        <v>6.7779820065383092E-2</v>
      </c>
      <c r="E3981" s="224">
        <v>1500.68888888888</v>
      </c>
      <c r="F3981" s="515" t="s">
        <v>5294</v>
      </c>
      <c r="G3981" s="52">
        <v>269957.18343204597</v>
      </c>
      <c r="H3981" s="56">
        <v>7.9509724323436518E-2</v>
      </c>
      <c r="I3981" s="224" t="s">
        <v>2</v>
      </c>
    </row>
    <row r="3982" spans="1:9" x14ac:dyDescent="0.25">
      <c r="A3982" s="515">
        <v>61801</v>
      </c>
      <c r="B3982" s="515" t="s">
        <v>417</v>
      </c>
      <c r="C3982" s="52">
        <v>154649.98978468199</v>
      </c>
      <c r="D3982" s="56">
        <v>4.6797619584280213E-2</v>
      </c>
      <c r="E3982" s="224">
        <v>1045.2777777777701</v>
      </c>
      <c r="F3982" s="515" t="s">
        <v>5295</v>
      </c>
      <c r="G3982" s="52">
        <v>517693.521031268</v>
      </c>
      <c r="H3982" s="56">
        <v>0.13541312268480837</v>
      </c>
      <c r="I3982" s="224" t="s">
        <v>2</v>
      </c>
    </row>
    <row r="3983" spans="1:9" x14ac:dyDescent="0.25">
      <c r="A3983" s="515">
        <v>93280</v>
      </c>
      <c r="B3983" s="515" t="s">
        <v>419</v>
      </c>
      <c r="C3983" s="52">
        <v>274487.66359816003</v>
      </c>
      <c r="D3983" s="56">
        <v>8.5136765100786674E-2</v>
      </c>
      <c r="E3983" s="224" t="s">
        <v>2</v>
      </c>
      <c r="F3983" s="515" t="s">
        <v>5296</v>
      </c>
      <c r="G3983" s="52">
        <v>660565.07980904903</v>
      </c>
      <c r="H3983" s="56">
        <v>9.6674666851432514E-2</v>
      </c>
      <c r="I3983" s="224">
        <v>2629.7777777777701</v>
      </c>
    </row>
    <row r="3984" spans="1:9" x14ac:dyDescent="0.25">
      <c r="A3984" s="515">
        <v>98040</v>
      </c>
      <c r="B3984" s="515" t="s">
        <v>384</v>
      </c>
      <c r="C3984" s="52">
        <v>2066187.9676232799</v>
      </c>
      <c r="D3984" s="56">
        <v>4.0481437226243942E-2</v>
      </c>
      <c r="E3984" s="224">
        <v>2497.3388888888799</v>
      </c>
      <c r="F3984" s="515" t="s">
        <v>5297</v>
      </c>
      <c r="G3984" s="52">
        <v>275184.17412201402</v>
      </c>
      <c r="H3984" s="56">
        <v>0.10205946586979853</v>
      </c>
      <c r="I3984" s="224" t="s">
        <v>2</v>
      </c>
    </row>
    <row r="3985" spans="1:9" x14ac:dyDescent="0.25">
      <c r="A3985" s="515">
        <v>83843</v>
      </c>
      <c r="B3985" s="515" t="s">
        <v>857</v>
      </c>
      <c r="C3985" s="52">
        <v>419868.65675855702</v>
      </c>
      <c r="D3985" s="56">
        <v>5.887433136810713E-2</v>
      </c>
      <c r="E3985" s="224" t="s">
        <v>2</v>
      </c>
      <c r="F3985" s="515" t="s">
        <v>5298</v>
      </c>
      <c r="G3985" s="52">
        <v>851573.09415855701</v>
      </c>
      <c r="H3985" s="56">
        <v>0.11978461670183103</v>
      </c>
      <c r="I3985" s="224">
        <v>2665</v>
      </c>
    </row>
    <row r="3986" spans="1:9" x14ac:dyDescent="0.25">
      <c r="A3986" s="515">
        <v>20745</v>
      </c>
      <c r="B3986" s="515" t="s">
        <v>321</v>
      </c>
      <c r="C3986" s="52">
        <v>334919.222198189</v>
      </c>
      <c r="D3986" s="56">
        <v>1.8640050699478529E-2</v>
      </c>
      <c r="E3986" s="224">
        <v>2317.5166666666601</v>
      </c>
      <c r="F3986" s="515" t="s">
        <v>5299</v>
      </c>
      <c r="G3986" s="52">
        <v>119011.58008973399</v>
      </c>
      <c r="H3986" s="56">
        <v>0.11525998942695624</v>
      </c>
      <c r="I3986" s="224" t="s">
        <v>2</v>
      </c>
    </row>
    <row r="3987" spans="1:9" x14ac:dyDescent="0.25">
      <c r="A3987" s="515">
        <v>92008</v>
      </c>
      <c r="B3987" s="515" t="s">
        <v>396</v>
      </c>
      <c r="C3987" s="52">
        <v>1336122.08840157</v>
      </c>
      <c r="D3987" s="56">
        <v>8.9062300905229264E-2</v>
      </c>
      <c r="E3987" s="224">
        <v>3143.03185703185</v>
      </c>
      <c r="F3987" s="515" t="s">
        <v>5300</v>
      </c>
      <c r="G3987" s="52">
        <v>874931.56889064796</v>
      </c>
      <c r="H3987" s="56">
        <v>4.1352603954257196E-2</v>
      </c>
      <c r="I3987" s="224" t="s">
        <v>2</v>
      </c>
    </row>
    <row r="3988" spans="1:9" x14ac:dyDescent="0.25">
      <c r="A3988" s="515">
        <v>43512</v>
      </c>
      <c r="B3988" s="515" t="s">
        <v>583</v>
      </c>
      <c r="C3988" s="52">
        <v>155018.02356443999</v>
      </c>
      <c r="D3988" s="56">
        <v>6.0643455393853768E-2</v>
      </c>
      <c r="E3988" s="224" t="s">
        <v>2</v>
      </c>
      <c r="F3988" s="515" t="s">
        <v>5301</v>
      </c>
      <c r="G3988" s="52">
        <v>334129.85904347198</v>
      </c>
      <c r="H3988" s="56">
        <v>9.6137524277929001E-2</v>
      </c>
      <c r="I3988" s="224" t="s">
        <v>2</v>
      </c>
    </row>
    <row r="3989" spans="1:9" x14ac:dyDescent="0.25">
      <c r="A3989" s="515">
        <v>44146</v>
      </c>
      <c r="B3989" s="515" t="s">
        <v>520</v>
      </c>
      <c r="C3989" s="52">
        <v>152861.68527953199</v>
      </c>
      <c r="D3989" s="56">
        <v>7.7149187028738075E-2</v>
      </c>
      <c r="E3989" s="224" t="s">
        <v>2</v>
      </c>
      <c r="F3989" s="515" t="s">
        <v>5302</v>
      </c>
      <c r="G3989" s="52">
        <v>190710.35130183701</v>
      </c>
      <c r="H3989" s="56">
        <v>5.3666483822045044E-2</v>
      </c>
      <c r="I3989" s="224" t="s">
        <v>2</v>
      </c>
    </row>
    <row r="3990" spans="1:9" x14ac:dyDescent="0.25">
      <c r="A3990" s="515">
        <v>76012</v>
      </c>
      <c r="B3990" s="515" t="s">
        <v>458</v>
      </c>
      <c r="C3990" s="52">
        <v>333815.88385473599</v>
      </c>
      <c r="D3990" s="56">
        <v>8.6255039852396381E-2</v>
      </c>
      <c r="E3990" s="224" t="s">
        <v>2</v>
      </c>
      <c r="F3990" s="515" t="s">
        <v>5303</v>
      </c>
      <c r="G3990" s="52">
        <v>210975.65235614899</v>
      </c>
      <c r="H3990" s="56">
        <v>5.1720200885726604E-2</v>
      </c>
      <c r="I3990" s="224" t="s">
        <v>2</v>
      </c>
    </row>
    <row r="3991" spans="1:9" x14ac:dyDescent="0.25">
      <c r="A3991" s="515">
        <v>97703</v>
      </c>
      <c r="B3991" s="515" t="s">
        <v>1190</v>
      </c>
      <c r="C3991" s="52">
        <v>922953.02337605099</v>
      </c>
      <c r="D3991" s="56">
        <v>-3.5115731234274584E-3</v>
      </c>
      <c r="E3991" s="224">
        <v>2578.4444444444398</v>
      </c>
      <c r="F3991" s="515" t="s">
        <v>5304</v>
      </c>
      <c r="G3991" s="52">
        <v>280359.376452428</v>
      </c>
      <c r="H3991" s="56">
        <v>0.16160451694637162</v>
      </c>
      <c r="I3991" s="224" t="s">
        <v>2</v>
      </c>
    </row>
    <row r="3992" spans="1:9" x14ac:dyDescent="0.25">
      <c r="A3992" s="515">
        <v>74137</v>
      </c>
      <c r="B3992" s="515" t="s">
        <v>348</v>
      </c>
      <c r="C3992" s="52">
        <v>394537.10435481201</v>
      </c>
      <c r="D3992" s="56">
        <v>8.952239253560898E-2</v>
      </c>
      <c r="E3992" s="224">
        <v>2100</v>
      </c>
      <c r="F3992" s="515" t="s">
        <v>5305</v>
      </c>
      <c r="G3992" s="52">
        <v>95707.443297064194</v>
      </c>
      <c r="H3992" s="56">
        <v>0.10716368652943326</v>
      </c>
      <c r="I3992" s="224" t="s">
        <v>2</v>
      </c>
    </row>
    <row r="3993" spans="1:9" x14ac:dyDescent="0.25">
      <c r="A3993" s="515">
        <v>97005</v>
      </c>
      <c r="B3993" s="515" t="s">
        <v>659</v>
      </c>
      <c r="C3993" s="52">
        <v>473965.85985920503</v>
      </c>
      <c r="D3993" s="56">
        <v>2.0790232461849145E-2</v>
      </c>
      <c r="E3993" s="224">
        <v>1825.27417027417</v>
      </c>
      <c r="F3993" s="515" t="s">
        <v>5306</v>
      </c>
      <c r="G3993" s="52">
        <v>552530.46779559099</v>
      </c>
      <c r="H3993" s="56">
        <v>8.3322937263117972E-2</v>
      </c>
      <c r="I3993" s="224" t="s">
        <v>2</v>
      </c>
    </row>
    <row r="3994" spans="1:9" x14ac:dyDescent="0.25">
      <c r="A3994" s="515">
        <v>3062</v>
      </c>
      <c r="B3994" s="515" t="s">
        <v>996</v>
      </c>
      <c r="C3994" s="52">
        <v>441194.89272223902</v>
      </c>
      <c r="D3994" s="56">
        <v>6.3934145693877009E-2</v>
      </c>
      <c r="E3994" s="224">
        <v>2012.5</v>
      </c>
      <c r="F3994" s="515" t="s">
        <v>1113</v>
      </c>
      <c r="G3994" s="52">
        <v>158773.787332621</v>
      </c>
      <c r="H3994" s="56">
        <v>3.619918592717055E-2</v>
      </c>
      <c r="I3994" s="224" t="s">
        <v>2</v>
      </c>
    </row>
    <row r="3995" spans="1:9" x14ac:dyDescent="0.25">
      <c r="A3995" s="515">
        <v>12306</v>
      </c>
      <c r="B3995" s="515" t="s">
        <v>609</v>
      </c>
      <c r="C3995" s="52">
        <v>228424.26677365199</v>
      </c>
      <c r="D3995" s="56">
        <v>6.3971854632341202E-2</v>
      </c>
      <c r="E3995" s="224" t="s">
        <v>2</v>
      </c>
      <c r="F3995" s="515" t="s">
        <v>298</v>
      </c>
      <c r="G3995" s="52">
        <v>198080.588655434</v>
      </c>
      <c r="H3995" s="56">
        <v>9.9975277571591761E-2</v>
      </c>
      <c r="I3995" s="224" t="s">
        <v>2</v>
      </c>
    </row>
    <row r="3996" spans="1:9" x14ac:dyDescent="0.25">
      <c r="A3996" s="515">
        <v>90038</v>
      </c>
      <c r="B3996" s="515" t="s">
        <v>375</v>
      </c>
      <c r="C3996" s="52">
        <v>1068719.7443117199</v>
      </c>
      <c r="D3996" s="56">
        <v>-5.2930397821504445E-2</v>
      </c>
      <c r="E3996" s="224">
        <v>2372.3624445729702</v>
      </c>
      <c r="F3996" s="515" t="s">
        <v>1205</v>
      </c>
      <c r="G3996" s="52">
        <v>279007.10327071499</v>
      </c>
      <c r="H3996" s="56">
        <v>1.4336689213576313E-2</v>
      </c>
      <c r="I3996" s="224" t="s">
        <v>2</v>
      </c>
    </row>
    <row r="3997" spans="1:9" x14ac:dyDescent="0.25">
      <c r="A3997" s="515">
        <v>98029</v>
      </c>
      <c r="B3997" s="515" t="s">
        <v>384</v>
      </c>
      <c r="C3997" s="52">
        <v>1070568.6630273701</v>
      </c>
      <c r="D3997" s="56">
        <v>4.089017635788772E-2</v>
      </c>
      <c r="E3997" s="224">
        <v>2633.8885964912201</v>
      </c>
      <c r="F3997" s="515" t="s">
        <v>5307</v>
      </c>
      <c r="G3997" s="52">
        <v>1534822.4707573201</v>
      </c>
      <c r="H3997" s="56">
        <v>9.1156812280186184E-2</v>
      </c>
      <c r="I3997" s="224" t="s">
        <v>2</v>
      </c>
    </row>
    <row r="3998" spans="1:9" x14ac:dyDescent="0.25">
      <c r="A3998" s="515">
        <v>95032</v>
      </c>
      <c r="B3998" s="515" t="s">
        <v>850</v>
      </c>
      <c r="C3998" s="52">
        <v>2225743.1872955901</v>
      </c>
      <c r="D3998" s="56">
        <v>7.3587663779881976E-2</v>
      </c>
      <c r="E3998" s="224">
        <v>3443.2047619047598</v>
      </c>
      <c r="F3998" s="515" t="s">
        <v>5308</v>
      </c>
      <c r="G3998" s="52">
        <v>235651.082235685</v>
      </c>
      <c r="H3998" s="56">
        <v>-3.3725108011485325E-3</v>
      </c>
      <c r="I3998" s="224">
        <v>1358.3333333333301</v>
      </c>
    </row>
    <row r="3999" spans="1:9" x14ac:dyDescent="0.25">
      <c r="A3999" s="515">
        <v>2132</v>
      </c>
      <c r="B3999" s="515" t="s">
        <v>534</v>
      </c>
      <c r="C3999" s="52">
        <v>686001.88115922501</v>
      </c>
      <c r="D3999" s="56">
        <v>3.108193327251987E-2</v>
      </c>
      <c r="E3999" s="224">
        <v>2442.3333333333298</v>
      </c>
      <c r="F3999" s="515" t="s">
        <v>5309</v>
      </c>
      <c r="G3999" s="52">
        <v>618704.21233549702</v>
      </c>
      <c r="H3999" s="56">
        <v>6.2673215914286817E-2</v>
      </c>
      <c r="I3999" s="224">
        <v>1691.94444444444</v>
      </c>
    </row>
    <row r="4000" spans="1:9" x14ac:dyDescent="0.25">
      <c r="A4000" s="515">
        <v>19604</v>
      </c>
      <c r="B4000" s="515" t="s">
        <v>569</v>
      </c>
      <c r="C4000" s="52">
        <v>115014.95838531099</v>
      </c>
      <c r="D4000" s="56">
        <v>0.21838356389861965</v>
      </c>
      <c r="E4000" s="224" t="s">
        <v>2</v>
      </c>
      <c r="F4000" s="515" t="s">
        <v>5310</v>
      </c>
      <c r="G4000" s="52">
        <v>428649.21847341798</v>
      </c>
      <c r="H4000" s="56">
        <v>6.0398761857802102E-2</v>
      </c>
      <c r="I4000" s="224" t="s">
        <v>2</v>
      </c>
    </row>
    <row r="4001" spans="1:9" x14ac:dyDescent="0.25">
      <c r="A4001" s="515">
        <v>80005</v>
      </c>
      <c r="B4001" s="515" t="s">
        <v>401</v>
      </c>
      <c r="C4001" s="52">
        <v>629146.96927729098</v>
      </c>
      <c r="D4001" s="56">
        <v>1.3417937168283656E-2</v>
      </c>
      <c r="E4001" s="224" t="s">
        <v>2</v>
      </c>
      <c r="F4001" s="515" t="s">
        <v>5311</v>
      </c>
      <c r="G4001" s="52">
        <v>223389.87595552299</v>
      </c>
      <c r="H4001" s="56">
        <v>0.10887837114924073</v>
      </c>
      <c r="I4001" s="224" t="s">
        <v>2</v>
      </c>
    </row>
    <row r="4002" spans="1:9" x14ac:dyDescent="0.25">
      <c r="A4002" s="515">
        <v>53144</v>
      </c>
      <c r="B4002" s="515" t="s">
        <v>394</v>
      </c>
      <c r="C4002" s="52">
        <v>247011.936941152</v>
      </c>
      <c r="D4002" s="56">
        <v>5.378508686906832E-2</v>
      </c>
      <c r="E4002" s="224">
        <v>1112.5</v>
      </c>
      <c r="F4002" s="515" t="s">
        <v>5312</v>
      </c>
      <c r="G4002" s="52">
        <v>252264.80826514401</v>
      </c>
      <c r="H4002" s="56">
        <v>5.5377077598816493E-2</v>
      </c>
      <c r="I4002" s="224" t="s">
        <v>2</v>
      </c>
    </row>
    <row r="4003" spans="1:9" x14ac:dyDescent="0.25">
      <c r="A4003" s="515">
        <v>89511</v>
      </c>
      <c r="B4003" s="515" t="s">
        <v>581</v>
      </c>
      <c r="C4003" s="52">
        <v>928461.847676837</v>
      </c>
      <c r="D4003" s="56">
        <v>-1.9578987800074086E-2</v>
      </c>
      <c r="E4003" s="224">
        <v>1816.55952380952</v>
      </c>
      <c r="F4003" s="515" t="s">
        <v>5313</v>
      </c>
      <c r="G4003" s="52">
        <v>333370.27080977103</v>
      </c>
      <c r="H4003" s="56">
        <v>3.6088620143359805E-2</v>
      </c>
      <c r="I4003" s="224" t="s">
        <v>2</v>
      </c>
    </row>
    <row r="4004" spans="1:9" x14ac:dyDescent="0.25">
      <c r="A4004" s="515">
        <v>80922</v>
      </c>
      <c r="B4004" s="515" t="s">
        <v>701</v>
      </c>
      <c r="C4004" s="52">
        <v>441016.32817757397</v>
      </c>
      <c r="D4004" s="56">
        <v>6.3702008618453775E-3</v>
      </c>
      <c r="E4004" s="224">
        <v>2105.13333333333</v>
      </c>
      <c r="F4004" s="515" t="s">
        <v>5314</v>
      </c>
      <c r="G4004" s="52">
        <v>279086.44201373699</v>
      </c>
      <c r="H4004" s="56">
        <v>4.1676202358742025E-2</v>
      </c>
      <c r="I4004" s="224" t="s">
        <v>2</v>
      </c>
    </row>
    <row r="4005" spans="1:9" x14ac:dyDescent="0.25">
      <c r="A4005" s="515">
        <v>6512</v>
      </c>
      <c r="B4005" s="515" t="s">
        <v>1172</v>
      </c>
      <c r="C4005" s="52">
        <v>283397.291781059</v>
      </c>
      <c r="D4005" s="56">
        <v>9.8877593195949326E-2</v>
      </c>
      <c r="E4005" s="224">
        <v>1850</v>
      </c>
      <c r="F4005" s="515" t="s">
        <v>5315</v>
      </c>
      <c r="G4005" s="52">
        <v>448987.56607460999</v>
      </c>
      <c r="H4005" s="56">
        <v>6.8271705133863367E-2</v>
      </c>
      <c r="I4005" s="224" t="s">
        <v>2</v>
      </c>
    </row>
    <row r="4006" spans="1:9" x14ac:dyDescent="0.25">
      <c r="A4006" s="515">
        <v>42003</v>
      </c>
      <c r="B4006" s="515" t="s">
        <v>846</v>
      </c>
      <c r="C4006" s="52">
        <v>129076.972122787</v>
      </c>
      <c r="D4006" s="56">
        <v>6.9937446196833813E-2</v>
      </c>
      <c r="E4006" s="224" t="s">
        <v>2</v>
      </c>
      <c r="F4006" s="515" t="s">
        <v>5316</v>
      </c>
      <c r="G4006" s="52">
        <v>366224.59196262399</v>
      </c>
      <c r="H4006" s="56">
        <v>9.7746911835971576E-2</v>
      </c>
      <c r="I4006" s="224" t="s">
        <v>2</v>
      </c>
    </row>
    <row r="4007" spans="1:9" x14ac:dyDescent="0.25">
      <c r="A4007" s="515">
        <v>55118</v>
      </c>
      <c r="B4007" s="515" t="s">
        <v>532</v>
      </c>
      <c r="C4007" s="52">
        <v>333487.830876527</v>
      </c>
      <c r="D4007" s="56">
        <v>1.4469544217390317E-2</v>
      </c>
      <c r="E4007" s="224">
        <v>1476.55555555555</v>
      </c>
      <c r="F4007" s="515" t="s">
        <v>5317</v>
      </c>
      <c r="G4007" s="52">
        <v>429613.37410758599</v>
      </c>
      <c r="H4007" s="56">
        <v>0.10583534726210989</v>
      </c>
      <c r="I4007" s="224">
        <v>2319.9166666666601</v>
      </c>
    </row>
    <row r="4008" spans="1:9" x14ac:dyDescent="0.25">
      <c r="A4008" s="515">
        <v>86401</v>
      </c>
      <c r="B4008" s="515" t="s">
        <v>453</v>
      </c>
      <c r="C4008" s="52">
        <v>260318.70815722499</v>
      </c>
      <c r="D4008" s="56">
        <v>4.7203197484964883E-2</v>
      </c>
      <c r="E4008" s="224">
        <v>1250</v>
      </c>
      <c r="F4008" s="515" t="s">
        <v>5318</v>
      </c>
      <c r="G4008" s="52">
        <v>112394.162624952</v>
      </c>
      <c r="H4008" s="56">
        <v>0.16391494478631113</v>
      </c>
      <c r="I4008" s="224" t="s">
        <v>2</v>
      </c>
    </row>
    <row r="4009" spans="1:9" x14ac:dyDescent="0.25">
      <c r="A4009" s="515">
        <v>28658</v>
      </c>
      <c r="B4009" s="515" t="s">
        <v>638</v>
      </c>
      <c r="C4009" s="52">
        <v>218790.32731869401</v>
      </c>
      <c r="D4009" s="56">
        <v>0.17004282929269646</v>
      </c>
      <c r="E4009" s="224" t="s">
        <v>2</v>
      </c>
      <c r="F4009" s="515" t="s">
        <v>5319</v>
      </c>
      <c r="G4009" s="52">
        <v>368224.70376304298</v>
      </c>
      <c r="H4009" s="56">
        <v>0.11359724716339945</v>
      </c>
      <c r="I4009" s="224">
        <v>2988.3333333333298</v>
      </c>
    </row>
    <row r="4010" spans="1:9" x14ac:dyDescent="0.25">
      <c r="A4010" s="515">
        <v>80919</v>
      </c>
      <c r="B4010" s="515" t="s">
        <v>701</v>
      </c>
      <c r="C4010" s="52">
        <v>564848.34033260297</v>
      </c>
      <c r="D4010" s="56">
        <v>2.5012512168885753E-2</v>
      </c>
      <c r="E4010" s="224">
        <v>1815.7023809523801</v>
      </c>
      <c r="F4010" s="515" t="s">
        <v>5320</v>
      </c>
      <c r="G4010" s="52">
        <v>523512.81886404502</v>
      </c>
      <c r="H4010" s="56">
        <v>1.7503144606987573E-2</v>
      </c>
      <c r="I4010" s="224">
        <v>1600</v>
      </c>
    </row>
    <row r="4011" spans="1:9" x14ac:dyDescent="0.25">
      <c r="A4011" s="515">
        <v>84115</v>
      </c>
      <c r="B4011" s="515" t="s">
        <v>617</v>
      </c>
      <c r="C4011" s="52">
        <v>426489.13216551801</v>
      </c>
      <c r="D4011" s="56">
        <v>3.7192160418046585E-2</v>
      </c>
      <c r="E4011" s="224">
        <v>1538.2937062937001</v>
      </c>
      <c r="F4011" s="515" t="s">
        <v>5321</v>
      </c>
      <c r="G4011" s="52">
        <v>237038.542366476</v>
      </c>
      <c r="H4011" s="56">
        <v>0.10866853982724281</v>
      </c>
      <c r="I4011" s="224" t="s">
        <v>2</v>
      </c>
    </row>
    <row r="4012" spans="1:9" x14ac:dyDescent="0.25">
      <c r="A4012" s="515">
        <v>43119</v>
      </c>
      <c r="B4012" s="515" t="s">
        <v>345</v>
      </c>
      <c r="C4012" s="52">
        <v>269778.47057091899</v>
      </c>
      <c r="D4012" s="56">
        <v>8.5852729663728047E-2</v>
      </c>
      <c r="E4012" s="224" t="s">
        <v>2</v>
      </c>
      <c r="F4012" s="515" t="s">
        <v>425</v>
      </c>
      <c r="G4012" s="52">
        <v>73277.000812453305</v>
      </c>
      <c r="H4012" s="56">
        <v>-1.4586283042245145E-3</v>
      </c>
      <c r="I4012" s="224" t="s">
        <v>2</v>
      </c>
    </row>
    <row r="4013" spans="1:9" x14ac:dyDescent="0.25">
      <c r="A4013" s="515">
        <v>53593</v>
      </c>
      <c r="B4013" s="515" t="s">
        <v>727</v>
      </c>
      <c r="C4013" s="52">
        <v>485367.43510744598</v>
      </c>
      <c r="D4013" s="56">
        <v>4.5529321116059777E-2</v>
      </c>
      <c r="E4013" s="224">
        <v>1529.1111111111099</v>
      </c>
      <c r="F4013" s="515" t="s">
        <v>5322</v>
      </c>
      <c r="G4013" s="52">
        <v>208748.89526197</v>
      </c>
      <c r="H4013" s="56">
        <v>9.3397960784760925E-2</v>
      </c>
      <c r="I4013" s="224" t="s">
        <v>2</v>
      </c>
    </row>
    <row r="4014" spans="1:9" x14ac:dyDescent="0.25">
      <c r="A4014" s="515">
        <v>78727</v>
      </c>
      <c r="B4014" s="515" t="s">
        <v>380</v>
      </c>
      <c r="C4014" s="52">
        <v>497272.477551641</v>
      </c>
      <c r="D4014" s="56">
        <v>2.3928855215207847E-2</v>
      </c>
      <c r="E4014" s="224">
        <v>1732.7223947550001</v>
      </c>
      <c r="F4014" s="515" t="s">
        <v>5323</v>
      </c>
      <c r="G4014" s="52">
        <v>286030.26780005603</v>
      </c>
      <c r="H4014" s="56">
        <v>9.9200541905289374E-2</v>
      </c>
      <c r="I4014" s="224" t="s">
        <v>2</v>
      </c>
    </row>
    <row r="4015" spans="1:9" x14ac:dyDescent="0.25">
      <c r="A4015" s="515">
        <v>31204</v>
      </c>
      <c r="B4015" s="515" t="s">
        <v>995</v>
      </c>
      <c r="C4015" s="52">
        <v>100478.14675653601</v>
      </c>
      <c r="D4015" s="56">
        <v>0.22540553332306601</v>
      </c>
      <c r="E4015" s="224">
        <v>1024.0277777777701</v>
      </c>
      <c r="F4015" s="515" t="s">
        <v>5324</v>
      </c>
      <c r="G4015" s="52">
        <v>186341.326412717</v>
      </c>
      <c r="H4015" s="56">
        <v>-8.7372863659872253E-3</v>
      </c>
      <c r="I4015" s="224" t="s">
        <v>2</v>
      </c>
    </row>
    <row r="4016" spans="1:9" x14ac:dyDescent="0.25">
      <c r="A4016" s="515">
        <v>48504</v>
      </c>
      <c r="B4016" s="515" t="s">
        <v>759</v>
      </c>
      <c r="C4016" s="52">
        <v>39678.117083231104</v>
      </c>
      <c r="D4016" s="56">
        <v>-2.1202746658917505E-2</v>
      </c>
      <c r="E4016" s="224">
        <v>935</v>
      </c>
      <c r="F4016" s="515" t="s">
        <v>5325</v>
      </c>
      <c r="G4016" s="52">
        <v>353450.67449259001</v>
      </c>
      <c r="H4016" s="56">
        <v>5.5849426524886205E-2</v>
      </c>
      <c r="I4016" s="224" t="s">
        <v>2</v>
      </c>
    </row>
    <row r="4017" spans="1:9" x14ac:dyDescent="0.25">
      <c r="A4017" s="515">
        <v>29625</v>
      </c>
      <c r="B4017" s="515" t="s">
        <v>613</v>
      </c>
      <c r="C4017" s="52">
        <v>220311.852005052</v>
      </c>
      <c r="D4017" s="56">
        <v>0.11022609860964942</v>
      </c>
      <c r="E4017" s="224">
        <v>1232.5</v>
      </c>
      <c r="F4017" s="515" t="s">
        <v>5326</v>
      </c>
      <c r="G4017" s="52">
        <v>612756.74093204795</v>
      </c>
      <c r="H4017" s="56">
        <v>0.15954463341836858</v>
      </c>
      <c r="I4017" s="224">
        <v>3725</v>
      </c>
    </row>
    <row r="4018" spans="1:9" x14ac:dyDescent="0.25">
      <c r="A4018" s="515">
        <v>75455</v>
      </c>
      <c r="B4018" s="515" t="s">
        <v>438</v>
      </c>
      <c r="C4018" s="52">
        <v>203761.67816748199</v>
      </c>
      <c r="D4018" s="56">
        <v>4.4724832227399869E-2</v>
      </c>
      <c r="E4018" s="224" t="s">
        <v>2</v>
      </c>
      <c r="F4018" s="515" t="s">
        <v>5327</v>
      </c>
      <c r="G4018" s="52">
        <v>748140.59018234001</v>
      </c>
      <c r="H4018" s="56">
        <v>5.6676426678479983E-2</v>
      </c>
      <c r="I4018" s="224">
        <v>2875</v>
      </c>
    </row>
    <row r="4019" spans="1:9" x14ac:dyDescent="0.25">
      <c r="A4019" s="515">
        <v>48116</v>
      </c>
      <c r="B4019" s="515" t="s">
        <v>685</v>
      </c>
      <c r="C4019" s="52">
        <v>358842.08737521502</v>
      </c>
      <c r="D4019" s="56">
        <v>6.9155055488395969E-2</v>
      </c>
      <c r="E4019" s="224">
        <v>1362.5</v>
      </c>
      <c r="F4019" s="515" t="s">
        <v>5328</v>
      </c>
      <c r="G4019" s="52">
        <v>325762.113674108</v>
      </c>
      <c r="H4019" s="56">
        <v>3.4196838094007254E-2</v>
      </c>
      <c r="I4019" s="224">
        <v>1734.36507936507</v>
      </c>
    </row>
    <row r="4020" spans="1:9" x14ac:dyDescent="0.25">
      <c r="A4020" s="515">
        <v>31794</v>
      </c>
      <c r="B4020" s="515" t="s">
        <v>1053</v>
      </c>
      <c r="C4020" s="52">
        <v>142720.218208954</v>
      </c>
      <c r="D4020" s="56">
        <v>9.6136723996569806E-2</v>
      </c>
      <c r="E4020" s="224" t="s">
        <v>2</v>
      </c>
      <c r="F4020" s="515" t="s">
        <v>5329</v>
      </c>
      <c r="G4020" s="52">
        <v>131887.76125618699</v>
      </c>
      <c r="H4020" s="56">
        <v>7.9788569302476672E-2</v>
      </c>
      <c r="I4020" s="224" t="s">
        <v>2</v>
      </c>
    </row>
    <row r="4021" spans="1:9" x14ac:dyDescent="0.25">
      <c r="A4021" s="515">
        <v>30214</v>
      </c>
      <c r="B4021" s="515" t="s">
        <v>957</v>
      </c>
      <c r="C4021" s="52">
        <v>356575.38090802502</v>
      </c>
      <c r="D4021" s="56">
        <v>6.4936160878691973E-2</v>
      </c>
      <c r="E4021" s="224">
        <v>2050.63888888888</v>
      </c>
      <c r="F4021" s="515" t="s">
        <v>5330</v>
      </c>
      <c r="G4021" s="52">
        <v>188976.817067714</v>
      </c>
      <c r="H4021" s="56">
        <v>0.12776105052580494</v>
      </c>
      <c r="I4021" s="224">
        <v>1525</v>
      </c>
    </row>
    <row r="4022" spans="1:9" x14ac:dyDescent="0.25">
      <c r="A4022" s="515">
        <v>2176</v>
      </c>
      <c r="B4022" s="515" t="s">
        <v>534</v>
      </c>
      <c r="C4022" s="52">
        <v>757986.59672364499</v>
      </c>
      <c r="D4022" s="56">
        <v>4.4091565027866958E-2</v>
      </c>
      <c r="E4022" s="224">
        <v>2787.3518518518499</v>
      </c>
      <c r="F4022" s="515" t="s">
        <v>5331</v>
      </c>
      <c r="G4022" s="52">
        <v>207197.403389796</v>
      </c>
      <c r="H4022" s="56">
        <v>0.10177904006826448</v>
      </c>
      <c r="I4022" s="224">
        <v>1620</v>
      </c>
    </row>
    <row r="4023" spans="1:9" x14ac:dyDescent="0.25">
      <c r="A4023" s="515">
        <v>16602</v>
      </c>
      <c r="B4023" s="515" t="s">
        <v>1086</v>
      </c>
      <c r="C4023" s="52">
        <v>118502.69980766901</v>
      </c>
      <c r="D4023" s="56">
        <v>1.6725628740407696E-2</v>
      </c>
      <c r="E4023" s="224" t="s">
        <v>2</v>
      </c>
      <c r="F4023" s="515" t="s">
        <v>5332</v>
      </c>
      <c r="G4023" s="52">
        <v>400004.21075887198</v>
      </c>
      <c r="H4023" s="56">
        <v>9.8764466802538795E-2</v>
      </c>
      <c r="I4023" s="224" t="s">
        <v>2</v>
      </c>
    </row>
    <row r="4024" spans="1:9" x14ac:dyDescent="0.25">
      <c r="A4024" s="515">
        <v>33314</v>
      </c>
      <c r="B4024" s="515" t="s">
        <v>831</v>
      </c>
      <c r="C4024" s="52">
        <v>361837.56510368001</v>
      </c>
      <c r="D4024" s="56">
        <v>8.4559626813909425E-2</v>
      </c>
      <c r="E4024" s="224">
        <v>2479.8148148148098</v>
      </c>
      <c r="F4024" s="515" t="s">
        <v>5333</v>
      </c>
      <c r="G4024" s="52">
        <v>285103.21241023001</v>
      </c>
      <c r="H4024" s="56">
        <v>3.515233490161402E-2</v>
      </c>
      <c r="I4024" s="224" t="s">
        <v>2</v>
      </c>
    </row>
    <row r="4025" spans="1:9" x14ac:dyDescent="0.25">
      <c r="A4025" s="515">
        <v>64152</v>
      </c>
      <c r="B4025" s="515" t="s">
        <v>455</v>
      </c>
      <c r="C4025" s="52">
        <v>363776.48763677198</v>
      </c>
      <c r="D4025" s="56">
        <v>5.1563062177749253E-2</v>
      </c>
      <c r="E4025" s="224">
        <v>1425.7222222222199</v>
      </c>
      <c r="F4025" s="515" t="s">
        <v>5334</v>
      </c>
      <c r="G4025" s="52">
        <v>192831.70890671201</v>
      </c>
      <c r="H4025" s="56">
        <v>6.4879665268023592E-2</v>
      </c>
      <c r="I4025" s="224" t="s">
        <v>2</v>
      </c>
    </row>
    <row r="4026" spans="1:9" x14ac:dyDescent="0.25">
      <c r="A4026" s="515">
        <v>76209</v>
      </c>
      <c r="B4026" s="515" t="s">
        <v>458</v>
      </c>
      <c r="C4026" s="52">
        <v>292322.14544883702</v>
      </c>
      <c r="D4026" s="56">
        <v>9.21432484605261E-2</v>
      </c>
      <c r="E4026" s="224">
        <v>1835</v>
      </c>
      <c r="F4026" s="515" t="s">
        <v>5335</v>
      </c>
      <c r="G4026" s="52">
        <v>387147.34321278601</v>
      </c>
      <c r="H4026" s="56">
        <v>2.9855400899749571E-2</v>
      </c>
      <c r="I4026" s="224" t="s">
        <v>2</v>
      </c>
    </row>
    <row r="4027" spans="1:9" x14ac:dyDescent="0.25">
      <c r="A4027" s="515">
        <v>95815</v>
      </c>
      <c r="B4027" s="515" t="s">
        <v>355</v>
      </c>
      <c r="C4027" s="52">
        <v>332527.16823830397</v>
      </c>
      <c r="D4027" s="56">
        <v>1.8233304119874998E-2</v>
      </c>
      <c r="E4027" s="224">
        <v>1368.7777777777701</v>
      </c>
      <c r="F4027" s="515" t="s">
        <v>860</v>
      </c>
      <c r="G4027" s="52">
        <v>192368.10080644599</v>
      </c>
      <c r="H4027" s="56">
        <v>6.753640666562509E-2</v>
      </c>
      <c r="I4027" s="224" t="s">
        <v>2</v>
      </c>
    </row>
    <row r="4028" spans="1:9" x14ac:dyDescent="0.25">
      <c r="A4028" s="515">
        <v>15227</v>
      </c>
      <c r="B4028" s="515" t="s">
        <v>297</v>
      </c>
      <c r="C4028" s="52">
        <v>177723.056535941</v>
      </c>
      <c r="D4028" s="56">
        <v>5.9054526480921785E-2</v>
      </c>
      <c r="E4028" s="224">
        <v>1025</v>
      </c>
      <c r="F4028" s="515" t="s">
        <v>5336</v>
      </c>
      <c r="G4028" s="52">
        <v>156320.654771234</v>
      </c>
      <c r="H4028" s="56">
        <v>0.15998434191783512</v>
      </c>
      <c r="I4028" s="224" t="s">
        <v>2</v>
      </c>
    </row>
    <row r="4029" spans="1:9" x14ac:dyDescent="0.25">
      <c r="A4029" s="515">
        <v>97062</v>
      </c>
      <c r="B4029" s="515" t="s">
        <v>659</v>
      </c>
      <c r="C4029" s="52">
        <v>619653.40042467602</v>
      </c>
      <c r="D4029" s="56">
        <v>1.7335311178133445E-2</v>
      </c>
      <c r="E4029" s="224">
        <v>1894.7777777777701</v>
      </c>
      <c r="F4029" s="515" t="s">
        <v>5337</v>
      </c>
      <c r="G4029" s="52">
        <v>910380.88773109496</v>
      </c>
      <c r="H4029" s="56">
        <v>5.1833049762983495E-2</v>
      </c>
      <c r="I4029" s="224" t="s">
        <v>2</v>
      </c>
    </row>
    <row r="4030" spans="1:9" x14ac:dyDescent="0.25">
      <c r="A4030" s="515">
        <v>92629</v>
      </c>
      <c r="B4030" s="515" t="s">
        <v>375</v>
      </c>
      <c r="C4030" s="52">
        <v>1377092.6521238701</v>
      </c>
      <c r="D4030" s="56">
        <v>7.1290706442982091E-2</v>
      </c>
      <c r="E4030" s="224">
        <v>3686.6018518518499</v>
      </c>
      <c r="F4030" s="515" t="s">
        <v>5338</v>
      </c>
      <c r="G4030" s="52">
        <v>159381.09885531201</v>
      </c>
      <c r="H4030" s="56">
        <v>8.1910551868124903E-2</v>
      </c>
      <c r="I4030" s="224" t="s">
        <v>2</v>
      </c>
    </row>
    <row r="4031" spans="1:9" x14ac:dyDescent="0.25">
      <c r="A4031" s="515">
        <v>10303</v>
      </c>
      <c r="B4031" s="515" t="s">
        <v>324</v>
      </c>
      <c r="C4031" s="52">
        <v>456799.88001907303</v>
      </c>
      <c r="D4031" s="56">
        <v>3.3047509175958452E-2</v>
      </c>
      <c r="E4031" s="224">
        <v>2527</v>
      </c>
      <c r="F4031" s="515" t="s">
        <v>657</v>
      </c>
      <c r="G4031" s="52">
        <v>216031.73272450001</v>
      </c>
      <c r="H4031" s="56">
        <v>7.4732903251285218E-2</v>
      </c>
      <c r="I4031" s="224" t="s">
        <v>2</v>
      </c>
    </row>
    <row r="4032" spans="1:9" x14ac:dyDescent="0.25">
      <c r="A4032" s="515">
        <v>79601</v>
      </c>
      <c r="B4032" s="515" t="s">
        <v>704</v>
      </c>
      <c r="C4032" s="52">
        <v>173152.14740507299</v>
      </c>
      <c r="D4032" s="56">
        <v>5.9366735471047961E-2</v>
      </c>
      <c r="E4032" s="224">
        <v>1200.86666666666</v>
      </c>
      <c r="F4032" s="515" t="s">
        <v>5339</v>
      </c>
      <c r="G4032" s="52">
        <v>255108.98257678701</v>
      </c>
      <c r="H4032" s="56">
        <v>3.8724947386087533E-2</v>
      </c>
      <c r="I4032" s="224" t="s">
        <v>2</v>
      </c>
    </row>
    <row r="4033" spans="1:9" x14ac:dyDescent="0.25">
      <c r="A4033" s="515">
        <v>2760</v>
      </c>
      <c r="B4033" s="515" t="s">
        <v>513</v>
      </c>
      <c r="C4033" s="52">
        <v>495861.98119199899</v>
      </c>
      <c r="D4033" s="56">
        <v>6.7956641642678256E-2</v>
      </c>
      <c r="E4033" s="224">
        <v>2003.2</v>
      </c>
      <c r="F4033" s="515" t="s">
        <v>5340</v>
      </c>
      <c r="G4033" s="52">
        <v>256418.439229643</v>
      </c>
      <c r="H4033" s="56">
        <v>5.9895299898741268E-2</v>
      </c>
      <c r="I4033" s="224" t="s">
        <v>2</v>
      </c>
    </row>
    <row r="4034" spans="1:9" x14ac:dyDescent="0.25">
      <c r="A4034" s="515">
        <v>78214</v>
      </c>
      <c r="B4034" s="515" t="s">
        <v>717</v>
      </c>
      <c r="C4034" s="52">
        <v>149493.29527227301</v>
      </c>
      <c r="D4034" s="56">
        <v>7.1799420190664681E-2</v>
      </c>
      <c r="E4034" s="224" t="s">
        <v>2</v>
      </c>
      <c r="F4034" s="515" t="s">
        <v>5341</v>
      </c>
      <c r="G4034" s="52">
        <v>683700.97990661103</v>
      </c>
      <c r="H4034" s="56">
        <v>0.10586086070071754</v>
      </c>
      <c r="I4034" s="224">
        <v>2748.6111111111099</v>
      </c>
    </row>
    <row r="4035" spans="1:9" x14ac:dyDescent="0.25">
      <c r="A4035" s="515">
        <v>49509</v>
      </c>
      <c r="B4035" s="515" t="s">
        <v>631</v>
      </c>
      <c r="C4035" s="52">
        <v>214867.628188576</v>
      </c>
      <c r="D4035" s="56">
        <v>4.6944538604020258E-2</v>
      </c>
      <c r="E4035" s="224" t="s">
        <v>2</v>
      </c>
      <c r="F4035" s="515" t="s">
        <v>5342</v>
      </c>
      <c r="G4035" s="52">
        <v>371019.908729774</v>
      </c>
      <c r="H4035" s="56">
        <v>6.1637259725472016E-2</v>
      </c>
      <c r="I4035" s="224">
        <v>1747.6666666666599</v>
      </c>
    </row>
    <row r="4036" spans="1:9" x14ac:dyDescent="0.25">
      <c r="A4036" s="515">
        <v>2906</v>
      </c>
      <c r="B4036" s="515" t="s">
        <v>513</v>
      </c>
      <c r="C4036" s="52">
        <v>627454.44261732302</v>
      </c>
      <c r="D4036" s="56">
        <v>9.204940271024574E-2</v>
      </c>
      <c r="E4036" s="224">
        <v>2240.8974358974301</v>
      </c>
      <c r="F4036" s="515" t="s">
        <v>5343</v>
      </c>
      <c r="G4036" s="52">
        <v>164757.26481206101</v>
      </c>
      <c r="H4036" s="56">
        <v>6.7058086543970857E-2</v>
      </c>
      <c r="I4036" s="224" t="s">
        <v>2</v>
      </c>
    </row>
    <row r="4037" spans="1:9" x14ac:dyDescent="0.25">
      <c r="A4037" s="515">
        <v>36605</v>
      </c>
      <c r="B4037" s="515" t="s">
        <v>815</v>
      </c>
      <c r="C4037" s="52">
        <v>76203.795445980795</v>
      </c>
      <c r="D4037" s="56">
        <v>0.1040400244734858</v>
      </c>
      <c r="E4037" s="224" t="s">
        <v>2</v>
      </c>
      <c r="F4037" s="515" t="s">
        <v>5344</v>
      </c>
      <c r="G4037" s="52">
        <v>457089.62446075701</v>
      </c>
      <c r="H4037" s="56">
        <v>3.1763632498209522E-2</v>
      </c>
      <c r="I4037" s="224" t="s">
        <v>2</v>
      </c>
    </row>
    <row r="4038" spans="1:9" x14ac:dyDescent="0.25">
      <c r="A4038" s="515">
        <v>46804</v>
      </c>
      <c r="B4038" s="515" t="s">
        <v>1031</v>
      </c>
      <c r="C4038" s="52">
        <v>258385.893192291</v>
      </c>
      <c r="D4038" s="56">
        <v>5.8427982299988517E-2</v>
      </c>
      <c r="E4038" s="224" t="s">
        <v>2</v>
      </c>
      <c r="F4038" s="515" t="s">
        <v>5345</v>
      </c>
      <c r="G4038" s="52">
        <v>414513.48612884397</v>
      </c>
      <c r="H4038" s="56">
        <v>4.4070235582711656E-2</v>
      </c>
      <c r="I4038" s="224" t="s">
        <v>2</v>
      </c>
    </row>
    <row r="4039" spans="1:9" x14ac:dyDescent="0.25">
      <c r="A4039" s="515">
        <v>33308</v>
      </c>
      <c r="B4039" s="515" t="s">
        <v>831</v>
      </c>
      <c r="C4039" s="52">
        <v>561105.40436727705</v>
      </c>
      <c r="D4039" s="56">
        <v>0.1727267428457486</v>
      </c>
      <c r="E4039" s="224">
        <v>2582.0332822477599</v>
      </c>
      <c r="F4039" s="515" t="s">
        <v>5346</v>
      </c>
      <c r="G4039" s="52">
        <v>202894.849222413</v>
      </c>
      <c r="H4039" s="56">
        <v>4.0947755366820528E-2</v>
      </c>
      <c r="I4039" s="224" t="s">
        <v>2</v>
      </c>
    </row>
    <row r="4040" spans="1:9" x14ac:dyDescent="0.25">
      <c r="A4040" s="515">
        <v>98107</v>
      </c>
      <c r="B4040" s="515" t="s">
        <v>384</v>
      </c>
      <c r="C4040" s="52">
        <v>848508.35996100702</v>
      </c>
      <c r="D4040" s="56">
        <v>8.6772256672619941E-3</v>
      </c>
      <c r="E4040" s="224">
        <v>2222.4088968502701</v>
      </c>
      <c r="F4040" s="515" t="s">
        <v>713</v>
      </c>
      <c r="G4040" s="52">
        <v>127916.343599603</v>
      </c>
      <c r="H4040" s="56">
        <v>8.9100209020390411E-2</v>
      </c>
      <c r="I4040" s="224" t="s">
        <v>2</v>
      </c>
    </row>
    <row r="4041" spans="1:9" x14ac:dyDescent="0.25">
      <c r="A4041" s="515">
        <v>19125</v>
      </c>
      <c r="B4041" s="515" t="s">
        <v>294</v>
      </c>
      <c r="C4041" s="52">
        <v>326426.87618209299</v>
      </c>
      <c r="D4041" s="56">
        <v>1.3619874776213471E-2</v>
      </c>
      <c r="E4041" s="224">
        <v>1754.1850490196</v>
      </c>
      <c r="F4041" s="515" t="s">
        <v>5347</v>
      </c>
      <c r="G4041" s="52">
        <v>103204.795402301</v>
      </c>
      <c r="H4041" s="56">
        <v>0.18756859786173621</v>
      </c>
      <c r="I4041" s="224" t="s">
        <v>2</v>
      </c>
    </row>
    <row r="4042" spans="1:9" x14ac:dyDescent="0.25">
      <c r="A4042" s="515">
        <v>31021</v>
      </c>
      <c r="B4042" s="515" t="s">
        <v>929</v>
      </c>
      <c r="C4042" s="52">
        <v>156407.96887294299</v>
      </c>
      <c r="D4042" s="56">
        <v>9.733334517844941E-2</v>
      </c>
      <c r="E4042" s="224" t="s">
        <v>2</v>
      </c>
      <c r="F4042" s="515" t="s">
        <v>5348</v>
      </c>
      <c r="G4042" s="52">
        <v>903084.09095822298</v>
      </c>
      <c r="H4042" s="56">
        <v>2.5476878529955158E-2</v>
      </c>
      <c r="I4042" s="224" t="s">
        <v>2</v>
      </c>
    </row>
    <row r="4043" spans="1:9" x14ac:dyDescent="0.25">
      <c r="A4043" s="515">
        <v>46312</v>
      </c>
      <c r="B4043" s="515" t="s">
        <v>394</v>
      </c>
      <c r="C4043" s="52">
        <v>115810.467664675</v>
      </c>
      <c r="D4043" s="56">
        <v>0.27677528906829357</v>
      </c>
      <c r="E4043" s="224">
        <v>912.5</v>
      </c>
      <c r="F4043" s="515" t="s">
        <v>5349</v>
      </c>
      <c r="G4043" s="52">
        <v>440461.70495068602</v>
      </c>
      <c r="H4043" s="56">
        <v>8.0524685405744256E-2</v>
      </c>
      <c r="I4043" s="224" t="s">
        <v>2</v>
      </c>
    </row>
    <row r="4044" spans="1:9" x14ac:dyDescent="0.25">
      <c r="A4044" s="515">
        <v>23238</v>
      </c>
      <c r="B4044" s="515" t="s">
        <v>667</v>
      </c>
      <c r="C4044" s="52">
        <v>380914.51221321401</v>
      </c>
      <c r="D4044" s="56">
        <v>2.764927756007228E-2</v>
      </c>
      <c r="E4044" s="224">
        <v>1686.5166666666601</v>
      </c>
      <c r="F4044" s="515" t="s">
        <v>5350</v>
      </c>
      <c r="G4044" s="52">
        <v>280651.41619081498</v>
      </c>
      <c r="H4044" s="56">
        <v>4.1443218633803E-2</v>
      </c>
      <c r="I4044" s="224" t="s">
        <v>2</v>
      </c>
    </row>
    <row r="4045" spans="1:9" x14ac:dyDescent="0.25">
      <c r="A4045" s="515">
        <v>76712</v>
      </c>
      <c r="B4045" s="515" t="s">
        <v>1057</v>
      </c>
      <c r="C4045" s="52">
        <v>338782.27577235497</v>
      </c>
      <c r="D4045" s="56">
        <v>8.3228324549595528E-2</v>
      </c>
      <c r="E4045" s="224">
        <v>1765</v>
      </c>
      <c r="F4045" s="515" t="s">
        <v>5351</v>
      </c>
      <c r="G4045" s="52">
        <v>335707.829749597</v>
      </c>
      <c r="H4045" s="56">
        <v>8.2111817514458021E-2</v>
      </c>
      <c r="I4045" s="224" t="s">
        <v>2</v>
      </c>
    </row>
    <row r="4046" spans="1:9" x14ac:dyDescent="0.25">
      <c r="A4046" s="515">
        <v>55811</v>
      </c>
      <c r="B4046" s="515" t="s">
        <v>350</v>
      </c>
      <c r="C4046" s="52">
        <v>294870.50562330801</v>
      </c>
      <c r="D4046" s="56">
        <v>4.1988980700027115E-2</v>
      </c>
      <c r="E4046" s="224">
        <v>1697.5</v>
      </c>
      <c r="F4046" s="515" t="s">
        <v>5352</v>
      </c>
      <c r="G4046" s="52">
        <v>285779.47754205001</v>
      </c>
      <c r="H4046" s="56">
        <v>8.3675112020599088E-2</v>
      </c>
      <c r="I4046" s="224" t="s">
        <v>2</v>
      </c>
    </row>
    <row r="4047" spans="1:9" x14ac:dyDescent="0.25">
      <c r="A4047" s="515">
        <v>18052</v>
      </c>
      <c r="B4047" s="515" t="s">
        <v>327</v>
      </c>
      <c r="C4047" s="52">
        <v>273408.19026870502</v>
      </c>
      <c r="D4047" s="56">
        <v>7.4560881823342126E-2</v>
      </c>
      <c r="E4047" s="224">
        <v>1900</v>
      </c>
      <c r="F4047" s="515" t="s">
        <v>5353</v>
      </c>
      <c r="G4047" s="52">
        <v>315696.22471085098</v>
      </c>
      <c r="H4047" s="56">
        <v>5.597711615714708E-2</v>
      </c>
      <c r="I4047" s="224" t="s">
        <v>2</v>
      </c>
    </row>
    <row r="4048" spans="1:9" x14ac:dyDescent="0.25">
      <c r="A4048" s="515">
        <v>33971</v>
      </c>
      <c r="B4048" s="515" t="s">
        <v>661</v>
      </c>
      <c r="C4048" s="52">
        <v>283383.82974869001</v>
      </c>
      <c r="D4048" s="56">
        <v>0.16676366806038567</v>
      </c>
      <c r="E4048" s="224">
        <v>2244</v>
      </c>
      <c r="F4048" s="515" t="s">
        <v>745</v>
      </c>
      <c r="G4048" s="52">
        <v>148788.36610807301</v>
      </c>
      <c r="H4048" s="56">
        <v>8.7086761031577739E-2</v>
      </c>
      <c r="I4048" s="224" t="s">
        <v>2</v>
      </c>
    </row>
    <row r="4049" spans="1:9" x14ac:dyDescent="0.25">
      <c r="A4049" s="515">
        <v>74006</v>
      </c>
      <c r="B4049" s="515" t="s">
        <v>1106</v>
      </c>
      <c r="C4049" s="52">
        <v>187023.02146746501</v>
      </c>
      <c r="D4049" s="56">
        <v>8.0036180940801657E-2</v>
      </c>
      <c r="E4049" s="224" t="s">
        <v>2</v>
      </c>
      <c r="F4049" s="515" t="s">
        <v>5354</v>
      </c>
      <c r="G4049" s="52">
        <v>330122.31801682001</v>
      </c>
      <c r="H4049" s="56">
        <v>8.6152650064716535E-2</v>
      </c>
      <c r="I4049" s="224" t="s">
        <v>2</v>
      </c>
    </row>
    <row r="4050" spans="1:9" x14ac:dyDescent="0.25">
      <c r="A4050" s="515">
        <v>1923</v>
      </c>
      <c r="B4050" s="515" t="s">
        <v>534</v>
      </c>
      <c r="C4050" s="52">
        <v>601215.95213472901</v>
      </c>
      <c r="D4050" s="56">
        <v>3.9468830823741807E-2</v>
      </c>
      <c r="E4050" s="224">
        <v>2732.7888888888801</v>
      </c>
      <c r="F4050" s="515" t="s">
        <v>5355</v>
      </c>
      <c r="G4050" s="52">
        <v>169129.29217281699</v>
      </c>
      <c r="H4050" s="56">
        <v>5.0420052442122797E-2</v>
      </c>
      <c r="I4050" s="224" t="s">
        <v>2</v>
      </c>
    </row>
    <row r="4051" spans="1:9" x14ac:dyDescent="0.25">
      <c r="A4051" s="515">
        <v>70360</v>
      </c>
      <c r="B4051" s="515" t="s">
        <v>898</v>
      </c>
      <c r="C4051" s="52">
        <v>239967.98057170899</v>
      </c>
      <c r="D4051" s="56">
        <v>-1.7924658720569163E-2</v>
      </c>
      <c r="E4051" s="224">
        <v>1310.9150326797301</v>
      </c>
      <c r="F4051" s="515" t="s">
        <v>5356</v>
      </c>
      <c r="G4051" s="52">
        <v>349339.93833836803</v>
      </c>
      <c r="H4051" s="56">
        <v>7.0348001349768652E-2</v>
      </c>
      <c r="I4051" s="224" t="s">
        <v>2</v>
      </c>
    </row>
    <row r="4052" spans="1:9" x14ac:dyDescent="0.25">
      <c r="A4052" s="515">
        <v>34491</v>
      </c>
      <c r="B4052" s="515" t="s">
        <v>475</v>
      </c>
      <c r="C4052" s="52">
        <v>299258.55423562101</v>
      </c>
      <c r="D4052" s="56">
        <v>0.14616159612233973</v>
      </c>
      <c r="E4052" s="224">
        <v>1700</v>
      </c>
      <c r="F4052" s="515" t="s">
        <v>5357</v>
      </c>
      <c r="G4052" s="52">
        <v>430255.45726069302</v>
      </c>
      <c r="H4052" s="56">
        <v>0.12663139643053661</v>
      </c>
      <c r="I4052" s="224">
        <v>1530.8333333333301</v>
      </c>
    </row>
    <row r="4053" spans="1:9" x14ac:dyDescent="0.25">
      <c r="A4053" s="515">
        <v>15146</v>
      </c>
      <c r="B4053" s="515" t="s">
        <v>297</v>
      </c>
      <c r="C4053" s="52">
        <v>199650.72816582801</v>
      </c>
      <c r="D4053" s="56">
        <v>6.5440740043946219E-2</v>
      </c>
      <c r="E4053" s="224">
        <v>1340.69444444444</v>
      </c>
      <c r="F4053" s="515" t="s">
        <v>5358</v>
      </c>
      <c r="G4053" s="52">
        <v>481683.109964095</v>
      </c>
      <c r="H4053" s="56">
        <v>2.5404559107976114E-2</v>
      </c>
      <c r="I4053" s="224" t="s">
        <v>2</v>
      </c>
    </row>
    <row r="4054" spans="1:9" x14ac:dyDescent="0.25">
      <c r="A4054" s="515">
        <v>21811</v>
      </c>
      <c r="B4054" s="515" t="s">
        <v>552</v>
      </c>
      <c r="C4054" s="52">
        <v>385044.25792042201</v>
      </c>
      <c r="D4054" s="56">
        <v>7.5786555980661335E-2</v>
      </c>
      <c r="E4054" s="224" t="s">
        <v>2</v>
      </c>
      <c r="F4054" s="515" t="s">
        <v>5359</v>
      </c>
      <c r="G4054" s="52">
        <v>102004.340905185</v>
      </c>
      <c r="H4054" s="56">
        <v>-3.7436040161534498E-2</v>
      </c>
      <c r="I4054" s="224" t="s">
        <v>2</v>
      </c>
    </row>
    <row r="4055" spans="1:9" x14ac:dyDescent="0.25">
      <c r="A4055" s="515">
        <v>85014</v>
      </c>
      <c r="B4055" s="515" t="s">
        <v>563</v>
      </c>
      <c r="C4055" s="52">
        <v>415786.81894373702</v>
      </c>
      <c r="D4055" s="56">
        <v>4.7633042650713421E-2</v>
      </c>
      <c r="E4055" s="224">
        <v>1551.5855419090699</v>
      </c>
      <c r="F4055" s="515" t="s">
        <v>5360</v>
      </c>
      <c r="G4055" s="52">
        <v>564348.93894978601</v>
      </c>
      <c r="H4055" s="56">
        <v>8.5319811207481847E-2</v>
      </c>
      <c r="I4055" s="224" t="s">
        <v>2</v>
      </c>
    </row>
    <row r="4056" spans="1:9" x14ac:dyDescent="0.25">
      <c r="A4056" s="515">
        <v>30340</v>
      </c>
      <c r="B4056" s="515" t="s">
        <v>957</v>
      </c>
      <c r="C4056" s="52">
        <v>348301.67085454898</v>
      </c>
      <c r="D4056" s="56">
        <v>8.1449918304064547E-2</v>
      </c>
      <c r="E4056" s="224" t="s">
        <v>2</v>
      </c>
      <c r="F4056" s="515" t="s">
        <v>924</v>
      </c>
      <c r="G4056" s="52">
        <v>144681.06872151099</v>
      </c>
      <c r="H4056" s="56">
        <v>5.8198004123813957E-2</v>
      </c>
      <c r="I4056" s="224" t="s">
        <v>2</v>
      </c>
    </row>
    <row r="4057" spans="1:9" x14ac:dyDescent="0.25">
      <c r="A4057" s="515">
        <v>43035</v>
      </c>
      <c r="B4057" s="515" t="s">
        <v>345</v>
      </c>
      <c r="C4057" s="52">
        <v>446778.00424887001</v>
      </c>
      <c r="D4057" s="56">
        <v>6.6719359845330131E-2</v>
      </c>
      <c r="E4057" s="224">
        <v>1763.5</v>
      </c>
      <c r="F4057" s="515" t="s">
        <v>5361</v>
      </c>
      <c r="G4057" s="52">
        <v>247161.70988671199</v>
      </c>
      <c r="H4057" s="56">
        <v>3.3797028427827808E-2</v>
      </c>
      <c r="I4057" s="224" t="s">
        <v>2</v>
      </c>
    </row>
    <row r="4058" spans="1:9" x14ac:dyDescent="0.25">
      <c r="A4058" s="515">
        <v>91932</v>
      </c>
      <c r="B4058" s="515" t="s">
        <v>396</v>
      </c>
      <c r="C4058" s="52">
        <v>776842.30242371105</v>
      </c>
      <c r="D4058" s="56">
        <v>1.9274812019350687E-2</v>
      </c>
      <c r="E4058" s="224">
        <v>2633.77171717171</v>
      </c>
      <c r="F4058" s="515" t="s">
        <v>5362</v>
      </c>
      <c r="G4058" s="52">
        <v>189025.65427684999</v>
      </c>
      <c r="H4058" s="56">
        <v>9.1942196508006224E-2</v>
      </c>
      <c r="I4058" s="224" t="s">
        <v>2</v>
      </c>
    </row>
    <row r="4059" spans="1:9" x14ac:dyDescent="0.25">
      <c r="A4059" s="515">
        <v>72653</v>
      </c>
      <c r="B4059" s="515" t="s">
        <v>679</v>
      </c>
      <c r="C4059" s="52">
        <v>193600.195510102</v>
      </c>
      <c r="D4059" s="56">
        <v>4.2989102663346698E-2</v>
      </c>
      <c r="E4059" s="224" t="s">
        <v>2</v>
      </c>
      <c r="F4059" s="515" t="s">
        <v>5363</v>
      </c>
      <c r="G4059" s="52">
        <v>500537.05452308402</v>
      </c>
      <c r="H4059" s="56">
        <v>8.0962323777904965E-2</v>
      </c>
      <c r="I4059" s="224" t="s">
        <v>2</v>
      </c>
    </row>
    <row r="4060" spans="1:9" x14ac:dyDescent="0.25">
      <c r="A4060" s="515">
        <v>55904</v>
      </c>
      <c r="B4060" s="515" t="s">
        <v>470</v>
      </c>
      <c r="C4060" s="52">
        <v>250326.68241853101</v>
      </c>
      <c r="D4060" s="56">
        <v>6.3764136257177542E-2</v>
      </c>
      <c r="E4060" s="224">
        <v>1557.17777777777</v>
      </c>
      <c r="F4060" s="515" t="s">
        <v>5364</v>
      </c>
      <c r="G4060" s="52">
        <v>377832.38725674798</v>
      </c>
      <c r="H4060" s="56">
        <v>6.9896513924988204E-2</v>
      </c>
      <c r="I4060" s="224">
        <v>1735.55555555555</v>
      </c>
    </row>
    <row r="4061" spans="1:9" x14ac:dyDescent="0.25">
      <c r="A4061" s="515">
        <v>74011</v>
      </c>
      <c r="B4061" s="515" t="s">
        <v>348</v>
      </c>
      <c r="C4061" s="52">
        <v>260988.22962376001</v>
      </c>
      <c r="D4061" s="56">
        <v>0.10260115930107544</v>
      </c>
      <c r="E4061" s="224">
        <v>1728.3333333333301</v>
      </c>
      <c r="F4061" s="515" t="s">
        <v>5365</v>
      </c>
      <c r="G4061" s="52">
        <v>942508.65114984999</v>
      </c>
      <c r="H4061" s="56">
        <v>6.4273354595655863E-2</v>
      </c>
      <c r="I4061" s="224" t="s">
        <v>2</v>
      </c>
    </row>
    <row r="4062" spans="1:9" x14ac:dyDescent="0.25">
      <c r="A4062" s="515">
        <v>33401</v>
      </c>
      <c r="B4062" s="515" t="s">
        <v>831</v>
      </c>
      <c r="C4062" s="52">
        <v>412762.72451150301</v>
      </c>
      <c r="D4062" s="56">
        <v>0.2610501425126322</v>
      </c>
      <c r="E4062" s="224">
        <v>2740.1027777777699</v>
      </c>
      <c r="F4062" s="515" t="s">
        <v>5366</v>
      </c>
      <c r="G4062" s="52">
        <v>306224.72703146498</v>
      </c>
      <c r="H4062" s="56">
        <v>8.0211873483915938E-2</v>
      </c>
      <c r="I4062" s="224" t="s">
        <v>2</v>
      </c>
    </row>
    <row r="4063" spans="1:9" x14ac:dyDescent="0.25">
      <c r="A4063" s="515">
        <v>60142</v>
      </c>
      <c r="B4063" s="515" t="s">
        <v>394</v>
      </c>
      <c r="C4063" s="52">
        <v>346355.200292725</v>
      </c>
      <c r="D4063" s="56">
        <v>7.5238347885870624E-2</v>
      </c>
      <c r="E4063" s="224" t="s">
        <v>2</v>
      </c>
      <c r="F4063" s="515" t="s">
        <v>5367</v>
      </c>
      <c r="G4063" s="52">
        <v>624203.55168922199</v>
      </c>
      <c r="H4063" s="56">
        <v>2.6948741556629591E-2</v>
      </c>
      <c r="I4063" s="224">
        <v>1719.75</v>
      </c>
    </row>
    <row r="4064" spans="1:9" x14ac:dyDescent="0.25">
      <c r="A4064" s="515">
        <v>8075</v>
      </c>
      <c r="B4064" s="515" t="s">
        <v>294</v>
      </c>
      <c r="C4064" s="52">
        <v>301775.27105995099</v>
      </c>
      <c r="D4064" s="56">
        <v>8.8031072080568609E-2</v>
      </c>
      <c r="E4064" s="224" t="s">
        <v>2</v>
      </c>
      <c r="F4064" s="515" t="s">
        <v>5368</v>
      </c>
      <c r="G4064" s="52">
        <v>244284.087568385</v>
      </c>
      <c r="H4064" s="56">
        <v>0.14314771583240252</v>
      </c>
      <c r="I4064" s="224" t="s">
        <v>2</v>
      </c>
    </row>
    <row r="4065" spans="1:9" x14ac:dyDescent="0.25">
      <c r="A4065" s="515">
        <v>30071</v>
      </c>
      <c r="B4065" s="515" t="s">
        <v>957</v>
      </c>
      <c r="C4065" s="52">
        <v>326798.256108089</v>
      </c>
      <c r="D4065" s="56">
        <v>9.6155979666391236E-2</v>
      </c>
      <c r="E4065" s="224">
        <v>2170.6444444444401</v>
      </c>
      <c r="F4065" s="515" t="s">
        <v>5369</v>
      </c>
      <c r="G4065" s="52">
        <v>294265.25162147102</v>
      </c>
      <c r="H4065" s="56">
        <v>7.1524438630374526E-2</v>
      </c>
      <c r="I4065" s="224" t="s">
        <v>2</v>
      </c>
    </row>
    <row r="4066" spans="1:9" x14ac:dyDescent="0.25">
      <c r="A4066" s="515">
        <v>45239</v>
      </c>
      <c r="B4066" s="515" t="s">
        <v>344</v>
      </c>
      <c r="C4066" s="52">
        <v>175638.63214262901</v>
      </c>
      <c r="D4066" s="56">
        <v>7.7671372089513829E-2</v>
      </c>
      <c r="E4066" s="224">
        <v>1383</v>
      </c>
      <c r="F4066" s="515" t="s">
        <v>495</v>
      </c>
      <c r="G4066" s="52">
        <v>168095.059073749</v>
      </c>
      <c r="H4066" s="56">
        <v>3.3189405846441145E-2</v>
      </c>
      <c r="I4066" s="224" t="s">
        <v>2</v>
      </c>
    </row>
    <row r="4067" spans="1:9" x14ac:dyDescent="0.25">
      <c r="A4067" s="515">
        <v>32159</v>
      </c>
      <c r="B4067" s="515" t="s">
        <v>517</v>
      </c>
      <c r="C4067" s="52">
        <v>331582.61237945303</v>
      </c>
      <c r="D4067" s="56">
        <v>0.137217959111467</v>
      </c>
      <c r="E4067" s="224">
        <v>1745.8333333333301</v>
      </c>
      <c r="F4067" s="515" t="s">
        <v>5370</v>
      </c>
      <c r="G4067" s="52">
        <v>282931.09678769798</v>
      </c>
      <c r="H4067" s="56">
        <v>5.6871776971741492E-2</v>
      </c>
      <c r="I4067" s="224" t="s">
        <v>2</v>
      </c>
    </row>
    <row r="4068" spans="1:9" x14ac:dyDescent="0.25">
      <c r="A4068" s="515">
        <v>32806</v>
      </c>
      <c r="B4068" s="515" t="s">
        <v>517</v>
      </c>
      <c r="C4068" s="52">
        <v>406656.49374237098</v>
      </c>
      <c r="D4068" s="56">
        <v>0.10984203283389701</v>
      </c>
      <c r="E4068" s="224">
        <v>1840.9565476190401</v>
      </c>
      <c r="F4068" s="515" t="s">
        <v>5371</v>
      </c>
      <c r="G4068" s="52">
        <v>190058.37056239299</v>
      </c>
      <c r="H4068" s="56">
        <v>0.14120530955026708</v>
      </c>
      <c r="I4068" s="224" t="s">
        <v>2</v>
      </c>
    </row>
    <row r="4069" spans="1:9" x14ac:dyDescent="0.25">
      <c r="A4069" s="515">
        <v>94002</v>
      </c>
      <c r="B4069" s="515" t="s">
        <v>593</v>
      </c>
      <c r="C4069" s="52">
        <v>2033210.8169112401</v>
      </c>
      <c r="D4069" s="56">
        <v>2.7278742289156423E-2</v>
      </c>
      <c r="E4069" s="224">
        <v>2504.7842592592501</v>
      </c>
      <c r="F4069" s="515" t="s">
        <v>5372</v>
      </c>
      <c r="G4069" s="52">
        <v>469619.99813647498</v>
      </c>
      <c r="H4069" s="56">
        <v>2.8266193705669584E-2</v>
      </c>
      <c r="I4069" s="224">
        <v>2349</v>
      </c>
    </row>
    <row r="4070" spans="1:9" x14ac:dyDescent="0.25">
      <c r="A4070" s="515">
        <v>20715</v>
      </c>
      <c r="B4070" s="515" t="s">
        <v>321</v>
      </c>
      <c r="C4070" s="52">
        <v>443748.15795967402</v>
      </c>
      <c r="D4070" s="56">
        <v>2.5713545235124674E-2</v>
      </c>
      <c r="E4070" s="224" t="s">
        <v>2</v>
      </c>
      <c r="F4070" s="515" t="s">
        <v>5373</v>
      </c>
      <c r="G4070" s="52">
        <v>130437.532856019</v>
      </c>
      <c r="H4070" s="56">
        <v>2.0860774731682089E-2</v>
      </c>
      <c r="I4070" s="224" t="s">
        <v>2</v>
      </c>
    </row>
    <row r="4071" spans="1:9" x14ac:dyDescent="0.25">
      <c r="A4071" s="515">
        <v>12302</v>
      </c>
      <c r="B4071" s="515" t="s">
        <v>609</v>
      </c>
      <c r="C4071" s="52">
        <v>257243.93612404901</v>
      </c>
      <c r="D4071" s="56">
        <v>6.1797752937505793E-2</v>
      </c>
      <c r="E4071" s="224" t="s">
        <v>2</v>
      </c>
      <c r="F4071" s="515" t="s">
        <v>5374</v>
      </c>
      <c r="G4071" s="52">
        <v>480730.28729208402</v>
      </c>
      <c r="H4071" s="56">
        <v>4.6615172796051665E-2</v>
      </c>
      <c r="I4071" s="224" t="s">
        <v>2</v>
      </c>
    </row>
    <row r="4072" spans="1:9" x14ac:dyDescent="0.25">
      <c r="A4072" s="515">
        <v>33563</v>
      </c>
      <c r="B4072" s="515" t="s">
        <v>461</v>
      </c>
      <c r="C4072" s="52">
        <v>268719.49368002702</v>
      </c>
      <c r="D4072" s="56">
        <v>0.13810075788413864</v>
      </c>
      <c r="E4072" s="224">
        <v>1806.88888888888</v>
      </c>
      <c r="F4072" s="515" t="s">
        <v>5375</v>
      </c>
      <c r="G4072" s="52">
        <v>263588.29939123802</v>
      </c>
      <c r="H4072" s="56">
        <v>6.9421757250336696E-2</v>
      </c>
      <c r="I4072" s="224" t="s">
        <v>2</v>
      </c>
    </row>
    <row r="4073" spans="1:9" x14ac:dyDescent="0.25">
      <c r="A4073" s="515">
        <v>49006</v>
      </c>
      <c r="B4073" s="515" t="s">
        <v>1037</v>
      </c>
      <c r="C4073" s="52">
        <v>206224.554335889</v>
      </c>
      <c r="D4073" s="56">
        <v>7.6770483347773588E-2</v>
      </c>
      <c r="E4073" s="224">
        <v>1823.6111111111099</v>
      </c>
      <c r="F4073" s="515" t="s">
        <v>5376</v>
      </c>
      <c r="G4073" s="52">
        <v>238670.14293833799</v>
      </c>
      <c r="H4073" s="56">
        <v>6.7840945326703192E-2</v>
      </c>
      <c r="I4073" s="224" t="s">
        <v>2</v>
      </c>
    </row>
    <row r="4074" spans="1:9" x14ac:dyDescent="0.25">
      <c r="A4074" s="515">
        <v>17325</v>
      </c>
      <c r="B4074" s="515" t="s">
        <v>457</v>
      </c>
      <c r="C4074" s="52">
        <v>299329.61501619802</v>
      </c>
      <c r="D4074" s="56">
        <v>6.2043767334830115E-2</v>
      </c>
      <c r="E4074" s="224" t="s">
        <v>2</v>
      </c>
      <c r="F4074" s="515" t="s">
        <v>5377</v>
      </c>
      <c r="G4074" s="52">
        <v>245779.71224206101</v>
      </c>
      <c r="H4074" s="56">
        <v>4.8986262920471542E-2</v>
      </c>
      <c r="I4074" s="224" t="s">
        <v>2</v>
      </c>
    </row>
    <row r="4075" spans="1:9" x14ac:dyDescent="0.25">
      <c r="A4075" s="515">
        <v>33547</v>
      </c>
      <c r="B4075" s="515" t="s">
        <v>461</v>
      </c>
      <c r="C4075" s="52">
        <v>513510.30299056601</v>
      </c>
      <c r="D4075" s="56">
        <v>9.6502287445687493E-2</v>
      </c>
      <c r="E4075" s="224">
        <v>2674.9305555555502</v>
      </c>
      <c r="F4075" s="515" t="s">
        <v>5378</v>
      </c>
      <c r="G4075" s="52">
        <v>509305.66442529799</v>
      </c>
      <c r="H4075" s="56">
        <v>2.3382042353557585E-2</v>
      </c>
      <c r="I4075" s="224" t="s">
        <v>2</v>
      </c>
    </row>
    <row r="4076" spans="1:9" x14ac:dyDescent="0.25">
      <c r="A4076" s="515">
        <v>77357</v>
      </c>
      <c r="B4076" s="515" t="s">
        <v>314</v>
      </c>
      <c r="C4076" s="52">
        <v>289593.58840235398</v>
      </c>
      <c r="D4076" s="56">
        <v>6.2321332909194428E-2</v>
      </c>
      <c r="E4076" s="224" t="s">
        <v>2</v>
      </c>
      <c r="F4076" s="515" t="s">
        <v>5379</v>
      </c>
      <c r="G4076" s="52">
        <v>565511.79009811999</v>
      </c>
      <c r="H4076" s="56">
        <v>9.3963562631720718E-2</v>
      </c>
      <c r="I4076" s="224" t="s">
        <v>2</v>
      </c>
    </row>
    <row r="4077" spans="1:9" x14ac:dyDescent="0.25">
      <c r="A4077" s="515">
        <v>32583</v>
      </c>
      <c r="B4077" s="515" t="s">
        <v>1131</v>
      </c>
      <c r="C4077" s="52">
        <v>274929.26457590098</v>
      </c>
      <c r="D4077" s="56">
        <v>0.13688696140221598</v>
      </c>
      <c r="E4077" s="224" t="s">
        <v>2</v>
      </c>
      <c r="F4077" s="515" t="s">
        <v>5380</v>
      </c>
      <c r="G4077" s="52">
        <v>549816.27006123704</v>
      </c>
      <c r="H4077" s="56">
        <v>5.7832652572094898E-2</v>
      </c>
      <c r="I4077" s="224" t="s">
        <v>2</v>
      </c>
    </row>
    <row r="4078" spans="1:9" x14ac:dyDescent="0.25">
      <c r="A4078" s="515">
        <v>72019</v>
      </c>
      <c r="B4078" s="515" t="s">
        <v>393</v>
      </c>
      <c r="C4078" s="52">
        <v>246996.61339628699</v>
      </c>
      <c r="D4078" s="56">
        <v>4.5709047225736203E-2</v>
      </c>
      <c r="E4078" s="224" t="s">
        <v>2</v>
      </c>
      <c r="F4078" s="515" t="s">
        <v>5381</v>
      </c>
      <c r="G4078" s="52">
        <v>210311.67903562501</v>
      </c>
      <c r="H4078" s="56">
        <v>6.6518057541553766E-2</v>
      </c>
      <c r="I4078" s="224" t="s">
        <v>2</v>
      </c>
    </row>
    <row r="4079" spans="1:9" x14ac:dyDescent="0.25">
      <c r="A4079" s="515">
        <v>23139</v>
      </c>
      <c r="B4079" s="515" t="s">
        <v>667</v>
      </c>
      <c r="C4079" s="52">
        <v>359013.57786518201</v>
      </c>
      <c r="D4079" s="56">
        <v>4.8544847312931211E-2</v>
      </c>
      <c r="E4079" s="224" t="s">
        <v>2</v>
      </c>
      <c r="F4079" s="515" t="s">
        <v>5382</v>
      </c>
      <c r="G4079" s="52">
        <v>376433.65518664801</v>
      </c>
      <c r="H4079" s="56">
        <v>6.9316839571561192E-2</v>
      </c>
      <c r="I4079" s="224">
        <v>2000</v>
      </c>
    </row>
    <row r="4080" spans="1:9" x14ac:dyDescent="0.25">
      <c r="A4080" s="515">
        <v>87106</v>
      </c>
      <c r="B4080" s="515" t="s">
        <v>406</v>
      </c>
      <c r="C4080" s="52">
        <v>332161.70283868699</v>
      </c>
      <c r="D4080" s="56">
        <v>9.2488147961622358E-2</v>
      </c>
      <c r="E4080" s="224">
        <v>1140.0606060606001</v>
      </c>
      <c r="F4080" s="515" t="s">
        <v>5383</v>
      </c>
      <c r="G4080" s="52">
        <v>223633.280461902</v>
      </c>
      <c r="H4080" s="56">
        <v>0.11233932353821885</v>
      </c>
      <c r="I4080" s="224" t="s">
        <v>2</v>
      </c>
    </row>
    <row r="4081" spans="1:9" x14ac:dyDescent="0.25">
      <c r="A4081" s="515">
        <v>33764</v>
      </c>
      <c r="B4081" s="515" t="s">
        <v>461</v>
      </c>
      <c r="C4081" s="52">
        <v>363724.64393424499</v>
      </c>
      <c r="D4081" s="56">
        <v>8.7112278906469526E-2</v>
      </c>
      <c r="E4081" s="224">
        <v>2172.7261904761899</v>
      </c>
      <c r="F4081" s="515" t="s">
        <v>5384</v>
      </c>
      <c r="G4081" s="52">
        <v>869053.18908711895</v>
      </c>
      <c r="H4081" s="56">
        <v>5.5031477005814164E-2</v>
      </c>
      <c r="I4081" s="224">
        <v>2200</v>
      </c>
    </row>
    <row r="4082" spans="1:9" x14ac:dyDescent="0.25">
      <c r="A4082" s="515">
        <v>81004</v>
      </c>
      <c r="B4082" s="515" t="s">
        <v>1003</v>
      </c>
      <c r="C4082" s="52">
        <v>212025.156173239</v>
      </c>
      <c r="D4082" s="56">
        <v>0.11515251103530838</v>
      </c>
      <c r="E4082" s="224">
        <v>1286.25</v>
      </c>
      <c r="F4082" s="515" t="s">
        <v>5385</v>
      </c>
      <c r="G4082" s="52">
        <v>162679.610698128</v>
      </c>
      <c r="H4082" s="56">
        <v>3.4424703940057625E-3</v>
      </c>
      <c r="I4082" s="224" t="s">
        <v>2</v>
      </c>
    </row>
    <row r="4083" spans="1:9" x14ac:dyDescent="0.25">
      <c r="A4083" s="515">
        <v>91103</v>
      </c>
      <c r="B4083" s="515" t="s">
        <v>375</v>
      </c>
      <c r="C4083" s="52">
        <v>943474.19021897495</v>
      </c>
      <c r="D4083" s="56">
        <v>4.6760453717299609E-2</v>
      </c>
      <c r="E4083" s="224">
        <v>3561.9410256410201</v>
      </c>
      <c r="F4083" s="515" t="s">
        <v>5386</v>
      </c>
      <c r="G4083" s="52">
        <v>96018.039362784897</v>
      </c>
      <c r="H4083" s="56">
        <v>0.2184683428984163</v>
      </c>
      <c r="I4083" s="224" t="s">
        <v>2</v>
      </c>
    </row>
    <row r="4084" spans="1:9" x14ac:dyDescent="0.25">
      <c r="A4084" s="515">
        <v>53403</v>
      </c>
      <c r="B4084" s="515" t="s">
        <v>1151</v>
      </c>
      <c r="C4084" s="52">
        <v>155405.483231572</v>
      </c>
      <c r="D4084" s="56">
        <v>5.4933136169003451E-2</v>
      </c>
      <c r="E4084" s="224" t="s">
        <v>2</v>
      </c>
      <c r="F4084" s="515" t="s">
        <v>5387</v>
      </c>
      <c r="G4084" s="52">
        <v>276003.35971131601</v>
      </c>
      <c r="H4084" s="56">
        <v>4.5927508744617207E-2</v>
      </c>
      <c r="I4084" s="224">
        <v>1971.6666666666599</v>
      </c>
    </row>
    <row r="4085" spans="1:9" x14ac:dyDescent="0.25">
      <c r="A4085" s="515">
        <v>33544</v>
      </c>
      <c r="B4085" s="515" t="s">
        <v>461</v>
      </c>
      <c r="C4085" s="52">
        <v>439259.33578541898</v>
      </c>
      <c r="D4085" s="56">
        <v>8.9699372341610822E-2</v>
      </c>
      <c r="E4085" s="224">
        <v>2075.7361111111099</v>
      </c>
      <c r="F4085" s="515" t="s">
        <v>5388</v>
      </c>
      <c r="G4085" s="52">
        <v>1012311.61749915</v>
      </c>
      <c r="H4085" s="56">
        <v>4.453559660616075E-2</v>
      </c>
      <c r="I4085" s="224">
        <v>2930.5952380952299</v>
      </c>
    </row>
    <row r="4086" spans="1:9" x14ac:dyDescent="0.25">
      <c r="A4086" s="515">
        <v>8611</v>
      </c>
      <c r="B4086" s="515" t="s">
        <v>938</v>
      </c>
      <c r="C4086" s="52">
        <v>125256.26665881299</v>
      </c>
      <c r="D4086" s="56">
        <v>0.16118414487042357</v>
      </c>
      <c r="E4086" s="224" t="s">
        <v>2</v>
      </c>
      <c r="F4086" s="515" t="s">
        <v>5389</v>
      </c>
      <c r="G4086" s="52">
        <v>247624.36218342301</v>
      </c>
      <c r="H4086" s="56">
        <v>8.0928908894666779E-2</v>
      </c>
      <c r="I4086" s="224" t="s">
        <v>2</v>
      </c>
    </row>
    <row r="4087" spans="1:9" x14ac:dyDescent="0.25">
      <c r="A4087" s="515">
        <v>62221</v>
      </c>
      <c r="B4087" s="515" t="s">
        <v>498</v>
      </c>
      <c r="C4087" s="52">
        <v>198729.81257928701</v>
      </c>
      <c r="D4087" s="56">
        <v>5.9520162620518548E-2</v>
      </c>
      <c r="E4087" s="224" t="s">
        <v>2</v>
      </c>
      <c r="F4087" s="515" t="s">
        <v>5390</v>
      </c>
      <c r="G4087" s="52">
        <v>408564.99816485698</v>
      </c>
      <c r="H4087" s="56">
        <v>6.6598893283385779E-2</v>
      </c>
      <c r="I4087" s="224" t="s">
        <v>2</v>
      </c>
    </row>
    <row r="4088" spans="1:9" x14ac:dyDescent="0.25">
      <c r="A4088" s="515">
        <v>97317</v>
      </c>
      <c r="B4088" s="515" t="s">
        <v>416</v>
      </c>
      <c r="C4088" s="52">
        <v>412768.32703497802</v>
      </c>
      <c r="D4088" s="56">
        <v>3.3959879190722006E-2</v>
      </c>
      <c r="E4088" s="224" t="s">
        <v>2</v>
      </c>
      <c r="F4088" s="515" t="s">
        <v>5391</v>
      </c>
      <c r="G4088" s="52">
        <v>248300.804163172</v>
      </c>
      <c r="H4088" s="56">
        <v>-1.6129581672203901E-2</v>
      </c>
      <c r="I4088" s="224" t="s">
        <v>2</v>
      </c>
    </row>
    <row r="4089" spans="1:9" x14ac:dyDescent="0.25">
      <c r="A4089" s="515">
        <v>6405</v>
      </c>
      <c r="B4089" s="515" t="s">
        <v>1172</v>
      </c>
      <c r="C4089" s="52">
        <v>371098.028283255</v>
      </c>
      <c r="D4089" s="56">
        <v>9.3956791767766085E-2</v>
      </c>
      <c r="E4089" s="224">
        <v>2006.94444444444</v>
      </c>
      <c r="F4089" s="515" t="s">
        <v>5392</v>
      </c>
      <c r="G4089" s="52">
        <v>357308.779687431</v>
      </c>
      <c r="H4089" s="56">
        <v>0.10533775575374928</v>
      </c>
      <c r="I4089" s="224" t="s">
        <v>2</v>
      </c>
    </row>
    <row r="4090" spans="1:9" x14ac:dyDescent="0.25">
      <c r="A4090" s="515">
        <v>7621</v>
      </c>
      <c r="B4090" s="515" t="s">
        <v>324</v>
      </c>
      <c r="C4090" s="52">
        <v>484448.35911536298</v>
      </c>
      <c r="D4090" s="56">
        <v>4.9599580128522093E-2</v>
      </c>
      <c r="E4090" s="224" t="s">
        <v>2</v>
      </c>
      <c r="F4090" s="515" t="s">
        <v>5393</v>
      </c>
      <c r="G4090" s="52">
        <v>277284.29185574601</v>
      </c>
      <c r="H4090" s="56">
        <v>9.031399604386961E-2</v>
      </c>
      <c r="I4090" s="224" t="s">
        <v>2</v>
      </c>
    </row>
    <row r="4091" spans="1:9" x14ac:dyDescent="0.25">
      <c r="A4091" s="515">
        <v>30533</v>
      </c>
      <c r="C4091" s="52">
        <v>311543.35021595901</v>
      </c>
      <c r="D4091" s="56">
        <v>5.4085279377844755E-2</v>
      </c>
      <c r="E4091" s="224" t="s">
        <v>2</v>
      </c>
      <c r="F4091" s="515" t="s">
        <v>5394</v>
      </c>
      <c r="G4091" s="52">
        <v>262759.05551718798</v>
      </c>
      <c r="H4091" s="56">
        <v>7.7258102256630906E-2</v>
      </c>
      <c r="I4091" s="224" t="s">
        <v>2</v>
      </c>
    </row>
    <row r="4092" spans="1:9" x14ac:dyDescent="0.25">
      <c r="A4092" s="515">
        <v>1803</v>
      </c>
      <c r="B4092" s="515" t="s">
        <v>534</v>
      </c>
      <c r="C4092" s="52">
        <v>721210.19440750696</v>
      </c>
      <c r="D4092" s="56">
        <v>6.5304090663758863E-2</v>
      </c>
      <c r="E4092" s="224">
        <v>2958.75</v>
      </c>
      <c r="F4092" s="515" t="s">
        <v>5395</v>
      </c>
      <c r="G4092" s="52">
        <v>294301.249305807</v>
      </c>
      <c r="H4092" s="56">
        <v>6.4577759152394887E-2</v>
      </c>
      <c r="I4092" s="224" t="s">
        <v>2</v>
      </c>
    </row>
    <row r="4093" spans="1:9" x14ac:dyDescent="0.25">
      <c r="A4093" s="515">
        <v>58504</v>
      </c>
      <c r="B4093" s="515" t="s">
        <v>930</v>
      </c>
      <c r="C4093" s="52">
        <v>305798.82797670999</v>
      </c>
      <c r="D4093" s="56">
        <v>5.2132785842357907E-2</v>
      </c>
      <c r="E4093" s="224">
        <v>1333.5</v>
      </c>
      <c r="F4093" s="515" t="s">
        <v>5396</v>
      </c>
      <c r="G4093" s="52">
        <v>91956.738570432193</v>
      </c>
      <c r="H4093" s="56">
        <v>2.6475169512891226E-2</v>
      </c>
      <c r="I4093" s="224" t="s">
        <v>2</v>
      </c>
    </row>
    <row r="4094" spans="1:9" x14ac:dyDescent="0.25">
      <c r="A4094" s="515">
        <v>53210</v>
      </c>
      <c r="B4094" s="515" t="s">
        <v>950</v>
      </c>
      <c r="C4094" s="52">
        <v>135401.67477209301</v>
      </c>
      <c r="D4094" s="56">
        <v>3.5374308825019303E-2</v>
      </c>
      <c r="E4094" s="224">
        <v>905.55555555555497</v>
      </c>
      <c r="F4094" s="515" t="s">
        <v>5397</v>
      </c>
      <c r="G4094" s="52">
        <v>897038.11449666496</v>
      </c>
      <c r="H4094" s="56">
        <v>7.6100673124487858E-2</v>
      </c>
      <c r="I4094" s="224" t="s">
        <v>2</v>
      </c>
    </row>
    <row r="4095" spans="1:9" x14ac:dyDescent="0.25">
      <c r="A4095" s="515">
        <v>11361</v>
      </c>
      <c r="B4095" s="515" t="s">
        <v>324</v>
      </c>
      <c r="C4095" s="52">
        <v>835975.23461440904</v>
      </c>
      <c r="D4095" s="56">
        <v>4.4531518004811893E-2</v>
      </c>
      <c r="E4095" s="224">
        <v>2322.6785714285702</v>
      </c>
      <c r="F4095" s="515" t="s">
        <v>5398</v>
      </c>
      <c r="G4095" s="52">
        <v>401157.746792513</v>
      </c>
      <c r="H4095" s="56">
        <v>8.9144646845266379E-2</v>
      </c>
      <c r="I4095" s="224" t="s">
        <v>2</v>
      </c>
    </row>
    <row r="4096" spans="1:9" x14ac:dyDescent="0.25">
      <c r="A4096" s="515">
        <v>90064</v>
      </c>
      <c r="B4096" s="515" t="s">
        <v>375</v>
      </c>
      <c r="C4096" s="52">
        <v>1704623.6151175301</v>
      </c>
      <c r="D4096" s="56">
        <v>4.6260796152916575E-2</v>
      </c>
      <c r="E4096" s="224">
        <v>3351.44819624819</v>
      </c>
      <c r="F4096" s="515" t="s">
        <v>5399</v>
      </c>
      <c r="G4096" s="52">
        <v>616773.82064786204</v>
      </c>
      <c r="H4096" s="56">
        <v>9.1530262227302067E-2</v>
      </c>
      <c r="I4096" s="224" t="s">
        <v>2</v>
      </c>
    </row>
    <row r="4097" spans="1:9" x14ac:dyDescent="0.25">
      <c r="A4097" s="515">
        <v>32789</v>
      </c>
      <c r="B4097" s="515" t="s">
        <v>517</v>
      </c>
      <c r="C4097" s="52">
        <v>657516.60682393098</v>
      </c>
      <c r="D4097" s="56">
        <v>0.12003502390565142</v>
      </c>
      <c r="E4097" s="224">
        <v>2078.47811447811</v>
      </c>
      <c r="F4097" s="515" t="s">
        <v>5400</v>
      </c>
      <c r="G4097" s="52">
        <v>199690.574431038</v>
      </c>
      <c r="H4097" s="56">
        <v>-6.6575198097609551E-4</v>
      </c>
      <c r="I4097" s="224" t="s">
        <v>2</v>
      </c>
    </row>
    <row r="4098" spans="1:9" x14ac:dyDescent="0.25">
      <c r="A4098" s="515">
        <v>10013</v>
      </c>
      <c r="B4098" s="515" t="s">
        <v>324</v>
      </c>
      <c r="C4098" s="52">
        <v>3122191.61978075</v>
      </c>
      <c r="D4098" s="56">
        <v>5.8539797139074163E-3</v>
      </c>
      <c r="E4098" s="224">
        <v>5557.7205882352901</v>
      </c>
      <c r="F4098" s="515" t="s">
        <v>5401</v>
      </c>
      <c r="G4098" s="52">
        <v>488739.43135015399</v>
      </c>
      <c r="H4098" s="56">
        <v>4.9501624985439419E-2</v>
      </c>
      <c r="I4098" s="224" t="s">
        <v>2</v>
      </c>
    </row>
    <row r="4099" spans="1:9" x14ac:dyDescent="0.25">
      <c r="A4099" s="515">
        <v>48162</v>
      </c>
      <c r="B4099" s="515" t="s">
        <v>1033</v>
      </c>
      <c r="C4099" s="52">
        <v>192125.14430446</v>
      </c>
      <c r="D4099" s="56">
        <v>4.8895722006583951E-2</v>
      </c>
      <c r="E4099" s="224" t="s">
        <v>2</v>
      </c>
      <c r="F4099" s="515" t="s">
        <v>5402</v>
      </c>
      <c r="G4099" s="52">
        <v>559720.62042992702</v>
      </c>
      <c r="H4099" s="56">
        <v>5.4395073819467461E-2</v>
      </c>
      <c r="I4099" s="224" t="s">
        <v>2</v>
      </c>
    </row>
    <row r="4100" spans="1:9" x14ac:dyDescent="0.25">
      <c r="A4100" s="515">
        <v>22182</v>
      </c>
      <c r="B4100" s="515" t="s">
        <v>321</v>
      </c>
      <c r="C4100" s="52">
        <v>1051226.79722531</v>
      </c>
      <c r="D4100" s="56">
        <v>3.6714689968027125E-2</v>
      </c>
      <c r="E4100" s="224">
        <v>0</v>
      </c>
      <c r="F4100" s="515" t="s">
        <v>5403</v>
      </c>
      <c r="G4100" s="52">
        <v>418496.408639398</v>
      </c>
      <c r="H4100" s="56">
        <v>8.4331546033373145E-2</v>
      </c>
      <c r="I4100" s="224" t="s">
        <v>2</v>
      </c>
    </row>
    <row r="4101" spans="1:9" x14ac:dyDescent="0.25">
      <c r="A4101" s="515">
        <v>98272</v>
      </c>
      <c r="B4101" s="515" t="s">
        <v>384</v>
      </c>
      <c r="C4101" s="52">
        <v>648671.00442680798</v>
      </c>
      <c r="D4101" s="56">
        <v>3.5192546323117017E-2</v>
      </c>
      <c r="E4101" s="224">
        <v>2164.5</v>
      </c>
      <c r="F4101" s="515" t="s">
        <v>935</v>
      </c>
      <c r="G4101" s="52">
        <v>161187.317416873</v>
      </c>
      <c r="H4101" s="56">
        <v>0.10973683708942113</v>
      </c>
      <c r="I4101" s="224" t="s">
        <v>2</v>
      </c>
    </row>
    <row r="4102" spans="1:9" x14ac:dyDescent="0.25">
      <c r="A4102" s="515">
        <v>37716</v>
      </c>
      <c r="B4102" s="515" t="s">
        <v>907</v>
      </c>
      <c r="C4102" s="52">
        <v>259694.79299577599</v>
      </c>
      <c r="D4102" s="56">
        <v>7.5656126955914879E-2</v>
      </c>
      <c r="E4102" s="224" t="s">
        <v>2</v>
      </c>
      <c r="F4102" s="515" t="s">
        <v>5404</v>
      </c>
      <c r="G4102" s="52">
        <v>510382.64644685999</v>
      </c>
      <c r="H4102" s="56">
        <v>-8.2245685041174091E-2</v>
      </c>
      <c r="I4102" s="224" t="s">
        <v>2</v>
      </c>
    </row>
    <row r="4103" spans="1:9" x14ac:dyDescent="0.25">
      <c r="A4103" s="515">
        <v>19802</v>
      </c>
      <c r="B4103" s="515" t="s">
        <v>294</v>
      </c>
      <c r="C4103" s="52">
        <v>172056.55162108899</v>
      </c>
      <c r="D4103" s="56">
        <v>0.107144324609911</v>
      </c>
      <c r="E4103" s="224" t="s">
        <v>2</v>
      </c>
      <c r="F4103" s="515" t="s">
        <v>5405</v>
      </c>
      <c r="G4103" s="52">
        <v>487383.330059578</v>
      </c>
      <c r="H4103" s="56">
        <v>5.5239689989552657E-2</v>
      </c>
      <c r="I4103" s="224" t="s">
        <v>2</v>
      </c>
    </row>
    <row r="4104" spans="1:9" x14ac:dyDescent="0.25">
      <c r="A4104" s="515">
        <v>29440</v>
      </c>
      <c r="B4104" s="515" t="s">
        <v>1197</v>
      </c>
      <c r="C4104" s="52">
        <v>210736.72829419101</v>
      </c>
      <c r="D4104" s="56">
        <v>0.10239775386870342</v>
      </c>
      <c r="E4104" s="224" t="s">
        <v>2</v>
      </c>
      <c r="F4104" s="515" t="s">
        <v>5406</v>
      </c>
      <c r="G4104" s="52">
        <v>343288.81779512099</v>
      </c>
      <c r="H4104" s="56">
        <v>9.0501619142644332E-2</v>
      </c>
      <c r="I4104" s="224">
        <v>1618.75</v>
      </c>
    </row>
    <row r="4105" spans="1:9" x14ac:dyDescent="0.25">
      <c r="A4105" s="515">
        <v>55426</v>
      </c>
      <c r="B4105" s="515" t="s">
        <v>532</v>
      </c>
      <c r="C4105" s="52">
        <v>338036.93148402398</v>
      </c>
      <c r="D4105" s="56">
        <v>3.6297337888208027E-2</v>
      </c>
      <c r="E4105" s="224">
        <v>1443.5119047619</v>
      </c>
      <c r="F4105" s="515" t="s">
        <v>5407</v>
      </c>
      <c r="G4105" s="52">
        <v>543447.28023626201</v>
      </c>
      <c r="H4105" s="56">
        <v>6.4392277043726312E-2</v>
      </c>
      <c r="I4105" s="224" t="s">
        <v>2</v>
      </c>
    </row>
    <row r="4106" spans="1:9" x14ac:dyDescent="0.25">
      <c r="A4106" s="515">
        <v>70634</v>
      </c>
      <c r="B4106" s="515" t="s">
        <v>879</v>
      </c>
      <c r="C4106" s="52">
        <v>138086.38349190701</v>
      </c>
      <c r="D4106" s="56">
        <v>3.2420315694017161E-2</v>
      </c>
      <c r="E4106" s="224" t="s">
        <v>2</v>
      </c>
      <c r="F4106" s="515" t="s">
        <v>5408</v>
      </c>
      <c r="G4106" s="52">
        <v>260470.54570952599</v>
      </c>
      <c r="H4106" s="56">
        <v>0.1457805397747301</v>
      </c>
      <c r="I4106" s="224" t="s">
        <v>2</v>
      </c>
    </row>
    <row r="4107" spans="1:9" x14ac:dyDescent="0.25">
      <c r="A4107" s="515">
        <v>95370</v>
      </c>
      <c r="B4107" s="515" t="s">
        <v>555</v>
      </c>
      <c r="C4107" s="52">
        <v>387969.41116718302</v>
      </c>
      <c r="D4107" s="56">
        <v>-5.8711637738497495E-3</v>
      </c>
      <c r="E4107" s="224" t="s">
        <v>2</v>
      </c>
      <c r="F4107" s="515" t="s">
        <v>5409</v>
      </c>
      <c r="G4107" s="52">
        <v>355718.963959819</v>
      </c>
      <c r="H4107" s="56">
        <v>6.0213596009935387E-2</v>
      </c>
      <c r="I4107" s="224" t="s">
        <v>2</v>
      </c>
    </row>
    <row r="4108" spans="1:9" x14ac:dyDescent="0.25">
      <c r="A4108" s="515">
        <v>76034</v>
      </c>
      <c r="B4108" s="515" t="s">
        <v>458</v>
      </c>
      <c r="C4108" s="52">
        <v>808994.22974069999</v>
      </c>
      <c r="D4108" s="56">
        <v>0.10269686097695817</v>
      </c>
      <c r="E4108" s="224" t="s">
        <v>2</v>
      </c>
      <c r="F4108" s="515" t="s">
        <v>5410</v>
      </c>
      <c r="G4108" s="52">
        <v>544758.39706025599</v>
      </c>
      <c r="H4108" s="56">
        <v>0.13440470144269437</v>
      </c>
      <c r="I4108" s="224">
        <v>2327.7142857142799</v>
      </c>
    </row>
    <row r="4109" spans="1:9" x14ac:dyDescent="0.25">
      <c r="A4109" s="515">
        <v>90249</v>
      </c>
      <c r="B4109" s="515" t="s">
        <v>375</v>
      </c>
      <c r="C4109" s="52">
        <v>734085.58888697799</v>
      </c>
      <c r="D4109" s="56">
        <v>7.4590610654793763E-2</v>
      </c>
      <c r="E4109" s="224">
        <v>1950.7222222222199</v>
      </c>
      <c r="F4109" s="515" t="s">
        <v>5411</v>
      </c>
      <c r="G4109" s="52">
        <v>332908.40938012599</v>
      </c>
      <c r="H4109" s="56">
        <v>5.7410475429090779E-2</v>
      </c>
      <c r="I4109" s="224" t="s">
        <v>2</v>
      </c>
    </row>
    <row r="4110" spans="1:9" x14ac:dyDescent="0.25">
      <c r="A4110" s="515">
        <v>48108</v>
      </c>
      <c r="B4110" s="515" t="s">
        <v>783</v>
      </c>
      <c r="C4110" s="52">
        <v>386582.62106640701</v>
      </c>
      <c r="D4110" s="56">
        <v>9.0951608556895949E-2</v>
      </c>
      <c r="E4110" s="224">
        <v>1775</v>
      </c>
      <c r="F4110" s="515" t="s">
        <v>5412</v>
      </c>
      <c r="G4110" s="52">
        <v>232093.90779752599</v>
      </c>
      <c r="H4110" s="56">
        <v>4.7891056004390586E-2</v>
      </c>
      <c r="I4110" s="224" t="s">
        <v>2</v>
      </c>
    </row>
    <row r="4111" spans="1:9" x14ac:dyDescent="0.25">
      <c r="A4111" s="515">
        <v>53217</v>
      </c>
      <c r="B4111" s="515" t="s">
        <v>950</v>
      </c>
      <c r="C4111" s="52">
        <v>433468.88891551102</v>
      </c>
      <c r="D4111" s="56">
        <v>9.423537290162344E-2</v>
      </c>
      <c r="E4111" s="224">
        <v>1336.25</v>
      </c>
      <c r="F4111" s="515" t="s">
        <v>5413</v>
      </c>
      <c r="G4111" s="52">
        <v>145046.84622377501</v>
      </c>
      <c r="H4111" s="56">
        <v>9.2865302019102397E-2</v>
      </c>
      <c r="I4111" s="224" t="s">
        <v>2</v>
      </c>
    </row>
    <row r="4112" spans="1:9" x14ac:dyDescent="0.25">
      <c r="A4112" s="515">
        <v>15010</v>
      </c>
      <c r="B4112" s="515" t="s">
        <v>297</v>
      </c>
      <c r="C4112" s="52">
        <v>159820.16210666101</v>
      </c>
      <c r="D4112" s="56">
        <v>1.8901731000718631E-2</v>
      </c>
      <c r="E4112" s="224">
        <v>900</v>
      </c>
      <c r="F4112" s="515" t="s">
        <v>5414</v>
      </c>
      <c r="G4112" s="52">
        <v>289468.10055705701</v>
      </c>
      <c r="H4112" s="56">
        <v>5.5985877181193723E-2</v>
      </c>
      <c r="I4112" s="224" t="s">
        <v>2</v>
      </c>
    </row>
    <row r="4113" spans="1:9" x14ac:dyDescent="0.25">
      <c r="A4113" s="515">
        <v>80129</v>
      </c>
      <c r="B4113" s="515" t="s">
        <v>401</v>
      </c>
      <c r="C4113" s="52">
        <v>668039.72523806</v>
      </c>
      <c r="D4113" s="56">
        <v>3.7172510747994048E-2</v>
      </c>
      <c r="E4113" s="224">
        <v>2190.6994397759099</v>
      </c>
      <c r="F4113" s="515" t="s">
        <v>5415</v>
      </c>
      <c r="G4113" s="52">
        <v>144311.548030037</v>
      </c>
      <c r="H4113" s="56">
        <v>7.6476842400541131E-2</v>
      </c>
      <c r="I4113" s="224">
        <v>1265.88888888888</v>
      </c>
    </row>
    <row r="4114" spans="1:9" x14ac:dyDescent="0.25">
      <c r="A4114" s="515">
        <v>71457</v>
      </c>
      <c r="B4114" s="515" t="s">
        <v>961</v>
      </c>
      <c r="C4114" s="52">
        <v>162169.291546411</v>
      </c>
      <c r="D4114" s="56">
        <v>-3.2678749301447412E-3</v>
      </c>
      <c r="E4114" s="224" t="s">
        <v>2</v>
      </c>
      <c r="F4114" s="515" t="s">
        <v>5416</v>
      </c>
      <c r="G4114" s="52">
        <v>423105.58827128098</v>
      </c>
      <c r="H4114" s="56">
        <v>0.10151177515895769</v>
      </c>
      <c r="I4114" s="224" t="s">
        <v>2</v>
      </c>
    </row>
    <row r="4115" spans="1:9" x14ac:dyDescent="0.25">
      <c r="A4115" s="515">
        <v>48306</v>
      </c>
      <c r="B4115" s="515" t="s">
        <v>685</v>
      </c>
      <c r="C4115" s="52">
        <v>506137.07331755001</v>
      </c>
      <c r="D4115" s="56">
        <v>2.7813195743811296E-2</v>
      </c>
      <c r="E4115" s="224" t="s">
        <v>2</v>
      </c>
      <c r="F4115" s="515" t="s">
        <v>5417</v>
      </c>
      <c r="G4115" s="52">
        <v>299515.570363448</v>
      </c>
      <c r="H4115" s="56">
        <v>7.8914465948793006E-2</v>
      </c>
      <c r="I4115" s="224">
        <v>1658.3333333333301</v>
      </c>
    </row>
    <row r="4116" spans="1:9" x14ac:dyDescent="0.25">
      <c r="A4116" s="515">
        <v>35803</v>
      </c>
      <c r="B4116" s="515" t="s">
        <v>997</v>
      </c>
      <c r="C4116" s="52">
        <v>290815.29522010603</v>
      </c>
      <c r="D4116" s="56">
        <v>6.317091598987909E-2</v>
      </c>
      <c r="E4116" s="224">
        <v>1643.19444444444</v>
      </c>
      <c r="F4116" s="515" t="s">
        <v>5418</v>
      </c>
      <c r="G4116" s="52">
        <v>844919.63271682698</v>
      </c>
      <c r="H4116" s="56">
        <v>8.860307312467651E-2</v>
      </c>
      <c r="I4116" s="224" t="s">
        <v>2</v>
      </c>
    </row>
    <row r="4117" spans="1:9" x14ac:dyDescent="0.25">
      <c r="A4117" s="515">
        <v>68046</v>
      </c>
      <c r="B4117" s="515" t="s">
        <v>367</v>
      </c>
      <c r="C4117" s="52">
        <v>347506.03281894402</v>
      </c>
      <c r="D4117" s="56">
        <v>6.682036743112596E-2</v>
      </c>
      <c r="E4117" s="224">
        <v>1369.1666666666599</v>
      </c>
      <c r="F4117" s="515" t="s">
        <v>5419</v>
      </c>
      <c r="G4117" s="52">
        <v>626489.59431819699</v>
      </c>
      <c r="H4117" s="56">
        <v>0.11194632596123648</v>
      </c>
      <c r="I4117" s="224" t="s">
        <v>2</v>
      </c>
    </row>
    <row r="4118" spans="1:9" x14ac:dyDescent="0.25">
      <c r="A4118" s="515">
        <v>30720</v>
      </c>
      <c r="B4118" s="515" t="s">
        <v>769</v>
      </c>
      <c r="C4118" s="52">
        <v>229371.635959204</v>
      </c>
      <c r="D4118" s="56">
        <v>5.6978400295444827E-2</v>
      </c>
      <c r="E4118" s="224" t="s">
        <v>2</v>
      </c>
      <c r="F4118" s="515" t="s">
        <v>5420</v>
      </c>
      <c r="G4118" s="52">
        <v>315045.647883786</v>
      </c>
      <c r="H4118" s="56">
        <v>0.1416179090600321</v>
      </c>
      <c r="I4118" s="224" t="s">
        <v>2</v>
      </c>
    </row>
    <row r="4119" spans="1:9" x14ac:dyDescent="0.25">
      <c r="A4119" s="515">
        <v>93004</v>
      </c>
      <c r="B4119" s="515" t="s">
        <v>1021</v>
      </c>
      <c r="C4119" s="52">
        <v>758484.47958142101</v>
      </c>
      <c r="D4119" s="56">
        <v>2.4574965693385128E-2</v>
      </c>
      <c r="E4119" s="224">
        <v>2530.1666666666601</v>
      </c>
      <c r="F4119" s="515" t="s">
        <v>682</v>
      </c>
      <c r="G4119" s="52">
        <v>126745.611562397</v>
      </c>
      <c r="H4119" s="56">
        <v>0.14735500141547639</v>
      </c>
      <c r="I4119" s="224" t="s">
        <v>2</v>
      </c>
    </row>
    <row r="4120" spans="1:9" x14ac:dyDescent="0.25">
      <c r="A4120" s="515">
        <v>35173</v>
      </c>
      <c r="B4120" s="515" t="s">
        <v>640</v>
      </c>
      <c r="C4120" s="52">
        <v>347298.19138685602</v>
      </c>
      <c r="D4120" s="56">
        <v>8.0047399914227768E-2</v>
      </c>
      <c r="E4120" s="224" t="s">
        <v>2</v>
      </c>
      <c r="F4120" s="515" t="s">
        <v>5421</v>
      </c>
      <c r="G4120" s="52">
        <v>237918.49865291899</v>
      </c>
      <c r="H4120" s="56">
        <v>8.5213831552914093E-2</v>
      </c>
      <c r="I4120" s="224" t="s">
        <v>2</v>
      </c>
    </row>
    <row r="4121" spans="1:9" x14ac:dyDescent="0.25">
      <c r="A4121" s="515">
        <v>70607</v>
      </c>
      <c r="B4121" s="515" t="s">
        <v>696</v>
      </c>
      <c r="C4121" s="52">
        <v>163550.12411170499</v>
      </c>
      <c r="D4121" s="56">
        <v>2.1961559609089354E-2</v>
      </c>
      <c r="E4121" s="224">
        <v>1211.43333333333</v>
      </c>
      <c r="F4121" s="515" t="s">
        <v>5422</v>
      </c>
      <c r="G4121" s="52">
        <v>192384.916754629</v>
      </c>
      <c r="H4121" s="56">
        <v>4.3541103652231433E-2</v>
      </c>
      <c r="I4121" s="224" t="s">
        <v>2</v>
      </c>
    </row>
    <row r="4122" spans="1:9" x14ac:dyDescent="0.25">
      <c r="A4122" s="515">
        <v>11729</v>
      </c>
      <c r="B4122" s="515" t="s">
        <v>324</v>
      </c>
      <c r="C4122" s="52">
        <v>528907.94550595095</v>
      </c>
      <c r="D4122" s="56">
        <v>3.9462934641336621E-2</v>
      </c>
      <c r="E4122" s="224" t="s">
        <v>2</v>
      </c>
      <c r="F4122" s="515" t="s">
        <v>5423</v>
      </c>
      <c r="G4122" s="52">
        <v>81723.620238299394</v>
      </c>
      <c r="H4122" s="56">
        <v>6.1630930755539985E-2</v>
      </c>
      <c r="I4122" s="224" t="s">
        <v>2</v>
      </c>
    </row>
    <row r="4123" spans="1:9" x14ac:dyDescent="0.25">
      <c r="A4123" s="515">
        <v>8330</v>
      </c>
      <c r="B4123" s="515" t="s">
        <v>800</v>
      </c>
      <c r="C4123" s="52">
        <v>260431.04051081801</v>
      </c>
      <c r="D4123" s="56">
        <v>9.3840207639752912E-2</v>
      </c>
      <c r="E4123" s="224" t="s">
        <v>2</v>
      </c>
      <c r="F4123" s="515" t="s">
        <v>5424</v>
      </c>
      <c r="G4123" s="52">
        <v>297358.83090599999</v>
      </c>
      <c r="H4123" s="56">
        <v>0.17179037819304202</v>
      </c>
      <c r="I4123" s="224" t="s">
        <v>2</v>
      </c>
    </row>
    <row r="4124" spans="1:9" x14ac:dyDescent="0.25">
      <c r="A4124" s="515">
        <v>76240</v>
      </c>
      <c r="B4124" s="515" t="s">
        <v>770</v>
      </c>
      <c r="C4124" s="52">
        <v>255597.58830211899</v>
      </c>
      <c r="D4124" s="56">
        <v>8.6687791335065184E-2</v>
      </c>
      <c r="E4124" s="224" t="s">
        <v>2</v>
      </c>
      <c r="F4124" s="515" t="s">
        <v>5425</v>
      </c>
      <c r="G4124" s="52">
        <v>459069.74742111203</v>
      </c>
      <c r="H4124" s="56">
        <v>-6.4003331511268205E-3</v>
      </c>
      <c r="I4124" s="224" t="s">
        <v>2</v>
      </c>
    </row>
    <row r="4125" spans="1:9" x14ac:dyDescent="0.25">
      <c r="A4125" s="515">
        <v>6604</v>
      </c>
      <c r="B4125" s="515" t="s">
        <v>1173</v>
      </c>
      <c r="C4125" s="52">
        <v>259782.60869967501</v>
      </c>
      <c r="D4125" s="56">
        <v>0.10374721636507048</v>
      </c>
      <c r="E4125" s="224">
        <v>1672.2222222222199</v>
      </c>
      <c r="F4125" s="515" t="s">
        <v>5426</v>
      </c>
      <c r="G4125" s="52">
        <v>310543.37519125198</v>
      </c>
      <c r="H4125" s="56">
        <v>7.2341298735141751E-2</v>
      </c>
      <c r="I4125" s="224" t="s">
        <v>2</v>
      </c>
    </row>
    <row r="4126" spans="1:9" x14ac:dyDescent="0.25">
      <c r="A4126" s="515">
        <v>45431</v>
      </c>
      <c r="B4126" s="515" t="s">
        <v>340</v>
      </c>
      <c r="C4126" s="52">
        <v>209183.24331379999</v>
      </c>
      <c r="D4126" s="56">
        <v>8.3450257557314028E-2</v>
      </c>
      <c r="E4126" s="224">
        <v>1423.05555555555</v>
      </c>
      <c r="F4126" s="515" t="s">
        <v>5427</v>
      </c>
      <c r="G4126" s="52">
        <v>299005.80625435902</v>
      </c>
      <c r="H4126" s="56">
        <v>7.8336408220886056E-2</v>
      </c>
      <c r="I4126" s="224" t="s">
        <v>2</v>
      </c>
    </row>
    <row r="4127" spans="1:9" x14ac:dyDescent="0.25">
      <c r="A4127" s="515">
        <v>79106</v>
      </c>
      <c r="B4127" s="515" t="s">
        <v>869</v>
      </c>
      <c r="C4127" s="52">
        <v>153867.29769546</v>
      </c>
      <c r="D4127" s="56">
        <v>0.12264289701822781</v>
      </c>
      <c r="E4127" s="224">
        <v>1076.3333333333301</v>
      </c>
      <c r="F4127" s="515" t="s">
        <v>5428</v>
      </c>
      <c r="G4127" s="52">
        <v>396759.51401217101</v>
      </c>
      <c r="H4127" s="56">
        <v>9.1098898144603993E-2</v>
      </c>
      <c r="I4127" s="224" t="s">
        <v>2</v>
      </c>
    </row>
    <row r="4128" spans="1:9" x14ac:dyDescent="0.25">
      <c r="A4128" s="515">
        <v>80234</v>
      </c>
      <c r="B4128" s="515" t="s">
        <v>401</v>
      </c>
      <c r="C4128" s="52">
        <v>531622.73788010702</v>
      </c>
      <c r="D4128" s="56">
        <v>2.43049441611684E-2</v>
      </c>
      <c r="E4128" s="224">
        <v>1800.35754604872</v>
      </c>
      <c r="F4128" s="515" t="s">
        <v>5429</v>
      </c>
      <c r="G4128" s="52">
        <v>271989.21469506901</v>
      </c>
      <c r="H4128" s="56">
        <v>5.2150146218698644E-2</v>
      </c>
      <c r="I4128" s="224">
        <v>1750.3928571428501</v>
      </c>
    </row>
    <row r="4129" spans="1:9" x14ac:dyDescent="0.25">
      <c r="A4129" s="515">
        <v>83815</v>
      </c>
      <c r="B4129" s="515" t="s">
        <v>992</v>
      </c>
      <c r="C4129" s="52">
        <v>500109.01585005003</v>
      </c>
      <c r="D4129" s="56">
        <v>5.2497011362393799E-2</v>
      </c>
      <c r="E4129" s="224">
        <v>1834.30555555555</v>
      </c>
      <c r="F4129" s="515" t="s">
        <v>5430</v>
      </c>
      <c r="G4129" s="52">
        <v>1033749.6093141</v>
      </c>
      <c r="H4129" s="56">
        <v>7.6190765278538283E-2</v>
      </c>
      <c r="I4129" s="224" t="s">
        <v>2</v>
      </c>
    </row>
    <row r="4130" spans="1:9" x14ac:dyDescent="0.25">
      <c r="A4130" s="515">
        <v>48101</v>
      </c>
      <c r="B4130" s="515" t="s">
        <v>685</v>
      </c>
      <c r="C4130" s="52">
        <v>180126.89116674699</v>
      </c>
      <c r="D4130" s="56">
        <v>5.812575355203068E-2</v>
      </c>
      <c r="E4130" s="224" t="s">
        <v>2</v>
      </c>
      <c r="F4130" s="515" t="s">
        <v>5431</v>
      </c>
      <c r="G4130" s="52">
        <v>316633.04360809398</v>
      </c>
      <c r="H4130" s="56">
        <v>8.1090882897787403E-2</v>
      </c>
      <c r="I4130" s="224" t="s">
        <v>2</v>
      </c>
    </row>
    <row r="4131" spans="1:9" x14ac:dyDescent="0.25">
      <c r="A4131" s="515">
        <v>75230</v>
      </c>
      <c r="B4131" s="515" t="s">
        <v>458</v>
      </c>
      <c r="C4131" s="52">
        <v>814822.97316298704</v>
      </c>
      <c r="D4131" s="56">
        <v>0.12101890415441051</v>
      </c>
      <c r="E4131" s="224">
        <v>1814.95929487179</v>
      </c>
      <c r="F4131" s="515" t="s">
        <v>1051</v>
      </c>
      <c r="G4131" s="52">
        <v>123906.630907342</v>
      </c>
      <c r="H4131" s="56">
        <v>2.3052949199134261E-2</v>
      </c>
      <c r="I4131" s="224" t="s">
        <v>2</v>
      </c>
    </row>
    <row r="4132" spans="1:9" x14ac:dyDescent="0.25">
      <c r="A4132" s="515">
        <v>91740</v>
      </c>
      <c r="B4132" s="515" t="s">
        <v>375</v>
      </c>
      <c r="C4132" s="52">
        <v>723180.79755798995</v>
      </c>
      <c r="D4132" s="56">
        <v>3.9283815862421093E-2</v>
      </c>
      <c r="E4132" s="224" t="s">
        <v>2</v>
      </c>
      <c r="F4132" s="515" t="s">
        <v>5432</v>
      </c>
      <c r="G4132" s="52">
        <v>152553.46710990701</v>
      </c>
      <c r="H4132" s="56">
        <v>5.4320888939914429E-2</v>
      </c>
      <c r="I4132" s="224">
        <v>1325</v>
      </c>
    </row>
    <row r="4133" spans="1:9" x14ac:dyDescent="0.25">
      <c r="A4133" s="515">
        <v>98011</v>
      </c>
      <c r="B4133" s="515" t="s">
        <v>384</v>
      </c>
      <c r="C4133" s="52">
        <v>925608.67010918004</v>
      </c>
      <c r="D4133" s="56">
        <v>4.4633627399297666E-2</v>
      </c>
      <c r="E4133" s="224">
        <v>2276.05169340463</v>
      </c>
      <c r="F4133" s="515" t="s">
        <v>5433</v>
      </c>
      <c r="G4133" s="52">
        <v>366889.71220201597</v>
      </c>
      <c r="H4133" s="56">
        <v>0.16137039903979805</v>
      </c>
      <c r="I4133" s="224" t="s">
        <v>2</v>
      </c>
    </row>
    <row r="4134" spans="1:9" x14ac:dyDescent="0.25">
      <c r="A4134" s="515">
        <v>28734</v>
      </c>
      <c r="C4134" s="52">
        <v>262638.70904543099</v>
      </c>
      <c r="D4134" s="56">
        <v>0.13572774133630311</v>
      </c>
      <c r="E4134" s="224" t="s">
        <v>2</v>
      </c>
      <c r="F4134" s="515" t="s">
        <v>5434</v>
      </c>
      <c r="G4134" s="52">
        <v>395051.33535860199</v>
      </c>
      <c r="H4134" s="56">
        <v>9.2918852131640955E-3</v>
      </c>
      <c r="I4134" s="224" t="s">
        <v>2</v>
      </c>
    </row>
    <row r="4135" spans="1:9" x14ac:dyDescent="0.25">
      <c r="A4135" s="515">
        <v>33755</v>
      </c>
      <c r="B4135" s="515" t="s">
        <v>461</v>
      </c>
      <c r="C4135" s="52">
        <v>333539.81230083201</v>
      </c>
      <c r="D4135" s="56">
        <v>0.12643418023523467</v>
      </c>
      <c r="E4135" s="224">
        <v>1828.36904761904</v>
      </c>
      <c r="F4135" s="515" t="s">
        <v>805</v>
      </c>
      <c r="G4135" s="52">
        <v>83302.375320817606</v>
      </c>
      <c r="H4135" s="56">
        <v>4.0867900966228887E-2</v>
      </c>
      <c r="I4135" s="224" t="s">
        <v>2</v>
      </c>
    </row>
    <row r="4136" spans="1:9" x14ac:dyDescent="0.25">
      <c r="A4136" s="515">
        <v>76134</v>
      </c>
      <c r="B4136" s="515" t="s">
        <v>458</v>
      </c>
      <c r="C4136" s="52">
        <v>253810.51146559301</v>
      </c>
      <c r="D4136" s="56">
        <v>9.1938533427115429E-2</v>
      </c>
      <c r="E4136" s="224">
        <v>2015.69444444444</v>
      </c>
      <c r="F4136" s="515" t="s">
        <v>5435</v>
      </c>
      <c r="G4136" s="52">
        <v>149806.42284198699</v>
      </c>
      <c r="H4136" s="56">
        <v>6.7589346262300704E-2</v>
      </c>
      <c r="I4136" s="224" t="s">
        <v>2</v>
      </c>
    </row>
    <row r="4137" spans="1:9" x14ac:dyDescent="0.25">
      <c r="A4137" s="515">
        <v>54911</v>
      </c>
      <c r="B4137" s="515" t="s">
        <v>821</v>
      </c>
      <c r="C4137" s="52">
        <v>213145.34554527199</v>
      </c>
      <c r="D4137" s="56">
        <v>7.8226729187716448E-2</v>
      </c>
      <c r="E4137" s="224" t="s">
        <v>2</v>
      </c>
      <c r="F4137" s="515" t="s">
        <v>5436</v>
      </c>
      <c r="G4137" s="52">
        <v>171636.25042023999</v>
      </c>
      <c r="H4137" s="56">
        <v>0.11475690228435236</v>
      </c>
      <c r="I4137" s="224" t="s">
        <v>2</v>
      </c>
    </row>
    <row r="4138" spans="1:9" x14ac:dyDescent="0.25">
      <c r="A4138" s="515">
        <v>97420</v>
      </c>
      <c r="B4138" s="515" t="s">
        <v>868</v>
      </c>
      <c r="C4138" s="52">
        <v>311785.329998484</v>
      </c>
      <c r="D4138" s="56">
        <v>7.3318041633221531E-2</v>
      </c>
      <c r="E4138" s="224" t="s">
        <v>2</v>
      </c>
      <c r="F4138" s="515" t="s">
        <v>5437</v>
      </c>
      <c r="G4138" s="52">
        <v>98253.477531882498</v>
      </c>
      <c r="H4138" s="56">
        <v>0.29881081830066075</v>
      </c>
      <c r="I4138" s="224" t="s">
        <v>2</v>
      </c>
    </row>
    <row r="4139" spans="1:9" x14ac:dyDescent="0.25">
      <c r="A4139" s="515">
        <v>62226</v>
      </c>
      <c r="B4139" s="515" t="s">
        <v>498</v>
      </c>
      <c r="C4139" s="52">
        <v>145930.80012971701</v>
      </c>
      <c r="D4139" s="56">
        <v>6.4797328409175334E-2</v>
      </c>
      <c r="E4139" s="224">
        <v>1120</v>
      </c>
      <c r="F4139" s="515" t="s">
        <v>5438</v>
      </c>
      <c r="G4139" s="52">
        <v>183529.64086579799</v>
      </c>
      <c r="H4139" s="56">
        <v>0.10729580558148492</v>
      </c>
      <c r="I4139" s="224" t="s">
        <v>2</v>
      </c>
    </row>
    <row r="4140" spans="1:9" x14ac:dyDescent="0.25">
      <c r="A4140" s="515">
        <v>8055</v>
      </c>
      <c r="B4140" s="515" t="s">
        <v>294</v>
      </c>
      <c r="C4140" s="52">
        <v>478140.96267715801</v>
      </c>
      <c r="D4140" s="56">
        <v>9.4786275002105722E-2</v>
      </c>
      <c r="E4140" s="224">
        <v>1668</v>
      </c>
      <c r="F4140" s="515" t="s">
        <v>1231</v>
      </c>
      <c r="G4140" s="52">
        <v>89576.657339281504</v>
      </c>
      <c r="H4140" s="56">
        <v>-1.0687262747768001E-2</v>
      </c>
      <c r="I4140" s="224" t="s">
        <v>2</v>
      </c>
    </row>
    <row r="4141" spans="1:9" x14ac:dyDescent="0.25">
      <c r="A4141" s="515">
        <v>35160</v>
      </c>
      <c r="B4141" s="515" t="s">
        <v>523</v>
      </c>
      <c r="C4141" s="52">
        <v>137515.74328741099</v>
      </c>
      <c r="D4141" s="56">
        <v>-1.4693133617838762E-3</v>
      </c>
      <c r="E4141" s="224" t="s">
        <v>2</v>
      </c>
      <c r="F4141" s="515" t="s">
        <v>1139</v>
      </c>
      <c r="G4141" s="52">
        <v>185630.416777848</v>
      </c>
      <c r="H4141" s="56">
        <v>0.12925592351346146</v>
      </c>
      <c r="I4141" s="224" t="s">
        <v>2</v>
      </c>
    </row>
    <row r="4142" spans="1:9" x14ac:dyDescent="0.25">
      <c r="A4142" s="515">
        <v>20601</v>
      </c>
      <c r="B4142" s="515" t="s">
        <v>321</v>
      </c>
      <c r="C4142" s="52">
        <v>401158.50997993897</v>
      </c>
      <c r="D4142" s="56">
        <v>2.4120768897030489E-2</v>
      </c>
      <c r="E4142" s="224">
        <v>1718.82539682539</v>
      </c>
      <c r="F4142" s="515" t="s">
        <v>5439</v>
      </c>
      <c r="G4142" s="52">
        <v>479963.86404917802</v>
      </c>
      <c r="H4142" s="56">
        <v>7.7053252969732408E-2</v>
      </c>
      <c r="I4142" s="224" t="s">
        <v>2</v>
      </c>
    </row>
    <row r="4143" spans="1:9" x14ac:dyDescent="0.25">
      <c r="A4143" s="515">
        <v>15212</v>
      </c>
      <c r="B4143" s="515" t="s">
        <v>297</v>
      </c>
      <c r="C4143" s="52">
        <v>163815.73559286099</v>
      </c>
      <c r="D4143" s="56">
        <v>8.3461143306010926E-2</v>
      </c>
      <c r="E4143" s="224">
        <v>1275.59472934472</v>
      </c>
      <c r="F4143" s="515" t="s">
        <v>5440</v>
      </c>
      <c r="G4143" s="52">
        <v>190678.89512381199</v>
      </c>
      <c r="H4143" s="56">
        <v>3.8128861643766582E-2</v>
      </c>
      <c r="I4143" s="224" t="s">
        <v>2</v>
      </c>
    </row>
    <row r="4144" spans="1:9" x14ac:dyDescent="0.25">
      <c r="A4144" s="515">
        <v>45459</v>
      </c>
      <c r="B4144" s="515" t="s">
        <v>340</v>
      </c>
      <c r="C4144" s="52">
        <v>280977.25180366402</v>
      </c>
      <c r="D4144" s="56">
        <v>5.2053573459876788E-2</v>
      </c>
      <c r="E4144" s="224">
        <v>1627.7682539682501</v>
      </c>
      <c r="F4144" s="515" t="s">
        <v>1289</v>
      </c>
      <c r="G4144" s="52">
        <v>363418.69728648203</v>
      </c>
      <c r="H4144" s="56">
        <v>0.11133865644535233</v>
      </c>
      <c r="I4144" s="224" t="s">
        <v>2</v>
      </c>
    </row>
    <row r="4145" spans="1:9" x14ac:dyDescent="0.25">
      <c r="A4145" s="515">
        <v>49015</v>
      </c>
      <c r="B4145" s="515" t="s">
        <v>1062</v>
      </c>
      <c r="C4145" s="52">
        <v>174432.697027824</v>
      </c>
      <c r="D4145" s="56">
        <v>4.463883033196752E-2</v>
      </c>
      <c r="E4145" s="224">
        <v>1037</v>
      </c>
      <c r="F4145" s="515" t="s">
        <v>5441</v>
      </c>
      <c r="G4145" s="52">
        <v>189531.48536450299</v>
      </c>
      <c r="H4145" s="56">
        <v>5.3223988031161074E-2</v>
      </c>
      <c r="I4145" s="224" t="s">
        <v>2</v>
      </c>
    </row>
    <row r="4146" spans="1:9" x14ac:dyDescent="0.25">
      <c r="A4146" s="515">
        <v>77061</v>
      </c>
      <c r="B4146" s="515" t="s">
        <v>314</v>
      </c>
      <c r="C4146" s="52">
        <v>229501.74009533701</v>
      </c>
      <c r="D4146" s="56">
        <v>0.12099144184857284</v>
      </c>
      <c r="E4146" s="224" t="s">
        <v>2</v>
      </c>
      <c r="F4146" s="515" t="s">
        <v>5442</v>
      </c>
      <c r="G4146" s="52">
        <v>189300.26162717701</v>
      </c>
      <c r="H4146" s="56">
        <v>0.18175928798398761</v>
      </c>
      <c r="I4146" s="224" t="s">
        <v>2</v>
      </c>
    </row>
    <row r="4147" spans="1:9" x14ac:dyDescent="0.25">
      <c r="A4147" s="515">
        <v>75110</v>
      </c>
      <c r="B4147" s="515" t="s">
        <v>655</v>
      </c>
      <c r="C4147" s="52">
        <v>165160.18316713901</v>
      </c>
      <c r="D4147" s="56">
        <v>0.13471198814848687</v>
      </c>
      <c r="E4147" s="224">
        <v>1033.4749999999999</v>
      </c>
      <c r="F4147" s="515" t="s">
        <v>5443</v>
      </c>
      <c r="G4147" s="52">
        <v>126618.96920357201</v>
      </c>
      <c r="H4147" s="56">
        <v>0.17946915391348969</v>
      </c>
      <c r="I4147" s="224" t="s">
        <v>2</v>
      </c>
    </row>
    <row r="4148" spans="1:9" x14ac:dyDescent="0.25">
      <c r="A4148" s="515">
        <v>17406</v>
      </c>
      <c r="B4148" s="515" t="s">
        <v>509</v>
      </c>
      <c r="C4148" s="52">
        <v>238758.53550511799</v>
      </c>
      <c r="D4148" s="56">
        <v>9.5642348972559507E-2</v>
      </c>
      <c r="E4148" s="224" t="s">
        <v>2</v>
      </c>
      <c r="F4148" s="515" t="s">
        <v>5444</v>
      </c>
      <c r="G4148" s="52">
        <v>138920.26805384399</v>
      </c>
      <c r="H4148" s="56">
        <v>-1.1659561194227851E-2</v>
      </c>
      <c r="I4148" s="224" t="s">
        <v>2</v>
      </c>
    </row>
    <row r="4149" spans="1:9" x14ac:dyDescent="0.25">
      <c r="A4149" s="515">
        <v>28112</v>
      </c>
      <c r="B4149" s="515" t="s">
        <v>360</v>
      </c>
      <c r="C4149" s="52">
        <v>292503.92148675199</v>
      </c>
      <c r="D4149" s="56">
        <v>0.10958495012601593</v>
      </c>
      <c r="E4149" s="224" t="s">
        <v>2</v>
      </c>
      <c r="F4149" s="515" t="s">
        <v>5445</v>
      </c>
      <c r="G4149" s="52">
        <v>58960.6797495258</v>
      </c>
      <c r="H4149" s="56">
        <v>-1.4607426724017039E-3</v>
      </c>
      <c r="I4149" s="224" t="s">
        <v>2</v>
      </c>
    </row>
    <row r="4150" spans="1:9" x14ac:dyDescent="0.25">
      <c r="A4150" s="515">
        <v>27577</v>
      </c>
      <c r="B4150" s="515" t="s">
        <v>484</v>
      </c>
      <c r="C4150" s="52">
        <v>270916.62636475998</v>
      </c>
      <c r="D4150" s="56">
        <v>0.14344516988880104</v>
      </c>
      <c r="E4150" s="224">
        <v>1737.2222222222199</v>
      </c>
      <c r="F4150" s="515" t="s">
        <v>5446</v>
      </c>
      <c r="G4150" s="52">
        <v>323150.20330895798</v>
      </c>
      <c r="H4150" s="56">
        <v>4.8507940242096689E-2</v>
      </c>
      <c r="I4150" s="224" t="s">
        <v>2</v>
      </c>
    </row>
    <row r="4151" spans="1:9" x14ac:dyDescent="0.25">
      <c r="A4151" s="515">
        <v>86409</v>
      </c>
      <c r="B4151" s="515" t="s">
        <v>453</v>
      </c>
      <c r="C4151" s="52">
        <v>256113.998702871</v>
      </c>
      <c r="D4151" s="56">
        <v>5.9922517889425764E-2</v>
      </c>
      <c r="E4151" s="224" t="s">
        <v>2</v>
      </c>
      <c r="F4151" s="515" t="s">
        <v>641</v>
      </c>
      <c r="G4151" s="52">
        <v>349924.87160362501</v>
      </c>
      <c r="H4151" s="56">
        <v>0.13334262235636299</v>
      </c>
      <c r="I4151" s="224">
        <v>1025</v>
      </c>
    </row>
    <row r="4152" spans="1:9" x14ac:dyDescent="0.25">
      <c r="A4152" s="515">
        <v>24541</v>
      </c>
      <c r="B4152" s="515" t="s">
        <v>901</v>
      </c>
      <c r="C4152" s="52">
        <v>121904.26140159499</v>
      </c>
      <c r="D4152" s="56">
        <v>0.16580479150035368</v>
      </c>
      <c r="E4152" s="224" t="s">
        <v>2</v>
      </c>
      <c r="F4152" s="515" t="s">
        <v>5447</v>
      </c>
      <c r="G4152" s="52">
        <v>175267.12809404201</v>
      </c>
      <c r="H4152" s="56">
        <v>0.1158227121408805</v>
      </c>
      <c r="I4152" s="224" t="s">
        <v>2</v>
      </c>
    </row>
    <row r="4153" spans="1:9" x14ac:dyDescent="0.25">
      <c r="A4153" s="515">
        <v>77062</v>
      </c>
      <c r="B4153" s="515" t="s">
        <v>314</v>
      </c>
      <c r="C4153" s="52">
        <v>301548.04853986303</v>
      </c>
      <c r="D4153" s="56">
        <v>6.5678349577368136E-2</v>
      </c>
      <c r="E4153" s="224">
        <v>2040.5</v>
      </c>
      <c r="F4153" s="515" t="s">
        <v>5448</v>
      </c>
      <c r="G4153" s="52">
        <v>1714202.4664427401</v>
      </c>
      <c r="H4153" s="56">
        <v>8.1604053017769781E-2</v>
      </c>
      <c r="I4153" s="224">
        <v>3983.6666666666601</v>
      </c>
    </row>
    <row r="4154" spans="1:9" x14ac:dyDescent="0.25">
      <c r="A4154" s="515">
        <v>78363</v>
      </c>
      <c r="B4154" s="515" t="s">
        <v>886</v>
      </c>
      <c r="C4154" s="52">
        <v>125913.51988818</v>
      </c>
      <c r="D4154" s="56">
        <v>-7.4576314145822999E-4</v>
      </c>
      <c r="E4154" s="224" t="s">
        <v>2</v>
      </c>
      <c r="F4154" s="515" t="s">
        <v>5449</v>
      </c>
      <c r="G4154" s="52">
        <v>306821.220258986</v>
      </c>
      <c r="H4154" s="56">
        <v>5.7110281569921699E-2</v>
      </c>
      <c r="I4154" s="224" t="s">
        <v>2</v>
      </c>
    </row>
    <row r="4155" spans="1:9" x14ac:dyDescent="0.25">
      <c r="A4155" s="515">
        <v>27804</v>
      </c>
      <c r="B4155" s="515" t="s">
        <v>1152</v>
      </c>
      <c r="C4155" s="52">
        <v>206396.63315693199</v>
      </c>
      <c r="D4155" s="56">
        <v>0.15463444695033449</v>
      </c>
      <c r="E4155" s="224" t="s">
        <v>2</v>
      </c>
      <c r="F4155" s="515" t="s">
        <v>1005</v>
      </c>
      <c r="G4155" s="52">
        <v>146706.86112710301</v>
      </c>
      <c r="H4155" s="56">
        <v>8.7429274153355718E-2</v>
      </c>
      <c r="I4155" s="224" t="s">
        <v>2</v>
      </c>
    </row>
    <row r="4156" spans="1:9" x14ac:dyDescent="0.25">
      <c r="A4156" s="515">
        <v>48150</v>
      </c>
      <c r="B4156" s="515" t="s">
        <v>685</v>
      </c>
      <c r="C4156" s="52">
        <v>233640.17464387199</v>
      </c>
      <c r="D4156" s="56">
        <v>5.2319430916230487E-2</v>
      </c>
      <c r="E4156" s="224" t="s">
        <v>2</v>
      </c>
      <c r="F4156" s="515" t="s">
        <v>5450</v>
      </c>
      <c r="G4156" s="52">
        <v>355151.01175133401</v>
      </c>
      <c r="H4156" s="56">
        <v>7.4744679934995797E-2</v>
      </c>
      <c r="I4156" s="224" t="s">
        <v>2</v>
      </c>
    </row>
    <row r="4157" spans="1:9" x14ac:dyDescent="0.25">
      <c r="A4157" s="515">
        <v>43214</v>
      </c>
      <c r="B4157" s="515" t="s">
        <v>345</v>
      </c>
      <c r="C4157" s="52">
        <v>369364.73932925798</v>
      </c>
      <c r="D4157" s="56">
        <v>7.1740674004505164E-2</v>
      </c>
      <c r="E4157" s="224">
        <v>1517.5</v>
      </c>
      <c r="F4157" s="515" t="s">
        <v>5451</v>
      </c>
      <c r="G4157" s="52">
        <v>128918.487428464</v>
      </c>
      <c r="H4157" s="56">
        <v>0.14179360501989202</v>
      </c>
      <c r="I4157" s="224" t="s">
        <v>2</v>
      </c>
    </row>
    <row r="4158" spans="1:9" x14ac:dyDescent="0.25">
      <c r="A4158" s="515">
        <v>78239</v>
      </c>
      <c r="B4158" s="515" t="s">
        <v>717</v>
      </c>
      <c r="C4158" s="52">
        <v>234204.43236541201</v>
      </c>
      <c r="D4158" s="56">
        <v>8.7151789895260109E-2</v>
      </c>
      <c r="E4158" s="224">
        <v>1623.9166666666599</v>
      </c>
      <c r="F4158" s="515" t="s">
        <v>5452</v>
      </c>
      <c r="G4158" s="52">
        <v>90938.580490890497</v>
      </c>
      <c r="H4158" s="56">
        <v>0.12349643398010293</v>
      </c>
      <c r="I4158" s="224" t="s">
        <v>2</v>
      </c>
    </row>
    <row r="4159" spans="1:9" x14ac:dyDescent="0.25">
      <c r="A4159" s="515">
        <v>77478</v>
      </c>
      <c r="B4159" s="515" t="s">
        <v>314</v>
      </c>
      <c r="C4159" s="52">
        <v>399185.34140194801</v>
      </c>
      <c r="D4159" s="56">
        <v>7.3139803846705279E-2</v>
      </c>
      <c r="E4159" s="224">
        <v>1930.9523809523801</v>
      </c>
      <c r="F4159" s="515" t="s">
        <v>5453</v>
      </c>
      <c r="G4159" s="52">
        <v>399316.18407877203</v>
      </c>
      <c r="H4159" s="56">
        <v>6.3385721185219332E-2</v>
      </c>
      <c r="I4159" s="224" t="s">
        <v>2</v>
      </c>
    </row>
    <row r="4160" spans="1:9" x14ac:dyDescent="0.25">
      <c r="A4160" s="515">
        <v>95829</v>
      </c>
      <c r="B4160" s="515" t="s">
        <v>355</v>
      </c>
      <c r="C4160" s="52">
        <v>558512.99282416399</v>
      </c>
      <c r="D4160" s="56">
        <v>2.3335405466516534E-2</v>
      </c>
      <c r="E4160" s="224">
        <v>2375</v>
      </c>
      <c r="F4160" s="515" t="s">
        <v>5454</v>
      </c>
      <c r="G4160" s="52">
        <v>243673.407258867</v>
      </c>
      <c r="H4160" s="56">
        <v>5.072149201487907E-2</v>
      </c>
      <c r="I4160" s="224" t="s">
        <v>2</v>
      </c>
    </row>
    <row r="4161" spans="1:9" x14ac:dyDescent="0.25">
      <c r="A4161" s="515">
        <v>12303</v>
      </c>
      <c r="B4161" s="515" t="s">
        <v>609</v>
      </c>
      <c r="C4161" s="52">
        <v>244579.72962274399</v>
      </c>
      <c r="D4161" s="56">
        <v>4.6674113020403495E-2</v>
      </c>
      <c r="E4161" s="224">
        <v>1500</v>
      </c>
      <c r="F4161" s="515" t="s">
        <v>5455</v>
      </c>
      <c r="G4161" s="52">
        <v>92583.842445442599</v>
      </c>
      <c r="H4161" s="56">
        <v>8.067461295855155E-2</v>
      </c>
      <c r="I4161" s="224" t="s">
        <v>2</v>
      </c>
    </row>
    <row r="4162" spans="1:9" x14ac:dyDescent="0.25">
      <c r="A4162" s="515">
        <v>33569</v>
      </c>
      <c r="B4162" s="515" t="s">
        <v>461</v>
      </c>
      <c r="C4162" s="52">
        <v>398042.54490824102</v>
      </c>
      <c r="D4162" s="56">
        <v>0.10737009049169083</v>
      </c>
      <c r="E4162" s="224">
        <v>2417.2962962962902</v>
      </c>
      <c r="F4162" s="515" t="s">
        <v>5456</v>
      </c>
      <c r="G4162" s="52">
        <v>330877.09349423501</v>
      </c>
      <c r="H4162" s="56">
        <v>0.11488316692404352</v>
      </c>
      <c r="I4162" s="224" t="s">
        <v>2</v>
      </c>
    </row>
    <row r="4163" spans="1:9" x14ac:dyDescent="0.25">
      <c r="A4163" s="515">
        <v>6851</v>
      </c>
      <c r="B4163" s="515" t="s">
        <v>1173</v>
      </c>
      <c r="C4163" s="52">
        <v>521182.402394987</v>
      </c>
      <c r="D4163" s="56">
        <v>7.5927141953573529E-2</v>
      </c>
      <c r="E4163" s="224">
        <v>2798.7936507936502</v>
      </c>
      <c r="F4163" s="515" t="s">
        <v>483</v>
      </c>
      <c r="G4163" s="52">
        <v>51707.073656495901</v>
      </c>
      <c r="H4163" s="56">
        <v>2.3652490820812971E-2</v>
      </c>
      <c r="I4163" s="224" t="s">
        <v>2</v>
      </c>
    </row>
    <row r="4164" spans="1:9" x14ac:dyDescent="0.25">
      <c r="A4164" s="515">
        <v>47933</v>
      </c>
      <c r="B4164" s="515" t="s">
        <v>408</v>
      </c>
      <c r="C4164" s="52">
        <v>192889.95230196501</v>
      </c>
      <c r="D4164" s="56">
        <v>7.548054782092091E-2</v>
      </c>
      <c r="E4164" s="224">
        <v>857.66666666666595</v>
      </c>
      <c r="F4164" s="515" t="s">
        <v>5457</v>
      </c>
      <c r="G4164" s="52">
        <v>218020.93986379501</v>
      </c>
      <c r="H4164" s="56">
        <v>4.3641316495859311E-2</v>
      </c>
      <c r="I4164" s="224" t="s">
        <v>2</v>
      </c>
    </row>
    <row r="4165" spans="1:9" x14ac:dyDescent="0.25">
      <c r="A4165" s="515">
        <v>66215</v>
      </c>
      <c r="B4165" s="515" t="s">
        <v>455</v>
      </c>
      <c r="C4165" s="52">
        <v>331348.08748854999</v>
      </c>
      <c r="D4165" s="56">
        <v>6.2540817759843034E-2</v>
      </c>
      <c r="E4165" s="224">
        <v>1341.9851851851799</v>
      </c>
      <c r="F4165" s="515" t="s">
        <v>5458</v>
      </c>
      <c r="G4165" s="52">
        <v>336100.20393626601</v>
      </c>
      <c r="H4165" s="56">
        <v>4.5702678821442209E-2</v>
      </c>
      <c r="I4165" s="224" t="s">
        <v>2</v>
      </c>
    </row>
    <row r="4166" spans="1:9" x14ac:dyDescent="0.25">
      <c r="A4166" s="515">
        <v>21146</v>
      </c>
      <c r="B4166" s="515" t="s">
        <v>582</v>
      </c>
      <c r="C4166" s="52">
        <v>650137.08800894802</v>
      </c>
      <c r="D4166" s="56">
        <v>5.9730928580618854E-2</v>
      </c>
      <c r="E4166" s="224" t="s">
        <v>2</v>
      </c>
      <c r="F4166" s="515" t="s">
        <v>5459</v>
      </c>
      <c r="G4166" s="52">
        <v>332071.97907290602</v>
      </c>
      <c r="H4166" s="56">
        <v>6.7623627477613954E-2</v>
      </c>
      <c r="I4166" s="224" t="s">
        <v>2</v>
      </c>
    </row>
    <row r="4167" spans="1:9" x14ac:dyDescent="0.25">
      <c r="A4167" s="515">
        <v>81212</v>
      </c>
      <c r="B4167" s="515" t="s">
        <v>925</v>
      </c>
      <c r="C4167" s="52">
        <v>315971.32585691602</v>
      </c>
      <c r="D4167" s="56">
        <v>4.056620163736209E-2</v>
      </c>
      <c r="E4167" s="224" t="s">
        <v>2</v>
      </c>
      <c r="F4167" s="515" t="s">
        <v>5460</v>
      </c>
      <c r="G4167" s="52">
        <v>314215.99604961299</v>
      </c>
      <c r="H4167" s="56">
        <v>5.6527255370856684E-2</v>
      </c>
      <c r="I4167" s="224" t="s">
        <v>2</v>
      </c>
    </row>
    <row r="4168" spans="1:9" x14ac:dyDescent="0.25">
      <c r="A4168" s="515">
        <v>43220</v>
      </c>
      <c r="B4168" s="515" t="s">
        <v>345</v>
      </c>
      <c r="C4168" s="52">
        <v>382861.19377160602</v>
      </c>
      <c r="D4168" s="56">
        <v>8.4877591853356291E-2</v>
      </c>
      <c r="E4168" s="224">
        <v>1534.7777777777701</v>
      </c>
      <c r="F4168" s="515" t="s">
        <v>5461</v>
      </c>
      <c r="G4168" s="52">
        <v>440380.42735042702</v>
      </c>
      <c r="H4168" s="56">
        <v>0</v>
      </c>
      <c r="I4168" s="224" t="s">
        <v>2</v>
      </c>
    </row>
    <row r="4169" spans="1:9" x14ac:dyDescent="0.25">
      <c r="A4169" s="515">
        <v>55404</v>
      </c>
      <c r="B4169" s="515" t="s">
        <v>532</v>
      </c>
      <c r="C4169" s="52">
        <v>244331.97805621501</v>
      </c>
      <c r="D4169" s="56">
        <v>-3.9487143042132723E-2</v>
      </c>
      <c r="E4169" s="224">
        <v>1467.2441077440999</v>
      </c>
      <c r="F4169" s="515" t="s">
        <v>5462</v>
      </c>
      <c r="G4169" s="52">
        <v>193266.14720081299</v>
      </c>
      <c r="H4169" s="56">
        <v>5.8762816785666541E-2</v>
      </c>
      <c r="I4169" s="224" t="s">
        <v>2</v>
      </c>
    </row>
    <row r="4170" spans="1:9" x14ac:dyDescent="0.25">
      <c r="A4170" s="515">
        <v>27278</v>
      </c>
      <c r="B4170" s="515" t="s">
        <v>467</v>
      </c>
      <c r="C4170" s="52">
        <v>410338.21591971797</v>
      </c>
      <c r="D4170" s="56">
        <v>0.1260987671360064</v>
      </c>
      <c r="E4170" s="224">
        <v>1610.75</v>
      </c>
      <c r="F4170" s="515" t="s">
        <v>5463</v>
      </c>
      <c r="G4170" s="52">
        <v>141639.35024125301</v>
      </c>
      <c r="H4170" s="56">
        <v>8.947871285432199E-2</v>
      </c>
      <c r="I4170" s="224" t="s">
        <v>2</v>
      </c>
    </row>
    <row r="4171" spans="1:9" x14ac:dyDescent="0.25">
      <c r="A4171" s="515">
        <v>31324</v>
      </c>
      <c r="B4171" s="515" t="s">
        <v>351</v>
      </c>
      <c r="C4171" s="52">
        <v>370170.43739811401</v>
      </c>
      <c r="D4171" s="56">
        <v>0.1082411935698805</v>
      </c>
      <c r="E4171" s="224">
        <v>1912.9166666666599</v>
      </c>
      <c r="F4171" s="515" t="s">
        <v>5464</v>
      </c>
      <c r="G4171" s="52">
        <v>259584.94467339499</v>
      </c>
      <c r="H4171" s="56">
        <v>0.18178133542843028</v>
      </c>
      <c r="I4171" s="224" t="s">
        <v>2</v>
      </c>
    </row>
    <row r="4172" spans="1:9" x14ac:dyDescent="0.25">
      <c r="A4172" s="515">
        <v>32607</v>
      </c>
      <c r="B4172" s="515" t="s">
        <v>577</v>
      </c>
      <c r="C4172" s="52">
        <v>271185.18958162901</v>
      </c>
      <c r="D4172" s="56">
        <v>0.10082563336465396</v>
      </c>
      <c r="E4172" s="224">
        <v>1791.3531746031699</v>
      </c>
      <c r="F4172" s="515" t="s">
        <v>5465</v>
      </c>
      <c r="G4172" s="52">
        <v>275224.42053624598</v>
      </c>
      <c r="H4172" s="56">
        <v>4.6206658026824089E-2</v>
      </c>
      <c r="I4172" s="224" t="s">
        <v>2</v>
      </c>
    </row>
    <row r="4173" spans="1:9" x14ac:dyDescent="0.25">
      <c r="A4173" s="515">
        <v>85375</v>
      </c>
      <c r="B4173" s="515" t="s">
        <v>563</v>
      </c>
      <c r="C4173" s="52">
        <v>388027.275119233</v>
      </c>
      <c r="D4173" s="56">
        <v>3.9443320065991674E-2</v>
      </c>
      <c r="E4173" s="224">
        <v>1973.6111111111099</v>
      </c>
      <c r="F4173" s="515" t="s">
        <v>5466</v>
      </c>
      <c r="G4173" s="52">
        <v>224261.17670449999</v>
      </c>
      <c r="H4173" s="56">
        <v>3.2549351668313457E-2</v>
      </c>
      <c r="I4173" s="224" t="s">
        <v>2</v>
      </c>
    </row>
    <row r="4174" spans="1:9" x14ac:dyDescent="0.25">
      <c r="A4174" s="515">
        <v>29045</v>
      </c>
      <c r="B4174" s="515" t="s">
        <v>762</v>
      </c>
      <c r="C4174" s="52">
        <v>275837.56317635701</v>
      </c>
      <c r="D4174" s="56">
        <v>0.10567060745487682</v>
      </c>
      <c r="E4174" s="224">
        <v>1479.4666666666601</v>
      </c>
      <c r="F4174" s="515" t="s">
        <v>678</v>
      </c>
      <c r="G4174" s="52">
        <v>124516.25769826199</v>
      </c>
      <c r="H4174" s="56">
        <v>6.7772544156942019E-2</v>
      </c>
      <c r="I4174" s="224" t="s">
        <v>2</v>
      </c>
    </row>
    <row r="4175" spans="1:9" x14ac:dyDescent="0.25">
      <c r="A4175" s="515">
        <v>92860</v>
      </c>
      <c r="B4175" s="515" t="s">
        <v>599</v>
      </c>
      <c r="C4175" s="52">
        <v>773460.13777689403</v>
      </c>
      <c r="D4175" s="56">
        <v>6.3511292025521637E-2</v>
      </c>
      <c r="E4175" s="224" t="s">
        <v>2</v>
      </c>
      <c r="F4175" s="515" t="s">
        <v>5467</v>
      </c>
      <c r="G4175" s="52">
        <v>210410.889925325</v>
      </c>
      <c r="H4175" s="56">
        <v>2.1538189568352312E-2</v>
      </c>
      <c r="I4175" s="224" t="s">
        <v>2</v>
      </c>
    </row>
    <row r="4176" spans="1:9" x14ac:dyDescent="0.25">
      <c r="A4176" s="515">
        <v>60174</v>
      </c>
      <c r="B4176" s="515" t="s">
        <v>394</v>
      </c>
      <c r="C4176" s="52">
        <v>343528.46461581701</v>
      </c>
      <c r="D4176" s="56">
        <v>7.8562745446641283E-2</v>
      </c>
      <c r="E4176" s="224">
        <v>1857.1111111111099</v>
      </c>
      <c r="F4176" s="515" t="s">
        <v>5468</v>
      </c>
      <c r="G4176" s="52">
        <v>148172.710294816</v>
      </c>
      <c r="H4176" s="56">
        <v>6.2853028730536026E-2</v>
      </c>
      <c r="I4176" s="224" t="s">
        <v>2</v>
      </c>
    </row>
    <row r="4177" spans="1:9" x14ac:dyDescent="0.25">
      <c r="A4177" s="515">
        <v>33168</v>
      </c>
      <c r="B4177" s="515" t="s">
        <v>831</v>
      </c>
      <c r="C4177" s="52">
        <v>388294.47465998703</v>
      </c>
      <c r="D4177" s="56">
        <v>0.1713660614022183</v>
      </c>
      <c r="E4177" s="224" t="s">
        <v>2</v>
      </c>
      <c r="F4177" s="515" t="s">
        <v>5469</v>
      </c>
      <c r="G4177" s="52">
        <v>464010.33776297403</v>
      </c>
      <c r="H4177" s="56">
        <v>3.6866976416914915E-2</v>
      </c>
      <c r="I4177" s="224" t="s">
        <v>2</v>
      </c>
    </row>
    <row r="4178" spans="1:9" x14ac:dyDescent="0.25">
      <c r="A4178" s="515">
        <v>16510</v>
      </c>
      <c r="B4178" s="515" t="s">
        <v>753</v>
      </c>
      <c r="C4178" s="52">
        <v>159854.56136595001</v>
      </c>
      <c r="D4178" s="56">
        <v>9.3991005743499501E-2</v>
      </c>
      <c r="E4178" s="224" t="s">
        <v>2</v>
      </c>
      <c r="F4178" s="515" t="s">
        <v>5470</v>
      </c>
      <c r="G4178" s="52">
        <v>188656.821209252</v>
      </c>
      <c r="H4178" s="56">
        <v>8.8035468997966021E-2</v>
      </c>
      <c r="I4178" s="224" t="s">
        <v>2</v>
      </c>
    </row>
    <row r="4179" spans="1:9" x14ac:dyDescent="0.25">
      <c r="A4179" s="515">
        <v>7675</v>
      </c>
      <c r="B4179" s="515" t="s">
        <v>324</v>
      </c>
      <c r="C4179" s="52">
        <v>663833.60299929196</v>
      </c>
      <c r="D4179" s="56">
        <v>3.4898471160944695E-2</v>
      </c>
      <c r="E4179" s="224">
        <v>2266</v>
      </c>
      <c r="F4179" s="515" t="s">
        <v>5471</v>
      </c>
      <c r="G4179" s="52">
        <v>248395.04092650901</v>
      </c>
      <c r="H4179" s="56">
        <v>4.3601699845623849E-2</v>
      </c>
      <c r="I4179" s="224">
        <v>1382.3333333333301</v>
      </c>
    </row>
    <row r="4180" spans="1:9" x14ac:dyDescent="0.25">
      <c r="A4180" s="515">
        <v>36526</v>
      </c>
      <c r="B4180" s="515" t="s">
        <v>488</v>
      </c>
      <c r="C4180" s="52">
        <v>303947.77190712799</v>
      </c>
      <c r="D4180" s="56">
        <v>8.4029878935936664E-2</v>
      </c>
      <c r="E4180" s="224">
        <v>1473.66951566951</v>
      </c>
      <c r="F4180" s="515" t="s">
        <v>5472</v>
      </c>
      <c r="G4180" s="52">
        <v>543702.30384838197</v>
      </c>
      <c r="H4180" s="56">
        <v>9.8819327383293035E-3</v>
      </c>
      <c r="I4180" s="224">
        <v>1622.2222222222199</v>
      </c>
    </row>
    <row r="4181" spans="1:9" x14ac:dyDescent="0.25">
      <c r="A4181" s="515">
        <v>60467</v>
      </c>
      <c r="B4181" s="515" t="s">
        <v>394</v>
      </c>
      <c r="C4181" s="52">
        <v>394598.85694467998</v>
      </c>
      <c r="D4181" s="56">
        <v>4.4898339886110805E-2</v>
      </c>
      <c r="E4181" s="224" t="s">
        <v>2</v>
      </c>
      <c r="F4181" s="515" t="s">
        <v>5473</v>
      </c>
      <c r="G4181" s="52">
        <v>383104.40436011401</v>
      </c>
      <c r="H4181" s="56">
        <v>6.2056716740858588E-2</v>
      </c>
      <c r="I4181" s="224">
        <v>1525</v>
      </c>
    </row>
    <row r="4182" spans="1:9" x14ac:dyDescent="0.25">
      <c r="A4182" s="515">
        <v>64093</v>
      </c>
      <c r="B4182" s="515" t="s">
        <v>1047</v>
      </c>
      <c r="C4182" s="52">
        <v>226557.22986432299</v>
      </c>
      <c r="D4182" s="56">
        <v>3.8985605684635327E-2</v>
      </c>
      <c r="E4182" s="224">
        <v>870.47619047619003</v>
      </c>
      <c r="F4182" s="515" t="s">
        <v>5474</v>
      </c>
      <c r="G4182" s="52">
        <v>170968.30911156</v>
      </c>
      <c r="H4182" s="56">
        <v>8.4298686101730039E-2</v>
      </c>
      <c r="I4182" s="224" t="s">
        <v>2</v>
      </c>
    </row>
    <row r="4183" spans="1:9" x14ac:dyDescent="0.25">
      <c r="A4183" s="515">
        <v>55014</v>
      </c>
      <c r="B4183" s="515" t="s">
        <v>532</v>
      </c>
      <c r="C4183" s="52">
        <v>339849.13536615501</v>
      </c>
      <c r="D4183" s="56">
        <v>3.2229383337082897E-2</v>
      </c>
      <c r="E4183" s="224">
        <v>1516</v>
      </c>
      <c r="F4183" s="515" t="s">
        <v>5475</v>
      </c>
      <c r="G4183" s="52">
        <v>156693.25941243599</v>
      </c>
      <c r="H4183" s="56">
        <v>2.8668199210573557E-2</v>
      </c>
      <c r="I4183" s="224" t="s">
        <v>2</v>
      </c>
    </row>
    <row r="4184" spans="1:9" x14ac:dyDescent="0.25">
      <c r="A4184" s="515">
        <v>28086</v>
      </c>
      <c r="B4184" s="515" t="s">
        <v>310</v>
      </c>
      <c r="C4184" s="52">
        <v>198060.34276006301</v>
      </c>
      <c r="D4184" s="56">
        <v>0.156142705836115</v>
      </c>
      <c r="E4184" s="224" t="s">
        <v>2</v>
      </c>
      <c r="F4184" s="515" t="s">
        <v>5476</v>
      </c>
      <c r="G4184" s="52">
        <v>332584.49195407599</v>
      </c>
      <c r="H4184" s="56">
        <v>2.818075819442081E-2</v>
      </c>
      <c r="I4184" s="224" t="s">
        <v>2</v>
      </c>
    </row>
    <row r="4185" spans="1:9" x14ac:dyDescent="0.25">
      <c r="A4185" s="515">
        <v>80247</v>
      </c>
      <c r="B4185" s="515" t="s">
        <v>401</v>
      </c>
      <c r="C4185" s="52">
        <v>304949.42949078802</v>
      </c>
      <c r="D4185" s="56">
        <v>6.4295222740487171E-2</v>
      </c>
      <c r="E4185" s="224">
        <v>1958.10358024691</v>
      </c>
      <c r="F4185" s="515" t="s">
        <v>5477</v>
      </c>
      <c r="G4185" s="52">
        <v>333406.78839245701</v>
      </c>
      <c r="H4185" s="56">
        <v>3.476459371176753E-2</v>
      </c>
      <c r="I4185" s="224" t="s">
        <v>2</v>
      </c>
    </row>
    <row r="4186" spans="1:9" x14ac:dyDescent="0.25">
      <c r="A4186" s="515">
        <v>11570</v>
      </c>
      <c r="B4186" s="515" t="s">
        <v>324</v>
      </c>
      <c r="C4186" s="52">
        <v>813107.69058476598</v>
      </c>
      <c r="D4186" s="56">
        <v>3.4622183656159281E-2</v>
      </c>
      <c r="E4186" s="224">
        <v>3400</v>
      </c>
      <c r="F4186" s="515" t="s">
        <v>5478</v>
      </c>
      <c r="G4186" s="52">
        <v>146304.88207047299</v>
      </c>
      <c r="H4186" s="56">
        <v>3.7713136374441306E-2</v>
      </c>
      <c r="I4186" s="224" t="s">
        <v>2</v>
      </c>
    </row>
    <row r="4187" spans="1:9" x14ac:dyDescent="0.25">
      <c r="A4187" s="515">
        <v>94510</v>
      </c>
      <c r="B4187" s="515" t="s">
        <v>835</v>
      </c>
      <c r="C4187" s="52">
        <v>765009.87037405104</v>
      </c>
      <c r="D4187" s="56">
        <v>1.8113716068213766E-2</v>
      </c>
      <c r="E4187" s="224">
        <v>2505.3928571428501</v>
      </c>
      <c r="F4187" s="515" t="s">
        <v>5479</v>
      </c>
      <c r="G4187" s="52">
        <v>357420.601889126</v>
      </c>
      <c r="H4187" s="56">
        <v>0.11294503017934029</v>
      </c>
      <c r="I4187" s="224" t="s">
        <v>2</v>
      </c>
    </row>
    <row r="4188" spans="1:9" x14ac:dyDescent="0.25">
      <c r="A4188" s="515">
        <v>7013</v>
      </c>
      <c r="B4188" s="515" t="s">
        <v>324</v>
      </c>
      <c r="C4188" s="52">
        <v>486053.52179550601</v>
      </c>
      <c r="D4188" s="56">
        <v>5.3380451678403044E-2</v>
      </c>
      <c r="E4188" s="224">
        <v>2200</v>
      </c>
      <c r="F4188" s="515" t="s">
        <v>1070</v>
      </c>
      <c r="G4188" s="52">
        <v>121873.15127782201</v>
      </c>
      <c r="H4188" s="56">
        <v>3.2482042117992597E-2</v>
      </c>
      <c r="I4188" s="224" t="s">
        <v>2</v>
      </c>
    </row>
    <row r="4189" spans="1:9" x14ac:dyDescent="0.25">
      <c r="A4189" s="515">
        <v>47303</v>
      </c>
      <c r="B4189" s="515" t="s">
        <v>1154</v>
      </c>
      <c r="C4189" s="52">
        <v>114179.33453356101</v>
      </c>
      <c r="D4189" s="56">
        <v>0.1113083599798893</v>
      </c>
      <c r="E4189" s="224">
        <v>1026.0185185185101</v>
      </c>
      <c r="F4189" s="515" t="s">
        <v>5480</v>
      </c>
      <c r="G4189" s="52">
        <v>522827.66099613602</v>
      </c>
      <c r="H4189" s="56">
        <v>4.8563653198616136E-2</v>
      </c>
      <c r="I4189" s="224">
        <v>2000</v>
      </c>
    </row>
    <row r="4190" spans="1:9" x14ac:dyDescent="0.25">
      <c r="A4190" s="515">
        <v>60156</v>
      </c>
      <c r="B4190" s="515" t="s">
        <v>394</v>
      </c>
      <c r="C4190" s="52">
        <v>299725.449965504</v>
      </c>
      <c r="D4190" s="56">
        <v>8.002654928176417E-2</v>
      </c>
      <c r="E4190" s="224">
        <v>2124.5</v>
      </c>
      <c r="F4190" s="515" t="s">
        <v>5481</v>
      </c>
      <c r="G4190" s="52">
        <v>674584.35945772205</v>
      </c>
      <c r="H4190" s="56">
        <v>2.5204075862255568E-2</v>
      </c>
      <c r="I4190" s="224" t="s">
        <v>2</v>
      </c>
    </row>
    <row r="4191" spans="1:9" x14ac:dyDescent="0.25">
      <c r="A4191" s="515">
        <v>1880</v>
      </c>
      <c r="B4191" s="515" t="s">
        <v>534</v>
      </c>
      <c r="C4191" s="52">
        <v>669910.99352617899</v>
      </c>
      <c r="D4191" s="56">
        <v>4.9551259082664154E-2</v>
      </c>
      <c r="E4191" s="224">
        <v>2705.3333333333298</v>
      </c>
      <c r="F4191" s="515" t="s">
        <v>5482</v>
      </c>
      <c r="G4191" s="52">
        <v>345656.97259756399</v>
      </c>
      <c r="H4191" s="56">
        <v>-8.8482895307523166E-2</v>
      </c>
      <c r="I4191" s="224" t="s">
        <v>2</v>
      </c>
    </row>
    <row r="4192" spans="1:9" x14ac:dyDescent="0.25">
      <c r="A4192" s="515">
        <v>2889</v>
      </c>
      <c r="B4192" s="515" t="s">
        <v>513</v>
      </c>
      <c r="C4192" s="52">
        <v>327125.68810951902</v>
      </c>
      <c r="D4192" s="56">
        <v>9.0525472892249978E-2</v>
      </c>
      <c r="E4192" s="224" t="s">
        <v>2</v>
      </c>
      <c r="F4192" s="515" t="s">
        <v>5483</v>
      </c>
      <c r="G4192" s="52">
        <v>309428.63614791801</v>
      </c>
      <c r="H4192" s="56">
        <v>0.29613135717935174</v>
      </c>
      <c r="I4192" s="224" t="s">
        <v>2</v>
      </c>
    </row>
    <row r="4193" spans="1:9" x14ac:dyDescent="0.25">
      <c r="A4193" s="515">
        <v>41011</v>
      </c>
      <c r="B4193" s="515" t="s">
        <v>344</v>
      </c>
      <c r="C4193" s="52">
        <v>233343.766412389</v>
      </c>
      <c r="D4193" s="56">
        <v>9.7293461197128409E-2</v>
      </c>
      <c r="E4193" s="224">
        <v>1493.9861111111099</v>
      </c>
      <c r="F4193" s="515" t="s">
        <v>5484</v>
      </c>
      <c r="G4193" s="52">
        <v>691793.39410934295</v>
      </c>
      <c r="H4193" s="56">
        <v>3.6446174636364313E-2</v>
      </c>
      <c r="I4193" s="224" t="s">
        <v>2</v>
      </c>
    </row>
    <row r="4194" spans="1:9" x14ac:dyDescent="0.25">
      <c r="A4194" s="515">
        <v>45042</v>
      </c>
      <c r="B4194" s="515" t="s">
        <v>344</v>
      </c>
      <c r="C4194" s="52">
        <v>191016.30741995</v>
      </c>
      <c r="D4194" s="56">
        <v>6.8661467419328701E-2</v>
      </c>
      <c r="E4194" s="224" t="s">
        <v>2</v>
      </c>
      <c r="F4194" s="515" t="s">
        <v>5485</v>
      </c>
      <c r="G4194" s="52">
        <v>298457.44192996598</v>
      </c>
      <c r="H4194" s="56">
        <v>8.53919863293085E-2</v>
      </c>
      <c r="I4194" s="224" t="s">
        <v>2</v>
      </c>
    </row>
    <row r="4195" spans="1:9" x14ac:dyDescent="0.25">
      <c r="A4195" s="515">
        <v>49444</v>
      </c>
      <c r="B4195" s="515" t="s">
        <v>943</v>
      </c>
      <c r="C4195" s="52">
        <v>135921.70446082999</v>
      </c>
      <c r="D4195" s="56">
        <v>0.11078531488194504</v>
      </c>
      <c r="E4195" s="224" t="s">
        <v>2</v>
      </c>
      <c r="F4195" s="515" t="s">
        <v>5486</v>
      </c>
      <c r="G4195" s="52">
        <v>681656.69463496504</v>
      </c>
      <c r="H4195" s="56">
        <v>3.6853392197433513E-2</v>
      </c>
      <c r="I4195" s="224" t="s">
        <v>2</v>
      </c>
    </row>
    <row r="4196" spans="1:9" x14ac:dyDescent="0.25">
      <c r="A4196" s="515">
        <v>33629</v>
      </c>
      <c r="B4196" s="515" t="s">
        <v>461</v>
      </c>
      <c r="C4196" s="52">
        <v>903622.65466253005</v>
      </c>
      <c r="D4196" s="56">
        <v>0.13366194229074202</v>
      </c>
      <c r="E4196" s="224">
        <v>2633.48809523809</v>
      </c>
      <c r="F4196" s="515" t="s">
        <v>5487</v>
      </c>
      <c r="G4196" s="52">
        <v>512707.62321172998</v>
      </c>
      <c r="H4196" s="56">
        <v>6.1130566183060314E-2</v>
      </c>
      <c r="I4196" s="224" t="s">
        <v>2</v>
      </c>
    </row>
    <row r="4197" spans="1:9" x14ac:dyDescent="0.25">
      <c r="A4197" s="515">
        <v>7920</v>
      </c>
      <c r="B4197" s="515" t="s">
        <v>324</v>
      </c>
      <c r="C4197" s="52">
        <v>713275.74844277895</v>
      </c>
      <c r="D4197" s="56">
        <v>5.4969343980733734E-2</v>
      </c>
      <c r="E4197" s="224" t="s">
        <v>2</v>
      </c>
      <c r="F4197" s="515" t="s">
        <v>5488</v>
      </c>
      <c r="G4197" s="52">
        <v>512088.41026907502</v>
      </c>
      <c r="H4197" s="56">
        <v>4.7740915392751639E-3</v>
      </c>
      <c r="I4197" s="224" t="s">
        <v>2</v>
      </c>
    </row>
    <row r="4198" spans="1:9" x14ac:dyDescent="0.25">
      <c r="A4198" s="515">
        <v>75240</v>
      </c>
      <c r="B4198" s="515" t="s">
        <v>458</v>
      </c>
      <c r="C4198" s="52">
        <v>388505.25506431598</v>
      </c>
      <c r="D4198" s="56">
        <v>8.3880770451440739E-2</v>
      </c>
      <c r="E4198" s="224">
        <v>1749.05224867724</v>
      </c>
      <c r="F4198" s="515" t="s">
        <v>5489</v>
      </c>
      <c r="G4198" s="52">
        <v>437313.42119901098</v>
      </c>
      <c r="H4198" s="56">
        <v>8.0271080990315144E-2</v>
      </c>
      <c r="I4198" s="224" t="s">
        <v>2</v>
      </c>
    </row>
    <row r="4199" spans="1:9" x14ac:dyDescent="0.25">
      <c r="A4199" s="515">
        <v>91945</v>
      </c>
      <c r="B4199" s="515" t="s">
        <v>396</v>
      </c>
      <c r="C4199" s="52">
        <v>655677.25719605398</v>
      </c>
      <c r="D4199" s="56">
        <v>5.1930411698321341E-2</v>
      </c>
      <c r="E4199" s="224">
        <v>2447.5</v>
      </c>
      <c r="F4199" s="515" t="s">
        <v>5490</v>
      </c>
      <c r="G4199" s="52">
        <v>103297.637620906</v>
      </c>
      <c r="H4199" s="56">
        <v>0.11611324368070894</v>
      </c>
      <c r="I4199" s="224" t="s">
        <v>2</v>
      </c>
    </row>
    <row r="4200" spans="1:9" x14ac:dyDescent="0.25">
      <c r="A4200" s="515">
        <v>94607</v>
      </c>
      <c r="B4200" s="515" t="s">
        <v>593</v>
      </c>
      <c r="C4200" s="52">
        <v>622999.09576618799</v>
      </c>
      <c r="D4200" s="56">
        <v>-9.317977934500371E-2</v>
      </c>
      <c r="E4200" s="224">
        <v>2874.4038883265798</v>
      </c>
      <c r="F4200" s="515" t="s">
        <v>5491</v>
      </c>
      <c r="G4200" s="52">
        <v>219658.80098346001</v>
      </c>
      <c r="H4200" s="56">
        <v>2.424357777886315E-2</v>
      </c>
      <c r="I4200" s="224" t="s">
        <v>2</v>
      </c>
    </row>
    <row r="4201" spans="1:9" x14ac:dyDescent="0.25">
      <c r="A4201" s="515">
        <v>33584</v>
      </c>
      <c r="B4201" s="515" t="s">
        <v>461</v>
      </c>
      <c r="C4201" s="52">
        <v>337303.14483429102</v>
      </c>
      <c r="D4201" s="56">
        <v>9.2937424376930033E-2</v>
      </c>
      <c r="E4201" s="224">
        <v>2306.4722222222199</v>
      </c>
      <c r="F4201" s="515" t="s">
        <v>5492</v>
      </c>
      <c r="G4201" s="52">
        <v>435305.76707910199</v>
      </c>
      <c r="H4201" s="56">
        <v>4.4842214800388483E-2</v>
      </c>
      <c r="I4201" s="224" t="s">
        <v>2</v>
      </c>
    </row>
    <row r="4202" spans="1:9" x14ac:dyDescent="0.25">
      <c r="A4202" s="515">
        <v>80214</v>
      </c>
      <c r="B4202" s="515" t="s">
        <v>401</v>
      </c>
      <c r="C4202" s="52">
        <v>550791.80222918303</v>
      </c>
      <c r="D4202" s="56">
        <v>2.2978864060758077E-2</v>
      </c>
      <c r="E4202" s="224">
        <v>1730.14176885916</v>
      </c>
      <c r="F4202" s="515" t="s">
        <v>5493</v>
      </c>
      <c r="G4202" s="52">
        <v>407295.31803555298</v>
      </c>
      <c r="H4202" s="56">
        <v>3.6607256833017833E-2</v>
      </c>
      <c r="I4202" s="224">
        <v>1827.6666666666599</v>
      </c>
    </row>
    <row r="4203" spans="1:9" x14ac:dyDescent="0.25">
      <c r="A4203" s="515">
        <v>99801</v>
      </c>
      <c r="B4203" s="515" t="s">
        <v>1143</v>
      </c>
      <c r="C4203" s="52">
        <v>459928.47880571702</v>
      </c>
      <c r="D4203" s="56">
        <v>1.2914813311730243E-2</v>
      </c>
      <c r="E4203" s="224" t="s">
        <v>2</v>
      </c>
      <c r="F4203" s="515" t="s">
        <v>5494</v>
      </c>
      <c r="G4203" s="52">
        <v>222999.846786815</v>
      </c>
      <c r="H4203" s="56">
        <v>0.14880563576945607</v>
      </c>
      <c r="I4203" s="224" t="s">
        <v>2</v>
      </c>
    </row>
    <row r="4204" spans="1:9" x14ac:dyDescent="0.25">
      <c r="A4204" s="515">
        <v>45244</v>
      </c>
      <c r="B4204" s="515" t="s">
        <v>344</v>
      </c>
      <c r="C4204" s="52">
        <v>332320.33953359601</v>
      </c>
      <c r="D4204" s="56">
        <v>6.1535195584739605E-2</v>
      </c>
      <c r="E4204" s="224">
        <v>1582</v>
      </c>
      <c r="F4204" s="515" t="s">
        <v>5495</v>
      </c>
      <c r="G4204" s="52">
        <v>287034.79053250101</v>
      </c>
      <c r="H4204" s="56">
        <v>6.7541701436194201E-2</v>
      </c>
      <c r="I4204" s="224" t="s">
        <v>2</v>
      </c>
    </row>
    <row r="4205" spans="1:9" x14ac:dyDescent="0.25">
      <c r="A4205" s="515">
        <v>28328</v>
      </c>
      <c r="C4205" s="52">
        <v>122145.50410082701</v>
      </c>
      <c r="D4205" s="56">
        <v>0.19975728953674013</v>
      </c>
      <c r="E4205" s="224" t="s">
        <v>2</v>
      </c>
      <c r="F4205" s="515" t="s">
        <v>5496</v>
      </c>
      <c r="G4205" s="52">
        <v>424389.40018774202</v>
      </c>
      <c r="H4205" s="56">
        <v>6.6819863777147354E-2</v>
      </c>
      <c r="I4205" s="224" t="s">
        <v>2</v>
      </c>
    </row>
    <row r="4206" spans="1:9" x14ac:dyDescent="0.25">
      <c r="A4206" s="515">
        <v>91364</v>
      </c>
      <c r="B4206" s="515" t="s">
        <v>375</v>
      </c>
      <c r="C4206" s="52">
        <v>1207232.94693788</v>
      </c>
      <c r="D4206" s="56">
        <v>8.001340714117057E-2</v>
      </c>
      <c r="E4206" s="224">
        <v>3353.9166666666601</v>
      </c>
      <c r="F4206" s="515" t="s">
        <v>5497</v>
      </c>
      <c r="G4206" s="52">
        <v>204292.15975998199</v>
      </c>
      <c r="H4206" s="56">
        <v>0.13667919936986583</v>
      </c>
      <c r="I4206" s="224" t="s">
        <v>2</v>
      </c>
    </row>
    <row r="4207" spans="1:9" x14ac:dyDescent="0.25">
      <c r="A4207" s="515">
        <v>59404</v>
      </c>
      <c r="B4207" s="515" t="s">
        <v>373</v>
      </c>
      <c r="C4207" s="52">
        <v>326560.39018685097</v>
      </c>
      <c r="D4207" s="56">
        <v>7.4347844899134416E-2</v>
      </c>
      <c r="E4207" s="224" t="s">
        <v>2</v>
      </c>
      <c r="F4207" s="515" t="s">
        <v>5498</v>
      </c>
      <c r="G4207" s="52">
        <v>256247.47545657301</v>
      </c>
      <c r="H4207" s="56">
        <v>0.13210738727441612</v>
      </c>
      <c r="I4207" s="224">
        <v>1894.9166666666599</v>
      </c>
    </row>
    <row r="4208" spans="1:9" x14ac:dyDescent="0.25">
      <c r="A4208" s="515">
        <v>75702</v>
      </c>
      <c r="B4208" s="515" t="s">
        <v>1157</v>
      </c>
      <c r="C4208" s="52"/>
      <c r="D4208" s="56">
        <v>0</v>
      </c>
      <c r="E4208" s="224" t="s">
        <v>2</v>
      </c>
      <c r="F4208" s="515" t="s">
        <v>5499</v>
      </c>
      <c r="G4208" s="52">
        <v>330487.80371592898</v>
      </c>
      <c r="H4208" s="56">
        <v>7.6989640559898917E-2</v>
      </c>
      <c r="I4208" s="224" t="s">
        <v>2</v>
      </c>
    </row>
    <row r="4209" spans="1:9" x14ac:dyDescent="0.25">
      <c r="A4209" s="515">
        <v>98665</v>
      </c>
      <c r="B4209" s="515" t="s">
        <v>659</v>
      </c>
      <c r="C4209" s="52">
        <v>457166.43985818297</v>
      </c>
      <c r="D4209" s="56">
        <v>4.3141916865717354E-2</v>
      </c>
      <c r="E4209" s="224">
        <v>1949.2658730158701</v>
      </c>
      <c r="F4209" s="515" t="s">
        <v>5500</v>
      </c>
      <c r="G4209" s="52">
        <v>195182.12298593501</v>
      </c>
      <c r="H4209" s="56">
        <v>6.4026790139890044E-2</v>
      </c>
      <c r="I4209" s="224" t="s">
        <v>2</v>
      </c>
    </row>
    <row r="4210" spans="1:9" x14ac:dyDescent="0.25">
      <c r="A4210" s="515">
        <v>32905</v>
      </c>
      <c r="B4210" s="515" t="s">
        <v>1133</v>
      </c>
      <c r="C4210" s="52">
        <v>243371.70386329701</v>
      </c>
      <c r="D4210" s="56">
        <v>0.16179141018882665</v>
      </c>
      <c r="E4210" s="224">
        <v>1670.2301587301499</v>
      </c>
      <c r="F4210" s="515" t="s">
        <v>5501</v>
      </c>
      <c r="G4210" s="52">
        <v>516809.22939068102</v>
      </c>
      <c r="H4210" s="56">
        <v>0</v>
      </c>
      <c r="I4210" s="224" t="s">
        <v>2</v>
      </c>
    </row>
    <row r="4211" spans="1:9" x14ac:dyDescent="0.25">
      <c r="A4211" s="515">
        <v>77662</v>
      </c>
      <c r="B4211" s="515" t="s">
        <v>492</v>
      </c>
      <c r="C4211" s="52">
        <v>151852.73381313801</v>
      </c>
      <c r="D4211" s="56">
        <v>-1.484372644584828E-2</v>
      </c>
      <c r="E4211" s="224" t="s">
        <v>2</v>
      </c>
      <c r="F4211" s="515" t="s">
        <v>5502</v>
      </c>
      <c r="G4211" s="52">
        <v>373017.70017270098</v>
      </c>
      <c r="H4211" s="56">
        <v>2.3377962165132337E-2</v>
      </c>
      <c r="I4211" s="224" t="s">
        <v>2</v>
      </c>
    </row>
    <row r="4212" spans="1:9" x14ac:dyDescent="0.25">
      <c r="A4212" s="515">
        <v>37379</v>
      </c>
      <c r="B4212" s="515" t="s">
        <v>622</v>
      </c>
      <c r="C4212" s="52">
        <v>294280.14181227499</v>
      </c>
      <c r="D4212" s="56">
        <v>7.1923747667999249E-2</v>
      </c>
      <c r="E4212" s="224" t="s">
        <v>2</v>
      </c>
      <c r="F4212" s="515" t="s">
        <v>5503</v>
      </c>
      <c r="G4212" s="52">
        <v>207325.261844775</v>
      </c>
      <c r="H4212" s="56">
        <v>0.11913559359484442</v>
      </c>
      <c r="I4212" s="224" t="s">
        <v>2</v>
      </c>
    </row>
    <row r="4213" spans="1:9" x14ac:dyDescent="0.25">
      <c r="A4213" s="515">
        <v>7748</v>
      </c>
      <c r="B4213" s="515" t="s">
        <v>324</v>
      </c>
      <c r="C4213" s="52">
        <v>586537.01131167705</v>
      </c>
      <c r="D4213" s="56">
        <v>7.2125967738092531E-2</v>
      </c>
      <c r="E4213" s="224" t="s">
        <v>2</v>
      </c>
      <c r="F4213" s="515" t="s">
        <v>5504</v>
      </c>
      <c r="G4213" s="52">
        <v>260907.25004082001</v>
      </c>
      <c r="H4213" s="56">
        <v>0.14581765888513742</v>
      </c>
      <c r="I4213" s="224" t="s">
        <v>2</v>
      </c>
    </row>
    <row r="4214" spans="1:9" x14ac:dyDescent="0.25">
      <c r="A4214" s="515">
        <v>19133</v>
      </c>
      <c r="B4214" s="515" t="s">
        <v>294</v>
      </c>
      <c r="C4214" s="52">
        <v>68154.013325276304</v>
      </c>
      <c r="D4214" s="56">
        <v>0.36645931274015264</v>
      </c>
      <c r="E4214" s="224">
        <v>1258.88888888888</v>
      </c>
      <c r="F4214" s="515" t="s">
        <v>5505</v>
      </c>
      <c r="G4214" s="52">
        <v>169271.42604282999</v>
      </c>
      <c r="H4214" s="56">
        <v>3.0005977539301589E-2</v>
      </c>
      <c r="I4214" s="224" t="s">
        <v>2</v>
      </c>
    </row>
    <row r="4215" spans="1:9" x14ac:dyDescent="0.25">
      <c r="A4215" s="515">
        <v>22406</v>
      </c>
      <c r="B4215" s="515" t="s">
        <v>321</v>
      </c>
      <c r="C4215" s="52">
        <v>500132.45796377398</v>
      </c>
      <c r="D4215" s="56">
        <v>3.9915202049269655E-2</v>
      </c>
      <c r="E4215" s="224" t="s">
        <v>2</v>
      </c>
      <c r="F4215" s="515" t="s">
        <v>5506</v>
      </c>
      <c r="G4215" s="52">
        <v>308146.18486680998</v>
      </c>
      <c r="H4215" s="56">
        <v>0.10214282793512426</v>
      </c>
      <c r="I4215" s="224" t="s">
        <v>2</v>
      </c>
    </row>
    <row r="4216" spans="1:9" x14ac:dyDescent="0.25">
      <c r="A4216" s="515">
        <v>11416</v>
      </c>
      <c r="B4216" s="515" t="s">
        <v>324</v>
      </c>
      <c r="C4216" s="52">
        <v>653932.61380382802</v>
      </c>
      <c r="D4216" s="56">
        <v>2.6139161591194213E-2</v>
      </c>
      <c r="E4216" s="224" t="s">
        <v>2</v>
      </c>
      <c r="F4216" s="515" t="s">
        <v>5507</v>
      </c>
      <c r="G4216" s="52">
        <v>415837.623070981</v>
      </c>
      <c r="H4216" s="56">
        <v>6.9871875467371433E-2</v>
      </c>
      <c r="I4216" s="224" t="s">
        <v>2</v>
      </c>
    </row>
    <row r="4217" spans="1:9" x14ac:dyDescent="0.25">
      <c r="A4217" s="515">
        <v>97225</v>
      </c>
      <c r="B4217" s="515" t="s">
        <v>659</v>
      </c>
      <c r="C4217" s="52">
        <v>717458.10062327504</v>
      </c>
      <c r="D4217" s="56">
        <v>4.610615122658341E-2</v>
      </c>
      <c r="E4217" s="224">
        <v>1816.37407407407</v>
      </c>
      <c r="F4217" s="515" t="s">
        <v>5508</v>
      </c>
      <c r="G4217" s="52">
        <v>995945.56324896601</v>
      </c>
      <c r="H4217" s="56">
        <v>6.8607837932467206E-2</v>
      </c>
      <c r="I4217" s="224" t="s">
        <v>2</v>
      </c>
    </row>
    <row r="4218" spans="1:9" x14ac:dyDescent="0.25">
      <c r="A4218" s="515">
        <v>4901</v>
      </c>
      <c r="B4218" s="515" t="s">
        <v>848</v>
      </c>
      <c r="C4218" s="52">
        <v>219269.32188363399</v>
      </c>
      <c r="D4218" s="56">
        <v>0.115795178798658</v>
      </c>
      <c r="E4218" s="224">
        <v>1205</v>
      </c>
      <c r="F4218" s="515" t="s">
        <v>5509</v>
      </c>
      <c r="G4218" s="52">
        <v>583912.82011470199</v>
      </c>
      <c r="H4218" s="56">
        <v>7.1043125672438728E-2</v>
      </c>
      <c r="I4218" s="224" t="s">
        <v>2</v>
      </c>
    </row>
    <row r="4219" spans="1:9" x14ac:dyDescent="0.25">
      <c r="A4219" s="515">
        <v>70592</v>
      </c>
      <c r="B4219" s="515" t="s">
        <v>1004</v>
      </c>
      <c r="C4219" s="52">
        <v>255072.95253069999</v>
      </c>
      <c r="D4219" s="56">
        <v>4.6131265481197059E-2</v>
      </c>
      <c r="E4219" s="224" t="s">
        <v>2</v>
      </c>
      <c r="F4219" s="515" t="s">
        <v>481</v>
      </c>
      <c r="G4219" s="52">
        <v>387337.21938558097</v>
      </c>
      <c r="H4219" s="56">
        <v>3.6131162211082014E-2</v>
      </c>
      <c r="I4219" s="224" t="s">
        <v>2</v>
      </c>
    </row>
    <row r="4220" spans="1:9" x14ac:dyDescent="0.25">
      <c r="A4220" s="515">
        <v>80303</v>
      </c>
      <c r="B4220" s="515" t="s">
        <v>702</v>
      </c>
      <c r="C4220" s="52">
        <v>835865.37036521302</v>
      </c>
      <c r="D4220" s="56">
        <v>7.1431238748109235E-2</v>
      </c>
      <c r="E4220" s="224">
        <v>2481.32321817615</v>
      </c>
      <c r="F4220" s="515" t="s">
        <v>5510</v>
      </c>
      <c r="G4220" s="52">
        <v>382461.45684143301</v>
      </c>
      <c r="H4220" s="56">
        <v>2.6418277311165347E-2</v>
      </c>
      <c r="I4220" s="224" t="s">
        <v>2</v>
      </c>
    </row>
    <row r="4221" spans="1:9" x14ac:dyDescent="0.25">
      <c r="A4221" s="515">
        <v>30297</v>
      </c>
      <c r="B4221" s="515" t="s">
        <v>957</v>
      </c>
      <c r="C4221" s="52">
        <v>171763.02358342501</v>
      </c>
      <c r="D4221" s="56">
        <v>0.20190481612342653</v>
      </c>
      <c r="E4221" s="224">
        <v>1428.1547619047601</v>
      </c>
      <c r="F4221" s="515" t="s">
        <v>5511</v>
      </c>
      <c r="G4221" s="52">
        <v>395452.08964146301</v>
      </c>
      <c r="H4221" s="56">
        <v>9.9371250475227088E-2</v>
      </c>
      <c r="I4221" s="224">
        <v>1630.4666666666601</v>
      </c>
    </row>
    <row r="4222" spans="1:9" x14ac:dyDescent="0.25">
      <c r="A4222" s="515">
        <v>32937</v>
      </c>
      <c r="B4222" s="515" t="s">
        <v>1133</v>
      </c>
      <c r="C4222" s="52">
        <v>497600.06217329501</v>
      </c>
      <c r="D4222" s="56">
        <v>0.12762545608298362</v>
      </c>
      <c r="E4222" s="224">
        <v>2855.5555555555502</v>
      </c>
      <c r="F4222" s="515" t="s">
        <v>5512</v>
      </c>
      <c r="G4222" s="52">
        <v>388685.30198990199</v>
      </c>
      <c r="H4222" s="56">
        <v>0.13692143710870333</v>
      </c>
      <c r="I4222" s="224" t="s">
        <v>2</v>
      </c>
    </row>
    <row r="4223" spans="1:9" x14ac:dyDescent="0.25">
      <c r="A4223" s="515">
        <v>84044</v>
      </c>
      <c r="B4223" s="515" t="s">
        <v>617</v>
      </c>
      <c r="C4223" s="52">
        <v>396776.04370331398</v>
      </c>
      <c r="D4223" s="56">
        <v>1.3028808240425925E-2</v>
      </c>
      <c r="E4223" s="224" t="s">
        <v>2</v>
      </c>
      <c r="F4223" s="515" t="s">
        <v>5513</v>
      </c>
      <c r="G4223" s="52">
        <v>707505.34378335695</v>
      </c>
      <c r="H4223" s="56">
        <v>5.6411218751981858E-2</v>
      </c>
      <c r="I4223" s="224" t="s">
        <v>2</v>
      </c>
    </row>
    <row r="4224" spans="1:9" x14ac:dyDescent="0.25">
      <c r="A4224" s="515">
        <v>73701</v>
      </c>
      <c r="B4224" s="515" t="s">
        <v>730</v>
      </c>
      <c r="C4224" s="52">
        <v>59616.701223769604</v>
      </c>
      <c r="D4224" s="56">
        <v>4.659338128914764E-2</v>
      </c>
      <c r="E4224" s="224">
        <v>950</v>
      </c>
      <c r="F4224" s="515" t="s">
        <v>836</v>
      </c>
      <c r="G4224" s="52">
        <v>130521.960397232</v>
      </c>
      <c r="H4224" s="56">
        <v>4.3564889581825056E-2</v>
      </c>
      <c r="I4224" s="224" t="s">
        <v>2</v>
      </c>
    </row>
    <row r="4225" spans="1:9" x14ac:dyDescent="0.25">
      <c r="A4225" s="515">
        <v>32327</v>
      </c>
      <c r="B4225" s="515" t="s">
        <v>335</v>
      </c>
      <c r="C4225" s="52">
        <v>274240.29444522102</v>
      </c>
      <c r="D4225" s="56">
        <v>0.12329427269027791</v>
      </c>
      <c r="E4225" s="224" t="s">
        <v>2</v>
      </c>
      <c r="F4225" s="515" t="s">
        <v>5514</v>
      </c>
      <c r="G4225" s="52">
        <v>495157.03533453</v>
      </c>
      <c r="H4225" s="56">
        <v>4.1133970863241123E-2</v>
      </c>
      <c r="I4225" s="224">
        <v>2187.5</v>
      </c>
    </row>
    <row r="4226" spans="1:9" x14ac:dyDescent="0.25">
      <c r="A4226" s="515">
        <v>32505</v>
      </c>
      <c r="B4226" s="515" t="s">
        <v>1131</v>
      </c>
      <c r="C4226" s="52">
        <v>131482.419795289</v>
      </c>
      <c r="D4226" s="56">
        <v>0.1314339687673696</v>
      </c>
      <c r="E4226" s="224">
        <v>1184.6666666666599</v>
      </c>
      <c r="F4226" s="515" t="s">
        <v>5515</v>
      </c>
      <c r="G4226" s="52">
        <v>182663.67718075801</v>
      </c>
      <c r="H4226" s="56">
        <v>8.1583806913653426E-2</v>
      </c>
      <c r="I4226" s="224">
        <v>1235.8333333333301</v>
      </c>
    </row>
    <row r="4227" spans="1:9" x14ac:dyDescent="0.25">
      <c r="A4227" s="515">
        <v>78411</v>
      </c>
      <c r="B4227" s="515" t="s">
        <v>415</v>
      </c>
      <c r="C4227" s="52">
        <v>181255.502026175</v>
      </c>
      <c r="D4227" s="56">
        <v>3.6809902145017143E-2</v>
      </c>
      <c r="E4227" s="224" t="s">
        <v>2</v>
      </c>
      <c r="F4227" s="515" t="s">
        <v>5516</v>
      </c>
      <c r="G4227" s="52">
        <v>119345.041689613</v>
      </c>
      <c r="H4227" s="56">
        <v>1.3623691877125848E-2</v>
      </c>
      <c r="I4227" s="224" t="s">
        <v>2</v>
      </c>
    </row>
    <row r="4228" spans="1:9" x14ac:dyDescent="0.25">
      <c r="A4228" s="515">
        <v>90291</v>
      </c>
      <c r="B4228" s="515" t="s">
        <v>375</v>
      </c>
      <c r="C4228" s="52">
        <v>1895884.63025724</v>
      </c>
      <c r="D4228" s="56">
        <v>-5.2063986532635831E-2</v>
      </c>
      <c r="E4228" s="224">
        <v>4087.4191606467102</v>
      </c>
      <c r="F4228" s="515" t="s">
        <v>5517</v>
      </c>
      <c r="G4228" s="52">
        <v>280739.92367647903</v>
      </c>
      <c r="H4228" s="56">
        <v>8.7802220403218556E-2</v>
      </c>
      <c r="I4228" s="224" t="s">
        <v>2</v>
      </c>
    </row>
    <row r="4229" spans="1:9" x14ac:dyDescent="0.25">
      <c r="A4229" s="515">
        <v>19454</v>
      </c>
      <c r="B4229" s="515" t="s">
        <v>294</v>
      </c>
      <c r="C4229" s="52">
        <v>452683.55933035898</v>
      </c>
      <c r="D4229" s="56">
        <v>0.10097796101935003</v>
      </c>
      <c r="E4229" s="224">
        <v>1623.5833333333301</v>
      </c>
      <c r="F4229" s="515" t="s">
        <v>5518</v>
      </c>
      <c r="G4229" s="52">
        <v>561195.58854655898</v>
      </c>
      <c r="H4229" s="56">
        <v>2.1453168301597787E-2</v>
      </c>
      <c r="I4229" s="224" t="s">
        <v>2</v>
      </c>
    </row>
    <row r="4230" spans="1:9" x14ac:dyDescent="0.25">
      <c r="A4230" s="515">
        <v>78238</v>
      </c>
      <c r="B4230" s="515" t="s">
        <v>717</v>
      </c>
      <c r="C4230" s="52">
        <v>228785.184482729</v>
      </c>
      <c r="D4230" s="56">
        <v>9.6452150292593519E-2</v>
      </c>
      <c r="E4230" s="224">
        <v>1449.05555555555</v>
      </c>
      <c r="F4230" s="515" t="s">
        <v>5519</v>
      </c>
      <c r="G4230" s="52">
        <v>268394.03502136498</v>
      </c>
      <c r="H4230" s="56">
        <v>8.5666823887499244E-2</v>
      </c>
      <c r="I4230" s="224" t="s">
        <v>2</v>
      </c>
    </row>
    <row r="4231" spans="1:9" x14ac:dyDescent="0.25">
      <c r="A4231" s="515">
        <v>39452</v>
      </c>
      <c r="C4231" s="52">
        <v>175778.92974358701</v>
      </c>
      <c r="D4231" s="56">
        <v>3.1684758461326241E-2</v>
      </c>
      <c r="E4231" s="224" t="s">
        <v>2</v>
      </c>
      <c r="F4231" s="515" t="s">
        <v>5520</v>
      </c>
      <c r="G4231" s="52">
        <v>391128.33143919997</v>
      </c>
      <c r="H4231" s="56">
        <v>2.5304258126837534E-3</v>
      </c>
      <c r="I4231" s="224" t="s">
        <v>2</v>
      </c>
    </row>
    <row r="4232" spans="1:9" x14ac:dyDescent="0.25">
      <c r="A4232" s="515">
        <v>91755</v>
      </c>
      <c r="B4232" s="515" t="s">
        <v>375</v>
      </c>
      <c r="C4232" s="52">
        <v>828494.13672803901</v>
      </c>
      <c r="D4232" s="56">
        <v>7.0742126663897634E-2</v>
      </c>
      <c r="E4232" s="224">
        <v>2872.5</v>
      </c>
      <c r="F4232" s="515" t="s">
        <v>5521</v>
      </c>
      <c r="G4232" s="52">
        <v>178332.51641122301</v>
      </c>
      <c r="H4232" s="56">
        <v>3.5212913814449985E-2</v>
      </c>
      <c r="I4232" s="224" t="s">
        <v>2</v>
      </c>
    </row>
    <row r="4233" spans="1:9" x14ac:dyDescent="0.25">
      <c r="A4233" s="515">
        <v>85304</v>
      </c>
      <c r="B4233" s="515" t="s">
        <v>563</v>
      </c>
      <c r="C4233" s="52">
        <v>382543.57954003802</v>
      </c>
      <c r="D4233" s="56">
        <v>5.0637848470934638E-2</v>
      </c>
      <c r="E4233" s="224">
        <v>1725.4523809523801</v>
      </c>
      <c r="F4233" s="515" t="s">
        <v>5522</v>
      </c>
      <c r="G4233" s="52">
        <v>199105.869552091</v>
      </c>
      <c r="H4233" s="56">
        <v>4.9748009783185554E-2</v>
      </c>
      <c r="I4233" s="224" t="s">
        <v>2</v>
      </c>
    </row>
    <row r="4234" spans="1:9" x14ac:dyDescent="0.25">
      <c r="A4234" s="515">
        <v>85006</v>
      </c>
      <c r="B4234" s="515" t="s">
        <v>563</v>
      </c>
      <c r="C4234" s="52">
        <v>407977.58750008402</v>
      </c>
      <c r="D4234" s="56">
        <v>3.8581368668423169E-2</v>
      </c>
      <c r="E4234" s="224">
        <v>1558.5974025974001</v>
      </c>
      <c r="F4234" s="515" t="s">
        <v>5523</v>
      </c>
      <c r="G4234" s="52">
        <v>279725.840264117</v>
      </c>
      <c r="H4234" s="56">
        <v>2.8091759586516864E-2</v>
      </c>
      <c r="I4234" s="224" t="s">
        <v>2</v>
      </c>
    </row>
    <row r="4235" spans="1:9" x14ac:dyDescent="0.25">
      <c r="A4235" s="515">
        <v>80550</v>
      </c>
      <c r="B4235" s="515" t="s">
        <v>382</v>
      </c>
      <c r="C4235" s="52">
        <v>551376.86363899196</v>
      </c>
      <c r="D4235" s="56">
        <v>4.2331603379714415E-2</v>
      </c>
      <c r="E4235" s="224">
        <v>2442.3055555555502</v>
      </c>
      <c r="F4235" s="515" t="s">
        <v>817</v>
      </c>
      <c r="G4235" s="52">
        <v>213985.41014566299</v>
      </c>
      <c r="H4235" s="56">
        <v>8.368160497971007E-2</v>
      </c>
      <c r="I4235" s="224" t="s">
        <v>2</v>
      </c>
    </row>
    <row r="4236" spans="1:9" x14ac:dyDescent="0.25">
      <c r="A4236" s="515">
        <v>14616</v>
      </c>
      <c r="B4236" s="515" t="s">
        <v>337</v>
      </c>
      <c r="C4236" s="52">
        <v>158141.88468018299</v>
      </c>
      <c r="D4236" s="56">
        <v>4.7839277571535423E-2</v>
      </c>
      <c r="E4236" s="224" t="s">
        <v>2</v>
      </c>
      <c r="F4236" s="515" t="s">
        <v>5524</v>
      </c>
      <c r="G4236" s="52">
        <v>322950.231421565</v>
      </c>
      <c r="H4236" s="56">
        <v>2.0027227045303603E-2</v>
      </c>
      <c r="I4236" s="224" t="s">
        <v>2</v>
      </c>
    </row>
    <row r="4237" spans="1:9" x14ac:dyDescent="0.25">
      <c r="A4237" s="515">
        <v>85350</v>
      </c>
      <c r="B4237" s="515" t="s">
        <v>524</v>
      </c>
      <c r="C4237" s="52">
        <v>241698.360889217</v>
      </c>
      <c r="D4237" s="56">
        <v>0.13252777041303224</v>
      </c>
      <c r="E4237" s="224" t="s">
        <v>2</v>
      </c>
      <c r="F4237" s="515" t="s">
        <v>5525</v>
      </c>
      <c r="G4237" s="52">
        <v>240027.199522946</v>
      </c>
      <c r="H4237" s="56">
        <v>0.10813144771184117</v>
      </c>
      <c r="I4237" s="224" t="s">
        <v>2</v>
      </c>
    </row>
    <row r="4238" spans="1:9" x14ac:dyDescent="0.25">
      <c r="A4238" s="515">
        <v>47421</v>
      </c>
      <c r="B4238" s="515" t="s">
        <v>881</v>
      </c>
      <c r="C4238" s="52">
        <v>172920.09206679501</v>
      </c>
      <c r="D4238" s="56">
        <v>6.7428559030286286E-2</v>
      </c>
      <c r="E4238" s="224" t="s">
        <v>2</v>
      </c>
      <c r="F4238" s="515" t="s">
        <v>5526</v>
      </c>
      <c r="G4238" s="52">
        <v>196424.36379024899</v>
      </c>
      <c r="H4238" s="56">
        <v>2.9185575785692711E-2</v>
      </c>
      <c r="I4238" s="224" t="s">
        <v>2</v>
      </c>
    </row>
    <row r="4239" spans="1:9" x14ac:dyDescent="0.25">
      <c r="A4239" s="515">
        <v>43537</v>
      </c>
      <c r="B4239" s="515" t="s">
        <v>300</v>
      </c>
      <c r="C4239" s="52">
        <v>233111.74083058801</v>
      </c>
      <c r="D4239" s="56">
        <v>6.5420318203079558E-2</v>
      </c>
      <c r="E4239" s="224" t="s">
        <v>2</v>
      </c>
      <c r="F4239" s="515" t="s">
        <v>5527</v>
      </c>
      <c r="G4239" s="52">
        <v>110445.55667645601</v>
      </c>
      <c r="H4239" s="56">
        <v>0.18177972777014528</v>
      </c>
      <c r="I4239" s="224" t="s">
        <v>2</v>
      </c>
    </row>
    <row r="4240" spans="1:9" x14ac:dyDescent="0.25">
      <c r="A4240" s="515">
        <v>95492</v>
      </c>
      <c r="B4240" s="515" t="s">
        <v>331</v>
      </c>
      <c r="C4240" s="52">
        <v>752403.71050554805</v>
      </c>
      <c r="D4240" s="56">
        <v>1.2342801503012946E-2</v>
      </c>
      <c r="E4240" s="224" t="s">
        <v>2</v>
      </c>
      <c r="F4240" s="515" t="s">
        <v>5528</v>
      </c>
      <c r="G4240" s="52">
        <v>209514.02009129999</v>
      </c>
      <c r="H4240" s="56">
        <v>7.2209126927382836E-2</v>
      </c>
      <c r="I4240" s="224" t="s">
        <v>2</v>
      </c>
    </row>
    <row r="4241" spans="1:9" x14ac:dyDescent="0.25">
      <c r="A4241" s="515">
        <v>83221</v>
      </c>
      <c r="B4241" s="515" t="s">
        <v>506</v>
      </c>
      <c r="C4241" s="52">
        <v>321027.43327682797</v>
      </c>
      <c r="D4241" s="56">
        <v>3.4751164301791961E-2</v>
      </c>
      <c r="E4241" s="224" t="s">
        <v>2</v>
      </c>
      <c r="F4241" s="515" t="s">
        <v>1203</v>
      </c>
      <c r="G4241" s="52">
        <v>382263.13100794202</v>
      </c>
      <c r="H4241" s="56">
        <v>4.8677803273845695E-2</v>
      </c>
      <c r="I4241" s="224" t="s">
        <v>2</v>
      </c>
    </row>
    <row r="4242" spans="1:9" x14ac:dyDescent="0.25">
      <c r="A4242" s="515">
        <v>61832</v>
      </c>
      <c r="B4242" s="515" t="s">
        <v>999</v>
      </c>
      <c r="C4242" s="52">
        <v>47766.321293151399</v>
      </c>
      <c r="D4242" s="56">
        <v>2.9068572488289247E-2</v>
      </c>
      <c r="E4242" s="224">
        <v>657.93650793650795</v>
      </c>
      <c r="F4242" s="515" t="s">
        <v>5529</v>
      </c>
      <c r="G4242" s="52">
        <v>352327.90329618601</v>
      </c>
      <c r="H4242" s="56">
        <v>0.14124234680106684</v>
      </c>
      <c r="I4242" s="224" t="s">
        <v>2</v>
      </c>
    </row>
    <row r="4243" spans="1:9" x14ac:dyDescent="0.25">
      <c r="A4243" s="515">
        <v>2324</v>
      </c>
      <c r="B4243" s="515" t="s">
        <v>534</v>
      </c>
      <c r="C4243" s="52">
        <v>527269.33248309896</v>
      </c>
      <c r="D4243" s="56">
        <v>5.6611606912530414E-2</v>
      </c>
      <c r="E4243" s="224">
        <v>2081.2727272727202</v>
      </c>
      <c r="F4243" s="515" t="s">
        <v>5530</v>
      </c>
      <c r="G4243" s="52">
        <v>602195.28396738798</v>
      </c>
      <c r="H4243" s="56">
        <v>7.0771415499143703E-2</v>
      </c>
      <c r="I4243" s="224" t="s">
        <v>2</v>
      </c>
    </row>
    <row r="4244" spans="1:9" x14ac:dyDescent="0.25">
      <c r="A4244" s="515">
        <v>23703</v>
      </c>
      <c r="B4244" s="515" t="s">
        <v>301</v>
      </c>
      <c r="C4244" s="52">
        <v>270084.49577304098</v>
      </c>
      <c r="D4244" s="56">
        <v>6.1973282081241844E-2</v>
      </c>
      <c r="E4244" s="224">
        <v>1632.0833333333301</v>
      </c>
      <c r="F4244" s="515" t="s">
        <v>5531</v>
      </c>
      <c r="G4244" s="52">
        <v>1327917.53103819</v>
      </c>
      <c r="H4244" s="56">
        <v>9.5714016146302913E-2</v>
      </c>
      <c r="I4244" s="224">
        <v>1750</v>
      </c>
    </row>
    <row r="4245" spans="1:9" x14ac:dyDescent="0.25">
      <c r="A4245" s="515">
        <v>1108</v>
      </c>
      <c r="B4245" s="515" t="s">
        <v>575</v>
      </c>
      <c r="C4245" s="52">
        <v>248349.31669207901</v>
      </c>
      <c r="D4245" s="56">
        <v>6.3296437873761796E-2</v>
      </c>
      <c r="E4245" s="224" t="s">
        <v>2</v>
      </c>
      <c r="F4245" s="515" t="s">
        <v>5532</v>
      </c>
      <c r="G4245" s="52">
        <v>585185.02341955202</v>
      </c>
      <c r="H4245" s="56">
        <v>5.6168255348464299E-2</v>
      </c>
      <c r="I4245" s="224">
        <v>3219.5</v>
      </c>
    </row>
    <row r="4246" spans="1:9" x14ac:dyDescent="0.25">
      <c r="A4246" s="515">
        <v>75766</v>
      </c>
      <c r="B4246" s="515" t="s">
        <v>605</v>
      </c>
      <c r="C4246" s="52">
        <v>175455.47444419001</v>
      </c>
      <c r="D4246" s="56">
        <v>7.1255640835887452E-2</v>
      </c>
      <c r="E4246" s="224" t="s">
        <v>2</v>
      </c>
      <c r="F4246" s="515" t="s">
        <v>5533</v>
      </c>
      <c r="G4246" s="52">
        <v>936192.49043442204</v>
      </c>
      <c r="H4246" s="56">
        <v>0.14617266117457994</v>
      </c>
      <c r="I4246" s="224" t="s">
        <v>2</v>
      </c>
    </row>
    <row r="4247" spans="1:9" x14ac:dyDescent="0.25">
      <c r="A4247" s="515">
        <v>30028</v>
      </c>
      <c r="B4247" s="515" t="s">
        <v>957</v>
      </c>
      <c r="C4247" s="52">
        <v>482384.937209</v>
      </c>
      <c r="D4247" s="56">
        <v>0.1100457163331376</v>
      </c>
      <c r="E4247" s="224">
        <v>1939.7666666666601</v>
      </c>
      <c r="F4247" s="515" t="s">
        <v>5534</v>
      </c>
      <c r="G4247" s="52">
        <v>106116.97835585701</v>
      </c>
      <c r="H4247" s="56">
        <v>0.10813388258556611</v>
      </c>
      <c r="I4247" s="224">
        <v>947.77777777777703</v>
      </c>
    </row>
    <row r="4248" spans="1:9" x14ac:dyDescent="0.25">
      <c r="A4248" s="515">
        <v>29115</v>
      </c>
      <c r="B4248" s="515" t="s">
        <v>1036</v>
      </c>
      <c r="C4248" s="52">
        <v>94558.0679154916</v>
      </c>
      <c r="D4248" s="56">
        <v>-6.4213871784644466E-2</v>
      </c>
      <c r="E4248" s="224" t="s">
        <v>2</v>
      </c>
      <c r="F4248" s="515" t="s">
        <v>5535</v>
      </c>
      <c r="G4248" s="52">
        <v>283707.660620593</v>
      </c>
      <c r="H4248" s="56">
        <v>0.16971738733595026</v>
      </c>
      <c r="I4248" s="224" t="s">
        <v>2</v>
      </c>
    </row>
    <row r="4249" spans="1:9" x14ac:dyDescent="0.25">
      <c r="A4249" s="515">
        <v>98108</v>
      </c>
      <c r="B4249" s="515" t="s">
        <v>384</v>
      </c>
      <c r="C4249" s="52">
        <v>664731.33495144499</v>
      </c>
      <c r="D4249" s="56">
        <v>1.7909564339905561E-2</v>
      </c>
      <c r="E4249" s="224">
        <v>2238.9166666666601</v>
      </c>
      <c r="F4249" s="515" t="s">
        <v>5536</v>
      </c>
      <c r="G4249" s="52">
        <v>136701.732415765</v>
      </c>
      <c r="H4249" s="56">
        <v>5.3680681649308885E-2</v>
      </c>
      <c r="I4249" s="224" t="s">
        <v>2</v>
      </c>
    </row>
    <row r="4250" spans="1:9" x14ac:dyDescent="0.25">
      <c r="A4250" s="515">
        <v>33625</v>
      </c>
      <c r="B4250" s="515" t="s">
        <v>461</v>
      </c>
      <c r="C4250" s="52">
        <v>396411.44894248998</v>
      </c>
      <c r="D4250" s="56">
        <v>8.1249811042721901E-2</v>
      </c>
      <c r="E4250" s="224">
        <v>2371.38888888888</v>
      </c>
      <c r="F4250" s="515" t="s">
        <v>5537</v>
      </c>
      <c r="G4250" s="52">
        <v>269347.42004127201</v>
      </c>
      <c r="H4250" s="56">
        <v>9.1557504733358039E-2</v>
      </c>
      <c r="I4250" s="224" t="s">
        <v>2</v>
      </c>
    </row>
    <row r="4251" spans="1:9" x14ac:dyDescent="0.25">
      <c r="A4251" s="515">
        <v>77025</v>
      </c>
      <c r="B4251" s="515" t="s">
        <v>314</v>
      </c>
      <c r="C4251" s="52">
        <v>439524.65094728197</v>
      </c>
      <c r="D4251" s="56">
        <v>5.6049146789207839E-2</v>
      </c>
      <c r="E4251" s="224">
        <v>1582.7934472934401</v>
      </c>
      <c r="F4251" s="515" t="s">
        <v>5538</v>
      </c>
      <c r="G4251" s="52">
        <v>301912.57778902201</v>
      </c>
      <c r="H4251" s="56">
        <v>0.12004127808641098</v>
      </c>
      <c r="I4251" s="224" t="s">
        <v>2</v>
      </c>
    </row>
    <row r="4252" spans="1:9" x14ac:dyDescent="0.25">
      <c r="A4252" s="515">
        <v>12533</v>
      </c>
      <c r="B4252" s="515" t="s">
        <v>529</v>
      </c>
      <c r="C4252" s="52">
        <v>492723.74961951998</v>
      </c>
      <c r="D4252" s="56">
        <v>7.7062671609750735E-2</v>
      </c>
      <c r="E4252" s="224" t="s">
        <v>2</v>
      </c>
      <c r="F4252" s="515" t="s">
        <v>5539</v>
      </c>
      <c r="G4252" s="52">
        <v>254697.24729877801</v>
      </c>
      <c r="H4252" s="56">
        <v>0.13229468978939782</v>
      </c>
      <c r="I4252" s="224" t="s">
        <v>2</v>
      </c>
    </row>
    <row r="4253" spans="1:9" x14ac:dyDescent="0.25">
      <c r="A4253" s="515">
        <v>27597</v>
      </c>
      <c r="B4253" s="515" t="s">
        <v>484</v>
      </c>
      <c r="C4253" s="52">
        <v>329460.99426935799</v>
      </c>
      <c r="D4253" s="56">
        <v>0.10269862971872268</v>
      </c>
      <c r="E4253" s="224">
        <v>1906.88888888888</v>
      </c>
      <c r="F4253" s="515" t="s">
        <v>5540</v>
      </c>
      <c r="G4253" s="52">
        <v>492855.50068708701</v>
      </c>
      <c r="H4253" s="56">
        <v>3.8815564618551616E-2</v>
      </c>
      <c r="I4253" s="224" t="s">
        <v>2</v>
      </c>
    </row>
    <row r="4254" spans="1:9" x14ac:dyDescent="0.25">
      <c r="A4254" s="515">
        <v>49401</v>
      </c>
      <c r="B4254" s="515" t="s">
        <v>631</v>
      </c>
      <c r="C4254" s="52">
        <v>347244.222721837</v>
      </c>
      <c r="D4254" s="56">
        <v>0.12005644023678355</v>
      </c>
      <c r="E4254" s="224" t="s">
        <v>2</v>
      </c>
      <c r="F4254" s="515" t="s">
        <v>5541</v>
      </c>
      <c r="G4254" s="52">
        <v>427734.71468065702</v>
      </c>
      <c r="H4254" s="56">
        <v>2.684733568858572E-2</v>
      </c>
      <c r="I4254" s="224" t="s">
        <v>2</v>
      </c>
    </row>
    <row r="4255" spans="1:9" x14ac:dyDescent="0.25">
      <c r="A4255" s="515">
        <v>55429</v>
      </c>
      <c r="B4255" s="515" t="s">
        <v>532</v>
      </c>
      <c r="C4255" s="52">
        <v>269745.11512258102</v>
      </c>
      <c r="D4255" s="56">
        <v>2.0331463282542882E-2</v>
      </c>
      <c r="E4255" s="224">
        <v>1200</v>
      </c>
      <c r="F4255" s="515" t="s">
        <v>5542</v>
      </c>
      <c r="G4255" s="52">
        <v>143140.24555893699</v>
      </c>
      <c r="H4255" s="56">
        <v>3.7672738730208502E-2</v>
      </c>
      <c r="I4255" s="224" t="s">
        <v>2</v>
      </c>
    </row>
    <row r="4256" spans="1:9" x14ac:dyDescent="0.25">
      <c r="A4256" s="515">
        <v>60091</v>
      </c>
      <c r="B4256" s="515" t="s">
        <v>394</v>
      </c>
      <c r="C4256" s="52">
        <v>717391.77006969601</v>
      </c>
      <c r="D4256" s="56">
        <v>4.9995109649612131E-2</v>
      </c>
      <c r="E4256" s="224">
        <v>3075.25</v>
      </c>
      <c r="F4256" s="515" t="s">
        <v>5543</v>
      </c>
      <c r="G4256" s="52">
        <v>212678.34356483101</v>
      </c>
      <c r="H4256" s="56">
        <v>9.5161177427069227E-2</v>
      </c>
      <c r="I4256" s="224" t="s">
        <v>2</v>
      </c>
    </row>
    <row r="4257" spans="1:9" x14ac:dyDescent="0.25">
      <c r="A4257" s="515">
        <v>85336</v>
      </c>
      <c r="B4257" s="515" t="s">
        <v>524</v>
      </c>
      <c r="C4257" s="52">
        <v>224391.49572649499</v>
      </c>
      <c r="D4257" s="56">
        <v>0</v>
      </c>
      <c r="E4257" s="224" t="s">
        <v>2</v>
      </c>
      <c r="F4257" s="515" t="s">
        <v>5544</v>
      </c>
      <c r="G4257" s="52">
        <v>139425.212587708</v>
      </c>
      <c r="H4257" s="56">
        <v>-9.7601182102554293E-2</v>
      </c>
      <c r="I4257" s="224" t="s">
        <v>2</v>
      </c>
    </row>
    <row r="4258" spans="1:9" x14ac:dyDescent="0.25">
      <c r="A4258" s="515">
        <v>44685</v>
      </c>
      <c r="B4258" s="515" t="s">
        <v>1000</v>
      </c>
      <c r="C4258" s="52">
        <v>266500.92284621898</v>
      </c>
      <c r="D4258" s="56">
        <v>6.4451956241943303E-2</v>
      </c>
      <c r="E4258" s="224">
        <v>1625.5</v>
      </c>
      <c r="F4258" s="515" t="s">
        <v>5545</v>
      </c>
      <c r="G4258" s="52">
        <v>406150.25861719297</v>
      </c>
      <c r="H4258" s="56">
        <v>3.6333455138770683E-2</v>
      </c>
      <c r="I4258" s="224" t="s">
        <v>2</v>
      </c>
    </row>
    <row r="4259" spans="1:9" x14ac:dyDescent="0.25">
      <c r="A4259" s="515">
        <v>78602</v>
      </c>
      <c r="B4259" s="515" t="s">
        <v>380</v>
      </c>
      <c r="C4259" s="52">
        <v>373358.01914715901</v>
      </c>
      <c r="D4259" s="56">
        <v>9.2956656224691722E-2</v>
      </c>
      <c r="E4259" s="224" t="s">
        <v>2</v>
      </c>
      <c r="F4259" s="515" t="s">
        <v>5546</v>
      </c>
      <c r="G4259" s="52">
        <v>307280.46547201398</v>
      </c>
      <c r="H4259" s="56">
        <v>8.3569241476343648E-2</v>
      </c>
      <c r="I4259" s="224" t="s">
        <v>2</v>
      </c>
    </row>
    <row r="4260" spans="1:9" x14ac:dyDescent="0.25">
      <c r="A4260" s="515">
        <v>72404</v>
      </c>
      <c r="B4260" s="515" t="s">
        <v>673</v>
      </c>
      <c r="C4260" s="52">
        <v>240853.372935291</v>
      </c>
      <c r="D4260" s="56">
        <v>6.6176913252563418E-2</v>
      </c>
      <c r="E4260" s="224">
        <v>1465</v>
      </c>
      <c r="F4260" s="515" t="s">
        <v>5547</v>
      </c>
      <c r="G4260" s="52">
        <v>338636.47365156602</v>
      </c>
      <c r="H4260" s="56">
        <v>7.2205078797688227E-2</v>
      </c>
      <c r="I4260" s="224" t="s">
        <v>2</v>
      </c>
    </row>
    <row r="4261" spans="1:9" x14ac:dyDescent="0.25">
      <c r="A4261" s="515">
        <v>78633</v>
      </c>
      <c r="B4261" s="515" t="s">
        <v>380</v>
      </c>
      <c r="C4261" s="52">
        <v>474855.53176550299</v>
      </c>
      <c r="D4261" s="56">
        <v>4.9429683564333936E-2</v>
      </c>
      <c r="E4261" s="224" t="s">
        <v>2</v>
      </c>
      <c r="F4261" s="515" t="s">
        <v>5548</v>
      </c>
      <c r="G4261" s="52">
        <v>242186.27053778199</v>
      </c>
      <c r="H4261" s="56">
        <v>0.13382146215560475</v>
      </c>
      <c r="I4261" s="224" t="s">
        <v>2</v>
      </c>
    </row>
    <row r="4262" spans="1:9" x14ac:dyDescent="0.25">
      <c r="A4262" s="515">
        <v>27517</v>
      </c>
      <c r="B4262" s="515" t="s">
        <v>467</v>
      </c>
      <c r="C4262" s="52">
        <v>586829.74107109103</v>
      </c>
      <c r="D4262" s="56">
        <v>0.10854305227093662</v>
      </c>
      <c r="E4262" s="224">
        <v>1874.5873015873001</v>
      </c>
      <c r="F4262" s="515" t="s">
        <v>5549</v>
      </c>
      <c r="G4262" s="52">
        <v>376063.25759189401</v>
      </c>
      <c r="H4262" s="56">
        <v>0.10555803262173562</v>
      </c>
      <c r="I4262" s="224" t="s">
        <v>2</v>
      </c>
    </row>
    <row r="4263" spans="1:9" x14ac:dyDescent="0.25">
      <c r="A4263" s="515">
        <v>22602</v>
      </c>
      <c r="B4263" s="515" t="s">
        <v>629</v>
      </c>
      <c r="C4263" s="52">
        <v>357565.58116663201</v>
      </c>
      <c r="D4263" s="56">
        <v>5.4523689032939193E-2</v>
      </c>
      <c r="E4263" s="224" t="s">
        <v>2</v>
      </c>
      <c r="F4263" s="515" t="s">
        <v>5550</v>
      </c>
      <c r="G4263" s="52">
        <v>148296.162298362</v>
      </c>
      <c r="H4263" s="56">
        <v>3.5286161501194784E-2</v>
      </c>
      <c r="I4263" s="224" t="s">
        <v>2</v>
      </c>
    </row>
    <row r="4264" spans="1:9" x14ac:dyDescent="0.25">
      <c r="A4264" s="515">
        <v>90304</v>
      </c>
      <c r="B4264" s="515" t="s">
        <v>375</v>
      </c>
      <c r="C4264" s="52">
        <v>683479.20747055695</v>
      </c>
      <c r="D4264" s="56">
        <v>1.9570591527324675E-2</v>
      </c>
      <c r="E4264" s="224">
        <v>2818.0555555555502</v>
      </c>
      <c r="F4264" s="515" t="s">
        <v>5551</v>
      </c>
      <c r="G4264" s="52">
        <v>304642.325779907</v>
      </c>
      <c r="H4264" s="56">
        <v>9.4885393618540897E-2</v>
      </c>
      <c r="I4264" s="224" t="s">
        <v>2</v>
      </c>
    </row>
    <row r="4265" spans="1:9" x14ac:dyDescent="0.25">
      <c r="A4265" s="515">
        <v>67501</v>
      </c>
      <c r="B4265" s="515" t="s">
        <v>700</v>
      </c>
      <c r="C4265" s="52">
        <v>78572.178658122793</v>
      </c>
      <c r="D4265" s="56">
        <v>0.13986737145650219</v>
      </c>
      <c r="E4265" s="224">
        <v>612.5</v>
      </c>
      <c r="F4265" s="515" t="s">
        <v>5552</v>
      </c>
      <c r="G4265" s="52">
        <v>112733.09899285799</v>
      </c>
      <c r="H4265" s="56">
        <v>3.4619232286868841E-2</v>
      </c>
      <c r="I4265" s="224" t="s">
        <v>2</v>
      </c>
    </row>
    <row r="4266" spans="1:9" x14ac:dyDescent="0.25">
      <c r="A4266" s="515">
        <v>75022</v>
      </c>
      <c r="B4266" s="515" t="s">
        <v>458</v>
      </c>
      <c r="C4266" s="52">
        <v>693428.75607477699</v>
      </c>
      <c r="D4266" s="56">
        <v>6.0752375573764922E-2</v>
      </c>
      <c r="E4266" s="224">
        <v>2935.8333333333298</v>
      </c>
      <c r="F4266" s="515" t="s">
        <v>5553</v>
      </c>
      <c r="G4266" s="52">
        <v>167429.94974736901</v>
      </c>
      <c r="H4266" s="56">
        <v>8.1909880319940898E-2</v>
      </c>
      <c r="I4266" s="224" t="s">
        <v>2</v>
      </c>
    </row>
    <row r="4267" spans="1:9" x14ac:dyDescent="0.25">
      <c r="A4267" s="515">
        <v>78260</v>
      </c>
      <c r="B4267" s="515" t="s">
        <v>717</v>
      </c>
      <c r="C4267" s="52">
        <v>494836.03813670197</v>
      </c>
      <c r="D4267" s="56">
        <v>7.6781485193902779E-2</v>
      </c>
      <c r="E4267" s="224">
        <v>1770.8</v>
      </c>
      <c r="F4267" s="515" t="s">
        <v>5554</v>
      </c>
      <c r="G4267" s="52">
        <v>265546.75056429399</v>
      </c>
      <c r="H4267" s="56">
        <v>0.12004902188164616</v>
      </c>
      <c r="I4267" s="224" t="s">
        <v>2</v>
      </c>
    </row>
    <row r="4268" spans="1:9" x14ac:dyDescent="0.25">
      <c r="A4268" s="515">
        <v>27455</v>
      </c>
      <c r="B4268" s="515" t="s">
        <v>1148</v>
      </c>
      <c r="C4268" s="52">
        <v>318280.40565731103</v>
      </c>
      <c r="D4268" s="56">
        <v>7.4616215164764216E-2</v>
      </c>
      <c r="E4268" s="224">
        <v>1668.0833333333301</v>
      </c>
      <c r="F4268" s="515" t="s">
        <v>5555</v>
      </c>
      <c r="G4268" s="52">
        <v>225068.301350322</v>
      </c>
      <c r="H4268" s="56">
        <v>0.17763824258561048</v>
      </c>
      <c r="I4268" s="224" t="s">
        <v>2</v>
      </c>
    </row>
    <row r="4269" spans="1:9" x14ac:dyDescent="0.25">
      <c r="A4269" s="515">
        <v>53225</v>
      </c>
      <c r="B4269" s="515" t="s">
        <v>950</v>
      </c>
      <c r="C4269" s="52">
        <v>184478.41692907599</v>
      </c>
      <c r="D4269" s="56">
        <v>4.1927174901057393E-2</v>
      </c>
      <c r="E4269" s="224">
        <v>979.66666666666595</v>
      </c>
      <c r="F4269" s="515" t="s">
        <v>5556</v>
      </c>
      <c r="G4269" s="52">
        <v>424453.31676223199</v>
      </c>
      <c r="H4269" s="56">
        <v>3.0625254536707027E-2</v>
      </c>
      <c r="I4269" s="224" t="s">
        <v>2</v>
      </c>
    </row>
    <row r="4270" spans="1:9" x14ac:dyDescent="0.25">
      <c r="A4270" s="515">
        <v>94947</v>
      </c>
      <c r="B4270" s="515" t="s">
        <v>593</v>
      </c>
      <c r="C4270" s="52">
        <v>968233.13171158603</v>
      </c>
      <c r="D4270" s="56">
        <v>5.260000948804628E-2</v>
      </c>
      <c r="E4270" s="224">
        <v>3947.5</v>
      </c>
      <c r="F4270" s="515" t="s">
        <v>5557</v>
      </c>
      <c r="G4270" s="52">
        <v>321127.01402761397</v>
      </c>
      <c r="H4270" s="56">
        <v>0.109453255238866</v>
      </c>
      <c r="I4270" s="224" t="s">
        <v>2</v>
      </c>
    </row>
    <row r="4271" spans="1:9" x14ac:dyDescent="0.25">
      <c r="A4271" s="515">
        <v>11414</v>
      </c>
      <c r="B4271" s="515" t="s">
        <v>324</v>
      </c>
      <c r="C4271" s="52">
        <v>465290.69623417797</v>
      </c>
      <c r="D4271" s="56">
        <v>2.6517091700641291E-2</v>
      </c>
      <c r="E4271" s="224" t="s">
        <v>2</v>
      </c>
      <c r="F4271" s="515" t="s">
        <v>5558</v>
      </c>
      <c r="G4271" s="52">
        <v>924813.28040418797</v>
      </c>
      <c r="H4271" s="56">
        <v>4.7911778810064864E-2</v>
      </c>
      <c r="I4271" s="224" t="s">
        <v>2</v>
      </c>
    </row>
    <row r="4272" spans="1:9" x14ac:dyDescent="0.25">
      <c r="A4272" s="515">
        <v>96813</v>
      </c>
      <c r="B4272" s="515" t="s">
        <v>1029</v>
      </c>
      <c r="C4272" s="52">
        <v>720335.75229261501</v>
      </c>
      <c r="D4272" s="56">
        <v>1.673541035116859E-2</v>
      </c>
      <c r="E4272" s="224">
        <v>2570.9722222222199</v>
      </c>
      <c r="F4272" s="515" t="s">
        <v>5559</v>
      </c>
      <c r="G4272" s="52">
        <v>531481.74587523099</v>
      </c>
      <c r="H4272" s="56">
        <v>2.4983670309760554E-2</v>
      </c>
      <c r="I4272" s="224" t="s">
        <v>2</v>
      </c>
    </row>
    <row r="4273" spans="1:9" x14ac:dyDescent="0.25">
      <c r="A4273" s="515">
        <v>90680</v>
      </c>
      <c r="B4273" s="515" t="s">
        <v>375</v>
      </c>
      <c r="C4273" s="52">
        <v>657571.66975314205</v>
      </c>
      <c r="D4273" s="56">
        <v>4.8295742529590353E-2</v>
      </c>
      <c r="E4273" s="224">
        <v>2270</v>
      </c>
      <c r="F4273" s="515" t="s">
        <v>5560</v>
      </c>
      <c r="G4273" s="52">
        <v>428322.86497050698</v>
      </c>
      <c r="H4273" s="56">
        <v>8.4846736414142962E-2</v>
      </c>
      <c r="I4273" s="224" t="s">
        <v>2</v>
      </c>
    </row>
    <row r="4274" spans="1:9" x14ac:dyDescent="0.25">
      <c r="A4274" s="515">
        <v>7206</v>
      </c>
      <c r="B4274" s="515" t="s">
        <v>324</v>
      </c>
      <c r="C4274" s="52">
        <v>425537.56993517402</v>
      </c>
      <c r="D4274" s="56">
        <v>0.10825792625388023</v>
      </c>
      <c r="E4274" s="224" t="s">
        <v>2</v>
      </c>
      <c r="F4274" s="515" t="s">
        <v>5561</v>
      </c>
      <c r="G4274" s="52">
        <v>213974.96109848801</v>
      </c>
      <c r="H4274" s="56">
        <v>0.29371674799394082</v>
      </c>
      <c r="I4274" s="224" t="s">
        <v>2</v>
      </c>
    </row>
    <row r="4275" spans="1:9" x14ac:dyDescent="0.25">
      <c r="A4275" s="515">
        <v>48135</v>
      </c>
      <c r="B4275" s="515" t="s">
        <v>685</v>
      </c>
      <c r="C4275" s="52">
        <v>170667.66960220199</v>
      </c>
      <c r="D4275" s="56">
        <v>5.2541705497968091E-2</v>
      </c>
      <c r="E4275" s="224">
        <v>1311.6666666666599</v>
      </c>
      <c r="F4275" s="515" t="s">
        <v>1202</v>
      </c>
      <c r="G4275" s="52">
        <v>260005.53861074499</v>
      </c>
      <c r="H4275" s="56">
        <v>0.10713482697281908</v>
      </c>
      <c r="I4275" s="224" t="s">
        <v>2</v>
      </c>
    </row>
    <row r="4276" spans="1:9" x14ac:dyDescent="0.25">
      <c r="A4276" s="515">
        <v>20746</v>
      </c>
      <c r="B4276" s="515" t="s">
        <v>321</v>
      </c>
      <c r="C4276" s="52">
        <v>318557.14702240902</v>
      </c>
      <c r="D4276" s="56">
        <v>2.4802006016702263E-2</v>
      </c>
      <c r="E4276" s="224">
        <v>2066.4357142857102</v>
      </c>
      <c r="F4276" s="515" t="s">
        <v>5562</v>
      </c>
      <c r="G4276" s="52">
        <v>233040.37331758899</v>
      </c>
      <c r="H4276" s="56">
        <v>6.2977649869720598E-2</v>
      </c>
      <c r="I4276" s="224" t="s">
        <v>2</v>
      </c>
    </row>
    <row r="4277" spans="1:9" x14ac:dyDescent="0.25">
      <c r="A4277" s="515">
        <v>85718</v>
      </c>
      <c r="B4277" s="515" t="s">
        <v>368</v>
      </c>
      <c r="C4277" s="52">
        <v>663048.76019014698</v>
      </c>
      <c r="D4277" s="56">
        <v>6.8602359198747256E-2</v>
      </c>
      <c r="E4277" s="224">
        <v>1548.0582010582</v>
      </c>
      <c r="F4277" s="515" t="s">
        <v>5563</v>
      </c>
      <c r="G4277" s="52">
        <v>342506.276059811</v>
      </c>
      <c r="H4277" s="56">
        <v>0.10074604165447497</v>
      </c>
      <c r="I4277" s="224" t="s">
        <v>2</v>
      </c>
    </row>
    <row r="4278" spans="1:9" x14ac:dyDescent="0.25">
      <c r="A4278" s="515">
        <v>54304</v>
      </c>
      <c r="B4278" s="515" t="s">
        <v>897</v>
      </c>
      <c r="C4278" s="52">
        <v>216086.69402982999</v>
      </c>
      <c r="D4278" s="56">
        <v>7.8948106556385844E-2</v>
      </c>
      <c r="E4278" s="224" t="s">
        <v>2</v>
      </c>
      <c r="F4278" s="515" t="s">
        <v>5564</v>
      </c>
      <c r="G4278" s="52">
        <v>343365.399502935</v>
      </c>
      <c r="H4278" s="56">
        <v>8.1313619369581827E-2</v>
      </c>
      <c r="I4278" s="224" t="s">
        <v>2</v>
      </c>
    </row>
    <row r="4279" spans="1:9" x14ac:dyDescent="0.25">
      <c r="A4279" s="515">
        <v>32258</v>
      </c>
      <c r="B4279" s="515" t="s">
        <v>1158</v>
      </c>
      <c r="C4279" s="52">
        <v>379576.92498599301</v>
      </c>
      <c r="D4279" s="56">
        <v>9.7619775266218178E-2</v>
      </c>
      <c r="E4279" s="224">
        <v>1916.53473193473</v>
      </c>
      <c r="F4279" s="515" t="s">
        <v>5565</v>
      </c>
      <c r="G4279" s="52">
        <v>267001.18964281998</v>
      </c>
      <c r="H4279" s="56">
        <v>-2.256596222680057E-2</v>
      </c>
      <c r="I4279" s="224" t="s">
        <v>2</v>
      </c>
    </row>
    <row r="4280" spans="1:9" x14ac:dyDescent="0.25">
      <c r="A4280" s="515">
        <v>91384</v>
      </c>
      <c r="B4280" s="515" t="s">
        <v>375</v>
      </c>
      <c r="C4280" s="52">
        <v>741831.25627005205</v>
      </c>
      <c r="D4280" s="56">
        <v>3.3457719352744671E-2</v>
      </c>
      <c r="E4280" s="224" t="s">
        <v>2</v>
      </c>
      <c r="F4280" s="515" t="s">
        <v>5566</v>
      </c>
      <c r="G4280" s="52">
        <v>2280724.1326023601</v>
      </c>
      <c r="H4280" s="56">
        <v>5.5696141308240032E-3</v>
      </c>
      <c r="I4280" s="224" t="s">
        <v>2</v>
      </c>
    </row>
    <row r="4281" spans="1:9" x14ac:dyDescent="0.25">
      <c r="A4281" s="515">
        <v>37055</v>
      </c>
      <c r="B4281" s="515" t="s">
        <v>684</v>
      </c>
      <c r="C4281" s="52">
        <v>299994.18722699699</v>
      </c>
      <c r="D4281" s="56">
        <v>7.5546133881176064E-2</v>
      </c>
      <c r="E4281" s="224" t="s">
        <v>2</v>
      </c>
      <c r="F4281" s="515" t="s">
        <v>5567</v>
      </c>
      <c r="G4281" s="52">
        <v>288485.92933520098</v>
      </c>
      <c r="H4281" s="56">
        <v>5.2699770783050721E-2</v>
      </c>
      <c r="I4281" s="224" t="s">
        <v>2</v>
      </c>
    </row>
    <row r="4282" spans="1:9" x14ac:dyDescent="0.25">
      <c r="A4282" s="515">
        <v>8205</v>
      </c>
      <c r="B4282" s="515" t="s">
        <v>800</v>
      </c>
      <c r="C4282" s="52">
        <v>274382.026072932</v>
      </c>
      <c r="D4282" s="56">
        <v>0.11038923352715579</v>
      </c>
      <c r="E4282" s="224">
        <v>1561.3333333333301</v>
      </c>
      <c r="F4282" s="515" t="s">
        <v>5568</v>
      </c>
      <c r="G4282" s="52">
        <v>460517.78886925703</v>
      </c>
      <c r="H4282" s="56">
        <v>0</v>
      </c>
      <c r="I4282" s="224" t="s">
        <v>2</v>
      </c>
    </row>
    <row r="4283" spans="1:9" x14ac:dyDescent="0.25">
      <c r="A4283" s="515">
        <v>77414</v>
      </c>
      <c r="B4283" s="515" t="s">
        <v>333</v>
      </c>
      <c r="C4283" s="52">
        <v>186614.09897422499</v>
      </c>
      <c r="D4283" s="56">
        <v>3.2802065778237945E-2</v>
      </c>
      <c r="E4283" s="224" t="s">
        <v>2</v>
      </c>
      <c r="F4283" s="515" t="s">
        <v>1229</v>
      </c>
      <c r="G4283" s="52">
        <v>148323.957252661</v>
      </c>
      <c r="H4283" s="56">
        <v>8.1437225414225184E-2</v>
      </c>
      <c r="I4283" s="224" t="s">
        <v>2</v>
      </c>
    </row>
    <row r="4284" spans="1:9" x14ac:dyDescent="0.25">
      <c r="A4284" s="515">
        <v>72015</v>
      </c>
      <c r="B4284" s="515" t="s">
        <v>393</v>
      </c>
      <c r="C4284" s="52">
        <v>174281.27776534899</v>
      </c>
      <c r="D4284" s="56">
        <v>8.570105214149458E-2</v>
      </c>
      <c r="E4284" s="224">
        <v>1343.88888888888</v>
      </c>
      <c r="F4284" s="515" t="s">
        <v>5569</v>
      </c>
      <c r="G4284" s="52">
        <v>490001.59373524302</v>
      </c>
      <c r="H4284" s="56">
        <v>5.961432149635075E-2</v>
      </c>
      <c r="I4284" s="224" t="s">
        <v>2</v>
      </c>
    </row>
    <row r="4285" spans="1:9" x14ac:dyDescent="0.25">
      <c r="A4285" s="515">
        <v>77005</v>
      </c>
      <c r="B4285" s="515" t="s">
        <v>314</v>
      </c>
      <c r="C4285" s="52">
        <v>1327848.2308847799</v>
      </c>
      <c r="D4285" s="56">
        <v>5.0362583912867138E-2</v>
      </c>
      <c r="E4285" s="224">
        <v>2201.04873949579</v>
      </c>
      <c r="F4285" s="515" t="s">
        <v>625</v>
      </c>
      <c r="G4285" s="52">
        <v>283278.27214863402</v>
      </c>
      <c r="H4285" s="56">
        <v>7.4015323643863595E-2</v>
      </c>
      <c r="I4285" s="224" t="s">
        <v>2</v>
      </c>
    </row>
    <row r="4286" spans="1:9" x14ac:dyDescent="0.25">
      <c r="A4286" s="515">
        <v>48328</v>
      </c>
      <c r="B4286" s="515" t="s">
        <v>685</v>
      </c>
      <c r="C4286" s="52">
        <v>216160.705849413</v>
      </c>
      <c r="D4286" s="56">
        <v>5.4879287480882236E-2</v>
      </c>
      <c r="E4286" s="224" t="s">
        <v>2</v>
      </c>
      <c r="F4286" s="515" t="s">
        <v>5570</v>
      </c>
      <c r="G4286" s="52">
        <v>407441.99639464897</v>
      </c>
      <c r="H4286" s="56">
        <v>0.11769626329778353</v>
      </c>
      <c r="I4286" s="224" t="s">
        <v>2</v>
      </c>
    </row>
    <row r="4287" spans="1:9" x14ac:dyDescent="0.25">
      <c r="A4287" s="515">
        <v>27028</v>
      </c>
      <c r="B4287" s="515" t="s">
        <v>735</v>
      </c>
      <c r="C4287" s="52">
        <v>231732.18809803799</v>
      </c>
      <c r="D4287" s="56">
        <v>0.10931778397873648</v>
      </c>
      <c r="E4287" s="224" t="s">
        <v>2</v>
      </c>
      <c r="F4287" s="515" t="s">
        <v>5571</v>
      </c>
      <c r="G4287" s="52">
        <v>456094.00392912299</v>
      </c>
      <c r="H4287" s="56">
        <v>4.7863485447998663E-2</v>
      </c>
      <c r="I4287" s="224" t="s">
        <v>2</v>
      </c>
    </row>
    <row r="4288" spans="1:9" x14ac:dyDescent="0.25">
      <c r="A4288" s="515">
        <v>91010</v>
      </c>
      <c r="B4288" s="515" t="s">
        <v>375</v>
      </c>
      <c r="C4288" s="52">
        <v>677324.12673640705</v>
      </c>
      <c r="D4288" s="56">
        <v>4.8229080818995441E-2</v>
      </c>
      <c r="E4288" s="224" t="s">
        <v>2</v>
      </c>
      <c r="F4288" s="515" t="s">
        <v>5572</v>
      </c>
      <c r="G4288" s="52">
        <v>232116.047133616</v>
      </c>
      <c r="H4288" s="56">
        <v>5.1059180200403606E-2</v>
      </c>
      <c r="I4288" s="224" t="s">
        <v>2</v>
      </c>
    </row>
    <row r="4289" spans="1:9" x14ac:dyDescent="0.25">
      <c r="A4289" s="515">
        <v>29303</v>
      </c>
      <c r="B4289" s="515" t="s">
        <v>447</v>
      </c>
      <c r="C4289" s="52">
        <v>166355.26331661001</v>
      </c>
      <c r="D4289" s="56">
        <v>0.18459015261353345</v>
      </c>
      <c r="E4289" s="224" t="s">
        <v>2</v>
      </c>
      <c r="F4289" s="515" t="s">
        <v>5573</v>
      </c>
      <c r="G4289" s="52">
        <v>503950.28225343098</v>
      </c>
      <c r="H4289" s="56">
        <v>8.3682225214054176E-2</v>
      </c>
      <c r="I4289" s="224">
        <v>2049.2222222222199</v>
      </c>
    </row>
    <row r="4290" spans="1:9" x14ac:dyDescent="0.25">
      <c r="A4290" s="515">
        <v>60560</v>
      </c>
      <c r="B4290" s="515" t="s">
        <v>394</v>
      </c>
      <c r="C4290" s="52">
        <v>326895.68626643397</v>
      </c>
      <c r="D4290" s="56">
        <v>8.6306697300693028E-2</v>
      </c>
      <c r="E4290" s="224" t="s">
        <v>2</v>
      </c>
      <c r="F4290" s="515" t="s">
        <v>5574</v>
      </c>
      <c r="G4290" s="52">
        <v>346209.054472905</v>
      </c>
      <c r="H4290" s="56">
        <v>3.1157279088697209E-2</v>
      </c>
      <c r="I4290" s="224">
        <v>1567.2</v>
      </c>
    </row>
    <row r="4291" spans="1:9" x14ac:dyDescent="0.25">
      <c r="A4291" s="515">
        <v>16509</v>
      </c>
      <c r="B4291" s="515" t="s">
        <v>753</v>
      </c>
      <c r="C4291" s="52">
        <v>208720.174854271</v>
      </c>
      <c r="D4291" s="56">
        <v>8.4722692679778319E-2</v>
      </c>
      <c r="E4291" s="224" t="s">
        <v>2</v>
      </c>
      <c r="F4291" s="515" t="s">
        <v>5575</v>
      </c>
      <c r="G4291" s="52">
        <v>407785.16342038102</v>
      </c>
      <c r="H4291" s="56">
        <v>9.0416977222735007E-2</v>
      </c>
      <c r="I4291" s="224" t="s">
        <v>2</v>
      </c>
    </row>
    <row r="4292" spans="1:9" x14ac:dyDescent="0.25">
      <c r="A4292" s="515">
        <v>58601</v>
      </c>
      <c r="B4292" s="515" t="s">
        <v>771</v>
      </c>
      <c r="C4292" s="52">
        <v>266692.65725385601</v>
      </c>
      <c r="D4292" s="56">
        <v>3.4215219862251567E-2</v>
      </c>
      <c r="E4292" s="224" t="s">
        <v>2</v>
      </c>
      <c r="F4292" s="515" t="s">
        <v>5576</v>
      </c>
      <c r="G4292" s="52">
        <v>401049.38413941301</v>
      </c>
      <c r="H4292" s="56">
        <v>9.3170454605466441E-2</v>
      </c>
      <c r="I4292" s="224" t="s">
        <v>2</v>
      </c>
    </row>
    <row r="4293" spans="1:9" x14ac:dyDescent="0.25">
      <c r="A4293" s="515">
        <v>75503</v>
      </c>
      <c r="B4293" s="515" t="s">
        <v>390</v>
      </c>
      <c r="C4293" s="52">
        <v>222098.34449109901</v>
      </c>
      <c r="D4293" s="56">
        <v>6.5558173742033876E-2</v>
      </c>
      <c r="E4293" s="224">
        <v>1327.75</v>
      </c>
      <c r="F4293" s="515" t="s">
        <v>5577</v>
      </c>
      <c r="G4293" s="52">
        <v>521776.23062647</v>
      </c>
      <c r="H4293" s="56">
        <v>4.5793914097759084E-2</v>
      </c>
      <c r="I4293" s="224" t="s">
        <v>2</v>
      </c>
    </row>
    <row r="4294" spans="1:9" x14ac:dyDescent="0.25">
      <c r="A4294" s="515">
        <v>13905</v>
      </c>
      <c r="B4294" s="515" t="s">
        <v>840</v>
      </c>
      <c r="C4294" s="52">
        <v>150573.19999293701</v>
      </c>
      <c r="D4294" s="56">
        <v>8.879402127087839E-2</v>
      </c>
      <c r="E4294" s="224">
        <v>2005.69047619047</v>
      </c>
      <c r="F4294" s="515" t="s">
        <v>5578</v>
      </c>
      <c r="G4294" s="52">
        <v>99625.102222510395</v>
      </c>
      <c r="H4294" s="56">
        <v>-1.5100678124319726E-2</v>
      </c>
      <c r="I4294" s="224" t="s">
        <v>2</v>
      </c>
    </row>
    <row r="4295" spans="1:9" x14ac:dyDescent="0.25">
      <c r="A4295" s="515">
        <v>14424</v>
      </c>
      <c r="B4295" s="515" t="s">
        <v>337</v>
      </c>
      <c r="C4295" s="52">
        <v>285205.03206069098</v>
      </c>
      <c r="D4295" s="56">
        <v>0.11083439335818975</v>
      </c>
      <c r="E4295" s="224" t="s">
        <v>2</v>
      </c>
      <c r="F4295" s="515" t="s">
        <v>5579</v>
      </c>
      <c r="G4295" s="52">
        <v>465342.93641305802</v>
      </c>
      <c r="H4295" s="56">
        <v>0.10612691975967291</v>
      </c>
      <c r="I4295" s="224" t="s">
        <v>2</v>
      </c>
    </row>
    <row r="4296" spans="1:9" x14ac:dyDescent="0.25">
      <c r="A4296" s="515">
        <v>52732</v>
      </c>
      <c r="B4296" s="515" t="s">
        <v>330</v>
      </c>
      <c r="C4296" s="52">
        <v>110030.428320903</v>
      </c>
      <c r="D4296" s="56">
        <v>6.0894405091896975E-2</v>
      </c>
      <c r="E4296" s="224" t="s">
        <v>2</v>
      </c>
      <c r="F4296" s="515" t="s">
        <v>5580</v>
      </c>
      <c r="G4296" s="52">
        <v>377220.96560762898</v>
      </c>
      <c r="H4296" s="56">
        <v>9.1541269612638795E-2</v>
      </c>
      <c r="I4296" s="224" t="s">
        <v>2</v>
      </c>
    </row>
    <row r="4297" spans="1:9" x14ac:dyDescent="0.25">
      <c r="A4297" s="515">
        <v>37934</v>
      </c>
      <c r="B4297" s="515" t="s">
        <v>907</v>
      </c>
      <c r="C4297" s="52">
        <v>549309.33884294005</v>
      </c>
      <c r="D4297" s="56">
        <v>0.11795745308020528</v>
      </c>
      <c r="E4297" s="224">
        <v>2231.6666666666601</v>
      </c>
      <c r="F4297" s="515" t="s">
        <v>5581</v>
      </c>
      <c r="G4297" s="52">
        <v>57609.279085612798</v>
      </c>
      <c r="H4297" s="56">
        <v>2.0048104380976293E-2</v>
      </c>
      <c r="I4297" s="224" t="s">
        <v>2</v>
      </c>
    </row>
    <row r="4298" spans="1:9" x14ac:dyDescent="0.25">
      <c r="A4298" s="515">
        <v>27565</v>
      </c>
      <c r="B4298" s="515" t="s">
        <v>467</v>
      </c>
      <c r="C4298" s="52">
        <v>199837.77859586701</v>
      </c>
      <c r="D4298" s="56">
        <v>0.10802911908337065</v>
      </c>
      <c r="E4298" s="224" t="s">
        <v>2</v>
      </c>
      <c r="F4298" s="515" t="s">
        <v>5582</v>
      </c>
      <c r="G4298" s="52">
        <v>800239.38616731495</v>
      </c>
      <c r="H4298" s="56">
        <v>6.406710918588765E-2</v>
      </c>
      <c r="I4298" s="224" t="s">
        <v>2</v>
      </c>
    </row>
    <row r="4299" spans="1:9" x14ac:dyDescent="0.25">
      <c r="A4299" s="515">
        <v>89106</v>
      </c>
      <c r="B4299" s="515" t="s">
        <v>323</v>
      </c>
      <c r="C4299" s="52">
        <v>307522.93525182997</v>
      </c>
      <c r="D4299" s="56">
        <v>9.6419167077990517E-2</v>
      </c>
      <c r="E4299" s="224">
        <v>1867.0833333333301</v>
      </c>
      <c r="F4299" s="515" t="s">
        <v>5583</v>
      </c>
      <c r="G4299" s="52">
        <v>149834.58982007799</v>
      </c>
      <c r="H4299" s="56">
        <v>0.11896624705762711</v>
      </c>
      <c r="I4299" s="224" t="s">
        <v>2</v>
      </c>
    </row>
    <row r="4300" spans="1:9" x14ac:dyDescent="0.25">
      <c r="A4300" s="515">
        <v>7042</v>
      </c>
      <c r="B4300" s="515" t="s">
        <v>324</v>
      </c>
      <c r="C4300" s="52">
        <v>744353.41344941698</v>
      </c>
      <c r="D4300" s="56">
        <v>5.3813969872259164E-2</v>
      </c>
      <c r="E4300" s="224">
        <v>2739.4805555555499</v>
      </c>
      <c r="F4300" s="515" t="s">
        <v>5584</v>
      </c>
      <c r="G4300" s="52">
        <v>322869.53410562302</v>
      </c>
      <c r="H4300" s="56">
        <v>6.3807322516741954E-2</v>
      </c>
      <c r="I4300" s="224" t="s">
        <v>2</v>
      </c>
    </row>
    <row r="4301" spans="1:9" x14ac:dyDescent="0.25">
      <c r="A4301" s="515">
        <v>80301</v>
      </c>
      <c r="B4301" s="515" t="s">
        <v>702</v>
      </c>
      <c r="C4301" s="52">
        <v>717987.99534644897</v>
      </c>
      <c r="D4301" s="56">
        <v>5.2676816566809739E-2</v>
      </c>
      <c r="E4301" s="224">
        <v>2264.66025641025</v>
      </c>
      <c r="F4301" s="515" t="s">
        <v>5585</v>
      </c>
      <c r="G4301" s="52">
        <v>284340.77772271301</v>
      </c>
      <c r="H4301" s="56">
        <v>8.8713070626739443E-2</v>
      </c>
      <c r="I4301" s="224" t="s">
        <v>2</v>
      </c>
    </row>
    <row r="4302" spans="1:9" x14ac:dyDescent="0.25">
      <c r="A4302" s="515">
        <v>77380</v>
      </c>
      <c r="B4302" s="515" t="s">
        <v>314</v>
      </c>
      <c r="C4302" s="52">
        <v>351949.489691542</v>
      </c>
      <c r="D4302" s="56">
        <v>8.43234723670509E-2</v>
      </c>
      <c r="E4302" s="224">
        <v>1730.4711068211</v>
      </c>
      <c r="F4302" s="515" t="s">
        <v>5586</v>
      </c>
      <c r="G4302" s="52">
        <v>396362.09377434402</v>
      </c>
      <c r="H4302" s="56">
        <v>6.9222235882511307E-2</v>
      </c>
      <c r="I4302" s="224" t="s">
        <v>2</v>
      </c>
    </row>
    <row r="4303" spans="1:9" x14ac:dyDescent="0.25">
      <c r="A4303" s="515">
        <v>60459</v>
      </c>
      <c r="B4303" s="515" t="s">
        <v>394</v>
      </c>
      <c r="C4303" s="52">
        <v>254452.74679328801</v>
      </c>
      <c r="D4303" s="56">
        <v>3.699111609950851E-2</v>
      </c>
      <c r="E4303" s="224" t="s">
        <v>2</v>
      </c>
      <c r="F4303" s="515" t="s">
        <v>5587</v>
      </c>
      <c r="G4303" s="52">
        <v>223673.895652676</v>
      </c>
      <c r="H4303" s="56">
        <v>8.9523129368074009E-2</v>
      </c>
      <c r="I4303" s="224" t="s">
        <v>2</v>
      </c>
    </row>
    <row r="4304" spans="1:9" x14ac:dyDescent="0.25">
      <c r="A4304" s="515">
        <v>90270</v>
      </c>
      <c r="B4304" s="515" t="s">
        <v>375</v>
      </c>
      <c r="C4304" s="52">
        <v>592156.72240267997</v>
      </c>
      <c r="D4304" s="56">
        <v>8.4055448752515929E-2</v>
      </c>
      <c r="E4304" s="224" t="s">
        <v>2</v>
      </c>
      <c r="F4304" s="515" t="s">
        <v>5588</v>
      </c>
      <c r="G4304" s="52">
        <v>288063.69117126398</v>
      </c>
      <c r="H4304" s="56">
        <v>7.8326618728643008E-2</v>
      </c>
      <c r="I4304" s="224" t="s">
        <v>2</v>
      </c>
    </row>
    <row r="4305" spans="1:9" x14ac:dyDescent="0.25">
      <c r="A4305" s="515">
        <v>11429</v>
      </c>
      <c r="B4305" s="515" t="s">
        <v>324</v>
      </c>
      <c r="C4305" s="52">
        <v>625721.60748067801</v>
      </c>
      <c r="D4305" s="56">
        <v>5.7844171189322738E-2</v>
      </c>
      <c r="E4305" s="224" t="s">
        <v>2</v>
      </c>
      <c r="F4305" s="515" t="s">
        <v>5589</v>
      </c>
      <c r="G4305" s="52">
        <v>405709.03738317703</v>
      </c>
      <c r="H4305" s="56">
        <v>0</v>
      </c>
      <c r="I4305" s="224" t="s">
        <v>2</v>
      </c>
    </row>
    <row r="4306" spans="1:9" x14ac:dyDescent="0.25">
      <c r="A4306" s="515">
        <v>6109</v>
      </c>
      <c r="B4306" s="515" t="s">
        <v>894</v>
      </c>
      <c r="C4306" s="52">
        <v>318518.36300393997</v>
      </c>
      <c r="D4306" s="56">
        <v>8.7535458830575882E-2</v>
      </c>
      <c r="E4306" s="224">
        <v>1925</v>
      </c>
      <c r="F4306" s="515" t="s">
        <v>5590</v>
      </c>
      <c r="G4306" s="52">
        <v>265389.54418506997</v>
      </c>
      <c r="H4306" s="56">
        <v>0.13561338053112507</v>
      </c>
      <c r="I4306" s="224">
        <v>1594</v>
      </c>
    </row>
    <row r="4307" spans="1:9" x14ac:dyDescent="0.25">
      <c r="A4307" s="515">
        <v>66441</v>
      </c>
      <c r="B4307" s="515" t="s">
        <v>795</v>
      </c>
      <c r="C4307" s="52">
        <v>167348.649066971</v>
      </c>
      <c r="D4307" s="56">
        <v>7.276855948528467E-2</v>
      </c>
      <c r="E4307" s="224">
        <v>869.11375661375598</v>
      </c>
      <c r="F4307" s="515" t="s">
        <v>5591</v>
      </c>
      <c r="G4307" s="52">
        <v>335087.10494142899</v>
      </c>
      <c r="H4307" s="56">
        <v>7.573020016671167E-2</v>
      </c>
      <c r="I4307" s="224" t="s">
        <v>2</v>
      </c>
    </row>
    <row r="4308" spans="1:9" x14ac:dyDescent="0.25">
      <c r="A4308" s="515">
        <v>78222</v>
      </c>
      <c r="B4308" s="515" t="s">
        <v>717</v>
      </c>
      <c r="C4308" s="52">
        <v>225435.01718326201</v>
      </c>
      <c r="D4308" s="56">
        <v>8.6578137002917208E-2</v>
      </c>
      <c r="E4308" s="224">
        <v>1741</v>
      </c>
      <c r="F4308" s="515" t="s">
        <v>5592</v>
      </c>
      <c r="G4308" s="52">
        <v>434233.28740970598</v>
      </c>
      <c r="H4308" s="56">
        <v>0.12990966597502632</v>
      </c>
      <c r="I4308" s="224">
        <v>1736.0833333333301</v>
      </c>
    </row>
    <row r="4309" spans="1:9" x14ac:dyDescent="0.25">
      <c r="A4309" s="515">
        <v>68022</v>
      </c>
      <c r="B4309" s="515" t="s">
        <v>367</v>
      </c>
      <c r="C4309" s="52">
        <v>472913.20484778099</v>
      </c>
      <c r="D4309" s="56">
        <v>7.5174648480778566E-2</v>
      </c>
      <c r="E4309" s="224">
        <v>1670.55555555555</v>
      </c>
      <c r="F4309" s="515" t="s">
        <v>5593</v>
      </c>
      <c r="G4309" s="52">
        <v>739082.90600132104</v>
      </c>
      <c r="H4309" s="56">
        <v>5.9406316069138848E-2</v>
      </c>
      <c r="I4309" s="224" t="s">
        <v>2</v>
      </c>
    </row>
    <row r="4310" spans="1:9" x14ac:dyDescent="0.25">
      <c r="A4310" s="515">
        <v>33770</v>
      </c>
      <c r="B4310" s="515" t="s">
        <v>461</v>
      </c>
      <c r="C4310" s="52">
        <v>360620.90677486302</v>
      </c>
      <c r="D4310" s="56">
        <v>0.12416584241244405</v>
      </c>
      <c r="E4310" s="224">
        <v>1789.0952380952299</v>
      </c>
      <c r="F4310" s="515" t="s">
        <v>5594</v>
      </c>
      <c r="G4310" s="52">
        <v>177570.480752303</v>
      </c>
      <c r="H4310" s="56">
        <v>1.9053493967022397E-2</v>
      </c>
      <c r="I4310" s="224" t="s">
        <v>2</v>
      </c>
    </row>
    <row r="4311" spans="1:9" x14ac:dyDescent="0.25">
      <c r="A4311" s="515">
        <v>54494</v>
      </c>
      <c r="B4311" s="515" t="s">
        <v>607</v>
      </c>
      <c r="C4311" s="52">
        <v>171880.78378977301</v>
      </c>
      <c r="D4311" s="56">
        <v>7.1552694158534921E-2</v>
      </c>
      <c r="E4311" s="224" t="s">
        <v>2</v>
      </c>
      <c r="F4311" s="515" t="s">
        <v>5595</v>
      </c>
      <c r="G4311" s="52">
        <v>570993.63613219606</v>
      </c>
      <c r="H4311" s="56">
        <v>4.0921250094513785E-2</v>
      </c>
      <c r="I4311" s="224" t="s">
        <v>2</v>
      </c>
    </row>
    <row r="4312" spans="1:9" x14ac:dyDescent="0.25">
      <c r="A4312" s="515">
        <v>33618</v>
      </c>
      <c r="B4312" s="515" t="s">
        <v>461</v>
      </c>
      <c r="C4312" s="52">
        <v>431932.73134244699</v>
      </c>
      <c r="D4312" s="56">
        <v>9.987659206161148E-2</v>
      </c>
      <c r="E4312" s="224">
        <v>1647.24603174603</v>
      </c>
      <c r="F4312" s="515" t="s">
        <v>5596</v>
      </c>
      <c r="G4312" s="52">
        <v>340114.03781624202</v>
      </c>
      <c r="H4312" s="56">
        <v>7.5500040729141474E-2</v>
      </c>
      <c r="I4312" s="224">
        <v>1775.75</v>
      </c>
    </row>
    <row r="4313" spans="1:9" x14ac:dyDescent="0.25">
      <c r="A4313" s="515">
        <v>96753</v>
      </c>
      <c r="B4313" s="515" t="s">
        <v>400</v>
      </c>
      <c r="C4313" s="52">
        <v>1069130.2639905901</v>
      </c>
      <c r="D4313" s="56">
        <v>0.161201340248359</v>
      </c>
      <c r="E4313" s="224">
        <v>3491.6666666666601</v>
      </c>
      <c r="F4313" s="515" t="s">
        <v>5597</v>
      </c>
      <c r="G4313" s="52">
        <v>225813.200874751</v>
      </c>
      <c r="H4313" s="56">
        <v>7.4892699985095221E-2</v>
      </c>
      <c r="I4313" s="224">
        <v>1548.7777777777701</v>
      </c>
    </row>
    <row r="4314" spans="1:9" x14ac:dyDescent="0.25">
      <c r="A4314" s="515">
        <v>98072</v>
      </c>
      <c r="B4314" s="515" t="s">
        <v>384</v>
      </c>
      <c r="C4314" s="52">
        <v>1125579.42355261</v>
      </c>
      <c r="D4314" s="56">
        <v>6.7668481504234143E-2</v>
      </c>
      <c r="E4314" s="224">
        <v>2350.8333333333298</v>
      </c>
      <c r="F4314" s="515" t="s">
        <v>5598</v>
      </c>
      <c r="G4314" s="52">
        <v>389449.58819152601</v>
      </c>
      <c r="H4314" s="56">
        <v>0.17036162972680935</v>
      </c>
      <c r="I4314" s="224" t="s">
        <v>2</v>
      </c>
    </row>
    <row r="4315" spans="1:9" x14ac:dyDescent="0.25">
      <c r="A4315" s="515">
        <v>53406</v>
      </c>
      <c r="B4315" s="515" t="s">
        <v>1151</v>
      </c>
      <c r="C4315" s="52">
        <v>254473.02986803401</v>
      </c>
      <c r="D4315" s="56">
        <v>6.3440557587908411E-2</v>
      </c>
      <c r="E4315" s="224" t="s">
        <v>2</v>
      </c>
      <c r="F4315" s="515" t="s">
        <v>5599</v>
      </c>
      <c r="G4315" s="52">
        <v>154175.44974831099</v>
      </c>
      <c r="H4315" s="56">
        <v>7.1816673966081268E-2</v>
      </c>
      <c r="I4315" s="224" t="s">
        <v>2</v>
      </c>
    </row>
    <row r="4316" spans="1:9" x14ac:dyDescent="0.25">
      <c r="A4316" s="515">
        <v>20136</v>
      </c>
      <c r="B4316" s="515" t="s">
        <v>321</v>
      </c>
      <c r="C4316" s="52">
        <v>631476.27607395605</v>
      </c>
      <c r="D4316" s="56">
        <v>2.1874745557567295E-2</v>
      </c>
      <c r="E4316" s="224">
        <v>2822.2222222222199</v>
      </c>
      <c r="F4316" s="515" t="s">
        <v>5600</v>
      </c>
      <c r="G4316" s="52">
        <v>210009.962004106</v>
      </c>
      <c r="H4316" s="56">
        <v>8.0052348209673538E-2</v>
      </c>
      <c r="I4316" s="224" t="s">
        <v>2</v>
      </c>
    </row>
    <row r="4317" spans="1:9" x14ac:dyDescent="0.25">
      <c r="A4317" s="515">
        <v>44515</v>
      </c>
      <c r="B4317" s="515" t="s">
        <v>397</v>
      </c>
      <c r="C4317" s="52">
        <v>147779.388988547</v>
      </c>
      <c r="D4317" s="56">
        <v>9.9477325420274113E-2</v>
      </c>
      <c r="E4317" s="224" t="s">
        <v>2</v>
      </c>
      <c r="F4317" s="515" t="s">
        <v>5601</v>
      </c>
      <c r="G4317" s="52">
        <v>576276.33676910202</v>
      </c>
      <c r="H4317" s="56">
        <v>9.1183036143832968E-2</v>
      </c>
      <c r="I4317" s="224" t="s">
        <v>2</v>
      </c>
    </row>
    <row r="4318" spans="1:9" x14ac:dyDescent="0.25">
      <c r="A4318" s="515">
        <v>70117</v>
      </c>
      <c r="B4318" s="515" t="s">
        <v>777</v>
      </c>
      <c r="C4318" s="52">
        <v>193074.26159142901</v>
      </c>
      <c r="D4318" s="56">
        <v>3.5016135054482221E-2</v>
      </c>
      <c r="E4318" s="224">
        <v>1491.1044973544899</v>
      </c>
      <c r="F4318" s="515" t="s">
        <v>5602</v>
      </c>
      <c r="G4318" s="52">
        <v>150979.20798038301</v>
      </c>
      <c r="H4318" s="56">
        <v>0.13627428112128759</v>
      </c>
      <c r="I4318" s="224" t="s">
        <v>2</v>
      </c>
    </row>
    <row r="4319" spans="1:9" x14ac:dyDescent="0.25">
      <c r="A4319" s="515">
        <v>94306</v>
      </c>
      <c r="B4319" s="515" t="s">
        <v>850</v>
      </c>
      <c r="C4319" s="52">
        <v>2856498.48545994</v>
      </c>
      <c r="D4319" s="56">
        <v>1.2434413980137782E-2</v>
      </c>
      <c r="E4319" s="224">
        <v>3525.5222222222201</v>
      </c>
      <c r="F4319" s="515" t="s">
        <v>5603</v>
      </c>
      <c r="G4319" s="52">
        <v>212424.335361648</v>
      </c>
      <c r="H4319" s="56">
        <v>6.6976157760748153E-2</v>
      </c>
      <c r="I4319" s="224">
        <v>1345</v>
      </c>
    </row>
    <row r="4320" spans="1:9" x14ac:dyDescent="0.25">
      <c r="A4320" s="515">
        <v>76710</v>
      </c>
      <c r="B4320" s="515" t="s">
        <v>1057</v>
      </c>
      <c r="C4320" s="52">
        <v>247656.93689881501</v>
      </c>
      <c r="D4320" s="56">
        <v>9.3875616976751911E-2</v>
      </c>
      <c r="E4320" s="224">
        <v>1508.3333333333301</v>
      </c>
      <c r="F4320" s="515" t="s">
        <v>5604</v>
      </c>
      <c r="G4320" s="52">
        <v>495295.75048895099</v>
      </c>
      <c r="H4320" s="56">
        <v>2.2560209845483587E-2</v>
      </c>
      <c r="I4320" s="224" t="s">
        <v>2</v>
      </c>
    </row>
    <row r="4321" spans="1:9" x14ac:dyDescent="0.25">
      <c r="A4321" s="515">
        <v>63109</v>
      </c>
      <c r="B4321" s="515" t="s">
        <v>498</v>
      </c>
      <c r="C4321" s="52">
        <v>233715.473780998</v>
      </c>
      <c r="D4321" s="56">
        <v>5.3088249477954347E-2</v>
      </c>
      <c r="E4321" s="224">
        <v>1054.7190476190401</v>
      </c>
      <c r="F4321" s="515" t="s">
        <v>1027</v>
      </c>
      <c r="G4321" s="52">
        <v>171537.53614905701</v>
      </c>
      <c r="H4321" s="56">
        <v>5.319618004323904E-2</v>
      </c>
      <c r="I4321" s="224" t="s">
        <v>2</v>
      </c>
    </row>
    <row r="4322" spans="1:9" x14ac:dyDescent="0.25">
      <c r="A4322" s="515">
        <v>66044</v>
      </c>
      <c r="B4322" s="515" t="s">
        <v>1116</v>
      </c>
      <c r="C4322" s="52">
        <v>229234.668545372</v>
      </c>
      <c r="D4322" s="56">
        <v>6.65883485069554E-2</v>
      </c>
      <c r="E4322" s="224">
        <v>1362.63888888888</v>
      </c>
      <c r="F4322" s="515" t="s">
        <v>5605</v>
      </c>
      <c r="G4322" s="52">
        <v>242774.86604900099</v>
      </c>
      <c r="H4322" s="56">
        <v>4.9892732100730981E-2</v>
      </c>
      <c r="I4322" s="224" t="s">
        <v>2</v>
      </c>
    </row>
    <row r="4323" spans="1:9" x14ac:dyDescent="0.25">
      <c r="A4323" s="515">
        <v>1830</v>
      </c>
      <c r="B4323" s="515" t="s">
        <v>534</v>
      </c>
      <c r="C4323" s="52">
        <v>458063.27893506602</v>
      </c>
      <c r="D4323" s="56">
        <v>7.4105870474657151E-2</v>
      </c>
      <c r="E4323" s="224">
        <v>1912.19047619047</v>
      </c>
      <c r="F4323" s="515" t="s">
        <v>5606</v>
      </c>
      <c r="G4323" s="52">
        <v>163956.86395867399</v>
      </c>
      <c r="H4323" s="56">
        <v>6.8077139202104439E-2</v>
      </c>
      <c r="I4323" s="224" t="s">
        <v>2</v>
      </c>
    </row>
    <row r="4324" spans="1:9" x14ac:dyDescent="0.25">
      <c r="A4324" s="515">
        <v>10710</v>
      </c>
      <c r="B4324" s="515" t="s">
        <v>324</v>
      </c>
      <c r="C4324" s="52">
        <v>629416.47163344501</v>
      </c>
      <c r="D4324" s="56">
        <v>3.1497780329704073E-2</v>
      </c>
      <c r="E4324" s="224" t="s">
        <v>2</v>
      </c>
      <c r="F4324" s="515" t="s">
        <v>5607</v>
      </c>
      <c r="G4324" s="52">
        <v>249790.76577140699</v>
      </c>
      <c r="H4324" s="56">
        <v>3.065736095933904E-2</v>
      </c>
      <c r="I4324" s="224" t="s">
        <v>2</v>
      </c>
    </row>
    <row r="4325" spans="1:9" x14ac:dyDescent="0.25">
      <c r="A4325" s="515">
        <v>70448</v>
      </c>
      <c r="B4325" s="515" t="s">
        <v>777</v>
      </c>
      <c r="C4325" s="52">
        <v>320297.636961015</v>
      </c>
      <c r="D4325" s="56">
        <v>3.4895679590926494E-2</v>
      </c>
      <c r="E4325" s="224">
        <v>1758.7301587301499</v>
      </c>
      <c r="F4325" s="515" t="s">
        <v>5608</v>
      </c>
      <c r="G4325" s="52">
        <v>308746.77870657103</v>
      </c>
      <c r="H4325" s="56">
        <v>0.11064967432288024</v>
      </c>
      <c r="I4325" s="224" t="s">
        <v>2</v>
      </c>
    </row>
    <row r="4326" spans="1:9" x14ac:dyDescent="0.25">
      <c r="A4326" s="515">
        <v>82718</v>
      </c>
      <c r="B4326" s="515" t="s">
        <v>589</v>
      </c>
      <c r="C4326" s="52">
        <v>318121.68448076298</v>
      </c>
      <c r="D4326" s="56">
        <v>5.45499088600718E-2</v>
      </c>
      <c r="E4326" s="224" t="s">
        <v>2</v>
      </c>
      <c r="F4326" s="515" t="s">
        <v>5609</v>
      </c>
      <c r="G4326" s="52">
        <v>217917.86798797801</v>
      </c>
      <c r="H4326" s="56">
        <v>0.1876693904082363</v>
      </c>
      <c r="I4326" s="224">
        <v>1442.5</v>
      </c>
    </row>
    <row r="4327" spans="1:9" x14ac:dyDescent="0.25">
      <c r="A4327" s="515">
        <v>98516</v>
      </c>
      <c r="B4327" s="515" t="s">
        <v>527</v>
      </c>
      <c r="C4327" s="52">
        <v>546534.222456694</v>
      </c>
      <c r="D4327" s="56">
        <v>3.3910354260610315E-2</v>
      </c>
      <c r="E4327" s="224">
        <v>2313.4464285714198</v>
      </c>
      <c r="F4327" s="515" t="s">
        <v>5610</v>
      </c>
      <c r="G4327" s="52">
        <v>205352.27677431301</v>
      </c>
      <c r="H4327" s="56">
        <v>9.7803504054746013E-2</v>
      </c>
      <c r="I4327" s="224" t="s">
        <v>2</v>
      </c>
    </row>
    <row r="4328" spans="1:9" x14ac:dyDescent="0.25">
      <c r="A4328" s="515">
        <v>34109</v>
      </c>
      <c r="B4328" s="515" t="s">
        <v>365</v>
      </c>
      <c r="C4328" s="52">
        <v>630375.95635002898</v>
      </c>
      <c r="D4328" s="56">
        <v>0.14958357795758576</v>
      </c>
      <c r="E4328" s="224">
        <v>2680.7142857142799</v>
      </c>
      <c r="F4328" s="515" t="s">
        <v>5611</v>
      </c>
      <c r="G4328" s="52">
        <v>318445.70659765502</v>
      </c>
      <c r="H4328" s="56">
        <v>0.110426615075603</v>
      </c>
      <c r="I4328" s="224" t="s">
        <v>2</v>
      </c>
    </row>
    <row r="4329" spans="1:9" x14ac:dyDescent="0.25">
      <c r="A4329" s="515">
        <v>92868</v>
      </c>
      <c r="B4329" s="515" t="s">
        <v>375</v>
      </c>
      <c r="C4329" s="52">
        <v>741519.99430838798</v>
      </c>
      <c r="D4329" s="56">
        <v>5.2753280390649721E-2</v>
      </c>
      <c r="E4329" s="224">
        <v>2826.7217592592501</v>
      </c>
      <c r="F4329" s="515" t="s">
        <v>5612</v>
      </c>
      <c r="G4329" s="52">
        <v>207122.001977006</v>
      </c>
      <c r="H4329" s="56">
        <v>9.3353610680462717E-2</v>
      </c>
      <c r="I4329" s="224" t="s">
        <v>2</v>
      </c>
    </row>
    <row r="4330" spans="1:9" x14ac:dyDescent="0.25">
      <c r="A4330" s="515">
        <v>1605</v>
      </c>
      <c r="B4330" s="515" t="s">
        <v>751</v>
      </c>
      <c r="C4330" s="52">
        <v>370620.56670727499</v>
      </c>
      <c r="D4330" s="56">
        <v>7.253131233987635E-2</v>
      </c>
      <c r="E4330" s="224">
        <v>1654.1666666666599</v>
      </c>
      <c r="F4330" s="515" t="s">
        <v>5613</v>
      </c>
      <c r="G4330" s="52">
        <v>1105288.03602831</v>
      </c>
      <c r="H4330" s="56">
        <v>0.16360354933613799</v>
      </c>
      <c r="I4330" s="224" t="s">
        <v>2</v>
      </c>
    </row>
    <row r="4331" spans="1:9" x14ac:dyDescent="0.25">
      <c r="A4331" s="515">
        <v>48161</v>
      </c>
      <c r="B4331" s="515" t="s">
        <v>1033</v>
      </c>
      <c r="C4331" s="52">
        <v>176178.76131961</v>
      </c>
      <c r="D4331" s="56">
        <v>4.1564858637619106E-2</v>
      </c>
      <c r="E4331" s="224" t="s">
        <v>2</v>
      </c>
      <c r="F4331" s="515" t="s">
        <v>5614</v>
      </c>
      <c r="G4331" s="52">
        <v>395355.65352411801</v>
      </c>
      <c r="H4331" s="56">
        <v>5.0523423085729963E-2</v>
      </c>
      <c r="I4331" s="224" t="s">
        <v>2</v>
      </c>
    </row>
    <row r="4332" spans="1:9" x14ac:dyDescent="0.25">
      <c r="A4332" s="515">
        <v>19130</v>
      </c>
      <c r="B4332" s="515" t="s">
        <v>294</v>
      </c>
      <c r="C4332" s="52">
        <v>407287.59647726401</v>
      </c>
      <c r="D4332" s="56">
        <v>-1.0242972041330584E-2</v>
      </c>
      <c r="E4332" s="224">
        <v>1948.77758712727</v>
      </c>
      <c r="F4332" s="515" t="s">
        <v>5615</v>
      </c>
      <c r="G4332" s="52">
        <v>77390.312927734907</v>
      </c>
      <c r="H4332" s="56">
        <v>0.1963503044068437</v>
      </c>
      <c r="I4332" s="224" t="s">
        <v>2</v>
      </c>
    </row>
    <row r="4333" spans="1:9" x14ac:dyDescent="0.25">
      <c r="A4333" s="515">
        <v>46750</v>
      </c>
      <c r="B4333" s="515" t="s">
        <v>1144</v>
      </c>
      <c r="C4333" s="52">
        <v>151458.92348846799</v>
      </c>
      <c r="D4333" s="56">
        <v>8.4784595613323591E-2</v>
      </c>
      <c r="E4333" s="224" t="s">
        <v>2</v>
      </c>
      <c r="F4333" s="515" t="s">
        <v>5616</v>
      </c>
      <c r="G4333" s="52">
        <v>255164.698549458</v>
      </c>
      <c r="H4333" s="56">
        <v>0.12865876277279165</v>
      </c>
      <c r="I4333" s="224" t="s">
        <v>2</v>
      </c>
    </row>
    <row r="4334" spans="1:9" x14ac:dyDescent="0.25">
      <c r="A4334" s="515">
        <v>34986</v>
      </c>
      <c r="B4334" s="515" t="s">
        <v>1180</v>
      </c>
      <c r="C4334" s="52">
        <v>399622.83346872102</v>
      </c>
      <c r="D4334" s="56">
        <v>0.10874905068594566</v>
      </c>
      <c r="E4334" s="224">
        <v>2282.36666666666</v>
      </c>
      <c r="F4334" s="515" t="s">
        <v>5617</v>
      </c>
      <c r="G4334" s="52">
        <v>191482.16908569899</v>
      </c>
      <c r="H4334" s="56">
        <v>7.2403690021742809E-2</v>
      </c>
      <c r="I4334" s="224" t="s">
        <v>2</v>
      </c>
    </row>
    <row r="4335" spans="1:9" x14ac:dyDescent="0.25">
      <c r="A4335" s="515">
        <v>53220</v>
      </c>
      <c r="B4335" s="515" t="s">
        <v>950</v>
      </c>
      <c r="C4335" s="52">
        <v>231167.99728568699</v>
      </c>
      <c r="D4335" s="56">
        <v>6.5529246393916593E-2</v>
      </c>
      <c r="E4335" s="224" t="s">
        <v>2</v>
      </c>
      <c r="F4335" s="515" t="s">
        <v>1256</v>
      </c>
      <c r="G4335" s="52">
        <v>345182.00264908402</v>
      </c>
      <c r="H4335" s="56">
        <v>3.9248834221820371E-2</v>
      </c>
      <c r="I4335" s="224">
        <v>1904.1666666666599</v>
      </c>
    </row>
    <row r="4336" spans="1:9" x14ac:dyDescent="0.25">
      <c r="A4336" s="515">
        <v>93960</v>
      </c>
      <c r="B4336" s="515" t="s">
        <v>443</v>
      </c>
      <c r="C4336" s="52">
        <v>554570.92592408904</v>
      </c>
      <c r="D4336" s="56">
        <v>2.793597037020509E-2</v>
      </c>
      <c r="E4336" s="224" t="s">
        <v>2</v>
      </c>
      <c r="F4336" s="515" t="s">
        <v>5618</v>
      </c>
      <c r="G4336" s="52">
        <v>693335.39729107998</v>
      </c>
      <c r="H4336" s="56">
        <v>5.6442275640084916E-2</v>
      </c>
      <c r="I4336" s="224" t="s">
        <v>2</v>
      </c>
    </row>
    <row r="4337" spans="1:9" x14ac:dyDescent="0.25">
      <c r="A4337" s="515">
        <v>48085</v>
      </c>
      <c r="B4337" s="515" t="s">
        <v>685</v>
      </c>
      <c r="C4337" s="52">
        <v>382070.02300516499</v>
      </c>
      <c r="D4337" s="56">
        <v>2.2357587532406492E-2</v>
      </c>
      <c r="E4337" s="224" t="s">
        <v>2</v>
      </c>
      <c r="F4337" s="515" t="s">
        <v>5619</v>
      </c>
      <c r="G4337" s="52">
        <v>464466.46706199797</v>
      </c>
      <c r="H4337" s="56">
        <v>3.3538906504994165E-2</v>
      </c>
      <c r="I4337" s="224" t="s">
        <v>2</v>
      </c>
    </row>
    <row r="4338" spans="1:9" x14ac:dyDescent="0.25">
      <c r="A4338" s="515">
        <v>33928</v>
      </c>
      <c r="B4338" s="515" t="s">
        <v>661</v>
      </c>
      <c r="C4338" s="52">
        <v>507223.94499782601</v>
      </c>
      <c r="D4338" s="56">
        <v>0.13737653788781204</v>
      </c>
      <c r="E4338" s="224">
        <v>2707.1606060606</v>
      </c>
      <c r="F4338" s="515" t="s">
        <v>5620</v>
      </c>
      <c r="G4338" s="52">
        <v>644646.956155758</v>
      </c>
      <c r="H4338" s="56">
        <v>5.7072259992995152E-2</v>
      </c>
      <c r="I4338" s="224" t="s">
        <v>2</v>
      </c>
    </row>
    <row r="4339" spans="1:9" x14ac:dyDescent="0.25">
      <c r="A4339" s="515">
        <v>43223</v>
      </c>
      <c r="B4339" s="515" t="s">
        <v>345</v>
      </c>
      <c r="C4339" s="52">
        <v>149388.47346744899</v>
      </c>
      <c r="D4339" s="56">
        <v>0.16092254110036475</v>
      </c>
      <c r="E4339" s="224">
        <v>1167.7777777777701</v>
      </c>
      <c r="F4339" s="515" t="s">
        <v>5621</v>
      </c>
      <c r="G4339" s="52">
        <v>555927.15401306597</v>
      </c>
      <c r="H4339" s="56">
        <v>4.267019189956222E-2</v>
      </c>
      <c r="I4339" s="224">
        <v>1538</v>
      </c>
    </row>
    <row r="4340" spans="1:9" x14ac:dyDescent="0.25">
      <c r="A4340" s="515">
        <v>54449</v>
      </c>
      <c r="B4340" s="515" t="s">
        <v>607</v>
      </c>
      <c r="C4340" s="52">
        <v>197723.55314404401</v>
      </c>
      <c r="D4340" s="56">
        <v>5.6873122360635825E-2</v>
      </c>
      <c r="E4340" s="224" t="s">
        <v>2</v>
      </c>
      <c r="F4340" s="515" t="s">
        <v>5622</v>
      </c>
      <c r="G4340" s="52">
        <v>240943.60748509999</v>
      </c>
      <c r="H4340" s="56">
        <v>9.3748499157345788E-2</v>
      </c>
      <c r="I4340" s="224" t="s">
        <v>2</v>
      </c>
    </row>
    <row r="4341" spans="1:9" x14ac:dyDescent="0.25">
      <c r="A4341" s="515">
        <v>23237</v>
      </c>
      <c r="B4341" s="515" t="s">
        <v>667</v>
      </c>
      <c r="C4341" s="52">
        <v>290316.95838530199</v>
      </c>
      <c r="D4341" s="56">
        <v>0.15237823379940779</v>
      </c>
      <c r="E4341" s="224">
        <v>1530.8333333333301</v>
      </c>
      <c r="F4341" s="515" t="s">
        <v>5623</v>
      </c>
      <c r="G4341" s="52">
        <v>630780.51625297999</v>
      </c>
      <c r="H4341" s="56">
        <v>2.5619242249373834E-2</v>
      </c>
      <c r="I4341" s="224">
        <v>1756.3333333333301</v>
      </c>
    </row>
    <row r="4342" spans="1:9" x14ac:dyDescent="0.25">
      <c r="A4342" s="515">
        <v>70126</v>
      </c>
      <c r="B4342" s="515" t="s">
        <v>777</v>
      </c>
      <c r="C4342" s="52">
        <v>168612.404048141</v>
      </c>
      <c r="D4342" s="56">
        <v>3.0884251812011734E-2</v>
      </c>
      <c r="E4342" s="224" t="s">
        <v>2</v>
      </c>
      <c r="F4342" s="515" t="s">
        <v>5624</v>
      </c>
      <c r="G4342" s="52">
        <v>136629.45838404499</v>
      </c>
      <c r="H4342" s="56">
        <v>2.9172056313599405E-2</v>
      </c>
      <c r="I4342" s="224" t="s">
        <v>2</v>
      </c>
    </row>
    <row r="4343" spans="1:9" x14ac:dyDescent="0.25">
      <c r="A4343" s="515">
        <v>60448</v>
      </c>
      <c r="B4343" s="515" t="s">
        <v>394</v>
      </c>
      <c r="C4343" s="52">
        <v>370382.05526075198</v>
      </c>
      <c r="D4343" s="56">
        <v>6.0595365673451543E-2</v>
      </c>
      <c r="E4343" s="224" t="s">
        <v>2</v>
      </c>
      <c r="F4343" s="515" t="s">
        <v>5625</v>
      </c>
      <c r="G4343" s="52">
        <v>258540.07931722901</v>
      </c>
      <c r="H4343" s="56">
        <v>7.6561725368911426E-2</v>
      </c>
      <c r="I4343" s="224" t="s">
        <v>2</v>
      </c>
    </row>
    <row r="4344" spans="1:9" x14ac:dyDescent="0.25">
      <c r="A4344" s="515">
        <v>98335</v>
      </c>
      <c r="B4344" s="515" t="s">
        <v>384</v>
      </c>
      <c r="C4344" s="52">
        <v>767760.41090563405</v>
      </c>
      <c r="D4344" s="56">
        <v>4.461178591233414E-2</v>
      </c>
      <c r="E4344" s="224">
        <v>2507.7777777777701</v>
      </c>
      <c r="F4344" s="515" t="s">
        <v>953</v>
      </c>
      <c r="G4344" s="52">
        <v>100116.404901781</v>
      </c>
      <c r="H4344" s="56">
        <v>-3.4739498874688732E-2</v>
      </c>
      <c r="I4344" s="224" t="s">
        <v>2</v>
      </c>
    </row>
    <row r="4345" spans="1:9" x14ac:dyDescent="0.25">
      <c r="A4345" s="515">
        <v>53222</v>
      </c>
      <c r="B4345" s="515" t="s">
        <v>950</v>
      </c>
      <c r="C4345" s="52">
        <v>207057.066935835</v>
      </c>
      <c r="D4345" s="56">
        <v>6.3525044853708815E-2</v>
      </c>
      <c r="E4345" s="224">
        <v>1080.8333333333301</v>
      </c>
      <c r="F4345" s="515" t="s">
        <v>5626</v>
      </c>
      <c r="G4345" s="52">
        <v>194718.03623407401</v>
      </c>
      <c r="H4345" s="56">
        <v>3.2956548393334756E-2</v>
      </c>
      <c r="I4345" s="224" t="s">
        <v>2</v>
      </c>
    </row>
    <row r="4346" spans="1:9" x14ac:dyDescent="0.25">
      <c r="A4346" s="515">
        <v>32163</v>
      </c>
      <c r="B4346" s="515" t="s">
        <v>558</v>
      </c>
      <c r="C4346" s="52">
        <v>509255.27726541797</v>
      </c>
      <c r="D4346" s="56">
        <v>0.10226711177516754</v>
      </c>
      <c r="E4346" s="224">
        <v>2443.75</v>
      </c>
      <c r="F4346" s="515" t="s">
        <v>5627</v>
      </c>
      <c r="G4346" s="52">
        <v>59240.503150598997</v>
      </c>
      <c r="H4346" s="56">
        <v>-4.8683258290325271E-2</v>
      </c>
      <c r="I4346" s="224" t="s">
        <v>2</v>
      </c>
    </row>
    <row r="4347" spans="1:9" x14ac:dyDescent="0.25">
      <c r="A4347" s="515">
        <v>70363</v>
      </c>
      <c r="B4347" s="515" t="s">
        <v>898</v>
      </c>
      <c r="C4347" s="52">
        <v>109101.612784107</v>
      </c>
      <c r="D4347" s="56">
        <v>-0.13202233316869941</v>
      </c>
      <c r="E4347" s="224" t="s">
        <v>2</v>
      </c>
      <c r="F4347" s="515" t="s">
        <v>5628</v>
      </c>
      <c r="G4347" s="52">
        <v>254269.99142314401</v>
      </c>
      <c r="H4347" s="56">
        <v>0.16054360124395153</v>
      </c>
      <c r="I4347" s="224" t="s">
        <v>2</v>
      </c>
    </row>
    <row r="4348" spans="1:9" x14ac:dyDescent="0.25">
      <c r="A4348" s="515">
        <v>55129</v>
      </c>
      <c r="B4348" s="515" t="s">
        <v>532</v>
      </c>
      <c r="C4348" s="52">
        <v>520600.25768667</v>
      </c>
      <c r="D4348" s="56">
        <v>4.2098689174857311E-2</v>
      </c>
      <c r="E4348" s="224">
        <v>1936.8547008547</v>
      </c>
      <c r="F4348" s="515" t="s">
        <v>5629</v>
      </c>
      <c r="G4348" s="52">
        <v>138632.459676889</v>
      </c>
      <c r="H4348" s="56">
        <v>0.11555604797001652</v>
      </c>
      <c r="I4348" s="224" t="s">
        <v>2</v>
      </c>
    </row>
    <row r="4349" spans="1:9" x14ac:dyDescent="0.25">
      <c r="A4349" s="515">
        <v>94402</v>
      </c>
      <c r="B4349" s="515" t="s">
        <v>593</v>
      </c>
      <c r="C4349" s="52">
        <v>2119786.8412270001</v>
      </c>
      <c r="D4349" s="56">
        <v>1.390216373745989E-2</v>
      </c>
      <c r="E4349" s="224">
        <v>3439.2153846153801</v>
      </c>
      <c r="F4349" s="515" t="s">
        <v>5630</v>
      </c>
      <c r="G4349" s="52">
        <v>277036.78668001201</v>
      </c>
      <c r="H4349" s="56">
        <v>9.2370436793521984E-2</v>
      </c>
      <c r="I4349" s="224" t="s">
        <v>2</v>
      </c>
    </row>
    <row r="4350" spans="1:9" x14ac:dyDescent="0.25">
      <c r="A4350" s="515">
        <v>78653</v>
      </c>
      <c r="B4350" s="515" t="s">
        <v>380</v>
      </c>
      <c r="C4350" s="52">
        <v>360444.68026145699</v>
      </c>
      <c r="D4350" s="56">
        <v>1.779586718253786E-2</v>
      </c>
      <c r="E4350" s="224">
        <v>1873.57142857142</v>
      </c>
      <c r="F4350" s="515" t="s">
        <v>5631</v>
      </c>
      <c r="G4350" s="52">
        <v>150299.93157820799</v>
      </c>
      <c r="H4350" s="56">
        <v>7.0735449289462751E-2</v>
      </c>
      <c r="I4350" s="224" t="s">
        <v>2</v>
      </c>
    </row>
    <row r="4351" spans="1:9" x14ac:dyDescent="0.25">
      <c r="A4351" s="515">
        <v>48092</v>
      </c>
      <c r="B4351" s="515" t="s">
        <v>685</v>
      </c>
      <c r="C4351" s="52">
        <v>218869.244434141</v>
      </c>
      <c r="D4351" s="56">
        <v>5.5992475995471809E-2</v>
      </c>
      <c r="E4351" s="224">
        <v>1750</v>
      </c>
      <c r="F4351" s="515" t="s">
        <v>5632</v>
      </c>
      <c r="G4351" s="52">
        <v>358380.03794977302</v>
      </c>
      <c r="H4351" s="56">
        <v>5.8532770531104512E-2</v>
      </c>
      <c r="I4351" s="224">
        <v>1901.2619047619</v>
      </c>
    </row>
    <row r="4352" spans="1:9" x14ac:dyDescent="0.25">
      <c r="A4352" s="515">
        <v>40258</v>
      </c>
      <c r="B4352" s="515" t="s">
        <v>479</v>
      </c>
      <c r="C4352" s="52">
        <v>187822.04458135099</v>
      </c>
      <c r="D4352" s="56">
        <v>4.763639900127687E-2</v>
      </c>
      <c r="E4352" s="224">
        <v>1466.875</v>
      </c>
      <c r="F4352" s="515" t="s">
        <v>5633</v>
      </c>
      <c r="G4352" s="52">
        <v>414494.37911034602</v>
      </c>
      <c r="H4352" s="56">
        <v>3.2790799296057098E-2</v>
      </c>
      <c r="I4352" s="224" t="s">
        <v>2</v>
      </c>
    </row>
    <row r="4353" spans="1:9" x14ac:dyDescent="0.25">
      <c r="A4353" s="515">
        <v>52804</v>
      </c>
      <c r="B4353" s="515" t="s">
        <v>439</v>
      </c>
      <c r="C4353" s="52">
        <v>149464.59140624301</v>
      </c>
      <c r="D4353" s="56">
        <v>4.7113835589845901E-2</v>
      </c>
      <c r="E4353" s="224">
        <v>1193.75</v>
      </c>
      <c r="F4353" s="515" t="s">
        <v>5634</v>
      </c>
      <c r="G4353" s="52">
        <v>905278.73681109503</v>
      </c>
      <c r="H4353" s="56">
        <v>8.2864269128334209E-2</v>
      </c>
      <c r="I4353" s="224" t="s">
        <v>2</v>
      </c>
    </row>
    <row r="4354" spans="1:9" x14ac:dyDescent="0.25">
      <c r="A4354" s="515">
        <v>7424</v>
      </c>
      <c r="B4354" s="515" t="s">
        <v>324</v>
      </c>
      <c r="C4354" s="52">
        <v>496496.87002901197</v>
      </c>
      <c r="D4354" s="56">
        <v>4.8703937450101348E-2</v>
      </c>
      <c r="E4354" s="224" t="s">
        <v>2</v>
      </c>
      <c r="F4354" s="515" t="s">
        <v>5635</v>
      </c>
      <c r="G4354" s="52">
        <v>129258.159525415</v>
      </c>
      <c r="H4354" s="56">
        <v>1.1964490571567444E-2</v>
      </c>
      <c r="I4354" s="224" t="s">
        <v>2</v>
      </c>
    </row>
    <row r="4355" spans="1:9" x14ac:dyDescent="0.25">
      <c r="A4355" s="515">
        <v>84045</v>
      </c>
      <c r="B4355" s="515" t="s">
        <v>726</v>
      </c>
      <c r="C4355" s="52">
        <v>575184.08500382502</v>
      </c>
      <c r="D4355" s="56">
        <v>1.4174586228739971E-2</v>
      </c>
      <c r="E4355" s="224">
        <v>2249.5</v>
      </c>
      <c r="F4355" s="515" t="s">
        <v>5636</v>
      </c>
      <c r="G4355" s="52">
        <v>281855.39905167202</v>
      </c>
      <c r="H4355" s="56">
        <v>5.1068860812312357E-2</v>
      </c>
      <c r="I4355" s="224">
        <v>1255</v>
      </c>
    </row>
    <row r="4356" spans="1:9" x14ac:dyDescent="0.25">
      <c r="A4356" s="515">
        <v>38117</v>
      </c>
      <c r="B4356" s="515" t="s">
        <v>951</v>
      </c>
      <c r="C4356" s="52">
        <v>277939.52830036799</v>
      </c>
      <c r="D4356" s="56">
        <v>4.7252501877789808E-2</v>
      </c>
      <c r="E4356" s="224">
        <v>1506.9365079365</v>
      </c>
      <c r="F4356" s="515" t="s">
        <v>5637</v>
      </c>
      <c r="G4356" s="52">
        <v>875444.30848382704</v>
      </c>
      <c r="H4356" s="56">
        <v>4.3351557103715209E-2</v>
      </c>
      <c r="I4356" s="224" t="s">
        <v>2</v>
      </c>
    </row>
    <row r="4357" spans="1:9" x14ac:dyDescent="0.25">
      <c r="A4357" s="515">
        <v>31206</v>
      </c>
      <c r="B4357" s="515" t="s">
        <v>995</v>
      </c>
      <c r="C4357" s="52">
        <v>63798.545404719101</v>
      </c>
      <c r="D4357" s="56">
        <v>0.40265068087106815</v>
      </c>
      <c r="E4357" s="224">
        <v>1034.5</v>
      </c>
      <c r="F4357" s="515" t="s">
        <v>5638</v>
      </c>
      <c r="G4357" s="52">
        <v>89010.106466746001</v>
      </c>
      <c r="H4357" s="56">
        <v>5.9335004621682563E-2</v>
      </c>
      <c r="I4357" s="224" t="s">
        <v>2</v>
      </c>
    </row>
    <row r="4358" spans="1:9" x14ac:dyDescent="0.25">
      <c r="A4358" s="515">
        <v>75212</v>
      </c>
      <c r="B4358" s="515" t="s">
        <v>458</v>
      </c>
      <c r="C4358" s="52">
        <v>234031.113038168</v>
      </c>
      <c r="D4358" s="56">
        <v>0.22536171039300862</v>
      </c>
      <c r="E4358" s="224">
        <v>1966.9166666666599</v>
      </c>
      <c r="F4358" s="515" t="s">
        <v>5639</v>
      </c>
      <c r="G4358" s="52">
        <v>321938.41293721698</v>
      </c>
      <c r="H4358" s="56">
        <v>0.19544478842319168</v>
      </c>
      <c r="I4358" s="224" t="s">
        <v>2</v>
      </c>
    </row>
    <row r="4359" spans="1:9" x14ac:dyDescent="0.25">
      <c r="A4359" s="515">
        <v>70123</v>
      </c>
      <c r="B4359" s="515" t="s">
        <v>777</v>
      </c>
      <c r="C4359" s="52">
        <v>303351.19128736702</v>
      </c>
      <c r="D4359" s="56">
        <v>-1.8952086999889295E-3</v>
      </c>
      <c r="E4359" s="224">
        <v>1815.4166666666599</v>
      </c>
      <c r="F4359" s="515" t="s">
        <v>5640</v>
      </c>
      <c r="G4359" s="52">
        <v>330300.64287919801</v>
      </c>
      <c r="H4359" s="56">
        <v>8.3541691104991128E-2</v>
      </c>
      <c r="I4359" s="224" t="s">
        <v>2</v>
      </c>
    </row>
    <row r="4360" spans="1:9" x14ac:dyDescent="0.25">
      <c r="A4360" s="515">
        <v>33837</v>
      </c>
      <c r="B4360" s="515" t="s">
        <v>359</v>
      </c>
      <c r="C4360" s="52">
        <v>358338.67899845302</v>
      </c>
      <c r="D4360" s="56">
        <v>0.10992871478161682</v>
      </c>
      <c r="E4360" s="224">
        <v>2179.5317460317401</v>
      </c>
      <c r="F4360" s="515" t="s">
        <v>5641</v>
      </c>
      <c r="G4360" s="52">
        <v>179527.23735956999</v>
      </c>
      <c r="H4360" s="56">
        <v>7.9035180475141617E-2</v>
      </c>
      <c r="I4360" s="224" t="s">
        <v>2</v>
      </c>
    </row>
    <row r="4361" spans="1:9" x14ac:dyDescent="0.25">
      <c r="A4361" s="515">
        <v>77503</v>
      </c>
      <c r="B4361" s="515" t="s">
        <v>314</v>
      </c>
      <c r="C4361" s="52">
        <v>196593.827500196</v>
      </c>
      <c r="D4361" s="56">
        <v>0.10194108653444378</v>
      </c>
      <c r="E4361" s="224">
        <v>1443.7777777777701</v>
      </c>
      <c r="F4361" s="515" t="s">
        <v>5642</v>
      </c>
      <c r="G4361" s="52">
        <v>291750.559588267</v>
      </c>
      <c r="H4361" s="56">
        <v>8.9881571543682287E-2</v>
      </c>
      <c r="I4361" s="224" t="s">
        <v>2</v>
      </c>
    </row>
    <row r="4362" spans="1:9" x14ac:dyDescent="0.25">
      <c r="A4362" s="515">
        <v>30116</v>
      </c>
      <c r="B4362" s="515" t="s">
        <v>957</v>
      </c>
      <c r="C4362" s="52">
        <v>263393.698886942</v>
      </c>
      <c r="D4362" s="56">
        <v>0.11591392340693051</v>
      </c>
      <c r="E4362" s="224" t="s">
        <v>2</v>
      </c>
      <c r="F4362" s="515" t="s">
        <v>5643</v>
      </c>
      <c r="G4362" s="52">
        <v>178663.75178184701</v>
      </c>
      <c r="H4362" s="56">
        <v>0.10826780046206684</v>
      </c>
      <c r="I4362" s="224" t="s">
        <v>2</v>
      </c>
    </row>
    <row r="4363" spans="1:9" x14ac:dyDescent="0.25">
      <c r="A4363" s="515">
        <v>70454</v>
      </c>
      <c r="B4363" s="515" t="s">
        <v>814</v>
      </c>
      <c r="C4363" s="52">
        <v>218229.517676552</v>
      </c>
      <c r="D4363" s="56">
        <v>4.6071223244024205E-2</v>
      </c>
      <c r="E4363" s="224">
        <v>1275</v>
      </c>
      <c r="F4363" s="515" t="s">
        <v>5644</v>
      </c>
      <c r="G4363" s="52">
        <v>584521.24291466898</v>
      </c>
      <c r="H4363" s="56">
        <v>8.1597295210135257E-2</v>
      </c>
      <c r="I4363" s="224" t="s">
        <v>2</v>
      </c>
    </row>
    <row r="4364" spans="1:9" x14ac:dyDescent="0.25">
      <c r="A4364" s="515">
        <v>8638</v>
      </c>
      <c r="B4364" s="515" t="s">
        <v>938</v>
      </c>
      <c r="C4364" s="52">
        <v>232077.95342509999</v>
      </c>
      <c r="D4364" s="56">
        <v>8.825944130119158E-2</v>
      </c>
      <c r="E4364" s="224">
        <v>1785.8333333333301</v>
      </c>
      <c r="F4364" s="515" t="s">
        <v>5645</v>
      </c>
      <c r="G4364" s="52">
        <v>461601.22799332603</v>
      </c>
      <c r="H4364" s="56">
        <v>4.949657093213445E-2</v>
      </c>
      <c r="I4364" s="224" t="s">
        <v>2</v>
      </c>
    </row>
    <row r="4365" spans="1:9" x14ac:dyDescent="0.25">
      <c r="A4365" s="515">
        <v>61109</v>
      </c>
      <c r="B4365" s="515" t="s">
        <v>1104</v>
      </c>
      <c r="C4365" s="52">
        <v>143132.58101666599</v>
      </c>
      <c r="D4365" s="56">
        <v>9.3209423683352582E-2</v>
      </c>
      <c r="E4365" s="224" t="s">
        <v>2</v>
      </c>
      <c r="F4365" s="515" t="s">
        <v>5646</v>
      </c>
      <c r="G4365" s="52">
        <v>218374.83026098099</v>
      </c>
      <c r="H4365" s="56">
        <v>0.15283490481383508</v>
      </c>
      <c r="I4365" s="224">
        <v>1738.3333333333301</v>
      </c>
    </row>
    <row r="4366" spans="1:9" x14ac:dyDescent="0.25">
      <c r="A4366" s="515">
        <v>89011</v>
      </c>
      <c r="B4366" s="515" t="s">
        <v>323</v>
      </c>
      <c r="C4366" s="52">
        <v>447580.88595279201</v>
      </c>
      <c r="D4366" s="56">
        <v>3.9773836368608435E-2</v>
      </c>
      <c r="E4366" s="224">
        <v>1913.2002442002399</v>
      </c>
      <c r="F4366" s="515" t="s">
        <v>5647</v>
      </c>
      <c r="G4366" s="52">
        <v>332524.28521053999</v>
      </c>
      <c r="H4366" s="56">
        <v>3.6049955168667991E-2</v>
      </c>
      <c r="I4366" s="224" t="s">
        <v>2</v>
      </c>
    </row>
    <row r="4367" spans="1:9" x14ac:dyDescent="0.25">
      <c r="A4367" s="515">
        <v>77018</v>
      </c>
      <c r="B4367" s="515" t="s">
        <v>314</v>
      </c>
      <c r="C4367" s="52">
        <v>488727.83793968603</v>
      </c>
      <c r="D4367" s="56">
        <v>6.0109017016217674E-2</v>
      </c>
      <c r="E4367" s="224">
        <v>2026.99074074074</v>
      </c>
      <c r="F4367" s="515" t="s">
        <v>5648</v>
      </c>
      <c r="G4367" s="52">
        <v>179930.53439975</v>
      </c>
      <c r="H4367" s="56">
        <v>5.4670637524887461E-2</v>
      </c>
      <c r="I4367" s="224" t="s">
        <v>2</v>
      </c>
    </row>
    <row r="4368" spans="1:9" x14ac:dyDescent="0.25">
      <c r="A4368" s="515">
        <v>34287</v>
      </c>
      <c r="B4368" s="515" t="s">
        <v>466</v>
      </c>
      <c r="C4368" s="52">
        <v>294155.06905482901</v>
      </c>
      <c r="D4368" s="56">
        <v>0.1597906194137797</v>
      </c>
      <c r="E4368" s="224">
        <v>2017.88888888888</v>
      </c>
      <c r="F4368" s="515" t="s">
        <v>5649</v>
      </c>
      <c r="G4368" s="52">
        <v>326328.37084517599</v>
      </c>
      <c r="H4368" s="56">
        <v>6.0772511169853584E-2</v>
      </c>
      <c r="I4368" s="224" t="s">
        <v>2</v>
      </c>
    </row>
    <row r="4369" spans="1:9" x14ac:dyDescent="0.25">
      <c r="A4369" s="515">
        <v>73127</v>
      </c>
      <c r="B4369" s="515" t="s">
        <v>385</v>
      </c>
      <c r="C4369" s="52">
        <v>169718.171774305</v>
      </c>
      <c r="D4369" s="56">
        <v>0.13092609353971726</v>
      </c>
      <c r="E4369" s="224">
        <v>1220</v>
      </c>
      <c r="F4369" s="515" t="s">
        <v>5650</v>
      </c>
      <c r="G4369" s="52">
        <v>143336.211752731</v>
      </c>
      <c r="H4369" s="56">
        <v>0.12598128527681401</v>
      </c>
      <c r="I4369" s="224" t="s">
        <v>2</v>
      </c>
    </row>
    <row r="4370" spans="1:9" x14ac:dyDescent="0.25">
      <c r="A4370" s="515">
        <v>48708</v>
      </c>
      <c r="B4370" s="515" t="s">
        <v>1022</v>
      </c>
      <c r="C4370" s="52">
        <v>102063.48407373601</v>
      </c>
      <c r="D4370" s="56">
        <v>9.0113674994178314E-2</v>
      </c>
      <c r="E4370" s="224" t="s">
        <v>2</v>
      </c>
      <c r="F4370" s="515" t="s">
        <v>1122</v>
      </c>
      <c r="G4370" s="52">
        <v>80774.779788927801</v>
      </c>
      <c r="H4370" s="56">
        <v>-6.5276092810435518E-2</v>
      </c>
      <c r="I4370" s="224" t="s">
        <v>2</v>
      </c>
    </row>
    <row r="4371" spans="1:9" x14ac:dyDescent="0.25">
      <c r="A4371" s="515">
        <v>73069</v>
      </c>
      <c r="B4371" s="515" t="s">
        <v>385</v>
      </c>
      <c r="C4371" s="52">
        <v>204416.125282978</v>
      </c>
      <c r="D4371" s="56">
        <v>0.13688613425706539</v>
      </c>
      <c r="E4371" s="224">
        <v>1333.93386243386</v>
      </c>
      <c r="F4371" s="515" t="s">
        <v>1206</v>
      </c>
      <c r="G4371" s="52">
        <v>115751.30305576599</v>
      </c>
      <c r="H4371" s="56">
        <v>3.8395962745892936E-2</v>
      </c>
      <c r="I4371" s="224">
        <v>930</v>
      </c>
    </row>
    <row r="4372" spans="1:9" x14ac:dyDescent="0.25">
      <c r="A4372" s="515">
        <v>8755</v>
      </c>
      <c r="B4372" s="515" t="s">
        <v>324</v>
      </c>
      <c r="C4372" s="52">
        <v>443926.73439261399</v>
      </c>
      <c r="D4372" s="56">
        <v>0.11363131923653169</v>
      </c>
      <c r="E4372" s="224">
        <v>3446.1111111111099</v>
      </c>
      <c r="F4372" s="515" t="s">
        <v>5651</v>
      </c>
      <c r="G4372" s="52">
        <v>298031.83811912098</v>
      </c>
      <c r="H4372" s="56">
        <v>6.1957392751937006E-2</v>
      </c>
      <c r="I4372" s="224" t="s">
        <v>2</v>
      </c>
    </row>
    <row r="4373" spans="1:9" x14ac:dyDescent="0.25">
      <c r="A4373" s="515">
        <v>33441</v>
      </c>
      <c r="B4373" s="515" t="s">
        <v>831</v>
      </c>
      <c r="C4373" s="52">
        <v>382080.12520819402</v>
      </c>
      <c r="D4373" s="56">
        <v>0.14860098525364479</v>
      </c>
      <c r="E4373" s="224">
        <v>2450.8333333333298</v>
      </c>
      <c r="F4373" s="515" t="s">
        <v>5652</v>
      </c>
      <c r="G4373" s="52">
        <v>40287.232312714499</v>
      </c>
      <c r="H4373" s="56">
        <v>5.9247538289790416E-2</v>
      </c>
      <c r="I4373" s="224" t="s">
        <v>2</v>
      </c>
    </row>
    <row r="4374" spans="1:9" x14ac:dyDescent="0.25">
      <c r="A4374" s="515">
        <v>16803</v>
      </c>
      <c r="B4374" s="515" t="s">
        <v>491</v>
      </c>
      <c r="C4374" s="52">
        <v>368778.45989525301</v>
      </c>
      <c r="D4374" s="56">
        <v>5.5035098422491761E-2</v>
      </c>
      <c r="E4374" s="224">
        <v>1550</v>
      </c>
      <c r="F4374" s="515" t="s">
        <v>5653</v>
      </c>
      <c r="G4374" s="52">
        <v>564038.67503339704</v>
      </c>
      <c r="H4374" s="56">
        <v>5.422249541119311E-2</v>
      </c>
      <c r="I4374" s="224" t="s">
        <v>2</v>
      </c>
    </row>
    <row r="4375" spans="1:9" x14ac:dyDescent="0.25">
      <c r="A4375" s="515">
        <v>68137</v>
      </c>
      <c r="B4375" s="515" t="s">
        <v>367</v>
      </c>
      <c r="C4375" s="52">
        <v>249167.78951790501</v>
      </c>
      <c r="D4375" s="56">
        <v>6.6307028643451227E-2</v>
      </c>
      <c r="E4375" s="224">
        <v>1503.5</v>
      </c>
      <c r="F4375" s="515" t="s">
        <v>5654</v>
      </c>
      <c r="G4375" s="52">
        <v>285890.04484823899</v>
      </c>
      <c r="H4375" s="56">
        <v>2.4707170310551363E-2</v>
      </c>
      <c r="I4375" s="224" t="s">
        <v>2</v>
      </c>
    </row>
    <row r="4376" spans="1:9" x14ac:dyDescent="0.25">
      <c r="A4376" s="515">
        <v>46304</v>
      </c>
      <c r="B4376" s="515" t="s">
        <v>394</v>
      </c>
      <c r="C4376" s="52">
        <v>287971.82822590001</v>
      </c>
      <c r="D4376" s="56">
        <v>5.3191638432541599E-2</v>
      </c>
      <c r="E4376" s="224">
        <v>1372.5</v>
      </c>
      <c r="F4376" s="515" t="s">
        <v>5655</v>
      </c>
      <c r="G4376" s="52">
        <v>324106.46262075898</v>
      </c>
      <c r="H4376" s="56">
        <v>6.1211718879284532E-2</v>
      </c>
      <c r="I4376" s="224" t="s">
        <v>2</v>
      </c>
    </row>
    <row r="4377" spans="1:9" x14ac:dyDescent="0.25">
      <c r="A4377" s="515">
        <v>60160</v>
      </c>
      <c r="B4377" s="515" t="s">
        <v>394</v>
      </c>
      <c r="C4377" s="52">
        <v>268277.293619901</v>
      </c>
      <c r="D4377" s="56">
        <v>3.07063545872189E-2</v>
      </c>
      <c r="E4377" s="224">
        <v>1100</v>
      </c>
      <c r="F4377" s="515" t="s">
        <v>5656</v>
      </c>
      <c r="G4377" s="52">
        <v>491066.12217598403</v>
      </c>
      <c r="H4377" s="56">
        <v>7.3198367532193526E-2</v>
      </c>
      <c r="I4377" s="224" t="s">
        <v>2</v>
      </c>
    </row>
    <row r="4378" spans="1:9" x14ac:dyDescent="0.25">
      <c r="A4378" s="515">
        <v>98409</v>
      </c>
      <c r="B4378" s="515" t="s">
        <v>384</v>
      </c>
      <c r="C4378" s="52">
        <v>391101.34181442502</v>
      </c>
      <c r="D4378" s="56">
        <v>1.5403206825365565E-2</v>
      </c>
      <c r="E4378" s="224">
        <v>1591.3947368421</v>
      </c>
      <c r="F4378" s="515" t="s">
        <v>5657</v>
      </c>
      <c r="G4378" s="52">
        <v>249268.57642838699</v>
      </c>
      <c r="H4378" s="56">
        <v>4.3407729277603717E-2</v>
      </c>
      <c r="I4378" s="224" t="s">
        <v>2</v>
      </c>
    </row>
    <row r="4379" spans="1:9" x14ac:dyDescent="0.25">
      <c r="A4379" s="515">
        <v>41018</v>
      </c>
      <c r="B4379" s="515" t="s">
        <v>344</v>
      </c>
      <c r="C4379" s="52">
        <v>198156.93061651901</v>
      </c>
      <c r="D4379" s="56">
        <v>9.0925616669757792E-2</v>
      </c>
      <c r="E4379" s="224">
        <v>1086.25</v>
      </c>
      <c r="F4379" s="515" t="s">
        <v>5658</v>
      </c>
      <c r="G4379" s="52">
        <v>571558.012325719</v>
      </c>
      <c r="H4379" s="56">
        <v>6.6197886986122223E-2</v>
      </c>
      <c r="I4379" s="224" t="s">
        <v>2</v>
      </c>
    </row>
    <row r="4380" spans="1:9" x14ac:dyDescent="0.25">
      <c r="A4380" s="515">
        <v>39443</v>
      </c>
      <c r="B4380" s="515" t="s">
        <v>793</v>
      </c>
      <c r="C4380" s="52">
        <v>150632.07679863801</v>
      </c>
      <c r="D4380" s="56">
        <v>-9.1596128199061006E-3</v>
      </c>
      <c r="E4380" s="224" t="s">
        <v>2</v>
      </c>
      <c r="F4380" s="515" t="s">
        <v>5659</v>
      </c>
      <c r="G4380" s="52">
        <v>320865.437374942</v>
      </c>
      <c r="H4380" s="56">
        <v>3.984956499090795E-2</v>
      </c>
      <c r="I4380" s="224" t="s">
        <v>2</v>
      </c>
    </row>
    <row r="4381" spans="1:9" x14ac:dyDescent="0.25">
      <c r="A4381" s="515">
        <v>6320</v>
      </c>
      <c r="B4381" s="515" t="s">
        <v>1091</v>
      </c>
      <c r="C4381" s="52">
        <v>238248.38805186999</v>
      </c>
      <c r="D4381" s="56">
        <v>9.3437861926868288E-2</v>
      </c>
      <c r="E4381" s="224">
        <v>1387.3999999999901</v>
      </c>
      <c r="F4381" s="515" t="s">
        <v>5660</v>
      </c>
      <c r="G4381" s="52">
        <v>256267.25764265601</v>
      </c>
      <c r="H4381" s="56">
        <v>8.5998015842647574E-2</v>
      </c>
      <c r="I4381" s="224">
        <v>1797</v>
      </c>
    </row>
    <row r="4382" spans="1:9" x14ac:dyDescent="0.25">
      <c r="A4382" s="515">
        <v>20903</v>
      </c>
      <c r="B4382" s="515" t="s">
        <v>321</v>
      </c>
      <c r="C4382" s="52">
        <v>465733.53571752697</v>
      </c>
      <c r="D4382" s="56">
        <v>3.3099734928013352E-2</v>
      </c>
      <c r="E4382" s="224">
        <v>1771.1111111111099</v>
      </c>
      <c r="F4382" s="515" t="s">
        <v>5661</v>
      </c>
      <c r="G4382" s="52">
        <v>136455.610586783</v>
      </c>
      <c r="H4382" s="56">
        <v>7.5161027611921919E-3</v>
      </c>
      <c r="I4382" s="224" t="s">
        <v>2</v>
      </c>
    </row>
    <row r="4383" spans="1:9" x14ac:dyDescent="0.25">
      <c r="A4383" s="515">
        <v>30241</v>
      </c>
      <c r="B4383" s="515" t="s">
        <v>1066</v>
      </c>
      <c r="C4383" s="52">
        <v>169017.732768277</v>
      </c>
      <c r="D4383" s="56">
        <v>0.1464737068443199</v>
      </c>
      <c r="E4383" s="224" t="s">
        <v>2</v>
      </c>
      <c r="F4383" s="515" t="s">
        <v>5662</v>
      </c>
      <c r="G4383" s="52">
        <v>161862.58660864501</v>
      </c>
      <c r="H4383" s="56">
        <v>6.1348831428830443E-2</v>
      </c>
      <c r="I4383" s="224" t="s">
        <v>2</v>
      </c>
    </row>
    <row r="4384" spans="1:9" x14ac:dyDescent="0.25">
      <c r="A4384" s="515">
        <v>33913</v>
      </c>
      <c r="B4384" s="515" t="s">
        <v>661</v>
      </c>
      <c r="C4384" s="52">
        <v>496131.19457378797</v>
      </c>
      <c r="D4384" s="56">
        <v>0.14351885913735338</v>
      </c>
      <c r="E4384" s="224">
        <v>2785.0555555555502</v>
      </c>
      <c r="F4384" s="515" t="s">
        <v>5663</v>
      </c>
      <c r="G4384" s="52">
        <v>384327.36389397399</v>
      </c>
      <c r="H4384" s="56">
        <v>0.14216405623404518</v>
      </c>
      <c r="I4384" s="224" t="s">
        <v>2</v>
      </c>
    </row>
    <row r="4385" spans="1:9" x14ac:dyDescent="0.25">
      <c r="A4385" s="515">
        <v>90274</v>
      </c>
      <c r="B4385" s="515" t="s">
        <v>375</v>
      </c>
      <c r="C4385" s="52">
        <v>2362168.0603816598</v>
      </c>
      <c r="D4385" s="56">
        <v>8.8588380170344191E-2</v>
      </c>
      <c r="E4385" s="224" t="s">
        <v>2</v>
      </c>
      <c r="F4385" s="515" t="s">
        <v>5664</v>
      </c>
      <c r="G4385" s="52">
        <v>174722.87422686501</v>
      </c>
      <c r="H4385" s="56">
        <v>2.1102504759757636E-2</v>
      </c>
      <c r="I4385" s="224" t="s">
        <v>2</v>
      </c>
    </row>
    <row r="4386" spans="1:9" x14ac:dyDescent="0.25">
      <c r="A4386" s="515">
        <v>91042</v>
      </c>
      <c r="B4386" s="515" t="s">
        <v>375</v>
      </c>
      <c r="C4386" s="52">
        <v>832195.39088342304</v>
      </c>
      <c r="D4386" s="56">
        <v>4.2692965036553683E-2</v>
      </c>
      <c r="E4386" s="224">
        <v>0</v>
      </c>
      <c r="F4386" s="515" t="s">
        <v>5665</v>
      </c>
      <c r="G4386" s="52">
        <v>652009.33093896904</v>
      </c>
      <c r="H4386" s="56">
        <v>9.7592482497023569E-2</v>
      </c>
      <c r="I4386" s="224" t="s">
        <v>2</v>
      </c>
    </row>
    <row r="4387" spans="1:9" x14ac:dyDescent="0.25">
      <c r="A4387" s="515">
        <v>94530</v>
      </c>
      <c r="B4387" s="515" t="s">
        <v>593</v>
      </c>
      <c r="C4387" s="52">
        <v>1113612.6784169299</v>
      </c>
      <c r="D4387" s="56">
        <v>4.2570921848785609E-3</v>
      </c>
      <c r="E4387" s="224">
        <v>3102.4722222222199</v>
      </c>
      <c r="F4387" s="515" t="s">
        <v>5666</v>
      </c>
      <c r="G4387" s="52">
        <v>200506.12886777901</v>
      </c>
      <c r="H4387" s="56">
        <v>6.7382923993470442E-2</v>
      </c>
      <c r="I4387" s="224" t="s">
        <v>2</v>
      </c>
    </row>
    <row r="4388" spans="1:9" x14ac:dyDescent="0.25">
      <c r="A4388" s="515">
        <v>1824</v>
      </c>
      <c r="B4388" s="515" t="s">
        <v>534</v>
      </c>
      <c r="C4388" s="52">
        <v>595767.04195183096</v>
      </c>
      <c r="D4388" s="56">
        <v>7.0347510067327937E-2</v>
      </c>
      <c r="E4388" s="224">
        <v>2178.37777777777</v>
      </c>
      <c r="F4388" s="515" t="s">
        <v>5667</v>
      </c>
      <c r="G4388" s="52">
        <v>412383.08605497598</v>
      </c>
      <c r="H4388" s="56">
        <v>5.9870595389493443E-2</v>
      </c>
      <c r="I4388" s="224">
        <v>1016.66666666666</v>
      </c>
    </row>
    <row r="4389" spans="1:9" x14ac:dyDescent="0.25">
      <c r="A4389" s="515">
        <v>85306</v>
      </c>
      <c r="B4389" s="515" t="s">
        <v>563</v>
      </c>
      <c r="C4389" s="52">
        <v>385018.78227991401</v>
      </c>
      <c r="D4389" s="56">
        <v>4.7730122363876026E-2</v>
      </c>
      <c r="E4389" s="224">
        <v>1648.2222222222199</v>
      </c>
      <c r="F4389" s="515" t="s">
        <v>5668</v>
      </c>
      <c r="G4389" s="52">
        <v>413956.77772009303</v>
      </c>
      <c r="H4389" s="56">
        <v>3.8872730577744805E-2</v>
      </c>
      <c r="I4389" s="224" t="s">
        <v>2</v>
      </c>
    </row>
    <row r="4390" spans="1:9" x14ac:dyDescent="0.25">
      <c r="A4390" s="515">
        <v>55025</v>
      </c>
      <c r="B4390" s="515" t="s">
        <v>532</v>
      </c>
      <c r="C4390" s="52">
        <v>384128.00453450199</v>
      </c>
      <c r="D4390" s="56">
        <v>4.2761653929764179E-2</v>
      </c>
      <c r="E4390" s="224">
        <v>1492.25</v>
      </c>
      <c r="F4390" s="515" t="s">
        <v>5669</v>
      </c>
      <c r="G4390" s="52">
        <v>162572.80108698999</v>
      </c>
      <c r="H4390" s="56">
        <v>6.6675748437962493E-2</v>
      </c>
      <c r="I4390" s="224" t="s">
        <v>2</v>
      </c>
    </row>
    <row r="4391" spans="1:9" x14ac:dyDescent="0.25">
      <c r="A4391" s="515">
        <v>55105</v>
      </c>
      <c r="B4391" s="515" t="s">
        <v>532</v>
      </c>
      <c r="C4391" s="52">
        <v>416305.63351327699</v>
      </c>
      <c r="D4391" s="56">
        <v>2.6556087792765172E-2</v>
      </c>
      <c r="E4391" s="224">
        <v>1225.13888888888</v>
      </c>
      <c r="F4391" s="515" t="s">
        <v>5670</v>
      </c>
      <c r="G4391" s="52">
        <v>156205.33138003401</v>
      </c>
      <c r="H4391" s="56">
        <v>8.6327492665271552E-2</v>
      </c>
      <c r="I4391" s="224" t="s">
        <v>2</v>
      </c>
    </row>
    <row r="4392" spans="1:9" x14ac:dyDescent="0.25">
      <c r="A4392" s="515">
        <v>57006</v>
      </c>
      <c r="B4392" s="515" t="s">
        <v>895</v>
      </c>
      <c r="C4392" s="52">
        <v>264455.64932946401</v>
      </c>
      <c r="D4392" s="56">
        <v>7.0002303135483654E-2</v>
      </c>
      <c r="E4392" s="224">
        <v>1122.8125</v>
      </c>
      <c r="F4392" s="515" t="s">
        <v>5671</v>
      </c>
      <c r="G4392" s="52">
        <v>173237.39913888799</v>
      </c>
      <c r="H4392" s="56">
        <v>9.3349331835827595E-2</v>
      </c>
      <c r="I4392" s="224">
        <v>1302.0833333333301</v>
      </c>
    </row>
    <row r="4393" spans="1:9" x14ac:dyDescent="0.25">
      <c r="A4393" s="515">
        <v>62650</v>
      </c>
      <c r="B4393" s="515" t="s">
        <v>531</v>
      </c>
      <c r="C4393" s="52">
        <v>114803.10471773001</v>
      </c>
      <c r="D4393" s="56">
        <v>3.3371415684848089E-2</v>
      </c>
      <c r="E4393" s="224" t="s">
        <v>2</v>
      </c>
      <c r="F4393" s="515" t="s">
        <v>5672</v>
      </c>
      <c r="G4393" s="52">
        <v>129261.778871003</v>
      </c>
      <c r="H4393" s="56">
        <v>2.4957055520254862E-2</v>
      </c>
      <c r="I4393" s="224" t="s">
        <v>2</v>
      </c>
    </row>
    <row r="4394" spans="1:9" x14ac:dyDescent="0.25">
      <c r="A4394" s="515">
        <v>29649</v>
      </c>
      <c r="B4394" s="515" t="s">
        <v>1075</v>
      </c>
      <c r="C4394" s="52">
        <v>202554.87604988401</v>
      </c>
      <c r="D4394" s="56">
        <v>7.7633431554553892E-2</v>
      </c>
      <c r="E4394" s="224" t="s">
        <v>2</v>
      </c>
      <c r="F4394" s="515" t="s">
        <v>5673</v>
      </c>
      <c r="G4394" s="52">
        <v>610456.16502669605</v>
      </c>
      <c r="H4394" s="56">
        <v>6.8557989124892776E-2</v>
      </c>
      <c r="I4394" s="224" t="s">
        <v>2</v>
      </c>
    </row>
    <row r="4395" spans="1:9" x14ac:dyDescent="0.25">
      <c r="A4395" s="515">
        <v>11553</v>
      </c>
      <c r="B4395" s="515" t="s">
        <v>324</v>
      </c>
      <c r="C4395" s="52">
        <v>522838.508707612</v>
      </c>
      <c r="D4395" s="56">
        <v>5.9538373509785567E-2</v>
      </c>
      <c r="E4395" s="224" t="s">
        <v>2</v>
      </c>
      <c r="F4395" s="515" t="s">
        <v>5674</v>
      </c>
      <c r="G4395" s="52">
        <v>244455.228305114</v>
      </c>
      <c r="H4395" s="56">
        <v>0.10884942295696927</v>
      </c>
      <c r="I4395" s="224" t="s">
        <v>2</v>
      </c>
    </row>
    <row r="4396" spans="1:9" x14ac:dyDescent="0.25">
      <c r="A4396" s="515">
        <v>14606</v>
      </c>
      <c r="B4396" s="515" t="s">
        <v>337</v>
      </c>
      <c r="C4396" s="52">
        <v>159531.02447720201</v>
      </c>
      <c r="D4396" s="56">
        <v>0.10005395581438124</v>
      </c>
      <c r="E4396" s="224">
        <v>1165.55555555555</v>
      </c>
      <c r="F4396" s="515" t="s">
        <v>1019</v>
      </c>
      <c r="G4396" s="52">
        <v>129107.575828193</v>
      </c>
      <c r="H4396" s="56">
        <v>2.1579725431896703E-2</v>
      </c>
      <c r="I4396" s="224" t="s">
        <v>2</v>
      </c>
    </row>
    <row r="4397" spans="1:9" x14ac:dyDescent="0.25">
      <c r="A4397" s="515">
        <v>7652</v>
      </c>
      <c r="B4397" s="515" t="s">
        <v>324</v>
      </c>
      <c r="C4397" s="52">
        <v>774381.93000347097</v>
      </c>
      <c r="D4397" s="56">
        <v>3.4167079450030884E-2</v>
      </c>
      <c r="E4397" s="224">
        <v>4350</v>
      </c>
      <c r="F4397" s="515" t="s">
        <v>5675</v>
      </c>
      <c r="G4397" s="52">
        <v>637745.71729605296</v>
      </c>
      <c r="H4397" s="56">
        <v>3.1912438447605322E-2</v>
      </c>
      <c r="I4397" s="224" t="s">
        <v>2</v>
      </c>
    </row>
    <row r="4398" spans="1:9" x14ac:dyDescent="0.25">
      <c r="A4398" s="515">
        <v>78731</v>
      </c>
      <c r="B4398" s="515" t="s">
        <v>380</v>
      </c>
      <c r="C4398" s="52">
        <v>1110716.1682058</v>
      </c>
      <c r="D4398" s="56">
        <v>8.8545366692196217E-2</v>
      </c>
      <c r="E4398" s="224">
        <v>1909.65172558922</v>
      </c>
      <c r="F4398" s="515" t="s">
        <v>5676</v>
      </c>
      <c r="G4398" s="52">
        <v>518793.39846537501</v>
      </c>
      <c r="H4398" s="56">
        <v>5.1968688171351231E-2</v>
      </c>
      <c r="I4398" s="224" t="s">
        <v>2</v>
      </c>
    </row>
    <row r="4399" spans="1:9" x14ac:dyDescent="0.25">
      <c r="A4399" s="515">
        <v>28150</v>
      </c>
      <c r="B4399" s="515" t="s">
        <v>310</v>
      </c>
      <c r="C4399" s="52">
        <v>156166.98086541099</v>
      </c>
      <c r="D4399" s="56">
        <v>0.12630203913579022</v>
      </c>
      <c r="E4399" s="224" t="s">
        <v>2</v>
      </c>
      <c r="F4399" s="515" t="s">
        <v>5677</v>
      </c>
      <c r="G4399" s="52">
        <v>209687.018528949</v>
      </c>
      <c r="H4399" s="56">
        <v>7.4899123523468697E-2</v>
      </c>
      <c r="I4399" s="224" t="s">
        <v>2</v>
      </c>
    </row>
    <row r="4400" spans="1:9" x14ac:dyDescent="0.25">
      <c r="A4400" s="515">
        <v>46517</v>
      </c>
      <c r="B4400" s="515" t="s">
        <v>1170</v>
      </c>
      <c r="C4400" s="52">
        <v>200643.103761645</v>
      </c>
      <c r="D4400" s="56">
        <v>7.9182759142553613E-2</v>
      </c>
      <c r="E4400" s="224" t="s">
        <v>2</v>
      </c>
      <c r="F4400" s="515" t="s">
        <v>5678</v>
      </c>
      <c r="G4400" s="52">
        <v>119998.479474634</v>
      </c>
      <c r="H4400" s="56">
        <v>3.3466323317629595E-2</v>
      </c>
      <c r="I4400" s="224" t="s">
        <v>2</v>
      </c>
    </row>
    <row r="4401" spans="1:9" x14ac:dyDescent="0.25">
      <c r="A4401" s="515">
        <v>79072</v>
      </c>
      <c r="B4401" s="515" t="s">
        <v>1069</v>
      </c>
      <c r="C4401" s="52">
        <v>101274.643435338</v>
      </c>
      <c r="D4401" s="56">
        <v>6.6580234338140365E-2</v>
      </c>
      <c r="E4401" s="224" t="s">
        <v>2</v>
      </c>
      <c r="F4401" s="515" t="s">
        <v>5679</v>
      </c>
      <c r="G4401" s="52">
        <v>182139.66663262699</v>
      </c>
      <c r="H4401" s="56">
        <v>2.3530690638135475E-2</v>
      </c>
      <c r="I4401" s="224" t="s">
        <v>2</v>
      </c>
    </row>
    <row r="4402" spans="1:9" x14ac:dyDescent="0.25">
      <c r="A4402" s="515">
        <v>32927</v>
      </c>
      <c r="B4402" s="515" t="s">
        <v>1133</v>
      </c>
      <c r="C4402" s="52">
        <v>299355.51870984101</v>
      </c>
      <c r="D4402" s="56">
        <v>0.10100538540520866</v>
      </c>
      <c r="E4402" s="224">
        <v>2035.1666666666599</v>
      </c>
      <c r="F4402" s="515" t="s">
        <v>5680</v>
      </c>
      <c r="G4402" s="52">
        <v>310300.85746359901</v>
      </c>
      <c r="H4402" s="56">
        <v>5.8284177775438491E-2</v>
      </c>
      <c r="I4402" s="224" t="s">
        <v>2</v>
      </c>
    </row>
    <row r="4403" spans="1:9" x14ac:dyDescent="0.25">
      <c r="A4403" s="515">
        <v>33825</v>
      </c>
      <c r="B4403" s="515" t="s">
        <v>1099</v>
      </c>
      <c r="C4403" s="52">
        <v>196903.47797802201</v>
      </c>
      <c r="D4403" s="56">
        <v>0.143117340825719</v>
      </c>
      <c r="E4403" s="224" t="s">
        <v>2</v>
      </c>
      <c r="F4403" s="515" t="s">
        <v>5681</v>
      </c>
      <c r="G4403" s="52">
        <v>209820.91885874199</v>
      </c>
      <c r="H4403" s="56">
        <v>3.9516165400201836E-2</v>
      </c>
      <c r="I4403" s="224" t="s">
        <v>2</v>
      </c>
    </row>
    <row r="4404" spans="1:9" x14ac:dyDescent="0.25">
      <c r="A4404" s="515">
        <v>92782</v>
      </c>
      <c r="B4404" s="515" t="s">
        <v>375</v>
      </c>
      <c r="C4404" s="52">
        <v>1073604.92778915</v>
      </c>
      <c r="D4404" s="56">
        <v>7.1071012827805827E-2</v>
      </c>
      <c r="E4404" s="224">
        <v>3104.41417378917</v>
      </c>
      <c r="F4404" s="515" t="s">
        <v>5682</v>
      </c>
      <c r="G4404" s="52">
        <v>633273.73209284502</v>
      </c>
      <c r="H4404" s="56">
        <v>2.3260640922802691E-2</v>
      </c>
      <c r="I4404" s="224" t="s">
        <v>2</v>
      </c>
    </row>
    <row r="4405" spans="1:9" x14ac:dyDescent="0.25">
      <c r="A4405" s="515">
        <v>30248</v>
      </c>
      <c r="B4405" s="515" t="s">
        <v>957</v>
      </c>
      <c r="C4405" s="52">
        <v>324605.13558706699</v>
      </c>
      <c r="D4405" s="56">
        <v>9.2404450666888668E-2</v>
      </c>
      <c r="E4405" s="224">
        <v>2087.73809523809</v>
      </c>
      <c r="F4405" s="515" t="s">
        <v>5683</v>
      </c>
      <c r="G4405" s="52">
        <v>211484.70254537501</v>
      </c>
      <c r="H4405" s="56">
        <v>2.9004681275465159E-2</v>
      </c>
      <c r="I4405" s="224" t="s">
        <v>2</v>
      </c>
    </row>
    <row r="4406" spans="1:9" x14ac:dyDescent="0.25">
      <c r="A4406" s="515">
        <v>32962</v>
      </c>
      <c r="B4406" s="515" t="s">
        <v>1176</v>
      </c>
      <c r="C4406" s="52">
        <v>260319.27627918799</v>
      </c>
      <c r="D4406" s="56">
        <v>0.15644679880830056</v>
      </c>
      <c r="E4406" s="224">
        <v>2082.3611111111099</v>
      </c>
      <c r="F4406" s="515" t="s">
        <v>5684</v>
      </c>
      <c r="G4406" s="52">
        <v>364806.98152424901</v>
      </c>
      <c r="H4406" s="56">
        <v>0</v>
      </c>
      <c r="I4406" s="224" t="s">
        <v>2</v>
      </c>
    </row>
    <row r="4407" spans="1:9" x14ac:dyDescent="0.25">
      <c r="A4407" s="515">
        <v>35611</v>
      </c>
      <c r="B4407" s="515" t="s">
        <v>997</v>
      </c>
      <c r="C4407" s="52">
        <v>204527.20325221401</v>
      </c>
      <c r="D4407" s="56">
        <v>5.9628661892837984E-2</v>
      </c>
      <c r="E4407" s="224" t="s">
        <v>2</v>
      </c>
      <c r="F4407" s="515" t="s">
        <v>5685</v>
      </c>
      <c r="G4407" s="52">
        <v>491878.51793581399</v>
      </c>
      <c r="H4407" s="56">
        <v>4.37008820869597E-2</v>
      </c>
      <c r="I4407" s="224" t="s">
        <v>2</v>
      </c>
    </row>
    <row r="4408" spans="1:9" x14ac:dyDescent="0.25">
      <c r="A4408" s="515">
        <v>23227</v>
      </c>
      <c r="B4408" s="515" t="s">
        <v>667</v>
      </c>
      <c r="C4408" s="52">
        <v>338313.138352031</v>
      </c>
      <c r="D4408" s="56">
        <v>9.2795899730432965E-2</v>
      </c>
      <c r="E4408" s="224">
        <v>1775</v>
      </c>
      <c r="F4408" s="515" t="s">
        <v>5686</v>
      </c>
      <c r="G4408" s="52">
        <v>269388.68944419402</v>
      </c>
      <c r="H4408" s="56">
        <v>7.2300547859505751E-2</v>
      </c>
      <c r="I4408" s="224" t="s">
        <v>2</v>
      </c>
    </row>
    <row r="4409" spans="1:9" x14ac:dyDescent="0.25">
      <c r="A4409" s="515">
        <v>11741</v>
      </c>
      <c r="B4409" s="515" t="s">
        <v>324</v>
      </c>
      <c r="C4409" s="52">
        <v>528061.58557273506</v>
      </c>
      <c r="D4409" s="56">
        <v>2.6039220383954148E-2</v>
      </c>
      <c r="E4409" s="224" t="s">
        <v>2</v>
      </c>
      <c r="F4409" s="515" t="s">
        <v>5687</v>
      </c>
      <c r="G4409" s="52">
        <v>271009.22034280299</v>
      </c>
      <c r="H4409" s="56">
        <v>2.7138709739254821E-2</v>
      </c>
      <c r="I4409" s="224" t="s">
        <v>2</v>
      </c>
    </row>
    <row r="4410" spans="1:9" x14ac:dyDescent="0.25">
      <c r="A4410" s="515">
        <v>47408</v>
      </c>
      <c r="B4410" s="515" t="s">
        <v>554</v>
      </c>
      <c r="C4410" s="52">
        <v>306018.96725344099</v>
      </c>
      <c r="D4410" s="56">
        <v>7.0090198913619964E-2</v>
      </c>
      <c r="E4410" s="224">
        <v>1833.86507936507</v>
      </c>
      <c r="F4410" s="515" t="s">
        <v>5688</v>
      </c>
      <c r="G4410" s="52">
        <v>1479176.63045753</v>
      </c>
      <c r="H4410" s="56">
        <v>0.19512459716359001</v>
      </c>
      <c r="I4410" s="224">
        <v>7332.9761904761899</v>
      </c>
    </row>
    <row r="4411" spans="1:9" x14ac:dyDescent="0.25">
      <c r="A4411" s="515">
        <v>19053</v>
      </c>
      <c r="B4411" s="515" t="s">
        <v>294</v>
      </c>
      <c r="C4411" s="52">
        <v>412843.49525534001</v>
      </c>
      <c r="D4411" s="56">
        <v>7.28480945361627E-2</v>
      </c>
      <c r="E4411" s="224" t="s">
        <v>2</v>
      </c>
      <c r="F4411" s="515" t="s">
        <v>5689</v>
      </c>
      <c r="G4411" s="52">
        <v>502156.47304367297</v>
      </c>
      <c r="H4411" s="56">
        <v>3.4530904780089348E-2</v>
      </c>
      <c r="I4411" s="224" t="s">
        <v>2</v>
      </c>
    </row>
    <row r="4412" spans="1:9" x14ac:dyDescent="0.25">
      <c r="A4412" s="515">
        <v>94133</v>
      </c>
      <c r="B4412" s="515" t="s">
        <v>593</v>
      </c>
      <c r="C4412" s="52">
        <v>1271407.3602133</v>
      </c>
      <c r="D4412" s="56">
        <v>-0.13805855021160376</v>
      </c>
      <c r="E4412" s="224">
        <v>3452.8611111111099</v>
      </c>
      <c r="F4412" s="515" t="s">
        <v>5690</v>
      </c>
      <c r="G4412" s="52">
        <v>284286.52234682901</v>
      </c>
      <c r="H4412" s="56">
        <v>2.3458661032142728E-2</v>
      </c>
      <c r="I4412" s="224" t="s">
        <v>2</v>
      </c>
    </row>
    <row r="4413" spans="1:9" x14ac:dyDescent="0.25">
      <c r="A4413" s="515">
        <v>38122</v>
      </c>
      <c r="B4413" s="515" t="s">
        <v>951</v>
      </c>
      <c r="C4413" s="52">
        <v>120796.21052446601</v>
      </c>
      <c r="D4413" s="56">
        <v>0.12294405415457191</v>
      </c>
      <c r="E4413" s="224">
        <v>1008.8492063492</v>
      </c>
      <c r="F4413" s="515" t="s">
        <v>5691</v>
      </c>
      <c r="G4413" s="52">
        <v>494369.887856449</v>
      </c>
      <c r="H4413" s="56">
        <v>8.5478637336552449E-2</v>
      </c>
      <c r="I4413" s="224" t="s">
        <v>2</v>
      </c>
    </row>
    <row r="4414" spans="1:9" x14ac:dyDescent="0.25">
      <c r="A4414" s="515">
        <v>98106</v>
      </c>
      <c r="B4414" s="515" t="s">
        <v>384</v>
      </c>
      <c r="C4414" s="52">
        <v>619281.78490472795</v>
      </c>
      <c r="D4414" s="56">
        <v>7.5291489631474293E-3</v>
      </c>
      <c r="E4414" s="224">
        <v>2177.70868347338</v>
      </c>
      <c r="F4414" s="515" t="s">
        <v>5692</v>
      </c>
      <c r="G4414" s="52">
        <v>245498.34583771101</v>
      </c>
      <c r="H4414" s="56">
        <v>5.708689761111066E-2</v>
      </c>
      <c r="I4414" s="224" t="s">
        <v>2</v>
      </c>
    </row>
    <row r="4415" spans="1:9" x14ac:dyDescent="0.25">
      <c r="A4415" s="515">
        <v>48382</v>
      </c>
      <c r="B4415" s="515" t="s">
        <v>685</v>
      </c>
      <c r="C4415" s="52">
        <v>399611.851899172</v>
      </c>
      <c r="D4415" s="56">
        <v>4.165810587390277E-2</v>
      </c>
      <c r="E4415" s="224" t="s">
        <v>2</v>
      </c>
      <c r="F4415" s="515" t="s">
        <v>5693</v>
      </c>
      <c r="G4415" s="52">
        <v>401196.96628571203</v>
      </c>
      <c r="H4415" s="56">
        <v>0.11811025223861868</v>
      </c>
      <c r="I4415" s="224" t="s">
        <v>2</v>
      </c>
    </row>
    <row r="4416" spans="1:9" x14ac:dyDescent="0.25">
      <c r="A4416" s="515">
        <v>95354</v>
      </c>
      <c r="B4416" s="515" t="s">
        <v>797</v>
      </c>
      <c r="C4416" s="52">
        <v>366869.76676659798</v>
      </c>
      <c r="D4416" s="56">
        <v>3.7381801990227941E-2</v>
      </c>
      <c r="E4416" s="224">
        <v>1616.9055555555501</v>
      </c>
      <c r="F4416" s="515" t="s">
        <v>5694</v>
      </c>
      <c r="G4416" s="52">
        <v>132643.85363782101</v>
      </c>
      <c r="H4416" s="56">
        <v>7.0202174639850873E-2</v>
      </c>
      <c r="I4416" s="224" t="s">
        <v>2</v>
      </c>
    </row>
    <row r="4417" spans="1:9" x14ac:dyDescent="0.25">
      <c r="A4417" s="515">
        <v>88005</v>
      </c>
      <c r="B4417" s="515" t="s">
        <v>317</v>
      </c>
      <c r="C4417" s="52">
        <v>251001.89986063799</v>
      </c>
      <c r="D4417" s="56">
        <v>0.13399817434756228</v>
      </c>
      <c r="E4417" s="224">
        <v>1206.25</v>
      </c>
      <c r="F4417" s="515" t="s">
        <v>5695</v>
      </c>
      <c r="G4417" s="52">
        <v>193333.81915630199</v>
      </c>
      <c r="H4417" s="56">
        <v>7.7245249968486696E-2</v>
      </c>
      <c r="I4417" s="224" t="s">
        <v>2</v>
      </c>
    </row>
    <row r="4418" spans="1:9" x14ac:dyDescent="0.25">
      <c r="A4418" s="515">
        <v>38632</v>
      </c>
      <c r="B4418" s="515" t="s">
        <v>951</v>
      </c>
      <c r="C4418" s="52">
        <v>315620.32619596098</v>
      </c>
      <c r="D4418" s="56">
        <v>7.1304631868781831E-2</v>
      </c>
      <c r="E4418" s="224" t="s">
        <v>2</v>
      </c>
      <c r="F4418" s="515" t="s">
        <v>5696</v>
      </c>
      <c r="G4418" s="52">
        <v>181575.19199211901</v>
      </c>
      <c r="H4418" s="56">
        <v>4.4779586963429353E-2</v>
      </c>
      <c r="I4418" s="224" t="s">
        <v>2</v>
      </c>
    </row>
    <row r="4419" spans="1:9" x14ac:dyDescent="0.25">
      <c r="A4419" s="515">
        <v>73044</v>
      </c>
      <c r="B4419" s="515" t="s">
        <v>385</v>
      </c>
      <c r="C4419" s="52">
        <v>188522.99332274601</v>
      </c>
      <c r="D4419" s="56">
        <v>2.7652892113210686E-2</v>
      </c>
      <c r="E4419" s="224" t="s">
        <v>2</v>
      </c>
      <c r="F4419" s="515" t="s">
        <v>5697</v>
      </c>
      <c r="G4419" s="52">
        <v>133022.55980042601</v>
      </c>
      <c r="H4419" s="56">
        <v>7.9959950665521862E-2</v>
      </c>
      <c r="I4419" s="224" t="s">
        <v>2</v>
      </c>
    </row>
    <row r="4420" spans="1:9" x14ac:dyDescent="0.25">
      <c r="A4420" s="515">
        <v>11232</v>
      </c>
      <c r="B4420" s="515" t="s">
        <v>324</v>
      </c>
      <c r="C4420" s="52">
        <v>565368.55048399302</v>
      </c>
      <c r="D4420" s="56">
        <v>-4.4358564055445533E-2</v>
      </c>
      <c r="E4420" s="224">
        <v>3069.2222222222199</v>
      </c>
      <c r="F4420" s="515" t="s">
        <v>5698</v>
      </c>
      <c r="G4420" s="52">
        <v>270415.97508501902</v>
      </c>
      <c r="H4420" s="56">
        <v>7.0615183659902728E-2</v>
      </c>
      <c r="I4420" s="224" t="s">
        <v>2</v>
      </c>
    </row>
    <row r="4421" spans="1:9" x14ac:dyDescent="0.25">
      <c r="A4421" s="515">
        <v>3054</v>
      </c>
      <c r="B4421" s="515" t="s">
        <v>996</v>
      </c>
      <c r="C4421" s="52">
        <v>440802.97540431097</v>
      </c>
      <c r="D4421" s="56">
        <v>0.11093633870829871</v>
      </c>
      <c r="E4421" s="224" t="s">
        <v>2</v>
      </c>
      <c r="F4421" s="515" t="s">
        <v>5699</v>
      </c>
      <c r="G4421" s="52">
        <v>190657.81637871001</v>
      </c>
      <c r="H4421" s="56">
        <v>7.6446968810110719E-2</v>
      </c>
      <c r="I4421" s="224" t="s">
        <v>2</v>
      </c>
    </row>
    <row r="4422" spans="1:9" x14ac:dyDescent="0.25">
      <c r="A4422" s="515">
        <v>44460</v>
      </c>
      <c r="B4422" s="515" t="s">
        <v>627</v>
      </c>
      <c r="C4422" s="52">
        <v>154471.433035469</v>
      </c>
      <c r="D4422" s="56">
        <v>0.10064654214699201</v>
      </c>
      <c r="E4422" s="224" t="s">
        <v>2</v>
      </c>
      <c r="F4422" s="515" t="s">
        <v>5700</v>
      </c>
      <c r="G4422" s="52">
        <v>163288.86711930099</v>
      </c>
      <c r="H4422" s="56">
        <v>0</v>
      </c>
      <c r="I4422" s="224" t="s">
        <v>2</v>
      </c>
    </row>
    <row r="4423" spans="1:9" x14ac:dyDescent="0.25">
      <c r="A4423" s="515">
        <v>64151</v>
      </c>
      <c r="B4423" s="515" t="s">
        <v>455</v>
      </c>
      <c r="C4423" s="52">
        <v>301368.956745626</v>
      </c>
      <c r="D4423" s="56">
        <v>4.6658579771884152E-2</v>
      </c>
      <c r="E4423" s="224">
        <v>1380.7521367521299</v>
      </c>
      <c r="F4423" s="515" t="s">
        <v>5701</v>
      </c>
      <c r="G4423" s="52">
        <v>108024.487845251</v>
      </c>
      <c r="H4423" s="56">
        <v>0.15132846445556725</v>
      </c>
      <c r="I4423" s="224" t="s">
        <v>2</v>
      </c>
    </row>
    <row r="4424" spans="1:9" x14ac:dyDescent="0.25">
      <c r="A4424" s="515">
        <v>18201</v>
      </c>
      <c r="B4424" s="515" t="s">
        <v>512</v>
      </c>
      <c r="C4424" s="52">
        <v>155067.884446724</v>
      </c>
      <c r="D4424" s="56">
        <v>9.4965142093306518E-2</v>
      </c>
      <c r="E4424" s="224" t="s">
        <v>2</v>
      </c>
      <c r="F4424" s="515" t="s">
        <v>5702</v>
      </c>
      <c r="G4424" s="52">
        <v>227980.299059393</v>
      </c>
      <c r="H4424" s="56">
        <v>8.7293320761142365E-2</v>
      </c>
      <c r="I4424" s="224" t="s">
        <v>2</v>
      </c>
    </row>
    <row r="4425" spans="1:9" x14ac:dyDescent="0.25">
      <c r="A4425" s="515">
        <v>37804</v>
      </c>
      <c r="B4425" s="515" t="s">
        <v>907</v>
      </c>
      <c r="C4425" s="52">
        <v>294264.81453941</v>
      </c>
      <c r="D4425" s="56">
        <v>9.9838778818154145E-2</v>
      </c>
      <c r="E4425" s="224">
        <v>1690</v>
      </c>
      <c r="F4425" s="515" t="s">
        <v>5703</v>
      </c>
      <c r="G4425" s="52">
        <v>181645.2609583</v>
      </c>
      <c r="H4425" s="56">
        <v>3.7715165518447363E-2</v>
      </c>
      <c r="I4425" s="224" t="s">
        <v>2</v>
      </c>
    </row>
    <row r="4426" spans="1:9" x14ac:dyDescent="0.25">
      <c r="A4426" s="515">
        <v>98178</v>
      </c>
      <c r="B4426" s="515" t="s">
        <v>384</v>
      </c>
      <c r="C4426" s="52">
        <v>613119.82528397196</v>
      </c>
      <c r="D4426" s="56">
        <v>3.7448930270975941E-2</v>
      </c>
      <c r="E4426" s="224">
        <v>1834.3333333333301</v>
      </c>
      <c r="F4426" s="515" t="s">
        <v>5704</v>
      </c>
      <c r="G4426" s="52">
        <v>539492.61719877599</v>
      </c>
      <c r="H4426" s="56">
        <v>-1.7132088241510815E-2</v>
      </c>
      <c r="I4426" s="224" t="s">
        <v>2</v>
      </c>
    </row>
    <row r="4427" spans="1:9" x14ac:dyDescent="0.25">
      <c r="A4427" s="515">
        <v>92284</v>
      </c>
      <c r="B4427" s="515" t="s">
        <v>599</v>
      </c>
      <c r="C4427" s="52">
        <v>365380.49670598301</v>
      </c>
      <c r="D4427" s="56">
        <v>6.6635083029103342E-2</v>
      </c>
      <c r="E4427" s="224">
        <v>1431.6666666666599</v>
      </c>
      <c r="F4427" s="515" t="s">
        <v>5705</v>
      </c>
      <c r="G4427" s="52">
        <v>187713.07923952499</v>
      </c>
      <c r="H4427" s="56">
        <v>9.2598642560126412E-2</v>
      </c>
      <c r="I4427" s="224" t="s">
        <v>2</v>
      </c>
    </row>
    <row r="4428" spans="1:9" x14ac:dyDescent="0.25">
      <c r="A4428" s="515">
        <v>53072</v>
      </c>
      <c r="B4428" s="515" t="s">
        <v>950</v>
      </c>
      <c r="C4428" s="52">
        <v>417559.896366962</v>
      </c>
      <c r="D4428" s="56">
        <v>4.5307547208392994E-2</v>
      </c>
      <c r="E4428" s="224" t="s">
        <v>2</v>
      </c>
      <c r="F4428" s="515" t="s">
        <v>937</v>
      </c>
      <c r="G4428" s="52">
        <v>160857.040902276</v>
      </c>
      <c r="H4428" s="56">
        <v>7.5500012860105728E-2</v>
      </c>
      <c r="I4428" s="224" t="s">
        <v>2</v>
      </c>
    </row>
    <row r="4429" spans="1:9" x14ac:dyDescent="0.25">
      <c r="A4429" s="515">
        <v>27889</v>
      </c>
      <c r="B4429" s="515" t="s">
        <v>768</v>
      </c>
      <c r="C4429" s="52">
        <v>210316.51099223999</v>
      </c>
      <c r="D4429" s="56">
        <v>0.17376869868325315</v>
      </c>
      <c r="E4429" s="224" t="s">
        <v>2</v>
      </c>
      <c r="F4429" s="515" t="s">
        <v>5706</v>
      </c>
      <c r="G4429" s="52">
        <v>207219.976162334</v>
      </c>
      <c r="H4429" s="56">
        <v>0.15931822992599204</v>
      </c>
      <c r="I4429" s="224" t="s">
        <v>2</v>
      </c>
    </row>
    <row r="4430" spans="1:9" x14ac:dyDescent="0.25">
      <c r="A4430" s="515">
        <v>30504</v>
      </c>
      <c r="B4430" s="515" t="s">
        <v>1102</v>
      </c>
      <c r="C4430" s="52">
        <v>331798.322652367</v>
      </c>
      <c r="D4430" s="56">
        <v>0.12222898301318214</v>
      </c>
      <c r="E4430" s="224" t="s">
        <v>2</v>
      </c>
      <c r="F4430" s="515" t="s">
        <v>5707</v>
      </c>
      <c r="G4430" s="52">
        <v>145407.07670131401</v>
      </c>
      <c r="H4430" s="56">
        <v>8.8015756060952605E-2</v>
      </c>
      <c r="I4430" s="224" t="s">
        <v>2</v>
      </c>
    </row>
    <row r="4431" spans="1:9" x14ac:dyDescent="0.25">
      <c r="A4431" s="515">
        <v>89503</v>
      </c>
      <c r="B4431" s="515" t="s">
        <v>581</v>
      </c>
      <c r="C4431" s="52">
        <v>423558.07600209798</v>
      </c>
      <c r="D4431" s="56">
        <v>3.2698510157916894E-3</v>
      </c>
      <c r="E4431" s="224">
        <v>1726.7023809523801</v>
      </c>
      <c r="F4431" s="515" t="s">
        <v>5708</v>
      </c>
      <c r="G4431" s="52">
        <v>335755.98376438703</v>
      </c>
      <c r="H4431" s="56">
        <v>4.0320988948798792E-2</v>
      </c>
      <c r="I4431" s="224" t="s">
        <v>2</v>
      </c>
    </row>
    <row r="4432" spans="1:9" x14ac:dyDescent="0.25">
      <c r="A4432" s="515">
        <v>28081</v>
      </c>
      <c r="B4432" s="515" t="s">
        <v>360</v>
      </c>
      <c r="C4432" s="52">
        <v>259653.64502497701</v>
      </c>
      <c r="D4432" s="56">
        <v>0.13855520665627169</v>
      </c>
      <c r="E4432" s="224">
        <v>1553.75</v>
      </c>
      <c r="F4432" s="515" t="s">
        <v>5709</v>
      </c>
      <c r="G4432" s="52">
        <v>313833.07338671101</v>
      </c>
      <c r="H4432" s="56">
        <v>1.4135776384420602E-2</v>
      </c>
      <c r="I4432" s="224" t="s">
        <v>2</v>
      </c>
    </row>
    <row r="4433" spans="1:9" x14ac:dyDescent="0.25">
      <c r="A4433" s="515">
        <v>47715</v>
      </c>
      <c r="B4433" s="515" t="s">
        <v>911</v>
      </c>
      <c r="C4433" s="52">
        <v>202849.190448526</v>
      </c>
      <c r="D4433" s="56">
        <v>5.0766790428524375E-2</v>
      </c>
      <c r="E4433" s="224" t="s">
        <v>2</v>
      </c>
      <c r="F4433" s="515" t="s">
        <v>5710</v>
      </c>
      <c r="G4433" s="52">
        <v>132880.086992525</v>
      </c>
      <c r="H4433" s="56">
        <v>8.8062550303182496E-2</v>
      </c>
      <c r="I4433" s="224" t="s">
        <v>2</v>
      </c>
    </row>
    <row r="4434" spans="1:9" x14ac:dyDescent="0.25">
      <c r="A4434" s="515">
        <v>33426</v>
      </c>
      <c r="B4434" s="515" t="s">
        <v>831</v>
      </c>
      <c r="C4434" s="52">
        <v>337878.38627373701</v>
      </c>
      <c r="D4434" s="56">
        <v>0.13034182303554359</v>
      </c>
      <c r="E4434" s="224">
        <v>2380.7112857902298</v>
      </c>
      <c r="F4434" s="515" t="s">
        <v>5711</v>
      </c>
      <c r="G4434" s="52">
        <v>149250.44252829501</v>
      </c>
      <c r="H4434" s="56">
        <v>6.7124256162315973E-2</v>
      </c>
      <c r="I4434" s="224" t="s">
        <v>2</v>
      </c>
    </row>
    <row r="4435" spans="1:9" x14ac:dyDescent="0.25">
      <c r="A4435" s="515">
        <v>91784</v>
      </c>
      <c r="B4435" s="515" t="s">
        <v>599</v>
      </c>
      <c r="C4435" s="52">
        <v>880979.18013117299</v>
      </c>
      <c r="D4435" s="56">
        <v>5.1731465468966439E-2</v>
      </c>
      <c r="E4435" s="224">
        <v>3055.75</v>
      </c>
      <c r="F4435" s="515" t="s">
        <v>5712</v>
      </c>
      <c r="G4435" s="52">
        <v>61115.176378642704</v>
      </c>
      <c r="H4435" s="56">
        <v>0.10426679382189485</v>
      </c>
      <c r="I4435" s="224" t="s">
        <v>2</v>
      </c>
    </row>
    <row r="4436" spans="1:9" x14ac:dyDescent="0.25">
      <c r="A4436" s="515">
        <v>83713</v>
      </c>
      <c r="B4436" s="515" t="s">
        <v>500</v>
      </c>
      <c r="C4436" s="52">
        <v>434570.77174162702</v>
      </c>
      <c r="D4436" s="56">
        <v>-2.8452499991911195E-2</v>
      </c>
      <c r="E4436" s="224">
        <v>1839.5</v>
      </c>
      <c r="F4436" s="515" t="s">
        <v>5713</v>
      </c>
      <c r="G4436" s="52">
        <v>974941.202663815</v>
      </c>
      <c r="H4436" s="56">
        <v>5.0714444441314161E-3</v>
      </c>
      <c r="I4436" s="224" t="s">
        <v>2</v>
      </c>
    </row>
    <row r="4437" spans="1:9" x14ac:dyDescent="0.25">
      <c r="A4437" s="515">
        <v>33484</v>
      </c>
      <c r="B4437" s="515" t="s">
        <v>831</v>
      </c>
      <c r="C4437" s="52">
        <v>255229.60495984199</v>
      </c>
      <c r="D4437" s="56">
        <v>0.23369095922723887</v>
      </c>
      <c r="E4437" s="224">
        <v>2542.2777777777701</v>
      </c>
      <c r="F4437" s="515" t="s">
        <v>5714</v>
      </c>
      <c r="G4437" s="52">
        <v>220985.28274497099</v>
      </c>
      <c r="H4437" s="56">
        <v>0.17082782902368565</v>
      </c>
      <c r="I4437" s="224" t="s">
        <v>2</v>
      </c>
    </row>
    <row r="4438" spans="1:9" x14ac:dyDescent="0.25">
      <c r="A4438" s="515">
        <v>30013</v>
      </c>
      <c r="B4438" s="515" t="s">
        <v>957</v>
      </c>
      <c r="C4438" s="52">
        <v>315213.44260875898</v>
      </c>
      <c r="D4438" s="56">
        <v>9.9747090689484466E-2</v>
      </c>
      <c r="E4438" s="224">
        <v>1644.43915343915</v>
      </c>
      <c r="F4438" s="515" t="s">
        <v>5715</v>
      </c>
      <c r="G4438" s="52">
        <v>344855.39072003798</v>
      </c>
      <c r="H4438" s="56">
        <v>5.8998889347864999E-2</v>
      </c>
      <c r="I4438" s="224" t="s">
        <v>2</v>
      </c>
    </row>
    <row r="4439" spans="1:9" x14ac:dyDescent="0.25">
      <c r="A4439" s="515">
        <v>48503</v>
      </c>
      <c r="B4439" s="515" t="s">
        <v>759</v>
      </c>
      <c r="C4439" s="52">
        <v>57897.323726620598</v>
      </c>
      <c r="D4439" s="56">
        <v>5.65684984593628E-2</v>
      </c>
      <c r="E4439" s="224">
        <v>798.33333333333303</v>
      </c>
      <c r="F4439" s="515" t="s">
        <v>5716</v>
      </c>
      <c r="G4439" s="52">
        <v>376122.536358023</v>
      </c>
      <c r="H4439" s="56">
        <v>2.8437134531604881E-2</v>
      </c>
      <c r="I4439" s="224" t="s">
        <v>2</v>
      </c>
    </row>
    <row r="4440" spans="1:9" x14ac:dyDescent="0.25">
      <c r="A4440" s="515">
        <v>73107</v>
      </c>
      <c r="B4440" s="515" t="s">
        <v>385</v>
      </c>
      <c r="C4440" s="52">
        <v>151642.32505822601</v>
      </c>
      <c r="D4440" s="56">
        <v>0.13472204344868596</v>
      </c>
      <c r="E4440" s="224">
        <v>1090.49404761904</v>
      </c>
      <c r="F4440" s="515" t="s">
        <v>5717</v>
      </c>
      <c r="G4440" s="52">
        <v>266622.39864079602</v>
      </c>
      <c r="H4440" s="56">
        <v>9.852543212983364E-2</v>
      </c>
      <c r="I4440" s="224" t="s">
        <v>2</v>
      </c>
    </row>
    <row r="4441" spans="1:9" x14ac:dyDescent="0.25">
      <c r="A4441" s="515">
        <v>98116</v>
      </c>
      <c r="B4441" s="515" t="s">
        <v>384</v>
      </c>
      <c r="C4441" s="52">
        <v>886449.598321678</v>
      </c>
      <c r="D4441" s="56">
        <v>2.0186508032787737E-2</v>
      </c>
      <c r="E4441" s="224">
        <v>2060.5612535612499</v>
      </c>
      <c r="F4441" s="515" t="s">
        <v>5718</v>
      </c>
      <c r="G4441" s="52">
        <v>469214.97610414302</v>
      </c>
      <c r="H4441" s="56">
        <v>8.0246228375598139E-2</v>
      </c>
      <c r="I4441" s="224" t="s">
        <v>2</v>
      </c>
    </row>
    <row r="4442" spans="1:9" x14ac:dyDescent="0.25">
      <c r="A4442" s="515">
        <v>44136</v>
      </c>
      <c r="B4442" s="515" t="s">
        <v>520</v>
      </c>
      <c r="C4442" s="52">
        <v>295288.51419640903</v>
      </c>
      <c r="D4442" s="56">
        <v>4.8177534648107201E-2</v>
      </c>
      <c r="E4442" s="224" t="s">
        <v>2</v>
      </c>
      <c r="F4442" s="515" t="s">
        <v>5719</v>
      </c>
      <c r="G4442" s="52">
        <v>246221.47119596199</v>
      </c>
      <c r="H4442" s="56">
        <v>6.6550844438285239E-2</v>
      </c>
      <c r="I4442" s="224" t="s">
        <v>2</v>
      </c>
    </row>
    <row r="4443" spans="1:9" x14ac:dyDescent="0.25">
      <c r="A4443" s="515">
        <v>53705</v>
      </c>
      <c r="B4443" s="515" t="s">
        <v>727</v>
      </c>
      <c r="C4443" s="52">
        <v>453983.54642579699</v>
      </c>
      <c r="D4443" s="56">
        <v>7.6869643171448648E-2</v>
      </c>
      <c r="E4443" s="224">
        <v>1395</v>
      </c>
      <c r="F4443" s="515" t="s">
        <v>5720</v>
      </c>
      <c r="G4443" s="52">
        <v>193117.81307453901</v>
      </c>
      <c r="H4443" s="56">
        <v>0.11820983307914733</v>
      </c>
      <c r="I4443" s="224" t="s">
        <v>2</v>
      </c>
    </row>
    <row r="4444" spans="1:9" x14ac:dyDescent="0.25">
      <c r="A4444" s="515">
        <v>97321</v>
      </c>
      <c r="B4444" s="515" t="s">
        <v>1094</v>
      </c>
      <c r="C4444" s="52">
        <v>462794.01402029098</v>
      </c>
      <c r="D4444" s="56">
        <v>4.5753111829037914E-2</v>
      </c>
      <c r="E4444" s="224">
        <v>1486.25</v>
      </c>
      <c r="F4444" s="515" t="s">
        <v>5721</v>
      </c>
      <c r="G4444" s="52">
        <v>98026.886733503707</v>
      </c>
      <c r="H4444" s="56">
        <v>0.10918045157525191</v>
      </c>
      <c r="I4444" s="224" t="s">
        <v>2</v>
      </c>
    </row>
    <row r="4445" spans="1:9" x14ac:dyDescent="0.25">
      <c r="A4445" s="515">
        <v>20912</v>
      </c>
      <c r="B4445" s="515" t="s">
        <v>321</v>
      </c>
      <c r="C4445" s="52">
        <v>645190.26334260905</v>
      </c>
      <c r="D4445" s="56">
        <v>3.8046768505250704E-2</v>
      </c>
      <c r="E4445" s="224">
        <v>1382.1111111111099</v>
      </c>
      <c r="F4445" s="515" t="s">
        <v>5722</v>
      </c>
      <c r="G4445" s="52">
        <v>172861.98197943499</v>
      </c>
      <c r="H4445" s="56">
        <v>8.3444483024679661E-2</v>
      </c>
      <c r="I4445" s="224" t="s">
        <v>2</v>
      </c>
    </row>
    <row r="4446" spans="1:9" x14ac:dyDescent="0.25">
      <c r="A4446" s="515">
        <v>89801</v>
      </c>
      <c r="B4446" s="515" t="s">
        <v>737</v>
      </c>
      <c r="C4446" s="52">
        <v>316039.45753039198</v>
      </c>
      <c r="D4446" s="56">
        <v>4.6216637251375543E-2</v>
      </c>
      <c r="E4446" s="224" t="s">
        <v>2</v>
      </c>
      <c r="F4446" s="515" t="s">
        <v>5723</v>
      </c>
      <c r="G4446" s="52">
        <v>286262.30749427702</v>
      </c>
      <c r="H4446" s="56">
        <v>3.9041992921640012E-2</v>
      </c>
      <c r="I4446" s="224" t="s">
        <v>2</v>
      </c>
    </row>
    <row r="4447" spans="1:9" x14ac:dyDescent="0.25">
      <c r="A4447" s="515">
        <v>80033</v>
      </c>
      <c r="B4447" s="515" t="s">
        <v>401</v>
      </c>
      <c r="C4447" s="52">
        <v>587517.84578891494</v>
      </c>
      <c r="D4447" s="56">
        <v>3.0920134346318219E-2</v>
      </c>
      <c r="E4447" s="224">
        <v>1867.7909090909</v>
      </c>
      <c r="F4447" s="515" t="s">
        <v>5724</v>
      </c>
      <c r="G4447" s="52">
        <v>248979.08307617001</v>
      </c>
      <c r="H4447" s="56">
        <v>7.4195033252847792E-3</v>
      </c>
      <c r="I4447" s="224" t="s">
        <v>2</v>
      </c>
    </row>
    <row r="4448" spans="1:9" x14ac:dyDescent="0.25">
      <c r="A4448" s="515">
        <v>66104</v>
      </c>
      <c r="B4448" s="515" t="s">
        <v>455</v>
      </c>
      <c r="C4448" s="52">
        <v>135017.366371076</v>
      </c>
      <c r="D4448" s="56">
        <v>0.16180208605484803</v>
      </c>
      <c r="E4448" s="224">
        <v>1025</v>
      </c>
      <c r="F4448" s="515" t="s">
        <v>5725</v>
      </c>
      <c r="G4448" s="52">
        <v>636677.56178241898</v>
      </c>
      <c r="H4448" s="56">
        <v>2.3323287277985619E-2</v>
      </c>
      <c r="I4448" s="224">
        <v>1714.6666666666599</v>
      </c>
    </row>
    <row r="4449" spans="1:9" x14ac:dyDescent="0.25">
      <c r="A4449" s="515">
        <v>75160</v>
      </c>
      <c r="B4449" s="515" t="s">
        <v>458</v>
      </c>
      <c r="C4449" s="52">
        <v>256386.095086491</v>
      </c>
      <c r="D4449" s="56">
        <v>7.7933751705852969E-2</v>
      </c>
      <c r="E4449" s="224">
        <v>1593.3333333333301</v>
      </c>
      <c r="F4449" s="515" t="s">
        <v>5726</v>
      </c>
      <c r="G4449" s="52">
        <v>255543.04947137099</v>
      </c>
      <c r="H4449" s="56">
        <v>9.7826351761851393E-2</v>
      </c>
      <c r="I4449" s="224" t="s">
        <v>2</v>
      </c>
    </row>
    <row r="4450" spans="1:9" x14ac:dyDescent="0.25">
      <c r="A4450" s="515">
        <v>7006</v>
      </c>
      <c r="B4450" s="515" t="s">
        <v>324</v>
      </c>
      <c r="C4450" s="52">
        <v>650545.81762149301</v>
      </c>
      <c r="D4450" s="56">
        <v>5.5159718988243248E-2</v>
      </c>
      <c r="E4450" s="224">
        <v>1837.5</v>
      </c>
      <c r="F4450" s="515" t="s">
        <v>5727</v>
      </c>
      <c r="G4450" s="52">
        <v>105790.48499880701</v>
      </c>
      <c r="H4450" s="56">
        <v>0.28395287875320496</v>
      </c>
      <c r="I4450" s="224" t="s">
        <v>2</v>
      </c>
    </row>
    <row r="4451" spans="1:9" x14ac:dyDescent="0.25">
      <c r="A4451" s="515">
        <v>11542</v>
      </c>
      <c r="B4451" s="515" t="s">
        <v>324</v>
      </c>
      <c r="C4451" s="52">
        <v>658406.32621820096</v>
      </c>
      <c r="D4451" s="56">
        <v>2.2077088957983805E-2</v>
      </c>
      <c r="E4451" s="224">
        <v>3366.6</v>
      </c>
      <c r="F4451" s="515" t="s">
        <v>5728</v>
      </c>
      <c r="G4451" s="52">
        <v>219442.257933602</v>
      </c>
      <c r="H4451" s="56">
        <v>8.0051962066824925E-2</v>
      </c>
      <c r="I4451" s="224">
        <v>1417.5</v>
      </c>
    </row>
    <row r="4452" spans="1:9" x14ac:dyDescent="0.25">
      <c r="A4452" s="515">
        <v>27549</v>
      </c>
      <c r="B4452" s="515" t="s">
        <v>484</v>
      </c>
      <c r="C4452" s="52">
        <v>275230.27253164299</v>
      </c>
      <c r="D4452" s="56">
        <v>0.16921172252827588</v>
      </c>
      <c r="E4452" s="224" t="s">
        <v>2</v>
      </c>
      <c r="F4452" s="515" t="s">
        <v>5729</v>
      </c>
      <c r="G4452" s="52">
        <v>301128.98593121202</v>
      </c>
      <c r="H4452" s="56">
        <v>4.647756226422789E-2</v>
      </c>
      <c r="I4452" s="224" t="s">
        <v>2</v>
      </c>
    </row>
    <row r="4453" spans="1:9" x14ac:dyDescent="0.25">
      <c r="A4453" s="515">
        <v>35801</v>
      </c>
      <c r="B4453" s="515" t="s">
        <v>997</v>
      </c>
      <c r="C4453" s="52">
        <v>358516.92658927798</v>
      </c>
      <c r="D4453" s="56">
        <v>7.3197237992831787E-2</v>
      </c>
      <c r="E4453" s="224">
        <v>1479.9761904761899</v>
      </c>
      <c r="F4453" s="515" t="s">
        <v>5730</v>
      </c>
      <c r="G4453" s="52">
        <v>219742.92680267399</v>
      </c>
      <c r="H4453" s="56">
        <v>3.0434364001828383E-2</v>
      </c>
      <c r="I4453" s="224" t="s">
        <v>2</v>
      </c>
    </row>
    <row r="4454" spans="1:9" x14ac:dyDescent="0.25">
      <c r="A4454" s="515">
        <v>44310</v>
      </c>
      <c r="B4454" s="515" t="s">
        <v>1000</v>
      </c>
      <c r="C4454" s="52">
        <v>99924.850925447405</v>
      </c>
      <c r="D4454" s="56">
        <v>0.12619694541944843</v>
      </c>
      <c r="E4454" s="224">
        <v>945</v>
      </c>
      <c r="F4454" s="515" t="s">
        <v>5731</v>
      </c>
      <c r="G4454" s="52">
        <v>122232.60873909399</v>
      </c>
      <c r="H4454" s="56">
        <v>0.14954476203082812</v>
      </c>
      <c r="I4454" s="224" t="s">
        <v>2</v>
      </c>
    </row>
    <row r="4455" spans="1:9" x14ac:dyDescent="0.25">
      <c r="A4455" s="515">
        <v>42718</v>
      </c>
      <c r="B4455" s="515" t="s">
        <v>761</v>
      </c>
      <c r="C4455" s="52">
        <v>168803.189766077</v>
      </c>
      <c r="D4455" s="56">
        <v>0.14739581525813578</v>
      </c>
      <c r="E4455" s="224" t="s">
        <v>2</v>
      </c>
      <c r="F4455" s="515" t="s">
        <v>5732</v>
      </c>
      <c r="G4455" s="52">
        <v>231148.218508324</v>
      </c>
      <c r="H4455" s="56">
        <v>5.8203863085102253E-2</v>
      </c>
      <c r="I4455" s="224" t="s">
        <v>2</v>
      </c>
    </row>
    <row r="4456" spans="1:9" x14ac:dyDescent="0.25">
      <c r="A4456" s="515">
        <v>23222</v>
      </c>
      <c r="B4456" s="515" t="s">
        <v>667</v>
      </c>
      <c r="C4456" s="52">
        <v>275643.89050812699</v>
      </c>
      <c r="D4456" s="56">
        <v>0.28926727795076435</v>
      </c>
      <c r="E4456" s="224">
        <v>1507.1714285714199</v>
      </c>
      <c r="F4456" s="515" t="s">
        <v>576</v>
      </c>
      <c r="G4456" s="52">
        <v>269225.20615748502</v>
      </c>
      <c r="H4456" s="56">
        <v>0.12331376219302113</v>
      </c>
      <c r="I4456" s="224" t="s">
        <v>2</v>
      </c>
    </row>
    <row r="4457" spans="1:9" x14ac:dyDescent="0.25">
      <c r="A4457" s="515">
        <v>91030</v>
      </c>
      <c r="B4457" s="515" t="s">
        <v>375</v>
      </c>
      <c r="C4457" s="52">
        <v>1505115.5846726501</v>
      </c>
      <c r="D4457" s="56">
        <v>4.495339158847444E-3</v>
      </c>
      <c r="E4457" s="224">
        <v>2405.6111111111099</v>
      </c>
      <c r="F4457" s="515" t="s">
        <v>5733</v>
      </c>
      <c r="G4457" s="52">
        <v>110677.663548581</v>
      </c>
      <c r="H4457" s="56">
        <v>0.10675870071776647</v>
      </c>
      <c r="I4457" s="224" t="s">
        <v>2</v>
      </c>
    </row>
    <row r="4458" spans="1:9" x14ac:dyDescent="0.25">
      <c r="A4458" s="515">
        <v>80439</v>
      </c>
      <c r="B4458" s="515" t="s">
        <v>401</v>
      </c>
      <c r="C4458" s="52">
        <v>873464.556495475</v>
      </c>
      <c r="D4458" s="56">
        <v>5.1525835918963203E-2</v>
      </c>
      <c r="E4458" s="224">
        <v>3083.3333333333298</v>
      </c>
      <c r="F4458" s="515" t="s">
        <v>618</v>
      </c>
      <c r="G4458" s="52">
        <v>465768.17330531398</v>
      </c>
      <c r="H4458" s="56">
        <v>3.528484778723838E-2</v>
      </c>
      <c r="I4458" s="224" t="s">
        <v>2</v>
      </c>
    </row>
    <row r="4459" spans="1:9" x14ac:dyDescent="0.25">
      <c r="A4459" s="515">
        <v>2122</v>
      </c>
      <c r="B4459" s="515" t="s">
        <v>534</v>
      </c>
      <c r="C4459" s="52">
        <v>557190.22417418205</v>
      </c>
      <c r="D4459" s="56">
        <v>9.5109185282819739E-3</v>
      </c>
      <c r="E4459" s="224">
        <v>2716.5</v>
      </c>
      <c r="F4459" s="515" t="s">
        <v>5734</v>
      </c>
      <c r="G4459" s="52">
        <v>66999.090723041096</v>
      </c>
      <c r="H4459" s="56">
        <v>8.2585345844295947E-3</v>
      </c>
      <c r="I4459" s="224" t="s">
        <v>2</v>
      </c>
    </row>
    <row r="4460" spans="1:9" x14ac:dyDescent="0.25">
      <c r="A4460" s="515">
        <v>58104</v>
      </c>
      <c r="B4460" s="515" t="s">
        <v>928</v>
      </c>
      <c r="C4460" s="52">
        <v>353444.484378347</v>
      </c>
      <c r="D4460" s="56">
        <v>6.946765441910209E-2</v>
      </c>
      <c r="E4460" s="224" t="s">
        <v>2</v>
      </c>
      <c r="F4460" s="515" t="s">
        <v>5735</v>
      </c>
      <c r="G4460" s="52">
        <v>226751.903538985</v>
      </c>
      <c r="H4460" s="56">
        <v>0.12047395924531618</v>
      </c>
      <c r="I4460" s="224" t="s">
        <v>2</v>
      </c>
    </row>
    <row r="4461" spans="1:9" x14ac:dyDescent="0.25">
      <c r="A4461" s="515">
        <v>11791</v>
      </c>
      <c r="B4461" s="515" t="s">
        <v>324</v>
      </c>
      <c r="C4461" s="52">
        <v>932555.04860639398</v>
      </c>
      <c r="D4461" s="56">
        <v>5.7139477288171307E-2</v>
      </c>
      <c r="E4461" s="224" t="s">
        <v>2</v>
      </c>
      <c r="F4461" s="515" t="s">
        <v>5736</v>
      </c>
      <c r="G4461" s="52">
        <v>252292.16098604701</v>
      </c>
      <c r="H4461" s="56">
        <v>8.3346743470634449E-2</v>
      </c>
      <c r="I4461" s="224" t="s">
        <v>2</v>
      </c>
    </row>
    <row r="4462" spans="1:9" x14ac:dyDescent="0.25">
      <c r="A4462" s="515">
        <v>68502</v>
      </c>
      <c r="B4462" s="515" t="s">
        <v>486</v>
      </c>
      <c r="C4462" s="52">
        <v>213528.22529448499</v>
      </c>
      <c r="D4462" s="56">
        <v>7.3568706618868704E-2</v>
      </c>
      <c r="E4462" s="224">
        <v>974.26190476190402</v>
      </c>
      <c r="F4462" s="515" t="s">
        <v>5737</v>
      </c>
      <c r="G4462" s="52">
        <v>1392693.0248318401</v>
      </c>
      <c r="H4462" s="56">
        <v>-1.3925995414378745E-2</v>
      </c>
      <c r="I4462" s="224">
        <v>3616.6666666666601</v>
      </c>
    </row>
    <row r="4463" spans="1:9" x14ac:dyDescent="0.25">
      <c r="A4463" s="515">
        <v>46528</v>
      </c>
      <c r="B4463" s="515" t="s">
        <v>1170</v>
      </c>
      <c r="C4463" s="52">
        <v>262353.578545528</v>
      </c>
      <c r="D4463" s="56">
        <v>7.4285197690322796E-2</v>
      </c>
      <c r="E4463" s="224" t="s">
        <v>2</v>
      </c>
      <c r="F4463" s="515" t="s">
        <v>680</v>
      </c>
      <c r="G4463" s="52">
        <v>158581.71004489699</v>
      </c>
      <c r="H4463" s="56">
        <v>7.0124325524781761E-2</v>
      </c>
      <c r="I4463" s="224" t="s">
        <v>2</v>
      </c>
    </row>
    <row r="4464" spans="1:9" x14ac:dyDescent="0.25">
      <c r="A4464" s="515">
        <v>74075</v>
      </c>
      <c r="B4464" s="515" t="s">
        <v>969</v>
      </c>
      <c r="C4464" s="52">
        <v>210744.119496903</v>
      </c>
      <c r="D4464" s="56">
        <v>5.5730410644575609E-2</v>
      </c>
      <c r="E4464" s="224">
        <v>1283.3333333333301</v>
      </c>
      <c r="F4464" s="515" t="s">
        <v>5738</v>
      </c>
      <c r="G4464" s="52">
        <v>523675.35895337298</v>
      </c>
      <c r="H4464" s="56">
        <v>9.9229562029967286E-2</v>
      </c>
      <c r="I4464" s="224" t="s">
        <v>2</v>
      </c>
    </row>
    <row r="4465" spans="1:9" x14ac:dyDescent="0.25">
      <c r="A4465" s="515">
        <v>6776</v>
      </c>
      <c r="B4465" s="515" t="s">
        <v>559</v>
      </c>
      <c r="C4465" s="52">
        <v>383426.26354479499</v>
      </c>
      <c r="D4465" s="56">
        <v>6.3559421606120103E-2</v>
      </c>
      <c r="E4465" s="224" t="s">
        <v>2</v>
      </c>
      <c r="F4465" s="515" t="s">
        <v>5739</v>
      </c>
      <c r="G4465" s="52">
        <v>183226.33035874099</v>
      </c>
      <c r="H4465" s="56">
        <v>0.18987558711759683</v>
      </c>
      <c r="I4465" s="224" t="s">
        <v>2</v>
      </c>
    </row>
    <row r="4466" spans="1:9" x14ac:dyDescent="0.25">
      <c r="A4466" s="515">
        <v>88007</v>
      </c>
      <c r="B4466" s="515" t="s">
        <v>317</v>
      </c>
      <c r="C4466" s="52">
        <v>299047.12673109001</v>
      </c>
      <c r="D4466" s="56">
        <v>0.11461132320543437</v>
      </c>
      <c r="E4466" s="224" t="s">
        <v>2</v>
      </c>
      <c r="F4466" s="515" t="s">
        <v>5740</v>
      </c>
      <c r="G4466" s="52">
        <v>332201.65661521401</v>
      </c>
      <c r="H4466" s="56">
        <v>5.4535569635963642E-2</v>
      </c>
      <c r="I4466" s="224" t="s">
        <v>2</v>
      </c>
    </row>
    <row r="4467" spans="1:9" x14ac:dyDescent="0.25">
      <c r="A4467" s="515">
        <v>2478</v>
      </c>
      <c r="B4467" s="515" t="s">
        <v>534</v>
      </c>
      <c r="C4467" s="52">
        <v>1260418.95403011</v>
      </c>
      <c r="D4467" s="56">
        <v>3.8839604354403028E-2</v>
      </c>
      <c r="E4467" s="224">
        <v>2855.5</v>
      </c>
      <c r="F4467" s="515" t="s">
        <v>5741</v>
      </c>
      <c r="G4467" s="52">
        <v>418298.38112405298</v>
      </c>
      <c r="H4467" s="56">
        <v>5.1538511917689052E-2</v>
      </c>
      <c r="I4467" s="224">
        <v>2471.1999999999998</v>
      </c>
    </row>
    <row r="4468" spans="1:9" x14ac:dyDescent="0.25">
      <c r="A4468" s="515">
        <v>34476</v>
      </c>
      <c r="B4468" s="515" t="s">
        <v>475</v>
      </c>
      <c r="C4468" s="52">
        <v>309629.52063372801</v>
      </c>
      <c r="D4468" s="56">
        <v>0.13549438392218308</v>
      </c>
      <c r="E4468" s="224">
        <v>1500</v>
      </c>
      <c r="F4468" s="515" t="s">
        <v>5742</v>
      </c>
      <c r="G4468" s="52">
        <v>140607.59163210701</v>
      </c>
      <c r="H4468" s="56">
        <v>0.14804498359959312</v>
      </c>
      <c r="I4468" s="224" t="s">
        <v>2</v>
      </c>
    </row>
    <row r="4469" spans="1:9" x14ac:dyDescent="0.25">
      <c r="A4469" s="515">
        <v>6074</v>
      </c>
      <c r="B4469" s="515" t="s">
        <v>894</v>
      </c>
      <c r="C4469" s="52">
        <v>346385.59635133902</v>
      </c>
      <c r="D4469" s="56">
        <v>8.9779046277886576E-2</v>
      </c>
      <c r="E4469" s="224" t="s">
        <v>2</v>
      </c>
      <c r="F4469" s="515" t="s">
        <v>5743</v>
      </c>
      <c r="G4469" s="52">
        <v>199460.647405642</v>
      </c>
      <c r="H4469" s="56">
        <v>7.6961541162583691E-2</v>
      </c>
      <c r="I4469" s="224" t="s">
        <v>2</v>
      </c>
    </row>
    <row r="4470" spans="1:9" x14ac:dyDescent="0.25">
      <c r="A4470" s="515">
        <v>22043</v>
      </c>
      <c r="B4470" s="515" t="s">
        <v>321</v>
      </c>
      <c r="C4470" s="52">
        <v>785026.43810728996</v>
      </c>
      <c r="D4470" s="56">
        <v>2.103866876080426E-2</v>
      </c>
      <c r="E4470" s="224">
        <v>2260.2296296296199</v>
      </c>
      <c r="F4470" s="515" t="s">
        <v>5744</v>
      </c>
      <c r="G4470" s="52">
        <v>162357.58527493</v>
      </c>
      <c r="H4470" s="56">
        <v>0</v>
      </c>
      <c r="I4470" s="224" t="s">
        <v>2</v>
      </c>
    </row>
    <row r="4471" spans="1:9" x14ac:dyDescent="0.25">
      <c r="A4471" s="515">
        <v>55313</v>
      </c>
      <c r="B4471" s="515" t="s">
        <v>532</v>
      </c>
      <c r="C4471" s="52">
        <v>334482.48736978503</v>
      </c>
      <c r="D4471" s="56">
        <v>3.7089417581140441E-2</v>
      </c>
      <c r="E4471" s="224" t="s">
        <v>2</v>
      </c>
      <c r="F4471" s="515" t="s">
        <v>5745</v>
      </c>
      <c r="G4471" s="52">
        <v>379875.585301916</v>
      </c>
      <c r="H4471" s="56">
        <v>6.4454207003061884E-2</v>
      </c>
      <c r="I4471" s="224" t="s">
        <v>2</v>
      </c>
    </row>
    <row r="4472" spans="1:9" x14ac:dyDescent="0.25">
      <c r="A4472" s="515">
        <v>91354</v>
      </c>
      <c r="B4472" s="515" t="s">
        <v>375</v>
      </c>
      <c r="C4472" s="52">
        <v>785861.593046861</v>
      </c>
      <c r="D4472" s="56">
        <v>3.574277178169688E-2</v>
      </c>
      <c r="E4472" s="224">
        <v>3023.1083333333299</v>
      </c>
      <c r="F4472" s="515" t="s">
        <v>5746</v>
      </c>
      <c r="G4472" s="52">
        <v>274294.53386443597</v>
      </c>
      <c r="H4472" s="56">
        <v>8.5979384852051019E-2</v>
      </c>
      <c r="I4472" s="224" t="s">
        <v>2</v>
      </c>
    </row>
    <row r="4473" spans="1:9" x14ac:dyDescent="0.25">
      <c r="A4473" s="515">
        <v>64138</v>
      </c>
      <c r="B4473" s="515" t="s">
        <v>455</v>
      </c>
      <c r="C4473" s="52">
        <v>185652.00214639699</v>
      </c>
      <c r="D4473" s="56">
        <v>0.10675860847958901</v>
      </c>
      <c r="E4473" s="224">
        <v>1259.1481481481401</v>
      </c>
      <c r="F4473" s="515" t="s">
        <v>5747</v>
      </c>
      <c r="G4473" s="52">
        <v>302033.58744954201</v>
      </c>
      <c r="H4473" s="56">
        <v>8.7484398037509653E-2</v>
      </c>
      <c r="I4473" s="224" t="s">
        <v>2</v>
      </c>
    </row>
    <row r="4474" spans="1:9" x14ac:dyDescent="0.25">
      <c r="A4474" s="515">
        <v>78729</v>
      </c>
      <c r="B4474" s="515" t="s">
        <v>380</v>
      </c>
      <c r="C4474" s="52">
        <v>477488.16019402101</v>
      </c>
      <c r="D4474" s="56">
        <v>1.6853920414827604E-2</v>
      </c>
      <c r="E4474" s="224">
        <v>1579.13015873015</v>
      </c>
      <c r="F4474" s="515" t="s">
        <v>5748</v>
      </c>
      <c r="G4474" s="52">
        <v>581919.61839353805</v>
      </c>
      <c r="H4474" s="56">
        <v>6.6941483175645522E-2</v>
      </c>
      <c r="I4474" s="224" t="s">
        <v>2</v>
      </c>
    </row>
    <row r="4475" spans="1:9" x14ac:dyDescent="0.25">
      <c r="A4475" s="515">
        <v>46628</v>
      </c>
      <c r="B4475" s="515" t="s">
        <v>1002</v>
      </c>
      <c r="C4475" s="52">
        <v>140195.13331151</v>
      </c>
      <c r="D4475" s="56">
        <v>0.13006086696118432</v>
      </c>
      <c r="E4475" s="224" t="s">
        <v>2</v>
      </c>
      <c r="F4475" s="515" t="s">
        <v>5749</v>
      </c>
      <c r="G4475" s="52">
        <v>215088.65631053501</v>
      </c>
      <c r="H4475" s="56">
        <v>0.10296287033167666</v>
      </c>
      <c r="I4475" s="224" t="s">
        <v>2</v>
      </c>
    </row>
    <row r="4476" spans="1:9" x14ac:dyDescent="0.25">
      <c r="A4476" s="515">
        <v>11901</v>
      </c>
      <c r="B4476" s="515" t="s">
        <v>324</v>
      </c>
      <c r="C4476" s="52">
        <v>514080.05669436802</v>
      </c>
      <c r="D4476" s="56">
        <v>8.6703300501790287E-2</v>
      </c>
      <c r="E4476" s="224" t="s">
        <v>2</v>
      </c>
      <c r="F4476" s="515" t="s">
        <v>5750</v>
      </c>
      <c r="G4476" s="52">
        <v>381194.39681518701</v>
      </c>
      <c r="H4476" s="56">
        <v>0.14482996864815117</v>
      </c>
      <c r="I4476" s="224" t="s">
        <v>2</v>
      </c>
    </row>
    <row r="4477" spans="1:9" x14ac:dyDescent="0.25">
      <c r="A4477" s="515">
        <v>77385</v>
      </c>
      <c r="B4477" s="515" t="s">
        <v>314</v>
      </c>
      <c r="C4477" s="52">
        <v>326699.14796147298</v>
      </c>
      <c r="D4477" s="56">
        <v>7.4582413301022762E-2</v>
      </c>
      <c r="E4477" s="224">
        <v>1778.6168091167999</v>
      </c>
      <c r="F4477" s="515" t="s">
        <v>5751</v>
      </c>
      <c r="G4477" s="52">
        <v>430915.81728691002</v>
      </c>
      <c r="H4477" s="56">
        <v>8.571915604781763E-2</v>
      </c>
      <c r="I4477" s="224" t="s">
        <v>2</v>
      </c>
    </row>
    <row r="4478" spans="1:9" x14ac:dyDescent="0.25">
      <c r="A4478" s="515">
        <v>42431</v>
      </c>
      <c r="B4478" s="515" t="s">
        <v>598</v>
      </c>
      <c r="C4478" s="52">
        <v>134898.319860227</v>
      </c>
      <c r="D4478" s="56">
        <v>0.13339751021736229</v>
      </c>
      <c r="E4478" s="224" t="s">
        <v>2</v>
      </c>
      <c r="F4478" s="515" t="s">
        <v>5752</v>
      </c>
      <c r="G4478" s="52">
        <v>126288.01166146901</v>
      </c>
      <c r="H4478" s="56">
        <v>7.7035789984971625E-2</v>
      </c>
      <c r="I4478" s="224" t="s">
        <v>2</v>
      </c>
    </row>
    <row r="4479" spans="1:9" x14ac:dyDescent="0.25">
      <c r="A4479" s="515">
        <v>15101</v>
      </c>
      <c r="B4479" s="515" t="s">
        <v>297</v>
      </c>
      <c r="C4479" s="52">
        <v>323587.52705327002</v>
      </c>
      <c r="D4479" s="56">
        <v>6.1590288854030999E-2</v>
      </c>
      <c r="E4479" s="224" t="s">
        <v>2</v>
      </c>
      <c r="F4479" s="515" t="s">
        <v>5753</v>
      </c>
      <c r="G4479" s="52">
        <v>385837.39828283002</v>
      </c>
      <c r="H4479" s="56">
        <v>9.6215283883488462E-2</v>
      </c>
      <c r="I4479" s="224" t="s">
        <v>2</v>
      </c>
    </row>
    <row r="4480" spans="1:9" x14ac:dyDescent="0.25">
      <c r="A4480" s="515">
        <v>92411</v>
      </c>
      <c r="B4480" s="515" t="s">
        <v>599</v>
      </c>
      <c r="C4480" s="52">
        <v>383176.38851643098</v>
      </c>
      <c r="D4480" s="56">
        <v>0.11424785347298859</v>
      </c>
      <c r="E4480" s="224" t="s">
        <v>2</v>
      </c>
      <c r="F4480" s="515" t="s">
        <v>5754</v>
      </c>
      <c r="G4480" s="52">
        <v>141020.86521097901</v>
      </c>
      <c r="H4480" s="56">
        <v>-5.6840401484798568E-2</v>
      </c>
      <c r="I4480" s="224" t="s">
        <v>2</v>
      </c>
    </row>
    <row r="4481" spans="1:9" x14ac:dyDescent="0.25">
      <c r="A4481" s="515">
        <v>95363</v>
      </c>
      <c r="B4481" s="515" t="s">
        <v>797</v>
      </c>
      <c r="C4481" s="52">
        <v>477343.43613932497</v>
      </c>
      <c r="D4481" s="56">
        <v>2.514136826455228E-2</v>
      </c>
      <c r="E4481" s="224" t="s">
        <v>2</v>
      </c>
      <c r="F4481" s="515" t="s">
        <v>5755</v>
      </c>
      <c r="G4481" s="52">
        <v>289285.412803101</v>
      </c>
      <c r="H4481" s="56">
        <v>3.9337033074198426E-2</v>
      </c>
      <c r="I4481" s="224">
        <v>1190.25</v>
      </c>
    </row>
    <row r="4482" spans="1:9" x14ac:dyDescent="0.25">
      <c r="A4482" s="515">
        <v>77504</v>
      </c>
      <c r="B4482" s="515" t="s">
        <v>314</v>
      </c>
      <c r="C4482" s="52">
        <v>249126.86679728801</v>
      </c>
      <c r="D4482" s="56">
        <v>6.8740796384167135E-2</v>
      </c>
      <c r="E4482" s="224">
        <v>1197.75</v>
      </c>
      <c r="F4482" s="515" t="s">
        <v>5756</v>
      </c>
      <c r="G4482" s="52">
        <v>328009.07199613302</v>
      </c>
      <c r="H4482" s="56">
        <v>6.7756673913128451E-2</v>
      </c>
      <c r="I4482" s="224" t="s">
        <v>2</v>
      </c>
    </row>
    <row r="4483" spans="1:9" x14ac:dyDescent="0.25">
      <c r="A4483" s="515">
        <v>7860</v>
      </c>
      <c r="B4483" s="515" t="s">
        <v>324</v>
      </c>
      <c r="C4483" s="52">
        <v>349543.00934694801</v>
      </c>
      <c r="D4483" s="56">
        <v>4.3507837061450783E-2</v>
      </c>
      <c r="E4483" s="224">
        <v>1815.4166666666599</v>
      </c>
      <c r="F4483" s="515" t="s">
        <v>5757</v>
      </c>
      <c r="G4483" s="52">
        <v>95117.613315693598</v>
      </c>
      <c r="H4483" s="56">
        <v>0.1934258592479349</v>
      </c>
      <c r="I4483" s="224" t="s">
        <v>2</v>
      </c>
    </row>
    <row r="4484" spans="1:9" x14ac:dyDescent="0.25">
      <c r="A4484" s="515">
        <v>49048</v>
      </c>
      <c r="B4484" s="515" t="s">
        <v>1037</v>
      </c>
      <c r="C4484" s="52">
        <v>160283.077253903</v>
      </c>
      <c r="D4484" s="56">
        <v>7.4917223642004663E-2</v>
      </c>
      <c r="E4484" s="224" t="s">
        <v>2</v>
      </c>
      <c r="F4484" s="515" t="s">
        <v>5758</v>
      </c>
      <c r="G4484" s="52">
        <v>562178.18783128296</v>
      </c>
      <c r="H4484" s="56">
        <v>4.2625464255805497E-2</v>
      </c>
      <c r="I4484" s="224" t="s">
        <v>2</v>
      </c>
    </row>
    <row r="4485" spans="1:9" x14ac:dyDescent="0.25">
      <c r="A4485" s="515">
        <v>43085</v>
      </c>
      <c r="B4485" s="515" t="s">
        <v>345</v>
      </c>
      <c r="C4485" s="52">
        <v>358575.18524735398</v>
      </c>
      <c r="D4485" s="56">
        <v>7.1475289974911149E-2</v>
      </c>
      <c r="E4485" s="224">
        <v>1400</v>
      </c>
      <c r="F4485" s="515" t="s">
        <v>5759</v>
      </c>
      <c r="G4485" s="52">
        <v>895187.83464680403</v>
      </c>
      <c r="H4485" s="56">
        <v>7.5372637039333085E-2</v>
      </c>
      <c r="I4485" s="224" t="s">
        <v>2</v>
      </c>
    </row>
    <row r="4486" spans="1:9" x14ac:dyDescent="0.25">
      <c r="A4486" s="515">
        <v>15210</v>
      </c>
      <c r="B4486" s="515" t="s">
        <v>297</v>
      </c>
      <c r="C4486" s="52">
        <v>97654.886883135099</v>
      </c>
      <c r="D4486" s="56">
        <v>0.1326882512208262</v>
      </c>
      <c r="E4486" s="224">
        <v>1227.63461538461</v>
      </c>
      <c r="F4486" s="515" t="s">
        <v>1246</v>
      </c>
      <c r="G4486" s="52">
        <v>451607.12168141099</v>
      </c>
      <c r="H4486" s="56">
        <v>0.11918294855261848</v>
      </c>
      <c r="I4486" s="224">
        <v>2047.2222222222199</v>
      </c>
    </row>
    <row r="4487" spans="1:9" x14ac:dyDescent="0.25">
      <c r="A4487" s="515">
        <v>80516</v>
      </c>
      <c r="B4487" s="515" t="s">
        <v>382</v>
      </c>
      <c r="C4487" s="52">
        <v>719423.89623126399</v>
      </c>
      <c r="D4487" s="56">
        <v>2.9944745621968964E-2</v>
      </c>
      <c r="E4487" s="224">
        <v>2643.3333333333298</v>
      </c>
      <c r="F4487" s="515" t="s">
        <v>5760</v>
      </c>
      <c r="G4487" s="52">
        <v>170514.84461742899</v>
      </c>
      <c r="H4487" s="56">
        <v>8.6947239597376866E-2</v>
      </c>
      <c r="I4487" s="224" t="s">
        <v>2</v>
      </c>
    </row>
    <row r="4488" spans="1:9" x14ac:dyDescent="0.25">
      <c r="A4488" s="515">
        <v>37849</v>
      </c>
      <c r="B4488" s="515" t="s">
        <v>907</v>
      </c>
      <c r="C4488" s="52">
        <v>302503.34057290998</v>
      </c>
      <c r="D4488" s="56">
        <v>0.13846657912413915</v>
      </c>
      <c r="E4488" s="224" t="s">
        <v>2</v>
      </c>
      <c r="F4488" s="515" t="s">
        <v>429</v>
      </c>
      <c r="G4488" s="52">
        <v>147154.53057599801</v>
      </c>
      <c r="H4488" s="56">
        <v>4.1565283274985501E-2</v>
      </c>
      <c r="I4488" s="224" t="s">
        <v>2</v>
      </c>
    </row>
    <row r="4489" spans="1:9" x14ac:dyDescent="0.25">
      <c r="A4489" s="515">
        <v>51106</v>
      </c>
      <c r="B4489" s="515" t="s">
        <v>649</v>
      </c>
      <c r="C4489" s="52">
        <v>191366.19035772799</v>
      </c>
      <c r="D4489" s="56">
        <v>0.10873709094344175</v>
      </c>
      <c r="E4489" s="224" t="s">
        <v>2</v>
      </c>
      <c r="F4489" s="515" t="s">
        <v>5761</v>
      </c>
      <c r="G4489" s="52">
        <v>194726.745851271</v>
      </c>
      <c r="H4489" s="56">
        <v>7.9960096852439724E-2</v>
      </c>
      <c r="I4489" s="224" t="s">
        <v>2</v>
      </c>
    </row>
    <row r="4490" spans="1:9" x14ac:dyDescent="0.25">
      <c r="A4490" s="515">
        <v>43054</v>
      </c>
      <c r="B4490" s="515" t="s">
        <v>345</v>
      </c>
      <c r="C4490" s="52">
        <v>506430.10006988799</v>
      </c>
      <c r="D4490" s="56">
        <v>6.8804201736729687E-2</v>
      </c>
      <c r="E4490" s="224">
        <v>1430.51388888888</v>
      </c>
      <c r="F4490" s="515" t="s">
        <v>5762</v>
      </c>
      <c r="G4490" s="52">
        <v>247445.14329277401</v>
      </c>
      <c r="H4490" s="56">
        <v>5.5117980685357455E-2</v>
      </c>
      <c r="I4490" s="224" t="s">
        <v>2</v>
      </c>
    </row>
    <row r="4491" spans="1:9" x14ac:dyDescent="0.25">
      <c r="A4491" s="515">
        <v>65616</v>
      </c>
      <c r="B4491" s="515" t="s">
        <v>757</v>
      </c>
      <c r="C4491" s="52">
        <v>249318.89645043199</v>
      </c>
      <c r="D4491" s="56">
        <v>0.13842556893815178</v>
      </c>
      <c r="E4491" s="224" t="s">
        <v>2</v>
      </c>
      <c r="F4491" s="515" t="s">
        <v>5763</v>
      </c>
      <c r="G4491" s="52">
        <v>370864.03619053302</v>
      </c>
      <c r="H4491" s="56">
        <v>0.12818529472049223</v>
      </c>
      <c r="I4491" s="224" t="s">
        <v>2</v>
      </c>
    </row>
    <row r="4492" spans="1:9" x14ac:dyDescent="0.25">
      <c r="A4492" s="515">
        <v>94559</v>
      </c>
      <c r="B4492" s="515" t="s">
        <v>914</v>
      </c>
      <c r="C4492" s="52">
        <v>804057.45456116204</v>
      </c>
      <c r="D4492" s="56">
        <v>2.868875486781388E-2</v>
      </c>
      <c r="E4492" s="224">
        <v>3067.1666666666601</v>
      </c>
      <c r="F4492" s="515" t="s">
        <v>5764</v>
      </c>
      <c r="G4492" s="52">
        <v>334186.35740009602</v>
      </c>
      <c r="H4492" s="56">
        <v>6.9855562552776349E-2</v>
      </c>
      <c r="I4492" s="224">
        <v>2099</v>
      </c>
    </row>
    <row r="4493" spans="1:9" x14ac:dyDescent="0.25">
      <c r="A4493" s="515">
        <v>27870</v>
      </c>
      <c r="B4493" s="515" t="s">
        <v>909</v>
      </c>
      <c r="C4493" s="52">
        <v>94828.644076257406</v>
      </c>
      <c r="D4493" s="56">
        <v>0.15554370860496075</v>
      </c>
      <c r="E4493" s="224" t="s">
        <v>2</v>
      </c>
      <c r="F4493" s="515" t="s">
        <v>5765</v>
      </c>
      <c r="G4493" s="52">
        <v>439554.68342714198</v>
      </c>
      <c r="H4493" s="56">
        <v>0.10964702751364595</v>
      </c>
      <c r="I4493" s="224" t="s">
        <v>2</v>
      </c>
    </row>
    <row r="4494" spans="1:9" x14ac:dyDescent="0.25">
      <c r="A4494" s="515">
        <v>6704</v>
      </c>
      <c r="B4494" s="515" t="s">
        <v>1172</v>
      </c>
      <c r="C4494" s="52">
        <v>195393.35490930101</v>
      </c>
      <c r="D4494" s="56">
        <v>0.16482919202182097</v>
      </c>
      <c r="E4494" s="224" t="s">
        <v>2</v>
      </c>
      <c r="F4494" s="515" t="s">
        <v>5766</v>
      </c>
      <c r="G4494" s="52">
        <v>82196.143262226105</v>
      </c>
      <c r="H4494" s="56">
        <v>6.7615962276363531E-2</v>
      </c>
      <c r="I4494" s="224" t="s">
        <v>2</v>
      </c>
    </row>
    <row r="4495" spans="1:9" x14ac:dyDescent="0.25">
      <c r="A4495" s="515">
        <v>44663</v>
      </c>
      <c r="B4495" s="515" t="s">
        <v>309</v>
      </c>
      <c r="C4495" s="52">
        <v>170343.02915576601</v>
      </c>
      <c r="D4495" s="56">
        <v>5.2173287719188159E-2</v>
      </c>
      <c r="E4495" s="224" t="s">
        <v>2</v>
      </c>
      <c r="F4495" s="515" t="s">
        <v>5767</v>
      </c>
      <c r="G4495" s="52">
        <v>132277.28001413</v>
      </c>
      <c r="H4495" s="56">
        <v>7.9050924119884805E-2</v>
      </c>
      <c r="I4495" s="224" t="s">
        <v>2</v>
      </c>
    </row>
    <row r="4496" spans="1:9" x14ac:dyDescent="0.25">
      <c r="A4496" s="515">
        <v>4330</v>
      </c>
      <c r="B4496" s="515" t="s">
        <v>848</v>
      </c>
      <c r="C4496" s="52">
        <v>244176.172636262</v>
      </c>
      <c r="D4496" s="56">
        <v>0.10258969321261072</v>
      </c>
      <c r="E4496" s="224">
        <v>1444.1666666666599</v>
      </c>
      <c r="F4496" s="515" t="s">
        <v>5768</v>
      </c>
      <c r="G4496" s="52">
        <v>131483.745526863</v>
      </c>
      <c r="H4496" s="56">
        <v>4.4709236747299701E-2</v>
      </c>
      <c r="I4496" s="224" t="s">
        <v>2</v>
      </c>
    </row>
    <row r="4497" spans="1:9" x14ac:dyDescent="0.25">
      <c r="A4497" s="515">
        <v>12804</v>
      </c>
      <c r="B4497" s="515" t="s">
        <v>422</v>
      </c>
      <c r="C4497" s="52">
        <v>306108.43713104102</v>
      </c>
      <c r="D4497" s="56">
        <v>8.2949444799995595E-2</v>
      </c>
      <c r="E4497" s="224" t="s">
        <v>2</v>
      </c>
      <c r="F4497" s="515" t="s">
        <v>5769</v>
      </c>
      <c r="G4497" s="52">
        <v>117989.733122388</v>
      </c>
      <c r="H4497" s="56">
        <v>0.14671053778645271</v>
      </c>
      <c r="I4497" s="224" t="s">
        <v>2</v>
      </c>
    </row>
    <row r="4498" spans="1:9" x14ac:dyDescent="0.25">
      <c r="A4498" s="515">
        <v>33703</v>
      </c>
      <c r="B4498" s="515" t="s">
        <v>461</v>
      </c>
      <c r="C4498" s="52">
        <v>413756.30916299199</v>
      </c>
      <c r="D4498" s="56">
        <v>0.13034091859035377</v>
      </c>
      <c r="E4498" s="224">
        <v>2394.38888888888</v>
      </c>
      <c r="F4498" s="515" t="s">
        <v>5770</v>
      </c>
      <c r="G4498" s="52">
        <v>1059660.4861072099</v>
      </c>
      <c r="H4498" s="56">
        <v>4.5430179025353332E-2</v>
      </c>
      <c r="I4498" s="224" t="s">
        <v>2</v>
      </c>
    </row>
    <row r="4499" spans="1:9" x14ac:dyDescent="0.25">
      <c r="A4499" s="515">
        <v>95620</v>
      </c>
      <c r="B4499" s="515" t="s">
        <v>835</v>
      </c>
      <c r="C4499" s="52">
        <v>561111.44513173599</v>
      </c>
      <c r="D4499" s="56">
        <v>7.6745478553856012E-3</v>
      </c>
      <c r="E4499" s="224" t="s">
        <v>2</v>
      </c>
      <c r="F4499" s="515" t="s">
        <v>5771</v>
      </c>
      <c r="G4499" s="52">
        <v>351789.65677075298</v>
      </c>
      <c r="H4499" s="56">
        <v>6.2991600911642506E-2</v>
      </c>
      <c r="I4499" s="224" t="s">
        <v>2</v>
      </c>
    </row>
    <row r="4500" spans="1:9" x14ac:dyDescent="0.25">
      <c r="A4500" s="515">
        <v>34471</v>
      </c>
      <c r="B4500" s="515" t="s">
        <v>475</v>
      </c>
      <c r="C4500" s="52">
        <v>309551.90137334203</v>
      </c>
      <c r="D4500" s="56">
        <v>0.15070670877563783</v>
      </c>
      <c r="E4500" s="224">
        <v>1758.1666666666599</v>
      </c>
      <c r="F4500" s="515" t="s">
        <v>5772</v>
      </c>
      <c r="G4500" s="52">
        <v>310927.47200703999</v>
      </c>
      <c r="H4500" s="56">
        <v>4.9419843935200068E-2</v>
      </c>
      <c r="I4500" s="224" t="s">
        <v>2</v>
      </c>
    </row>
    <row r="4501" spans="1:9" x14ac:dyDescent="0.25">
      <c r="A4501" s="515">
        <v>97078</v>
      </c>
      <c r="B4501" s="515" t="s">
        <v>659</v>
      </c>
      <c r="C4501" s="52">
        <v>476482.526338258</v>
      </c>
      <c r="D4501" s="56">
        <v>1.9417697755236763E-2</v>
      </c>
      <c r="E4501" s="224">
        <v>1931.875</v>
      </c>
      <c r="F4501" s="515" t="s">
        <v>5773</v>
      </c>
      <c r="G4501" s="52">
        <v>342081.131961704</v>
      </c>
      <c r="H4501" s="56">
        <v>7.4581997369432038E-2</v>
      </c>
      <c r="I4501" s="224" t="s">
        <v>2</v>
      </c>
    </row>
    <row r="4502" spans="1:9" x14ac:dyDescent="0.25">
      <c r="A4502" s="515">
        <v>54303</v>
      </c>
      <c r="B4502" s="515" t="s">
        <v>897</v>
      </c>
      <c r="C4502" s="52">
        <v>185822.740530804</v>
      </c>
      <c r="D4502" s="56">
        <v>9.3419522921382461E-2</v>
      </c>
      <c r="E4502" s="224">
        <v>952.16666666666595</v>
      </c>
      <c r="F4502" s="515" t="s">
        <v>5774</v>
      </c>
      <c r="G4502" s="52">
        <v>195621.03278496399</v>
      </c>
      <c r="H4502" s="56">
        <v>5.8264771091478457E-2</v>
      </c>
      <c r="I4502" s="224">
        <v>1786.3333333333301</v>
      </c>
    </row>
    <row r="4503" spans="1:9" x14ac:dyDescent="0.25">
      <c r="A4503" s="515">
        <v>28334</v>
      </c>
      <c r="B4503" s="515" t="s">
        <v>1149</v>
      </c>
      <c r="C4503" s="52">
        <v>193473.31294837699</v>
      </c>
      <c r="D4503" s="56">
        <v>0.20157832564661779</v>
      </c>
      <c r="E4503" s="224" t="s">
        <v>2</v>
      </c>
      <c r="F4503" s="515" t="s">
        <v>5775</v>
      </c>
      <c r="G4503" s="52">
        <v>641890.35715689498</v>
      </c>
      <c r="H4503" s="56">
        <v>-2.7613673242836232E-3</v>
      </c>
      <c r="I4503" s="224" t="s">
        <v>2</v>
      </c>
    </row>
    <row r="4504" spans="1:9" x14ac:dyDescent="0.25">
      <c r="A4504" s="515">
        <v>32750</v>
      </c>
      <c r="B4504" s="515" t="s">
        <v>517</v>
      </c>
      <c r="C4504" s="52">
        <v>377268.977154341</v>
      </c>
      <c r="D4504" s="56">
        <v>0.11377324562088831</v>
      </c>
      <c r="E4504" s="224">
        <v>2014.4603174603101</v>
      </c>
      <c r="F4504" s="515" t="s">
        <v>5776</v>
      </c>
      <c r="G4504" s="52">
        <v>237576.32525480899</v>
      </c>
      <c r="H4504" s="56">
        <v>5.7355867507474935E-2</v>
      </c>
      <c r="I4504" s="224" t="s">
        <v>2</v>
      </c>
    </row>
    <row r="4505" spans="1:9" x14ac:dyDescent="0.25">
      <c r="A4505" s="515">
        <v>91302</v>
      </c>
      <c r="B4505" s="515" t="s">
        <v>375</v>
      </c>
      <c r="C4505" s="52">
        <v>1844362.3377576999</v>
      </c>
      <c r="D4505" s="56">
        <v>7.3848416673835487E-2</v>
      </c>
      <c r="E4505" s="224">
        <v>3167.9107142857101</v>
      </c>
      <c r="F4505" s="515" t="s">
        <v>5777</v>
      </c>
      <c r="G4505" s="52">
        <v>481948.87607120897</v>
      </c>
      <c r="H4505" s="56">
        <v>3.9908166808217772E-2</v>
      </c>
      <c r="I4505" s="224" t="s">
        <v>2</v>
      </c>
    </row>
    <row r="4506" spans="1:9" x14ac:dyDescent="0.25">
      <c r="A4506" s="515">
        <v>48223</v>
      </c>
      <c r="B4506" s="515" t="s">
        <v>685</v>
      </c>
      <c r="C4506" s="52">
        <v>91664.538416471507</v>
      </c>
      <c r="D4506" s="56">
        <v>6.5889845834505897E-2</v>
      </c>
      <c r="E4506" s="224">
        <v>1275</v>
      </c>
      <c r="F4506" s="515" t="s">
        <v>583</v>
      </c>
      <c r="G4506" s="52">
        <v>154402.56159861601</v>
      </c>
      <c r="H4506" s="56">
        <v>5.4932851127341024E-2</v>
      </c>
      <c r="I4506" s="224" t="s">
        <v>2</v>
      </c>
    </row>
    <row r="4507" spans="1:9" x14ac:dyDescent="0.25">
      <c r="A4507" s="515">
        <v>46545</v>
      </c>
      <c r="B4507" s="515" t="s">
        <v>1002</v>
      </c>
      <c r="C4507" s="52">
        <v>176397.902442455</v>
      </c>
      <c r="D4507" s="56">
        <v>7.2128047253836203E-2</v>
      </c>
      <c r="E4507" s="224" t="s">
        <v>2</v>
      </c>
      <c r="F4507" s="515" t="s">
        <v>5778</v>
      </c>
      <c r="G4507" s="52">
        <v>505599.69972972199</v>
      </c>
      <c r="H4507" s="56">
        <v>2.9459288737441969E-2</v>
      </c>
      <c r="I4507" s="224" t="s">
        <v>2</v>
      </c>
    </row>
    <row r="4508" spans="1:9" x14ac:dyDescent="0.25">
      <c r="A4508" s="515">
        <v>61614</v>
      </c>
      <c r="B4508" s="515" t="s">
        <v>303</v>
      </c>
      <c r="C4508" s="52">
        <v>159966.628033744</v>
      </c>
      <c r="D4508" s="56">
        <v>8.2115162303071962E-2</v>
      </c>
      <c r="E4508" s="224">
        <v>1124.75</v>
      </c>
      <c r="F4508" s="515" t="s">
        <v>5779</v>
      </c>
      <c r="G4508" s="52">
        <v>421122.94078332599</v>
      </c>
      <c r="H4508" s="56">
        <v>2.3157937275757542E-2</v>
      </c>
      <c r="I4508" s="224" t="s">
        <v>2</v>
      </c>
    </row>
    <row r="4509" spans="1:9" x14ac:dyDescent="0.25">
      <c r="A4509" s="515">
        <v>58554</v>
      </c>
      <c r="B4509" s="515" t="s">
        <v>930</v>
      </c>
      <c r="C4509" s="52">
        <v>291545.05106231902</v>
      </c>
      <c r="D4509" s="56">
        <v>5.0671745581894079E-2</v>
      </c>
      <c r="E4509" s="224">
        <v>1066.25</v>
      </c>
      <c r="F4509" s="515" t="s">
        <v>5780</v>
      </c>
      <c r="G4509" s="52">
        <v>622113.70881951798</v>
      </c>
      <c r="H4509" s="56">
        <v>9.0976770669421669E-2</v>
      </c>
      <c r="I4509" s="224" t="s">
        <v>2</v>
      </c>
    </row>
    <row r="4510" spans="1:9" x14ac:dyDescent="0.25">
      <c r="A4510" s="515">
        <v>60487</v>
      </c>
      <c r="B4510" s="515" t="s">
        <v>394</v>
      </c>
      <c r="C4510" s="52">
        <v>330485.79170285998</v>
      </c>
      <c r="D4510" s="56">
        <v>3.4310485135411177E-2</v>
      </c>
      <c r="E4510" s="224" t="s">
        <v>2</v>
      </c>
      <c r="F4510" s="515" t="s">
        <v>5781</v>
      </c>
      <c r="G4510" s="52">
        <v>180907.97609044801</v>
      </c>
      <c r="H4510" s="56">
        <v>0.10318984396640186</v>
      </c>
      <c r="I4510" s="224" t="s">
        <v>2</v>
      </c>
    </row>
    <row r="4511" spans="1:9" x14ac:dyDescent="0.25">
      <c r="A4511" s="515">
        <v>40205</v>
      </c>
      <c r="B4511" s="515" t="s">
        <v>479</v>
      </c>
      <c r="C4511" s="52">
        <v>344153.88187737798</v>
      </c>
      <c r="D4511" s="56">
        <v>4.8322377324138729E-2</v>
      </c>
      <c r="E4511" s="224">
        <v>1538.7777777777701</v>
      </c>
      <c r="F4511" s="515" t="s">
        <v>5782</v>
      </c>
      <c r="G4511" s="52">
        <v>176918.067463999</v>
      </c>
      <c r="H4511" s="56">
        <v>0.13587750757823749</v>
      </c>
      <c r="I4511" s="224" t="s">
        <v>2</v>
      </c>
    </row>
    <row r="4512" spans="1:9" x14ac:dyDescent="0.25">
      <c r="A4512" s="515">
        <v>97035</v>
      </c>
      <c r="B4512" s="515" t="s">
        <v>659</v>
      </c>
      <c r="C4512" s="52">
        <v>715245.26891823602</v>
      </c>
      <c r="D4512" s="56">
        <v>5.1522510614082008E-2</v>
      </c>
      <c r="E4512" s="224">
        <v>2089.7397435897401</v>
      </c>
      <c r="F4512" s="515" t="s">
        <v>5783</v>
      </c>
      <c r="G4512" s="52">
        <v>268095.62374313199</v>
      </c>
      <c r="H4512" s="56">
        <v>7.6088475019836135E-2</v>
      </c>
      <c r="I4512" s="224" t="s">
        <v>2</v>
      </c>
    </row>
    <row r="4513" spans="1:9" x14ac:dyDescent="0.25">
      <c r="A4513" s="515">
        <v>28401</v>
      </c>
      <c r="B4513" s="515" t="s">
        <v>1038</v>
      </c>
      <c r="C4513" s="52">
        <v>278319.83155139798</v>
      </c>
      <c r="D4513" s="56">
        <v>0.17936124385574687</v>
      </c>
      <c r="E4513" s="224">
        <v>1744.84632034632</v>
      </c>
      <c r="F4513" s="515" t="s">
        <v>5784</v>
      </c>
      <c r="G4513" s="52">
        <v>134019.943634205</v>
      </c>
      <c r="H4513" s="56">
        <v>0.10671916352188673</v>
      </c>
      <c r="I4513" s="224" t="s">
        <v>2</v>
      </c>
    </row>
    <row r="4514" spans="1:9" x14ac:dyDescent="0.25">
      <c r="A4514" s="515">
        <v>32605</v>
      </c>
      <c r="B4514" s="515" t="s">
        <v>577</v>
      </c>
      <c r="C4514" s="52">
        <v>281982.14801804099</v>
      </c>
      <c r="D4514" s="56">
        <v>9.4689240890288698E-2</v>
      </c>
      <c r="E4514" s="224">
        <v>1833.44444444444</v>
      </c>
      <c r="F4514" s="515" t="s">
        <v>5785</v>
      </c>
      <c r="G4514" s="52">
        <v>254983.32048144899</v>
      </c>
      <c r="H4514" s="56">
        <v>7.2301029091595845E-2</v>
      </c>
      <c r="I4514" s="224" t="s">
        <v>2</v>
      </c>
    </row>
    <row r="4515" spans="1:9" x14ac:dyDescent="0.25">
      <c r="A4515" s="515">
        <v>28681</v>
      </c>
      <c r="B4515" s="515" t="s">
        <v>638</v>
      </c>
      <c r="C4515" s="52">
        <v>215053.73152965301</v>
      </c>
      <c r="D4515" s="56">
        <v>8.2583522187567898E-2</v>
      </c>
      <c r="E4515" s="224" t="s">
        <v>2</v>
      </c>
      <c r="F4515" s="515" t="s">
        <v>5786</v>
      </c>
      <c r="G4515" s="52">
        <v>364746.63662730699</v>
      </c>
      <c r="H4515" s="56">
        <v>5.3375919530993007E-2</v>
      </c>
      <c r="I4515" s="224" t="s">
        <v>2</v>
      </c>
    </row>
    <row r="4516" spans="1:9" x14ac:dyDescent="0.25">
      <c r="A4516" s="515">
        <v>60473</v>
      </c>
      <c r="B4516" s="515" t="s">
        <v>394</v>
      </c>
      <c r="C4516" s="52">
        <v>212817.575801286</v>
      </c>
      <c r="D4516" s="56">
        <v>4.790511819615291E-2</v>
      </c>
      <c r="E4516" s="224" t="s">
        <v>2</v>
      </c>
      <c r="F4516" s="515" t="s">
        <v>5787</v>
      </c>
      <c r="G4516" s="52">
        <v>227224.064657232</v>
      </c>
      <c r="H4516" s="56">
        <v>6.1824650010143874E-2</v>
      </c>
      <c r="I4516" s="224" t="s">
        <v>2</v>
      </c>
    </row>
    <row r="4517" spans="1:9" x14ac:dyDescent="0.25">
      <c r="A4517" s="515">
        <v>2143</v>
      </c>
      <c r="B4517" s="515" t="s">
        <v>534</v>
      </c>
      <c r="C4517" s="52">
        <v>801338.68150817195</v>
      </c>
      <c r="D4517" s="56">
        <v>-2.9561337164172252E-2</v>
      </c>
      <c r="E4517" s="224">
        <v>2722.3219373219299</v>
      </c>
      <c r="F4517" s="515" t="s">
        <v>5788</v>
      </c>
      <c r="G4517" s="52">
        <v>702720.83004409994</v>
      </c>
      <c r="H4517" s="56">
        <v>6.6491060365002699E-2</v>
      </c>
      <c r="I4517" s="224" t="s">
        <v>2</v>
      </c>
    </row>
    <row r="4518" spans="1:9" x14ac:dyDescent="0.25">
      <c r="A4518" s="515">
        <v>33189</v>
      </c>
      <c r="B4518" s="515" t="s">
        <v>831</v>
      </c>
      <c r="C4518" s="52">
        <v>459074.85303184798</v>
      </c>
      <c r="D4518" s="56">
        <v>0.1196941614722294</v>
      </c>
      <c r="E4518" s="224">
        <v>2605.9555555555498</v>
      </c>
      <c r="F4518" s="515" t="s">
        <v>5789</v>
      </c>
      <c r="G4518" s="52">
        <v>173663.91354643801</v>
      </c>
      <c r="H4518" s="56">
        <v>7.3706568077342591E-2</v>
      </c>
      <c r="I4518" s="224" t="s">
        <v>2</v>
      </c>
    </row>
    <row r="4519" spans="1:9" x14ac:dyDescent="0.25">
      <c r="A4519" s="515">
        <v>7430</v>
      </c>
      <c r="B4519" s="515" t="s">
        <v>324</v>
      </c>
      <c r="C4519" s="52">
        <v>573863.18073082005</v>
      </c>
      <c r="D4519" s="56">
        <v>4.6081760143405051E-2</v>
      </c>
      <c r="E4519" s="224">
        <v>2783.3333333333298</v>
      </c>
      <c r="F4519" s="515" t="s">
        <v>5790</v>
      </c>
      <c r="G4519" s="52">
        <v>357320.220535714</v>
      </c>
      <c r="H4519" s="56">
        <v>0</v>
      </c>
      <c r="I4519" s="224" t="s">
        <v>2</v>
      </c>
    </row>
    <row r="4520" spans="1:9" x14ac:dyDescent="0.25">
      <c r="A4520" s="515">
        <v>2861</v>
      </c>
      <c r="B4520" s="515" t="s">
        <v>513</v>
      </c>
      <c r="C4520" s="52">
        <v>326744.13909259299</v>
      </c>
      <c r="D4520" s="56">
        <v>8.8313999042428523E-2</v>
      </c>
      <c r="E4520" s="224">
        <v>1576.38888888888</v>
      </c>
      <c r="F4520" s="515" t="s">
        <v>5791</v>
      </c>
      <c r="G4520" s="52">
        <v>147881.634866846</v>
      </c>
      <c r="H4520" s="56">
        <v>8.5075508061878066E-2</v>
      </c>
      <c r="I4520" s="224" t="s">
        <v>2</v>
      </c>
    </row>
    <row r="4521" spans="1:9" x14ac:dyDescent="0.25">
      <c r="A4521" s="515">
        <v>92108</v>
      </c>
      <c r="B4521" s="515" t="s">
        <v>396</v>
      </c>
      <c r="C4521" s="52">
        <v>563186.34154757299</v>
      </c>
      <c r="D4521" s="56">
        <v>7.8957587822164194E-2</v>
      </c>
      <c r="E4521" s="224">
        <v>3036.0305555555501</v>
      </c>
      <c r="F4521" s="515" t="s">
        <v>5792</v>
      </c>
      <c r="G4521" s="52">
        <v>239971.24864966999</v>
      </c>
      <c r="H4521" s="56">
        <v>7.1352156566684199E-2</v>
      </c>
      <c r="I4521" s="224" t="s">
        <v>2</v>
      </c>
    </row>
    <row r="4522" spans="1:9" x14ac:dyDescent="0.25">
      <c r="A4522" s="515">
        <v>37743</v>
      </c>
      <c r="B4522" s="515" t="s">
        <v>1117</v>
      </c>
      <c r="C4522" s="52">
        <v>188523.03553237201</v>
      </c>
      <c r="D4522" s="56">
        <v>7.4911510539279552E-2</v>
      </c>
      <c r="E4522" s="224" t="s">
        <v>2</v>
      </c>
      <c r="F4522" s="515" t="s">
        <v>5793</v>
      </c>
      <c r="G4522" s="52">
        <v>537740.032554909</v>
      </c>
      <c r="H4522" s="56">
        <v>8.1312632657058112E-2</v>
      </c>
      <c r="I4522" s="224" t="s">
        <v>2</v>
      </c>
    </row>
    <row r="4523" spans="1:9" x14ac:dyDescent="0.25">
      <c r="A4523" s="515">
        <v>27537</v>
      </c>
      <c r="B4523" s="515" t="s">
        <v>1112</v>
      </c>
      <c r="C4523" s="52">
        <v>194075.13266060699</v>
      </c>
      <c r="D4523" s="56">
        <v>9.9060696241941137E-2</v>
      </c>
      <c r="E4523" s="224" t="s">
        <v>2</v>
      </c>
      <c r="F4523" s="515" t="s">
        <v>5794</v>
      </c>
      <c r="G4523" s="52">
        <v>173824.80781855001</v>
      </c>
      <c r="H4523" s="56">
        <v>7.5315571282045912E-2</v>
      </c>
      <c r="I4523" s="224" t="s">
        <v>2</v>
      </c>
    </row>
    <row r="4524" spans="1:9" x14ac:dyDescent="0.25">
      <c r="A4524" s="515">
        <v>27260</v>
      </c>
      <c r="B4524" s="515" t="s">
        <v>1148</v>
      </c>
      <c r="C4524" s="52">
        <v>106432.585451413</v>
      </c>
      <c r="D4524" s="56">
        <v>0.12696110926416007</v>
      </c>
      <c r="E4524" s="224">
        <v>949.61111111111097</v>
      </c>
      <c r="F4524" s="515" t="s">
        <v>5795</v>
      </c>
      <c r="G4524" s="52">
        <v>449091.34370991099</v>
      </c>
      <c r="H4524" s="56">
        <v>0.10857700343597329</v>
      </c>
      <c r="I4524" s="224" t="s">
        <v>2</v>
      </c>
    </row>
    <row r="4525" spans="1:9" x14ac:dyDescent="0.25">
      <c r="A4525" s="515">
        <v>94547</v>
      </c>
      <c r="B4525" s="515" t="s">
        <v>593</v>
      </c>
      <c r="C4525" s="52">
        <v>766338.94835416204</v>
      </c>
      <c r="D4525" s="56">
        <v>9.8779166856624509E-3</v>
      </c>
      <c r="E4525" s="224">
        <v>3330.875</v>
      </c>
      <c r="F4525" s="515" t="s">
        <v>5796</v>
      </c>
      <c r="G4525" s="52">
        <v>157066.365040993</v>
      </c>
      <c r="H4525" s="56">
        <v>8.9441455624118718E-2</v>
      </c>
      <c r="I4525" s="224" t="s">
        <v>2</v>
      </c>
    </row>
    <row r="4526" spans="1:9" x14ac:dyDescent="0.25">
      <c r="A4526" s="515">
        <v>99216</v>
      </c>
      <c r="B4526" s="515" t="s">
        <v>820</v>
      </c>
      <c r="C4526" s="52">
        <v>382490.32659457799</v>
      </c>
      <c r="D4526" s="56">
        <v>4.9995556405298652E-2</v>
      </c>
      <c r="E4526" s="224">
        <v>1484.0824372759801</v>
      </c>
      <c r="F4526" s="515" t="s">
        <v>5797</v>
      </c>
      <c r="G4526" s="52">
        <v>481874.96018741</v>
      </c>
      <c r="H4526" s="56">
        <v>-4.5933156073051901E-2</v>
      </c>
      <c r="I4526" s="224">
        <v>1878.25</v>
      </c>
    </row>
    <row r="4527" spans="1:9" x14ac:dyDescent="0.25">
      <c r="A4527" s="515">
        <v>36582</v>
      </c>
      <c r="B4527" s="515" t="s">
        <v>815</v>
      </c>
      <c r="C4527" s="52">
        <v>184254.03501180999</v>
      </c>
      <c r="D4527" s="56">
        <v>6.4199094963767564E-2</v>
      </c>
      <c r="E4527" s="224" t="s">
        <v>2</v>
      </c>
      <c r="F4527" s="515" t="s">
        <v>5798</v>
      </c>
      <c r="G4527" s="52">
        <v>760279.74509989005</v>
      </c>
      <c r="H4527" s="56">
        <v>0.11934184403094238</v>
      </c>
      <c r="I4527" s="224">
        <v>10333.333333333299</v>
      </c>
    </row>
    <row r="4528" spans="1:9" x14ac:dyDescent="0.25">
      <c r="A4528" s="515">
        <v>4106</v>
      </c>
      <c r="B4528" s="515" t="s">
        <v>570</v>
      </c>
      <c r="C4528" s="52">
        <v>437587.87819152902</v>
      </c>
      <c r="D4528" s="56">
        <v>7.5332947684836046E-2</v>
      </c>
      <c r="E4528" s="224">
        <v>2218.4047619047601</v>
      </c>
      <c r="F4528" s="515" t="s">
        <v>5799</v>
      </c>
      <c r="G4528" s="52">
        <v>262282.71093455498</v>
      </c>
      <c r="H4528" s="56">
        <v>9.0711461888782999E-2</v>
      </c>
      <c r="I4528" s="224">
        <v>1333.9603174603101</v>
      </c>
    </row>
    <row r="4529" spans="1:9" x14ac:dyDescent="0.25">
      <c r="A4529" s="515">
        <v>70809</v>
      </c>
      <c r="B4529" s="515" t="s">
        <v>610</v>
      </c>
      <c r="C4529" s="52">
        <v>273699.14643525798</v>
      </c>
      <c r="D4529" s="56">
        <v>4.4945846235541313E-2</v>
      </c>
      <c r="E4529" s="224">
        <v>1266.7809523809501</v>
      </c>
      <c r="F4529" s="515" t="s">
        <v>5800</v>
      </c>
      <c r="G4529" s="52">
        <v>105825.78801143001</v>
      </c>
      <c r="H4529" s="56">
        <v>3.8826681997752369E-2</v>
      </c>
      <c r="I4529" s="224" t="s">
        <v>2</v>
      </c>
    </row>
    <row r="4530" spans="1:9" x14ac:dyDescent="0.25">
      <c r="A4530" s="515">
        <v>6705</v>
      </c>
      <c r="B4530" s="515" t="s">
        <v>1172</v>
      </c>
      <c r="C4530" s="52">
        <v>198075.880145334</v>
      </c>
      <c r="D4530" s="56">
        <v>0.14894259223217562</v>
      </c>
      <c r="E4530" s="224" t="s">
        <v>2</v>
      </c>
      <c r="F4530" s="515" t="s">
        <v>5801</v>
      </c>
      <c r="G4530" s="52">
        <v>413307.94809408399</v>
      </c>
      <c r="H4530" s="56">
        <v>5.1113368755709383E-2</v>
      </c>
      <c r="I4530" s="224">
        <v>1868.4166666666599</v>
      </c>
    </row>
    <row r="4531" spans="1:9" x14ac:dyDescent="0.25">
      <c r="A4531" s="515">
        <v>60452</v>
      </c>
      <c r="B4531" s="515" t="s">
        <v>394</v>
      </c>
      <c r="C4531" s="52">
        <v>253890.77665364099</v>
      </c>
      <c r="D4531" s="56">
        <v>5.744727346595821E-2</v>
      </c>
      <c r="E4531" s="224">
        <v>1650</v>
      </c>
      <c r="F4531" s="515" t="s">
        <v>5802</v>
      </c>
      <c r="G4531" s="52">
        <v>268116.89458128402</v>
      </c>
      <c r="H4531" s="56">
        <v>9.6683019586004754E-2</v>
      </c>
      <c r="I4531" s="224" t="s">
        <v>2</v>
      </c>
    </row>
    <row r="4532" spans="1:9" x14ac:dyDescent="0.25">
      <c r="A4532" s="515">
        <v>38583</v>
      </c>
      <c r="C4532" s="52">
        <v>218075.57771008601</v>
      </c>
      <c r="D4532" s="56">
        <v>6.9700227777594964E-2</v>
      </c>
      <c r="E4532" s="224" t="s">
        <v>2</v>
      </c>
      <c r="F4532" s="515" t="s">
        <v>5803</v>
      </c>
      <c r="G4532" s="52">
        <v>706917.14441846195</v>
      </c>
      <c r="H4532" s="56">
        <v>2.0149923652944393E-2</v>
      </c>
      <c r="I4532" s="224" t="s">
        <v>2</v>
      </c>
    </row>
    <row r="4533" spans="1:9" x14ac:dyDescent="0.25">
      <c r="A4533" s="515">
        <v>19810</v>
      </c>
      <c r="B4533" s="515" t="s">
        <v>294</v>
      </c>
      <c r="C4533" s="52">
        <v>408713.59336130001</v>
      </c>
      <c r="D4533" s="56">
        <v>8.0979091542255022E-2</v>
      </c>
      <c r="E4533" s="224">
        <v>1712.6666666666599</v>
      </c>
      <c r="F4533" s="515" t="s">
        <v>5804</v>
      </c>
      <c r="G4533" s="52">
        <v>214576.894638806</v>
      </c>
      <c r="H4533" s="56">
        <v>8.7669802060661842E-2</v>
      </c>
      <c r="I4533" s="224" t="s">
        <v>2</v>
      </c>
    </row>
    <row r="4534" spans="1:9" x14ac:dyDescent="0.25">
      <c r="A4534" s="515">
        <v>10541</v>
      </c>
      <c r="B4534" s="515" t="s">
        <v>324</v>
      </c>
      <c r="C4534" s="52">
        <v>507495.980876146</v>
      </c>
      <c r="D4534" s="56">
        <v>6.5483567784476934E-2</v>
      </c>
      <c r="E4534" s="224" t="s">
        <v>2</v>
      </c>
      <c r="F4534" s="515" t="s">
        <v>5805</v>
      </c>
      <c r="G4534" s="52">
        <v>177952.72264364199</v>
      </c>
      <c r="H4534" s="56">
        <v>1.1660716451051455E-2</v>
      </c>
      <c r="I4534" s="224" t="s">
        <v>2</v>
      </c>
    </row>
    <row r="4535" spans="1:9" x14ac:dyDescent="0.25">
      <c r="A4535" s="515">
        <v>98112</v>
      </c>
      <c r="B4535" s="515" t="s">
        <v>384</v>
      </c>
      <c r="C4535" s="52">
        <v>1337460.7820520699</v>
      </c>
      <c r="D4535" s="56">
        <v>1.5495863263251494E-2</v>
      </c>
      <c r="E4535" s="224">
        <v>2130.17508417508</v>
      </c>
      <c r="F4535" s="515" t="s">
        <v>5806</v>
      </c>
      <c r="G4535" s="52">
        <v>408411.66376078897</v>
      </c>
      <c r="H4535" s="56">
        <v>6.5856417893287472E-2</v>
      </c>
      <c r="I4535" s="224" t="s">
        <v>2</v>
      </c>
    </row>
    <row r="4536" spans="1:9" x14ac:dyDescent="0.25">
      <c r="A4536" s="515">
        <v>68803</v>
      </c>
      <c r="B4536" s="515" t="s">
        <v>650</v>
      </c>
      <c r="C4536" s="52">
        <v>236167.977221176</v>
      </c>
      <c r="D4536" s="56">
        <v>7.2043142114894543E-2</v>
      </c>
      <c r="E4536" s="224" t="s">
        <v>2</v>
      </c>
      <c r="F4536" s="515" t="s">
        <v>5807</v>
      </c>
      <c r="G4536" s="52">
        <v>554482.16860810097</v>
      </c>
      <c r="H4536" s="56">
        <v>0.16640958455222277</v>
      </c>
      <c r="I4536" s="224">
        <v>2362.2777777777701</v>
      </c>
    </row>
    <row r="4537" spans="1:9" x14ac:dyDescent="0.25">
      <c r="A4537" s="515">
        <v>3053</v>
      </c>
      <c r="B4537" s="515" t="s">
        <v>534</v>
      </c>
      <c r="C4537" s="52">
        <v>498084.84204323502</v>
      </c>
      <c r="D4537" s="56">
        <v>0.10759869933279585</v>
      </c>
      <c r="E4537" s="224" t="s">
        <v>2</v>
      </c>
      <c r="F4537" s="515" t="s">
        <v>5808</v>
      </c>
      <c r="G4537" s="52">
        <v>398041.93485592102</v>
      </c>
      <c r="H4537" s="56">
        <v>8.1064170963092916E-2</v>
      </c>
      <c r="I4537" s="224">
        <v>1710</v>
      </c>
    </row>
    <row r="4538" spans="1:9" x14ac:dyDescent="0.25">
      <c r="A4538" s="515">
        <v>55123</v>
      </c>
      <c r="B4538" s="515" t="s">
        <v>532</v>
      </c>
      <c r="C4538" s="52">
        <v>434719.10436555801</v>
      </c>
      <c r="D4538" s="56">
        <v>2.530727497973367E-2</v>
      </c>
      <c r="E4538" s="224">
        <v>1488.3333333333301</v>
      </c>
      <c r="F4538" s="515" t="s">
        <v>5809</v>
      </c>
      <c r="G4538" s="52">
        <v>281217.54947189998</v>
      </c>
      <c r="H4538" s="56">
        <v>5.8768960924749619E-2</v>
      </c>
      <c r="I4538" s="224" t="s">
        <v>2</v>
      </c>
    </row>
    <row r="4539" spans="1:9" x14ac:dyDescent="0.25">
      <c r="A4539" s="515">
        <v>38138</v>
      </c>
      <c r="B4539" s="515" t="s">
        <v>951</v>
      </c>
      <c r="C4539" s="52">
        <v>424764.63672004099</v>
      </c>
      <c r="D4539" s="56">
        <v>6.6009500824046011E-2</v>
      </c>
      <c r="E4539" s="224">
        <v>2260</v>
      </c>
      <c r="F4539" s="515" t="s">
        <v>5810</v>
      </c>
      <c r="G4539" s="52">
        <v>266123.10133139603</v>
      </c>
      <c r="H4539" s="56">
        <v>5.8609772337100782E-2</v>
      </c>
      <c r="I4539" s="224" t="s">
        <v>2</v>
      </c>
    </row>
    <row r="4540" spans="1:9" x14ac:dyDescent="0.25">
      <c r="A4540" s="515">
        <v>53562</v>
      </c>
      <c r="B4540" s="515" t="s">
        <v>727</v>
      </c>
      <c r="C4540" s="52">
        <v>504658.12484176701</v>
      </c>
      <c r="D4540" s="56">
        <v>6.7706794878819573E-2</v>
      </c>
      <c r="E4540" s="224">
        <v>1576.55555555555</v>
      </c>
      <c r="F4540" s="515" t="s">
        <v>5811</v>
      </c>
      <c r="G4540" s="52">
        <v>177858.01198294401</v>
      </c>
      <c r="H4540" s="56">
        <v>-2.0281899537372174E-2</v>
      </c>
      <c r="I4540" s="224" t="s">
        <v>2</v>
      </c>
    </row>
    <row r="4541" spans="1:9" x14ac:dyDescent="0.25">
      <c r="A4541" s="515">
        <v>46268</v>
      </c>
      <c r="B4541" s="515" t="s">
        <v>403</v>
      </c>
      <c r="C4541" s="52">
        <v>229243.58980272501</v>
      </c>
      <c r="D4541" s="56">
        <v>6.7084414925901947E-2</v>
      </c>
      <c r="E4541" s="224">
        <v>1691.1111111111099</v>
      </c>
      <c r="F4541" s="515" t="s">
        <v>5812</v>
      </c>
      <c r="G4541" s="52">
        <v>507086.27502330398</v>
      </c>
      <c r="H4541" s="56">
        <v>7.3295951161877496E-2</v>
      </c>
      <c r="I4541" s="224" t="s">
        <v>2</v>
      </c>
    </row>
    <row r="4542" spans="1:9" x14ac:dyDescent="0.25">
      <c r="A4542" s="515">
        <v>3051</v>
      </c>
      <c r="B4542" s="515" t="s">
        <v>996</v>
      </c>
      <c r="C4542" s="52">
        <v>454425.29738378199</v>
      </c>
      <c r="D4542" s="56">
        <v>0.12290414650189098</v>
      </c>
      <c r="E4542" s="224" t="s">
        <v>2</v>
      </c>
      <c r="F4542" s="515" t="s">
        <v>5813</v>
      </c>
      <c r="G4542" s="52">
        <v>272570.01394732401</v>
      </c>
      <c r="H4542" s="56">
        <v>0.10087129424788011</v>
      </c>
      <c r="I4542" s="224" t="s">
        <v>2</v>
      </c>
    </row>
    <row r="4543" spans="1:9" x14ac:dyDescent="0.25">
      <c r="A4543" s="515">
        <v>60585</v>
      </c>
      <c r="B4543" s="515" t="s">
        <v>394</v>
      </c>
      <c r="C4543" s="52">
        <v>449349.25449596602</v>
      </c>
      <c r="D4543" s="56">
        <v>9.4545936333525815E-2</v>
      </c>
      <c r="E4543" s="224" t="s">
        <v>2</v>
      </c>
      <c r="F4543" s="515" t="s">
        <v>5814</v>
      </c>
      <c r="G4543" s="52">
        <v>432603.69068276498</v>
      </c>
      <c r="H4543" s="56">
        <v>3.5386134306887751E-2</v>
      </c>
      <c r="I4543" s="224" t="s">
        <v>2</v>
      </c>
    </row>
    <row r="4544" spans="1:9" x14ac:dyDescent="0.25">
      <c r="A4544" s="515">
        <v>66762</v>
      </c>
      <c r="B4544" s="515" t="s">
        <v>669</v>
      </c>
      <c r="C4544" s="52">
        <v>110481.270518808</v>
      </c>
      <c r="D4544" s="56">
        <v>0.1445947853676772</v>
      </c>
      <c r="E4544" s="224">
        <v>937.5</v>
      </c>
      <c r="F4544" s="515" t="s">
        <v>5815</v>
      </c>
      <c r="G4544" s="52">
        <v>364674.20847630501</v>
      </c>
      <c r="H4544" s="56">
        <v>7.6686132446421723E-2</v>
      </c>
      <c r="I4544" s="224" t="s">
        <v>2</v>
      </c>
    </row>
    <row r="4545" spans="1:9" x14ac:dyDescent="0.25">
      <c r="A4545" s="515">
        <v>22485</v>
      </c>
      <c r="C4545" s="52">
        <v>398176.57351343101</v>
      </c>
      <c r="D4545" s="56">
        <v>5.5749689649538456E-2</v>
      </c>
      <c r="E4545" s="224" t="s">
        <v>2</v>
      </c>
      <c r="F4545" s="515" t="s">
        <v>5816</v>
      </c>
      <c r="G4545" s="52">
        <v>243434.16948732699</v>
      </c>
      <c r="H4545" s="56">
        <v>0.17161514202751663</v>
      </c>
      <c r="I4545" s="224" t="s">
        <v>2</v>
      </c>
    </row>
    <row r="4546" spans="1:9" x14ac:dyDescent="0.25">
      <c r="A4546" s="515">
        <v>17315</v>
      </c>
      <c r="B4546" s="515" t="s">
        <v>509</v>
      </c>
      <c r="C4546" s="52">
        <v>238560.78369746599</v>
      </c>
      <c r="D4546" s="56">
        <v>9.7646476440712879E-2</v>
      </c>
      <c r="E4546" s="224" t="s">
        <v>2</v>
      </c>
      <c r="F4546" s="515" t="s">
        <v>5817</v>
      </c>
      <c r="G4546" s="52">
        <v>379989.46921940497</v>
      </c>
      <c r="H4546" s="56">
        <v>5.0971526888073548E-2</v>
      </c>
      <c r="I4546" s="224" t="s">
        <v>2</v>
      </c>
    </row>
    <row r="4547" spans="1:9" x14ac:dyDescent="0.25">
      <c r="A4547" s="515">
        <v>37355</v>
      </c>
      <c r="B4547" s="515" t="s">
        <v>977</v>
      </c>
      <c r="C4547" s="52">
        <v>272471.68590190902</v>
      </c>
      <c r="D4547" s="56">
        <v>8.887134179836155E-2</v>
      </c>
      <c r="E4547" s="224">
        <v>1300</v>
      </c>
      <c r="F4547" s="515" t="s">
        <v>595</v>
      </c>
      <c r="G4547" s="52">
        <v>710551.32761662803</v>
      </c>
      <c r="H4547" s="56">
        <v>3.8076336965252193E-2</v>
      </c>
      <c r="I4547" s="224" t="s">
        <v>2</v>
      </c>
    </row>
    <row r="4548" spans="1:9" x14ac:dyDescent="0.25">
      <c r="A4548" s="515">
        <v>18062</v>
      </c>
      <c r="B4548" s="515" t="s">
        <v>327</v>
      </c>
      <c r="C4548" s="52">
        <v>372920.98843629798</v>
      </c>
      <c r="D4548" s="56">
        <v>8.6041145852942008E-2</v>
      </c>
      <c r="E4548" s="224">
        <v>1929.7222222222199</v>
      </c>
      <c r="F4548" s="515" t="s">
        <v>5818</v>
      </c>
      <c r="G4548" s="52">
        <v>532004.29611163004</v>
      </c>
      <c r="H4548" s="56">
        <v>6.2003371423918055E-2</v>
      </c>
      <c r="I4548" s="224" t="s">
        <v>2</v>
      </c>
    </row>
    <row r="4549" spans="1:9" x14ac:dyDescent="0.25">
      <c r="A4549" s="515">
        <v>98520</v>
      </c>
      <c r="B4549" s="515" t="s">
        <v>683</v>
      </c>
      <c r="C4549" s="52">
        <v>253288.50502199499</v>
      </c>
      <c r="D4549" s="56">
        <v>3.470446233400315E-2</v>
      </c>
      <c r="E4549" s="224" t="s">
        <v>2</v>
      </c>
      <c r="F4549" s="515" t="s">
        <v>5819</v>
      </c>
      <c r="G4549" s="52">
        <v>941434.87855945795</v>
      </c>
      <c r="H4549" s="56">
        <v>0.12409598286314209</v>
      </c>
      <c r="I4549" s="224">
        <v>1784.08225108225</v>
      </c>
    </row>
    <row r="4550" spans="1:9" x14ac:dyDescent="0.25">
      <c r="A4550" s="515">
        <v>47203</v>
      </c>
      <c r="B4550" s="515" t="s">
        <v>729</v>
      </c>
      <c r="C4550" s="52">
        <v>248815.21996028</v>
      </c>
      <c r="D4550" s="56">
        <v>6.5875787106141073E-2</v>
      </c>
      <c r="E4550" s="224" t="s">
        <v>2</v>
      </c>
      <c r="F4550" s="515" t="s">
        <v>5820</v>
      </c>
      <c r="G4550" s="52">
        <v>714095.59689817799</v>
      </c>
      <c r="H4550" s="56">
        <v>4.7799189061459912E-2</v>
      </c>
      <c r="I4550" s="224">
        <v>2010.61296296296</v>
      </c>
    </row>
    <row r="4551" spans="1:9" x14ac:dyDescent="0.25">
      <c r="A4551" s="515">
        <v>37138</v>
      </c>
      <c r="B4551" s="515" t="s">
        <v>684</v>
      </c>
      <c r="C4551" s="52">
        <v>373813.68760942598</v>
      </c>
      <c r="D4551" s="56">
        <v>9.8849282905106861E-2</v>
      </c>
      <c r="E4551" s="224">
        <v>1982.9</v>
      </c>
      <c r="F4551" s="515" t="s">
        <v>5821</v>
      </c>
      <c r="G4551" s="52">
        <v>340077.63355823501</v>
      </c>
      <c r="H4551" s="56">
        <v>5.7728813631641167E-2</v>
      </c>
      <c r="I4551" s="224" t="s">
        <v>2</v>
      </c>
    </row>
    <row r="4552" spans="1:9" x14ac:dyDescent="0.25">
      <c r="A4552" s="515">
        <v>95618</v>
      </c>
      <c r="B4552" s="515" t="s">
        <v>355</v>
      </c>
      <c r="C4552" s="52">
        <v>799056.86892695795</v>
      </c>
      <c r="D4552" s="56">
        <v>1.3321469693962565E-2</v>
      </c>
      <c r="E4552" s="224">
        <v>3024.5</v>
      </c>
      <c r="F4552" s="515" t="s">
        <v>5822</v>
      </c>
      <c r="G4552" s="52">
        <v>135254.85288068099</v>
      </c>
      <c r="H4552" s="56">
        <v>0.1014805231920009</v>
      </c>
      <c r="I4552" s="224" t="s">
        <v>2</v>
      </c>
    </row>
    <row r="4553" spans="1:9" x14ac:dyDescent="0.25">
      <c r="A4553" s="515">
        <v>95003</v>
      </c>
      <c r="B4553" s="515" t="s">
        <v>596</v>
      </c>
      <c r="C4553" s="52">
        <v>1307120.3534369799</v>
      </c>
      <c r="D4553" s="56">
        <v>4.1613079979296523E-2</v>
      </c>
      <c r="E4553" s="224">
        <v>3612.5</v>
      </c>
      <c r="F4553" s="515" t="s">
        <v>5823</v>
      </c>
      <c r="G4553" s="52">
        <v>264167.02099418198</v>
      </c>
      <c r="H4553" s="56">
        <v>7.6824008633659499E-2</v>
      </c>
      <c r="I4553" s="224" t="s">
        <v>2</v>
      </c>
    </row>
    <row r="4554" spans="1:9" x14ac:dyDescent="0.25">
      <c r="A4554" s="515">
        <v>7008</v>
      </c>
      <c r="B4554" s="515" t="s">
        <v>324</v>
      </c>
      <c r="C4554" s="52">
        <v>420458.23356581602</v>
      </c>
      <c r="D4554" s="56">
        <v>6.2129458581756829E-2</v>
      </c>
      <c r="E4554" s="224" t="s">
        <v>2</v>
      </c>
      <c r="F4554" s="515" t="s">
        <v>5824</v>
      </c>
      <c r="G4554" s="52">
        <v>551512.80050665804</v>
      </c>
      <c r="H4554" s="56">
        <v>3.1861913154276153E-2</v>
      </c>
      <c r="I4554" s="224" t="s">
        <v>2</v>
      </c>
    </row>
    <row r="4555" spans="1:9" x14ac:dyDescent="0.25">
      <c r="A4555" s="515">
        <v>85381</v>
      </c>
      <c r="B4555" s="515" t="s">
        <v>563</v>
      </c>
      <c r="C4555" s="52">
        <v>433836.56339063402</v>
      </c>
      <c r="D4555" s="56">
        <v>3.8191981529346698E-2</v>
      </c>
      <c r="E4555" s="224">
        <v>1693.6076923076901</v>
      </c>
      <c r="F4555" s="515" t="s">
        <v>5825</v>
      </c>
      <c r="G4555" s="52">
        <v>880586.24483483797</v>
      </c>
      <c r="H4555" s="56">
        <v>4.636973508416125E-2</v>
      </c>
      <c r="I4555" s="224" t="s">
        <v>2</v>
      </c>
    </row>
    <row r="4556" spans="1:9" x14ac:dyDescent="0.25">
      <c r="A4556" s="515">
        <v>89178</v>
      </c>
      <c r="B4556" s="515" t="s">
        <v>323</v>
      </c>
      <c r="C4556" s="52">
        <v>442056.07294917101</v>
      </c>
      <c r="D4556" s="56">
        <v>3.1010305060511657E-2</v>
      </c>
      <c r="E4556" s="224">
        <v>1891.43638508034</v>
      </c>
      <c r="F4556" s="515" t="s">
        <v>5826</v>
      </c>
      <c r="G4556" s="52">
        <v>274117.38021118997</v>
      </c>
      <c r="H4556" s="56">
        <v>8.849276565725786E-2</v>
      </c>
      <c r="I4556" s="224">
        <v>1368.8333333333301</v>
      </c>
    </row>
    <row r="4557" spans="1:9" x14ac:dyDescent="0.25">
      <c r="A4557" s="515">
        <v>79606</v>
      </c>
      <c r="B4557" s="515" t="s">
        <v>704</v>
      </c>
      <c r="C4557" s="52">
        <v>257928.72287696699</v>
      </c>
      <c r="D4557" s="56">
        <v>8.0756144616832212E-2</v>
      </c>
      <c r="E4557" s="224">
        <v>1002.59259259259</v>
      </c>
      <c r="F4557" s="515" t="s">
        <v>1199</v>
      </c>
      <c r="G4557" s="52">
        <v>141609.21658134399</v>
      </c>
      <c r="H4557" s="56">
        <v>-0.22260161529148009</v>
      </c>
      <c r="I4557" s="224" t="s">
        <v>2</v>
      </c>
    </row>
    <row r="4558" spans="1:9" x14ac:dyDescent="0.25">
      <c r="A4558" s="515">
        <v>22202</v>
      </c>
      <c r="B4558" s="515" t="s">
        <v>321</v>
      </c>
      <c r="C4558" s="52">
        <v>754453.49629344104</v>
      </c>
      <c r="D4558" s="56">
        <v>2.1406999805767637E-3</v>
      </c>
      <c r="E4558" s="224">
        <v>2390.8182161066302</v>
      </c>
      <c r="F4558" s="515" t="s">
        <v>1198</v>
      </c>
      <c r="G4558" s="52">
        <v>79984.787457099897</v>
      </c>
      <c r="H4558" s="56">
        <v>8.5462679875173947E-2</v>
      </c>
      <c r="I4558" s="224" t="s">
        <v>2</v>
      </c>
    </row>
    <row r="4559" spans="1:9" x14ac:dyDescent="0.25">
      <c r="A4559" s="515">
        <v>92835</v>
      </c>
      <c r="B4559" s="515" t="s">
        <v>375</v>
      </c>
      <c r="C4559" s="52">
        <v>1079556.6283009399</v>
      </c>
      <c r="D4559" s="56">
        <v>7.1284734596334776E-2</v>
      </c>
      <c r="E4559" s="224" t="s">
        <v>2</v>
      </c>
      <c r="F4559" s="515" t="s">
        <v>5827</v>
      </c>
      <c r="G4559" s="52">
        <v>240236.30585873799</v>
      </c>
      <c r="H4559" s="56">
        <v>9.6448115133196538E-2</v>
      </c>
      <c r="I4559" s="224" t="s">
        <v>2</v>
      </c>
    </row>
    <row r="4560" spans="1:9" x14ac:dyDescent="0.25">
      <c r="A4560" s="515">
        <v>91307</v>
      </c>
      <c r="B4560" s="515" t="s">
        <v>375</v>
      </c>
      <c r="C4560" s="52">
        <v>927864.23903348704</v>
      </c>
      <c r="D4560" s="56">
        <v>3.7213843759831118E-2</v>
      </c>
      <c r="E4560" s="224">
        <v>0</v>
      </c>
      <c r="F4560" s="515" t="s">
        <v>5828</v>
      </c>
      <c r="G4560" s="52">
        <v>545859.25669636205</v>
      </c>
      <c r="H4560" s="56">
        <v>8.6635141663655046E-2</v>
      </c>
      <c r="I4560" s="224" t="s">
        <v>2</v>
      </c>
    </row>
    <row r="4561" spans="1:9" x14ac:dyDescent="0.25">
      <c r="A4561" s="515">
        <v>48093</v>
      </c>
      <c r="B4561" s="515" t="s">
        <v>685</v>
      </c>
      <c r="C4561" s="52">
        <v>206684.291876098</v>
      </c>
      <c r="D4561" s="56">
        <v>5.5183898404334492E-2</v>
      </c>
      <c r="E4561" s="224">
        <v>1575</v>
      </c>
      <c r="F4561" s="515" t="s">
        <v>5829</v>
      </c>
      <c r="G4561" s="52">
        <v>419589.24408153101</v>
      </c>
      <c r="H4561" s="56">
        <v>9.2333135889170245E-3</v>
      </c>
      <c r="I4561" s="224" t="s">
        <v>2</v>
      </c>
    </row>
    <row r="4562" spans="1:9" x14ac:dyDescent="0.25">
      <c r="A4562" s="515">
        <v>35749</v>
      </c>
      <c r="B4562" s="515" t="s">
        <v>997</v>
      </c>
      <c r="C4562" s="52">
        <v>291619.45544443402</v>
      </c>
      <c r="D4562" s="56">
        <v>8.3393107593451657E-2</v>
      </c>
      <c r="E4562" s="224">
        <v>1727.5</v>
      </c>
      <c r="F4562" s="515" t="s">
        <v>5830</v>
      </c>
      <c r="G4562" s="52">
        <v>540161.92758509098</v>
      </c>
      <c r="H4562" s="56">
        <v>4.8092471551550012E-2</v>
      </c>
      <c r="I4562" s="224" t="s">
        <v>2</v>
      </c>
    </row>
    <row r="4563" spans="1:9" x14ac:dyDescent="0.25">
      <c r="A4563" s="515">
        <v>1104</v>
      </c>
      <c r="B4563" s="515" t="s">
        <v>575</v>
      </c>
      <c r="C4563" s="52">
        <v>234348.172635027</v>
      </c>
      <c r="D4563" s="56">
        <v>5.9751360349384386E-2</v>
      </c>
      <c r="E4563" s="224" t="s">
        <v>2</v>
      </c>
      <c r="F4563" s="515" t="s">
        <v>5831</v>
      </c>
      <c r="G4563" s="52">
        <v>128531.720803042</v>
      </c>
      <c r="H4563" s="56">
        <v>-2.5629357663147289E-2</v>
      </c>
      <c r="I4563" s="224" t="s">
        <v>2</v>
      </c>
    </row>
    <row r="4564" spans="1:9" x14ac:dyDescent="0.25">
      <c r="A4564" s="515">
        <v>68901</v>
      </c>
      <c r="B4564" s="515" t="s">
        <v>754</v>
      </c>
      <c r="C4564" s="52">
        <v>164536.16916110201</v>
      </c>
      <c r="D4564" s="56">
        <v>5.7470672851250237E-2</v>
      </c>
      <c r="E4564" s="224" t="s">
        <v>2</v>
      </c>
      <c r="F4564" s="515" t="s">
        <v>5832</v>
      </c>
      <c r="G4564" s="52">
        <v>365257.36463911599</v>
      </c>
      <c r="H4564" s="56">
        <v>7.6435623438373693E-2</v>
      </c>
      <c r="I4564" s="224" t="s">
        <v>2</v>
      </c>
    </row>
    <row r="4565" spans="1:9" x14ac:dyDescent="0.25">
      <c r="A4565" s="515">
        <v>41005</v>
      </c>
      <c r="B4565" s="515" t="s">
        <v>344</v>
      </c>
      <c r="C4565" s="52">
        <v>275202.48348442803</v>
      </c>
      <c r="D4565" s="56">
        <v>7.4770260275084155E-2</v>
      </c>
      <c r="E4565" s="224">
        <v>1742.5</v>
      </c>
      <c r="F4565" s="515" t="s">
        <v>5833</v>
      </c>
      <c r="G4565" s="52">
        <v>324538.38015534199</v>
      </c>
      <c r="H4565" s="56">
        <v>6.5254040869520621E-2</v>
      </c>
      <c r="I4565" s="224" t="s">
        <v>2</v>
      </c>
    </row>
    <row r="4566" spans="1:9" x14ac:dyDescent="0.25">
      <c r="A4566" s="515">
        <v>82601</v>
      </c>
      <c r="B4566" s="515" t="s">
        <v>766</v>
      </c>
      <c r="C4566" s="52">
        <v>244561.65308785901</v>
      </c>
      <c r="D4566" s="56">
        <v>8.0927880786880915E-2</v>
      </c>
      <c r="E4566" s="224">
        <v>820.77777777777703</v>
      </c>
      <c r="F4566" s="515" t="s">
        <v>5834</v>
      </c>
      <c r="G4566" s="52">
        <v>1135903.4205803401</v>
      </c>
      <c r="H4566" s="56">
        <v>9.6414835212545263E-2</v>
      </c>
      <c r="I4566" s="224" t="s">
        <v>2</v>
      </c>
    </row>
    <row r="4567" spans="1:9" x14ac:dyDescent="0.25">
      <c r="A4567" s="515">
        <v>78724</v>
      </c>
      <c r="B4567" s="515" t="s">
        <v>380</v>
      </c>
      <c r="C4567" s="52">
        <v>377189.91900569299</v>
      </c>
      <c r="D4567" s="56">
        <v>3.1446631786753859E-2</v>
      </c>
      <c r="E4567" s="224">
        <v>1782.63809523809</v>
      </c>
      <c r="F4567" s="515" t="s">
        <v>5835</v>
      </c>
      <c r="G4567" s="52">
        <v>177657.467045636</v>
      </c>
      <c r="H4567" s="56">
        <v>3.0236397150117594E-2</v>
      </c>
      <c r="I4567" s="224" t="s">
        <v>2</v>
      </c>
    </row>
    <row r="4568" spans="1:9" x14ac:dyDescent="0.25">
      <c r="A4568" s="515">
        <v>98367</v>
      </c>
      <c r="B4568" s="515" t="s">
        <v>620</v>
      </c>
      <c r="C4568" s="52">
        <v>545684.37501841504</v>
      </c>
      <c r="D4568" s="56">
        <v>3.062143997955892E-2</v>
      </c>
      <c r="E4568" s="224" t="s">
        <v>2</v>
      </c>
      <c r="F4568" s="515" t="s">
        <v>656</v>
      </c>
      <c r="G4568" s="52">
        <v>66222.042211123306</v>
      </c>
      <c r="H4568" s="56">
        <v>0.11991662223813984</v>
      </c>
      <c r="I4568" s="224" t="s">
        <v>2</v>
      </c>
    </row>
    <row r="4569" spans="1:9" x14ac:dyDescent="0.25">
      <c r="A4569" s="515">
        <v>45240</v>
      </c>
      <c r="B4569" s="515" t="s">
        <v>344</v>
      </c>
      <c r="C4569" s="52">
        <v>204146.274597424</v>
      </c>
      <c r="D4569" s="56">
        <v>5.8663919748508216E-2</v>
      </c>
      <c r="E4569" s="224" t="s">
        <v>2</v>
      </c>
      <c r="F4569" s="515" t="s">
        <v>5836</v>
      </c>
      <c r="G4569" s="52">
        <v>395563.73053675902</v>
      </c>
      <c r="H4569" s="56">
        <v>5.2929937993058195E-2</v>
      </c>
      <c r="I4569" s="224" t="s">
        <v>2</v>
      </c>
    </row>
    <row r="4570" spans="1:9" x14ac:dyDescent="0.25">
      <c r="A4570" s="515">
        <v>85621</v>
      </c>
      <c r="B4570" s="515" t="s">
        <v>720</v>
      </c>
      <c r="C4570" s="52">
        <v>196420.666482795</v>
      </c>
      <c r="D4570" s="56">
        <v>9.7338608476970734E-2</v>
      </c>
      <c r="E4570" s="224" t="s">
        <v>2</v>
      </c>
      <c r="F4570" s="515" t="s">
        <v>5837</v>
      </c>
      <c r="G4570" s="52">
        <v>631922.36220536404</v>
      </c>
      <c r="H4570" s="56">
        <v>0.1019702136169499</v>
      </c>
      <c r="I4570" s="224" t="s">
        <v>2</v>
      </c>
    </row>
    <row r="4571" spans="1:9" x14ac:dyDescent="0.25">
      <c r="A4571" s="515">
        <v>98008</v>
      </c>
      <c r="B4571" s="515" t="s">
        <v>384</v>
      </c>
      <c r="C4571" s="52">
        <v>1215354.7263336901</v>
      </c>
      <c r="D4571" s="56">
        <v>2.3585818595028687E-2</v>
      </c>
      <c r="E4571" s="224">
        <v>3304.3611111111099</v>
      </c>
      <c r="F4571" s="515" t="s">
        <v>765</v>
      </c>
      <c r="G4571" s="52">
        <v>84806.890039911799</v>
      </c>
      <c r="H4571" s="56">
        <v>1.0302401470323125E-2</v>
      </c>
      <c r="I4571" s="224" t="s">
        <v>2</v>
      </c>
    </row>
    <row r="4572" spans="1:9" x14ac:dyDescent="0.25">
      <c r="A4572" s="515">
        <v>45750</v>
      </c>
      <c r="B4572" s="515" t="s">
        <v>665</v>
      </c>
      <c r="C4572" s="52">
        <v>169103.93541953</v>
      </c>
      <c r="D4572" s="56">
        <v>4.6290390434736206E-2</v>
      </c>
      <c r="E4572" s="224" t="s">
        <v>2</v>
      </c>
      <c r="F4572" s="515" t="s">
        <v>5838</v>
      </c>
      <c r="G4572" s="52">
        <v>256251.13465052101</v>
      </c>
      <c r="H4572" s="56">
        <v>9.2686802228811316E-2</v>
      </c>
      <c r="I4572" s="224" t="s">
        <v>2</v>
      </c>
    </row>
    <row r="4573" spans="1:9" x14ac:dyDescent="0.25">
      <c r="A4573" s="515">
        <v>70663</v>
      </c>
      <c r="B4573" s="515" t="s">
        <v>696</v>
      </c>
      <c r="C4573" s="52">
        <v>170268.94695437001</v>
      </c>
      <c r="D4573" s="56">
        <v>1.0563581953988698E-2</v>
      </c>
      <c r="E4573" s="224">
        <v>1287.0833333333301</v>
      </c>
      <c r="F4573" s="515" t="s">
        <v>5839</v>
      </c>
      <c r="G4573" s="52">
        <v>197023.01948698901</v>
      </c>
      <c r="H4573" s="56">
        <v>7.6349735353658146E-2</v>
      </c>
      <c r="I4573" s="224" t="s">
        <v>2</v>
      </c>
    </row>
    <row r="4574" spans="1:9" x14ac:dyDescent="0.25">
      <c r="A4574" s="515">
        <v>90240</v>
      </c>
      <c r="B4574" s="515" t="s">
        <v>375</v>
      </c>
      <c r="C4574" s="52">
        <v>812760.20161880495</v>
      </c>
      <c r="D4574" s="56">
        <v>2.9374719761000409E-2</v>
      </c>
      <c r="E4574" s="224" t="s">
        <v>2</v>
      </c>
      <c r="F4574" s="515" t="s">
        <v>5840</v>
      </c>
      <c r="G4574" s="52">
        <v>141031.186597483</v>
      </c>
      <c r="H4574" s="56">
        <v>0.10185227562211609</v>
      </c>
      <c r="I4574" s="224" t="s">
        <v>2</v>
      </c>
    </row>
    <row r="4575" spans="1:9" x14ac:dyDescent="0.25">
      <c r="A4575" s="515">
        <v>34736</v>
      </c>
      <c r="B4575" s="515" t="s">
        <v>517</v>
      </c>
      <c r="C4575" s="52">
        <v>369192.33603279199</v>
      </c>
      <c r="D4575" s="56">
        <v>9.9546794441441447E-2</v>
      </c>
      <c r="E4575" s="224">
        <v>2283.88888888888</v>
      </c>
      <c r="F4575" s="515" t="s">
        <v>5841</v>
      </c>
      <c r="G4575" s="52">
        <v>291237.45401392702</v>
      </c>
      <c r="H4575" s="56">
        <v>3.4938607512326497E-2</v>
      </c>
      <c r="I4575" s="224" t="s">
        <v>2</v>
      </c>
    </row>
    <row r="4576" spans="1:9" x14ac:dyDescent="0.25">
      <c r="A4576" s="515">
        <v>73703</v>
      </c>
      <c r="B4576" s="515" t="s">
        <v>730</v>
      </c>
      <c r="C4576" s="52">
        <v>165063.31419601699</v>
      </c>
      <c r="D4576" s="56">
        <v>3.7128231700765617E-2</v>
      </c>
      <c r="E4576" s="224">
        <v>1087.7777777777701</v>
      </c>
      <c r="F4576" s="515" t="s">
        <v>5842</v>
      </c>
      <c r="G4576" s="52">
        <v>331659.93548280199</v>
      </c>
      <c r="H4576" s="56">
        <v>0.11794300798742097</v>
      </c>
      <c r="I4576" s="224" t="s">
        <v>2</v>
      </c>
    </row>
    <row r="4577" spans="1:9" x14ac:dyDescent="0.25">
      <c r="A4577" s="515">
        <v>43605</v>
      </c>
      <c r="B4577" s="515" t="s">
        <v>300</v>
      </c>
      <c r="C4577" s="52">
        <v>46218.569787487897</v>
      </c>
      <c r="D4577" s="56">
        <v>0.16924385238042719</v>
      </c>
      <c r="E4577" s="224">
        <v>1114.9666666666601</v>
      </c>
      <c r="F4577" s="515" t="s">
        <v>1150</v>
      </c>
      <c r="G4577" s="52">
        <v>111938.546123857</v>
      </c>
      <c r="H4577" s="56">
        <v>9.9705642941353478E-2</v>
      </c>
      <c r="I4577" s="224" t="s">
        <v>2</v>
      </c>
    </row>
    <row r="4578" spans="1:9" x14ac:dyDescent="0.25">
      <c r="A4578" s="515">
        <v>78757</v>
      </c>
      <c r="B4578" s="515" t="s">
        <v>380</v>
      </c>
      <c r="C4578" s="52">
        <v>674848.22725933301</v>
      </c>
      <c r="D4578" s="56">
        <v>2.9024130862881727E-2</v>
      </c>
      <c r="E4578" s="224">
        <v>2149.1238095238</v>
      </c>
      <c r="F4578" s="515" t="s">
        <v>5843</v>
      </c>
      <c r="G4578" s="52">
        <v>347539.90405210498</v>
      </c>
      <c r="H4578" s="56">
        <v>7.2647721529031831E-2</v>
      </c>
      <c r="I4578" s="224" t="s">
        <v>2</v>
      </c>
    </row>
    <row r="4579" spans="1:9" x14ac:dyDescent="0.25">
      <c r="A4579" s="515">
        <v>32060</v>
      </c>
      <c r="C4579" s="52">
        <v>246037.97557822501</v>
      </c>
      <c r="D4579" s="56">
        <v>3.9297421465801743E-2</v>
      </c>
      <c r="E4579" s="224" t="s">
        <v>2</v>
      </c>
      <c r="F4579" s="515" t="s">
        <v>5844</v>
      </c>
      <c r="G4579" s="52">
        <v>328073.604201068</v>
      </c>
      <c r="H4579" s="56">
        <v>9.2951002561518586E-2</v>
      </c>
      <c r="I4579" s="224">
        <v>2143</v>
      </c>
    </row>
    <row r="4580" spans="1:9" x14ac:dyDescent="0.25">
      <c r="A4580" s="515">
        <v>60124</v>
      </c>
      <c r="B4580" s="515" t="s">
        <v>394</v>
      </c>
      <c r="C4580" s="52">
        <v>400918.55977656</v>
      </c>
      <c r="D4580" s="56">
        <v>6.5092021428060406E-2</v>
      </c>
      <c r="E4580" s="224">
        <v>2195</v>
      </c>
      <c r="F4580" s="515" t="s">
        <v>5845</v>
      </c>
      <c r="G4580" s="52">
        <v>256854.96223728801</v>
      </c>
      <c r="H4580" s="56">
        <v>0.12390173282291721</v>
      </c>
      <c r="I4580" s="224" t="s">
        <v>2</v>
      </c>
    </row>
    <row r="4581" spans="1:9" x14ac:dyDescent="0.25">
      <c r="A4581" s="515">
        <v>28152</v>
      </c>
      <c r="B4581" s="515" t="s">
        <v>310</v>
      </c>
      <c r="C4581" s="52">
        <v>170832.86152203701</v>
      </c>
      <c r="D4581" s="56">
        <v>0.1307897146755175</v>
      </c>
      <c r="E4581" s="224" t="s">
        <v>2</v>
      </c>
      <c r="F4581" s="515" t="s">
        <v>5846</v>
      </c>
      <c r="G4581" s="52">
        <v>548521.72566698096</v>
      </c>
      <c r="H4581" s="56">
        <v>1.1652839973932013E-2</v>
      </c>
      <c r="I4581" s="224" t="s">
        <v>2</v>
      </c>
    </row>
    <row r="4582" spans="1:9" x14ac:dyDescent="0.25">
      <c r="A4582" s="515">
        <v>24141</v>
      </c>
      <c r="B4582" s="515" t="s">
        <v>597</v>
      </c>
      <c r="C4582" s="52">
        <v>222420.39005982099</v>
      </c>
      <c r="D4582" s="56">
        <v>1.4278036361076007E-2</v>
      </c>
      <c r="E4582" s="224" t="s">
        <v>2</v>
      </c>
      <c r="F4582" s="515" t="s">
        <v>5847</v>
      </c>
      <c r="G4582" s="52">
        <v>823360.90815147199</v>
      </c>
      <c r="H4582" s="56">
        <v>1.7385637856550468E-2</v>
      </c>
      <c r="I4582" s="224">
        <v>2369.5542328042302</v>
      </c>
    </row>
    <row r="4583" spans="1:9" x14ac:dyDescent="0.25">
      <c r="A4583" s="515">
        <v>19406</v>
      </c>
      <c r="B4583" s="515" t="s">
        <v>294</v>
      </c>
      <c r="C4583" s="52">
        <v>410692.04750815901</v>
      </c>
      <c r="D4583" s="56">
        <v>8.7880151673474946E-2</v>
      </c>
      <c r="E4583" s="224">
        <v>1973.7714285714201</v>
      </c>
      <c r="F4583" s="515" t="s">
        <v>5848</v>
      </c>
      <c r="G4583" s="52">
        <v>343388.01312383101</v>
      </c>
      <c r="H4583" s="56">
        <v>8.2540430875335358E-2</v>
      </c>
      <c r="I4583" s="224" t="s">
        <v>2</v>
      </c>
    </row>
    <row r="4584" spans="1:9" x14ac:dyDescent="0.25">
      <c r="A4584" s="515">
        <v>70510</v>
      </c>
      <c r="B4584" s="515" t="s">
        <v>1004</v>
      </c>
      <c r="C4584" s="52">
        <v>136721.50855280101</v>
      </c>
      <c r="D4584" s="56">
        <v>5.8780396946864759E-2</v>
      </c>
      <c r="E4584" s="224" t="s">
        <v>2</v>
      </c>
      <c r="F4584" s="515" t="s">
        <v>5849</v>
      </c>
      <c r="G4584" s="52">
        <v>720741.75839002198</v>
      </c>
      <c r="H4584" s="56">
        <v>8.8431375683416538E-2</v>
      </c>
      <c r="I4584" s="224" t="s">
        <v>2</v>
      </c>
    </row>
    <row r="4585" spans="1:9" x14ac:dyDescent="0.25">
      <c r="A4585" s="515">
        <v>84109</v>
      </c>
      <c r="B4585" s="515" t="s">
        <v>617</v>
      </c>
      <c r="C4585" s="52">
        <v>706286.34641342994</v>
      </c>
      <c r="D4585" s="56">
        <v>3.7973232544089124E-2</v>
      </c>
      <c r="E4585" s="224">
        <v>2560.2777777777701</v>
      </c>
      <c r="F4585" s="515" t="s">
        <v>5850</v>
      </c>
      <c r="G4585" s="52">
        <v>154142.32914929101</v>
      </c>
      <c r="H4585" s="56">
        <v>0.11472147585315248</v>
      </c>
      <c r="I4585" s="224" t="s">
        <v>2</v>
      </c>
    </row>
    <row r="4586" spans="1:9" x14ac:dyDescent="0.25">
      <c r="A4586" s="515">
        <v>77356</v>
      </c>
      <c r="B4586" s="515" t="s">
        <v>314</v>
      </c>
      <c r="C4586" s="52">
        <v>369783.14643730503</v>
      </c>
      <c r="D4586" s="56">
        <v>9.1780412015135163E-2</v>
      </c>
      <c r="E4586" s="224">
        <v>1921.6666666666599</v>
      </c>
      <c r="F4586" s="515" t="s">
        <v>5851</v>
      </c>
      <c r="G4586" s="52">
        <v>230523.74335301301</v>
      </c>
      <c r="H4586" s="56">
        <v>0.14864839760955134</v>
      </c>
      <c r="I4586" s="224" t="s">
        <v>2</v>
      </c>
    </row>
    <row r="4587" spans="1:9" x14ac:dyDescent="0.25">
      <c r="A4587" s="515">
        <v>2215</v>
      </c>
      <c r="B4587" s="515" t="s">
        <v>534</v>
      </c>
      <c r="C4587" s="52">
        <v>617005.88456024695</v>
      </c>
      <c r="D4587" s="56">
        <v>-4.420965963716153E-2</v>
      </c>
      <c r="E4587" s="224">
        <v>3242.3309090909001</v>
      </c>
      <c r="F4587" s="515" t="s">
        <v>5852</v>
      </c>
      <c r="G4587" s="52">
        <v>312988.09925779002</v>
      </c>
      <c r="H4587" s="56">
        <v>3.9525161117143895E-2</v>
      </c>
      <c r="I4587" s="224" t="s">
        <v>2</v>
      </c>
    </row>
    <row r="4588" spans="1:9" x14ac:dyDescent="0.25">
      <c r="A4588" s="515">
        <v>47404</v>
      </c>
      <c r="B4588" s="515" t="s">
        <v>554</v>
      </c>
      <c r="C4588" s="52">
        <v>269522.35816831799</v>
      </c>
      <c r="D4588" s="56">
        <v>8.2426386300564689E-2</v>
      </c>
      <c r="E4588" s="224">
        <v>1645</v>
      </c>
      <c r="F4588" s="515" t="s">
        <v>5853</v>
      </c>
      <c r="G4588" s="52">
        <v>351077.72108843498</v>
      </c>
      <c r="H4588" s="56">
        <v>0</v>
      </c>
      <c r="I4588" s="224">
        <v>3722.5</v>
      </c>
    </row>
    <row r="4589" spans="1:9" x14ac:dyDescent="0.25">
      <c r="A4589" s="515">
        <v>74701</v>
      </c>
      <c r="B4589" s="515" t="s">
        <v>1052</v>
      </c>
      <c r="C4589" s="52">
        <v>198911.191401652</v>
      </c>
      <c r="D4589" s="56">
        <v>0.11642903448856649</v>
      </c>
      <c r="E4589" s="224" t="s">
        <v>2</v>
      </c>
      <c r="F4589" s="515" t="s">
        <v>5854</v>
      </c>
      <c r="G4589" s="52">
        <v>113411.32999528899</v>
      </c>
      <c r="H4589" s="56">
        <v>0.13640893542862165</v>
      </c>
      <c r="I4589" s="224" t="s">
        <v>2</v>
      </c>
    </row>
    <row r="4590" spans="1:9" x14ac:dyDescent="0.25">
      <c r="A4590" s="515">
        <v>76208</v>
      </c>
      <c r="B4590" s="515" t="s">
        <v>458</v>
      </c>
      <c r="C4590" s="52">
        <v>416003.43734825501</v>
      </c>
      <c r="D4590" s="56">
        <v>6.7273320082231011E-2</v>
      </c>
      <c r="E4590" s="224">
        <v>1661.8999999999901</v>
      </c>
      <c r="F4590" s="515" t="s">
        <v>5855</v>
      </c>
      <c r="G4590" s="52">
        <v>202164.127101349</v>
      </c>
      <c r="H4590" s="56">
        <v>6.1188127745012234E-2</v>
      </c>
      <c r="I4590" s="224" t="s">
        <v>2</v>
      </c>
    </row>
    <row r="4591" spans="1:9" x14ac:dyDescent="0.25">
      <c r="A4591" s="515">
        <v>19977</v>
      </c>
      <c r="B4591" s="515" t="s">
        <v>410</v>
      </c>
      <c r="C4591" s="52">
        <v>355538.270248988</v>
      </c>
      <c r="D4591" s="56">
        <v>7.8627468077069718E-2</v>
      </c>
      <c r="E4591" s="224" t="s">
        <v>2</v>
      </c>
      <c r="F4591" s="515" t="s">
        <v>5856</v>
      </c>
      <c r="G4591" s="52">
        <v>188614.47155209401</v>
      </c>
      <c r="H4591" s="56">
        <v>0.11558655470946187</v>
      </c>
      <c r="I4591" s="224" t="s">
        <v>2</v>
      </c>
    </row>
    <row r="4592" spans="1:9" x14ac:dyDescent="0.25">
      <c r="A4592" s="515">
        <v>6108</v>
      </c>
      <c r="B4592" s="515" t="s">
        <v>894</v>
      </c>
      <c r="C4592" s="52">
        <v>222344.93395041101</v>
      </c>
      <c r="D4592" s="56">
        <v>0.12820189517415573</v>
      </c>
      <c r="E4592" s="224">
        <v>1208.3333333333301</v>
      </c>
      <c r="F4592" s="515" t="s">
        <v>5857</v>
      </c>
      <c r="G4592" s="52">
        <v>623939.63835616398</v>
      </c>
      <c r="H4592" s="56">
        <v>0</v>
      </c>
      <c r="I4592" s="224" t="s">
        <v>2</v>
      </c>
    </row>
    <row r="4593" spans="1:9" x14ac:dyDescent="0.25">
      <c r="A4593" s="515">
        <v>73132</v>
      </c>
      <c r="B4593" s="515" t="s">
        <v>385</v>
      </c>
      <c r="C4593" s="52">
        <v>217099.15299175499</v>
      </c>
      <c r="D4593" s="56">
        <v>8.873196830914104E-2</v>
      </c>
      <c r="E4593" s="224">
        <v>1224.0925925925901</v>
      </c>
      <c r="F4593" s="515" t="s">
        <v>5858</v>
      </c>
      <c r="G4593" s="52">
        <v>251064.13056641299</v>
      </c>
      <c r="H4593" s="56">
        <v>6.1109351429871825E-2</v>
      </c>
      <c r="I4593" s="224" t="s">
        <v>2</v>
      </c>
    </row>
    <row r="4594" spans="1:9" x14ac:dyDescent="0.25">
      <c r="A4594" s="515">
        <v>97520</v>
      </c>
      <c r="B4594" s="515" t="s">
        <v>775</v>
      </c>
      <c r="C4594" s="52">
        <v>530273.40632247296</v>
      </c>
      <c r="D4594" s="56">
        <v>-1.0216739438323991E-2</v>
      </c>
      <c r="E4594" s="224">
        <v>1917.8333333333301</v>
      </c>
      <c r="F4594" s="515" t="s">
        <v>5859</v>
      </c>
      <c r="G4594" s="52">
        <v>455971.70476907102</v>
      </c>
      <c r="H4594" s="56">
        <v>5.0707797082442475E-2</v>
      </c>
      <c r="I4594" s="224" t="s">
        <v>2</v>
      </c>
    </row>
    <row r="4595" spans="1:9" x14ac:dyDescent="0.25">
      <c r="A4595" s="515">
        <v>60502</v>
      </c>
      <c r="B4595" s="515" t="s">
        <v>394</v>
      </c>
      <c r="C4595" s="52">
        <v>349487.69230840902</v>
      </c>
      <c r="D4595" s="56">
        <v>5.7940475020468812E-2</v>
      </c>
      <c r="E4595" s="224">
        <v>2081.36666666666</v>
      </c>
      <c r="F4595" s="515" t="s">
        <v>5860</v>
      </c>
      <c r="G4595" s="52">
        <v>245953.69368732799</v>
      </c>
      <c r="H4595" s="56">
        <v>0.12938449540993127</v>
      </c>
      <c r="I4595" s="224">
        <v>1450</v>
      </c>
    </row>
    <row r="4596" spans="1:9" x14ac:dyDescent="0.25">
      <c r="A4596" s="515">
        <v>64155</v>
      </c>
      <c r="B4596" s="515" t="s">
        <v>455</v>
      </c>
      <c r="C4596" s="52">
        <v>305687.142236543</v>
      </c>
      <c r="D4596" s="56">
        <v>7.8978567692088622E-2</v>
      </c>
      <c r="E4596" s="224">
        <v>1605.5222222222201</v>
      </c>
      <c r="F4596" s="515" t="s">
        <v>5861</v>
      </c>
      <c r="G4596" s="52">
        <v>619865.63170304894</v>
      </c>
      <c r="H4596" s="56">
        <v>1.9135807633902463E-2</v>
      </c>
      <c r="I4596" s="224">
        <v>3623.7666666666601</v>
      </c>
    </row>
    <row r="4597" spans="1:9" x14ac:dyDescent="0.25">
      <c r="A4597" s="515">
        <v>75252</v>
      </c>
      <c r="B4597" s="515" t="s">
        <v>458</v>
      </c>
      <c r="C4597" s="52">
        <v>559276.91694965598</v>
      </c>
      <c r="D4597" s="56">
        <v>7.8719203116903863E-2</v>
      </c>
      <c r="E4597" s="224">
        <v>1549.01124338624</v>
      </c>
      <c r="F4597" s="515" t="s">
        <v>5862</v>
      </c>
      <c r="G4597" s="52">
        <v>259200.63224653201</v>
      </c>
      <c r="H4597" s="56">
        <v>0.11115096449993693</v>
      </c>
      <c r="I4597" s="224" t="s">
        <v>2</v>
      </c>
    </row>
    <row r="4598" spans="1:9" x14ac:dyDescent="0.25">
      <c r="A4598" s="515">
        <v>95212</v>
      </c>
      <c r="B4598" s="515" t="s">
        <v>852</v>
      </c>
      <c r="C4598" s="52">
        <v>521093.23125236802</v>
      </c>
      <c r="D4598" s="56">
        <v>1.2605579893586511E-2</v>
      </c>
      <c r="E4598" s="224" t="s">
        <v>2</v>
      </c>
      <c r="F4598" s="515" t="s">
        <v>5863</v>
      </c>
      <c r="G4598" s="52">
        <v>524153.36981702299</v>
      </c>
      <c r="H4598" s="56">
        <v>6.1644485593982494E-3</v>
      </c>
      <c r="I4598" s="224">
        <v>1853.82222222222</v>
      </c>
    </row>
    <row r="4599" spans="1:9" x14ac:dyDescent="0.25">
      <c r="A4599" s="515">
        <v>48238</v>
      </c>
      <c r="B4599" s="515" t="s">
        <v>685</v>
      </c>
      <c r="C4599" s="52">
        <v>52258.921960907399</v>
      </c>
      <c r="D4599" s="56">
        <v>0.16764040278645426</v>
      </c>
      <c r="E4599" s="224">
        <v>1024.44444444444</v>
      </c>
      <c r="F4599" s="515" t="s">
        <v>5864</v>
      </c>
      <c r="G4599" s="52">
        <v>256087.29136216</v>
      </c>
      <c r="H4599" s="56">
        <v>7.4505020843924075E-2</v>
      </c>
      <c r="I4599" s="224" t="s">
        <v>2</v>
      </c>
    </row>
    <row r="4600" spans="1:9" x14ac:dyDescent="0.25">
      <c r="A4600" s="515">
        <v>54751</v>
      </c>
      <c r="B4600" s="515" t="s">
        <v>731</v>
      </c>
      <c r="C4600" s="52">
        <v>251482.08020508999</v>
      </c>
      <c r="D4600" s="56">
        <v>7.5433107836988353E-2</v>
      </c>
      <c r="E4600" s="224">
        <v>1250</v>
      </c>
      <c r="F4600" s="515" t="s">
        <v>5865</v>
      </c>
      <c r="G4600" s="52">
        <v>216098.870749141</v>
      </c>
      <c r="H4600" s="56">
        <v>0.11313220435197753</v>
      </c>
      <c r="I4600" s="224" t="s">
        <v>2</v>
      </c>
    </row>
    <row r="4601" spans="1:9" x14ac:dyDescent="0.25">
      <c r="A4601" s="515">
        <v>18064</v>
      </c>
      <c r="B4601" s="515" t="s">
        <v>327</v>
      </c>
      <c r="C4601" s="52">
        <v>359424.21789727901</v>
      </c>
      <c r="D4601" s="56">
        <v>9.3869208082547673E-2</v>
      </c>
      <c r="E4601" s="224">
        <v>1462.5</v>
      </c>
      <c r="F4601" s="515" t="s">
        <v>5866</v>
      </c>
      <c r="G4601" s="52">
        <v>182599.909492006</v>
      </c>
      <c r="H4601" s="56">
        <v>7.5364553959010275E-2</v>
      </c>
      <c r="I4601" s="224" t="s">
        <v>2</v>
      </c>
    </row>
    <row r="4602" spans="1:9" x14ac:dyDescent="0.25">
      <c r="A4602" s="515">
        <v>43004</v>
      </c>
      <c r="B4602" s="515" t="s">
        <v>345</v>
      </c>
      <c r="C4602" s="52">
        <v>320222.63024698303</v>
      </c>
      <c r="D4602" s="56">
        <v>7.9096278629959979E-2</v>
      </c>
      <c r="E4602" s="224">
        <v>2058.5555555555502</v>
      </c>
      <c r="F4602" s="515" t="s">
        <v>5867</v>
      </c>
      <c r="G4602" s="52">
        <v>252785.48075002999</v>
      </c>
      <c r="H4602" s="56">
        <v>0.10951617430165013</v>
      </c>
      <c r="I4602" s="224" t="s">
        <v>2</v>
      </c>
    </row>
    <row r="4603" spans="1:9" x14ac:dyDescent="0.25">
      <c r="A4603" s="515">
        <v>33860</v>
      </c>
      <c r="B4603" s="515" t="s">
        <v>359</v>
      </c>
      <c r="C4603" s="52">
        <v>291261.54375327699</v>
      </c>
      <c r="D4603" s="56">
        <v>0.13161418976542255</v>
      </c>
      <c r="E4603" s="224">
        <v>1841.0777777777701</v>
      </c>
      <c r="F4603" s="515" t="s">
        <v>5868</v>
      </c>
      <c r="G4603" s="52">
        <v>159912.88509689199</v>
      </c>
      <c r="H4603" s="56">
        <v>0.12157269387004338</v>
      </c>
      <c r="I4603" s="224">
        <v>1155.4166666666599</v>
      </c>
    </row>
    <row r="4604" spans="1:9" x14ac:dyDescent="0.25">
      <c r="A4604" s="515">
        <v>8060</v>
      </c>
      <c r="B4604" s="515" t="s">
        <v>294</v>
      </c>
      <c r="C4604" s="52">
        <v>313724.23269856401</v>
      </c>
      <c r="D4604" s="56">
        <v>9.0205772769876222E-2</v>
      </c>
      <c r="E4604" s="224">
        <v>2014.1666666666599</v>
      </c>
      <c r="F4604" s="515" t="s">
        <v>5869</v>
      </c>
      <c r="G4604" s="52">
        <v>1884459.8087417299</v>
      </c>
      <c r="H4604" s="56">
        <v>0.11190277417329936</v>
      </c>
      <c r="I4604" s="224" t="s">
        <v>2</v>
      </c>
    </row>
    <row r="4605" spans="1:9" x14ac:dyDescent="0.25">
      <c r="A4605" s="515">
        <v>46221</v>
      </c>
      <c r="B4605" s="515" t="s">
        <v>403</v>
      </c>
      <c r="C4605" s="52">
        <v>193325.72319357301</v>
      </c>
      <c r="D4605" s="56">
        <v>0.10727067346744149</v>
      </c>
      <c r="E4605" s="224">
        <v>1342.4555555555501</v>
      </c>
      <c r="F4605" s="515" t="s">
        <v>5870</v>
      </c>
      <c r="G4605" s="52">
        <v>1231775.72593124</v>
      </c>
      <c r="H4605" s="56">
        <v>0.17256514327537795</v>
      </c>
      <c r="I4605" s="224" t="s">
        <v>2</v>
      </c>
    </row>
    <row r="4606" spans="1:9" x14ac:dyDescent="0.25">
      <c r="A4606" s="515">
        <v>54650</v>
      </c>
      <c r="B4606" s="515" t="s">
        <v>635</v>
      </c>
      <c r="C4606" s="52">
        <v>285334.04429122101</v>
      </c>
      <c r="D4606" s="56">
        <v>5.1463451882095369E-2</v>
      </c>
      <c r="E4606" s="224">
        <v>1537.5</v>
      </c>
      <c r="F4606" s="515" t="s">
        <v>5871</v>
      </c>
      <c r="G4606" s="52">
        <v>485809.72884606401</v>
      </c>
      <c r="H4606" s="56">
        <v>6.3360551425269099E-2</v>
      </c>
      <c r="I4606" s="224" t="s">
        <v>2</v>
      </c>
    </row>
    <row r="4607" spans="1:9" x14ac:dyDescent="0.25">
      <c r="A4607" s="515">
        <v>76708</v>
      </c>
      <c r="B4607" s="515" t="s">
        <v>1057</v>
      </c>
      <c r="C4607" s="52">
        <v>217643.59193590801</v>
      </c>
      <c r="D4607" s="56">
        <v>9.3625779381308866E-2</v>
      </c>
      <c r="E4607" s="224">
        <v>1610.8333333333301</v>
      </c>
      <c r="F4607" s="515" t="s">
        <v>5872</v>
      </c>
      <c r="G4607" s="52">
        <v>329161.47490868397</v>
      </c>
      <c r="H4607" s="56">
        <v>1.7936642733833049E-2</v>
      </c>
      <c r="I4607" s="224" t="s">
        <v>2</v>
      </c>
    </row>
    <row r="4608" spans="1:9" x14ac:dyDescent="0.25">
      <c r="A4608" s="515">
        <v>63755</v>
      </c>
      <c r="B4608" s="515" t="s">
        <v>424</v>
      </c>
      <c r="C4608" s="52">
        <v>226311.229602554</v>
      </c>
      <c r="D4608" s="56">
        <v>7.2921821608391987E-2</v>
      </c>
      <c r="E4608" s="224" t="s">
        <v>2</v>
      </c>
      <c r="F4608" s="515" t="s">
        <v>5873</v>
      </c>
      <c r="G4608" s="52">
        <v>159032.530616909</v>
      </c>
      <c r="H4608" s="56">
        <v>7.4696905360076435E-2</v>
      </c>
      <c r="I4608" s="224" t="s">
        <v>2</v>
      </c>
    </row>
    <row r="4609" spans="1:9" x14ac:dyDescent="0.25">
      <c r="A4609" s="515">
        <v>7010</v>
      </c>
      <c r="B4609" s="515" t="s">
        <v>324</v>
      </c>
      <c r="C4609" s="52">
        <v>534682.64447306201</v>
      </c>
      <c r="D4609" s="56">
        <v>2.3442845123470019E-2</v>
      </c>
      <c r="E4609" s="224">
        <v>2293.3333333333298</v>
      </c>
      <c r="F4609" s="515" t="s">
        <v>5874</v>
      </c>
      <c r="G4609" s="52">
        <v>486276.31921286101</v>
      </c>
      <c r="H4609" s="56">
        <v>1.6708079997047483E-2</v>
      </c>
      <c r="I4609" s="224">
        <v>1804.1666666666599</v>
      </c>
    </row>
    <row r="4610" spans="1:9" x14ac:dyDescent="0.25">
      <c r="A4610" s="515">
        <v>91411</v>
      </c>
      <c r="B4610" s="515" t="s">
        <v>375</v>
      </c>
      <c r="C4610" s="52">
        <v>917653.29778643895</v>
      </c>
      <c r="D4610" s="56">
        <v>2.7406456886520929E-2</v>
      </c>
      <c r="E4610" s="224">
        <v>2381.625</v>
      </c>
      <c r="F4610" s="515" t="s">
        <v>5875</v>
      </c>
      <c r="G4610" s="52">
        <v>244865.13276245401</v>
      </c>
      <c r="H4610" s="56">
        <v>0.13814840442764903</v>
      </c>
      <c r="I4610" s="224" t="s">
        <v>2</v>
      </c>
    </row>
    <row r="4611" spans="1:9" x14ac:dyDescent="0.25">
      <c r="A4611" s="515">
        <v>48371</v>
      </c>
      <c r="B4611" s="515" t="s">
        <v>685</v>
      </c>
      <c r="C4611" s="52">
        <v>350630.05850828602</v>
      </c>
      <c r="D4611" s="56">
        <v>3.2991079965790239E-2</v>
      </c>
      <c r="E4611" s="224" t="s">
        <v>2</v>
      </c>
      <c r="F4611" s="515" t="s">
        <v>910</v>
      </c>
      <c r="G4611" s="52">
        <v>93180.818703622906</v>
      </c>
      <c r="H4611" s="56">
        <v>4.2584072334913597E-2</v>
      </c>
      <c r="I4611" s="224" t="s">
        <v>2</v>
      </c>
    </row>
    <row r="4612" spans="1:9" x14ac:dyDescent="0.25">
      <c r="A4612" s="515">
        <v>2721</v>
      </c>
      <c r="B4612" s="515" t="s">
        <v>513</v>
      </c>
      <c r="C4612" s="52">
        <v>368987.51341534901</v>
      </c>
      <c r="D4612" s="56">
        <v>7.8790849196739815E-2</v>
      </c>
      <c r="E4612" s="224">
        <v>1438.88888888888</v>
      </c>
      <c r="F4612" s="515" t="s">
        <v>5876</v>
      </c>
      <c r="G4612" s="52">
        <v>407549.24483534601</v>
      </c>
      <c r="H4612" s="56">
        <v>4.6637237194617896E-2</v>
      </c>
      <c r="I4612" s="224" t="s">
        <v>2</v>
      </c>
    </row>
    <row r="4613" spans="1:9" x14ac:dyDescent="0.25">
      <c r="A4613" s="515">
        <v>74105</v>
      </c>
      <c r="B4613" s="515" t="s">
        <v>348</v>
      </c>
      <c r="C4613" s="52">
        <v>254267.75833641199</v>
      </c>
      <c r="D4613" s="56">
        <v>6.6651871514040867E-2</v>
      </c>
      <c r="E4613" s="224">
        <v>1365.0416666666599</v>
      </c>
      <c r="F4613" s="515" t="s">
        <v>5877</v>
      </c>
      <c r="G4613" s="52">
        <v>102776.080633869</v>
      </c>
      <c r="H4613" s="56">
        <v>0.20368447908786896</v>
      </c>
      <c r="I4613" s="224" t="s">
        <v>2</v>
      </c>
    </row>
    <row r="4614" spans="1:9" x14ac:dyDescent="0.25">
      <c r="A4614" s="515">
        <v>29646</v>
      </c>
      <c r="B4614" s="515" t="s">
        <v>1075</v>
      </c>
      <c r="C4614" s="52">
        <v>117055.395367042</v>
      </c>
      <c r="D4614" s="56">
        <v>0.12966423935952101</v>
      </c>
      <c r="E4614" s="224" t="s">
        <v>2</v>
      </c>
      <c r="F4614" s="515" t="s">
        <v>5878</v>
      </c>
      <c r="G4614" s="52">
        <v>224884.19651910599</v>
      </c>
      <c r="H4614" s="56">
        <v>6.4294379688377687E-2</v>
      </c>
      <c r="I4614" s="224" t="s">
        <v>2</v>
      </c>
    </row>
    <row r="4615" spans="1:9" x14ac:dyDescent="0.25">
      <c r="A4615" s="515">
        <v>30233</v>
      </c>
      <c r="B4615" s="515" t="s">
        <v>957</v>
      </c>
      <c r="C4615" s="52">
        <v>254983.82105376601</v>
      </c>
      <c r="D4615" s="56">
        <v>0.10189720609471531</v>
      </c>
      <c r="E4615" s="224" t="s">
        <v>2</v>
      </c>
      <c r="F4615" s="515" t="s">
        <v>5879</v>
      </c>
      <c r="G4615" s="52">
        <v>463864.89039125101</v>
      </c>
      <c r="H4615" s="56">
        <v>2.0739445823055522E-2</v>
      </c>
      <c r="I4615" s="224" t="s">
        <v>2</v>
      </c>
    </row>
    <row r="4616" spans="1:9" x14ac:dyDescent="0.25">
      <c r="A4616" s="515">
        <v>37303</v>
      </c>
      <c r="B4616" s="515" t="s">
        <v>1135</v>
      </c>
      <c r="C4616" s="52">
        <v>218668.35474871501</v>
      </c>
      <c r="D4616" s="56">
        <v>0.10898709518424912</v>
      </c>
      <c r="E4616" s="224" t="s">
        <v>2</v>
      </c>
      <c r="F4616" s="515" t="s">
        <v>5880</v>
      </c>
      <c r="G4616" s="52">
        <v>211805.78110564899</v>
      </c>
      <c r="H4616" s="56">
        <v>3.8550832283856341E-2</v>
      </c>
      <c r="I4616" s="224" t="s">
        <v>2</v>
      </c>
    </row>
    <row r="4617" spans="1:9" x14ac:dyDescent="0.25">
      <c r="A4617" s="515">
        <v>55343</v>
      </c>
      <c r="B4617" s="515" t="s">
        <v>532</v>
      </c>
      <c r="C4617" s="52">
        <v>317875.22896622698</v>
      </c>
      <c r="D4617" s="56">
        <v>3.2304950447835004E-2</v>
      </c>
      <c r="E4617" s="224">
        <v>1319.68888888888</v>
      </c>
      <c r="F4617" s="515" t="s">
        <v>5881</v>
      </c>
      <c r="G4617" s="52">
        <v>210388.16151459899</v>
      </c>
      <c r="H4617" s="56">
        <v>3.9984093283001773E-2</v>
      </c>
      <c r="I4617" s="224" t="s">
        <v>2</v>
      </c>
    </row>
    <row r="4618" spans="1:9" x14ac:dyDescent="0.25">
      <c r="A4618" s="515">
        <v>8005</v>
      </c>
      <c r="B4618" s="515" t="s">
        <v>324</v>
      </c>
      <c r="C4618" s="52">
        <v>419316.93736001401</v>
      </c>
      <c r="D4618" s="56">
        <v>0.11827210432241941</v>
      </c>
      <c r="E4618" s="224" t="s">
        <v>2</v>
      </c>
      <c r="F4618" s="515" t="s">
        <v>5882</v>
      </c>
      <c r="G4618" s="52">
        <v>247272.078234694</v>
      </c>
      <c r="H4618" s="56">
        <v>2.9420971981216609E-2</v>
      </c>
      <c r="I4618" s="224" t="s">
        <v>2</v>
      </c>
    </row>
    <row r="4619" spans="1:9" x14ac:dyDescent="0.25">
      <c r="A4619" s="515">
        <v>53150</v>
      </c>
      <c r="B4619" s="515" t="s">
        <v>950</v>
      </c>
      <c r="C4619" s="52">
        <v>399004.73721901502</v>
      </c>
      <c r="D4619" s="56">
        <v>4.9486634230159754E-2</v>
      </c>
      <c r="E4619" s="224" t="s">
        <v>2</v>
      </c>
      <c r="F4619" s="515" t="s">
        <v>5883</v>
      </c>
      <c r="G4619" s="52">
        <v>276251.086393626</v>
      </c>
      <c r="H4619" s="56">
        <v>8.1893044276754146E-2</v>
      </c>
      <c r="I4619" s="224" t="s">
        <v>2</v>
      </c>
    </row>
    <row r="4620" spans="1:9" x14ac:dyDescent="0.25">
      <c r="A4620" s="515">
        <v>76135</v>
      </c>
      <c r="B4620" s="515" t="s">
        <v>458</v>
      </c>
      <c r="C4620" s="52">
        <v>281975.73565477098</v>
      </c>
      <c r="D4620" s="56">
        <v>0.11268603608408348</v>
      </c>
      <c r="E4620" s="224">
        <v>1698.7777777777701</v>
      </c>
      <c r="F4620" s="515" t="s">
        <v>5884</v>
      </c>
      <c r="G4620" s="52">
        <v>233565.19132092799</v>
      </c>
      <c r="H4620" s="56">
        <v>6.1980668684485658E-2</v>
      </c>
      <c r="I4620" s="224" t="s">
        <v>2</v>
      </c>
    </row>
    <row r="4621" spans="1:9" x14ac:dyDescent="0.25">
      <c r="A4621" s="515">
        <v>46815</v>
      </c>
      <c r="B4621" s="515" t="s">
        <v>1031</v>
      </c>
      <c r="C4621" s="52">
        <v>203359.22606109301</v>
      </c>
      <c r="D4621" s="56">
        <v>7.3246823836136565E-2</v>
      </c>
      <c r="E4621" s="224" t="s">
        <v>2</v>
      </c>
      <c r="F4621" s="515" t="s">
        <v>5885</v>
      </c>
      <c r="G4621" s="52">
        <v>273993.28582172003</v>
      </c>
      <c r="H4621" s="56">
        <v>8.1370234567516339E-2</v>
      </c>
      <c r="I4621" s="224">
        <v>1200</v>
      </c>
    </row>
    <row r="4622" spans="1:9" x14ac:dyDescent="0.25">
      <c r="A4622" s="515">
        <v>10036</v>
      </c>
      <c r="B4622" s="515" t="s">
        <v>324</v>
      </c>
      <c r="C4622" s="52">
        <v>957179.57368959801</v>
      </c>
      <c r="D4622" s="56">
        <v>5.2346200728240568E-2</v>
      </c>
      <c r="E4622" s="224">
        <v>3854.1304457953302</v>
      </c>
      <c r="F4622" s="515" t="s">
        <v>5886</v>
      </c>
      <c r="G4622" s="52">
        <v>465221.82353407401</v>
      </c>
      <c r="H4622" s="56">
        <v>7.1509903078060544E-2</v>
      </c>
      <c r="I4622" s="224" t="s">
        <v>2</v>
      </c>
    </row>
    <row r="4623" spans="1:9" x14ac:dyDescent="0.25">
      <c r="A4623" s="515">
        <v>30549</v>
      </c>
      <c r="B4623" s="515" t="s">
        <v>1175</v>
      </c>
      <c r="C4623" s="52">
        <v>373923.24465441902</v>
      </c>
      <c r="D4623" s="56">
        <v>9.4638666248879941E-2</v>
      </c>
      <c r="E4623" s="224" t="s">
        <v>2</v>
      </c>
      <c r="F4623" s="515" t="s">
        <v>5887</v>
      </c>
      <c r="G4623" s="52">
        <v>114088.014139925</v>
      </c>
      <c r="H4623" s="56">
        <v>3.0777706785550394E-2</v>
      </c>
      <c r="I4623" s="224" t="s">
        <v>2</v>
      </c>
    </row>
    <row r="4624" spans="1:9" x14ac:dyDescent="0.25">
      <c r="A4624" s="515">
        <v>40422</v>
      </c>
      <c r="B4624" s="515" t="s">
        <v>1015</v>
      </c>
      <c r="C4624" s="52">
        <v>211070.14460345299</v>
      </c>
      <c r="D4624" s="56">
        <v>0.14288084889186237</v>
      </c>
      <c r="E4624" s="224" t="s">
        <v>2</v>
      </c>
      <c r="F4624" s="515" t="s">
        <v>5888</v>
      </c>
      <c r="G4624" s="52">
        <v>227193.992182357</v>
      </c>
      <c r="H4624" s="56">
        <v>8.6720383280595115E-2</v>
      </c>
      <c r="I4624" s="224">
        <v>1185</v>
      </c>
    </row>
    <row r="4625" spans="1:9" x14ac:dyDescent="0.25">
      <c r="A4625" s="515">
        <v>10075</v>
      </c>
      <c r="B4625" s="515" t="s">
        <v>324</v>
      </c>
      <c r="C4625" s="52">
        <v>1131848.9559719299</v>
      </c>
      <c r="D4625" s="56">
        <v>-4.7637021205514052E-2</v>
      </c>
      <c r="E4625" s="224">
        <v>2815.7527374586198</v>
      </c>
      <c r="F4625" s="515" t="s">
        <v>5889</v>
      </c>
      <c r="G4625" s="52">
        <v>173791.684896177</v>
      </c>
      <c r="H4625" s="56">
        <v>9.8602013098319213E-3</v>
      </c>
      <c r="I4625" s="224" t="s">
        <v>2</v>
      </c>
    </row>
    <row r="4626" spans="1:9" x14ac:dyDescent="0.25">
      <c r="A4626" s="515">
        <v>57104</v>
      </c>
      <c r="B4626" s="515" t="s">
        <v>579</v>
      </c>
      <c r="C4626" s="52">
        <v>195490.26121354199</v>
      </c>
      <c r="D4626" s="56">
        <v>0.13415315836320899</v>
      </c>
      <c r="E4626" s="224">
        <v>1046.9166666666599</v>
      </c>
      <c r="F4626" s="515" t="s">
        <v>5890</v>
      </c>
      <c r="G4626" s="52">
        <v>507283.28509479802</v>
      </c>
      <c r="H4626" s="56">
        <v>5.4058446848436657E-2</v>
      </c>
      <c r="I4626" s="224">
        <v>2795.5</v>
      </c>
    </row>
    <row r="4627" spans="1:9" x14ac:dyDescent="0.25">
      <c r="A4627" s="515">
        <v>39056</v>
      </c>
      <c r="B4627" s="515" t="s">
        <v>851</v>
      </c>
      <c r="C4627" s="52">
        <v>208547.454318334</v>
      </c>
      <c r="D4627" s="56">
        <v>8.0456079470639721E-2</v>
      </c>
      <c r="E4627" s="224">
        <v>1517.1111111111099</v>
      </c>
      <c r="F4627" s="515" t="s">
        <v>5891</v>
      </c>
      <c r="G4627" s="52">
        <v>648601.78620655404</v>
      </c>
      <c r="H4627" s="56">
        <v>1.3352679821054755E-2</v>
      </c>
      <c r="I4627" s="224" t="s">
        <v>2</v>
      </c>
    </row>
    <row r="4628" spans="1:9" x14ac:dyDescent="0.25">
      <c r="A4628" s="515">
        <v>2126</v>
      </c>
      <c r="B4628" s="515" t="s">
        <v>534</v>
      </c>
      <c r="C4628" s="52">
        <v>496777.67627333599</v>
      </c>
      <c r="D4628" s="56">
        <v>4.9589868479835819E-2</v>
      </c>
      <c r="E4628" s="224" t="s">
        <v>2</v>
      </c>
      <c r="F4628" s="515" t="s">
        <v>5892</v>
      </c>
      <c r="G4628" s="52">
        <v>538161.53623896604</v>
      </c>
      <c r="H4628" s="56">
        <v>4.7646973606967999E-2</v>
      </c>
      <c r="I4628" s="224" t="s">
        <v>2</v>
      </c>
    </row>
    <row r="4629" spans="1:9" x14ac:dyDescent="0.25">
      <c r="A4629" s="515">
        <v>11010</v>
      </c>
      <c r="B4629" s="515" t="s">
        <v>324</v>
      </c>
      <c r="C4629" s="52">
        <v>659422.33114015195</v>
      </c>
      <c r="D4629" s="56">
        <v>4.4356155089241879E-2</v>
      </c>
      <c r="E4629" s="224" t="s">
        <v>2</v>
      </c>
      <c r="F4629" s="515" t="s">
        <v>5893</v>
      </c>
      <c r="G4629" s="52">
        <v>255142.419967753</v>
      </c>
      <c r="H4629" s="56">
        <v>9.5689828510391026E-2</v>
      </c>
      <c r="I4629" s="224" t="s">
        <v>2</v>
      </c>
    </row>
    <row r="4630" spans="1:9" x14ac:dyDescent="0.25">
      <c r="A4630" s="515">
        <v>34112</v>
      </c>
      <c r="B4630" s="515" t="s">
        <v>365</v>
      </c>
      <c r="C4630" s="52">
        <v>375672.66350531601</v>
      </c>
      <c r="D4630" s="56">
        <v>0.18239352913807602</v>
      </c>
      <c r="E4630" s="224">
        <v>2720.8333333333298</v>
      </c>
      <c r="F4630" s="515" t="s">
        <v>5894</v>
      </c>
      <c r="G4630" s="52">
        <v>300704.238204522</v>
      </c>
      <c r="H4630" s="56">
        <v>9.0899914136272672E-2</v>
      </c>
      <c r="I4630" s="224" t="s">
        <v>2</v>
      </c>
    </row>
    <row r="4631" spans="1:9" x14ac:dyDescent="0.25">
      <c r="A4631" s="515">
        <v>79934</v>
      </c>
      <c r="B4631" s="515" t="s">
        <v>1119</v>
      </c>
      <c r="C4631" s="52">
        <v>219204.512992156</v>
      </c>
      <c r="D4631" s="56">
        <v>0.12267934815957013</v>
      </c>
      <c r="E4631" s="224">
        <v>1577.0436507936499</v>
      </c>
      <c r="F4631" s="515" t="s">
        <v>5895</v>
      </c>
      <c r="G4631" s="52">
        <v>2575825.66137069</v>
      </c>
      <c r="H4631" s="56">
        <v>9.8952474901995116E-2</v>
      </c>
      <c r="I4631" s="224" t="s">
        <v>2</v>
      </c>
    </row>
    <row r="4632" spans="1:9" x14ac:dyDescent="0.25">
      <c r="A4632" s="515">
        <v>33327</v>
      </c>
      <c r="B4632" s="515" t="s">
        <v>831</v>
      </c>
      <c r="C4632" s="52">
        <v>744017.18061138398</v>
      </c>
      <c r="D4632" s="56">
        <v>0.1494956505955343</v>
      </c>
      <c r="E4632" s="224">
        <v>3965</v>
      </c>
      <c r="F4632" s="515" t="s">
        <v>1227</v>
      </c>
      <c r="G4632" s="52">
        <v>101555.221415219</v>
      </c>
      <c r="H4632" s="56">
        <v>4.6737105074852188E-2</v>
      </c>
      <c r="I4632" s="224" t="s">
        <v>2</v>
      </c>
    </row>
    <row r="4633" spans="1:9" x14ac:dyDescent="0.25">
      <c r="A4633" s="515">
        <v>33781</v>
      </c>
      <c r="B4633" s="515" t="s">
        <v>461</v>
      </c>
      <c r="C4633" s="52">
        <v>298174.54815827298</v>
      </c>
      <c r="D4633" s="56">
        <v>0.12134210128981586</v>
      </c>
      <c r="E4633" s="224">
        <v>2006.6666666666599</v>
      </c>
      <c r="F4633" s="515" t="s">
        <v>5896</v>
      </c>
      <c r="G4633" s="52">
        <v>231266.26360765399</v>
      </c>
      <c r="H4633" s="56">
        <v>4.5465689325595568E-2</v>
      </c>
      <c r="I4633" s="224" t="s">
        <v>2</v>
      </c>
    </row>
    <row r="4634" spans="1:9" x14ac:dyDescent="0.25">
      <c r="A4634" s="515">
        <v>40505</v>
      </c>
      <c r="B4634" s="515" t="s">
        <v>515</v>
      </c>
      <c r="C4634" s="52">
        <v>181445.10247195599</v>
      </c>
      <c r="D4634" s="56">
        <v>0.10826296683433186</v>
      </c>
      <c r="E4634" s="224">
        <v>1109.1666666666599</v>
      </c>
      <c r="F4634" s="515" t="s">
        <v>5897</v>
      </c>
      <c r="G4634" s="52">
        <v>371485.31134821201</v>
      </c>
      <c r="H4634" s="56">
        <v>0.13671126995579078</v>
      </c>
      <c r="I4634" s="224">
        <v>2207.9444444444398</v>
      </c>
    </row>
    <row r="4635" spans="1:9" x14ac:dyDescent="0.25">
      <c r="A4635" s="515">
        <v>60491</v>
      </c>
      <c r="B4635" s="515" t="s">
        <v>394</v>
      </c>
      <c r="C4635" s="52">
        <v>418669.24712260102</v>
      </c>
      <c r="D4635" s="56">
        <v>5.8965716645368926E-2</v>
      </c>
      <c r="E4635" s="224" t="s">
        <v>2</v>
      </c>
      <c r="F4635" s="515" t="s">
        <v>5898</v>
      </c>
      <c r="G4635" s="52">
        <v>163740.55604053501</v>
      </c>
      <c r="H4635" s="56">
        <v>5.3928320061974448E-2</v>
      </c>
      <c r="I4635" s="224" t="s">
        <v>2</v>
      </c>
    </row>
    <row r="4636" spans="1:9" x14ac:dyDescent="0.25">
      <c r="A4636" s="515">
        <v>22203</v>
      </c>
      <c r="B4636" s="515" t="s">
        <v>321</v>
      </c>
      <c r="C4636" s="52">
        <v>639115.30797206995</v>
      </c>
      <c r="D4636" s="56">
        <v>-2.4922719611111185E-2</v>
      </c>
      <c r="E4636" s="224">
        <v>2658.0156862745098</v>
      </c>
      <c r="F4636" s="515" t="s">
        <v>5899</v>
      </c>
      <c r="G4636" s="52">
        <v>308994.72125123302</v>
      </c>
      <c r="H4636" s="56">
        <v>6.3080620357476552E-2</v>
      </c>
      <c r="I4636" s="224" t="s">
        <v>2</v>
      </c>
    </row>
    <row r="4637" spans="1:9" x14ac:dyDescent="0.25">
      <c r="A4637" s="515">
        <v>91403</v>
      </c>
      <c r="B4637" s="515" t="s">
        <v>375</v>
      </c>
      <c r="C4637" s="52">
        <v>1329371.415337</v>
      </c>
      <c r="D4637" s="56">
        <v>3.7657684592890803E-2</v>
      </c>
      <c r="E4637" s="224">
        <v>2552.1136363636301</v>
      </c>
      <c r="F4637" s="515" t="s">
        <v>5900</v>
      </c>
      <c r="G4637" s="52">
        <v>364059.17840228201</v>
      </c>
      <c r="H4637" s="56">
        <v>8.8344059744159875E-2</v>
      </c>
      <c r="I4637" s="224" t="s">
        <v>2</v>
      </c>
    </row>
    <row r="4638" spans="1:9" x14ac:dyDescent="0.25">
      <c r="A4638" s="515">
        <v>60426</v>
      </c>
      <c r="B4638" s="515" t="s">
        <v>394</v>
      </c>
      <c r="C4638" s="52">
        <v>99029.719052467393</v>
      </c>
      <c r="D4638" s="56">
        <v>0.2204085114279789</v>
      </c>
      <c r="E4638" s="224" t="s">
        <v>2</v>
      </c>
      <c r="F4638" s="515" t="s">
        <v>5901</v>
      </c>
      <c r="G4638" s="52">
        <v>351005.40647526598</v>
      </c>
      <c r="H4638" s="56">
        <v>0.11157501251866432</v>
      </c>
      <c r="I4638" s="224" t="s">
        <v>2</v>
      </c>
    </row>
    <row r="4639" spans="1:9" x14ac:dyDescent="0.25">
      <c r="A4639" s="515">
        <v>47591</v>
      </c>
      <c r="B4639" s="515" t="s">
        <v>573</v>
      </c>
      <c r="C4639" s="52">
        <v>135925.834651877</v>
      </c>
      <c r="D4639" s="56">
        <v>4.5383092400938317E-2</v>
      </c>
      <c r="E4639" s="224" t="s">
        <v>2</v>
      </c>
      <c r="F4639" s="515" t="s">
        <v>5902</v>
      </c>
      <c r="G4639" s="52">
        <v>145877.287062783</v>
      </c>
      <c r="H4639" s="56">
        <v>5.7797486651974532E-2</v>
      </c>
      <c r="I4639" s="224" t="s">
        <v>2</v>
      </c>
    </row>
    <row r="4640" spans="1:9" x14ac:dyDescent="0.25">
      <c r="A4640" s="515">
        <v>55057</v>
      </c>
      <c r="B4640" s="515" t="s">
        <v>504</v>
      </c>
      <c r="C4640" s="52">
        <v>341583.13560943498</v>
      </c>
      <c r="D4640" s="56">
        <v>3.6905723715318549E-2</v>
      </c>
      <c r="E4640" s="224">
        <v>1250</v>
      </c>
      <c r="F4640" s="515" t="s">
        <v>5903</v>
      </c>
      <c r="G4640" s="52">
        <v>350493.765619062</v>
      </c>
      <c r="H4640" s="56">
        <v>6.0187829744974976E-2</v>
      </c>
      <c r="I4640" s="224" t="s">
        <v>2</v>
      </c>
    </row>
    <row r="4641" spans="1:9" x14ac:dyDescent="0.25">
      <c r="A4641" s="515">
        <v>19064</v>
      </c>
      <c r="B4641" s="515" t="s">
        <v>294</v>
      </c>
      <c r="C4641" s="52">
        <v>406278.47627526498</v>
      </c>
      <c r="D4641" s="56">
        <v>7.3879881682027859E-2</v>
      </c>
      <c r="E4641" s="224" t="s">
        <v>2</v>
      </c>
      <c r="F4641" s="515" t="s">
        <v>5904</v>
      </c>
      <c r="G4641" s="52">
        <v>400085.015134755</v>
      </c>
      <c r="H4641" s="56">
        <v>9.8418987495391588E-2</v>
      </c>
      <c r="I4641" s="224" t="s">
        <v>2</v>
      </c>
    </row>
    <row r="4642" spans="1:9" x14ac:dyDescent="0.25">
      <c r="A4642" s="515">
        <v>92029</v>
      </c>
      <c r="B4642" s="515" t="s">
        <v>396</v>
      </c>
      <c r="C4642" s="52">
        <v>1067763.6008287999</v>
      </c>
      <c r="D4642" s="56">
        <v>8.9008812769875337E-2</v>
      </c>
      <c r="E4642" s="224">
        <v>2597.9833333333299</v>
      </c>
      <c r="F4642" s="515" t="s">
        <v>5905</v>
      </c>
      <c r="G4642" s="52">
        <v>268515.98773669603</v>
      </c>
      <c r="H4642" s="56">
        <v>0.12725959352311847</v>
      </c>
      <c r="I4642" s="224">
        <v>1570.9166666666599</v>
      </c>
    </row>
    <row r="4643" spans="1:9" x14ac:dyDescent="0.25">
      <c r="A4643" s="515">
        <v>37206</v>
      </c>
      <c r="B4643" s="515" t="s">
        <v>684</v>
      </c>
      <c r="C4643" s="52">
        <v>563861.85765167698</v>
      </c>
      <c r="D4643" s="56">
        <v>0.12236432232842422</v>
      </c>
      <c r="E4643" s="224">
        <v>1978.71101364522</v>
      </c>
      <c r="F4643" s="515" t="s">
        <v>5906</v>
      </c>
      <c r="G4643" s="52">
        <v>144735.30990286701</v>
      </c>
      <c r="H4643" s="56">
        <v>7.0619494330731447E-2</v>
      </c>
      <c r="I4643" s="224" t="s">
        <v>2</v>
      </c>
    </row>
    <row r="4644" spans="1:9" x14ac:dyDescent="0.25">
      <c r="A4644" s="515">
        <v>33034</v>
      </c>
      <c r="B4644" s="515" t="s">
        <v>831</v>
      </c>
      <c r="C4644" s="52">
        <v>308981.962235004</v>
      </c>
      <c r="D4644" s="56">
        <v>0.23813361121034277</v>
      </c>
      <c r="E4644" s="224">
        <v>1995.8333333333301</v>
      </c>
      <c r="F4644" s="515" t="s">
        <v>5907</v>
      </c>
      <c r="G4644" s="52">
        <v>134579.30525196</v>
      </c>
      <c r="H4644" s="56">
        <v>0.23812651043423771</v>
      </c>
      <c r="I4644" s="224" t="s">
        <v>2</v>
      </c>
    </row>
    <row r="4645" spans="1:9" x14ac:dyDescent="0.25">
      <c r="A4645" s="515">
        <v>44313</v>
      </c>
      <c r="B4645" s="515" t="s">
        <v>1000</v>
      </c>
      <c r="C4645" s="52">
        <v>215683.76215749301</v>
      </c>
      <c r="D4645" s="56">
        <v>5.78908659281588E-2</v>
      </c>
      <c r="E4645" s="224">
        <v>1001.94444444444</v>
      </c>
      <c r="F4645" s="515" t="s">
        <v>5908</v>
      </c>
      <c r="G4645" s="52">
        <v>105534.417259439</v>
      </c>
      <c r="H4645" s="56">
        <v>0.13008142137545103</v>
      </c>
      <c r="I4645" s="224" t="s">
        <v>2</v>
      </c>
    </row>
    <row r="4646" spans="1:9" x14ac:dyDescent="0.25">
      <c r="A4646" s="515">
        <v>30528</v>
      </c>
      <c r="C4646" s="52">
        <v>291776.547064026</v>
      </c>
      <c r="D4646" s="56">
        <v>8.4025311261517466E-2</v>
      </c>
      <c r="E4646" s="224" t="s">
        <v>2</v>
      </c>
      <c r="F4646" s="515" t="s">
        <v>5909</v>
      </c>
      <c r="G4646" s="52">
        <v>356485.49606417102</v>
      </c>
      <c r="H4646" s="56">
        <v>6.8484885999294004E-2</v>
      </c>
      <c r="I4646" s="224">
        <v>1947.5</v>
      </c>
    </row>
    <row r="4647" spans="1:9" x14ac:dyDescent="0.25">
      <c r="A4647" s="515">
        <v>2026</v>
      </c>
      <c r="B4647" s="515" t="s">
        <v>534</v>
      </c>
      <c r="C4647" s="52">
        <v>636639.735720539</v>
      </c>
      <c r="D4647" s="56">
        <v>4.4833891357369524E-2</v>
      </c>
      <c r="E4647" s="224">
        <v>2541.5</v>
      </c>
      <c r="F4647" s="515" t="s">
        <v>5910</v>
      </c>
      <c r="G4647" s="52">
        <v>391153.45440078498</v>
      </c>
      <c r="H4647" s="56">
        <v>7.4737779536745055E-2</v>
      </c>
      <c r="I4647" s="224" t="s">
        <v>2</v>
      </c>
    </row>
    <row r="4648" spans="1:9" x14ac:dyDescent="0.25">
      <c r="A4648" s="515">
        <v>31707</v>
      </c>
      <c r="B4648" s="515" t="s">
        <v>746</v>
      </c>
      <c r="C4648" s="52">
        <v>130216.909840698</v>
      </c>
      <c r="D4648" s="56">
        <v>0.14390432140099838</v>
      </c>
      <c r="E4648" s="224">
        <v>898.33333333333303</v>
      </c>
      <c r="F4648" s="515" t="s">
        <v>5911</v>
      </c>
      <c r="G4648" s="52">
        <v>374042.14615628601</v>
      </c>
      <c r="H4648" s="56">
        <v>6.6304775413751987E-2</v>
      </c>
      <c r="I4648" s="224" t="s">
        <v>2</v>
      </c>
    </row>
    <row r="4649" spans="1:9" x14ac:dyDescent="0.25">
      <c r="A4649" s="515">
        <v>85268</v>
      </c>
      <c r="B4649" s="515" t="s">
        <v>563</v>
      </c>
      <c r="C4649" s="52">
        <v>609528.13238006004</v>
      </c>
      <c r="D4649" s="56">
        <v>4.2126890004398052E-2</v>
      </c>
      <c r="E4649" s="224">
        <v>2526.8055555555502</v>
      </c>
      <c r="F4649" s="515" t="s">
        <v>5912</v>
      </c>
      <c r="G4649" s="52">
        <v>531618.25022104301</v>
      </c>
      <c r="H4649" s="56">
        <v>0</v>
      </c>
      <c r="I4649" s="224" t="s">
        <v>2</v>
      </c>
    </row>
    <row r="4650" spans="1:9" x14ac:dyDescent="0.25">
      <c r="A4650" s="515">
        <v>75219</v>
      </c>
      <c r="B4650" s="515" t="s">
        <v>458</v>
      </c>
      <c r="C4650" s="52">
        <v>366700.680433626</v>
      </c>
      <c r="D4650" s="56">
        <v>-3.1710334909669201E-2</v>
      </c>
      <c r="E4650" s="224">
        <v>2097.8383913325001</v>
      </c>
      <c r="F4650" s="515" t="s">
        <v>5913</v>
      </c>
      <c r="G4650" s="52">
        <v>395429.75971781102</v>
      </c>
      <c r="H4650" s="56">
        <v>7.0524830067414085E-2</v>
      </c>
      <c r="I4650" s="224">
        <v>1799.75</v>
      </c>
    </row>
    <row r="4651" spans="1:9" x14ac:dyDescent="0.25">
      <c r="A4651" s="515">
        <v>48340</v>
      </c>
      <c r="B4651" s="515" t="s">
        <v>685</v>
      </c>
      <c r="C4651" s="52">
        <v>109856.588217189</v>
      </c>
      <c r="D4651" s="56">
        <v>6.2856449214020532E-2</v>
      </c>
      <c r="E4651" s="224">
        <v>1106.6666666666599</v>
      </c>
      <c r="F4651" s="515" t="s">
        <v>5914</v>
      </c>
      <c r="G4651" s="52">
        <v>370962.53620784602</v>
      </c>
      <c r="H4651" s="56">
        <v>7.244360582132338E-3</v>
      </c>
      <c r="I4651" s="224">
        <v>1548.3333333333301</v>
      </c>
    </row>
    <row r="4652" spans="1:9" x14ac:dyDescent="0.25">
      <c r="A4652" s="515">
        <v>33446</v>
      </c>
      <c r="B4652" s="515" t="s">
        <v>831</v>
      </c>
      <c r="C4652" s="52">
        <v>416377.00581325497</v>
      </c>
      <c r="D4652" s="56">
        <v>0.17746977947386949</v>
      </c>
      <c r="E4652" s="224">
        <v>2536.0833333333298</v>
      </c>
      <c r="F4652" s="515" t="s">
        <v>5915</v>
      </c>
      <c r="G4652" s="52">
        <v>148190.181752134</v>
      </c>
      <c r="H4652" s="56">
        <v>5.0345383693278983E-2</v>
      </c>
      <c r="I4652" s="224" t="s">
        <v>2</v>
      </c>
    </row>
    <row r="4653" spans="1:9" x14ac:dyDescent="0.25">
      <c r="A4653" s="515">
        <v>77316</v>
      </c>
      <c r="B4653" s="515" t="s">
        <v>314</v>
      </c>
      <c r="C4653" s="52">
        <v>449007.97314327402</v>
      </c>
      <c r="D4653" s="56">
        <v>9.7851848817632203E-2</v>
      </c>
      <c r="E4653" s="224">
        <v>1739.375</v>
      </c>
      <c r="F4653" s="515" t="s">
        <v>5916</v>
      </c>
      <c r="G4653" s="52">
        <v>267084.37441250897</v>
      </c>
      <c r="H4653" s="56">
        <v>0.10820083372842114</v>
      </c>
      <c r="I4653" s="224" t="s">
        <v>2</v>
      </c>
    </row>
    <row r="4654" spans="1:9" x14ac:dyDescent="0.25">
      <c r="A4654" s="515">
        <v>38637</v>
      </c>
      <c r="B4654" s="515" t="s">
        <v>951</v>
      </c>
      <c r="C4654" s="52">
        <v>176256.93109500801</v>
      </c>
      <c r="D4654" s="56">
        <v>0.12504627818756153</v>
      </c>
      <c r="E4654" s="224">
        <v>1491.4583333333301</v>
      </c>
      <c r="F4654" s="515" t="s">
        <v>5917</v>
      </c>
      <c r="G4654" s="52">
        <v>161015.99975119601</v>
      </c>
      <c r="H4654" s="56">
        <v>7.7908794987535057E-2</v>
      </c>
      <c r="I4654" s="224" t="s">
        <v>2</v>
      </c>
    </row>
    <row r="4655" spans="1:9" x14ac:dyDescent="0.25">
      <c r="A4655" s="515">
        <v>92119</v>
      </c>
      <c r="B4655" s="515" t="s">
        <v>396</v>
      </c>
      <c r="C4655" s="52">
        <v>834532.23586752603</v>
      </c>
      <c r="D4655" s="56">
        <v>5.321256996953027E-2</v>
      </c>
      <c r="E4655" s="224">
        <v>2620.6555555555501</v>
      </c>
      <c r="F4655" s="515" t="s">
        <v>5918</v>
      </c>
      <c r="G4655" s="52">
        <v>610262.75280622696</v>
      </c>
      <c r="H4655" s="56">
        <v>5.720539945887311E-2</v>
      </c>
      <c r="I4655" s="224" t="s">
        <v>2</v>
      </c>
    </row>
    <row r="4656" spans="1:9" x14ac:dyDescent="0.25">
      <c r="A4656" s="515">
        <v>36801</v>
      </c>
      <c r="B4656" s="515" t="s">
        <v>1159</v>
      </c>
      <c r="C4656" s="52">
        <v>234433.79557871999</v>
      </c>
      <c r="D4656" s="56">
        <v>7.796254392184486E-2</v>
      </c>
      <c r="E4656" s="224">
        <v>977.08333333333303</v>
      </c>
      <c r="F4656" s="515" t="s">
        <v>5919</v>
      </c>
      <c r="G4656" s="52">
        <v>362211.253766232</v>
      </c>
      <c r="H4656" s="56">
        <v>2.8766600778322347E-2</v>
      </c>
      <c r="I4656" s="224" t="s">
        <v>2</v>
      </c>
    </row>
    <row r="4657" spans="1:9" x14ac:dyDescent="0.25">
      <c r="A4657" s="515">
        <v>95054</v>
      </c>
      <c r="B4657" s="515" t="s">
        <v>850</v>
      </c>
      <c r="C4657" s="52">
        <v>1297243.58537482</v>
      </c>
      <c r="D4657" s="56">
        <v>1.3063819629045539E-2</v>
      </c>
      <c r="E4657" s="224">
        <v>3648.9914529914499</v>
      </c>
      <c r="F4657" s="515" t="s">
        <v>5920</v>
      </c>
      <c r="G4657" s="52">
        <v>140641.98859731699</v>
      </c>
      <c r="H4657" s="56">
        <v>8.8680958091065507E-2</v>
      </c>
      <c r="I4657" s="224" t="s">
        <v>2</v>
      </c>
    </row>
    <row r="4658" spans="1:9" x14ac:dyDescent="0.25">
      <c r="A4658" s="515">
        <v>59602</v>
      </c>
      <c r="B4658" s="515" t="s">
        <v>750</v>
      </c>
      <c r="C4658" s="52">
        <v>467604.80028169899</v>
      </c>
      <c r="D4658" s="56">
        <v>7.1342175852430717E-2</v>
      </c>
      <c r="E4658" s="224" t="s">
        <v>2</v>
      </c>
      <c r="F4658" s="515" t="s">
        <v>5921</v>
      </c>
      <c r="G4658" s="52">
        <v>262774.03469057998</v>
      </c>
      <c r="H4658" s="56">
        <v>-1.7430029212531024E-2</v>
      </c>
      <c r="I4658" s="224" t="s">
        <v>2</v>
      </c>
    </row>
    <row r="4659" spans="1:9" x14ac:dyDescent="0.25">
      <c r="A4659" s="515">
        <v>85119</v>
      </c>
      <c r="B4659" s="515" t="s">
        <v>563</v>
      </c>
      <c r="C4659" s="52">
        <v>403453.11237633298</v>
      </c>
      <c r="D4659" s="56">
        <v>2.559465915383231E-2</v>
      </c>
      <c r="E4659" s="224">
        <v>1707.5</v>
      </c>
      <c r="F4659" s="515" t="s">
        <v>5922</v>
      </c>
      <c r="G4659" s="52">
        <v>593162.55700133496</v>
      </c>
      <c r="H4659" s="56">
        <v>5.1443071182829599E-2</v>
      </c>
      <c r="I4659" s="224" t="s">
        <v>2</v>
      </c>
    </row>
    <row r="4660" spans="1:9" x14ac:dyDescent="0.25">
      <c r="A4660" s="515">
        <v>47302</v>
      </c>
      <c r="B4660" s="515" t="s">
        <v>1154</v>
      </c>
      <c r="C4660" s="52">
        <v>70164.158698295607</v>
      </c>
      <c r="D4660" s="56">
        <v>0.18029385597121844</v>
      </c>
      <c r="E4660" s="224">
        <v>730</v>
      </c>
      <c r="F4660" s="515" t="s">
        <v>5923</v>
      </c>
      <c r="G4660" s="52">
        <v>246902.793936423</v>
      </c>
      <c r="H4660" s="56">
        <v>4.5184168711340289E-2</v>
      </c>
      <c r="I4660" s="224" t="s">
        <v>2</v>
      </c>
    </row>
    <row r="4661" spans="1:9" x14ac:dyDescent="0.25">
      <c r="A4661" s="515">
        <v>23113</v>
      </c>
      <c r="B4661" s="515" t="s">
        <v>667</v>
      </c>
      <c r="C4661" s="52">
        <v>500128.06929465802</v>
      </c>
      <c r="D4661" s="56">
        <v>-6.2227132952047529E-2</v>
      </c>
      <c r="E4661" s="224">
        <v>1883.1666666666599</v>
      </c>
      <c r="F4661" s="515" t="s">
        <v>5924</v>
      </c>
      <c r="G4661" s="52">
        <v>426106.18234404799</v>
      </c>
      <c r="H4661" s="56">
        <v>4.4914939116099784E-2</v>
      </c>
      <c r="I4661" s="224" t="s">
        <v>2</v>
      </c>
    </row>
    <row r="4662" spans="1:9" x14ac:dyDescent="0.25">
      <c r="A4662" s="515">
        <v>7450</v>
      </c>
      <c r="B4662" s="515" t="s">
        <v>324</v>
      </c>
      <c r="C4662" s="52">
        <v>873426.30892574298</v>
      </c>
      <c r="D4662" s="56">
        <v>5.0883418045974481E-2</v>
      </c>
      <c r="E4662" s="224">
        <v>3262.5</v>
      </c>
      <c r="F4662" s="515" t="s">
        <v>5925</v>
      </c>
      <c r="G4662" s="52">
        <v>177657.71538441</v>
      </c>
      <c r="H4662" s="56">
        <v>6.7279985063398752E-3</v>
      </c>
      <c r="I4662" s="224" t="s">
        <v>2</v>
      </c>
    </row>
    <row r="4663" spans="1:9" x14ac:dyDescent="0.25">
      <c r="A4663" s="515">
        <v>91504</v>
      </c>
      <c r="B4663" s="515" t="s">
        <v>375</v>
      </c>
      <c r="C4663" s="52">
        <v>1087845.0566455801</v>
      </c>
      <c r="D4663" s="56">
        <v>4.6950067338839857E-2</v>
      </c>
      <c r="E4663" s="224">
        <v>2946.1111111111099</v>
      </c>
      <c r="F4663" s="515" t="s">
        <v>5926</v>
      </c>
      <c r="G4663" s="52">
        <v>137018.53524373801</v>
      </c>
      <c r="H4663" s="56">
        <v>4.2972938036540023E-2</v>
      </c>
      <c r="I4663" s="224" t="s">
        <v>2</v>
      </c>
    </row>
    <row r="4664" spans="1:9" x14ac:dyDescent="0.25">
      <c r="A4664" s="515">
        <v>34104</v>
      </c>
      <c r="B4664" s="515" t="s">
        <v>365</v>
      </c>
      <c r="C4664" s="52">
        <v>395709.72036495898</v>
      </c>
      <c r="D4664" s="56">
        <v>0.1634019301569487</v>
      </c>
      <c r="E4664" s="224">
        <v>3064.1761904761902</v>
      </c>
      <c r="F4664" s="515" t="s">
        <v>5927</v>
      </c>
      <c r="G4664" s="52">
        <v>103093.455530213</v>
      </c>
      <c r="H4664" s="56">
        <v>2.8721354287559665E-2</v>
      </c>
      <c r="I4664" s="224" t="s">
        <v>2</v>
      </c>
    </row>
    <row r="4665" spans="1:9" x14ac:dyDescent="0.25">
      <c r="A4665" s="515">
        <v>48336</v>
      </c>
      <c r="B4665" s="515" t="s">
        <v>685</v>
      </c>
      <c r="C4665" s="52">
        <v>254900.328997156</v>
      </c>
      <c r="D4665" s="56">
        <v>5.4349068187894138E-2</v>
      </c>
      <c r="E4665" s="224">
        <v>1307.3333333333301</v>
      </c>
      <c r="F4665" s="515" t="s">
        <v>5928</v>
      </c>
      <c r="G4665" s="52">
        <v>207746.35825639701</v>
      </c>
      <c r="H4665" s="56">
        <v>0.16543544845785949</v>
      </c>
      <c r="I4665" s="224" t="s">
        <v>2</v>
      </c>
    </row>
    <row r="4666" spans="1:9" x14ac:dyDescent="0.25">
      <c r="A4666" s="515">
        <v>20169</v>
      </c>
      <c r="B4666" s="515" t="s">
        <v>321</v>
      </c>
      <c r="C4666" s="52">
        <v>724417.74874544702</v>
      </c>
      <c r="D4666" s="56">
        <v>1.7844655728160574E-2</v>
      </c>
      <c r="E4666" s="224" t="s">
        <v>2</v>
      </c>
      <c r="F4666" s="515" t="s">
        <v>5929</v>
      </c>
      <c r="G4666" s="52">
        <v>681097.129761277</v>
      </c>
      <c r="H4666" s="56">
        <v>3.6017339975331314E-3</v>
      </c>
      <c r="I4666" s="224">
        <v>2763.3333333333298</v>
      </c>
    </row>
    <row r="4667" spans="1:9" x14ac:dyDescent="0.25">
      <c r="A4667" s="515">
        <v>12553</v>
      </c>
      <c r="B4667" s="515" t="s">
        <v>529</v>
      </c>
      <c r="C4667" s="52">
        <v>364013.49671115098</v>
      </c>
      <c r="D4667" s="56">
        <v>0.10219103045241129</v>
      </c>
      <c r="E4667" s="224" t="s">
        <v>2</v>
      </c>
      <c r="F4667" s="515" t="s">
        <v>5930</v>
      </c>
      <c r="G4667" s="52">
        <v>309904.75988005701</v>
      </c>
      <c r="H4667" s="56">
        <v>0.12772093454686281</v>
      </c>
      <c r="I4667" s="224" t="s">
        <v>2</v>
      </c>
    </row>
    <row r="4668" spans="1:9" x14ac:dyDescent="0.25">
      <c r="A4668" s="515">
        <v>64030</v>
      </c>
      <c r="B4668" s="515" t="s">
        <v>455</v>
      </c>
      <c r="C4668" s="52">
        <v>194741.44755616301</v>
      </c>
      <c r="D4668" s="56">
        <v>0.10590355034271916</v>
      </c>
      <c r="E4668" s="224">
        <v>1374.7222222222199</v>
      </c>
      <c r="F4668" s="515" t="s">
        <v>5931</v>
      </c>
      <c r="G4668" s="52">
        <v>381936.27140257199</v>
      </c>
      <c r="H4668" s="56">
        <v>8.8099028730770967E-2</v>
      </c>
      <c r="I4668" s="224" t="s">
        <v>2</v>
      </c>
    </row>
    <row r="4669" spans="1:9" x14ac:dyDescent="0.25">
      <c r="A4669" s="515">
        <v>75036</v>
      </c>
      <c r="B4669" s="515" t="s">
        <v>458</v>
      </c>
      <c r="C4669" s="52">
        <v>557488.07683424605</v>
      </c>
      <c r="D4669" s="56">
        <v>7.1669560734909973E-2</v>
      </c>
      <c r="E4669" s="224" t="s">
        <v>2</v>
      </c>
      <c r="F4669" s="515" t="s">
        <v>5932</v>
      </c>
      <c r="G4669" s="52">
        <v>204438.60815686401</v>
      </c>
      <c r="H4669" s="56">
        <v>7.7659050644292058E-2</v>
      </c>
      <c r="I4669" s="224" t="s">
        <v>2</v>
      </c>
    </row>
    <row r="4670" spans="1:9" x14ac:dyDescent="0.25">
      <c r="A4670" s="515">
        <v>10001</v>
      </c>
      <c r="B4670" s="515" t="s">
        <v>324</v>
      </c>
      <c r="C4670" s="52">
        <v>1556967.37928197</v>
      </c>
      <c r="D4670" s="56">
        <v>5.766954076046537E-2</v>
      </c>
      <c r="E4670" s="224">
        <v>4765.8177300735397</v>
      </c>
      <c r="F4670" s="515" t="s">
        <v>5933</v>
      </c>
      <c r="G4670" s="52">
        <v>292377.66483852902</v>
      </c>
      <c r="H4670" s="56">
        <v>5.2322699702309301E-2</v>
      </c>
      <c r="I4670" s="224" t="s">
        <v>2</v>
      </c>
    </row>
    <row r="4671" spans="1:9" x14ac:dyDescent="0.25">
      <c r="A4671" s="515">
        <v>75078</v>
      </c>
      <c r="B4671" s="515" t="s">
        <v>458</v>
      </c>
      <c r="C4671" s="52">
        <v>734784.89351264795</v>
      </c>
      <c r="D4671" s="56">
        <v>8.3304612597003835E-2</v>
      </c>
      <c r="E4671" s="224">
        <v>1845.4821428571399</v>
      </c>
      <c r="F4671" s="515" t="s">
        <v>5934</v>
      </c>
      <c r="G4671" s="52">
        <v>209970.796370328</v>
      </c>
      <c r="H4671" s="56">
        <v>2.4733737958867959E-2</v>
      </c>
      <c r="I4671" s="224">
        <v>1595</v>
      </c>
    </row>
    <row r="4672" spans="1:9" x14ac:dyDescent="0.25">
      <c r="A4672" s="515">
        <v>20653</v>
      </c>
      <c r="B4672" s="515" t="s">
        <v>779</v>
      </c>
      <c r="C4672" s="52">
        <v>330633.014774221</v>
      </c>
      <c r="D4672" s="56">
        <v>3.7996291152368834E-2</v>
      </c>
      <c r="E4672" s="224">
        <v>1441.9947089947</v>
      </c>
      <c r="F4672" s="515" t="s">
        <v>5935</v>
      </c>
      <c r="G4672" s="52">
        <v>332922.21653420199</v>
      </c>
      <c r="H4672" s="56">
        <v>8.7744594413330948E-2</v>
      </c>
      <c r="I4672" s="224" t="s">
        <v>2</v>
      </c>
    </row>
    <row r="4673" spans="1:9" x14ac:dyDescent="0.25">
      <c r="A4673" s="515">
        <v>30904</v>
      </c>
      <c r="B4673" s="515" t="s">
        <v>888</v>
      </c>
      <c r="C4673" s="52">
        <v>148852.412438375</v>
      </c>
      <c r="D4673" s="56">
        <v>0.14990874049671832</v>
      </c>
      <c r="E4673" s="224">
        <v>1220.9523809523801</v>
      </c>
      <c r="F4673" s="515" t="s">
        <v>5936</v>
      </c>
      <c r="G4673" s="52">
        <v>301629.62514942302</v>
      </c>
      <c r="H4673" s="56">
        <v>0.11240860199385107</v>
      </c>
      <c r="I4673" s="224" t="s">
        <v>2</v>
      </c>
    </row>
    <row r="4674" spans="1:9" x14ac:dyDescent="0.25">
      <c r="A4674" s="515">
        <v>60153</v>
      </c>
      <c r="B4674" s="515" t="s">
        <v>394</v>
      </c>
      <c r="C4674" s="52">
        <v>205151.01583125701</v>
      </c>
      <c r="D4674" s="56">
        <v>6.2585737687805093E-2</v>
      </c>
      <c r="E4674" s="224">
        <v>1113</v>
      </c>
      <c r="F4674" s="515" t="s">
        <v>5937</v>
      </c>
      <c r="G4674" s="52">
        <v>93715.576929482399</v>
      </c>
      <c r="H4674" s="56">
        <v>-1.214674541706688E-2</v>
      </c>
      <c r="I4674" s="224" t="s">
        <v>2</v>
      </c>
    </row>
    <row r="4675" spans="1:9" x14ac:dyDescent="0.25">
      <c r="A4675" s="515">
        <v>30345</v>
      </c>
      <c r="B4675" s="515" t="s">
        <v>957</v>
      </c>
      <c r="C4675" s="52">
        <v>556621.61532682704</v>
      </c>
      <c r="D4675" s="56">
        <v>4.1681475864205966E-2</v>
      </c>
      <c r="E4675" s="224">
        <v>1655.87857142857</v>
      </c>
      <c r="F4675" s="515" t="s">
        <v>5938</v>
      </c>
      <c r="G4675" s="52">
        <v>95822.149018572498</v>
      </c>
      <c r="H4675" s="56">
        <v>-6.9704254748663583E-2</v>
      </c>
      <c r="I4675" s="224" t="s">
        <v>2</v>
      </c>
    </row>
    <row r="4676" spans="1:9" x14ac:dyDescent="0.25">
      <c r="A4676" s="515">
        <v>48076</v>
      </c>
      <c r="B4676" s="515" t="s">
        <v>685</v>
      </c>
      <c r="C4676" s="52">
        <v>258068.58460804101</v>
      </c>
      <c r="D4676" s="56">
        <v>4.7548840440117132E-2</v>
      </c>
      <c r="E4676" s="224">
        <v>1416.6666666666599</v>
      </c>
      <c r="F4676" s="515" t="s">
        <v>5939</v>
      </c>
      <c r="G4676" s="52">
        <v>280209.81714236498</v>
      </c>
      <c r="H4676" s="56">
        <v>5.8583404466071493E-2</v>
      </c>
      <c r="I4676" s="224" t="s">
        <v>2</v>
      </c>
    </row>
    <row r="4677" spans="1:9" x14ac:dyDescent="0.25">
      <c r="A4677" s="515">
        <v>84117</v>
      </c>
      <c r="B4677" s="515" t="s">
        <v>617</v>
      </c>
      <c r="C4677" s="52">
        <v>633488.70385389798</v>
      </c>
      <c r="D4677" s="56">
        <v>3.7657181838782194E-2</v>
      </c>
      <c r="E4677" s="224">
        <v>1616.1666666666599</v>
      </c>
      <c r="F4677" s="515" t="s">
        <v>5940</v>
      </c>
      <c r="G4677" s="52">
        <v>299793.26639997901</v>
      </c>
      <c r="H4677" s="56">
        <v>7.7779140978470038E-2</v>
      </c>
      <c r="I4677" s="224" t="s">
        <v>2</v>
      </c>
    </row>
    <row r="4678" spans="1:9" x14ac:dyDescent="0.25">
      <c r="A4678" s="515">
        <v>11552</v>
      </c>
      <c r="B4678" s="515" t="s">
        <v>324</v>
      </c>
      <c r="C4678" s="52">
        <v>637019.179410949</v>
      </c>
      <c r="D4678" s="56">
        <v>7.2998520979197873E-2</v>
      </c>
      <c r="E4678" s="224" t="s">
        <v>2</v>
      </c>
      <c r="F4678" s="515" t="s">
        <v>5941</v>
      </c>
      <c r="G4678" s="52">
        <v>1058881.13085211</v>
      </c>
      <c r="H4678" s="56">
        <v>5.8294578759484544E-2</v>
      </c>
      <c r="I4678" s="224" t="s">
        <v>2</v>
      </c>
    </row>
    <row r="4679" spans="1:9" x14ac:dyDescent="0.25">
      <c r="A4679" s="515">
        <v>76504</v>
      </c>
      <c r="B4679" s="515" t="s">
        <v>859</v>
      </c>
      <c r="C4679" s="52">
        <v>185148.969031994</v>
      </c>
      <c r="D4679" s="56">
        <v>0.12983155083323389</v>
      </c>
      <c r="E4679" s="224">
        <v>1422.9166666666599</v>
      </c>
      <c r="F4679" s="515" t="s">
        <v>5942</v>
      </c>
      <c r="G4679" s="52">
        <v>98072.436523274606</v>
      </c>
      <c r="H4679" s="56">
        <v>-4.3889134283800237E-2</v>
      </c>
      <c r="I4679" s="224" t="s">
        <v>2</v>
      </c>
    </row>
    <row r="4680" spans="1:9" x14ac:dyDescent="0.25">
      <c r="A4680" s="515">
        <v>1867</v>
      </c>
      <c r="B4680" s="515" t="s">
        <v>534</v>
      </c>
      <c r="C4680" s="52">
        <v>734980.93910089799</v>
      </c>
      <c r="D4680" s="56">
        <v>5.7758585146677581E-2</v>
      </c>
      <c r="E4680" s="224">
        <v>3028.25</v>
      </c>
      <c r="F4680" s="515" t="s">
        <v>5943</v>
      </c>
      <c r="G4680" s="52">
        <v>362471.316141886</v>
      </c>
      <c r="H4680" s="56">
        <v>5.0470238091137862E-2</v>
      </c>
      <c r="I4680" s="224" t="s">
        <v>2</v>
      </c>
    </row>
    <row r="4681" spans="1:9" x14ac:dyDescent="0.25">
      <c r="A4681" s="515">
        <v>31763</v>
      </c>
      <c r="B4681" s="515" t="s">
        <v>746</v>
      </c>
      <c r="C4681" s="52">
        <v>224361.675771757</v>
      </c>
      <c r="D4681" s="56">
        <v>0.11960742419358057</v>
      </c>
      <c r="E4681" s="224">
        <v>1655</v>
      </c>
      <c r="F4681" s="515" t="s">
        <v>5944</v>
      </c>
      <c r="G4681" s="52">
        <v>438117.48564586398</v>
      </c>
      <c r="H4681" s="56">
        <v>0.1601255833724218</v>
      </c>
      <c r="I4681" s="224" t="s">
        <v>2</v>
      </c>
    </row>
    <row r="4682" spans="1:9" x14ac:dyDescent="0.25">
      <c r="A4682" s="515">
        <v>33028</v>
      </c>
      <c r="B4682" s="515" t="s">
        <v>831</v>
      </c>
      <c r="C4682" s="52">
        <v>610566.783053983</v>
      </c>
      <c r="D4682" s="56">
        <v>0.12227572636643008</v>
      </c>
      <c r="E4682" s="224">
        <v>3266.50793650793</v>
      </c>
      <c r="F4682" s="515" t="s">
        <v>5945</v>
      </c>
      <c r="G4682" s="52">
        <v>273543.199087805</v>
      </c>
      <c r="H4682" s="56">
        <v>7.2114018696456186E-2</v>
      </c>
      <c r="I4682" s="224" t="s">
        <v>2</v>
      </c>
    </row>
    <row r="4683" spans="1:9" x14ac:dyDescent="0.25">
      <c r="A4683" s="515">
        <v>29036</v>
      </c>
      <c r="B4683" s="515" t="s">
        <v>762</v>
      </c>
      <c r="C4683" s="52">
        <v>414810.18889050197</v>
      </c>
      <c r="D4683" s="56">
        <v>0.1302974199627773</v>
      </c>
      <c r="E4683" s="224">
        <v>2055</v>
      </c>
      <c r="F4683" s="515" t="s">
        <v>5946</v>
      </c>
      <c r="G4683" s="52">
        <v>761314.34479289304</v>
      </c>
      <c r="H4683" s="56">
        <v>1.2040659819767527E-2</v>
      </c>
      <c r="I4683" s="224" t="s">
        <v>2</v>
      </c>
    </row>
    <row r="4684" spans="1:9" x14ac:dyDescent="0.25">
      <c r="A4684" s="515">
        <v>75205</v>
      </c>
      <c r="B4684" s="515" t="s">
        <v>458</v>
      </c>
      <c r="C4684" s="52">
        <v>1655090.0195935401</v>
      </c>
      <c r="D4684" s="56">
        <v>0.1497804998616733</v>
      </c>
      <c r="E4684" s="224">
        <v>2623.7166666666599</v>
      </c>
      <c r="F4684" s="515" t="s">
        <v>5947</v>
      </c>
      <c r="G4684" s="52">
        <v>952728.52854468301</v>
      </c>
      <c r="H4684" s="56">
        <v>0.23549972188573204</v>
      </c>
      <c r="I4684" s="224">
        <v>4883.3333333333303</v>
      </c>
    </row>
    <row r="4685" spans="1:9" x14ac:dyDescent="0.25">
      <c r="A4685" s="515">
        <v>37917</v>
      </c>
      <c r="B4685" s="515" t="s">
        <v>907</v>
      </c>
      <c r="C4685" s="52">
        <v>217394.081840561</v>
      </c>
      <c r="D4685" s="56">
        <v>0.15947381170510352</v>
      </c>
      <c r="E4685" s="224">
        <v>1543.76388888888</v>
      </c>
      <c r="F4685" s="515" t="s">
        <v>5948</v>
      </c>
      <c r="G4685" s="52">
        <v>629574.89759778196</v>
      </c>
      <c r="H4685" s="56">
        <v>4.3366635928986028E-2</v>
      </c>
      <c r="I4685" s="224" t="s">
        <v>2</v>
      </c>
    </row>
    <row r="4686" spans="1:9" x14ac:dyDescent="0.25">
      <c r="A4686" s="515">
        <v>20151</v>
      </c>
      <c r="B4686" s="515" t="s">
        <v>321</v>
      </c>
      <c r="C4686" s="52">
        <v>686728.54356918205</v>
      </c>
      <c r="D4686" s="56">
        <v>4.2562589204216579E-2</v>
      </c>
      <c r="E4686" s="224">
        <v>2754.6428571428501</v>
      </c>
      <c r="F4686" s="515" t="s">
        <v>5949</v>
      </c>
      <c r="G4686" s="52">
        <v>292646.501361745</v>
      </c>
      <c r="H4686" s="56">
        <v>7.8867766214487239E-2</v>
      </c>
      <c r="I4686" s="224" t="s">
        <v>2</v>
      </c>
    </row>
    <row r="4687" spans="1:9" x14ac:dyDescent="0.25">
      <c r="A4687" s="515">
        <v>33470</v>
      </c>
      <c r="B4687" s="515" t="s">
        <v>831</v>
      </c>
      <c r="C4687" s="52">
        <v>594021.088836079</v>
      </c>
      <c r="D4687" s="56">
        <v>0.14482022539531483</v>
      </c>
      <c r="E4687" s="224" t="s">
        <v>2</v>
      </c>
      <c r="F4687" s="515" t="s">
        <v>5950</v>
      </c>
      <c r="G4687" s="52">
        <v>1167503.52587036</v>
      </c>
      <c r="H4687" s="56">
        <v>4.9755903351531336E-2</v>
      </c>
      <c r="I4687" s="224" t="s">
        <v>2</v>
      </c>
    </row>
    <row r="4688" spans="1:9" x14ac:dyDescent="0.25">
      <c r="A4688" s="515">
        <v>47712</v>
      </c>
      <c r="B4688" s="515" t="s">
        <v>911</v>
      </c>
      <c r="C4688" s="52">
        <v>172451.66590391099</v>
      </c>
      <c r="D4688" s="56">
        <v>6.0746617345944276E-2</v>
      </c>
      <c r="E4688" s="224" t="s">
        <v>2</v>
      </c>
      <c r="F4688" s="515" t="s">
        <v>5951</v>
      </c>
      <c r="G4688" s="52">
        <v>173556.09752178899</v>
      </c>
      <c r="H4688" s="56">
        <v>9.1189493299248345E-2</v>
      </c>
      <c r="I4688" s="224" t="s">
        <v>2</v>
      </c>
    </row>
    <row r="4689" spans="1:9" x14ac:dyDescent="0.25">
      <c r="A4689" s="515">
        <v>75092</v>
      </c>
      <c r="B4689" s="515" t="s">
        <v>553</v>
      </c>
      <c r="C4689" s="52">
        <v>280051.15463136602</v>
      </c>
      <c r="D4689" s="56">
        <v>0.11063256013134865</v>
      </c>
      <c r="E4689" s="224">
        <v>1639.9</v>
      </c>
      <c r="F4689" s="515" t="s">
        <v>5952</v>
      </c>
      <c r="G4689" s="52">
        <v>220100.16139409799</v>
      </c>
      <c r="H4689" s="56">
        <v>8.2067424736825739E-2</v>
      </c>
      <c r="I4689" s="224" t="s">
        <v>2</v>
      </c>
    </row>
    <row r="4690" spans="1:9" x14ac:dyDescent="0.25">
      <c r="A4690" s="515">
        <v>29707</v>
      </c>
      <c r="B4690" s="515" t="s">
        <v>360</v>
      </c>
      <c r="C4690" s="52">
        <v>477406.09482535598</v>
      </c>
      <c r="D4690" s="56">
        <v>0.11123145667473545</v>
      </c>
      <c r="E4690" s="224">
        <v>1743.44444444444</v>
      </c>
      <c r="F4690" s="515" t="s">
        <v>5953</v>
      </c>
      <c r="G4690" s="52">
        <v>451850.32786009298</v>
      </c>
      <c r="H4690" s="56">
        <v>0.1479671582431952</v>
      </c>
      <c r="I4690" s="224" t="s">
        <v>2</v>
      </c>
    </row>
    <row r="4691" spans="1:9" x14ac:dyDescent="0.25">
      <c r="A4691" s="515">
        <v>52403</v>
      </c>
      <c r="B4691" s="515" t="s">
        <v>404</v>
      </c>
      <c r="C4691" s="52">
        <v>184267.66912935901</v>
      </c>
      <c r="D4691" s="56">
        <v>5.967712884372809E-2</v>
      </c>
      <c r="E4691" s="224">
        <v>721.80555555555497</v>
      </c>
      <c r="F4691" s="515" t="s">
        <v>5954</v>
      </c>
      <c r="G4691" s="52">
        <v>177257.93434379299</v>
      </c>
      <c r="H4691" s="56">
        <v>9.3084125716332622E-2</v>
      </c>
      <c r="I4691" s="224" t="s">
        <v>2</v>
      </c>
    </row>
    <row r="4692" spans="1:9" x14ac:dyDescent="0.25">
      <c r="A4692" s="515">
        <v>48192</v>
      </c>
      <c r="B4692" s="515" t="s">
        <v>685</v>
      </c>
      <c r="C4692" s="52">
        <v>163114.15361328601</v>
      </c>
      <c r="D4692" s="56">
        <v>5.5054404668134015E-2</v>
      </c>
      <c r="E4692" s="224">
        <v>965.27777777777703</v>
      </c>
      <c r="F4692" s="515" t="s">
        <v>5955</v>
      </c>
      <c r="G4692" s="52">
        <v>381048.57468242501</v>
      </c>
      <c r="H4692" s="56">
        <v>2.2817166686301446E-2</v>
      </c>
      <c r="I4692" s="224" t="s">
        <v>2</v>
      </c>
    </row>
    <row r="4693" spans="1:9" x14ac:dyDescent="0.25">
      <c r="A4693" s="515">
        <v>35640</v>
      </c>
      <c r="B4693" s="515" t="s">
        <v>1007</v>
      </c>
      <c r="C4693" s="52">
        <v>208783.967646448</v>
      </c>
      <c r="D4693" s="56">
        <v>6.2263356746518533E-2</v>
      </c>
      <c r="E4693" s="224" t="s">
        <v>2</v>
      </c>
      <c r="F4693" s="515" t="s">
        <v>5956</v>
      </c>
      <c r="G4693" s="52">
        <v>535049.01283189002</v>
      </c>
      <c r="H4693" s="56">
        <v>5.8369114083514757E-2</v>
      </c>
      <c r="I4693" s="224" t="s">
        <v>2</v>
      </c>
    </row>
    <row r="4694" spans="1:9" x14ac:dyDescent="0.25">
      <c r="A4694" s="515">
        <v>20770</v>
      </c>
      <c r="B4694" s="515" t="s">
        <v>321</v>
      </c>
      <c r="C4694" s="52">
        <v>270986.439894802</v>
      </c>
      <c r="D4694" s="56">
        <v>4.1573874413850964E-2</v>
      </c>
      <c r="E4694" s="224">
        <v>2047.7142857142801</v>
      </c>
      <c r="F4694" s="515" t="s">
        <v>5957</v>
      </c>
      <c r="G4694" s="52">
        <v>254504.08055922299</v>
      </c>
      <c r="H4694" s="56">
        <v>5.0046080361057704E-2</v>
      </c>
      <c r="I4694" s="224" t="s">
        <v>2</v>
      </c>
    </row>
    <row r="4695" spans="1:9" x14ac:dyDescent="0.25">
      <c r="A4695" s="515">
        <v>19468</v>
      </c>
      <c r="B4695" s="515" t="s">
        <v>294</v>
      </c>
      <c r="C4695" s="52">
        <v>384630.87429511797</v>
      </c>
      <c r="D4695" s="56">
        <v>0.10589665321324385</v>
      </c>
      <c r="E4695" s="224">
        <v>1717.7777777777701</v>
      </c>
      <c r="F4695" s="515" t="s">
        <v>5958</v>
      </c>
      <c r="G4695" s="52">
        <v>991353.61154319195</v>
      </c>
      <c r="H4695" s="56">
        <v>5.7779617057263775E-2</v>
      </c>
      <c r="I4695" s="224" t="s">
        <v>2</v>
      </c>
    </row>
    <row r="4696" spans="1:9" x14ac:dyDescent="0.25">
      <c r="A4696" s="515">
        <v>57201</v>
      </c>
      <c r="B4696" s="515" t="s">
        <v>941</v>
      </c>
      <c r="C4696" s="52">
        <v>260822.90666541201</v>
      </c>
      <c r="D4696" s="56">
        <v>9.7145561971855671E-2</v>
      </c>
      <c r="E4696" s="224" t="s">
        <v>2</v>
      </c>
      <c r="F4696" s="515" t="s">
        <v>5959</v>
      </c>
      <c r="G4696" s="52">
        <v>681494.27342265996</v>
      </c>
      <c r="H4696" s="56">
        <v>5.2785520817516286E-2</v>
      </c>
      <c r="I4696" s="224" t="s">
        <v>2</v>
      </c>
    </row>
    <row r="4697" spans="1:9" x14ac:dyDescent="0.25">
      <c r="A4697" s="515">
        <v>80304</v>
      </c>
      <c r="B4697" s="515" t="s">
        <v>702</v>
      </c>
      <c r="C4697" s="52">
        <v>1270889.4343510901</v>
      </c>
      <c r="D4697" s="56">
        <v>8.4677833410535502E-2</v>
      </c>
      <c r="E4697" s="224">
        <v>2470.1154882154801</v>
      </c>
      <c r="F4697" s="515" t="s">
        <v>5960</v>
      </c>
      <c r="G4697" s="52">
        <v>236608.02701951799</v>
      </c>
      <c r="H4697" s="56">
        <v>8.0512228053565921E-2</v>
      </c>
      <c r="I4697" s="224">
        <v>1605</v>
      </c>
    </row>
    <row r="4698" spans="1:9" x14ac:dyDescent="0.25">
      <c r="A4698" s="515">
        <v>20602</v>
      </c>
      <c r="B4698" s="515" t="s">
        <v>321</v>
      </c>
      <c r="C4698" s="52">
        <v>357397.04967871401</v>
      </c>
      <c r="D4698" s="56">
        <v>3.1479941988742086E-2</v>
      </c>
      <c r="E4698" s="224">
        <v>2412.5</v>
      </c>
      <c r="F4698" s="515" t="s">
        <v>5961</v>
      </c>
      <c r="G4698" s="52">
        <v>375378.92967129202</v>
      </c>
      <c r="H4698" s="56">
        <v>7.0943783555853734E-2</v>
      </c>
      <c r="I4698" s="224" t="s">
        <v>2</v>
      </c>
    </row>
    <row r="4699" spans="1:9" x14ac:dyDescent="0.25">
      <c r="A4699" s="515">
        <v>27262</v>
      </c>
      <c r="B4699" s="515" t="s">
        <v>1148</v>
      </c>
      <c r="C4699" s="52">
        <v>170098.49895429099</v>
      </c>
      <c r="D4699" s="56">
        <v>0.1300447761504552</v>
      </c>
      <c r="E4699" s="224" t="s">
        <v>2</v>
      </c>
      <c r="F4699" s="515" t="s">
        <v>5962</v>
      </c>
      <c r="G4699" s="52">
        <v>169523.41856960201</v>
      </c>
      <c r="H4699" s="56">
        <v>0.10386717925334395</v>
      </c>
      <c r="I4699" s="224" t="s">
        <v>2</v>
      </c>
    </row>
    <row r="4700" spans="1:9" x14ac:dyDescent="0.25">
      <c r="A4700" s="515">
        <v>6877</v>
      </c>
      <c r="B4700" s="515" t="s">
        <v>1173</v>
      </c>
      <c r="C4700" s="52">
        <v>771882.48666016397</v>
      </c>
      <c r="D4700" s="56">
        <v>8.6086370075653687E-2</v>
      </c>
      <c r="E4700" s="224" t="s">
        <v>2</v>
      </c>
      <c r="F4700" s="515" t="s">
        <v>5963</v>
      </c>
      <c r="G4700" s="52">
        <v>272069.360787994</v>
      </c>
      <c r="H4700" s="56">
        <v>8.6837910936130733E-2</v>
      </c>
      <c r="I4700" s="224" t="s">
        <v>2</v>
      </c>
    </row>
    <row r="4701" spans="1:9" x14ac:dyDescent="0.25">
      <c r="A4701" s="515">
        <v>95503</v>
      </c>
      <c r="B4701" s="515" t="s">
        <v>352</v>
      </c>
      <c r="C4701" s="52">
        <v>414519.81196373398</v>
      </c>
      <c r="D4701" s="56">
        <v>2.1933423408937908E-2</v>
      </c>
      <c r="E4701" s="224" t="s">
        <v>2</v>
      </c>
      <c r="F4701" s="515" t="s">
        <v>5964</v>
      </c>
      <c r="G4701" s="52">
        <v>265065.82425039401</v>
      </c>
      <c r="H4701" s="56">
        <v>0.13906925230963274</v>
      </c>
      <c r="I4701" s="224" t="s">
        <v>2</v>
      </c>
    </row>
    <row r="4702" spans="1:9" x14ac:dyDescent="0.25">
      <c r="A4702" s="515">
        <v>72802</v>
      </c>
      <c r="B4702" s="515" t="s">
        <v>636</v>
      </c>
      <c r="C4702" s="52">
        <v>198180.98422418701</v>
      </c>
      <c r="D4702" s="56">
        <v>6.3483219953519909E-2</v>
      </c>
      <c r="E4702" s="224" t="s">
        <v>2</v>
      </c>
      <c r="F4702" s="515" t="s">
        <v>5965</v>
      </c>
      <c r="G4702" s="52">
        <v>93308.9743130805</v>
      </c>
      <c r="H4702" s="56">
        <v>5.9763642379639388E-2</v>
      </c>
      <c r="I4702" s="224" t="s">
        <v>2</v>
      </c>
    </row>
    <row r="4703" spans="1:9" x14ac:dyDescent="0.25">
      <c r="A4703" s="515">
        <v>45236</v>
      </c>
      <c r="B4703" s="515" t="s">
        <v>344</v>
      </c>
      <c r="C4703" s="52">
        <v>232224.43042902899</v>
      </c>
      <c r="D4703" s="56">
        <v>7.247210931513344E-2</v>
      </c>
      <c r="E4703" s="224">
        <v>1517.69444444444</v>
      </c>
      <c r="F4703" s="515" t="s">
        <v>5966</v>
      </c>
      <c r="G4703" s="52">
        <v>293664.12151392997</v>
      </c>
      <c r="H4703" s="56">
        <v>0.14414146768819969</v>
      </c>
      <c r="I4703" s="224" t="s">
        <v>2</v>
      </c>
    </row>
    <row r="4704" spans="1:9" x14ac:dyDescent="0.25">
      <c r="A4704" s="515">
        <v>44139</v>
      </c>
      <c r="B4704" s="515" t="s">
        <v>520</v>
      </c>
      <c r="C4704" s="52">
        <v>367769.03365658101</v>
      </c>
      <c r="D4704" s="56">
        <v>5.5888872373927673E-2</v>
      </c>
      <c r="E4704" s="224">
        <v>1523.3333333333301</v>
      </c>
      <c r="F4704" s="515" t="s">
        <v>5967</v>
      </c>
      <c r="G4704" s="52">
        <v>233643.47121157299</v>
      </c>
      <c r="H4704" s="56">
        <v>0.2076871772856711</v>
      </c>
      <c r="I4704" s="224" t="s">
        <v>2</v>
      </c>
    </row>
    <row r="4705" spans="1:9" x14ac:dyDescent="0.25">
      <c r="A4705" s="515">
        <v>91775</v>
      </c>
      <c r="B4705" s="515" t="s">
        <v>375</v>
      </c>
      <c r="C4705" s="52">
        <v>1123174.4790000799</v>
      </c>
      <c r="D4705" s="56">
        <v>8.1825811529017009E-2</v>
      </c>
      <c r="E4705" s="224">
        <v>3100</v>
      </c>
      <c r="F4705" s="515" t="s">
        <v>5968</v>
      </c>
      <c r="G4705" s="52">
        <v>303459.133322554</v>
      </c>
      <c r="H4705" s="56">
        <v>7.65190801335561E-2</v>
      </c>
      <c r="I4705" s="224" t="s">
        <v>2</v>
      </c>
    </row>
    <row r="4706" spans="1:9" x14ac:dyDescent="0.25">
      <c r="A4706" s="515">
        <v>64850</v>
      </c>
      <c r="B4706" s="515" t="s">
        <v>784</v>
      </c>
      <c r="C4706" s="52">
        <v>181761.351047943</v>
      </c>
      <c r="D4706" s="56">
        <v>0.16262562931499852</v>
      </c>
      <c r="E4706" s="224" t="s">
        <v>2</v>
      </c>
      <c r="F4706" s="515" t="s">
        <v>5969</v>
      </c>
      <c r="G4706" s="52">
        <v>354281.93041859102</v>
      </c>
      <c r="H4706" s="56">
        <v>6.1066611225336964E-2</v>
      </c>
      <c r="I4706" s="224" t="s">
        <v>2</v>
      </c>
    </row>
    <row r="4707" spans="1:9" x14ac:dyDescent="0.25">
      <c r="A4707" s="515">
        <v>98373</v>
      </c>
      <c r="B4707" s="515" t="s">
        <v>384</v>
      </c>
      <c r="C4707" s="52">
        <v>511983.44063270401</v>
      </c>
      <c r="D4707" s="56">
        <v>5.5494693463707537E-3</v>
      </c>
      <c r="E4707" s="224">
        <v>1893.31164021164</v>
      </c>
      <c r="F4707" s="515" t="s">
        <v>5970</v>
      </c>
      <c r="G4707" s="52">
        <v>251729.97590975699</v>
      </c>
      <c r="H4707" s="56">
        <v>8.2659687144389399E-2</v>
      </c>
      <c r="I4707" s="224" t="s">
        <v>2</v>
      </c>
    </row>
    <row r="4708" spans="1:9" x14ac:dyDescent="0.25">
      <c r="A4708" s="515">
        <v>75662</v>
      </c>
      <c r="B4708" s="515" t="s">
        <v>319</v>
      </c>
      <c r="C4708" s="52">
        <v>186875.28909056701</v>
      </c>
      <c r="D4708" s="56">
        <v>0.10478548797427467</v>
      </c>
      <c r="E4708" s="224">
        <v>1200</v>
      </c>
      <c r="F4708" s="515" t="s">
        <v>5971</v>
      </c>
      <c r="G4708" s="52">
        <v>796837.99704036105</v>
      </c>
      <c r="H4708" s="56">
        <v>4.2722856363176895E-2</v>
      </c>
      <c r="I4708" s="224">
        <v>3244.2777777777701</v>
      </c>
    </row>
    <row r="4709" spans="1:9" x14ac:dyDescent="0.25">
      <c r="A4709" s="515">
        <v>33916</v>
      </c>
      <c r="B4709" s="515" t="s">
        <v>661</v>
      </c>
      <c r="C4709" s="52">
        <v>239414.37186207299</v>
      </c>
      <c r="D4709" s="56">
        <v>0.22261628986340765</v>
      </c>
      <c r="E4709" s="224">
        <v>1808.7142857142801</v>
      </c>
      <c r="F4709" s="515" t="s">
        <v>5972</v>
      </c>
      <c r="G4709" s="52">
        <v>433591.48050138698</v>
      </c>
      <c r="H4709" s="56">
        <v>7.4423935576930014E-2</v>
      </c>
      <c r="I4709" s="224" t="s">
        <v>2</v>
      </c>
    </row>
    <row r="4710" spans="1:9" x14ac:dyDescent="0.25">
      <c r="A4710" s="515">
        <v>2144</v>
      </c>
      <c r="B4710" s="515" t="s">
        <v>534</v>
      </c>
      <c r="C4710" s="52">
        <v>903806.27218161302</v>
      </c>
      <c r="D4710" s="56">
        <v>-2.9263218982264166E-2</v>
      </c>
      <c r="E4710" s="224">
        <v>2954.78395061728</v>
      </c>
      <c r="F4710" s="515" t="s">
        <v>487</v>
      </c>
      <c r="G4710" s="52">
        <v>384070.41561351001</v>
      </c>
      <c r="H4710" s="56">
        <v>0.13543619584359257</v>
      </c>
      <c r="I4710" s="224" t="s">
        <v>2</v>
      </c>
    </row>
    <row r="4711" spans="1:9" x14ac:dyDescent="0.25">
      <c r="A4711" s="515">
        <v>48603</v>
      </c>
      <c r="B4711" s="515" t="s">
        <v>904</v>
      </c>
      <c r="C4711" s="52">
        <v>192900.85810387399</v>
      </c>
      <c r="D4711" s="56">
        <v>8.3549896933261952E-2</v>
      </c>
      <c r="E4711" s="224">
        <v>950</v>
      </c>
      <c r="F4711" s="515" t="s">
        <v>5973</v>
      </c>
      <c r="G4711" s="52">
        <v>467074.41152906598</v>
      </c>
      <c r="H4711" s="56">
        <v>3.2739204062653161E-2</v>
      </c>
      <c r="I4711" s="224" t="s">
        <v>2</v>
      </c>
    </row>
    <row r="4712" spans="1:9" x14ac:dyDescent="0.25">
      <c r="A4712" s="515">
        <v>48433</v>
      </c>
      <c r="B4712" s="515" t="s">
        <v>759</v>
      </c>
      <c r="C4712" s="52">
        <v>199564.33022584801</v>
      </c>
      <c r="D4712" s="56">
        <v>3.8494407858696802E-2</v>
      </c>
      <c r="E4712" s="224" t="s">
        <v>2</v>
      </c>
      <c r="F4712" s="515" t="s">
        <v>5974</v>
      </c>
      <c r="G4712" s="52">
        <v>505792.32844045799</v>
      </c>
      <c r="H4712" s="56">
        <v>5.3370629644716082E-2</v>
      </c>
      <c r="I4712" s="224" t="s">
        <v>2</v>
      </c>
    </row>
    <row r="4713" spans="1:9" x14ac:dyDescent="0.25">
      <c r="A4713" s="515">
        <v>15213</v>
      </c>
      <c r="B4713" s="515" t="s">
        <v>297</v>
      </c>
      <c r="C4713" s="52">
        <v>238996.26280581899</v>
      </c>
      <c r="D4713" s="56">
        <v>1.4701617484855666E-2</v>
      </c>
      <c r="E4713" s="224">
        <v>1663.2456018518501</v>
      </c>
      <c r="F4713" s="515" t="s">
        <v>5975</v>
      </c>
      <c r="G4713" s="52">
        <v>202053.343877904</v>
      </c>
      <c r="H4713" s="56">
        <v>5.4414209170937776E-2</v>
      </c>
      <c r="I4713" s="224" t="s">
        <v>2</v>
      </c>
    </row>
    <row r="4714" spans="1:9" x14ac:dyDescent="0.25">
      <c r="A4714" s="515">
        <v>80124</v>
      </c>
      <c r="B4714" s="515" t="s">
        <v>401</v>
      </c>
      <c r="C4714" s="52">
        <v>791024.81855347205</v>
      </c>
      <c r="D4714" s="56">
        <v>3.006699028706173E-2</v>
      </c>
      <c r="E4714" s="224">
        <v>2013.7334244702599</v>
      </c>
      <c r="F4714" s="515" t="s">
        <v>5976</v>
      </c>
      <c r="G4714" s="52">
        <v>201280.08654449799</v>
      </c>
      <c r="H4714" s="56">
        <v>3.4430924616771358E-2</v>
      </c>
      <c r="I4714" s="224" t="s">
        <v>2</v>
      </c>
    </row>
    <row r="4715" spans="1:9" x14ac:dyDescent="0.25">
      <c r="A4715" s="515">
        <v>32233</v>
      </c>
      <c r="B4715" s="515" t="s">
        <v>1158</v>
      </c>
      <c r="C4715" s="52">
        <v>450813.84064160998</v>
      </c>
      <c r="D4715" s="56">
        <v>9.8548894224031749E-2</v>
      </c>
      <c r="E4715" s="224">
        <v>1943.1666666666599</v>
      </c>
      <c r="F4715" s="515" t="s">
        <v>5977</v>
      </c>
      <c r="G4715" s="52">
        <v>129894.009505293</v>
      </c>
      <c r="H4715" s="56">
        <v>-2.9422650970097209E-2</v>
      </c>
      <c r="I4715" s="224" t="s">
        <v>2</v>
      </c>
    </row>
    <row r="4716" spans="1:9" x14ac:dyDescent="0.25">
      <c r="A4716" s="515">
        <v>30168</v>
      </c>
      <c r="B4716" s="515" t="s">
        <v>957</v>
      </c>
      <c r="C4716" s="52">
        <v>273190.95519892301</v>
      </c>
      <c r="D4716" s="56">
        <v>0.15187959522007094</v>
      </c>
      <c r="E4716" s="224">
        <v>1970.57142857142</v>
      </c>
      <c r="F4716" s="515" t="s">
        <v>5978</v>
      </c>
      <c r="G4716" s="52">
        <v>390895.08565322601</v>
      </c>
      <c r="H4716" s="56">
        <v>4.8358141411576093E-2</v>
      </c>
      <c r="I4716" s="224" t="s">
        <v>2</v>
      </c>
    </row>
    <row r="4717" spans="1:9" x14ac:dyDescent="0.25">
      <c r="A4717" s="515">
        <v>70114</v>
      </c>
      <c r="B4717" s="515" t="s">
        <v>777</v>
      </c>
      <c r="C4717" s="52">
        <v>161729.51680466201</v>
      </c>
      <c r="D4717" s="56">
        <v>2.2705235492033207E-2</v>
      </c>
      <c r="E4717" s="224">
        <v>1314.6666666666599</v>
      </c>
      <c r="F4717" s="515" t="s">
        <v>5979</v>
      </c>
      <c r="G4717" s="52">
        <v>394408.66708846501</v>
      </c>
      <c r="H4717" s="56">
        <v>6.595129596586613E-2</v>
      </c>
      <c r="I4717" s="224">
        <v>1942.3333333333301</v>
      </c>
    </row>
    <row r="4718" spans="1:9" x14ac:dyDescent="0.25">
      <c r="A4718" s="515">
        <v>88030</v>
      </c>
      <c r="B4718" s="515" t="s">
        <v>1214</v>
      </c>
      <c r="C4718" s="52">
        <v>119185.618181511</v>
      </c>
      <c r="D4718" s="56">
        <v>6.2524097982820576E-2</v>
      </c>
      <c r="E4718" s="224" t="s">
        <v>2</v>
      </c>
      <c r="F4718" s="515" t="s">
        <v>5980</v>
      </c>
      <c r="G4718" s="52">
        <v>95462.038215130699</v>
      </c>
      <c r="H4718" s="56">
        <v>0.11106598086049978</v>
      </c>
      <c r="I4718" s="224">
        <v>1169.44444444444</v>
      </c>
    </row>
    <row r="4719" spans="1:9" x14ac:dyDescent="0.25">
      <c r="A4719" s="515">
        <v>24551</v>
      </c>
      <c r="B4719" s="515" t="s">
        <v>705</v>
      </c>
      <c r="C4719" s="52">
        <v>368403.39655255002</v>
      </c>
      <c r="D4719" s="56">
        <v>9.4165795643938635E-2</v>
      </c>
      <c r="E4719" s="224" t="s">
        <v>2</v>
      </c>
      <c r="F4719" s="515" t="s">
        <v>5981</v>
      </c>
      <c r="G4719" s="52">
        <v>195381.91637256101</v>
      </c>
      <c r="H4719" s="56">
        <v>9.1081333642108936E-2</v>
      </c>
      <c r="I4719" s="224" t="s">
        <v>2</v>
      </c>
    </row>
    <row r="4720" spans="1:9" x14ac:dyDescent="0.25">
      <c r="A4720" s="515">
        <v>30125</v>
      </c>
      <c r="B4720" s="515" t="s">
        <v>1179</v>
      </c>
      <c r="C4720" s="52">
        <v>171741.118029551</v>
      </c>
      <c r="D4720" s="56">
        <v>0.18658563816424242</v>
      </c>
      <c r="E4720" s="224" t="s">
        <v>2</v>
      </c>
      <c r="F4720" s="515" t="s">
        <v>5982</v>
      </c>
      <c r="G4720" s="52">
        <v>287508.31016236398</v>
      </c>
      <c r="H4720" s="56">
        <v>6.2712641363986577E-2</v>
      </c>
      <c r="I4720" s="224" t="s">
        <v>2</v>
      </c>
    </row>
    <row r="4721" spans="1:9" x14ac:dyDescent="0.25">
      <c r="A4721" s="515">
        <v>90746</v>
      </c>
      <c r="B4721" s="515" t="s">
        <v>375</v>
      </c>
      <c r="C4721" s="52">
        <v>737058.231209844</v>
      </c>
      <c r="D4721" s="56">
        <v>5.8683931241413329E-2</v>
      </c>
      <c r="E4721" s="224" t="s">
        <v>2</v>
      </c>
      <c r="F4721" s="515" t="s">
        <v>5983</v>
      </c>
      <c r="G4721" s="52">
        <v>231384.42805005499</v>
      </c>
      <c r="H4721" s="56">
        <v>5.474370010383206E-2</v>
      </c>
      <c r="I4721" s="224" t="s">
        <v>2</v>
      </c>
    </row>
    <row r="4722" spans="1:9" x14ac:dyDescent="0.25">
      <c r="A4722" s="515">
        <v>30601</v>
      </c>
      <c r="B4722" s="515" t="s">
        <v>991</v>
      </c>
      <c r="C4722" s="52">
        <v>233042.38668910501</v>
      </c>
      <c r="D4722" s="56">
        <v>0.13958574579171704</v>
      </c>
      <c r="E4722" s="224">
        <v>1889.24603174603</v>
      </c>
      <c r="F4722" s="515" t="s">
        <v>5984</v>
      </c>
      <c r="G4722" s="52">
        <v>252097.52784931401</v>
      </c>
      <c r="H4722" s="56">
        <v>5.6400482588773504E-2</v>
      </c>
      <c r="I4722" s="224" t="s">
        <v>2</v>
      </c>
    </row>
    <row r="4723" spans="1:9" x14ac:dyDescent="0.25">
      <c r="A4723" s="515">
        <v>92614</v>
      </c>
      <c r="B4723" s="515" t="s">
        <v>375</v>
      </c>
      <c r="C4723" s="52">
        <v>975169.71077457396</v>
      </c>
      <c r="D4723" s="56">
        <v>7.8252089208091277E-2</v>
      </c>
      <c r="E4723" s="224">
        <v>3055.63644097837</v>
      </c>
      <c r="F4723" s="515" t="s">
        <v>5985</v>
      </c>
      <c r="G4723" s="52">
        <v>266586.41359864298</v>
      </c>
      <c r="H4723" s="56">
        <v>9.0635839729620971E-2</v>
      </c>
      <c r="I4723" s="224">
        <v>1184.1060606060601</v>
      </c>
    </row>
    <row r="4724" spans="1:9" x14ac:dyDescent="0.25">
      <c r="A4724" s="515">
        <v>38053</v>
      </c>
      <c r="B4724" s="515" t="s">
        <v>951</v>
      </c>
      <c r="C4724" s="52">
        <v>221328.92438260699</v>
      </c>
      <c r="D4724" s="56">
        <v>0.11635729437267145</v>
      </c>
      <c r="E4724" s="224">
        <v>1405</v>
      </c>
      <c r="F4724" s="515" t="s">
        <v>5986</v>
      </c>
      <c r="G4724" s="52">
        <v>216237.78380277599</v>
      </c>
      <c r="H4724" s="56">
        <v>8.3940178745064972E-2</v>
      </c>
      <c r="I4724" s="224" t="s">
        <v>2</v>
      </c>
    </row>
    <row r="4725" spans="1:9" x14ac:dyDescent="0.25">
      <c r="A4725" s="515">
        <v>35404</v>
      </c>
      <c r="B4725" s="515" t="s">
        <v>841</v>
      </c>
      <c r="C4725" s="52">
        <v>139335.04902251001</v>
      </c>
      <c r="D4725" s="56">
        <v>8.0754561418278595E-2</v>
      </c>
      <c r="E4725" s="224">
        <v>1258.05555555555</v>
      </c>
      <c r="F4725" s="515" t="s">
        <v>5987</v>
      </c>
      <c r="G4725" s="52">
        <v>318107.81904985901</v>
      </c>
      <c r="H4725" s="56">
        <v>6.4227477607929101E-2</v>
      </c>
      <c r="I4725" s="224" t="s">
        <v>2</v>
      </c>
    </row>
    <row r="4726" spans="1:9" x14ac:dyDescent="0.25">
      <c r="A4726" s="515">
        <v>48045</v>
      </c>
      <c r="B4726" s="515" t="s">
        <v>685</v>
      </c>
      <c r="C4726" s="52">
        <v>232380.73356918801</v>
      </c>
      <c r="D4726" s="56">
        <v>2.162692863430906E-2</v>
      </c>
      <c r="E4726" s="224">
        <v>1275</v>
      </c>
      <c r="F4726" s="515" t="s">
        <v>5988</v>
      </c>
      <c r="G4726" s="52">
        <v>2968001.01015044</v>
      </c>
      <c r="H4726" s="56">
        <v>7.6699218200451544E-2</v>
      </c>
      <c r="I4726" s="224">
        <v>37500</v>
      </c>
    </row>
    <row r="4727" spans="1:9" x14ac:dyDescent="0.25">
      <c r="A4727" s="515">
        <v>92832</v>
      </c>
      <c r="B4727" s="515" t="s">
        <v>375</v>
      </c>
      <c r="C4727" s="52">
        <v>760535.43056988402</v>
      </c>
      <c r="D4727" s="56">
        <v>6.1703294521372819E-2</v>
      </c>
      <c r="E4727" s="224">
        <v>2666.6506410256402</v>
      </c>
      <c r="F4727" s="515" t="s">
        <v>5989</v>
      </c>
      <c r="G4727" s="52">
        <v>95361.481127774605</v>
      </c>
      <c r="H4727" s="56">
        <v>5.0255777063912259E-2</v>
      </c>
      <c r="I4727" s="224" t="s">
        <v>2</v>
      </c>
    </row>
    <row r="4728" spans="1:9" x14ac:dyDescent="0.25">
      <c r="A4728" s="515">
        <v>90303</v>
      </c>
      <c r="B4728" s="515" t="s">
        <v>375</v>
      </c>
      <c r="C4728" s="52">
        <v>720385.14853301703</v>
      </c>
      <c r="D4728" s="56">
        <v>2.2931411992046898E-2</v>
      </c>
      <c r="E4728" s="224">
        <v>2159</v>
      </c>
      <c r="F4728" s="515" t="s">
        <v>5990</v>
      </c>
      <c r="G4728" s="52">
        <v>127464.245476803</v>
      </c>
      <c r="H4728" s="56">
        <v>5.7572244340497319E-2</v>
      </c>
      <c r="I4728" s="224" t="s">
        <v>2</v>
      </c>
    </row>
    <row r="4729" spans="1:9" x14ac:dyDescent="0.25">
      <c r="A4729" s="515">
        <v>75482</v>
      </c>
      <c r="B4729" s="515" t="s">
        <v>980</v>
      </c>
      <c r="C4729" s="52">
        <v>203357.57963306099</v>
      </c>
      <c r="D4729" s="56">
        <v>5.8604142469881403E-2</v>
      </c>
      <c r="E4729" s="224" t="s">
        <v>2</v>
      </c>
      <c r="F4729" s="515" t="s">
        <v>5991</v>
      </c>
      <c r="G4729" s="52">
        <v>80416.657911595903</v>
      </c>
      <c r="H4729" s="56">
        <v>0.21131884012201785</v>
      </c>
      <c r="I4729" s="224" t="s">
        <v>2</v>
      </c>
    </row>
    <row r="4730" spans="1:9" x14ac:dyDescent="0.25">
      <c r="A4730" s="515">
        <v>37148</v>
      </c>
      <c r="B4730" s="515" t="s">
        <v>684</v>
      </c>
      <c r="C4730" s="52">
        <v>282673.60067701101</v>
      </c>
      <c r="D4730" s="56">
        <v>7.3610147325367997E-2</v>
      </c>
      <c r="E4730" s="224" t="s">
        <v>2</v>
      </c>
      <c r="F4730" s="515" t="s">
        <v>5992</v>
      </c>
      <c r="G4730" s="52">
        <v>251209.14301600301</v>
      </c>
      <c r="H4730" s="56">
        <v>5.6075233481586717E-2</v>
      </c>
      <c r="I4730" s="224" t="s">
        <v>2</v>
      </c>
    </row>
    <row r="4731" spans="1:9" x14ac:dyDescent="0.25">
      <c r="A4731" s="515">
        <v>89434</v>
      </c>
      <c r="B4731" s="515" t="s">
        <v>581</v>
      </c>
      <c r="C4731" s="52">
        <v>428329.36080963298</v>
      </c>
      <c r="D4731" s="56">
        <v>8.3177300219306454E-3</v>
      </c>
      <c r="E4731" s="224">
        <v>2191.0444444444402</v>
      </c>
      <c r="F4731" s="515" t="s">
        <v>5993</v>
      </c>
      <c r="G4731" s="52">
        <v>367063.89530346502</v>
      </c>
      <c r="H4731" s="56">
        <v>-1.6228107132352804E-2</v>
      </c>
      <c r="I4731" s="224" t="s">
        <v>2</v>
      </c>
    </row>
    <row r="4732" spans="1:9" x14ac:dyDescent="0.25">
      <c r="A4732" s="515">
        <v>94123</v>
      </c>
      <c r="B4732" s="515" t="s">
        <v>593</v>
      </c>
      <c r="C4732" s="52">
        <v>2010643.6216764699</v>
      </c>
      <c r="D4732" s="56">
        <v>-0.10880641255386651</v>
      </c>
      <c r="E4732" s="224">
        <v>3404.2365418894801</v>
      </c>
      <c r="F4732" s="515" t="s">
        <v>5994</v>
      </c>
      <c r="G4732" s="52">
        <v>239669.701539031</v>
      </c>
      <c r="H4732" s="56">
        <v>0.14183272208464884</v>
      </c>
      <c r="I4732" s="224" t="s">
        <v>2</v>
      </c>
    </row>
    <row r="4733" spans="1:9" x14ac:dyDescent="0.25">
      <c r="A4733" s="515">
        <v>82801</v>
      </c>
      <c r="B4733" s="515" t="s">
        <v>648</v>
      </c>
      <c r="C4733" s="52">
        <v>381105.19163892203</v>
      </c>
      <c r="D4733" s="56">
        <v>6.5296780761390227E-2</v>
      </c>
      <c r="E4733" s="224" t="s">
        <v>2</v>
      </c>
      <c r="F4733" s="515" t="s">
        <v>5995</v>
      </c>
      <c r="G4733" s="52">
        <v>752513.23141107301</v>
      </c>
      <c r="H4733" s="56">
        <v>7.6137690711088543E-3</v>
      </c>
      <c r="I4733" s="224">
        <v>2550</v>
      </c>
    </row>
    <row r="4734" spans="1:9" x14ac:dyDescent="0.25">
      <c r="A4734" s="515">
        <v>33709</v>
      </c>
      <c r="B4734" s="515" t="s">
        <v>461</v>
      </c>
      <c r="C4734" s="52">
        <v>272338.58253008802</v>
      </c>
      <c r="D4734" s="56">
        <v>0.13717930272422746</v>
      </c>
      <c r="E4734" s="224">
        <v>2240.5833333333298</v>
      </c>
      <c r="F4734" s="515" t="s">
        <v>5996</v>
      </c>
      <c r="G4734" s="52">
        <v>150799.161311537</v>
      </c>
      <c r="H4734" s="56">
        <v>7.0291776583729745E-2</v>
      </c>
      <c r="I4734" s="224" t="s">
        <v>2</v>
      </c>
    </row>
    <row r="4735" spans="1:9" x14ac:dyDescent="0.25">
      <c r="A4735" s="515">
        <v>39466</v>
      </c>
      <c r="B4735" s="515" t="s">
        <v>1200</v>
      </c>
      <c r="C4735" s="52">
        <v>168326.396832017</v>
      </c>
      <c r="D4735" s="56">
        <v>5.6097565616753053E-2</v>
      </c>
      <c r="E4735" s="224" t="s">
        <v>2</v>
      </c>
      <c r="F4735" s="515" t="s">
        <v>5997</v>
      </c>
      <c r="G4735" s="52">
        <v>366522.47188065498</v>
      </c>
      <c r="H4735" s="56">
        <v>0.10180674836837283</v>
      </c>
      <c r="I4735" s="224" t="s">
        <v>2</v>
      </c>
    </row>
    <row r="4736" spans="1:9" x14ac:dyDescent="0.25">
      <c r="A4736" s="515">
        <v>23693</v>
      </c>
      <c r="B4736" s="515" t="s">
        <v>301</v>
      </c>
      <c r="C4736" s="52">
        <v>456818.54696985002</v>
      </c>
      <c r="D4736" s="56">
        <v>4.0115931866678792E-2</v>
      </c>
      <c r="E4736" s="224" t="s">
        <v>2</v>
      </c>
      <c r="F4736" s="515" t="s">
        <v>913</v>
      </c>
      <c r="G4736" s="52">
        <v>231019.495598407</v>
      </c>
      <c r="H4736" s="56">
        <v>8.9472039995255118E-2</v>
      </c>
      <c r="I4736" s="224">
        <v>1250</v>
      </c>
    </row>
    <row r="4737" spans="1:9" x14ac:dyDescent="0.25">
      <c r="A4737" s="515">
        <v>17015</v>
      </c>
      <c r="B4737" s="515" t="s">
        <v>428</v>
      </c>
      <c r="C4737" s="52">
        <v>322936.75724292902</v>
      </c>
      <c r="D4737" s="56">
        <v>9.8482818530189697E-2</v>
      </c>
      <c r="E4737" s="224" t="s">
        <v>2</v>
      </c>
      <c r="F4737" s="515" t="s">
        <v>5998</v>
      </c>
      <c r="G4737" s="52">
        <v>2483541.5262984098</v>
      </c>
      <c r="H4737" s="56">
        <v>-5.8129099064706362E-3</v>
      </c>
      <c r="I4737" s="224">
        <v>5900</v>
      </c>
    </row>
    <row r="4738" spans="1:9" x14ac:dyDescent="0.25">
      <c r="A4738" s="515">
        <v>72301</v>
      </c>
      <c r="B4738" s="515" t="s">
        <v>951</v>
      </c>
      <c r="C4738" s="52">
        <v>99790.768132013807</v>
      </c>
      <c r="D4738" s="56">
        <v>7.7139312515227001E-2</v>
      </c>
      <c r="E4738" s="224" t="s">
        <v>2</v>
      </c>
      <c r="F4738" s="515" t="s">
        <v>5999</v>
      </c>
      <c r="G4738" s="52">
        <v>136288.586786056</v>
      </c>
      <c r="H4738" s="56">
        <v>0.17142526142708056</v>
      </c>
      <c r="I4738" s="224" t="s">
        <v>2</v>
      </c>
    </row>
    <row r="4739" spans="1:9" x14ac:dyDescent="0.25">
      <c r="A4739" s="515">
        <v>99623</v>
      </c>
      <c r="B4739" s="515" t="s">
        <v>405</v>
      </c>
      <c r="C4739" s="52">
        <v>289855.51232769398</v>
      </c>
      <c r="D4739" s="56">
        <v>1.7491896589321709E-2</v>
      </c>
      <c r="E4739" s="224" t="s">
        <v>2</v>
      </c>
      <c r="F4739" s="515" t="s">
        <v>6000</v>
      </c>
      <c r="G4739" s="52">
        <v>267640.70107705198</v>
      </c>
      <c r="H4739" s="56">
        <v>8.2584341275220269E-2</v>
      </c>
      <c r="I4739" s="224" t="s">
        <v>2</v>
      </c>
    </row>
    <row r="4740" spans="1:9" x14ac:dyDescent="0.25">
      <c r="A4740" s="515">
        <v>38114</v>
      </c>
      <c r="B4740" s="515" t="s">
        <v>951</v>
      </c>
      <c r="C4740" s="52">
        <v>68876.939723486794</v>
      </c>
      <c r="D4740" s="56">
        <v>0.20363990885619451</v>
      </c>
      <c r="E4740" s="224">
        <v>793.22222222222194</v>
      </c>
      <c r="F4740" s="515" t="s">
        <v>6001</v>
      </c>
      <c r="G4740" s="52">
        <v>120422.96895952499</v>
      </c>
      <c r="H4740" s="56">
        <v>0.11888572172816554</v>
      </c>
      <c r="I4740" s="224" t="s">
        <v>2</v>
      </c>
    </row>
    <row r="4741" spans="1:9" x14ac:dyDescent="0.25">
      <c r="A4741" s="515">
        <v>77327</v>
      </c>
      <c r="B4741" s="515" t="s">
        <v>314</v>
      </c>
      <c r="C4741" s="52">
        <v>195257.14857044799</v>
      </c>
      <c r="D4741" s="56">
        <v>4.2813897875492099E-2</v>
      </c>
      <c r="E4741" s="224" t="s">
        <v>2</v>
      </c>
      <c r="F4741" s="515" t="s">
        <v>6002</v>
      </c>
      <c r="G4741" s="52">
        <v>425596.686147378</v>
      </c>
      <c r="H4741" s="56">
        <v>0.10933784472463308</v>
      </c>
      <c r="I4741" s="224" t="s">
        <v>2</v>
      </c>
    </row>
    <row r="4742" spans="1:9" x14ac:dyDescent="0.25">
      <c r="A4742" s="515">
        <v>17901</v>
      </c>
      <c r="B4742" s="515" t="s">
        <v>994</v>
      </c>
      <c r="C4742" s="52">
        <v>108566.842912765</v>
      </c>
      <c r="D4742" s="56">
        <v>7.7354710079284419E-2</v>
      </c>
      <c r="E4742" s="224" t="s">
        <v>2</v>
      </c>
      <c r="F4742" s="515" t="s">
        <v>6003</v>
      </c>
      <c r="G4742" s="52">
        <v>644141.32268918504</v>
      </c>
      <c r="H4742" s="56">
        <v>0.11901321591233614</v>
      </c>
      <c r="I4742" s="224">
        <v>2487.5</v>
      </c>
    </row>
    <row r="4743" spans="1:9" x14ac:dyDescent="0.25">
      <c r="A4743" s="515">
        <v>30224</v>
      </c>
      <c r="B4743" s="515" t="s">
        <v>957</v>
      </c>
      <c r="C4743" s="52">
        <v>236371.86841468301</v>
      </c>
      <c r="D4743" s="56">
        <v>0.1431469053805042</v>
      </c>
      <c r="E4743" s="224">
        <v>1635</v>
      </c>
      <c r="F4743" s="515" t="s">
        <v>6004</v>
      </c>
      <c r="G4743" s="52">
        <v>760389.59902780398</v>
      </c>
      <c r="H4743" s="56">
        <v>4.591532736969535E-2</v>
      </c>
      <c r="I4743" s="224">
        <v>3482.1666666666601</v>
      </c>
    </row>
    <row r="4744" spans="1:9" x14ac:dyDescent="0.25">
      <c r="A4744" s="515">
        <v>84651</v>
      </c>
      <c r="B4744" s="515" t="s">
        <v>726</v>
      </c>
      <c r="C4744" s="52">
        <v>470970.90049473802</v>
      </c>
      <c r="D4744" s="56">
        <v>3.2625476337991247E-2</v>
      </c>
      <c r="E4744" s="224">
        <v>1373.69047619047</v>
      </c>
      <c r="F4744" s="515" t="s">
        <v>6005</v>
      </c>
      <c r="G4744" s="52">
        <v>514247.07388815598</v>
      </c>
      <c r="H4744" s="56">
        <v>5.1934971827506844E-2</v>
      </c>
      <c r="I4744" s="224" t="s">
        <v>2</v>
      </c>
    </row>
    <row r="4745" spans="1:9" x14ac:dyDescent="0.25">
      <c r="A4745" s="515">
        <v>89145</v>
      </c>
      <c r="B4745" s="515" t="s">
        <v>323</v>
      </c>
      <c r="C4745" s="52">
        <v>349539.48219205899</v>
      </c>
      <c r="D4745" s="56">
        <v>4.5493424754842943E-2</v>
      </c>
      <c r="E4745" s="224">
        <v>1856.25925925925</v>
      </c>
      <c r="F4745" s="515" t="s">
        <v>6006</v>
      </c>
      <c r="G4745" s="52">
        <v>270900.24097269098</v>
      </c>
      <c r="H4745" s="56">
        <v>6.8806022867859223E-2</v>
      </c>
      <c r="I4745" s="224" t="s">
        <v>2</v>
      </c>
    </row>
    <row r="4746" spans="1:9" x14ac:dyDescent="0.25">
      <c r="A4746" s="515">
        <v>75020</v>
      </c>
      <c r="B4746" s="515" t="s">
        <v>553</v>
      </c>
      <c r="C4746" s="52">
        <v>203975.215625046</v>
      </c>
      <c r="D4746" s="56">
        <v>9.928286662280647E-2</v>
      </c>
      <c r="E4746" s="224">
        <v>1412.5</v>
      </c>
      <c r="F4746" s="515" t="s">
        <v>6007</v>
      </c>
      <c r="G4746" s="52">
        <v>356778.42624727503</v>
      </c>
      <c r="H4746" s="56">
        <v>2.3529029791182023E-2</v>
      </c>
      <c r="I4746" s="224" t="s">
        <v>2</v>
      </c>
    </row>
    <row r="4747" spans="1:9" x14ac:dyDescent="0.25">
      <c r="A4747" s="515">
        <v>55116</v>
      </c>
      <c r="B4747" s="515" t="s">
        <v>532</v>
      </c>
      <c r="C4747" s="52">
        <v>392703.61105981399</v>
      </c>
      <c r="D4747" s="56">
        <v>3.8657264863668335E-2</v>
      </c>
      <c r="E4747" s="224">
        <v>1494.42857142857</v>
      </c>
      <c r="F4747" s="515" t="s">
        <v>6008</v>
      </c>
      <c r="G4747" s="52">
        <v>252702.272928227</v>
      </c>
      <c r="H4747" s="56">
        <v>8.5014967389836521E-2</v>
      </c>
      <c r="I4747" s="224" t="s">
        <v>2</v>
      </c>
    </row>
    <row r="4748" spans="1:9" x14ac:dyDescent="0.25">
      <c r="A4748" s="515">
        <v>46214</v>
      </c>
      <c r="B4748" s="515" t="s">
        <v>403</v>
      </c>
      <c r="C4748" s="52">
        <v>214727.08602328601</v>
      </c>
      <c r="D4748" s="56">
        <v>4.7549557499533629E-2</v>
      </c>
      <c r="E4748" s="224">
        <v>1400.0277777777701</v>
      </c>
      <c r="F4748" s="515" t="s">
        <v>6009</v>
      </c>
      <c r="G4748" s="52">
        <v>350892.59581615799</v>
      </c>
      <c r="H4748" s="56">
        <v>8.3595539537561978E-2</v>
      </c>
      <c r="I4748" s="224" t="s">
        <v>2</v>
      </c>
    </row>
    <row r="4749" spans="1:9" x14ac:dyDescent="0.25">
      <c r="A4749" s="515">
        <v>73003</v>
      </c>
      <c r="B4749" s="515" t="s">
        <v>385</v>
      </c>
      <c r="C4749" s="52">
        <v>229661.37031667901</v>
      </c>
      <c r="D4749" s="56">
        <v>0.10815229336204708</v>
      </c>
      <c r="E4749" s="224">
        <v>1493.9583333333301</v>
      </c>
      <c r="F4749" s="515" t="s">
        <v>6010</v>
      </c>
      <c r="G4749" s="52">
        <v>232437.241066699</v>
      </c>
      <c r="H4749" s="56">
        <v>1.7649184940156024E-2</v>
      </c>
      <c r="I4749" s="224" t="s">
        <v>2</v>
      </c>
    </row>
    <row r="4750" spans="1:9" x14ac:dyDescent="0.25">
      <c r="A4750" s="515">
        <v>16506</v>
      </c>
      <c r="B4750" s="515" t="s">
        <v>753</v>
      </c>
      <c r="C4750" s="52">
        <v>228060.838660646</v>
      </c>
      <c r="D4750" s="56">
        <v>6.8921165595809575E-2</v>
      </c>
      <c r="E4750" s="224" t="s">
        <v>2</v>
      </c>
      <c r="F4750" s="515" t="s">
        <v>6011</v>
      </c>
      <c r="G4750" s="52">
        <v>554279.39884201903</v>
      </c>
      <c r="H4750" s="56">
        <v>8.2204114425858663E-2</v>
      </c>
      <c r="I4750" s="224" t="s">
        <v>2</v>
      </c>
    </row>
    <row r="4751" spans="1:9" x14ac:dyDescent="0.25">
      <c r="A4751" s="515">
        <v>40222</v>
      </c>
      <c r="B4751" s="515" t="s">
        <v>479</v>
      </c>
      <c r="C4751" s="52">
        <v>347397.23649974703</v>
      </c>
      <c r="D4751" s="56">
        <v>6.4397749144113864E-2</v>
      </c>
      <c r="E4751" s="224">
        <v>1355.44444444444</v>
      </c>
      <c r="F4751" s="515" t="s">
        <v>6012</v>
      </c>
      <c r="G4751" s="52">
        <v>219182.47571775099</v>
      </c>
      <c r="H4751" s="56">
        <v>5.6253615647266657E-2</v>
      </c>
      <c r="I4751" s="224" t="s">
        <v>2</v>
      </c>
    </row>
    <row r="4752" spans="1:9" x14ac:dyDescent="0.25">
      <c r="A4752" s="515">
        <v>22180</v>
      </c>
      <c r="B4752" s="515" t="s">
        <v>321</v>
      </c>
      <c r="C4752" s="52">
        <v>866329.50994559797</v>
      </c>
      <c r="D4752" s="56">
        <v>2.507826606501622E-2</v>
      </c>
      <c r="E4752" s="224">
        <v>2111.2777777777701</v>
      </c>
      <c r="F4752" s="515" t="s">
        <v>6013</v>
      </c>
      <c r="G4752" s="52">
        <v>318701.77336887398</v>
      </c>
      <c r="H4752" s="56">
        <v>0.19926283206294432</v>
      </c>
      <c r="I4752" s="224" t="s">
        <v>2</v>
      </c>
    </row>
    <row r="4753" spans="1:9" x14ac:dyDescent="0.25">
      <c r="A4753" s="515">
        <v>72501</v>
      </c>
      <c r="B4753" s="515" t="s">
        <v>693</v>
      </c>
      <c r="C4753" s="52">
        <v>139128.37986903</v>
      </c>
      <c r="D4753" s="56">
        <v>3.261246429845157E-2</v>
      </c>
      <c r="E4753" s="224" t="s">
        <v>2</v>
      </c>
      <c r="F4753" s="515" t="s">
        <v>6014</v>
      </c>
      <c r="G4753" s="52">
        <v>379200.05550463498</v>
      </c>
      <c r="H4753" s="56">
        <v>5.0115720303606601E-2</v>
      </c>
      <c r="I4753" s="224" t="s">
        <v>2</v>
      </c>
    </row>
    <row r="4754" spans="1:9" x14ac:dyDescent="0.25">
      <c r="A4754" s="515">
        <v>79602</v>
      </c>
      <c r="B4754" s="515" t="s">
        <v>704</v>
      </c>
      <c r="C4754" s="52">
        <v>230584.21899026699</v>
      </c>
      <c r="D4754" s="56">
        <v>7.3273490817304818E-2</v>
      </c>
      <c r="E4754" s="224">
        <v>1141.3333333333301</v>
      </c>
      <c r="F4754" s="515" t="s">
        <v>6015</v>
      </c>
      <c r="G4754" s="52">
        <v>237297.90827925899</v>
      </c>
      <c r="H4754" s="56">
        <v>0.10238214662171499</v>
      </c>
      <c r="I4754" s="224" t="s">
        <v>2</v>
      </c>
    </row>
    <row r="4755" spans="1:9" x14ac:dyDescent="0.25">
      <c r="A4755" s="515">
        <v>73064</v>
      </c>
      <c r="B4755" s="515" t="s">
        <v>385</v>
      </c>
      <c r="C4755" s="52">
        <v>247942.224613139</v>
      </c>
      <c r="D4755" s="56">
        <v>9.6579085820717808E-2</v>
      </c>
      <c r="E4755" s="224">
        <v>1622.0833333333301</v>
      </c>
      <c r="F4755" s="515" t="s">
        <v>6016</v>
      </c>
      <c r="G4755" s="52">
        <v>211769.63657333</v>
      </c>
      <c r="H4755" s="56">
        <v>5.224833368014855E-2</v>
      </c>
      <c r="I4755" s="224" t="s">
        <v>2</v>
      </c>
    </row>
    <row r="4756" spans="1:9" x14ac:dyDescent="0.25">
      <c r="A4756" s="515">
        <v>45420</v>
      </c>
      <c r="B4756" s="515" t="s">
        <v>340</v>
      </c>
      <c r="C4756" s="52">
        <v>137325.47246636299</v>
      </c>
      <c r="D4756" s="56">
        <v>0.11191985525027452</v>
      </c>
      <c r="E4756" s="224">
        <v>1164.7777777777701</v>
      </c>
      <c r="F4756" s="515" t="s">
        <v>6017</v>
      </c>
      <c r="G4756" s="52">
        <v>322254.97801940102</v>
      </c>
      <c r="H4756" s="56">
        <v>9.2271979555894681E-2</v>
      </c>
      <c r="I4756" s="224" t="s">
        <v>2</v>
      </c>
    </row>
    <row r="4757" spans="1:9" x14ac:dyDescent="0.25">
      <c r="A4757" s="515">
        <v>84780</v>
      </c>
      <c r="B4757" s="515" t="s">
        <v>522</v>
      </c>
      <c r="C4757" s="52">
        <v>537684.47113152803</v>
      </c>
      <c r="D4757" s="56">
        <v>-6.0861010313083908E-3</v>
      </c>
      <c r="E4757" s="224">
        <v>1697.88888888888</v>
      </c>
      <c r="F4757" s="515" t="s">
        <v>6018</v>
      </c>
      <c r="G4757" s="52">
        <v>298088.77036363498</v>
      </c>
      <c r="H4757" s="56">
        <v>6.3435484045940363E-2</v>
      </c>
      <c r="I4757" s="224" t="s">
        <v>2</v>
      </c>
    </row>
    <row r="4758" spans="1:9" x14ac:dyDescent="0.25">
      <c r="A4758" s="515">
        <v>1843</v>
      </c>
      <c r="B4758" s="515" t="s">
        <v>534</v>
      </c>
      <c r="C4758" s="52">
        <v>432621.51362584101</v>
      </c>
      <c r="D4758" s="56">
        <v>6.2268269668033588E-2</v>
      </c>
      <c r="E4758" s="224">
        <v>2165.9722222222199</v>
      </c>
      <c r="F4758" s="515" t="s">
        <v>6019</v>
      </c>
      <c r="G4758" s="52">
        <v>781463.29534640303</v>
      </c>
      <c r="H4758" s="56">
        <v>0.18656915737725088</v>
      </c>
      <c r="I4758" s="224">
        <v>2796.6666666666601</v>
      </c>
    </row>
    <row r="4759" spans="1:9" x14ac:dyDescent="0.25">
      <c r="A4759" s="515">
        <v>70791</v>
      </c>
      <c r="B4759" s="515" t="s">
        <v>610</v>
      </c>
      <c r="C4759" s="52">
        <v>244406.65405567299</v>
      </c>
      <c r="D4759" s="56">
        <v>6.1672440529658257E-2</v>
      </c>
      <c r="E4759" s="224" t="s">
        <v>2</v>
      </c>
      <c r="F4759" s="515" t="s">
        <v>1188</v>
      </c>
      <c r="G4759" s="52">
        <v>223737.118962515</v>
      </c>
      <c r="H4759" s="56">
        <v>0.13616158163639963</v>
      </c>
      <c r="I4759" s="224" t="s">
        <v>2</v>
      </c>
    </row>
    <row r="4760" spans="1:9" x14ac:dyDescent="0.25">
      <c r="A4760" s="515">
        <v>39157</v>
      </c>
      <c r="B4760" s="515" t="s">
        <v>851</v>
      </c>
      <c r="C4760" s="52">
        <v>252564.10732453599</v>
      </c>
      <c r="D4760" s="56">
        <v>7.3608924893285479E-2</v>
      </c>
      <c r="E4760" s="224">
        <v>1359.94444444444</v>
      </c>
      <c r="F4760" s="515" t="s">
        <v>6020</v>
      </c>
      <c r="G4760" s="52">
        <v>281404.579227145</v>
      </c>
      <c r="H4760" s="56">
        <v>0.14820129687485795</v>
      </c>
      <c r="I4760" s="224" t="s">
        <v>2</v>
      </c>
    </row>
    <row r="4761" spans="1:9" x14ac:dyDescent="0.25">
      <c r="A4761" s="515">
        <v>36109</v>
      </c>
      <c r="B4761" s="515" t="s">
        <v>806</v>
      </c>
      <c r="C4761" s="52">
        <v>142332.88712108301</v>
      </c>
      <c r="D4761" s="56">
        <v>7.6075349022426103E-2</v>
      </c>
      <c r="E4761" s="224">
        <v>1028.88888888888</v>
      </c>
      <c r="F4761" s="515" t="s">
        <v>6021</v>
      </c>
      <c r="G4761" s="52">
        <v>271022.12623097497</v>
      </c>
      <c r="H4761" s="56">
        <v>0</v>
      </c>
      <c r="I4761" s="224">
        <v>1629.1666666666599</v>
      </c>
    </row>
    <row r="4762" spans="1:9" x14ac:dyDescent="0.25">
      <c r="A4762" s="515">
        <v>44236</v>
      </c>
      <c r="B4762" s="515" t="s">
        <v>1000</v>
      </c>
      <c r="C4762" s="52">
        <v>443627.21763756301</v>
      </c>
      <c r="D4762" s="56">
        <v>5.8177499372924282E-2</v>
      </c>
      <c r="E4762" s="224">
        <v>2427</v>
      </c>
      <c r="F4762" s="515" t="s">
        <v>6022</v>
      </c>
      <c r="G4762" s="52">
        <v>619370.97940915101</v>
      </c>
      <c r="H4762" s="56">
        <v>4.1993735517190739E-2</v>
      </c>
      <c r="I4762" s="224" t="s">
        <v>2</v>
      </c>
    </row>
    <row r="4763" spans="1:9" x14ac:dyDescent="0.25">
      <c r="A4763" s="515">
        <v>45356</v>
      </c>
      <c r="B4763" s="515" t="s">
        <v>340</v>
      </c>
      <c r="C4763" s="52">
        <v>137465.51326921501</v>
      </c>
      <c r="D4763" s="56">
        <v>7.9894222473052279E-2</v>
      </c>
      <c r="E4763" s="224" t="s">
        <v>2</v>
      </c>
      <c r="F4763" s="515" t="s">
        <v>6023</v>
      </c>
      <c r="G4763" s="52">
        <v>287614.95807704702</v>
      </c>
      <c r="H4763" s="56">
        <v>8.2330723608747811E-2</v>
      </c>
      <c r="I4763" s="224" t="s">
        <v>2</v>
      </c>
    </row>
    <row r="4764" spans="1:9" x14ac:dyDescent="0.25">
      <c r="A4764" s="515">
        <v>22902</v>
      </c>
      <c r="B4764" s="515" t="s">
        <v>630</v>
      </c>
      <c r="C4764" s="52">
        <v>411028.02905125398</v>
      </c>
      <c r="D4764" s="56">
        <v>8.1659109986883652E-2</v>
      </c>
      <c r="E4764" s="224">
        <v>1860.6111111111099</v>
      </c>
      <c r="F4764" s="515" t="s">
        <v>6024</v>
      </c>
      <c r="G4764" s="52">
        <v>71428.238577735305</v>
      </c>
      <c r="H4764" s="56">
        <v>1.2224179490810694E-2</v>
      </c>
      <c r="I4764" s="224" t="s">
        <v>2</v>
      </c>
    </row>
    <row r="4765" spans="1:9" x14ac:dyDescent="0.25">
      <c r="A4765" s="515">
        <v>55316</v>
      </c>
      <c r="B4765" s="515" t="s">
        <v>532</v>
      </c>
      <c r="C4765" s="52">
        <v>337406.95647519</v>
      </c>
      <c r="D4765" s="56">
        <v>2.7598010232056467E-2</v>
      </c>
      <c r="E4765" s="224">
        <v>1743.2777777777701</v>
      </c>
      <c r="F4765" s="515" t="s">
        <v>6025</v>
      </c>
      <c r="G4765" s="52">
        <v>273308.92992949497</v>
      </c>
      <c r="H4765" s="56">
        <v>0.14459460031423133</v>
      </c>
      <c r="I4765" s="224" t="s">
        <v>2</v>
      </c>
    </row>
    <row r="4766" spans="1:9" x14ac:dyDescent="0.25">
      <c r="A4766" s="515">
        <v>17201</v>
      </c>
      <c r="B4766" s="515" t="s">
        <v>372</v>
      </c>
      <c r="C4766" s="52">
        <v>212035.784375168</v>
      </c>
      <c r="D4766" s="56">
        <v>7.4884111489915348E-2</v>
      </c>
      <c r="E4766" s="224">
        <v>1215</v>
      </c>
      <c r="F4766" s="515" t="s">
        <v>6026</v>
      </c>
      <c r="G4766" s="52">
        <v>194811.71029837101</v>
      </c>
      <c r="H4766" s="56">
        <v>8.2736936719111073E-2</v>
      </c>
      <c r="I4766" s="224" t="s">
        <v>2</v>
      </c>
    </row>
    <row r="4767" spans="1:9" x14ac:dyDescent="0.25">
      <c r="A4767" s="515">
        <v>17036</v>
      </c>
      <c r="B4767" s="515" t="s">
        <v>428</v>
      </c>
      <c r="C4767" s="52">
        <v>314844.15128352598</v>
      </c>
      <c r="D4767" s="56">
        <v>9.5242138698411777E-2</v>
      </c>
      <c r="E4767" s="224">
        <v>1962.5</v>
      </c>
      <c r="F4767" s="515" t="s">
        <v>6027</v>
      </c>
      <c r="G4767" s="52">
        <v>1832357.4977412401</v>
      </c>
      <c r="H4767" s="56">
        <v>6.6799580474231859E-2</v>
      </c>
      <c r="I4767" s="224">
        <v>4408.8888888888896</v>
      </c>
    </row>
    <row r="4768" spans="1:9" x14ac:dyDescent="0.25">
      <c r="A4768" s="515">
        <v>97015</v>
      </c>
      <c r="B4768" s="515" t="s">
        <v>659</v>
      </c>
      <c r="C4768" s="52">
        <v>548197.19394505804</v>
      </c>
      <c r="D4768" s="56">
        <v>2.3699708220924414E-2</v>
      </c>
      <c r="E4768" s="224">
        <v>1932.3472222222199</v>
      </c>
      <c r="F4768" s="515" t="s">
        <v>6028</v>
      </c>
      <c r="G4768" s="52">
        <v>294152.58893240301</v>
      </c>
      <c r="H4768" s="56">
        <v>8.2310401472873912E-2</v>
      </c>
      <c r="I4768" s="224">
        <v>1645</v>
      </c>
    </row>
    <row r="4769" spans="1:9" x14ac:dyDescent="0.25">
      <c r="A4769" s="515">
        <v>80023</v>
      </c>
      <c r="B4769" s="515" t="s">
        <v>401</v>
      </c>
      <c r="C4769" s="52">
        <v>846723.37248387397</v>
      </c>
      <c r="D4769" s="56">
        <v>1.4759750219694882E-2</v>
      </c>
      <c r="E4769" s="224">
        <v>2056.0894993894899</v>
      </c>
      <c r="F4769" s="515" t="s">
        <v>6029</v>
      </c>
      <c r="G4769" s="52">
        <v>157178.28782818501</v>
      </c>
      <c r="H4769" s="56">
        <v>8.1493060207354279E-2</v>
      </c>
      <c r="I4769" s="224" t="s">
        <v>2</v>
      </c>
    </row>
    <row r="4770" spans="1:9" x14ac:dyDescent="0.25">
      <c r="A4770" s="515">
        <v>2346</v>
      </c>
      <c r="B4770" s="515" t="s">
        <v>534</v>
      </c>
      <c r="C4770" s="52">
        <v>475856.64618851501</v>
      </c>
      <c r="D4770" s="56">
        <v>6.9517105021592682E-2</v>
      </c>
      <c r="E4770" s="224" t="s">
        <v>2</v>
      </c>
      <c r="F4770" s="515" t="s">
        <v>6030</v>
      </c>
      <c r="G4770" s="52">
        <v>133114.656907692</v>
      </c>
      <c r="H4770" s="56">
        <v>9.7975689428872303E-2</v>
      </c>
      <c r="I4770" s="224">
        <v>910.75</v>
      </c>
    </row>
    <row r="4771" spans="1:9" x14ac:dyDescent="0.25">
      <c r="A4771" s="515">
        <v>98248</v>
      </c>
      <c r="B4771" s="515" t="s">
        <v>412</v>
      </c>
      <c r="C4771" s="52">
        <v>569258.49244204594</v>
      </c>
      <c r="D4771" s="56">
        <v>3.0180686459284709E-2</v>
      </c>
      <c r="E4771" s="224" t="s">
        <v>2</v>
      </c>
      <c r="F4771" s="515" t="s">
        <v>6031</v>
      </c>
      <c r="G4771" s="52">
        <v>221933.680000436</v>
      </c>
      <c r="H4771" s="56">
        <v>5.9516794686597138E-2</v>
      </c>
      <c r="I4771" s="224" t="s">
        <v>2</v>
      </c>
    </row>
    <row r="4772" spans="1:9" x14ac:dyDescent="0.25">
      <c r="A4772" s="515">
        <v>29527</v>
      </c>
      <c r="B4772" s="515" t="s">
        <v>703</v>
      </c>
      <c r="C4772" s="52">
        <v>254369.90471756799</v>
      </c>
      <c r="D4772" s="56">
        <v>0.16702919378307868</v>
      </c>
      <c r="E4772" s="224" t="s">
        <v>2</v>
      </c>
      <c r="F4772" s="515" t="s">
        <v>6032</v>
      </c>
      <c r="G4772" s="52">
        <v>834560.53562126996</v>
      </c>
      <c r="H4772" s="56">
        <v>0.10574111371220775</v>
      </c>
      <c r="I4772" s="224" t="s">
        <v>2</v>
      </c>
    </row>
    <row r="4773" spans="1:9" x14ac:dyDescent="0.25">
      <c r="A4773" s="515">
        <v>11776</v>
      </c>
      <c r="B4773" s="515" t="s">
        <v>324</v>
      </c>
      <c r="C4773" s="52">
        <v>490147.57974399999</v>
      </c>
      <c r="D4773" s="56">
        <v>4.1199845507925312E-2</v>
      </c>
      <c r="E4773" s="224" t="s">
        <v>2</v>
      </c>
      <c r="F4773" s="515" t="s">
        <v>6033</v>
      </c>
      <c r="G4773" s="52">
        <v>112084.91554250399</v>
      </c>
      <c r="H4773" s="56">
        <v>5.9096034623935791E-2</v>
      </c>
      <c r="I4773" s="224" t="s">
        <v>2</v>
      </c>
    </row>
    <row r="4774" spans="1:9" x14ac:dyDescent="0.25">
      <c r="A4774" s="515">
        <v>37388</v>
      </c>
      <c r="B4774" s="515" t="s">
        <v>977</v>
      </c>
      <c r="C4774" s="52">
        <v>242869.041730475</v>
      </c>
      <c r="D4774" s="56">
        <v>8.045737736175082E-2</v>
      </c>
      <c r="E4774" s="224" t="s">
        <v>2</v>
      </c>
      <c r="F4774" s="515" t="s">
        <v>6034</v>
      </c>
      <c r="G4774" s="52">
        <v>171043.87567692299</v>
      </c>
      <c r="H4774" s="56">
        <v>8.1786174144938051E-2</v>
      </c>
      <c r="I4774" s="224" t="s">
        <v>2</v>
      </c>
    </row>
    <row r="4775" spans="1:9" x14ac:dyDescent="0.25">
      <c r="A4775" s="515">
        <v>53202</v>
      </c>
      <c r="B4775" s="515" t="s">
        <v>950</v>
      </c>
      <c r="C4775" s="52">
        <v>300651.50513805699</v>
      </c>
      <c r="D4775" s="56">
        <v>5.4825122904091611E-2</v>
      </c>
      <c r="E4775" s="224">
        <v>1407.2138447971699</v>
      </c>
      <c r="F4775" s="515" t="s">
        <v>6035</v>
      </c>
      <c r="G4775" s="52">
        <v>163699.30303385301</v>
      </c>
      <c r="H4775" s="56">
        <v>7.6446946323023637E-2</v>
      </c>
      <c r="I4775" s="224" t="s">
        <v>2</v>
      </c>
    </row>
    <row r="4776" spans="1:9" x14ac:dyDescent="0.25">
      <c r="A4776" s="515">
        <v>33967</v>
      </c>
      <c r="B4776" s="515" t="s">
        <v>661</v>
      </c>
      <c r="C4776" s="52">
        <v>377992.86347777903</v>
      </c>
      <c r="D4776" s="56">
        <v>9.4011595190357858E-2</v>
      </c>
      <c r="E4776" s="224">
        <v>2464.4444444444398</v>
      </c>
      <c r="F4776" s="515" t="s">
        <v>6036</v>
      </c>
      <c r="G4776" s="52">
        <v>286517.31650032499</v>
      </c>
      <c r="H4776" s="56">
        <v>7.5968214736727935E-2</v>
      </c>
      <c r="I4776" s="224" t="s">
        <v>2</v>
      </c>
    </row>
    <row r="4777" spans="1:9" x14ac:dyDescent="0.25">
      <c r="A4777" s="515">
        <v>7644</v>
      </c>
      <c r="B4777" s="515" t="s">
        <v>324</v>
      </c>
      <c r="C4777" s="52">
        <v>491562.485468422</v>
      </c>
      <c r="D4777" s="56">
        <v>3.901968063809344E-2</v>
      </c>
      <c r="E4777" s="224">
        <v>2027.9166666666599</v>
      </c>
      <c r="F4777" s="515" t="s">
        <v>6037</v>
      </c>
      <c r="G4777" s="52">
        <v>138128.38165276501</v>
      </c>
      <c r="H4777" s="56">
        <v>4.975559845459876E-2</v>
      </c>
      <c r="I4777" s="224" t="s">
        <v>2</v>
      </c>
    </row>
    <row r="4778" spans="1:9" x14ac:dyDescent="0.25">
      <c r="A4778" s="515">
        <v>84032</v>
      </c>
      <c r="B4778" s="515" t="s">
        <v>502</v>
      </c>
      <c r="C4778" s="52">
        <v>775438.25725268899</v>
      </c>
      <c r="D4778" s="56">
        <v>4.9003404718322222E-2</v>
      </c>
      <c r="E4778" s="224" t="s">
        <v>2</v>
      </c>
      <c r="F4778" s="515" t="s">
        <v>6038</v>
      </c>
      <c r="G4778" s="52">
        <v>537146.19870873506</v>
      </c>
      <c r="H4778" s="56">
        <v>0.12637861679871906</v>
      </c>
      <c r="I4778" s="224" t="s">
        <v>2</v>
      </c>
    </row>
    <row r="4779" spans="1:9" x14ac:dyDescent="0.25">
      <c r="A4779" s="515">
        <v>84302</v>
      </c>
      <c r="B4779" s="515" t="s">
        <v>628</v>
      </c>
      <c r="C4779" s="52">
        <v>392664.47100322502</v>
      </c>
      <c r="D4779" s="56">
        <v>2.6706097592350538E-2</v>
      </c>
      <c r="E4779" s="224" t="s">
        <v>2</v>
      </c>
      <c r="F4779" s="515" t="s">
        <v>6039</v>
      </c>
      <c r="G4779" s="52">
        <v>623579.34692650905</v>
      </c>
      <c r="H4779" s="56">
        <v>6.074593472528042E-2</v>
      </c>
      <c r="I4779" s="224" t="s">
        <v>2</v>
      </c>
    </row>
    <row r="4780" spans="1:9" x14ac:dyDescent="0.25">
      <c r="A4780" s="515">
        <v>56303</v>
      </c>
      <c r="B4780" s="515" t="s">
        <v>418</v>
      </c>
      <c r="C4780" s="52">
        <v>209285.14447868601</v>
      </c>
      <c r="D4780" s="56">
        <v>5.0197019479537364E-2</v>
      </c>
      <c r="E4780" s="224">
        <v>1177.5</v>
      </c>
      <c r="F4780" s="515" t="s">
        <v>6040</v>
      </c>
      <c r="G4780" s="52">
        <v>339507.09928708099</v>
      </c>
      <c r="H4780" s="56">
        <v>8.9997094246423243E-2</v>
      </c>
      <c r="I4780" s="224" t="s">
        <v>2</v>
      </c>
    </row>
    <row r="4781" spans="1:9" x14ac:dyDescent="0.25">
      <c r="A4781" s="515">
        <v>97212</v>
      </c>
      <c r="B4781" s="515" t="s">
        <v>659</v>
      </c>
      <c r="C4781" s="52">
        <v>747087.223042525</v>
      </c>
      <c r="D4781" s="56">
        <v>-4.709093382460886E-3</v>
      </c>
      <c r="E4781" s="224">
        <v>2092.3904761904701</v>
      </c>
      <c r="F4781" s="515" t="s">
        <v>6041</v>
      </c>
      <c r="G4781" s="52">
        <v>322203.92242577701</v>
      </c>
      <c r="H4781" s="56">
        <v>0.11560724876574596</v>
      </c>
      <c r="I4781" s="224" t="s">
        <v>2</v>
      </c>
    </row>
    <row r="4782" spans="1:9" x14ac:dyDescent="0.25">
      <c r="A4782" s="515">
        <v>6473</v>
      </c>
      <c r="B4782" s="515" t="s">
        <v>1172</v>
      </c>
      <c r="C4782" s="52">
        <v>375234.28579169302</v>
      </c>
      <c r="D4782" s="56">
        <v>7.9786387485558913E-2</v>
      </c>
      <c r="E4782" s="224" t="s">
        <v>2</v>
      </c>
      <c r="F4782" s="515" t="s">
        <v>6042</v>
      </c>
      <c r="G4782" s="52">
        <v>505082.86086411402</v>
      </c>
      <c r="H4782" s="56">
        <v>0.10082291216782838</v>
      </c>
      <c r="I4782" s="224">
        <v>2085.1666666666601</v>
      </c>
    </row>
    <row r="4783" spans="1:9" x14ac:dyDescent="0.25">
      <c r="A4783" s="515">
        <v>28144</v>
      </c>
      <c r="B4783" s="515" t="s">
        <v>360</v>
      </c>
      <c r="C4783" s="52">
        <v>194867.62545120099</v>
      </c>
      <c r="D4783" s="56">
        <v>0.14125316655245199</v>
      </c>
      <c r="E4783" s="224">
        <v>1270</v>
      </c>
      <c r="F4783" s="515" t="s">
        <v>6043</v>
      </c>
      <c r="G4783" s="52">
        <v>266254.58478522499</v>
      </c>
      <c r="H4783" s="56">
        <v>5.7013118107156237E-2</v>
      </c>
      <c r="I4783" s="224" t="s">
        <v>2</v>
      </c>
    </row>
    <row r="4784" spans="1:9" x14ac:dyDescent="0.25">
      <c r="A4784" s="515">
        <v>7869</v>
      </c>
      <c r="B4784" s="515" t="s">
        <v>324</v>
      </c>
      <c r="C4784" s="52">
        <v>625292.08861839899</v>
      </c>
      <c r="D4784" s="56">
        <v>4.6298723557981827E-2</v>
      </c>
      <c r="E4784" s="224" t="s">
        <v>2</v>
      </c>
      <c r="F4784" s="515" t="s">
        <v>6044</v>
      </c>
      <c r="G4784" s="52">
        <v>149009.21156069299</v>
      </c>
      <c r="H4784" s="56">
        <v>0</v>
      </c>
      <c r="I4784" s="224" t="s">
        <v>2</v>
      </c>
    </row>
    <row r="4785" spans="1:9" x14ac:dyDescent="0.25">
      <c r="A4785" s="515">
        <v>98110</v>
      </c>
      <c r="B4785" s="515" t="s">
        <v>620</v>
      </c>
      <c r="C4785" s="52">
        <v>1146652.16170152</v>
      </c>
      <c r="D4785" s="56">
        <v>3.0316020306118387E-2</v>
      </c>
      <c r="E4785" s="224">
        <v>2768.9682539682499</v>
      </c>
      <c r="F4785" s="515" t="s">
        <v>6045</v>
      </c>
      <c r="G4785" s="52">
        <v>108688.765042288</v>
      </c>
      <c r="H4785" s="56">
        <v>5.4548315415225167E-2</v>
      </c>
      <c r="I4785" s="224" t="s">
        <v>2</v>
      </c>
    </row>
    <row r="4786" spans="1:9" x14ac:dyDescent="0.25">
      <c r="A4786" s="515">
        <v>7112</v>
      </c>
      <c r="B4786" s="515" t="s">
        <v>324</v>
      </c>
      <c r="C4786" s="52">
        <v>399878.04345056898</v>
      </c>
      <c r="D4786" s="56">
        <v>9.3816697591415033E-2</v>
      </c>
      <c r="E4786" s="224">
        <v>1807.4166666666599</v>
      </c>
      <c r="F4786" s="515" t="s">
        <v>6046</v>
      </c>
      <c r="G4786" s="52">
        <v>358705.252362256</v>
      </c>
      <c r="H4786" s="56">
        <v>8.081244891975059E-2</v>
      </c>
      <c r="I4786" s="224" t="s">
        <v>2</v>
      </c>
    </row>
    <row r="4787" spans="1:9" x14ac:dyDescent="0.25">
      <c r="A4787" s="515">
        <v>55417</v>
      </c>
      <c r="B4787" s="515" t="s">
        <v>532</v>
      </c>
      <c r="C4787" s="52">
        <v>333919.972450834</v>
      </c>
      <c r="D4787" s="56">
        <v>5.4359691110609988E-2</v>
      </c>
      <c r="E4787" s="224" t="s">
        <v>2</v>
      </c>
      <c r="F4787" s="515" t="s">
        <v>6047</v>
      </c>
      <c r="G4787" s="52">
        <v>275960.96889636602</v>
      </c>
      <c r="H4787" s="56">
        <v>9.8314639863359948E-2</v>
      </c>
      <c r="I4787" s="224" t="s">
        <v>2</v>
      </c>
    </row>
    <row r="4788" spans="1:9" x14ac:dyDescent="0.25">
      <c r="A4788" s="515">
        <v>60013</v>
      </c>
      <c r="B4788" s="515" t="s">
        <v>394</v>
      </c>
      <c r="C4788" s="52">
        <v>303018.11001559201</v>
      </c>
      <c r="D4788" s="56">
        <v>7.7128173787208418E-2</v>
      </c>
      <c r="E4788" s="224" t="s">
        <v>2</v>
      </c>
      <c r="F4788" s="515" t="s">
        <v>6048</v>
      </c>
      <c r="G4788" s="52">
        <v>289846.01700700202</v>
      </c>
      <c r="H4788" s="56">
        <v>5.4719697467854822E-2</v>
      </c>
      <c r="I4788" s="224" t="s">
        <v>2</v>
      </c>
    </row>
    <row r="4789" spans="1:9" x14ac:dyDescent="0.25">
      <c r="A4789" s="515">
        <v>60061</v>
      </c>
      <c r="B4789" s="515" t="s">
        <v>394</v>
      </c>
      <c r="C4789" s="52">
        <v>353249.32425128698</v>
      </c>
      <c r="D4789" s="56">
        <v>5.5430730790540658E-2</v>
      </c>
      <c r="E4789" s="224">
        <v>2210.88148148148</v>
      </c>
      <c r="F4789" s="515" t="s">
        <v>6049</v>
      </c>
      <c r="G4789" s="52">
        <v>180975.580215864</v>
      </c>
      <c r="H4789" s="56">
        <v>6.2893765512002972E-2</v>
      </c>
      <c r="I4789" s="224" t="s">
        <v>2</v>
      </c>
    </row>
    <row r="4790" spans="1:9" x14ac:dyDescent="0.25">
      <c r="A4790" s="515">
        <v>72104</v>
      </c>
      <c r="B4790" s="515" t="s">
        <v>1064</v>
      </c>
      <c r="C4790" s="52">
        <v>119667.09927322299</v>
      </c>
      <c r="D4790" s="56">
        <v>0.10214362312632939</v>
      </c>
      <c r="E4790" s="224" t="s">
        <v>2</v>
      </c>
      <c r="F4790" s="515" t="s">
        <v>6050</v>
      </c>
      <c r="G4790" s="52">
        <v>395237.97306369798</v>
      </c>
      <c r="H4790" s="56">
        <v>2.1618758294295531E-2</v>
      </c>
      <c r="I4790" s="224" t="s">
        <v>2</v>
      </c>
    </row>
    <row r="4791" spans="1:9" x14ac:dyDescent="0.25">
      <c r="A4791" s="515">
        <v>78503</v>
      </c>
      <c r="B4791" s="515" t="s">
        <v>550</v>
      </c>
      <c r="C4791" s="52">
        <v>160047.93924388499</v>
      </c>
      <c r="D4791" s="56">
        <v>0.17157141410057003</v>
      </c>
      <c r="E4791" s="224">
        <v>1600</v>
      </c>
      <c r="F4791" s="515" t="s">
        <v>6051</v>
      </c>
      <c r="G4791" s="52">
        <v>107232.36879341</v>
      </c>
      <c r="H4791" s="56">
        <v>0.12430188458480126</v>
      </c>
      <c r="I4791" s="224" t="s">
        <v>2</v>
      </c>
    </row>
    <row r="4792" spans="1:9" x14ac:dyDescent="0.25">
      <c r="A4792" s="515">
        <v>40403</v>
      </c>
      <c r="B4792" s="515" t="s">
        <v>1129</v>
      </c>
      <c r="C4792" s="52">
        <v>201980.24929252101</v>
      </c>
      <c r="D4792" s="56">
        <v>9.3137810361362469E-2</v>
      </c>
      <c r="E4792" s="224" t="s">
        <v>2</v>
      </c>
      <c r="F4792" s="515" t="s">
        <v>6052</v>
      </c>
      <c r="G4792" s="52">
        <v>191209.22096606501</v>
      </c>
      <c r="H4792" s="56">
        <v>6.528758800058504E-2</v>
      </c>
      <c r="I4792" s="224" t="s">
        <v>2</v>
      </c>
    </row>
    <row r="4793" spans="1:9" x14ac:dyDescent="0.25">
      <c r="A4793" s="515">
        <v>34202</v>
      </c>
      <c r="B4793" s="515" t="s">
        <v>466</v>
      </c>
      <c r="C4793" s="52">
        <v>724535.324913605</v>
      </c>
      <c r="D4793" s="56">
        <v>0.16077188963544078</v>
      </c>
      <c r="E4793" s="224">
        <v>2603.4055555555501</v>
      </c>
      <c r="F4793" s="515" t="s">
        <v>6053</v>
      </c>
      <c r="G4793" s="52">
        <v>117908.192790025</v>
      </c>
      <c r="H4793" s="56">
        <v>-2.5303886819876019E-2</v>
      </c>
      <c r="I4793" s="224" t="s">
        <v>2</v>
      </c>
    </row>
    <row r="4794" spans="1:9" x14ac:dyDescent="0.25">
      <c r="A4794" s="515">
        <v>14623</v>
      </c>
      <c r="B4794" s="515" t="s">
        <v>337</v>
      </c>
      <c r="C4794" s="52">
        <v>190271.81007149801</v>
      </c>
      <c r="D4794" s="56">
        <v>7.3244070859807969E-2</v>
      </c>
      <c r="E4794" s="224">
        <v>1863.3333333333301</v>
      </c>
      <c r="F4794" s="515" t="s">
        <v>6054</v>
      </c>
      <c r="G4794" s="52">
        <v>243275.34664946</v>
      </c>
      <c r="H4794" s="56">
        <v>0.1115343926260219</v>
      </c>
      <c r="I4794" s="224" t="s">
        <v>2</v>
      </c>
    </row>
    <row r="4795" spans="1:9" x14ac:dyDescent="0.25">
      <c r="A4795" s="515">
        <v>61802</v>
      </c>
      <c r="B4795" s="515" t="s">
        <v>417</v>
      </c>
      <c r="C4795" s="52">
        <v>165136.400697509</v>
      </c>
      <c r="D4795" s="56">
        <v>5.3674880570604211E-2</v>
      </c>
      <c r="E4795" s="224" t="s">
        <v>2</v>
      </c>
      <c r="F4795" s="515" t="s">
        <v>6055</v>
      </c>
      <c r="G4795" s="52">
        <v>295843.83472144499</v>
      </c>
      <c r="H4795" s="56">
        <v>3.4833245916292874E-2</v>
      </c>
      <c r="I4795" s="224" t="s">
        <v>2</v>
      </c>
    </row>
    <row r="4796" spans="1:9" x14ac:dyDescent="0.25">
      <c r="A4796" s="515">
        <v>42066</v>
      </c>
      <c r="B4796" s="515" t="s">
        <v>933</v>
      </c>
      <c r="C4796" s="52">
        <v>137842.68499120499</v>
      </c>
      <c r="D4796" s="56">
        <v>0.21974110662503679</v>
      </c>
      <c r="E4796" s="224" t="s">
        <v>2</v>
      </c>
      <c r="F4796" s="515" t="s">
        <v>6056</v>
      </c>
      <c r="G4796" s="52">
        <v>92773.336871768493</v>
      </c>
      <c r="H4796" s="56">
        <v>0.14281325000491801</v>
      </c>
      <c r="I4796" s="224" t="s">
        <v>2</v>
      </c>
    </row>
    <row r="4797" spans="1:9" x14ac:dyDescent="0.25">
      <c r="A4797" s="515">
        <v>45039</v>
      </c>
      <c r="B4797" s="515" t="s">
        <v>344</v>
      </c>
      <c r="C4797" s="52">
        <v>338378.76342670701</v>
      </c>
      <c r="D4797" s="56">
        <v>9.9838590413681205E-2</v>
      </c>
      <c r="E4797" s="224">
        <v>1824.8333333333301</v>
      </c>
      <c r="F4797" s="515" t="s">
        <v>6057</v>
      </c>
      <c r="G4797" s="52">
        <v>314632.57985321298</v>
      </c>
      <c r="H4797" s="56">
        <v>9.2553477842149928E-2</v>
      </c>
      <c r="I4797" s="224" t="s">
        <v>2</v>
      </c>
    </row>
    <row r="4798" spans="1:9" x14ac:dyDescent="0.25">
      <c r="A4798" s="515">
        <v>72903</v>
      </c>
      <c r="B4798" s="515" t="s">
        <v>326</v>
      </c>
      <c r="C4798" s="52">
        <v>202282.044215831</v>
      </c>
      <c r="D4798" s="56">
        <v>5.8398742067725377E-2</v>
      </c>
      <c r="E4798" s="224">
        <v>1316.6666666666599</v>
      </c>
      <c r="F4798" s="515" t="s">
        <v>6058</v>
      </c>
      <c r="G4798" s="52">
        <v>232325.59801459001</v>
      </c>
      <c r="H4798" s="56">
        <v>9.5624386891362975E-2</v>
      </c>
      <c r="I4798" s="224" t="s">
        <v>2</v>
      </c>
    </row>
    <row r="4799" spans="1:9" x14ac:dyDescent="0.25">
      <c r="A4799" s="515">
        <v>23236</v>
      </c>
      <c r="B4799" s="515" t="s">
        <v>667</v>
      </c>
      <c r="C4799" s="52">
        <v>337222.99379540398</v>
      </c>
      <c r="D4799" s="56">
        <v>9.1412396824773076E-2</v>
      </c>
      <c r="E4799" s="224" t="s">
        <v>2</v>
      </c>
      <c r="F4799" s="515" t="s">
        <v>6059</v>
      </c>
      <c r="G4799" s="52">
        <v>448586.81119333598</v>
      </c>
      <c r="H4799" s="56">
        <v>8.4873453512058314E-2</v>
      </c>
      <c r="I4799" s="224" t="s">
        <v>2</v>
      </c>
    </row>
    <row r="4800" spans="1:9" x14ac:dyDescent="0.25">
      <c r="A4800" s="515">
        <v>6830</v>
      </c>
      <c r="B4800" s="515" t="s">
        <v>1173</v>
      </c>
      <c r="C4800" s="52">
        <v>2019019.2080862599</v>
      </c>
      <c r="D4800" s="56">
        <v>8.4269721956411053E-2</v>
      </c>
      <c r="E4800" s="224">
        <v>3644.4444444444398</v>
      </c>
      <c r="F4800" s="515" t="s">
        <v>732</v>
      </c>
      <c r="G4800" s="52">
        <v>177602.91065513101</v>
      </c>
      <c r="H4800" s="56">
        <v>5.659236847856336E-2</v>
      </c>
      <c r="I4800" s="224">
        <v>689.33333333333303</v>
      </c>
    </row>
    <row r="4801" spans="1:9" x14ac:dyDescent="0.25">
      <c r="A4801" s="515">
        <v>44305</v>
      </c>
      <c r="B4801" s="515" t="s">
        <v>1000</v>
      </c>
      <c r="C4801" s="52">
        <v>98734.0259173675</v>
      </c>
      <c r="D4801" s="56">
        <v>0.10010512487785753</v>
      </c>
      <c r="E4801" s="224">
        <v>1030.7777777777701</v>
      </c>
      <c r="F4801" s="515" t="s">
        <v>6060</v>
      </c>
      <c r="G4801" s="52">
        <v>231262.60805581301</v>
      </c>
      <c r="H4801" s="56">
        <v>5.5490091499316045E-2</v>
      </c>
      <c r="I4801" s="224" t="s">
        <v>2</v>
      </c>
    </row>
    <row r="4802" spans="1:9" x14ac:dyDescent="0.25">
      <c r="A4802" s="515">
        <v>61611</v>
      </c>
      <c r="B4802" s="515" t="s">
        <v>303</v>
      </c>
      <c r="C4802" s="52">
        <v>145176.597726104</v>
      </c>
      <c r="D4802" s="56">
        <v>5.8996984426652875E-2</v>
      </c>
      <c r="E4802" s="224" t="s">
        <v>2</v>
      </c>
      <c r="F4802" s="515" t="s">
        <v>6061</v>
      </c>
      <c r="G4802" s="52">
        <v>84218.472763036203</v>
      </c>
      <c r="H4802" s="56">
        <v>-2.8680688692728388E-2</v>
      </c>
      <c r="I4802" s="224" t="s">
        <v>2</v>
      </c>
    </row>
    <row r="4803" spans="1:9" x14ac:dyDescent="0.25">
      <c r="A4803" s="515">
        <v>90015</v>
      </c>
      <c r="B4803" s="515" t="s">
        <v>375</v>
      </c>
      <c r="C4803" s="52">
        <v>702354.35562289995</v>
      </c>
      <c r="D4803" s="56">
        <v>-1.9824654009124261E-2</v>
      </c>
      <c r="E4803" s="224">
        <v>2879.09640522875</v>
      </c>
      <c r="F4803" s="515" t="s">
        <v>6062</v>
      </c>
      <c r="G4803" s="52">
        <v>515318.73955688102</v>
      </c>
      <c r="H4803" s="56">
        <v>-1.3525254353368486E-2</v>
      </c>
      <c r="I4803" s="224">
        <v>2000.4722222222199</v>
      </c>
    </row>
    <row r="4804" spans="1:9" x14ac:dyDescent="0.25">
      <c r="A4804" s="515">
        <v>28379</v>
      </c>
      <c r="B4804" s="515" t="s">
        <v>535</v>
      </c>
      <c r="C4804" s="52">
        <v>112799.102925807</v>
      </c>
      <c r="D4804" s="56">
        <v>0.17382676712814632</v>
      </c>
      <c r="E4804" s="224" t="s">
        <v>2</v>
      </c>
      <c r="F4804" s="515" t="s">
        <v>6063</v>
      </c>
      <c r="G4804" s="52">
        <v>82523.452290176807</v>
      </c>
      <c r="H4804" s="56">
        <v>3.0445417474129141E-2</v>
      </c>
      <c r="I4804" s="224" t="s">
        <v>2</v>
      </c>
    </row>
    <row r="4805" spans="1:9" x14ac:dyDescent="0.25">
      <c r="A4805" s="515">
        <v>32168</v>
      </c>
      <c r="B4805" s="515" t="s">
        <v>974</v>
      </c>
      <c r="C4805" s="52">
        <v>374724.92973131803</v>
      </c>
      <c r="D4805" s="56">
        <v>0.1336317212904585</v>
      </c>
      <c r="E4805" s="224">
        <v>2210.5555555555502</v>
      </c>
      <c r="F4805" s="515" t="s">
        <v>6064</v>
      </c>
      <c r="G4805" s="52">
        <v>96985.166271441907</v>
      </c>
      <c r="H4805" s="56">
        <v>0.14328813808056076</v>
      </c>
      <c r="I4805" s="224" t="s">
        <v>2</v>
      </c>
    </row>
    <row r="4806" spans="1:9" x14ac:dyDescent="0.25">
      <c r="A4806" s="515">
        <v>38024</v>
      </c>
      <c r="B4806" s="515" t="s">
        <v>906</v>
      </c>
      <c r="C4806" s="52">
        <v>126749.64982837701</v>
      </c>
      <c r="D4806" s="56">
        <v>1.2905027491534082E-2</v>
      </c>
      <c r="E4806" s="224" t="s">
        <v>2</v>
      </c>
      <c r="F4806" s="515" t="s">
        <v>6065</v>
      </c>
      <c r="G4806" s="52">
        <v>128727.67321459801</v>
      </c>
      <c r="H4806" s="56">
        <v>-1.9500921991522719E-2</v>
      </c>
      <c r="I4806" s="224" t="s">
        <v>2</v>
      </c>
    </row>
    <row r="4807" spans="1:9" x14ac:dyDescent="0.25">
      <c r="A4807" s="515">
        <v>76801</v>
      </c>
      <c r="B4807" s="515" t="s">
        <v>947</v>
      </c>
      <c r="C4807" s="52">
        <v>144706.75917736199</v>
      </c>
      <c r="D4807" s="56">
        <v>4.3920893580102647E-3</v>
      </c>
      <c r="E4807" s="224" t="s">
        <v>2</v>
      </c>
      <c r="F4807" s="515" t="s">
        <v>6066</v>
      </c>
      <c r="G4807" s="52">
        <v>182015.85895015101</v>
      </c>
      <c r="H4807" s="56">
        <v>0.18231633872223105</v>
      </c>
      <c r="I4807" s="224" t="s">
        <v>2</v>
      </c>
    </row>
    <row r="4808" spans="1:9" x14ac:dyDescent="0.25">
      <c r="A4808" s="515">
        <v>80206</v>
      </c>
      <c r="B4808" s="515" t="s">
        <v>401</v>
      </c>
      <c r="C4808" s="52">
        <v>844845.55262877105</v>
      </c>
      <c r="D4808" s="56">
        <v>3.4275963178334576E-2</v>
      </c>
      <c r="E4808" s="224">
        <v>1868.7190476190401</v>
      </c>
      <c r="F4808" s="515" t="s">
        <v>6067</v>
      </c>
      <c r="G4808" s="52">
        <v>294029.52385159</v>
      </c>
      <c r="H4808" s="56">
        <v>0</v>
      </c>
      <c r="I4808" s="224" t="s">
        <v>2</v>
      </c>
    </row>
    <row r="4809" spans="1:9" x14ac:dyDescent="0.25">
      <c r="A4809" s="515">
        <v>94619</v>
      </c>
      <c r="B4809" s="515" t="s">
        <v>593</v>
      </c>
      <c r="C4809" s="52">
        <v>921085.27869405795</v>
      </c>
      <c r="D4809" s="56">
        <v>-5.3673722149827949E-2</v>
      </c>
      <c r="E4809" s="224">
        <v>3081.9444444444398</v>
      </c>
      <c r="F4809" s="515" t="s">
        <v>6068</v>
      </c>
      <c r="G4809" s="52">
        <v>533293.01488773804</v>
      </c>
      <c r="H4809" s="56">
        <v>6.3294731691418749E-2</v>
      </c>
      <c r="I4809" s="224" t="s">
        <v>2</v>
      </c>
    </row>
    <row r="4810" spans="1:9" x14ac:dyDescent="0.25">
      <c r="A4810" s="515">
        <v>32223</v>
      </c>
      <c r="B4810" s="515" t="s">
        <v>1158</v>
      </c>
      <c r="C4810" s="52">
        <v>408847.04024593998</v>
      </c>
      <c r="D4810" s="56">
        <v>0.10386697476583723</v>
      </c>
      <c r="E4810" s="224">
        <v>1742.7138888888801</v>
      </c>
      <c r="F4810" s="515" t="s">
        <v>6069</v>
      </c>
      <c r="G4810" s="52">
        <v>890622.14666712598</v>
      </c>
      <c r="H4810" s="56">
        <v>6.8620453743753626E-2</v>
      </c>
      <c r="I4810" s="224" t="s">
        <v>2</v>
      </c>
    </row>
    <row r="4811" spans="1:9" x14ac:dyDescent="0.25">
      <c r="A4811" s="515">
        <v>7801</v>
      </c>
      <c r="B4811" s="515" t="s">
        <v>324</v>
      </c>
      <c r="C4811" s="52">
        <v>393302.79043853498</v>
      </c>
      <c r="D4811" s="56">
        <v>5.6205802993640426E-2</v>
      </c>
      <c r="E4811" s="224" t="s">
        <v>2</v>
      </c>
      <c r="F4811" s="515" t="s">
        <v>6070</v>
      </c>
      <c r="G4811" s="52">
        <v>3502500.3324514199</v>
      </c>
      <c r="H4811" s="56">
        <v>1.287295851227218E-2</v>
      </c>
      <c r="I4811" s="224" t="s">
        <v>2</v>
      </c>
    </row>
    <row r="4812" spans="1:9" x14ac:dyDescent="0.25">
      <c r="A4812" s="515">
        <v>54022</v>
      </c>
      <c r="B4812" s="515" t="s">
        <v>532</v>
      </c>
      <c r="C4812" s="52">
        <v>346632.19493860099</v>
      </c>
      <c r="D4812" s="56">
        <v>5.1428363217703929E-2</v>
      </c>
      <c r="E4812" s="224">
        <v>1283.3333333333301</v>
      </c>
      <c r="F4812" s="515" t="s">
        <v>6071</v>
      </c>
      <c r="G4812" s="52">
        <v>260171.08526114299</v>
      </c>
      <c r="H4812" s="56">
        <v>6.2741777867378085E-2</v>
      </c>
      <c r="I4812" s="224" t="s">
        <v>2</v>
      </c>
    </row>
    <row r="4813" spans="1:9" x14ac:dyDescent="0.25">
      <c r="A4813" s="515">
        <v>2050</v>
      </c>
      <c r="B4813" s="515" t="s">
        <v>534</v>
      </c>
      <c r="C4813" s="52">
        <v>637753.79580680095</v>
      </c>
      <c r="D4813" s="56">
        <v>8.4599247144180156E-2</v>
      </c>
      <c r="E4813" s="224">
        <v>2686.3333333333298</v>
      </c>
      <c r="F4813" s="515" t="s">
        <v>6072</v>
      </c>
      <c r="G4813" s="52">
        <v>104709.349032887</v>
      </c>
      <c r="H4813" s="56">
        <v>6.1008582747490353E-2</v>
      </c>
      <c r="I4813" s="224" t="s">
        <v>2</v>
      </c>
    </row>
    <row r="4814" spans="1:9" x14ac:dyDescent="0.25">
      <c r="A4814" s="515">
        <v>28012</v>
      </c>
      <c r="B4814" s="515" t="s">
        <v>360</v>
      </c>
      <c r="C4814" s="52">
        <v>379917.766320517</v>
      </c>
      <c r="D4814" s="56">
        <v>0.10745353882808742</v>
      </c>
      <c r="E4814" s="224">
        <v>1753.55555555555</v>
      </c>
      <c r="F4814" s="515" t="s">
        <v>6073</v>
      </c>
      <c r="G4814" s="52">
        <v>152296.40911115499</v>
      </c>
      <c r="H4814" s="56">
        <v>7.9606885117107992E-2</v>
      </c>
      <c r="I4814" s="224" t="s">
        <v>2</v>
      </c>
    </row>
    <row r="4815" spans="1:9" x14ac:dyDescent="0.25">
      <c r="A4815" s="515">
        <v>34974</v>
      </c>
      <c r="B4815" s="515" t="s">
        <v>1209</v>
      </c>
      <c r="C4815" s="52">
        <v>238819.13828476099</v>
      </c>
      <c r="D4815" s="56">
        <v>0.12182633346468183</v>
      </c>
      <c r="E4815" s="224">
        <v>1500</v>
      </c>
      <c r="F4815" s="515" t="s">
        <v>6074</v>
      </c>
      <c r="G4815" s="52">
        <v>305239.541803776</v>
      </c>
      <c r="H4815" s="56">
        <v>8.329312750638504E-2</v>
      </c>
      <c r="I4815" s="224" t="s">
        <v>2</v>
      </c>
    </row>
    <row r="4816" spans="1:9" x14ac:dyDescent="0.25">
      <c r="A4816" s="515">
        <v>98053</v>
      </c>
      <c r="B4816" s="515" t="s">
        <v>384</v>
      </c>
      <c r="C4816" s="52">
        <v>1261615.2903334899</v>
      </c>
      <c r="D4816" s="56">
        <v>1.5103616787040999E-2</v>
      </c>
      <c r="E4816" s="224">
        <v>2905.3333333333298</v>
      </c>
      <c r="F4816" s="515" t="s">
        <v>6075</v>
      </c>
      <c r="G4816" s="52">
        <v>222071.62613076699</v>
      </c>
      <c r="H4816" s="56">
        <v>8.7509546499088004E-3</v>
      </c>
      <c r="I4816" s="224" t="s">
        <v>2</v>
      </c>
    </row>
    <row r="4817" spans="1:9" x14ac:dyDescent="0.25">
      <c r="A4817" s="515">
        <v>32606</v>
      </c>
      <c r="B4817" s="515" t="s">
        <v>577</v>
      </c>
      <c r="C4817" s="52">
        <v>329106.97414425103</v>
      </c>
      <c r="D4817" s="56">
        <v>9.5996449912656545E-2</v>
      </c>
      <c r="E4817" s="224">
        <v>1654.6714766714699</v>
      </c>
      <c r="F4817" s="515" t="s">
        <v>6076</v>
      </c>
      <c r="G4817" s="52">
        <v>177845.67920263001</v>
      </c>
      <c r="H4817" s="56">
        <v>0.12275304541102444</v>
      </c>
      <c r="I4817" s="224" t="s">
        <v>2</v>
      </c>
    </row>
    <row r="4818" spans="1:9" x14ac:dyDescent="0.25">
      <c r="A4818" s="515">
        <v>93933</v>
      </c>
      <c r="B4818" s="515" t="s">
        <v>443</v>
      </c>
      <c r="C4818" s="52">
        <v>789584.45476714196</v>
      </c>
      <c r="D4818" s="56">
        <v>2.6796264103799775E-2</v>
      </c>
      <c r="E4818" s="224">
        <v>3387.5</v>
      </c>
      <c r="F4818" s="515" t="s">
        <v>6077</v>
      </c>
      <c r="G4818" s="52">
        <v>368841.24378143903</v>
      </c>
      <c r="H4818" s="56">
        <v>-3.0726826652852549E-2</v>
      </c>
      <c r="I4818" s="224">
        <v>3194.4444444444398</v>
      </c>
    </row>
    <row r="4819" spans="1:9" x14ac:dyDescent="0.25">
      <c r="A4819" s="515">
        <v>86326</v>
      </c>
      <c r="B4819" s="515" t="s">
        <v>332</v>
      </c>
      <c r="C4819" s="52">
        <v>366791.39208638697</v>
      </c>
      <c r="D4819" s="56">
        <v>3.5325557770421082E-2</v>
      </c>
      <c r="E4819" s="224" t="s">
        <v>2</v>
      </c>
      <c r="F4819" s="515" t="s">
        <v>6078</v>
      </c>
      <c r="G4819" s="52">
        <v>203855.200008496</v>
      </c>
      <c r="H4819" s="56">
        <v>6.4635982265910996E-2</v>
      </c>
      <c r="I4819" s="224" t="s">
        <v>2</v>
      </c>
    </row>
    <row r="4820" spans="1:9" x14ac:dyDescent="0.25">
      <c r="A4820" s="515">
        <v>34219</v>
      </c>
      <c r="B4820" s="515" t="s">
        <v>466</v>
      </c>
      <c r="C4820" s="52">
        <v>488531.89771895902</v>
      </c>
      <c r="D4820" s="56">
        <v>0.14465997252801041</v>
      </c>
      <c r="E4820" s="224">
        <v>2622.3333333333298</v>
      </c>
      <c r="F4820" s="515" t="s">
        <v>6079</v>
      </c>
      <c r="G4820" s="52">
        <v>551673.87765034998</v>
      </c>
      <c r="H4820" s="56">
        <v>8.8442635520920562E-2</v>
      </c>
      <c r="I4820" s="224" t="s">
        <v>2</v>
      </c>
    </row>
    <row r="4821" spans="1:9" x14ac:dyDescent="0.25">
      <c r="A4821" s="515">
        <v>71118</v>
      </c>
      <c r="B4821" s="515" t="s">
        <v>739</v>
      </c>
      <c r="C4821" s="52">
        <v>158919.97998637101</v>
      </c>
      <c r="D4821" s="56">
        <v>3.7149481471674496E-2</v>
      </c>
      <c r="E4821" s="224">
        <v>1267.44444444444</v>
      </c>
      <c r="F4821" s="515" t="s">
        <v>6080</v>
      </c>
      <c r="G4821" s="52">
        <v>182435.46734178599</v>
      </c>
      <c r="H4821" s="56">
        <v>9.4576415699146169E-2</v>
      </c>
      <c r="I4821" s="224" t="s">
        <v>2</v>
      </c>
    </row>
    <row r="4822" spans="1:9" x14ac:dyDescent="0.25">
      <c r="A4822" s="515">
        <v>48141</v>
      </c>
      <c r="B4822" s="515" t="s">
        <v>685</v>
      </c>
      <c r="C4822" s="52">
        <v>83801.5435578037</v>
      </c>
      <c r="D4822" s="56">
        <v>0.11263596562297469</v>
      </c>
      <c r="E4822" s="224">
        <v>1140.19047619047</v>
      </c>
      <c r="F4822" s="515" t="s">
        <v>6081</v>
      </c>
      <c r="G4822" s="52">
        <v>213129.47897392701</v>
      </c>
      <c r="H4822" s="56">
        <v>8.4292463000474771E-2</v>
      </c>
      <c r="I4822" s="224" t="s">
        <v>2</v>
      </c>
    </row>
    <row r="4823" spans="1:9" x14ac:dyDescent="0.25">
      <c r="A4823" s="515">
        <v>8088</v>
      </c>
      <c r="B4823" s="515" t="s">
        <v>294</v>
      </c>
      <c r="C4823" s="52">
        <v>365569.40689108497</v>
      </c>
      <c r="D4823" s="56">
        <v>5.2710555367392775E-2</v>
      </c>
      <c r="E4823" s="224" t="s">
        <v>2</v>
      </c>
      <c r="F4823" s="515" t="s">
        <v>1169</v>
      </c>
      <c r="G4823" s="52">
        <v>1097262.2752847199</v>
      </c>
      <c r="H4823" s="56">
        <v>1.0359391445559616E-3</v>
      </c>
      <c r="I4823" s="224" t="s">
        <v>2</v>
      </c>
    </row>
    <row r="4824" spans="1:9" x14ac:dyDescent="0.25">
      <c r="A4824" s="515">
        <v>3431</v>
      </c>
      <c r="B4824" s="515" t="s">
        <v>747</v>
      </c>
      <c r="C4824" s="52">
        <v>284740.71600362501</v>
      </c>
      <c r="D4824" s="56">
        <v>0.16011682422739315</v>
      </c>
      <c r="E4824" s="224">
        <v>1565</v>
      </c>
      <c r="F4824" s="515" t="s">
        <v>6082</v>
      </c>
      <c r="G4824" s="52">
        <v>229761.84002372599</v>
      </c>
      <c r="H4824" s="56">
        <v>3.4366444356245023E-2</v>
      </c>
      <c r="I4824" s="224" t="s">
        <v>2</v>
      </c>
    </row>
    <row r="4825" spans="1:9" x14ac:dyDescent="0.25">
      <c r="A4825" s="515">
        <v>11795</v>
      </c>
      <c r="B4825" s="515" t="s">
        <v>324</v>
      </c>
      <c r="C4825" s="52">
        <v>590984.14907391102</v>
      </c>
      <c r="D4825" s="56">
        <v>3.3751353026048092E-2</v>
      </c>
      <c r="E4825" s="224" t="s">
        <v>2</v>
      </c>
      <c r="F4825" s="515" t="s">
        <v>6083</v>
      </c>
      <c r="G4825" s="52">
        <v>547206.16310216195</v>
      </c>
      <c r="H4825" s="56">
        <v>2.1166082084857683E-2</v>
      </c>
      <c r="I4825" s="224" t="s">
        <v>2</v>
      </c>
    </row>
    <row r="4826" spans="1:9" x14ac:dyDescent="0.25">
      <c r="A4826" s="515">
        <v>33166</v>
      </c>
      <c r="B4826" s="515" t="s">
        <v>831</v>
      </c>
      <c r="C4826" s="52">
        <v>523847.795598795</v>
      </c>
      <c r="D4826" s="56">
        <v>0.1725099034861263</v>
      </c>
      <c r="E4826" s="224">
        <v>2761.25925925925</v>
      </c>
      <c r="F4826" s="515" t="s">
        <v>6084</v>
      </c>
      <c r="G4826" s="52">
        <v>330545.462721602</v>
      </c>
      <c r="H4826" s="56">
        <v>6.4778607105367161E-2</v>
      </c>
      <c r="I4826" s="224" t="s">
        <v>2</v>
      </c>
    </row>
    <row r="4827" spans="1:9" x14ac:dyDescent="0.25">
      <c r="A4827" s="515">
        <v>11784</v>
      </c>
      <c r="B4827" s="515" t="s">
        <v>324</v>
      </c>
      <c r="C4827" s="52">
        <v>457945.44189224101</v>
      </c>
      <c r="D4827" s="56">
        <v>3.7166208410393413E-2</v>
      </c>
      <c r="E4827" s="224" t="s">
        <v>2</v>
      </c>
      <c r="F4827" s="515" t="s">
        <v>6085</v>
      </c>
      <c r="G4827" s="52">
        <v>179080.34039671099</v>
      </c>
      <c r="H4827" s="56">
        <v>0.14112945501006366</v>
      </c>
      <c r="I4827" s="224" t="s">
        <v>2</v>
      </c>
    </row>
    <row r="4828" spans="1:9" x14ac:dyDescent="0.25">
      <c r="A4828" s="515">
        <v>76048</v>
      </c>
      <c r="B4828" s="515" t="s">
        <v>1164</v>
      </c>
      <c r="C4828" s="52">
        <v>302439.661043106</v>
      </c>
      <c r="D4828" s="56">
        <v>5.5699281177301156E-2</v>
      </c>
      <c r="E4828" s="224">
        <v>1905.55555555555</v>
      </c>
      <c r="F4828" s="515" t="s">
        <v>6086</v>
      </c>
      <c r="G4828" s="52">
        <v>673927.395818969</v>
      </c>
      <c r="H4828" s="56">
        <v>1.5698250134764984E-2</v>
      </c>
      <c r="I4828" s="224">
        <v>2427.5</v>
      </c>
    </row>
    <row r="4829" spans="1:9" x14ac:dyDescent="0.25">
      <c r="A4829" s="515">
        <v>76049</v>
      </c>
      <c r="B4829" s="515" t="s">
        <v>1164</v>
      </c>
      <c r="C4829" s="52">
        <v>391831.49682461901</v>
      </c>
      <c r="D4829" s="56">
        <v>6.9749732044578322E-2</v>
      </c>
      <c r="E4829" s="224">
        <v>1795.8333333333301</v>
      </c>
      <c r="F4829" s="515" t="s">
        <v>6087</v>
      </c>
      <c r="G4829" s="52">
        <v>141528.145422184</v>
      </c>
      <c r="H4829" s="56">
        <v>5.4996346372323833E-2</v>
      </c>
      <c r="I4829" s="224" t="s">
        <v>2</v>
      </c>
    </row>
    <row r="4830" spans="1:9" x14ac:dyDescent="0.25">
      <c r="A4830" s="515">
        <v>39301</v>
      </c>
      <c r="B4830" s="515" t="s">
        <v>970</v>
      </c>
      <c r="C4830" s="52">
        <v>85009.870679965898</v>
      </c>
      <c r="D4830" s="56">
        <v>-1.2541200144660727E-2</v>
      </c>
      <c r="E4830" s="224" t="s">
        <v>2</v>
      </c>
      <c r="F4830" s="515" t="s">
        <v>6088</v>
      </c>
      <c r="G4830" s="52">
        <v>395106.40812935802</v>
      </c>
      <c r="H4830" s="56">
        <v>4.8506201020282927E-2</v>
      </c>
      <c r="I4830" s="224" t="s">
        <v>2</v>
      </c>
    </row>
    <row r="4831" spans="1:9" x14ac:dyDescent="0.25">
      <c r="A4831" s="515">
        <v>35020</v>
      </c>
      <c r="B4831" s="515" t="s">
        <v>640</v>
      </c>
      <c r="C4831" s="52">
        <v>58726.527730484398</v>
      </c>
      <c r="D4831" s="56">
        <v>0.24059228276003053</v>
      </c>
      <c r="E4831" s="224">
        <v>929.72222222222194</v>
      </c>
      <c r="F4831" s="515" t="s">
        <v>6089</v>
      </c>
      <c r="G4831" s="52">
        <v>315033.83853779099</v>
      </c>
      <c r="H4831" s="56">
        <v>0.13424001770947694</v>
      </c>
      <c r="I4831" s="224" t="s">
        <v>2</v>
      </c>
    </row>
    <row r="4832" spans="1:9" x14ac:dyDescent="0.25">
      <c r="A4832" s="515">
        <v>56308</v>
      </c>
      <c r="B4832" s="515" t="s">
        <v>965</v>
      </c>
      <c r="C4832" s="52">
        <v>300763.16436812899</v>
      </c>
      <c r="D4832" s="56">
        <v>5.6866194086770849E-2</v>
      </c>
      <c r="E4832" s="224" t="s">
        <v>2</v>
      </c>
      <c r="F4832" s="515" t="s">
        <v>6090</v>
      </c>
      <c r="G4832" s="52">
        <v>378678.130403338</v>
      </c>
      <c r="H4832" s="56">
        <v>9.0247849807979758E-2</v>
      </c>
      <c r="I4832" s="224" t="s">
        <v>2</v>
      </c>
    </row>
    <row r="4833" spans="1:9" x14ac:dyDescent="0.25">
      <c r="A4833" s="515">
        <v>98944</v>
      </c>
      <c r="B4833" s="515" t="s">
        <v>948</v>
      </c>
      <c r="C4833" s="52">
        <v>281590.597004793</v>
      </c>
      <c r="D4833" s="56">
        <v>5.3734908444967359E-2</v>
      </c>
      <c r="E4833" s="224" t="s">
        <v>2</v>
      </c>
      <c r="F4833" s="515" t="s">
        <v>6091</v>
      </c>
      <c r="G4833" s="52">
        <v>253041.81405143801</v>
      </c>
      <c r="H4833" s="56">
        <v>4.8021646047596393E-2</v>
      </c>
      <c r="I4833" s="224" t="s">
        <v>2</v>
      </c>
    </row>
    <row r="4834" spans="1:9" x14ac:dyDescent="0.25">
      <c r="A4834" s="515">
        <v>21114</v>
      </c>
      <c r="B4834" s="515" t="s">
        <v>582</v>
      </c>
      <c r="C4834" s="52">
        <v>438714.62218229298</v>
      </c>
      <c r="D4834" s="56">
        <v>4.4760557019078197E-2</v>
      </c>
      <c r="E4834" s="224">
        <v>2035</v>
      </c>
      <c r="F4834" s="515" t="s">
        <v>6092</v>
      </c>
      <c r="G4834" s="52">
        <v>111606.01016108</v>
      </c>
      <c r="H4834" s="56">
        <v>-1.0426589283604803E-2</v>
      </c>
      <c r="I4834" s="224" t="s">
        <v>2</v>
      </c>
    </row>
    <row r="4835" spans="1:9" x14ac:dyDescent="0.25">
      <c r="A4835" s="515">
        <v>43606</v>
      </c>
      <c r="B4835" s="515" t="s">
        <v>300</v>
      </c>
      <c r="C4835" s="52">
        <v>154631.016059241</v>
      </c>
      <c r="D4835" s="56">
        <v>6.885466729620425E-2</v>
      </c>
      <c r="E4835" s="224">
        <v>881.25</v>
      </c>
      <c r="F4835" s="515" t="s">
        <v>6093</v>
      </c>
      <c r="G4835" s="52">
        <v>316998.34923099802</v>
      </c>
      <c r="H4835" s="56">
        <v>7.0804935009013276E-2</v>
      </c>
      <c r="I4835" s="224" t="s">
        <v>2</v>
      </c>
    </row>
    <row r="4836" spans="1:9" x14ac:dyDescent="0.25">
      <c r="A4836" s="515">
        <v>11104</v>
      </c>
      <c r="B4836" s="515" t="s">
        <v>324</v>
      </c>
      <c r="C4836" s="52">
        <v>405051.30483070901</v>
      </c>
      <c r="D4836" s="56">
        <v>-8.8645056475197326E-2</v>
      </c>
      <c r="E4836" s="224">
        <v>2346.4047619047601</v>
      </c>
      <c r="F4836" s="515" t="s">
        <v>6094</v>
      </c>
      <c r="G4836" s="52">
        <v>208636.69978697499</v>
      </c>
      <c r="H4836" s="56">
        <v>8.9055833475594343E-2</v>
      </c>
      <c r="I4836" s="224" t="s">
        <v>2</v>
      </c>
    </row>
    <row r="4837" spans="1:9" x14ac:dyDescent="0.25">
      <c r="A4837" s="515">
        <v>83404</v>
      </c>
      <c r="B4837" s="515" t="s">
        <v>409</v>
      </c>
      <c r="C4837" s="52">
        <v>385344.946831621</v>
      </c>
      <c r="D4837" s="56">
        <v>2.8869166085281001E-3</v>
      </c>
      <c r="E4837" s="224" t="s">
        <v>2</v>
      </c>
      <c r="F4837" s="515" t="s">
        <v>6095</v>
      </c>
      <c r="G4837" s="52">
        <v>310985.29668407101</v>
      </c>
      <c r="H4837" s="56">
        <v>9.7344558967828648E-2</v>
      </c>
      <c r="I4837" s="224" t="s">
        <v>2</v>
      </c>
    </row>
    <row r="4838" spans="1:9" x14ac:dyDescent="0.25">
      <c r="A4838" s="515">
        <v>32536</v>
      </c>
      <c r="B4838" s="515" t="s">
        <v>1078</v>
      </c>
      <c r="C4838" s="52">
        <v>300551.63773260702</v>
      </c>
      <c r="D4838" s="56">
        <v>8.5332350223565875E-2</v>
      </c>
      <c r="E4838" s="224">
        <v>1956.9166666666599</v>
      </c>
      <c r="F4838" s="515" t="s">
        <v>6096</v>
      </c>
      <c r="G4838" s="52">
        <v>239653.67691131699</v>
      </c>
      <c r="H4838" s="56">
        <v>7.2090880311648189E-2</v>
      </c>
      <c r="I4838" s="224" t="s">
        <v>2</v>
      </c>
    </row>
    <row r="4839" spans="1:9" x14ac:dyDescent="0.25">
      <c r="A4839" s="515">
        <v>60108</v>
      </c>
      <c r="B4839" s="515" t="s">
        <v>394</v>
      </c>
      <c r="C4839" s="52">
        <v>348279.15428944398</v>
      </c>
      <c r="D4839" s="56">
        <v>7.0808779537781238E-2</v>
      </c>
      <c r="E4839" s="224" t="s">
        <v>2</v>
      </c>
      <c r="F4839" s="515" t="s">
        <v>6097</v>
      </c>
      <c r="G4839" s="52">
        <v>4858293.9509846997</v>
      </c>
      <c r="H4839" s="56">
        <v>2.2375750427417957E-3</v>
      </c>
      <c r="I4839" s="224" t="s">
        <v>2</v>
      </c>
    </row>
    <row r="4840" spans="1:9" x14ac:dyDescent="0.25">
      <c r="A4840" s="515">
        <v>43140</v>
      </c>
      <c r="B4840" s="515" t="s">
        <v>345</v>
      </c>
      <c r="C4840" s="52">
        <v>253035.03629807199</v>
      </c>
      <c r="D4840" s="56">
        <v>9.082144467030677E-2</v>
      </c>
      <c r="E4840" s="224" t="s">
        <v>2</v>
      </c>
      <c r="F4840" s="515" t="s">
        <v>6098</v>
      </c>
      <c r="G4840" s="52">
        <v>268008.49954895198</v>
      </c>
      <c r="H4840" s="56">
        <v>9.6305994888814514E-2</v>
      </c>
      <c r="I4840" s="224" t="s">
        <v>2</v>
      </c>
    </row>
    <row r="4841" spans="1:9" x14ac:dyDescent="0.25">
      <c r="A4841" s="515">
        <v>85259</v>
      </c>
      <c r="B4841" s="515" t="s">
        <v>563</v>
      </c>
      <c r="C4841" s="52">
        <v>1018346.4734657099</v>
      </c>
      <c r="D4841" s="56">
        <v>6.3484806844309044E-2</v>
      </c>
      <c r="E4841" s="224">
        <v>2498.38888888888</v>
      </c>
      <c r="F4841" s="515" t="s">
        <v>6099</v>
      </c>
      <c r="G4841" s="52">
        <v>535716.48030164896</v>
      </c>
      <c r="H4841" s="56">
        <v>7.8955604121240058E-2</v>
      </c>
      <c r="I4841" s="224" t="s">
        <v>2</v>
      </c>
    </row>
    <row r="4842" spans="1:9" x14ac:dyDescent="0.25">
      <c r="A4842" s="515">
        <v>95746</v>
      </c>
      <c r="B4842" s="515" t="s">
        <v>355</v>
      </c>
      <c r="C4842" s="52">
        <v>1043768.52992415</v>
      </c>
      <c r="D4842" s="56">
        <v>-7.6989571365436152E-3</v>
      </c>
      <c r="E4842" s="224">
        <v>2987.5</v>
      </c>
      <c r="F4842" s="515" t="s">
        <v>6100</v>
      </c>
      <c r="G4842" s="52">
        <v>476683.97891793202</v>
      </c>
      <c r="H4842" s="56">
        <v>4.9130635987365348E-2</v>
      </c>
      <c r="I4842" s="224" t="s">
        <v>2</v>
      </c>
    </row>
    <row r="4843" spans="1:9" x14ac:dyDescent="0.25">
      <c r="A4843" s="515">
        <v>6610</v>
      </c>
      <c r="B4843" s="515" t="s">
        <v>1173</v>
      </c>
      <c r="C4843" s="52">
        <v>261126.68852247999</v>
      </c>
      <c r="D4843" s="56">
        <v>9.5846657596713139E-2</v>
      </c>
      <c r="E4843" s="224">
        <v>1565.2777777777701</v>
      </c>
      <c r="F4843" s="515" t="s">
        <v>6101</v>
      </c>
      <c r="G4843" s="52">
        <v>381832.44549408898</v>
      </c>
      <c r="H4843" s="56">
        <v>8.4191188667742431E-2</v>
      </c>
      <c r="I4843" s="224" t="s">
        <v>2</v>
      </c>
    </row>
    <row r="4844" spans="1:9" x14ac:dyDescent="0.25">
      <c r="A4844" s="515">
        <v>13069</v>
      </c>
      <c r="B4844" s="515" t="s">
        <v>361</v>
      </c>
      <c r="C4844" s="52">
        <v>132597.84242565301</v>
      </c>
      <c r="D4844" s="56">
        <v>7.9373988944791821E-2</v>
      </c>
      <c r="E4844" s="224" t="s">
        <v>2</v>
      </c>
      <c r="F4844" s="515" t="s">
        <v>6102</v>
      </c>
      <c r="G4844" s="52">
        <v>261830.73349290699</v>
      </c>
      <c r="H4844" s="56">
        <v>6.7890035691389114E-2</v>
      </c>
      <c r="I4844" s="224" t="s">
        <v>2</v>
      </c>
    </row>
    <row r="4845" spans="1:9" x14ac:dyDescent="0.25">
      <c r="A4845" s="515">
        <v>90740</v>
      </c>
      <c r="B4845" s="515" t="s">
        <v>375</v>
      </c>
      <c r="C4845" s="52">
        <v>1046881.82094738</v>
      </c>
      <c r="D4845" s="56">
        <v>-1.6345716703498589E-2</v>
      </c>
      <c r="E4845" s="224">
        <v>3024.1666666666601</v>
      </c>
      <c r="F4845" s="515" t="s">
        <v>6103</v>
      </c>
      <c r="G4845" s="52">
        <v>82975.903872272902</v>
      </c>
      <c r="H4845" s="56">
        <v>3.4021153189196435E-2</v>
      </c>
      <c r="I4845" s="224" t="s">
        <v>2</v>
      </c>
    </row>
    <row r="4846" spans="1:9" x14ac:dyDescent="0.25">
      <c r="A4846" s="515">
        <v>33936</v>
      </c>
      <c r="B4846" s="515" t="s">
        <v>661</v>
      </c>
      <c r="C4846" s="52">
        <v>236606.13734227701</v>
      </c>
      <c r="D4846" s="56">
        <v>0.1824023704457953</v>
      </c>
      <c r="E4846" s="224">
        <v>1849.5</v>
      </c>
      <c r="F4846" s="515" t="s">
        <v>6104</v>
      </c>
      <c r="G4846" s="52">
        <v>543997.80038657901</v>
      </c>
      <c r="H4846" s="56">
        <v>-4.475831161036288E-2</v>
      </c>
      <c r="I4846" s="224">
        <v>2608.8858932461799</v>
      </c>
    </row>
    <row r="4847" spans="1:9" x14ac:dyDescent="0.25">
      <c r="A4847" s="515">
        <v>30035</v>
      </c>
      <c r="B4847" s="515" t="s">
        <v>957</v>
      </c>
      <c r="C4847" s="52">
        <v>239953.15303106699</v>
      </c>
      <c r="D4847" s="56">
        <v>0.15293819981056531</v>
      </c>
      <c r="E4847" s="224">
        <v>1834.38888888888</v>
      </c>
      <c r="F4847" s="515" t="s">
        <v>6105</v>
      </c>
      <c r="G4847" s="52">
        <v>136324.257596874</v>
      </c>
      <c r="H4847" s="56">
        <v>6.9223150802240896E-2</v>
      </c>
      <c r="I4847" s="224">
        <v>1475.55555555555</v>
      </c>
    </row>
    <row r="4848" spans="1:9" x14ac:dyDescent="0.25">
      <c r="A4848" s="515">
        <v>10901</v>
      </c>
      <c r="B4848" s="515" t="s">
        <v>324</v>
      </c>
      <c r="C4848" s="52">
        <v>617825.94840535801</v>
      </c>
      <c r="D4848" s="56">
        <v>0.14835295616267241</v>
      </c>
      <c r="E4848" s="224">
        <v>2950</v>
      </c>
      <c r="F4848" s="515" t="s">
        <v>6106</v>
      </c>
      <c r="G4848" s="52">
        <v>245832.80343388399</v>
      </c>
      <c r="H4848" s="56">
        <v>9.0726452318548756E-2</v>
      </c>
      <c r="I4848" s="224" t="s">
        <v>2</v>
      </c>
    </row>
    <row r="4849" spans="1:9" x14ac:dyDescent="0.25">
      <c r="A4849" s="515">
        <v>34110</v>
      </c>
      <c r="B4849" s="515" t="s">
        <v>365</v>
      </c>
      <c r="C4849" s="52">
        <v>649445.16903071897</v>
      </c>
      <c r="D4849" s="56">
        <v>0.1737613815451988</v>
      </c>
      <c r="E4849" s="224">
        <v>4733</v>
      </c>
      <c r="F4849" s="515" t="s">
        <v>6107</v>
      </c>
      <c r="G4849" s="52">
        <v>303364.59955883201</v>
      </c>
      <c r="H4849" s="56">
        <v>0.12623780566051129</v>
      </c>
      <c r="I4849" s="224" t="s">
        <v>2</v>
      </c>
    </row>
    <row r="4850" spans="1:9" x14ac:dyDescent="0.25">
      <c r="A4850" s="515">
        <v>1905</v>
      </c>
      <c r="B4850" s="515" t="s">
        <v>534</v>
      </c>
      <c r="C4850" s="52">
        <v>473707.14624083898</v>
      </c>
      <c r="D4850" s="56">
        <v>3.1144976759836986E-2</v>
      </c>
      <c r="E4850" s="224">
        <v>2175</v>
      </c>
      <c r="F4850" s="515" t="s">
        <v>6108</v>
      </c>
      <c r="G4850" s="52">
        <v>408792.88416660199</v>
      </c>
      <c r="H4850" s="56">
        <v>3.3682258572079377E-2</v>
      </c>
      <c r="I4850" s="224" t="s">
        <v>2</v>
      </c>
    </row>
    <row r="4851" spans="1:9" x14ac:dyDescent="0.25">
      <c r="A4851" s="515">
        <v>6118</v>
      </c>
      <c r="B4851" s="515" t="s">
        <v>894</v>
      </c>
      <c r="C4851" s="52">
        <v>240730.04578583699</v>
      </c>
      <c r="D4851" s="56">
        <v>0.12145716115515388</v>
      </c>
      <c r="E4851" s="224" t="s">
        <v>2</v>
      </c>
      <c r="F4851" s="515" t="s">
        <v>6109</v>
      </c>
      <c r="G4851" s="52">
        <v>351602.22308698698</v>
      </c>
      <c r="H4851" s="56">
        <v>6.9603315161366461E-2</v>
      </c>
      <c r="I4851" s="224" t="s">
        <v>2</v>
      </c>
    </row>
    <row r="4852" spans="1:9" x14ac:dyDescent="0.25">
      <c r="A4852" s="515">
        <v>65775</v>
      </c>
      <c r="B4852" s="515" t="s">
        <v>984</v>
      </c>
      <c r="C4852" s="52">
        <v>179718.501155773</v>
      </c>
      <c r="D4852" s="56">
        <v>0.13140157905520189</v>
      </c>
      <c r="E4852" s="224" t="s">
        <v>2</v>
      </c>
      <c r="F4852" s="515" t="s">
        <v>6110</v>
      </c>
      <c r="G4852" s="52">
        <v>241014.46442586</v>
      </c>
      <c r="H4852" s="56">
        <v>7.9604878195863552E-2</v>
      </c>
      <c r="I4852" s="224" t="s">
        <v>2</v>
      </c>
    </row>
    <row r="4853" spans="1:9" x14ac:dyDescent="0.25">
      <c r="A4853" s="515">
        <v>18944</v>
      </c>
      <c r="B4853" s="515" t="s">
        <v>294</v>
      </c>
      <c r="C4853" s="52">
        <v>439577.88219386002</v>
      </c>
      <c r="D4853" s="56">
        <v>8.421773061106759E-2</v>
      </c>
      <c r="E4853" s="224" t="s">
        <v>2</v>
      </c>
      <c r="F4853" s="515" t="s">
        <v>6111</v>
      </c>
      <c r="G4853" s="52">
        <v>157350.54150511901</v>
      </c>
      <c r="H4853" s="56">
        <v>4.3910758334604436E-2</v>
      </c>
      <c r="I4853" s="224" t="s">
        <v>2</v>
      </c>
    </row>
    <row r="4854" spans="1:9" x14ac:dyDescent="0.25">
      <c r="A4854" s="515">
        <v>8087</v>
      </c>
      <c r="B4854" s="515" t="s">
        <v>324</v>
      </c>
      <c r="C4854" s="52">
        <v>343032.09965559898</v>
      </c>
      <c r="D4854" s="56">
        <v>0.11405211779808956</v>
      </c>
      <c r="E4854" s="224">
        <v>2050</v>
      </c>
      <c r="F4854" s="515" t="s">
        <v>6112</v>
      </c>
      <c r="G4854" s="52">
        <v>279629.88403092098</v>
      </c>
      <c r="H4854" s="56">
        <v>6.7509336171898665E-2</v>
      </c>
      <c r="I4854" s="224">
        <v>1450</v>
      </c>
    </row>
    <row r="4855" spans="1:9" x14ac:dyDescent="0.25">
      <c r="A4855" s="515">
        <v>30141</v>
      </c>
      <c r="B4855" s="515" t="s">
        <v>957</v>
      </c>
      <c r="C4855" s="52">
        <v>312575.89344802801</v>
      </c>
      <c r="D4855" s="56">
        <v>8.5094459024824681E-2</v>
      </c>
      <c r="E4855" s="224">
        <v>1979</v>
      </c>
      <c r="F4855" s="515" t="s">
        <v>6113</v>
      </c>
      <c r="G4855" s="52">
        <v>107881.349397218</v>
      </c>
      <c r="H4855" s="56">
        <v>8.4907845518320313E-2</v>
      </c>
      <c r="I4855" s="224" t="s">
        <v>2</v>
      </c>
    </row>
    <row r="4856" spans="1:9" x14ac:dyDescent="0.25">
      <c r="A4856" s="515">
        <v>43227</v>
      </c>
      <c r="B4856" s="515" t="s">
        <v>345</v>
      </c>
      <c r="C4856" s="52">
        <v>166848.037371157</v>
      </c>
      <c r="D4856" s="56">
        <v>0.16263341808067522</v>
      </c>
      <c r="E4856" s="224">
        <v>1286.2777777777701</v>
      </c>
      <c r="F4856" s="515" t="s">
        <v>6114</v>
      </c>
      <c r="G4856" s="52">
        <v>73006.012357611398</v>
      </c>
      <c r="H4856" s="56">
        <v>2.6999230203373522E-2</v>
      </c>
      <c r="I4856" s="224" t="s">
        <v>2</v>
      </c>
    </row>
    <row r="4857" spans="1:9" x14ac:dyDescent="0.25">
      <c r="A4857" s="515">
        <v>64086</v>
      </c>
      <c r="B4857" s="515" t="s">
        <v>455</v>
      </c>
      <c r="C4857" s="52">
        <v>333041.62903608102</v>
      </c>
      <c r="D4857" s="56">
        <v>7.372442675980212E-2</v>
      </c>
      <c r="E4857" s="224">
        <v>1360.7222222222199</v>
      </c>
      <c r="F4857" s="515" t="s">
        <v>6115</v>
      </c>
      <c r="G4857" s="52">
        <v>358054.00252627803</v>
      </c>
      <c r="H4857" s="56">
        <v>0.11662219427786531</v>
      </c>
      <c r="I4857" s="224">
        <v>2720.9349206349202</v>
      </c>
    </row>
    <row r="4858" spans="1:9" x14ac:dyDescent="0.25">
      <c r="A4858" s="515">
        <v>61244</v>
      </c>
      <c r="B4858" s="515" t="s">
        <v>439</v>
      </c>
      <c r="C4858" s="52">
        <v>123736.632409103</v>
      </c>
      <c r="D4858" s="56">
        <v>2.694411653899971E-2</v>
      </c>
      <c r="E4858" s="224" t="s">
        <v>2</v>
      </c>
      <c r="F4858" s="515" t="s">
        <v>6116</v>
      </c>
      <c r="G4858" s="52">
        <v>196441.744524093</v>
      </c>
      <c r="H4858" s="56">
        <v>0.1672178069610489</v>
      </c>
      <c r="I4858" s="224" t="s">
        <v>2</v>
      </c>
    </row>
    <row r="4859" spans="1:9" x14ac:dyDescent="0.25">
      <c r="A4859" s="515">
        <v>98626</v>
      </c>
      <c r="B4859" s="515" t="s">
        <v>807</v>
      </c>
      <c r="C4859" s="52">
        <v>349777.600075897</v>
      </c>
      <c r="D4859" s="56">
        <v>5.2525882662715385E-2</v>
      </c>
      <c r="E4859" s="224" t="s">
        <v>2</v>
      </c>
      <c r="F4859" s="515" t="s">
        <v>6117</v>
      </c>
      <c r="G4859" s="52">
        <v>112166.460089085</v>
      </c>
      <c r="H4859" s="56">
        <v>2.6512556549814132E-3</v>
      </c>
      <c r="I4859" s="224" t="s">
        <v>2</v>
      </c>
    </row>
    <row r="4860" spans="1:9" x14ac:dyDescent="0.25">
      <c r="A4860" s="515">
        <v>79703</v>
      </c>
      <c r="B4860" s="515" t="s">
        <v>802</v>
      </c>
      <c r="C4860" s="52">
        <v>205033.36908470499</v>
      </c>
      <c r="D4860" s="56">
        <v>5.0986182901284864E-3</v>
      </c>
      <c r="E4860" s="224">
        <v>1410.6111111111099</v>
      </c>
      <c r="F4860" s="515" t="s">
        <v>6118</v>
      </c>
      <c r="G4860" s="52">
        <v>294958.72076899098</v>
      </c>
      <c r="H4860" s="56">
        <v>5.6320061819546859E-2</v>
      </c>
      <c r="I4860" s="224" t="s">
        <v>2</v>
      </c>
    </row>
    <row r="4861" spans="1:9" x14ac:dyDescent="0.25">
      <c r="A4861" s="515">
        <v>43113</v>
      </c>
      <c r="B4861" s="515" t="s">
        <v>345</v>
      </c>
      <c r="C4861" s="52">
        <v>233884.92164959299</v>
      </c>
      <c r="D4861" s="56">
        <v>0.10093380408455167</v>
      </c>
      <c r="E4861" s="224">
        <v>971.33333333333303</v>
      </c>
      <c r="F4861" s="515" t="s">
        <v>6119</v>
      </c>
      <c r="G4861" s="52">
        <v>332233.959912433</v>
      </c>
      <c r="H4861" s="56">
        <v>5.316109770237594E-2</v>
      </c>
      <c r="I4861" s="224" t="s">
        <v>2</v>
      </c>
    </row>
    <row r="4862" spans="1:9" x14ac:dyDescent="0.25">
      <c r="A4862" s="515">
        <v>40383</v>
      </c>
      <c r="B4862" s="515" t="s">
        <v>515</v>
      </c>
      <c r="C4862" s="52">
        <v>280204.190193546</v>
      </c>
      <c r="D4862" s="56">
        <v>7.7124548550488115E-2</v>
      </c>
      <c r="E4862" s="224" t="s">
        <v>2</v>
      </c>
      <c r="F4862" s="515" t="s">
        <v>6120</v>
      </c>
      <c r="G4862" s="52">
        <v>743513.66663788306</v>
      </c>
      <c r="H4862" s="56">
        <v>0.16937229056882758</v>
      </c>
      <c r="I4862" s="224">
        <v>3550</v>
      </c>
    </row>
    <row r="4863" spans="1:9" x14ac:dyDescent="0.25">
      <c r="A4863" s="515">
        <v>1886</v>
      </c>
      <c r="B4863" s="515" t="s">
        <v>534</v>
      </c>
      <c r="C4863" s="52">
        <v>710787.637463063</v>
      </c>
      <c r="D4863" s="56">
        <v>6.6980405659705713E-2</v>
      </c>
      <c r="E4863" s="224" t="s">
        <v>2</v>
      </c>
      <c r="F4863" s="515" t="s">
        <v>6121</v>
      </c>
      <c r="G4863" s="52">
        <v>210777.63922288499</v>
      </c>
      <c r="H4863" s="56">
        <v>7.6450078901604712E-2</v>
      </c>
      <c r="I4863" s="224" t="s">
        <v>2</v>
      </c>
    </row>
    <row r="4864" spans="1:9" x14ac:dyDescent="0.25">
      <c r="A4864" s="515">
        <v>74115</v>
      </c>
      <c r="B4864" s="515" t="s">
        <v>348</v>
      </c>
      <c r="C4864" s="52">
        <v>93881.309852226201</v>
      </c>
      <c r="D4864" s="56">
        <v>0.16639222995145109</v>
      </c>
      <c r="E4864" s="224">
        <v>1031.6666666666599</v>
      </c>
      <c r="F4864" s="515" t="s">
        <v>6122</v>
      </c>
      <c r="G4864" s="52">
        <v>158625.13789111801</v>
      </c>
      <c r="H4864" s="56">
        <v>1.5709785404778697E-2</v>
      </c>
      <c r="I4864" s="224" t="s">
        <v>2</v>
      </c>
    </row>
    <row r="4865" spans="1:9" x14ac:dyDescent="0.25">
      <c r="A4865" s="515">
        <v>55446</v>
      </c>
      <c r="B4865" s="515" t="s">
        <v>532</v>
      </c>
      <c r="C4865" s="52">
        <v>551725.29367465398</v>
      </c>
      <c r="D4865" s="56">
        <v>5.3283607364777975E-2</v>
      </c>
      <c r="E4865" s="224">
        <v>2069.38888888888</v>
      </c>
      <c r="F4865" s="515" t="s">
        <v>6123</v>
      </c>
      <c r="G4865" s="52">
        <v>209424.68770444399</v>
      </c>
      <c r="H4865" s="56">
        <v>0.13304792342080785</v>
      </c>
      <c r="I4865" s="224" t="s">
        <v>2</v>
      </c>
    </row>
    <row r="4866" spans="1:9" x14ac:dyDescent="0.25">
      <c r="A4866" s="515">
        <v>33167</v>
      </c>
      <c r="B4866" s="515" t="s">
        <v>831</v>
      </c>
      <c r="C4866" s="52">
        <v>370743.14080669801</v>
      </c>
      <c r="D4866" s="56">
        <v>0.16426263463265398</v>
      </c>
      <c r="E4866" s="224" t="s">
        <v>2</v>
      </c>
      <c r="F4866" s="515" t="s">
        <v>6124</v>
      </c>
      <c r="G4866" s="52">
        <v>658354.77601490298</v>
      </c>
      <c r="H4866" s="56">
        <v>6.8841619432329151E-2</v>
      </c>
      <c r="I4866" s="224" t="s">
        <v>2</v>
      </c>
    </row>
    <row r="4867" spans="1:9" x14ac:dyDescent="0.25">
      <c r="A4867" s="515">
        <v>70043</v>
      </c>
      <c r="B4867" s="515" t="s">
        <v>777</v>
      </c>
      <c r="C4867" s="52">
        <v>199953.692543532</v>
      </c>
      <c r="D4867" s="56">
        <v>3.4081359015498677E-2</v>
      </c>
      <c r="E4867" s="224">
        <v>1358.3333333333301</v>
      </c>
      <c r="F4867" s="515" t="s">
        <v>6125</v>
      </c>
      <c r="G4867" s="52">
        <v>426907.336019593</v>
      </c>
      <c r="H4867" s="56">
        <v>1.6473770108228068E-2</v>
      </c>
      <c r="I4867" s="224" t="s">
        <v>2</v>
      </c>
    </row>
    <row r="4868" spans="1:9" x14ac:dyDescent="0.25">
      <c r="A4868" s="515">
        <v>85750</v>
      </c>
      <c r="B4868" s="515" t="s">
        <v>368</v>
      </c>
      <c r="C4868" s="52">
        <v>570222.21661799005</v>
      </c>
      <c r="D4868" s="56">
        <v>7.7652381328442099E-2</v>
      </c>
      <c r="E4868" s="224">
        <v>2336.1666666666601</v>
      </c>
      <c r="F4868" s="515" t="s">
        <v>6126</v>
      </c>
      <c r="G4868" s="52">
        <v>271101.07274734502</v>
      </c>
      <c r="H4868" s="56">
        <v>4.9094229542785538E-3</v>
      </c>
      <c r="I4868" s="224" t="s">
        <v>2</v>
      </c>
    </row>
    <row r="4869" spans="1:9" x14ac:dyDescent="0.25">
      <c r="A4869" s="515">
        <v>14043</v>
      </c>
      <c r="B4869" s="515" t="s">
        <v>336</v>
      </c>
      <c r="C4869" s="52">
        <v>213630.61484710901</v>
      </c>
      <c r="D4869" s="56">
        <v>6.9785277560747566E-2</v>
      </c>
      <c r="E4869" s="224" t="s">
        <v>2</v>
      </c>
      <c r="F4869" s="515" t="s">
        <v>6127</v>
      </c>
      <c r="G4869" s="52">
        <v>412401.05744446901</v>
      </c>
      <c r="H4869" s="56">
        <v>4.4759391184693444E-2</v>
      </c>
      <c r="I4869" s="224" t="s">
        <v>2</v>
      </c>
    </row>
    <row r="4870" spans="1:9" x14ac:dyDescent="0.25">
      <c r="A4870" s="515">
        <v>80110</v>
      </c>
      <c r="B4870" s="515" t="s">
        <v>401</v>
      </c>
      <c r="C4870" s="52">
        <v>489465.56067778898</v>
      </c>
      <c r="D4870" s="56">
        <v>2.6119339597835127E-2</v>
      </c>
      <c r="E4870" s="224">
        <v>1746.0053921568599</v>
      </c>
      <c r="F4870" s="515" t="s">
        <v>6128</v>
      </c>
      <c r="G4870" s="52">
        <v>218381.37565813799</v>
      </c>
      <c r="H4870" s="56">
        <v>0.12764869845340465</v>
      </c>
      <c r="I4870" s="224" t="s">
        <v>2</v>
      </c>
    </row>
    <row r="4871" spans="1:9" x14ac:dyDescent="0.25">
      <c r="A4871" s="515">
        <v>2747</v>
      </c>
      <c r="B4871" s="515" t="s">
        <v>513</v>
      </c>
      <c r="C4871" s="52">
        <v>483814.93695644703</v>
      </c>
      <c r="D4871" s="56">
        <v>8.9958687781873367E-2</v>
      </c>
      <c r="E4871" s="224" t="s">
        <v>2</v>
      </c>
      <c r="F4871" s="515" t="s">
        <v>6129</v>
      </c>
      <c r="G4871" s="52">
        <v>203752.74502020099</v>
      </c>
      <c r="H4871" s="56">
        <v>6.0460309946735229E-2</v>
      </c>
      <c r="I4871" s="224">
        <v>1376.3333333333301</v>
      </c>
    </row>
    <row r="4872" spans="1:9" x14ac:dyDescent="0.25">
      <c r="A4872" s="515">
        <v>8742</v>
      </c>
      <c r="B4872" s="515" t="s">
        <v>324</v>
      </c>
      <c r="C4872" s="52">
        <v>653805.00576559</v>
      </c>
      <c r="D4872" s="56">
        <v>7.4274969432706742E-2</v>
      </c>
      <c r="E4872" s="224">
        <v>2137.5</v>
      </c>
      <c r="F4872" s="515" t="s">
        <v>6130</v>
      </c>
      <c r="G4872" s="52">
        <v>486952.00611557998</v>
      </c>
      <c r="H4872" s="56">
        <v>2.3922790913192913E-2</v>
      </c>
      <c r="I4872" s="224" t="s">
        <v>2</v>
      </c>
    </row>
    <row r="4873" spans="1:9" x14ac:dyDescent="0.25">
      <c r="A4873" s="515">
        <v>78754</v>
      </c>
      <c r="B4873" s="515" t="s">
        <v>380</v>
      </c>
      <c r="C4873" s="52">
        <v>406884.13984496699</v>
      </c>
      <c r="D4873" s="56">
        <v>9.7201827473109449E-3</v>
      </c>
      <c r="E4873" s="224">
        <v>1577.0707282913099</v>
      </c>
      <c r="F4873" s="515" t="s">
        <v>6131</v>
      </c>
      <c r="G4873" s="52">
        <v>72874.170036187497</v>
      </c>
      <c r="H4873" s="56">
        <v>1.8920007532773466E-3</v>
      </c>
      <c r="I4873" s="224" t="s">
        <v>2</v>
      </c>
    </row>
    <row r="4874" spans="1:9" x14ac:dyDescent="0.25">
      <c r="A4874" s="515">
        <v>28390</v>
      </c>
      <c r="B4874" s="515" t="s">
        <v>1149</v>
      </c>
      <c r="C4874" s="52">
        <v>199502.07686293701</v>
      </c>
      <c r="D4874" s="56">
        <v>0.16586988859864768</v>
      </c>
      <c r="E4874" s="224">
        <v>1402.1407407407401</v>
      </c>
      <c r="F4874" s="515" t="s">
        <v>6132</v>
      </c>
      <c r="G4874" s="52">
        <v>173447.56844324301</v>
      </c>
      <c r="H4874" s="56">
        <v>3.9705290751115188E-2</v>
      </c>
      <c r="I4874" s="224" t="s">
        <v>2</v>
      </c>
    </row>
    <row r="4875" spans="1:9" x14ac:dyDescent="0.25">
      <c r="A4875" s="515">
        <v>45248</v>
      </c>
      <c r="B4875" s="515" t="s">
        <v>344</v>
      </c>
      <c r="C4875" s="52">
        <v>216894.91231755901</v>
      </c>
      <c r="D4875" s="56">
        <v>6.9184463382512454E-2</v>
      </c>
      <c r="E4875" s="224" t="s">
        <v>2</v>
      </c>
      <c r="F4875" s="515" t="s">
        <v>6133</v>
      </c>
      <c r="G4875" s="52">
        <v>296054.36961750197</v>
      </c>
      <c r="H4875" s="56">
        <v>9.9116975010773378E-2</v>
      </c>
      <c r="I4875" s="224" t="s">
        <v>2</v>
      </c>
    </row>
    <row r="4876" spans="1:9" x14ac:dyDescent="0.25">
      <c r="A4876" s="515">
        <v>29316</v>
      </c>
      <c r="B4876" s="515" t="s">
        <v>447</v>
      </c>
      <c r="C4876" s="52">
        <v>257925.187812321</v>
      </c>
      <c r="D4876" s="56">
        <v>0.10300943396371055</v>
      </c>
      <c r="E4876" s="224">
        <v>1604.75</v>
      </c>
      <c r="F4876" s="515" t="s">
        <v>6134</v>
      </c>
      <c r="G4876" s="52">
        <v>255680.727660832</v>
      </c>
      <c r="H4876" s="56">
        <v>7.6725455581768895E-2</v>
      </c>
      <c r="I4876" s="224" t="s">
        <v>2</v>
      </c>
    </row>
    <row r="4877" spans="1:9" x14ac:dyDescent="0.25">
      <c r="A4877" s="515">
        <v>60406</v>
      </c>
      <c r="B4877" s="515" t="s">
        <v>394</v>
      </c>
      <c r="C4877" s="52">
        <v>169538.28434563501</v>
      </c>
      <c r="D4877" s="56">
        <v>6.9996521031000111E-2</v>
      </c>
      <c r="E4877" s="224" t="s">
        <v>2</v>
      </c>
      <c r="F4877" s="515" t="s">
        <v>6135</v>
      </c>
      <c r="G4877" s="52">
        <v>450081.45651427499</v>
      </c>
      <c r="H4877" s="56">
        <v>6.0127764314811087E-2</v>
      </c>
      <c r="I4877" s="224" t="s">
        <v>2</v>
      </c>
    </row>
    <row r="4878" spans="1:9" x14ac:dyDescent="0.25">
      <c r="A4878" s="515">
        <v>55902</v>
      </c>
      <c r="B4878" s="515" t="s">
        <v>470</v>
      </c>
      <c r="C4878" s="52">
        <v>407159.74944537401</v>
      </c>
      <c r="D4878" s="56">
        <v>4.3953299417017033E-2</v>
      </c>
      <c r="E4878" s="224">
        <v>1445.1666666666599</v>
      </c>
      <c r="F4878" s="515" t="s">
        <v>6136</v>
      </c>
      <c r="G4878" s="52">
        <v>837846.34268248605</v>
      </c>
      <c r="H4878" s="56">
        <v>2.412297669689948E-2</v>
      </c>
      <c r="I4878" s="224" t="s">
        <v>2</v>
      </c>
    </row>
    <row r="4879" spans="1:9" x14ac:dyDescent="0.25">
      <c r="A4879" s="515">
        <v>30305</v>
      </c>
      <c r="B4879" s="515" t="s">
        <v>957</v>
      </c>
      <c r="C4879" s="52">
        <v>611179.02193789405</v>
      </c>
      <c r="D4879" s="56">
        <v>7.534336841939244E-3</v>
      </c>
      <c r="E4879" s="224">
        <v>2212.9836269195998</v>
      </c>
      <c r="F4879" s="515" t="s">
        <v>6137</v>
      </c>
      <c r="G4879" s="52">
        <v>437193.22530458902</v>
      </c>
      <c r="H4879" s="56">
        <v>2.3707096723127121E-2</v>
      </c>
      <c r="I4879" s="224">
        <v>1341.6666666666599</v>
      </c>
    </row>
    <row r="4880" spans="1:9" x14ac:dyDescent="0.25">
      <c r="A4880" s="515">
        <v>34652</v>
      </c>
      <c r="B4880" s="515" t="s">
        <v>461</v>
      </c>
      <c r="C4880" s="52">
        <v>239687.50961629901</v>
      </c>
      <c r="D4880" s="56">
        <v>0.17174367016946626</v>
      </c>
      <c r="E4880" s="224">
        <v>1681.3412698412601</v>
      </c>
      <c r="F4880" s="515" t="s">
        <v>6138</v>
      </c>
      <c r="G4880" s="52">
        <v>129143.523532269</v>
      </c>
      <c r="H4880" s="56">
        <v>0.11151714578387519</v>
      </c>
      <c r="I4880" s="224" t="s">
        <v>2</v>
      </c>
    </row>
    <row r="4881" spans="1:9" x14ac:dyDescent="0.25">
      <c r="A4881" s="515">
        <v>78617</v>
      </c>
      <c r="B4881" s="515" t="s">
        <v>380</v>
      </c>
      <c r="C4881" s="52">
        <v>336578.65010663401</v>
      </c>
      <c r="D4881" s="56">
        <v>1.2554773595280453E-2</v>
      </c>
      <c r="E4881" s="224">
        <v>1690.2777777777701</v>
      </c>
      <c r="F4881" s="515" t="s">
        <v>6139</v>
      </c>
      <c r="G4881" s="52">
        <v>252010.68584173601</v>
      </c>
      <c r="H4881" s="56">
        <v>9.7097576978932398E-2</v>
      </c>
      <c r="I4881" s="224">
        <v>1650</v>
      </c>
    </row>
    <row r="4882" spans="1:9" x14ac:dyDescent="0.25">
      <c r="A4882" s="515">
        <v>33455</v>
      </c>
      <c r="B4882" s="515" t="s">
        <v>1180</v>
      </c>
      <c r="C4882" s="52">
        <v>504125.11430682999</v>
      </c>
      <c r="D4882" s="56">
        <v>0.12894692144479783</v>
      </c>
      <c r="E4882" s="224">
        <v>2287.5</v>
      </c>
      <c r="F4882" s="515" t="s">
        <v>6140</v>
      </c>
      <c r="G4882" s="52">
        <v>173973.58503806699</v>
      </c>
      <c r="H4882" s="56">
        <v>4.3356724409278312E-2</v>
      </c>
      <c r="I4882" s="224" t="s">
        <v>2</v>
      </c>
    </row>
    <row r="4883" spans="1:9" x14ac:dyDescent="0.25">
      <c r="A4883" s="515">
        <v>45241</v>
      </c>
      <c r="B4883" s="515" t="s">
        <v>344</v>
      </c>
      <c r="C4883" s="52">
        <v>323463.66259322199</v>
      </c>
      <c r="D4883" s="56">
        <v>5.6003895439766999E-2</v>
      </c>
      <c r="E4883" s="224">
        <v>1823.6666666666599</v>
      </c>
      <c r="F4883" s="515" t="s">
        <v>6141</v>
      </c>
      <c r="G4883" s="52">
        <v>160708.51241296</v>
      </c>
      <c r="H4883" s="56">
        <v>-1.9816493405771722E-3</v>
      </c>
      <c r="I4883" s="224" t="s">
        <v>2</v>
      </c>
    </row>
    <row r="4884" spans="1:9" x14ac:dyDescent="0.25">
      <c r="A4884" s="515">
        <v>85024</v>
      </c>
      <c r="B4884" s="515" t="s">
        <v>563</v>
      </c>
      <c r="C4884" s="52">
        <v>459307.117994803</v>
      </c>
      <c r="D4884" s="56">
        <v>3.5281161758000557E-2</v>
      </c>
      <c r="E4884" s="224">
        <v>1767.64212980002</v>
      </c>
      <c r="F4884" s="515" t="s">
        <v>6142</v>
      </c>
      <c r="G4884" s="52">
        <v>309749.47130057297</v>
      </c>
      <c r="H4884" s="56">
        <v>0.10550015512570426</v>
      </c>
      <c r="I4884" s="224">
        <v>1396.4129629629599</v>
      </c>
    </row>
    <row r="4885" spans="1:9" x14ac:dyDescent="0.25">
      <c r="A4885" s="515">
        <v>22102</v>
      </c>
      <c r="B4885" s="515" t="s">
        <v>321</v>
      </c>
      <c r="C4885" s="52">
        <v>716794.50392759405</v>
      </c>
      <c r="D4885" s="56">
        <v>1.7135915087241268E-3</v>
      </c>
      <c r="E4885" s="224">
        <v>2299.1325252525198</v>
      </c>
      <c r="F4885" s="515" t="s">
        <v>6143</v>
      </c>
      <c r="G4885" s="52">
        <v>202043.35347104899</v>
      </c>
      <c r="H4885" s="56">
        <v>5.466750972617089E-2</v>
      </c>
      <c r="I4885" s="224" t="s">
        <v>2</v>
      </c>
    </row>
    <row r="4886" spans="1:9" x14ac:dyDescent="0.25">
      <c r="A4886" s="515">
        <v>98028</v>
      </c>
      <c r="B4886" s="515" t="s">
        <v>384</v>
      </c>
      <c r="C4886" s="52">
        <v>915920.86725981999</v>
      </c>
      <c r="D4886" s="56">
        <v>4.0502153883808199E-2</v>
      </c>
      <c r="E4886" s="224">
        <v>2406.25</v>
      </c>
      <c r="F4886" s="515" t="s">
        <v>6144</v>
      </c>
      <c r="G4886" s="52">
        <v>616860.43307071505</v>
      </c>
      <c r="H4886" s="56">
        <v>3.9247562182589381E-2</v>
      </c>
      <c r="I4886" s="224" t="s">
        <v>2</v>
      </c>
    </row>
    <row r="4887" spans="1:9" x14ac:dyDescent="0.25">
      <c r="A4887" s="515">
        <v>28326</v>
      </c>
      <c r="B4887" s="515" t="s">
        <v>1149</v>
      </c>
      <c r="C4887" s="52">
        <v>282797.87673373497</v>
      </c>
      <c r="D4887" s="56">
        <v>0.13991232865052011</v>
      </c>
      <c r="E4887" s="224">
        <v>1733.3333333333301</v>
      </c>
      <c r="F4887" s="515" t="s">
        <v>6145</v>
      </c>
      <c r="G4887" s="52">
        <v>501257.78937192197</v>
      </c>
      <c r="H4887" s="56">
        <v>2.9101574323350369E-2</v>
      </c>
      <c r="I4887" s="224" t="s">
        <v>2</v>
      </c>
    </row>
    <row r="4888" spans="1:9" x14ac:dyDescent="0.25">
      <c r="A4888" s="515">
        <v>37801</v>
      </c>
      <c r="B4888" s="515" t="s">
        <v>907</v>
      </c>
      <c r="C4888" s="52">
        <v>332094.40499187098</v>
      </c>
      <c r="D4888" s="56">
        <v>0.11519940965021394</v>
      </c>
      <c r="E4888" s="224" t="s">
        <v>2</v>
      </c>
      <c r="F4888" s="515" t="s">
        <v>6146</v>
      </c>
      <c r="G4888" s="52">
        <v>216951.65699498</v>
      </c>
      <c r="H4888" s="56">
        <v>6.6556389825593212E-2</v>
      </c>
      <c r="I4888" s="224" t="s">
        <v>2</v>
      </c>
    </row>
    <row r="4889" spans="1:9" x14ac:dyDescent="0.25">
      <c r="A4889" s="515">
        <v>64114</v>
      </c>
      <c r="B4889" s="515" t="s">
        <v>455</v>
      </c>
      <c r="C4889" s="52">
        <v>259895.82972620401</v>
      </c>
      <c r="D4889" s="56">
        <v>4.2477447760235709E-2</v>
      </c>
      <c r="E4889" s="224">
        <v>1371.4777777777699</v>
      </c>
      <c r="F4889" s="515" t="s">
        <v>6147</v>
      </c>
      <c r="G4889" s="52">
        <v>243746.98758282201</v>
      </c>
      <c r="H4889" s="56">
        <v>0.13000667345254369</v>
      </c>
      <c r="I4889" s="224" t="s">
        <v>2</v>
      </c>
    </row>
    <row r="4890" spans="1:9" x14ac:dyDescent="0.25">
      <c r="A4890" s="515">
        <v>34982</v>
      </c>
      <c r="B4890" s="515" t="s">
        <v>1180</v>
      </c>
      <c r="C4890" s="52">
        <v>260537.32056994899</v>
      </c>
      <c r="D4890" s="56">
        <v>0.15954764370086011</v>
      </c>
      <c r="E4890" s="224">
        <v>1875</v>
      </c>
      <c r="F4890" s="515" t="s">
        <v>6148</v>
      </c>
      <c r="G4890" s="52">
        <v>671501.30770553695</v>
      </c>
      <c r="H4890" s="56">
        <v>1.9260372431507473E-2</v>
      </c>
      <c r="I4890" s="224" t="s">
        <v>2</v>
      </c>
    </row>
    <row r="4891" spans="1:9" x14ac:dyDescent="0.25">
      <c r="A4891" s="515">
        <v>93212</v>
      </c>
      <c r="B4891" s="515" t="s">
        <v>942</v>
      </c>
      <c r="C4891" s="52">
        <v>228243.980481676</v>
      </c>
      <c r="D4891" s="56">
        <v>8.938673655672956E-2</v>
      </c>
      <c r="E4891" s="224" t="s">
        <v>2</v>
      </c>
      <c r="F4891" s="515" t="s">
        <v>6149</v>
      </c>
      <c r="G4891" s="52">
        <v>277402.07437637</v>
      </c>
      <c r="H4891" s="56">
        <v>8.2971035469382712E-2</v>
      </c>
      <c r="I4891" s="224" t="s">
        <v>2</v>
      </c>
    </row>
    <row r="4892" spans="1:9" x14ac:dyDescent="0.25">
      <c r="A4892" s="515">
        <v>84093</v>
      </c>
      <c r="B4892" s="515" t="s">
        <v>617</v>
      </c>
      <c r="C4892" s="52">
        <v>707121.64143766102</v>
      </c>
      <c r="D4892" s="56">
        <v>2.4829205541104484E-2</v>
      </c>
      <c r="E4892" s="224" t="s">
        <v>2</v>
      </c>
      <c r="F4892" s="515" t="s">
        <v>6150</v>
      </c>
      <c r="G4892" s="52">
        <v>167203.490393913</v>
      </c>
      <c r="H4892" s="56">
        <v>7.3901941284933728E-2</v>
      </c>
      <c r="I4892" s="224" t="s">
        <v>2</v>
      </c>
    </row>
    <row r="4893" spans="1:9" x14ac:dyDescent="0.25">
      <c r="A4893" s="515">
        <v>83702</v>
      </c>
      <c r="B4893" s="515" t="s">
        <v>500</v>
      </c>
      <c r="C4893" s="52">
        <v>677154.27294398297</v>
      </c>
      <c r="D4893" s="56">
        <v>-2.2185516366089768E-2</v>
      </c>
      <c r="E4893" s="224">
        <v>1735.9861111111099</v>
      </c>
      <c r="F4893" s="515" t="s">
        <v>6151</v>
      </c>
      <c r="G4893" s="52">
        <v>158638.96357227</v>
      </c>
      <c r="H4893" s="56">
        <v>9.1123100882059077E-2</v>
      </c>
      <c r="I4893" s="224" t="s">
        <v>2</v>
      </c>
    </row>
    <row r="4894" spans="1:9" x14ac:dyDescent="0.25">
      <c r="A4894" s="515">
        <v>35211</v>
      </c>
      <c r="B4894" s="515" t="s">
        <v>640</v>
      </c>
      <c r="C4894" s="52">
        <v>64298.677798630299</v>
      </c>
      <c r="D4894" s="56">
        <v>0.20011323599382635</v>
      </c>
      <c r="E4894" s="224">
        <v>1029.9722222222199</v>
      </c>
      <c r="F4894" s="515" t="s">
        <v>6152</v>
      </c>
      <c r="G4894" s="52">
        <v>486498.68643514498</v>
      </c>
      <c r="H4894" s="56">
        <v>0.13022190806747405</v>
      </c>
      <c r="I4894" s="224">
        <v>2762.4242424242402</v>
      </c>
    </row>
    <row r="4895" spans="1:9" x14ac:dyDescent="0.25">
      <c r="A4895" s="515">
        <v>60002</v>
      </c>
      <c r="B4895" s="515" t="s">
        <v>394</v>
      </c>
      <c r="C4895" s="52">
        <v>276141.92352722102</v>
      </c>
      <c r="D4895" s="56">
        <v>8.6220091350959246E-2</v>
      </c>
      <c r="E4895" s="224" t="s">
        <v>2</v>
      </c>
      <c r="F4895" s="515" t="s">
        <v>6153</v>
      </c>
      <c r="G4895" s="52">
        <v>561829.13066086301</v>
      </c>
      <c r="H4895" s="56">
        <v>3.5100233552061794E-2</v>
      </c>
      <c r="I4895" s="224">
        <v>2266</v>
      </c>
    </row>
    <row r="4896" spans="1:9" x14ac:dyDescent="0.25">
      <c r="A4896" s="515">
        <v>33607</v>
      </c>
      <c r="B4896" s="515" t="s">
        <v>461</v>
      </c>
      <c r="C4896" s="52">
        <v>334067.23341352498</v>
      </c>
      <c r="D4896" s="56">
        <v>0.14856241850879018</v>
      </c>
      <c r="E4896" s="224">
        <v>2059.0317156236601</v>
      </c>
      <c r="F4896" s="515" t="s">
        <v>6154</v>
      </c>
      <c r="G4896" s="52">
        <v>195343.82914204799</v>
      </c>
      <c r="H4896" s="56">
        <v>0.19369777657834253</v>
      </c>
      <c r="I4896" s="224" t="s">
        <v>2</v>
      </c>
    </row>
    <row r="4897" spans="1:9" x14ac:dyDescent="0.25">
      <c r="A4897" s="515">
        <v>7076</v>
      </c>
      <c r="B4897" s="515" t="s">
        <v>324</v>
      </c>
      <c r="C4897" s="52">
        <v>620482.43173052405</v>
      </c>
      <c r="D4897" s="56">
        <v>3.3100703560253061E-2</v>
      </c>
      <c r="E4897" s="224" t="s">
        <v>2</v>
      </c>
      <c r="F4897" s="515" t="s">
        <v>6155</v>
      </c>
      <c r="G4897" s="52">
        <v>687484.83880645002</v>
      </c>
      <c r="H4897" s="56">
        <v>9.9800757606599271E-3</v>
      </c>
      <c r="I4897" s="224" t="s">
        <v>2</v>
      </c>
    </row>
    <row r="4898" spans="1:9" x14ac:dyDescent="0.25">
      <c r="A4898" s="515">
        <v>99705</v>
      </c>
      <c r="B4898" s="515" t="s">
        <v>1080</v>
      </c>
      <c r="C4898" s="52">
        <v>288070.97517862701</v>
      </c>
      <c r="D4898" s="56">
        <v>-5.4808195266949607E-3</v>
      </c>
      <c r="E4898" s="224">
        <v>1825</v>
      </c>
      <c r="F4898" s="515" t="s">
        <v>6156</v>
      </c>
      <c r="G4898" s="52">
        <v>99981.106943240797</v>
      </c>
      <c r="H4898" s="56">
        <v>0.11771589408983474</v>
      </c>
      <c r="I4898" s="224" t="s">
        <v>2</v>
      </c>
    </row>
    <row r="4899" spans="1:9" x14ac:dyDescent="0.25">
      <c r="A4899" s="515">
        <v>44106</v>
      </c>
      <c r="B4899" s="515" t="s">
        <v>520</v>
      </c>
      <c r="C4899" s="52">
        <v>178573.38543336999</v>
      </c>
      <c r="D4899" s="56">
        <v>4.7016095567744033E-2</v>
      </c>
      <c r="E4899" s="224">
        <v>1551.7916666666599</v>
      </c>
      <c r="F4899" s="515" t="s">
        <v>6157</v>
      </c>
      <c r="G4899" s="52">
        <v>292494.565361113</v>
      </c>
      <c r="H4899" s="56">
        <v>2.629990384884193E-2</v>
      </c>
      <c r="I4899" s="224" t="s">
        <v>2</v>
      </c>
    </row>
    <row r="4900" spans="1:9" x14ac:dyDescent="0.25">
      <c r="A4900" s="515">
        <v>38119</v>
      </c>
      <c r="B4900" s="515" t="s">
        <v>951</v>
      </c>
      <c r="C4900" s="52">
        <v>292095.93857991998</v>
      </c>
      <c r="D4900" s="56">
        <v>7.2545583815199488E-2</v>
      </c>
      <c r="E4900" s="224">
        <v>1476.75</v>
      </c>
      <c r="F4900" s="515" t="s">
        <v>6158</v>
      </c>
      <c r="G4900" s="52">
        <v>289414.95190697099</v>
      </c>
      <c r="H4900" s="56">
        <v>6.8914196733917174E-2</v>
      </c>
      <c r="I4900" s="224" t="s">
        <v>2</v>
      </c>
    </row>
    <row r="4901" spans="1:9" x14ac:dyDescent="0.25">
      <c r="A4901" s="515">
        <v>33472</v>
      </c>
      <c r="B4901" s="515" t="s">
        <v>831</v>
      </c>
      <c r="C4901" s="52">
        <v>481337.08640732802</v>
      </c>
      <c r="D4901" s="56">
        <v>0.14853543233729843</v>
      </c>
      <c r="E4901" s="224">
        <v>2950</v>
      </c>
      <c r="F4901" s="515" t="s">
        <v>6159</v>
      </c>
      <c r="G4901" s="52">
        <v>194037.093096205</v>
      </c>
      <c r="H4901" s="56">
        <v>4.4806835436739419E-2</v>
      </c>
      <c r="I4901" s="224" t="s">
        <v>2</v>
      </c>
    </row>
    <row r="4902" spans="1:9" x14ac:dyDescent="0.25">
      <c r="A4902" s="515">
        <v>98362</v>
      </c>
      <c r="B4902" s="515" t="s">
        <v>781</v>
      </c>
      <c r="C4902" s="52">
        <v>409004.37823590502</v>
      </c>
      <c r="D4902" s="56">
        <v>4.5823253526952192E-2</v>
      </c>
      <c r="E4902" s="224" t="s">
        <v>2</v>
      </c>
      <c r="F4902" s="515" t="s">
        <v>6160</v>
      </c>
      <c r="G4902" s="52">
        <v>292409.46258014097</v>
      </c>
      <c r="H4902" s="56">
        <v>7.0755589164327046E-2</v>
      </c>
      <c r="I4902" s="224" t="s">
        <v>2</v>
      </c>
    </row>
    <row r="4903" spans="1:9" x14ac:dyDescent="0.25">
      <c r="A4903" s="515">
        <v>7040</v>
      </c>
      <c r="B4903" s="515" t="s">
        <v>324</v>
      </c>
      <c r="C4903" s="52">
        <v>727755.72305030294</v>
      </c>
      <c r="D4903" s="56">
        <v>7.352697645843867E-2</v>
      </c>
      <c r="E4903" s="224">
        <v>2094.4444444444398</v>
      </c>
      <c r="F4903" s="515" t="s">
        <v>6161</v>
      </c>
      <c r="G4903" s="52">
        <v>366481.797735837</v>
      </c>
      <c r="H4903" s="56">
        <v>7.8275026031678255E-2</v>
      </c>
      <c r="I4903" s="224" t="s">
        <v>2</v>
      </c>
    </row>
    <row r="4904" spans="1:9" x14ac:dyDescent="0.25">
      <c r="A4904" s="515">
        <v>44143</v>
      </c>
      <c r="B4904" s="515" t="s">
        <v>520</v>
      </c>
      <c r="C4904" s="52">
        <v>256050.16988479099</v>
      </c>
      <c r="D4904" s="56">
        <v>7.5965057433238573E-2</v>
      </c>
      <c r="E4904" s="224" t="s">
        <v>2</v>
      </c>
      <c r="F4904" s="515" t="s">
        <v>6162</v>
      </c>
      <c r="G4904" s="52">
        <v>384756.50208439399</v>
      </c>
      <c r="H4904" s="56">
        <v>1.064024278339455E-2</v>
      </c>
      <c r="I4904" s="224">
        <v>1625</v>
      </c>
    </row>
    <row r="4905" spans="1:9" x14ac:dyDescent="0.25">
      <c r="A4905" s="515">
        <v>30309</v>
      </c>
      <c r="B4905" s="515" t="s">
        <v>957</v>
      </c>
      <c r="C4905" s="52">
        <v>403767.17606107402</v>
      </c>
      <c r="D4905" s="56">
        <v>7.8268756565153478E-3</v>
      </c>
      <c r="E4905" s="224">
        <v>2314.6779100529002</v>
      </c>
      <c r="F4905" s="515" t="s">
        <v>6163</v>
      </c>
      <c r="G4905" s="52">
        <v>183560.93265030801</v>
      </c>
      <c r="H4905" s="56">
        <v>1.4014508916555195E-2</v>
      </c>
      <c r="I4905" s="224" t="s">
        <v>2</v>
      </c>
    </row>
    <row r="4906" spans="1:9" x14ac:dyDescent="0.25">
      <c r="A4906" s="515">
        <v>96007</v>
      </c>
      <c r="B4906" s="515" t="s">
        <v>514</v>
      </c>
      <c r="C4906" s="52">
        <v>316713.44734756899</v>
      </c>
      <c r="D4906" s="56">
        <v>1.7768552798510622E-2</v>
      </c>
      <c r="E4906" s="224" t="s">
        <v>2</v>
      </c>
      <c r="F4906" s="515" t="s">
        <v>6164</v>
      </c>
      <c r="G4906" s="52">
        <v>206357.98423134201</v>
      </c>
      <c r="H4906" s="56">
        <v>0.11629582334628077</v>
      </c>
      <c r="I4906" s="224" t="s">
        <v>2</v>
      </c>
    </row>
    <row r="4907" spans="1:9" x14ac:dyDescent="0.25">
      <c r="A4907" s="515">
        <v>60538</v>
      </c>
      <c r="B4907" s="515" t="s">
        <v>394</v>
      </c>
      <c r="C4907" s="52">
        <v>261749.581543145</v>
      </c>
      <c r="D4907" s="56">
        <v>7.5117243701983777E-2</v>
      </c>
      <c r="E4907" s="224" t="s">
        <v>2</v>
      </c>
      <c r="F4907" s="515" t="s">
        <v>6165</v>
      </c>
      <c r="G4907" s="52">
        <v>403174.13046413101</v>
      </c>
      <c r="H4907" s="56">
        <v>7.2963510138238527E-2</v>
      </c>
      <c r="I4907" s="224">
        <v>1893.75</v>
      </c>
    </row>
    <row r="4908" spans="1:9" x14ac:dyDescent="0.25">
      <c r="A4908" s="515">
        <v>28083</v>
      </c>
      <c r="B4908" s="515" t="s">
        <v>360</v>
      </c>
      <c r="C4908" s="52">
        <v>246935.11265398699</v>
      </c>
      <c r="D4908" s="56">
        <v>0.13954726087931371</v>
      </c>
      <c r="E4908" s="224">
        <v>1625.2666666666601</v>
      </c>
      <c r="F4908" s="515" t="s">
        <v>6166</v>
      </c>
      <c r="G4908" s="52">
        <v>69998.437495690698</v>
      </c>
      <c r="H4908" s="56">
        <v>3.9854893653032365E-3</v>
      </c>
      <c r="I4908" s="224" t="s">
        <v>2</v>
      </c>
    </row>
    <row r="4909" spans="1:9" x14ac:dyDescent="0.25">
      <c r="A4909" s="515">
        <v>21040</v>
      </c>
      <c r="B4909" s="515" t="s">
        <v>582</v>
      </c>
      <c r="C4909" s="52">
        <v>235874.431982471</v>
      </c>
      <c r="D4909" s="56">
        <v>6.3840413451857481E-2</v>
      </c>
      <c r="E4909" s="224">
        <v>1601.30555555555</v>
      </c>
      <c r="F4909" s="515" t="s">
        <v>6167</v>
      </c>
      <c r="G4909" s="52">
        <v>119367.62540505501</v>
      </c>
      <c r="H4909" s="56">
        <v>9.0457722791803946E-2</v>
      </c>
      <c r="I4909" s="224" t="s">
        <v>2</v>
      </c>
    </row>
    <row r="4910" spans="1:9" x14ac:dyDescent="0.25">
      <c r="A4910" s="515">
        <v>79118</v>
      </c>
      <c r="B4910" s="515" t="s">
        <v>869</v>
      </c>
      <c r="C4910" s="52">
        <v>238651.42022295101</v>
      </c>
      <c r="D4910" s="56">
        <v>8.0038456689689036E-2</v>
      </c>
      <c r="E4910" s="224" t="s">
        <v>2</v>
      </c>
      <c r="F4910" s="515" t="s">
        <v>6168</v>
      </c>
      <c r="G4910" s="52">
        <v>177150.49236455001</v>
      </c>
      <c r="H4910" s="56">
        <v>8.5711951560865252E-2</v>
      </c>
      <c r="I4910" s="224" t="s">
        <v>2</v>
      </c>
    </row>
    <row r="4911" spans="1:9" x14ac:dyDescent="0.25">
      <c r="A4911" s="515">
        <v>37415</v>
      </c>
      <c r="B4911" s="515" t="s">
        <v>622</v>
      </c>
      <c r="C4911" s="52">
        <v>279034.83371984598</v>
      </c>
      <c r="D4911" s="56">
        <v>8.8553180248678434E-2</v>
      </c>
      <c r="E4911" s="224">
        <v>1443.1666666666599</v>
      </c>
      <c r="F4911" s="515" t="s">
        <v>6169</v>
      </c>
      <c r="G4911" s="52">
        <v>179376.46540252701</v>
      </c>
      <c r="H4911" s="56">
        <v>-1.1358717397342958E-3</v>
      </c>
      <c r="I4911" s="224">
        <v>918.77777777777703</v>
      </c>
    </row>
    <row r="4912" spans="1:9" x14ac:dyDescent="0.25">
      <c r="A4912" s="515">
        <v>48390</v>
      </c>
      <c r="B4912" s="515" t="s">
        <v>685</v>
      </c>
      <c r="C4912" s="52">
        <v>278213.26999941102</v>
      </c>
      <c r="D4912" s="56">
        <v>4.124269981180765E-2</v>
      </c>
      <c r="E4912" s="224">
        <v>1843.13333333333</v>
      </c>
      <c r="F4912" s="515" t="s">
        <v>6170</v>
      </c>
      <c r="G4912" s="52">
        <v>582472.69516094495</v>
      </c>
      <c r="H4912" s="56">
        <v>4.1152026724210478E-2</v>
      </c>
      <c r="I4912" s="224" t="s">
        <v>2</v>
      </c>
    </row>
    <row r="4913" spans="1:9" x14ac:dyDescent="0.25">
      <c r="A4913" s="515">
        <v>75094</v>
      </c>
      <c r="B4913" s="515" t="s">
        <v>458</v>
      </c>
      <c r="C4913" s="52">
        <v>560594.86466139695</v>
      </c>
      <c r="D4913" s="56">
        <v>6.2695322408509307E-2</v>
      </c>
      <c r="E4913" s="224" t="s">
        <v>2</v>
      </c>
      <c r="F4913" s="515" t="s">
        <v>6171</v>
      </c>
      <c r="G4913" s="52">
        <v>240549.187539843</v>
      </c>
      <c r="H4913" s="56">
        <v>-3.9160478692137464E-2</v>
      </c>
      <c r="I4913" s="224" t="s">
        <v>2</v>
      </c>
    </row>
    <row r="4914" spans="1:9" x14ac:dyDescent="0.25">
      <c r="A4914" s="515">
        <v>94506</v>
      </c>
      <c r="B4914" s="515" t="s">
        <v>593</v>
      </c>
      <c r="C4914" s="52">
        <v>1938325.1913115999</v>
      </c>
      <c r="D4914" s="56">
        <v>1.6158250542437257E-2</v>
      </c>
      <c r="E4914" s="224">
        <v>4668.7777777777701</v>
      </c>
      <c r="F4914" s="515" t="s">
        <v>6172</v>
      </c>
      <c r="G4914" s="52">
        <v>439119.81477471499</v>
      </c>
      <c r="H4914" s="56">
        <v>3.3082263536385124E-2</v>
      </c>
      <c r="I4914" s="224" t="s">
        <v>2</v>
      </c>
    </row>
    <row r="4915" spans="1:9" x14ac:dyDescent="0.25">
      <c r="A4915" s="515">
        <v>28147</v>
      </c>
      <c r="B4915" s="515" t="s">
        <v>360</v>
      </c>
      <c r="C4915" s="52">
        <v>250810.861370214</v>
      </c>
      <c r="D4915" s="56">
        <v>0.11553992537543201</v>
      </c>
      <c r="E4915" s="224">
        <v>1122.0833333333301</v>
      </c>
      <c r="F4915" s="515" t="s">
        <v>6173</v>
      </c>
      <c r="G4915" s="52">
        <v>662142.29574742098</v>
      </c>
      <c r="H4915" s="56">
        <v>7.5118706363468554E-2</v>
      </c>
      <c r="I4915" s="224" t="s">
        <v>2</v>
      </c>
    </row>
    <row r="4916" spans="1:9" x14ac:dyDescent="0.25">
      <c r="A4916" s="515">
        <v>23701</v>
      </c>
      <c r="B4916" s="515" t="s">
        <v>301</v>
      </c>
      <c r="C4916" s="52">
        <v>220207.209732207</v>
      </c>
      <c r="D4916" s="56">
        <v>7.9386562994088028E-2</v>
      </c>
      <c r="E4916" s="224" t="s">
        <v>2</v>
      </c>
      <c r="F4916" s="515" t="s">
        <v>6174</v>
      </c>
      <c r="G4916" s="52">
        <v>107321.985357749</v>
      </c>
      <c r="H4916" s="56">
        <v>-3.8694504646008598E-2</v>
      </c>
      <c r="I4916" s="224" t="s">
        <v>2</v>
      </c>
    </row>
    <row r="4917" spans="1:9" x14ac:dyDescent="0.25">
      <c r="A4917" s="515">
        <v>33707</v>
      </c>
      <c r="B4917" s="515" t="s">
        <v>461</v>
      </c>
      <c r="C4917" s="52">
        <v>389136.45369958202</v>
      </c>
      <c r="D4917" s="56">
        <v>0.14165011931956789</v>
      </c>
      <c r="E4917" s="224">
        <v>2234.7619047619</v>
      </c>
      <c r="F4917" s="515" t="s">
        <v>6175</v>
      </c>
      <c r="G4917" s="52">
        <v>212822.499584359</v>
      </c>
      <c r="H4917" s="56">
        <v>7.3176403912137006E-2</v>
      </c>
      <c r="I4917" s="224" t="s">
        <v>2</v>
      </c>
    </row>
    <row r="4918" spans="1:9" x14ac:dyDescent="0.25">
      <c r="A4918" s="515">
        <v>89120</v>
      </c>
      <c r="B4918" s="515" t="s">
        <v>323</v>
      </c>
      <c r="C4918" s="52">
        <v>365826.15570115298</v>
      </c>
      <c r="D4918" s="56">
        <v>7.0372379579864475E-2</v>
      </c>
      <c r="E4918" s="224">
        <v>1480.93333333333</v>
      </c>
      <c r="F4918" s="515" t="s">
        <v>6176</v>
      </c>
      <c r="G4918" s="52">
        <v>286304.40295126499</v>
      </c>
      <c r="H4918" s="56">
        <v>8.9127000269778503E-2</v>
      </c>
      <c r="I4918" s="224" t="s">
        <v>2</v>
      </c>
    </row>
    <row r="4919" spans="1:9" x14ac:dyDescent="0.25">
      <c r="A4919" s="515">
        <v>98372</v>
      </c>
      <c r="B4919" s="515" t="s">
        <v>384</v>
      </c>
      <c r="C4919" s="52">
        <v>563358.62637693703</v>
      </c>
      <c r="D4919" s="56">
        <v>2.2986159168294079E-2</v>
      </c>
      <c r="E4919" s="224">
        <v>1925.05833333333</v>
      </c>
      <c r="F4919" s="515" t="s">
        <v>6177</v>
      </c>
      <c r="G4919" s="52">
        <v>138440.89965086401</v>
      </c>
      <c r="H4919" s="56">
        <v>6.0406086296851236E-2</v>
      </c>
      <c r="I4919" s="224" t="s">
        <v>2</v>
      </c>
    </row>
    <row r="4920" spans="1:9" x14ac:dyDescent="0.25">
      <c r="A4920" s="515">
        <v>95531</v>
      </c>
      <c r="B4920" s="515" t="s">
        <v>844</v>
      </c>
      <c r="C4920" s="52">
        <v>327212.530833075</v>
      </c>
      <c r="D4920" s="56">
        <v>-1.5096969396394894E-2</v>
      </c>
      <c r="E4920" s="224" t="s">
        <v>2</v>
      </c>
      <c r="F4920" s="515" t="s">
        <v>6178</v>
      </c>
      <c r="G4920" s="52">
        <v>256596.058692655</v>
      </c>
      <c r="H4920" s="56">
        <v>9.3673594579738576E-2</v>
      </c>
      <c r="I4920" s="224" t="s">
        <v>2</v>
      </c>
    </row>
    <row r="4921" spans="1:9" x14ac:dyDescent="0.25">
      <c r="A4921" s="515">
        <v>40508</v>
      </c>
      <c r="B4921" s="515" t="s">
        <v>515</v>
      </c>
      <c r="C4921" s="52">
        <v>162494.07298307301</v>
      </c>
      <c r="D4921" s="56">
        <v>0.12866782509188485</v>
      </c>
      <c r="E4921" s="224">
        <v>1186.42857142857</v>
      </c>
      <c r="F4921" s="515" t="s">
        <v>6179</v>
      </c>
      <c r="G4921" s="52">
        <v>409190.25980280701</v>
      </c>
      <c r="H4921" s="56">
        <v>6.3817495349692596E-2</v>
      </c>
      <c r="I4921" s="224" t="s">
        <v>2</v>
      </c>
    </row>
    <row r="4922" spans="1:9" x14ac:dyDescent="0.25">
      <c r="A4922" s="515">
        <v>98271</v>
      </c>
      <c r="B4922" s="515" t="s">
        <v>384</v>
      </c>
      <c r="C4922" s="52">
        <v>524844.48126520903</v>
      </c>
      <c r="D4922" s="56">
        <v>1.7022922482177252E-2</v>
      </c>
      <c r="E4922" s="224">
        <v>2101.98888888888</v>
      </c>
      <c r="F4922" s="515" t="s">
        <v>6180</v>
      </c>
      <c r="G4922" s="52">
        <v>255331.741533928</v>
      </c>
      <c r="H4922" s="56">
        <v>3.7183822002130391E-2</v>
      </c>
      <c r="I4922" s="224" t="s">
        <v>2</v>
      </c>
    </row>
    <row r="4923" spans="1:9" x14ac:dyDescent="0.25">
      <c r="A4923" s="515">
        <v>73020</v>
      </c>
      <c r="B4923" s="515" t="s">
        <v>385</v>
      </c>
      <c r="C4923" s="52">
        <v>262890.66356290103</v>
      </c>
      <c r="D4923" s="56">
        <v>0.10037538485705116</v>
      </c>
      <c r="E4923" s="224">
        <v>1624.7222222222199</v>
      </c>
      <c r="F4923" s="515" t="s">
        <v>6181</v>
      </c>
      <c r="G4923" s="52">
        <v>293184.02063004702</v>
      </c>
      <c r="H4923" s="56">
        <v>6.2685380747382682E-2</v>
      </c>
      <c r="I4923" s="224" t="s">
        <v>2</v>
      </c>
    </row>
    <row r="4924" spans="1:9" x14ac:dyDescent="0.25">
      <c r="A4924" s="515">
        <v>64836</v>
      </c>
      <c r="B4924" s="515" t="s">
        <v>784</v>
      </c>
      <c r="C4924" s="52">
        <v>200738.859001629</v>
      </c>
      <c r="D4924" s="56">
        <v>7.8748492652284091E-2</v>
      </c>
      <c r="E4924" s="224" t="s">
        <v>2</v>
      </c>
      <c r="F4924" s="515" t="s">
        <v>6182</v>
      </c>
      <c r="G4924" s="52">
        <v>176140.08217734101</v>
      </c>
      <c r="H4924" s="56">
        <v>9.468782915606748E-2</v>
      </c>
      <c r="I4924" s="224" t="s">
        <v>2</v>
      </c>
    </row>
    <row r="4925" spans="1:9" x14ac:dyDescent="0.25">
      <c r="A4925" s="515">
        <v>75180</v>
      </c>
      <c r="B4925" s="515" t="s">
        <v>458</v>
      </c>
      <c r="C4925" s="52">
        <v>224912.84665958301</v>
      </c>
      <c r="D4925" s="56">
        <v>0.12030676778196177</v>
      </c>
      <c r="E4925" s="224">
        <v>1697.5</v>
      </c>
      <c r="F4925" s="515" t="s">
        <v>6183</v>
      </c>
      <c r="G4925" s="52">
        <v>174432.05940109401</v>
      </c>
      <c r="H4925" s="56">
        <v>8.1121297646672225E-2</v>
      </c>
      <c r="I4925" s="224" t="s">
        <v>2</v>
      </c>
    </row>
    <row r="4926" spans="1:9" x14ac:dyDescent="0.25">
      <c r="A4926" s="515">
        <v>90292</v>
      </c>
      <c r="B4926" s="515" t="s">
        <v>375</v>
      </c>
      <c r="C4926" s="52">
        <v>1219583.6072479901</v>
      </c>
      <c r="D4926" s="56">
        <v>-2.1437791921507843E-2</v>
      </c>
      <c r="E4926" s="224">
        <v>3931.5852941176399</v>
      </c>
      <c r="F4926" s="515" t="s">
        <v>6184</v>
      </c>
      <c r="G4926" s="52">
        <v>2509229.0497916499</v>
      </c>
      <c r="H4926" s="56">
        <v>8.245432882561074E-2</v>
      </c>
      <c r="I4926" s="224" t="s">
        <v>2</v>
      </c>
    </row>
    <row r="4927" spans="1:9" x14ac:dyDescent="0.25">
      <c r="A4927" s="515">
        <v>95409</v>
      </c>
      <c r="B4927" s="515" t="s">
        <v>331</v>
      </c>
      <c r="C4927" s="52">
        <v>739595.137106927</v>
      </c>
      <c r="D4927" s="56">
        <v>3.3011391674656915E-2</v>
      </c>
      <c r="E4927" s="224">
        <v>2805</v>
      </c>
      <c r="F4927" s="515" t="s">
        <v>6185</v>
      </c>
      <c r="G4927" s="52">
        <v>685253.80191581801</v>
      </c>
      <c r="H4927" s="56">
        <v>8.0366741363929378E-2</v>
      </c>
      <c r="I4927" s="224" t="s">
        <v>2</v>
      </c>
    </row>
    <row r="4928" spans="1:9" x14ac:dyDescent="0.25">
      <c r="A4928" s="515">
        <v>60561</v>
      </c>
      <c r="B4928" s="515" t="s">
        <v>394</v>
      </c>
      <c r="C4928" s="52">
        <v>361075.40677466098</v>
      </c>
      <c r="D4928" s="56">
        <v>3.9287450427656488E-2</v>
      </c>
      <c r="E4928" s="224">
        <v>1808.75</v>
      </c>
      <c r="F4928" s="515" t="s">
        <v>6186</v>
      </c>
      <c r="G4928" s="52">
        <v>154262.45737398299</v>
      </c>
      <c r="H4928" s="56">
        <v>-4.4451219159147237E-2</v>
      </c>
      <c r="I4928" s="224" t="s">
        <v>2</v>
      </c>
    </row>
    <row r="4929" spans="1:9" x14ac:dyDescent="0.25">
      <c r="A4929" s="515">
        <v>91737</v>
      </c>
      <c r="B4929" s="515" t="s">
        <v>599</v>
      </c>
      <c r="C4929" s="52">
        <v>840465.97013478004</v>
      </c>
      <c r="D4929" s="56">
        <v>6.2463297240016792E-2</v>
      </c>
      <c r="E4929" s="224">
        <v>2704.9166666666601</v>
      </c>
      <c r="F4929" s="515" t="s">
        <v>6187</v>
      </c>
      <c r="G4929" s="52">
        <v>668617.69168766798</v>
      </c>
      <c r="H4929" s="56">
        <v>6.4969811148992918E-2</v>
      </c>
      <c r="I4929" s="224" t="s">
        <v>2</v>
      </c>
    </row>
    <row r="4930" spans="1:9" x14ac:dyDescent="0.25">
      <c r="A4930" s="515">
        <v>98405</v>
      </c>
      <c r="B4930" s="515" t="s">
        <v>384</v>
      </c>
      <c r="C4930" s="52">
        <v>431612.25310263602</v>
      </c>
      <c r="D4930" s="56">
        <v>1.299545089402503E-2</v>
      </c>
      <c r="E4930" s="224">
        <v>1654.45138888888</v>
      </c>
      <c r="F4930" s="515" t="s">
        <v>6188</v>
      </c>
      <c r="G4930" s="52">
        <v>143446.691430562</v>
      </c>
      <c r="H4930" s="56">
        <v>0.13474570533715899</v>
      </c>
      <c r="I4930" s="224" t="s">
        <v>2</v>
      </c>
    </row>
    <row r="4931" spans="1:9" x14ac:dyDescent="0.25">
      <c r="A4931" s="515">
        <v>57108</v>
      </c>
      <c r="B4931" s="515" t="s">
        <v>579</v>
      </c>
      <c r="C4931" s="52">
        <v>417855.76780270803</v>
      </c>
      <c r="D4931" s="56">
        <v>5.3717307659421086E-2</v>
      </c>
      <c r="E4931" s="224">
        <v>1245.8999999999901</v>
      </c>
      <c r="F4931" s="515" t="s">
        <v>6189</v>
      </c>
      <c r="G4931" s="52">
        <v>144405.598307637</v>
      </c>
      <c r="H4931" s="56">
        <v>0.10428180320215029</v>
      </c>
      <c r="I4931" s="224" t="s">
        <v>2</v>
      </c>
    </row>
    <row r="4932" spans="1:9" x14ac:dyDescent="0.25">
      <c r="A4932" s="515">
        <v>89134</v>
      </c>
      <c r="B4932" s="515" t="s">
        <v>323</v>
      </c>
      <c r="C4932" s="52">
        <v>452677.80945817102</v>
      </c>
      <c r="D4932" s="56">
        <v>4.5058049558715542E-2</v>
      </c>
      <c r="E4932" s="224">
        <v>2165.7999999999902</v>
      </c>
      <c r="F4932" s="515" t="s">
        <v>6190</v>
      </c>
      <c r="G4932" s="52">
        <v>117332.450290601</v>
      </c>
      <c r="H4932" s="56">
        <v>-1.8237378908340655E-2</v>
      </c>
      <c r="I4932" s="224" t="s">
        <v>2</v>
      </c>
    </row>
    <row r="4933" spans="1:9" x14ac:dyDescent="0.25">
      <c r="A4933" s="515">
        <v>10591</v>
      </c>
      <c r="B4933" s="515" t="s">
        <v>324</v>
      </c>
      <c r="C4933" s="52">
        <v>809308.27869873901</v>
      </c>
      <c r="D4933" s="56">
        <v>5.0327437494477219E-2</v>
      </c>
      <c r="E4933" s="224">
        <v>2524.4222222222202</v>
      </c>
      <c r="F4933" s="515" t="s">
        <v>6191</v>
      </c>
      <c r="G4933" s="52">
        <v>714732.89018493495</v>
      </c>
      <c r="H4933" s="56">
        <v>7.4934643043752289E-2</v>
      </c>
      <c r="I4933" s="224" t="s">
        <v>2</v>
      </c>
    </row>
    <row r="4934" spans="1:9" x14ac:dyDescent="0.25">
      <c r="A4934" s="515">
        <v>30021</v>
      </c>
      <c r="B4934" s="515" t="s">
        <v>957</v>
      </c>
      <c r="C4934" s="52">
        <v>242310.458265361</v>
      </c>
      <c r="D4934" s="56">
        <v>0.14703297533418025</v>
      </c>
      <c r="E4934" s="224" t="s">
        <v>2</v>
      </c>
      <c r="F4934" s="515" t="s">
        <v>6192</v>
      </c>
      <c r="G4934" s="52">
        <v>284257.05560743</v>
      </c>
      <c r="H4934" s="56">
        <v>5.6206541093557702E-2</v>
      </c>
      <c r="I4934" s="224" t="s">
        <v>2</v>
      </c>
    </row>
    <row r="4935" spans="1:9" x14ac:dyDescent="0.25">
      <c r="A4935" s="515">
        <v>44012</v>
      </c>
      <c r="B4935" s="515" t="s">
        <v>520</v>
      </c>
      <c r="C4935" s="52">
        <v>342582.50609869801</v>
      </c>
      <c r="D4935" s="56">
        <v>5.9401766925216794E-2</v>
      </c>
      <c r="E4935" s="224" t="s">
        <v>2</v>
      </c>
      <c r="F4935" s="515" t="s">
        <v>6193</v>
      </c>
      <c r="G4935" s="52">
        <v>124666.944463098</v>
      </c>
      <c r="H4935" s="56">
        <v>0.10007421619292703</v>
      </c>
      <c r="I4935" s="224" t="s">
        <v>2</v>
      </c>
    </row>
    <row r="4936" spans="1:9" x14ac:dyDescent="0.25">
      <c r="A4936" s="515">
        <v>84128</v>
      </c>
      <c r="B4936" s="515" t="s">
        <v>617</v>
      </c>
      <c r="C4936" s="52">
        <v>448664.46593555098</v>
      </c>
      <c r="D4936" s="56">
        <v>1.4370236408381452E-2</v>
      </c>
      <c r="E4936" s="224">
        <v>1796.2222222222199</v>
      </c>
      <c r="F4936" s="515" t="s">
        <v>6194</v>
      </c>
      <c r="G4936" s="52">
        <v>183518.89285099</v>
      </c>
      <c r="H4936" s="56">
        <v>8.2507710064331524E-2</v>
      </c>
      <c r="I4936" s="224" t="s">
        <v>2</v>
      </c>
    </row>
    <row r="4937" spans="1:9" x14ac:dyDescent="0.25">
      <c r="A4937" s="515">
        <v>14618</v>
      </c>
      <c r="B4937" s="515" t="s">
        <v>337</v>
      </c>
      <c r="C4937" s="52">
        <v>306415.97454665601</v>
      </c>
      <c r="D4937" s="56">
        <v>7.8624506324195348E-2</v>
      </c>
      <c r="E4937" s="224">
        <v>1531.6666666666599</v>
      </c>
      <c r="F4937" s="515" t="s">
        <v>6195</v>
      </c>
      <c r="G4937" s="52">
        <v>382749.61292130599</v>
      </c>
      <c r="H4937" s="56">
        <v>7.5225764546238083E-2</v>
      </c>
      <c r="I4937" s="224" t="s">
        <v>2</v>
      </c>
    </row>
    <row r="4938" spans="1:9" x14ac:dyDescent="0.25">
      <c r="A4938" s="515">
        <v>19973</v>
      </c>
      <c r="B4938" s="515" t="s">
        <v>552</v>
      </c>
      <c r="C4938" s="52">
        <v>260992.34049853301</v>
      </c>
      <c r="D4938" s="56">
        <v>3.4933702308281279E-2</v>
      </c>
      <c r="E4938" s="224" t="s">
        <v>2</v>
      </c>
      <c r="F4938" s="515" t="s">
        <v>6196</v>
      </c>
      <c r="G4938" s="52">
        <v>218186.89623245</v>
      </c>
      <c r="H4938" s="56">
        <v>0.10660137102126166</v>
      </c>
      <c r="I4938" s="224" t="s">
        <v>2</v>
      </c>
    </row>
    <row r="4939" spans="1:9" x14ac:dyDescent="0.25">
      <c r="A4939" s="515">
        <v>85258</v>
      </c>
      <c r="B4939" s="515" t="s">
        <v>563</v>
      </c>
      <c r="C4939" s="52">
        <v>764912.40990229405</v>
      </c>
      <c r="D4939" s="56">
        <v>8.2784088562820726E-2</v>
      </c>
      <c r="E4939" s="224">
        <v>2599.0635683760602</v>
      </c>
      <c r="F4939" s="515" t="s">
        <v>6197</v>
      </c>
      <c r="G4939" s="52">
        <v>407083.144199248</v>
      </c>
      <c r="H4939" s="56">
        <v>0.10760272711842192</v>
      </c>
      <c r="I4939" s="224">
        <v>1250</v>
      </c>
    </row>
    <row r="4940" spans="1:9" x14ac:dyDescent="0.25">
      <c r="A4940" s="515">
        <v>54403</v>
      </c>
      <c r="B4940" s="515" t="s">
        <v>940</v>
      </c>
      <c r="C4940" s="52">
        <v>174663.07655301201</v>
      </c>
      <c r="D4940" s="56">
        <v>5.1327044876289821E-2</v>
      </c>
      <c r="E4940" s="224" t="s">
        <v>2</v>
      </c>
      <c r="F4940" s="515" t="s">
        <v>6198</v>
      </c>
      <c r="G4940" s="52">
        <v>321247.30989110703</v>
      </c>
      <c r="H4940" s="56">
        <v>8.160255056888964E-2</v>
      </c>
      <c r="I4940" s="224" t="s">
        <v>2</v>
      </c>
    </row>
    <row r="4941" spans="1:9" x14ac:dyDescent="0.25">
      <c r="A4941" s="515">
        <v>54902</v>
      </c>
      <c r="B4941" s="515" t="s">
        <v>383</v>
      </c>
      <c r="C4941" s="52">
        <v>180537.11031290499</v>
      </c>
      <c r="D4941" s="56">
        <v>0.10954768493217279</v>
      </c>
      <c r="E4941" s="224">
        <v>999</v>
      </c>
      <c r="F4941" s="515" t="s">
        <v>6199</v>
      </c>
      <c r="G4941" s="52">
        <v>233718.968631981</v>
      </c>
      <c r="H4941" s="56">
        <v>6.4301257794608158E-2</v>
      </c>
      <c r="I4941" s="224" t="s">
        <v>2</v>
      </c>
    </row>
    <row r="4942" spans="1:9" x14ac:dyDescent="0.25">
      <c r="A4942" s="515">
        <v>63121</v>
      </c>
      <c r="B4942" s="515" t="s">
        <v>498</v>
      </c>
      <c r="C4942" s="52">
        <v>76913.021463687794</v>
      </c>
      <c r="D4942" s="56">
        <v>0.21006128660855342</v>
      </c>
      <c r="E4942" s="224">
        <v>1008.27777777777</v>
      </c>
      <c r="F4942" s="515" t="s">
        <v>6200</v>
      </c>
      <c r="G4942" s="52">
        <v>565267.10397623701</v>
      </c>
      <c r="H4942" s="56">
        <v>1.9823944441094317E-2</v>
      </c>
      <c r="I4942" s="224" t="s">
        <v>2</v>
      </c>
    </row>
    <row r="4943" spans="1:9" x14ac:dyDescent="0.25">
      <c r="A4943" s="515">
        <v>34689</v>
      </c>
      <c r="B4943" s="515" t="s">
        <v>461</v>
      </c>
      <c r="C4943" s="52">
        <v>378858.84634347202</v>
      </c>
      <c r="D4943" s="56">
        <v>9.7722923104158935E-2</v>
      </c>
      <c r="E4943" s="224">
        <v>2150.6666666666601</v>
      </c>
      <c r="F4943" s="515" t="s">
        <v>6201</v>
      </c>
      <c r="G4943" s="52">
        <v>167659.81254408101</v>
      </c>
      <c r="H4943" s="56">
        <v>6.7882456083222603E-2</v>
      </c>
      <c r="I4943" s="224" t="s">
        <v>2</v>
      </c>
    </row>
    <row r="4944" spans="1:9" x14ac:dyDescent="0.25">
      <c r="A4944" s="515">
        <v>14207</v>
      </c>
      <c r="B4944" s="515" t="s">
        <v>336</v>
      </c>
      <c r="C4944" s="52">
        <v>138015.24684387501</v>
      </c>
      <c r="D4944" s="56">
        <v>9.2476485649938017E-2</v>
      </c>
      <c r="E4944" s="224">
        <v>1003.33333333333</v>
      </c>
      <c r="F4944" s="515" t="s">
        <v>6202</v>
      </c>
      <c r="G4944" s="52">
        <v>205830.239980143</v>
      </c>
      <c r="H4944" s="56">
        <v>2.2858329646937049E-2</v>
      </c>
      <c r="I4944" s="224" t="s">
        <v>2</v>
      </c>
    </row>
    <row r="4945" spans="1:9" x14ac:dyDescent="0.25">
      <c r="A4945" s="515">
        <v>72904</v>
      </c>
      <c r="B4945" s="515" t="s">
        <v>326</v>
      </c>
      <c r="C4945" s="52">
        <v>87073.593381826096</v>
      </c>
      <c r="D4945" s="56">
        <v>2.1767425214970645E-2</v>
      </c>
      <c r="E4945" s="224" t="s">
        <v>2</v>
      </c>
      <c r="F4945" s="515" t="s">
        <v>6203</v>
      </c>
      <c r="G4945" s="52">
        <v>274520.87669254199</v>
      </c>
      <c r="H4945" s="56">
        <v>8.0749412715240818E-2</v>
      </c>
      <c r="I4945" s="224" t="s">
        <v>2</v>
      </c>
    </row>
    <row r="4946" spans="1:9" x14ac:dyDescent="0.25">
      <c r="A4946" s="515">
        <v>70005</v>
      </c>
      <c r="B4946" s="515" t="s">
        <v>777</v>
      </c>
      <c r="C4946" s="52">
        <v>381778.05686712998</v>
      </c>
      <c r="D4946" s="56">
        <v>1.1119899989196491E-3</v>
      </c>
      <c r="E4946" s="224">
        <v>1799</v>
      </c>
      <c r="F4946" s="515" t="s">
        <v>976</v>
      </c>
      <c r="G4946" s="52">
        <v>90567.519161184595</v>
      </c>
      <c r="H4946" s="56">
        <v>-7.9695674434213132E-2</v>
      </c>
      <c r="I4946" s="224" t="s">
        <v>2</v>
      </c>
    </row>
    <row r="4947" spans="1:9" x14ac:dyDescent="0.25">
      <c r="A4947" s="515">
        <v>66223</v>
      </c>
      <c r="B4947" s="515" t="s">
        <v>455</v>
      </c>
      <c r="C4947" s="52">
        <v>430258.83671494998</v>
      </c>
      <c r="D4947" s="56">
        <v>5.3236000351746748E-2</v>
      </c>
      <c r="E4947" s="224">
        <v>1721.4166666666599</v>
      </c>
      <c r="F4947" s="515" t="s">
        <v>6204</v>
      </c>
      <c r="G4947" s="52">
        <v>107152.107387383</v>
      </c>
      <c r="H4947" s="56">
        <v>0.16699640270284724</v>
      </c>
      <c r="I4947" s="224" t="s">
        <v>2</v>
      </c>
    </row>
    <row r="4948" spans="1:9" x14ac:dyDescent="0.25">
      <c r="A4948" s="515">
        <v>10566</v>
      </c>
      <c r="B4948" s="515" t="s">
        <v>324</v>
      </c>
      <c r="C4948" s="52">
        <v>412476.11162909301</v>
      </c>
      <c r="D4948" s="56">
        <v>1.7500734651741286E-2</v>
      </c>
      <c r="E4948" s="224" t="s">
        <v>2</v>
      </c>
      <c r="F4948" s="515" t="s">
        <v>6205</v>
      </c>
      <c r="G4948" s="52">
        <v>405845.80203263299</v>
      </c>
      <c r="H4948" s="56">
        <v>3.4109328484554342E-2</v>
      </c>
      <c r="I4948" s="224" t="s">
        <v>2</v>
      </c>
    </row>
    <row r="4949" spans="1:9" x14ac:dyDescent="0.25">
      <c r="A4949" s="515">
        <v>31792</v>
      </c>
      <c r="B4949" s="515" t="s">
        <v>402</v>
      </c>
      <c r="C4949" s="52">
        <v>168599.37469628701</v>
      </c>
      <c r="D4949" s="56">
        <v>0.10080796333775813</v>
      </c>
      <c r="E4949" s="224" t="s">
        <v>2</v>
      </c>
      <c r="F4949" s="515" t="s">
        <v>6206</v>
      </c>
      <c r="G4949" s="52">
        <v>338267.25304290501</v>
      </c>
      <c r="H4949" s="56">
        <v>9.0286476337827964E-2</v>
      </c>
      <c r="I4949" s="224" t="s">
        <v>2</v>
      </c>
    </row>
    <row r="4950" spans="1:9" x14ac:dyDescent="0.25">
      <c r="A4950" s="515">
        <v>48067</v>
      </c>
      <c r="B4950" s="515" t="s">
        <v>685</v>
      </c>
      <c r="C4950" s="52">
        <v>297561.81803543097</v>
      </c>
      <c r="D4950" s="56">
        <v>2.5545130915766528E-2</v>
      </c>
      <c r="E4950" s="224">
        <v>1964.9666666666601</v>
      </c>
      <c r="F4950" s="515" t="s">
        <v>6207</v>
      </c>
      <c r="G4950" s="52">
        <v>832630.17134841299</v>
      </c>
      <c r="H4950" s="56">
        <v>4.5846149236956173E-2</v>
      </c>
      <c r="I4950" s="224" t="s">
        <v>2</v>
      </c>
    </row>
    <row r="4951" spans="1:9" x14ac:dyDescent="0.25">
      <c r="A4951" s="515">
        <v>78702</v>
      </c>
      <c r="B4951" s="515" t="s">
        <v>380</v>
      </c>
      <c r="C4951" s="52">
        <v>642207.70183696505</v>
      </c>
      <c r="D4951" s="56">
        <v>6.009954736907723E-2</v>
      </c>
      <c r="E4951" s="224">
        <v>2205.0996422558901</v>
      </c>
      <c r="F4951" s="515" t="s">
        <v>6208</v>
      </c>
      <c r="G4951" s="52">
        <v>384413.86041256698</v>
      </c>
      <c r="H4951" s="56">
        <v>3.429991346600151E-2</v>
      </c>
      <c r="I4951" s="224">
        <v>1592.5</v>
      </c>
    </row>
    <row r="4952" spans="1:9" x14ac:dyDescent="0.25">
      <c r="A4952" s="515">
        <v>74134</v>
      </c>
      <c r="B4952" s="515" t="s">
        <v>348</v>
      </c>
      <c r="C4952" s="52">
        <v>231324.529874637</v>
      </c>
      <c r="D4952" s="56">
        <v>9.6856030171372287E-2</v>
      </c>
      <c r="E4952" s="224">
        <v>1522.5</v>
      </c>
      <c r="F4952" s="515" t="s">
        <v>6209</v>
      </c>
      <c r="G4952" s="52">
        <v>802308.17159667995</v>
      </c>
      <c r="H4952" s="56">
        <v>8.2475690119593131E-2</v>
      </c>
      <c r="I4952" s="224" t="s">
        <v>2</v>
      </c>
    </row>
    <row r="4953" spans="1:9" x14ac:dyDescent="0.25">
      <c r="A4953" s="515">
        <v>71446</v>
      </c>
      <c r="B4953" s="515" t="s">
        <v>889</v>
      </c>
      <c r="C4953" s="52">
        <v>134213.11097407501</v>
      </c>
      <c r="D4953" s="56">
        <v>5.752078956550976E-2</v>
      </c>
      <c r="E4953" s="224">
        <v>875</v>
      </c>
      <c r="F4953" s="515" t="s">
        <v>6210</v>
      </c>
      <c r="G4953" s="52">
        <v>328839.24395033199</v>
      </c>
      <c r="H4953" s="56">
        <v>8.9255870309959781E-2</v>
      </c>
      <c r="I4953" s="224" t="s">
        <v>2</v>
      </c>
    </row>
    <row r="4954" spans="1:9" x14ac:dyDescent="0.25">
      <c r="A4954" s="515">
        <v>7080</v>
      </c>
      <c r="B4954" s="515" t="s">
        <v>324</v>
      </c>
      <c r="C4954" s="52">
        <v>439154.27753898897</v>
      </c>
      <c r="D4954" s="56">
        <v>5.423760766757226E-3</v>
      </c>
      <c r="E4954" s="224">
        <v>2374.7777777777701</v>
      </c>
      <c r="F4954" s="515" t="s">
        <v>6211</v>
      </c>
      <c r="G4954" s="52">
        <v>124368.057517465</v>
      </c>
      <c r="H4954" s="56">
        <v>7.6898965714608331E-2</v>
      </c>
      <c r="I4954" s="224" t="s">
        <v>2</v>
      </c>
    </row>
    <row r="4955" spans="1:9" x14ac:dyDescent="0.25">
      <c r="A4955" s="515">
        <v>20832</v>
      </c>
      <c r="B4955" s="515" t="s">
        <v>321</v>
      </c>
      <c r="C4955" s="52">
        <v>579966.42357880005</v>
      </c>
      <c r="D4955" s="56">
        <v>2.1006539214685951E-2</v>
      </c>
      <c r="E4955" s="224" t="s">
        <v>2</v>
      </c>
      <c r="F4955" s="515" t="s">
        <v>6212</v>
      </c>
      <c r="G4955" s="52">
        <v>253638.78594885499</v>
      </c>
      <c r="H4955" s="56">
        <v>0.12931992359168049</v>
      </c>
      <c r="I4955" s="224" t="s">
        <v>2</v>
      </c>
    </row>
    <row r="4956" spans="1:9" x14ac:dyDescent="0.25">
      <c r="A4956" s="515">
        <v>37865</v>
      </c>
      <c r="B4956" s="515" t="s">
        <v>1183</v>
      </c>
      <c r="C4956" s="52">
        <v>319243.66784989001</v>
      </c>
      <c r="D4956" s="56">
        <v>7.2888419623350326E-2</v>
      </c>
      <c r="E4956" s="224" t="s">
        <v>2</v>
      </c>
      <c r="F4956" s="515" t="s">
        <v>6213</v>
      </c>
      <c r="G4956" s="52">
        <v>301302.34119889501</v>
      </c>
      <c r="H4956" s="56">
        <v>9.1477549388812709E-2</v>
      </c>
      <c r="I4956" s="224" t="s">
        <v>2</v>
      </c>
    </row>
    <row r="4957" spans="1:9" x14ac:dyDescent="0.25">
      <c r="A4957" s="515">
        <v>83402</v>
      </c>
      <c r="B4957" s="515" t="s">
        <v>409</v>
      </c>
      <c r="C4957" s="52">
        <v>335390.99854154099</v>
      </c>
      <c r="D4957" s="56">
        <v>1.392447032539333E-2</v>
      </c>
      <c r="E4957" s="224">
        <v>1043.3333333333301</v>
      </c>
      <c r="F4957" s="515" t="s">
        <v>6214</v>
      </c>
      <c r="G4957" s="52">
        <v>1211124.5339927601</v>
      </c>
      <c r="H4957" s="56">
        <v>0.10279499111681792</v>
      </c>
      <c r="I4957" s="224" t="s">
        <v>2</v>
      </c>
    </row>
    <row r="4958" spans="1:9" x14ac:dyDescent="0.25">
      <c r="A4958" s="515">
        <v>79603</v>
      </c>
      <c r="B4958" s="515" t="s">
        <v>704</v>
      </c>
      <c r="C4958" s="52">
        <v>116544.12871408999</v>
      </c>
      <c r="D4958" s="56">
        <v>7.3351294553971158E-2</v>
      </c>
      <c r="E4958" s="224" t="s">
        <v>2</v>
      </c>
      <c r="F4958" s="515" t="s">
        <v>6215</v>
      </c>
      <c r="G4958" s="52">
        <v>166695.455954387</v>
      </c>
      <c r="H4958" s="56">
        <v>6.1928295928007297E-2</v>
      </c>
      <c r="I4958" s="224" t="s">
        <v>2</v>
      </c>
    </row>
    <row r="4959" spans="1:9" x14ac:dyDescent="0.25">
      <c r="A4959" s="515">
        <v>83634</v>
      </c>
      <c r="B4959" s="515" t="s">
        <v>500</v>
      </c>
      <c r="C4959" s="52">
        <v>426319.88825234899</v>
      </c>
      <c r="D4959" s="56">
        <v>-4.1986856365235706E-2</v>
      </c>
      <c r="E4959" s="224">
        <v>1771.6666666666599</v>
      </c>
      <c r="F4959" s="515" t="s">
        <v>6216</v>
      </c>
      <c r="G4959" s="52">
        <v>367483.83370602701</v>
      </c>
      <c r="H4959" s="56">
        <v>6.0715556867778145E-2</v>
      </c>
      <c r="I4959" s="224" t="s">
        <v>2</v>
      </c>
    </row>
    <row r="4960" spans="1:9" x14ac:dyDescent="0.25">
      <c r="A4960" s="515">
        <v>7016</v>
      </c>
      <c r="B4960" s="515" t="s">
        <v>324</v>
      </c>
      <c r="C4960" s="52">
        <v>588659.56186563405</v>
      </c>
      <c r="D4960" s="56">
        <v>1.4618015039123692E-2</v>
      </c>
      <c r="E4960" s="224">
        <v>2782.5</v>
      </c>
      <c r="F4960" s="515" t="s">
        <v>6217</v>
      </c>
      <c r="G4960" s="52">
        <v>273408.80744542403</v>
      </c>
      <c r="H4960" s="56">
        <v>4.9775995372037356E-2</v>
      </c>
      <c r="I4960" s="224" t="s">
        <v>2</v>
      </c>
    </row>
    <row r="4961" spans="1:9" x14ac:dyDescent="0.25">
      <c r="A4961" s="515">
        <v>23607</v>
      </c>
      <c r="B4961" s="515" t="s">
        <v>301</v>
      </c>
      <c r="C4961" s="52">
        <v>145203.50673221299</v>
      </c>
      <c r="D4961" s="56">
        <v>0.2177527296425619</v>
      </c>
      <c r="E4961" s="224">
        <v>1355</v>
      </c>
      <c r="F4961" s="515" t="s">
        <v>6218</v>
      </c>
      <c r="G4961" s="52">
        <v>303000.05176577298</v>
      </c>
      <c r="H4961" s="56">
        <v>6.726916002140966E-2</v>
      </c>
      <c r="I4961" s="224" t="s">
        <v>2</v>
      </c>
    </row>
    <row r="4962" spans="1:9" x14ac:dyDescent="0.25">
      <c r="A4962" s="515">
        <v>49315</v>
      </c>
      <c r="B4962" s="515" t="s">
        <v>631</v>
      </c>
      <c r="C4962" s="52">
        <v>375773.09771771001</v>
      </c>
      <c r="D4962" s="56">
        <v>4.6919229698790636E-2</v>
      </c>
      <c r="E4962" s="224" t="s">
        <v>2</v>
      </c>
      <c r="F4962" s="515" t="s">
        <v>6219</v>
      </c>
      <c r="G4962" s="52">
        <v>1283834.2647800101</v>
      </c>
      <c r="H4962" s="56">
        <v>6.6575204953196632E-2</v>
      </c>
      <c r="I4962" s="224">
        <v>2785</v>
      </c>
    </row>
    <row r="4963" spans="1:9" x14ac:dyDescent="0.25">
      <c r="A4963" s="515">
        <v>77037</v>
      </c>
      <c r="B4963" s="515" t="s">
        <v>314</v>
      </c>
      <c r="C4963" s="52">
        <v>195047.964662554</v>
      </c>
      <c r="D4963" s="56">
        <v>0.14729158650232582</v>
      </c>
      <c r="E4963" s="224" t="s">
        <v>2</v>
      </c>
      <c r="F4963" s="515" t="s">
        <v>6220</v>
      </c>
      <c r="G4963" s="52">
        <v>454691.45090811799</v>
      </c>
      <c r="H4963" s="56">
        <v>6.2993668826537508E-2</v>
      </c>
      <c r="I4963" s="224" t="s">
        <v>2</v>
      </c>
    </row>
    <row r="4964" spans="1:9" x14ac:dyDescent="0.25">
      <c r="A4964" s="515">
        <v>28613</v>
      </c>
      <c r="B4964" s="515" t="s">
        <v>638</v>
      </c>
      <c r="C4964" s="52">
        <v>238564.10066863801</v>
      </c>
      <c r="D4964" s="56">
        <v>0.1426161725142617</v>
      </c>
      <c r="E4964" s="224" t="s">
        <v>2</v>
      </c>
      <c r="F4964" s="515" t="s">
        <v>6221</v>
      </c>
      <c r="G4964" s="52">
        <v>217648.20615054999</v>
      </c>
      <c r="H4964" s="56">
        <v>6.012525370256E-2</v>
      </c>
      <c r="I4964" s="224" t="s">
        <v>2</v>
      </c>
    </row>
    <row r="4965" spans="1:9" x14ac:dyDescent="0.25">
      <c r="A4965" s="515">
        <v>4005</v>
      </c>
      <c r="B4965" s="515" t="s">
        <v>570</v>
      </c>
      <c r="C4965" s="52">
        <v>415888.10590154602</v>
      </c>
      <c r="D4965" s="56">
        <v>0.10499828798732362</v>
      </c>
      <c r="E4965" s="224">
        <v>1758.3333333333301</v>
      </c>
      <c r="F4965" s="515" t="s">
        <v>6222</v>
      </c>
      <c r="G4965" s="52">
        <v>328527.924511994</v>
      </c>
      <c r="H4965" s="56">
        <v>1.5978831263157484E-2</v>
      </c>
      <c r="I4965" s="224" t="s">
        <v>2</v>
      </c>
    </row>
    <row r="4966" spans="1:9" x14ac:dyDescent="0.25">
      <c r="A4966" s="515">
        <v>61350</v>
      </c>
      <c r="B4966" s="515" t="s">
        <v>556</v>
      </c>
      <c r="C4966" s="52">
        <v>154400.32613062</v>
      </c>
      <c r="D4966" s="56">
        <v>3.5240868016251335E-2</v>
      </c>
      <c r="E4966" s="224" t="s">
        <v>2</v>
      </c>
      <c r="F4966" s="515" t="s">
        <v>6223</v>
      </c>
      <c r="G4966" s="52">
        <v>327404.83993509301</v>
      </c>
      <c r="H4966" s="56">
        <v>0.12641688032192919</v>
      </c>
      <c r="I4966" s="224" t="s">
        <v>2</v>
      </c>
    </row>
    <row r="4967" spans="1:9" x14ac:dyDescent="0.25">
      <c r="A4967" s="515">
        <v>91106</v>
      </c>
      <c r="B4967" s="515" t="s">
        <v>375</v>
      </c>
      <c r="C4967" s="52">
        <v>912289.19198106695</v>
      </c>
      <c r="D4967" s="56">
        <v>3.6928344322454718E-2</v>
      </c>
      <c r="E4967" s="224">
        <v>2489.2063492063398</v>
      </c>
      <c r="F4967" s="515" t="s">
        <v>6224</v>
      </c>
      <c r="G4967" s="52">
        <v>117463.17340070099</v>
      </c>
      <c r="H4967" s="56">
        <v>5.3272638875321535E-2</v>
      </c>
      <c r="I4967" s="224" t="s">
        <v>2</v>
      </c>
    </row>
    <row r="4968" spans="1:9" x14ac:dyDescent="0.25">
      <c r="A4968" s="515">
        <v>39206</v>
      </c>
      <c r="B4968" s="515" t="s">
        <v>851</v>
      </c>
      <c r="C4968" s="52">
        <v>96832.3985106607</v>
      </c>
      <c r="D4968" s="56">
        <v>4.8791432663886219E-2</v>
      </c>
      <c r="E4968" s="224">
        <v>1197.13333333333</v>
      </c>
      <c r="F4968" s="515" t="s">
        <v>6225</v>
      </c>
      <c r="G4968" s="52">
        <v>253048.92392368201</v>
      </c>
      <c r="H4968" s="56">
        <v>3.8052279202037916E-2</v>
      </c>
      <c r="I4968" s="224" t="s">
        <v>2</v>
      </c>
    </row>
    <row r="4969" spans="1:9" x14ac:dyDescent="0.25">
      <c r="A4969" s="515">
        <v>73109</v>
      </c>
      <c r="B4969" s="515" t="s">
        <v>385</v>
      </c>
      <c r="C4969" s="52">
        <v>102029.069843559</v>
      </c>
      <c r="D4969" s="56">
        <v>0.17220037544578687</v>
      </c>
      <c r="E4969" s="224">
        <v>813.16666666666595</v>
      </c>
      <c r="F4969" s="515" t="s">
        <v>6226</v>
      </c>
      <c r="G4969" s="52">
        <v>227455.04474290201</v>
      </c>
      <c r="H4969" s="56">
        <v>7.4046170935522918E-2</v>
      </c>
      <c r="I4969" s="224" t="s">
        <v>2</v>
      </c>
    </row>
    <row r="4970" spans="1:9" x14ac:dyDescent="0.25">
      <c r="A4970" s="515">
        <v>37664</v>
      </c>
      <c r="B4970" s="515" t="s">
        <v>902</v>
      </c>
      <c r="C4970" s="52">
        <v>228077.920851612</v>
      </c>
      <c r="D4970" s="56">
        <v>8.3737998074234155E-2</v>
      </c>
      <c r="E4970" s="224" t="s">
        <v>2</v>
      </c>
      <c r="F4970" s="515" t="s">
        <v>6227</v>
      </c>
      <c r="G4970" s="52">
        <v>802361.64331121603</v>
      </c>
      <c r="H4970" s="56">
        <v>1.1880532467026424E-2</v>
      </c>
      <c r="I4970" s="224">
        <v>3240</v>
      </c>
    </row>
    <row r="4971" spans="1:9" x14ac:dyDescent="0.25">
      <c r="A4971" s="515">
        <v>33712</v>
      </c>
      <c r="B4971" s="515" t="s">
        <v>461</v>
      </c>
      <c r="C4971" s="52">
        <v>290295.58123145503</v>
      </c>
      <c r="D4971" s="56">
        <v>0.15866618191811849</v>
      </c>
      <c r="E4971" s="224">
        <v>1909.88888888888</v>
      </c>
      <c r="F4971" s="515" t="s">
        <v>6228</v>
      </c>
      <c r="G4971" s="52">
        <v>133073.31164873901</v>
      </c>
      <c r="H4971" s="56">
        <v>0.18409552121577513</v>
      </c>
      <c r="I4971" s="224" t="s">
        <v>2</v>
      </c>
    </row>
    <row r="4972" spans="1:9" x14ac:dyDescent="0.25">
      <c r="A4972" s="515">
        <v>46563</v>
      </c>
      <c r="B4972" s="515" t="s">
        <v>342</v>
      </c>
      <c r="C4972" s="52">
        <v>198543.289253036</v>
      </c>
      <c r="D4972" s="56">
        <v>7.0952021246852764E-2</v>
      </c>
      <c r="E4972" s="224" t="s">
        <v>2</v>
      </c>
      <c r="F4972" s="515" t="s">
        <v>6229</v>
      </c>
      <c r="G4972" s="52">
        <v>193496.96718399401</v>
      </c>
      <c r="H4972" s="56">
        <v>7.5256378802511376E-2</v>
      </c>
      <c r="I4972" s="224" t="s">
        <v>2</v>
      </c>
    </row>
    <row r="4973" spans="1:9" x14ac:dyDescent="0.25">
      <c r="A4973" s="515">
        <v>77802</v>
      </c>
      <c r="B4973" s="515" t="s">
        <v>346</v>
      </c>
      <c r="C4973" s="52">
        <v>249703.24794488301</v>
      </c>
      <c r="D4973" s="56">
        <v>5.946589156702653E-2</v>
      </c>
      <c r="E4973" s="224">
        <v>1280.23737373737</v>
      </c>
      <c r="F4973" s="515" t="s">
        <v>6230</v>
      </c>
      <c r="G4973" s="52">
        <v>536587.06181138998</v>
      </c>
      <c r="H4973" s="56">
        <v>3.4589178243963195E-2</v>
      </c>
      <c r="I4973" s="224" t="s">
        <v>2</v>
      </c>
    </row>
    <row r="4974" spans="1:9" x14ac:dyDescent="0.25">
      <c r="A4974" s="515">
        <v>48204</v>
      </c>
      <c r="B4974" s="515" t="s">
        <v>685</v>
      </c>
      <c r="C4974" s="52">
        <v>50020.225555860103</v>
      </c>
      <c r="D4974" s="56">
        <v>0.11130916277970623</v>
      </c>
      <c r="E4974" s="224" t="s">
        <v>2</v>
      </c>
      <c r="F4974" s="515" t="s">
        <v>6231</v>
      </c>
      <c r="G4974" s="52">
        <v>123609.175837409</v>
      </c>
      <c r="H4974" s="56">
        <v>6.2673640661176783E-2</v>
      </c>
      <c r="I4974" s="224" t="s">
        <v>2</v>
      </c>
    </row>
    <row r="4975" spans="1:9" x14ac:dyDescent="0.25">
      <c r="A4975" s="515">
        <v>53227</v>
      </c>
      <c r="B4975" s="515" t="s">
        <v>950</v>
      </c>
      <c r="C4975" s="52">
        <v>225571.93490291899</v>
      </c>
      <c r="D4975" s="56">
        <v>6.8447822650859649E-2</v>
      </c>
      <c r="E4975" s="224" t="s">
        <v>2</v>
      </c>
      <c r="F4975" s="515" t="s">
        <v>6232</v>
      </c>
      <c r="G4975" s="52">
        <v>361624.67511581897</v>
      </c>
      <c r="H4975" s="56">
        <v>5.3353884852339578E-2</v>
      </c>
      <c r="I4975" s="224" t="s">
        <v>2</v>
      </c>
    </row>
    <row r="4976" spans="1:9" x14ac:dyDescent="0.25">
      <c r="A4976" s="515">
        <v>61571</v>
      </c>
      <c r="B4976" s="515" t="s">
        <v>303</v>
      </c>
      <c r="C4976" s="52">
        <v>179212.26100585199</v>
      </c>
      <c r="D4976" s="56">
        <v>4.2022824799951383E-2</v>
      </c>
      <c r="E4976" s="224">
        <v>1125</v>
      </c>
      <c r="F4976" s="515" t="s">
        <v>6233</v>
      </c>
      <c r="G4976" s="52">
        <v>261866.986871156</v>
      </c>
      <c r="H4976" s="56">
        <v>0.1567019856712312</v>
      </c>
      <c r="I4976" s="224" t="s">
        <v>2</v>
      </c>
    </row>
    <row r="4977" spans="1:9" x14ac:dyDescent="0.25">
      <c r="A4977" s="515">
        <v>64081</v>
      </c>
      <c r="B4977" s="515" t="s">
        <v>455</v>
      </c>
      <c r="C4977" s="52">
        <v>364884.44845223898</v>
      </c>
      <c r="D4977" s="56">
        <v>5.0250598695789392E-2</v>
      </c>
      <c r="E4977" s="224">
        <v>1558.2777777777701</v>
      </c>
      <c r="F4977" s="515" t="s">
        <v>6234</v>
      </c>
      <c r="G4977" s="52">
        <v>427491.982819942</v>
      </c>
      <c r="H4977" s="56">
        <v>6.6996631640667922E-2</v>
      </c>
      <c r="I4977" s="224">
        <v>1812.5</v>
      </c>
    </row>
    <row r="4978" spans="1:9" x14ac:dyDescent="0.25">
      <c r="A4978" s="515">
        <v>26501</v>
      </c>
      <c r="B4978" s="515" t="s">
        <v>643</v>
      </c>
      <c r="C4978" s="52">
        <v>187392.73861029901</v>
      </c>
      <c r="D4978" s="56">
        <v>3.2692564087300681E-2</v>
      </c>
      <c r="E4978" s="224">
        <v>1273.2222222222199</v>
      </c>
      <c r="F4978" s="515" t="s">
        <v>6235</v>
      </c>
      <c r="G4978" s="52">
        <v>446793.256907192</v>
      </c>
      <c r="H4978" s="56">
        <v>-2.5133911324587532E-2</v>
      </c>
      <c r="I4978" s="224" t="s">
        <v>2</v>
      </c>
    </row>
    <row r="4979" spans="1:9" x14ac:dyDescent="0.25">
      <c r="A4979" s="515">
        <v>67601</v>
      </c>
      <c r="B4979" s="515" t="s">
        <v>811</v>
      </c>
      <c r="C4979" s="52">
        <v>220566.546687072</v>
      </c>
      <c r="D4979" s="56">
        <v>5.6255752730788235E-2</v>
      </c>
      <c r="E4979" s="224" t="s">
        <v>2</v>
      </c>
      <c r="F4979" s="515" t="s">
        <v>6236</v>
      </c>
      <c r="G4979" s="52">
        <v>69315.014011379593</v>
      </c>
      <c r="H4979" s="56">
        <v>7.7298273078535762E-2</v>
      </c>
      <c r="I4979" s="224" t="s">
        <v>2</v>
      </c>
    </row>
    <row r="4980" spans="1:9" x14ac:dyDescent="0.25">
      <c r="A4980" s="515">
        <v>35023</v>
      </c>
      <c r="B4980" s="515" t="s">
        <v>640</v>
      </c>
      <c r="C4980" s="52">
        <v>165169.028471981</v>
      </c>
      <c r="D4980" s="56">
        <v>0.12911026409174847</v>
      </c>
      <c r="E4980" s="224">
        <v>1155.75</v>
      </c>
      <c r="F4980" s="515" t="s">
        <v>6237</v>
      </c>
      <c r="G4980" s="52">
        <v>591696.39464411396</v>
      </c>
      <c r="H4980" s="56">
        <v>3.0875886562095282E-2</v>
      </c>
      <c r="I4980" s="224" t="s">
        <v>2</v>
      </c>
    </row>
    <row r="4981" spans="1:9" x14ac:dyDescent="0.25">
      <c r="A4981" s="515">
        <v>77345</v>
      </c>
      <c r="B4981" s="515" t="s">
        <v>314</v>
      </c>
      <c r="C4981" s="52">
        <v>380973.45256686199</v>
      </c>
      <c r="D4981" s="56">
        <v>7.414733662764407E-2</v>
      </c>
      <c r="E4981" s="224">
        <v>1845.75</v>
      </c>
      <c r="F4981" s="515" t="s">
        <v>6238</v>
      </c>
      <c r="G4981" s="52">
        <v>353729.73428365798</v>
      </c>
      <c r="H4981" s="56">
        <v>0.12681397069136896</v>
      </c>
      <c r="I4981" s="224" t="s">
        <v>2</v>
      </c>
    </row>
    <row r="4982" spans="1:9" x14ac:dyDescent="0.25">
      <c r="A4982" s="515">
        <v>33558</v>
      </c>
      <c r="B4982" s="515" t="s">
        <v>461</v>
      </c>
      <c r="C4982" s="52">
        <v>542211.14924997499</v>
      </c>
      <c r="D4982" s="56">
        <v>0.12880348333150698</v>
      </c>
      <c r="E4982" s="224">
        <v>2353.87301587301</v>
      </c>
      <c r="F4982" s="515" t="s">
        <v>6239</v>
      </c>
      <c r="G4982" s="52">
        <v>359292.49784409598</v>
      </c>
      <c r="H4982" s="56">
        <v>5.9825095193669311E-2</v>
      </c>
      <c r="I4982" s="224" t="s">
        <v>2</v>
      </c>
    </row>
    <row r="4983" spans="1:9" x14ac:dyDescent="0.25">
      <c r="A4983" s="515">
        <v>92371</v>
      </c>
      <c r="B4983" s="515" t="s">
        <v>599</v>
      </c>
      <c r="C4983" s="52">
        <v>407952.96303726197</v>
      </c>
      <c r="D4983" s="56">
        <v>2.4305900016960535E-2</v>
      </c>
      <c r="E4983" s="224" t="s">
        <v>2</v>
      </c>
      <c r="F4983" s="515" t="s">
        <v>6240</v>
      </c>
      <c r="G4983" s="52">
        <v>285351.96493049402</v>
      </c>
      <c r="H4983" s="56">
        <v>6.7858558271998881E-2</v>
      </c>
      <c r="I4983" s="224" t="s">
        <v>2</v>
      </c>
    </row>
    <row r="4984" spans="1:9" x14ac:dyDescent="0.25">
      <c r="A4984" s="515">
        <v>29455</v>
      </c>
      <c r="B4984" s="515" t="s">
        <v>1009</v>
      </c>
      <c r="C4984" s="52">
        <v>629373.61098258605</v>
      </c>
      <c r="D4984" s="56">
        <v>0.17166190731033365</v>
      </c>
      <c r="E4984" s="224">
        <v>1937</v>
      </c>
      <c r="F4984" s="515" t="s">
        <v>6241</v>
      </c>
      <c r="G4984" s="52">
        <v>172161.395711146</v>
      </c>
      <c r="H4984" s="56">
        <v>0.20971757407405478</v>
      </c>
      <c r="I4984" s="224" t="s">
        <v>2</v>
      </c>
    </row>
    <row r="4985" spans="1:9" x14ac:dyDescent="0.25">
      <c r="A4985" s="515">
        <v>77021</v>
      </c>
      <c r="B4985" s="515" t="s">
        <v>314</v>
      </c>
      <c r="C4985" s="52">
        <v>192925.481647401</v>
      </c>
      <c r="D4985" s="56">
        <v>0.13355511011384277</v>
      </c>
      <c r="E4985" s="224">
        <v>1558.7541160593701</v>
      </c>
      <c r="F4985" s="515" t="s">
        <v>6242</v>
      </c>
      <c r="G4985" s="52">
        <v>262840.36971541302</v>
      </c>
      <c r="H4985" s="56">
        <v>4.5954572767007949E-2</v>
      </c>
      <c r="I4985" s="224" t="s">
        <v>2</v>
      </c>
    </row>
    <row r="4986" spans="1:9" x14ac:dyDescent="0.25">
      <c r="A4986" s="515">
        <v>29926</v>
      </c>
      <c r="B4986" s="515" t="s">
        <v>734</v>
      </c>
      <c r="C4986" s="52">
        <v>652776.91554336797</v>
      </c>
      <c r="D4986" s="56">
        <v>0.13129457282909443</v>
      </c>
      <c r="E4986" s="224" t="s">
        <v>2</v>
      </c>
      <c r="F4986" s="515" t="s">
        <v>6243</v>
      </c>
      <c r="G4986" s="52">
        <v>136512.76429239399</v>
      </c>
      <c r="H4986" s="56">
        <v>-8.8664254896221356E-4</v>
      </c>
      <c r="I4986" s="224" t="s">
        <v>2</v>
      </c>
    </row>
    <row r="4987" spans="1:9" x14ac:dyDescent="0.25">
      <c r="A4987" s="515">
        <v>7108</v>
      </c>
      <c r="B4987" s="515" t="s">
        <v>324</v>
      </c>
      <c r="C4987" s="52">
        <v>403263.699278026</v>
      </c>
      <c r="D4987" s="56">
        <v>7.8242621122983705E-2</v>
      </c>
      <c r="E4987" s="224">
        <v>1874.31547619047</v>
      </c>
      <c r="F4987" s="515" t="s">
        <v>6244</v>
      </c>
      <c r="G4987" s="52">
        <v>117281.95530998601</v>
      </c>
      <c r="H4987" s="56">
        <v>3.6374557246055164E-2</v>
      </c>
      <c r="I4987" s="224" t="s">
        <v>2</v>
      </c>
    </row>
    <row r="4988" spans="1:9" x14ac:dyDescent="0.25">
      <c r="A4988" s="515">
        <v>55412</v>
      </c>
      <c r="B4988" s="515" t="s">
        <v>532</v>
      </c>
      <c r="C4988" s="52">
        <v>215244.230364096</v>
      </c>
      <c r="D4988" s="56">
        <v>2.4425486799165976E-2</v>
      </c>
      <c r="E4988" s="224" t="s">
        <v>2</v>
      </c>
      <c r="F4988" s="515" t="s">
        <v>6245</v>
      </c>
      <c r="G4988" s="52">
        <v>404116.82307994599</v>
      </c>
      <c r="H4988" s="56">
        <v>8.4609128518948487E-2</v>
      </c>
      <c r="I4988" s="224">
        <v>1325</v>
      </c>
    </row>
    <row r="4989" spans="1:9" x14ac:dyDescent="0.25">
      <c r="A4989" s="515">
        <v>76126</v>
      </c>
      <c r="B4989" s="515" t="s">
        <v>458</v>
      </c>
      <c r="C4989" s="52">
        <v>366156.87890157802</v>
      </c>
      <c r="D4989" s="56">
        <v>7.8962829589690114E-2</v>
      </c>
      <c r="E4989" s="224">
        <v>2238.5555555555502</v>
      </c>
      <c r="F4989" s="515" t="s">
        <v>6246</v>
      </c>
      <c r="G4989" s="52">
        <v>141048.287343456</v>
      </c>
      <c r="H4989" s="56">
        <v>1.6612205540941641E-3</v>
      </c>
      <c r="I4989" s="224" t="s">
        <v>2</v>
      </c>
    </row>
    <row r="4990" spans="1:9" x14ac:dyDescent="0.25">
      <c r="A4990" s="515">
        <v>7701</v>
      </c>
      <c r="B4990" s="515" t="s">
        <v>324</v>
      </c>
      <c r="C4990" s="52">
        <v>542108.47334976902</v>
      </c>
      <c r="D4990" s="56">
        <v>9.1791518023759955E-2</v>
      </c>
      <c r="E4990" s="224">
        <v>3057.9166666666601</v>
      </c>
      <c r="F4990" s="515" t="s">
        <v>6247</v>
      </c>
      <c r="G4990" s="52">
        <v>320466.982525072</v>
      </c>
      <c r="H4990" s="56">
        <v>8.788974008340103E-2</v>
      </c>
      <c r="I4990" s="224" t="s">
        <v>2</v>
      </c>
    </row>
    <row r="4991" spans="1:9" x14ac:dyDescent="0.25">
      <c r="A4991" s="515">
        <v>17110</v>
      </c>
      <c r="B4991" s="515" t="s">
        <v>428</v>
      </c>
      <c r="C4991" s="52">
        <v>211210.42002868099</v>
      </c>
      <c r="D4991" s="56">
        <v>0.12271738759729801</v>
      </c>
      <c r="E4991" s="224">
        <v>1190.7777777777701</v>
      </c>
      <c r="F4991" s="515" t="s">
        <v>6248</v>
      </c>
      <c r="G4991" s="52">
        <v>199957.54195768901</v>
      </c>
      <c r="H4991" s="56">
        <v>3.8146074352518697E-2</v>
      </c>
      <c r="I4991" s="224" t="s">
        <v>2</v>
      </c>
    </row>
    <row r="4992" spans="1:9" x14ac:dyDescent="0.25">
      <c r="A4992" s="515">
        <v>38106</v>
      </c>
      <c r="B4992" s="515" t="s">
        <v>951</v>
      </c>
      <c r="C4992" s="52">
        <v>51208.881904718801</v>
      </c>
      <c r="D4992" s="56">
        <v>0.14556932523782165</v>
      </c>
      <c r="E4992" s="224">
        <v>829.33333333333303</v>
      </c>
      <c r="F4992" s="515" t="s">
        <v>6249</v>
      </c>
      <c r="G4992" s="52">
        <v>458361.19946537702</v>
      </c>
      <c r="H4992" s="56">
        <v>6.4665747108377844E-2</v>
      </c>
      <c r="I4992" s="224" t="s">
        <v>2</v>
      </c>
    </row>
    <row r="4993" spans="1:9" x14ac:dyDescent="0.25">
      <c r="A4993" s="515">
        <v>8619</v>
      </c>
      <c r="B4993" s="515" t="s">
        <v>938</v>
      </c>
      <c r="C4993" s="52">
        <v>333907.441058408</v>
      </c>
      <c r="D4993" s="56">
        <v>8.150330344291265E-2</v>
      </c>
      <c r="E4993" s="224">
        <v>2412.5833333333298</v>
      </c>
      <c r="F4993" s="515" t="s">
        <v>616</v>
      </c>
      <c r="G4993" s="52">
        <v>272952.04735793301</v>
      </c>
      <c r="H4993" s="56">
        <v>6.3269332998889136E-2</v>
      </c>
      <c r="I4993" s="224" t="s">
        <v>2</v>
      </c>
    </row>
    <row r="4994" spans="1:9" x14ac:dyDescent="0.25">
      <c r="A4994" s="515">
        <v>77384</v>
      </c>
      <c r="B4994" s="515" t="s">
        <v>314</v>
      </c>
      <c r="C4994" s="52">
        <v>424568.36889844702</v>
      </c>
      <c r="D4994" s="56">
        <v>9.0839385505478071E-2</v>
      </c>
      <c r="E4994" s="224">
        <v>1497.47305764411</v>
      </c>
      <c r="F4994" s="515" t="s">
        <v>6250</v>
      </c>
      <c r="G4994" s="52">
        <v>529293.77988079598</v>
      </c>
      <c r="H4994" s="56">
        <v>3.3516923363004415E-2</v>
      </c>
      <c r="I4994" s="224">
        <v>2136.2888888888801</v>
      </c>
    </row>
    <row r="4995" spans="1:9" x14ac:dyDescent="0.25">
      <c r="A4995" s="515">
        <v>70460</v>
      </c>
      <c r="B4995" s="515" t="s">
        <v>777</v>
      </c>
      <c r="C4995" s="52">
        <v>188675.578079695</v>
      </c>
      <c r="D4995" s="56">
        <v>4.2849892658674331E-2</v>
      </c>
      <c r="E4995" s="224" t="s">
        <v>2</v>
      </c>
      <c r="F4995" s="515" t="s">
        <v>6251</v>
      </c>
      <c r="G4995" s="52">
        <v>271191.94163620903</v>
      </c>
      <c r="H4995" s="56">
        <v>9.0325367707564969E-2</v>
      </c>
      <c r="I4995" s="224" t="s">
        <v>2</v>
      </c>
    </row>
    <row r="4996" spans="1:9" x14ac:dyDescent="0.25">
      <c r="A4996" s="515">
        <v>83202</v>
      </c>
      <c r="B4996" s="515" t="s">
        <v>884</v>
      </c>
      <c r="C4996" s="52">
        <v>356460.42844933399</v>
      </c>
      <c r="D4996" s="56">
        <v>1.793058880968192E-2</v>
      </c>
      <c r="E4996" s="224" t="s">
        <v>2</v>
      </c>
      <c r="F4996" s="515" t="s">
        <v>6252</v>
      </c>
      <c r="G4996" s="52">
        <v>176189.83814591399</v>
      </c>
      <c r="H4996" s="56">
        <v>0.16107469046099568</v>
      </c>
      <c r="I4996" s="224" t="s">
        <v>2</v>
      </c>
    </row>
    <row r="4997" spans="1:9" x14ac:dyDescent="0.25">
      <c r="A4997" s="515">
        <v>89044</v>
      </c>
      <c r="B4997" s="515" t="s">
        <v>323</v>
      </c>
      <c r="C4997" s="52">
        <v>514104.36240429699</v>
      </c>
      <c r="D4997" s="56">
        <v>2.9285916969929524E-2</v>
      </c>
      <c r="E4997" s="224">
        <v>2257.9861111111099</v>
      </c>
      <c r="F4997" s="515" t="s">
        <v>6253</v>
      </c>
      <c r="G4997" s="52">
        <v>289176.98289369798</v>
      </c>
      <c r="H4997" s="56">
        <v>0.11951182734424941</v>
      </c>
      <c r="I4997" s="224" t="s">
        <v>2</v>
      </c>
    </row>
    <row r="4998" spans="1:9" x14ac:dyDescent="0.25">
      <c r="A4998" s="515">
        <v>92211</v>
      </c>
      <c r="B4998" s="515" t="s">
        <v>599</v>
      </c>
      <c r="C4998" s="52">
        <v>543383.91572168097</v>
      </c>
      <c r="D4998" s="56">
        <v>9.470875008574553E-2</v>
      </c>
      <c r="E4998" s="224">
        <v>2609.1666666666601</v>
      </c>
      <c r="F4998" s="515" t="s">
        <v>6254</v>
      </c>
      <c r="G4998" s="52">
        <v>86407.655129402498</v>
      </c>
      <c r="H4998" s="56">
        <v>-1.9001925347330827E-2</v>
      </c>
      <c r="I4998" s="224" t="s">
        <v>2</v>
      </c>
    </row>
    <row r="4999" spans="1:9" x14ac:dyDescent="0.25">
      <c r="A4999" s="515">
        <v>27527</v>
      </c>
      <c r="B4999" s="515" t="s">
        <v>484</v>
      </c>
      <c r="C4999" s="52">
        <v>396104.44895688503</v>
      </c>
      <c r="D4999" s="56">
        <v>9.4540690458235252E-2</v>
      </c>
      <c r="E4999" s="224">
        <v>1976.5277777777701</v>
      </c>
      <c r="F4999" s="515" t="s">
        <v>6255</v>
      </c>
      <c r="G4999" s="52">
        <v>453930.31717661</v>
      </c>
      <c r="H4999" s="56">
        <v>1.7363049113612077E-2</v>
      </c>
      <c r="I4999" s="224" t="s">
        <v>2</v>
      </c>
    </row>
    <row r="5000" spans="1:9" x14ac:dyDescent="0.25">
      <c r="A5000" s="515">
        <v>23324</v>
      </c>
      <c r="B5000" s="515" t="s">
        <v>301</v>
      </c>
      <c r="C5000" s="52">
        <v>237784.924321308</v>
      </c>
      <c r="D5000" s="56">
        <v>9.9696917004533106E-2</v>
      </c>
      <c r="E5000" s="224">
        <v>1641.25</v>
      </c>
      <c r="F5000" s="515" t="s">
        <v>6256</v>
      </c>
      <c r="G5000" s="52">
        <v>358740.45738668501</v>
      </c>
      <c r="H5000" s="56">
        <v>6.8486155272034124E-2</v>
      </c>
      <c r="I5000" s="224" t="s">
        <v>2</v>
      </c>
    </row>
    <row r="5001" spans="1:9" x14ac:dyDescent="0.25">
      <c r="A5001" s="515">
        <v>72206</v>
      </c>
      <c r="B5001" s="515" t="s">
        <v>393</v>
      </c>
      <c r="C5001" s="52">
        <v>103299.903165892</v>
      </c>
      <c r="D5001" s="56">
        <v>0.14642196300882834</v>
      </c>
      <c r="E5001" s="224">
        <v>1030</v>
      </c>
      <c r="F5001" s="515" t="s">
        <v>6257</v>
      </c>
      <c r="G5001" s="52">
        <v>395366.04601676197</v>
      </c>
      <c r="H5001" s="56">
        <v>7.6477511652748575E-2</v>
      </c>
      <c r="I5001" s="224" t="s">
        <v>2</v>
      </c>
    </row>
    <row r="5002" spans="1:9" x14ac:dyDescent="0.25">
      <c r="A5002" s="515">
        <v>67114</v>
      </c>
      <c r="B5002" s="515" t="s">
        <v>485</v>
      </c>
      <c r="C5002" s="52">
        <v>147256.45344901999</v>
      </c>
      <c r="D5002" s="56">
        <v>0.10348194916986102</v>
      </c>
      <c r="E5002" s="224" t="s">
        <v>2</v>
      </c>
      <c r="F5002" s="515" t="s">
        <v>6258</v>
      </c>
      <c r="G5002" s="52">
        <v>125720.941753365</v>
      </c>
      <c r="H5002" s="56">
        <v>9.7806106060649697E-2</v>
      </c>
      <c r="I5002" s="224" t="s">
        <v>2</v>
      </c>
    </row>
    <row r="5003" spans="1:9" x14ac:dyDescent="0.25">
      <c r="A5003" s="515">
        <v>2048</v>
      </c>
      <c r="B5003" s="515" t="s">
        <v>513</v>
      </c>
      <c r="C5003" s="52">
        <v>589540.27758416499</v>
      </c>
      <c r="D5003" s="56">
        <v>7.9166385563057287E-2</v>
      </c>
      <c r="E5003" s="224">
        <v>2202.9444444444398</v>
      </c>
      <c r="F5003" s="515" t="s">
        <v>6259</v>
      </c>
      <c r="G5003" s="52">
        <v>453583.14452214399</v>
      </c>
      <c r="H5003" s="56">
        <v>0</v>
      </c>
      <c r="I5003" s="224" t="s">
        <v>2</v>
      </c>
    </row>
    <row r="5004" spans="1:9" x14ac:dyDescent="0.25">
      <c r="A5004" s="515">
        <v>11370</v>
      </c>
      <c r="B5004" s="515" t="s">
        <v>324</v>
      </c>
      <c r="C5004" s="52">
        <v>708440.20414958498</v>
      </c>
      <c r="D5004" s="56">
        <v>4.7674694494872338E-3</v>
      </c>
      <c r="E5004" s="224">
        <v>2282.5</v>
      </c>
      <c r="F5004" s="515" t="s">
        <v>6260</v>
      </c>
      <c r="G5004" s="52">
        <v>248438.19885723299</v>
      </c>
      <c r="H5004" s="56">
        <v>0.23905354779623167</v>
      </c>
      <c r="I5004" s="224" t="s">
        <v>2</v>
      </c>
    </row>
    <row r="5005" spans="1:9" x14ac:dyDescent="0.25">
      <c r="A5005" s="515">
        <v>61920</v>
      </c>
      <c r="B5005" s="515" t="s">
        <v>853</v>
      </c>
      <c r="C5005" s="52">
        <v>122354.392619315</v>
      </c>
      <c r="D5005" s="56">
        <v>5.4932860950502087E-2</v>
      </c>
      <c r="E5005" s="224" t="s">
        <v>2</v>
      </c>
      <c r="F5005" s="515" t="s">
        <v>6261</v>
      </c>
      <c r="G5005" s="52">
        <v>607637.51932048495</v>
      </c>
      <c r="H5005" s="56">
        <v>4.4072975276722222E-2</v>
      </c>
      <c r="I5005" s="224" t="s">
        <v>2</v>
      </c>
    </row>
    <row r="5006" spans="1:9" x14ac:dyDescent="0.25">
      <c r="A5006" s="515">
        <v>98126</v>
      </c>
      <c r="B5006" s="515" t="s">
        <v>384</v>
      </c>
      <c r="C5006" s="52">
        <v>713117.46099480102</v>
      </c>
      <c r="D5006" s="56">
        <v>6.8965867196371421E-3</v>
      </c>
      <c r="E5006" s="224">
        <v>1991.1527777777701</v>
      </c>
      <c r="F5006" s="515" t="s">
        <v>6262</v>
      </c>
      <c r="G5006" s="52">
        <v>642024.94352023595</v>
      </c>
      <c r="H5006" s="56">
        <v>1.414604557691667E-2</v>
      </c>
      <c r="I5006" s="224" t="s">
        <v>2</v>
      </c>
    </row>
    <row r="5007" spans="1:9" x14ac:dyDescent="0.25">
      <c r="A5007" s="515">
        <v>8050</v>
      </c>
      <c r="B5007" s="515" t="s">
        <v>324</v>
      </c>
      <c r="C5007" s="52">
        <v>477211.05448240403</v>
      </c>
      <c r="D5007" s="56">
        <v>9.7420269392444123E-2</v>
      </c>
      <c r="E5007" s="224" t="s">
        <v>2</v>
      </c>
      <c r="F5007" s="515" t="s">
        <v>6263</v>
      </c>
      <c r="G5007" s="52">
        <v>222056.51042820999</v>
      </c>
      <c r="H5007" s="56">
        <v>0.11203407324656477</v>
      </c>
      <c r="I5007" s="224" t="s">
        <v>2</v>
      </c>
    </row>
    <row r="5008" spans="1:9" x14ac:dyDescent="0.25">
      <c r="A5008" s="515">
        <v>33907</v>
      </c>
      <c r="B5008" s="515" t="s">
        <v>661</v>
      </c>
      <c r="C5008" s="52">
        <v>257151.69785279501</v>
      </c>
      <c r="D5008" s="56">
        <v>0.18572170936042526</v>
      </c>
      <c r="E5008" s="224">
        <v>1800.0430555555499</v>
      </c>
      <c r="F5008" s="515" t="s">
        <v>6264</v>
      </c>
      <c r="G5008" s="52">
        <v>2665795.8329810598</v>
      </c>
      <c r="H5008" s="56">
        <v>2.6828280539874322E-2</v>
      </c>
      <c r="I5008" s="224">
        <v>4480.8333333333303</v>
      </c>
    </row>
    <row r="5009" spans="1:9" x14ac:dyDescent="0.25">
      <c r="A5009" s="515">
        <v>60053</v>
      </c>
      <c r="B5009" s="515" t="s">
        <v>394</v>
      </c>
      <c r="C5009" s="52">
        <v>355965.79332726798</v>
      </c>
      <c r="D5009" s="56">
        <v>4.6901745758734098E-2</v>
      </c>
      <c r="E5009" s="224" t="s">
        <v>2</v>
      </c>
      <c r="F5009" s="515" t="s">
        <v>6265</v>
      </c>
      <c r="G5009" s="52">
        <v>315723.30913662497</v>
      </c>
      <c r="H5009" s="56">
        <v>0.11802082031578801</v>
      </c>
      <c r="I5009" s="224" t="s">
        <v>2</v>
      </c>
    </row>
    <row r="5010" spans="1:9" x14ac:dyDescent="0.25">
      <c r="A5010" s="515">
        <v>48335</v>
      </c>
      <c r="B5010" s="515" t="s">
        <v>685</v>
      </c>
      <c r="C5010" s="52">
        <v>361367.07815539598</v>
      </c>
      <c r="D5010" s="56">
        <v>2.6138504072496255E-2</v>
      </c>
      <c r="E5010" s="224">
        <v>1099.4848484848401</v>
      </c>
      <c r="F5010" s="515" t="s">
        <v>6266</v>
      </c>
      <c r="G5010" s="52">
        <v>268175.35933795403</v>
      </c>
      <c r="H5010" s="56">
        <v>8.0539661606832666E-2</v>
      </c>
      <c r="I5010" s="224" t="s">
        <v>2</v>
      </c>
    </row>
    <row r="5011" spans="1:9" x14ac:dyDescent="0.25">
      <c r="A5011" s="515">
        <v>60051</v>
      </c>
      <c r="B5011" s="515" t="s">
        <v>394</v>
      </c>
      <c r="C5011" s="52">
        <v>256727.84249168</v>
      </c>
      <c r="D5011" s="56">
        <v>5.9670989134456162E-2</v>
      </c>
      <c r="E5011" s="224" t="s">
        <v>2</v>
      </c>
      <c r="F5011" s="515" t="s">
        <v>6267</v>
      </c>
      <c r="G5011" s="52">
        <v>340249.06443670002</v>
      </c>
      <c r="H5011" s="56">
        <v>3.5166946402735523E-2</v>
      </c>
      <c r="I5011" s="224" t="s">
        <v>2</v>
      </c>
    </row>
    <row r="5012" spans="1:9" x14ac:dyDescent="0.25">
      <c r="A5012" s="515">
        <v>97013</v>
      </c>
      <c r="B5012" s="515" t="s">
        <v>659</v>
      </c>
      <c r="C5012" s="52">
        <v>547186.85839485202</v>
      </c>
      <c r="D5012" s="56">
        <v>3.8312377703087916E-2</v>
      </c>
      <c r="E5012" s="224">
        <v>1754.8333333333301</v>
      </c>
      <c r="F5012" s="515" t="s">
        <v>6268</v>
      </c>
      <c r="G5012" s="52">
        <v>602851.54158338299</v>
      </c>
      <c r="H5012" s="56">
        <v>3.8877016071451651E-2</v>
      </c>
      <c r="I5012" s="224" t="s">
        <v>2</v>
      </c>
    </row>
    <row r="5013" spans="1:9" x14ac:dyDescent="0.25">
      <c r="A5013" s="515">
        <v>31520</v>
      </c>
      <c r="B5013" s="515" t="s">
        <v>871</v>
      </c>
      <c r="C5013" s="52">
        <v>131410.80171487801</v>
      </c>
      <c r="D5013" s="56">
        <v>0.29600538118485265</v>
      </c>
      <c r="E5013" s="224">
        <v>1516.6666666666599</v>
      </c>
      <c r="F5013" s="515" t="s">
        <v>6269</v>
      </c>
      <c r="G5013" s="52">
        <v>425413.22501477698</v>
      </c>
      <c r="H5013" s="56">
        <v>4.7445546568864481E-2</v>
      </c>
      <c r="I5013" s="224" t="s">
        <v>2</v>
      </c>
    </row>
    <row r="5014" spans="1:9" x14ac:dyDescent="0.25">
      <c r="A5014" s="515">
        <v>80130</v>
      </c>
      <c r="B5014" s="515" t="s">
        <v>401</v>
      </c>
      <c r="C5014" s="52">
        <v>676266.65623693797</v>
      </c>
      <c r="D5014" s="56">
        <v>3.688584608274105E-2</v>
      </c>
      <c r="E5014" s="224">
        <v>2404.54112554112</v>
      </c>
      <c r="F5014" s="515" t="s">
        <v>6270</v>
      </c>
      <c r="G5014" s="52">
        <v>325082.34488581802</v>
      </c>
      <c r="H5014" s="56">
        <v>0.10174725498231214</v>
      </c>
      <c r="I5014" s="224" t="s">
        <v>2</v>
      </c>
    </row>
    <row r="5015" spans="1:9" x14ac:dyDescent="0.25">
      <c r="A5015" s="515">
        <v>33805</v>
      </c>
      <c r="B5015" s="515" t="s">
        <v>359</v>
      </c>
      <c r="C5015" s="52">
        <v>219791.414096205</v>
      </c>
      <c r="D5015" s="56">
        <v>0.18250951892449185</v>
      </c>
      <c r="E5015" s="224">
        <v>1684.4857142857099</v>
      </c>
      <c r="F5015" s="515" t="s">
        <v>6271</v>
      </c>
      <c r="G5015" s="52">
        <v>196992.08711393701</v>
      </c>
      <c r="H5015" s="56">
        <v>8.4994742701268111E-2</v>
      </c>
      <c r="I5015" s="224" t="s">
        <v>2</v>
      </c>
    </row>
    <row r="5016" spans="1:9" x14ac:dyDescent="0.25">
      <c r="A5016" s="515">
        <v>41091</v>
      </c>
      <c r="B5016" s="515" t="s">
        <v>344</v>
      </c>
      <c r="C5016" s="52">
        <v>382256.925017929</v>
      </c>
      <c r="D5016" s="56">
        <v>5.921491527142498E-2</v>
      </c>
      <c r="E5016" s="224" t="s">
        <v>2</v>
      </c>
      <c r="F5016" s="515" t="s">
        <v>6272</v>
      </c>
      <c r="G5016" s="52">
        <v>185915.28481998699</v>
      </c>
      <c r="H5016" s="56">
        <v>7.9708165778059212E-2</v>
      </c>
      <c r="I5016" s="224" t="s">
        <v>2</v>
      </c>
    </row>
    <row r="5017" spans="1:9" x14ac:dyDescent="0.25">
      <c r="A5017" s="515">
        <v>21204</v>
      </c>
      <c r="B5017" s="515" t="s">
        <v>582</v>
      </c>
      <c r="C5017" s="52">
        <v>513798.64969439298</v>
      </c>
      <c r="D5017" s="56">
        <v>4.2886710780832532E-2</v>
      </c>
      <c r="E5017" s="224">
        <v>1744.30555555555</v>
      </c>
      <c r="F5017" s="515" t="s">
        <v>6273</v>
      </c>
      <c r="G5017" s="52">
        <v>162516.94059206199</v>
      </c>
      <c r="H5017" s="56">
        <v>7.8117141262103618E-2</v>
      </c>
      <c r="I5017" s="224" t="s">
        <v>2</v>
      </c>
    </row>
    <row r="5018" spans="1:9" x14ac:dyDescent="0.25">
      <c r="A5018" s="515">
        <v>75218</v>
      </c>
      <c r="B5018" s="515" t="s">
        <v>458</v>
      </c>
      <c r="C5018" s="52">
        <v>501218.60636595701</v>
      </c>
      <c r="D5018" s="56">
        <v>0.11773648121999808</v>
      </c>
      <c r="E5018" s="224">
        <v>1663.2063492063401</v>
      </c>
      <c r="F5018" s="515" t="s">
        <v>6274</v>
      </c>
      <c r="G5018" s="52">
        <v>655167.43611661601</v>
      </c>
      <c r="H5018" s="56">
        <v>5.3453313862693334E-3</v>
      </c>
      <c r="I5018" s="224">
        <v>2126.0185185185101</v>
      </c>
    </row>
    <row r="5019" spans="1:9" x14ac:dyDescent="0.25">
      <c r="A5019" s="515">
        <v>81501</v>
      </c>
      <c r="B5019" s="515" t="s">
        <v>619</v>
      </c>
      <c r="C5019" s="52">
        <v>306545.05721083097</v>
      </c>
      <c r="D5019" s="56">
        <v>6.1639584198270009E-2</v>
      </c>
      <c r="E5019" s="224">
        <v>1260.31746031746</v>
      </c>
      <c r="F5019" s="515" t="s">
        <v>6275</v>
      </c>
      <c r="G5019" s="52">
        <v>162229.852045996</v>
      </c>
      <c r="H5019" s="56">
        <v>0.26121412301295771</v>
      </c>
      <c r="I5019" s="224" t="s">
        <v>2</v>
      </c>
    </row>
    <row r="5020" spans="1:9" x14ac:dyDescent="0.25">
      <c r="A5020" s="515">
        <v>33870</v>
      </c>
      <c r="B5020" s="515" t="s">
        <v>1099</v>
      </c>
      <c r="C5020" s="52">
        <v>196571.52463518499</v>
      </c>
      <c r="D5020" s="56">
        <v>0.15292707781285339</v>
      </c>
      <c r="E5020" s="224">
        <v>1125</v>
      </c>
      <c r="F5020" s="515" t="s">
        <v>6276</v>
      </c>
      <c r="G5020" s="52">
        <v>757815.91372464295</v>
      </c>
      <c r="H5020" s="56">
        <v>8.2241417935235858E-2</v>
      </c>
      <c r="I5020" s="224" t="s">
        <v>2</v>
      </c>
    </row>
    <row r="5021" spans="1:9" x14ac:dyDescent="0.25">
      <c r="A5021" s="515">
        <v>63379</v>
      </c>
      <c r="B5021" s="515" t="s">
        <v>498</v>
      </c>
      <c r="C5021" s="52">
        <v>257705.803943832</v>
      </c>
      <c r="D5021" s="56">
        <v>5.8416671461809302E-2</v>
      </c>
      <c r="E5021" s="224" t="s">
        <v>2</v>
      </c>
      <c r="F5021" s="515" t="s">
        <v>690</v>
      </c>
      <c r="G5021" s="52">
        <v>186398.016356996</v>
      </c>
      <c r="H5021" s="56">
        <v>5.2466661022549738E-2</v>
      </c>
      <c r="I5021" s="224" t="s">
        <v>2</v>
      </c>
    </row>
    <row r="5022" spans="1:9" x14ac:dyDescent="0.25">
      <c r="A5022" s="515">
        <v>48203</v>
      </c>
      <c r="B5022" s="515" t="s">
        <v>685</v>
      </c>
      <c r="C5022" s="52">
        <v>63329.031263908801</v>
      </c>
      <c r="D5022" s="56">
        <v>0.1041348502592077</v>
      </c>
      <c r="E5022" s="224" t="s">
        <v>2</v>
      </c>
      <c r="F5022" s="515" t="s">
        <v>6277</v>
      </c>
      <c r="G5022" s="52">
        <v>108499.065185913</v>
      </c>
      <c r="H5022" s="56">
        <v>0.10719530509492646</v>
      </c>
      <c r="I5022" s="224" t="s">
        <v>2</v>
      </c>
    </row>
    <row r="5023" spans="1:9" x14ac:dyDescent="0.25">
      <c r="A5023" s="515">
        <v>46806</v>
      </c>
      <c r="B5023" s="515" t="s">
        <v>1031</v>
      </c>
      <c r="C5023" s="52">
        <v>78058.015684308906</v>
      </c>
      <c r="D5023" s="56">
        <v>0.15962014201400074</v>
      </c>
      <c r="E5023" s="224" t="s">
        <v>2</v>
      </c>
      <c r="F5023" s="515" t="s">
        <v>6278</v>
      </c>
      <c r="G5023" s="52">
        <v>100211.535671584</v>
      </c>
      <c r="H5023" s="56">
        <v>0.1165782207915783</v>
      </c>
      <c r="I5023" s="224" t="s">
        <v>2</v>
      </c>
    </row>
    <row r="5024" spans="1:9" x14ac:dyDescent="0.25">
      <c r="A5024" s="515">
        <v>48167</v>
      </c>
      <c r="B5024" s="515" t="s">
        <v>685</v>
      </c>
      <c r="C5024" s="52">
        <v>421642.69287513499</v>
      </c>
      <c r="D5024" s="56">
        <v>7.0473295065718089E-2</v>
      </c>
      <c r="E5024" s="224">
        <v>1465.1111111111099</v>
      </c>
      <c r="F5024" s="515" t="s">
        <v>6279</v>
      </c>
      <c r="G5024" s="52">
        <v>209643.88124944901</v>
      </c>
      <c r="H5024" s="56">
        <v>4.6979886440657426E-2</v>
      </c>
      <c r="I5024" s="224" t="s">
        <v>2</v>
      </c>
    </row>
    <row r="5025" spans="1:9" x14ac:dyDescent="0.25">
      <c r="A5025" s="515">
        <v>20659</v>
      </c>
      <c r="B5025" s="515" t="s">
        <v>779</v>
      </c>
      <c r="C5025" s="52">
        <v>373895.00491110003</v>
      </c>
      <c r="D5025" s="56">
        <v>1.8305480509101253E-2</v>
      </c>
      <c r="E5025" s="224" t="s">
        <v>2</v>
      </c>
      <c r="F5025" s="515" t="s">
        <v>6280</v>
      </c>
      <c r="G5025" s="52">
        <v>381794.62173477799</v>
      </c>
      <c r="H5025" s="56">
        <v>3.6109153539200869E-2</v>
      </c>
      <c r="I5025" s="224">
        <v>1680.6666666666599</v>
      </c>
    </row>
    <row r="5026" spans="1:9" x14ac:dyDescent="0.25">
      <c r="A5026" s="515">
        <v>44857</v>
      </c>
      <c r="B5026" s="515" t="s">
        <v>1050</v>
      </c>
      <c r="C5026" s="52">
        <v>165586.92592363901</v>
      </c>
      <c r="D5026" s="56">
        <v>6.7355244977781448E-2</v>
      </c>
      <c r="E5026" s="224" t="s">
        <v>2</v>
      </c>
      <c r="F5026" s="515" t="s">
        <v>6281</v>
      </c>
      <c r="G5026" s="52">
        <v>505345.990267721</v>
      </c>
      <c r="H5026" s="56">
        <v>6.3977952021189444E-2</v>
      </c>
      <c r="I5026" s="224">
        <v>2815</v>
      </c>
    </row>
    <row r="5027" spans="1:9" x14ac:dyDescent="0.25">
      <c r="A5027" s="515">
        <v>30306</v>
      </c>
      <c r="B5027" s="515" t="s">
        <v>957</v>
      </c>
      <c r="C5027" s="52">
        <v>813954.85588100797</v>
      </c>
      <c r="D5027" s="56">
        <v>7.5032197181199814E-2</v>
      </c>
      <c r="E5027" s="224">
        <v>1978.5706959706899</v>
      </c>
      <c r="F5027" s="515" t="s">
        <v>6282</v>
      </c>
      <c r="G5027" s="52">
        <v>284132.46884800302</v>
      </c>
      <c r="H5027" s="56">
        <v>4.5605820616717363E-2</v>
      </c>
      <c r="I5027" s="224" t="s">
        <v>2</v>
      </c>
    </row>
    <row r="5028" spans="1:9" x14ac:dyDescent="0.25">
      <c r="A5028" s="515">
        <v>1720</v>
      </c>
      <c r="B5028" s="515" t="s">
        <v>534</v>
      </c>
      <c r="C5028" s="52">
        <v>753500.49892051402</v>
      </c>
      <c r="D5028" s="56">
        <v>7.3867798457447467E-2</v>
      </c>
      <c r="E5028" s="224">
        <v>2045.5</v>
      </c>
      <c r="F5028" s="515" t="s">
        <v>6283</v>
      </c>
      <c r="G5028" s="52">
        <v>143007.98672944299</v>
      </c>
      <c r="H5028" s="56">
        <v>5.36710400729093E-2</v>
      </c>
      <c r="I5028" s="224" t="s">
        <v>2</v>
      </c>
    </row>
    <row r="5029" spans="1:9" x14ac:dyDescent="0.25">
      <c r="A5029" s="515">
        <v>14620</v>
      </c>
      <c r="B5029" s="515" t="s">
        <v>337</v>
      </c>
      <c r="C5029" s="52">
        <v>214932.75458051599</v>
      </c>
      <c r="D5029" s="56">
        <v>7.6175978576926165E-2</v>
      </c>
      <c r="E5029" s="224">
        <v>1418.92857142857</v>
      </c>
      <c r="F5029" s="515" t="s">
        <v>6284</v>
      </c>
      <c r="G5029" s="52">
        <v>259269.92637117801</v>
      </c>
      <c r="H5029" s="56">
        <v>6.3074401082066647E-2</v>
      </c>
      <c r="I5029" s="224" t="s">
        <v>2</v>
      </c>
    </row>
    <row r="5030" spans="1:9" x14ac:dyDescent="0.25">
      <c r="A5030" s="515">
        <v>68105</v>
      </c>
      <c r="B5030" s="515" t="s">
        <v>367</v>
      </c>
      <c r="C5030" s="52">
        <v>198269.22659191501</v>
      </c>
      <c r="D5030" s="56">
        <v>9.3294729340995738E-2</v>
      </c>
      <c r="E5030" s="224">
        <v>1142.01388888888</v>
      </c>
      <c r="F5030" s="515" t="s">
        <v>6285</v>
      </c>
      <c r="G5030" s="52">
        <v>61665.952448645701</v>
      </c>
      <c r="H5030" s="56">
        <v>0.23999039941894987</v>
      </c>
      <c r="I5030" s="224" t="s">
        <v>2</v>
      </c>
    </row>
    <row r="5031" spans="1:9" x14ac:dyDescent="0.25">
      <c r="A5031" s="515">
        <v>86406</v>
      </c>
      <c r="B5031" s="515" t="s">
        <v>453</v>
      </c>
      <c r="C5031" s="52">
        <v>467550.04377765901</v>
      </c>
      <c r="D5031" s="56">
        <v>3.2701506125924838E-2</v>
      </c>
      <c r="E5031" s="224" t="s">
        <v>2</v>
      </c>
      <c r="F5031" s="515" t="s">
        <v>6286</v>
      </c>
      <c r="G5031" s="52">
        <v>197198.85701881701</v>
      </c>
      <c r="H5031" s="56">
        <v>2.3570042732243609E-3</v>
      </c>
      <c r="I5031" s="224" t="s">
        <v>2</v>
      </c>
    </row>
    <row r="5032" spans="1:9" x14ac:dyDescent="0.25">
      <c r="A5032" s="515">
        <v>48346</v>
      </c>
      <c r="B5032" s="515" t="s">
        <v>685</v>
      </c>
      <c r="C5032" s="52">
        <v>306359.71927668998</v>
      </c>
      <c r="D5032" s="56">
        <v>4.1849781520132918E-2</v>
      </c>
      <c r="E5032" s="224" t="s">
        <v>2</v>
      </c>
      <c r="F5032" s="515" t="s">
        <v>6287</v>
      </c>
      <c r="G5032" s="52">
        <v>516971.309785349</v>
      </c>
      <c r="H5032" s="56">
        <v>4.0887271331172197E-2</v>
      </c>
      <c r="I5032" s="224" t="s">
        <v>2</v>
      </c>
    </row>
    <row r="5033" spans="1:9" x14ac:dyDescent="0.25">
      <c r="A5033" s="515">
        <v>70802</v>
      </c>
      <c r="B5033" s="515" t="s">
        <v>610</v>
      </c>
      <c r="C5033" s="52">
        <v>55200.381840390699</v>
      </c>
      <c r="D5033" s="56">
        <v>-3.3681612873477436E-2</v>
      </c>
      <c r="E5033" s="224">
        <v>1099.325</v>
      </c>
      <c r="F5033" s="515" t="s">
        <v>6288</v>
      </c>
      <c r="G5033" s="52">
        <v>161903.073103548</v>
      </c>
      <c r="H5033" s="56">
        <v>2.2563629425826147E-2</v>
      </c>
      <c r="I5033" s="224" t="s">
        <v>2</v>
      </c>
    </row>
    <row r="5034" spans="1:9" x14ac:dyDescent="0.25">
      <c r="A5034" s="515">
        <v>30655</v>
      </c>
      <c r="B5034" s="515" t="s">
        <v>957</v>
      </c>
      <c r="C5034" s="52">
        <v>313873.17627727002</v>
      </c>
      <c r="D5034" s="56">
        <v>9.7812410936645028E-2</v>
      </c>
      <c r="E5034" s="224" t="s">
        <v>2</v>
      </c>
      <c r="F5034" s="515" t="s">
        <v>6289</v>
      </c>
      <c r="G5034" s="52">
        <v>316988.84135012497</v>
      </c>
      <c r="H5034" s="56">
        <v>8.7375127959458149E-2</v>
      </c>
      <c r="I5034" s="224">
        <v>2002.25</v>
      </c>
    </row>
    <row r="5035" spans="1:9" x14ac:dyDescent="0.25">
      <c r="A5035" s="515">
        <v>76205</v>
      </c>
      <c r="B5035" s="515" t="s">
        <v>458</v>
      </c>
      <c r="C5035" s="52">
        <v>350107.84852154</v>
      </c>
      <c r="D5035" s="56">
        <v>9.1023018610742773E-2</v>
      </c>
      <c r="E5035" s="224">
        <v>1913.75</v>
      </c>
      <c r="F5035" s="515" t="s">
        <v>1043</v>
      </c>
      <c r="G5035" s="52">
        <v>98826.046610965699</v>
      </c>
      <c r="H5035" s="56">
        <v>0</v>
      </c>
      <c r="I5035" s="224" t="s">
        <v>2</v>
      </c>
    </row>
    <row r="5036" spans="1:9" x14ac:dyDescent="0.25">
      <c r="A5036" s="515">
        <v>71105</v>
      </c>
      <c r="B5036" s="515" t="s">
        <v>739</v>
      </c>
      <c r="C5036" s="52">
        <v>186444.37702886999</v>
      </c>
      <c r="D5036" s="56">
        <v>1.8956818573751918E-2</v>
      </c>
      <c r="E5036" s="224">
        <v>1310.13888888888</v>
      </c>
      <c r="F5036" s="515" t="s">
        <v>6290</v>
      </c>
      <c r="G5036" s="52">
        <v>395185.13909037597</v>
      </c>
      <c r="H5036" s="56">
        <v>7.2702899160549228E-2</v>
      </c>
      <c r="I5036" s="224" t="s">
        <v>2</v>
      </c>
    </row>
    <row r="5037" spans="1:9" x14ac:dyDescent="0.25">
      <c r="A5037" s="515">
        <v>80921</v>
      </c>
      <c r="B5037" s="515" t="s">
        <v>701</v>
      </c>
      <c r="C5037" s="52">
        <v>681673.89251876099</v>
      </c>
      <c r="D5037" s="56">
        <v>2.0115111815228015E-2</v>
      </c>
      <c r="E5037" s="224">
        <v>2094.0075757575701</v>
      </c>
      <c r="F5037" s="515" t="s">
        <v>6291</v>
      </c>
      <c r="G5037" s="52">
        <v>189326.836179632</v>
      </c>
      <c r="H5037" s="56">
        <v>9.4949422189241267E-2</v>
      </c>
      <c r="I5037" s="224" t="s">
        <v>2</v>
      </c>
    </row>
    <row r="5038" spans="1:9" x14ac:dyDescent="0.25">
      <c r="A5038" s="515">
        <v>53027</v>
      </c>
      <c r="B5038" s="515" t="s">
        <v>950</v>
      </c>
      <c r="C5038" s="52">
        <v>318074.728908705</v>
      </c>
      <c r="D5038" s="56">
        <v>5.4203637787000249E-2</v>
      </c>
      <c r="E5038" s="224" t="s">
        <v>2</v>
      </c>
      <c r="F5038" s="515" t="s">
        <v>6292</v>
      </c>
      <c r="G5038" s="52">
        <v>355645.37330281502</v>
      </c>
      <c r="H5038" s="56">
        <v>9.3094634870422549E-2</v>
      </c>
      <c r="I5038" s="224" t="s">
        <v>2</v>
      </c>
    </row>
    <row r="5039" spans="1:9" x14ac:dyDescent="0.25">
      <c r="A5039" s="515">
        <v>43211</v>
      </c>
      <c r="B5039" s="515" t="s">
        <v>345</v>
      </c>
      <c r="C5039" s="52">
        <v>116710.33660025601</v>
      </c>
      <c r="D5039" s="56">
        <v>0.20075991132785195</v>
      </c>
      <c r="E5039" s="224">
        <v>1146.625</v>
      </c>
      <c r="F5039" s="515" t="s">
        <v>6293</v>
      </c>
      <c r="G5039" s="52">
        <v>362990.40258851298</v>
      </c>
      <c r="H5039" s="56">
        <v>3.0426768882441894E-3</v>
      </c>
      <c r="I5039" s="224" t="s">
        <v>2</v>
      </c>
    </row>
    <row r="5040" spans="1:9" x14ac:dyDescent="0.25">
      <c r="A5040" s="515">
        <v>45133</v>
      </c>
      <c r="C5040" s="52">
        <v>170817.411836696</v>
      </c>
      <c r="D5040" s="56">
        <v>0.10138612904369776</v>
      </c>
      <c r="E5040" s="224" t="s">
        <v>2</v>
      </c>
      <c r="F5040" s="515" t="s">
        <v>6294</v>
      </c>
      <c r="G5040" s="52">
        <v>901045.49596977397</v>
      </c>
      <c r="H5040" s="56">
        <v>4.1151341000407918E-2</v>
      </c>
      <c r="I5040" s="224" t="s">
        <v>2</v>
      </c>
    </row>
    <row r="5041" spans="1:9" x14ac:dyDescent="0.25">
      <c r="A5041" s="515">
        <v>46041</v>
      </c>
      <c r="B5041" s="515" t="s">
        <v>808</v>
      </c>
      <c r="C5041" s="52">
        <v>161425.28291705</v>
      </c>
      <c r="D5041" s="56">
        <v>9.6502280033821178E-2</v>
      </c>
      <c r="E5041" s="224">
        <v>750</v>
      </c>
      <c r="F5041" s="515" t="s">
        <v>6295</v>
      </c>
      <c r="G5041" s="52">
        <v>371251.39318721101</v>
      </c>
      <c r="H5041" s="56">
        <v>6.5326554471210274E-2</v>
      </c>
      <c r="I5041" s="224" t="s">
        <v>2</v>
      </c>
    </row>
    <row r="5042" spans="1:9" x14ac:dyDescent="0.25">
      <c r="A5042" s="515">
        <v>21030</v>
      </c>
      <c r="B5042" s="515" t="s">
        <v>582</v>
      </c>
      <c r="C5042" s="52">
        <v>431673.97318473301</v>
      </c>
      <c r="D5042" s="56">
        <v>3.7333606197165012E-2</v>
      </c>
      <c r="E5042" s="224">
        <v>1766.6666666666599</v>
      </c>
      <c r="F5042" s="515" t="s">
        <v>6296</v>
      </c>
      <c r="G5042" s="52">
        <v>212433.63412551099</v>
      </c>
      <c r="H5042" s="56">
        <v>4.2237558378578344E-2</v>
      </c>
      <c r="I5042" s="224" t="s">
        <v>2</v>
      </c>
    </row>
    <row r="5043" spans="1:9" x14ac:dyDescent="0.25">
      <c r="A5043" s="515">
        <v>6451</v>
      </c>
      <c r="B5043" s="515" t="s">
        <v>1172</v>
      </c>
      <c r="C5043" s="52">
        <v>247545.085307412</v>
      </c>
      <c r="D5043" s="56">
        <v>0.10766161400495985</v>
      </c>
      <c r="E5043" s="224" t="s">
        <v>2</v>
      </c>
      <c r="F5043" s="515" t="s">
        <v>6297</v>
      </c>
      <c r="G5043" s="52">
        <v>225516.635352907</v>
      </c>
      <c r="H5043" s="56">
        <v>4.8769332928270168E-2</v>
      </c>
      <c r="I5043" s="224" t="s">
        <v>2</v>
      </c>
    </row>
    <row r="5044" spans="1:9" x14ac:dyDescent="0.25">
      <c r="A5044" s="515">
        <v>17545</v>
      </c>
      <c r="B5044" s="515" t="s">
        <v>537</v>
      </c>
      <c r="C5044" s="52">
        <v>323329.92123875802</v>
      </c>
      <c r="D5044" s="56">
        <v>8.6854215812958019E-2</v>
      </c>
      <c r="E5044" s="224" t="s">
        <v>2</v>
      </c>
      <c r="F5044" s="515" t="s">
        <v>6298</v>
      </c>
      <c r="G5044" s="52">
        <v>352806.53086606599</v>
      </c>
      <c r="H5044" s="56">
        <v>7.6834410768908609E-2</v>
      </c>
      <c r="I5044" s="224" t="s">
        <v>2</v>
      </c>
    </row>
    <row r="5045" spans="1:9" x14ac:dyDescent="0.25">
      <c r="A5045" s="515">
        <v>34654</v>
      </c>
      <c r="B5045" s="515" t="s">
        <v>461</v>
      </c>
      <c r="C5045" s="52">
        <v>330929.43729462399</v>
      </c>
      <c r="D5045" s="56">
        <v>0.10972414916907718</v>
      </c>
      <c r="E5045" s="224">
        <v>2054</v>
      </c>
      <c r="F5045" s="515" t="s">
        <v>6299</v>
      </c>
      <c r="G5045" s="52">
        <v>124296.306110146</v>
      </c>
      <c r="H5045" s="56">
        <v>1.9191368436784578E-2</v>
      </c>
      <c r="I5045" s="224" t="s">
        <v>2</v>
      </c>
    </row>
    <row r="5046" spans="1:9" x14ac:dyDescent="0.25">
      <c r="A5046" s="515">
        <v>66106</v>
      </c>
      <c r="B5046" s="515" t="s">
        <v>455</v>
      </c>
      <c r="C5046" s="52">
        <v>171702.94524353801</v>
      </c>
      <c r="D5046" s="56">
        <v>8.8069243572567707E-2</v>
      </c>
      <c r="E5046" s="224">
        <v>1361.25</v>
      </c>
      <c r="F5046" s="515" t="s">
        <v>6300</v>
      </c>
      <c r="G5046" s="52">
        <v>316679.22134908702</v>
      </c>
      <c r="H5046" s="56">
        <v>1.8730991522521282E-2</v>
      </c>
      <c r="I5046" s="224" t="s">
        <v>2</v>
      </c>
    </row>
    <row r="5047" spans="1:9" x14ac:dyDescent="0.25">
      <c r="A5047" s="515">
        <v>55430</v>
      </c>
      <c r="B5047" s="515" t="s">
        <v>532</v>
      </c>
      <c r="C5047" s="52">
        <v>250768.7226215</v>
      </c>
      <c r="D5047" s="56">
        <v>2.3775051745916168E-2</v>
      </c>
      <c r="E5047" s="224">
        <v>1658.3333333333301</v>
      </c>
      <c r="F5047" s="515" t="s">
        <v>6301</v>
      </c>
      <c r="G5047" s="52">
        <v>104279.090351138</v>
      </c>
      <c r="H5047" s="56">
        <v>9.9777194430454907E-2</v>
      </c>
      <c r="I5047" s="224" t="s">
        <v>2</v>
      </c>
    </row>
    <row r="5048" spans="1:9" x14ac:dyDescent="0.25">
      <c r="A5048" s="515">
        <v>48326</v>
      </c>
      <c r="B5048" s="515" t="s">
        <v>685</v>
      </c>
      <c r="C5048" s="52">
        <v>233605.60349027801</v>
      </c>
      <c r="D5048" s="56">
        <v>4.5931673686889246E-2</v>
      </c>
      <c r="E5048" s="224">
        <v>1287.5</v>
      </c>
      <c r="F5048" s="515" t="s">
        <v>6302</v>
      </c>
      <c r="G5048" s="52">
        <v>411766.86963375797</v>
      </c>
      <c r="H5048" s="56">
        <v>9.7146153102892985E-2</v>
      </c>
      <c r="I5048" s="224">
        <v>2222.5</v>
      </c>
    </row>
    <row r="5049" spans="1:9" x14ac:dyDescent="0.25">
      <c r="A5049" s="515">
        <v>10512</v>
      </c>
      <c r="B5049" s="515" t="s">
        <v>324</v>
      </c>
      <c r="C5049" s="52">
        <v>405100.88122398697</v>
      </c>
      <c r="D5049" s="56">
        <v>7.0932277429042095E-2</v>
      </c>
      <c r="E5049" s="224">
        <v>1900</v>
      </c>
      <c r="F5049" s="515" t="s">
        <v>6303</v>
      </c>
      <c r="G5049" s="52">
        <v>122490.114181506</v>
      </c>
      <c r="H5049" s="56">
        <v>0.12834786884446295</v>
      </c>
      <c r="I5049" s="224" t="s">
        <v>2</v>
      </c>
    </row>
    <row r="5050" spans="1:9" x14ac:dyDescent="0.25">
      <c r="A5050" s="515">
        <v>48036</v>
      </c>
      <c r="B5050" s="515" t="s">
        <v>685</v>
      </c>
      <c r="C5050" s="52">
        <v>231315.74877385399</v>
      </c>
      <c r="D5050" s="56">
        <v>7.0502215204959792E-2</v>
      </c>
      <c r="E5050" s="224">
        <v>1226.75</v>
      </c>
      <c r="F5050" s="515" t="s">
        <v>6304</v>
      </c>
      <c r="G5050" s="52">
        <v>95605.942744581902</v>
      </c>
      <c r="H5050" s="56">
        <v>0.13448184764062499</v>
      </c>
      <c r="I5050" s="224" t="s">
        <v>2</v>
      </c>
    </row>
    <row r="5051" spans="1:9" x14ac:dyDescent="0.25">
      <c r="A5051" s="515">
        <v>76105</v>
      </c>
      <c r="B5051" s="515" t="s">
        <v>458</v>
      </c>
      <c r="C5051" s="52">
        <v>163093.13334505301</v>
      </c>
      <c r="D5051" s="56">
        <v>0.2345396124256266</v>
      </c>
      <c r="E5051" s="224">
        <v>1646.6666666666599</v>
      </c>
      <c r="F5051" s="515" t="s">
        <v>6305</v>
      </c>
      <c r="G5051" s="52">
        <v>1512067.4284214401</v>
      </c>
      <c r="H5051" s="56">
        <v>0.1837105680196239</v>
      </c>
      <c r="I5051" s="224" t="s">
        <v>2</v>
      </c>
    </row>
    <row r="5052" spans="1:9" x14ac:dyDescent="0.25">
      <c r="A5052" s="515">
        <v>39350</v>
      </c>
      <c r="C5052" s="52">
        <v>124275.082899338</v>
      </c>
      <c r="D5052" s="56">
        <v>-3.1835068196380549E-3</v>
      </c>
      <c r="E5052" s="224" t="s">
        <v>2</v>
      </c>
      <c r="F5052" s="515" t="s">
        <v>6306</v>
      </c>
      <c r="G5052" s="52">
        <v>113834.05321578799</v>
      </c>
      <c r="H5052" s="56">
        <v>-1.7362332367876387E-2</v>
      </c>
      <c r="I5052" s="224" t="s">
        <v>2</v>
      </c>
    </row>
    <row r="5053" spans="1:9" x14ac:dyDescent="0.25">
      <c r="A5053" s="515">
        <v>6905</v>
      </c>
      <c r="B5053" s="515" t="s">
        <v>1173</v>
      </c>
      <c r="C5053" s="52">
        <v>597691.743413046</v>
      </c>
      <c r="D5053" s="56">
        <v>8.4431839091618971E-2</v>
      </c>
      <c r="E5053" s="224">
        <v>2309.5611111111102</v>
      </c>
      <c r="F5053" s="515" t="s">
        <v>6307</v>
      </c>
      <c r="G5053" s="52">
        <v>512454.96784346801</v>
      </c>
      <c r="H5053" s="56">
        <v>4.2432287345064164E-2</v>
      </c>
      <c r="I5053" s="224" t="s">
        <v>2</v>
      </c>
    </row>
    <row r="5054" spans="1:9" x14ac:dyDescent="0.25">
      <c r="A5054" s="515">
        <v>98188</v>
      </c>
      <c r="B5054" s="515" t="s">
        <v>384</v>
      </c>
      <c r="C5054" s="52">
        <v>539070.95920979197</v>
      </c>
      <c r="D5054" s="56">
        <v>4.3866409332052193E-2</v>
      </c>
      <c r="E5054" s="224">
        <v>1923.6666666666599</v>
      </c>
      <c r="F5054" s="515" t="s">
        <v>6308</v>
      </c>
      <c r="G5054" s="52">
        <v>92526.190325976699</v>
      </c>
      <c r="H5054" s="56">
        <v>0.1093424401492037</v>
      </c>
      <c r="I5054" s="224">
        <v>1009.5</v>
      </c>
    </row>
    <row r="5055" spans="1:9" x14ac:dyDescent="0.25">
      <c r="A5055" s="515">
        <v>84105</v>
      </c>
      <c r="B5055" s="515" t="s">
        <v>617</v>
      </c>
      <c r="C5055" s="52">
        <v>640678.17937684304</v>
      </c>
      <c r="D5055" s="56">
        <v>2.8864976357939758E-2</v>
      </c>
      <c r="E5055" s="224">
        <v>1899.9055555555501</v>
      </c>
      <c r="F5055" s="515" t="s">
        <v>6309</v>
      </c>
      <c r="G5055" s="52">
        <v>397095.87618825102</v>
      </c>
      <c r="H5055" s="56">
        <v>3.9256761566627392E-2</v>
      </c>
      <c r="I5055" s="224" t="s">
        <v>2</v>
      </c>
    </row>
    <row r="5056" spans="1:9" x14ac:dyDescent="0.25">
      <c r="A5056" s="515">
        <v>2180</v>
      </c>
      <c r="B5056" s="515" t="s">
        <v>534</v>
      </c>
      <c r="C5056" s="52">
        <v>657417.15705752396</v>
      </c>
      <c r="D5056" s="56">
        <v>3.8591952519683788E-2</v>
      </c>
      <c r="E5056" s="224">
        <v>2819.6666666666601</v>
      </c>
      <c r="F5056" s="515" t="s">
        <v>6310</v>
      </c>
      <c r="G5056" s="52">
        <v>291977.45569660998</v>
      </c>
      <c r="H5056" s="56">
        <v>5.6386172823745827E-2</v>
      </c>
      <c r="I5056" s="224" t="s">
        <v>2</v>
      </c>
    </row>
    <row r="5057" spans="1:9" x14ac:dyDescent="0.25">
      <c r="A5057" s="515">
        <v>27288</v>
      </c>
      <c r="B5057" s="515" t="s">
        <v>1148</v>
      </c>
      <c r="C5057" s="52">
        <v>99159.424018408201</v>
      </c>
      <c r="D5057" s="56">
        <v>3.0144264669189302E-2</v>
      </c>
      <c r="E5057" s="224" t="s">
        <v>2</v>
      </c>
      <c r="F5057" s="515" t="s">
        <v>6311</v>
      </c>
      <c r="G5057" s="52">
        <v>437940.89159826603</v>
      </c>
      <c r="H5057" s="56">
        <v>6.5238029508690579E-2</v>
      </c>
      <c r="I5057" s="224">
        <v>2152.1904761904698</v>
      </c>
    </row>
    <row r="5058" spans="1:9" x14ac:dyDescent="0.25">
      <c r="A5058" s="515">
        <v>94085</v>
      </c>
      <c r="B5058" s="515" t="s">
        <v>850</v>
      </c>
      <c r="C5058" s="52">
        <v>1328829.52176047</v>
      </c>
      <c r="D5058" s="56">
        <v>-2.3820162904191152E-3</v>
      </c>
      <c r="E5058" s="224">
        <v>3180.81431966726</v>
      </c>
      <c r="F5058" s="515" t="s">
        <v>6312</v>
      </c>
      <c r="G5058" s="52">
        <v>280142.05869192199</v>
      </c>
      <c r="H5058" s="56">
        <v>7.2230714741344293E-2</v>
      </c>
      <c r="I5058" s="224" t="s">
        <v>2</v>
      </c>
    </row>
    <row r="5059" spans="1:9" x14ac:dyDescent="0.25">
      <c r="A5059" s="515">
        <v>29205</v>
      </c>
      <c r="B5059" s="515" t="s">
        <v>762</v>
      </c>
      <c r="C5059" s="52">
        <v>264064.82920799701</v>
      </c>
      <c r="D5059" s="56">
        <v>7.6289386442870893E-2</v>
      </c>
      <c r="E5059" s="224">
        <v>1441.5294117646999</v>
      </c>
      <c r="F5059" s="515" t="s">
        <v>6313</v>
      </c>
      <c r="G5059" s="52">
        <v>353961.03089929302</v>
      </c>
      <c r="H5059" s="56">
        <v>4.133078273840804E-2</v>
      </c>
      <c r="I5059" s="224" t="s">
        <v>2</v>
      </c>
    </row>
    <row r="5060" spans="1:9" x14ac:dyDescent="0.25">
      <c r="A5060" s="515">
        <v>48348</v>
      </c>
      <c r="B5060" s="515" t="s">
        <v>685</v>
      </c>
      <c r="C5060" s="52">
        <v>437760.24511588202</v>
      </c>
      <c r="D5060" s="56">
        <v>4.2010298701009023E-2</v>
      </c>
      <c r="E5060" s="224" t="s">
        <v>2</v>
      </c>
      <c r="F5060" s="515" t="s">
        <v>6314</v>
      </c>
      <c r="G5060" s="52">
        <v>511702.86757237802</v>
      </c>
      <c r="H5060" s="56">
        <v>5.9585382862087158E-2</v>
      </c>
      <c r="I5060" s="224" t="s">
        <v>2</v>
      </c>
    </row>
    <row r="5061" spans="1:9" x14ac:dyDescent="0.25">
      <c r="A5061" s="515">
        <v>90403</v>
      </c>
      <c r="B5061" s="515" t="s">
        <v>375</v>
      </c>
      <c r="C5061" s="52">
        <v>1464334.0142918001</v>
      </c>
      <c r="D5061" s="56">
        <v>-1.2734834552123486E-2</v>
      </c>
      <c r="E5061" s="224">
        <v>3609.5142543859602</v>
      </c>
      <c r="F5061" s="515" t="s">
        <v>6315</v>
      </c>
      <c r="G5061" s="52">
        <v>266765.56113920902</v>
      </c>
      <c r="H5061" s="56">
        <v>6.396832784238686E-2</v>
      </c>
      <c r="I5061" s="224" t="s">
        <v>2</v>
      </c>
    </row>
    <row r="5062" spans="1:9" x14ac:dyDescent="0.25">
      <c r="A5062" s="515">
        <v>37215</v>
      </c>
      <c r="B5062" s="515" t="s">
        <v>684</v>
      </c>
      <c r="C5062" s="52">
        <v>1030189.47234122</v>
      </c>
      <c r="D5062" s="56">
        <v>0.12755981582565176</v>
      </c>
      <c r="E5062" s="224">
        <v>2427.9285714285702</v>
      </c>
      <c r="F5062" s="515" t="s">
        <v>6316</v>
      </c>
      <c r="G5062" s="52">
        <v>366823.56551529898</v>
      </c>
      <c r="H5062" s="56">
        <v>5.7596320368422015E-2</v>
      </c>
      <c r="I5062" s="224" t="s">
        <v>2</v>
      </c>
    </row>
    <row r="5063" spans="1:9" x14ac:dyDescent="0.25">
      <c r="A5063" s="515">
        <v>94030</v>
      </c>
      <c r="B5063" s="515" t="s">
        <v>593</v>
      </c>
      <c r="C5063" s="52">
        <v>1861235.17189824</v>
      </c>
      <c r="D5063" s="56">
        <v>2.4794985180926388E-3</v>
      </c>
      <c r="E5063" s="224">
        <v>3538.88888888888</v>
      </c>
      <c r="F5063" s="515" t="s">
        <v>6317</v>
      </c>
      <c r="G5063" s="52">
        <v>266373.12569578103</v>
      </c>
      <c r="H5063" s="56">
        <v>8.382433637587168E-2</v>
      </c>
      <c r="I5063" s="224" t="s">
        <v>2</v>
      </c>
    </row>
    <row r="5064" spans="1:9" x14ac:dyDescent="0.25">
      <c r="A5064" s="515">
        <v>24017</v>
      </c>
      <c r="B5064" s="515" t="s">
        <v>861</v>
      </c>
      <c r="C5064" s="52">
        <v>156818.03625644901</v>
      </c>
      <c r="D5064" s="56">
        <v>0.18289134582841951</v>
      </c>
      <c r="E5064" s="224">
        <v>1108.5</v>
      </c>
      <c r="F5064" s="515" t="s">
        <v>6318</v>
      </c>
      <c r="G5064" s="52">
        <v>464871.43883611599</v>
      </c>
      <c r="H5064" s="56">
        <v>4.0449427216488219E-2</v>
      </c>
      <c r="I5064" s="224" t="s">
        <v>2</v>
      </c>
    </row>
    <row r="5065" spans="1:9" x14ac:dyDescent="0.25">
      <c r="A5065" s="515">
        <v>76148</v>
      </c>
      <c r="B5065" s="515" t="s">
        <v>458</v>
      </c>
      <c r="C5065" s="52">
        <v>270341.52671962802</v>
      </c>
      <c r="D5065" s="56">
        <v>7.9261087420357507E-2</v>
      </c>
      <c r="E5065" s="224">
        <v>1945.3333333333301</v>
      </c>
      <c r="F5065" s="515" t="s">
        <v>6319</v>
      </c>
      <c r="G5065" s="52">
        <v>887793.15960909403</v>
      </c>
      <c r="H5065" s="56">
        <v>4.5452644002097191E-2</v>
      </c>
      <c r="I5065" s="224" t="s">
        <v>2</v>
      </c>
    </row>
    <row r="5066" spans="1:9" x14ac:dyDescent="0.25">
      <c r="A5066" s="515">
        <v>63367</v>
      </c>
      <c r="B5066" s="515" t="s">
        <v>498</v>
      </c>
      <c r="C5066" s="52">
        <v>383657.45428152301</v>
      </c>
      <c r="D5066" s="56">
        <v>4.9197501437999523E-2</v>
      </c>
      <c r="E5066" s="224">
        <v>2077.5</v>
      </c>
      <c r="F5066" s="515" t="s">
        <v>6320</v>
      </c>
      <c r="G5066" s="52">
        <v>188090.284958837</v>
      </c>
      <c r="H5066" s="56">
        <v>4.8250069703421217E-2</v>
      </c>
      <c r="I5066" s="224" t="s">
        <v>2</v>
      </c>
    </row>
    <row r="5067" spans="1:9" x14ac:dyDescent="0.25">
      <c r="A5067" s="515">
        <v>92844</v>
      </c>
      <c r="B5067" s="515" t="s">
        <v>375</v>
      </c>
      <c r="C5067" s="52">
        <v>744521.12952467694</v>
      </c>
      <c r="D5067" s="56">
        <v>5.9766646977061071E-2</v>
      </c>
      <c r="E5067" s="224" t="s">
        <v>2</v>
      </c>
      <c r="F5067" s="515" t="s">
        <v>6321</v>
      </c>
      <c r="G5067" s="52">
        <v>232302.722880541</v>
      </c>
      <c r="H5067" s="56">
        <v>7.5025030932877809E-2</v>
      </c>
      <c r="I5067" s="224" t="s">
        <v>2</v>
      </c>
    </row>
    <row r="5068" spans="1:9" x14ac:dyDescent="0.25">
      <c r="A5068" s="515">
        <v>31410</v>
      </c>
      <c r="B5068" s="515" t="s">
        <v>351</v>
      </c>
      <c r="C5068" s="52">
        <v>363778.58849899599</v>
      </c>
      <c r="D5068" s="56">
        <v>0.14015748358994556</v>
      </c>
      <c r="E5068" s="224">
        <v>1710.82539682539</v>
      </c>
      <c r="F5068" s="515" t="s">
        <v>6322</v>
      </c>
      <c r="G5068" s="52">
        <v>178319.13911384801</v>
      </c>
      <c r="H5068" s="56">
        <v>0.1683234330116955</v>
      </c>
      <c r="I5068" s="224">
        <v>1227.5</v>
      </c>
    </row>
    <row r="5069" spans="1:9" x14ac:dyDescent="0.25">
      <c r="A5069" s="515">
        <v>46725</v>
      </c>
      <c r="B5069" s="515" t="s">
        <v>1031</v>
      </c>
      <c r="C5069" s="52">
        <v>233891.26668674001</v>
      </c>
      <c r="D5069" s="56">
        <v>7.5170987818909768E-2</v>
      </c>
      <c r="E5069" s="224" t="s">
        <v>2</v>
      </c>
      <c r="F5069" s="515" t="s">
        <v>6323</v>
      </c>
      <c r="G5069" s="52">
        <v>189496.23396492601</v>
      </c>
      <c r="H5069" s="56">
        <v>0.17319838039197416</v>
      </c>
      <c r="I5069" s="224" t="s">
        <v>2</v>
      </c>
    </row>
    <row r="5070" spans="1:9" x14ac:dyDescent="0.25">
      <c r="A5070" s="515">
        <v>68005</v>
      </c>
      <c r="B5070" s="515" t="s">
        <v>367</v>
      </c>
      <c r="C5070" s="52">
        <v>216695.84472465</v>
      </c>
      <c r="D5070" s="56">
        <v>8.5019440069473998E-2</v>
      </c>
      <c r="E5070" s="224">
        <v>976.63333333333298</v>
      </c>
      <c r="F5070" s="515" t="s">
        <v>6324</v>
      </c>
      <c r="G5070" s="52">
        <v>450315.86470662098</v>
      </c>
      <c r="H5070" s="56">
        <v>8.8568120271129092E-2</v>
      </c>
      <c r="I5070" s="224" t="s">
        <v>2</v>
      </c>
    </row>
    <row r="5071" spans="1:9" x14ac:dyDescent="0.25">
      <c r="A5071" s="515">
        <v>44483</v>
      </c>
      <c r="B5071" s="515" t="s">
        <v>397</v>
      </c>
      <c r="C5071" s="52">
        <v>108062.881412223</v>
      </c>
      <c r="D5071" s="56">
        <v>0.10705400040287164</v>
      </c>
      <c r="E5071" s="224" t="s">
        <v>2</v>
      </c>
      <c r="F5071" s="515" t="s">
        <v>6325</v>
      </c>
      <c r="G5071" s="52">
        <v>151660.757488064</v>
      </c>
      <c r="H5071" s="56">
        <v>7.9445775640806751E-2</v>
      </c>
      <c r="I5071" s="224" t="s">
        <v>2</v>
      </c>
    </row>
    <row r="5072" spans="1:9" x14ac:dyDescent="0.25">
      <c r="A5072" s="515">
        <v>72113</v>
      </c>
      <c r="B5072" s="515" t="s">
        <v>393</v>
      </c>
      <c r="C5072" s="52">
        <v>286700.125666373</v>
      </c>
      <c r="D5072" s="56">
        <v>9.2883325435696454E-2</v>
      </c>
      <c r="E5072" s="224">
        <v>1507.5</v>
      </c>
      <c r="F5072" s="515" t="s">
        <v>6326</v>
      </c>
      <c r="G5072" s="52">
        <v>132759.207317489</v>
      </c>
      <c r="H5072" s="56">
        <v>-3.0885730621590161E-3</v>
      </c>
      <c r="I5072" s="224" t="s">
        <v>2</v>
      </c>
    </row>
    <row r="5073" spans="1:9" x14ac:dyDescent="0.25">
      <c r="A5073" s="515">
        <v>33440</v>
      </c>
      <c r="B5073" s="515" t="s">
        <v>501</v>
      </c>
      <c r="C5073" s="52">
        <v>195576.55020927201</v>
      </c>
      <c r="D5073" s="56">
        <v>0.15751209219816778</v>
      </c>
      <c r="E5073" s="224" t="s">
        <v>2</v>
      </c>
      <c r="F5073" s="515" t="s">
        <v>6327</v>
      </c>
      <c r="G5073" s="52">
        <v>104073.661965587</v>
      </c>
      <c r="H5073" s="56">
        <v>0.19357690049894719</v>
      </c>
      <c r="I5073" s="224" t="s">
        <v>2</v>
      </c>
    </row>
    <row r="5074" spans="1:9" x14ac:dyDescent="0.25">
      <c r="A5074" s="515">
        <v>84097</v>
      </c>
      <c r="B5074" s="515" t="s">
        <v>726</v>
      </c>
      <c r="C5074" s="52">
        <v>532104.21556790499</v>
      </c>
      <c r="D5074" s="56">
        <v>3.0214971101274342E-3</v>
      </c>
      <c r="E5074" s="224">
        <v>1560.38888888888</v>
      </c>
      <c r="F5074" s="515" t="s">
        <v>6328</v>
      </c>
      <c r="G5074" s="52">
        <v>318569.50718993502</v>
      </c>
      <c r="H5074" s="56">
        <v>3.1105201679300511E-2</v>
      </c>
      <c r="I5074" s="224">
        <v>1291.25</v>
      </c>
    </row>
    <row r="5075" spans="1:9" x14ac:dyDescent="0.25">
      <c r="A5075" s="515">
        <v>91390</v>
      </c>
      <c r="B5075" s="515" t="s">
        <v>375</v>
      </c>
      <c r="C5075" s="52">
        <v>864786.00187852106</v>
      </c>
      <c r="D5075" s="56">
        <v>4.4663406582937333E-2</v>
      </c>
      <c r="E5075" s="224" t="s">
        <v>2</v>
      </c>
      <c r="F5075" s="515" t="s">
        <v>6329</v>
      </c>
      <c r="G5075" s="52">
        <v>309648.26763994503</v>
      </c>
      <c r="H5075" s="56">
        <v>8.271225661122536E-2</v>
      </c>
      <c r="I5075" s="224" t="s">
        <v>2</v>
      </c>
    </row>
    <row r="5076" spans="1:9" x14ac:dyDescent="0.25">
      <c r="A5076" s="515">
        <v>97070</v>
      </c>
      <c r="B5076" s="515" t="s">
        <v>659</v>
      </c>
      <c r="C5076" s="52">
        <v>614943.77827939496</v>
      </c>
      <c r="D5076" s="56">
        <v>4.8819242020519106E-2</v>
      </c>
      <c r="E5076" s="224">
        <v>1773.90849673202</v>
      </c>
      <c r="F5076" s="515" t="s">
        <v>6330</v>
      </c>
      <c r="G5076" s="52">
        <v>505174.56145263702</v>
      </c>
      <c r="H5076" s="56">
        <v>3.0090095823464277E-2</v>
      </c>
      <c r="I5076" s="224" t="s">
        <v>2</v>
      </c>
    </row>
    <row r="5077" spans="1:9" x14ac:dyDescent="0.25">
      <c r="A5077" s="515">
        <v>78624</v>
      </c>
      <c r="B5077" s="515" t="s">
        <v>826</v>
      </c>
      <c r="C5077" s="52">
        <v>554295.74883556704</v>
      </c>
      <c r="D5077" s="56">
        <v>4.5291738265076306E-2</v>
      </c>
      <c r="E5077" s="224" t="s">
        <v>2</v>
      </c>
      <c r="F5077" s="515" t="s">
        <v>6331</v>
      </c>
      <c r="G5077" s="52">
        <v>232204.894318937</v>
      </c>
      <c r="H5077" s="56">
        <v>9.4257791601875404E-2</v>
      </c>
      <c r="I5077" s="224" t="s">
        <v>2</v>
      </c>
    </row>
    <row r="5078" spans="1:9" x14ac:dyDescent="0.25">
      <c r="A5078" s="515">
        <v>4210</v>
      </c>
      <c r="B5078" s="515" t="s">
        <v>1120</v>
      </c>
      <c r="C5078" s="52">
        <v>261298.962774991</v>
      </c>
      <c r="D5078" s="56">
        <v>9.8739060572748741E-2</v>
      </c>
      <c r="E5078" s="224" t="s">
        <v>2</v>
      </c>
      <c r="F5078" s="515" t="s">
        <v>6332</v>
      </c>
      <c r="G5078" s="52">
        <v>328100.10815832799</v>
      </c>
      <c r="H5078" s="56">
        <v>6.284366165989673E-2</v>
      </c>
      <c r="I5078" s="224" t="s">
        <v>2</v>
      </c>
    </row>
    <row r="5079" spans="1:9" x14ac:dyDescent="0.25">
      <c r="A5079" s="515">
        <v>92011</v>
      </c>
      <c r="B5079" s="515" t="s">
        <v>396</v>
      </c>
      <c r="C5079" s="52">
        <v>1377046.94716541</v>
      </c>
      <c r="D5079" s="56">
        <v>0.10790942299461152</v>
      </c>
      <c r="E5079" s="224">
        <v>3660.375</v>
      </c>
      <c r="F5079" s="515" t="s">
        <v>6333</v>
      </c>
      <c r="G5079" s="52">
        <v>496862.13611133501</v>
      </c>
      <c r="H5079" s="56">
        <v>3.5882326418867079E-2</v>
      </c>
      <c r="I5079" s="224">
        <v>1973</v>
      </c>
    </row>
    <row r="5080" spans="1:9" x14ac:dyDescent="0.25">
      <c r="A5080" s="515">
        <v>39211</v>
      </c>
      <c r="B5080" s="515" t="s">
        <v>851</v>
      </c>
      <c r="C5080" s="52">
        <v>195243.06386146901</v>
      </c>
      <c r="D5080" s="56">
        <v>6.1142045892440676E-2</v>
      </c>
      <c r="E5080" s="224">
        <v>1582.87142857142</v>
      </c>
      <c r="F5080" s="515" t="s">
        <v>6334</v>
      </c>
      <c r="G5080" s="52">
        <v>186383.128935046</v>
      </c>
      <c r="H5080" s="56">
        <v>2.4712796944597538E-2</v>
      </c>
      <c r="I5080" s="224" t="s">
        <v>2</v>
      </c>
    </row>
    <row r="5081" spans="1:9" x14ac:dyDescent="0.25">
      <c r="A5081" s="515">
        <v>21601</v>
      </c>
      <c r="B5081" s="515" t="s">
        <v>519</v>
      </c>
      <c r="C5081" s="52">
        <v>383991.40427163598</v>
      </c>
      <c r="D5081" s="56">
        <v>4.8552762241914758E-2</v>
      </c>
      <c r="E5081" s="224" t="s">
        <v>2</v>
      </c>
      <c r="F5081" s="515" t="s">
        <v>6335</v>
      </c>
      <c r="G5081" s="52">
        <v>162507.44848465401</v>
      </c>
      <c r="H5081" s="56">
        <v>0.12203805600772974</v>
      </c>
      <c r="I5081" s="224" t="s">
        <v>2</v>
      </c>
    </row>
    <row r="5082" spans="1:9" x14ac:dyDescent="0.25">
      <c r="A5082" s="515">
        <v>38930</v>
      </c>
      <c r="B5082" s="515" t="s">
        <v>293</v>
      </c>
      <c r="C5082" s="52">
        <v>88046.051158497095</v>
      </c>
      <c r="D5082" s="56">
        <v>1.9375364279617949E-2</v>
      </c>
      <c r="E5082" s="224" t="s">
        <v>2</v>
      </c>
      <c r="F5082" s="515" t="s">
        <v>6336</v>
      </c>
      <c r="G5082" s="52">
        <v>182174.18944665999</v>
      </c>
      <c r="H5082" s="56">
        <v>9.1249687150166195E-2</v>
      </c>
      <c r="I5082" s="224" t="s">
        <v>2</v>
      </c>
    </row>
    <row r="5083" spans="1:9" x14ac:dyDescent="0.25">
      <c r="A5083" s="515">
        <v>75090</v>
      </c>
      <c r="B5083" s="515" t="s">
        <v>553</v>
      </c>
      <c r="C5083" s="52">
        <v>184756.39108298501</v>
      </c>
      <c r="D5083" s="56">
        <v>0.1474919836187597</v>
      </c>
      <c r="E5083" s="224">
        <v>1504.0833333333301</v>
      </c>
      <c r="F5083" s="515" t="s">
        <v>6337</v>
      </c>
      <c r="G5083" s="52">
        <v>568351.26793584402</v>
      </c>
      <c r="H5083" s="56">
        <v>3.2168033590991116E-2</v>
      </c>
      <c r="I5083" s="224" t="s">
        <v>2</v>
      </c>
    </row>
    <row r="5084" spans="1:9" x14ac:dyDescent="0.25">
      <c r="A5084" s="515">
        <v>85131</v>
      </c>
      <c r="B5084" s="515" t="s">
        <v>563</v>
      </c>
      <c r="C5084" s="52">
        <v>266506.71991062799</v>
      </c>
      <c r="D5084" s="56">
        <v>6.053550232045362E-2</v>
      </c>
      <c r="E5084" s="224" t="s">
        <v>2</v>
      </c>
      <c r="F5084" s="515" t="s">
        <v>6338</v>
      </c>
      <c r="G5084" s="52">
        <v>672353.79497804097</v>
      </c>
      <c r="H5084" s="56">
        <v>4.7050177291323991E-2</v>
      </c>
      <c r="I5084" s="224" t="s">
        <v>2</v>
      </c>
    </row>
    <row r="5085" spans="1:9" x14ac:dyDescent="0.25">
      <c r="A5085" s="515">
        <v>95945</v>
      </c>
      <c r="B5085" s="515" t="s">
        <v>387</v>
      </c>
      <c r="C5085" s="52">
        <v>459560.36861816997</v>
      </c>
      <c r="D5085" s="56">
        <v>-8.0542885618282434E-3</v>
      </c>
      <c r="E5085" s="224">
        <v>1772.5</v>
      </c>
      <c r="F5085" s="515" t="s">
        <v>813</v>
      </c>
      <c r="G5085" s="52">
        <v>182967.372089627</v>
      </c>
      <c r="H5085" s="56">
        <v>0.10066502757967619</v>
      </c>
      <c r="I5085" s="224" t="s">
        <v>2</v>
      </c>
    </row>
    <row r="5086" spans="1:9" x14ac:dyDescent="0.25">
      <c r="A5086" s="515">
        <v>60706</v>
      </c>
      <c r="B5086" s="515" t="s">
        <v>394</v>
      </c>
      <c r="C5086" s="52">
        <v>329829.25111205399</v>
      </c>
      <c r="D5086" s="56">
        <v>2.1424773874386849E-2</v>
      </c>
      <c r="E5086" s="224">
        <v>1550</v>
      </c>
      <c r="F5086" s="515" t="s">
        <v>6339</v>
      </c>
      <c r="G5086" s="52">
        <v>462524.85441485001</v>
      </c>
      <c r="H5086" s="56">
        <v>4.4887788683352914E-2</v>
      </c>
      <c r="I5086" s="224" t="s">
        <v>2</v>
      </c>
    </row>
    <row r="5087" spans="1:9" x14ac:dyDescent="0.25">
      <c r="A5087" s="515">
        <v>77505</v>
      </c>
      <c r="B5087" s="515" t="s">
        <v>314</v>
      </c>
      <c r="C5087" s="52">
        <v>297655.983186425</v>
      </c>
      <c r="D5087" s="56">
        <v>6.8280364355207832E-2</v>
      </c>
      <c r="E5087" s="224">
        <v>1480.61666666666</v>
      </c>
      <c r="F5087" s="515" t="s">
        <v>6340</v>
      </c>
      <c r="G5087" s="52">
        <v>304808.04011371598</v>
      </c>
      <c r="H5087" s="56">
        <v>6.7546020422923625E-2</v>
      </c>
      <c r="I5087" s="224" t="s">
        <v>2</v>
      </c>
    </row>
    <row r="5088" spans="1:9" x14ac:dyDescent="0.25">
      <c r="A5088" s="515">
        <v>29505</v>
      </c>
      <c r="B5088" s="515" t="s">
        <v>1039</v>
      </c>
      <c r="C5088" s="52">
        <v>208852.10315084699</v>
      </c>
      <c r="D5088" s="56">
        <v>0.11140826169656048</v>
      </c>
      <c r="E5088" s="224">
        <v>1517.5</v>
      </c>
      <c r="F5088" s="515" t="s">
        <v>6341</v>
      </c>
      <c r="G5088" s="52">
        <v>140430.75072262899</v>
      </c>
      <c r="H5088" s="56">
        <v>0.11502409077187993</v>
      </c>
      <c r="I5088" s="224" t="s">
        <v>2</v>
      </c>
    </row>
    <row r="5089" spans="1:9" x14ac:dyDescent="0.25">
      <c r="A5089" s="515">
        <v>62901</v>
      </c>
      <c r="B5089" s="515" t="s">
        <v>471</v>
      </c>
      <c r="C5089" s="52">
        <v>107879.45777151499</v>
      </c>
      <c r="D5089" s="56">
        <v>3.2312778397692019E-2</v>
      </c>
      <c r="E5089" s="224">
        <v>695</v>
      </c>
      <c r="F5089" s="515" t="s">
        <v>6342</v>
      </c>
      <c r="G5089" s="52">
        <v>295270.22725701798</v>
      </c>
      <c r="H5089" s="56">
        <v>2.6334238094987077E-2</v>
      </c>
      <c r="I5089" s="224" t="s">
        <v>2</v>
      </c>
    </row>
    <row r="5090" spans="1:9" x14ac:dyDescent="0.25">
      <c r="A5090" s="515">
        <v>75048</v>
      </c>
      <c r="B5090" s="515" t="s">
        <v>458</v>
      </c>
      <c r="C5090" s="52">
        <v>434985.07714122301</v>
      </c>
      <c r="D5090" s="56">
        <v>7.7637505187987524E-2</v>
      </c>
      <c r="E5090" s="224">
        <v>1749.7</v>
      </c>
      <c r="F5090" s="515" t="s">
        <v>6343</v>
      </c>
      <c r="G5090" s="52">
        <v>159972.30157309701</v>
      </c>
      <c r="H5090" s="56">
        <v>6.4831837385540741E-2</v>
      </c>
      <c r="I5090" s="224" t="s">
        <v>2</v>
      </c>
    </row>
    <row r="5091" spans="1:9" x14ac:dyDescent="0.25">
      <c r="A5091" s="515">
        <v>95864</v>
      </c>
      <c r="B5091" s="515" t="s">
        <v>355</v>
      </c>
      <c r="C5091" s="52">
        <v>679373.16317169694</v>
      </c>
      <c r="D5091" s="56">
        <v>2.4470254564009242E-2</v>
      </c>
      <c r="E5091" s="224">
        <v>2305.8333333333298</v>
      </c>
      <c r="F5091" s="515" t="s">
        <v>6344</v>
      </c>
      <c r="G5091" s="52">
        <v>279022.21349362202</v>
      </c>
      <c r="H5091" s="56">
        <v>5.2473595666489556E-2</v>
      </c>
      <c r="I5091" s="224" t="s">
        <v>2</v>
      </c>
    </row>
    <row r="5092" spans="1:9" x14ac:dyDescent="0.25">
      <c r="A5092" s="515">
        <v>98102</v>
      </c>
      <c r="B5092" s="515" t="s">
        <v>384</v>
      </c>
      <c r="C5092" s="52">
        <v>739766.83219115599</v>
      </c>
      <c r="D5092" s="56">
        <v>-1.0462539284959254E-2</v>
      </c>
      <c r="E5092" s="224">
        <v>2025.4671859529999</v>
      </c>
      <c r="F5092" s="515" t="s">
        <v>6345</v>
      </c>
      <c r="G5092" s="52">
        <v>433332.083737451</v>
      </c>
      <c r="H5092" s="56">
        <v>0.10571804616374354</v>
      </c>
      <c r="I5092" s="224" t="s">
        <v>2</v>
      </c>
    </row>
    <row r="5093" spans="1:9" x14ac:dyDescent="0.25">
      <c r="A5093" s="515">
        <v>11356</v>
      </c>
      <c r="B5093" s="515" t="s">
        <v>324</v>
      </c>
      <c r="C5093" s="52">
        <v>784162.348792025</v>
      </c>
      <c r="D5093" s="56">
        <v>-1.6763026079618896E-3</v>
      </c>
      <c r="E5093" s="224">
        <v>2405</v>
      </c>
      <c r="F5093" s="515" t="s">
        <v>6346</v>
      </c>
      <c r="G5093" s="52">
        <v>443731.07344213797</v>
      </c>
      <c r="H5093" s="56">
        <v>3.9231814982719479E-2</v>
      </c>
      <c r="I5093" s="224" t="s">
        <v>2</v>
      </c>
    </row>
    <row r="5094" spans="1:9" x14ac:dyDescent="0.25">
      <c r="A5094" s="515">
        <v>2745</v>
      </c>
      <c r="B5094" s="515" t="s">
        <v>513</v>
      </c>
      <c r="C5094" s="52">
        <v>371974.972057042</v>
      </c>
      <c r="D5094" s="56">
        <v>8.0049420427724116E-2</v>
      </c>
      <c r="E5094" s="224" t="s">
        <v>2</v>
      </c>
      <c r="F5094" s="515" t="s">
        <v>6347</v>
      </c>
      <c r="G5094" s="52">
        <v>650753.88257875806</v>
      </c>
      <c r="H5094" s="56">
        <v>2.1475593058569373E-3</v>
      </c>
      <c r="I5094" s="224" t="s">
        <v>2</v>
      </c>
    </row>
    <row r="5095" spans="1:9" x14ac:dyDescent="0.25">
      <c r="A5095" s="515">
        <v>1887</v>
      </c>
      <c r="B5095" s="515" t="s">
        <v>534</v>
      </c>
      <c r="C5095" s="52">
        <v>638212.99758969794</v>
      </c>
      <c r="D5095" s="56">
        <v>5.231576248215198E-2</v>
      </c>
      <c r="E5095" s="224" t="s">
        <v>2</v>
      </c>
      <c r="F5095" s="515" t="s">
        <v>6348</v>
      </c>
      <c r="G5095" s="52">
        <v>192194.18000682699</v>
      </c>
      <c r="H5095" s="56">
        <v>0.10731249518142581</v>
      </c>
      <c r="I5095" s="224">
        <v>973</v>
      </c>
    </row>
    <row r="5096" spans="1:9" x14ac:dyDescent="0.25">
      <c r="A5096" s="515">
        <v>2021</v>
      </c>
      <c r="B5096" s="515" t="s">
        <v>534</v>
      </c>
      <c r="C5096" s="52">
        <v>662238.60771585302</v>
      </c>
      <c r="D5096" s="56">
        <v>5.1700580097674941E-2</v>
      </c>
      <c r="E5096" s="224">
        <v>2803.1666666666601</v>
      </c>
      <c r="F5096" s="515" t="s">
        <v>6349</v>
      </c>
      <c r="G5096" s="52">
        <v>392647.67775238003</v>
      </c>
      <c r="H5096" s="56">
        <v>0.11841057669041483</v>
      </c>
      <c r="I5096" s="224" t="s">
        <v>2</v>
      </c>
    </row>
    <row r="5097" spans="1:9" x14ac:dyDescent="0.25">
      <c r="A5097" s="515">
        <v>98597</v>
      </c>
      <c r="B5097" s="515" t="s">
        <v>527</v>
      </c>
      <c r="C5097" s="52">
        <v>442663.19805240497</v>
      </c>
      <c r="D5097" s="56">
        <v>2.1342034677581029E-2</v>
      </c>
      <c r="E5097" s="224" t="s">
        <v>2</v>
      </c>
      <c r="F5097" s="515" t="s">
        <v>6350</v>
      </c>
      <c r="G5097" s="52">
        <v>939739.66957605397</v>
      </c>
      <c r="H5097" s="56">
        <v>-6.9113902975647692E-2</v>
      </c>
      <c r="I5097" s="224">
        <v>3998.7585185185098</v>
      </c>
    </row>
    <row r="5098" spans="1:9" x14ac:dyDescent="0.25">
      <c r="A5098" s="515">
        <v>19608</v>
      </c>
      <c r="B5098" s="515" t="s">
        <v>569</v>
      </c>
      <c r="C5098" s="52">
        <v>330827.17425011302</v>
      </c>
      <c r="D5098" s="56">
        <v>9.6284394695367606E-2</v>
      </c>
      <c r="E5098" s="224" t="s">
        <v>2</v>
      </c>
      <c r="F5098" s="515" t="s">
        <v>6351</v>
      </c>
      <c r="G5098" s="52">
        <v>225485.10773985999</v>
      </c>
      <c r="H5098" s="56">
        <v>0.11021528884502906</v>
      </c>
      <c r="I5098" s="224" t="s">
        <v>2</v>
      </c>
    </row>
    <row r="5099" spans="1:9" x14ac:dyDescent="0.25">
      <c r="A5099" s="515">
        <v>80232</v>
      </c>
      <c r="B5099" s="515" t="s">
        <v>401</v>
      </c>
      <c r="C5099" s="52">
        <v>521375.42384902202</v>
      </c>
      <c r="D5099" s="56">
        <v>4.5248404816880125E-2</v>
      </c>
      <c r="E5099" s="224">
        <v>1934.1666666666599</v>
      </c>
      <c r="F5099" s="515" t="s">
        <v>6352</v>
      </c>
      <c r="G5099" s="52">
        <v>142437.320468105</v>
      </c>
      <c r="H5099" s="56">
        <v>0.1612921343322766</v>
      </c>
      <c r="I5099" s="224" t="s">
        <v>2</v>
      </c>
    </row>
    <row r="5100" spans="1:9" x14ac:dyDescent="0.25">
      <c r="A5100" s="515">
        <v>21223</v>
      </c>
      <c r="B5100" s="515" t="s">
        <v>582</v>
      </c>
      <c r="C5100" s="52">
        <v>52523.160895034998</v>
      </c>
      <c r="D5100" s="56">
        <v>0.11307957483631895</v>
      </c>
      <c r="E5100" s="224">
        <v>1422.3333333333301</v>
      </c>
      <c r="F5100" s="515" t="s">
        <v>6353</v>
      </c>
      <c r="G5100" s="52">
        <v>211031.71850668799</v>
      </c>
      <c r="H5100" s="56">
        <v>9.3446666603866135E-2</v>
      </c>
      <c r="I5100" s="224" t="s">
        <v>2</v>
      </c>
    </row>
    <row r="5101" spans="1:9" x14ac:dyDescent="0.25">
      <c r="A5101" s="515">
        <v>60439</v>
      </c>
      <c r="B5101" s="515" t="s">
        <v>394</v>
      </c>
      <c r="C5101" s="52">
        <v>457904.14685731003</v>
      </c>
      <c r="D5101" s="56">
        <v>5.830434078308782E-2</v>
      </c>
      <c r="E5101" s="224" t="s">
        <v>2</v>
      </c>
      <c r="F5101" s="515" t="s">
        <v>6354</v>
      </c>
      <c r="G5101" s="52">
        <v>984081.21618292294</v>
      </c>
      <c r="H5101" s="56">
        <v>8.4600145243052302E-2</v>
      </c>
      <c r="I5101" s="224" t="s">
        <v>2</v>
      </c>
    </row>
    <row r="5102" spans="1:9" x14ac:dyDescent="0.25">
      <c r="A5102" s="515">
        <v>76009</v>
      </c>
      <c r="B5102" s="515" t="s">
        <v>458</v>
      </c>
      <c r="C5102" s="52">
        <v>273010.27406572399</v>
      </c>
      <c r="D5102" s="56">
        <v>0.10054352418430018</v>
      </c>
      <c r="E5102" s="224" t="s">
        <v>2</v>
      </c>
      <c r="F5102" s="515" t="s">
        <v>316</v>
      </c>
      <c r="G5102" s="52">
        <v>142266.48170234499</v>
      </c>
      <c r="H5102" s="56">
        <v>3.9751766332625262E-2</v>
      </c>
      <c r="I5102" s="224" t="s">
        <v>2</v>
      </c>
    </row>
    <row r="5103" spans="1:9" x14ac:dyDescent="0.25">
      <c r="A5103" s="515">
        <v>91201</v>
      </c>
      <c r="B5103" s="515" t="s">
        <v>375</v>
      </c>
      <c r="C5103" s="52">
        <v>1126047.63111739</v>
      </c>
      <c r="D5103" s="56">
        <v>3.8526073674639782E-2</v>
      </c>
      <c r="E5103" s="224">
        <v>2539.0277777777701</v>
      </c>
      <c r="F5103" s="515" t="s">
        <v>6355</v>
      </c>
      <c r="G5103" s="52">
        <v>208471.609087032</v>
      </c>
      <c r="H5103" s="56">
        <v>0.17685117848556356</v>
      </c>
      <c r="I5103" s="224" t="s">
        <v>2</v>
      </c>
    </row>
    <row r="5104" spans="1:9" x14ac:dyDescent="0.25">
      <c r="A5104" s="515">
        <v>28352</v>
      </c>
      <c r="B5104" s="515" t="s">
        <v>1048</v>
      </c>
      <c r="C5104" s="52">
        <v>125679.858618303</v>
      </c>
      <c r="D5104" s="56">
        <v>0.24727545803829795</v>
      </c>
      <c r="E5104" s="224" t="s">
        <v>2</v>
      </c>
      <c r="F5104" s="515" t="s">
        <v>6356</v>
      </c>
      <c r="G5104" s="52">
        <v>429291.89459031401</v>
      </c>
      <c r="H5104" s="56">
        <v>5.8822216239244607E-2</v>
      </c>
      <c r="I5104" s="224" t="s">
        <v>2</v>
      </c>
    </row>
    <row r="5105" spans="1:9" x14ac:dyDescent="0.25">
      <c r="A5105" s="515">
        <v>40223</v>
      </c>
      <c r="B5105" s="515" t="s">
        <v>479</v>
      </c>
      <c r="C5105" s="52">
        <v>346191.89432105701</v>
      </c>
      <c r="D5105" s="56">
        <v>6.5011738942928124E-2</v>
      </c>
      <c r="E5105" s="224">
        <v>1430.3919191919099</v>
      </c>
      <c r="F5105" s="515" t="s">
        <v>6357</v>
      </c>
      <c r="G5105" s="52">
        <v>463752.044230156</v>
      </c>
      <c r="H5105" s="56">
        <v>2.8017201727975453E-2</v>
      </c>
      <c r="I5105" s="224" t="s">
        <v>2</v>
      </c>
    </row>
    <row r="5106" spans="1:9" x14ac:dyDescent="0.25">
      <c r="A5106" s="515">
        <v>77043</v>
      </c>
      <c r="B5106" s="515" t="s">
        <v>314</v>
      </c>
      <c r="C5106" s="52">
        <v>353832.46520118398</v>
      </c>
      <c r="D5106" s="56">
        <v>0.10184040728036095</v>
      </c>
      <c r="E5106" s="224">
        <v>1992.1547619047601</v>
      </c>
      <c r="F5106" s="515" t="s">
        <v>6358</v>
      </c>
      <c r="G5106" s="52">
        <v>175428.259171435</v>
      </c>
      <c r="H5106" s="56">
        <v>8.7468027671296592E-2</v>
      </c>
      <c r="I5106" s="224" t="s">
        <v>2</v>
      </c>
    </row>
    <row r="5107" spans="1:9" x14ac:dyDescent="0.25">
      <c r="A5107" s="515">
        <v>52405</v>
      </c>
      <c r="B5107" s="515" t="s">
        <v>404</v>
      </c>
      <c r="C5107" s="52">
        <v>180243.63855558899</v>
      </c>
      <c r="D5107" s="56">
        <v>6.7196461095806473E-2</v>
      </c>
      <c r="E5107" s="224">
        <v>920</v>
      </c>
      <c r="F5107" s="515" t="s">
        <v>6359</v>
      </c>
      <c r="G5107" s="52">
        <v>263448.092064141</v>
      </c>
      <c r="H5107" s="56">
        <v>3.6704546424545181E-2</v>
      </c>
      <c r="I5107" s="224" t="s">
        <v>2</v>
      </c>
    </row>
    <row r="5108" spans="1:9" x14ac:dyDescent="0.25">
      <c r="A5108" s="515">
        <v>72223</v>
      </c>
      <c r="B5108" s="515" t="s">
        <v>393</v>
      </c>
      <c r="C5108" s="52">
        <v>424998.66453952802</v>
      </c>
      <c r="D5108" s="56">
        <v>7.0334120800884137E-2</v>
      </c>
      <c r="E5108" s="224">
        <v>1124.7777777777701</v>
      </c>
      <c r="F5108" s="515" t="s">
        <v>6360</v>
      </c>
      <c r="G5108" s="52">
        <v>519968.444165889</v>
      </c>
      <c r="H5108" s="56">
        <v>1.6988905471293593E-2</v>
      </c>
      <c r="I5108" s="224" t="s">
        <v>2</v>
      </c>
    </row>
    <row r="5109" spans="1:9" x14ac:dyDescent="0.25">
      <c r="A5109" s="515">
        <v>90602</v>
      </c>
      <c r="B5109" s="515" t="s">
        <v>375</v>
      </c>
      <c r="C5109" s="52">
        <v>773512.00940295297</v>
      </c>
      <c r="D5109" s="56">
        <v>4.7799440042091766E-2</v>
      </c>
      <c r="E5109" s="224">
        <v>2061.6666666666601</v>
      </c>
      <c r="F5109" s="515" t="s">
        <v>6361</v>
      </c>
      <c r="G5109" s="52">
        <v>267672.71466540103</v>
      </c>
      <c r="H5109" s="56">
        <v>9.093248609473488E-2</v>
      </c>
      <c r="I5109" s="224" t="s">
        <v>2</v>
      </c>
    </row>
    <row r="5110" spans="1:9" x14ac:dyDescent="0.25">
      <c r="A5110" s="515">
        <v>48329</v>
      </c>
      <c r="B5110" s="515" t="s">
        <v>685</v>
      </c>
      <c r="C5110" s="52">
        <v>250739.53771731499</v>
      </c>
      <c r="D5110" s="56">
        <v>3.1624309476472164E-2</v>
      </c>
      <c r="E5110" s="224" t="s">
        <v>2</v>
      </c>
      <c r="F5110" s="515" t="s">
        <v>6362</v>
      </c>
      <c r="G5110" s="52">
        <v>163308.62793645199</v>
      </c>
      <c r="H5110" s="56">
        <v>3.7580304018521825E-2</v>
      </c>
      <c r="I5110" s="224" t="s">
        <v>2</v>
      </c>
    </row>
    <row r="5111" spans="1:9" x14ac:dyDescent="0.25">
      <c r="A5111" s="515">
        <v>92377</v>
      </c>
      <c r="B5111" s="515" t="s">
        <v>599</v>
      </c>
      <c r="C5111" s="52">
        <v>580341.13845224399</v>
      </c>
      <c r="D5111" s="56">
        <v>2.0765274535597254E-2</v>
      </c>
      <c r="E5111" s="224" t="s">
        <v>2</v>
      </c>
      <c r="F5111" s="515" t="s">
        <v>6363</v>
      </c>
      <c r="G5111" s="52">
        <v>151597.72053742301</v>
      </c>
      <c r="H5111" s="56">
        <v>0.13544676605560038</v>
      </c>
      <c r="I5111" s="224" t="s">
        <v>2</v>
      </c>
    </row>
    <row r="5112" spans="1:9" x14ac:dyDescent="0.25">
      <c r="A5112" s="515">
        <v>19018</v>
      </c>
      <c r="B5112" s="515" t="s">
        <v>294</v>
      </c>
      <c r="C5112" s="52">
        <v>226318.754279418</v>
      </c>
      <c r="D5112" s="56">
        <v>8.5795466393433023E-2</v>
      </c>
      <c r="E5112" s="224">
        <v>1595</v>
      </c>
      <c r="F5112" s="515" t="s">
        <v>605</v>
      </c>
      <c r="G5112" s="52">
        <v>130168.21204576299</v>
      </c>
      <c r="H5112" s="56">
        <v>7.1415383011380382E-2</v>
      </c>
      <c r="I5112" s="224" t="s">
        <v>2</v>
      </c>
    </row>
    <row r="5113" spans="1:9" x14ac:dyDescent="0.25">
      <c r="A5113" s="515">
        <v>67502</v>
      </c>
      <c r="B5113" s="515" t="s">
        <v>700</v>
      </c>
      <c r="C5113" s="52">
        <v>179556.984271213</v>
      </c>
      <c r="D5113" s="56">
        <v>8.3491189935119975E-2</v>
      </c>
      <c r="E5113" s="224" t="s">
        <v>2</v>
      </c>
      <c r="F5113" s="515" t="s">
        <v>6364</v>
      </c>
      <c r="G5113" s="52">
        <v>186639.56046422699</v>
      </c>
      <c r="H5113" s="56">
        <v>2.9901595689311559E-2</v>
      </c>
      <c r="I5113" s="224" t="s">
        <v>2</v>
      </c>
    </row>
    <row r="5114" spans="1:9" x14ac:dyDescent="0.25">
      <c r="A5114" s="515">
        <v>80209</v>
      </c>
      <c r="B5114" s="515" t="s">
        <v>401</v>
      </c>
      <c r="C5114" s="52">
        <v>943022.68252446596</v>
      </c>
      <c r="D5114" s="56">
        <v>3.929406524809527E-2</v>
      </c>
      <c r="E5114" s="224">
        <v>2249.0031570031501</v>
      </c>
      <c r="F5114" s="515" t="s">
        <v>6365</v>
      </c>
      <c r="G5114" s="52">
        <v>89211.874015061694</v>
      </c>
      <c r="H5114" s="56">
        <v>8.1780527672916686E-2</v>
      </c>
      <c r="I5114" s="224" t="s">
        <v>2</v>
      </c>
    </row>
    <row r="5115" spans="1:9" x14ac:dyDescent="0.25">
      <c r="A5115" s="515">
        <v>29410</v>
      </c>
      <c r="B5115" s="515" t="s">
        <v>1009</v>
      </c>
      <c r="C5115" s="52">
        <v>360880.26968116401</v>
      </c>
      <c r="D5115" s="56">
        <v>0.10384454222475187</v>
      </c>
      <c r="E5115" s="224">
        <v>1589.35</v>
      </c>
      <c r="F5115" s="515" t="s">
        <v>6366</v>
      </c>
      <c r="G5115" s="52">
        <v>161588.15766324999</v>
      </c>
      <c r="H5115" s="56">
        <v>0.17320793786187072</v>
      </c>
      <c r="I5115" s="224" t="s">
        <v>2</v>
      </c>
    </row>
    <row r="5116" spans="1:9" x14ac:dyDescent="0.25">
      <c r="A5116" s="515">
        <v>46845</v>
      </c>
      <c r="B5116" s="515" t="s">
        <v>1031</v>
      </c>
      <c r="C5116" s="52">
        <v>343210.51196365699</v>
      </c>
      <c r="D5116" s="56">
        <v>5.0438899862998959E-2</v>
      </c>
      <c r="E5116" s="224">
        <v>1816.5</v>
      </c>
      <c r="F5116" s="515" t="s">
        <v>6367</v>
      </c>
      <c r="G5116" s="52">
        <v>187453.10304304</v>
      </c>
      <c r="H5116" s="56">
        <v>8.1225230938780035E-2</v>
      </c>
      <c r="I5116" s="224" t="s">
        <v>2</v>
      </c>
    </row>
    <row r="5117" spans="1:9" x14ac:dyDescent="0.25">
      <c r="A5117" s="515">
        <v>14617</v>
      </c>
      <c r="B5117" s="515" t="s">
        <v>337</v>
      </c>
      <c r="C5117" s="52">
        <v>200226.449208014</v>
      </c>
      <c r="D5117" s="56">
        <v>5.0926307369169345E-2</v>
      </c>
      <c r="E5117" s="224">
        <v>1501.25</v>
      </c>
      <c r="F5117" s="515" t="s">
        <v>6368</v>
      </c>
      <c r="G5117" s="52">
        <v>142285.83455767599</v>
      </c>
      <c r="H5117" s="56">
        <v>3.961584798340731E-2</v>
      </c>
      <c r="I5117" s="224" t="s">
        <v>2</v>
      </c>
    </row>
    <row r="5118" spans="1:9" x14ac:dyDescent="0.25">
      <c r="A5118" s="515">
        <v>44024</v>
      </c>
      <c r="B5118" s="515" t="s">
        <v>520</v>
      </c>
      <c r="C5118" s="52">
        <v>305568.89877962403</v>
      </c>
      <c r="D5118" s="56">
        <v>6.483363513825656E-2</v>
      </c>
      <c r="E5118" s="224" t="s">
        <v>2</v>
      </c>
      <c r="F5118" s="515" t="s">
        <v>6369</v>
      </c>
      <c r="G5118" s="52">
        <v>244752.89273817101</v>
      </c>
      <c r="H5118" s="56">
        <v>0.17556712273949052</v>
      </c>
      <c r="I5118" s="224" t="s">
        <v>2</v>
      </c>
    </row>
    <row r="5119" spans="1:9" x14ac:dyDescent="0.25">
      <c r="A5119" s="515">
        <v>33634</v>
      </c>
      <c r="B5119" s="515" t="s">
        <v>461</v>
      </c>
      <c r="C5119" s="52">
        <v>339352.74559384998</v>
      </c>
      <c r="D5119" s="56">
        <v>0.11048168603877366</v>
      </c>
      <c r="E5119" s="224">
        <v>1836.5154761904701</v>
      </c>
      <c r="F5119" s="515" t="s">
        <v>6370</v>
      </c>
      <c r="G5119" s="52">
        <v>319080.62084103801</v>
      </c>
      <c r="H5119" s="56">
        <v>9.8221053041642109E-2</v>
      </c>
      <c r="I5119" s="224">
        <v>1510</v>
      </c>
    </row>
    <row r="5120" spans="1:9" x14ac:dyDescent="0.25">
      <c r="A5120" s="515">
        <v>78114</v>
      </c>
      <c r="B5120" s="515" t="s">
        <v>717</v>
      </c>
      <c r="C5120" s="52">
        <v>359403.19685559301</v>
      </c>
      <c r="D5120" s="56">
        <v>4.1331934679346545E-2</v>
      </c>
      <c r="E5120" s="224" t="s">
        <v>2</v>
      </c>
      <c r="F5120" s="515" t="s">
        <v>6371</v>
      </c>
      <c r="G5120" s="52">
        <v>157163.29893031099</v>
      </c>
      <c r="H5120" s="56">
        <v>0.10260327489037047</v>
      </c>
      <c r="I5120" s="224" t="s">
        <v>2</v>
      </c>
    </row>
    <row r="5121" spans="1:9" x14ac:dyDescent="0.25">
      <c r="A5121" s="515">
        <v>10954</v>
      </c>
      <c r="B5121" s="515" t="s">
        <v>324</v>
      </c>
      <c r="C5121" s="52">
        <v>501870.58597087598</v>
      </c>
      <c r="D5121" s="56">
        <v>8.2255103741205343E-2</v>
      </c>
      <c r="E5121" s="224" t="s">
        <v>2</v>
      </c>
      <c r="F5121" s="515" t="s">
        <v>6372</v>
      </c>
      <c r="G5121" s="52">
        <v>573092.80136052601</v>
      </c>
      <c r="H5121" s="56">
        <v>7.0090896496868532E-2</v>
      </c>
      <c r="I5121" s="224">
        <v>2911.5</v>
      </c>
    </row>
    <row r="5122" spans="1:9" x14ac:dyDescent="0.25">
      <c r="A5122" s="515">
        <v>98406</v>
      </c>
      <c r="B5122" s="515" t="s">
        <v>384</v>
      </c>
      <c r="C5122" s="52">
        <v>561413.253747168</v>
      </c>
      <c r="D5122" s="56">
        <v>1.6504849599168495E-2</v>
      </c>
      <c r="E5122" s="224">
        <v>1850.4563492063401</v>
      </c>
      <c r="F5122" s="515" t="s">
        <v>6373</v>
      </c>
      <c r="G5122" s="52">
        <v>153347.996560881</v>
      </c>
      <c r="H5122" s="56">
        <v>5.7735783117664342E-2</v>
      </c>
      <c r="I5122" s="224" t="s">
        <v>2</v>
      </c>
    </row>
    <row r="5123" spans="1:9" x14ac:dyDescent="0.25">
      <c r="A5123" s="515">
        <v>11427</v>
      </c>
      <c r="B5123" s="515" t="s">
        <v>324</v>
      </c>
      <c r="C5123" s="52">
        <v>619383.18571300304</v>
      </c>
      <c r="D5123" s="56">
        <v>6.7523524942453362E-3</v>
      </c>
      <c r="E5123" s="224" t="s">
        <v>2</v>
      </c>
      <c r="F5123" s="515" t="s">
        <v>6374</v>
      </c>
      <c r="G5123" s="52">
        <v>426619.568380513</v>
      </c>
      <c r="H5123" s="56">
        <v>2.882299725893327E-2</v>
      </c>
      <c r="I5123" s="224" t="s">
        <v>2</v>
      </c>
    </row>
    <row r="5124" spans="1:9" x14ac:dyDescent="0.25">
      <c r="A5124" s="515">
        <v>79706</v>
      </c>
      <c r="B5124" s="515" t="s">
        <v>802</v>
      </c>
      <c r="C5124" s="52">
        <v>321731.61281586101</v>
      </c>
      <c r="D5124" s="56">
        <v>3.9123339567305248E-4</v>
      </c>
      <c r="E5124" s="224">
        <v>1443.6412698412601</v>
      </c>
      <c r="F5124" s="515" t="s">
        <v>6375</v>
      </c>
      <c r="G5124" s="52">
        <v>198817.749549801</v>
      </c>
      <c r="H5124" s="56">
        <v>9.9385408735374353E-2</v>
      </c>
      <c r="I5124" s="224" t="s">
        <v>2</v>
      </c>
    </row>
    <row r="5125" spans="1:9" x14ac:dyDescent="0.25">
      <c r="A5125" s="515">
        <v>77019</v>
      </c>
      <c r="B5125" s="515" t="s">
        <v>314</v>
      </c>
      <c r="C5125" s="52">
        <v>609291.80389499594</v>
      </c>
      <c r="D5125" s="56">
        <v>7.6007385798773945E-3</v>
      </c>
      <c r="E5125" s="224">
        <v>1869.42776385407</v>
      </c>
      <c r="F5125" s="515" t="s">
        <v>6376</v>
      </c>
      <c r="G5125" s="52">
        <v>420134.682038142</v>
      </c>
      <c r="H5125" s="56">
        <v>7.397586378510948E-2</v>
      </c>
      <c r="I5125" s="224">
        <v>1850</v>
      </c>
    </row>
    <row r="5126" spans="1:9" x14ac:dyDescent="0.25">
      <c r="A5126" s="515">
        <v>34957</v>
      </c>
      <c r="B5126" s="515" t="s">
        <v>1180</v>
      </c>
      <c r="C5126" s="52">
        <v>445452.54534204298</v>
      </c>
      <c r="D5126" s="56">
        <v>0.12943962359131064</v>
      </c>
      <c r="E5126" s="224">
        <v>3822.2222222222199</v>
      </c>
      <c r="F5126" s="515" t="s">
        <v>6377</v>
      </c>
      <c r="G5126" s="52">
        <v>248074.14189114899</v>
      </c>
      <c r="H5126" s="56">
        <v>7.6599210397212389E-2</v>
      </c>
      <c r="I5126" s="224" t="s">
        <v>2</v>
      </c>
    </row>
    <row r="5127" spans="1:9" x14ac:dyDescent="0.25">
      <c r="A5127" s="515">
        <v>66221</v>
      </c>
      <c r="B5127" s="515" t="s">
        <v>455</v>
      </c>
      <c r="C5127" s="52">
        <v>698039.01900317799</v>
      </c>
      <c r="D5127" s="56">
        <v>8.3302211457578795E-2</v>
      </c>
      <c r="E5127" s="224" t="s">
        <v>2</v>
      </c>
      <c r="F5127" s="515" t="s">
        <v>6378</v>
      </c>
      <c r="G5127" s="52">
        <v>278028.43637000403</v>
      </c>
      <c r="H5127" s="56">
        <v>9.0137157072963728E-2</v>
      </c>
      <c r="I5127" s="224" t="s">
        <v>2</v>
      </c>
    </row>
    <row r="5128" spans="1:9" x14ac:dyDescent="0.25">
      <c r="A5128" s="515">
        <v>99224</v>
      </c>
      <c r="B5128" s="515" t="s">
        <v>820</v>
      </c>
      <c r="C5128" s="52">
        <v>502553.648322238</v>
      </c>
      <c r="D5128" s="56">
        <v>2.0958984938811175E-2</v>
      </c>
      <c r="E5128" s="224">
        <v>1715.8611111111099</v>
      </c>
      <c r="F5128" s="515" t="s">
        <v>6379</v>
      </c>
      <c r="G5128" s="52">
        <v>289622.12343918701</v>
      </c>
      <c r="H5128" s="56">
        <v>8.1978817548026411E-2</v>
      </c>
      <c r="I5128" s="224" t="s">
        <v>2</v>
      </c>
    </row>
    <row r="5129" spans="1:9" x14ac:dyDescent="0.25">
      <c r="A5129" s="515">
        <v>60559</v>
      </c>
      <c r="B5129" s="515" t="s">
        <v>394</v>
      </c>
      <c r="C5129" s="52">
        <v>322992.095262988</v>
      </c>
      <c r="D5129" s="56">
        <v>3.388603686294555E-2</v>
      </c>
      <c r="E5129" s="224">
        <v>1595.19444444444</v>
      </c>
      <c r="F5129" s="515" t="s">
        <v>6380</v>
      </c>
      <c r="G5129" s="52">
        <v>142804.17463503999</v>
      </c>
      <c r="H5129" s="56">
        <v>-6.2362161351530356E-3</v>
      </c>
      <c r="I5129" s="224" t="s">
        <v>2</v>
      </c>
    </row>
    <row r="5130" spans="1:9" x14ac:dyDescent="0.25">
      <c r="A5130" s="515">
        <v>76109</v>
      </c>
      <c r="B5130" s="515" t="s">
        <v>458</v>
      </c>
      <c r="C5130" s="52">
        <v>581088.50974787003</v>
      </c>
      <c r="D5130" s="56">
        <v>8.5860437959539584E-2</v>
      </c>
      <c r="E5130" s="224">
        <v>1989.94794094794</v>
      </c>
      <c r="F5130" s="515" t="s">
        <v>6381</v>
      </c>
      <c r="G5130" s="52">
        <v>189779.45656970399</v>
      </c>
      <c r="H5130" s="56">
        <v>8.2480874323607553E-2</v>
      </c>
      <c r="I5130" s="224" t="s">
        <v>2</v>
      </c>
    </row>
    <row r="5131" spans="1:9" x14ac:dyDescent="0.25">
      <c r="A5131" s="515">
        <v>15216</v>
      </c>
      <c r="B5131" s="515" t="s">
        <v>297</v>
      </c>
      <c r="C5131" s="52">
        <v>191806.514126867</v>
      </c>
      <c r="D5131" s="56">
        <v>4.5639684383461755E-2</v>
      </c>
      <c r="E5131" s="224">
        <v>1162.875</v>
      </c>
      <c r="F5131" s="515" t="s">
        <v>6382</v>
      </c>
      <c r="G5131" s="52">
        <v>75228.623883351203</v>
      </c>
      <c r="H5131" s="56">
        <v>5.9406491281406779E-2</v>
      </c>
      <c r="I5131" s="224" t="s">
        <v>2</v>
      </c>
    </row>
    <row r="5132" spans="1:9" x14ac:dyDescent="0.25">
      <c r="A5132" s="515">
        <v>29678</v>
      </c>
      <c r="B5132" s="515" t="s">
        <v>804</v>
      </c>
      <c r="C5132" s="52">
        <v>209605.156176132</v>
      </c>
      <c r="D5132" s="56">
        <v>0.15535232237384158</v>
      </c>
      <c r="E5132" s="224" t="s">
        <v>2</v>
      </c>
      <c r="F5132" s="515" t="s">
        <v>6383</v>
      </c>
      <c r="G5132" s="52">
        <v>112936.34190693199</v>
      </c>
      <c r="H5132" s="56">
        <v>7.3944577608103634E-2</v>
      </c>
      <c r="I5132" s="224" t="s">
        <v>2</v>
      </c>
    </row>
    <row r="5133" spans="1:9" x14ac:dyDescent="0.25">
      <c r="A5133" s="515">
        <v>19958</v>
      </c>
      <c r="B5133" s="515" t="s">
        <v>552</v>
      </c>
      <c r="C5133" s="52">
        <v>530113.66284849402</v>
      </c>
      <c r="D5133" s="56">
        <v>6.2213345891174256E-2</v>
      </c>
      <c r="E5133" s="224">
        <v>1861.1111111111099</v>
      </c>
      <c r="F5133" s="515" t="s">
        <v>6384</v>
      </c>
      <c r="G5133" s="52">
        <v>136544.54118414401</v>
      </c>
      <c r="H5133" s="56">
        <v>-7.162661410315547E-3</v>
      </c>
      <c r="I5133" s="224" t="s">
        <v>2</v>
      </c>
    </row>
    <row r="5134" spans="1:9" x14ac:dyDescent="0.25">
      <c r="A5134" s="515">
        <v>56201</v>
      </c>
      <c r="B5134" s="515" t="s">
        <v>803</v>
      </c>
      <c r="C5134" s="52">
        <v>200263.20219852601</v>
      </c>
      <c r="D5134" s="56">
        <v>5.0488999786042606E-2</v>
      </c>
      <c r="E5134" s="224" t="s">
        <v>2</v>
      </c>
      <c r="F5134" s="515" t="s">
        <v>6385</v>
      </c>
      <c r="G5134" s="52">
        <v>183071.91236056801</v>
      </c>
      <c r="H5134" s="56">
        <v>0.21995127438872966</v>
      </c>
      <c r="I5134" s="224" t="s">
        <v>2</v>
      </c>
    </row>
    <row r="5135" spans="1:9" x14ac:dyDescent="0.25">
      <c r="A5135" s="515">
        <v>33811</v>
      </c>
      <c r="B5135" s="515" t="s">
        <v>359</v>
      </c>
      <c r="C5135" s="52">
        <v>341757.92866743897</v>
      </c>
      <c r="D5135" s="56">
        <v>0.11165376329477078</v>
      </c>
      <c r="E5135" s="224">
        <v>2101.7777777777701</v>
      </c>
      <c r="F5135" s="515" t="s">
        <v>6386</v>
      </c>
      <c r="G5135" s="52">
        <v>206256.05757470499</v>
      </c>
      <c r="H5135" s="56">
        <v>7.1573968857450029E-2</v>
      </c>
      <c r="I5135" s="224" t="s">
        <v>2</v>
      </c>
    </row>
    <row r="5136" spans="1:9" x14ac:dyDescent="0.25">
      <c r="A5136" s="515">
        <v>8037</v>
      </c>
      <c r="B5136" s="515" t="s">
        <v>800</v>
      </c>
      <c r="C5136" s="52">
        <v>288240.54848383402</v>
      </c>
      <c r="D5136" s="56">
        <v>5.0177741888588659E-2</v>
      </c>
      <c r="E5136" s="224" t="s">
        <v>2</v>
      </c>
      <c r="F5136" s="515" t="s">
        <v>6387</v>
      </c>
      <c r="G5136" s="52">
        <v>227595.62897871601</v>
      </c>
      <c r="H5136" s="56">
        <v>5.5656804198547655E-2</v>
      </c>
      <c r="I5136" s="224" t="s">
        <v>2</v>
      </c>
    </row>
    <row r="5137" spans="1:9" x14ac:dyDescent="0.25">
      <c r="A5137" s="515">
        <v>95134</v>
      </c>
      <c r="B5137" s="515" t="s">
        <v>850</v>
      </c>
      <c r="C5137" s="52">
        <v>1025896.43015316</v>
      </c>
      <c r="D5137" s="56">
        <v>-6.2479542624541418E-3</v>
      </c>
      <c r="E5137" s="224">
        <v>3117.2296940207302</v>
      </c>
      <c r="F5137" s="515" t="s">
        <v>6388</v>
      </c>
      <c r="G5137" s="52">
        <v>206717.46101957699</v>
      </c>
      <c r="H5137" s="56">
        <v>9.1763745351644194E-2</v>
      </c>
      <c r="I5137" s="224" t="s">
        <v>2</v>
      </c>
    </row>
    <row r="5138" spans="1:9" x14ac:dyDescent="0.25">
      <c r="A5138" s="515">
        <v>80113</v>
      </c>
      <c r="B5138" s="515" t="s">
        <v>401</v>
      </c>
      <c r="C5138" s="52">
        <v>630305.94736720598</v>
      </c>
      <c r="D5138" s="56">
        <v>4.9727082439595109E-2</v>
      </c>
      <c r="E5138" s="224">
        <v>1898.6095238095199</v>
      </c>
      <c r="F5138" s="515" t="s">
        <v>6389</v>
      </c>
      <c r="G5138" s="52">
        <v>880892.90392466902</v>
      </c>
      <c r="H5138" s="56">
        <v>2.7748681855734376E-2</v>
      </c>
      <c r="I5138" s="224" t="s">
        <v>2</v>
      </c>
    </row>
    <row r="5139" spans="1:9" x14ac:dyDescent="0.25">
      <c r="A5139" s="515">
        <v>75146</v>
      </c>
      <c r="B5139" s="515" t="s">
        <v>458</v>
      </c>
      <c r="C5139" s="52">
        <v>281222.66804019699</v>
      </c>
      <c r="D5139" s="56">
        <v>0.10978924239412105</v>
      </c>
      <c r="E5139" s="224">
        <v>1904.30555555555</v>
      </c>
      <c r="F5139" s="515" t="s">
        <v>6390</v>
      </c>
      <c r="G5139" s="52">
        <v>1174876.5501892499</v>
      </c>
      <c r="H5139" s="56">
        <v>7.4990897373978915E-3</v>
      </c>
      <c r="I5139" s="224">
        <v>2765.13333333333</v>
      </c>
    </row>
    <row r="5140" spans="1:9" x14ac:dyDescent="0.25">
      <c r="A5140" s="515">
        <v>87002</v>
      </c>
      <c r="B5140" s="515" t="s">
        <v>406</v>
      </c>
      <c r="C5140" s="52">
        <v>202682.944343118</v>
      </c>
      <c r="D5140" s="56">
        <v>6.817265070857384E-2</v>
      </c>
      <c r="E5140" s="224" t="s">
        <v>2</v>
      </c>
      <c r="F5140" s="515" t="s">
        <v>6391</v>
      </c>
      <c r="G5140" s="52">
        <v>859914.69662650803</v>
      </c>
      <c r="H5140" s="56">
        <v>1.2000961570235447E-2</v>
      </c>
      <c r="I5140" s="224" t="s">
        <v>2</v>
      </c>
    </row>
    <row r="5141" spans="1:9" x14ac:dyDescent="0.25">
      <c r="A5141" s="515">
        <v>80207</v>
      </c>
      <c r="B5141" s="515" t="s">
        <v>401</v>
      </c>
      <c r="C5141" s="52">
        <v>607113.784577062</v>
      </c>
      <c r="D5141" s="56">
        <v>2.5917372675034342E-2</v>
      </c>
      <c r="E5141" s="224">
        <v>2508.1944444444398</v>
      </c>
      <c r="F5141" s="515" t="s">
        <v>6392</v>
      </c>
      <c r="G5141" s="52">
        <v>195012.61435834999</v>
      </c>
      <c r="H5141" s="56">
        <v>6.5421162638717709E-2</v>
      </c>
      <c r="I5141" s="224" t="s">
        <v>2</v>
      </c>
    </row>
    <row r="5142" spans="1:9" x14ac:dyDescent="0.25">
      <c r="A5142" s="515">
        <v>49085</v>
      </c>
      <c r="B5142" s="515" t="s">
        <v>698</v>
      </c>
      <c r="C5142" s="52">
        <v>274878.007785197</v>
      </c>
      <c r="D5142" s="56">
        <v>5.7571818382735881E-2</v>
      </c>
      <c r="E5142" s="224" t="s">
        <v>2</v>
      </c>
      <c r="F5142" s="515" t="s">
        <v>6393</v>
      </c>
      <c r="G5142" s="52">
        <v>306421.70861440402</v>
      </c>
      <c r="H5142" s="56">
        <v>0.14789417703927024</v>
      </c>
      <c r="I5142" s="224" t="s">
        <v>2</v>
      </c>
    </row>
    <row r="5143" spans="1:9" x14ac:dyDescent="0.25">
      <c r="A5143" s="515">
        <v>33573</v>
      </c>
      <c r="B5143" s="515" t="s">
        <v>461</v>
      </c>
      <c r="C5143" s="52">
        <v>320036.25978163001</v>
      </c>
      <c r="D5143" s="56">
        <v>0.13698820721235211</v>
      </c>
      <c r="E5143" s="224">
        <v>2180.75</v>
      </c>
      <c r="F5143" s="515" t="s">
        <v>1048</v>
      </c>
      <c r="G5143" s="52">
        <v>123318.60066194</v>
      </c>
      <c r="H5143" s="56">
        <v>0.25684416702933538</v>
      </c>
      <c r="I5143" s="224" t="s">
        <v>2</v>
      </c>
    </row>
    <row r="5144" spans="1:9" x14ac:dyDescent="0.25">
      <c r="A5144" s="515">
        <v>99354</v>
      </c>
      <c r="B5144" s="515" t="s">
        <v>1068</v>
      </c>
      <c r="C5144" s="52">
        <v>389459.15096807998</v>
      </c>
      <c r="D5144" s="56">
        <v>5.2162944674813902E-2</v>
      </c>
      <c r="E5144" s="224" t="s">
        <v>2</v>
      </c>
      <c r="F5144" s="515" t="s">
        <v>6394</v>
      </c>
      <c r="G5144" s="52">
        <v>103651.285784366</v>
      </c>
      <c r="H5144" s="56">
        <v>7.8801176810455537E-2</v>
      </c>
      <c r="I5144" s="224" t="s">
        <v>2</v>
      </c>
    </row>
    <row r="5145" spans="1:9" x14ac:dyDescent="0.25">
      <c r="A5145" s="515">
        <v>94503</v>
      </c>
      <c r="B5145" s="515" t="s">
        <v>914</v>
      </c>
      <c r="C5145" s="52">
        <v>696483.75096575997</v>
      </c>
      <c r="D5145" s="56">
        <v>-5.1409799211817953E-3</v>
      </c>
      <c r="E5145" s="224" t="s">
        <v>2</v>
      </c>
      <c r="F5145" s="515" t="s">
        <v>6395</v>
      </c>
      <c r="G5145" s="52">
        <v>1012917.8117043501</v>
      </c>
      <c r="H5145" s="56">
        <v>1.2639337039493303E-2</v>
      </c>
      <c r="I5145" s="224" t="s">
        <v>2</v>
      </c>
    </row>
    <row r="5146" spans="1:9" x14ac:dyDescent="0.25">
      <c r="A5146" s="515">
        <v>58703</v>
      </c>
      <c r="B5146" s="515" t="s">
        <v>849</v>
      </c>
      <c r="C5146" s="52">
        <v>226036.946912905</v>
      </c>
      <c r="D5146" s="56">
        <v>8.2787133476598537E-2</v>
      </c>
      <c r="E5146" s="224">
        <v>804.10714285714198</v>
      </c>
      <c r="F5146" s="515" t="s">
        <v>6396</v>
      </c>
      <c r="G5146" s="52">
        <v>171597.00518865301</v>
      </c>
      <c r="H5146" s="56">
        <v>7.7063765991278704E-2</v>
      </c>
      <c r="I5146" s="224" t="s">
        <v>2</v>
      </c>
    </row>
    <row r="5147" spans="1:9" x14ac:dyDescent="0.25">
      <c r="A5147" s="515">
        <v>95330</v>
      </c>
      <c r="B5147" s="515" t="s">
        <v>852</v>
      </c>
      <c r="C5147" s="52">
        <v>605844.213436255</v>
      </c>
      <c r="D5147" s="56">
        <v>2.8566231996478432E-2</v>
      </c>
      <c r="E5147" s="224">
        <v>2919</v>
      </c>
      <c r="F5147" s="515" t="s">
        <v>6397</v>
      </c>
      <c r="G5147" s="52">
        <v>648984.98827898095</v>
      </c>
      <c r="H5147" s="56">
        <v>6.0675117200440186E-2</v>
      </c>
      <c r="I5147" s="224" t="s">
        <v>2</v>
      </c>
    </row>
    <row r="5148" spans="1:9" x14ac:dyDescent="0.25">
      <c r="A5148" s="515">
        <v>60178</v>
      </c>
      <c r="B5148" s="515" t="s">
        <v>394</v>
      </c>
      <c r="C5148" s="52">
        <v>255609.896186386</v>
      </c>
      <c r="D5148" s="56">
        <v>4.9734470005331217E-2</v>
      </c>
      <c r="E5148" s="224" t="s">
        <v>2</v>
      </c>
      <c r="F5148" s="515" t="s">
        <v>6398</v>
      </c>
      <c r="G5148" s="52">
        <v>128559.639835031</v>
      </c>
      <c r="H5148" s="56">
        <v>0.10577177275050574</v>
      </c>
      <c r="I5148" s="224" t="s">
        <v>2</v>
      </c>
    </row>
    <row r="5149" spans="1:9" x14ac:dyDescent="0.25">
      <c r="A5149" s="515">
        <v>70706</v>
      </c>
      <c r="B5149" s="515" t="s">
        <v>610</v>
      </c>
      <c r="C5149" s="52">
        <v>238087.29549133699</v>
      </c>
      <c r="D5149" s="56">
        <v>3.2334444007239983E-2</v>
      </c>
      <c r="E5149" s="224" t="s">
        <v>2</v>
      </c>
      <c r="F5149" s="515" t="s">
        <v>6399</v>
      </c>
      <c r="G5149" s="52">
        <v>238661.169710388</v>
      </c>
      <c r="H5149" s="56">
        <v>6.1927287511360667E-2</v>
      </c>
      <c r="I5149" s="224" t="s">
        <v>2</v>
      </c>
    </row>
    <row r="5150" spans="1:9" x14ac:dyDescent="0.25">
      <c r="A5150" s="515">
        <v>36832</v>
      </c>
      <c r="B5150" s="515" t="s">
        <v>1159</v>
      </c>
      <c r="C5150" s="52">
        <v>280261.66155036201</v>
      </c>
      <c r="D5150" s="56">
        <v>3.9892238727850672E-2</v>
      </c>
      <c r="E5150" s="224">
        <v>1258.3333333333301</v>
      </c>
      <c r="F5150" s="515" t="s">
        <v>6400</v>
      </c>
      <c r="G5150" s="52">
        <v>169035.408092748</v>
      </c>
      <c r="H5150" s="56">
        <v>0.15746328554627154</v>
      </c>
      <c r="I5150" s="224" t="s">
        <v>2</v>
      </c>
    </row>
    <row r="5151" spans="1:9" x14ac:dyDescent="0.25">
      <c r="A5151" s="515">
        <v>62864</v>
      </c>
      <c r="B5151" s="515" t="s">
        <v>998</v>
      </c>
      <c r="C5151" s="52">
        <v>86841.553290429001</v>
      </c>
      <c r="D5151" s="56">
        <v>0.14183066888648566</v>
      </c>
      <c r="E5151" s="224" t="s">
        <v>2</v>
      </c>
      <c r="F5151" s="515" t="s">
        <v>6401</v>
      </c>
      <c r="G5151" s="52">
        <v>311383.16104889102</v>
      </c>
      <c r="H5151" s="56">
        <v>0.12154065455822428</v>
      </c>
      <c r="I5151" s="224" t="s">
        <v>2</v>
      </c>
    </row>
    <row r="5152" spans="1:9" x14ac:dyDescent="0.25">
      <c r="A5152" s="515">
        <v>33782</v>
      </c>
      <c r="B5152" s="515" t="s">
        <v>461</v>
      </c>
      <c r="C5152" s="52">
        <v>298352.72548332799</v>
      </c>
      <c r="D5152" s="56">
        <v>0.10479011071244161</v>
      </c>
      <c r="E5152" s="224">
        <v>2131.31168831168</v>
      </c>
      <c r="F5152" s="515" t="s">
        <v>6402</v>
      </c>
      <c r="G5152" s="52">
        <v>482129.37844759098</v>
      </c>
      <c r="H5152" s="56">
        <v>7.8283507487465723E-2</v>
      </c>
      <c r="I5152" s="224" t="s">
        <v>2</v>
      </c>
    </row>
    <row r="5153" spans="1:9" x14ac:dyDescent="0.25">
      <c r="A5153" s="515">
        <v>53143</v>
      </c>
      <c r="B5153" s="515" t="s">
        <v>394</v>
      </c>
      <c r="C5153" s="52">
        <v>192152.06125215199</v>
      </c>
      <c r="D5153" s="56">
        <v>8.6720599036359453E-2</v>
      </c>
      <c r="E5153" s="224" t="s">
        <v>2</v>
      </c>
      <c r="F5153" s="515" t="s">
        <v>6403</v>
      </c>
      <c r="G5153" s="52">
        <v>611055.68605153402</v>
      </c>
      <c r="H5153" s="56">
        <v>9.4619829167033764E-2</v>
      </c>
      <c r="I5153" s="224">
        <v>2467.3611111111099</v>
      </c>
    </row>
    <row r="5154" spans="1:9" x14ac:dyDescent="0.25">
      <c r="A5154" s="515">
        <v>77586</v>
      </c>
      <c r="B5154" s="515" t="s">
        <v>314</v>
      </c>
      <c r="C5154" s="52">
        <v>338483.465800445</v>
      </c>
      <c r="D5154" s="56">
        <v>7.6243180560397292E-2</v>
      </c>
      <c r="E5154" s="224">
        <v>1925.75</v>
      </c>
      <c r="F5154" s="515" t="s">
        <v>6404</v>
      </c>
      <c r="G5154" s="52">
        <v>266743.02166515699</v>
      </c>
      <c r="H5154" s="56">
        <v>4.9849489393830701E-2</v>
      </c>
      <c r="I5154" s="224" t="s">
        <v>2</v>
      </c>
    </row>
    <row r="5155" spans="1:9" x14ac:dyDescent="0.25">
      <c r="A5155" s="515">
        <v>40211</v>
      </c>
      <c r="B5155" s="515" t="s">
        <v>479</v>
      </c>
      <c r="C5155" s="52">
        <v>80387.932807183606</v>
      </c>
      <c r="D5155" s="56">
        <v>0.14404831231933476</v>
      </c>
      <c r="E5155" s="224">
        <v>1168.88888888888</v>
      </c>
      <c r="F5155" s="515" t="s">
        <v>6405</v>
      </c>
      <c r="G5155" s="52">
        <v>746051.81873314898</v>
      </c>
      <c r="H5155" s="56">
        <v>7.2204051631373084E-2</v>
      </c>
      <c r="I5155" s="224" t="s">
        <v>2</v>
      </c>
    </row>
    <row r="5156" spans="1:9" x14ac:dyDescent="0.25">
      <c r="A5156" s="515">
        <v>80222</v>
      </c>
      <c r="B5156" s="515" t="s">
        <v>401</v>
      </c>
      <c r="C5156" s="52">
        <v>569465.06084942305</v>
      </c>
      <c r="D5156" s="56">
        <v>2.636408183779897E-2</v>
      </c>
      <c r="E5156" s="224">
        <v>1872.2783882783799</v>
      </c>
      <c r="F5156" s="515" t="s">
        <v>6406</v>
      </c>
      <c r="G5156" s="52">
        <v>427991.29297889001</v>
      </c>
      <c r="H5156" s="56">
        <v>7.6954949584805851E-2</v>
      </c>
      <c r="I5156" s="224">
        <v>1567.19444444444</v>
      </c>
    </row>
    <row r="5157" spans="1:9" x14ac:dyDescent="0.25">
      <c r="A5157" s="515">
        <v>78380</v>
      </c>
      <c r="B5157" s="515" t="s">
        <v>415</v>
      </c>
      <c r="C5157" s="52">
        <v>125526.568351223</v>
      </c>
      <c r="D5157" s="56">
        <v>-3.5259612885316184E-2</v>
      </c>
      <c r="E5157" s="224" t="s">
        <v>2</v>
      </c>
      <c r="F5157" s="515" t="s">
        <v>6407</v>
      </c>
      <c r="G5157" s="52">
        <v>139270.66737218099</v>
      </c>
      <c r="H5157" s="56">
        <v>8.677625991449342E-2</v>
      </c>
      <c r="I5157" s="224" t="s">
        <v>2</v>
      </c>
    </row>
    <row r="5158" spans="1:9" x14ac:dyDescent="0.25">
      <c r="A5158" s="515">
        <v>79764</v>
      </c>
      <c r="B5158" s="515" t="s">
        <v>1001</v>
      </c>
      <c r="C5158" s="52">
        <v>173588.32146160901</v>
      </c>
      <c r="D5158" s="56">
        <v>-2.5376916907436348E-2</v>
      </c>
      <c r="E5158" s="224" t="s">
        <v>2</v>
      </c>
      <c r="F5158" s="515" t="s">
        <v>6408</v>
      </c>
      <c r="G5158" s="52">
        <v>367339.36244980298</v>
      </c>
      <c r="H5158" s="56">
        <v>6.6726032851286796E-2</v>
      </c>
      <c r="I5158" s="224" t="s">
        <v>2</v>
      </c>
    </row>
    <row r="5159" spans="1:9" x14ac:dyDescent="0.25">
      <c r="A5159" s="515">
        <v>61103</v>
      </c>
      <c r="B5159" s="515" t="s">
        <v>1104</v>
      </c>
      <c r="C5159" s="52">
        <v>103477.51450491299</v>
      </c>
      <c r="D5159" s="56">
        <v>8.8670946185997856E-2</v>
      </c>
      <c r="E5159" s="224">
        <v>822.5</v>
      </c>
      <c r="F5159" s="515" t="s">
        <v>6409</v>
      </c>
      <c r="G5159" s="52">
        <v>485567.74745439203</v>
      </c>
      <c r="H5159" s="56">
        <v>0.1110458844240424</v>
      </c>
      <c r="I5159" s="224" t="s">
        <v>2</v>
      </c>
    </row>
    <row r="5160" spans="1:9" x14ac:dyDescent="0.25">
      <c r="A5160" s="515">
        <v>75082</v>
      </c>
      <c r="B5160" s="515" t="s">
        <v>458</v>
      </c>
      <c r="C5160" s="52">
        <v>529723.60854420299</v>
      </c>
      <c r="D5160" s="56">
        <v>4.545413035915305E-2</v>
      </c>
      <c r="E5160" s="224">
        <v>1763.88677814938</v>
      </c>
      <c r="F5160" s="515" t="s">
        <v>6410</v>
      </c>
      <c r="G5160" s="52">
        <v>135409.00031516</v>
      </c>
      <c r="H5160" s="56">
        <v>0.15020093843161186</v>
      </c>
      <c r="I5160" s="224" t="s">
        <v>2</v>
      </c>
    </row>
    <row r="5161" spans="1:9" x14ac:dyDescent="0.25">
      <c r="A5161" s="515">
        <v>78801</v>
      </c>
      <c r="B5161" s="515" t="s">
        <v>688</v>
      </c>
      <c r="C5161" s="52">
        <v>164091.414931651</v>
      </c>
      <c r="D5161" s="56">
        <v>2.24943916480633E-2</v>
      </c>
      <c r="E5161" s="224" t="s">
        <v>2</v>
      </c>
      <c r="F5161" s="515" t="s">
        <v>6411</v>
      </c>
      <c r="G5161" s="52">
        <v>585558.27987224096</v>
      </c>
      <c r="H5161" s="56">
        <v>2.0520484424443809E-2</v>
      </c>
      <c r="I5161" s="224" t="s">
        <v>2</v>
      </c>
    </row>
    <row r="5162" spans="1:9" x14ac:dyDescent="0.25">
      <c r="A5162" s="515">
        <v>76528</v>
      </c>
      <c r="B5162" s="515" t="s">
        <v>859</v>
      </c>
      <c r="C5162" s="52">
        <v>221567.574722941</v>
      </c>
      <c r="D5162" s="56">
        <v>0.12061051756863421</v>
      </c>
      <c r="E5162" s="224" t="s">
        <v>2</v>
      </c>
      <c r="F5162" s="515" t="s">
        <v>6412</v>
      </c>
      <c r="G5162" s="52">
        <v>861848.42233115295</v>
      </c>
      <c r="H5162" s="56">
        <v>2.3944007566587339E-2</v>
      </c>
      <c r="I5162" s="224" t="s">
        <v>2</v>
      </c>
    </row>
    <row r="5163" spans="1:9" x14ac:dyDescent="0.25">
      <c r="A5163" s="515">
        <v>33496</v>
      </c>
      <c r="B5163" s="515" t="s">
        <v>831</v>
      </c>
      <c r="C5163" s="52">
        <v>760524.89627431706</v>
      </c>
      <c r="D5163" s="56">
        <v>0.25298494961094881</v>
      </c>
      <c r="E5163" s="224">
        <v>3490.4333333333302</v>
      </c>
      <c r="F5163" s="515" t="s">
        <v>6413</v>
      </c>
      <c r="G5163" s="52">
        <v>163012.77531260601</v>
      </c>
      <c r="H5163" s="56">
        <v>7.8796998490304332E-2</v>
      </c>
      <c r="I5163" s="224" t="s">
        <v>2</v>
      </c>
    </row>
    <row r="5164" spans="1:9" x14ac:dyDescent="0.25">
      <c r="A5164" s="515">
        <v>67216</v>
      </c>
      <c r="B5164" s="515" t="s">
        <v>485</v>
      </c>
      <c r="C5164" s="52">
        <v>117787.53948782801</v>
      </c>
      <c r="D5164" s="56">
        <v>0.12836872140455899</v>
      </c>
      <c r="E5164" s="224">
        <v>1025</v>
      </c>
      <c r="F5164" s="515" t="s">
        <v>6414</v>
      </c>
      <c r="G5164" s="52">
        <v>442941.172987987</v>
      </c>
      <c r="H5164" s="56">
        <v>4.5041862339297051E-2</v>
      </c>
      <c r="I5164" s="224" t="s">
        <v>2</v>
      </c>
    </row>
    <row r="5165" spans="1:9" x14ac:dyDescent="0.25">
      <c r="A5165" s="515">
        <v>94089</v>
      </c>
      <c r="B5165" s="515" t="s">
        <v>850</v>
      </c>
      <c r="C5165" s="52">
        <v>1233358.5387883601</v>
      </c>
      <c r="D5165" s="56">
        <v>-2.3300188045760603E-2</v>
      </c>
      <c r="E5165" s="224">
        <v>2974.2083333333298</v>
      </c>
      <c r="F5165" s="515" t="s">
        <v>6415</v>
      </c>
      <c r="G5165" s="52">
        <v>629008.19392475195</v>
      </c>
      <c r="H5165" s="56">
        <v>2.3811387706280589E-2</v>
      </c>
      <c r="I5165" s="224" t="s">
        <v>2</v>
      </c>
    </row>
    <row r="5166" spans="1:9" x14ac:dyDescent="0.25">
      <c r="A5166" s="515">
        <v>98055</v>
      </c>
      <c r="B5166" s="515" t="s">
        <v>384</v>
      </c>
      <c r="C5166" s="52">
        <v>606155.59151041799</v>
      </c>
      <c r="D5166" s="56">
        <v>3.7390140634852367E-2</v>
      </c>
      <c r="E5166" s="224">
        <v>2081.26728826728</v>
      </c>
      <c r="F5166" s="515" t="s">
        <v>6416</v>
      </c>
      <c r="G5166" s="52">
        <v>271435.39364112198</v>
      </c>
      <c r="H5166" s="56">
        <v>9.9554667196768545E-2</v>
      </c>
      <c r="I5166" s="224" t="s">
        <v>2</v>
      </c>
    </row>
    <row r="5167" spans="1:9" x14ac:dyDescent="0.25">
      <c r="A5167" s="515">
        <v>34113</v>
      </c>
      <c r="B5167" s="515" t="s">
        <v>365</v>
      </c>
      <c r="C5167" s="52">
        <v>536680.36743604997</v>
      </c>
      <c r="D5167" s="56">
        <v>0.18843166070973513</v>
      </c>
      <c r="E5167" s="224">
        <v>3272.4814814814799</v>
      </c>
      <c r="F5167" s="515" t="s">
        <v>6417</v>
      </c>
      <c r="G5167" s="52">
        <v>148091.642015508</v>
      </c>
      <c r="H5167" s="56">
        <v>6.4963134061555544E-2</v>
      </c>
      <c r="I5167" s="224" t="s">
        <v>2</v>
      </c>
    </row>
    <row r="5168" spans="1:9" x14ac:dyDescent="0.25">
      <c r="A5168" s="515">
        <v>95215</v>
      </c>
      <c r="B5168" s="515" t="s">
        <v>852</v>
      </c>
      <c r="C5168" s="52">
        <v>375094.38245675998</v>
      </c>
      <c r="D5168" s="56">
        <v>2.2963534874115656E-2</v>
      </c>
      <c r="E5168" s="224" t="s">
        <v>2</v>
      </c>
      <c r="F5168" s="515" t="s">
        <v>6418</v>
      </c>
      <c r="G5168" s="52">
        <v>359404.37387784</v>
      </c>
      <c r="H5168" s="56">
        <v>3.9883892422047588E-2</v>
      </c>
      <c r="I5168" s="224" t="s">
        <v>2</v>
      </c>
    </row>
    <row r="5169" spans="1:9" x14ac:dyDescent="0.25">
      <c r="A5169" s="515">
        <v>84103</v>
      </c>
      <c r="B5169" s="515" t="s">
        <v>617</v>
      </c>
      <c r="C5169" s="52">
        <v>688637.472016413</v>
      </c>
      <c r="D5169" s="56">
        <v>4.1523450369421087E-2</v>
      </c>
      <c r="E5169" s="224">
        <v>1868.6351540616199</v>
      </c>
      <c r="F5169" s="515" t="s">
        <v>6419</v>
      </c>
      <c r="G5169" s="52">
        <v>526975.230678958</v>
      </c>
      <c r="H5169" s="56">
        <v>4.1092132299630588E-2</v>
      </c>
      <c r="I5169" s="224" t="s">
        <v>2</v>
      </c>
    </row>
    <row r="5170" spans="1:9" x14ac:dyDescent="0.25">
      <c r="A5170" s="515">
        <v>49036</v>
      </c>
      <c r="B5170" s="515" t="s">
        <v>1107</v>
      </c>
      <c r="C5170" s="52">
        <v>172943.099070422</v>
      </c>
      <c r="D5170" s="56">
        <v>3.8201998256954937E-2</v>
      </c>
      <c r="E5170" s="224" t="s">
        <v>2</v>
      </c>
      <c r="F5170" s="515" t="s">
        <v>6420</v>
      </c>
      <c r="G5170" s="52">
        <v>424532.03136737703</v>
      </c>
      <c r="H5170" s="56">
        <v>1.6691142754222739E-2</v>
      </c>
      <c r="I5170" s="224" t="s">
        <v>2</v>
      </c>
    </row>
    <row r="5171" spans="1:9" x14ac:dyDescent="0.25">
      <c r="A5171" s="515">
        <v>57105</v>
      </c>
      <c r="B5171" s="515" t="s">
        <v>579</v>
      </c>
      <c r="C5171" s="52">
        <v>258914.11565684</v>
      </c>
      <c r="D5171" s="56">
        <v>8.2694311733587156E-2</v>
      </c>
      <c r="E5171" s="224">
        <v>1255</v>
      </c>
      <c r="F5171" s="515" t="s">
        <v>6421</v>
      </c>
      <c r="G5171" s="52">
        <v>95762.0642397708</v>
      </c>
      <c r="H5171" s="56">
        <v>9.0379460246785628E-2</v>
      </c>
      <c r="I5171" s="224" t="s">
        <v>2</v>
      </c>
    </row>
    <row r="5172" spans="1:9" x14ac:dyDescent="0.25">
      <c r="A5172" s="515">
        <v>81401</v>
      </c>
      <c r="B5172" s="515" t="s">
        <v>677</v>
      </c>
      <c r="C5172" s="52">
        <v>374246.34959176002</v>
      </c>
      <c r="D5172" s="56">
        <v>7.7760205473175636E-2</v>
      </c>
      <c r="E5172" s="224">
        <v>1825</v>
      </c>
      <c r="F5172" s="515" t="s">
        <v>6422</v>
      </c>
      <c r="G5172" s="52">
        <v>363231.47665852797</v>
      </c>
      <c r="H5172" s="56">
        <v>8.0779296065801504E-2</v>
      </c>
      <c r="I5172" s="224" t="s">
        <v>2</v>
      </c>
    </row>
    <row r="5173" spans="1:9" x14ac:dyDescent="0.25">
      <c r="A5173" s="515">
        <v>14072</v>
      </c>
      <c r="B5173" s="515" t="s">
        <v>336</v>
      </c>
      <c r="C5173" s="52">
        <v>320760.252355684</v>
      </c>
      <c r="D5173" s="56">
        <v>7.7906674224080832E-2</v>
      </c>
      <c r="E5173" s="224" t="s">
        <v>2</v>
      </c>
      <c r="F5173" s="515" t="s">
        <v>6423</v>
      </c>
      <c r="G5173" s="52">
        <v>1026015.98597274</v>
      </c>
      <c r="H5173" s="56">
        <v>7.7729479882017324E-2</v>
      </c>
      <c r="I5173" s="224" t="s">
        <v>2</v>
      </c>
    </row>
    <row r="5174" spans="1:9" x14ac:dyDescent="0.25">
      <c r="A5174" s="515">
        <v>6605</v>
      </c>
      <c r="B5174" s="515" t="s">
        <v>1173</v>
      </c>
      <c r="C5174" s="52">
        <v>309605.34159577801</v>
      </c>
      <c r="D5174" s="56">
        <v>9.8250785083315292E-2</v>
      </c>
      <c r="E5174" s="224">
        <v>1696.9166666666599</v>
      </c>
      <c r="F5174" s="515" t="s">
        <v>6424</v>
      </c>
      <c r="G5174" s="52">
        <v>1218338.01674307</v>
      </c>
      <c r="H5174" s="56">
        <v>3.5297514802801515E-2</v>
      </c>
      <c r="I5174" s="224" t="s">
        <v>2</v>
      </c>
    </row>
    <row r="5175" spans="1:9" x14ac:dyDescent="0.25">
      <c r="A5175" s="515">
        <v>72118</v>
      </c>
      <c r="B5175" s="515" t="s">
        <v>393</v>
      </c>
      <c r="C5175" s="52">
        <v>117641.99521935399</v>
      </c>
      <c r="D5175" s="56">
        <v>0.1117819604156846</v>
      </c>
      <c r="E5175" s="224">
        <v>986.11111111111097</v>
      </c>
      <c r="F5175" s="515" t="s">
        <v>6425</v>
      </c>
      <c r="G5175" s="52">
        <v>105089.65493287001</v>
      </c>
      <c r="H5175" s="56">
        <v>0.19767772722532986</v>
      </c>
      <c r="I5175" s="224" t="s">
        <v>2</v>
      </c>
    </row>
    <row r="5176" spans="1:9" x14ac:dyDescent="0.25">
      <c r="A5176" s="515">
        <v>36609</v>
      </c>
      <c r="B5176" s="515" t="s">
        <v>815</v>
      </c>
      <c r="C5176" s="52">
        <v>185676.49463057201</v>
      </c>
      <c r="D5176" s="56">
        <v>8.7117454293563476E-2</v>
      </c>
      <c r="E5176" s="224">
        <v>932.388888888888</v>
      </c>
      <c r="F5176" s="515" t="s">
        <v>6426</v>
      </c>
      <c r="G5176" s="52">
        <v>194770.026051894</v>
      </c>
      <c r="H5176" s="56">
        <v>9.7454444284933592E-2</v>
      </c>
      <c r="I5176" s="224">
        <v>1052.7777777777701</v>
      </c>
    </row>
    <row r="5177" spans="1:9" x14ac:dyDescent="0.25">
      <c r="A5177" s="515">
        <v>67213</v>
      </c>
      <c r="B5177" s="515" t="s">
        <v>485</v>
      </c>
      <c r="C5177" s="52">
        <v>100628.29604123101</v>
      </c>
      <c r="D5177" s="56">
        <v>0.14078916074096823</v>
      </c>
      <c r="E5177" s="224">
        <v>869.16666666666595</v>
      </c>
      <c r="F5177" s="515" t="s">
        <v>6427</v>
      </c>
      <c r="G5177" s="52">
        <v>386745.57552610198</v>
      </c>
      <c r="H5177" s="56">
        <v>6.7973916571693896E-2</v>
      </c>
      <c r="I5177" s="224" t="s">
        <v>2</v>
      </c>
    </row>
    <row r="5178" spans="1:9" x14ac:dyDescent="0.25">
      <c r="A5178" s="515">
        <v>44011</v>
      </c>
      <c r="B5178" s="515" t="s">
        <v>520</v>
      </c>
      <c r="C5178" s="52">
        <v>402621.12225772103</v>
      </c>
      <c r="D5178" s="56">
        <v>6.4540873436978091E-2</v>
      </c>
      <c r="E5178" s="224" t="s">
        <v>2</v>
      </c>
      <c r="F5178" s="515" t="s">
        <v>6428</v>
      </c>
      <c r="G5178" s="52">
        <v>277572.50449947402</v>
      </c>
      <c r="H5178" s="56">
        <v>6.8054023718681328E-2</v>
      </c>
      <c r="I5178" s="224" t="s">
        <v>2</v>
      </c>
    </row>
    <row r="5179" spans="1:9" x14ac:dyDescent="0.25">
      <c r="A5179" s="515">
        <v>28209</v>
      </c>
      <c r="B5179" s="515" t="s">
        <v>360</v>
      </c>
      <c r="C5179" s="52">
        <v>532615.86504308297</v>
      </c>
      <c r="D5179" s="56">
        <v>3.9061127353724023E-2</v>
      </c>
      <c r="E5179" s="224">
        <v>1663.90603433402</v>
      </c>
      <c r="F5179" s="515" t="s">
        <v>6429</v>
      </c>
      <c r="G5179" s="52">
        <v>94820.813043426402</v>
      </c>
      <c r="H5179" s="56">
        <v>-2.6132111332940106E-2</v>
      </c>
      <c r="I5179" s="224" t="s">
        <v>2</v>
      </c>
    </row>
    <row r="5180" spans="1:9" x14ac:dyDescent="0.25">
      <c r="A5180" s="515">
        <v>40014</v>
      </c>
      <c r="B5180" s="515" t="s">
        <v>479</v>
      </c>
      <c r="C5180" s="52">
        <v>396267.63508766098</v>
      </c>
      <c r="D5180" s="56">
        <v>7.6142513975285611E-2</v>
      </c>
      <c r="E5180" s="224" t="s">
        <v>2</v>
      </c>
      <c r="F5180" s="515" t="s">
        <v>6430</v>
      </c>
      <c r="G5180" s="52">
        <v>132160.15798526001</v>
      </c>
      <c r="H5180" s="56">
        <v>6.4075623713267804E-2</v>
      </c>
      <c r="I5180" s="224" t="s">
        <v>2</v>
      </c>
    </row>
    <row r="5181" spans="1:9" x14ac:dyDescent="0.25">
      <c r="A5181" s="515">
        <v>1832</v>
      </c>
      <c r="B5181" s="515" t="s">
        <v>534</v>
      </c>
      <c r="C5181" s="52">
        <v>427836.26667379303</v>
      </c>
      <c r="D5181" s="56">
        <v>7.0783847818730969E-2</v>
      </c>
      <c r="E5181" s="224">
        <v>2121.125</v>
      </c>
      <c r="F5181" s="515" t="s">
        <v>6431</v>
      </c>
      <c r="G5181" s="52">
        <v>405235.56265631702</v>
      </c>
      <c r="H5181" s="56">
        <v>4.0791721297443961E-2</v>
      </c>
      <c r="I5181" s="224">
        <v>1927.3277777777701</v>
      </c>
    </row>
    <row r="5182" spans="1:9" x14ac:dyDescent="0.25">
      <c r="A5182" s="515">
        <v>46321</v>
      </c>
      <c r="B5182" s="515" t="s">
        <v>394</v>
      </c>
      <c r="C5182" s="52">
        <v>320015.97737002501</v>
      </c>
      <c r="D5182" s="56">
        <v>4.1786967741992219E-2</v>
      </c>
      <c r="E5182" s="224" t="s">
        <v>2</v>
      </c>
      <c r="F5182" s="515" t="s">
        <v>6432</v>
      </c>
      <c r="G5182" s="52">
        <v>111358.571314602</v>
      </c>
      <c r="H5182" s="56">
        <v>5.6248335543476885E-2</v>
      </c>
      <c r="I5182" s="224" t="s">
        <v>2</v>
      </c>
    </row>
    <row r="5183" spans="1:9" x14ac:dyDescent="0.25">
      <c r="A5183" s="515">
        <v>29403</v>
      </c>
      <c r="B5183" s="515" t="s">
        <v>1009</v>
      </c>
      <c r="C5183" s="52">
        <v>628522.665482932</v>
      </c>
      <c r="D5183" s="56">
        <v>0.13432338454603965</v>
      </c>
      <c r="E5183" s="224">
        <v>2567.6235504014198</v>
      </c>
      <c r="F5183" s="515" t="s">
        <v>6433</v>
      </c>
      <c r="G5183" s="52">
        <v>487702.81326151098</v>
      </c>
      <c r="H5183" s="56">
        <v>2.1694727440078374E-2</v>
      </c>
      <c r="I5183" s="224" t="s">
        <v>2</v>
      </c>
    </row>
    <row r="5184" spans="1:9" x14ac:dyDescent="0.25">
      <c r="A5184" s="515">
        <v>76201</v>
      </c>
      <c r="B5184" s="515" t="s">
        <v>458</v>
      </c>
      <c r="C5184" s="52">
        <v>284774.10210521403</v>
      </c>
      <c r="D5184" s="56">
        <v>0.12853217751977233</v>
      </c>
      <c r="E5184" s="224">
        <v>1246.57142857142</v>
      </c>
      <c r="F5184" s="515" t="s">
        <v>6434</v>
      </c>
      <c r="G5184" s="52">
        <v>223099.955638224</v>
      </c>
      <c r="H5184" s="56">
        <v>4.8770885697106588E-2</v>
      </c>
      <c r="I5184" s="224" t="s">
        <v>2</v>
      </c>
    </row>
    <row r="5185" spans="1:9" x14ac:dyDescent="0.25">
      <c r="A5185" s="515">
        <v>29169</v>
      </c>
      <c r="B5185" s="515" t="s">
        <v>762</v>
      </c>
      <c r="C5185" s="52">
        <v>199294.82740755699</v>
      </c>
      <c r="D5185" s="56">
        <v>0.16595688073806603</v>
      </c>
      <c r="E5185" s="224">
        <v>1403.6666666666599</v>
      </c>
      <c r="F5185" s="515" t="s">
        <v>6435</v>
      </c>
      <c r="G5185" s="52">
        <v>1648724.2107385099</v>
      </c>
      <c r="H5185" s="56">
        <v>5.4998551152645819E-2</v>
      </c>
      <c r="I5185" s="224">
        <v>5039.6000000000004</v>
      </c>
    </row>
    <row r="5186" spans="1:9" x14ac:dyDescent="0.25">
      <c r="A5186" s="515">
        <v>8876</v>
      </c>
      <c r="B5186" s="515" t="s">
        <v>324</v>
      </c>
      <c r="C5186" s="52">
        <v>472859.355731986</v>
      </c>
      <c r="D5186" s="56">
        <v>6.1695590413677594E-2</v>
      </c>
      <c r="E5186" s="224">
        <v>1958.6</v>
      </c>
      <c r="F5186" s="515" t="s">
        <v>6436</v>
      </c>
      <c r="G5186" s="52">
        <v>404374.91580001602</v>
      </c>
      <c r="H5186" s="56">
        <v>9.6587574695104789E-2</v>
      </c>
      <c r="I5186" s="224" t="s">
        <v>2</v>
      </c>
    </row>
    <row r="5187" spans="1:9" x14ac:dyDescent="0.25">
      <c r="A5187" s="515">
        <v>46953</v>
      </c>
      <c r="B5187" s="515" t="s">
        <v>472</v>
      </c>
      <c r="C5187" s="52">
        <v>80835.234148003801</v>
      </c>
      <c r="D5187" s="56">
        <v>6.7483755726734818E-2</v>
      </c>
      <c r="E5187" s="224" t="s">
        <v>2</v>
      </c>
      <c r="F5187" s="515" t="s">
        <v>6437</v>
      </c>
      <c r="G5187" s="52">
        <v>351086.58365709102</v>
      </c>
      <c r="H5187" s="56">
        <v>2.2616451970775962E-2</v>
      </c>
      <c r="I5187" s="224" t="s">
        <v>2</v>
      </c>
    </row>
    <row r="5188" spans="1:9" x14ac:dyDescent="0.25">
      <c r="A5188" s="515">
        <v>31558</v>
      </c>
      <c r="B5188" s="515" t="s">
        <v>946</v>
      </c>
      <c r="C5188" s="52">
        <v>267836.29192301602</v>
      </c>
      <c r="D5188" s="56">
        <v>0.10422731522255103</v>
      </c>
      <c r="E5188" s="224">
        <v>1641.6666666666599</v>
      </c>
      <c r="F5188" s="515" t="s">
        <v>6438</v>
      </c>
      <c r="G5188" s="52">
        <v>199077.043287593</v>
      </c>
      <c r="H5188" s="56">
        <v>7.8205712771446986E-2</v>
      </c>
      <c r="I5188" s="224" t="s">
        <v>2</v>
      </c>
    </row>
    <row r="5189" spans="1:9" x14ac:dyDescent="0.25">
      <c r="A5189" s="515">
        <v>93907</v>
      </c>
      <c r="B5189" s="515" t="s">
        <v>443</v>
      </c>
      <c r="C5189" s="52">
        <v>751595.12174027495</v>
      </c>
      <c r="D5189" s="56">
        <v>3.6220242531433938E-2</v>
      </c>
      <c r="E5189" s="224">
        <v>2767</v>
      </c>
      <c r="F5189" s="515" t="s">
        <v>6439</v>
      </c>
      <c r="G5189" s="52">
        <v>300472.53064655</v>
      </c>
      <c r="H5189" s="56">
        <v>0.11382052709530413</v>
      </c>
      <c r="I5189" s="224" t="s">
        <v>2</v>
      </c>
    </row>
    <row r="5190" spans="1:9" x14ac:dyDescent="0.25">
      <c r="A5190" s="515">
        <v>66047</v>
      </c>
      <c r="B5190" s="515" t="s">
        <v>1116</v>
      </c>
      <c r="C5190" s="52">
        <v>298923.63538231002</v>
      </c>
      <c r="D5190" s="56">
        <v>3.8856700627273318E-2</v>
      </c>
      <c r="E5190" s="224">
        <v>1420.75</v>
      </c>
      <c r="F5190" s="515" t="s">
        <v>546</v>
      </c>
      <c r="G5190" s="52">
        <v>51938.198209603201</v>
      </c>
      <c r="H5190" s="56">
        <v>-2.8717566517131945E-2</v>
      </c>
      <c r="I5190" s="224" t="s">
        <v>2</v>
      </c>
    </row>
    <row r="5191" spans="1:9" x14ac:dyDescent="0.25">
      <c r="A5191" s="515">
        <v>46158</v>
      </c>
      <c r="B5191" s="515" t="s">
        <v>403</v>
      </c>
      <c r="C5191" s="52">
        <v>272633.662794862</v>
      </c>
      <c r="D5191" s="56">
        <v>8.784153765894534E-2</v>
      </c>
      <c r="E5191" s="224" t="s">
        <v>2</v>
      </c>
      <c r="F5191" s="515" t="s">
        <v>6440</v>
      </c>
      <c r="G5191" s="52">
        <v>263293.94363760599</v>
      </c>
      <c r="H5191" s="56">
        <v>4.9608170046531459E-2</v>
      </c>
      <c r="I5191" s="224" t="s">
        <v>2</v>
      </c>
    </row>
    <row r="5192" spans="1:9" x14ac:dyDescent="0.25">
      <c r="A5192" s="515">
        <v>21001</v>
      </c>
      <c r="B5192" s="515" t="s">
        <v>582</v>
      </c>
      <c r="C5192" s="52">
        <v>296552.99741819198</v>
      </c>
      <c r="D5192" s="56">
        <v>6.0328058581044876E-2</v>
      </c>
      <c r="E5192" s="224">
        <v>1660.5</v>
      </c>
      <c r="F5192" s="515" t="s">
        <v>6441</v>
      </c>
      <c r="G5192" s="52">
        <v>373043.03261751198</v>
      </c>
      <c r="H5192" s="56">
        <v>7.0349181655808349E-2</v>
      </c>
      <c r="I5192" s="224" t="s">
        <v>2</v>
      </c>
    </row>
    <row r="5193" spans="1:9" x14ac:dyDescent="0.25">
      <c r="A5193" s="515">
        <v>7901</v>
      </c>
      <c r="B5193" s="515" t="s">
        <v>324</v>
      </c>
      <c r="C5193" s="52">
        <v>1008017.76768226</v>
      </c>
      <c r="D5193" s="56">
        <v>5.7906555464076567E-2</v>
      </c>
      <c r="E5193" s="224">
        <v>2946.0555555555502</v>
      </c>
      <c r="F5193" s="515" t="s">
        <v>6442</v>
      </c>
      <c r="G5193" s="52">
        <v>141603.04088831699</v>
      </c>
      <c r="H5193" s="56">
        <v>-6.228442208577821E-2</v>
      </c>
      <c r="I5193" s="224" t="s">
        <v>2</v>
      </c>
    </row>
    <row r="5194" spans="1:9" x14ac:dyDescent="0.25">
      <c r="A5194" s="515">
        <v>60404</v>
      </c>
      <c r="B5194" s="515" t="s">
        <v>394</v>
      </c>
      <c r="C5194" s="52">
        <v>333520.07900640898</v>
      </c>
      <c r="D5194" s="56">
        <v>5.5603619863397992E-2</v>
      </c>
      <c r="E5194" s="224" t="s">
        <v>2</v>
      </c>
      <c r="F5194" s="515" t="s">
        <v>752</v>
      </c>
      <c r="G5194" s="52">
        <v>159173.696981207</v>
      </c>
      <c r="H5194" s="56">
        <v>0.15818302071566168</v>
      </c>
      <c r="I5194" s="224" t="s">
        <v>2</v>
      </c>
    </row>
    <row r="5195" spans="1:9" x14ac:dyDescent="0.25">
      <c r="A5195" s="515">
        <v>64131</v>
      </c>
      <c r="B5195" s="515" t="s">
        <v>455</v>
      </c>
      <c r="C5195" s="52">
        <v>223651.22201535001</v>
      </c>
      <c r="D5195" s="56">
        <v>7.418283930602497E-2</v>
      </c>
      <c r="E5195" s="224">
        <v>1227.6111111111099</v>
      </c>
      <c r="F5195" s="515" t="s">
        <v>6443</v>
      </c>
      <c r="G5195" s="52">
        <v>740669.87016578799</v>
      </c>
      <c r="H5195" s="56">
        <v>-2.6009857830542461E-3</v>
      </c>
      <c r="I5195" s="224" t="s">
        <v>2</v>
      </c>
    </row>
    <row r="5196" spans="1:9" x14ac:dyDescent="0.25">
      <c r="A5196" s="515">
        <v>60656</v>
      </c>
      <c r="B5196" s="515" t="s">
        <v>394</v>
      </c>
      <c r="C5196" s="52">
        <v>310255.58931943</v>
      </c>
      <c r="D5196" s="56">
        <v>-4.0351563442132142E-3</v>
      </c>
      <c r="E5196" s="224">
        <v>1484.5833333333301</v>
      </c>
      <c r="F5196" s="515" t="s">
        <v>6444</v>
      </c>
      <c r="G5196" s="52">
        <v>207500.48834893299</v>
      </c>
      <c r="H5196" s="56">
        <v>7.6460897490711763E-2</v>
      </c>
      <c r="I5196" s="224" t="s">
        <v>2</v>
      </c>
    </row>
    <row r="5197" spans="1:9" x14ac:dyDescent="0.25">
      <c r="A5197" s="515">
        <v>33184</v>
      </c>
      <c r="B5197" s="515" t="s">
        <v>831</v>
      </c>
      <c r="C5197" s="52">
        <v>491520.420068854</v>
      </c>
      <c r="D5197" s="56">
        <v>0.15325315215899987</v>
      </c>
      <c r="E5197" s="224" t="s">
        <v>2</v>
      </c>
      <c r="F5197" s="515" t="s">
        <v>6445</v>
      </c>
      <c r="G5197" s="52">
        <v>324767.60798594099</v>
      </c>
      <c r="H5197" s="56">
        <v>8.4164015062129338E-2</v>
      </c>
      <c r="I5197" s="224">
        <v>2078.6111111111099</v>
      </c>
    </row>
    <row r="5198" spans="1:9" x14ac:dyDescent="0.25">
      <c r="A5198" s="515">
        <v>85367</v>
      </c>
      <c r="B5198" s="515" t="s">
        <v>524</v>
      </c>
      <c r="C5198" s="52">
        <v>312228.384723917</v>
      </c>
      <c r="D5198" s="56">
        <v>0.10951593240451633</v>
      </c>
      <c r="E5198" s="224" t="s">
        <v>2</v>
      </c>
      <c r="F5198" s="515" t="s">
        <v>6446</v>
      </c>
      <c r="G5198" s="52">
        <v>676282.74056074605</v>
      </c>
      <c r="H5198" s="56">
        <v>2.103488080392249E-2</v>
      </c>
      <c r="I5198" s="224" t="s">
        <v>2</v>
      </c>
    </row>
    <row r="5199" spans="1:9" x14ac:dyDescent="0.25">
      <c r="A5199" s="515">
        <v>2043</v>
      </c>
      <c r="B5199" s="515" t="s">
        <v>534</v>
      </c>
      <c r="C5199" s="52">
        <v>1076352.77157288</v>
      </c>
      <c r="D5199" s="56">
        <v>5.7022798147060155E-2</v>
      </c>
      <c r="E5199" s="224">
        <v>3307</v>
      </c>
      <c r="F5199" s="515" t="s">
        <v>6447</v>
      </c>
      <c r="G5199" s="52">
        <v>410698.33568306401</v>
      </c>
      <c r="H5199" s="56">
        <v>3.3452958810714931E-2</v>
      </c>
      <c r="I5199" s="224" t="s">
        <v>2</v>
      </c>
    </row>
    <row r="5200" spans="1:9" x14ac:dyDescent="0.25">
      <c r="A5200" s="515">
        <v>6042</v>
      </c>
      <c r="B5200" s="515" t="s">
        <v>894</v>
      </c>
      <c r="C5200" s="52">
        <v>243896.64599897299</v>
      </c>
      <c r="D5200" s="56">
        <v>0.1098152353322381</v>
      </c>
      <c r="E5200" s="224" t="s">
        <v>2</v>
      </c>
      <c r="F5200" s="515" t="s">
        <v>6448</v>
      </c>
      <c r="G5200" s="52">
        <v>111243.023849802</v>
      </c>
      <c r="H5200" s="56">
        <v>5.216642331598554E-2</v>
      </c>
      <c r="I5200" s="224" t="s">
        <v>2</v>
      </c>
    </row>
    <row r="5201" spans="1:9" x14ac:dyDescent="0.25">
      <c r="A5201" s="515">
        <v>33950</v>
      </c>
      <c r="B5201" s="515" t="s">
        <v>1030</v>
      </c>
      <c r="C5201" s="52">
        <v>491412.33839079901</v>
      </c>
      <c r="D5201" s="56">
        <v>0.12976592172689216</v>
      </c>
      <c r="E5201" s="224">
        <v>3041.6666666666601</v>
      </c>
      <c r="F5201" s="515" t="s">
        <v>6449</v>
      </c>
      <c r="G5201" s="52">
        <v>182825.27370531901</v>
      </c>
      <c r="H5201" s="56">
        <v>3.3720748500156335E-2</v>
      </c>
      <c r="I5201" s="224" t="s">
        <v>2</v>
      </c>
    </row>
    <row r="5202" spans="1:9" x14ac:dyDescent="0.25">
      <c r="A5202" s="515">
        <v>94803</v>
      </c>
      <c r="B5202" s="515" t="s">
        <v>593</v>
      </c>
      <c r="C5202" s="52">
        <v>731111.06692473195</v>
      </c>
      <c r="D5202" s="56">
        <v>-5.787278404633645E-3</v>
      </c>
      <c r="E5202" s="224">
        <v>2780.8333333333298</v>
      </c>
      <c r="F5202" s="515" t="s">
        <v>6450</v>
      </c>
      <c r="G5202" s="52">
        <v>119605.86042325399</v>
      </c>
      <c r="H5202" s="56">
        <v>8.2610642002678383E-2</v>
      </c>
      <c r="I5202" s="224" t="s">
        <v>2</v>
      </c>
    </row>
    <row r="5203" spans="1:9" x14ac:dyDescent="0.25">
      <c r="A5203" s="515">
        <v>46208</v>
      </c>
      <c r="B5203" s="515" t="s">
        <v>403</v>
      </c>
      <c r="C5203" s="52">
        <v>166635.00188723899</v>
      </c>
      <c r="D5203" s="56">
        <v>0.11415657488776704</v>
      </c>
      <c r="E5203" s="224">
        <v>1146.4629629629601</v>
      </c>
      <c r="F5203" s="515" t="s">
        <v>6451</v>
      </c>
      <c r="G5203" s="52">
        <v>102925.572577345</v>
      </c>
      <c r="H5203" s="56">
        <v>6.7818918007313669E-2</v>
      </c>
      <c r="I5203" s="224" t="s">
        <v>2</v>
      </c>
    </row>
    <row r="5204" spans="1:9" x14ac:dyDescent="0.25">
      <c r="A5204" s="515">
        <v>28804</v>
      </c>
      <c r="B5204" s="515" t="s">
        <v>668</v>
      </c>
      <c r="C5204" s="52">
        <v>578141.859008878</v>
      </c>
      <c r="D5204" s="56">
        <v>0.11173743227140523</v>
      </c>
      <c r="E5204" s="224">
        <v>2128.75</v>
      </c>
      <c r="F5204" s="515" t="s">
        <v>6452</v>
      </c>
      <c r="G5204" s="52">
        <v>278721.20003413502</v>
      </c>
      <c r="H5204" s="56">
        <v>6.7268952785377742E-2</v>
      </c>
      <c r="I5204" s="224" t="s">
        <v>2</v>
      </c>
    </row>
    <row r="5205" spans="1:9" x14ac:dyDescent="0.25">
      <c r="A5205" s="515">
        <v>11762</v>
      </c>
      <c r="B5205" s="515" t="s">
        <v>324</v>
      </c>
      <c r="C5205" s="52">
        <v>628656.25685801299</v>
      </c>
      <c r="D5205" s="56">
        <v>4.6390226428113877E-2</v>
      </c>
      <c r="E5205" s="224" t="s">
        <v>2</v>
      </c>
      <c r="F5205" s="515" t="s">
        <v>6453</v>
      </c>
      <c r="G5205" s="52">
        <v>116288.703122298</v>
      </c>
      <c r="H5205" s="56">
        <v>9.2787938967204248E-2</v>
      </c>
      <c r="I5205" s="224">
        <v>1425</v>
      </c>
    </row>
    <row r="5206" spans="1:9" x14ac:dyDescent="0.25">
      <c r="A5206" s="515">
        <v>32953</v>
      </c>
      <c r="B5206" s="515" t="s">
        <v>1133</v>
      </c>
      <c r="C5206" s="52">
        <v>423240.096649307</v>
      </c>
      <c r="D5206" s="56">
        <v>0.11448199305080442</v>
      </c>
      <c r="E5206" s="224" t="s">
        <v>2</v>
      </c>
      <c r="F5206" s="515" t="s">
        <v>6454</v>
      </c>
      <c r="G5206" s="52">
        <v>389289.80841974798</v>
      </c>
      <c r="H5206" s="56">
        <v>5.5709235329944179E-2</v>
      </c>
      <c r="I5206" s="224" t="s">
        <v>2</v>
      </c>
    </row>
    <row r="5207" spans="1:9" x14ac:dyDescent="0.25">
      <c r="A5207" s="515">
        <v>63801</v>
      </c>
      <c r="B5207" s="515" t="s">
        <v>356</v>
      </c>
      <c r="C5207" s="52">
        <v>136035.44711122999</v>
      </c>
      <c r="D5207" s="56">
        <v>4.1107217651635733E-2</v>
      </c>
      <c r="E5207" s="224" t="s">
        <v>2</v>
      </c>
      <c r="F5207" s="515" t="s">
        <v>6455</v>
      </c>
      <c r="G5207" s="52">
        <v>245494.05801235701</v>
      </c>
      <c r="H5207" s="56">
        <v>0.1565820248340771</v>
      </c>
      <c r="I5207" s="224" t="s">
        <v>2</v>
      </c>
    </row>
    <row r="5208" spans="1:9" x14ac:dyDescent="0.25">
      <c r="A5208" s="515">
        <v>53405</v>
      </c>
      <c r="B5208" s="515" t="s">
        <v>1151</v>
      </c>
      <c r="C5208" s="52">
        <v>171311.18809497601</v>
      </c>
      <c r="D5208" s="56">
        <v>5.702821881931535E-2</v>
      </c>
      <c r="E5208" s="224" t="s">
        <v>2</v>
      </c>
      <c r="F5208" s="515" t="s">
        <v>6456</v>
      </c>
      <c r="G5208" s="52">
        <v>282568.42816731299</v>
      </c>
      <c r="H5208" s="56">
        <v>2.4197939969656863E-2</v>
      </c>
      <c r="I5208" s="224" t="s">
        <v>2</v>
      </c>
    </row>
    <row r="5209" spans="1:9" x14ac:dyDescent="0.25">
      <c r="A5209" s="515">
        <v>28570</v>
      </c>
      <c r="B5209" s="515" t="s">
        <v>641</v>
      </c>
      <c r="C5209" s="52">
        <v>290074.79961763701</v>
      </c>
      <c r="D5209" s="56">
        <v>0.1251902659409945</v>
      </c>
      <c r="E5209" s="224" t="s">
        <v>2</v>
      </c>
      <c r="F5209" s="515" t="s">
        <v>6457</v>
      </c>
      <c r="G5209" s="52">
        <v>514202.11696806102</v>
      </c>
      <c r="H5209" s="56">
        <v>2.8623503773322061E-2</v>
      </c>
      <c r="I5209" s="224" t="s">
        <v>2</v>
      </c>
    </row>
    <row r="5210" spans="1:9" x14ac:dyDescent="0.25">
      <c r="A5210" s="515">
        <v>30312</v>
      </c>
      <c r="B5210" s="515" t="s">
        <v>957</v>
      </c>
      <c r="C5210" s="52">
        <v>446339.27041251102</v>
      </c>
      <c r="D5210" s="56">
        <v>3.6155053957051889E-2</v>
      </c>
      <c r="E5210" s="224">
        <v>1894.07732228195</v>
      </c>
      <c r="F5210" s="515" t="s">
        <v>6458</v>
      </c>
      <c r="G5210" s="52">
        <v>578839.51247542899</v>
      </c>
      <c r="H5210" s="56">
        <v>3.5890428233297231E-2</v>
      </c>
      <c r="I5210" s="224" t="s">
        <v>2</v>
      </c>
    </row>
    <row r="5211" spans="1:9" x14ac:dyDescent="0.25">
      <c r="A5211" s="515">
        <v>95677</v>
      </c>
      <c r="B5211" s="515" t="s">
        <v>355</v>
      </c>
      <c r="C5211" s="52">
        <v>602940.01315868495</v>
      </c>
      <c r="D5211" s="56">
        <v>-2.5924145491421262E-3</v>
      </c>
      <c r="E5211" s="224">
        <v>2379.3253968253898</v>
      </c>
      <c r="F5211" s="515" t="s">
        <v>6459</v>
      </c>
      <c r="G5211" s="52">
        <v>229102.65899943301</v>
      </c>
      <c r="H5211" s="56">
        <v>3.1402451305861973E-2</v>
      </c>
      <c r="I5211" s="224" t="s">
        <v>2</v>
      </c>
    </row>
    <row r="5212" spans="1:9" x14ac:dyDescent="0.25">
      <c r="A5212" s="515">
        <v>11714</v>
      </c>
      <c r="B5212" s="515" t="s">
        <v>324</v>
      </c>
      <c r="C5212" s="52">
        <v>608281.07986386598</v>
      </c>
      <c r="D5212" s="56">
        <v>5.6087972769434724E-2</v>
      </c>
      <c r="E5212" s="224" t="s">
        <v>2</v>
      </c>
      <c r="F5212" s="515" t="s">
        <v>6460</v>
      </c>
      <c r="G5212" s="52">
        <v>436530.19631394098</v>
      </c>
      <c r="H5212" s="56">
        <v>-2.4110184799134788E-3</v>
      </c>
      <c r="I5212" s="224" t="s">
        <v>2</v>
      </c>
    </row>
    <row r="5213" spans="1:9" x14ac:dyDescent="0.25">
      <c r="A5213" s="515">
        <v>96761</v>
      </c>
      <c r="B5213" s="515" t="s">
        <v>400</v>
      </c>
      <c r="C5213" s="52">
        <v>1041848.55383673</v>
      </c>
      <c r="D5213" s="56">
        <v>0.19686559493838163</v>
      </c>
      <c r="E5213" s="224">
        <v>3950</v>
      </c>
      <c r="F5213" s="515" t="s">
        <v>6461</v>
      </c>
      <c r="G5213" s="52">
        <v>347422.05554990697</v>
      </c>
      <c r="H5213" s="56">
        <v>4.9307243398544275E-2</v>
      </c>
      <c r="I5213" s="224" t="s">
        <v>2</v>
      </c>
    </row>
    <row r="5214" spans="1:9" x14ac:dyDescent="0.25">
      <c r="A5214" s="515">
        <v>80915</v>
      </c>
      <c r="B5214" s="515" t="s">
        <v>701</v>
      </c>
      <c r="C5214" s="52">
        <v>376497.57984782598</v>
      </c>
      <c r="D5214" s="56">
        <v>3.0328814389771211E-2</v>
      </c>
      <c r="E5214" s="224">
        <v>1722.86666666666</v>
      </c>
      <c r="F5214" s="515" t="s">
        <v>6462</v>
      </c>
      <c r="G5214" s="52">
        <v>45803.472528344202</v>
      </c>
      <c r="H5214" s="56">
        <v>-4.3475861135810728E-2</v>
      </c>
      <c r="I5214" s="224" t="s">
        <v>2</v>
      </c>
    </row>
    <row r="5215" spans="1:9" x14ac:dyDescent="0.25">
      <c r="A5215" s="515">
        <v>38141</v>
      </c>
      <c r="B5215" s="515" t="s">
        <v>951</v>
      </c>
      <c r="C5215" s="52">
        <v>189143.33973334901</v>
      </c>
      <c r="D5215" s="56">
        <v>0.11600684139350378</v>
      </c>
      <c r="E5215" s="224">
        <v>1503.65367965367</v>
      </c>
      <c r="F5215" s="515" t="s">
        <v>6463</v>
      </c>
      <c r="G5215" s="52">
        <v>463090.18225960201</v>
      </c>
      <c r="H5215" s="56">
        <v>0.1159069396314707</v>
      </c>
      <c r="I5215" s="224" t="s">
        <v>2</v>
      </c>
    </row>
    <row r="5216" spans="1:9" x14ac:dyDescent="0.25">
      <c r="A5216" s="515">
        <v>33062</v>
      </c>
      <c r="B5216" s="515" t="s">
        <v>831</v>
      </c>
      <c r="C5216" s="52">
        <v>494573.40786423901</v>
      </c>
      <c r="D5216" s="56">
        <v>0.17863453413766348</v>
      </c>
      <c r="E5216" s="224">
        <v>2963.8222222222198</v>
      </c>
      <c r="F5216" s="515" t="s">
        <v>6464</v>
      </c>
      <c r="G5216" s="52">
        <v>444496.49366597401</v>
      </c>
      <c r="H5216" s="56">
        <v>0.10426042624845444</v>
      </c>
      <c r="I5216" s="224" t="s">
        <v>2</v>
      </c>
    </row>
    <row r="5217" spans="1:9" x14ac:dyDescent="0.25">
      <c r="A5217" s="515">
        <v>1013</v>
      </c>
      <c r="B5217" s="515" t="s">
        <v>575</v>
      </c>
      <c r="C5217" s="52">
        <v>262355.57724036498</v>
      </c>
      <c r="D5217" s="56">
        <v>8.2012279382949915E-2</v>
      </c>
      <c r="E5217" s="224" t="s">
        <v>2</v>
      </c>
      <c r="F5217" s="515" t="s">
        <v>6465</v>
      </c>
      <c r="G5217" s="52">
        <v>127541.59279833399</v>
      </c>
      <c r="H5217" s="56">
        <v>-1.5850844240843633E-2</v>
      </c>
      <c r="I5217" s="224" t="s">
        <v>2</v>
      </c>
    </row>
    <row r="5218" spans="1:9" x14ac:dyDescent="0.25">
      <c r="A5218" s="515">
        <v>32308</v>
      </c>
      <c r="B5218" s="515" t="s">
        <v>335</v>
      </c>
      <c r="C5218" s="52">
        <v>303216.31969284703</v>
      </c>
      <c r="D5218" s="56">
        <v>6.5129008004500319E-2</v>
      </c>
      <c r="E5218" s="224">
        <v>1397.37962962962</v>
      </c>
      <c r="F5218" s="515" t="s">
        <v>6466</v>
      </c>
      <c r="G5218" s="52">
        <v>244931.91905882399</v>
      </c>
      <c r="H5218" s="56">
        <v>5.3610368196379619E-2</v>
      </c>
      <c r="I5218" s="224" t="s">
        <v>2</v>
      </c>
    </row>
    <row r="5219" spans="1:9" x14ac:dyDescent="0.25">
      <c r="A5219" s="515">
        <v>66208</v>
      </c>
      <c r="B5219" s="515" t="s">
        <v>455</v>
      </c>
      <c r="C5219" s="52">
        <v>399181.943268642</v>
      </c>
      <c r="D5219" s="56">
        <v>4.9274210677785008E-2</v>
      </c>
      <c r="E5219" s="224">
        <v>1638.37301587301</v>
      </c>
      <c r="F5219" s="515" t="s">
        <v>6467</v>
      </c>
      <c r="G5219" s="52">
        <v>351946.15448253398</v>
      </c>
      <c r="H5219" s="56">
        <v>0.10989779354332758</v>
      </c>
      <c r="I5219" s="224" t="s">
        <v>2</v>
      </c>
    </row>
    <row r="5220" spans="1:9" x14ac:dyDescent="0.25">
      <c r="A5220" s="515">
        <v>45247</v>
      </c>
      <c r="B5220" s="515" t="s">
        <v>344</v>
      </c>
      <c r="C5220" s="52">
        <v>274559.94614865101</v>
      </c>
      <c r="D5220" s="56">
        <v>6.8654672501866243E-2</v>
      </c>
      <c r="E5220" s="224" t="s">
        <v>2</v>
      </c>
      <c r="F5220" s="515" t="s">
        <v>6468</v>
      </c>
      <c r="G5220" s="52">
        <v>93801.224857986497</v>
      </c>
      <c r="H5220" s="56">
        <v>9.7944139514556341E-2</v>
      </c>
      <c r="I5220" s="224" t="s">
        <v>2</v>
      </c>
    </row>
    <row r="5221" spans="1:9" x14ac:dyDescent="0.25">
      <c r="A5221" s="515">
        <v>78703</v>
      </c>
      <c r="B5221" s="515" t="s">
        <v>380</v>
      </c>
      <c r="C5221" s="52">
        <v>1499853.09776472</v>
      </c>
      <c r="D5221" s="56">
        <v>0.12535397579930799</v>
      </c>
      <c r="E5221" s="224">
        <v>2910.5045893719798</v>
      </c>
      <c r="F5221" s="515" t="s">
        <v>6469</v>
      </c>
      <c r="G5221" s="52">
        <v>164093.111281299</v>
      </c>
      <c r="H5221" s="56">
        <v>8.8842370774402352E-2</v>
      </c>
      <c r="I5221" s="224" t="s">
        <v>2</v>
      </c>
    </row>
    <row r="5222" spans="1:9" x14ac:dyDescent="0.25">
      <c r="A5222" s="515">
        <v>17057</v>
      </c>
      <c r="B5222" s="515" t="s">
        <v>428</v>
      </c>
      <c r="C5222" s="52">
        <v>203522.31725079499</v>
      </c>
      <c r="D5222" s="56">
        <v>0.11304618883122129</v>
      </c>
      <c r="E5222" s="224">
        <v>1107.5</v>
      </c>
      <c r="F5222" s="515" t="s">
        <v>6470</v>
      </c>
      <c r="G5222" s="52">
        <v>613692.72595950298</v>
      </c>
      <c r="H5222" s="56">
        <v>-1.1859946785499318E-2</v>
      </c>
      <c r="I5222" s="224" t="s">
        <v>2</v>
      </c>
    </row>
    <row r="5223" spans="1:9" x14ac:dyDescent="0.25">
      <c r="A5223" s="515">
        <v>40741</v>
      </c>
      <c r="B5223" s="515" t="s">
        <v>633</v>
      </c>
      <c r="C5223" s="52">
        <v>155077.996379788</v>
      </c>
      <c r="D5223" s="56">
        <v>0.15020631046934635</v>
      </c>
      <c r="E5223" s="224" t="s">
        <v>2</v>
      </c>
      <c r="F5223" s="515" t="s">
        <v>6471</v>
      </c>
      <c r="G5223" s="52">
        <v>191743.32226322201</v>
      </c>
      <c r="H5223" s="56">
        <v>0</v>
      </c>
      <c r="I5223" s="224" t="s">
        <v>2</v>
      </c>
    </row>
    <row r="5224" spans="1:9" x14ac:dyDescent="0.25">
      <c r="A5224" s="515">
        <v>19348</v>
      </c>
      <c r="B5224" s="515" t="s">
        <v>294</v>
      </c>
      <c r="C5224" s="52">
        <v>528094.23462665</v>
      </c>
      <c r="D5224" s="56">
        <v>8.9881659846504716E-2</v>
      </c>
      <c r="E5224" s="224">
        <v>2100</v>
      </c>
      <c r="F5224" s="515" t="s">
        <v>6472</v>
      </c>
      <c r="G5224" s="52">
        <v>138717.85446631</v>
      </c>
      <c r="H5224" s="56">
        <v>0.12892447947167032</v>
      </c>
      <c r="I5224" s="224" t="s">
        <v>2</v>
      </c>
    </row>
    <row r="5225" spans="1:9" x14ac:dyDescent="0.25">
      <c r="A5225" s="515">
        <v>66030</v>
      </c>
      <c r="B5225" s="515" t="s">
        <v>455</v>
      </c>
      <c r="C5225" s="52">
        <v>304604.22608883103</v>
      </c>
      <c r="D5225" s="56">
        <v>5.6361527100511788E-2</v>
      </c>
      <c r="E5225" s="224">
        <v>1244.88888888888</v>
      </c>
      <c r="F5225" s="515" t="s">
        <v>6473</v>
      </c>
      <c r="G5225" s="52">
        <v>182125.43110655501</v>
      </c>
      <c r="H5225" s="56">
        <v>0.16942506974377447</v>
      </c>
      <c r="I5225" s="224">
        <v>1150</v>
      </c>
    </row>
    <row r="5226" spans="1:9" x14ac:dyDescent="0.25">
      <c r="A5226" s="515">
        <v>78538</v>
      </c>
      <c r="B5226" s="515" t="s">
        <v>550</v>
      </c>
      <c r="C5226" s="52">
        <v>117779.09907683999</v>
      </c>
      <c r="D5226" s="56">
        <v>0.17563989910952293</v>
      </c>
      <c r="E5226" s="224" t="s">
        <v>2</v>
      </c>
      <c r="F5226" s="515" t="s">
        <v>6474</v>
      </c>
      <c r="G5226" s="52">
        <v>409347.30406596197</v>
      </c>
      <c r="H5226" s="56">
        <v>7.8068073549203421E-2</v>
      </c>
      <c r="I5226" s="224" t="s">
        <v>2</v>
      </c>
    </row>
    <row r="5227" spans="1:9" x14ac:dyDescent="0.25">
      <c r="A5227" s="515">
        <v>46234</v>
      </c>
      <c r="B5227" s="515" t="s">
        <v>403</v>
      </c>
      <c r="C5227" s="52">
        <v>258321.604766301</v>
      </c>
      <c r="D5227" s="56">
        <v>6.0062707547371134E-2</v>
      </c>
      <c r="E5227" s="224">
        <v>1703.1666666666599</v>
      </c>
      <c r="F5227" s="515" t="s">
        <v>6475</v>
      </c>
      <c r="G5227" s="52">
        <v>135760.58963834401</v>
      </c>
      <c r="H5227" s="56">
        <v>-3.7105694929085088E-2</v>
      </c>
      <c r="I5227" s="224" t="s">
        <v>2</v>
      </c>
    </row>
    <row r="5228" spans="1:9" x14ac:dyDescent="0.25">
      <c r="A5228" s="515">
        <v>49684</v>
      </c>
      <c r="B5228" s="515" t="s">
        <v>366</v>
      </c>
      <c r="C5228" s="52">
        <v>418477.00171478698</v>
      </c>
      <c r="D5228" s="56">
        <v>0.11725382561053022</v>
      </c>
      <c r="E5228" s="224" t="s">
        <v>2</v>
      </c>
      <c r="F5228" s="515" t="s">
        <v>6476</v>
      </c>
      <c r="G5228" s="52">
        <v>74561.398046743896</v>
      </c>
      <c r="H5228" s="56">
        <v>0.22051646574460038</v>
      </c>
      <c r="I5228" s="224" t="s">
        <v>2</v>
      </c>
    </row>
    <row r="5229" spans="1:9" x14ac:dyDescent="0.25">
      <c r="A5229" s="515">
        <v>75159</v>
      </c>
      <c r="B5229" s="515" t="s">
        <v>458</v>
      </c>
      <c r="C5229" s="52">
        <v>281179.09303812101</v>
      </c>
      <c r="D5229" s="56">
        <v>0.10466568672181985</v>
      </c>
      <c r="E5229" s="224" t="s">
        <v>2</v>
      </c>
      <c r="F5229" s="515" t="s">
        <v>6477</v>
      </c>
      <c r="G5229" s="52">
        <v>476604.25644217897</v>
      </c>
      <c r="H5229" s="56">
        <v>1.7089715904907966E-2</v>
      </c>
      <c r="I5229" s="224">
        <v>1814.8333333333301</v>
      </c>
    </row>
    <row r="5230" spans="1:9" x14ac:dyDescent="0.25">
      <c r="A5230" s="515">
        <v>70785</v>
      </c>
      <c r="B5230" s="515" t="s">
        <v>610</v>
      </c>
      <c r="C5230" s="52">
        <v>223439.08189210299</v>
      </c>
      <c r="D5230" s="56">
        <v>2.6400461338980542E-2</v>
      </c>
      <c r="E5230" s="224" t="s">
        <v>2</v>
      </c>
      <c r="F5230" s="515" t="s">
        <v>6478</v>
      </c>
      <c r="G5230" s="52">
        <v>159112.69162386999</v>
      </c>
      <c r="H5230" s="56">
        <v>5.3158524498903244E-2</v>
      </c>
      <c r="I5230" s="224" t="s">
        <v>2</v>
      </c>
    </row>
    <row r="5231" spans="1:9" x14ac:dyDescent="0.25">
      <c r="A5231" s="515">
        <v>44406</v>
      </c>
      <c r="B5231" s="515" t="s">
        <v>397</v>
      </c>
      <c r="C5231" s="52">
        <v>269560.33907923399</v>
      </c>
      <c r="D5231" s="56">
        <v>7.0250966096165962E-2</v>
      </c>
      <c r="E5231" s="224" t="s">
        <v>2</v>
      </c>
      <c r="F5231" s="515" t="s">
        <v>6479</v>
      </c>
      <c r="G5231" s="52">
        <v>180414.07047600101</v>
      </c>
      <c r="H5231" s="56">
        <v>7.0281280240800298E-2</v>
      </c>
      <c r="I5231" s="224" t="s">
        <v>2</v>
      </c>
    </row>
    <row r="5232" spans="1:9" x14ac:dyDescent="0.25">
      <c r="A5232" s="515">
        <v>14217</v>
      </c>
      <c r="B5232" s="515" t="s">
        <v>336</v>
      </c>
      <c r="C5232" s="52">
        <v>210364.77648324799</v>
      </c>
      <c r="D5232" s="56">
        <v>6.6388935768266044E-2</v>
      </c>
      <c r="E5232" s="224" t="s">
        <v>2</v>
      </c>
      <c r="F5232" s="515" t="s">
        <v>6480</v>
      </c>
      <c r="G5232" s="52">
        <v>209014.40591319499</v>
      </c>
      <c r="H5232" s="56">
        <v>6.4769816607887748E-2</v>
      </c>
      <c r="I5232" s="224" t="s">
        <v>2</v>
      </c>
    </row>
    <row r="5233" spans="1:9" x14ac:dyDescent="0.25">
      <c r="A5233" s="515">
        <v>33898</v>
      </c>
      <c r="B5233" s="515" t="s">
        <v>359</v>
      </c>
      <c r="C5233" s="52">
        <v>239502.4233765</v>
      </c>
      <c r="D5233" s="56">
        <v>0.15370099772752643</v>
      </c>
      <c r="E5233" s="224" t="s">
        <v>2</v>
      </c>
      <c r="F5233" s="515" t="s">
        <v>6481</v>
      </c>
      <c r="G5233" s="52">
        <v>516904.83615767502</v>
      </c>
      <c r="H5233" s="56">
        <v>9.4005852230086687E-2</v>
      </c>
      <c r="I5233" s="224" t="s">
        <v>2</v>
      </c>
    </row>
    <row r="5234" spans="1:9" x14ac:dyDescent="0.25">
      <c r="A5234" s="515">
        <v>31605</v>
      </c>
      <c r="B5234" s="515" t="s">
        <v>505</v>
      </c>
      <c r="C5234" s="52">
        <v>218913.44698029099</v>
      </c>
      <c r="D5234" s="56">
        <v>9.9820442392819772E-2</v>
      </c>
      <c r="E5234" s="224" t="s">
        <v>2</v>
      </c>
      <c r="F5234" s="515" t="s">
        <v>6482</v>
      </c>
      <c r="G5234" s="52">
        <v>332551.124700844</v>
      </c>
      <c r="H5234" s="56">
        <v>-5.680666406999749E-3</v>
      </c>
      <c r="I5234" s="224" t="s">
        <v>2</v>
      </c>
    </row>
    <row r="5235" spans="1:9" x14ac:dyDescent="0.25">
      <c r="A5235" s="515">
        <v>20737</v>
      </c>
      <c r="B5235" s="515" t="s">
        <v>321</v>
      </c>
      <c r="C5235" s="52">
        <v>375428.167711652</v>
      </c>
      <c r="D5235" s="56">
        <v>2.2647653496203318E-2</v>
      </c>
      <c r="E5235" s="224">
        <v>1919.7222222222199</v>
      </c>
      <c r="F5235" s="515" t="s">
        <v>6483</v>
      </c>
      <c r="G5235" s="52">
        <v>129477.990883925</v>
      </c>
      <c r="H5235" s="56">
        <v>3.2497494373056109E-2</v>
      </c>
      <c r="I5235" s="224" t="s">
        <v>2</v>
      </c>
    </row>
    <row r="5236" spans="1:9" x14ac:dyDescent="0.25">
      <c r="A5236" s="515">
        <v>54301</v>
      </c>
      <c r="B5236" s="515" t="s">
        <v>897</v>
      </c>
      <c r="C5236" s="52">
        <v>226738.230167612</v>
      </c>
      <c r="D5236" s="56">
        <v>5.8875722544751145E-2</v>
      </c>
      <c r="E5236" s="224" t="s">
        <v>2</v>
      </c>
      <c r="F5236" s="515" t="s">
        <v>6484</v>
      </c>
      <c r="G5236" s="52">
        <v>382312.13760896202</v>
      </c>
      <c r="H5236" s="56">
        <v>8.2881386510106153E-2</v>
      </c>
      <c r="I5236" s="224" t="s">
        <v>2</v>
      </c>
    </row>
    <row r="5237" spans="1:9" x14ac:dyDescent="0.25">
      <c r="A5237" s="515">
        <v>98371</v>
      </c>
      <c r="B5237" s="515" t="s">
        <v>384</v>
      </c>
      <c r="C5237" s="52">
        <v>558685.34819978196</v>
      </c>
      <c r="D5237" s="56">
        <v>2.6384571578361205E-2</v>
      </c>
      <c r="E5237" s="224">
        <v>2019.88888888888</v>
      </c>
      <c r="F5237" s="515" t="s">
        <v>790</v>
      </c>
      <c r="G5237" s="52">
        <v>103081.672650233</v>
      </c>
      <c r="H5237" s="56">
        <v>0.125998075079784</v>
      </c>
      <c r="I5237" s="224" t="s">
        <v>2</v>
      </c>
    </row>
    <row r="5238" spans="1:9" x14ac:dyDescent="0.25">
      <c r="A5238" s="515">
        <v>39702</v>
      </c>
      <c r="B5238" s="515" t="s">
        <v>1040</v>
      </c>
      <c r="C5238" s="52">
        <v>135049.799313803</v>
      </c>
      <c r="D5238" s="56">
        <v>-1.5627989401836531E-2</v>
      </c>
      <c r="E5238" s="224" t="s">
        <v>2</v>
      </c>
      <c r="F5238" s="515" t="s">
        <v>6485</v>
      </c>
      <c r="G5238" s="52">
        <v>124069.662561092</v>
      </c>
      <c r="H5238" s="56">
        <v>0.11560505021963333</v>
      </c>
      <c r="I5238" s="224">
        <v>933</v>
      </c>
    </row>
    <row r="5239" spans="1:9" x14ac:dyDescent="0.25">
      <c r="A5239" s="515">
        <v>95949</v>
      </c>
      <c r="B5239" s="515" t="s">
        <v>387</v>
      </c>
      <c r="C5239" s="52">
        <v>520390.692548085</v>
      </c>
      <c r="D5239" s="56">
        <v>-1.6920795734697621E-2</v>
      </c>
      <c r="E5239" s="224" t="s">
        <v>2</v>
      </c>
      <c r="F5239" s="515" t="s">
        <v>699</v>
      </c>
      <c r="G5239" s="52">
        <v>163516.91054688999</v>
      </c>
      <c r="H5239" s="56">
        <v>7.5773195200440346E-2</v>
      </c>
      <c r="I5239" s="224" t="s">
        <v>2</v>
      </c>
    </row>
    <row r="5240" spans="1:9" x14ac:dyDescent="0.25">
      <c r="A5240" s="515">
        <v>38104</v>
      </c>
      <c r="B5240" s="515" t="s">
        <v>951</v>
      </c>
      <c r="C5240" s="52">
        <v>279867.60151284601</v>
      </c>
      <c r="D5240" s="56">
        <v>2.3184695921329435E-2</v>
      </c>
      <c r="E5240" s="224">
        <v>1314.8825757575701</v>
      </c>
      <c r="F5240" s="515" t="s">
        <v>6486</v>
      </c>
      <c r="G5240" s="52">
        <v>341334.49528844701</v>
      </c>
      <c r="H5240" s="56">
        <v>6.2634874701562995E-2</v>
      </c>
      <c r="I5240" s="224" t="s">
        <v>2</v>
      </c>
    </row>
    <row r="5241" spans="1:9" x14ac:dyDescent="0.25">
      <c r="A5241" s="515">
        <v>8002</v>
      </c>
      <c r="B5241" s="515" t="s">
        <v>294</v>
      </c>
      <c r="C5241" s="52">
        <v>333462.565249337</v>
      </c>
      <c r="D5241" s="56">
        <v>8.9002833447505383E-2</v>
      </c>
      <c r="E5241" s="224">
        <v>1959.0416666666599</v>
      </c>
      <c r="F5241" s="515" t="s">
        <v>6487</v>
      </c>
      <c r="G5241" s="52">
        <v>94449.520596756498</v>
      </c>
      <c r="H5241" s="56">
        <v>0.13285349909838712</v>
      </c>
      <c r="I5241" s="224" t="s">
        <v>2</v>
      </c>
    </row>
    <row r="5242" spans="1:9" x14ac:dyDescent="0.25">
      <c r="A5242" s="515">
        <v>66604</v>
      </c>
      <c r="B5242" s="515" t="s">
        <v>549</v>
      </c>
      <c r="C5242" s="52">
        <v>134432.578604201</v>
      </c>
      <c r="D5242" s="56">
        <v>8.4687800156373394E-2</v>
      </c>
      <c r="E5242" s="224">
        <v>893.194444444444</v>
      </c>
      <c r="F5242" s="515" t="s">
        <v>6488</v>
      </c>
      <c r="G5242" s="52">
        <v>141361.01690945</v>
      </c>
      <c r="H5242" s="56">
        <v>2.8660534619232049E-2</v>
      </c>
      <c r="I5242" s="224" t="s">
        <v>2</v>
      </c>
    </row>
    <row r="5243" spans="1:9" x14ac:dyDescent="0.25">
      <c r="A5243" s="515">
        <v>33444</v>
      </c>
      <c r="B5243" s="515" t="s">
        <v>831</v>
      </c>
      <c r="C5243" s="52">
        <v>453658.63102649199</v>
      </c>
      <c r="D5243" s="56">
        <v>0.18194655988931457</v>
      </c>
      <c r="E5243" s="224">
        <v>2995.6630591630501</v>
      </c>
      <c r="F5243" s="515" t="s">
        <v>6489</v>
      </c>
      <c r="G5243" s="52">
        <v>502420.441772227</v>
      </c>
      <c r="H5243" s="56">
        <v>-8.6055414699891849E-4</v>
      </c>
      <c r="I5243" s="224" t="s">
        <v>2</v>
      </c>
    </row>
    <row r="5244" spans="1:9" x14ac:dyDescent="0.25">
      <c r="A5244" s="515">
        <v>14213</v>
      </c>
      <c r="B5244" s="515" t="s">
        <v>336</v>
      </c>
      <c r="C5244" s="52">
        <v>171804.306699654</v>
      </c>
      <c r="D5244" s="56">
        <v>5.1847972611210921E-2</v>
      </c>
      <c r="E5244" s="224">
        <v>1243.3333333333301</v>
      </c>
      <c r="F5244" s="515" t="s">
        <v>6490</v>
      </c>
      <c r="G5244" s="52">
        <v>291786.85937866801</v>
      </c>
      <c r="H5244" s="56">
        <v>0.15316899220824076</v>
      </c>
      <c r="I5244" s="224" t="s">
        <v>2</v>
      </c>
    </row>
    <row r="5245" spans="1:9" x14ac:dyDescent="0.25">
      <c r="A5245" s="515">
        <v>33868</v>
      </c>
      <c r="B5245" s="515" t="s">
        <v>359</v>
      </c>
      <c r="C5245" s="52">
        <v>308912.769447495</v>
      </c>
      <c r="D5245" s="56">
        <v>0.15668811005646427</v>
      </c>
      <c r="E5245" s="224" t="s">
        <v>2</v>
      </c>
      <c r="F5245" s="515" t="s">
        <v>6491</v>
      </c>
      <c r="G5245" s="52">
        <v>410935.85991953203</v>
      </c>
      <c r="H5245" s="56">
        <v>3.7837165262679308E-2</v>
      </c>
      <c r="I5245" s="224" t="s">
        <v>2</v>
      </c>
    </row>
    <row r="5246" spans="1:9" x14ac:dyDescent="0.25">
      <c r="A5246" s="515">
        <v>33431</v>
      </c>
      <c r="B5246" s="515" t="s">
        <v>831</v>
      </c>
      <c r="C5246" s="52">
        <v>608820.39324536396</v>
      </c>
      <c r="D5246" s="56">
        <v>9.0121709551204202E-2</v>
      </c>
      <c r="E5246" s="224">
        <v>3305.1307692307601</v>
      </c>
      <c r="F5246" s="515" t="s">
        <v>6492</v>
      </c>
      <c r="G5246" s="52">
        <v>881027.47762285406</v>
      </c>
      <c r="H5246" s="56">
        <v>6.9744870441699067E-2</v>
      </c>
      <c r="I5246" s="224">
        <v>2763.3333333333298</v>
      </c>
    </row>
    <row r="5247" spans="1:9" x14ac:dyDescent="0.25">
      <c r="A5247" s="515">
        <v>44306</v>
      </c>
      <c r="B5247" s="515" t="s">
        <v>1000</v>
      </c>
      <c r="C5247" s="52">
        <v>68507.964761253694</v>
      </c>
      <c r="D5247" s="56">
        <v>0.13927284051796798</v>
      </c>
      <c r="E5247" s="224">
        <v>915</v>
      </c>
      <c r="F5247" s="515" t="s">
        <v>6493</v>
      </c>
      <c r="G5247" s="52">
        <v>648233.25900892902</v>
      </c>
      <c r="H5247" s="56">
        <v>5.8301018745886238E-2</v>
      </c>
      <c r="I5247" s="224" t="s">
        <v>2</v>
      </c>
    </row>
    <row r="5248" spans="1:9" x14ac:dyDescent="0.25">
      <c r="A5248" s="515">
        <v>1890</v>
      </c>
      <c r="B5248" s="515" t="s">
        <v>534</v>
      </c>
      <c r="C5248" s="52">
        <v>1286851.96418367</v>
      </c>
      <c r="D5248" s="56">
        <v>8.1022114078604004E-2</v>
      </c>
      <c r="E5248" s="224">
        <v>2633.3333333333298</v>
      </c>
      <c r="F5248" s="515" t="s">
        <v>6494</v>
      </c>
      <c r="G5248" s="52">
        <v>321078.05894690199</v>
      </c>
      <c r="H5248" s="56">
        <v>4.089188640185968E-2</v>
      </c>
      <c r="I5248" s="224" t="s">
        <v>2</v>
      </c>
    </row>
    <row r="5249" spans="1:9" x14ac:dyDescent="0.25">
      <c r="A5249" s="515">
        <v>60172</v>
      </c>
      <c r="B5249" s="515" t="s">
        <v>394</v>
      </c>
      <c r="C5249" s="52">
        <v>304540.841796202</v>
      </c>
      <c r="D5249" s="56">
        <v>5.7330573997857986E-2</v>
      </c>
      <c r="E5249" s="224" t="s">
        <v>2</v>
      </c>
      <c r="F5249" s="515" t="s">
        <v>6495</v>
      </c>
      <c r="G5249" s="52">
        <v>446364.72400037298</v>
      </c>
      <c r="H5249" s="56">
        <v>3.0758240138660679E-2</v>
      </c>
      <c r="I5249" s="224" t="s">
        <v>2</v>
      </c>
    </row>
    <row r="5250" spans="1:9" x14ac:dyDescent="0.25">
      <c r="A5250" s="515">
        <v>30106</v>
      </c>
      <c r="B5250" s="515" t="s">
        <v>957</v>
      </c>
      <c r="C5250" s="52">
        <v>290324.60789479001</v>
      </c>
      <c r="D5250" s="56">
        <v>0.12344429776333744</v>
      </c>
      <c r="E5250" s="224">
        <v>1983.44444444444</v>
      </c>
      <c r="F5250" s="515" t="s">
        <v>6496</v>
      </c>
      <c r="G5250" s="52">
        <v>175760.686598259</v>
      </c>
      <c r="H5250" s="56">
        <v>0.1174489115238912</v>
      </c>
      <c r="I5250" s="224" t="s">
        <v>2</v>
      </c>
    </row>
    <row r="5251" spans="1:9" x14ac:dyDescent="0.25">
      <c r="A5251" s="515">
        <v>10471</v>
      </c>
      <c r="B5251" s="515" t="s">
        <v>324</v>
      </c>
      <c r="C5251" s="52">
        <v>312216.98124733998</v>
      </c>
      <c r="D5251" s="56">
        <v>-1.6937148031290851E-2</v>
      </c>
      <c r="E5251" s="224">
        <v>2573.25</v>
      </c>
      <c r="F5251" s="515" t="s">
        <v>6497</v>
      </c>
      <c r="G5251" s="52">
        <v>176927.697181547</v>
      </c>
      <c r="H5251" s="56">
        <v>0.13749900448425928</v>
      </c>
      <c r="I5251" s="224" t="s">
        <v>2</v>
      </c>
    </row>
    <row r="5252" spans="1:9" x14ac:dyDescent="0.25">
      <c r="A5252" s="515">
        <v>60177</v>
      </c>
      <c r="B5252" s="515" t="s">
        <v>394</v>
      </c>
      <c r="C5252" s="52">
        <v>295627.46839694702</v>
      </c>
      <c r="D5252" s="56">
        <v>5.2628306748564037E-2</v>
      </c>
      <c r="E5252" s="224" t="s">
        <v>2</v>
      </c>
      <c r="F5252" s="515" t="s">
        <v>6498</v>
      </c>
      <c r="G5252" s="52">
        <v>219896.99272009599</v>
      </c>
      <c r="H5252" s="56">
        <v>3.713251125119478E-2</v>
      </c>
      <c r="I5252" s="224" t="s">
        <v>2</v>
      </c>
    </row>
    <row r="5253" spans="1:9" x14ac:dyDescent="0.25">
      <c r="A5253" s="515">
        <v>30017</v>
      </c>
      <c r="B5253" s="515" t="s">
        <v>957</v>
      </c>
      <c r="C5253" s="52">
        <v>414855.98162246199</v>
      </c>
      <c r="D5253" s="56">
        <v>9.0305443436189903E-2</v>
      </c>
      <c r="E5253" s="224">
        <v>2128.6944444444398</v>
      </c>
      <c r="F5253" s="515" t="s">
        <v>6499</v>
      </c>
      <c r="G5253" s="52">
        <v>789201.61956358899</v>
      </c>
      <c r="H5253" s="56">
        <v>8.3764527916764128E-2</v>
      </c>
      <c r="I5253" s="224" t="s">
        <v>2</v>
      </c>
    </row>
    <row r="5254" spans="1:9" x14ac:dyDescent="0.25">
      <c r="A5254" s="515">
        <v>97333</v>
      </c>
      <c r="B5254" s="515" t="s">
        <v>1094</v>
      </c>
      <c r="C5254" s="52">
        <v>472629.49756211101</v>
      </c>
      <c r="D5254" s="56">
        <v>4.3221259434029803E-2</v>
      </c>
      <c r="E5254" s="224">
        <v>1755.55555555555</v>
      </c>
      <c r="F5254" s="515" t="s">
        <v>614</v>
      </c>
      <c r="G5254" s="52">
        <v>468408.56749591802</v>
      </c>
      <c r="H5254" s="56">
        <v>4.5449526621560855E-2</v>
      </c>
      <c r="I5254" s="224" t="s">
        <v>2</v>
      </c>
    </row>
    <row r="5255" spans="1:9" x14ac:dyDescent="0.25">
      <c r="A5255" s="515">
        <v>23504</v>
      </c>
      <c r="B5255" s="515" t="s">
        <v>301</v>
      </c>
      <c r="C5255" s="52">
        <v>221412.87001493701</v>
      </c>
      <c r="D5255" s="56">
        <v>7.17646883441629E-2</v>
      </c>
      <c r="E5255" s="224">
        <v>1348.75</v>
      </c>
      <c r="F5255" s="515" t="s">
        <v>6500</v>
      </c>
      <c r="G5255" s="52">
        <v>394098.635816956</v>
      </c>
      <c r="H5255" s="56">
        <v>6.4273336606600288E-3</v>
      </c>
      <c r="I5255" s="224">
        <v>1778.6556776556699</v>
      </c>
    </row>
    <row r="5256" spans="1:9" x14ac:dyDescent="0.25">
      <c r="A5256" s="515">
        <v>48220</v>
      </c>
      <c r="B5256" s="515" t="s">
        <v>685</v>
      </c>
      <c r="C5256" s="52">
        <v>219463.070157182</v>
      </c>
      <c r="D5256" s="56">
        <v>5.1806956183924474E-2</v>
      </c>
      <c r="E5256" s="224">
        <v>1563.3333333333301</v>
      </c>
      <c r="F5256" s="515" t="s">
        <v>6501</v>
      </c>
      <c r="G5256" s="52">
        <v>521899.992462439</v>
      </c>
      <c r="H5256" s="56">
        <v>0.13017587578984322</v>
      </c>
      <c r="I5256" s="224" t="s">
        <v>2</v>
      </c>
    </row>
    <row r="5257" spans="1:9" x14ac:dyDescent="0.25">
      <c r="A5257" s="515">
        <v>10310</v>
      </c>
      <c r="B5257" s="515" t="s">
        <v>324</v>
      </c>
      <c r="C5257" s="52">
        <v>598531.16661783296</v>
      </c>
      <c r="D5257" s="56">
        <v>2.3837985707530786E-2</v>
      </c>
      <c r="E5257" s="224" t="s">
        <v>2</v>
      </c>
      <c r="F5257" s="515" t="s">
        <v>6502</v>
      </c>
      <c r="G5257" s="52">
        <v>144791.792158981</v>
      </c>
      <c r="H5257" s="56">
        <v>7.3151115825298929E-2</v>
      </c>
      <c r="I5257" s="224" t="s">
        <v>2</v>
      </c>
    </row>
    <row r="5258" spans="1:9" x14ac:dyDescent="0.25">
      <c r="A5258" s="515">
        <v>23601</v>
      </c>
      <c r="B5258" s="515" t="s">
        <v>301</v>
      </c>
      <c r="C5258" s="52">
        <v>250377.54579014401</v>
      </c>
      <c r="D5258" s="56">
        <v>9.1546062083338361E-2</v>
      </c>
      <c r="E5258" s="224">
        <v>1258</v>
      </c>
      <c r="F5258" s="515" t="s">
        <v>6503</v>
      </c>
      <c r="G5258" s="52">
        <v>150122.663273735</v>
      </c>
      <c r="H5258" s="56">
        <v>5.9254311610072379E-2</v>
      </c>
      <c r="I5258" s="224" t="s">
        <v>2</v>
      </c>
    </row>
    <row r="5259" spans="1:9" x14ac:dyDescent="0.25">
      <c r="A5259" s="515">
        <v>15205</v>
      </c>
      <c r="B5259" s="515" t="s">
        <v>297</v>
      </c>
      <c r="C5259" s="52">
        <v>186797.51859767101</v>
      </c>
      <c r="D5259" s="56">
        <v>5.0035318609125599E-2</v>
      </c>
      <c r="E5259" s="224">
        <v>1337.5883597883501</v>
      </c>
      <c r="F5259" s="515" t="s">
        <v>6504</v>
      </c>
      <c r="G5259" s="52">
        <v>170828.09254818401</v>
      </c>
      <c r="H5259" s="56">
        <v>9.8981103849555677E-2</v>
      </c>
      <c r="I5259" s="224" t="s">
        <v>2</v>
      </c>
    </row>
    <row r="5260" spans="1:9" x14ac:dyDescent="0.25">
      <c r="A5260" s="515">
        <v>66216</v>
      </c>
      <c r="B5260" s="515" t="s">
        <v>455</v>
      </c>
      <c r="C5260" s="52">
        <v>343467.22438333702</v>
      </c>
      <c r="D5260" s="56">
        <v>6.3165982772205004E-2</v>
      </c>
      <c r="E5260" s="224">
        <v>1661.8333333333301</v>
      </c>
      <c r="F5260" s="515" t="s">
        <v>6505</v>
      </c>
      <c r="G5260" s="52">
        <v>1892948.9821935999</v>
      </c>
      <c r="H5260" s="56">
        <v>7.0332577170285501E-2</v>
      </c>
      <c r="I5260" s="224" t="s">
        <v>2</v>
      </c>
    </row>
    <row r="5261" spans="1:9" x14ac:dyDescent="0.25">
      <c r="A5261" s="515">
        <v>49301</v>
      </c>
      <c r="B5261" s="515" t="s">
        <v>631</v>
      </c>
      <c r="C5261" s="52">
        <v>512803.91629274603</v>
      </c>
      <c r="D5261" s="56">
        <v>4.7200457397718019E-2</v>
      </c>
      <c r="E5261" s="224" t="s">
        <v>2</v>
      </c>
      <c r="F5261" s="515" t="s">
        <v>6506</v>
      </c>
      <c r="G5261" s="52">
        <v>677897.58705909096</v>
      </c>
      <c r="H5261" s="56">
        <v>9.0052269922820116E-2</v>
      </c>
      <c r="I5261" s="224" t="s">
        <v>2</v>
      </c>
    </row>
    <row r="5262" spans="1:9" x14ac:dyDescent="0.25">
      <c r="A5262" s="515">
        <v>19150</v>
      </c>
      <c r="B5262" s="515" t="s">
        <v>294</v>
      </c>
      <c r="C5262" s="52">
        <v>221252.52159013599</v>
      </c>
      <c r="D5262" s="56">
        <v>8.0653317048260634E-2</v>
      </c>
      <c r="E5262" s="224" t="s">
        <v>2</v>
      </c>
      <c r="F5262" s="515" t="s">
        <v>6507</v>
      </c>
      <c r="G5262" s="52">
        <v>366410.59138788597</v>
      </c>
      <c r="H5262" s="56">
        <v>-1.960328476127433E-2</v>
      </c>
      <c r="I5262" s="224" t="s">
        <v>2</v>
      </c>
    </row>
    <row r="5263" spans="1:9" x14ac:dyDescent="0.25">
      <c r="A5263" s="515">
        <v>17109</v>
      </c>
      <c r="B5263" s="515" t="s">
        <v>428</v>
      </c>
      <c r="C5263" s="52">
        <v>215018.314372136</v>
      </c>
      <c r="D5263" s="56">
        <v>0.12193850603533342</v>
      </c>
      <c r="E5263" s="224">
        <v>1230.2916666666599</v>
      </c>
      <c r="F5263" s="515" t="s">
        <v>6508</v>
      </c>
      <c r="G5263" s="52">
        <v>294660.929025663</v>
      </c>
      <c r="H5263" s="56">
        <v>8.2326147233999003E-2</v>
      </c>
      <c r="I5263" s="224" t="s">
        <v>2</v>
      </c>
    </row>
    <row r="5264" spans="1:9" x14ac:dyDescent="0.25">
      <c r="A5264" s="515">
        <v>48375</v>
      </c>
      <c r="B5264" s="515" t="s">
        <v>685</v>
      </c>
      <c r="C5264" s="52">
        <v>346692.097729448</v>
      </c>
      <c r="D5264" s="56">
        <v>2.0691950780996931E-2</v>
      </c>
      <c r="E5264" s="224">
        <v>1560.8333333333301</v>
      </c>
      <c r="F5264" s="515" t="s">
        <v>6509</v>
      </c>
      <c r="G5264" s="52">
        <v>469889.66642116598</v>
      </c>
      <c r="H5264" s="56">
        <v>-3.7681888844407034E-2</v>
      </c>
      <c r="I5264" s="224" t="s">
        <v>2</v>
      </c>
    </row>
    <row r="5265" spans="1:9" x14ac:dyDescent="0.25">
      <c r="A5265" s="515">
        <v>33896</v>
      </c>
      <c r="B5265" s="515" t="s">
        <v>359</v>
      </c>
      <c r="C5265" s="52">
        <v>388486.20402411302</v>
      </c>
      <c r="D5265" s="56">
        <v>0.15887400714499469</v>
      </c>
      <c r="E5265" s="224">
        <v>2004.3387021475201</v>
      </c>
      <c r="F5265" s="515" t="s">
        <v>6510</v>
      </c>
      <c r="G5265" s="52">
        <v>468218.36840861</v>
      </c>
      <c r="H5265" s="56">
        <v>3.6686568359883362E-2</v>
      </c>
      <c r="I5265" s="224" t="s">
        <v>2</v>
      </c>
    </row>
    <row r="5266" spans="1:9" x14ac:dyDescent="0.25">
      <c r="A5266" s="515">
        <v>92606</v>
      </c>
      <c r="B5266" s="515" t="s">
        <v>375</v>
      </c>
      <c r="C5266" s="52">
        <v>1124713.8020653799</v>
      </c>
      <c r="D5266" s="56">
        <v>9.4038351252778637E-2</v>
      </c>
      <c r="E5266" s="224">
        <v>3223.0277777777701</v>
      </c>
      <c r="F5266" s="515" t="s">
        <v>6511</v>
      </c>
      <c r="G5266" s="52">
        <v>300433.18890411599</v>
      </c>
      <c r="H5266" s="56">
        <v>8.6607652882559699E-2</v>
      </c>
      <c r="I5266" s="224">
        <v>1465</v>
      </c>
    </row>
    <row r="5267" spans="1:9" x14ac:dyDescent="0.25">
      <c r="A5267" s="515">
        <v>13208</v>
      </c>
      <c r="B5267" s="515" t="s">
        <v>361</v>
      </c>
      <c r="C5267" s="52">
        <v>126095.79677051499</v>
      </c>
      <c r="D5267" s="56">
        <v>8.4521037548276806E-2</v>
      </c>
      <c r="E5267" s="224" t="s">
        <v>2</v>
      </c>
      <c r="F5267" s="515" t="s">
        <v>6512</v>
      </c>
      <c r="G5267" s="52">
        <v>215876.49726661199</v>
      </c>
      <c r="H5267" s="56">
        <v>0.15934405587570455</v>
      </c>
      <c r="I5267" s="224" t="s">
        <v>2</v>
      </c>
    </row>
    <row r="5268" spans="1:9" x14ac:dyDescent="0.25">
      <c r="A5268" s="515">
        <v>94024</v>
      </c>
      <c r="B5268" s="515" t="s">
        <v>850</v>
      </c>
      <c r="C5268" s="52">
        <v>3809108.1038020002</v>
      </c>
      <c r="D5268" s="56">
        <v>3.4367267570492167E-2</v>
      </c>
      <c r="E5268" s="224" t="s">
        <v>2</v>
      </c>
      <c r="F5268" s="515" t="s">
        <v>6513</v>
      </c>
      <c r="G5268" s="52">
        <v>289246.28604774002</v>
      </c>
      <c r="H5268" s="56">
        <v>0.10482300836489029</v>
      </c>
      <c r="I5268" s="224" t="s">
        <v>2</v>
      </c>
    </row>
    <row r="5269" spans="1:9" x14ac:dyDescent="0.25">
      <c r="A5269" s="515">
        <v>30327</v>
      </c>
      <c r="B5269" s="515" t="s">
        <v>957</v>
      </c>
      <c r="C5269" s="52">
        <v>1219246.07452279</v>
      </c>
      <c r="D5269" s="56">
        <v>9.0591620796788522E-2</v>
      </c>
      <c r="E5269" s="224">
        <v>1837.8560606060601</v>
      </c>
      <c r="F5269" s="515" t="s">
        <v>6514</v>
      </c>
      <c r="G5269" s="52">
        <v>234567.23092331199</v>
      </c>
      <c r="H5269" s="56">
        <v>5.1754293125231325E-2</v>
      </c>
      <c r="I5269" s="224" t="s">
        <v>2</v>
      </c>
    </row>
    <row r="5270" spans="1:9" x14ac:dyDescent="0.25">
      <c r="A5270" s="515">
        <v>97060</v>
      </c>
      <c r="B5270" s="515" t="s">
        <v>659</v>
      </c>
      <c r="C5270" s="52">
        <v>454040.231878847</v>
      </c>
      <c r="D5270" s="56">
        <v>1.3535331042845393E-2</v>
      </c>
      <c r="E5270" s="224">
        <v>2495</v>
      </c>
      <c r="F5270" s="515" t="s">
        <v>6515</v>
      </c>
      <c r="G5270" s="52">
        <v>393312.17327956401</v>
      </c>
      <c r="H5270" s="56">
        <v>7.6792283604899328E-2</v>
      </c>
      <c r="I5270" s="224" t="s">
        <v>2</v>
      </c>
    </row>
    <row r="5271" spans="1:9" x14ac:dyDescent="0.25">
      <c r="A5271" s="515">
        <v>22655</v>
      </c>
      <c r="B5271" s="515" t="s">
        <v>629</v>
      </c>
      <c r="C5271" s="52">
        <v>346917.23638311698</v>
      </c>
      <c r="D5271" s="56">
        <v>4.4583244687147611E-2</v>
      </c>
      <c r="E5271" s="224" t="s">
        <v>2</v>
      </c>
      <c r="F5271" s="515" t="s">
        <v>6516</v>
      </c>
      <c r="G5271" s="52">
        <v>495982.94100193999</v>
      </c>
      <c r="H5271" s="56">
        <v>3.5106422460435181E-2</v>
      </c>
      <c r="I5271" s="224" t="s">
        <v>2</v>
      </c>
    </row>
    <row r="5272" spans="1:9" x14ac:dyDescent="0.25">
      <c r="A5272" s="515">
        <v>7508</v>
      </c>
      <c r="B5272" s="515" t="s">
        <v>324</v>
      </c>
      <c r="C5272" s="52">
        <v>476941.17426385602</v>
      </c>
      <c r="D5272" s="56">
        <v>4.275747475303588E-2</v>
      </c>
      <c r="E5272" s="224">
        <v>3156</v>
      </c>
      <c r="F5272" s="515" t="s">
        <v>6517</v>
      </c>
      <c r="G5272" s="52">
        <v>210968.04224696601</v>
      </c>
      <c r="H5272" s="56">
        <v>5.7824947668313142E-2</v>
      </c>
      <c r="I5272" s="224" t="s">
        <v>2</v>
      </c>
    </row>
    <row r="5273" spans="1:9" x14ac:dyDescent="0.25">
      <c r="A5273" s="515">
        <v>33140</v>
      </c>
      <c r="B5273" s="515" t="s">
        <v>831</v>
      </c>
      <c r="C5273" s="52">
        <v>659146.32209044404</v>
      </c>
      <c r="D5273" s="56">
        <v>0.14462195923928314</v>
      </c>
      <c r="E5273" s="224">
        <v>4070.4142156862699</v>
      </c>
      <c r="F5273" s="515" t="s">
        <v>6518</v>
      </c>
      <c r="G5273" s="52">
        <v>599802.89510905906</v>
      </c>
      <c r="H5273" s="56">
        <v>0.1260357267884519</v>
      </c>
      <c r="I5273" s="224">
        <v>2891.25</v>
      </c>
    </row>
    <row r="5274" spans="1:9" x14ac:dyDescent="0.25">
      <c r="A5274" s="515">
        <v>89406</v>
      </c>
      <c r="B5274" s="515" t="s">
        <v>1213</v>
      </c>
      <c r="C5274" s="52">
        <v>337532.58711548097</v>
      </c>
      <c r="D5274" s="56">
        <v>1.4820149045456872E-2</v>
      </c>
      <c r="E5274" s="224" t="s">
        <v>2</v>
      </c>
      <c r="F5274" s="515" t="s">
        <v>6519</v>
      </c>
      <c r="G5274" s="52">
        <v>220698.145475372</v>
      </c>
      <c r="H5274" s="56">
        <v>0</v>
      </c>
      <c r="I5274" s="224">
        <v>1188.75</v>
      </c>
    </row>
    <row r="5275" spans="1:9" x14ac:dyDescent="0.25">
      <c r="A5275" s="515">
        <v>46052</v>
      </c>
      <c r="B5275" s="515" t="s">
        <v>403</v>
      </c>
      <c r="C5275" s="52">
        <v>234736.907847286</v>
      </c>
      <c r="D5275" s="56">
        <v>9.6187855199173222E-2</v>
      </c>
      <c r="E5275" s="224" t="s">
        <v>2</v>
      </c>
      <c r="F5275" s="515" t="s">
        <v>6520</v>
      </c>
      <c r="G5275" s="52">
        <v>352135.28508990997</v>
      </c>
      <c r="H5275" s="56">
        <v>4.3593859808497094E-2</v>
      </c>
      <c r="I5275" s="224" t="s">
        <v>2</v>
      </c>
    </row>
    <row r="5276" spans="1:9" x14ac:dyDescent="0.25">
      <c r="A5276" s="515">
        <v>89118</v>
      </c>
      <c r="B5276" s="515" t="s">
        <v>323</v>
      </c>
      <c r="C5276" s="52">
        <v>324756.860355401</v>
      </c>
      <c r="D5276" s="56">
        <v>7.5006814222804988E-2</v>
      </c>
      <c r="E5276" s="224">
        <v>1617.9083333333299</v>
      </c>
      <c r="F5276" s="515" t="s">
        <v>6521</v>
      </c>
      <c r="G5276" s="52">
        <v>771388.44613176503</v>
      </c>
      <c r="H5276" s="56">
        <v>-3.9416787273740005E-2</v>
      </c>
      <c r="I5276" s="224">
        <v>3180</v>
      </c>
    </row>
    <row r="5277" spans="1:9" x14ac:dyDescent="0.25">
      <c r="A5277" s="515">
        <v>98075</v>
      </c>
      <c r="B5277" s="515" t="s">
        <v>384</v>
      </c>
      <c r="C5277" s="52">
        <v>1629905.0042286301</v>
      </c>
      <c r="D5277" s="56">
        <v>4.020238839080735E-2</v>
      </c>
      <c r="E5277" s="224">
        <v>3432.9166666666601</v>
      </c>
      <c r="F5277" s="515" t="s">
        <v>6522</v>
      </c>
      <c r="G5277" s="52">
        <v>94389.017035651894</v>
      </c>
      <c r="H5277" s="56">
        <v>8.4066649074043709E-2</v>
      </c>
      <c r="I5277" s="224" t="s">
        <v>2</v>
      </c>
    </row>
    <row r="5278" spans="1:9" x14ac:dyDescent="0.25">
      <c r="A5278" s="515">
        <v>72761</v>
      </c>
      <c r="B5278" s="515" t="s">
        <v>675</v>
      </c>
      <c r="C5278" s="52">
        <v>246613.76612081099</v>
      </c>
      <c r="D5278" s="56">
        <v>0.12851544672125609</v>
      </c>
      <c r="E5278" s="224">
        <v>1250</v>
      </c>
      <c r="F5278" s="515" t="s">
        <v>6523</v>
      </c>
      <c r="G5278" s="52">
        <v>689013.69461147801</v>
      </c>
      <c r="H5278" s="56">
        <v>1.3830693240648236E-2</v>
      </c>
      <c r="I5278" s="224" t="s">
        <v>2</v>
      </c>
    </row>
    <row r="5279" spans="1:9" x14ac:dyDescent="0.25">
      <c r="A5279" s="515">
        <v>84075</v>
      </c>
      <c r="B5279" s="515" t="s">
        <v>628</v>
      </c>
      <c r="C5279" s="52">
        <v>545392.65923869901</v>
      </c>
      <c r="D5279" s="56">
        <v>1.6314162214173408E-2</v>
      </c>
      <c r="E5279" s="224" t="s">
        <v>2</v>
      </c>
      <c r="F5279" s="515" t="s">
        <v>6524</v>
      </c>
      <c r="G5279" s="52">
        <v>703610.19746678404</v>
      </c>
      <c r="H5279" s="56">
        <v>2.9607961074688962E-2</v>
      </c>
      <c r="I5279" s="224" t="s">
        <v>2</v>
      </c>
    </row>
    <row r="5280" spans="1:9" x14ac:dyDescent="0.25">
      <c r="A5280" s="515">
        <v>63139</v>
      </c>
      <c r="B5280" s="515" t="s">
        <v>498</v>
      </c>
      <c r="C5280" s="52">
        <v>196157.90279304699</v>
      </c>
      <c r="D5280" s="56">
        <v>5.5805190820844973E-2</v>
      </c>
      <c r="E5280" s="224">
        <v>1243.5</v>
      </c>
      <c r="F5280" s="515" t="s">
        <v>6525</v>
      </c>
      <c r="G5280" s="52">
        <v>128604.52780028799</v>
      </c>
      <c r="H5280" s="56">
        <v>2.280856543572566E-2</v>
      </c>
      <c r="I5280" s="224" t="s">
        <v>2</v>
      </c>
    </row>
    <row r="5281" spans="1:9" x14ac:dyDescent="0.25">
      <c r="A5281" s="515">
        <v>46322</v>
      </c>
      <c r="B5281" s="515" t="s">
        <v>394</v>
      </c>
      <c r="C5281" s="52">
        <v>236883.912003406</v>
      </c>
      <c r="D5281" s="56">
        <v>6.1976217327447999E-2</v>
      </c>
      <c r="E5281" s="224">
        <v>1477.5</v>
      </c>
      <c r="F5281" s="515" t="s">
        <v>6526</v>
      </c>
      <c r="G5281" s="52">
        <v>106416.633419263</v>
      </c>
      <c r="H5281" s="56">
        <v>0.10941971680766609</v>
      </c>
      <c r="I5281" s="224" t="s">
        <v>2</v>
      </c>
    </row>
    <row r="5282" spans="1:9" x14ac:dyDescent="0.25">
      <c r="A5282" s="515">
        <v>68111</v>
      </c>
      <c r="B5282" s="515" t="s">
        <v>367</v>
      </c>
      <c r="C5282" s="52">
        <v>109320.54620505001</v>
      </c>
      <c r="D5282" s="56">
        <v>0.22368293632166156</v>
      </c>
      <c r="E5282" s="224">
        <v>1079.7666666666601</v>
      </c>
      <c r="F5282" s="515" t="s">
        <v>6527</v>
      </c>
      <c r="G5282" s="52">
        <v>248501.04341305399</v>
      </c>
      <c r="H5282" s="56">
        <v>0.11592137174467235</v>
      </c>
      <c r="I5282" s="224" t="s">
        <v>2</v>
      </c>
    </row>
    <row r="5283" spans="1:9" x14ac:dyDescent="0.25">
      <c r="A5283" s="515">
        <v>12304</v>
      </c>
      <c r="B5283" s="515" t="s">
        <v>609</v>
      </c>
      <c r="C5283" s="52">
        <v>191543.82897159201</v>
      </c>
      <c r="D5283" s="56">
        <v>9.1526113586925931E-2</v>
      </c>
      <c r="E5283" s="224" t="s">
        <v>2</v>
      </c>
      <c r="F5283" s="515" t="s">
        <v>6528</v>
      </c>
      <c r="G5283" s="52">
        <v>542092.628054147</v>
      </c>
      <c r="H5283" s="56">
        <v>3.5020784476040935E-2</v>
      </c>
      <c r="I5283" s="224" t="s">
        <v>2</v>
      </c>
    </row>
    <row r="5284" spans="1:9" x14ac:dyDescent="0.25">
      <c r="A5284" s="515">
        <v>71220</v>
      </c>
      <c r="B5284" s="515" t="s">
        <v>695</v>
      </c>
      <c r="C5284" s="52">
        <v>70563.085822545705</v>
      </c>
      <c r="D5284" s="56">
        <v>0.1621920575852113</v>
      </c>
      <c r="E5284" s="224" t="s">
        <v>2</v>
      </c>
      <c r="F5284" s="515" t="s">
        <v>6529</v>
      </c>
      <c r="G5284" s="52">
        <v>299471.208827906</v>
      </c>
      <c r="H5284" s="56">
        <v>3.4791377330117237E-2</v>
      </c>
      <c r="I5284" s="224" t="s">
        <v>2</v>
      </c>
    </row>
    <row r="5285" spans="1:9" x14ac:dyDescent="0.25">
      <c r="A5285" s="515">
        <v>48083</v>
      </c>
      <c r="B5285" s="515" t="s">
        <v>685</v>
      </c>
      <c r="C5285" s="52">
        <v>296931.67433275998</v>
      </c>
      <c r="D5285" s="56">
        <v>3.8650079695704095E-2</v>
      </c>
      <c r="E5285" s="224">
        <v>1916.3333333333301</v>
      </c>
      <c r="F5285" s="515" t="s">
        <v>6530</v>
      </c>
      <c r="G5285" s="52">
        <v>163749.56719576201</v>
      </c>
      <c r="H5285" s="56">
        <v>0.11374022376888261</v>
      </c>
      <c r="I5285" s="224">
        <v>1175</v>
      </c>
    </row>
    <row r="5286" spans="1:9" x14ac:dyDescent="0.25">
      <c r="A5286" s="515">
        <v>68154</v>
      </c>
      <c r="B5286" s="515" t="s">
        <v>367</v>
      </c>
      <c r="C5286" s="52">
        <v>318597.28653683502</v>
      </c>
      <c r="D5286" s="56">
        <v>5.6567884852578756E-2</v>
      </c>
      <c r="E5286" s="224">
        <v>1073.4801587301499</v>
      </c>
      <c r="F5286" s="515" t="s">
        <v>686</v>
      </c>
      <c r="G5286" s="52">
        <v>100801.138570893</v>
      </c>
      <c r="H5286" s="56">
        <v>0.15843180497112128</v>
      </c>
      <c r="I5286" s="224" t="s">
        <v>2</v>
      </c>
    </row>
    <row r="5287" spans="1:9" x14ac:dyDescent="0.25">
      <c r="A5287" s="515">
        <v>13820</v>
      </c>
      <c r="B5287" s="515" t="s">
        <v>460</v>
      </c>
      <c r="C5287" s="52">
        <v>191887.390009594</v>
      </c>
      <c r="D5287" s="56">
        <v>0.10702063061795374</v>
      </c>
      <c r="E5287" s="224" t="s">
        <v>2</v>
      </c>
      <c r="F5287" s="515" t="s">
        <v>6531</v>
      </c>
      <c r="G5287" s="52">
        <v>323902.12460335199</v>
      </c>
      <c r="H5287" s="56">
        <v>7.2669383275096144E-2</v>
      </c>
      <c r="I5287" s="224" t="s">
        <v>2</v>
      </c>
    </row>
    <row r="5288" spans="1:9" x14ac:dyDescent="0.25">
      <c r="A5288" s="515">
        <v>2910</v>
      </c>
      <c r="B5288" s="515" t="s">
        <v>513</v>
      </c>
      <c r="C5288" s="52">
        <v>328179.34637052898</v>
      </c>
      <c r="D5288" s="56">
        <v>7.9508896231093543E-2</v>
      </c>
      <c r="E5288" s="224" t="s">
        <v>2</v>
      </c>
      <c r="F5288" s="515" t="s">
        <v>6532</v>
      </c>
      <c r="G5288" s="52">
        <v>343920.27036480402</v>
      </c>
      <c r="H5288" s="56">
        <v>5.7146781682845121E-2</v>
      </c>
      <c r="I5288" s="224" t="s">
        <v>2</v>
      </c>
    </row>
    <row r="5289" spans="1:9" x14ac:dyDescent="0.25">
      <c r="A5289" s="515">
        <v>94609</v>
      </c>
      <c r="B5289" s="515" t="s">
        <v>593</v>
      </c>
      <c r="C5289" s="52">
        <v>1023661.39936974</v>
      </c>
      <c r="D5289" s="56">
        <v>-5.6577022432493081E-2</v>
      </c>
      <c r="E5289" s="224">
        <v>2643.0833333333298</v>
      </c>
      <c r="F5289" s="515" t="s">
        <v>6533</v>
      </c>
      <c r="G5289" s="52">
        <v>825622.39636758505</v>
      </c>
      <c r="H5289" s="56">
        <v>6.1098327469405592E-2</v>
      </c>
      <c r="I5289" s="224" t="s">
        <v>2</v>
      </c>
    </row>
    <row r="5290" spans="1:9" x14ac:dyDescent="0.25">
      <c r="A5290" s="515">
        <v>37912</v>
      </c>
      <c r="B5290" s="515" t="s">
        <v>907</v>
      </c>
      <c r="C5290" s="52">
        <v>242679.37449193199</v>
      </c>
      <c r="D5290" s="56">
        <v>0.14599641350917317</v>
      </c>
      <c r="E5290" s="224">
        <v>1226.44444444444</v>
      </c>
      <c r="F5290" s="515" t="s">
        <v>6534</v>
      </c>
      <c r="G5290" s="52">
        <v>148281.157559944</v>
      </c>
      <c r="H5290" s="56">
        <v>0.13749895944216048</v>
      </c>
      <c r="I5290" s="224" t="s">
        <v>2</v>
      </c>
    </row>
    <row r="5291" spans="1:9" x14ac:dyDescent="0.25">
      <c r="A5291" s="515">
        <v>43231</v>
      </c>
      <c r="B5291" s="515" t="s">
        <v>345</v>
      </c>
      <c r="C5291" s="52">
        <v>244826.24150060301</v>
      </c>
      <c r="D5291" s="56">
        <v>9.0249701091512868E-2</v>
      </c>
      <c r="E5291" s="224">
        <v>1082.5</v>
      </c>
      <c r="F5291" s="515" t="s">
        <v>6535</v>
      </c>
      <c r="G5291" s="52">
        <v>628572.80442639894</v>
      </c>
      <c r="H5291" s="56">
        <v>4.5638747705473159E-2</v>
      </c>
      <c r="I5291" s="224" t="s">
        <v>2</v>
      </c>
    </row>
    <row r="5292" spans="1:9" x14ac:dyDescent="0.25">
      <c r="A5292" s="515">
        <v>20017</v>
      </c>
      <c r="B5292" s="515" t="s">
        <v>321</v>
      </c>
      <c r="C5292" s="52">
        <v>573228.46348676295</v>
      </c>
      <c r="D5292" s="56">
        <v>-8.8416249303356013E-3</v>
      </c>
      <c r="E5292" s="224">
        <v>2172.4206349206302</v>
      </c>
      <c r="F5292" s="515" t="s">
        <v>6536</v>
      </c>
      <c r="G5292" s="52">
        <v>604053.85076416202</v>
      </c>
      <c r="H5292" s="56">
        <v>3.3850695600794414E-2</v>
      </c>
      <c r="I5292" s="224" t="s">
        <v>2</v>
      </c>
    </row>
    <row r="5293" spans="1:9" x14ac:dyDescent="0.25">
      <c r="A5293" s="515">
        <v>33772</v>
      </c>
      <c r="B5293" s="515" t="s">
        <v>461</v>
      </c>
      <c r="C5293" s="52">
        <v>354031.764316416</v>
      </c>
      <c r="D5293" s="56">
        <v>9.3830276845144805E-2</v>
      </c>
      <c r="E5293" s="224">
        <v>2369</v>
      </c>
      <c r="F5293" s="515" t="s">
        <v>6537</v>
      </c>
      <c r="G5293" s="52">
        <v>558563.74604805699</v>
      </c>
      <c r="H5293" s="56">
        <v>4.3229342099328667E-2</v>
      </c>
      <c r="I5293" s="224" t="s">
        <v>2</v>
      </c>
    </row>
    <row r="5294" spans="1:9" x14ac:dyDescent="0.25">
      <c r="A5294" s="515">
        <v>38464</v>
      </c>
      <c r="B5294" s="515" t="s">
        <v>873</v>
      </c>
      <c r="C5294" s="52">
        <v>195319.41472862699</v>
      </c>
      <c r="D5294" s="56">
        <v>5.7088199527118168E-2</v>
      </c>
      <c r="E5294" s="224" t="s">
        <v>2</v>
      </c>
      <c r="F5294" s="515" t="s">
        <v>6538</v>
      </c>
      <c r="G5294" s="52">
        <v>1146192.15331821</v>
      </c>
      <c r="H5294" s="56">
        <v>0.11820047616184898</v>
      </c>
      <c r="I5294" s="224" t="s">
        <v>2</v>
      </c>
    </row>
    <row r="5295" spans="1:9" x14ac:dyDescent="0.25">
      <c r="A5295" s="515">
        <v>38133</v>
      </c>
      <c r="B5295" s="515" t="s">
        <v>951</v>
      </c>
      <c r="C5295" s="52">
        <v>266838.72157867998</v>
      </c>
      <c r="D5295" s="56">
        <v>0.1005981791737391</v>
      </c>
      <c r="E5295" s="224">
        <v>1615.2916666666599</v>
      </c>
      <c r="F5295" s="515" t="s">
        <v>6539</v>
      </c>
      <c r="G5295" s="52">
        <v>148308.52297435701</v>
      </c>
      <c r="H5295" s="56">
        <v>0.14177578747934266</v>
      </c>
      <c r="I5295" s="224" t="s">
        <v>2</v>
      </c>
    </row>
    <row r="5296" spans="1:9" x14ac:dyDescent="0.25">
      <c r="A5296" s="515">
        <v>7071</v>
      </c>
      <c r="B5296" s="515" t="s">
        <v>324</v>
      </c>
      <c r="C5296" s="52">
        <v>494036.48777075898</v>
      </c>
      <c r="D5296" s="56">
        <v>4.0106171317740719E-2</v>
      </c>
      <c r="E5296" s="224">
        <v>2202.75</v>
      </c>
      <c r="F5296" s="515" t="s">
        <v>6540</v>
      </c>
      <c r="G5296" s="52">
        <v>154356.12612959399</v>
      </c>
      <c r="H5296" s="56">
        <v>9.6998666728732946E-2</v>
      </c>
      <c r="I5296" s="224" t="s">
        <v>2</v>
      </c>
    </row>
    <row r="5297" spans="1:9" x14ac:dyDescent="0.25">
      <c r="A5297" s="515">
        <v>95776</v>
      </c>
      <c r="B5297" s="515" t="s">
        <v>355</v>
      </c>
      <c r="C5297" s="52">
        <v>557762.55050487397</v>
      </c>
      <c r="D5297" s="56">
        <v>2.3382609349516907E-2</v>
      </c>
      <c r="E5297" s="224">
        <v>2517.6111111111099</v>
      </c>
      <c r="F5297" s="515" t="s">
        <v>6541</v>
      </c>
      <c r="G5297" s="52">
        <v>1110302.8920406799</v>
      </c>
      <c r="H5297" s="56">
        <v>0.10058839588181505</v>
      </c>
      <c r="I5297" s="224" t="s">
        <v>2</v>
      </c>
    </row>
    <row r="5298" spans="1:9" x14ac:dyDescent="0.25">
      <c r="A5298" s="515">
        <v>19007</v>
      </c>
      <c r="B5298" s="515" t="s">
        <v>294</v>
      </c>
      <c r="C5298" s="52">
        <v>275847.22723932401</v>
      </c>
      <c r="D5298" s="56">
        <v>9.075644709475833E-2</v>
      </c>
      <c r="E5298" s="224">
        <v>1500</v>
      </c>
      <c r="F5298" s="515" t="s">
        <v>6542</v>
      </c>
      <c r="G5298" s="52">
        <v>272086.65122143301</v>
      </c>
      <c r="H5298" s="56">
        <v>6.8733439785388706E-2</v>
      </c>
      <c r="I5298" s="224">
        <v>1525</v>
      </c>
    </row>
    <row r="5299" spans="1:9" x14ac:dyDescent="0.25">
      <c r="A5299" s="515">
        <v>44087</v>
      </c>
      <c r="B5299" s="515" t="s">
        <v>1000</v>
      </c>
      <c r="C5299" s="52">
        <v>299720.79043781298</v>
      </c>
      <c r="D5299" s="56">
        <v>5.3737962551019723E-2</v>
      </c>
      <c r="E5299" s="224">
        <v>1350</v>
      </c>
      <c r="F5299" s="515" t="s">
        <v>6543</v>
      </c>
      <c r="G5299" s="52">
        <v>139425.133370839</v>
      </c>
      <c r="H5299" s="56">
        <v>3.5858381365824109E-2</v>
      </c>
      <c r="I5299" s="224" t="s">
        <v>2</v>
      </c>
    </row>
    <row r="5300" spans="1:9" x14ac:dyDescent="0.25">
      <c r="A5300" s="515">
        <v>35124</v>
      </c>
      <c r="B5300" s="515" t="s">
        <v>640</v>
      </c>
      <c r="C5300" s="52">
        <v>302522.91368300398</v>
      </c>
      <c r="D5300" s="56">
        <v>6.9346843335050104E-2</v>
      </c>
      <c r="E5300" s="224">
        <v>1431.5</v>
      </c>
      <c r="F5300" s="515" t="s">
        <v>6544</v>
      </c>
      <c r="G5300" s="52">
        <v>123364.865787441</v>
      </c>
      <c r="H5300" s="56">
        <v>2.5800245969570521E-2</v>
      </c>
      <c r="I5300" s="224" t="s">
        <v>2</v>
      </c>
    </row>
    <row r="5301" spans="1:9" x14ac:dyDescent="0.25">
      <c r="A5301" s="515">
        <v>98664</v>
      </c>
      <c r="B5301" s="515" t="s">
        <v>659</v>
      </c>
      <c r="C5301" s="52">
        <v>435062.471636009</v>
      </c>
      <c r="D5301" s="56">
        <v>4.4858287174093521E-2</v>
      </c>
      <c r="E5301" s="224">
        <v>1782.8333333333301</v>
      </c>
      <c r="F5301" s="515" t="s">
        <v>6545</v>
      </c>
      <c r="G5301" s="52">
        <v>547150.94323728594</v>
      </c>
      <c r="H5301" s="56">
        <v>2.5094386119260761E-2</v>
      </c>
      <c r="I5301" s="224" t="s">
        <v>2</v>
      </c>
    </row>
    <row r="5302" spans="1:9" x14ac:dyDescent="0.25">
      <c r="A5302" s="515">
        <v>63141</v>
      </c>
      <c r="B5302" s="515" t="s">
        <v>498</v>
      </c>
      <c r="C5302" s="52">
        <v>531056.50842393399</v>
      </c>
      <c r="D5302" s="56">
        <v>7.2943663786093238E-2</v>
      </c>
      <c r="E5302" s="224">
        <v>1325.7169312169301</v>
      </c>
      <c r="F5302" s="515" t="s">
        <v>6546</v>
      </c>
      <c r="G5302" s="52">
        <v>339281.56057343999</v>
      </c>
      <c r="H5302" s="56">
        <v>9.8634791037346028E-2</v>
      </c>
      <c r="I5302" s="224" t="s">
        <v>2</v>
      </c>
    </row>
    <row r="5303" spans="1:9" x14ac:dyDescent="0.25">
      <c r="A5303" s="515">
        <v>32119</v>
      </c>
      <c r="B5303" s="515" t="s">
        <v>974</v>
      </c>
      <c r="C5303" s="52">
        <v>269543.27021778002</v>
      </c>
      <c r="D5303" s="56">
        <v>0.143175848660579</v>
      </c>
      <c r="E5303" s="224">
        <v>1629.4603174603101</v>
      </c>
      <c r="F5303" s="515" t="s">
        <v>6547</v>
      </c>
      <c r="G5303" s="52">
        <v>190880.17338593199</v>
      </c>
      <c r="H5303" s="56">
        <v>7.0651627451172344E-2</v>
      </c>
      <c r="I5303" s="224" t="s">
        <v>2</v>
      </c>
    </row>
    <row r="5304" spans="1:9" x14ac:dyDescent="0.25">
      <c r="A5304" s="515">
        <v>19103</v>
      </c>
      <c r="B5304" s="515" t="s">
        <v>294</v>
      </c>
      <c r="C5304" s="52">
        <v>494103.86529520102</v>
      </c>
      <c r="D5304" s="56">
        <v>-0.1694608556606319</v>
      </c>
      <c r="E5304" s="224">
        <v>2063.76111111111</v>
      </c>
      <c r="F5304" s="515" t="s">
        <v>6548</v>
      </c>
      <c r="G5304" s="52">
        <v>205875.99672573199</v>
      </c>
      <c r="H5304" s="56">
        <v>3.8437095629471958E-2</v>
      </c>
      <c r="I5304" s="224" t="s">
        <v>2</v>
      </c>
    </row>
    <row r="5305" spans="1:9" x14ac:dyDescent="0.25">
      <c r="A5305" s="515">
        <v>60443</v>
      </c>
      <c r="B5305" s="515" t="s">
        <v>394</v>
      </c>
      <c r="C5305" s="52">
        <v>235032.02943111799</v>
      </c>
      <c r="D5305" s="56">
        <v>6.4507901073185756E-2</v>
      </c>
      <c r="E5305" s="224">
        <v>2037</v>
      </c>
      <c r="F5305" s="515" t="s">
        <v>6549</v>
      </c>
      <c r="G5305" s="52">
        <v>3655473.3341787602</v>
      </c>
      <c r="H5305" s="56">
        <v>0.10651704549720035</v>
      </c>
      <c r="I5305" s="224">
        <v>10905</v>
      </c>
    </row>
    <row r="5306" spans="1:9" x14ac:dyDescent="0.25">
      <c r="A5306" s="515">
        <v>39601</v>
      </c>
      <c r="B5306" s="515" t="s">
        <v>1118</v>
      </c>
      <c r="C5306" s="52">
        <v>156916.446650228</v>
      </c>
      <c r="D5306" s="56">
        <v>-7.5899395039836087E-3</v>
      </c>
      <c r="E5306" s="224" t="s">
        <v>2</v>
      </c>
      <c r="F5306" s="515" t="s">
        <v>6550</v>
      </c>
      <c r="G5306" s="52">
        <v>104641.644682793</v>
      </c>
      <c r="H5306" s="56">
        <v>3.3062199371348071E-2</v>
      </c>
      <c r="I5306" s="224" t="s">
        <v>2</v>
      </c>
    </row>
    <row r="5307" spans="1:9" x14ac:dyDescent="0.25">
      <c r="A5307" s="515">
        <v>90404</v>
      </c>
      <c r="B5307" s="515" t="s">
        <v>375</v>
      </c>
      <c r="C5307" s="52">
        <v>1094728.45793417</v>
      </c>
      <c r="D5307" s="56">
        <v>-2.2006752244813476E-2</v>
      </c>
      <c r="E5307" s="224">
        <v>3672.2242757242698</v>
      </c>
      <c r="F5307" s="515" t="s">
        <v>6551</v>
      </c>
      <c r="G5307" s="52">
        <v>136578.58193410799</v>
      </c>
      <c r="H5307" s="56">
        <v>0.12665587573374135</v>
      </c>
      <c r="I5307" s="224" t="s">
        <v>2</v>
      </c>
    </row>
    <row r="5308" spans="1:9" x14ac:dyDescent="0.25">
      <c r="A5308" s="515">
        <v>25177</v>
      </c>
      <c r="B5308" s="515" t="s">
        <v>322</v>
      </c>
      <c r="C5308" s="52">
        <v>130777.32727461599</v>
      </c>
      <c r="D5308" s="56">
        <v>8.4883699594612852E-2</v>
      </c>
      <c r="E5308" s="224" t="s">
        <v>2</v>
      </c>
      <c r="F5308" s="515" t="s">
        <v>6552</v>
      </c>
      <c r="G5308" s="52">
        <v>291491.82599740103</v>
      </c>
      <c r="H5308" s="56">
        <v>7.6925188688377152E-2</v>
      </c>
      <c r="I5308" s="224" t="s">
        <v>2</v>
      </c>
    </row>
    <row r="5309" spans="1:9" x14ac:dyDescent="0.25">
      <c r="A5309" s="515">
        <v>40031</v>
      </c>
      <c r="B5309" s="515" t="s">
        <v>479</v>
      </c>
      <c r="C5309" s="52">
        <v>338750.37227359402</v>
      </c>
      <c r="D5309" s="56">
        <v>7.5504910522495125E-2</v>
      </c>
      <c r="E5309" s="224" t="s">
        <v>2</v>
      </c>
      <c r="F5309" s="515" t="s">
        <v>6553</v>
      </c>
      <c r="G5309" s="52">
        <v>119421.02435654101</v>
      </c>
      <c r="H5309" s="56">
        <v>3.2448382336564212E-2</v>
      </c>
      <c r="I5309" s="224" t="s">
        <v>2</v>
      </c>
    </row>
    <row r="5310" spans="1:9" x14ac:dyDescent="0.25">
      <c r="A5310" s="515">
        <v>11692</v>
      </c>
      <c r="B5310" s="515" t="s">
        <v>324</v>
      </c>
      <c r="C5310" s="52">
        <v>482273.228385319</v>
      </c>
      <c r="D5310" s="56">
        <v>9.6677522130382013E-2</v>
      </c>
      <c r="E5310" s="224" t="s">
        <v>2</v>
      </c>
      <c r="F5310" s="515" t="s">
        <v>6554</v>
      </c>
      <c r="G5310" s="52">
        <v>159832.45221281101</v>
      </c>
      <c r="H5310" s="56">
        <v>0.18970804831672045</v>
      </c>
      <c r="I5310" s="224" t="s">
        <v>2</v>
      </c>
    </row>
    <row r="5311" spans="1:9" x14ac:dyDescent="0.25">
      <c r="A5311" s="515">
        <v>74801</v>
      </c>
      <c r="B5311" s="515" t="s">
        <v>989</v>
      </c>
      <c r="C5311" s="52">
        <v>114428.77130727901</v>
      </c>
      <c r="D5311" s="56">
        <v>0.10602632676458072</v>
      </c>
      <c r="E5311" s="224" t="s">
        <v>2</v>
      </c>
      <c r="F5311" s="515" t="s">
        <v>6555</v>
      </c>
      <c r="G5311" s="52">
        <v>230075.29418338201</v>
      </c>
      <c r="H5311" s="56">
        <v>7.6592025970784308E-2</v>
      </c>
      <c r="I5311" s="224" t="s">
        <v>2</v>
      </c>
    </row>
    <row r="5312" spans="1:9" x14ac:dyDescent="0.25">
      <c r="A5312" s="515">
        <v>93263</v>
      </c>
      <c r="B5312" s="515" t="s">
        <v>419</v>
      </c>
      <c r="C5312" s="52">
        <v>319932.97509941802</v>
      </c>
      <c r="D5312" s="56">
        <v>7.2180433886274459E-2</v>
      </c>
      <c r="E5312" s="224" t="s">
        <v>2</v>
      </c>
      <c r="F5312" s="515" t="s">
        <v>6556</v>
      </c>
      <c r="G5312" s="52">
        <v>667346.06336923596</v>
      </c>
      <c r="H5312" s="56">
        <v>8.4544635069044416E-2</v>
      </c>
      <c r="I5312" s="224" t="s">
        <v>2</v>
      </c>
    </row>
    <row r="5313" spans="1:9" x14ac:dyDescent="0.25">
      <c r="A5313" s="515">
        <v>64134</v>
      </c>
      <c r="B5313" s="515" t="s">
        <v>455</v>
      </c>
      <c r="C5313" s="52">
        <v>157621.07192487901</v>
      </c>
      <c r="D5313" s="56">
        <v>0.12749234670714099</v>
      </c>
      <c r="E5313" s="224">
        <v>1199.9851851851799</v>
      </c>
      <c r="F5313" s="515" t="s">
        <v>6557</v>
      </c>
      <c r="G5313" s="52">
        <v>639375.96838970506</v>
      </c>
      <c r="H5313" s="56">
        <v>6.4161866913672219E-2</v>
      </c>
      <c r="I5313" s="224" t="s">
        <v>2</v>
      </c>
    </row>
    <row r="5314" spans="1:9" x14ac:dyDescent="0.25">
      <c r="A5314" s="515">
        <v>71301</v>
      </c>
      <c r="B5314" s="515" t="s">
        <v>968</v>
      </c>
      <c r="C5314" s="52">
        <v>90473.091777581401</v>
      </c>
      <c r="D5314" s="56">
        <v>7.8568188332226771E-2</v>
      </c>
      <c r="E5314" s="224" t="s">
        <v>2</v>
      </c>
      <c r="F5314" s="515" t="s">
        <v>6558</v>
      </c>
      <c r="G5314" s="52">
        <v>281160.17893983301</v>
      </c>
      <c r="H5314" s="56">
        <v>3.7722196698950779E-2</v>
      </c>
      <c r="I5314" s="224" t="s">
        <v>2</v>
      </c>
    </row>
    <row r="5315" spans="1:9" x14ac:dyDescent="0.25">
      <c r="A5315" s="515">
        <v>53206</v>
      </c>
      <c r="B5315" s="515" t="s">
        <v>950</v>
      </c>
      <c r="C5315" s="52">
        <v>58026.487275629399</v>
      </c>
      <c r="D5315" s="56">
        <v>0.10897629197543796</v>
      </c>
      <c r="E5315" s="224" t="s">
        <v>2</v>
      </c>
      <c r="F5315" s="515" t="s">
        <v>6559</v>
      </c>
      <c r="G5315" s="52">
        <v>159631.49393360101</v>
      </c>
      <c r="H5315" s="56">
        <v>7.6381243939195889E-2</v>
      </c>
      <c r="I5315" s="224" t="s">
        <v>2</v>
      </c>
    </row>
    <row r="5316" spans="1:9" x14ac:dyDescent="0.25">
      <c r="A5316" s="515">
        <v>10012</v>
      </c>
      <c r="B5316" s="515" t="s">
        <v>324</v>
      </c>
      <c r="C5316" s="52">
        <v>2365043.0929298201</v>
      </c>
      <c r="D5316" s="56">
        <v>3.7186150149038734E-2</v>
      </c>
      <c r="E5316" s="224">
        <v>4429.5088888888804</v>
      </c>
      <c r="F5316" s="515" t="s">
        <v>6560</v>
      </c>
      <c r="G5316" s="52">
        <v>186894.87144980201</v>
      </c>
      <c r="H5316" s="56">
        <v>7.5186171342107297E-2</v>
      </c>
      <c r="I5316" s="224" t="s">
        <v>2</v>
      </c>
    </row>
    <row r="5317" spans="1:9" x14ac:dyDescent="0.25">
      <c r="A5317" s="515">
        <v>2840</v>
      </c>
      <c r="B5317" s="515" t="s">
        <v>513</v>
      </c>
      <c r="C5317" s="52">
        <v>739848.66193627706</v>
      </c>
      <c r="D5317" s="56">
        <v>8.1559491280967081E-2</v>
      </c>
      <c r="E5317" s="224">
        <v>2937.77732683982</v>
      </c>
      <c r="F5317" s="515" t="s">
        <v>6561</v>
      </c>
      <c r="G5317" s="52">
        <v>148935.810792882</v>
      </c>
      <c r="H5317" s="56">
        <v>4.3526437852355347E-2</v>
      </c>
      <c r="I5317" s="224" t="s">
        <v>2</v>
      </c>
    </row>
    <row r="5318" spans="1:9" x14ac:dyDescent="0.25">
      <c r="A5318" s="515">
        <v>95501</v>
      </c>
      <c r="B5318" s="515" t="s">
        <v>352</v>
      </c>
      <c r="C5318" s="52">
        <v>379585.57355102798</v>
      </c>
      <c r="D5318" s="56">
        <v>4.2578281903803583E-2</v>
      </c>
      <c r="E5318" s="224" t="s">
        <v>2</v>
      </c>
      <c r="F5318" s="515" t="s">
        <v>6562</v>
      </c>
      <c r="G5318" s="52">
        <v>280657.90579073899</v>
      </c>
      <c r="H5318" s="56">
        <v>5.2732276526915721E-2</v>
      </c>
      <c r="I5318" s="224" t="s">
        <v>2</v>
      </c>
    </row>
    <row r="5319" spans="1:9" x14ac:dyDescent="0.25">
      <c r="A5319" s="515">
        <v>29418</v>
      </c>
      <c r="B5319" s="515" t="s">
        <v>1009</v>
      </c>
      <c r="C5319" s="52">
        <v>275233.928706971</v>
      </c>
      <c r="D5319" s="56">
        <v>0.12824805512022225</v>
      </c>
      <c r="E5319" s="224">
        <v>1473.2333333333299</v>
      </c>
      <c r="F5319" s="515" t="s">
        <v>6563</v>
      </c>
      <c r="G5319" s="52">
        <v>178990.75423390701</v>
      </c>
      <c r="H5319" s="56">
        <v>2.9077082505612736E-2</v>
      </c>
      <c r="I5319" s="224" t="s">
        <v>2</v>
      </c>
    </row>
    <row r="5320" spans="1:9" x14ac:dyDescent="0.25">
      <c r="A5320" s="515">
        <v>55447</v>
      </c>
      <c r="B5320" s="515" t="s">
        <v>532</v>
      </c>
      <c r="C5320" s="52">
        <v>441498.947629389</v>
      </c>
      <c r="D5320" s="56">
        <v>4.553021949852222E-2</v>
      </c>
      <c r="E5320" s="224">
        <v>1710.25</v>
      </c>
      <c r="F5320" s="515" t="s">
        <v>6564</v>
      </c>
      <c r="G5320" s="52">
        <v>433883.04487558501</v>
      </c>
      <c r="H5320" s="56">
        <v>4.6431631439491867E-2</v>
      </c>
      <c r="I5320" s="224" t="s">
        <v>2</v>
      </c>
    </row>
    <row r="5321" spans="1:9" x14ac:dyDescent="0.25">
      <c r="A5321" s="515">
        <v>15090</v>
      </c>
      <c r="B5321" s="515" t="s">
        <v>297</v>
      </c>
      <c r="C5321" s="52">
        <v>459133.96574295202</v>
      </c>
      <c r="D5321" s="56">
        <v>5.2723717246311877E-2</v>
      </c>
      <c r="E5321" s="224">
        <v>1698.6111111111099</v>
      </c>
      <c r="F5321" s="515" t="s">
        <v>6565</v>
      </c>
      <c r="G5321" s="52">
        <v>323954.769269415</v>
      </c>
      <c r="H5321" s="56">
        <v>4.569505114083168E-2</v>
      </c>
      <c r="I5321" s="224" t="s">
        <v>2</v>
      </c>
    </row>
    <row r="5322" spans="1:9" x14ac:dyDescent="0.25">
      <c r="A5322" s="515">
        <v>47331</v>
      </c>
      <c r="B5322" s="515" t="s">
        <v>1212</v>
      </c>
      <c r="C5322" s="52">
        <v>127247.754792511</v>
      </c>
      <c r="D5322" s="56">
        <v>0.14558571500094453</v>
      </c>
      <c r="E5322" s="224" t="s">
        <v>2</v>
      </c>
      <c r="F5322" s="515" t="s">
        <v>6566</v>
      </c>
      <c r="G5322" s="52">
        <v>254156.780081637</v>
      </c>
      <c r="H5322" s="56">
        <v>4.2280056210294868E-2</v>
      </c>
      <c r="I5322" s="224" t="s">
        <v>2</v>
      </c>
    </row>
    <row r="5323" spans="1:9" x14ac:dyDescent="0.25">
      <c r="A5323" s="515">
        <v>94579</v>
      </c>
      <c r="B5323" s="515" t="s">
        <v>593</v>
      </c>
      <c r="C5323" s="52">
        <v>836463.90020673501</v>
      </c>
      <c r="D5323" s="56">
        <v>-4.7631910906537766E-4</v>
      </c>
      <c r="E5323" s="224" t="s">
        <v>2</v>
      </c>
      <c r="F5323" s="515" t="s">
        <v>6567</v>
      </c>
      <c r="G5323" s="52">
        <v>219469.742086752</v>
      </c>
      <c r="H5323" s="56">
        <v>0</v>
      </c>
      <c r="I5323" s="224" t="s">
        <v>2</v>
      </c>
    </row>
    <row r="5324" spans="1:9" x14ac:dyDescent="0.25">
      <c r="A5324" s="515">
        <v>45251</v>
      </c>
      <c r="B5324" s="515" t="s">
        <v>344</v>
      </c>
      <c r="C5324" s="52">
        <v>182613.59454027799</v>
      </c>
      <c r="D5324" s="56">
        <v>6.9218451349965307E-2</v>
      </c>
      <c r="E5324" s="224" t="s">
        <v>2</v>
      </c>
      <c r="F5324" s="515" t="s">
        <v>6568</v>
      </c>
      <c r="G5324" s="52">
        <v>186323.079602735</v>
      </c>
      <c r="H5324" s="56">
        <v>7.3325294224178092E-2</v>
      </c>
      <c r="I5324" s="224" t="s">
        <v>2</v>
      </c>
    </row>
    <row r="5325" spans="1:9" x14ac:dyDescent="0.25">
      <c r="A5325" s="515">
        <v>63090</v>
      </c>
      <c r="B5325" s="515" t="s">
        <v>498</v>
      </c>
      <c r="C5325" s="52">
        <v>255000.25877785901</v>
      </c>
      <c r="D5325" s="56">
        <v>8.4166261646907894E-2</v>
      </c>
      <c r="E5325" s="224" t="s">
        <v>2</v>
      </c>
      <c r="F5325" s="515" t="s">
        <v>6569</v>
      </c>
      <c r="G5325" s="52">
        <v>222453.12092738401</v>
      </c>
      <c r="H5325" s="56">
        <v>9.6454950242040469E-2</v>
      </c>
      <c r="I5325" s="224" t="s">
        <v>2</v>
      </c>
    </row>
    <row r="5326" spans="1:9" x14ac:dyDescent="0.25">
      <c r="A5326" s="515">
        <v>19803</v>
      </c>
      <c r="B5326" s="515" t="s">
        <v>294</v>
      </c>
      <c r="C5326" s="52">
        <v>440973.48977018701</v>
      </c>
      <c r="D5326" s="56">
        <v>4.6148401241048582E-2</v>
      </c>
      <c r="E5326" s="224" t="s">
        <v>2</v>
      </c>
      <c r="F5326" s="515" t="s">
        <v>6570</v>
      </c>
      <c r="G5326" s="52">
        <v>447963.01053646498</v>
      </c>
      <c r="H5326" s="56">
        <v>0.1294775113002801</v>
      </c>
      <c r="I5326" s="224">
        <v>7533.3333333333303</v>
      </c>
    </row>
    <row r="5327" spans="1:9" x14ac:dyDescent="0.25">
      <c r="A5327" s="515">
        <v>84040</v>
      </c>
      <c r="B5327" s="515" t="s">
        <v>628</v>
      </c>
      <c r="C5327" s="52">
        <v>541715.49641580204</v>
      </c>
      <c r="D5327" s="56">
        <v>1.2387988863224959E-2</v>
      </c>
      <c r="E5327" s="224" t="s">
        <v>2</v>
      </c>
      <c r="F5327" s="515" t="s">
        <v>6571</v>
      </c>
      <c r="G5327" s="52">
        <v>355860.92915578297</v>
      </c>
      <c r="H5327" s="56">
        <v>7.7883471296198714E-2</v>
      </c>
      <c r="I5327" s="224" t="s">
        <v>2</v>
      </c>
    </row>
    <row r="5328" spans="1:9" x14ac:dyDescent="0.25">
      <c r="A5328" s="515">
        <v>30314</v>
      </c>
      <c r="B5328" s="515" t="s">
        <v>957</v>
      </c>
      <c r="C5328" s="52">
        <v>252671.18027234101</v>
      </c>
      <c r="D5328" s="56">
        <v>0.13201872639101458</v>
      </c>
      <c r="E5328" s="224">
        <v>1884.1587301587299</v>
      </c>
      <c r="F5328" s="515" t="s">
        <v>6572</v>
      </c>
      <c r="G5328" s="52">
        <v>457707.44842226</v>
      </c>
      <c r="H5328" s="56">
        <v>1.4178784781476168E-2</v>
      </c>
      <c r="I5328" s="224" t="s">
        <v>2</v>
      </c>
    </row>
    <row r="5329" spans="1:9" x14ac:dyDescent="0.25">
      <c r="A5329" s="515">
        <v>20720</v>
      </c>
      <c r="B5329" s="515" t="s">
        <v>321</v>
      </c>
      <c r="C5329" s="52">
        <v>529741.46740371396</v>
      </c>
      <c r="D5329" s="56">
        <v>2.9545068845430855E-2</v>
      </c>
      <c r="E5329" s="224">
        <v>2800</v>
      </c>
      <c r="F5329" s="515" t="s">
        <v>6573</v>
      </c>
      <c r="G5329" s="52">
        <v>372765.43088310701</v>
      </c>
      <c r="H5329" s="56">
        <v>6.0009290425858321E-2</v>
      </c>
      <c r="I5329" s="224">
        <v>1596.1666666666599</v>
      </c>
    </row>
    <row r="5330" spans="1:9" x14ac:dyDescent="0.25">
      <c r="A5330" s="515">
        <v>44138</v>
      </c>
      <c r="B5330" s="515" t="s">
        <v>520</v>
      </c>
      <c r="C5330" s="52">
        <v>241087.74003897299</v>
      </c>
      <c r="D5330" s="56">
        <v>7.5324067118533539E-2</v>
      </c>
      <c r="E5330" s="224" t="s">
        <v>2</v>
      </c>
      <c r="F5330" s="515" t="s">
        <v>6574</v>
      </c>
      <c r="G5330" s="52">
        <v>150691.664982032</v>
      </c>
      <c r="H5330" s="56">
        <v>7.2795685495075105E-2</v>
      </c>
      <c r="I5330" s="224" t="s">
        <v>2</v>
      </c>
    </row>
    <row r="5331" spans="1:9" x14ac:dyDescent="0.25">
      <c r="A5331" s="515">
        <v>76310</v>
      </c>
      <c r="B5331" s="515" t="s">
        <v>328</v>
      </c>
      <c r="C5331" s="52">
        <v>218434.203668601</v>
      </c>
      <c r="D5331" s="56">
        <v>8.9892652962597033E-2</v>
      </c>
      <c r="E5331" s="224" t="s">
        <v>2</v>
      </c>
      <c r="F5331" s="515" t="s">
        <v>6575</v>
      </c>
      <c r="G5331" s="52">
        <v>744294.01897782704</v>
      </c>
      <c r="H5331" s="56">
        <v>4.4918416271410577E-2</v>
      </c>
      <c r="I5331" s="224" t="s">
        <v>2</v>
      </c>
    </row>
    <row r="5332" spans="1:9" x14ac:dyDescent="0.25">
      <c r="A5332" s="515">
        <v>49601</v>
      </c>
      <c r="B5332" s="515" t="s">
        <v>937</v>
      </c>
      <c r="C5332" s="52">
        <v>179385.70852150299</v>
      </c>
      <c r="D5332" s="56">
        <v>8.0704595853674038E-2</v>
      </c>
      <c r="E5332" s="224" t="s">
        <v>2</v>
      </c>
      <c r="F5332" s="515" t="s">
        <v>6576</v>
      </c>
      <c r="G5332" s="52">
        <v>225773.94948513099</v>
      </c>
      <c r="H5332" s="56">
        <v>5.7308799858542661E-2</v>
      </c>
      <c r="I5332" s="224" t="s">
        <v>2</v>
      </c>
    </row>
    <row r="5333" spans="1:9" x14ac:dyDescent="0.25">
      <c r="A5333" s="515">
        <v>32548</v>
      </c>
      <c r="B5333" s="515" t="s">
        <v>1078</v>
      </c>
      <c r="C5333" s="52">
        <v>343174.60934497701</v>
      </c>
      <c r="D5333" s="56">
        <v>9.2630638557156836E-2</v>
      </c>
      <c r="E5333" s="224">
        <v>1598.05555555555</v>
      </c>
      <c r="F5333" s="515" t="s">
        <v>6577</v>
      </c>
      <c r="G5333" s="52">
        <v>217120.738085519</v>
      </c>
      <c r="H5333" s="56">
        <v>2.2538072627572694E-2</v>
      </c>
      <c r="I5333" s="224" t="s">
        <v>2</v>
      </c>
    </row>
    <row r="5334" spans="1:9" x14ac:dyDescent="0.25">
      <c r="A5334" s="515">
        <v>66109</v>
      </c>
      <c r="B5334" s="515" t="s">
        <v>455</v>
      </c>
      <c r="C5334" s="52">
        <v>279891.82532255899</v>
      </c>
      <c r="D5334" s="56">
        <v>7.2626883982126245E-2</v>
      </c>
      <c r="E5334" s="224">
        <v>1550.1666666666599</v>
      </c>
      <c r="F5334" s="515" t="s">
        <v>6578</v>
      </c>
      <c r="G5334" s="52">
        <v>499473.47434683703</v>
      </c>
      <c r="H5334" s="56">
        <v>4.8938925087295068E-2</v>
      </c>
      <c r="I5334" s="224" t="s">
        <v>2</v>
      </c>
    </row>
    <row r="5335" spans="1:9" x14ac:dyDescent="0.25">
      <c r="A5335" s="515">
        <v>48327</v>
      </c>
      <c r="B5335" s="515" t="s">
        <v>685</v>
      </c>
      <c r="C5335" s="52">
        <v>243522.007012079</v>
      </c>
      <c r="D5335" s="56">
        <v>2.914085809665563E-2</v>
      </c>
      <c r="E5335" s="224" t="s">
        <v>2</v>
      </c>
      <c r="F5335" s="515" t="s">
        <v>6579</v>
      </c>
      <c r="G5335" s="52">
        <v>90805.585202886607</v>
      </c>
      <c r="H5335" s="56">
        <v>0.12296865323754722</v>
      </c>
      <c r="I5335" s="224" t="s">
        <v>2</v>
      </c>
    </row>
    <row r="5336" spans="1:9" x14ac:dyDescent="0.25">
      <c r="A5336" s="515">
        <v>61615</v>
      </c>
      <c r="B5336" s="515" t="s">
        <v>303</v>
      </c>
      <c r="C5336" s="52">
        <v>194862.20304300301</v>
      </c>
      <c r="D5336" s="56">
        <v>7.9050518447681628E-2</v>
      </c>
      <c r="E5336" s="224">
        <v>1250</v>
      </c>
      <c r="F5336" s="515" t="s">
        <v>6580</v>
      </c>
      <c r="G5336" s="52">
        <v>655206.63103660697</v>
      </c>
      <c r="H5336" s="56">
        <v>4.5265621470351777E-2</v>
      </c>
      <c r="I5336" s="224" t="s">
        <v>2</v>
      </c>
    </row>
    <row r="5337" spans="1:9" x14ac:dyDescent="0.25">
      <c r="A5337" s="515">
        <v>79407</v>
      </c>
      <c r="B5337" s="515" t="s">
        <v>354</v>
      </c>
      <c r="C5337" s="52">
        <v>204682.944568879</v>
      </c>
      <c r="D5337" s="56">
        <v>9.4866155167577432E-2</v>
      </c>
      <c r="E5337" s="224">
        <v>1068.7222222222199</v>
      </c>
      <c r="F5337" s="515" t="s">
        <v>6581</v>
      </c>
      <c r="G5337" s="52">
        <v>754898.25932214397</v>
      </c>
      <c r="H5337" s="56">
        <v>4.444890766663151E-2</v>
      </c>
      <c r="I5337" s="224" t="s">
        <v>2</v>
      </c>
    </row>
    <row r="5338" spans="1:9" x14ac:dyDescent="0.25">
      <c r="A5338" s="515">
        <v>32763</v>
      </c>
      <c r="B5338" s="515" t="s">
        <v>974</v>
      </c>
      <c r="C5338" s="52">
        <v>278909.61383530899</v>
      </c>
      <c r="D5338" s="56">
        <v>0.1145809091367503</v>
      </c>
      <c r="E5338" s="224">
        <v>1690.625</v>
      </c>
      <c r="F5338" s="515" t="s">
        <v>6582</v>
      </c>
      <c r="G5338" s="52">
        <v>211806.57695831399</v>
      </c>
      <c r="H5338" s="56">
        <v>5.3096704757417061E-2</v>
      </c>
      <c r="I5338" s="224" t="s">
        <v>2</v>
      </c>
    </row>
    <row r="5339" spans="1:9" x14ac:dyDescent="0.25">
      <c r="A5339" s="515">
        <v>68127</v>
      </c>
      <c r="B5339" s="515" t="s">
        <v>367</v>
      </c>
      <c r="C5339" s="52">
        <v>247556.479307008</v>
      </c>
      <c r="D5339" s="56">
        <v>5.0880165049021625E-2</v>
      </c>
      <c r="E5339" s="224">
        <v>984.52991452991398</v>
      </c>
      <c r="F5339" s="515" t="s">
        <v>6583</v>
      </c>
      <c r="G5339" s="52">
        <v>644947.77408153703</v>
      </c>
      <c r="H5339" s="56">
        <v>3.5276953359896668E-2</v>
      </c>
      <c r="I5339" s="224" t="s">
        <v>2</v>
      </c>
    </row>
    <row r="5340" spans="1:9" x14ac:dyDescent="0.25">
      <c r="A5340" s="515">
        <v>46970</v>
      </c>
      <c r="B5340" s="515" t="s">
        <v>547</v>
      </c>
      <c r="C5340" s="52">
        <v>116845.56291127299</v>
      </c>
      <c r="D5340" s="56">
        <v>4.5306827305716953E-2</v>
      </c>
      <c r="E5340" s="224" t="s">
        <v>2</v>
      </c>
      <c r="F5340" s="515" t="s">
        <v>6584</v>
      </c>
      <c r="G5340" s="52">
        <v>262816.18981075002</v>
      </c>
      <c r="H5340" s="56">
        <v>0.16109601748487429</v>
      </c>
      <c r="I5340" s="224" t="s">
        <v>2</v>
      </c>
    </row>
    <row r="5341" spans="1:9" x14ac:dyDescent="0.25">
      <c r="A5341" s="515">
        <v>55420</v>
      </c>
      <c r="B5341" s="515" t="s">
        <v>532</v>
      </c>
      <c r="C5341" s="52">
        <v>301830.28988424601</v>
      </c>
      <c r="D5341" s="56">
        <v>4.0533709811085637E-2</v>
      </c>
      <c r="E5341" s="224" t="s">
        <v>2</v>
      </c>
      <c r="F5341" s="515" t="s">
        <v>6585</v>
      </c>
      <c r="G5341" s="52">
        <v>234836.43403292101</v>
      </c>
      <c r="H5341" s="56">
        <v>-4.1438848104055896E-2</v>
      </c>
      <c r="I5341" s="224">
        <v>1612.5</v>
      </c>
    </row>
    <row r="5342" spans="1:9" x14ac:dyDescent="0.25">
      <c r="A5342" s="515">
        <v>32311</v>
      </c>
      <c r="B5342" s="515" t="s">
        <v>335</v>
      </c>
      <c r="C5342" s="52">
        <v>298447.709886597</v>
      </c>
      <c r="D5342" s="56">
        <v>8.2118764125812413E-2</v>
      </c>
      <c r="E5342" s="224">
        <v>1650.2658730158701</v>
      </c>
      <c r="F5342" s="515" t="s">
        <v>6586</v>
      </c>
      <c r="G5342" s="52">
        <v>300952.65594091499</v>
      </c>
      <c r="H5342" s="56">
        <v>1.301915553771316E-2</v>
      </c>
      <c r="I5342" s="224" t="s">
        <v>2</v>
      </c>
    </row>
    <row r="5343" spans="1:9" x14ac:dyDescent="0.25">
      <c r="A5343" s="515">
        <v>3801</v>
      </c>
      <c r="B5343" s="515" t="s">
        <v>534</v>
      </c>
      <c r="C5343" s="52">
        <v>637703.25585805101</v>
      </c>
      <c r="D5343" s="56">
        <v>0.13228773040346228</v>
      </c>
      <c r="E5343" s="224">
        <v>2529.0555555555502</v>
      </c>
      <c r="F5343" s="515" t="s">
        <v>6587</v>
      </c>
      <c r="G5343" s="52">
        <v>83939.176330069706</v>
      </c>
      <c r="H5343" s="56">
        <v>3.6102395867489222E-2</v>
      </c>
      <c r="I5343" s="224" t="s">
        <v>2</v>
      </c>
    </row>
    <row r="5344" spans="1:9" x14ac:dyDescent="0.25">
      <c r="A5344" s="515">
        <v>1602</v>
      </c>
      <c r="B5344" s="515" t="s">
        <v>751</v>
      </c>
      <c r="C5344" s="52">
        <v>382220.91417973302</v>
      </c>
      <c r="D5344" s="56">
        <v>8.0485124151532236E-2</v>
      </c>
      <c r="E5344" s="224">
        <v>2075</v>
      </c>
      <c r="F5344" s="515" t="s">
        <v>6588</v>
      </c>
      <c r="G5344" s="52">
        <v>113314.800853455</v>
      </c>
      <c r="H5344" s="56">
        <v>-6.9453484314721411E-2</v>
      </c>
      <c r="I5344" s="224" t="s">
        <v>2</v>
      </c>
    </row>
    <row r="5345" spans="1:9" x14ac:dyDescent="0.25">
      <c r="A5345" s="515">
        <v>45212</v>
      </c>
      <c r="B5345" s="515" t="s">
        <v>344</v>
      </c>
      <c r="C5345" s="52">
        <v>208289.93901433799</v>
      </c>
      <c r="D5345" s="56">
        <v>5.7279809583996914E-2</v>
      </c>
      <c r="E5345" s="224">
        <v>1145.37777777777</v>
      </c>
      <c r="F5345" s="515" t="s">
        <v>6589</v>
      </c>
      <c r="G5345" s="52">
        <v>411599.276895925</v>
      </c>
      <c r="H5345" s="56">
        <v>0.12324053388337031</v>
      </c>
      <c r="I5345" s="224" t="s">
        <v>2</v>
      </c>
    </row>
    <row r="5346" spans="1:9" x14ac:dyDescent="0.25">
      <c r="A5346" s="515">
        <v>14020</v>
      </c>
      <c r="B5346" s="515" t="s">
        <v>1014</v>
      </c>
      <c r="C5346" s="52">
        <v>161888.773758564</v>
      </c>
      <c r="D5346" s="56">
        <v>7.6984707077380657E-2</v>
      </c>
      <c r="E5346" s="224" t="s">
        <v>2</v>
      </c>
      <c r="F5346" s="515" t="s">
        <v>6590</v>
      </c>
      <c r="G5346" s="52">
        <v>148221.847552208</v>
      </c>
      <c r="H5346" s="56">
        <v>8.0471901202544036E-2</v>
      </c>
      <c r="I5346" s="224" t="s">
        <v>2</v>
      </c>
    </row>
    <row r="5347" spans="1:9" x14ac:dyDescent="0.25">
      <c r="A5347" s="515">
        <v>28443</v>
      </c>
      <c r="B5347" s="515" t="s">
        <v>1038</v>
      </c>
      <c r="C5347" s="52">
        <v>442691.53629276197</v>
      </c>
      <c r="D5347" s="56">
        <v>0.1211961487893484</v>
      </c>
      <c r="E5347" s="224">
        <v>2032.5</v>
      </c>
      <c r="F5347" s="515" t="s">
        <v>6591</v>
      </c>
      <c r="G5347" s="52">
        <v>499710.57761735201</v>
      </c>
      <c r="H5347" s="56">
        <v>8.7232281430653577E-2</v>
      </c>
      <c r="I5347" s="224" t="s">
        <v>2</v>
      </c>
    </row>
    <row r="5348" spans="1:9" x14ac:dyDescent="0.25">
      <c r="A5348" s="515">
        <v>33542</v>
      </c>
      <c r="B5348" s="515" t="s">
        <v>461</v>
      </c>
      <c r="C5348" s="52">
        <v>227567.592937204</v>
      </c>
      <c r="D5348" s="56">
        <v>0.14091798970068045</v>
      </c>
      <c r="E5348" s="224">
        <v>1697.6507936507901</v>
      </c>
      <c r="F5348" s="515" t="s">
        <v>6592</v>
      </c>
      <c r="G5348" s="52">
        <v>110280.734552724</v>
      </c>
      <c r="H5348" s="56">
        <v>8.4155398778007678E-2</v>
      </c>
      <c r="I5348" s="224" t="s">
        <v>2</v>
      </c>
    </row>
    <row r="5349" spans="1:9" x14ac:dyDescent="0.25">
      <c r="A5349" s="515">
        <v>83714</v>
      </c>
      <c r="B5349" s="515" t="s">
        <v>500</v>
      </c>
      <c r="C5349" s="52">
        <v>524230.93164244801</v>
      </c>
      <c r="D5349" s="56">
        <v>-4.0603860078367665E-2</v>
      </c>
      <c r="E5349" s="224">
        <v>2044.8333333333301</v>
      </c>
      <c r="F5349" s="515" t="s">
        <v>6593</v>
      </c>
      <c r="G5349" s="52">
        <v>190043.92054648101</v>
      </c>
      <c r="H5349" s="56">
        <v>0.11267738772296464</v>
      </c>
      <c r="I5349" s="224" t="s">
        <v>2</v>
      </c>
    </row>
    <row r="5350" spans="1:9" x14ac:dyDescent="0.25">
      <c r="A5350" s="515">
        <v>80132</v>
      </c>
      <c r="B5350" s="515" t="s">
        <v>701</v>
      </c>
      <c r="C5350" s="52">
        <v>720199.87397245003</v>
      </c>
      <c r="D5350" s="56">
        <v>2.5990776469124389E-2</v>
      </c>
      <c r="E5350" s="224">
        <v>2115.9166666666601</v>
      </c>
      <c r="F5350" s="515" t="s">
        <v>386</v>
      </c>
      <c r="G5350" s="52">
        <v>99515.970216993504</v>
      </c>
      <c r="H5350" s="56">
        <v>5.6222095293545965E-2</v>
      </c>
      <c r="I5350" s="224" t="s">
        <v>2</v>
      </c>
    </row>
    <row r="5351" spans="1:9" x14ac:dyDescent="0.25">
      <c r="A5351" s="515">
        <v>37069</v>
      </c>
      <c r="B5351" s="515" t="s">
        <v>684</v>
      </c>
      <c r="C5351" s="52">
        <v>821322.34272367298</v>
      </c>
      <c r="D5351" s="56">
        <v>0.11159393577094225</v>
      </c>
      <c r="E5351" s="224" t="s">
        <v>2</v>
      </c>
      <c r="F5351" s="515" t="s">
        <v>6594</v>
      </c>
      <c r="G5351" s="52">
        <v>402743.19726862002</v>
      </c>
      <c r="H5351" s="56">
        <v>0.15470767203651675</v>
      </c>
      <c r="I5351" s="224" t="s">
        <v>2</v>
      </c>
    </row>
    <row r="5352" spans="1:9" x14ac:dyDescent="0.25">
      <c r="A5352" s="515">
        <v>46311</v>
      </c>
      <c r="B5352" s="515" t="s">
        <v>394</v>
      </c>
      <c r="C5352" s="52">
        <v>324164.74180895399</v>
      </c>
      <c r="D5352" s="56">
        <v>5.0723151590537738E-2</v>
      </c>
      <c r="E5352" s="224" t="s">
        <v>2</v>
      </c>
      <c r="F5352" s="515" t="s">
        <v>6595</v>
      </c>
      <c r="G5352" s="52">
        <v>289686.85850803298</v>
      </c>
      <c r="H5352" s="56">
        <v>9.3239992904096486E-2</v>
      </c>
      <c r="I5352" s="224" t="s">
        <v>2</v>
      </c>
    </row>
    <row r="5353" spans="1:9" x14ac:dyDescent="0.25">
      <c r="A5353" s="515">
        <v>78566</v>
      </c>
      <c r="B5353" s="515" t="s">
        <v>444</v>
      </c>
      <c r="C5353" s="52">
        <v>154215.383851486</v>
      </c>
      <c r="D5353" s="56">
        <v>7.2571542988494386E-2</v>
      </c>
      <c r="E5353" s="224" t="s">
        <v>2</v>
      </c>
      <c r="F5353" s="515" t="s">
        <v>6596</v>
      </c>
      <c r="G5353" s="52">
        <v>679798.52939019795</v>
      </c>
      <c r="H5353" s="56">
        <v>0.11413354774141414</v>
      </c>
      <c r="I5353" s="224" t="s">
        <v>2</v>
      </c>
    </row>
    <row r="5354" spans="1:9" x14ac:dyDescent="0.25">
      <c r="A5354" s="515">
        <v>89169</v>
      </c>
      <c r="B5354" s="515" t="s">
        <v>323</v>
      </c>
      <c r="C5354" s="52">
        <v>265711.37310092599</v>
      </c>
      <c r="D5354" s="56">
        <v>0.11036904308043216</v>
      </c>
      <c r="E5354" s="224">
        <v>1666.38227513227</v>
      </c>
      <c r="F5354" s="515" t="s">
        <v>6597</v>
      </c>
      <c r="G5354" s="52">
        <v>352549.46776343201</v>
      </c>
      <c r="H5354" s="56">
        <v>5.4167009928043651E-2</v>
      </c>
      <c r="I5354" s="224" t="s">
        <v>2</v>
      </c>
    </row>
    <row r="5355" spans="1:9" x14ac:dyDescent="0.25">
      <c r="A5355" s="515">
        <v>98292</v>
      </c>
      <c r="B5355" s="515" t="s">
        <v>384</v>
      </c>
      <c r="C5355" s="52">
        <v>640915.79179735901</v>
      </c>
      <c r="D5355" s="56">
        <v>1.7384445427890683E-2</v>
      </c>
      <c r="E5355" s="224" t="s">
        <v>2</v>
      </c>
      <c r="F5355" s="515" t="s">
        <v>6598</v>
      </c>
      <c r="G5355" s="52">
        <v>160355.41230148799</v>
      </c>
      <c r="H5355" s="56">
        <v>8.5629110125387375E-2</v>
      </c>
      <c r="I5355" s="224" t="s">
        <v>2</v>
      </c>
    </row>
    <row r="5356" spans="1:9" x14ac:dyDescent="0.25">
      <c r="A5356" s="515">
        <v>27701</v>
      </c>
      <c r="B5356" s="515" t="s">
        <v>467</v>
      </c>
      <c r="C5356" s="52">
        <v>393116.63400454703</v>
      </c>
      <c r="D5356" s="56">
        <v>7.621091130250765E-2</v>
      </c>
      <c r="E5356" s="224">
        <v>1684.1937728937701</v>
      </c>
      <c r="F5356" s="515" t="s">
        <v>6599</v>
      </c>
      <c r="G5356" s="52">
        <v>419520.53731418302</v>
      </c>
      <c r="H5356" s="56">
        <v>4.19299235222979E-2</v>
      </c>
      <c r="I5356" s="224" t="s">
        <v>2</v>
      </c>
    </row>
    <row r="5357" spans="1:9" x14ac:dyDescent="0.25">
      <c r="A5357" s="515">
        <v>31503</v>
      </c>
      <c r="B5357" s="515" t="s">
        <v>824</v>
      </c>
      <c r="C5357" s="52">
        <v>117825.521653847</v>
      </c>
      <c r="D5357" s="56">
        <v>9.0286798822615214E-2</v>
      </c>
      <c r="E5357" s="224" t="s">
        <v>2</v>
      </c>
      <c r="F5357" s="515" t="s">
        <v>6600</v>
      </c>
      <c r="G5357" s="52">
        <v>127465.96276138999</v>
      </c>
      <c r="H5357" s="56">
        <v>1.2395693203703081E-2</v>
      </c>
      <c r="I5357" s="224" t="s">
        <v>2</v>
      </c>
    </row>
    <row r="5358" spans="1:9" x14ac:dyDescent="0.25">
      <c r="A5358" s="515">
        <v>2116</v>
      </c>
      <c r="B5358" s="515" t="s">
        <v>534</v>
      </c>
      <c r="C5358" s="52">
        <v>1177830.63571634</v>
      </c>
      <c r="D5358" s="56">
        <v>-7.1565983045996664E-2</v>
      </c>
      <c r="E5358" s="224">
        <v>3220.8960113960102</v>
      </c>
      <c r="F5358" s="515" t="s">
        <v>6601</v>
      </c>
      <c r="G5358" s="52">
        <v>267109.39564000297</v>
      </c>
      <c r="H5358" s="56">
        <v>5.5001097139317459E-2</v>
      </c>
      <c r="I5358" s="224" t="s">
        <v>2</v>
      </c>
    </row>
    <row r="5359" spans="1:9" x14ac:dyDescent="0.25">
      <c r="A5359" s="515">
        <v>98177</v>
      </c>
      <c r="B5359" s="515" t="s">
        <v>384</v>
      </c>
      <c r="C5359" s="52">
        <v>1019023.3210172</v>
      </c>
      <c r="D5359" s="56">
        <v>4.4005009476968927E-2</v>
      </c>
      <c r="E5359" s="224">
        <v>3450</v>
      </c>
      <c r="F5359" s="515" t="s">
        <v>6602</v>
      </c>
      <c r="G5359" s="52">
        <v>282418.45287143101</v>
      </c>
      <c r="H5359" s="56">
        <v>6.7457324806281929E-2</v>
      </c>
      <c r="I5359" s="224" t="s">
        <v>2</v>
      </c>
    </row>
    <row r="5360" spans="1:9" x14ac:dyDescent="0.25">
      <c r="A5360" s="515">
        <v>82007</v>
      </c>
      <c r="B5360" s="515" t="s">
        <v>639</v>
      </c>
      <c r="C5360" s="52">
        <v>276191.46710191999</v>
      </c>
      <c r="D5360" s="56">
        <v>2.132074994725263E-2</v>
      </c>
      <c r="E5360" s="224">
        <v>1200.8333333333301</v>
      </c>
      <c r="F5360" s="515" t="s">
        <v>6603</v>
      </c>
      <c r="G5360" s="52">
        <v>195900.96653769599</v>
      </c>
      <c r="H5360" s="56">
        <v>7.1612282088171608E-2</v>
      </c>
      <c r="I5360" s="224" t="s">
        <v>2</v>
      </c>
    </row>
    <row r="5361" spans="1:9" x14ac:dyDescent="0.25">
      <c r="A5361" s="515">
        <v>60450</v>
      </c>
      <c r="B5361" s="515" t="s">
        <v>394</v>
      </c>
      <c r="C5361" s="52">
        <v>250061.27670789999</v>
      </c>
      <c r="D5361" s="56">
        <v>4.0869776349775962E-2</v>
      </c>
      <c r="E5361" s="224" t="s">
        <v>2</v>
      </c>
      <c r="F5361" s="515" t="s">
        <v>6604</v>
      </c>
      <c r="G5361" s="52">
        <v>365740.56139304698</v>
      </c>
      <c r="H5361" s="56">
        <v>5.9034585058308192E-2</v>
      </c>
      <c r="I5361" s="224" t="s">
        <v>2</v>
      </c>
    </row>
    <row r="5362" spans="1:9" x14ac:dyDescent="0.25">
      <c r="A5362" s="515">
        <v>14220</v>
      </c>
      <c r="B5362" s="515" t="s">
        <v>336</v>
      </c>
      <c r="C5362" s="52">
        <v>195971.18973697201</v>
      </c>
      <c r="D5362" s="56">
        <v>9.2904832576935117E-2</v>
      </c>
      <c r="E5362" s="224">
        <v>957.5</v>
      </c>
      <c r="F5362" s="515" t="s">
        <v>6605</v>
      </c>
      <c r="G5362" s="52">
        <v>250231.03118578499</v>
      </c>
      <c r="H5362" s="56">
        <v>9.0571471131834932E-2</v>
      </c>
      <c r="I5362" s="224" t="s">
        <v>2</v>
      </c>
    </row>
    <row r="5363" spans="1:9" x14ac:dyDescent="0.25">
      <c r="A5363" s="515">
        <v>37334</v>
      </c>
      <c r="C5363" s="52">
        <v>208969.65024834301</v>
      </c>
      <c r="D5363" s="56">
        <v>9.370588444105489E-2</v>
      </c>
      <c r="E5363" s="224" t="s">
        <v>2</v>
      </c>
      <c r="F5363" s="515" t="s">
        <v>6606</v>
      </c>
      <c r="G5363" s="52">
        <v>115325.617905434</v>
      </c>
      <c r="H5363" s="56">
        <v>0.16934166008542481</v>
      </c>
      <c r="I5363" s="224" t="s">
        <v>2</v>
      </c>
    </row>
    <row r="5364" spans="1:9" x14ac:dyDescent="0.25">
      <c r="A5364" s="515">
        <v>33486</v>
      </c>
      <c r="B5364" s="515" t="s">
        <v>831</v>
      </c>
      <c r="C5364" s="52">
        <v>667689.53483585594</v>
      </c>
      <c r="D5364" s="56">
        <v>0.10288640353193483</v>
      </c>
      <c r="E5364" s="224">
        <v>2529.7222222222199</v>
      </c>
      <c r="F5364" s="515" t="s">
        <v>6607</v>
      </c>
      <c r="G5364" s="52">
        <v>843335.57210938504</v>
      </c>
      <c r="H5364" s="56">
        <v>3.9791872341558482E-2</v>
      </c>
      <c r="I5364" s="224">
        <v>2053</v>
      </c>
    </row>
    <row r="5365" spans="1:9" x14ac:dyDescent="0.25">
      <c r="A5365" s="515">
        <v>92344</v>
      </c>
      <c r="B5365" s="515" t="s">
        <v>599</v>
      </c>
      <c r="C5365" s="52">
        <v>465570.85850682401</v>
      </c>
      <c r="D5365" s="56">
        <v>9.4030839656611218E-3</v>
      </c>
      <c r="E5365" s="224" t="s">
        <v>2</v>
      </c>
      <c r="F5365" s="515" t="s">
        <v>6608</v>
      </c>
      <c r="G5365" s="52">
        <v>297816.66081284301</v>
      </c>
      <c r="H5365" s="56">
        <v>8.2858871824554009E-2</v>
      </c>
      <c r="I5365" s="224" t="s">
        <v>2</v>
      </c>
    </row>
    <row r="5366" spans="1:9" x14ac:dyDescent="0.25">
      <c r="A5366" s="515">
        <v>37091</v>
      </c>
      <c r="B5366" s="515" t="s">
        <v>877</v>
      </c>
      <c r="C5366" s="52">
        <v>257082.19323004101</v>
      </c>
      <c r="D5366" s="56">
        <v>7.4417459576610695E-2</v>
      </c>
      <c r="E5366" s="224" t="s">
        <v>2</v>
      </c>
      <c r="F5366" s="515" t="s">
        <v>6609</v>
      </c>
      <c r="G5366" s="52">
        <v>359366.64588101802</v>
      </c>
      <c r="H5366" s="56">
        <v>0.11083900974479689</v>
      </c>
      <c r="I5366" s="224">
        <v>2057.5925925925899</v>
      </c>
    </row>
    <row r="5367" spans="1:9" x14ac:dyDescent="0.25">
      <c r="A5367" s="515">
        <v>45242</v>
      </c>
      <c r="B5367" s="515" t="s">
        <v>344</v>
      </c>
      <c r="C5367" s="52">
        <v>418984.50847756898</v>
      </c>
      <c r="D5367" s="56">
        <v>6.2629094089490078E-2</v>
      </c>
      <c r="E5367" s="224">
        <v>1889.3412698412701</v>
      </c>
      <c r="F5367" s="515" t="s">
        <v>6610</v>
      </c>
      <c r="G5367" s="52">
        <v>232400.05520098901</v>
      </c>
      <c r="H5367" s="56">
        <v>0.13326918400156393</v>
      </c>
      <c r="I5367" s="224" t="s">
        <v>2</v>
      </c>
    </row>
    <row r="5368" spans="1:9" x14ac:dyDescent="0.25">
      <c r="A5368" s="515">
        <v>84720</v>
      </c>
      <c r="B5368" s="515" t="s">
        <v>571</v>
      </c>
      <c r="C5368" s="52">
        <v>423729.64236601401</v>
      </c>
      <c r="D5368" s="56">
        <v>3.0479156867713939E-2</v>
      </c>
      <c r="E5368" s="224" t="s">
        <v>2</v>
      </c>
      <c r="F5368" s="515" t="s">
        <v>6611</v>
      </c>
      <c r="G5368" s="52">
        <v>335847.13274174201</v>
      </c>
      <c r="H5368" s="56">
        <v>9.0240630640498698E-2</v>
      </c>
      <c r="I5368" s="224" t="s">
        <v>2</v>
      </c>
    </row>
    <row r="5369" spans="1:9" x14ac:dyDescent="0.25">
      <c r="A5369" s="515">
        <v>53916</v>
      </c>
      <c r="B5369" s="515" t="s">
        <v>955</v>
      </c>
      <c r="C5369" s="52">
        <v>213821.382092605</v>
      </c>
      <c r="D5369" s="56">
        <v>7.0070097823785649E-2</v>
      </c>
      <c r="E5369" s="224" t="s">
        <v>2</v>
      </c>
      <c r="F5369" s="515" t="s">
        <v>6612</v>
      </c>
      <c r="G5369" s="52">
        <v>419488.29445090302</v>
      </c>
      <c r="H5369" s="56">
        <v>9.3971224778551785E-2</v>
      </c>
      <c r="I5369" s="224" t="s">
        <v>2</v>
      </c>
    </row>
    <row r="5370" spans="1:9" x14ac:dyDescent="0.25">
      <c r="A5370" s="515">
        <v>76006</v>
      </c>
      <c r="B5370" s="515" t="s">
        <v>458</v>
      </c>
      <c r="C5370" s="52">
        <v>395171.08041775902</v>
      </c>
      <c r="D5370" s="56">
        <v>8.944323688189576E-2</v>
      </c>
      <c r="E5370" s="224">
        <v>1239.1806722689</v>
      </c>
      <c r="F5370" s="515" t="s">
        <v>6613</v>
      </c>
      <c r="G5370" s="52">
        <v>119303.72618563</v>
      </c>
      <c r="H5370" s="56">
        <v>0.21878481714463363</v>
      </c>
      <c r="I5370" s="224" t="s">
        <v>2</v>
      </c>
    </row>
    <row r="5371" spans="1:9" x14ac:dyDescent="0.25">
      <c r="A5371" s="515">
        <v>47240</v>
      </c>
      <c r="B5371" s="515" t="s">
        <v>1171</v>
      </c>
      <c r="C5371" s="52">
        <v>212989.962514988</v>
      </c>
      <c r="D5371" s="56">
        <v>6.0625268278399098E-2</v>
      </c>
      <c r="E5371" s="224" t="s">
        <v>2</v>
      </c>
      <c r="F5371" s="515" t="s">
        <v>6614</v>
      </c>
      <c r="G5371" s="52">
        <v>271894.399432968</v>
      </c>
      <c r="H5371" s="56">
        <v>6.8426320289634884E-2</v>
      </c>
      <c r="I5371" s="224" t="s">
        <v>2</v>
      </c>
    </row>
    <row r="5372" spans="1:9" x14ac:dyDescent="0.25">
      <c r="A5372" s="515">
        <v>53545</v>
      </c>
      <c r="B5372" s="515" t="s">
        <v>379</v>
      </c>
      <c r="C5372" s="52">
        <v>215690.02896024301</v>
      </c>
      <c r="D5372" s="56">
        <v>5.2706194490411425E-2</v>
      </c>
      <c r="E5372" s="224" t="s">
        <v>2</v>
      </c>
      <c r="F5372" s="515" t="s">
        <v>6615</v>
      </c>
      <c r="G5372" s="52">
        <v>525652.45963052998</v>
      </c>
      <c r="H5372" s="56">
        <v>4.697414749705095E-2</v>
      </c>
      <c r="I5372" s="224" t="s">
        <v>2</v>
      </c>
    </row>
    <row r="5373" spans="1:9" x14ac:dyDescent="0.25">
      <c r="A5373" s="515">
        <v>72116</v>
      </c>
      <c r="B5373" s="515" t="s">
        <v>393</v>
      </c>
      <c r="C5373" s="52">
        <v>223027.007540797</v>
      </c>
      <c r="D5373" s="56">
        <v>6.2089097262353315E-2</v>
      </c>
      <c r="E5373" s="224">
        <v>1274.5833333333301</v>
      </c>
      <c r="F5373" s="515" t="s">
        <v>6616</v>
      </c>
      <c r="G5373" s="52">
        <v>510730.31953644502</v>
      </c>
      <c r="H5373" s="56">
        <v>1.8086661410209186E-2</v>
      </c>
      <c r="I5373" s="224" t="s">
        <v>2</v>
      </c>
    </row>
    <row r="5374" spans="1:9" x14ac:dyDescent="0.25">
      <c r="A5374" s="515">
        <v>45066</v>
      </c>
      <c r="B5374" s="515" t="s">
        <v>344</v>
      </c>
      <c r="C5374" s="52">
        <v>375691.97391690401</v>
      </c>
      <c r="D5374" s="56">
        <v>9.1818684786251173E-2</v>
      </c>
      <c r="E5374" s="224">
        <v>948.33333333333303</v>
      </c>
      <c r="F5374" s="515" t="s">
        <v>6617</v>
      </c>
      <c r="G5374" s="52">
        <v>130599.384219746</v>
      </c>
      <c r="H5374" s="56">
        <v>4.1873558208968736E-2</v>
      </c>
      <c r="I5374" s="224" t="s">
        <v>2</v>
      </c>
    </row>
    <row r="5375" spans="1:9" x14ac:dyDescent="0.25">
      <c r="A5375" s="515">
        <v>40353</v>
      </c>
      <c r="B5375" s="515" t="s">
        <v>900</v>
      </c>
      <c r="C5375" s="52">
        <v>192143.58522895799</v>
      </c>
      <c r="D5375" s="56">
        <v>0.11554929314408226</v>
      </c>
      <c r="E5375" s="224">
        <v>1025</v>
      </c>
      <c r="F5375" s="515" t="s">
        <v>922</v>
      </c>
      <c r="G5375" s="52">
        <v>122376.10412858801</v>
      </c>
      <c r="H5375" s="56">
        <v>0.11944711887638061</v>
      </c>
      <c r="I5375" s="224" t="s">
        <v>2</v>
      </c>
    </row>
    <row r="5376" spans="1:9" x14ac:dyDescent="0.25">
      <c r="A5376" s="515">
        <v>33852</v>
      </c>
      <c r="B5376" s="515" t="s">
        <v>1099</v>
      </c>
      <c r="C5376" s="52">
        <v>254521.74368092199</v>
      </c>
      <c r="D5376" s="56">
        <v>0.13053832967510159</v>
      </c>
      <c r="E5376" s="224" t="s">
        <v>2</v>
      </c>
      <c r="F5376" s="515" t="s">
        <v>6618</v>
      </c>
      <c r="G5376" s="52">
        <v>157176.36571199499</v>
      </c>
      <c r="H5376" s="56">
        <v>-4.1577573068824984E-3</v>
      </c>
      <c r="I5376" s="224" t="s">
        <v>2</v>
      </c>
    </row>
    <row r="5377" spans="1:9" x14ac:dyDescent="0.25">
      <c r="A5377" s="515">
        <v>55038</v>
      </c>
      <c r="B5377" s="515" t="s">
        <v>532</v>
      </c>
      <c r="C5377" s="52">
        <v>412290.43073895201</v>
      </c>
      <c r="D5377" s="56">
        <v>4.4443079586334033E-2</v>
      </c>
      <c r="E5377" s="224" t="s">
        <v>2</v>
      </c>
      <c r="F5377" s="515" t="s">
        <v>6619</v>
      </c>
      <c r="G5377" s="52">
        <v>162744.13389977501</v>
      </c>
      <c r="H5377" s="56">
        <v>5.6995204266537952E-2</v>
      </c>
      <c r="I5377" s="224" t="s">
        <v>2</v>
      </c>
    </row>
    <row r="5378" spans="1:9" x14ac:dyDescent="0.25">
      <c r="A5378" s="515">
        <v>14211</v>
      </c>
      <c r="B5378" s="515" t="s">
        <v>336</v>
      </c>
      <c r="C5378" s="52">
        <v>82569.735254059997</v>
      </c>
      <c r="D5378" s="56">
        <v>0.10774159396851549</v>
      </c>
      <c r="E5378" s="224" t="s">
        <v>2</v>
      </c>
      <c r="F5378" s="515" t="s">
        <v>6620</v>
      </c>
      <c r="G5378" s="52">
        <v>485407.14966091601</v>
      </c>
      <c r="H5378" s="56">
        <v>8.1088362040760781E-2</v>
      </c>
      <c r="I5378" s="224" t="s">
        <v>2</v>
      </c>
    </row>
    <row r="5379" spans="1:9" x14ac:dyDescent="0.25">
      <c r="A5379" s="515">
        <v>46805</v>
      </c>
      <c r="B5379" s="515" t="s">
        <v>1031</v>
      </c>
      <c r="C5379" s="52">
        <v>149648.46513957201</v>
      </c>
      <c r="D5379" s="56">
        <v>7.1510731892813179E-2</v>
      </c>
      <c r="E5379" s="224">
        <v>945.41666666666595</v>
      </c>
      <c r="F5379" s="515" t="s">
        <v>6621</v>
      </c>
      <c r="G5379" s="52">
        <v>435539.04052166903</v>
      </c>
      <c r="H5379" s="56">
        <v>-4.3010170783412249E-3</v>
      </c>
      <c r="I5379" s="224" t="s">
        <v>2</v>
      </c>
    </row>
    <row r="5380" spans="1:9" x14ac:dyDescent="0.25">
      <c r="A5380" s="515">
        <v>27101</v>
      </c>
      <c r="B5380" s="515" t="s">
        <v>735</v>
      </c>
      <c r="C5380" s="52">
        <v>180817.22470426199</v>
      </c>
      <c r="D5380" s="56">
        <v>0.15695214843373315</v>
      </c>
      <c r="E5380" s="224">
        <v>1488.7242424242399</v>
      </c>
      <c r="F5380" s="515" t="s">
        <v>6622</v>
      </c>
      <c r="G5380" s="52">
        <v>176706.31751233901</v>
      </c>
      <c r="H5380" s="56">
        <v>6.6468357830562902E-2</v>
      </c>
      <c r="I5380" s="224" t="s">
        <v>2</v>
      </c>
    </row>
    <row r="5381" spans="1:9" x14ac:dyDescent="0.25">
      <c r="A5381" s="515">
        <v>95135</v>
      </c>
      <c r="B5381" s="515" t="s">
        <v>850</v>
      </c>
      <c r="C5381" s="52">
        <v>1507988.8652289801</v>
      </c>
      <c r="D5381" s="56">
        <v>2.4833654009401258E-2</v>
      </c>
      <c r="E5381" s="224">
        <v>3950</v>
      </c>
      <c r="F5381" s="515" t="s">
        <v>6623</v>
      </c>
      <c r="G5381" s="52">
        <v>186121.632523051</v>
      </c>
      <c r="H5381" s="56">
        <v>7.8711144822059181E-2</v>
      </c>
      <c r="I5381" s="224" t="s">
        <v>2</v>
      </c>
    </row>
    <row r="5382" spans="1:9" x14ac:dyDescent="0.25">
      <c r="A5382" s="515">
        <v>97338</v>
      </c>
      <c r="B5382" s="515" t="s">
        <v>416</v>
      </c>
      <c r="C5382" s="52">
        <v>431170.88634737098</v>
      </c>
      <c r="D5382" s="56">
        <v>5.046500892408777E-2</v>
      </c>
      <c r="E5382" s="224">
        <v>1325</v>
      </c>
      <c r="F5382" s="515" t="s">
        <v>6624</v>
      </c>
      <c r="G5382" s="52">
        <v>557976.67154327501</v>
      </c>
      <c r="H5382" s="56">
        <v>5.1694238504097899E-2</v>
      </c>
      <c r="I5382" s="224" t="s">
        <v>2</v>
      </c>
    </row>
    <row r="5383" spans="1:9" x14ac:dyDescent="0.25">
      <c r="A5383" s="515">
        <v>3110</v>
      </c>
      <c r="B5383" s="515" t="s">
        <v>996</v>
      </c>
      <c r="C5383" s="52">
        <v>621362.76452902402</v>
      </c>
      <c r="D5383" s="56">
        <v>6.378627100407136E-2</v>
      </c>
      <c r="E5383" s="224" t="s">
        <v>2</v>
      </c>
      <c r="F5383" s="515" t="s">
        <v>6625</v>
      </c>
      <c r="G5383" s="52">
        <v>255544.34279650601</v>
      </c>
      <c r="H5383" s="56">
        <v>2.0600608079237681E-3</v>
      </c>
      <c r="I5383" s="224" t="s">
        <v>2</v>
      </c>
    </row>
    <row r="5384" spans="1:9" x14ac:dyDescent="0.25">
      <c r="A5384" s="515">
        <v>46580</v>
      </c>
      <c r="B5384" s="515" t="s">
        <v>1127</v>
      </c>
      <c r="C5384" s="52">
        <v>214182.70861564399</v>
      </c>
      <c r="D5384" s="56">
        <v>9.5767429314528252E-2</v>
      </c>
      <c r="E5384" s="224" t="s">
        <v>2</v>
      </c>
      <c r="F5384" s="515" t="s">
        <v>6626</v>
      </c>
      <c r="G5384" s="52">
        <v>573857.63172983797</v>
      </c>
      <c r="H5384" s="56">
        <v>5.2187034459067318E-4</v>
      </c>
      <c r="I5384" s="224" t="s">
        <v>2</v>
      </c>
    </row>
    <row r="5385" spans="1:9" x14ac:dyDescent="0.25">
      <c r="A5385" s="515">
        <v>11563</v>
      </c>
      <c r="B5385" s="515" t="s">
        <v>324</v>
      </c>
      <c r="C5385" s="52">
        <v>624302.36826789402</v>
      </c>
      <c r="D5385" s="56">
        <v>3.7498628811001133E-2</v>
      </c>
      <c r="E5385" s="224">
        <v>2700</v>
      </c>
      <c r="F5385" s="515" t="s">
        <v>6627</v>
      </c>
      <c r="G5385" s="52">
        <v>513028.54974456498</v>
      </c>
      <c r="H5385" s="56">
        <v>6.0544929733026956E-2</v>
      </c>
      <c r="I5385" s="224" t="s">
        <v>2</v>
      </c>
    </row>
    <row r="5386" spans="1:9" x14ac:dyDescent="0.25">
      <c r="A5386" s="515">
        <v>27591</v>
      </c>
      <c r="B5386" s="515" t="s">
        <v>484</v>
      </c>
      <c r="C5386" s="52">
        <v>344892.67113629001</v>
      </c>
      <c r="D5386" s="56">
        <v>9.0034228131213423E-2</v>
      </c>
      <c r="E5386" s="224">
        <v>1870</v>
      </c>
      <c r="F5386" s="515" t="s">
        <v>6628</v>
      </c>
      <c r="G5386" s="52">
        <v>338444.81632400502</v>
      </c>
      <c r="H5386" s="56">
        <v>8.1863089577129206E-2</v>
      </c>
      <c r="I5386" s="224" t="s">
        <v>2</v>
      </c>
    </row>
    <row r="5387" spans="1:9" x14ac:dyDescent="0.25">
      <c r="A5387" s="515">
        <v>95138</v>
      </c>
      <c r="B5387" s="515" t="s">
        <v>850</v>
      </c>
      <c r="C5387" s="52">
        <v>1608014.4589762001</v>
      </c>
      <c r="D5387" s="56">
        <v>1.5000600129095459E-2</v>
      </c>
      <c r="E5387" s="224">
        <v>4024</v>
      </c>
      <c r="F5387" s="515" t="s">
        <v>6629</v>
      </c>
      <c r="G5387" s="52">
        <v>488414.941020119</v>
      </c>
      <c r="H5387" s="56">
        <v>8.5239284965447387E-2</v>
      </c>
      <c r="I5387" s="224" t="s">
        <v>2</v>
      </c>
    </row>
    <row r="5388" spans="1:9" x14ac:dyDescent="0.25">
      <c r="A5388" s="515">
        <v>32960</v>
      </c>
      <c r="B5388" s="515" t="s">
        <v>1176</v>
      </c>
      <c r="C5388" s="52">
        <v>277397.02943949</v>
      </c>
      <c r="D5388" s="56">
        <v>0.16666849100904335</v>
      </c>
      <c r="E5388" s="224">
        <v>1929.7222222222199</v>
      </c>
      <c r="F5388" s="515" t="s">
        <v>6630</v>
      </c>
      <c r="G5388" s="52">
        <v>245878.83531138199</v>
      </c>
      <c r="H5388" s="56">
        <v>0.15090137799830808</v>
      </c>
      <c r="I5388" s="224" t="s">
        <v>2</v>
      </c>
    </row>
    <row r="5389" spans="1:9" x14ac:dyDescent="0.25">
      <c r="A5389" s="515">
        <v>84124</v>
      </c>
      <c r="B5389" s="515" t="s">
        <v>617</v>
      </c>
      <c r="C5389" s="52">
        <v>729898.07124832994</v>
      </c>
      <c r="D5389" s="56">
        <v>4.3470487609314434E-2</v>
      </c>
      <c r="E5389" s="224">
        <v>2058.3333333333298</v>
      </c>
      <c r="F5389" s="515" t="s">
        <v>6631</v>
      </c>
      <c r="G5389" s="52">
        <v>136462.69274899099</v>
      </c>
      <c r="H5389" s="56">
        <v>0.13156364074910248</v>
      </c>
      <c r="I5389" s="224" t="s">
        <v>2</v>
      </c>
    </row>
    <row r="5390" spans="1:9" x14ac:dyDescent="0.25">
      <c r="A5390" s="515">
        <v>98022</v>
      </c>
      <c r="B5390" s="515" t="s">
        <v>384</v>
      </c>
      <c r="C5390" s="52">
        <v>593515.76697401295</v>
      </c>
      <c r="D5390" s="56">
        <v>3.758918546283431E-2</v>
      </c>
      <c r="E5390" s="224">
        <v>1990.8999999999901</v>
      </c>
      <c r="F5390" s="515" t="s">
        <v>6632</v>
      </c>
      <c r="G5390" s="52">
        <v>237055.20769344299</v>
      </c>
      <c r="H5390" s="56">
        <v>9.1814971092110384E-2</v>
      </c>
      <c r="I5390" s="224" t="s">
        <v>2</v>
      </c>
    </row>
    <row r="5391" spans="1:9" x14ac:dyDescent="0.25">
      <c r="A5391" s="515">
        <v>41501</v>
      </c>
      <c r="C5391" s="52">
        <v>99149.039056245194</v>
      </c>
      <c r="D5391" s="56">
        <v>0.21439425211296498</v>
      </c>
      <c r="E5391" s="224" t="s">
        <v>2</v>
      </c>
      <c r="F5391" s="515" t="s">
        <v>6633</v>
      </c>
      <c r="G5391" s="52">
        <v>243847.99081035901</v>
      </c>
      <c r="H5391" s="56">
        <v>0</v>
      </c>
      <c r="I5391" s="224" t="s">
        <v>2</v>
      </c>
    </row>
    <row r="5392" spans="1:9" x14ac:dyDescent="0.25">
      <c r="A5392" s="515">
        <v>44137</v>
      </c>
      <c r="B5392" s="515" t="s">
        <v>520</v>
      </c>
      <c r="C5392" s="52">
        <v>108985.747109779</v>
      </c>
      <c r="D5392" s="56">
        <v>0.10910758401610143</v>
      </c>
      <c r="E5392" s="224">
        <v>1163.9166666666599</v>
      </c>
      <c r="F5392" s="515" t="s">
        <v>6634</v>
      </c>
      <c r="G5392" s="52">
        <v>291576.98526686098</v>
      </c>
      <c r="H5392" s="56">
        <v>5.8775023365573643E-2</v>
      </c>
      <c r="I5392" s="224" t="s">
        <v>2</v>
      </c>
    </row>
    <row r="5393" spans="1:9" x14ac:dyDescent="0.25">
      <c r="A5393" s="515">
        <v>45177</v>
      </c>
      <c r="B5393" s="515" t="s">
        <v>489</v>
      </c>
      <c r="C5393" s="52">
        <v>214191.79492786599</v>
      </c>
      <c r="D5393" s="56">
        <v>8.0123701603602659E-2</v>
      </c>
      <c r="E5393" s="224" t="s">
        <v>2</v>
      </c>
      <c r="F5393" s="515" t="s">
        <v>6635</v>
      </c>
      <c r="G5393" s="52">
        <v>388815.03533994302</v>
      </c>
      <c r="H5393" s="56">
        <v>2.639885328334849E-2</v>
      </c>
      <c r="I5393" s="224" t="s">
        <v>2</v>
      </c>
    </row>
    <row r="5394" spans="1:9" x14ac:dyDescent="0.25">
      <c r="A5394" s="515">
        <v>99217</v>
      </c>
      <c r="B5394" s="515" t="s">
        <v>820</v>
      </c>
      <c r="C5394" s="52">
        <v>356230.04946143902</v>
      </c>
      <c r="D5394" s="56">
        <v>3.2462671393084966E-2</v>
      </c>
      <c r="E5394" s="224" t="s">
        <v>2</v>
      </c>
      <c r="F5394" s="515" t="s">
        <v>6636</v>
      </c>
      <c r="G5394" s="52">
        <v>146478.46492679301</v>
      </c>
      <c r="H5394" s="56">
        <v>9.7892328996277173E-2</v>
      </c>
      <c r="I5394" s="224" t="s">
        <v>2</v>
      </c>
    </row>
    <row r="5395" spans="1:9" x14ac:dyDescent="0.25">
      <c r="A5395" s="515">
        <v>48176</v>
      </c>
      <c r="B5395" s="515" t="s">
        <v>783</v>
      </c>
      <c r="C5395" s="52">
        <v>395843.141440815</v>
      </c>
      <c r="D5395" s="56">
        <v>4.7197863945675919E-2</v>
      </c>
      <c r="E5395" s="224" t="s">
        <v>2</v>
      </c>
      <c r="F5395" s="515" t="s">
        <v>6637</v>
      </c>
      <c r="G5395" s="52">
        <v>367788.94745234703</v>
      </c>
      <c r="H5395" s="56">
        <v>9.8451097190399239E-2</v>
      </c>
      <c r="I5395" s="224" t="s">
        <v>2</v>
      </c>
    </row>
    <row r="5396" spans="1:9" x14ac:dyDescent="0.25">
      <c r="A5396" s="515">
        <v>53029</v>
      </c>
      <c r="B5396" s="515" t="s">
        <v>950</v>
      </c>
      <c r="C5396" s="52">
        <v>487871.19842350599</v>
      </c>
      <c r="D5396" s="56">
        <v>4.8853733353752309E-2</v>
      </c>
      <c r="E5396" s="224" t="s">
        <v>2</v>
      </c>
      <c r="F5396" s="515" t="s">
        <v>6638</v>
      </c>
      <c r="G5396" s="52">
        <v>187853.10036128</v>
      </c>
      <c r="H5396" s="56">
        <v>0.11540453780682706</v>
      </c>
      <c r="I5396" s="224" t="s">
        <v>2</v>
      </c>
    </row>
    <row r="5397" spans="1:9" x14ac:dyDescent="0.25">
      <c r="A5397" s="515">
        <v>90732</v>
      </c>
      <c r="B5397" s="515" t="s">
        <v>375</v>
      </c>
      <c r="C5397" s="52">
        <v>821534.63676488795</v>
      </c>
      <c r="D5397" s="56">
        <v>4.8346675963773032E-2</v>
      </c>
      <c r="E5397" s="224">
        <v>3099.88888888888</v>
      </c>
      <c r="F5397" s="515" t="s">
        <v>6639</v>
      </c>
      <c r="G5397" s="52">
        <v>276166.29483094497</v>
      </c>
      <c r="H5397" s="56">
        <v>8.8254844002262814E-2</v>
      </c>
      <c r="I5397" s="224" t="s">
        <v>2</v>
      </c>
    </row>
    <row r="5398" spans="1:9" x14ac:dyDescent="0.25">
      <c r="A5398" s="515">
        <v>2914</v>
      </c>
      <c r="B5398" s="515" t="s">
        <v>513</v>
      </c>
      <c r="C5398" s="52">
        <v>337162.24904211803</v>
      </c>
      <c r="D5398" s="56">
        <v>7.0634746074697607E-2</v>
      </c>
      <c r="E5398" s="224" t="s">
        <v>2</v>
      </c>
      <c r="F5398" s="515" t="s">
        <v>6640</v>
      </c>
      <c r="G5398" s="52">
        <v>311913.51469035097</v>
      </c>
      <c r="H5398" s="56">
        <v>5.1004159693809829E-2</v>
      </c>
      <c r="I5398" s="224" t="s">
        <v>2</v>
      </c>
    </row>
    <row r="5399" spans="1:9" x14ac:dyDescent="0.25">
      <c r="A5399" s="515">
        <v>95827</v>
      </c>
      <c r="B5399" s="515" t="s">
        <v>355</v>
      </c>
      <c r="C5399" s="52">
        <v>436762.63866312098</v>
      </c>
      <c r="D5399" s="56">
        <v>3.2693703576704973E-2</v>
      </c>
      <c r="E5399" s="224">
        <v>2333.5</v>
      </c>
      <c r="F5399" s="515" t="s">
        <v>6641</v>
      </c>
      <c r="G5399" s="52">
        <v>180721.96020539099</v>
      </c>
      <c r="H5399" s="56">
        <v>0</v>
      </c>
      <c r="I5399" s="224" t="s">
        <v>2</v>
      </c>
    </row>
    <row r="5400" spans="1:9" x14ac:dyDescent="0.25">
      <c r="A5400" s="515">
        <v>76011</v>
      </c>
      <c r="B5400" s="515" t="s">
        <v>458</v>
      </c>
      <c r="C5400" s="52">
        <v>240038.89965494099</v>
      </c>
      <c r="D5400" s="56">
        <v>0.15171164971541923</v>
      </c>
      <c r="E5400" s="224">
        <v>1555.1</v>
      </c>
      <c r="F5400" s="515" t="s">
        <v>6642</v>
      </c>
      <c r="G5400" s="52">
        <v>518076.58414597798</v>
      </c>
      <c r="H5400" s="56">
        <v>8.7644520167982645E-2</v>
      </c>
      <c r="I5400" s="224" t="s">
        <v>2</v>
      </c>
    </row>
    <row r="5401" spans="1:9" x14ac:dyDescent="0.25">
      <c r="A5401" s="515">
        <v>44112</v>
      </c>
      <c r="B5401" s="515" t="s">
        <v>520</v>
      </c>
      <c r="C5401" s="52">
        <v>62154.001557916199</v>
      </c>
      <c r="D5401" s="56">
        <v>0.1072944669110264</v>
      </c>
      <c r="E5401" s="224">
        <v>912.194444444444</v>
      </c>
      <c r="F5401" s="515" t="s">
        <v>6643</v>
      </c>
      <c r="G5401" s="52">
        <v>301570.70390387502</v>
      </c>
      <c r="H5401" s="56">
        <v>1.5273519747390321E-2</v>
      </c>
      <c r="I5401" s="224" t="s">
        <v>2</v>
      </c>
    </row>
    <row r="5402" spans="1:9" x14ac:dyDescent="0.25">
      <c r="A5402" s="515">
        <v>67218</v>
      </c>
      <c r="B5402" s="515" t="s">
        <v>485</v>
      </c>
      <c r="C5402" s="52">
        <v>130650.393976052</v>
      </c>
      <c r="D5402" s="56">
        <v>6.6336870638910875E-2</v>
      </c>
      <c r="E5402" s="224">
        <v>855.73809523809496</v>
      </c>
      <c r="F5402" s="515" t="s">
        <v>6644</v>
      </c>
      <c r="G5402" s="52">
        <v>305632.62731656298</v>
      </c>
      <c r="H5402" s="56">
        <v>3.7510363363503482E-2</v>
      </c>
      <c r="I5402" s="224" t="s">
        <v>2</v>
      </c>
    </row>
    <row r="5403" spans="1:9" x14ac:dyDescent="0.25">
      <c r="A5403" s="515">
        <v>99004</v>
      </c>
      <c r="B5403" s="515" t="s">
        <v>820</v>
      </c>
      <c r="C5403" s="52">
        <v>407839.550974307</v>
      </c>
      <c r="D5403" s="56">
        <v>5.1917990531987583E-2</v>
      </c>
      <c r="E5403" s="224">
        <v>1287.2222222222199</v>
      </c>
      <c r="F5403" s="515" t="s">
        <v>6645</v>
      </c>
      <c r="G5403" s="52">
        <v>428318.32211803301</v>
      </c>
      <c r="H5403" s="56">
        <v>6.7877349618566701E-2</v>
      </c>
      <c r="I5403" s="224" t="s">
        <v>2</v>
      </c>
    </row>
    <row r="5404" spans="1:9" x14ac:dyDescent="0.25">
      <c r="A5404" s="515">
        <v>61021</v>
      </c>
      <c r="B5404" s="515" t="s">
        <v>836</v>
      </c>
      <c r="C5404" s="52">
        <v>130116.279433467</v>
      </c>
      <c r="D5404" s="56">
        <v>4.5222071215210331E-2</v>
      </c>
      <c r="E5404" s="224" t="s">
        <v>2</v>
      </c>
      <c r="F5404" s="515" t="s">
        <v>6646</v>
      </c>
      <c r="G5404" s="52">
        <v>599785.40425857704</v>
      </c>
      <c r="H5404" s="56">
        <v>6.6882041802844752E-2</v>
      </c>
      <c r="I5404" s="224" t="s">
        <v>2</v>
      </c>
    </row>
    <row r="5405" spans="1:9" x14ac:dyDescent="0.25">
      <c r="A5405" s="515">
        <v>49534</v>
      </c>
      <c r="B5405" s="515" t="s">
        <v>631</v>
      </c>
      <c r="C5405" s="52">
        <v>315251.12691411999</v>
      </c>
      <c r="D5405" s="56">
        <v>7.1555379582581777E-2</v>
      </c>
      <c r="E5405" s="224" t="s">
        <v>2</v>
      </c>
      <c r="F5405" s="515" t="s">
        <v>6647</v>
      </c>
      <c r="G5405" s="52">
        <v>155045.61395634501</v>
      </c>
      <c r="H5405" s="56">
        <v>6.9186307155905361E-2</v>
      </c>
      <c r="I5405" s="224" t="s">
        <v>2</v>
      </c>
    </row>
    <row r="5406" spans="1:9" x14ac:dyDescent="0.25">
      <c r="A5406" s="515">
        <v>19023</v>
      </c>
      <c r="B5406" s="515" t="s">
        <v>294</v>
      </c>
      <c r="C5406" s="52">
        <v>142215.398084455</v>
      </c>
      <c r="D5406" s="56">
        <v>0.19433602081203549</v>
      </c>
      <c r="E5406" s="224">
        <v>1381.1111111111099</v>
      </c>
      <c r="F5406" s="515" t="s">
        <v>6648</v>
      </c>
      <c r="G5406" s="52">
        <v>220703.46849034599</v>
      </c>
      <c r="H5406" s="56">
        <v>5.5796798344630236E-2</v>
      </c>
      <c r="I5406" s="224" t="s">
        <v>2</v>
      </c>
    </row>
    <row r="5407" spans="1:9" x14ac:dyDescent="0.25">
      <c r="A5407" s="515">
        <v>8859</v>
      </c>
      <c r="B5407" s="515" t="s">
        <v>324</v>
      </c>
      <c r="C5407" s="52">
        <v>425511.35857077199</v>
      </c>
      <c r="D5407" s="56">
        <v>4.5095607134200397E-2</v>
      </c>
      <c r="E5407" s="224">
        <v>2613.8333333333298</v>
      </c>
      <c r="F5407" s="515" t="s">
        <v>6649</v>
      </c>
      <c r="G5407" s="52">
        <v>286839.06410501403</v>
      </c>
      <c r="H5407" s="56">
        <v>0.11580659056186191</v>
      </c>
      <c r="I5407" s="224" t="s">
        <v>2</v>
      </c>
    </row>
    <row r="5408" spans="1:9" x14ac:dyDescent="0.25">
      <c r="A5408" s="515">
        <v>2809</v>
      </c>
      <c r="B5408" s="515" t="s">
        <v>513</v>
      </c>
      <c r="C5408" s="52">
        <v>474729.95440898999</v>
      </c>
      <c r="D5408" s="56">
        <v>9.3961535969492332E-2</v>
      </c>
      <c r="E5408" s="224">
        <v>2168.88888888888</v>
      </c>
      <c r="F5408" s="515" t="s">
        <v>6650</v>
      </c>
      <c r="G5408" s="52">
        <v>244767.68239607199</v>
      </c>
      <c r="H5408" s="56">
        <v>9.4134826901910856E-2</v>
      </c>
      <c r="I5408" s="224" t="s">
        <v>2</v>
      </c>
    </row>
    <row r="5409" spans="1:9" x14ac:dyDescent="0.25">
      <c r="A5409" s="515">
        <v>1606</v>
      </c>
      <c r="B5409" s="515" t="s">
        <v>751</v>
      </c>
      <c r="C5409" s="52">
        <v>369568.49285555998</v>
      </c>
      <c r="D5409" s="56">
        <v>7.103708029099351E-2</v>
      </c>
      <c r="E5409" s="224" t="s">
        <v>2</v>
      </c>
      <c r="F5409" s="515" t="s">
        <v>6651</v>
      </c>
      <c r="G5409" s="52">
        <v>690550.65559452097</v>
      </c>
      <c r="H5409" s="56">
        <v>0.1161503000020398</v>
      </c>
      <c r="I5409" s="224">
        <v>2957.7777777777701</v>
      </c>
    </row>
    <row r="5410" spans="1:9" x14ac:dyDescent="0.25">
      <c r="A5410" s="515">
        <v>48182</v>
      </c>
      <c r="B5410" s="515" t="s">
        <v>1033</v>
      </c>
      <c r="C5410" s="52">
        <v>237528.67362299201</v>
      </c>
      <c r="D5410" s="56">
        <v>5.5996708113092236E-2</v>
      </c>
      <c r="E5410" s="224" t="s">
        <v>2</v>
      </c>
      <c r="F5410" s="515" t="s">
        <v>6652</v>
      </c>
      <c r="G5410" s="52">
        <v>233293.374273047</v>
      </c>
      <c r="H5410" s="56">
        <v>8.6539962976876064E-2</v>
      </c>
      <c r="I5410" s="224" t="s">
        <v>2</v>
      </c>
    </row>
    <row r="5411" spans="1:9" x14ac:dyDescent="0.25">
      <c r="A5411" s="515">
        <v>12208</v>
      </c>
      <c r="B5411" s="515" t="s">
        <v>609</v>
      </c>
      <c r="C5411" s="52">
        <v>258857.08155394901</v>
      </c>
      <c r="D5411" s="56">
        <v>2.4577251913558772E-2</v>
      </c>
      <c r="E5411" s="224">
        <v>1416.05158730158</v>
      </c>
      <c r="F5411" s="515" t="s">
        <v>6653</v>
      </c>
      <c r="G5411" s="52">
        <v>140697.903051181</v>
      </c>
      <c r="H5411" s="56">
        <v>2.6389349460105276E-3</v>
      </c>
      <c r="I5411" s="224" t="s">
        <v>2</v>
      </c>
    </row>
    <row r="5412" spans="1:9" x14ac:dyDescent="0.25">
      <c r="A5412" s="515">
        <v>45805</v>
      </c>
      <c r="B5412" s="515" t="s">
        <v>299</v>
      </c>
      <c r="C5412" s="52">
        <v>154632.86550176601</v>
      </c>
      <c r="D5412" s="56">
        <v>8.6093557779984356E-2</v>
      </c>
      <c r="E5412" s="224" t="s">
        <v>2</v>
      </c>
      <c r="F5412" s="515" t="s">
        <v>6654</v>
      </c>
      <c r="G5412" s="52">
        <v>525703.94764012506</v>
      </c>
      <c r="H5412" s="56">
        <v>2.8627007718134759E-2</v>
      </c>
      <c r="I5412" s="224" t="s">
        <v>2</v>
      </c>
    </row>
    <row r="5413" spans="1:9" x14ac:dyDescent="0.25">
      <c r="A5413" s="515">
        <v>20716</v>
      </c>
      <c r="B5413" s="515" t="s">
        <v>321</v>
      </c>
      <c r="C5413" s="52">
        <v>403774.67926202202</v>
      </c>
      <c r="D5413" s="56">
        <v>3.4272378159952772E-2</v>
      </c>
      <c r="E5413" s="224">
        <v>2030.56388888888</v>
      </c>
      <c r="F5413" s="515" t="s">
        <v>6655</v>
      </c>
      <c r="G5413" s="52">
        <v>251170.227304667</v>
      </c>
      <c r="H5413" s="56">
        <v>9.0606802537599979E-2</v>
      </c>
      <c r="I5413" s="224" t="s">
        <v>2</v>
      </c>
    </row>
    <row r="5414" spans="1:9" x14ac:dyDescent="0.25">
      <c r="A5414" s="515">
        <v>55427</v>
      </c>
      <c r="B5414" s="515" t="s">
        <v>532</v>
      </c>
      <c r="C5414" s="52">
        <v>331448.04562840902</v>
      </c>
      <c r="D5414" s="56">
        <v>3.2846209860620104E-2</v>
      </c>
      <c r="E5414" s="224">
        <v>1458.0833333333301</v>
      </c>
      <c r="F5414" s="515" t="s">
        <v>6656</v>
      </c>
      <c r="G5414" s="52">
        <v>135003.22861102701</v>
      </c>
      <c r="H5414" s="56">
        <v>5.0013002931276702E-2</v>
      </c>
      <c r="I5414" s="224" t="s">
        <v>2</v>
      </c>
    </row>
    <row r="5415" spans="1:9" x14ac:dyDescent="0.25">
      <c r="A5415" s="515">
        <v>62801</v>
      </c>
      <c r="B5415" s="515" t="s">
        <v>1211</v>
      </c>
      <c r="C5415" s="52">
        <v>75065.348903170903</v>
      </c>
      <c r="D5415" s="56">
        <v>8.743942288675316E-2</v>
      </c>
      <c r="E5415" s="224" t="s">
        <v>2</v>
      </c>
      <c r="F5415" s="515" t="s">
        <v>6657</v>
      </c>
      <c r="G5415" s="52">
        <v>228415.90338511899</v>
      </c>
      <c r="H5415" s="56">
        <v>0.18468131539504079</v>
      </c>
      <c r="I5415" s="224" t="s">
        <v>2</v>
      </c>
    </row>
    <row r="5416" spans="1:9" x14ac:dyDescent="0.25">
      <c r="A5416" s="515">
        <v>43920</v>
      </c>
      <c r="B5416" s="515" t="s">
        <v>627</v>
      </c>
      <c r="C5416" s="52">
        <v>92311.700139942404</v>
      </c>
      <c r="D5416" s="56">
        <v>0.11189772415272083</v>
      </c>
      <c r="E5416" s="224" t="s">
        <v>2</v>
      </c>
      <c r="F5416" s="515" t="s">
        <v>6658</v>
      </c>
      <c r="G5416" s="52">
        <v>334535.03173749498</v>
      </c>
      <c r="H5416" s="56">
        <v>6.3394945313961851E-2</v>
      </c>
      <c r="I5416" s="224" t="s">
        <v>2</v>
      </c>
    </row>
    <row r="5417" spans="1:9" x14ac:dyDescent="0.25">
      <c r="A5417" s="515">
        <v>73507</v>
      </c>
      <c r="B5417" s="515" t="s">
        <v>364</v>
      </c>
      <c r="C5417" s="52">
        <v>108429.20944804599</v>
      </c>
      <c r="D5417" s="56">
        <v>7.776845148103155E-2</v>
      </c>
      <c r="E5417" s="224">
        <v>759.5</v>
      </c>
      <c r="F5417" s="515" t="s">
        <v>6659</v>
      </c>
      <c r="G5417" s="52">
        <v>203314.76566951699</v>
      </c>
      <c r="H5417" s="56">
        <v>5.1513688063079315E-2</v>
      </c>
      <c r="I5417" s="224" t="s">
        <v>2</v>
      </c>
    </row>
    <row r="5418" spans="1:9" x14ac:dyDescent="0.25">
      <c r="A5418" s="515">
        <v>86301</v>
      </c>
      <c r="B5418" s="515" t="s">
        <v>332</v>
      </c>
      <c r="C5418" s="52">
        <v>522915.15048893302</v>
      </c>
      <c r="D5418" s="56">
        <v>4.1069876362663467E-2</v>
      </c>
      <c r="E5418" s="224">
        <v>1573.75</v>
      </c>
      <c r="F5418" s="515" t="s">
        <v>6660</v>
      </c>
      <c r="G5418" s="52">
        <v>409650.68345101102</v>
      </c>
      <c r="H5418" s="56">
        <v>2.9052094609555552E-2</v>
      </c>
      <c r="I5418" s="224" t="s">
        <v>2</v>
      </c>
    </row>
    <row r="5419" spans="1:9" x14ac:dyDescent="0.25">
      <c r="A5419" s="515">
        <v>91902</v>
      </c>
      <c r="B5419" s="515" t="s">
        <v>396</v>
      </c>
      <c r="C5419" s="52">
        <v>973821.97217544296</v>
      </c>
      <c r="D5419" s="56">
        <v>6.4852924214884811E-2</v>
      </c>
      <c r="E5419" s="224" t="s">
        <v>2</v>
      </c>
      <c r="F5419" s="515" t="s">
        <v>6661</v>
      </c>
      <c r="G5419" s="52">
        <v>192484.4071519</v>
      </c>
      <c r="H5419" s="56">
        <v>5.9009044928281441E-2</v>
      </c>
      <c r="I5419" s="224" t="s">
        <v>2</v>
      </c>
    </row>
    <row r="5420" spans="1:9" x14ac:dyDescent="0.25">
      <c r="A5420" s="515">
        <v>29020</v>
      </c>
      <c r="B5420" s="515" t="s">
        <v>762</v>
      </c>
      <c r="C5420" s="52">
        <v>187063.63268688801</v>
      </c>
      <c r="D5420" s="56">
        <v>8.5566125845603927E-2</v>
      </c>
      <c r="E5420" s="224" t="s">
        <v>2</v>
      </c>
      <c r="F5420" s="515" t="s">
        <v>6662</v>
      </c>
      <c r="G5420" s="52">
        <v>338898.965732135</v>
      </c>
      <c r="H5420" s="56">
        <v>0.10342782821493524</v>
      </c>
      <c r="I5420" s="224" t="s">
        <v>2</v>
      </c>
    </row>
    <row r="5421" spans="1:9" x14ac:dyDescent="0.25">
      <c r="A5421" s="515">
        <v>14216</v>
      </c>
      <c r="B5421" s="515" t="s">
        <v>336</v>
      </c>
      <c r="C5421" s="52">
        <v>282200.96643506398</v>
      </c>
      <c r="D5421" s="56">
        <v>4.2101119488945453E-2</v>
      </c>
      <c r="E5421" s="224">
        <v>1379.8611111111099</v>
      </c>
      <c r="F5421" s="515" t="s">
        <v>6663</v>
      </c>
      <c r="G5421" s="52">
        <v>238159.26350254001</v>
      </c>
      <c r="H5421" s="56">
        <v>0.11822126938312454</v>
      </c>
      <c r="I5421" s="224" t="s">
        <v>2</v>
      </c>
    </row>
    <row r="5422" spans="1:9" x14ac:dyDescent="0.25">
      <c r="A5422" s="515">
        <v>21286</v>
      </c>
      <c r="B5422" s="515" t="s">
        <v>582</v>
      </c>
      <c r="C5422" s="52">
        <v>347049.34353302501</v>
      </c>
      <c r="D5422" s="56">
        <v>4.0311585394096468E-2</v>
      </c>
      <c r="E5422" s="224">
        <v>1605.54329004329</v>
      </c>
      <c r="F5422" s="515" t="s">
        <v>6664</v>
      </c>
      <c r="G5422" s="52">
        <v>320658.36856986303</v>
      </c>
      <c r="H5422" s="56">
        <v>7.8098004174312535E-2</v>
      </c>
      <c r="I5422" s="224">
        <v>1708.75</v>
      </c>
    </row>
    <row r="5423" spans="1:9" x14ac:dyDescent="0.25">
      <c r="A5423" s="515">
        <v>33903</v>
      </c>
      <c r="B5423" s="515" t="s">
        <v>661</v>
      </c>
      <c r="C5423" s="52">
        <v>280781.14582507103</v>
      </c>
      <c r="D5423" s="56">
        <v>0.12966366295310033</v>
      </c>
      <c r="E5423" s="224">
        <v>2338.75</v>
      </c>
      <c r="F5423" s="515" t="s">
        <v>6665</v>
      </c>
      <c r="G5423" s="52">
        <v>269023.62628166401</v>
      </c>
      <c r="H5423" s="56">
        <v>0.12681475975320922</v>
      </c>
      <c r="I5423" s="224" t="s">
        <v>2</v>
      </c>
    </row>
    <row r="5424" spans="1:9" x14ac:dyDescent="0.25">
      <c r="A5424" s="515">
        <v>48213</v>
      </c>
      <c r="B5424" s="515" t="s">
        <v>685</v>
      </c>
      <c r="C5424" s="52">
        <v>46324.8054757957</v>
      </c>
      <c r="D5424" s="56">
        <v>0.1102459249613332</v>
      </c>
      <c r="E5424" s="224" t="s">
        <v>2</v>
      </c>
      <c r="F5424" s="515" t="s">
        <v>6666</v>
      </c>
      <c r="G5424" s="52">
        <v>130357.488744031</v>
      </c>
      <c r="H5424" s="56">
        <v>5.2359971124100201E-2</v>
      </c>
      <c r="I5424" s="224" t="s">
        <v>2</v>
      </c>
    </row>
    <row r="5425" spans="1:9" x14ac:dyDescent="0.25">
      <c r="A5425" s="515">
        <v>46324</v>
      </c>
      <c r="B5425" s="515" t="s">
        <v>394</v>
      </c>
      <c r="C5425" s="52">
        <v>163574.29352461</v>
      </c>
      <c r="D5425" s="56">
        <v>9.0822629135980659E-2</v>
      </c>
      <c r="E5425" s="224" t="s">
        <v>2</v>
      </c>
      <c r="F5425" s="515" t="s">
        <v>6667</v>
      </c>
      <c r="G5425" s="52">
        <v>445083.03835227701</v>
      </c>
      <c r="H5425" s="56">
        <v>2.1388385722214704E-2</v>
      </c>
      <c r="I5425" s="224" t="s">
        <v>2</v>
      </c>
    </row>
    <row r="5426" spans="1:9" x14ac:dyDescent="0.25">
      <c r="A5426" s="515">
        <v>29506</v>
      </c>
      <c r="B5426" s="515" t="s">
        <v>1039</v>
      </c>
      <c r="C5426" s="52">
        <v>119848.30244258601</v>
      </c>
      <c r="D5426" s="56">
        <v>0.1052288737599482</v>
      </c>
      <c r="E5426" s="224" t="s">
        <v>2</v>
      </c>
      <c r="F5426" s="515" t="s">
        <v>6668</v>
      </c>
      <c r="G5426" s="52">
        <v>327406.38025872502</v>
      </c>
      <c r="H5426" s="56">
        <v>6.777711646299521E-2</v>
      </c>
      <c r="I5426" s="224" t="s">
        <v>2</v>
      </c>
    </row>
    <row r="5427" spans="1:9" x14ac:dyDescent="0.25">
      <c r="A5427" s="515">
        <v>46818</v>
      </c>
      <c r="B5427" s="515" t="s">
        <v>1031</v>
      </c>
      <c r="C5427" s="52">
        <v>257042.297736423</v>
      </c>
      <c r="D5427" s="56">
        <v>6.2748171572692413E-2</v>
      </c>
      <c r="E5427" s="224">
        <v>1575</v>
      </c>
      <c r="F5427" s="515" t="s">
        <v>6669</v>
      </c>
      <c r="G5427" s="52">
        <v>131500.54486739499</v>
      </c>
      <c r="H5427" s="56">
        <v>0.10043397034718889</v>
      </c>
      <c r="I5427" s="224" t="s">
        <v>2</v>
      </c>
    </row>
    <row r="5428" spans="1:9" x14ac:dyDescent="0.25">
      <c r="A5428" s="515">
        <v>45255</v>
      </c>
      <c r="B5428" s="515" t="s">
        <v>344</v>
      </c>
      <c r="C5428" s="52">
        <v>291109.68639846903</v>
      </c>
      <c r="D5428" s="56">
        <v>5.6870635618640107E-2</v>
      </c>
      <c r="E5428" s="224">
        <v>1333</v>
      </c>
      <c r="F5428" s="515" t="s">
        <v>6670</v>
      </c>
      <c r="G5428" s="52">
        <v>1179861.1975714001</v>
      </c>
      <c r="H5428" s="56">
        <v>5.973813078811719E-2</v>
      </c>
      <c r="I5428" s="224" t="s">
        <v>2</v>
      </c>
    </row>
    <row r="5429" spans="1:9" x14ac:dyDescent="0.25">
      <c r="A5429" s="515">
        <v>46256</v>
      </c>
      <c r="B5429" s="515" t="s">
        <v>403</v>
      </c>
      <c r="C5429" s="52">
        <v>306710.180733254</v>
      </c>
      <c r="D5429" s="56">
        <v>4.0360975045101992E-2</v>
      </c>
      <c r="E5429" s="224">
        <v>1069.8611111111099</v>
      </c>
      <c r="F5429" s="515" t="s">
        <v>6671</v>
      </c>
      <c r="G5429" s="52">
        <v>241915.83241806601</v>
      </c>
      <c r="H5429" s="56">
        <v>8.4169906453229873E-2</v>
      </c>
      <c r="I5429" s="224" t="s">
        <v>2</v>
      </c>
    </row>
    <row r="5430" spans="1:9" x14ac:dyDescent="0.25">
      <c r="A5430" s="515">
        <v>33991</v>
      </c>
      <c r="B5430" s="515" t="s">
        <v>661</v>
      </c>
      <c r="C5430" s="52">
        <v>415695.68038492301</v>
      </c>
      <c r="D5430" s="56">
        <v>9.2579213341741254E-2</v>
      </c>
      <c r="E5430" s="224">
        <v>2605.8333333333298</v>
      </c>
      <c r="F5430" s="515" t="s">
        <v>6672</v>
      </c>
      <c r="G5430" s="52">
        <v>335157.12652033602</v>
      </c>
      <c r="H5430" s="56">
        <v>4.6515112070662758E-2</v>
      </c>
      <c r="I5430" s="224">
        <v>2067.5</v>
      </c>
    </row>
    <row r="5431" spans="1:9" x14ac:dyDescent="0.25">
      <c r="A5431" s="515">
        <v>93560</v>
      </c>
      <c r="B5431" s="515" t="s">
        <v>419</v>
      </c>
      <c r="C5431" s="52">
        <v>371083.54103448498</v>
      </c>
      <c r="D5431" s="56">
        <v>3.4124608836202046E-2</v>
      </c>
      <c r="E5431" s="224">
        <v>2258.3333333333298</v>
      </c>
      <c r="F5431" s="515" t="s">
        <v>6673</v>
      </c>
      <c r="G5431" s="52">
        <v>626109.42369647301</v>
      </c>
      <c r="H5431" s="56">
        <v>0.14383933028480969</v>
      </c>
      <c r="I5431" s="224">
        <v>3608.3333333333298</v>
      </c>
    </row>
    <row r="5432" spans="1:9" x14ac:dyDescent="0.25">
      <c r="A5432" s="515">
        <v>44319</v>
      </c>
      <c r="B5432" s="515" t="s">
        <v>1000</v>
      </c>
      <c r="C5432" s="52">
        <v>201219.63520945</v>
      </c>
      <c r="D5432" s="56">
        <v>6.425376173155789E-2</v>
      </c>
      <c r="E5432" s="224" t="s">
        <v>2</v>
      </c>
      <c r="F5432" s="515" t="s">
        <v>6674</v>
      </c>
      <c r="G5432" s="52">
        <v>277502.54872788698</v>
      </c>
      <c r="H5432" s="56">
        <v>0.12155627843799199</v>
      </c>
      <c r="I5432" s="224" t="s">
        <v>2</v>
      </c>
    </row>
    <row r="5433" spans="1:9" x14ac:dyDescent="0.25">
      <c r="A5433" s="515">
        <v>99502</v>
      </c>
      <c r="B5433" s="515" t="s">
        <v>405</v>
      </c>
      <c r="C5433" s="52">
        <v>368352.26327247999</v>
      </c>
      <c r="D5433" s="56">
        <v>4.9589272586045063E-2</v>
      </c>
      <c r="E5433" s="224">
        <v>1547.5</v>
      </c>
      <c r="F5433" s="515" t="s">
        <v>6675</v>
      </c>
      <c r="G5433" s="52">
        <v>124502.81455779199</v>
      </c>
      <c r="H5433" s="56">
        <v>9.4548992875056762E-2</v>
      </c>
      <c r="I5433" s="224" t="s">
        <v>2</v>
      </c>
    </row>
    <row r="5434" spans="1:9" x14ac:dyDescent="0.25">
      <c r="A5434" s="515">
        <v>14227</v>
      </c>
      <c r="B5434" s="515" t="s">
        <v>336</v>
      </c>
      <c r="C5434" s="52">
        <v>218069.71341745701</v>
      </c>
      <c r="D5434" s="56">
        <v>7.8621493449790372E-2</v>
      </c>
      <c r="E5434" s="224">
        <v>1174.5</v>
      </c>
      <c r="F5434" s="515" t="s">
        <v>6676</v>
      </c>
      <c r="G5434" s="52">
        <v>160733.61191536099</v>
      </c>
      <c r="H5434" s="56">
        <v>5.9708776139811306E-2</v>
      </c>
      <c r="I5434" s="224" t="s">
        <v>2</v>
      </c>
    </row>
    <row r="5435" spans="1:9" x14ac:dyDescent="0.25">
      <c r="A5435" s="515">
        <v>47025</v>
      </c>
      <c r="B5435" s="515" t="s">
        <v>344</v>
      </c>
      <c r="C5435" s="52">
        <v>270890.60455729201</v>
      </c>
      <c r="D5435" s="56">
        <v>7.9930592900284342E-2</v>
      </c>
      <c r="E5435" s="224" t="s">
        <v>2</v>
      </c>
      <c r="F5435" s="515" t="s">
        <v>6677</v>
      </c>
      <c r="G5435" s="52">
        <v>188573.338786704</v>
      </c>
      <c r="H5435" s="56">
        <v>8.8669256704341115E-2</v>
      </c>
      <c r="I5435" s="224" t="s">
        <v>2</v>
      </c>
    </row>
    <row r="5436" spans="1:9" x14ac:dyDescent="0.25">
      <c r="A5436" s="515">
        <v>84341</v>
      </c>
      <c r="B5436" s="515" t="s">
        <v>632</v>
      </c>
      <c r="C5436" s="52">
        <v>429274.05532376701</v>
      </c>
      <c r="D5436" s="56">
        <v>1.5171555741695581E-2</v>
      </c>
      <c r="E5436" s="224" t="s">
        <v>2</v>
      </c>
      <c r="F5436" s="515" t="s">
        <v>6678</v>
      </c>
      <c r="G5436" s="52">
        <v>252903.13446683099</v>
      </c>
      <c r="H5436" s="56">
        <v>6.2014090515563024E-2</v>
      </c>
      <c r="I5436" s="224" t="s">
        <v>2</v>
      </c>
    </row>
    <row r="5437" spans="1:9" x14ac:dyDescent="0.25">
      <c r="A5437" s="515">
        <v>15136</v>
      </c>
      <c r="B5437" s="515" t="s">
        <v>297</v>
      </c>
      <c r="C5437" s="52">
        <v>171792.20084536</v>
      </c>
      <c r="D5437" s="56">
        <v>7.291533903845257E-2</v>
      </c>
      <c r="E5437" s="224">
        <v>1008.33333333333</v>
      </c>
      <c r="F5437" s="515" t="s">
        <v>6679</v>
      </c>
      <c r="G5437" s="52">
        <v>205632.15848855299</v>
      </c>
      <c r="H5437" s="56">
        <v>0.17886037218537465</v>
      </c>
      <c r="I5437" s="224" t="s">
        <v>2</v>
      </c>
    </row>
    <row r="5438" spans="1:9" x14ac:dyDescent="0.25">
      <c r="A5438" s="515">
        <v>32901</v>
      </c>
      <c r="B5438" s="515" t="s">
        <v>1133</v>
      </c>
      <c r="C5438" s="52">
        <v>275680.40633731498</v>
      </c>
      <c r="D5438" s="56">
        <v>0.15965013701186259</v>
      </c>
      <c r="E5438" s="224">
        <v>1782.8737373737299</v>
      </c>
      <c r="F5438" s="515" t="s">
        <v>6680</v>
      </c>
      <c r="G5438" s="52">
        <v>248031.50210783799</v>
      </c>
      <c r="H5438" s="56">
        <v>3.7395306220838878E-2</v>
      </c>
      <c r="I5438" s="224" t="s">
        <v>2</v>
      </c>
    </row>
    <row r="5439" spans="1:9" x14ac:dyDescent="0.25">
      <c r="A5439" s="515">
        <v>34481</v>
      </c>
      <c r="B5439" s="515" t="s">
        <v>475</v>
      </c>
      <c r="C5439" s="52">
        <v>283367.973988696</v>
      </c>
      <c r="D5439" s="56">
        <v>0.18197867833634523</v>
      </c>
      <c r="E5439" s="224" t="s">
        <v>2</v>
      </c>
      <c r="F5439" s="515" t="s">
        <v>6681</v>
      </c>
      <c r="G5439" s="52">
        <v>373048.703266064</v>
      </c>
      <c r="H5439" s="56">
        <v>0.12915415595318475</v>
      </c>
      <c r="I5439" s="224" t="s">
        <v>2</v>
      </c>
    </row>
    <row r="5440" spans="1:9" x14ac:dyDescent="0.25">
      <c r="A5440" s="515">
        <v>90720</v>
      </c>
      <c r="B5440" s="515" t="s">
        <v>375</v>
      </c>
      <c r="C5440" s="52">
        <v>1283463.6105337299</v>
      </c>
      <c r="D5440" s="56">
        <v>7.6367570637379034E-2</v>
      </c>
      <c r="E5440" s="224">
        <v>3015</v>
      </c>
      <c r="F5440" s="515" t="s">
        <v>6682</v>
      </c>
      <c r="G5440" s="52">
        <v>600322.515515515</v>
      </c>
      <c r="H5440" s="56">
        <v>0</v>
      </c>
      <c r="I5440" s="224" t="s">
        <v>2</v>
      </c>
    </row>
    <row r="5441" spans="1:9" x14ac:dyDescent="0.25">
      <c r="A5441" s="515">
        <v>7866</v>
      </c>
      <c r="B5441" s="515" t="s">
        <v>324</v>
      </c>
      <c r="C5441" s="52">
        <v>433227.35203206801</v>
      </c>
      <c r="D5441" s="56">
        <v>5.811653612518794E-2</v>
      </c>
      <c r="E5441" s="224" t="s">
        <v>2</v>
      </c>
      <c r="F5441" s="515" t="s">
        <v>6683</v>
      </c>
      <c r="G5441" s="52">
        <v>271025.62054793502</v>
      </c>
      <c r="H5441" s="56">
        <v>8.6751798416866671E-2</v>
      </c>
      <c r="I5441" s="224" t="s">
        <v>2</v>
      </c>
    </row>
    <row r="5442" spans="1:9" x14ac:dyDescent="0.25">
      <c r="A5442" s="515">
        <v>48854</v>
      </c>
      <c r="B5442" s="515" t="s">
        <v>528</v>
      </c>
      <c r="C5442" s="52">
        <v>232910.94565617101</v>
      </c>
      <c r="D5442" s="56">
        <v>8.2248599710465359E-2</v>
      </c>
      <c r="E5442" s="224">
        <v>1010</v>
      </c>
      <c r="F5442" s="515" t="s">
        <v>6684</v>
      </c>
      <c r="G5442" s="52">
        <v>264031.89853888302</v>
      </c>
      <c r="H5442" s="56">
        <v>0.12663497527967982</v>
      </c>
      <c r="I5442" s="224" t="s">
        <v>2</v>
      </c>
    </row>
    <row r="5443" spans="1:9" x14ac:dyDescent="0.25">
      <c r="A5443" s="515">
        <v>45331</v>
      </c>
      <c r="B5443" s="515" t="s">
        <v>316</v>
      </c>
      <c r="C5443" s="52">
        <v>166357.52770097301</v>
      </c>
      <c r="D5443" s="56">
        <v>6.6761692451257584E-2</v>
      </c>
      <c r="E5443" s="224" t="s">
        <v>2</v>
      </c>
      <c r="F5443" s="515" t="s">
        <v>6685</v>
      </c>
      <c r="G5443" s="52">
        <v>263784.02216194</v>
      </c>
      <c r="H5443" s="56">
        <v>0.11686730911815765</v>
      </c>
      <c r="I5443" s="224" t="s">
        <v>2</v>
      </c>
    </row>
    <row r="5444" spans="1:9" x14ac:dyDescent="0.25">
      <c r="A5444" s="515">
        <v>48813</v>
      </c>
      <c r="B5444" s="515" t="s">
        <v>528</v>
      </c>
      <c r="C5444" s="52">
        <v>199250.00866700799</v>
      </c>
      <c r="D5444" s="56">
        <v>4.8135811983629387E-2</v>
      </c>
      <c r="E5444" s="224" t="s">
        <v>2</v>
      </c>
      <c r="F5444" s="515" t="s">
        <v>6686</v>
      </c>
      <c r="G5444" s="52">
        <v>401263.12580492499</v>
      </c>
      <c r="H5444" s="56">
        <v>3.7781336638165582E-2</v>
      </c>
      <c r="I5444" s="224" t="s">
        <v>2</v>
      </c>
    </row>
    <row r="5445" spans="1:9" x14ac:dyDescent="0.25">
      <c r="A5445" s="515">
        <v>55345</v>
      </c>
      <c r="B5445" s="515" t="s">
        <v>532</v>
      </c>
      <c r="C5445" s="52">
        <v>467106.42381510499</v>
      </c>
      <c r="D5445" s="56">
        <v>4.0553075300114039E-2</v>
      </c>
      <c r="E5445" s="224" t="s">
        <v>2</v>
      </c>
      <c r="F5445" s="515" t="s">
        <v>6687</v>
      </c>
      <c r="G5445" s="52">
        <v>244529.42654673301</v>
      </c>
      <c r="H5445" s="56">
        <v>9.4288275364423579E-2</v>
      </c>
      <c r="I5445" s="224" t="s">
        <v>2</v>
      </c>
    </row>
    <row r="5446" spans="1:9" x14ac:dyDescent="0.25">
      <c r="A5446" s="515">
        <v>21214</v>
      </c>
      <c r="B5446" s="515" t="s">
        <v>582</v>
      </c>
      <c r="C5446" s="52">
        <v>228819.43450365</v>
      </c>
      <c r="D5446" s="56">
        <v>4.5144367861717216E-2</v>
      </c>
      <c r="E5446" s="224" t="s">
        <v>2</v>
      </c>
      <c r="F5446" s="515" t="s">
        <v>6688</v>
      </c>
      <c r="G5446" s="52">
        <v>262008.99811435401</v>
      </c>
      <c r="H5446" s="56">
        <v>7.7985700083116019E-2</v>
      </c>
      <c r="I5446" s="224">
        <v>1986.4583333333301</v>
      </c>
    </row>
    <row r="5447" spans="1:9" x14ac:dyDescent="0.25">
      <c r="A5447" s="515">
        <v>3833</v>
      </c>
      <c r="B5447" s="515" t="s">
        <v>534</v>
      </c>
      <c r="C5447" s="52">
        <v>527399.43203660997</v>
      </c>
      <c r="D5447" s="56">
        <v>9.7719165186641394E-2</v>
      </c>
      <c r="E5447" s="224" t="s">
        <v>2</v>
      </c>
      <c r="F5447" s="515" t="s">
        <v>6689</v>
      </c>
      <c r="G5447" s="52">
        <v>433049.32247181702</v>
      </c>
      <c r="H5447" s="56">
        <v>9.6073390509811535E-2</v>
      </c>
      <c r="I5447" s="224" t="s">
        <v>2</v>
      </c>
    </row>
    <row r="5448" spans="1:9" x14ac:dyDescent="0.25">
      <c r="A5448" s="515">
        <v>19006</v>
      </c>
      <c r="B5448" s="515" t="s">
        <v>294</v>
      </c>
      <c r="C5448" s="52">
        <v>552761.69290651905</v>
      </c>
      <c r="D5448" s="56">
        <v>0.1048031371577669</v>
      </c>
      <c r="E5448" s="224">
        <v>1845.6666666666599</v>
      </c>
      <c r="F5448" s="515" t="s">
        <v>6690</v>
      </c>
      <c r="G5448" s="52">
        <v>286742.50057900598</v>
      </c>
      <c r="H5448" s="56">
        <v>5.8562371717680931E-2</v>
      </c>
      <c r="I5448" s="224" t="s">
        <v>2</v>
      </c>
    </row>
    <row r="5449" spans="1:9" x14ac:dyDescent="0.25">
      <c r="A5449" s="515">
        <v>33541</v>
      </c>
      <c r="B5449" s="515" t="s">
        <v>461</v>
      </c>
      <c r="C5449" s="52">
        <v>330961.09557073499</v>
      </c>
      <c r="D5449" s="56">
        <v>0.10363852226534806</v>
      </c>
      <c r="E5449" s="224">
        <v>2062.25</v>
      </c>
      <c r="F5449" s="515" t="s">
        <v>6691</v>
      </c>
      <c r="G5449" s="52">
        <v>162279.66173871901</v>
      </c>
      <c r="H5449" s="56">
        <v>2.3291580791325973E-2</v>
      </c>
      <c r="I5449" s="224" t="s">
        <v>2</v>
      </c>
    </row>
    <row r="5450" spans="1:9" x14ac:dyDescent="0.25">
      <c r="A5450" s="515">
        <v>83338</v>
      </c>
      <c r="B5450" s="515" t="s">
        <v>832</v>
      </c>
      <c r="C5450" s="52">
        <v>346196.55601734901</v>
      </c>
      <c r="D5450" s="56">
        <v>4.3108186002699875E-2</v>
      </c>
      <c r="E5450" s="224" t="s">
        <v>2</v>
      </c>
      <c r="F5450" s="515" t="s">
        <v>6692</v>
      </c>
      <c r="G5450" s="52">
        <v>130741.90964483999</v>
      </c>
      <c r="H5450" s="56">
        <v>0.17109231065910888</v>
      </c>
      <c r="I5450" s="224" t="s">
        <v>2</v>
      </c>
    </row>
    <row r="5451" spans="1:9" x14ac:dyDescent="0.25">
      <c r="A5451" s="515">
        <v>33566</v>
      </c>
      <c r="B5451" s="515" t="s">
        <v>461</v>
      </c>
      <c r="C5451" s="52">
        <v>359616.03389073501</v>
      </c>
      <c r="D5451" s="56">
        <v>9.3840120832899734E-2</v>
      </c>
      <c r="E5451" s="224">
        <v>2247.5</v>
      </c>
      <c r="F5451" s="515" t="s">
        <v>6693</v>
      </c>
      <c r="G5451" s="52">
        <v>163787.41917154501</v>
      </c>
      <c r="H5451" s="56">
        <v>0.14066515898608109</v>
      </c>
      <c r="I5451" s="224" t="s">
        <v>2</v>
      </c>
    </row>
    <row r="5452" spans="1:9" x14ac:dyDescent="0.25">
      <c r="A5452" s="515">
        <v>20105</v>
      </c>
      <c r="B5452" s="515" t="s">
        <v>321</v>
      </c>
      <c r="C5452" s="52">
        <v>877423.47521288099</v>
      </c>
      <c r="D5452" s="56">
        <v>2.1114949965362076E-2</v>
      </c>
      <c r="E5452" s="224">
        <v>3737.5</v>
      </c>
      <c r="F5452" s="515" t="s">
        <v>6694</v>
      </c>
      <c r="G5452" s="52">
        <v>206087.740282557</v>
      </c>
      <c r="H5452" s="56">
        <v>9.159585393770503E-2</v>
      </c>
      <c r="I5452" s="224" t="s">
        <v>2</v>
      </c>
    </row>
    <row r="5453" spans="1:9" x14ac:dyDescent="0.25">
      <c r="A5453" s="515">
        <v>93630</v>
      </c>
      <c r="B5453" s="515" t="s">
        <v>541</v>
      </c>
      <c r="C5453" s="52">
        <v>364496.01866022201</v>
      </c>
      <c r="D5453" s="56">
        <v>6.7736935594683897E-2</v>
      </c>
      <c r="E5453" s="224" t="s">
        <v>2</v>
      </c>
      <c r="F5453" s="515" t="s">
        <v>6695</v>
      </c>
      <c r="G5453" s="52">
        <v>61498.607943433301</v>
      </c>
      <c r="H5453" s="56">
        <v>0.11823999469141114</v>
      </c>
      <c r="I5453" s="224" t="s">
        <v>2</v>
      </c>
    </row>
    <row r="5454" spans="1:9" x14ac:dyDescent="0.25">
      <c r="A5454" s="515">
        <v>35806</v>
      </c>
      <c r="B5454" s="515" t="s">
        <v>997</v>
      </c>
      <c r="C5454" s="52">
        <v>342880.59894603997</v>
      </c>
      <c r="D5454" s="56">
        <v>6.1041581442793161E-2</v>
      </c>
      <c r="E5454" s="224">
        <v>1453.7694444444401</v>
      </c>
      <c r="F5454" s="515" t="s">
        <v>6696</v>
      </c>
      <c r="G5454" s="52">
        <v>273745.13624742901</v>
      </c>
      <c r="H5454" s="56">
        <v>3.6836339727773351E-2</v>
      </c>
      <c r="I5454" s="224">
        <v>1496.25</v>
      </c>
    </row>
    <row r="5455" spans="1:9" x14ac:dyDescent="0.25">
      <c r="A5455" s="515">
        <v>21012</v>
      </c>
      <c r="B5455" s="515" t="s">
        <v>582</v>
      </c>
      <c r="C5455" s="52">
        <v>515079.19030675699</v>
      </c>
      <c r="D5455" s="56">
        <v>3.8426579663682112E-2</v>
      </c>
      <c r="E5455" s="224">
        <v>2700</v>
      </c>
      <c r="F5455" s="515" t="s">
        <v>6697</v>
      </c>
      <c r="G5455" s="52">
        <v>423089.99410803802</v>
      </c>
      <c r="H5455" s="56">
        <v>8.0771337185296568E-2</v>
      </c>
      <c r="I5455" s="224" t="s">
        <v>2</v>
      </c>
    </row>
    <row r="5456" spans="1:9" x14ac:dyDescent="0.25">
      <c r="A5456" s="515">
        <v>75225</v>
      </c>
      <c r="B5456" s="515" t="s">
        <v>458</v>
      </c>
      <c r="C5456" s="52">
        <v>1531996.1816716299</v>
      </c>
      <c r="D5456" s="56">
        <v>0.1242602445200286</v>
      </c>
      <c r="E5456" s="224">
        <v>3001.75</v>
      </c>
      <c r="F5456" s="515" t="s">
        <v>6698</v>
      </c>
      <c r="G5456" s="52">
        <v>179142.83594321401</v>
      </c>
      <c r="H5456" s="56">
        <v>7.3569646648040596E-2</v>
      </c>
      <c r="I5456" s="224" t="s">
        <v>2</v>
      </c>
    </row>
    <row r="5457" spans="1:9" x14ac:dyDescent="0.25">
      <c r="A5457" s="515">
        <v>83442</v>
      </c>
      <c r="B5457" s="515" t="s">
        <v>409</v>
      </c>
      <c r="C5457" s="52">
        <v>442548.400301833</v>
      </c>
      <c r="D5457" s="56">
        <v>8.5366747154624802E-3</v>
      </c>
      <c r="E5457" s="224">
        <v>1475</v>
      </c>
      <c r="F5457" s="515" t="s">
        <v>6699</v>
      </c>
      <c r="G5457" s="52">
        <v>229643.62936028701</v>
      </c>
      <c r="H5457" s="56">
        <v>9.1883845881178136E-2</v>
      </c>
      <c r="I5457" s="224" t="s">
        <v>2</v>
      </c>
    </row>
    <row r="5458" spans="1:9" x14ac:dyDescent="0.25">
      <c r="A5458" s="515">
        <v>94597</v>
      </c>
      <c r="B5458" s="515" t="s">
        <v>593</v>
      </c>
      <c r="C5458" s="52">
        <v>971844.37797713897</v>
      </c>
      <c r="D5458" s="56">
        <v>1.7881835847415171E-2</v>
      </c>
      <c r="E5458" s="224">
        <v>2750.9664061428698</v>
      </c>
      <c r="F5458" s="515" t="s">
        <v>6700</v>
      </c>
      <c r="G5458" s="52">
        <v>489608.09461393399</v>
      </c>
      <c r="H5458" s="56">
        <v>1.4362056685096769E-2</v>
      </c>
      <c r="I5458" s="224">
        <v>2073.75</v>
      </c>
    </row>
    <row r="5459" spans="1:9" x14ac:dyDescent="0.25">
      <c r="A5459" s="515">
        <v>37862</v>
      </c>
      <c r="B5459" s="515" t="s">
        <v>1183</v>
      </c>
      <c r="C5459" s="52">
        <v>447135.42999895802</v>
      </c>
      <c r="D5459" s="56">
        <v>0.12609318290005797</v>
      </c>
      <c r="E5459" s="224" t="s">
        <v>2</v>
      </c>
      <c r="F5459" s="515" t="s">
        <v>6701</v>
      </c>
      <c r="G5459" s="52">
        <v>104503.928039283</v>
      </c>
      <c r="H5459" s="56">
        <v>0.29335972279216166</v>
      </c>
      <c r="I5459" s="224" t="s">
        <v>2</v>
      </c>
    </row>
    <row r="5460" spans="1:9" x14ac:dyDescent="0.25">
      <c r="A5460" s="515">
        <v>75803</v>
      </c>
      <c r="B5460" s="515" t="s">
        <v>1020</v>
      </c>
      <c r="C5460" s="52">
        <v>174998.40048660699</v>
      </c>
      <c r="D5460" s="56">
        <v>9.6929480902112355E-2</v>
      </c>
      <c r="E5460" s="224" t="s">
        <v>2</v>
      </c>
      <c r="F5460" s="515" t="s">
        <v>6702</v>
      </c>
      <c r="G5460" s="52">
        <v>221860.513268832</v>
      </c>
      <c r="H5460" s="56">
        <v>7.4651710197472285E-2</v>
      </c>
      <c r="I5460" s="224" t="s">
        <v>2</v>
      </c>
    </row>
    <row r="5461" spans="1:9" x14ac:dyDescent="0.25">
      <c r="A5461" s="515">
        <v>64050</v>
      </c>
      <c r="B5461" s="515" t="s">
        <v>455</v>
      </c>
      <c r="C5461" s="52">
        <v>153331.97159072099</v>
      </c>
      <c r="D5461" s="56">
        <v>0.12631859959000316</v>
      </c>
      <c r="E5461" s="224">
        <v>993.72222222222194</v>
      </c>
      <c r="F5461" s="515" t="s">
        <v>6703</v>
      </c>
      <c r="G5461" s="52">
        <v>108601.82518816199</v>
      </c>
      <c r="H5461" s="56">
        <v>-2.7754694017191286E-2</v>
      </c>
      <c r="I5461" s="224" t="s">
        <v>2</v>
      </c>
    </row>
    <row r="5462" spans="1:9" x14ac:dyDescent="0.25">
      <c r="A5462" s="515">
        <v>10703</v>
      </c>
      <c r="B5462" s="515" t="s">
        <v>324</v>
      </c>
      <c r="C5462" s="52">
        <v>540200.04061836097</v>
      </c>
      <c r="D5462" s="56">
        <v>1.5028813497473502E-2</v>
      </c>
      <c r="E5462" s="224">
        <v>2358.3333333333298</v>
      </c>
      <c r="F5462" s="515" t="s">
        <v>6704</v>
      </c>
      <c r="G5462" s="52">
        <v>293317.78986021999</v>
      </c>
      <c r="H5462" s="56">
        <v>4.62343699303462E-2</v>
      </c>
      <c r="I5462" s="224">
        <v>1262.0833333333301</v>
      </c>
    </row>
    <row r="5463" spans="1:9" x14ac:dyDescent="0.25">
      <c r="A5463" s="515">
        <v>8109</v>
      </c>
      <c r="B5463" s="515" t="s">
        <v>294</v>
      </c>
      <c r="C5463" s="52">
        <v>259068.28091135301</v>
      </c>
      <c r="D5463" s="56">
        <v>7.9320437974313804E-2</v>
      </c>
      <c r="E5463" s="224" t="s">
        <v>2</v>
      </c>
      <c r="F5463" s="515" t="s">
        <v>6705</v>
      </c>
      <c r="G5463" s="52">
        <v>852122.05841874098</v>
      </c>
      <c r="H5463" s="56">
        <v>6.4138680814988164E-2</v>
      </c>
      <c r="I5463" s="224" t="s">
        <v>2</v>
      </c>
    </row>
    <row r="5464" spans="1:9" x14ac:dyDescent="0.25">
      <c r="A5464" s="515">
        <v>85284</v>
      </c>
      <c r="B5464" s="515" t="s">
        <v>563</v>
      </c>
      <c r="C5464" s="52">
        <v>649034.62467175105</v>
      </c>
      <c r="D5464" s="56">
        <v>3.3224998028852662E-2</v>
      </c>
      <c r="E5464" s="224" t="s">
        <v>2</v>
      </c>
      <c r="F5464" s="515" t="s">
        <v>6706</v>
      </c>
      <c r="G5464" s="52">
        <v>153976.832978455</v>
      </c>
      <c r="H5464" s="56">
        <v>8.0684672288854516E-3</v>
      </c>
      <c r="I5464" s="224">
        <v>1163.3333333333301</v>
      </c>
    </row>
    <row r="5465" spans="1:9" x14ac:dyDescent="0.25">
      <c r="A5465" s="515">
        <v>37205</v>
      </c>
      <c r="B5465" s="515" t="s">
        <v>684</v>
      </c>
      <c r="C5465" s="52">
        <v>897646.38626349298</v>
      </c>
      <c r="D5465" s="56">
        <v>0.13638618055682819</v>
      </c>
      <c r="E5465" s="224">
        <v>2206.7301587301499</v>
      </c>
      <c r="F5465" s="515" t="s">
        <v>6707</v>
      </c>
      <c r="G5465" s="52">
        <v>107764.66719551499</v>
      </c>
      <c r="H5465" s="56">
        <v>7.0208249763260899E-2</v>
      </c>
      <c r="I5465" s="224" t="s">
        <v>2</v>
      </c>
    </row>
    <row r="5466" spans="1:9" x14ac:dyDescent="0.25">
      <c r="A5466" s="515">
        <v>19947</v>
      </c>
      <c r="B5466" s="515" t="s">
        <v>552</v>
      </c>
      <c r="C5466" s="52">
        <v>302659.24469361699</v>
      </c>
      <c r="D5466" s="56">
        <v>3.6753567262808332E-2</v>
      </c>
      <c r="E5466" s="224" t="s">
        <v>2</v>
      </c>
      <c r="F5466" s="515" t="s">
        <v>434</v>
      </c>
      <c r="G5466" s="52">
        <v>122181.221134985</v>
      </c>
      <c r="H5466" s="56">
        <v>-7.4500288515481246E-3</v>
      </c>
      <c r="I5466" s="224" t="s">
        <v>2</v>
      </c>
    </row>
    <row r="5467" spans="1:9" x14ac:dyDescent="0.25">
      <c r="A5467" s="515">
        <v>77054</v>
      </c>
      <c r="B5467" s="515" t="s">
        <v>314</v>
      </c>
      <c r="C5467" s="52">
        <v>158382.82881178299</v>
      </c>
      <c r="D5467" s="56">
        <v>8.686200789704962E-2</v>
      </c>
      <c r="E5467" s="224">
        <v>1315.189570712</v>
      </c>
      <c r="F5467" s="515" t="s">
        <v>6708</v>
      </c>
      <c r="G5467" s="52">
        <v>362205.83548590302</v>
      </c>
      <c r="H5467" s="56">
        <v>7.1604784398048141E-2</v>
      </c>
      <c r="I5467" s="224" t="s">
        <v>2</v>
      </c>
    </row>
    <row r="5468" spans="1:9" x14ac:dyDescent="0.25">
      <c r="A5468" s="515">
        <v>14228</v>
      </c>
      <c r="B5468" s="515" t="s">
        <v>336</v>
      </c>
      <c r="C5468" s="52">
        <v>292631.17134459998</v>
      </c>
      <c r="D5468" s="56">
        <v>7.5263140170841472E-2</v>
      </c>
      <c r="E5468" s="224">
        <v>1538.88888888888</v>
      </c>
      <c r="F5468" s="515" t="s">
        <v>6709</v>
      </c>
      <c r="G5468" s="52">
        <v>77871.009475488201</v>
      </c>
      <c r="H5468" s="56">
        <v>-1.6390842626578209E-2</v>
      </c>
      <c r="I5468" s="224" t="s">
        <v>2</v>
      </c>
    </row>
    <row r="5469" spans="1:9" x14ac:dyDescent="0.25">
      <c r="A5469" s="515">
        <v>80904</v>
      </c>
      <c r="B5469" s="515" t="s">
        <v>701</v>
      </c>
      <c r="C5469" s="52">
        <v>428590.07722853997</v>
      </c>
      <c r="D5469" s="56">
        <v>2.3925789114281826E-2</v>
      </c>
      <c r="E5469" s="224">
        <v>1486.25925925925</v>
      </c>
      <c r="F5469" s="515" t="s">
        <v>6710</v>
      </c>
      <c r="G5469" s="52">
        <v>460186.24486259703</v>
      </c>
      <c r="H5469" s="56">
        <v>2.2924745029020813E-2</v>
      </c>
      <c r="I5469" s="224" t="s">
        <v>2</v>
      </c>
    </row>
    <row r="5470" spans="1:9" x14ac:dyDescent="0.25">
      <c r="A5470" s="515">
        <v>83835</v>
      </c>
      <c r="B5470" s="515" t="s">
        <v>992</v>
      </c>
      <c r="C5470" s="52">
        <v>558364.09971766197</v>
      </c>
      <c r="D5470" s="56">
        <v>4.9919404543265919E-2</v>
      </c>
      <c r="E5470" s="224">
        <v>2079.1666666666601</v>
      </c>
      <c r="F5470" s="515" t="s">
        <v>6711</v>
      </c>
      <c r="G5470" s="52">
        <v>242110.38753860901</v>
      </c>
      <c r="H5470" s="56">
        <v>4.2451902114595902E-2</v>
      </c>
      <c r="I5470" s="224" t="s">
        <v>2</v>
      </c>
    </row>
    <row r="5471" spans="1:9" x14ac:dyDescent="0.25">
      <c r="A5471" s="515">
        <v>11768</v>
      </c>
      <c r="B5471" s="515" t="s">
        <v>324</v>
      </c>
      <c r="C5471" s="52">
        <v>798247.62221282697</v>
      </c>
      <c r="D5471" s="56">
        <v>3.1800466898711861E-2</v>
      </c>
      <c r="E5471" s="224" t="s">
        <v>2</v>
      </c>
      <c r="F5471" s="515" t="s">
        <v>6712</v>
      </c>
      <c r="G5471" s="52">
        <v>103690.137421141</v>
      </c>
      <c r="H5471" s="56">
        <v>4.3014558330682559E-2</v>
      </c>
      <c r="I5471" s="224" t="s">
        <v>2</v>
      </c>
    </row>
    <row r="5472" spans="1:9" x14ac:dyDescent="0.25">
      <c r="A5472" s="515">
        <v>32129</v>
      </c>
      <c r="B5472" s="515" t="s">
        <v>974</v>
      </c>
      <c r="C5472" s="52">
        <v>294815.13422206498</v>
      </c>
      <c r="D5472" s="56">
        <v>9.947382768809486E-2</v>
      </c>
      <c r="E5472" s="224">
        <v>1724.9166666666599</v>
      </c>
      <c r="F5472" s="515" t="s">
        <v>6713</v>
      </c>
      <c r="G5472" s="52">
        <v>154091.64494724901</v>
      </c>
      <c r="H5472" s="56">
        <v>0.14155341425733609</v>
      </c>
      <c r="I5472" s="224" t="s">
        <v>2</v>
      </c>
    </row>
    <row r="5473" spans="1:9" x14ac:dyDescent="0.25">
      <c r="A5473" s="515">
        <v>86305</v>
      </c>
      <c r="B5473" s="515" t="s">
        <v>332</v>
      </c>
      <c r="C5473" s="52">
        <v>679159.38091013802</v>
      </c>
      <c r="D5473" s="56">
        <v>3.0457426316601189E-2</v>
      </c>
      <c r="E5473" s="224">
        <v>1625</v>
      </c>
      <c r="F5473" s="515" t="s">
        <v>6714</v>
      </c>
      <c r="G5473" s="52">
        <v>92386.497216235293</v>
      </c>
      <c r="H5473" s="56">
        <v>0.11556019568675843</v>
      </c>
      <c r="I5473" s="224" t="s">
        <v>2</v>
      </c>
    </row>
    <row r="5474" spans="1:9" x14ac:dyDescent="0.25">
      <c r="A5474" s="515">
        <v>46619</v>
      </c>
      <c r="B5474" s="515" t="s">
        <v>1002</v>
      </c>
      <c r="C5474" s="52">
        <v>104187.40800636901</v>
      </c>
      <c r="D5474" s="56">
        <v>0.17940720303309324</v>
      </c>
      <c r="E5474" s="224" t="s">
        <v>2</v>
      </c>
      <c r="F5474" s="515" t="s">
        <v>6715</v>
      </c>
      <c r="G5474" s="52">
        <v>594391.90191624803</v>
      </c>
      <c r="H5474" s="56">
        <v>0.12527675143623751</v>
      </c>
      <c r="I5474" s="224" t="s">
        <v>2</v>
      </c>
    </row>
    <row r="5475" spans="1:9" x14ac:dyDescent="0.25">
      <c r="A5475" s="515">
        <v>70586</v>
      </c>
      <c r="C5475" s="52">
        <v>101824.45582314</v>
      </c>
      <c r="D5475" s="56">
        <v>-1.5926990641448733E-2</v>
      </c>
      <c r="E5475" s="224" t="s">
        <v>2</v>
      </c>
      <c r="F5475" s="515" t="s">
        <v>6716</v>
      </c>
      <c r="G5475" s="52">
        <v>305694.22318201198</v>
      </c>
      <c r="H5475" s="56">
        <v>0.10989200259117776</v>
      </c>
      <c r="I5475" s="224" t="s">
        <v>2</v>
      </c>
    </row>
    <row r="5476" spans="1:9" x14ac:dyDescent="0.25">
      <c r="A5476" s="515">
        <v>95969</v>
      </c>
      <c r="B5476" s="515" t="s">
        <v>580</v>
      </c>
      <c r="C5476" s="52">
        <v>284542.93930879602</v>
      </c>
      <c r="D5476" s="56">
        <v>-2.6311022335002423E-3</v>
      </c>
      <c r="E5476" s="224" t="s">
        <v>2</v>
      </c>
      <c r="F5476" s="515" t="s">
        <v>6717</v>
      </c>
      <c r="G5476" s="52">
        <v>307942.45822505502</v>
      </c>
      <c r="H5476" s="56">
        <v>6.0986256319131155E-2</v>
      </c>
      <c r="I5476" s="224">
        <v>1570.3333333333301</v>
      </c>
    </row>
    <row r="5477" spans="1:9" x14ac:dyDescent="0.25">
      <c r="A5477" s="515">
        <v>30121</v>
      </c>
      <c r="B5477" s="515" t="s">
        <v>957</v>
      </c>
      <c r="C5477" s="52">
        <v>285773.02684214199</v>
      </c>
      <c r="D5477" s="56">
        <v>0.10822634957055373</v>
      </c>
      <c r="E5477" s="224">
        <v>1995.25</v>
      </c>
      <c r="F5477" s="515" t="s">
        <v>6718</v>
      </c>
      <c r="G5477" s="52">
        <v>216892.568130434</v>
      </c>
      <c r="H5477" s="56">
        <v>2.7040998617724687E-3</v>
      </c>
      <c r="I5477" s="224" t="s">
        <v>2</v>
      </c>
    </row>
    <row r="5478" spans="1:9" x14ac:dyDescent="0.25">
      <c r="A5478" s="515">
        <v>22311</v>
      </c>
      <c r="B5478" s="515" t="s">
        <v>321</v>
      </c>
      <c r="C5478" s="52">
        <v>632859.60715652804</v>
      </c>
      <c r="D5478" s="56">
        <v>2.1882572648108122E-2</v>
      </c>
      <c r="E5478" s="224">
        <v>1746.47245614035</v>
      </c>
      <c r="F5478" s="515" t="s">
        <v>6719</v>
      </c>
      <c r="G5478" s="52">
        <v>346216.70849733002</v>
      </c>
      <c r="H5478" s="56">
        <v>0.13545173202094624</v>
      </c>
      <c r="I5478" s="224" t="s">
        <v>2</v>
      </c>
    </row>
    <row r="5479" spans="1:9" x14ac:dyDescent="0.25">
      <c r="A5479" s="515">
        <v>40351</v>
      </c>
      <c r="C5479" s="52">
        <v>146256.07118048301</v>
      </c>
      <c r="D5479" s="56">
        <v>7.5135358118105053E-2</v>
      </c>
      <c r="E5479" s="224">
        <v>810</v>
      </c>
      <c r="F5479" s="515" t="s">
        <v>6720</v>
      </c>
      <c r="G5479" s="52">
        <v>430162.72219598503</v>
      </c>
      <c r="H5479" s="56">
        <v>7.3165111576443806E-3</v>
      </c>
      <c r="I5479" s="224" t="s">
        <v>2</v>
      </c>
    </row>
    <row r="5480" spans="1:9" x14ac:dyDescent="0.25">
      <c r="A5480" s="515">
        <v>78224</v>
      </c>
      <c r="B5480" s="515" t="s">
        <v>717</v>
      </c>
      <c r="C5480" s="52">
        <v>189175.75652359001</v>
      </c>
      <c r="D5480" s="56">
        <v>9.1895395981683906E-2</v>
      </c>
      <c r="E5480" s="224" t="s">
        <v>2</v>
      </c>
      <c r="F5480" s="515" t="s">
        <v>6721</v>
      </c>
      <c r="G5480" s="52">
        <v>944480.59964949195</v>
      </c>
      <c r="H5480" s="56">
        <v>5.4535010664872915E-2</v>
      </c>
      <c r="I5480" s="224" t="s">
        <v>2</v>
      </c>
    </row>
    <row r="5481" spans="1:9" x14ac:dyDescent="0.25">
      <c r="A5481" s="515">
        <v>45801</v>
      </c>
      <c r="B5481" s="515" t="s">
        <v>299</v>
      </c>
      <c r="C5481" s="52">
        <v>110416.80493249399</v>
      </c>
      <c r="D5481" s="56">
        <v>0.14694581035174631</v>
      </c>
      <c r="E5481" s="224" t="s">
        <v>2</v>
      </c>
      <c r="F5481" s="515" t="s">
        <v>6722</v>
      </c>
      <c r="G5481" s="52">
        <v>237228.354260252</v>
      </c>
      <c r="H5481" s="56">
        <v>6.7190855590610526E-2</v>
      </c>
      <c r="I5481" s="224" t="s">
        <v>2</v>
      </c>
    </row>
    <row r="5482" spans="1:9" x14ac:dyDescent="0.25">
      <c r="A5482" s="515">
        <v>95965</v>
      </c>
      <c r="B5482" s="515" t="s">
        <v>580</v>
      </c>
      <c r="C5482" s="52">
        <v>295734.88666091801</v>
      </c>
      <c r="D5482" s="56">
        <v>-7.4814928363065095E-3</v>
      </c>
      <c r="E5482" s="224">
        <v>1195</v>
      </c>
      <c r="F5482" s="515" t="s">
        <v>6723</v>
      </c>
      <c r="G5482" s="52">
        <v>227518.56460460799</v>
      </c>
      <c r="H5482" s="56">
        <v>9.6942951465126007E-2</v>
      </c>
      <c r="I5482" s="224" t="s">
        <v>2</v>
      </c>
    </row>
    <row r="5483" spans="1:9" x14ac:dyDescent="0.25">
      <c r="A5483" s="515">
        <v>34482</v>
      </c>
      <c r="B5483" s="515" t="s">
        <v>475</v>
      </c>
      <c r="C5483" s="52">
        <v>305299.93715720199</v>
      </c>
      <c r="D5483" s="56">
        <v>0.20618562391369294</v>
      </c>
      <c r="E5483" s="224" t="s">
        <v>2</v>
      </c>
      <c r="F5483" s="515" t="s">
        <v>6724</v>
      </c>
      <c r="G5483" s="52">
        <v>161054.14618912301</v>
      </c>
      <c r="H5483" s="56">
        <v>7.2186250044731629E-2</v>
      </c>
      <c r="I5483" s="224" t="s">
        <v>2</v>
      </c>
    </row>
    <row r="5484" spans="1:9" x14ac:dyDescent="0.25">
      <c r="A5484" s="515">
        <v>77550</v>
      </c>
      <c r="B5484" s="515" t="s">
        <v>314</v>
      </c>
      <c r="C5484" s="52">
        <v>319318.06535456702</v>
      </c>
      <c r="D5484" s="56">
        <v>0.16024513936486143</v>
      </c>
      <c r="E5484" s="224">
        <v>1378.2328042327999</v>
      </c>
      <c r="F5484" s="515" t="s">
        <v>6725</v>
      </c>
      <c r="G5484" s="52">
        <v>496922.79318599502</v>
      </c>
      <c r="H5484" s="56">
        <v>5.8595019653741769E-3</v>
      </c>
      <c r="I5484" s="224">
        <v>2588.1999999999998</v>
      </c>
    </row>
    <row r="5485" spans="1:9" x14ac:dyDescent="0.25">
      <c r="A5485" s="515">
        <v>34788</v>
      </c>
      <c r="B5485" s="515" t="s">
        <v>517</v>
      </c>
      <c r="C5485" s="52">
        <v>278098.22467973101</v>
      </c>
      <c r="D5485" s="56">
        <v>0.13933441224151361</v>
      </c>
      <c r="E5485" s="224" t="s">
        <v>2</v>
      </c>
      <c r="F5485" s="515" t="s">
        <v>6726</v>
      </c>
      <c r="G5485" s="52">
        <v>90868.356160032999</v>
      </c>
      <c r="H5485" s="56">
        <v>0.11750242975920369</v>
      </c>
      <c r="I5485" s="224" t="s">
        <v>2</v>
      </c>
    </row>
    <row r="5486" spans="1:9" x14ac:dyDescent="0.25">
      <c r="A5486" s="515">
        <v>31312</v>
      </c>
      <c r="B5486" s="515" t="s">
        <v>351</v>
      </c>
      <c r="C5486" s="52">
        <v>299303.469719716</v>
      </c>
      <c r="D5486" s="56">
        <v>0.12081343367047337</v>
      </c>
      <c r="E5486" s="224" t="s">
        <v>2</v>
      </c>
      <c r="F5486" s="515" t="s">
        <v>6727</v>
      </c>
      <c r="G5486" s="52">
        <v>117240.352184248</v>
      </c>
      <c r="H5486" s="56">
        <v>7.0592226832808386E-2</v>
      </c>
      <c r="I5486" s="224" t="s">
        <v>2</v>
      </c>
    </row>
    <row r="5487" spans="1:9" x14ac:dyDescent="0.25">
      <c r="A5487" s="515">
        <v>17044</v>
      </c>
      <c r="B5487" s="515" t="s">
        <v>714</v>
      </c>
      <c r="C5487" s="52">
        <v>129025.818074576</v>
      </c>
      <c r="D5487" s="56">
        <v>0.14574809795719279</v>
      </c>
      <c r="E5487" s="224" t="s">
        <v>2</v>
      </c>
      <c r="F5487" s="515" t="s">
        <v>6728</v>
      </c>
      <c r="G5487" s="52">
        <v>159228.39324647901</v>
      </c>
      <c r="H5487" s="56">
        <v>6.9283617657536212E-2</v>
      </c>
      <c r="I5487" s="224" t="s">
        <v>2</v>
      </c>
    </row>
    <row r="5488" spans="1:9" x14ac:dyDescent="0.25">
      <c r="A5488" s="515">
        <v>12078</v>
      </c>
      <c r="B5488" s="515" t="s">
        <v>744</v>
      </c>
      <c r="C5488" s="52">
        <v>138049.233862575</v>
      </c>
      <c r="D5488" s="56">
        <v>9.1129782094578171E-2</v>
      </c>
      <c r="E5488" s="224" t="s">
        <v>2</v>
      </c>
      <c r="F5488" s="515" t="s">
        <v>6729</v>
      </c>
      <c r="G5488" s="52">
        <v>194266.67978941699</v>
      </c>
      <c r="H5488" s="56">
        <v>-2.5879200662046086E-2</v>
      </c>
      <c r="I5488" s="224" t="s">
        <v>2</v>
      </c>
    </row>
    <row r="5489" spans="1:9" x14ac:dyDescent="0.25">
      <c r="A5489" s="515">
        <v>91011</v>
      </c>
      <c r="B5489" s="515" t="s">
        <v>375</v>
      </c>
      <c r="C5489" s="52">
        <v>2006870.82682431</v>
      </c>
      <c r="D5489" s="56">
        <v>2.0369308350064091E-2</v>
      </c>
      <c r="E5489" s="224">
        <v>4700</v>
      </c>
      <c r="F5489" s="515" t="s">
        <v>6730</v>
      </c>
      <c r="G5489" s="52">
        <v>701689.26822894195</v>
      </c>
      <c r="H5489" s="56">
        <v>3.8913852261979655E-3</v>
      </c>
      <c r="I5489" s="224" t="s">
        <v>2</v>
      </c>
    </row>
    <row r="5490" spans="1:9" x14ac:dyDescent="0.25">
      <c r="A5490" s="515">
        <v>54904</v>
      </c>
      <c r="B5490" s="515" t="s">
        <v>383</v>
      </c>
      <c r="C5490" s="52">
        <v>286305.19546370598</v>
      </c>
      <c r="D5490" s="56">
        <v>5.5157515944704527E-2</v>
      </c>
      <c r="E5490" s="224" t="s">
        <v>2</v>
      </c>
      <c r="F5490" s="515" t="s">
        <v>6731</v>
      </c>
      <c r="G5490" s="52">
        <v>411133.27941709699</v>
      </c>
      <c r="H5490" s="56">
        <v>6.5619585698565713E-2</v>
      </c>
      <c r="I5490" s="224" t="s">
        <v>2</v>
      </c>
    </row>
    <row r="5491" spans="1:9" x14ac:dyDescent="0.25">
      <c r="A5491" s="515">
        <v>48214</v>
      </c>
      <c r="B5491" s="515" t="s">
        <v>685</v>
      </c>
      <c r="C5491" s="52">
        <v>88188.522689947393</v>
      </c>
      <c r="D5491" s="56">
        <v>-6.1324889680754502E-2</v>
      </c>
      <c r="E5491" s="224">
        <v>1433.3333333333301</v>
      </c>
      <c r="F5491" s="515" t="s">
        <v>6732</v>
      </c>
      <c r="G5491" s="52">
        <v>168613.69227395701</v>
      </c>
      <c r="H5491" s="56">
        <v>7.5915956442290086E-2</v>
      </c>
      <c r="I5491" s="224" t="s">
        <v>2</v>
      </c>
    </row>
    <row r="5492" spans="1:9" x14ac:dyDescent="0.25">
      <c r="A5492" s="515">
        <v>90272</v>
      </c>
      <c r="B5492" s="515" t="s">
        <v>375</v>
      </c>
      <c r="C5492" s="52">
        <v>3340541.3321355502</v>
      </c>
      <c r="D5492" s="56">
        <v>7.6506026350933495E-2</v>
      </c>
      <c r="E5492" s="224">
        <v>7624.5833333333303</v>
      </c>
      <c r="F5492" s="515" t="s">
        <v>6733</v>
      </c>
      <c r="G5492" s="52">
        <v>165397.446885818</v>
      </c>
      <c r="H5492" s="56">
        <v>5.9167704040144702E-2</v>
      </c>
      <c r="I5492" s="224" t="s">
        <v>2</v>
      </c>
    </row>
    <row r="5493" spans="1:9" x14ac:dyDescent="0.25">
      <c r="A5493" s="515">
        <v>6437</v>
      </c>
      <c r="B5493" s="515" t="s">
        <v>1172</v>
      </c>
      <c r="C5493" s="52">
        <v>495999.94645133702</v>
      </c>
      <c r="D5493" s="56">
        <v>9.0790937974328079E-2</v>
      </c>
      <c r="E5493" s="224">
        <v>3275</v>
      </c>
      <c r="F5493" s="515" t="s">
        <v>6734</v>
      </c>
      <c r="G5493" s="52">
        <v>139887.076480227</v>
      </c>
      <c r="H5493" s="56">
        <v>9.1838232423576707E-2</v>
      </c>
      <c r="I5493" s="224" t="s">
        <v>2</v>
      </c>
    </row>
    <row r="5494" spans="1:9" x14ac:dyDescent="0.25">
      <c r="A5494" s="515">
        <v>53224</v>
      </c>
      <c r="B5494" s="515" t="s">
        <v>950</v>
      </c>
      <c r="C5494" s="52">
        <v>194529.75064912799</v>
      </c>
      <c r="D5494" s="56">
        <v>5.49438320983167E-2</v>
      </c>
      <c r="E5494" s="224">
        <v>1416.6666666666599</v>
      </c>
      <c r="F5494" s="515" t="s">
        <v>6735</v>
      </c>
      <c r="G5494" s="52">
        <v>523707.09108910803</v>
      </c>
      <c r="H5494" s="56">
        <v>0</v>
      </c>
      <c r="I5494" s="224" t="s">
        <v>2</v>
      </c>
    </row>
    <row r="5495" spans="1:9" x14ac:dyDescent="0.25">
      <c r="A5495" s="515">
        <v>98532</v>
      </c>
      <c r="B5495" s="515" t="s">
        <v>468</v>
      </c>
      <c r="C5495" s="52">
        <v>425833.877344632</v>
      </c>
      <c r="D5495" s="56">
        <v>1.7487152038655817E-2</v>
      </c>
      <c r="E5495" s="224" t="s">
        <v>2</v>
      </c>
      <c r="F5495" s="515" t="s">
        <v>6736</v>
      </c>
      <c r="G5495" s="52">
        <v>492154.29043518298</v>
      </c>
      <c r="H5495" s="56">
        <v>0.113518356696708</v>
      </c>
      <c r="I5495" s="224">
        <v>2356.1666666666601</v>
      </c>
    </row>
    <row r="5496" spans="1:9" x14ac:dyDescent="0.25">
      <c r="A5496" s="515">
        <v>91202</v>
      </c>
      <c r="B5496" s="515" t="s">
        <v>375</v>
      </c>
      <c r="C5496" s="52">
        <v>1078919.5793192</v>
      </c>
      <c r="D5496" s="56">
        <v>4.5530339368497784E-2</v>
      </c>
      <c r="E5496" s="224">
        <v>3560</v>
      </c>
      <c r="F5496" s="515" t="s">
        <v>6737</v>
      </c>
      <c r="G5496" s="52">
        <v>288152.25164753001</v>
      </c>
      <c r="H5496" s="56">
        <v>7.6330264726039015E-2</v>
      </c>
      <c r="I5496" s="224" t="s">
        <v>2</v>
      </c>
    </row>
    <row r="5497" spans="1:9" x14ac:dyDescent="0.25">
      <c r="A5497" s="515">
        <v>91040</v>
      </c>
      <c r="B5497" s="515" t="s">
        <v>375</v>
      </c>
      <c r="C5497" s="52">
        <v>840412.67252172204</v>
      </c>
      <c r="D5497" s="56">
        <v>3.9810939781907424E-2</v>
      </c>
      <c r="E5497" s="224" t="s">
        <v>2</v>
      </c>
      <c r="F5497" s="515" t="s">
        <v>6738</v>
      </c>
      <c r="G5497" s="52">
        <v>394826.86828266602</v>
      </c>
      <c r="H5497" s="56">
        <v>0.10301666818320207</v>
      </c>
      <c r="I5497" s="224" t="s">
        <v>2</v>
      </c>
    </row>
    <row r="5498" spans="1:9" x14ac:dyDescent="0.25">
      <c r="A5498" s="515">
        <v>61938</v>
      </c>
      <c r="B5498" s="515" t="s">
        <v>853</v>
      </c>
      <c r="C5498" s="52">
        <v>92854.897436077794</v>
      </c>
      <c r="D5498" s="56">
        <v>1.9803243891499803E-2</v>
      </c>
      <c r="E5498" s="224" t="s">
        <v>2</v>
      </c>
      <c r="F5498" s="515" t="s">
        <v>6739</v>
      </c>
      <c r="G5498" s="52">
        <v>523729.92195358599</v>
      </c>
      <c r="H5498" s="56">
        <v>8.5123727600099619E-2</v>
      </c>
      <c r="I5498" s="224" t="s">
        <v>2</v>
      </c>
    </row>
    <row r="5499" spans="1:9" x14ac:dyDescent="0.25">
      <c r="A5499" s="515">
        <v>92082</v>
      </c>
      <c r="B5499" s="515" t="s">
        <v>396</v>
      </c>
      <c r="C5499" s="52">
        <v>840013.63569387398</v>
      </c>
      <c r="D5499" s="56">
        <v>4.900713226428273E-2</v>
      </c>
      <c r="E5499" s="224" t="s">
        <v>2</v>
      </c>
      <c r="F5499" s="515" t="s">
        <v>6740</v>
      </c>
      <c r="G5499" s="52">
        <v>159566.44708928</v>
      </c>
      <c r="H5499" s="56">
        <v>3.651442508828346E-2</v>
      </c>
      <c r="I5499" s="224">
        <v>1050</v>
      </c>
    </row>
    <row r="5500" spans="1:9" x14ac:dyDescent="0.25">
      <c r="A5500" s="515">
        <v>50263</v>
      </c>
      <c r="B5500" s="515" t="s">
        <v>295</v>
      </c>
      <c r="C5500" s="52">
        <v>325694.70955053199</v>
      </c>
      <c r="D5500" s="56">
        <v>5.1511295277434491E-2</v>
      </c>
      <c r="E5500" s="224">
        <v>1360.51111111111</v>
      </c>
      <c r="F5500" s="515" t="s">
        <v>606</v>
      </c>
      <c r="G5500" s="52">
        <v>256395.96511365299</v>
      </c>
      <c r="H5500" s="56">
        <v>2.7737716338550589E-2</v>
      </c>
      <c r="I5500" s="224" t="s">
        <v>2</v>
      </c>
    </row>
    <row r="5501" spans="1:9" x14ac:dyDescent="0.25">
      <c r="A5501" s="515">
        <v>14468</v>
      </c>
      <c r="B5501" s="515" t="s">
        <v>337</v>
      </c>
      <c r="C5501" s="52">
        <v>229445.318261621</v>
      </c>
      <c r="D5501" s="56">
        <v>0.10396374413613729</v>
      </c>
      <c r="E5501" s="224" t="s">
        <v>2</v>
      </c>
      <c r="F5501" s="515" t="s">
        <v>6741</v>
      </c>
      <c r="G5501" s="52">
        <v>271709.02096153999</v>
      </c>
      <c r="H5501" s="56">
        <v>8.9759510792019076E-2</v>
      </c>
      <c r="I5501" s="224">
        <v>1610</v>
      </c>
    </row>
    <row r="5502" spans="1:9" x14ac:dyDescent="0.25">
      <c r="A5502" s="515">
        <v>49445</v>
      </c>
      <c r="B5502" s="515" t="s">
        <v>943</v>
      </c>
      <c r="C5502" s="52">
        <v>236107.61211576301</v>
      </c>
      <c r="D5502" s="56">
        <v>7.1151075242880876E-2</v>
      </c>
      <c r="E5502" s="224" t="s">
        <v>2</v>
      </c>
      <c r="F5502" s="515" t="s">
        <v>6742</v>
      </c>
      <c r="G5502" s="52">
        <v>351649.84535227303</v>
      </c>
      <c r="H5502" s="56">
        <v>3.5472599795553048E-2</v>
      </c>
      <c r="I5502" s="224" t="s">
        <v>2</v>
      </c>
    </row>
    <row r="5503" spans="1:9" x14ac:dyDescent="0.25">
      <c r="A5503" s="515">
        <v>68510</v>
      </c>
      <c r="B5503" s="515" t="s">
        <v>486</v>
      </c>
      <c r="C5503" s="52">
        <v>225104.91268677899</v>
      </c>
      <c r="D5503" s="56">
        <v>8.9495604622664163E-2</v>
      </c>
      <c r="E5503" s="224">
        <v>1046.875</v>
      </c>
      <c r="F5503" s="515" t="s">
        <v>6743</v>
      </c>
      <c r="G5503" s="52">
        <v>575956.75460090395</v>
      </c>
      <c r="H5503" s="56">
        <v>3.8434552701533245E-2</v>
      </c>
      <c r="I5503" s="224" t="s">
        <v>2</v>
      </c>
    </row>
    <row r="5504" spans="1:9" x14ac:dyDescent="0.25">
      <c r="A5504" s="515">
        <v>72315</v>
      </c>
      <c r="B5504" s="515" t="s">
        <v>1122</v>
      </c>
      <c r="C5504" s="52">
        <v>84254.455306816802</v>
      </c>
      <c r="D5504" s="56">
        <v>-8.1914289156474016E-2</v>
      </c>
      <c r="E5504" s="224" t="s">
        <v>2</v>
      </c>
      <c r="F5504" s="515" t="s">
        <v>6744</v>
      </c>
      <c r="G5504" s="52">
        <v>227748.291709629</v>
      </c>
      <c r="H5504" s="56">
        <v>6.7061756099782918E-2</v>
      </c>
      <c r="I5504" s="224" t="s">
        <v>2</v>
      </c>
    </row>
    <row r="5505" spans="1:9" x14ac:dyDescent="0.25">
      <c r="A5505" s="515">
        <v>60447</v>
      </c>
      <c r="B5505" s="515" t="s">
        <v>394</v>
      </c>
      <c r="C5505" s="52">
        <v>298412.424358527</v>
      </c>
      <c r="D5505" s="56">
        <v>5.8945260126192313E-2</v>
      </c>
      <c r="E5505" s="224" t="s">
        <v>2</v>
      </c>
      <c r="F5505" s="515" t="s">
        <v>6745</v>
      </c>
      <c r="G5505" s="52">
        <v>415201.73368520499</v>
      </c>
      <c r="H5505" s="56">
        <v>4.7520529036330444E-2</v>
      </c>
      <c r="I5505" s="224" t="s">
        <v>2</v>
      </c>
    </row>
    <row r="5506" spans="1:9" x14ac:dyDescent="0.25">
      <c r="A5506" s="515">
        <v>79905</v>
      </c>
      <c r="B5506" s="515" t="s">
        <v>1119</v>
      </c>
      <c r="C5506" s="52"/>
      <c r="D5506" s="56">
        <v>0</v>
      </c>
      <c r="E5506" s="224" t="s">
        <v>2</v>
      </c>
      <c r="F5506" s="515" t="s">
        <v>6746</v>
      </c>
      <c r="G5506" s="52">
        <v>100942.786814217</v>
      </c>
      <c r="H5506" s="56">
        <v>5.9100804805894561E-3</v>
      </c>
      <c r="I5506" s="224" t="s">
        <v>2</v>
      </c>
    </row>
    <row r="5507" spans="1:9" x14ac:dyDescent="0.25">
      <c r="A5507" s="515">
        <v>6820</v>
      </c>
      <c r="B5507" s="515" t="s">
        <v>1173</v>
      </c>
      <c r="C5507" s="52">
        <v>1727944.2116435999</v>
      </c>
      <c r="D5507" s="56">
        <v>0.10290581276958935</v>
      </c>
      <c r="E5507" s="224" t="s">
        <v>2</v>
      </c>
      <c r="F5507" s="515" t="s">
        <v>6747</v>
      </c>
      <c r="G5507" s="52">
        <v>115364.600648698</v>
      </c>
      <c r="H5507" s="56">
        <v>0.12278689956191624</v>
      </c>
      <c r="I5507" s="224" t="s">
        <v>2</v>
      </c>
    </row>
    <row r="5508" spans="1:9" x14ac:dyDescent="0.25">
      <c r="A5508" s="515">
        <v>30286</v>
      </c>
      <c r="B5508" s="515" t="s">
        <v>964</v>
      </c>
      <c r="C5508" s="52">
        <v>145276.483878814</v>
      </c>
      <c r="D5508" s="56">
        <v>0.20830815394130933</v>
      </c>
      <c r="E5508" s="224" t="s">
        <v>2</v>
      </c>
      <c r="F5508" s="515" t="s">
        <v>6748</v>
      </c>
      <c r="G5508" s="52">
        <v>329934.23017975601</v>
      </c>
      <c r="H5508" s="56">
        <v>8.9634370377697975E-2</v>
      </c>
      <c r="I5508" s="224" t="s">
        <v>2</v>
      </c>
    </row>
    <row r="5509" spans="1:9" x14ac:dyDescent="0.25">
      <c r="A5509" s="515">
        <v>6825</v>
      </c>
      <c r="B5509" s="515" t="s">
        <v>1173</v>
      </c>
      <c r="C5509" s="52">
        <v>576753.32075308706</v>
      </c>
      <c r="D5509" s="56">
        <v>9.6642860371733183E-2</v>
      </c>
      <c r="E5509" s="224">
        <v>2877.7777777777701</v>
      </c>
      <c r="F5509" s="515" t="s">
        <v>6749</v>
      </c>
      <c r="G5509" s="52">
        <v>255200.307738423</v>
      </c>
      <c r="H5509" s="56">
        <v>6.8378838016866297E-2</v>
      </c>
      <c r="I5509" s="224" t="s">
        <v>2</v>
      </c>
    </row>
    <row r="5510" spans="1:9" x14ac:dyDescent="0.25">
      <c r="A5510" s="515">
        <v>25526</v>
      </c>
      <c r="B5510" s="515" t="s">
        <v>602</v>
      </c>
      <c r="C5510" s="52">
        <v>223385.61212301999</v>
      </c>
      <c r="D5510" s="56">
        <v>5.1091728750894586E-2</v>
      </c>
      <c r="E5510" s="224">
        <v>937.5</v>
      </c>
      <c r="F5510" s="515" t="s">
        <v>6750</v>
      </c>
      <c r="G5510" s="52">
        <v>539610.24543692998</v>
      </c>
      <c r="H5510" s="56">
        <v>-5.2376959191450211E-3</v>
      </c>
      <c r="I5510" s="224" t="s">
        <v>2</v>
      </c>
    </row>
    <row r="5511" spans="1:9" x14ac:dyDescent="0.25">
      <c r="A5511" s="515">
        <v>19122</v>
      </c>
      <c r="B5511" s="515" t="s">
        <v>294</v>
      </c>
      <c r="C5511" s="52">
        <v>281130.70024346199</v>
      </c>
      <c r="D5511" s="56">
        <v>1.6493652385801725E-2</v>
      </c>
      <c r="E5511" s="224">
        <v>1780.9027777777701</v>
      </c>
      <c r="F5511" s="515" t="s">
        <v>6751</v>
      </c>
      <c r="G5511" s="52">
        <v>239442.58369519701</v>
      </c>
      <c r="H5511" s="56">
        <v>0.13635473469999776</v>
      </c>
      <c r="I5511" s="224" t="s">
        <v>2</v>
      </c>
    </row>
    <row r="5512" spans="1:9" x14ac:dyDescent="0.25">
      <c r="A5512" s="515">
        <v>92501</v>
      </c>
      <c r="B5512" s="515" t="s">
        <v>599</v>
      </c>
      <c r="C5512" s="52">
        <v>505994.48311082902</v>
      </c>
      <c r="D5512" s="56">
        <v>5.3464620698619784E-2</v>
      </c>
      <c r="E5512" s="224">
        <v>2118.0555555555502</v>
      </c>
      <c r="F5512" s="515" t="s">
        <v>6752</v>
      </c>
      <c r="G5512" s="52">
        <v>148084.71116554699</v>
      </c>
      <c r="H5512" s="56">
        <v>5.8220585156668218E-2</v>
      </c>
      <c r="I5512" s="224" t="s">
        <v>2</v>
      </c>
    </row>
    <row r="5513" spans="1:9" x14ac:dyDescent="0.25">
      <c r="A5513" s="515">
        <v>78728</v>
      </c>
      <c r="B5513" s="515" t="s">
        <v>380</v>
      </c>
      <c r="C5513" s="52">
        <v>451975.238865019</v>
      </c>
      <c r="D5513" s="56">
        <v>1.1286726561625273E-2</v>
      </c>
      <c r="E5513" s="224">
        <v>1764.1098484848401</v>
      </c>
      <c r="F5513" s="515" t="s">
        <v>6753</v>
      </c>
      <c r="G5513" s="52">
        <v>293093.84823567001</v>
      </c>
      <c r="H5513" s="56">
        <v>0.12023910960521482</v>
      </c>
      <c r="I5513" s="224" t="s">
        <v>2</v>
      </c>
    </row>
    <row r="5514" spans="1:9" x14ac:dyDescent="0.25">
      <c r="A5514" s="515">
        <v>42503</v>
      </c>
      <c r="B5514" s="515" t="s">
        <v>1145</v>
      </c>
      <c r="C5514" s="52">
        <v>220837.667306733</v>
      </c>
      <c r="D5514" s="56">
        <v>9.3152975373651858E-2</v>
      </c>
      <c r="E5514" s="224" t="s">
        <v>2</v>
      </c>
      <c r="F5514" s="515" t="s">
        <v>6754</v>
      </c>
      <c r="G5514" s="52">
        <v>194462.66126670499</v>
      </c>
      <c r="H5514" s="56">
        <v>8.1923504190124827E-2</v>
      </c>
      <c r="I5514" s="224" t="s">
        <v>2</v>
      </c>
    </row>
    <row r="5515" spans="1:9" x14ac:dyDescent="0.25">
      <c r="A5515" s="515">
        <v>29690</v>
      </c>
      <c r="B5515" s="515" t="s">
        <v>613</v>
      </c>
      <c r="C5515" s="52">
        <v>269545.48155890498</v>
      </c>
      <c r="D5515" s="56">
        <v>0.12428613394455834</v>
      </c>
      <c r="E5515" s="224" t="s">
        <v>2</v>
      </c>
      <c r="F5515" s="515" t="s">
        <v>6755</v>
      </c>
      <c r="G5515" s="52">
        <v>616443.82043343596</v>
      </c>
      <c r="H5515" s="56">
        <v>0</v>
      </c>
      <c r="I5515" s="224" t="s">
        <v>2</v>
      </c>
    </row>
    <row r="5516" spans="1:9" x14ac:dyDescent="0.25">
      <c r="A5516" s="515">
        <v>33935</v>
      </c>
      <c r="C5516" s="52">
        <v>246012.970156141</v>
      </c>
      <c r="D5516" s="56">
        <v>0.17204370547934589</v>
      </c>
      <c r="E5516" s="224" t="s">
        <v>2</v>
      </c>
      <c r="F5516" s="515" t="s">
        <v>6756</v>
      </c>
      <c r="G5516" s="52">
        <v>348031.15090404602</v>
      </c>
      <c r="H5516" s="56">
        <v>2.920692220786085E-2</v>
      </c>
      <c r="I5516" s="224">
        <v>1440</v>
      </c>
    </row>
    <row r="5517" spans="1:9" x14ac:dyDescent="0.25">
      <c r="A5517" s="515">
        <v>71201</v>
      </c>
      <c r="B5517" s="515" t="s">
        <v>695</v>
      </c>
      <c r="C5517" s="52">
        <v>197277.58792495099</v>
      </c>
      <c r="D5517" s="56">
        <v>8.2585864364829717E-2</v>
      </c>
      <c r="E5517" s="224" t="s">
        <v>2</v>
      </c>
      <c r="F5517" s="515" t="s">
        <v>6757</v>
      </c>
      <c r="G5517" s="52">
        <v>332547.70861132501</v>
      </c>
      <c r="H5517" s="56">
        <v>4.1025480342348215E-2</v>
      </c>
      <c r="I5517" s="224" t="s">
        <v>2</v>
      </c>
    </row>
    <row r="5518" spans="1:9" x14ac:dyDescent="0.25">
      <c r="A5518" s="515">
        <v>49316</v>
      </c>
      <c r="B5518" s="515" t="s">
        <v>631</v>
      </c>
      <c r="C5518" s="52">
        <v>368478.19936089701</v>
      </c>
      <c r="D5518" s="56">
        <v>4.7271102121990878E-2</v>
      </c>
      <c r="E5518" s="224" t="s">
        <v>2</v>
      </c>
      <c r="F5518" s="515" t="s">
        <v>6758</v>
      </c>
      <c r="G5518" s="52">
        <v>277900.84634779301</v>
      </c>
      <c r="H5518" s="56">
        <v>7.7021711253794686E-2</v>
      </c>
      <c r="I5518" s="224" t="s">
        <v>2</v>
      </c>
    </row>
    <row r="5519" spans="1:9" x14ac:dyDescent="0.25">
      <c r="A5519" s="515">
        <v>95110</v>
      </c>
      <c r="B5519" s="515" t="s">
        <v>850</v>
      </c>
      <c r="C5519" s="52">
        <v>851911.81419363199</v>
      </c>
      <c r="D5519" s="56">
        <v>2.050100597330097E-2</v>
      </c>
      <c r="E5519" s="224">
        <v>2969.3908521303201</v>
      </c>
      <c r="F5519" s="515" t="s">
        <v>6759</v>
      </c>
      <c r="G5519" s="52">
        <v>243770.23352370699</v>
      </c>
      <c r="H5519" s="56">
        <v>6.6816555381915818E-2</v>
      </c>
      <c r="I5519" s="224" t="s">
        <v>2</v>
      </c>
    </row>
    <row r="5520" spans="1:9" x14ac:dyDescent="0.25">
      <c r="A5520" s="515">
        <v>11426</v>
      </c>
      <c r="B5520" s="515" t="s">
        <v>324</v>
      </c>
      <c r="C5520" s="52">
        <v>681568.70156973496</v>
      </c>
      <c r="D5520" s="56">
        <v>3.6578261938964483E-2</v>
      </c>
      <c r="E5520" s="224" t="s">
        <v>2</v>
      </c>
      <c r="F5520" s="515" t="s">
        <v>6760</v>
      </c>
      <c r="G5520" s="52">
        <v>132962.85086503599</v>
      </c>
      <c r="H5520" s="56">
        <v>0.11471339527553563</v>
      </c>
      <c r="I5520" s="224" t="s">
        <v>2</v>
      </c>
    </row>
    <row r="5521" spans="1:9" x14ac:dyDescent="0.25">
      <c r="A5521" s="515">
        <v>48864</v>
      </c>
      <c r="B5521" s="515" t="s">
        <v>528</v>
      </c>
      <c r="C5521" s="52">
        <v>346701.47257697798</v>
      </c>
      <c r="D5521" s="56">
        <v>5.4694251749946562E-2</v>
      </c>
      <c r="E5521" s="224" t="s">
        <v>2</v>
      </c>
      <c r="F5521" s="515" t="s">
        <v>6761</v>
      </c>
      <c r="G5521" s="52">
        <v>238929.59113863599</v>
      </c>
      <c r="H5521" s="56">
        <v>0.12057568169877389</v>
      </c>
      <c r="I5521" s="224" t="s">
        <v>2</v>
      </c>
    </row>
    <row r="5522" spans="1:9" x14ac:dyDescent="0.25">
      <c r="A5522" s="515">
        <v>17408</v>
      </c>
      <c r="B5522" s="515" t="s">
        <v>509</v>
      </c>
      <c r="C5522" s="52">
        <v>248443.28030072799</v>
      </c>
      <c r="D5522" s="56">
        <v>9.1630641057484946E-2</v>
      </c>
      <c r="E5522" s="224">
        <v>1470.55555555555</v>
      </c>
      <c r="F5522" s="515" t="s">
        <v>6762</v>
      </c>
      <c r="G5522" s="52">
        <v>630512.80655754998</v>
      </c>
      <c r="H5522" s="56">
        <v>6.5011737387602436E-2</v>
      </c>
      <c r="I5522" s="224" t="s">
        <v>2</v>
      </c>
    </row>
    <row r="5523" spans="1:9" x14ac:dyDescent="0.25">
      <c r="A5523" s="515">
        <v>80109</v>
      </c>
      <c r="B5523" s="515" t="s">
        <v>401</v>
      </c>
      <c r="C5523" s="52">
        <v>653493.807784679</v>
      </c>
      <c r="D5523" s="56">
        <v>2.4428078527244126E-2</v>
      </c>
      <c r="E5523" s="224">
        <v>2596.0271164021101</v>
      </c>
      <c r="F5523" s="515" t="s">
        <v>6763</v>
      </c>
      <c r="G5523" s="52">
        <v>616362.02754820895</v>
      </c>
      <c r="H5523" s="56">
        <v>0</v>
      </c>
      <c r="I5523" s="224">
        <v>2052.63333333333</v>
      </c>
    </row>
    <row r="5524" spans="1:9" x14ac:dyDescent="0.25">
      <c r="A5524" s="515">
        <v>48442</v>
      </c>
      <c r="B5524" s="515" t="s">
        <v>685</v>
      </c>
      <c r="C5524" s="52">
        <v>276474.26387441502</v>
      </c>
      <c r="D5524" s="56">
        <v>5.3729662106364304E-2</v>
      </c>
      <c r="E5524" s="224">
        <v>1366</v>
      </c>
      <c r="F5524" s="515" t="s">
        <v>6764</v>
      </c>
      <c r="G5524" s="52">
        <v>103262.41209874699</v>
      </c>
      <c r="H5524" s="56">
        <v>7.7863523785872552E-2</v>
      </c>
      <c r="I5524" s="224" t="s">
        <v>2</v>
      </c>
    </row>
    <row r="5525" spans="1:9" x14ac:dyDescent="0.25">
      <c r="A5525" s="515">
        <v>64083</v>
      </c>
      <c r="B5525" s="515" t="s">
        <v>455</v>
      </c>
      <c r="C5525" s="52">
        <v>320372.27011779399</v>
      </c>
      <c r="D5525" s="56">
        <v>5.0425009791533214E-2</v>
      </c>
      <c r="E5525" s="224">
        <v>1772.94444444444</v>
      </c>
      <c r="F5525" s="515" t="s">
        <v>6765</v>
      </c>
      <c r="G5525" s="52">
        <v>229354.98223338899</v>
      </c>
      <c r="H5525" s="56">
        <v>0.10133958518875351</v>
      </c>
      <c r="I5525" s="224" t="s">
        <v>2</v>
      </c>
    </row>
    <row r="5526" spans="1:9" x14ac:dyDescent="0.25">
      <c r="A5526" s="515">
        <v>90265</v>
      </c>
      <c r="B5526" s="515" t="s">
        <v>375</v>
      </c>
      <c r="C5526" s="52">
        <v>3311701.9072000501</v>
      </c>
      <c r="D5526" s="56">
        <v>2.8024092205270048E-2</v>
      </c>
      <c r="E5526" s="224">
        <v>11462.1964285714</v>
      </c>
      <c r="F5526" s="515" t="s">
        <v>6766</v>
      </c>
      <c r="G5526" s="52">
        <v>168502.65482355701</v>
      </c>
      <c r="H5526" s="56">
        <v>0.11381239246595326</v>
      </c>
      <c r="I5526" s="224" t="s">
        <v>2</v>
      </c>
    </row>
    <row r="5527" spans="1:9" x14ac:dyDescent="0.25">
      <c r="A5527" s="515">
        <v>41071</v>
      </c>
      <c r="B5527" s="515" t="s">
        <v>344</v>
      </c>
      <c r="C5527" s="52">
        <v>186048.660713274</v>
      </c>
      <c r="D5527" s="56">
        <v>0.13694524760749688</v>
      </c>
      <c r="E5527" s="224">
        <v>1341</v>
      </c>
      <c r="F5527" s="515" t="s">
        <v>6767</v>
      </c>
      <c r="G5527" s="52">
        <v>168692.183523065</v>
      </c>
      <c r="H5527" s="56">
        <v>0.11717462974790999</v>
      </c>
      <c r="I5527" s="224" t="s">
        <v>2</v>
      </c>
    </row>
    <row r="5528" spans="1:9" x14ac:dyDescent="0.25">
      <c r="A5528" s="515">
        <v>19438</v>
      </c>
      <c r="B5528" s="515" t="s">
        <v>294</v>
      </c>
      <c r="C5528" s="52">
        <v>449951.38483594998</v>
      </c>
      <c r="D5528" s="56">
        <v>9.2121456315834627E-2</v>
      </c>
      <c r="E5528" s="224">
        <v>1960.8333333333301</v>
      </c>
      <c r="F5528" s="515" t="s">
        <v>6768</v>
      </c>
      <c r="G5528" s="52">
        <v>301760.56347395398</v>
      </c>
      <c r="H5528" s="56">
        <v>2.9166943776514423E-3</v>
      </c>
      <c r="I5528" s="224" t="s">
        <v>2</v>
      </c>
    </row>
    <row r="5529" spans="1:9" x14ac:dyDescent="0.25">
      <c r="A5529" s="515">
        <v>52803</v>
      </c>
      <c r="B5529" s="515" t="s">
        <v>439</v>
      </c>
      <c r="C5529" s="52">
        <v>145057.860478997</v>
      </c>
      <c r="D5529" s="56">
        <v>3.7322750646156887E-2</v>
      </c>
      <c r="E5529" s="224">
        <v>979.16666666666595</v>
      </c>
      <c r="F5529" s="515" t="s">
        <v>6769</v>
      </c>
      <c r="G5529" s="52">
        <v>166784.102177322</v>
      </c>
      <c r="H5529" s="56">
        <v>5.9340750199454298E-2</v>
      </c>
      <c r="I5529" s="224" t="s">
        <v>2</v>
      </c>
    </row>
    <row r="5530" spans="1:9" x14ac:dyDescent="0.25">
      <c r="A5530" s="515">
        <v>2852</v>
      </c>
      <c r="B5530" s="515" t="s">
        <v>513</v>
      </c>
      <c r="C5530" s="52">
        <v>488189.53979573998</v>
      </c>
      <c r="D5530" s="56">
        <v>9.2973799579865526E-2</v>
      </c>
      <c r="E5530" s="224" t="s">
        <v>2</v>
      </c>
      <c r="F5530" s="515" t="s">
        <v>6770</v>
      </c>
      <c r="G5530" s="52">
        <v>168445.64817250299</v>
      </c>
      <c r="H5530" s="56">
        <v>0.14368470285209531</v>
      </c>
      <c r="I5530" s="224" t="s">
        <v>2</v>
      </c>
    </row>
    <row r="5531" spans="1:9" x14ac:dyDescent="0.25">
      <c r="A5531" s="515">
        <v>35235</v>
      </c>
      <c r="B5531" s="515" t="s">
        <v>640</v>
      </c>
      <c r="C5531" s="52">
        <v>180716.57183212301</v>
      </c>
      <c r="D5531" s="56">
        <v>9.6267709243607835E-2</v>
      </c>
      <c r="E5531" s="224">
        <v>1314.63888888888</v>
      </c>
      <c r="F5531" s="515" t="s">
        <v>6771</v>
      </c>
      <c r="G5531" s="52">
        <v>586822.38356663706</v>
      </c>
      <c r="H5531" s="56">
        <v>4.9087249541026487E-2</v>
      </c>
      <c r="I5531" s="224" t="s">
        <v>2</v>
      </c>
    </row>
    <row r="5532" spans="1:9" x14ac:dyDescent="0.25">
      <c r="A5532" s="515">
        <v>32444</v>
      </c>
      <c r="B5532" s="515" t="s">
        <v>1160</v>
      </c>
      <c r="C5532" s="52">
        <v>309243.15620904102</v>
      </c>
      <c r="D5532" s="56">
        <v>0.11284790193049962</v>
      </c>
      <c r="E5532" s="224">
        <v>2075</v>
      </c>
      <c r="F5532" s="515" t="s">
        <v>6772</v>
      </c>
      <c r="G5532" s="52">
        <v>271417.58716535597</v>
      </c>
      <c r="H5532" s="56">
        <v>7.48031095313033E-2</v>
      </c>
      <c r="I5532" s="224" t="s">
        <v>2</v>
      </c>
    </row>
    <row r="5533" spans="1:9" x14ac:dyDescent="0.25">
      <c r="A5533" s="515">
        <v>39194</v>
      </c>
      <c r="B5533" s="515" t="s">
        <v>851</v>
      </c>
      <c r="C5533" s="52">
        <v>69406.273429200795</v>
      </c>
      <c r="D5533" s="56">
        <v>-4.9027086118382544E-2</v>
      </c>
      <c r="E5533" s="224" t="s">
        <v>2</v>
      </c>
      <c r="F5533" s="515" t="s">
        <v>6773</v>
      </c>
      <c r="G5533" s="52">
        <v>295850.57379997103</v>
      </c>
      <c r="H5533" s="56">
        <v>6.2091908501097359E-2</v>
      </c>
      <c r="I5533" s="224" t="s">
        <v>2</v>
      </c>
    </row>
    <row r="5534" spans="1:9" x14ac:dyDescent="0.25">
      <c r="A5534" s="515">
        <v>2445</v>
      </c>
      <c r="B5534" s="515" t="s">
        <v>534</v>
      </c>
      <c r="C5534" s="52">
        <v>1008331.21628373</v>
      </c>
      <c r="D5534" s="56">
        <v>-3.6577590147951748E-2</v>
      </c>
      <c r="E5534" s="224">
        <v>3330.9444444444398</v>
      </c>
      <c r="F5534" s="515" t="s">
        <v>6774</v>
      </c>
      <c r="G5534" s="52">
        <v>201766.90209634401</v>
      </c>
      <c r="H5534" s="56">
        <v>7.3040639169344293E-2</v>
      </c>
      <c r="I5534" s="224" t="s">
        <v>2</v>
      </c>
    </row>
    <row r="5535" spans="1:9" x14ac:dyDescent="0.25">
      <c r="A5535" s="515">
        <v>35802</v>
      </c>
      <c r="B5535" s="515" t="s">
        <v>997</v>
      </c>
      <c r="C5535" s="52">
        <v>322424.32027079602</v>
      </c>
      <c r="D5535" s="56">
        <v>6.9214022147491339E-2</v>
      </c>
      <c r="E5535" s="224">
        <v>1650</v>
      </c>
      <c r="F5535" s="515" t="s">
        <v>6775</v>
      </c>
      <c r="G5535" s="52">
        <v>235287.28073691099</v>
      </c>
      <c r="H5535" s="56">
        <v>1.5115374598618895E-2</v>
      </c>
      <c r="I5535" s="224" t="s">
        <v>2</v>
      </c>
    </row>
    <row r="5536" spans="1:9" x14ac:dyDescent="0.25">
      <c r="A5536" s="515">
        <v>60419</v>
      </c>
      <c r="B5536" s="515" t="s">
        <v>394</v>
      </c>
      <c r="C5536" s="52">
        <v>147902.22621543199</v>
      </c>
      <c r="D5536" s="56">
        <v>9.0650562601907556E-2</v>
      </c>
      <c r="E5536" s="224">
        <v>1399.1666666666599</v>
      </c>
      <c r="F5536" s="515" t="s">
        <v>6776</v>
      </c>
      <c r="G5536" s="52">
        <v>522729.65492707602</v>
      </c>
      <c r="H5536" s="56">
        <v>8.5132594257875963E-2</v>
      </c>
      <c r="I5536" s="224" t="s">
        <v>2</v>
      </c>
    </row>
    <row r="5537" spans="1:9" x14ac:dyDescent="0.25">
      <c r="A5537" s="515">
        <v>22206</v>
      </c>
      <c r="B5537" s="515" t="s">
        <v>321</v>
      </c>
      <c r="C5537" s="52">
        <v>517487.79643372702</v>
      </c>
      <c r="D5537" s="56">
        <v>1.2650507558788375E-2</v>
      </c>
      <c r="E5537" s="224">
        <v>2169.1851851851802</v>
      </c>
      <c r="F5537" s="515" t="s">
        <v>6777</v>
      </c>
      <c r="G5537" s="52">
        <v>307173.07629492</v>
      </c>
      <c r="H5537" s="56">
        <v>5.1628399296154724E-2</v>
      </c>
      <c r="I5537" s="224" t="s">
        <v>2</v>
      </c>
    </row>
    <row r="5538" spans="1:9" x14ac:dyDescent="0.25">
      <c r="A5538" s="515">
        <v>45414</v>
      </c>
      <c r="B5538" s="515" t="s">
        <v>340</v>
      </c>
      <c r="C5538" s="52">
        <v>147874.82096970599</v>
      </c>
      <c r="D5538" s="56">
        <v>0.10535329846440752</v>
      </c>
      <c r="E5538" s="224">
        <v>1373.5</v>
      </c>
      <c r="F5538" s="515" t="s">
        <v>6778</v>
      </c>
      <c r="G5538" s="52">
        <v>309997.85411800601</v>
      </c>
      <c r="H5538" s="56">
        <v>6.9311524995730636E-2</v>
      </c>
      <c r="I5538" s="224" t="s">
        <v>2</v>
      </c>
    </row>
    <row r="5539" spans="1:9" x14ac:dyDescent="0.25">
      <c r="A5539" s="515">
        <v>63043</v>
      </c>
      <c r="B5539" s="515" t="s">
        <v>498</v>
      </c>
      <c r="C5539" s="52">
        <v>225024.84124834801</v>
      </c>
      <c r="D5539" s="56">
        <v>8.2382952489534089E-2</v>
      </c>
      <c r="E5539" s="224">
        <v>1392.7777777777701</v>
      </c>
      <c r="F5539" s="515" t="s">
        <v>6779</v>
      </c>
      <c r="G5539" s="52">
        <v>562822.36830584495</v>
      </c>
      <c r="H5539" s="56">
        <v>8.619445706040077E-2</v>
      </c>
      <c r="I5539" s="224" t="s">
        <v>2</v>
      </c>
    </row>
    <row r="5540" spans="1:9" x14ac:dyDescent="0.25">
      <c r="A5540" s="515">
        <v>10708</v>
      </c>
      <c r="B5540" s="515" t="s">
        <v>324</v>
      </c>
      <c r="C5540" s="52">
        <v>984225.92061368702</v>
      </c>
      <c r="D5540" s="56">
        <v>-3.3529769592973643E-2</v>
      </c>
      <c r="E5540" s="224">
        <v>3960.5</v>
      </c>
      <c r="F5540" s="515" t="s">
        <v>6780</v>
      </c>
      <c r="G5540" s="52">
        <v>117730.375987012</v>
      </c>
      <c r="H5540" s="56">
        <v>5.6416314746782173E-2</v>
      </c>
      <c r="I5540" s="224" t="s">
        <v>2</v>
      </c>
    </row>
    <row r="5541" spans="1:9" x14ac:dyDescent="0.25">
      <c r="A5541" s="515">
        <v>68144</v>
      </c>
      <c r="B5541" s="515" t="s">
        <v>367</v>
      </c>
      <c r="C5541" s="52">
        <v>273127.41448543</v>
      </c>
      <c r="D5541" s="56">
        <v>6.5625872404397836E-2</v>
      </c>
      <c r="E5541" s="224">
        <v>1041.9603174603101</v>
      </c>
      <c r="F5541" s="515" t="s">
        <v>6781</v>
      </c>
      <c r="G5541" s="52">
        <v>132566.23074635601</v>
      </c>
      <c r="H5541" s="56">
        <v>4.1576687356228582E-2</v>
      </c>
      <c r="I5541" s="224" t="s">
        <v>2</v>
      </c>
    </row>
    <row r="5542" spans="1:9" x14ac:dyDescent="0.25">
      <c r="A5542" s="515">
        <v>49002</v>
      </c>
      <c r="B5542" s="515" t="s">
        <v>1037</v>
      </c>
      <c r="C5542" s="52">
        <v>234458.65681882799</v>
      </c>
      <c r="D5542" s="56">
        <v>5.4959745308396923E-2</v>
      </c>
      <c r="E5542" s="224" t="s">
        <v>2</v>
      </c>
      <c r="F5542" s="515" t="s">
        <v>6782</v>
      </c>
      <c r="G5542" s="52">
        <v>403159.73822889099</v>
      </c>
      <c r="H5542" s="56">
        <v>4.4443907623238417E-2</v>
      </c>
      <c r="I5542" s="224" t="s">
        <v>2</v>
      </c>
    </row>
    <row r="5543" spans="1:9" x14ac:dyDescent="0.25">
      <c r="A5543" s="515">
        <v>98671</v>
      </c>
      <c r="B5543" s="515" t="s">
        <v>659</v>
      </c>
      <c r="C5543" s="52">
        <v>560811.46623901604</v>
      </c>
      <c r="D5543" s="56">
        <v>6.2391371288695444E-2</v>
      </c>
      <c r="E5543" s="224">
        <v>2948.75</v>
      </c>
      <c r="F5543" s="515" t="s">
        <v>6783</v>
      </c>
      <c r="G5543" s="52">
        <v>63187.577266307002</v>
      </c>
      <c r="H5543" s="56">
        <v>0.10318548904900479</v>
      </c>
      <c r="I5543" s="224" t="s">
        <v>2</v>
      </c>
    </row>
    <row r="5544" spans="1:9" x14ac:dyDescent="0.25">
      <c r="A5544" s="515">
        <v>94519</v>
      </c>
      <c r="B5544" s="515" t="s">
        <v>593</v>
      </c>
      <c r="C5544" s="52">
        <v>697858.99765313196</v>
      </c>
      <c r="D5544" s="56">
        <v>-1.5917618077653236E-2</v>
      </c>
      <c r="E5544" s="224">
        <v>3133.3333333333298</v>
      </c>
      <c r="F5544" s="515" t="s">
        <v>6784</v>
      </c>
      <c r="G5544" s="52">
        <v>464545.46035508497</v>
      </c>
      <c r="H5544" s="56">
        <v>2.9710146932003599E-2</v>
      </c>
      <c r="I5544" s="224" t="s">
        <v>2</v>
      </c>
    </row>
    <row r="5545" spans="1:9" x14ac:dyDescent="0.25">
      <c r="A5545" s="515">
        <v>97601</v>
      </c>
      <c r="B5545" s="515" t="s">
        <v>545</v>
      </c>
      <c r="C5545" s="52">
        <v>248361.18333983299</v>
      </c>
      <c r="D5545" s="56">
        <v>8.383923611472742E-2</v>
      </c>
      <c r="E5545" s="224" t="s">
        <v>2</v>
      </c>
      <c r="F5545" s="515" t="s">
        <v>6785</v>
      </c>
      <c r="G5545" s="52">
        <v>109045.683608577</v>
      </c>
      <c r="H5545" s="56">
        <v>-1.0509452727846817E-2</v>
      </c>
      <c r="I5545" s="224" t="s">
        <v>2</v>
      </c>
    </row>
    <row r="5546" spans="1:9" x14ac:dyDescent="0.25">
      <c r="A5546" s="515">
        <v>73036</v>
      </c>
      <c r="B5546" s="515" t="s">
        <v>385</v>
      </c>
      <c r="C5546" s="52">
        <v>153836.08304559</v>
      </c>
      <c r="D5546" s="56">
        <v>0.1097841881842314</v>
      </c>
      <c r="E5546" s="224" t="s">
        <v>2</v>
      </c>
      <c r="F5546" s="515" t="s">
        <v>6786</v>
      </c>
      <c r="G5546" s="52">
        <v>284657.36273906601</v>
      </c>
      <c r="H5546" s="56">
        <v>8.5762913433644755E-2</v>
      </c>
      <c r="I5546" s="224" t="s">
        <v>2</v>
      </c>
    </row>
    <row r="5547" spans="1:9" x14ac:dyDescent="0.25">
      <c r="A5547" s="515">
        <v>40342</v>
      </c>
      <c r="B5547" s="515" t="s">
        <v>1210</v>
      </c>
      <c r="C5547" s="52">
        <v>207570.935752341</v>
      </c>
      <c r="D5547" s="56">
        <v>9.2038413368360869E-2</v>
      </c>
      <c r="E5547" s="224" t="s">
        <v>2</v>
      </c>
      <c r="F5547" s="515" t="s">
        <v>6787</v>
      </c>
      <c r="G5547" s="52">
        <v>145342.02954509101</v>
      </c>
      <c r="H5547" s="56">
        <v>0.14506504441216911</v>
      </c>
      <c r="I5547" s="224" t="s">
        <v>2</v>
      </c>
    </row>
    <row r="5548" spans="1:9" x14ac:dyDescent="0.25">
      <c r="A5548" s="515">
        <v>32751</v>
      </c>
      <c r="B5548" s="515" t="s">
        <v>517</v>
      </c>
      <c r="C5548" s="52">
        <v>434307.35272763</v>
      </c>
      <c r="D5548" s="56">
        <v>0.1362858592244639</v>
      </c>
      <c r="E5548" s="224">
        <v>2057.8611111111099</v>
      </c>
      <c r="F5548" s="515" t="s">
        <v>6788</v>
      </c>
      <c r="G5548" s="52">
        <v>408608.24725593301</v>
      </c>
      <c r="H5548" s="56">
        <v>6.6912732000225184E-2</v>
      </c>
      <c r="I5548" s="224" t="s">
        <v>2</v>
      </c>
    </row>
    <row r="5549" spans="1:9" x14ac:dyDescent="0.25">
      <c r="A5549" s="515">
        <v>44484</v>
      </c>
      <c r="B5549" s="515" t="s">
        <v>397</v>
      </c>
      <c r="C5549" s="52">
        <v>155767.31176749099</v>
      </c>
      <c r="D5549" s="56">
        <v>7.6398114065349007E-2</v>
      </c>
      <c r="E5549" s="224" t="s">
        <v>2</v>
      </c>
      <c r="F5549" s="515" t="s">
        <v>6789</v>
      </c>
      <c r="G5549" s="52">
        <v>231911.41326676001</v>
      </c>
      <c r="H5549" s="56">
        <v>5.3757737752281362E-2</v>
      </c>
      <c r="I5549" s="224" t="s">
        <v>2</v>
      </c>
    </row>
    <row r="5550" spans="1:9" x14ac:dyDescent="0.25">
      <c r="A5550" s="515">
        <v>32952</v>
      </c>
      <c r="B5550" s="515" t="s">
        <v>1133</v>
      </c>
      <c r="C5550" s="52">
        <v>435071.09018754499</v>
      </c>
      <c r="D5550" s="56">
        <v>0.10493721221918297</v>
      </c>
      <c r="E5550" s="224" t="s">
        <v>2</v>
      </c>
      <c r="F5550" s="515" t="s">
        <v>6790</v>
      </c>
      <c r="G5550" s="52">
        <v>321993.01621774398</v>
      </c>
      <c r="H5550" s="56">
        <v>8.4441299432241629E-2</v>
      </c>
      <c r="I5550" s="224" t="s">
        <v>2</v>
      </c>
    </row>
    <row r="5551" spans="1:9" x14ac:dyDescent="0.25">
      <c r="A5551" s="515">
        <v>14223</v>
      </c>
      <c r="B5551" s="515" t="s">
        <v>336</v>
      </c>
      <c r="C5551" s="52">
        <v>219976.91033675399</v>
      </c>
      <c r="D5551" s="56">
        <v>6.1898317334670779E-2</v>
      </c>
      <c r="E5551" s="224" t="s">
        <v>2</v>
      </c>
      <c r="F5551" s="515" t="s">
        <v>6791</v>
      </c>
      <c r="G5551" s="52">
        <v>246509.098421214</v>
      </c>
      <c r="H5551" s="56">
        <v>0.15242652857557534</v>
      </c>
      <c r="I5551" s="224">
        <v>1879.1111111111099</v>
      </c>
    </row>
    <row r="5552" spans="1:9" x14ac:dyDescent="0.25">
      <c r="A5552" s="515">
        <v>40160</v>
      </c>
      <c r="B5552" s="515" t="s">
        <v>671</v>
      </c>
      <c r="C5552" s="52">
        <v>182205.08907326101</v>
      </c>
      <c r="D5552" s="56">
        <v>0.10850539957575252</v>
      </c>
      <c r="E5552" s="224" t="s">
        <v>2</v>
      </c>
      <c r="F5552" s="515" t="s">
        <v>6792</v>
      </c>
      <c r="G5552" s="52">
        <v>149104.73687465399</v>
      </c>
      <c r="H5552" s="56">
        <v>8.6665732383416183E-2</v>
      </c>
      <c r="I5552" s="224" t="s">
        <v>2</v>
      </c>
    </row>
    <row r="5553" spans="1:9" x14ac:dyDescent="0.25">
      <c r="A5553" s="515">
        <v>13210</v>
      </c>
      <c r="B5553" s="515" t="s">
        <v>361</v>
      </c>
      <c r="C5553" s="52">
        <v>190360.98265119901</v>
      </c>
      <c r="D5553" s="56">
        <v>8.2872561445685264E-2</v>
      </c>
      <c r="E5553" s="224" t="s">
        <v>2</v>
      </c>
      <c r="F5553" s="515" t="s">
        <v>6793</v>
      </c>
      <c r="G5553" s="52">
        <v>112861.64070141299</v>
      </c>
      <c r="H5553" s="56">
        <v>0.11190926330500801</v>
      </c>
      <c r="I5553" s="224" t="s">
        <v>2</v>
      </c>
    </row>
    <row r="5554" spans="1:9" x14ac:dyDescent="0.25">
      <c r="A5554" s="515">
        <v>7205</v>
      </c>
      <c r="B5554" s="515" t="s">
        <v>324</v>
      </c>
      <c r="C5554" s="52">
        <v>398698.47158900503</v>
      </c>
      <c r="D5554" s="56">
        <v>4.9417364819731413E-2</v>
      </c>
      <c r="E5554" s="224" t="s">
        <v>2</v>
      </c>
      <c r="F5554" s="515" t="s">
        <v>6794</v>
      </c>
      <c r="G5554" s="52">
        <v>215866.46053086501</v>
      </c>
      <c r="H5554" s="56">
        <v>1.7674839385889252E-2</v>
      </c>
      <c r="I5554" s="224" t="s">
        <v>2</v>
      </c>
    </row>
    <row r="5555" spans="1:9" x14ac:dyDescent="0.25">
      <c r="A5555" s="515">
        <v>92225</v>
      </c>
      <c r="B5555" s="515" t="s">
        <v>599</v>
      </c>
      <c r="C5555" s="52">
        <v>222115.75315968099</v>
      </c>
      <c r="D5555" s="56">
        <v>7.9146860500316676E-2</v>
      </c>
      <c r="E5555" s="224" t="s">
        <v>2</v>
      </c>
      <c r="F5555" s="515" t="s">
        <v>6795</v>
      </c>
      <c r="G5555" s="52">
        <v>593250.12950613804</v>
      </c>
      <c r="H5555" s="56">
        <v>3.8168871514571552E-2</v>
      </c>
      <c r="I5555" s="224" t="s">
        <v>2</v>
      </c>
    </row>
    <row r="5556" spans="1:9" x14ac:dyDescent="0.25">
      <c r="A5556" s="515">
        <v>84087</v>
      </c>
      <c r="B5556" s="515" t="s">
        <v>628</v>
      </c>
      <c r="C5556" s="52">
        <v>495711.37038092798</v>
      </c>
      <c r="D5556" s="56">
        <v>2.4221908307832284E-2</v>
      </c>
      <c r="E5556" s="224" t="s">
        <v>2</v>
      </c>
      <c r="F5556" s="515" t="s">
        <v>6796</v>
      </c>
      <c r="G5556" s="52">
        <v>157115.55717132101</v>
      </c>
      <c r="H5556" s="56">
        <v>7.5213144795465287E-2</v>
      </c>
      <c r="I5556" s="224" t="s">
        <v>2</v>
      </c>
    </row>
    <row r="5557" spans="1:9" x14ac:dyDescent="0.25">
      <c r="A5557" s="515">
        <v>36265</v>
      </c>
      <c r="B5557" s="515" t="s">
        <v>927</v>
      </c>
      <c r="C5557" s="52">
        <v>177397.88516936099</v>
      </c>
      <c r="D5557" s="56">
        <v>8.3619766203233414E-2</v>
      </c>
      <c r="E5557" s="224" t="s">
        <v>2</v>
      </c>
      <c r="F5557" s="515" t="s">
        <v>6797</v>
      </c>
      <c r="G5557" s="52">
        <v>250581.66370757701</v>
      </c>
      <c r="H5557" s="56">
        <v>0.12637996204133239</v>
      </c>
      <c r="I5557" s="224" t="s">
        <v>2</v>
      </c>
    </row>
    <row r="5558" spans="1:9" x14ac:dyDescent="0.25">
      <c r="A5558" s="515">
        <v>89166</v>
      </c>
      <c r="B5558" s="515" t="s">
        <v>323</v>
      </c>
      <c r="C5558" s="52">
        <v>453421.12409207801</v>
      </c>
      <c r="D5558" s="56">
        <v>2.8848301906329064E-2</v>
      </c>
      <c r="E5558" s="224">
        <v>1873.94907407407</v>
      </c>
      <c r="F5558" s="515" t="s">
        <v>6798</v>
      </c>
      <c r="G5558" s="52">
        <v>1289940.3344672101</v>
      </c>
      <c r="H5558" s="56">
        <v>0.14556833705706348</v>
      </c>
      <c r="I5558" s="224" t="s">
        <v>2</v>
      </c>
    </row>
    <row r="5559" spans="1:9" x14ac:dyDescent="0.25">
      <c r="A5559" s="515">
        <v>8085</v>
      </c>
      <c r="B5559" s="515" t="s">
        <v>294</v>
      </c>
      <c r="C5559" s="52">
        <v>387269.59134931001</v>
      </c>
      <c r="D5559" s="56">
        <v>7.0607888178675735E-2</v>
      </c>
      <c r="E5559" s="224" t="s">
        <v>2</v>
      </c>
      <c r="F5559" s="515" t="s">
        <v>6799</v>
      </c>
      <c r="G5559" s="52">
        <v>280720.18518308603</v>
      </c>
      <c r="H5559" s="56">
        <v>-2.4019337443058588E-2</v>
      </c>
      <c r="I5559" s="224" t="s">
        <v>2</v>
      </c>
    </row>
    <row r="5560" spans="1:9" x14ac:dyDescent="0.25">
      <c r="A5560" s="515">
        <v>49707</v>
      </c>
      <c r="B5560" s="515" t="s">
        <v>912</v>
      </c>
      <c r="C5560" s="52">
        <v>137529.28028095601</v>
      </c>
      <c r="D5560" s="56">
        <v>0.10836543756989972</v>
      </c>
      <c r="E5560" s="224" t="s">
        <v>2</v>
      </c>
      <c r="F5560" s="515" t="s">
        <v>6800</v>
      </c>
      <c r="G5560" s="52">
        <v>489443.88476154697</v>
      </c>
      <c r="H5560" s="56">
        <v>0.11219130161992201</v>
      </c>
      <c r="I5560" s="224" t="s">
        <v>2</v>
      </c>
    </row>
    <row r="5561" spans="1:9" x14ac:dyDescent="0.25">
      <c r="A5561" s="515">
        <v>94703</v>
      </c>
      <c r="B5561" s="515" t="s">
        <v>593</v>
      </c>
      <c r="C5561" s="52">
        <v>1228048.6573660099</v>
      </c>
      <c r="D5561" s="56">
        <v>-4.3529921764685009E-2</v>
      </c>
      <c r="E5561" s="224">
        <v>2548.75</v>
      </c>
      <c r="F5561" s="515" t="s">
        <v>6801</v>
      </c>
      <c r="G5561" s="52">
        <v>220575.81085262701</v>
      </c>
      <c r="H5561" s="56">
        <v>0.10007411617970169</v>
      </c>
      <c r="I5561" s="224" t="s">
        <v>2</v>
      </c>
    </row>
    <row r="5562" spans="1:9" x14ac:dyDescent="0.25">
      <c r="A5562" s="515">
        <v>60432</v>
      </c>
      <c r="B5562" s="515" t="s">
        <v>394</v>
      </c>
      <c r="C5562" s="52">
        <v>149510.22158758799</v>
      </c>
      <c r="D5562" s="56">
        <v>8.8746518739900318E-2</v>
      </c>
      <c r="E5562" s="224" t="s">
        <v>2</v>
      </c>
      <c r="F5562" s="515" t="s">
        <v>6802</v>
      </c>
      <c r="G5562" s="52">
        <v>178975.647207161</v>
      </c>
      <c r="H5562" s="56">
        <v>0.15585971727467579</v>
      </c>
      <c r="I5562" s="224" t="s">
        <v>2</v>
      </c>
    </row>
    <row r="5563" spans="1:9" x14ac:dyDescent="0.25">
      <c r="A5563" s="515">
        <v>90068</v>
      </c>
      <c r="B5563" s="515" t="s">
        <v>375</v>
      </c>
      <c r="C5563" s="52">
        <v>1611500.0977572701</v>
      </c>
      <c r="D5563" s="56">
        <v>3.7643207515640549E-2</v>
      </c>
      <c r="E5563" s="224">
        <v>3643.8333333333298</v>
      </c>
      <c r="F5563" s="515" t="s">
        <v>6803</v>
      </c>
      <c r="G5563" s="52">
        <v>148562.11665551999</v>
      </c>
      <c r="H5563" s="56">
        <v>0.14986385063755209</v>
      </c>
      <c r="I5563" s="224" t="s">
        <v>2</v>
      </c>
    </row>
    <row r="5564" spans="1:9" x14ac:dyDescent="0.25">
      <c r="A5564" s="515">
        <v>43160</v>
      </c>
      <c r="B5564" s="515" t="s">
        <v>1054</v>
      </c>
      <c r="C5564" s="52">
        <v>176068.95426362101</v>
      </c>
      <c r="D5564" s="56">
        <v>7.8950390156035541E-2</v>
      </c>
      <c r="E5564" s="224" t="s">
        <v>2</v>
      </c>
      <c r="F5564" s="515" t="s">
        <v>6804</v>
      </c>
      <c r="G5564" s="52">
        <v>231919.32006148799</v>
      </c>
      <c r="H5564" s="56">
        <v>0.16748015604246178</v>
      </c>
      <c r="I5564" s="224" t="s">
        <v>2</v>
      </c>
    </row>
    <row r="5565" spans="1:9" x14ac:dyDescent="0.25">
      <c r="A5565" s="515">
        <v>1610</v>
      </c>
      <c r="B5565" s="515" t="s">
        <v>751</v>
      </c>
      <c r="C5565" s="52">
        <v>301896.59788786701</v>
      </c>
      <c r="D5565" s="56">
        <v>7.85448699319828E-2</v>
      </c>
      <c r="E5565" s="224">
        <v>1643.6111111111099</v>
      </c>
      <c r="F5565" s="515" t="s">
        <v>6805</v>
      </c>
      <c r="G5565" s="52">
        <v>114454.693588601</v>
      </c>
      <c r="H5565" s="56">
        <v>8.9739386312311362E-2</v>
      </c>
      <c r="I5565" s="224" t="s">
        <v>2</v>
      </c>
    </row>
    <row r="5566" spans="1:9" x14ac:dyDescent="0.25">
      <c r="A5566" s="515">
        <v>32713</v>
      </c>
      <c r="B5566" s="515" t="s">
        <v>974</v>
      </c>
      <c r="C5566" s="52">
        <v>370270.41235134902</v>
      </c>
      <c r="D5566" s="56">
        <v>0.10011837047051636</v>
      </c>
      <c r="E5566" s="224">
        <v>2392</v>
      </c>
      <c r="F5566" s="515" t="s">
        <v>6806</v>
      </c>
      <c r="G5566" s="52">
        <v>359926.079011266</v>
      </c>
      <c r="H5566" s="56">
        <v>3.1619575764683529E-2</v>
      </c>
      <c r="I5566" s="224" t="s">
        <v>2</v>
      </c>
    </row>
    <row r="5567" spans="1:9" x14ac:dyDescent="0.25">
      <c r="A5567" s="515">
        <v>6112</v>
      </c>
      <c r="B5567" s="515" t="s">
        <v>894</v>
      </c>
      <c r="C5567" s="52">
        <v>203276.643009961</v>
      </c>
      <c r="D5567" s="56">
        <v>0.12852192947398899</v>
      </c>
      <c r="E5567" s="224" t="s">
        <v>2</v>
      </c>
      <c r="F5567" s="515" t="s">
        <v>6807</v>
      </c>
      <c r="G5567" s="52">
        <v>724178.37358559901</v>
      </c>
      <c r="H5567" s="56">
        <v>5.4661703772759966E-2</v>
      </c>
      <c r="I5567" s="224" t="s">
        <v>2</v>
      </c>
    </row>
    <row r="5568" spans="1:9" x14ac:dyDescent="0.25">
      <c r="A5568" s="515">
        <v>7203</v>
      </c>
      <c r="B5568" s="515" t="s">
        <v>324</v>
      </c>
      <c r="C5568" s="52">
        <v>390994.86664406903</v>
      </c>
      <c r="D5568" s="56">
        <v>6.9719111262435046E-2</v>
      </c>
      <c r="E5568" s="224">
        <v>2465.9555555555498</v>
      </c>
      <c r="F5568" s="515" t="s">
        <v>6808</v>
      </c>
      <c r="G5568" s="52">
        <v>478693.53934726201</v>
      </c>
      <c r="H5568" s="56">
        <v>1.3761002385545529E-2</v>
      </c>
      <c r="I5568" s="224" t="s">
        <v>2</v>
      </c>
    </row>
    <row r="5569" spans="1:9" x14ac:dyDescent="0.25">
      <c r="A5569" s="515">
        <v>61111</v>
      </c>
      <c r="B5569" s="515" t="s">
        <v>1104</v>
      </c>
      <c r="C5569" s="52">
        <v>154986.68275189301</v>
      </c>
      <c r="D5569" s="56">
        <v>7.0188045232748172E-2</v>
      </c>
      <c r="E5569" s="224">
        <v>1280.8333333333301</v>
      </c>
      <c r="F5569" s="515" t="s">
        <v>6809</v>
      </c>
      <c r="G5569" s="52">
        <v>226011.937385611</v>
      </c>
      <c r="H5569" s="56">
        <v>7.3341350204230604E-2</v>
      </c>
      <c r="I5569" s="224" t="s">
        <v>2</v>
      </c>
    </row>
    <row r="5570" spans="1:9" x14ac:dyDescent="0.25">
      <c r="A5570" s="515">
        <v>29644</v>
      </c>
      <c r="B5570" s="515" t="s">
        <v>613</v>
      </c>
      <c r="C5570" s="52">
        <v>251680.105286504</v>
      </c>
      <c r="D5570" s="56">
        <v>0.12757350957562055</v>
      </c>
      <c r="E5570" s="224" t="s">
        <v>2</v>
      </c>
      <c r="F5570" s="515" t="s">
        <v>6810</v>
      </c>
      <c r="G5570" s="52">
        <v>490322.69867548702</v>
      </c>
      <c r="H5570" s="56">
        <v>6.428987976087594E-2</v>
      </c>
      <c r="I5570" s="224" t="s">
        <v>2</v>
      </c>
    </row>
    <row r="5571" spans="1:9" x14ac:dyDescent="0.25">
      <c r="A5571" s="515">
        <v>32778</v>
      </c>
      <c r="B5571" s="515" t="s">
        <v>517</v>
      </c>
      <c r="C5571" s="52">
        <v>307647.07274485799</v>
      </c>
      <c r="D5571" s="56">
        <v>0.10903821642811273</v>
      </c>
      <c r="E5571" s="224">
        <v>1937.8333333333301</v>
      </c>
      <c r="F5571" s="515" t="s">
        <v>6811</v>
      </c>
      <c r="G5571" s="52">
        <v>193611.12575640401</v>
      </c>
      <c r="H5571" s="56">
        <v>0.15024107592257221</v>
      </c>
      <c r="I5571" s="224" t="s">
        <v>2</v>
      </c>
    </row>
    <row r="5572" spans="1:9" x14ac:dyDescent="0.25">
      <c r="A5572" s="515">
        <v>77632</v>
      </c>
      <c r="B5572" s="515" t="s">
        <v>492</v>
      </c>
      <c r="C5572" s="52">
        <v>196166.84028278699</v>
      </c>
      <c r="D5572" s="56">
        <v>8.4195142981837705E-3</v>
      </c>
      <c r="E5572" s="224" t="s">
        <v>2</v>
      </c>
      <c r="F5572" s="515" t="s">
        <v>1218</v>
      </c>
      <c r="G5572" s="52">
        <v>190459.113155089</v>
      </c>
      <c r="H5572" s="56">
        <v>3.7758151843646781E-2</v>
      </c>
      <c r="I5572" s="224" t="s">
        <v>2</v>
      </c>
    </row>
    <row r="5573" spans="1:9" x14ac:dyDescent="0.25">
      <c r="A5573" s="515">
        <v>72211</v>
      </c>
      <c r="B5573" s="515" t="s">
        <v>393</v>
      </c>
      <c r="C5573" s="52">
        <v>252276.170957255</v>
      </c>
      <c r="D5573" s="56">
        <v>6.8875976413137141E-2</v>
      </c>
      <c r="E5573" s="224">
        <v>1503.3333333333301</v>
      </c>
      <c r="F5573" s="515" t="s">
        <v>6812</v>
      </c>
      <c r="G5573" s="52">
        <v>175582.30457799599</v>
      </c>
      <c r="H5573" s="56">
        <v>0.10463328116134454</v>
      </c>
      <c r="I5573" s="224" t="s">
        <v>2</v>
      </c>
    </row>
    <row r="5574" spans="1:9" x14ac:dyDescent="0.25">
      <c r="A5574" s="515">
        <v>47250</v>
      </c>
      <c r="B5574" s="515" t="s">
        <v>865</v>
      </c>
      <c r="C5574" s="52">
        <v>191729.275944416</v>
      </c>
      <c r="D5574" s="56">
        <v>0.1026232393125608</v>
      </c>
      <c r="E5574" s="224" t="s">
        <v>2</v>
      </c>
      <c r="F5574" s="515" t="s">
        <v>653</v>
      </c>
      <c r="G5574" s="52">
        <v>854274.68056105799</v>
      </c>
      <c r="H5574" s="56">
        <v>3.5887171127244821E-2</v>
      </c>
      <c r="I5574" s="224" t="s">
        <v>2</v>
      </c>
    </row>
    <row r="5575" spans="1:9" x14ac:dyDescent="0.25">
      <c r="A5575" s="515">
        <v>19010</v>
      </c>
      <c r="B5575" s="515" t="s">
        <v>294</v>
      </c>
      <c r="C5575" s="52">
        <v>733439.80105261295</v>
      </c>
      <c r="D5575" s="56">
        <v>6.9602769368912062E-2</v>
      </c>
      <c r="E5575" s="224">
        <v>2117.2916666666601</v>
      </c>
      <c r="F5575" s="515" t="s">
        <v>6813</v>
      </c>
      <c r="G5575" s="52">
        <v>500646.47605444997</v>
      </c>
      <c r="H5575" s="56">
        <v>2.2066722665819469E-2</v>
      </c>
      <c r="I5575" s="224">
        <v>3000</v>
      </c>
    </row>
    <row r="5576" spans="1:9" x14ac:dyDescent="0.25">
      <c r="A5576" s="515">
        <v>2467</v>
      </c>
      <c r="B5576" s="515" t="s">
        <v>534</v>
      </c>
      <c r="C5576" s="52">
        <v>1159886.28833345</v>
      </c>
      <c r="D5576" s="56">
        <v>1.0433748941650226E-2</v>
      </c>
      <c r="E5576" s="224">
        <v>3199.1666666666601</v>
      </c>
      <c r="F5576" s="515" t="s">
        <v>6814</v>
      </c>
      <c r="G5576" s="52">
        <v>209112.02221777901</v>
      </c>
      <c r="H5576" s="56">
        <v>7.8531227295055198E-2</v>
      </c>
      <c r="I5576" s="224" t="s">
        <v>2</v>
      </c>
    </row>
    <row r="5577" spans="1:9" x14ac:dyDescent="0.25">
      <c r="A5577" s="515">
        <v>43609</v>
      </c>
      <c r="B5577" s="515" t="s">
        <v>300</v>
      </c>
      <c r="C5577" s="52">
        <v>53368.6859866335</v>
      </c>
      <c r="D5577" s="56">
        <v>0.14236081251582994</v>
      </c>
      <c r="E5577" s="224">
        <v>939.16666666666595</v>
      </c>
      <c r="F5577" s="515" t="s">
        <v>6815</v>
      </c>
      <c r="G5577" s="52">
        <v>133024.42861856299</v>
      </c>
      <c r="H5577" s="56">
        <v>7.1408020853943655E-2</v>
      </c>
      <c r="I5577" s="224" t="s">
        <v>2</v>
      </c>
    </row>
    <row r="5578" spans="1:9" x14ac:dyDescent="0.25">
      <c r="A5578" s="515">
        <v>2134</v>
      </c>
      <c r="B5578" s="515" t="s">
        <v>534</v>
      </c>
      <c r="C5578" s="52">
        <v>565224.974420632</v>
      </c>
      <c r="D5578" s="56">
        <v>-6.1276623003788978E-2</v>
      </c>
      <c r="E5578" s="224">
        <v>3576.8777145266699</v>
      </c>
      <c r="F5578" s="515" t="s">
        <v>6816</v>
      </c>
      <c r="G5578" s="52">
        <v>327575.71165086399</v>
      </c>
      <c r="H5578" s="56">
        <v>8.8342572737553304E-2</v>
      </c>
      <c r="I5578" s="224" t="s">
        <v>2</v>
      </c>
    </row>
    <row r="5579" spans="1:9" x14ac:dyDescent="0.25">
      <c r="A5579" s="515">
        <v>60045</v>
      </c>
      <c r="B5579" s="515" t="s">
        <v>394</v>
      </c>
      <c r="C5579" s="52">
        <v>893472.54780090298</v>
      </c>
      <c r="D5579" s="56">
        <v>9.8239091797181155E-2</v>
      </c>
      <c r="E5579" s="224" t="s">
        <v>2</v>
      </c>
      <c r="F5579" s="515" t="s">
        <v>6817</v>
      </c>
      <c r="G5579" s="52">
        <v>189743.61261335999</v>
      </c>
      <c r="H5579" s="56">
        <v>9.369082115828313E-2</v>
      </c>
      <c r="I5579" s="224" t="s">
        <v>2</v>
      </c>
    </row>
    <row r="5580" spans="1:9" x14ac:dyDescent="0.25">
      <c r="A5580" s="515">
        <v>61081</v>
      </c>
      <c r="B5580" s="515" t="s">
        <v>756</v>
      </c>
      <c r="C5580" s="52">
        <v>111025.40486363599</v>
      </c>
      <c r="D5580" s="56">
        <v>7.5786179391927541E-2</v>
      </c>
      <c r="E5580" s="224" t="s">
        <v>2</v>
      </c>
      <c r="F5580" s="515" t="s">
        <v>6818</v>
      </c>
      <c r="G5580" s="52">
        <v>207891.916087825</v>
      </c>
      <c r="H5580" s="56">
        <v>8.2310871374136813E-2</v>
      </c>
      <c r="I5580" s="224" t="s">
        <v>2</v>
      </c>
    </row>
    <row r="5581" spans="1:9" x14ac:dyDescent="0.25">
      <c r="A5581" s="515">
        <v>68130</v>
      </c>
      <c r="B5581" s="515" t="s">
        <v>367</v>
      </c>
      <c r="C5581" s="52">
        <v>416005.55241685</v>
      </c>
      <c r="D5581" s="56">
        <v>6.928345808660584E-2</v>
      </c>
      <c r="E5581" s="224">
        <v>1409.2698412698401</v>
      </c>
      <c r="F5581" s="515" t="s">
        <v>6819</v>
      </c>
      <c r="G5581" s="52">
        <v>377573.52260005998</v>
      </c>
      <c r="H5581" s="56">
        <v>1.7532299869737922E-2</v>
      </c>
      <c r="I5581" s="224" t="s">
        <v>2</v>
      </c>
    </row>
    <row r="5582" spans="1:9" x14ac:dyDescent="0.25">
      <c r="A5582" s="515">
        <v>61115</v>
      </c>
      <c r="B5582" s="515" t="s">
        <v>1104</v>
      </c>
      <c r="C5582" s="52">
        <v>150578.46400583599</v>
      </c>
      <c r="D5582" s="56">
        <v>8.2592465889274089E-2</v>
      </c>
      <c r="E5582" s="224" t="s">
        <v>2</v>
      </c>
      <c r="F5582" s="515" t="s">
        <v>6820</v>
      </c>
      <c r="G5582" s="52">
        <v>435847.98851019802</v>
      </c>
      <c r="H5582" s="56">
        <v>1.7860376528265474E-2</v>
      </c>
      <c r="I5582" s="224">
        <v>2517.8333333333298</v>
      </c>
    </row>
    <row r="5583" spans="1:9" x14ac:dyDescent="0.25">
      <c r="A5583" s="515">
        <v>15143</v>
      </c>
      <c r="B5583" s="515" t="s">
        <v>297</v>
      </c>
      <c r="C5583" s="52">
        <v>447640.53424044</v>
      </c>
      <c r="D5583" s="56">
        <v>5.5198790363476212E-2</v>
      </c>
      <c r="E5583" s="224">
        <v>1512.5</v>
      </c>
      <c r="F5583" s="515" t="s">
        <v>6821</v>
      </c>
      <c r="G5583" s="52">
        <v>278728.88405287499</v>
      </c>
      <c r="H5583" s="56">
        <v>0.10965694345456847</v>
      </c>
      <c r="I5583" s="224" t="s">
        <v>2</v>
      </c>
    </row>
    <row r="5584" spans="1:9" x14ac:dyDescent="0.25">
      <c r="A5584" s="515">
        <v>6002</v>
      </c>
      <c r="B5584" s="515" t="s">
        <v>894</v>
      </c>
      <c r="C5584" s="52">
        <v>271340.740451355</v>
      </c>
      <c r="D5584" s="56">
        <v>9.4136447280178809E-2</v>
      </c>
      <c r="E5584" s="224">
        <v>2347.1777777777702</v>
      </c>
      <c r="F5584" s="515" t="s">
        <v>6822</v>
      </c>
      <c r="G5584" s="52">
        <v>112145.681794745</v>
      </c>
      <c r="H5584" s="56">
        <v>6.3102916226530137E-2</v>
      </c>
      <c r="I5584" s="224" t="s">
        <v>2</v>
      </c>
    </row>
    <row r="5585" spans="1:9" x14ac:dyDescent="0.25">
      <c r="A5585" s="515">
        <v>18411</v>
      </c>
      <c r="B5585" s="515" t="s">
        <v>512</v>
      </c>
      <c r="C5585" s="52">
        <v>279153.60605781298</v>
      </c>
      <c r="D5585" s="56">
        <v>6.7392236948106754E-2</v>
      </c>
      <c r="E5585" s="224" t="s">
        <v>2</v>
      </c>
      <c r="F5585" s="515" t="s">
        <v>6823</v>
      </c>
      <c r="G5585" s="52">
        <v>342466.60965671198</v>
      </c>
      <c r="H5585" s="56">
        <v>4.7281760755780597E-2</v>
      </c>
      <c r="I5585" s="224" t="s">
        <v>2</v>
      </c>
    </row>
    <row r="5586" spans="1:9" x14ac:dyDescent="0.25">
      <c r="A5586" s="515">
        <v>33606</v>
      </c>
      <c r="B5586" s="515" t="s">
        <v>461</v>
      </c>
      <c r="C5586" s="52">
        <v>817657.617581864</v>
      </c>
      <c r="D5586" s="56">
        <v>0.13659015076743983</v>
      </c>
      <c r="E5586" s="224">
        <v>2274.9057644601098</v>
      </c>
      <c r="F5586" s="515" t="s">
        <v>6824</v>
      </c>
      <c r="G5586" s="52">
        <v>166429.02861069801</v>
      </c>
      <c r="H5586" s="56">
        <v>0.1756905970219228</v>
      </c>
      <c r="I5586" s="224" t="s">
        <v>2</v>
      </c>
    </row>
    <row r="5587" spans="1:9" x14ac:dyDescent="0.25">
      <c r="A5587" s="515">
        <v>64029</v>
      </c>
      <c r="B5587" s="515" t="s">
        <v>455</v>
      </c>
      <c r="C5587" s="52">
        <v>310812.91748000903</v>
      </c>
      <c r="D5587" s="56">
        <v>7.5168404414729037E-2</v>
      </c>
      <c r="E5587" s="224">
        <v>1605.4166666666599</v>
      </c>
      <c r="F5587" s="515" t="s">
        <v>6825</v>
      </c>
      <c r="G5587" s="52">
        <v>158703.83470593099</v>
      </c>
      <c r="H5587" s="56">
        <v>6.0862617563601673E-2</v>
      </c>
      <c r="I5587" s="224" t="s">
        <v>2</v>
      </c>
    </row>
    <row r="5588" spans="1:9" x14ac:dyDescent="0.25">
      <c r="A5588" s="515">
        <v>50021</v>
      </c>
      <c r="B5588" s="515" t="s">
        <v>295</v>
      </c>
      <c r="C5588" s="52">
        <v>291891.73743685801</v>
      </c>
      <c r="D5588" s="56">
        <v>6.3401162692526603E-2</v>
      </c>
      <c r="E5588" s="224">
        <v>1537.0833333333301</v>
      </c>
      <c r="F5588" s="515" t="s">
        <v>6826</v>
      </c>
      <c r="G5588" s="52">
        <v>1031837.12451533</v>
      </c>
      <c r="H5588" s="56">
        <v>7.0506791387894979E-2</v>
      </c>
      <c r="I5588" s="224" t="s">
        <v>2</v>
      </c>
    </row>
    <row r="5589" spans="1:9" x14ac:dyDescent="0.25">
      <c r="A5589" s="515">
        <v>78739</v>
      </c>
      <c r="B5589" s="515" t="s">
        <v>380</v>
      </c>
      <c r="C5589" s="52">
        <v>814113.43923475803</v>
      </c>
      <c r="D5589" s="56">
        <v>4.750561213615212E-2</v>
      </c>
      <c r="E5589" s="224">
        <v>3210.2222222222199</v>
      </c>
      <c r="F5589" s="515" t="s">
        <v>6827</v>
      </c>
      <c r="G5589" s="52">
        <v>613319.71385655901</v>
      </c>
      <c r="H5589" s="56">
        <v>7.5995122661906417E-2</v>
      </c>
      <c r="I5589" s="224" t="s">
        <v>2</v>
      </c>
    </row>
    <row r="5590" spans="1:9" x14ac:dyDescent="0.25">
      <c r="A5590" s="515">
        <v>95818</v>
      </c>
      <c r="B5590" s="515" t="s">
        <v>355</v>
      </c>
      <c r="C5590" s="52">
        <v>674968.59677966603</v>
      </c>
      <c r="D5590" s="56">
        <v>9.1788552173134169E-3</v>
      </c>
      <c r="E5590" s="224">
        <v>1730.1521164021101</v>
      </c>
      <c r="F5590" s="515" t="s">
        <v>6828</v>
      </c>
      <c r="G5590" s="52">
        <v>176546.08601770899</v>
      </c>
      <c r="H5590" s="56">
        <v>6.3520130178269074E-2</v>
      </c>
      <c r="I5590" s="224" t="s">
        <v>2</v>
      </c>
    </row>
    <row r="5591" spans="1:9" x14ac:dyDescent="0.25">
      <c r="A5591" s="515">
        <v>79413</v>
      </c>
      <c r="B5591" s="515" t="s">
        <v>354</v>
      </c>
      <c r="C5591" s="52">
        <v>190797.857525069</v>
      </c>
      <c r="D5591" s="56">
        <v>0.10465012698030811</v>
      </c>
      <c r="E5591" s="224">
        <v>1339.9047619047601</v>
      </c>
      <c r="F5591" s="515" t="s">
        <v>6829</v>
      </c>
      <c r="G5591" s="52">
        <v>490368.84306741803</v>
      </c>
      <c r="H5591" s="56">
        <v>1.0728142567229291E-2</v>
      </c>
      <c r="I5591" s="224" t="s">
        <v>2</v>
      </c>
    </row>
    <row r="5592" spans="1:9" x14ac:dyDescent="0.25">
      <c r="A5592" s="515">
        <v>11581</v>
      </c>
      <c r="B5592" s="515" t="s">
        <v>324</v>
      </c>
      <c r="C5592" s="52">
        <v>658131.41126861004</v>
      </c>
      <c r="D5592" s="56">
        <v>3.6489331709728685E-2</v>
      </c>
      <c r="E5592" s="224" t="s">
        <v>2</v>
      </c>
      <c r="F5592" s="515" t="s">
        <v>6830</v>
      </c>
      <c r="G5592" s="52">
        <v>58205.899106940502</v>
      </c>
      <c r="H5592" s="56">
        <v>-6.4043883954613369E-3</v>
      </c>
      <c r="I5592" s="224" t="s">
        <v>2</v>
      </c>
    </row>
    <row r="5593" spans="1:9" x14ac:dyDescent="0.25">
      <c r="A5593" s="515">
        <v>48088</v>
      </c>
      <c r="B5593" s="515" t="s">
        <v>685</v>
      </c>
      <c r="C5593" s="52">
        <v>216568.923719718</v>
      </c>
      <c r="D5593" s="56">
        <v>4.0259007218390305E-2</v>
      </c>
      <c r="E5593" s="224" t="s">
        <v>2</v>
      </c>
      <c r="F5593" s="515" t="s">
        <v>6831</v>
      </c>
      <c r="G5593" s="52">
        <v>101495.5051395</v>
      </c>
      <c r="H5593" s="56">
        <v>0</v>
      </c>
      <c r="I5593" s="224" t="s">
        <v>2</v>
      </c>
    </row>
    <row r="5594" spans="1:9" x14ac:dyDescent="0.25">
      <c r="A5594" s="515">
        <v>48075</v>
      </c>
      <c r="B5594" s="515" t="s">
        <v>685</v>
      </c>
      <c r="C5594" s="52">
        <v>215101.35589977901</v>
      </c>
      <c r="D5594" s="56">
        <v>5.066589593925485E-2</v>
      </c>
      <c r="E5594" s="224" t="s">
        <v>2</v>
      </c>
      <c r="F5594" s="515" t="s">
        <v>6832</v>
      </c>
      <c r="G5594" s="52">
        <v>235914.82900585901</v>
      </c>
      <c r="H5594" s="56">
        <v>7.0970034487393863E-2</v>
      </c>
      <c r="I5594" s="224" t="s">
        <v>2</v>
      </c>
    </row>
    <row r="5595" spans="1:9" x14ac:dyDescent="0.25">
      <c r="A5595" s="515">
        <v>75253</v>
      </c>
      <c r="B5595" s="515" t="s">
        <v>458</v>
      </c>
      <c r="C5595" s="52">
        <v>261683.58963696001</v>
      </c>
      <c r="D5595" s="56">
        <v>0.14219174288069919</v>
      </c>
      <c r="E5595" s="224" t="s">
        <v>2</v>
      </c>
      <c r="F5595" s="515" t="s">
        <v>6833</v>
      </c>
      <c r="G5595" s="52">
        <v>393367.88270612899</v>
      </c>
      <c r="H5595" s="56">
        <v>4.8504776495270727E-2</v>
      </c>
      <c r="I5595" s="224" t="s">
        <v>2</v>
      </c>
    </row>
    <row r="5596" spans="1:9" x14ac:dyDescent="0.25">
      <c r="A5596" s="515">
        <v>33434</v>
      </c>
      <c r="B5596" s="515" t="s">
        <v>831</v>
      </c>
      <c r="C5596" s="52">
        <v>291462.30869478302</v>
      </c>
      <c r="D5596" s="56">
        <v>0.25442935916266063</v>
      </c>
      <c r="E5596" s="224">
        <v>2406.9833333333299</v>
      </c>
      <c r="F5596" s="515" t="s">
        <v>6834</v>
      </c>
      <c r="G5596" s="52">
        <v>86052.442560814801</v>
      </c>
      <c r="H5596" s="56">
        <v>9.8438520402425247E-2</v>
      </c>
      <c r="I5596" s="224" t="s">
        <v>2</v>
      </c>
    </row>
    <row r="5597" spans="1:9" x14ac:dyDescent="0.25">
      <c r="A5597" s="515">
        <v>29420</v>
      </c>
      <c r="B5597" s="515" t="s">
        <v>1009</v>
      </c>
      <c r="C5597" s="52">
        <v>301003.263782455</v>
      </c>
      <c r="D5597" s="56">
        <v>0.11070325650513299</v>
      </c>
      <c r="E5597" s="224">
        <v>1714.0317460317401</v>
      </c>
      <c r="F5597" s="515" t="s">
        <v>6835</v>
      </c>
      <c r="G5597" s="52">
        <v>189669.08284773701</v>
      </c>
      <c r="H5597" s="56">
        <v>0.19216621416995774</v>
      </c>
      <c r="I5597" s="224" t="s">
        <v>2</v>
      </c>
    </row>
    <row r="5598" spans="1:9" x14ac:dyDescent="0.25">
      <c r="A5598" s="515">
        <v>85653</v>
      </c>
      <c r="B5598" s="515" t="s">
        <v>368</v>
      </c>
      <c r="C5598" s="52">
        <v>371769.92625839298</v>
      </c>
      <c r="D5598" s="56">
        <v>5.1480203745510891E-2</v>
      </c>
      <c r="E5598" s="224">
        <v>1995</v>
      </c>
      <c r="F5598" s="515" t="s">
        <v>6836</v>
      </c>
      <c r="G5598" s="52">
        <v>157155.691856647</v>
      </c>
      <c r="H5598" s="56">
        <v>6.886427543892866E-2</v>
      </c>
      <c r="I5598" s="224" t="s">
        <v>2</v>
      </c>
    </row>
    <row r="5599" spans="1:9" x14ac:dyDescent="0.25">
      <c r="A5599" s="515">
        <v>25701</v>
      </c>
      <c r="B5599" s="515" t="s">
        <v>602</v>
      </c>
      <c r="C5599" s="52">
        <v>118577.436159727</v>
      </c>
      <c r="D5599" s="56">
        <v>5.5671159742461847E-2</v>
      </c>
      <c r="E5599" s="224">
        <v>804.16666666666595</v>
      </c>
      <c r="F5599" s="515" t="s">
        <v>6837</v>
      </c>
      <c r="G5599" s="52">
        <v>197685.38947368399</v>
      </c>
      <c r="H5599" s="56">
        <v>0</v>
      </c>
      <c r="I5599" s="224" t="s">
        <v>2</v>
      </c>
    </row>
    <row r="5600" spans="1:9" x14ac:dyDescent="0.25">
      <c r="A5600" s="515">
        <v>76111</v>
      </c>
      <c r="B5600" s="515" t="s">
        <v>458</v>
      </c>
      <c r="C5600" s="52">
        <v>216123.01402959201</v>
      </c>
      <c r="D5600" s="56">
        <v>0.14350440784326104</v>
      </c>
      <c r="E5600" s="224">
        <v>1567.81212121212</v>
      </c>
      <c r="F5600" s="515" t="s">
        <v>6838</v>
      </c>
      <c r="G5600" s="52">
        <v>326458.83812330803</v>
      </c>
      <c r="H5600" s="56">
        <v>2.7084383077737462E-2</v>
      </c>
      <c r="I5600" s="224" t="s">
        <v>2</v>
      </c>
    </row>
    <row r="5601" spans="1:9" x14ac:dyDescent="0.25">
      <c r="A5601" s="515">
        <v>34972</v>
      </c>
      <c r="B5601" s="515" t="s">
        <v>1209</v>
      </c>
      <c r="C5601" s="52">
        <v>208475.93363544901</v>
      </c>
      <c r="D5601" s="56">
        <v>0.1183643432393309</v>
      </c>
      <c r="E5601" s="224" t="s">
        <v>2</v>
      </c>
      <c r="F5601" s="515" t="s">
        <v>6839</v>
      </c>
      <c r="G5601" s="52">
        <v>857618.547822961</v>
      </c>
      <c r="H5601" s="56">
        <v>3.5835678474164495E-2</v>
      </c>
      <c r="I5601" s="224" t="s">
        <v>2</v>
      </c>
    </row>
    <row r="5602" spans="1:9" x14ac:dyDescent="0.25">
      <c r="A5602" s="515">
        <v>28532</v>
      </c>
      <c r="B5602" s="515" t="s">
        <v>574</v>
      </c>
      <c r="C5602" s="52">
        <v>194359.69985738999</v>
      </c>
      <c r="D5602" s="56">
        <v>0.14257420208249047</v>
      </c>
      <c r="E5602" s="224">
        <v>1422.63888888888</v>
      </c>
      <c r="F5602" s="515" t="s">
        <v>6840</v>
      </c>
      <c r="G5602" s="52">
        <v>268069.33200813102</v>
      </c>
      <c r="H5602" s="56">
        <v>1.1471924755360362E-2</v>
      </c>
      <c r="I5602" s="224" t="s">
        <v>2</v>
      </c>
    </row>
    <row r="5603" spans="1:9" x14ac:dyDescent="0.25">
      <c r="A5603" s="515">
        <v>37615</v>
      </c>
      <c r="B5603" s="515" t="s">
        <v>988</v>
      </c>
      <c r="C5603" s="52">
        <v>298011.74953652901</v>
      </c>
      <c r="D5603" s="56">
        <v>7.7919863672798642E-2</v>
      </c>
      <c r="E5603" s="224" t="s">
        <v>2</v>
      </c>
      <c r="F5603" s="515" t="s">
        <v>6841</v>
      </c>
      <c r="G5603" s="52">
        <v>408899.66108564998</v>
      </c>
      <c r="H5603" s="56">
        <v>2.6968329761340948E-2</v>
      </c>
      <c r="I5603" s="224" t="s">
        <v>2</v>
      </c>
    </row>
    <row r="5604" spans="1:9" x14ac:dyDescent="0.25">
      <c r="A5604" s="515">
        <v>27263</v>
      </c>
      <c r="B5604" s="515" t="s">
        <v>1148</v>
      </c>
      <c r="C5604" s="52">
        <v>186463.817295168</v>
      </c>
      <c r="D5604" s="56">
        <v>0.11443165821454729</v>
      </c>
      <c r="E5604" s="224" t="s">
        <v>2</v>
      </c>
      <c r="F5604" s="515" t="s">
        <v>6842</v>
      </c>
      <c r="G5604" s="52">
        <v>619530.35521486797</v>
      </c>
      <c r="H5604" s="56">
        <v>4.322870413620291E-2</v>
      </c>
      <c r="I5604" s="224" t="s">
        <v>2</v>
      </c>
    </row>
    <row r="5605" spans="1:9" x14ac:dyDescent="0.25">
      <c r="A5605" s="515">
        <v>70401</v>
      </c>
      <c r="B5605" s="515" t="s">
        <v>814</v>
      </c>
      <c r="C5605" s="52">
        <v>181888.19914948801</v>
      </c>
      <c r="D5605" s="56">
        <v>-3.9853835245154905E-4</v>
      </c>
      <c r="E5605" s="224">
        <v>1075</v>
      </c>
      <c r="F5605" s="515" t="s">
        <v>6843</v>
      </c>
      <c r="G5605" s="52">
        <v>512737.88068312599</v>
      </c>
      <c r="H5605" s="56">
        <v>6.3407389272186351E-2</v>
      </c>
      <c r="I5605" s="224">
        <v>2002.5</v>
      </c>
    </row>
    <row r="5606" spans="1:9" x14ac:dyDescent="0.25">
      <c r="A5606" s="515">
        <v>32821</v>
      </c>
      <c r="B5606" s="515" t="s">
        <v>517</v>
      </c>
      <c r="C5606" s="52">
        <v>313994.142081064</v>
      </c>
      <c r="D5606" s="56">
        <v>0.13077499658733521</v>
      </c>
      <c r="E5606" s="224">
        <v>1880.3941798941701</v>
      </c>
      <c r="F5606" s="515" t="s">
        <v>6844</v>
      </c>
      <c r="G5606" s="52">
        <v>659593.65107163403</v>
      </c>
      <c r="H5606" s="56">
        <v>3.7895640439357302E-2</v>
      </c>
      <c r="I5606" s="224">
        <v>2750</v>
      </c>
    </row>
    <row r="5607" spans="1:9" x14ac:dyDescent="0.25">
      <c r="A5607" s="515">
        <v>51104</v>
      </c>
      <c r="B5607" s="515" t="s">
        <v>649</v>
      </c>
      <c r="C5607" s="52">
        <v>186642.21397372001</v>
      </c>
      <c r="D5607" s="56">
        <v>6.9457075087374004E-2</v>
      </c>
      <c r="E5607" s="224" t="s">
        <v>2</v>
      </c>
      <c r="F5607" s="515" t="s">
        <v>6845</v>
      </c>
      <c r="G5607" s="52">
        <v>178241.016745281</v>
      </c>
      <c r="H5607" s="56">
        <v>9.6088567587816628E-2</v>
      </c>
      <c r="I5607" s="224" t="s">
        <v>2</v>
      </c>
    </row>
    <row r="5608" spans="1:9" x14ac:dyDescent="0.25">
      <c r="A5608" s="515">
        <v>80403</v>
      </c>
      <c r="B5608" s="515" t="s">
        <v>401</v>
      </c>
      <c r="C5608" s="52">
        <v>839431.65804745595</v>
      </c>
      <c r="D5608" s="56">
        <v>3.4448519181624206E-2</v>
      </c>
      <c r="E5608" s="224">
        <v>3000.6666666666601</v>
      </c>
      <c r="F5608" s="515" t="s">
        <v>6846</v>
      </c>
      <c r="G5608" s="52">
        <v>700286.19393607904</v>
      </c>
      <c r="H5608" s="56">
        <v>7.630080079557848E-2</v>
      </c>
      <c r="I5608" s="224" t="s">
        <v>2</v>
      </c>
    </row>
    <row r="5609" spans="1:9" x14ac:dyDescent="0.25">
      <c r="A5609" s="515">
        <v>48080</v>
      </c>
      <c r="B5609" s="515" t="s">
        <v>685</v>
      </c>
      <c r="C5609" s="52">
        <v>190649.96368800299</v>
      </c>
      <c r="D5609" s="56">
        <v>6.3432479754407883E-2</v>
      </c>
      <c r="E5609" s="224">
        <v>1447.5</v>
      </c>
      <c r="F5609" s="515" t="s">
        <v>6847</v>
      </c>
      <c r="G5609" s="52">
        <v>255258.42491955301</v>
      </c>
      <c r="H5609" s="56">
        <v>6.3671091238429151E-2</v>
      </c>
      <c r="I5609" s="224" t="s">
        <v>2</v>
      </c>
    </row>
    <row r="5610" spans="1:9" x14ac:dyDescent="0.25">
      <c r="A5610" s="515">
        <v>28787</v>
      </c>
      <c r="B5610" s="515" t="s">
        <v>668</v>
      </c>
      <c r="C5610" s="52">
        <v>440953.332739103</v>
      </c>
      <c r="D5610" s="56">
        <v>0.1053483866342434</v>
      </c>
      <c r="E5610" s="224" t="s">
        <v>2</v>
      </c>
      <c r="F5610" s="515" t="s">
        <v>647</v>
      </c>
      <c r="G5610" s="52">
        <v>181277.23611171899</v>
      </c>
      <c r="H5610" s="56">
        <v>0.13139809087766147</v>
      </c>
      <c r="I5610" s="224" t="s">
        <v>2</v>
      </c>
    </row>
    <row r="5611" spans="1:9" x14ac:dyDescent="0.25">
      <c r="A5611" s="515">
        <v>80237</v>
      </c>
      <c r="B5611" s="515" t="s">
        <v>401</v>
      </c>
      <c r="C5611" s="52">
        <v>543359.50084240001</v>
      </c>
      <c r="D5611" s="56">
        <v>3.8694481543967513E-2</v>
      </c>
      <c r="E5611" s="224">
        <v>1886.3754256132299</v>
      </c>
      <c r="F5611" s="515" t="s">
        <v>6848</v>
      </c>
      <c r="G5611" s="52">
        <v>203685.26837894099</v>
      </c>
      <c r="H5611" s="56">
        <v>8.9904323176293391E-2</v>
      </c>
      <c r="I5611" s="224" t="s">
        <v>2</v>
      </c>
    </row>
    <row r="5612" spans="1:9" x14ac:dyDescent="0.25">
      <c r="A5612" s="515">
        <v>33714</v>
      </c>
      <c r="B5612" s="515" t="s">
        <v>461</v>
      </c>
      <c r="C5612" s="52">
        <v>259857.09493972801</v>
      </c>
      <c r="D5612" s="56">
        <v>0.14596963505004029</v>
      </c>
      <c r="E5612" s="224">
        <v>1712.1111111111099</v>
      </c>
      <c r="F5612" s="515" t="s">
        <v>6849</v>
      </c>
      <c r="G5612" s="52">
        <v>208855.476990845</v>
      </c>
      <c r="H5612" s="56">
        <v>4.0242808965672047E-2</v>
      </c>
      <c r="I5612" s="224" t="s">
        <v>2</v>
      </c>
    </row>
    <row r="5613" spans="1:9" x14ac:dyDescent="0.25">
      <c r="A5613" s="515">
        <v>72205</v>
      </c>
      <c r="B5613" s="515" t="s">
        <v>393</v>
      </c>
      <c r="C5613" s="52">
        <v>208859.840926448</v>
      </c>
      <c r="D5613" s="56">
        <v>7.752604448547383E-2</v>
      </c>
      <c r="E5613" s="224">
        <v>1233.2142857142801</v>
      </c>
      <c r="F5613" s="515" t="s">
        <v>6850</v>
      </c>
      <c r="G5613" s="52">
        <v>1076279.8530788701</v>
      </c>
      <c r="H5613" s="56">
        <v>8.8865925897642625E-2</v>
      </c>
      <c r="I5613" s="224">
        <v>3166.25</v>
      </c>
    </row>
    <row r="5614" spans="1:9" x14ac:dyDescent="0.25">
      <c r="A5614" s="515">
        <v>31768</v>
      </c>
      <c r="B5614" s="515" t="s">
        <v>392</v>
      </c>
      <c r="C5614" s="52">
        <v>94900.410847523497</v>
      </c>
      <c r="D5614" s="56">
        <v>-1.7971490619442251E-2</v>
      </c>
      <c r="E5614" s="224" t="s">
        <v>2</v>
      </c>
      <c r="F5614" s="515" t="s">
        <v>6851</v>
      </c>
      <c r="G5614" s="52">
        <v>2296759.1530212802</v>
      </c>
      <c r="H5614" s="56">
        <v>0.1531656198405851</v>
      </c>
      <c r="I5614" s="224">
        <v>4284</v>
      </c>
    </row>
    <row r="5615" spans="1:9" x14ac:dyDescent="0.25">
      <c r="A5615" s="515">
        <v>64014</v>
      </c>
      <c r="B5615" s="515" t="s">
        <v>455</v>
      </c>
      <c r="C5615" s="52">
        <v>264010.63760001003</v>
      </c>
      <c r="D5615" s="56">
        <v>6.2692154452796314E-2</v>
      </c>
      <c r="E5615" s="224">
        <v>1490.4166666666599</v>
      </c>
      <c r="F5615" s="515" t="s">
        <v>6852</v>
      </c>
      <c r="G5615" s="52">
        <v>707508.11836705694</v>
      </c>
      <c r="H5615" s="56">
        <v>0.14120630436446918</v>
      </c>
      <c r="I5615" s="224" t="s">
        <v>2</v>
      </c>
    </row>
    <row r="5616" spans="1:9" x14ac:dyDescent="0.25">
      <c r="A5616" s="515">
        <v>46375</v>
      </c>
      <c r="B5616" s="515" t="s">
        <v>394</v>
      </c>
      <c r="C5616" s="52">
        <v>319864.51522106299</v>
      </c>
      <c r="D5616" s="56">
        <v>5.2645353863346525E-2</v>
      </c>
      <c r="E5616" s="224">
        <v>1322.5</v>
      </c>
      <c r="F5616" s="515" t="s">
        <v>6853</v>
      </c>
      <c r="G5616" s="52">
        <v>429148.91102998098</v>
      </c>
      <c r="H5616" s="56">
        <v>3.8462532014830242E-2</v>
      </c>
      <c r="I5616" s="224" t="s">
        <v>2</v>
      </c>
    </row>
    <row r="5617" spans="1:9" x14ac:dyDescent="0.25">
      <c r="A5617" s="515">
        <v>67901</v>
      </c>
      <c r="B5617" s="515" t="s">
        <v>936</v>
      </c>
      <c r="C5617" s="52">
        <v>136792.61660424701</v>
      </c>
      <c r="D5617" s="56">
        <v>5.6743232924047031E-2</v>
      </c>
      <c r="E5617" s="224" t="s">
        <v>2</v>
      </c>
      <c r="F5617" s="515" t="s">
        <v>6854</v>
      </c>
      <c r="G5617" s="52">
        <v>271221.180084211</v>
      </c>
      <c r="H5617" s="56">
        <v>5.7875766909128566E-2</v>
      </c>
      <c r="I5617" s="224" t="s">
        <v>2</v>
      </c>
    </row>
    <row r="5618" spans="1:9" x14ac:dyDescent="0.25">
      <c r="A5618" s="515">
        <v>21202</v>
      </c>
      <c r="B5618" s="515" t="s">
        <v>582</v>
      </c>
      <c r="C5618" s="52">
        <v>196008.51728914501</v>
      </c>
      <c r="D5618" s="56">
        <v>1.5594900964403842E-2</v>
      </c>
      <c r="E5618" s="224">
        <v>1842.1634615384601</v>
      </c>
      <c r="F5618" s="515" t="s">
        <v>6855</v>
      </c>
      <c r="G5618" s="52">
        <v>392023.51696623903</v>
      </c>
      <c r="H5618" s="56">
        <v>9.6055811544787414E-2</v>
      </c>
      <c r="I5618" s="224" t="s">
        <v>2</v>
      </c>
    </row>
    <row r="5619" spans="1:9" x14ac:dyDescent="0.25">
      <c r="A5619" s="515">
        <v>48473</v>
      </c>
      <c r="B5619" s="515" t="s">
        <v>759</v>
      </c>
      <c r="C5619" s="52">
        <v>207766.58827200101</v>
      </c>
      <c r="D5619" s="56">
        <v>3.8744476677866277E-2</v>
      </c>
      <c r="E5619" s="224" t="s">
        <v>2</v>
      </c>
      <c r="F5619" s="515" t="s">
        <v>6856</v>
      </c>
      <c r="G5619" s="52">
        <v>445677.908114572</v>
      </c>
      <c r="H5619" s="56">
        <v>9.6739436997939673E-2</v>
      </c>
      <c r="I5619" s="224" t="s">
        <v>2</v>
      </c>
    </row>
    <row r="5620" spans="1:9" x14ac:dyDescent="0.25">
      <c r="A5620" s="515">
        <v>33603</v>
      </c>
      <c r="B5620" s="515" t="s">
        <v>461</v>
      </c>
      <c r="C5620" s="52">
        <v>365737.49142813002</v>
      </c>
      <c r="D5620" s="56">
        <v>0.11232623304552725</v>
      </c>
      <c r="E5620" s="224">
        <v>2195.8055555555502</v>
      </c>
      <c r="F5620" s="515" t="s">
        <v>6857</v>
      </c>
      <c r="G5620" s="52">
        <v>119055.07469983101</v>
      </c>
      <c r="H5620" s="56">
        <v>9.0146895085212619E-2</v>
      </c>
      <c r="I5620" s="224" t="s">
        <v>2</v>
      </c>
    </row>
    <row r="5621" spans="1:9" x14ac:dyDescent="0.25">
      <c r="A5621" s="515">
        <v>37821</v>
      </c>
      <c r="B5621" s="515" t="s">
        <v>1083</v>
      </c>
      <c r="C5621" s="52">
        <v>171696.87293787001</v>
      </c>
      <c r="D5621" s="56">
        <v>4.9382906742475252E-2</v>
      </c>
      <c r="E5621" s="224" t="s">
        <v>2</v>
      </c>
      <c r="F5621" s="515" t="s">
        <v>6858</v>
      </c>
      <c r="G5621" s="52">
        <v>1198444.66501089</v>
      </c>
      <c r="H5621" s="56">
        <v>0.10476748418667862</v>
      </c>
      <c r="I5621" s="224" t="s">
        <v>2</v>
      </c>
    </row>
    <row r="5622" spans="1:9" x14ac:dyDescent="0.25">
      <c r="A5622" s="515">
        <v>98166</v>
      </c>
      <c r="B5622" s="515" t="s">
        <v>384</v>
      </c>
      <c r="C5622" s="52">
        <v>764707.99986312701</v>
      </c>
      <c r="D5622" s="56">
        <v>2.7695426928184195E-2</v>
      </c>
      <c r="E5622" s="224">
        <v>2219.5833333333298</v>
      </c>
      <c r="F5622" s="515" t="s">
        <v>6859</v>
      </c>
      <c r="G5622" s="52">
        <v>285635.14650534099</v>
      </c>
      <c r="H5622" s="56">
        <v>0.18021363032011267</v>
      </c>
      <c r="I5622" s="224" t="s">
        <v>2</v>
      </c>
    </row>
    <row r="5623" spans="1:9" x14ac:dyDescent="0.25">
      <c r="A5623" s="515">
        <v>13212</v>
      </c>
      <c r="B5623" s="515" t="s">
        <v>361</v>
      </c>
      <c r="C5623" s="52">
        <v>175219.09853166301</v>
      </c>
      <c r="D5623" s="56">
        <v>8.6630492667005413E-2</v>
      </c>
      <c r="E5623" s="224" t="s">
        <v>2</v>
      </c>
      <c r="F5623" s="515" t="s">
        <v>6860</v>
      </c>
      <c r="G5623" s="52">
        <v>281257.07377324702</v>
      </c>
      <c r="H5623" s="56">
        <v>0.17376219053742939</v>
      </c>
      <c r="I5623" s="224" t="s">
        <v>2</v>
      </c>
    </row>
    <row r="5624" spans="1:9" x14ac:dyDescent="0.25">
      <c r="A5624" s="515">
        <v>19605</v>
      </c>
      <c r="B5624" s="515" t="s">
        <v>569</v>
      </c>
      <c r="C5624" s="52">
        <v>242840.798169313</v>
      </c>
      <c r="D5624" s="56">
        <v>0.1289101358728533</v>
      </c>
      <c r="E5624" s="224" t="s">
        <v>2</v>
      </c>
      <c r="F5624" s="515" t="s">
        <v>965</v>
      </c>
      <c r="G5624" s="52">
        <v>242552.237815253</v>
      </c>
      <c r="H5624" s="56">
        <v>5.3103448530918397E-2</v>
      </c>
      <c r="I5624" s="224" t="s">
        <v>2</v>
      </c>
    </row>
    <row r="5625" spans="1:9" x14ac:dyDescent="0.25">
      <c r="A5625" s="515">
        <v>85541</v>
      </c>
      <c r="B5625" s="515" t="s">
        <v>692</v>
      </c>
      <c r="C5625" s="52">
        <v>414205.85598641902</v>
      </c>
      <c r="D5625" s="56">
        <v>5.1531320524339307E-2</v>
      </c>
      <c r="E5625" s="224" t="s">
        <v>2</v>
      </c>
      <c r="F5625" s="515" t="s">
        <v>6861</v>
      </c>
      <c r="G5625" s="52">
        <v>286694.04190722998</v>
      </c>
      <c r="H5625" s="56">
        <v>0.12793233901642947</v>
      </c>
      <c r="I5625" s="224" t="s">
        <v>2</v>
      </c>
    </row>
    <row r="5626" spans="1:9" x14ac:dyDescent="0.25">
      <c r="A5626" s="515">
        <v>45102</v>
      </c>
      <c r="B5626" s="515" t="s">
        <v>344</v>
      </c>
      <c r="C5626" s="52">
        <v>254106.580237327</v>
      </c>
      <c r="D5626" s="56">
        <v>5.8168661612377291E-2</v>
      </c>
      <c r="E5626" s="224" t="s">
        <v>2</v>
      </c>
      <c r="F5626" s="515" t="s">
        <v>6862</v>
      </c>
      <c r="G5626" s="52">
        <v>196104.372100857</v>
      </c>
      <c r="H5626" s="56">
        <v>5.8817637524024843E-2</v>
      </c>
      <c r="I5626" s="224" t="s">
        <v>2</v>
      </c>
    </row>
    <row r="5627" spans="1:9" x14ac:dyDescent="0.25">
      <c r="A5627" s="515">
        <v>11783</v>
      </c>
      <c r="B5627" s="515" t="s">
        <v>324</v>
      </c>
      <c r="C5627" s="52">
        <v>622552.27468368097</v>
      </c>
      <c r="D5627" s="56">
        <v>5.4996190020874823E-2</v>
      </c>
      <c r="E5627" s="224" t="s">
        <v>2</v>
      </c>
      <c r="F5627" s="515" t="s">
        <v>6863</v>
      </c>
      <c r="G5627" s="52">
        <v>894605.11789430701</v>
      </c>
      <c r="H5627" s="56">
        <v>7.6009922773180499E-2</v>
      </c>
      <c r="I5627" s="224" t="s">
        <v>2</v>
      </c>
    </row>
    <row r="5628" spans="1:9" x14ac:dyDescent="0.25">
      <c r="A5628" s="515">
        <v>48331</v>
      </c>
      <c r="B5628" s="515" t="s">
        <v>685</v>
      </c>
      <c r="C5628" s="52">
        <v>391572.68063477101</v>
      </c>
      <c r="D5628" s="56">
        <v>2.5735386608794351E-2</v>
      </c>
      <c r="E5628" s="224">
        <v>1636</v>
      </c>
      <c r="F5628" s="515" t="s">
        <v>6864</v>
      </c>
      <c r="G5628" s="52">
        <v>352024.48335238098</v>
      </c>
      <c r="H5628" s="56">
        <v>7.974013051233772E-2</v>
      </c>
      <c r="I5628" s="224" t="s">
        <v>2</v>
      </c>
    </row>
    <row r="5629" spans="1:9" x14ac:dyDescent="0.25">
      <c r="A5629" s="515">
        <v>15132</v>
      </c>
      <c r="B5629" s="515" t="s">
        <v>297</v>
      </c>
      <c r="C5629" s="52">
        <v>61435.173729128197</v>
      </c>
      <c r="D5629" s="56">
        <v>0.17806707804307498</v>
      </c>
      <c r="E5629" s="224" t="s">
        <v>2</v>
      </c>
      <c r="F5629" s="515" t="s">
        <v>6865</v>
      </c>
      <c r="G5629" s="52">
        <v>169511.761416377</v>
      </c>
      <c r="H5629" s="56">
        <v>0.1105008797306654</v>
      </c>
      <c r="I5629" s="224" t="s">
        <v>2</v>
      </c>
    </row>
    <row r="5630" spans="1:9" x14ac:dyDescent="0.25">
      <c r="A5630" s="515">
        <v>28739</v>
      </c>
      <c r="B5630" s="515" t="s">
        <v>668</v>
      </c>
      <c r="C5630" s="52">
        <v>414157.72993452498</v>
      </c>
      <c r="D5630" s="56">
        <v>0.11983814355793057</v>
      </c>
      <c r="E5630" s="224" t="s">
        <v>2</v>
      </c>
      <c r="F5630" s="515" t="s">
        <v>6866</v>
      </c>
      <c r="G5630" s="52">
        <v>220156.72889284199</v>
      </c>
      <c r="H5630" s="56">
        <v>6.7512690289408192E-2</v>
      </c>
      <c r="I5630" s="224" t="s">
        <v>2</v>
      </c>
    </row>
    <row r="5631" spans="1:9" x14ac:dyDescent="0.25">
      <c r="A5631" s="515">
        <v>88021</v>
      </c>
      <c r="B5631" s="515" t="s">
        <v>317</v>
      </c>
      <c r="C5631" s="52">
        <v>198805.88104295</v>
      </c>
      <c r="D5631" s="56">
        <v>0.11938819067733109</v>
      </c>
      <c r="E5631" s="224" t="s">
        <v>2</v>
      </c>
      <c r="F5631" s="515" t="s">
        <v>6867</v>
      </c>
      <c r="G5631" s="52">
        <v>101341.82500605901</v>
      </c>
      <c r="H5631" s="56">
        <v>1.8449927965084593E-2</v>
      </c>
      <c r="I5631" s="224" t="s">
        <v>2</v>
      </c>
    </row>
    <row r="5632" spans="1:9" x14ac:dyDescent="0.25">
      <c r="A5632" s="515">
        <v>60642</v>
      </c>
      <c r="B5632" s="515" t="s">
        <v>394</v>
      </c>
      <c r="C5632" s="52">
        <v>460573.89473084902</v>
      </c>
      <c r="D5632" s="56">
        <v>-6.4022607941789378E-2</v>
      </c>
      <c r="E5632" s="224">
        <v>2451.7611330698201</v>
      </c>
      <c r="F5632" s="515" t="s">
        <v>6868</v>
      </c>
      <c r="G5632" s="52">
        <v>140318.70402915799</v>
      </c>
      <c r="H5632" s="56">
        <v>0.23199777693435022</v>
      </c>
      <c r="I5632" s="224" t="s">
        <v>2</v>
      </c>
    </row>
    <row r="5633" spans="1:9" x14ac:dyDescent="0.25">
      <c r="A5633" s="515">
        <v>92887</v>
      </c>
      <c r="B5633" s="515" t="s">
        <v>375</v>
      </c>
      <c r="C5633" s="52">
        <v>1235499.2561836101</v>
      </c>
      <c r="D5633" s="56">
        <v>9.3717594430550152E-2</v>
      </c>
      <c r="E5633" s="224" t="s">
        <v>2</v>
      </c>
      <c r="F5633" s="515" t="s">
        <v>6869</v>
      </c>
      <c r="G5633" s="52">
        <v>235324.682813564</v>
      </c>
      <c r="H5633" s="56">
        <v>6.6031768267943991E-2</v>
      </c>
      <c r="I5633" s="224" t="s">
        <v>2</v>
      </c>
    </row>
    <row r="5634" spans="1:9" x14ac:dyDescent="0.25">
      <c r="A5634" s="515">
        <v>36507</v>
      </c>
      <c r="B5634" s="515" t="s">
        <v>488</v>
      </c>
      <c r="C5634" s="52">
        <v>201105.567417304</v>
      </c>
      <c r="D5634" s="56">
        <v>7.7113686201822657E-2</v>
      </c>
      <c r="E5634" s="224" t="s">
        <v>2</v>
      </c>
      <c r="F5634" s="515" t="s">
        <v>6870</v>
      </c>
      <c r="G5634" s="52">
        <v>535127.27428526105</v>
      </c>
      <c r="H5634" s="56">
        <v>2.9691257055141553E-2</v>
      </c>
      <c r="I5634" s="224" t="s">
        <v>2</v>
      </c>
    </row>
    <row r="5635" spans="1:9" x14ac:dyDescent="0.25">
      <c r="A5635" s="515">
        <v>49512</v>
      </c>
      <c r="B5635" s="515" t="s">
        <v>631</v>
      </c>
      <c r="C5635" s="52">
        <v>312798.88956715801</v>
      </c>
      <c r="D5635" s="56">
        <v>3.2191549348047778E-2</v>
      </c>
      <c r="E5635" s="224" t="s">
        <v>2</v>
      </c>
      <c r="F5635" s="515" t="s">
        <v>6871</v>
      </c>
      <c r="G5635" s="52">
        <v>607555.57499294204</v>
      </c>
      <c r="H5635" s="56">
        <v>3.4697753337591168E-2</v>
      </c>
      <c r="I5635" s="224" t="s">
        <v>2</v>
      </c>
    </row>
    <row r="5636" spans="1:9" x14ac:dyDescent="0.25">
      <c r="A5636" s="515">
        <v>34677</v>
      </c>
      <c r="B5636" s="515" t="s">
        <v>461</v>
      </c>
      <c r="C5636" s="52">
        <v>382721.02472136199</v>
      </c>
      <c r="D5636" s="56">
        <v>7.6145327508832461E-2</v>
      </c>
      <c r="E5636" s="224">
        <v>2167.3611111111099</v>
      </c>
      <c r="F5636" s="515" t="s">
        <v>6872</v>
      </c>
      <c r="G5636" s="52">
        <v>508382.62898608798</v>
      </c>
      <c r="H5636" s="56">
        <v>6.122300923561378E-2</v>
      </c>
      <c r="I5636" s="224" t="s">
        <v>2</v>
      </c>
    </row>
    <row r="5637" spans="1:9" x14ac:dyDescent="0.25">
      <c r="A5637" s="515">
        <v>13088</v>
      </c>
      <c r="B5637" s="515" t="s">
        <v>361</v>
      </c>
      <c r="C5637" s="52">
        <v>192615.32629439901</v>
      </c>
      <c r="D5637" s="56">
        <v>0.10171850171434148</v>
      </c>
      <c r="E5637" s="224">
        <v>1475</v>
      </c>
      <c r="F5637" s="515" t="s">
        <v>6873</v>
      </c>
      <c r="G5637" s="52">
        <v>122470.11717466899</v>
      </c>
      <c r="H5637" s="56">
        <v>0.45363267775445959</v>
      </c>
      <c r="I5637" s="224" t="s">
        <v>2</v>
      </c>
    </row>
    <row r="5638" spans="1:9" x14ac:dyDescent="0.25">
      <c r="A5638" s="515">
        <v>53913</v>
      </c>
      <c r="B5638" s="515" t="s">
        <v>916</v>
      </c>
      <c r="C5638" s="52">
        <v>240259.73793946599</v>
      </c>
      <c r="D5638" s="56">
        <v>6.3906527163189203E-2</v>
      </c>
      <c r="E5638" s="224" t="s">
        <v>2</v>
      </c>
      <c r="F5638" s="515" t="s">
        <v>6874</v>
      </c>
      <c r="G5638" s="52">
        <v>189800.69185958599</v>
      </c>
      <c r="H5638" s="56">
        <v>6.2199450701613583E-2</v>
      </c>
      <c r="I5638" s="224" t="s">
        <v>2</v>
      </c>
    </row>
    <row r="5639" spans="1:9" x14ac:dyDescent="0.25">
      <c r="A5639" s="515">
        <v>78148</v>
      </c>
      <c r="B5639" s="515" t="s">
        <v>717</v>
      </c>
      <c r="C5639" s="52">
        <v>273875.81004238297</v>
      </c>
      <c r="D5639" s="56">
        <v>7.5022746127554746E-2</v>
      </c>
      <c r="E5639" s="224">
        <v>1260.7361111111099</v>
      </c>
      <c r="F5639" s="515" t="s">
        <v>6875</v>
      </c>
      <c r="G5639" s="52">
        <v>153909.714419995</v>
      </c>
      <c r="H5639" s="56">
        <v>0.13774761604401889</v>
      </c>
      <c r="I5639" s="224" t="s">
        <v>2</v>
      </c>
    </row>
    <row r="5640" spans="1:9" x14ac:dyDescent="0.25">
      <c r="A5640" s="515">
        <v>63111</v>
      </c>
      <c r="B5640" s="515" t="s">
        <v>498</v>
      </c>
      <c r="C5640" s="52">
        <v>109390.581171165</v>
      </c>
      <c r="D5640" s="56">
        <v>5.5305828341092954E-2</v>
      </c>
      <c r="E5640" s="224">
        <v>1026.5</v>
      </c>
      <c r="F5640" s="515" t="s">
        <v>6876</v>
      </c>
      <c r="G5640" s="52">
        <v>349698.42927760701</v>
      </c>
      <c r="H5640" s="56">
        <v>8.6873853743792862E-2</v>
      </c>
      <c r="I5640" s="224" t="s">
        <v>2</v>
      </c>
    </row>
    <row r="5641" spans="1:9" x14ac:dyDescent="0.25">
      <c r="A5641" s="515">
        <v>52241</v>
      </c>
      <c r="B5641" s="515" t="s">
        <v>587</v>
      </c>
      <c r="C5641" s="52">
        <v>258742.709935174</v>
      </c>
      <c r="D5641" s="56">
        <v>8.1308904268259111E-2</v>
      </c>
      <c r="E5641" s="224">
        <v>1015.4531746031701</v>
      </c>
      <c r="F5641" s="515" t="s">
        <v>6877</v>
      </c>
      <c r="G5641" s="52">
        <v>182473.22390135401</v>
      </c>
      <c r="H5641" s="56">
        <v>-2.8191280439507936E-2</v>
      </c>
      <c r="I5641" s="224" t="s">
        <v>2</v>
      </c>
    </row>
    <row r="5642" spans="1:9" x14ac:dyDescent="0.25">
      <c r="A5642" s="515">
        <v>90069</v>
      </c>
      <c r="B5642" s="515" t="s">
        <v>375</v>
      </c>
      <c r="C5642" s="52">
        <v>1211214.6114142099</v>
      </c>
      <c r="D5642" s="56">
        <v>-2.7110971220328958E-2</v>
      </c>
      <c r="E5642" s="224">
        <v>3968.2982456140298</v>
      </c>
      <c r="F5642" s="515" t="s">
        <v>6878</v>
      </c>
      <c r="G5642" s="52">
        <v>288539.63255868398</v>
      </c>
      <c r="H5642" s="56">
        <v>9.2913705570223881E-2</v>
      </c>
      <c r="I5642" s="224" t="s">
        <v>2</v>
      </c>
    </row>
    <row r="5643" spans="1:9" x14ac:dyDescent="0.25">
      <c r="A5643" s="515">
        <v>28504</v>
      </c>
      <c r="B5643" s="515" t="s">
        <v>1163</v>
      </c>
      <c r="C5643" s="52">
        <v>160395.79989723899</v>
      </c>
      <c r="D5643" s="56">
        <v>0.21404940403345238</v>
      </c>
      <c r="E5643" s="224" t="s">
        <v>2</v>
      </c>
      <c r="F5643" s="515" t="s">
        <v>6879</v>
      </c>
      <c r="G5643" s="52">
        <v>168888.56641226399</v>
      </c>
      <c r="H5643" s="56">
        <v>0.10079226640626861</v>
      </c>
      <c r="I5643" s="224" t="s">
        <v>2</v>
      </c>
    </row>
    <row r="5644" spans="1:9" x14ac:dyDescent="0.25">
      <c r="A5644" s="515">
        <v>55305</v>
      </c>
      <c r="B5644" s="515" t="s">
        <v>532</v>
      </c>
      <c r="C5644" s="52">
        <v>414899.06173742499</v>
      </c>
      <c r="D5644" s="56">
        <v>3.32009394134914E-2</v>
      </c>
      <c r="E5644" s="224">
        <v>1665.87301587301</v>
      </c>
      <c r="F5644" s="515" t="s">
        <v>6880</v>
      </c>
      <c r="G5644" s="52">
        <v>629487.64993919805</v>
      </c>
      <c r="H5644" s="56">
        <v>7.2336328073345307E-2</v>
      </c>
      <c r="I5644" s="224">
        <v>1633.25</v>
      </c>
    </row>
    <row r="5645" spans="1:9" x14ac:dyDescent="0.25">
      <c r="A5645" s="515">
        <v>60131</v>
      </c>
      <c r="B5645" s="515" t="s">
        <v>394</v>
      </c>
      <c r="C5645" s="52">
        <v>262950.868143067</v>
      </c>
      <c r="D5645" s="56">
        <v>5.2547060498849253E-2</v>
      </c>
      <c r="E5645" s="224" t="s">
        <v>2</v>
      </c>
      <c r="F5645" s="515" t="s">
        <v>6881</v>
      </c>
      <c r="G5645" s="52">
        <v>210824.74965498899</v>
      </c>
      <c r="H5645" s="56">
        <v>9.5208616891758274E-2</v>
      </c>
      <c r="I5645" s="224" t="s">
        <v>2</v>
      </c>
    </row>
    <row r="5646" spans="1:9" x14ac:dyDescent="0.25">
      <c r="A5646" s="515">
        <v>12047</v>
      </c>
      <c r="B5646" s="515" t="s">
        <v>609</v>
      </c>
      <c r="C5646" s="52">
        <v>257290.66265564901</v>
      </c>
      <c r="D5646" s="56">
        <v>5.0776344538909675E-2</v>
      </c>
      <c r="E5646" s="224">
        <v>1619.44444444444</v>
      </c>
      <c r="F5646" s="515" t="s">
        <v>6882</v>
      </c>
      <c r="G5646" s="52">
        <v>504495.97078870499</v>
      </c>
      <c r="H5646" s="56">
        <v>0</v>
      </c>
      <c r="I5646" s="224" t="s">
        <v>2</v>
      </c>
    </row>
    <row r="5647" spans="1:9" x14ac:dyDescent="0.25">
      <c r="A5647" s="515">
        <v>8731</v>
      </c>
      <c r="B5647" s="515" t="s">
        <v>324</v>
      </c>
      <c r="C5647" s="52">
        <v>402633.97844749602</v>
      </c>
      <c r="D5647" s="56">
        <v>9.0484758350810074E-2</v>
      </c>
      <c r="E5647" s="224" t="s">
        <v>2</v>
      </c>
      <c r="F5647" s="515" t="s">
        <v>6883</v>
      </c>
      <c r="G5647" s="52">
        <v>223276.43101253599</v>
      </c>
      <c r="H5647" s="56">
        <v>0.16144119798739182</v>
      </c>
      <c r="I5647" s="224" t="s">
        <v>2</v>
      </c>
    </row>
    <row r="5648" spans="1:9" x14ac:dyDescent="0.25">
      <c r="A5648" s="515">
        <v>32803</v>
      </c>
      <c r="B5648" s="515" t="s">
        <v>517</v>
      </c>
      <c r="C5648" s="52">
        <v>427199.30244882399</v>
      </c>
      <c r="D5648" s="56">
        <v>9.9723643479095084E-2</v>
      </c>
      <c r="E5648" s="224">
        <v>2065.4502923976602</v>
      </c>
      <c r="F5648" s="515" t="s">
        <v>6884</v>
      </c>
      <c r="G5648" s="52">
        <v>445170.25128536398</v>
      </c>
      <c r="H5648" s="56">
        <v>9.5859873254212191E-2</v>
      </c>
      <c r="I5648" s="224" t="s">
        <v>2</v>
      </c>
    </row>
    <row r="5649" spans="1:9" x14ac:dyDescent="0.25">
      <c r="A5649" s="515">
        <v>63401</v>
      </c>
      <c r="B5649" s="515" t="s">
        <v>867</v>
      </c>
      <c r="C5649" s="52">
        <v>136382.952957851</v>
      </c>
      <c r="D5649" s="56">
        <v>6.9703482526008428E-2</v>
      </c>
      <c r="E5649" s="224" t="s">
        <v>2</v>
      </c>
      <c r="F5649" s="515" t="s">
        <v>6885</v>
      </c>
      <c r="G5649" s="52">
        <v>504231.45636910701</v>
      </c>
      <c r="H5649" s="56">
        <v>0</v>
      </c>
      <c r="I5649" s="224" t="s">
        <v>2</v>
      </c>
    </row>
    <row r="5650" spans="1:9" x14ac:dyDescent="0.25">
      <c r="A5650" s="515">
        <v>24701</v>
      </c>
      <c r="B5650" s="515" t="s">
        <v>306</v>
      </c>
      <c r="C5650" s="52">
        <v>91380.134694639797</v>
      </c>
      <c r="D5650" s="56">
        <v>0.22808294763226097</v>
      </c>
      <c r="E5650" s="224" t="s">
        <v>2</v>
      </c>
      <c r="F5650" s="515" t="s">
        <v>6886</v>
      </c>
      <c r="G5650" s="52">
        <v>484739.84680699097</v>
      </c>
      <c r="H5650" s="56">
        <v>8.1620364706858572E-2</v>
      </c>
      <c r="I5650" s="224" t="s">
        <v>2</v>
      </c>
    </row>
    <row r="5651" spans="1:9" x14ac:dyDescent="0.25">
      <c r="A5651" s="515">
        <v>53092</v>
      </c>
      <c r="B5651" s="515" t="s">
        <v>950</v>
      </c>
      <c r="C5651" s="52">
        <v>449761.287948257</v>
      </c>
      <c r="D5651" s="56">
        <v>5.2268207051321187E-2</v>
      </c>
      <c r="E5651" s="224" t="s">
        <v>2</v>
      </c>
      <c r="F5651" s="515" t="s">
        <v>6887</v>
      </c>
      <c r="G5651" s="52">
        <v>297951.10674783803</v>
      </c>
      <c r="H5651" s="56">
        <v>6.0935287155982086E-2</v>
      </c>
      <c r="I5651" s="224" t="s">
        <v>2</v>
      </c>
    </row>
    <row r="5652" spans="1:9" x14ac:dyDescent="0.25">
      <c r="A5652" s="515">
        <v>8057</v>
      </c>
      <c r="B5652" s="515" t="s">
        <v>294</v>
      </c>
      <c r="C5652" s="52">
        <v>613349.45302897797</v>
      </c>
      <c r="D5652" s="56">
        <v>7.4710668176214912E-2</v>
      </c>
      <c r="E5652" s="224">
        <v>1955</v>
      </c>
      <c r="F5652" s="515" t="s">
        <v>6888</v>
      </c>
      <c r="G5652" s="52">
        <v>196134.452066995</v>
      </c>
      <c r="H5652" s="56">
        <v>8.2926406889984219E-2</v>
      </c>
      <c r="I5652" s="224" t="s">
        <v>2</v>
      </c>
    </row>
    <row r="5653" spans="1:9" x14ac:dyDescent="0.25">
      <c r="A5653" s="515">
        <v>49017</v>
      </c>
      <c r="B5653" s="515" t="s">
        <v>1062</v>
      </c>
      <c r="C5653" s="52">
        <v>157073.33494880999</v>
      </c>
      <c r="D5653" s="56">
        <v>4.488492560338217E-2</v>
      </c>
      <c r="E5653" s="224" t="s">
        <v>2</v>
      </c>
      <c r="F5653" s="515" t="s">
        <v>6889</v>
      </c>
      <c r="G5653" s="52">
        <v>550434.62357260904</v>
      </c>
      <c r="H5653" s="56">
        <v>3.8793197223850058E-2</v>
      </c>
      <c r="I5653" s="224" t="s">
        <v>2</v>
      </c>
    </row>
    <row r="5654" spans="1:9" x14ac:dyDescent="0.25">
      <c r="A5654" s="515">
        <v>44144</v>
      </c>
      <c r="B5654" s="515" t="s">
        <v>520</v>
      </c>
      <c r="C5654" s="52">
        <v>147845.51394732</v>
      </c>
      <c r="D5654" s="56">
        <v>8.0181295638540206E-2</v>
      </c>
      <c r="E5654" s="224" t="s">
        <v>2</v>
      </c>
      <c r="F5654" s="515" t="s">
        <v>6890</v>
      </c>
      <c r="G5654" s="52">
        <v>214772.58085880501</v>
      </c>
      <c r="H5654" s="56">
        <v>8.4176139536708397E-2</v>
      </c>
      <c r="I5654" s="224" t="s">
        <v>2</v>
      </c>
    </row>
    <row r="5655" spans="1:9" x14ac:dyDescent="0.25">
      <c r="A5655" s="515">
        <v>38701</v>
      </c>
      <c r="B5655" s="515" t="s">
        <v>1204</v>
      </c>
      <c r="C5655" s="52">
        <v>84800.552723768094</v>
      </c>
      <c r="D5655" s="56">
        <v>-0.28671777689626293</v>
      </c>
      <c r="E5655" s="224" t="s">
        <v>2</v>
      </c>
      <c r="F5655" s="515" t="s">
        <v>6891</v>
      </c>
      <c r="G5655" s="52">
        <v>183615.11693292699</v>
      </c>
      <c r="H5655" s="56">
        <v>0.10006021197713443</v>
      </c>
      <c r="I5655" s="224" t="s">
        <v>2</v>
      </c>
    </row>
    <row r="5656" spans="1:9" x14ac:dyDescent="0.25">
      <c r="A5656" s="515">
        <v>28659</v>
      </c>
      <c r="B5656" s="515" t="s">
        <v>1018</v>
      </c>
      <c r="C5656" s="52">
        <v>183290.51520562</v>
      </c>
      <c r="D5656" s="56">
        <v>0.18022480869332144</v>
      </c>
      <c r="E5656" s="224" t="s">
        <v>2</v>
      </c>
      <c r="F5656" s="515" t="s">
        <v>6892</v>
      </c>
      <c r="G5656" s="52">
        <v>458176.53332895302</v>
      </c>
      <c r="H5656" s="56">
        <v>2.2127904711139556E-3</v>
      </c>
      <c r="I5656" s="224" t="s">
        <v>2</v>
      </c>
    </row>
    <row r="5657" spans="1:9" x14ac:dyDescent="0.25">
      <c r="A5657" s="515">
        <v>27203</v>
      </c>
      <c r="B5657" s="515" t="s">
        <v>1148</v>
      </c>
      <c r="C5657" s="52">
        <v>157882.20898308299</v>
      </c>
      <c r="D5657" s="56">
        <v>7.0482101586936838E-2</v>
      </c>
      <c r="E5657" s="224">
        <v>700</v>
      </c>
      <c r="F5657" s="515" t="s">
        <v>973</v>
      </c>
      <c r="G5657" s="52">
        <v>158735.70767867099</v>
      </c>
      <c r="H5657" s="56">
        <v>8.6904328523778218E-2</v>
      </c>
      <c r="I5657" s="224" t="s">
        <v>2</v>
      </c>
    </row>
    <row r="5658" spans="1:9" x14ac:dyDescent="0.25">
      <c r="A5658" s="515">
        <v>98199</v>
      </c>
      <c r="B5658" s="515" t="s">
        <v>384</v>
      </c>
      <c r="C5658" s="52">
        <v>1162908.3275414601</v>
      </c>
      <c r="D5658" s="56">
        <v>1.5349233959519669E-2</v>
      </c>
      <c r="E5658" s="224">
        <v>2531.38888888888</v>
      </c>
      <c r="F5658" s="515" t="s">
        <v>6893</v>
      </c>
      <c r="G5658" s="52">
        <v>502856.26428240602</v>
      </c>
      <c r="H5658" s="56">
        <v>1.2942719995323526E-3</v>
      </c>
      <c r="I5658" s="224">
        <v>2554.0277777777701</v>
      </c>
    </row>
    <row r="5659" spans="1:9" x14ac:dyDescent="0.25">
      <c r="A5659" s="515">
        <v>31326</v>
      </c>
      <c r="B5659" s="515" t="s">
        <v>351</v>
      </c>
      <c r="C5659" s="52">
        <v>281639.66588156897</v>
      </c>
      <c r="D5659" s="56">
        <v>0.11606625044863869</v>
      </c>
      <c r="E5659" s="224">
        <v>1647.5</v>
      </c>
      <c r="F5659" s="515" t="s">
        <v>6894</v>
      </c>
      <c r="G5659" s="52">
        <v>99379.821632194202</v>
      </c>
      <c r="H5659" s="56">
        <v>0.10733170497120463</v>
      </c>
      <c r="I5659" s="224" t="s">
        <v>2</v>
      </c>
    </row>
    <row r="5660" spans="1:9" x14ac:dyDescent="0.25">
      <c r="A5660" s="515">
        <v>33432</v>
      </c>
      <c r="B5660" s="515" t="s">
        <v>831</v>
      </c>
      <c r="C5660" s="52">
        <v>932712.02796611795</v>
      </c>
      <c r="D5660" s="56">
        <v>0.12261407783576833</v>
      </c>
      <c r="E5660" s="224">
        <v>3164.4086591158198</v>
      </c>
      <c r="F5660" s="515" t="s">
        <v>6895</v>
      </c>
      <c r="G5660" s="52">
        <v>358015.09094040398</v>
      </c>
      <c r="H5660" s="56">
        <v>6.2889416060218084E-2</v>
      </c>
      <c r="I5660" s="224" t="s">
        <v>2</v>
      </c>
    </row>
    <row r="5661" spans="1:9" x14ac:dyDescent="0.25">
      <c r="A5661" s="515">
        <v>93041</v>
      </c>
      <c r="B5661" s="515" t="s">
        <v>1021</v>
      </c>
      <c r="C5661" s="52">
        <v>551009.87943534495</v>
      </c>
      <c r="D5661" s="56">
        <v>5.5277129629096575E-2</v>
      </c>
      <c r="E5661" s="224">
        <v>2577.7777777777701</v>
      </c>
      <c r="F5661" s="515" t="s">
        <v>6896</v>
      </c>
      <c r="G5661" s="52">
        <v>442246.782219571</v>
      </c>
      <c r="H5661" s="56">
        <v>0.11839890074414837</v>
      </c>
      <c r="I5661" s="224" t="s">
        <v>2</v>
      </c>
    </row>
    <row r="5662" spans="1:9" x14ac:dyDescent="0.25">
      <c r="A5662" s="515">
        <v>55410</v>
      </c>
      <c r="B5662" s="515" t="s">
        <v>532</v>
      </c>
      <c r="C5662" s="52">
        <v>518282.098636084</v>
      </c>
      <c r="D5662" s="56">
        <v>4.1002924083343301E-2</v>
      </c>
      <c r="E5662" s="224">
        <v>1662.7777777777701</v>
      </c>
      <c r="F5662" s="515" t="s">
        <v>6897</v>
      </c>
      <c r="G5662" s="52">
        <v>268853.14977632702</v>
      </c>
      <c r="H5662" s="56">
        <v>0.10152510735270763</v>
      </c>
      <c r="I5662" s="224" t="s">
        <v>2</v>
      </c>
    </row>
    <row r="5663" spans="1:9" x14ac:dyDescent="0.25">
      <c r="A5663" s="515">
        <v>45638</v>
      </c>
      <c r="B5663" s="515" t="s">
        <v>602</v>
      </c>
      <c r="C5663" s="52">
        <v>96906.299104325502</v>
      </c>
      <c r="D5663" s="56">
        <v>9.2525194111217707E-2</v>
      </c>
      <c r="E5663" s="224" t="s">
        <v>2</v>
      </c>
      <c r="F5663" s="515" t="s">
        <v>6898</v>
      </c>
      <c r="G5663" s="52">
        <v>253025.03115795201</v>
      </c>
      <c r="H5663" s="56">
        <v>9.1321117670497207E-2</v>
      </c>
      <c r="I5663" s="224" t="s">
        <v>2</v>
      </c>
    </row>
    <row r="5664" spans="1:9" x14ac:dyDescent="0.25">
      <c r="A5664" s="515">
        <v>1056</v>
      </c>
      <c r="B5664" s="515" t="s">
        <v>575</v>
      </c>
      <c r="C5664" s="52">
        <v>301066.21272744599</v>
      </c>
      <c r="D5664" s="56">
        <v>9.0160336514843856E-2</v>
      </c>
      <c r="E5664" s="224" t="s">
        <v>2</v>
      </c>
      <c r="F5664" s="515" t="s">
        <v>6899</v>
      </c>
      <c r="G5664" s="52">
        <v>284534.80326746497</v>
      </c>
      <c r="H5664" s="56">
        <v>0.10479043123405027</v>
      </c>
      <c r="I5664" s="224" t="s">
        <v>2</v>
      </c>
    </row>
    <row r="5665" spans="1:9" x14ac:dyDescent="0.25">
      <c r="A5665" s="515">
        <v>95405</v>
      </c>
      <c r="B5665" s="515" t="s">
        <v>331</v>
      </c>
      <c r="C5665" s="52">
        <v>702869.43157894001</v>
      </c>
      <c r="D5665" s="56">
        <v>3.0426751303738418E-2</v>
      </c>
      <c r="E5665" s="224">
        <v>2401.9333333333302</v>
      </c>
      <c r="F5665" s="515" t="s">
        <v>6900</v>
      </c>
      <c r="G5665" s="52">
        <v>193092.78779885799</v>
      </c>
      <c r="H5665" s="56">
        <v>0.11454778351481811</v>
      </c>
      <c r="I5665" s="224" t="s">
        <v>2</v>
      </c>
    </row>
    <row r="5666" spans="1:9" x14ac:dyDescent="0.25">
      <c r="A5666" s="515">
        <v>29340</v>
      </c>
      <c r="B5666" s="515" t="s">
        <v>1191</v>
      </c>
      <c r="C5666" s="52">
        <v>118082.21163672001</v>
      </c>
      <c r="D5666" s="56">
        <v>4.6270770211450485E-2</v>
      </c>
      <c r="E5666" s="224" t="s">
        <v>2</v>
      </c>
      <c r="F5666" s="515" t="s">
        <v>6901</v>
      </c>
      <c r="G5666" s="52">
        <v>221421.15767934901</v>
      </c>
      <c r="H5666" s="56">
        <v>0.11384668151019317</v>
      </c>
      <c r="I5666" s="224">
        <v>1467.5</v>
      </c>
    </row>
    <row r="5667" spans="1:9" x14ac:dyDescent="0.25">
      <c r="A5667" s="515">
        <v>28139</v>
      </c>
      <c r="B5667" s="515" t="s">
        <v>1128</v>
      </c>
      <c r="C5667" s="52">
        <v>219779.93146622</v>
      </c>
      <c r="D5667" s="56">
        <v>0.15762738940682519</v>
      </c>
      <c r="E5667" s="224" t="s">
        <v>2</v>
      </c>
      <c r="F5667" s="515" t="s">
        <v>6902</v>
      </c>
      <c r="G5667" s="52">
        <v>223858.68097879001</v>
      </c>
      <c r="H5667" s="56">
        <v>0.15349940175253873</v>
      </c>
      <c r="I5667" s="224" t="s">
        <v>2</v>
      </c>
    </row>
    <row r="5668" spans="1:9" x14ac:dyDescent="0.25">
      <c r="A5668" s="515">
        <v>48081</v>
      </c>
      <c r="B5668" s="515" t="s">
        <v>685</v>
      </c>
      <c r="C5668" s="52">
        <v>208154.19760777499</v>
      </c>
      <c r="D5668" s="56">
        <v>6.5523375356199454E-2</v>
      </c>
      <c r="E5668" s="224" t="s">
        <v>2</v>
      </c>
      <c r="F5668" s="515" t="s">
        <v>6903</v>
      </c>
      <c r="G5668" s="52">
        <v>97746.939590075504</v>
      </c>
      <c r="H5668" s="56">
        <v>0</v>
      </c>
      <c r="I5668" s="224" t="s">
        <v>2</v>
      </c>
    </row>
    <row r="5669" spans="1:9" x14ac:dyDescent="0.25">
      <c r="A5669" s="515">
        <v>85083</v>
      </c>
      <c r="B5669" s="515" t="s">
        <v>563</v>
      </c>
      <c r="C5669" s="52">
        <v>588529.92544668599</v>
      </c>
      <c r="D5669" s="56">
        <v>2.6285404901637287E-2</v>
      </c>
      <c r="E5669" s="224">
        <v>2408.3333333333298</v>
      </c>
      <c r="F5669" s="515" t="s">
        <v>6904</v>
      </c>
      <c r="G5669" s="52">
        <v>352669.84705866099</v>
      </c>
      <c r="H5669" s="56">
        <v>3.7236627794074349E-2</v>
      </c>
      <c r="I5669" s="224" t="s">
        <v>2</v>
      </c>
    </row>
    <row r="5670" spans="1:9" x14ac:dyDescent="0.25">
      <c r="A5670" s="515">
        <v>31069</v>
      </c>
      <c r="B5670" s="515" t="s">
        <v>1067</v>
      </c>
      <c r="C5670" s="52">
        <v>219200.68896645901</v>
      </c>
      <c r="D5670" s="56">
        <v>0.14624632479873684</v>
      </c>
      <c r="E5670" s="224" t="s">
        <v>2</v>
      </c>
      <c r="F5670" s="515" t="s">
        <v>6905</v>
      </c>
      <c r="G5670" s="52">
        <v>378672.507376155</v>
      </c>
      <c r="H5670" s="56">
        <v>8.5293571745618219E-2</v>
      </c>
      <c r="I5670" s="224" t="s">
        <v>2</v>
      </c>
    </row>
    <row r="5671" spans="1:9" x14ac:dyDescent="0.25">
      <c r="A5671" s="515">
        <v>20646</v>
      </c>
      <c r="B5671" s="515" t="s">
        <v>321</v>
      </c>
      <c r="C5671" s="52">
        <v>433764.778023316</v>
      </c>
      <c r="D5671" s="56">
        <v>2.7448525501200326E-2</v>
      </c>
      <c r="E5671" s="224" t="s">
        <v>2</v>
      </c>
      <c r="F5671" s="515" t="s">
        <v>6906</v>
      </c>
      <c r="G5671" s="52">
        <v>365860.34751218598</v>
      </c>
      <c r="H5671" s="56">
        <v>3.1601434447837674E-2</v>
      </c>
      <c r="I5671" s="224">
        <v>1444.75</v>
      </c>
    </row>
    <row r="5672" spans="1:9" x14ac:dyDescent="0.25">
      <c r="A5672" s="515">
        <v>71303</v>
      </c>
      <c r="B5672" s="515" t="s">
        <v>968</v>
      </c>
      <c r="C5672" s="52">
        <v>208264.53194428299</v>
      </c>
      <c r="D5672" s="56">
        <v>3.3384357341688729E-2</v>
      </c>
      <c r="E5672" s="224" t="s">
        <v>2</v>
      </c>
      <c r="F5672" s="515" t="s">
        <v>6907</v>
      </c>
      <c r="G5672" s="52">
        <v>112581.973196762</v>
      </c>
      <c r="H5672" s="56">
        <v>0.27893090193225639</v>
      </c>
      <c r="I5672" s="224" t="s">
        <v>2</v>
      </c>
    </row>
    <row r="5673" spans="1:9" x14ac:dyDescent="0.25">
      <c r="A5673" s="515">
        <v>31015</v>
      </c>
      <c r="B5673" s="515" t="s">
        <v>1041</v>
      </c>
      <c r="C5673" s="52">
        <v>116684.77444413801</v>
      </c>
      <c r="D5673" s="56">
        <v>0.14145144195221063</v>
      </c>
      <c r="E5673" s="224" t="s">
        <v>2</v>
      </c>
      <c r="F5673" s="515" t="s">
        <v>6908</v>
      </c>
      <c r="G5673" s="52">
        <v>314376.06525110401</v>
      </c>
      <c r="H5673" s="56">
        <v>0.10316785124692392</v>
      </c>
      <c r="I5673" s="224">
        <v>1938</v>
      </c>
    </row>
    <row r="5674" spans="1:9" x14ac:dyDescent="0.25">
      <c r="A5674" s="515">
        <v>36869</v>
      </c>
      <c r="B5674" s="515" t="s">
        <v>778</v>
      </c>
      <c r="C5674" s="52">
        <v>132310.42698744399</v>
      </c>
      <c r="D5674" s="56">
        <v>4.8197829656743726E-2</v>
      </c>
      <c r="E5674" s="224" t="s">
        <v>2</v>
      </c>
      <c r="F5674" s="515" t="s">
        <v>6909</v>
      </c>
      <c r="G5674" s="52">
        <v>31621.362617090199</v>
      </c>
      <c r="H5674" s="56">
        <v>9.8069590132789292E-2</v>
      </c>
      <c r="I5674" s="224" t="s">
        <v>2</v>
      </c>
    </row>
    <row r="5675" spans="1:9" x14ac:dyDescent="0.25">
      <c r="A5675" s="515">
        <v>77056</v>
      </c>
      <c r="B5675" s="515" t="s">
        <v>314</v>
      </c>
      <c r="C5675" s="52">
        <v>598615.59502531402</v>
      </c>
      <c r="D5675" s="56">
        <v>2.3461690223540568E-2</v>
      </c>
      <c r="E5675" s="224">
        <v>1802.8650157623999</v>
      </c>
      <c r="F5675" s="515" t="s">
        <v>6910</v>
      </c>
      <c r="G5675" s="52">
        <v>408183.25497167301</v>
      </c>
      <c r="H5675" s="56">
        <v>9.9344865973691951E-2</v>
      </c>
      <c r="I5675" s="224" t="s">
        <v>2</v>
      </c>
    </row>
    <row r="5676" spans="1:9" x14ac:dyDescent="0.25">
      <c r="A5676" s="515">
        <v>93610</v>
      </c>
      <c r="B5676" s="515" t="s">
        <v>681</v>
      </c>
      <c r="C5676" s="52">
        <v>352656.544742578</v>
      </c>
      <c r="D5676" s="56">
        <v>4.3565846591770735E-2</v>
      </c>
      <c r="E5676" s="224" t="s">
        <v>2</v>
      </c>
      <c r="F5676" s="515" t="s">
        <v>6911</v>
      </c>
      <c r="G5676" s="52">
        <v>502583.61197396799</v>
      </c>
      <c r="H5676" s="56">
        <v>5.6406536609340856E-2</v>
      </c>
      <c r="I5676" s="224">
        <v>2135</v>
      </c>
    </row>
    <row r="5677" spans="1:9" x14ac:dyDescent="0.25">
      <c r="A5677" s="515">
        <v>23061</v>
      </c>
      <c r="B5677" s="515" t="s">
        <v>301</v>
      </c>
      <c r="C5677" s="52">
        <v>321375.26758712099</v>
      </c>
      <c r="D5677" s="56">
        <v>9.790238191895681E-2</v>
      </c>
      <c r="E5677" s="224" t="s">
        <v>2</v>
      </c>
      <c r="F5677" s="515" t="s">
        <v>6912</v>
      </c>
      <c r="G5677" s="52">
        <v>239124.65907559899</v>
      </c>
      <c r="H5677" s="56">
        <v>6.0364863732878873E-2</v>
      </c>
      <c r="I5677" s="224" t="s">
        <v>2</v>
      </c>
    </row>
    <row r="5678" spans="1:9" x14ac:dyDescent="0.25">
      <c r="A5678" s="515">
        <v>35950</v>
      </c>
      <c r="B5678" s="515" t="s">
        <v>1182</v>
      </c>
      <c r="C5678" s="52">
        <v>163718.75880143701</v>
      </c>
      <c r="D5678" s="56">
        <v>8.5193616127660216E-2</v>
      </c>
      <c r="E5678" s="224" t="s">
        <v>2</v>
      </c>
      <c r="F5678" s="515" t="s">
        <v>6913</v>
      </c>
      <c r="G5678" s="52">
        <v>1172869.1597889799</v>
      </c>
      <c r="H5678" s="56">
        <v>6.9012709661726956E-2</v>
      </c>
      <c r="I5678" s="224" t="s">
        <v>2</v>
      </c>
    </row>
    <row r="5679" spans="1:9" x14ac:dyDescent="0.25">
      <c r="A5679" s="515">
        <v>78752</v>
      </c>
      <c r="B5679" s="515" t="s">
        <v>380</v>
      </c>
      <c r="C5679" s="52">
        <v>465372.66198843502</v>
      </c>
      <c r="D5679" s="56">
        <v>1.8750069305373838E-2</v>
      </c>
      <c r="E5679" s="224">
        <v>1811.69987468671</v>
      </c>
      <c r="F5679" s="515" t="s">
        <v>6914</v>
      </c>
      <c r="G5679" s="52">
        <v>281254.247722723</v>
      </c>
      <c r="H5679" s="56">
        <v>5.9313238068193552E-2</v>
      </c>
      <c r="I5679" s="224" t="s">
        <v>2</v>
      </c>
    </row>
    <row r="5680" spans="1:9" x14ac:dyDescent="0.25">
      <c r="A5680" s="515">
        <v>77523</v>
      </c>
      <c r="B5680" s="515" t="s">
        <v>314</v>
      </c>
      <c r="C5680" s="52">
        <v>351036.60642982298</v>
      </c>
      <c r="D5680" s="56">
        <v>2.8569264896933174E-2</v>
      </c>
      <c r="E5680" s="224">
        <v>1929.8333333333301</v>
      </c>
      <c r="F5680" s="515" t="s">
        <v>6915</v>
      </c>
      <c r="G5680" s="52">
        <v>314951.92219584598</v>
      </c>
      <c r="H5680" s="56">
        <v>3.3656668194934514E-2</v>
      </c>
      <c r="I5680" s="224" t="s">
        <v>2</v>
      </c>
    </row>
    <row r="5681" spans="1:9" x14ac:dyDescent="0.25">
      <c r="A5681" s="515">
        <v>43206</v>
      </c>
      <c r="B5681" s="515" t="s">
        <v>345</v>
      </c>
      <c r="C5681" s="52">
        <v>250688.48394527001</v>
      </c>
      <c r="D5681" s="56">
        <v>5.3485077864380691E-2</v>
      </c>
      <c r="E5681" s="224">
        <v>1384.44259259259</v>
      </c>
      <c r="F5681" s="515" t="s">
        <v>6916</v>
      </c>
      <c r="G5681" s="52">
        <v>262479.931355768</v>
      </c>
      <c r="H5681" s="56">
        <v>8.1207186795160688E-2</v>
      </c>
      <c r="I5681" s="224" t="s">
        <v>2</v>
      </c>
    </row>
    <row r="5682" spans="1:9" x14ac:dyDescent="0.25">
      <c r="A5682" s="515">
        <v>34601</v>
      </c>
      <c r="B5682" s="515" t="s">
        <v>461</v>
      </c>
      <c r="C5682" s="52">
        <v>283465.91726564302</v>
      </c>
      <c r="D5682" s="56">
        <v>0.22977750583108475</v>
      </c>
      <c r="E5682" s="224" t="s">
        <v>2</v>
      </c>
      <c r="F5682" s="515" t="s">
        <v>6917</v>
      </c>
      <c r="G5682" s="52">
        <v>246658.209580411</v>
      </c>
      <c r="H5682" s="56">
        <v>7.1596070522045682E-2</v>
      </c>
      <c r="I5682" s="224" t="s">
        <v>2</v>
      </c>
    </row>
    <row r="5683" spans="1:9" x14ac:dyDescent="0.25">
      <c r="A5683" s="515">
        <v>30577</v>
      </c>
      <c r="B5683" s="515" t="s">
        <v>1165</v>
      </c>
      <c r="C5683" s="52">
        <v>185502.73229155599</v>
      </c>
      <c r="D5683" s="56">
        <v>0.13768313227809995</v>
      </c>
      <c r="E5683" s="224" t="s">
        <v>2</v>
      </c>
      <c r="F5683" s="515" t="s">
        <v>6918</v>
      </c>
      <c r="G5683" s="52">
        <v>139814.70851043999</v>
      </c>
      <c r="H5683" s="56">
        <v>0.11444169661683888</v>
      </c>
      <c r="I5683" s="224" t="s">
        <v>2</v>
      </c>
    </row>
    <row r="5684" spans="1:9" x14ac:dyDescent="0.25">
      <c r="A5684" s="515">
        <v>8015</v>
      </c>
      <c r="B5684" s="515" t="s">
        <v>294</v>
      </c>
      <c r="C5684" s="52">
        <v>242560.981041347</v>
      </c>
      <c r="D5684" s="56">
        <v>8.3246848674055185E-2</v>
      </c>
      <c r="E5684" s="224">
        <v>2038.88888888888</v>
      </c>
      <c r="F5684" s="515" t="s">
        <v>6919</v>
      </c>
      <c r="G5684" s="52">
        <v>248567.16480137501</v>
      </c>
      <c r="H5684" s="56">
        <v>0.12720303922456638</v>
      </c>
      <c r="I5684" s="224" t="s">
        <v>2</v>
      </c>
    </row>
    <row r="5685" spans="1:9" x14ac:dyDescent="0.25">
      <c r="A5685" s="515">
        <v>85085</v>
      </c>
      <c r="B5685" s="515" t="s">
        <v>563</v>
      </c>
      <c r="C5685" s="52">
        <v>612252.45025108405</v>
      </c>
      <c r="D5685" s="56">
        <v>4.0510752026465272E-2</v>
      </c>
      <c r="E5685" s="224">
        <v>1906.04746240601</v>
      </c>
      <c r="F5685" s="515" t="s">
        <v>6920</v>
      </c>
      <c r="G5685" s="52">
        <v>140409.09752203</v>
      </c>
      <c r="H5685" s="56">
        <v>3.1749201545214823E-3</v>
      </c>
      <c r="I5685" s="224" t="s">
        <v>2</v>
      </c>
    </row>
    <row r="5686" spans="1:9" x14ac:dyDescent="0.25">
      <c r="A5686" s="515">
        <v>74804</v>
      </c>
      <c r="B5686" s="515" t="s">
        <v>989</v>
      </c>
      <c r="C5686" s="52">
        <v>190505.236063494</v>
      </c>
      <c r="D5686" s="56">
        <v>8.6438186626811658E-2</v>
      </c>
      <c r="E5686" s="224">
        <v>1249</v>
      </c>
      <c r="F5686" s="515" t="s">
        <v>6921</v>
      </c>
      <c r="G5686" s="52">
        <v>89349.167352492907</v>
      </c>
      <c r="H5686" s="56">
        <v>0.11651973740064528</v>
      </c>
      <c r="I5686" s="224" t="s">
        <v>2</v>
      </c>
    </row>
    <row r="5687" spans="1:9" x14ac:dyDescent="0.25">
      <c r="A5687" s="515">
        <v>8721</v>
      </c>
      <c r="B5687" s="515" t="s">
        <v>324</v>
      </c>
      <c r="C5687" s="52">
        <v>418742.43399441498</v>
      </c>
      <c r="D5687" s="56">
        <v>8.1409423859574975E-2</v>
      </c>
      <c r="E5687" s="224" t="s">
        <v>2</v>
      </c>
      <c r="F5687" s="515" t="s">
        <v>6922</v>
      </c>
      <c r="G5687" s="52">
        <v>180637.97309660801</v>
      </c>
      <c r="H5687" s="56">
        <v>0.10206101528556201</v>
      </c>
      <c r="I5687" s="224">
        <v>1226.25</v>
      </c>
    </row>
    <row r="5688" spans="1:9" x14ac:dyDescent="0.25">
      <c r="A5688" s="515">
        <v>89408</v>
      </c>
      <c r="B5688" s="515" t="s">
        <v>718</v>
      </c>
      <c r="C5688" s="52">
        <v>359185.63547250902</v>
      </c>
      <c r="D5688" s="56">
        <v>-2.7279228754091426E-3</v>
      </c>
      <c r="E5688" s="224">
        <v>1704.7222222222199</v>
      </c>
      <c r="F5688" s="515" t="s">
        <v>6923</v>
      </c>
      <c r="G5688" s="52">
        <v>308863.04535677499</v>
      </c>
      <c r="H5688" s="56">
        <v>0.1315851669507834</v>
      </c>
      <c r="I5688" s="224" t="s">
        <v>2</v>
      </c>
    </row>
    <row r="5689" spans="1:9" x14ac:dyDescent="0.25">
      <c r="A5689" s="515">
        <v>34714</v>
      </c>
      <c r="B5689" s="515" t="s">
        <v>517</v>
      </c>
      <c r="C5689" s="52">
        <v>387301.24473114498</v>
      </c>
      <c r="D5689" s="56">
        <v>0.13459555677800025</v>
      </c>
      <c r="E5689" s="224">
        <v>2183.2202380952299</v>
      </c>
      <c r="F5689" s="515" t="s">
        <v>6924</v>
      </c>
      <c r="G5689" s="52">
        <v>340779.01065439702</v>
      </c>
      <c r="H5689" s="56">
        <v>0.10212324874174138</v>
      </c>
      <c r="I5689" s="224" t="s">
        <v>2</v>
      </c>
    </row>
    <row r="5690" spans="1:9" x14ac:dyDescent="0.25">
      <c r="A5690" s="515">
        <v>97058</v>
      </c>
      <c r="B5690" s="515" t="s">
        <v>864</v>
      </c>
      <c r="C5690" s="52">
        <v>363930.67920093099</v>
      </c>
      <c r="D5690" s="56">
        <v>3.1766005021560031E-2</v>
      </c>
      <c r="E5690" s="224">
        <v>1623.3333333333301</v>
      </c>
      <c r="F5690" s="515" t="s">
        <v>6925</v>
      </c>
      <c r="G5690" s="52">
        <v>145805.439926894</v>
      </c>
      <c r="H5690" s="56">
        <v>9.0889105430999005E-3</v>
      </c>
      <c r="I5690" s="224" t="s">
        <v>2</v>
      </c>
    </row>
    <row r="5691" spans="1:9" x14ac:dyDescent="0.25">
      <c r="A5691" s="515">
        <v>59714</v>
      </c>
      <c r="B5691" s="515" t="s">
        <v>561</v>
      </c>
      <c r="C5691" s="52">
        <v>530902.15113131399</v>
      </c>
      <c r="D5691" s="56">
        <v>4.7943813630475382E-2</v>
      </c>
      <c r="E5691" s="224" t="s">
        <v>2</v>
      </c>
      <c r="F5691" s="515" t="s">
        <v>6926</v>
      </c>
      <c r="G5691" s="52">
        <v>540742.49127707805</v>
      </c>
      <c r="H5691" s="56">
        <v>7.3709068127362276E-2</v>
      </c>
      <c r="I5691" s="224" t="s">
        <v>2</v>
      </c>
    </row>
    <row r="5692" spans="1:9" x14ac:dyDescent="0.25">
      <c r="A5692" s="515">
        <v>64130</v>
      </c>
      <c r="B5692" s="515" t="s">
        <v>455</v>
      </c>
      <c r="C5692" s="52">
        <v>90773.754695373194</v>
      </c>
      <c r="D5692" s="56">
        <v>0.26017573158164808</v>
      </c>
      <c r="E5692" s="224">
        <v>1052.17857142857</v>
      </c>
      <c r="F5692" s="515" t="s">
        <v>6927</v>
      </c>
      <c r="G5692" s="52">
        <v>451071.48515301099</v>
      </c>
      <c r="H5692" s="56">
        <v>8.726662530052505E-2</v>
      </c>
      <c r="I5692" s="224" t="s">
        <v>2</v>
      </c>
    </row>
    <row r="5693" spans="1:9" x14ac:dyDescent="0.25">
      <c r="A5693" s="515">
        <v>7522</v>
      </c>
      <c r="B5693" s="515" t="s">
        <v>324</v>
      </c>
      <c r="C5693" s="52">
        <v>369580.52659813501</v>
      </c>
      <c r="D5693" s="56">
        <v>8.6888703333454595E-2</v>
      </c>
      <c r="E5693" s="224">
        <v>1672.5</v>
      </c>
      <c r="F5693" s="515" t="s">
        <v>6928</v>
      </c>
      <c r="G5693" s="52">
        <v>369717.94844913098</v>
      </c>
      <c r="H5693" s="56">
        <v>7.510258091798741E-2</v>
      </c>
      <c r="I5693" s="224" t="s">
        <v>2</v>
      </c>
    </row>
    <row r="5694" spans="1:9" x14ac:dyDescent="0.25">
      <c r="A5694" s="515">
        <v>32080</v>
      </c>
      <c r="B5694" s="515" t="s">
        <v>1158</v>
      </c>
      <c r="C5694" s="52">
        <v>554909.21613143396</v>
      </c>
      <c r="D5694" s="56">
        <v>0.15171391292025704</v>
      </c>
      <c r="E5694" s="224">
        <v>2562.5</v>
      </c>
      <c r="F5694" s="515" t="s">
        <v>6929</v>
      </c>
      <c r="G5694" s="52">
        <v>195440.27705771601</v>
      </c>
      <c r="H5694" s="56">
        <v>8.7368313720848204E-2</v>
      </c>
      <c r="I5694" s="224" t="s">
        <v>2</v>
      </c>
    </row>
    <row r="5695" spans="1:9" x14ac:dyDescent="0.25">
      <c r="A5695" s="515">
        <v>37412</v>
      </c>
      <c r="B5695" s="515" t="s">
        <v>622</v>
      </c>
      <c r="C5695" s="52">
        <v>218934.650218261</v>
      </c>
      <c r="D5695" s="56">
        <v>9.60293959552979E-2</v>
      </c>
      <c r="E5695" s="224">
        <v>1303.2222222222199</v>
      </c>
      <c r="F5695" s="515" t="s">
        <v>6930</v>
      </c>
      <c r="G5695" s="52">
        <v>694552.054316647</v>
      </c>
      <c r="H5695" s="56">
        <v>2.7374179299279131E-2</v>
      </c>
      <c r="I5695" s="224" t="s">
        <v>2</v>
      </c>
    </row>
    <row r="5696" spans="1:9" x14ac:dyDescent="0.25">
      <c r="A5696" s="515">
        <v>85714</v>
      </c>
      <c r="B5696" s="515" t="s">
        <v>368</v>
      </c>
      <c r="C5696" s="52">
        <v>210540.62066689701</v>
      </c>
      <c r="D5696" s="56">
        <v>7.833403661909559E-2</v>
      </c>
      <c r="E5696" s="224" t="s">
        <v>2</v>
      </c>
      <c r="F5696" s="515" t="s">
        <v>6931</v>
      </c>
      <c r="G5696" s="52">
        <v>310338.78875598899</v>
      </c>
      <c r="H5696" s="56">
        <v>0.11249258560532667</v>
      </c>
      <c r="I5696" s="224" t="s">
        <v>2</v>
      </c>
    </row>
    <row r="5697" spans="1:9" x14ac:dyDescent="0.25">
      <c r="A5697" s="515">
        <v>92663</v>
      </c>
      <c r="B5697" s="515" t="s">
        <v>375</v>
      </c>
      <c r="C5697" s="52">
        <v>2198361.4508410799</v>
      </c>
      <c r="D5697" s="56">
        <v>3.8386696495280294E-2</v>
      </c>
      <c r="E5697" s="224">
        <v>2273.4</v>
      </c>
      <c r="F5697" s="515" t="s">
        <v>6932</v>
      </c>
      <c r="G5697" s="52">
        <v>127318.186316666</v>
      </c>
      <c r="H5697" s="56">
        <v>2.812388657765056E-2</v>
      </c>
      <c r="I5697" s="224" t="s">
        <v>2</v>
      </c>
    </row>
    <row r="5698" spans="1:9" x14ac:dyDescent="0.25">
      <c r="A5698" s="515">
        <v>72901</v>
      </c>
      <c r="B5698" s="515" t="s">
        <v>326</v>
      </c>
      <c r="C5698" s="52">
        <v>109503.300828394</v>
      </c>
      <c r="D5698" s="56">
        <v>1.9783995146997538E-2</v>
      </c>
      <c r="E5698" s="224">
        <v>710.55555555555497</v>
      </c>
      <c r="F5698" s="515" t="s">
        <v>6933</v>
      </c>
      <c r="G5698" s="52">
        <v>337257.53596524103</v>
      </c>
      <c r="H5698" s="56">
        <v>5.0963629733498383E-2</v>
      </c>
      <c r="I5698" s="224" t="s">
        <v>2</v>
      </c>
    </row>
    <row r="5699" spans="1:9" x14ac:dyDescent="0.25">
      <c r="A5699" s="515">
        <v>28120</v>
      </c>
      <c r="B5699" s="515" t="s">
        <v>360</v>
      </c>
      <c r="C5699" s="52">
        <v>333756.12029166397</v>
      </c>
      <c r="D5699" s="56">
        <v>9.2401608152728798E-2</v>
      </c>
      <c r="E5699" s="224">
        <v>1833.4166666666599</v>
      </c>
      <c r="F5699" s="515" t="s">
        <v>6934</v>
      </c>
      <c r="G5699" s="52">
        <v>81373.607434491903</v>
      </c>
      <c r="H5699" s="56">
        <v>9.8317858440305859E-3</v>
      </c>
      <c r="I5699" s="224" t="s">
        <v>2</v>
      </c>
    </row>
    <row r="5700" spans="1:9" x14ac:dyDescent="0.25">
      <c r="A5700" s="515">
        <v>75460</v>
      </c>
      <c r="B5700" s="515" t="s">
        <v>921</v>
      </c>
      <c r="C5700" s="52">
        <v>113988.455056053</v>
      </c>
      <c r="D5700" s="56">
        <v>5.1382488132502853E-2</v>
      </c>
      <c r="E5700" s="224" t="s">
        <v>2</v>
      </c>
      <c r="F5700" s="515" t="s">
        <v>6935</v>
      </c>
      <c r="G5700" s="52">
        <v>156407.79846233199</v>
      </c>
      <c r="H5700" s="56">
        <v>6.4375326698344948E-2</v>
      </c>
      <c r="I5700" s="224" t="s">
        <v>2</v>
      </c>
    </row>
    <row r="5701" spans="1:9" x14ac:dyDescent="0.25">
      <c r="A5701" s="515">
        <v>48009</v>
      </c>
      <c r="B5701" s="515" t="s">
        <v>685</v>
      </c>
      <c r="C5701" s="52">
        <v>578021.45862032904</v>
      </c>
      <c r="D5701" s="56">
        <v>2.3742516719112167E-2</v>
      </c>
      <c r="E5701" s="224">
        <v>2255.11904761904</v>
      </c>
      <c r="F5701" s="515" t="s">
        <v>6936</v>
      </c>
      <c r="G5701" s="52">
        <v>1845714.4402985</v>
      </c>
      <c r="H5701" s="56">
        <v>0</v>
      </c>
      <c r="I5701" s="224">
        <v>39389.594516594501</v>
      </c>
    </row>
    <row r="5702" spans="1:9" x14ac:dyDescent="0.25">
      <c r="A5702" s="515">
        <v>47546</v>
      </c>
      <c r="B5702" s="515" t="s">
        <v>544</v>
      </c>
      <c r="C5702" s="52">
        <v>227574.150337061</v>
      </c>
      <c r="D5702" s="56">
        <v>4.7593197393358683E-2</v>
      </c>
      <c r="E5702" s="224" t="s">
        <v>2</v>
      </c>
      <c r="F5702" s="515" t="s">
        <v>6937</v>
      </c>
      <c r="G5702" s="52">
        <v>221127.915989017</v>
      </c>
      <c r="H5702" s="56">
        <v>6.9038396969069563E-2</v>
      </c>
      <c r="I5702" s="224" t="s">
        <v>2</v>
      </c>
    </row>
    <row r="5703" spans="1:9" x14ac:dyDescent="0.25">
      <c r="A5703" s="515">
        <v>31407</v>
      </c>
      <c r="B5703" s="515" t="s">
        <v>351</v>
      </c>
      <c r="C5703" s="52">
        <v>271851.95060271199</v>
      </c>
      <c r="D5703" s="56">
        <v>0.13055579722190258</v>
      </c>
      <c r="E5703" s="224">
        <v>1764.0693400166999</v>
      </c>
      <c r="F5703" s="515" t="s">
        <v>6938</v>
      </c>
      <c r="G5703" s="52">
        <v>264304.59658336098</v>
      </c>
      <c r="H5703" s="56">
        <v>9.5488587789526472E-2</v>
      </c>
      <c r="I5703" s="224">
        <v>1600</v>
      </c>
    </row>
    <row r="5704" spans="1:9" x14ac:dyDescent="0.25">
      <c r="A5704" s="515">
        <v>21037</v>
      </c>
      <c r="B5704" s="515" t="s">
        <v>582</v>
      </c>
      <c r="C5704" s="52">
        <v>498996.35614924697</v>
      </c>
      <c r="D5704" s="56">
        <v>4.9008179512438785E-2</v>
      </c>
      <c r="E5704" s="224">
        <v>2450</v>
      </c>
      <c r="F5704" s="515" t="s">
        <v>6939</v>
      </c>
      <c r="G5704" s="52">
        <v>154053.97576041199</v>
      </c>
      <c r="H5704" s="56">
        <v>7.8470645309795292E-2</v>
      </c>
      <c r="I5704" s="224" t="s">
        <v>2</v>
      </c>
    </row>
    <row r="5705" spans="1:9" x14ac:dyDescent="0.25">
      <c r="A5705" s="515">
        <v>53172</v>
      </c>
      <c r="B5705" s="515" t="s">
        <v>950</v>
      </c>
      <c r="C5705" s="52">
        <v>225672.53466882501</v>
      </c>
      <c r="D5705" s="56">
        <v>8.1766066067356175E-2</v>
      </c>
      <c r="E5705" s="224">
        <v>895</v>
      </c>
      <c r="F5705" s="515" t="s">
        <v>6940</v>
      </c>
      <c r="G5705" s="52">
        <v>470624.89230769197</v>
      </c>
      <c r="H5705" s="56">
        <v>0</v>
      </c>
      <c r="I5705" s="224" t="s">
        <v>2</v>
      </c>
    </row>
    <row r="5706" spans="1:9" x14ac:dyDescent="0.25">
      <c r="A5706" s="515">
        <v>90717</v>
      </c>
      <c r="B5706" s="515" t="s">
        <v>375</v>
      </c>
      <c r="C5706" s="52">
        <v>832997.80375482899</v>
      </c>
      <c r="D5706" s="56">
        <v>3.2868945132854665E-3</v>
      </c>
      <c r="E5706" s="224">
        <v>2907.5</v>
      </c>
      <c r="F5706" s="515" t="s">
        <v>6941</v>
      </c>
      <c r="G5706" s="52">
        <v>1057008.0565693399</v>
      </c>
      <c r="H5706" s="56">
        <v>1.3137562647950352E-2</v>
      </c>
      <c r="I5706" s="224" t="s">
        <v>2</v>
      </c>
    </row>
    <row r="5707" spans="1:9" x14ac:dyDescent="0.25">
      <c r="A5707" s="515">
        <v>25705</v>
      </c>
      <c r="B5707" s="515" t="s">
        <v>602</v>
      </c>
      <c r="C5707" s="52">
        <v>134380.19229330201</v>
      </c>
      <c r="D5707" s="56">
        <v>7.5574734222169829E-2</v>
      </c>
      <c r="E5707" s="224" t="s">
        <v>2</v>
      </c>
      <c r="F5707" s="515" t="s">
        <v>6942</v>
      </c>
      <c r="G5707" s="52">
        <v>219572.491024171</v>
      </c>
      <c r="H5707" s="56">
        <v>5.8314970365888556E-2</v>
      </c>
      <c r="I5707" s="224" t="s">
        <v>2</v>
      </c>
    </row>
    <row r="5708" spans="1:9" x14ac:dyDescent="0.25">
      <c r="A5708" s="515">
        <v>18902</v>
      </c>
      <c r="B5708" s="515" t="s">
        <v>294</v>
      </c>
      <c r="C5708" s="52">
        <v>654329.56438639294</v>
      </c>
      <c r="D5708" s="56">
        <v>8.2771021031046277E-2</v>
      </c>
      <c r="E5708" s="224" t="s">
        <v>2</v>
      </c>
      <c r="F5708" s="515" t="s">
        <v>6943</v>
      </c>
      <c r="G5708" s="52">
        <v>403618.46818921098</v>
      </c>
      <c r="H5708" s="56">
        <v>9.7398096187144123E-2</v>
      </c>
      <c r="I5708" s="224" t="s">
        <v>2</v>
      </c>
    </row>
    <row r="5709" spans="1:9" x14ac:dyDescent="0.25">
      <c r="A5709" s="515">
        <v>73501</v>
      </c>
      <c r="B5709" s="515" t="s">
        <v>364</v>
      </c>
      <c r="C5709" s="52">
        <v>90218.986238823898</v>
      </c>
      <c r="D5709" s="56">
        <v>0.12928781295360545</v>
      </c>
      <c r="E5709" s="224">
        <v>1090.5</v>
      </c>
      <c r="F5709" s="515" t="s">
        <v>6944</v>
      </c>
      <c r="G5709" s="52">
        <v>93097.0782226429</v>
      </c>
      <c r="H5709" s="56">
        <v>5.2052752208542469E-2</v>
      </c>
      <c r="I5709" s="224" t="s">
        <v>2</v>
      </c>
    </row>
    <row r="5710" spans="1:9" x14ac:dyDescent="0.25">
      <c r="A5710" s="515">
        <v>33572</v>
      </c>
      <c r="B5710" s="515" t="s">
        <v>461</v>
      </c>
      <c r="C5710" s="52">
        <v>480450.30774359801</v>
      </c>
      <c r="D5710" s="56">
        <v>0.12774828238086403</v>
      </c>
      <c r="E5710" s="224">
        <v>2523.7936507936502</v>
      </c>
      <c r="F5710" s="515" t="s">
        <v>6945</v>
      </c>
      <c r="G5710" s="52">
        <v>150517.828732175</v>
      </c>
      <c r="H5710" s="56">
        <v>2.9566382860842625E-2</v>
      </c>
      <c r="I5710" s="224" t="s">
        <v>2</v>
      </c>
    </row>
    <row r="5711" spans="1:9" x14ac:dyDescent="0.25">
      <c r="A5711" s="515">
        <v>2891</v>
      </c>
      <c r="B5711" s="515" t="s">
        <v>513</v>
      </c>
      <c r="C5711" s="52">
        <v>489386.405131354</v>
      </c>
      <c r="D5711" s="56">
        <v>8.4973502989539179E-2</v>
      </c>
      <c r="E5711" s="224">
        <v>1783.3333333333301</v>
      </c>
      <c r="F5711" s="515" t="s">
        <v>6946</v>
      </c>
      <c r="G5711" s="52">
        <v>727116.61676041305</v>
      </c>
      <c r="H5711" s="56">
        <v>2.7449279993426213E-2</v>
      </c>
      <c r="I5711" s="224" t="s">
        <v>2</v>
      </c>
    </row>
    <row r="5712" spans="1:9" x14ac:dyDescent="0.25">
      <c r="A5712" s="515">
        <v>44641</v>
      </c>
      <c r="B5712" s="515" t="s">
        <v>863</v>
      </c>
      <c r="C5712" s="52">
        <v>197561.08535028799</v>
      </c>
      <c r="D5712" s="56">
        <v>5.5919780379069896E-2</v>
      </c>
      <c r="E5712" s="224">
        <v>1537.88888888888</v>
      </c>
      <c r="F5712" s="515" t="s">
        <v>6947</v>
      </c>
      <c r="G5712" s="52">
        <v>253413.331059622</v>
      </c>
      <c r="H5712" s="56">
        <v>3.3933694847164249E-2</v>
      </c>
      <c r="I5712" s="224" t="s">
        <v>2</v>
      </c>
    </row>
    <row r="5713" spans="1:9" x14ac:dyDescent="0.25">
      <c r="A5713" s="515">
        <v>53090</v>
      </c>
      <c r="B5713" s="515" t="s">
        <v>950</v>
      </c>
      <c r="C5713" s="52">
        <v>277803.816075493</v>
      </c>
      <c r="D5713" s="56">
        <v>4.674212974577218E-2</v>
      </c>
      <c r="E5713" s="224" t="s">
        <v>2</v>
      </c>
      <c r="F5713" s="515" t="s">
        <v>6948</v>
      </c>
      <c r="G5713" s="52">
        <v>99879.687124345801</v>
      </c>
      <c r="H5713" s="56">
        <v>6.9808003015604095E-2</v>
      </c>
      <c r="I5713" s="224" t="s">
        <v>2</v>
      </c>
    </row>
    <row r="5714" spans="1:9" x14ac:dyDescent="0.25">
      <c r="A5714" s="515">
        <v>99516</v>
      </c>
      <c r="B5714" s="515" t="s">
        <v>405</v>
      </c>
      <c r="C5714" s="52">
        <v>553184.65035777295</v>
      </c>
      <c r="D5714" s="56">
        <v>3.8720237369634244E-2</v>
      </c>
      <c r="E5714" s="224" t="s">
        <v>2</v>
      </c>
      <c r="F5714" s="515" t="s">
        <v>6949</v>
      </c>
      <c r="G5714" s="52">
        <v>158151.97072204799</v>
      </c>
      <c r="H5714" s="56">
        <v>3.0066052231510168E-2</v>
      </c>
      <c r="I5714" s="224" t="s">
        <v>2</v>
      </c>
    </row>
    <row r="5715" spans="1:9" x14ac:dyDescent="0.25">
      <c r="A5715" s="515">
        <v>98422</v>
      </c>
      <c r="B5715" s="515" t="s">
        <v>384</v>
      </c>
      <c r="C5715" s="52">
        <v>612434.14386682399</v>
      </c>
      <c r="D5715" s="56">
        <v>3.8084706049538561E-3</v>
      </c>
      <c r="E5715" s="224">
        <v>2063.2777777777701</v>
      </c>
      <c r="F5715" s="515" t="s">
        <v>6950</v>
      </c>
      <c r="G5715" s="52">
        <v>82105.104902552994</v>
      </c>
      <c r="H5715" s="56">
        <v>6.8120385187628515E-2</v>
      </c>
      <c r="I5715" s="224" t="s">
        <v>2</v>
      </c>
    </row>
    <row r="5716" spans="1:9" x14ac:dyDescent="0.25">
      <c r="A5716" s="515">
        <v>63501</v>
      </c>
      <c r="B5716" s="515" t="s">
        <v>949</v>
      </c>
      <c r="C5716" s="52">
        <v>147901.30415336601</v>
      </c>
      <c r="D5716" s="56">
        <v>-1.2228878319200538E-2</v>
      </c>
      <c r="E5716" s="224">
        <v>700.83333333333303</v>
      </c>
      <c r="F5716" s="515" t="s">
        <v>6951</v>
      </c>
      <c r="G5716" s="52">
        <v>702814.31916523504</v>
      </c>
      <c r="H5716" s="56">
        <v>7.2683592408760073E-2</v>
      </c>
      <c r="I5716" s="224" t="s">
        <v>2</v>
      </c>
    </row>
    <row r="5717" spans="1:9" x14ac:dyDescent="0.25">
      <c r="A5717" s="515">
        <v>23508</v>
      </c>
      <c r="B5717" s="515" t="s">
        <v>301</v>
      </c>
      <c r="C5717" s="52">
        <v>342417.76288001199</v>
      </c>
      <c r="D5717" s="56">
        <v>4.145014120867406E-2</v>
      </c>
      <c r="E5717" s="224">
        <v>1646.38888888888</v>
      </c>
      <c r="F5717" s="515" t="s">
        <v>6952</v>
      </c>
      <c r="G5717" s="52">
        <v>353502.01184699801</v>
      </c>
      <c r="H5717" s="56">
        <v>4.445347345050648E-2</v>
      </c>
      <c r="I5717" s="224" t="s">
        <v>2</v>
      </c>
    </row>
    <row r="5718" spans="1:9" x14ac:dyDescent="0.25">
      <c r="A5718" s="515">
        <v>70820</v>
      </c>
      <c r="B5718" s="515" t="s">
        <v>610</v>
      </c>
      <c r="C5718" s="52">
        <v>219355.91739449001</v>
      </c>
      <c r="D5718" s="56">
        <v>6.0767530159395247E-2</v>
      </c>
      <c r="E5718" s="224">
        <v>1293.88888888888</v>
      </c>
      <c r="F5718" s="515" t="s">
        <v>6953</v>
      </c>
      <c r="G5718" s="52">
        <v>209741.04523035401</v>
      </c>
      <c r="H5718" s="56">
        <v>9.901171996867672E-2</v>
      </c>
      <c r="I5718" s="224" t="s">
        <v>2</v>
      </c>
    </row>
    <row r="5719" spans="1:9" x14ac:dyDescent="0.25">
      <c r="A5719" s="515">
        <v>32701</v>
      </c>
      <c r="B5719" s="515" t="s">
        <v>517</v>
      </c>
      <c r="C5719" s="52">
        <v>272241.31827806699</v>
      </c>
      <c r="D5719" s="56">
        <v>0.14965573033286447</v>
      </c>
      <c r="E5719" s="224">
        <v>1835.2482811306299</v>
      </c>
      <c r="F5719" s="515" t="s">
        <v>6954</v>
      </c>
      <c r="G5719" s="52">
        <v>265738.510491553</v>
      </c>
      <c r="H5719" s="56">
        <v>2.4874516111496787E-2</v>
      </c>
      <c r="I5719" s="224" t="s">
        <v>2</v>
      </c>
    </row>
    <row r="5720" spans="1:9" x14ac:dyDescent="0.25">
      <c r="A5720" s="515">
        <v>95304</v>
      </c>
      <c r="B5720" s="515" t="s">
        <v>852</v>
      </c>
      <c r="C5720" s="52">
        <v>882242.76234090806</v>
      </c>
      <c r="D5720" s="56">
        <v>5.4669286723246439E-2</v>
      </c>
      <c r="E5720" s="224" t="s">
        <v>2</v>
      </c>
      <c r="F5720" s="515" t="s">
        <v>6955</v>
      </c>
      <c r="G5720" s="52">
        <v>449100.97851261601</v>
      </c>
      <c r="H5720" s="56">
        <v>4.5916393614985861E-2</v>
      </c>
      <c r="I5720" s="224" t="s">
        <v>2</v>
      </c>
    </row>
    <row r="5721" spans="1:9" x14ac:dyDescent="0.25">
      <c r="A5721" s="515">
        <v>5452</v>
      </c>
      <c r="B5721" s="515" t="s">
        <v>441</v>
      </c>
      <c r="C5721" s="52">
        <v>406470.14796272799</v>
      </c>
      <c r="D5721" s="56">
        <v>7.5548034726684352E-2</v>
      </c>
      <c r="E5721" s="224" t="s">
        <v>2</v>
      </c>
      <c r="F5721" s="515" t="s">
        <v>6956</v>
      </c>
      <c r="G5721" s="52">
        <v>309945.27791974699</v>
      </c>
      <c r="H5721" s="56">
        <v>0.14289923364186796</v>
      </c>
      <c r="I5721" s="224" t="s">
        <v>2</v>
      </c>
    </row>
    <row r="5722" spans="1:9" x14ac:dyDescent="0.25">
      <c r="A5722" s="515">
        <v>99202</v>
      </c>
      <c r="B5722" s="515" t="s">
        <v>820</v>
      </c>
      <c r="C5722" s="52">
        <v>311144.41196493001</v>
      </c>
      <c r="D5722" s="56">
        <v>5.2271418336551953E-2</v>
      </c>
      <c r="E5722" s="224">
        <v>1454.0277777777701</v>
      </c>
      <c r="F5722" s="515" t="s">
        <v>903</v>
      </c>
      <c r="G5722" s="52">
        <v>1701403.5283875901</v>
      </c>
      <c r="H5722" s="56">
        <v>0.16942131204060501</v>
      </c>
      <c r="I5722" s="224" t="s">
        <v>2</v>
      </c>
    </row>
    <row r="5723" spans="1:9" x14ac:dyDescent="0.25">
      <c r="A5723" s="515">
        <v>53149</v>
      </c>
      <c r="B5723" s="515" t="s">
        <v>950</v>
      </c>
      <c r="C5723" s="52">
        <v>386837.05710759503</v>
      </c>
      <c r="D5723" s="56">
        <v>5.3726521061131134E-2</v>
      </c>
      <c r="E5723" s="224" t="s">
        <v>2</v>
      </c>
      <c r="F5723" s="515" t="s">
        <v>6957</v>
      </c>
      <c r="G5723" s="52">
        <v>942187.43952717504</v>
      </c>
      <c r="H5723" s="56">
        <v>7.2338059202430874E-2</v>
      </c>
      <c r="I5723" s="224" t="s">
        <v>2</v>
      </c>
    </row>
    <row r="5724" spans="1:9" x14ac:dyDescent="0.25">
      <c r="A5724" s="515">
        <v>19607</v>
      </c>
      <c r="B5724" s="515" t="s">
        <v>569</v>
      </c>
      <c r="C5724" s="52">
        <v>224063.359333214</v>
      </c>
      <c r="D5724" s="56">
        <v>0.1255291031511995</v>
      </c>
      <c r="E5724" s="224" t="s">
        <v>2</v>
      </c>
      <c r="F5724" s="515" t="s">
        <v>6958</v>
      </c>
      <c r="G5724" s="52">
        <v>388414.83503762499</v>
      </c>
      <c r="H5724" s="56">
        <v>6.1382233914135741E-2</v>
      </c>
      <c r="I5724" s="224" t="s">
        <v>2</v>
      </c>
    </row>
    <row r="5725" spans="1:9" x14ac:dyDescent="0.25">
      <c r="A5725" s="515">
        <v>7407</v>
      </c>
      <c r="B5725" s="515" t="s">
        <v>324</v>
      </c>
      <c r="C5725" s="52">
        <v>475232.014564507</v>
      </c>
      <c r="D5725" s="56">
        <v>1.0193734010063293E-2</v>
      </c>
      <c r="E5725" s="224">
        <v>2404.4444444444398</v>
      </c>
      <c r="F5725" s="515" t="s">
        <v>6959</v>
      </c>
      <c r="G5725" s="52">
        <v>348915.89736082498</v>
      </c>
      <c r="H5725" s="56">
        <v>6.019989914630345E-2</v>
      </c>
      <c r="I5725" s="224" t="s">
        <v>2</v>
      </c>
    </row>
    <row r="5726" spans="1:9" x14ac:dyDescent="0.25">
      <c r="A5726" s="515">
        <v>84108</v>
      </c>
      <c r="B5726" s="515" t="s">
        <v>617</v>
      </c>
      <c r="C5726" s="52">
        <v>806350.95788113202</v>
      </c>
      <c r="D5726" s="56">
        <v>5.1511875789081056E-2</v>
      </c>
      <c r="E5726" s="224" t="s">
        <v>2</v>
      </c>
      <c r="F5726" s="515" t="s">
        <v>6960</v>
      </c>
      <c r="G5726" s="52">
        <v>604074.42280054698</v>
      </c>
      <c r="H5726" s="56">
        <v>2.8097553011408462E-2</v>
      </c>
      <c r="I5726" s="224" t="s">
        <v>2</v>
      </c>
    </row>
    <row r="5727" spans="1:9" x14ac:dyDescent="0.25">
      <c r="A5727" s="515">
        <v>76115</v>
      </c>
      <c r="B5727" s="515" t="s">
        <v>458</v>
      </c>
      <c r="C5727" s="52">
        <v>177803.88685446099</v>
      </c>
      <c r="D5727" s="56">
        <v>0.22626303633671471</v>
      </c>
      <c r="E5727" s="224" t="s">
        <v>2</v>
      </c>
      <c r="F5727" s="515" t="s">
        <v>6961</v>
      </c>
      <c r="G5727" s="52">
        <v>209603.255705499</v>
      </c>
      <c r="H5727" s="56">
        <v>8.0072877107028789E-2</v>
      </c>
      <c r="I5727" s="224" t="s">
        <v>2</v>
      </c>
    </row>
    <row r="5728" spans="1:9" x14ac:dyDescent="0.25">
      <c r="A5728" s="515">
        <v>21158</v>
      </c>
      <c r="B5728" s="515" t="s">
        <v>582</v>
      </c>
      <c r="C5728" s="52">
        <v>396597.93536987301</v>
      </c>
      <c r="D5728" s="56">
        <v>3.5508310460064203E-2</v>
      </c>
      <c r="E5728" s="224" t="s">
        <v>2</v>
      </c>
      <c r="F5728" s="515" t="s">
        <v>6962</v>
      </c>
      <c r="G5728" s="52">
        <v>607376.14363737404</v>
      </c>
      <c r="H5728" s="56">
        <v>3.8334138211691848E-2</v>
      </c>
      <c r="I5728" s="224">
        <v>2353.3333333333298</v>
      </c>
    </row>
    <row r="5729" spans="1:9" x14ac:dyDescent="0.25">
      <c r="A5729" s="515">
        <v>35613</v>
      </c>
      <c r="B5729" s="515" t="s">
        <v>997</v>
      </c>
      <c r="C5729" s="52">
        <v>313862.08833859902</v>
      </c>
      <c r="D5729" s="56">
        <v>5.1489322614606196E-2</v>
      </c>
      <c r="E5729" s="224">
        <v>1795</v>
      </c>
      <c r="F5729" s="515" t="s">
        <v>6963</v>
      </c>
      <c r="G5729" s="52">
        <v>484918.904060081</v>
      </c>
      <c r="H5729" s="56">
        <v>6.4431612563393432E-3</v>
      </c>
      <c r="I5729" s="224" t="s">
        <v>2</v>
      </c>
    </row>
    <row r="5730" spans="1:9" x14ac:dyDescent="0.25">
      <c r="A5730" s="515">
        <v>48207</v>
      </c>
      <c r="B5730" s="515" t="s">
        <v>685</v>
      </c>
      <c r="C5730" s="52">
        <v>166575.372545903</v>
      </c>
      <c r="D5730" s="56">
        <v>4.2399277594848621E-2</v>
      </c>
      <c r="E5730" s="224">
        <v>1605.9722222222199</v>
      </c>
      <c r="F5730" s="515" t="s">
        <v>6964</v>
      </c>
      <c r="G5730" s="52">
        <v>348962.60591997299</v>
      </c>
      <c r="H5730" s="56">
        <v>7.6797583715236414E-2</v>
      </c>
      <c r="I5730" s="224" t="s">
        <v>2</v>
      </c>
    </row>
    <row r="5731" spans="1:9" x14ac:dyDescent="0.25">
      <c r="A5731" s="515">
        <v>45440</v>
      </c>
      <c r="B5731" s="515" t="s">
        <v>340</v>
      </c>
      <c r="C5731" s="52">
        <v>258152.174983823</v>
      </c>
      <c r="D5731" s="56">
        <v>6.9754639632091289E-2</v>
      </c>
      <c r="E5731" s="224">
        <v>1527.5</v>
      </c>
      <c r="F5731" s="515" t="s">
        <v>6965</v>
      </c>
      <c r="G5731" s="52">
        <v>1592963.36145598</v>
      </c>
      <c r="H5731" s="56">
        <v>-3.9064377434835561E-2</v>
      </c>
      <c r="I5731" s="224">
        <v>2500</v>
      </c>
    </row>
    <row r="5732" spans="1:9" x14ac:dyDescent="0.25">
      <c r="A5732" s="515">
        <v>85901</v>
      </c>
      <c r="B5732" s="515" t="s">
        <v>533</v>
      </c>
      <c r="C5732" s="52">
        <v>379701.97883838002</v>
      </c>
      <c r="D5732" s="56">
        <v>6.9941098749183653E-2</v>
      </c>
      <c r="E5732" s="224" t="s">
        <v>2</v>
      </c>
      <c r="F5732" s="515" t="s">
        <v>6966</v>
      </c>
      <c r="G5732" s="52">
        <v>520920.12979712698</v>
      </c>
      <c r="H5732" s="56">
        <v>9.3051491108759349E-2</v>
      </c>
      <c r="I5732" s="224" t="s">
        <v>2</v>
      </c>
    </row>
    <row r="5733" spans="1:9" x14ac:dyDescent="0.25">
      <c r="A5733" s="515">
        <v>33430</v>
      </c>
      <c r="B5733" s="515" t="s">
        <v>831</v>
      </c>
      <c r="C5733" s="52">
        <v>220643.70415460001</v>
      </c>
      <c r="D5733" s="56">
        <v>0.19330058126831492</v>
      </c>
      <c r="E5733" s="224" t="s">
        <v>2</v>
      </c>
      <c r="F5733" s="515" t="s">
        <v>6967</v>
      </c>
      <c r="G5733" s="52">
        <v>1151852.12955004</v>
      </c>
      <c r="H5733" s="56">
        <v>6.6812904033627565E-2</v>
      </c>
      <c r="I5733" s="224">
        <v>3970</v>
      </c>
    </row>
    <row r="5734" spans="1:9" x14ac:dyDescent="0.25">
      <c r="A5734" s="515">
        <v>48420</v>
      </c>
      <c r="B5734" s="515" t="s">
        <v>759</v>
      </c>
      <c r="C5734" s="52">
        <v>175850.03332538201</v>
      </c>
      <c r="D5734" s="56">
        <v>2.5056802064204686E-2</v>
      </c>
      <c r="E5734" s="224" t="s">
        <v>2</v>
      </c>
      <c r="F5734" s="515" t="s">
        <v>6968</v>
      </c>
      <c r="G5734" s="52">
        <v>278647.14436424302</v>
      </c>
      <c r="H5734" s="56">
        <v>0.19463312987247838</v>
      </c>
      <c r="I5734" s="224" t="s">
        <v>2</v>
      </c>
    </row>
    <row r="5735" spans="1:9" x14ac:dyDescent="0.25">
      <c r="A5735" s="515">
        <v>91501</v>
      </c>
      <c r="B5735" s="515" t="s">
        <v>375</v>
      </c>
      <c r="C5735" s="52">
        <v>1095595.25797983</v>
      </c>
      <c r="D5735" s="56">
        <v>1.2792902969797841E-2</v>
      </c>
      <c r="E5735" s="224">
        <v>3043.75</v>
      </c>
      <c r="F5735" s="515" t="s">
        <v>6969</v>
      </c>
      <c r="G5735" s="52">
        <v>289894.65372922301</v>
      </c>
      <c r="H5735" s="56">
        <v>7.2034508317966664E-2</v>
      </c>
      <c r="I5735" s="224" t="s">
        <v>2</v>
      </c>
    </row>
    <row r="5736" spans="1:9" x14ac:dyDescent="0.25">
      <c r="A5736" s="515">
        <v>49014</v>
      </c>
      <c r="B5736" s="515" t="s">
        <v>1062</v>
      </c>
      <c r="C5736" s="52">
        <v>158966.517626591</v>
      </c>
      <c r="D5736" s="56">
        <v>2.2531239462640937E-2</v>
      </c>
      <c r="E5736" s="224" t="s">
        <v>2</v>
      </c>
      <c r="F5736" s="515" t="s">
        <v>6970</v>
      </c>
      <c r="G5736" s="52">
        <v>885960.22818134096</v>
      </c>
      <c r="H5736" s="56">
        <v>-2.8508102333845969E-3</v>
      </c>
      <c r="I5736" s="224" t="s">
        <v>2</v>
      </c>
    </row>
    <row r="5737" spans="1:9" x14ac:dyDescent="0.25">
      <c r="A5737" s="515">
        <v>94127</v>
      </c>
      <c r="B5737" s="515" t="s">
        <v>593</v>
      </c>
      <c r="C5737" s="52">
        <v>1801842.3162787701</v>
      </c>
      <c r="D5737" s="56">
        <v>-6.07987861638217E-2</v>
      </c>
      <c r="E5737" s="224">
        <v>5575</v>
      </c>
      <c r="F5737" s="515" t="s">
        <v>6971</v>
      </c>
      <c r="G5737" s="52">
        <v>204316.28753437201</v>
      </c>
      <c r="H5737" s="56">
        <v>3.0050652353999573E-2</v>
      </c>
      <c r="I5737" s="224" t="s">
        <v>2</v>
      </c>
    </row>
    <row r="5738" spans="1:9" x14ac:dyDescent="0.25">
      <c r="A5738" s="515">
        <v>32726</v>
      </c>
      <c r="B5738" s="515" t="s">
        <v>517</v>
      </c>
      <c r="C5738" s="52">
        <v>279300.17419455602</v>
      </c>
      <c r="D5738" s="56">
        <v>0.13299619063958201</v>
      </c>
      <c r="E5738" s="224">
        <v>1620.05555555555</v>
      </c>
      <c r="F5738" s="515" t="s">
        <v>6972</v>
      </c>
      <c r="G5738" s="52">
        <v>187589.32026761101</v>
      </c>
      <c r="H5738" s="56">
        <v>0.12606260447771528</v>
      </c>
      <c r="I5738" s="224" t="s">
        <v>2</v>
      </c>
    </row>
    <row r="5739" spans="1:9" x14ac:dyDescent="0.25">
      <c r="A5739" s="515">
        <v>32504</v>
      </c>
      <c r="B5739" s="515" t="s">
        <v>1131</v>
      </c>
      <c r="C5739" s="52">
        <v>255257.88915915799</v>
      </c>
      <c r="D5739" s="56">
        <v>8.1293136570466884E-2</v>
      </c>
      <c r="E5739" s="224">
        <v>1475.4632034632</v>
      </c>
      <c r="F5739" s="515" t="s">
        <v>6973</v>
      </c>
      <c r="G5739" s="52">
        <v>266202.401832979</v>
      </c>
      <c r="H5739" s="56">
        <v>7.1063824863635203E-2</v>
      </c>
      <c r="I5739" s="224" t="s">
        <v>2</v>
      </c>
    </row>
    <row r="5740" spans="1:9" x14ac:dyDescent="0.25">
      <c r="A5740" s="515">
        <v>27712</v>
      </c>
      <c r="B5740" s="515" t="s">
        <v>467</v>
      </c>
      <c r="C5740" s="52">
        <v>386351.23968452599</v>
      </c>
      <c r="D5740" s="56">
        <v>7.3351750195200419E-2</v>
      </c>
      <c r="E5740" s="224" t="s">
        <v>2</v>
      </c>
      <c r="F5740" s="515" t="s">
        <v>6974</v>
      </c>
      <c r="G5740" s="52">
        <v>48501.399782364897</v>
      </c>
      <c r="H5740" s="56">
        <v>0.2303536781564636</v>
      </c>
      <c r="I5740" s="224" t="s">
        <v>2</v>
      </c>
    </row>
    <row r="5741" spans="1:9" x14ac:dyDescent="0.25">
      <c r="A5741" s="515">
        <v>11694</v>
      </c>
      <c r="B5741" s="515" t="s">
        <v>324</v>
      </c>
      <c r="C5741" s="52">
        <v>646012.15200294601</v>
      </c>
      <c r="D5741" s="56">
        <v>-1.6768734924138207E-2</v>
      </c>
      <c r="E5741" s="224" t="s">
        <v>2</v>
      </c>
      <c r="F5741" s="515" t="s">
        <v>6975</v>
      </c>
      <c r="G5741" s="52">
        <v>410439.34991832898</v>
      </c>
      <c r="H5741" s="56">
        <v>0.48381329851979793</v>
      </c>
      <c r="I5741" s="224" t="s">
        <v>2</v>
      </c>
    </row>
    <row r="5742" spans="1:9" x14ac:dyDescent="0.25">
      <c r="A5742" s="515">
        <v>17356</v>
      </c>
      <c r="B5742" s="515" t="s">
        <v>509</v>
      </c>
      <c r="C5742" s="52">
        <v>244714.22342381201</v>
      </c>
      <c r="D5742" s="56">
        <v>0.10320924984188254</v>
      </c>
      <c r="E5742" s="224" t="s">
        <v>2</v>
      </c>
      <c r="F5742" s="515" t="s">
        <v>6976</v>
      </c>
      <c r="G5742" s="52">
        <v>387384.30385218299</v>
      </c>
      <c r="H5742" s="56">
        <v>1.6278705545437564E-2</v>
      </c>
      <c r="I5742" s="224" t="s">
        <v>2</v>
      </c>
    </row>
    <row r="5743" spans="1:9" x14ac:dyDescent="0.25">
      <c r="A5743" s="515">
        <v>64052</v>
      </c>
      <c r="B5743" s="515" t="s">
        <v>455</v>
      </c>
      <c r="C5743" s="52">
        <v>147905.41584336499</v>
      </c>
      <c r="D5743" s="56">
        <v>0.10286215535545323</v>
      </c>
      <c r="E5743" s="224">
        <v>1005</v>
      </c>
      <c r="F5743" s="515" t="s">
        <v>6977</v>
      </c>
      <c r="G5743" s="52">
        <v>183953.70114156601</v>
      </c>
      <c r="H5743" s="56">
        <v>4.0181499645411636E-2</v>
      </c>
      <c r="I5743" s="224" t="s">
        <v>2</v>
      </c>
    </row>
    <row r="5744" spans="1:9" x14ac:dyDescent="0.25">
      <c r="A5744" s="515">
        <v>23805</v>
      </c>
      <c r="B5744" s="515" t="s">
        <v>667</v>
      </c>
      <c r="C5744" s="52">
        <v>283330.59510054399</v>
      </c>
      <c r="D5744" s="56">
        <v>0.31988282991081229</v>
      </c>
      <c r="E5744" s="224">
        <v>1389.76602564102</v>
      </c>
      <c r="F5744" s="515" t="s">
        <v>6978</v>
      </c>
      <c r="G5744" s="52">
        <v>95143.789940724295</v>
      </c>
      <c r="H5744" s="56">
        <v>1.677224528684863E-2</v>
      </c>
      <c r="I5744" s="224" t="s">
        <v>2</v>
      </c>
    </row>
    <row r="5745" spans="1:9" x14ac:dyDescent="0.25">
      <c r="A5745" s="515">
        <v>75602</v>
      </c>
      <c r="B5745" s="515" t="s">
        <v>319</v>
      </c>
      <c r="C5745" s="52">
        <v>113353.433672958</v>
      </c>
      <c r="D5745" s="56">
        <v>8.5404734703493163E-2</v>
      </c>
      <c r="E5745" s="224" t="s">
        <v>2</v>
      </c>
      <c r="F5745" s="515" t="s">
        <v>6979</v>
      </c>
      <c r="G5745" s="52">
        <v>86564.357910359293</v>
      </c>
      <c r="H5745" s="56">
        <v>2.258881703726966E-2</v>
      </c>
      <c r="I5745" s="224" t="s">
        <v>2</v>
      </c>
    </row>
    <row r="5746" spans="1:9" x14ac:dyDescent="0.25">
      <c r="A5746" s="515">
        <v>39501</v>
      </c>
      <c r="B5746" s="515" t="s">
        <v>963</v>
      </c>
      <c r="C5746" s="52">
        <v>103338.356290978</v>
      </c>
      <c r="D5746" s="56">
        <v>7.635430318002083E-2</v>
      </c>
      <c r="E5746" s="224">
        <v>950</v>
      </c>
      <c r="F5746" s="515" t="s">
        <v>6980</v>
      </c>
      <c r="G5746" s="52">
        <v>491677.57674983301</v>
      </c>
      <c r="H5746" s="56">
        <v>-1.911101562409475E-2</v>
      </c>
      <c r="I5746" s="224" t="s">
        <v>2</v>
      </c>
    </row>
    <row r="5747" spans="1:9" x14ac:dyDescent="0.25">
      <c r="A5747" s="515">
        <v>22551</v>
      </c>
      <c r="B5747" s="515" t="s">
        <v>321</v>
      </c>
      <c r="C5747" s="52">
        <v>371192.15233805199</v>
      </c>
      <c r="D5747" s="56">
        <v>7.3678750772350629E-2</v>
      </c>
      <c r="E5747" s="224" t="s">
        <v>2</v>
      </c>
      <c r="F5747" s="515" t="s">
        <v>6981</v>
      </c>
      <c r="G5747" s="52">
        <v>261822.128490834</v>
      </c>
      <c r="H5747" s="56">
        <v>8.7216437371849906E-2</v>
      </c>
      <c r="I5747" s="224" t="s">
        <v>2</v>
      </c>
    </row>
    <row r="5748" spans="1:9" x14ac:dyDescent="0.25">
      <c r="A5748" s="515">
        <v>60803</v>
      </c>
      <c r="B5748" s="515" t="s">
        <v>394</v>
      </c>
      <c r="C5748" s="52">
        <v>220757.506986035</v>
      </c>
      <c r="D5748" s="56">
        <v>6.5036697153409664E-2</v>
      </c>
      <c r="E5748" s="224" t="s">
        <v>2</v>
      </c>
      <c r="F5748" s="515" t="s">
        <v>6982</v>
      </c>
      <c r="G5748" s="52">
        <v>126689.718388553</v>
      </c>
      <c r="H5748" s="56">
        <v>8.8441268873366105E-2</v>
      </c>
      <c r="I5748" s="224" t="s">
        <v>2</v>
      </c>
    </row>
    <row r="5749" spans="1:9" x14ac:dyDescent="0.25">
      <c r="A5749" s="515">
        <v>65251</v>
      </c>
      <c r="B5749" s="515" t="s">
        <v>711</v>
      </c>
      <c r="C5749" s="52">
        <v>176718.54599382801</v>
      </c>
      <c r="D5749" s="56">
        <v>7.5151165112302729E-2</v>
      </c>
      <c r="E5749" s="224" t="s">
        <v>2</v>
      </c>
      <c r="F5749" s="515" t="s">
        <v>6983</v>
      </c>
      <c r="G5749" s="52">
        <v>320297.22316263302</v>
      </c>
      <c r="H5749" s="56">
        <v>8.0195569996458771E-2</v>
      </c>
      <c r="I5749" s="224" t="s">
        <v>2</v>
      </c>
    </row>
    <row r="5750" spans="1:9" x14ac:dyDescent="0.25">
      <c r="A5750" s="515">
        <v>55362</v>
      </c>
      <c r="B5750" s="515" t="s">
        <v>532</v>
      </c>
      <c r="C5750" s="52">
        <v>319831.42315085902</v>
      </c>
      <c r="D5750" s="56">
        <v>2.6781419377167635E-2</v>
      </c>
      <c r="E5750" s="224">
        <v>1695.8333333333301</v>
      </c>
      <c r="F5750" s="515" t="s">
        <v>6984</v>
      </c>
      <c r="G5750" s="52">
        <v>439948.428064432</v>
      </c>
      <c r="H5750" s="56">
        <v>9.6947104515301627E-2</v>
      </c>
      <c r="I5750" s="224" t="s">
        <v>2</v>
      </c>
    </row>
    <row r="5751" spans="1:9" x14ac:dyDescent="0.25">
      <c r="A5751" s="515">
        <v>98642</v>
      </c>
      <c r="B5751" s="515" t="s">
        <v>659</v>
      </c>
      <c r="C5751" s="52">
        <v>627909.41485580499</v>
      </c>
      <c r="D5751" s="56">
        <v>5.7410947924683924E-2</v>
      </c>
      <c r="E5751" s="224">
        <v>2347.5</v>
      </c>
      <c r="F5751" s="515" t="s">
        <v>6985</v>
      </c>
      <c r="G5751" s="52">
        <v>196384.60930252299</v>
      </c>
      <c r="H5751" s="56">
        <v>3.5920008608437359E-2</v>
      </c>
      <c r="I5751" s="224" t="s">
        <v>2</v>
      </c>
    </row>
    <row r="5752" spans="1:9" x14ac:dyDescent="0.25">
      <c r="A5752" s="515">
        <v>77006</v>
      </c>
      <c r="B5752" s="515" t="s">
        <v>314</v>
      </c>
      <c r="C5752" s="52">
        <v>519318.00750456902</v>
      </c>
      <c r="D5752" s="56">
        <v>1.5898216025953017E-3</v>
      </c>
      <c r="E5752" s="224">
        <v>1655.7601495726401</v>
      </c>
      <c r="F5752" s="515" t="s">
        <v>6986</v>
      </c>
      <c r="G5752" s="52">
        <v>213886.64952852199</v>
      </c>
      <c r="H5752" s="56">
        <v>0.171537936761752</v>
      </c>
      <c r="I5752" s="224" t="s">
        <v>2</v>
      </c>
    </row>
    <row r="5753" spans="1:9" x14ac:dyDescent="0.25">
      <c r="A5753" s="515">
        <v>37857</v>
      </c>
      <c r="B5753" s="515" t="s">
        <v>902</v>
      </c>
      <c r="C5753" s="52">
        <v>183206.386572613</v>
      </c>
      <c r="D5753" s="56">
        <v>0.11965806237941795</v>
      </c>
      <c r="E5753" s="224" t="s">
        <v>2</v>
      </c>
      <c r="F5753" s="515" t="s">
        <v>6987</v>
      </c>
      <c r="G5753" s="52">
        <v>842611.82269760699</v>
      </c>
      <c r="H5753" s="56">
        <v>6.2831525436036359E-2</v>
      </c>
      <c r="I5753" s="224" t="s">
        <v>2</v>
      </c>
    </row>
    <row r="5754" spans="1:9" x14ac:dyDescent="0.25">
      <c r="A5754" s="515">
        <v>28786</v>
      </c>
      <c r="B5754" s="515" t="s">
        <v>668</v>
      </c>
      <c r="C5754" s="52">
        <v>301145.786447416</v>
      </c>
      <c r="D5754" s="56">
        <v>9.009370597166616E-2</v>
      </c>
      <c r="E5754" s="224" t="s">
        <v>2</v>
      </c>
      <c r="F5754" s="515" t="s">
        <v>6988</v>
      </c>
      <c r="G5754" s="52">
        <v>197485.18169730401</v>
      </c>
      <c r="H5754" s="56">
        <v>6.3571528065335753E-2</v>
      </c>
      <c r="I5754" s="224" t="s">
        <v>2</v>
      </c>
    </row>
    <row r="5755" spans="1:9" x14ac:dyDescent="0.25">
      <c r="A5755" s="515">
        <v>98408</v>
      </c>
      <c r="B5755" s="515" t="s">
        <v>384</v>
      </c>
      <c r="C5755" s="52">
        <v>403292.88818768697</v>
      </c>
      <c r="D5755" s="56">
        <v>9.7498870980006151E-3</v>
      </c>
      <c r="E5755" s="224">
        <v>1896.1111111111099</v>
      </c>
      <c r="F5755" s="515" t="s">
        <v>6989</v>
      </c>
      <c r="G5755" s="52">
        <v>242051.13424697399</v>
      </c>
      <c r="H5755" s="56">
        <v>0.17330365791891866</v>
      </c>
      <c r="I5755" s="224" t="s">
        <v>2</v>
      </c>
    </row>
    <row r="5756" spans="1:9" x14ac:dyDescent="0.25">
      <c r="A5756" s="515">
        <v>73130</v>
      </c>
      <c r="B5756" s="515" t="s">
        <v>385</v>
      </c>
      <c r="C5756" s="52">
        <v>194215.24846115999</v>
      </c>
      <c r="D5756" s="56">
        <v>0.13110897934572019</v>
      </c>
      <c r="E5756" s="224">
        <v>1265.4166666666599</v>
      </c>
      <c r="F5756" s="515" t="s">
        <v>6990</v>
      </c>
      <c r="G5756" s="52">
        <v>322516.309210226</v>
      </c>
      <c r="H5756" s="56">
        <v>9.2349684546232852E-2</v>
      </c>
      <c r="I5756" s="224" t="s">
        <v>2</v>
      </c>
    </row>
    <row r="5757" spans="1:9" x14ac:dyDescent="0.25">
      <c r="A5757" s="515">
        <v>44108</v>
      </c>
      <c r="B5757" s="515" t="s">
        <v>520</v>
      </c>
      <c r="C5757" s="52">
        <v>55514.042636649501</v>
      </c>
      <c r="D5757" s="56">
        <v>0.12778893846885425</v>
      </c>
      <c r="E5757" s="224">
        <v>1400</v>
      </c>
      <c r="F5757" s="515" t="s">
        <v>6991</v>
      </c>
      <c r="G5757" s="52">
        <v>222759.63917373799</v>
      </c>
      <c r="H5757" s="56">
        <v>0.18593669169183874</v>
      </c>
      <c r="I5757" s="224" t="s">
        <v>2</v>
      </c>
    </row>
    <row r="5758" spans="1:9" x14ac:dyDescent="0.25">
      <c r="A5758" s="515">
        <v>75134</v>
      </c>
      <c r="B5758" s="515" t="s">
        <v>458</v>
      </c>
      <c r="C5758" s="52">
        <v>266769.14315622998</v>
      </c>
      <c r="D5758" s="56">
        <v>0.11642781109143073</v>
      </c>
      <c r="E5758" s="224">
        <v>2150.38888888888</v>
      </c>
      <c r="F5758" s="515" t="s">
        <v>6992</v>
      </c>
      <c r="G5758" s="52">
        <v>117253.530377227</v>
      </c>
      <c r="H5758" s="56">
        <v>4.4156929934616999E-2</v>
      </c>
      <c r="I5758" s="224" t="s">
        <v>2</v>
      </c>
    </row>
    <row r="5759" spans="1:9" x14ac:dyDescent="0.25">
      <c r="A5759" s="515">
        <v>70002</v>
      </c>
      <c r="B5759" s="515" t="s">
        <v>777</v>
      </c>
      <c r="C5759" s="52">
        <v>335338.58425401198</v>
      </c>
      <c r="D5759" s="56">
        <v>-2.7684759917949244E-2</v>
      </c>
      <c r="E5759" s="224">
        <v>1600</v>
      </c>
      <c r="F5759" s="515" t="s">
        <v>6993</v>
      </c>
      <c r="G5759" s="52">
        <v>536570.99211796396</v>
      </c>
      <c r="H5759" s="56">
        <v>0.10339613438305849</v>
      </c>
      <c r="I5759" s="224" t="s">
        <v>2</v>
      </c>
    </row>
    <row r="5760" spans="1:9" x14ac:dyDescent="0.25">
      <c r="A5760" s="515">
        <v>92118</v>
      </c>
      <c r="B5760" s="515" t="s">
        <v>396</v>
      </c>
      <c r="C5760" s="52">
        <v>2207074.7045718501</v>
      </c>
      <c r="D5760" s="56">
        <v>4.0323790810080258E-2</v>
      </c>
      <c r="E5760" s="224">
        <v>4523.7238095238099</v>
      </c>
      <c r="F5760" s="515" t="s">
        <v>1054</v>
      </c>
      <c r="G5760" s="52">
        <v>168936.004962259</v>
      </c>
      <c r="H5760" s="56">
        <v>7.9581623109039615E-2</v>
      </c>
      <c r="I5760" s="224" t="s">
        <v>2</v>
      </c>
    </row>
    <row r="5761" spans="1:9" x14ac:dyDescent="0.25">
      <c r="A5761" s="515">
        <v>89433</v>
      </c>
      <c r="B5761" s="515" t="s">
        <v>581</v>
      </c>
      <c r="C5761" s="52">
        <v>391884.161788136</v>
      </c>
      <c r="D5761" s="56">
        <v>7.4740468005036389E-3</v>
      </c>
      <c r="E5761" s="224" t="s">
        <v>2</v>
      </c>
      <c r="F5761" s="515" t="s">
        <v>6994</v>
      </c>
      <c r="G5761" s="52">
        <v>483769.67489118403</v>
      </c>
      <c r="H5761" s="56">
        <v>7.0500488699705127E-2</v>
      </c>
      <c r="I5761" s="224" t="s">
        <v>2</v>
      </c>
    </row>
    <row r="5762" spans="1:9" x14ac:dyDescent="0.25">
      <c r="A5762" s="515">
        <v>94596</v>
      </c>
      <c r="B5762" s="515" t="s">
        <v>593</v>
      </c>
      <c r="C5762" s="52">
        <v>1157088.2349913099</v>
      </c>
      <c r="D5762" s="56">
        <v>1.4187652581482144E-3</v>
      </c>
      <c r="E5762" s="224">
        <v>2752.97628458498</v>
      </c>
      <c r="F5762" s="515" t="s">
        <v>6995</v>
      </c>
      <c r="G5762" s="52">
        <v>375021.20733662002</v>
      </c>
      <c r="H5762" s="56">
        <v>4.5939402330835571E-2</v>
      </c>
      <c r="I5762" s="224" t="s">
        <v>2</v>
      </c>
    </row>
    <row r="5763" spans="1:9" x14ac:dyDescent="0.25">
      <c r="A5763" s="515">
        <v>61101</v>
      </c>
      <c r="B5763" s="515" t="s">
        <v>1104</v>
      </c>
      <c r="C5763" s="52">
        <v>67331.986612504305</v>
      </c>
      <c r="D5763" s="56">
        <v>0.1355612002897531</v>
      </c>
      <c r="E5763" s="224" t="s">
        <v>2</v>
      </c>
      <c r="F5763" s="515" t="s">
        <v>6996</v>
      </c>
      <c r="G5763" s="52">
        <v>131062.344817426</v>
      </c>
      <c r="H5763" s="56">
        <v>0.17348817369545966</v>
      </c>
      <c r="I5763" s="224" t="s">
        <v>2</v>
      </c>
    </row>
    <row r="5764" spans="1:9" x14ac:dyDescent="0.25">
      <c r="A5764" s="515">
        <v>78644</v>
      </c>
      <c r="B5764" s="515" t="s">
        <v>380</v>
      </c>
      <c r="C5764" s="52">
        <v>307478.89323822898</v>
      </c>
      <c r="D5764" s="56">
        <v>0.13783750688717367</v>
      </c>
      <c r="E5764" s="224" t="s">
        <v>2</v>
      </c>
      <c r="F5764" s="515" t="s">
        <v>6997</v>
      </c>
      <c r="G5764" s="52">
        <v>220167.058290357</v>
      </c>
      <c r="H5764" s="56">
        <v>0.13560619519855316</v>
      </c>
      <c r="I5764" s="224" t="s">
        <v>2</v>
      </c>
    </row>
    <row r="5765" spans="1:9" x14ac:dyDescent="0.25">
      <c r="A5765" s="515">
        <v>29108</v>
      </c>
      <c r="B5765" s="515" t="s">
        <v>1011</v>
      </c>
      <c r="C5765" s="52">
        <v>142668.63117991801</v>
      </c>
      <c r="D5765" s="56">
        <v>3.746183492668638E-2</v>
      </c>
      <c r="E5765" s="224" t="s">
        <v>2</v>
      </c>
      <c r="F5765" s="515" t="s">
        <v>6998</v>
      </c>
      <c r="G5765" s="52">
        <v>189796.93926988999</v>
      </c>
      <c r="H5765" s="56">
        <v>4.105949658014596E-2</v>
      </c>
      <c r="I5765" s="224" t="s">
        <v>2</v>
      </c>
    </row>
    <row r="5766" spans="1:9" x14ac:dyDescent="0.25">
      <c r="A5766" s="515">
        <v>92277</v>
      </c>
      <c r="B5766" s="515" t="s">
        <v>599</v>
      </c>
      <c r="C5766" s="52">
        <v>260983.70271414201</v>
      </c>
      <c r="D5766" s="56">
        <v>9.155722054491601E-2</v>
      </c>
      <c r="E5766" s="224">
        <v>1448.5416666666599</v>
      </c>
      <c r="F5766" s="515" t="s">
        <v>6999</v>
      </c>
      <c r="G5766" s="52">
        <v>385201.554842818</v>
      </c>
      <c r="H5766" s="56">
        <v>2.8640974732504421E-2</v>
      </c>
      <c r="I5766" s="224">
        <v>1210</v>
      </c>
    </row>
    <row r="5767" spans="1:9" x14ac:dyDescent="0.25">
      <c r="A5767" s="515">
        <v>70380</v>
      </c>
      <c r="B5767" s="515" t="s">
        <v>1184</v>
      </c>
      <c r="C5767" s="52">
        <v>111397.224092529</v>
      </c>
      <c r="D5767" s="56">
        <v>3.3999407956923779E-2</v>
      </c>
      <c r="E5767" s="224" t="s">
        <v>2</v>
      </c>
      <c r="F5767" s="515" t="s">
        <v>7000</v>
      </c>
      <c r="G5767" s="52">
        <v>483297.69571551698</v>
      </c>
      <c r="H5767" s="56">
        <v>1.3062960565085472E-2</v>
      </c>
      <c r="I5767" s="224" t="s">
        <v>2</v>
      </c>
    </row>
    <row r="5768" spans="1:9" x14ac:dyDescent="0.25">
      <c r="A5768" s="515">
        <v>78621</v>
      </c>
      <c r="B5768" s="515" t="s">
        <v>380</v>
      </c>
      <c r="C5768" s="52">
        <v>329248.47890230798</v>
      </c>
      <c r="D5768" s="56">
        <v>7.5719116667241626E-2</v>
      </c>
      <c r="E5768" s="224">
        <v>1997.5</v>
      </c>
      <c r="F5768" s="515" t="s">
        <v>7001</v>
      </c>
      <c r="G5768" s="52">
        <v>1109556.5346582599</v>
      </c>
      <c r="H5768" s="56">
        <v>2.8411669547313313E-2</v>
      </c>
      <c r="I5768" s="224" t="s">
        <v>2</v>
      </c>
    </row>
    <row r="5769" spans="1:9" x14ac:dyDescent="0.25">
      <c r="A5769" s="515">
        <v>66046</v>
      </c>
      <c r="B5769" s="515" t="s">
        <v>1116</v>
      </c>
      <c r="C5769" s="52">
        <v>236697.308091452</v>
      </c>
      <c r="D5769" s="56">
        <v>6.6734328694183054E-2</v>
      </c>
      <c r="E5769" s="224" t="s">
        <v>2</v>
      </c>
      <c r="F5769" s="515" t="s">
        <v>7002</v>
      </c>
      <c r="G5769" s="52">
        <v>131919.54082406999</v>
      </c>
      <c r="H5769" s="56">
        <v>8.58969258438603E-2</v>
      </c>
      <c r="I5769" s="224" t="s">
        <v>2</v>
      </c>
    </row>
    <row r="5770" spans="1:9" x14ac:dyDescent="0.25">
      <c r="A5770" s="515">
        <v>17837</v>
      </c>
      <c r="B5770" s="515" t="s">
        <v>794</v>
      </c>
      <c r="C5770" s="52">
        <v>274392.42304581997</v>
      </c>
      <c r="D5770" s="56">
        <v>8.4313507443615709E-2</v>
      </c>
      <c r="E5770" s="224">
        <v>1300</v>
      </c>
      <c r="F5770" s="515" t="s">
        <v>7003</v>
      </c>
      <c r="G5770" s="52">
        <v>152609.05561781401</v>
      </c>
      <c r="H5770" s="56">
        <v>0.14071659370281689</v>
      </c>
      <c r="I5770" s="224" t="s">
        <v>2</v>
      </c>
    </row>
    <row r="5771" spans="1:9" x14ac:dyDescent="0.25">
      <c r="A5771" s="515">
        <v>80465</v>
      </c>
      <c r="B5771" s="515" t="s">
        <v>401</v>
      </c>
      <c r="C5771" s="52">
        <v>652950.38548820198</v>
      </c>
      <c r="D5771" s="56">
        <v>9.1359186695231243E-3</v>
      </c>
      <c r="E5771" s="224">
        <v>2224.6666666666601</v>
      </c>
      <c r="F5771" s="515" t="s">
        <v>7004</v>
      </c>
      <c r="G5771" s="52">
        <v>275796.52290272003</v>
      </c>
      <c r="H5771" s="56">
        <v>6.0296552332425132E-2</v>
      </c>
      <c r="I5771" s="224" t="s">
        <v>2</v>
      </c>
    </row>
    <row r="5772" spans="1:9" x14ac:dyDescent="0.25">
      <c r="A5772" s="515">
        <v>43607</v>
      </c>
      <c r="B5772" s="515" t="s">
        <v>300</v>
      </c>
      <c r="C5772" s="52">
        <v>53735.435933786903</v>
      </c>
      <c r="D5772" s="56">
        <v>0.16339015920619626</v>
      </c>
      <c r="E5772" s="224">
        <v>1146.71717171717</v>
      </c>
      <c r="F5772" s="515" t="s">
        <v>7005</v>
      </c>
      <c r="G5772" s="52">
        <v>252705.57030738299</v>
      </c>
      <c r="H5772" s="56">
        <v>2.9611215223899694E-2</v>
      </c>
      <c r="I5772" s="224" t="s">
        <v>2</v>
      </c>
    </row>
    <row r="5773" spans="1:9" x14ac:dyDescent="0.25">
      <c r="A5773" s="515">
        <v>30307</v>
      </c>
      <c r="B5773" s="515" t="s">
        <v>957</v>
      </c>
      <c r="C5773" s="52">
        <v>641735.69991298602</v>
      </c>
      <c r="D5773" s="56">
        <v>4.087234019563863E-2</v>
      </c>
      <c r="E5773" s="224">
        <v>2075.4271469271398</v>
      </c>
      <c r="F5773" s="515" t="s">
        <v>7006</v>
      </c>
      <c r="G5773" s="52">
        <v>224834.71806145299</v>
      </c>
      <c r="H5773" s="56">
        <v>8.162314107786045E-2</v>
      </c>
      <c r="I5773" s="224" t="s">
        <v>2</v>
      </c>
    </row>
    <row r="5774" spans="1:9" x14ac:dyDescent="0.25">
      <c r="A5774" s="515">
        <v>32128</v>
      </c>
      <c r="B5774" s="515" t="s">
        <v>974</v>
      </c>
      <c r="C5774" s="52">
        <v>440377.745707542</v>
      </c>
      <c r="D5774" s="56">
        <v>0.1036556015924549</v>
      </c>
      <c r="E5774" s="224">
        <v>2055.6</v>
      </c>
      <c r="F5774" s="515" t="s">
        <v>7007</v>
      </c>
      <c r="G5774" s="52">
        <v>196633.20456733601</v>
      </c>
      <c r="H5774" s="56">
        <v>4.5791412935463668E-2</v>
      </c>
      <c r="I5774" s="224" t="s">
        <v>2</v>
      </c>
    </row>
    <row r="5775" spans="1:9" x14ac:dyDescent="0.25">
      <c r="A5775" s="515">
        <v>39465</v>
      </c>
      <c r="B5775" s="515" t="s">
        <v>1074</v>
      </c>
      <c r="C5775" s="52">
        <v>196444.50721223399</v>
      </c>
      <c r="D5775" s="56">
        <v>2.4605068190847752E-2</v>
      </c>
      <c r="E5775" s="224" t="s">
        <v>2</v>
      </c>
      <c r="F5775" s="515" t="s">
        <v>7008</v>
      </c>
      <c r="G5775" s="52">
        <v>255617.968099224</v>
      </c>
      <c r="H5775" s="56">
        <v>0.11573543009315891</v>
      </c>
      <c r="I5775" s="224" t="s">
        <v>2</v>
      </c>
    </row>
    <row r="5776" spans="1:9" x14ac:dyDescent="0.25">
      <c r="A5776" s="515">
        <v>99203</v>
      </c>
      <c r="B5776" s="515" t="s">
        <v>820</v>
      </c>
      <c r="C5776" s="52">
        <v>466280.54182493099</v>
      </c>
      <c r="D5776" s="56">
        <v>1.5440862084316796E-2</v>
      </c>
      <c r="E5776" s="224">
        <v>1922.2222222222199</v>
      </c>
      <c r="F5776" s="515" t="s">
        <v>7009</v>
      </c>
      <c r="G5776" s="52">
        <v>283637.415455846</v>
      </c>
      <c r="H5776" s="56">
        <v>9.7584534945622498E-2</v>
      </c>
      <c r="I5776" s="224" t="s">
        <v>2</v>
      </c>
    </row>
    <row r="5777" spans="1:9" x14ac:dyDescent="0.25">
      <c r="A5777" s="515">
        <v>29532</v>
      </c>
      <c r="B5777" s="515" t="s">
        <v>1039</v>
      </c>
      <c r="C5777" s="52">
        <v>114454.639822679</v>
      </c>
      <c r="D5777" s="56">
        <v>6.06424802420081E-2</v>
      </c>
      <c r="E5777" s="224" t="s">
        <v>2</v>
      </c>
      <c r="F5777" s="515" t="s">
        <v>7010</v>
      </c>
      <c r="G5777" s="52">
        <v>167990.296746879</v>
      </c>
      <c r="H5777" s="56">
        <v>3.2813616993990283E-2</v>
      </c>
      <c r="I5777" s="224" t="s">
        <v>2</v>
      </c>
    </row>
    <row r="5778" spans="1:9" x14ac:dyDescent="0.25">
      <c r="A5778" s="515">
        <v>68845</v>
      </c>
      <c r="B5778" s="515" t="s">
        <v>660</v>
      </c>
      <c r="C5778" s="52">
        <v>295326.078755369</v>
      </c>
      <c r="D5778" s="56">
        <v>7.0098136664480962E-2</v>
      </c>
      <c r="E5778" s="224" t="s">
        <v>2</v>
      </c>
      <c r="F5778" s="515" t="s">
        <v>7011</v>
      </c>
      <c r="G5778" s="52">
        <v>319311.74662843102</v>
      </c>
      <c r="H5778" s="56">
        <v>5.2599914935634845E-2</v>
      </c>
      <c r="I5778" s="224" t="s">
        <v>2</v>
      </c>
    </row>
    <row r="5779" spans="1:9" x14ac:dyDescent="0.25">
      <c r="A5779" s="515">
        <v>98383</v>
      </c>
      <c r="B5779" s="515" t="s">
        <v>620</v>
      </c>
      <c r="C5779" s="52">
        <v>541813.599135397</v>
      </c>
      <c r="D5779" s="56">
        <v>1.2170701629899463E-2</v>
      </c>
      <c r="E5779" s="224">
        <v>1779.45604395604</v>
      </c>
      <c r="F5779" s="515" t="s">
        <v>7012</v>
      </c>
      <c r="G5779" s="52">
        <v>213829.04031061701</v>
      </c>
      <c r="H5779" s="56">
        <v>0.17369667930758212</v>
      </c>
      <c r="I5779" s="224" t="s">
        <v>2</v>
      </c>
    </row>
    <row r="5780" spans="1:9" x14ac:dyDescent="0.25">
      <c r="A5780" s="515">
        <v>48168</v>
      </c>
      <c r="B5780" s="515" t="s">
        <v>685</v>
      </c>
      <c r="C5780" s="52">
        <v>547407.476481347</v>
      </c>
      <c r="D5780" s="56">
        <v>4.9451672832310306E-2</v>
      </c>
      <c r="E5780" s="224">
        <v>1966.6666666666599</v>
      </c>
      <c r="F5780" s="515" t="s">
        <v>7013</v>
      </c>
      <c r="G5780" s="52">
        <v>203549.76840879</v>
      </c>
      <c r="H5780" s="56">
        <v>6.6030390506004871E-2</v>
      </c>
      <c r="I5780" s="224" t="s">
        <v>2</v>
      </c>
    </row>
    <row r="5781" spans="1:9" x14ac:dyDescent="0.25">
      <c r="A5781" s="515">
        <v>44116</v>
      </c>
      <c r="B5781" s="515" t="s">
        <v>520</v>
      </c>
      <c r="C5781" s="52">
        <v>324884.99257571303</v>
      </c>
      <c r="D5781" s="56">
        <v>6.1381290278059518E-2</v>
      </c>
      <c r="E5781" s="224">
        <v>1375</v>
      </c>
      <c r="F5781" s="515" t="s">
        <v>7014</v>
      </c>
      <c r="G5781" s="52">
        <v>315845.02458538598</v>
      </c>
      <c r="H5781" s="56">
        <v>5.8771691784280395E-3</v>
      </c>
      <c r="I5781" s="224" t="s">
        <v>2</v>
      </c>
    </row>
    <row r="5782" spans="1:9" x14ac:dyDescent="0.25">
      <c r="A5782" s="515">
        <v>18976</v>
      </c>
      <c r="B5782" s="515" t="s">
        <v>294</v>
      </c>
      <c r="C5782" s="52">
        <v>504543.59234669298</v>
      </c>
      <c r="D5782" s="56">
        <v>7.4329709728669743E-2</v>
      </c>
      <c r="E5782" s="224">
        <v>1962.9166666666599</v>
      </c>
      <c r="F5782" s="515" t="s">
        <v>7015</v>
      </c>
      <c r="G5782" s="52">
        <v>135221.175542474</v>
      </c>
      <c r="H5782" s="56">
        <v>8.8959970644764935E-2</v>
      </c>
      <c r="I5782" s="224" t="s">
        <v>2</v>
      </c>
    </row>
    <row r="5783" spans="1:9" x14ac:dyDescent="0.25">
      <c r="A5783" s="515">
        <v>55075</v>
      </c>
      <c r="B5783" s="515" t="s">
        <v>532</v>
      </c>
      <c r="C5783" s="52">
        <v>271147.37204162101</v>
      </c>
      <c r="D5783" s="56">
        <v>1.229833669798586E-2</v>
      </c>
      <c r="E5783" s="224" t="s">
        <v>2</v>
      </c>
      <c r="F5783" s="515" t="s">
        <v>7016</v>
      </c>
      <c r="G5783" s="52">
        <v>456694.821196754</v>
      </c>
      <c r="H5783" s="56">
        <v>8.0809881816119214E-2</v>
      </c>
      <c r="I5783" s="224" t="s">
        <v>2</v>
      </c>
    </row>
    <row r="5784" spans="1:9" x14ac:dyDescent="0.25">
      <c r="A5784" s="515">
        <v>48505</v>
      </c>
      <c r="B5784" s="515" t="s">
        <v>759</v>
      </c>
      <c r="C5784" s="52">
        <v>26305.1957308454</v>
      </c>
      <c r="D5784" s="56">
        <v>0.12827269289934579</v>
      </c>
      <c r="E5784" s="224" t="s">
        <v>2</v>
      </c>
      <c r="F5784" s="515" t="s">
        <v>7017</v>
      </c>
      <c r="G5784" s="52">
        <v>672434.625297928</v>
      </c>
      <c r="H5784" s="56">
        <v>2.7526355454038171E-2</v>
      </c>
      <c r="I5784" s="224" t="s">
        <v>2</v>
      </c>
    </row>
    <row r="5785" spans="1:9" x14ac:dyDescent="0.25">
      <c r="A5785" s="515">
        <v>36701</v>
      </c>
      <c r="B5785" s="515" t="s">
        <v>483</v>
      </c>
      <c r="C5785" s="52">
        <v>77971.395812695395</v>
      </c>
      <c r="D5785" s="56">
        <v>3.6945937701356055E-2</v>
      </c>
      <c r="E5785" s="224" t="s">
        <v>2</v>
      </c>
      <c r="F5785" s="515" t="s">
        <v>7018</v>
      </c>
      <c r="G5785" s="52">
        <v>168048.30693735101</v>
      </c>
      <c r="H5785" s="56">
        <v>3.7432527822848283E-2</v>
      </c>
      <c r="I5785" s="224" t="s">
        <v>2</v>
      </c>
    </row>
    <row r="5786" spans="1:9" x14ac:dyDescent="0.25">
      <c r="A5786" s="515">
        <v>29016</v>
      </c>
      <c r="B5786" s="515" t="s">
        <v>762</v>
      </c>
      <c r="C5786" s="52">
        <v>356811.643704738</v>
      </c>
      <c r="D5786" s="56">
        <v>9.7459952001221442E-2</v>
      </c>
      <c r="E5786" s="224" t="s">
        <v>2</v>
      </c>
      <c r="F5786" s="515" t="s">
        <v>7019</v>
      </c>
      <c r="G5786" s="52">
        <v>322475.06993648497</v>
      </c>
      <c r="H5786" s="56">
        <v>6.6196654463465759E-2</v>
      </c>
      <c r="I5786" s="224" t="s">
        <v>2</v>
      </c>
    </row>
    <row r="5787" spans="1:9" x14ac:dyDescent="0.25">
      <c r="A5787" s="515">
        <v>29627</v>
      </c>
      <c r="B5787" s="515" t="s">
        <v>613</v>
      </c>
      <c r="C5787" s="52">
        <v>196463.86699986999</v>
      </c>
      <c r="D5787" s="56">
        <v>0.12234084982025395</v>
      </c>
      <c r="E5787" s="224" t="s">
        <v>2</v>
      </c>
      <c r="F5787" s="515" t="s">
        <v>7020</v>
      </c>
      <c r="G5787" s="52">
        <v>167697.52609320401</v>
      </c>
      <c r="H5787" s="56">
        <v>0.12705032198725608</v>
      </c>
      <c r="I5787" s="224" t="s">
        <v>2</v>
      </c>
    </row>
    <row r="5788" spans="1:9" x14ac:dyDescent="0.25">
      <c r="A5788" s="515">
        <v>30677</v>
      </c>
      <c r="B5788" s="515" t="s">
        <v>991</v>
      </c>
      <c r="C5788" s="52">
        <v>428453.45013952698</v>
      </c>
      <c r="D5788" s="56">
        <v>6.5863649101814081E-2</v>
      </c>
      <c r="E5788" s="224" t="s">
        <v>2</v>
      </c>
      <c r="F5788" s="515" t="s">
        <v>7021</v>
      </c>
      <c r="G5788" s="52">
        <v>194202.47341306499</v>
      </c>
      <c r="H5788" s="56">
        <v>3.6268158025179374E-2</v>
      </c>
      <c r="I5788" s="224" t="s">
        <v>2</v>
      </c>
    </row>
    <row r="5789" spans="1:9" x14ac:dyDescent="0.25">
      <c r="A5789" s="515">
        <v>14420</v>
      </c>
      <c r="B5789" s="515" t="s">
        <v>337</v>
      </c>
      <c r="C5789" s="52">
        <v>207440.83310571301</v>
      </c>
      <c r="D5789" s="56">
        <v>0.1122291249340101</v>
      </c>
      <c r="E5789" s="224" t="s">
        <v>2</v>
      </c>
      <c r="F5789" s="515" t="s">
        <v>601</v>
      </c>
      <c r="G5789" s="52">
        <v>176955.50455789201</v>
      </c>
      <c r="H5789" s="56">
        <v>2.6339848362742873E-2</v>
      </c>
      <c r="I5789" s="224">
        <v>940</v>
      </c>
    </row>
    <row r="5790" spans="1:9" x14ac:dyDescent="0.25">
      <c r="A5790" s="515">
        <v>92106</v>
      </c>
      <c r="B5790" s="515" t="s">
        <v>396</v>
      </c>
      <c r="C5790" s="52">
        <v>1549733.45129497</v>
      </c>
      <c r="D5790" s="56">
        <v>0.10290503855456747</v>
      </c>
      <c r="E5790" s="224">
        <v>2782.4333333333302</v>
      </c>
      <c r="F5790" s="515" t="s">
        <v>7022</v>
      </c>
      <c r="G5790" s="52">
        <v>245041.86632706999</v>
      </c>
      <c r="H5790" s="56">
        <v>5.6149250497949652E-2</v>
      </c>
      <c r="I5790" s="224" t="s">
        <v>2</v>
      </c>
    </row>
    <row r="5791" spans="1:9" x14ac:dyDescent="0.25">
      <c r="A5791" s="515">
        <v>44202</v>
      </c>
      <c r="B5791" s="515" t="s">
        <v>1000</v>
      </c>
      <c r="C5791" s="52">
        <v>356596.11017976399</v>
      </c>
      <c r="D5791" s="56">
        <v>6.6263295675320771E-2</v>
      </c>
      <c r="E5791" s="224" t="s">
        <v>2</v>
      </c>
      <c r="F5791" s="515" t="s">
        <v>7023</v>
      </c>
      <c r="G5791" s="52">
        <v>140178.78736059301</v>
      </c>
      <c r="H5791" s="56">
        <v>2.4182471951275229E-2</v>
      </c>
      <c r="I5791" s="224" t="s">
        <v>2</v>
      </c>
    </row>
    <row r="5792" spans="1:9" x14ac:dyDescent="0.25">
      <c r="A5792" s="515">
        <v>29341</v>
      </c>
      <c r="B5792" s="515" t="s">
        <v>1191</v>
      </c>
      <c r="C5792" s="52">
        <v>179777.94262763101</v>
      </c>
      <c r="D5792" s="56">
        <v>8.7895220721636413E-2</v>
      </c>
      <c r="E5792" s="224" t="s">
        <v>2</v>
      </c>
      <c r="F5792" s="515" t="s">
        <v>7024</v>
      </c>
      <c r="G5792" s="52">
        <v>222473.95864597699</v>
      </c>
      <c r="H5792" s="56">
        <v>6.2439264289369398E-2</v>
      </c>
      <c r="I5792" s="224" t="s">
        <v>2</v>
      </c>
    </row>
    <row r="5793" spans="1:9" x14ac:dyDescent="0.25">
      <c r="A5793" s="515">
        <v>76067</v>
      </c>
      <c r="B5793" s="515" t="s">
        <v>935</v>
      </c>
      <c r="C5793" s="52">
        <v>177218.035914098</v>
      </c>
      <c r="D5793" s="56">
        <v>0.10380332344181716</v>
      </c>
      <c r="E5793" s="224" t="s">
        <v>2</v>
      </c>
      <c r="F5793" s="515" t="s">
        <v>7025</v>
      </c>
      <c r="G5793" s="52">
        <v>332364.12645018601</v>
      </c>
      <c r="H5793" s="56">
        <v>5.3981872006869755E-2</v>
      </c>
      <c r="I5793" s="224" t="s">
        <v>2</v>
      </c>
    </row>
    <row r="5794" spans="1:9" x14ac:dyDescent="0.25">
      <c r="A5794" s="515">
        <v>18504</v>
      </c>
      <c r="B5794" s="515" t="s">
        <v>512</v>
      </c>
      <c r="C5794" s="52">
        <v>134477.96676365699</v>
      </c>
      <c r="D5794" s="56">
        <v>8.9262739610122335E-2</v>
      </c>
      <c r="E5794" s="224" t="s">
        <v>2</v>
      </c>
      <c r="F5794" s="515" t="s">
        <v>7026</v>
      </c>
      <c r="G5794" s="52">
        <v>122747.720204907</v>
      </c>
      <c r="H5794" s="56">
        <v>9.3645677013895756E-2</v>
      </c>
      <c r="I5794" s="224" t="s">
        <v>2</v>
      </c>
    </row>
    <row r="5795" spans="1:9" x14ac:dyDescent="0.25">
      <c r="A5795" s="515">
        <v>19342</v>
      </c>
      <c r="B5795" s="515" t="s">
        <v>294</v>
      </c>
      <c r="C5795" s="52">
        <v>576384.23398614698</v>
      </c>
      <c r="D5795" s="56">
        <v>8.3940258549502905E-2</v>
      </c>
      <c r="E5795" s="224">
        <v>2136.1666666666601</v>
      </c>
      <c r="F5795" s="515" t="s">
        <v>7027</v>
      </c>
      <c r="G5795" s="52">
        <v>89593.790536175293</v>
      </c>
      <c r="H5795" s="56">
        <v>6.9816895159624401E-2</v>
      </c>
      <c r="I5795" s="224" t="s">
        <v>2</v>
      </c>
    </row>
    <row r="5796" spans="1:9" x14ac:dyDescent="0.25">
      <c r="A5796" s="515">
        <v>95521</v>
      </c>
      <c r="B5796" s="515" t="s">
        <v>352</v>
      </c>
      <c r="C5796" s="52">
        <v>463607.22935539798</v>
      </c>
      <c r="D5796" s="56">
        <v>2.9868391885245885E-2</v>
      </c>
      <c r="E5796" s="224" t="s">
        <v>2</v>
      </c>
      <c r="F5796" s="515" t="s">
        <v>7028</v>
      </c>
      <c r="G5796" s="52">
        <v>320931.29626981798</v>
      </c>
      <c r="H5796" s="56">
        <v>0.10706165891744909</v>
      </c>
      <c r="I5796" s="224" t="s">
        <v>2</v>
      </c>
    </row>
    <row r="5797" spans="1:9" x14ac:dyDescent="0.25">
      <c r="A5797" s="515">
        <v>33901</v>
      </c>
      <c r="B5797" s="515" t="s">
        <v>661</v>
      </c>
      <c r="C5797" s="52">
        <v>296583.19029859401</v>
      </c>
      <c r="D5797" s="56">
        <v>0.15938798742416985</v>
      </c>
      <c r="E5797" s="224">
        <v>1659.1666666666599</v>
      </c>
      <c r="F5797" s="515" t="s">
        <v>7029</v>
      </c>
      <c r="G5797" s="52">
        <v>373179.06399797398</v>
      </c>
      <c r="H5797" s="56">
        <v>1.7363297717725639E-2</v>
      </c>
      <c r="I5797" s="224" t="s">
        <v>2</v>
      </c>
    </row>
    <row r="5798" spans="1:9" x14ac:dyDescent="0.25">
      <c r="A5798" s="515">
        <v>23502</v>
      </c>
      <c r="B5798" s="515" t="s">
        <v>301</v>
      </c>
      <c r="C5798" s="52">
        <v>263092.99586053198</v>
      </c>
      <c r="D5798" s="56">
        <v>4.3989666835734582E-2</v>
      </c>
      <c r="E5798" s="224" t="s">
        <v>2</v>
      </c>
      <c r="F5798" s="515" t="s">
        <v>7030</v>
      </c>
      <c r="G5798" s="52">
        <v>277177.16653497302</v>
      </c>
      <c r="H5798" s="56">
        <v>0.12269816416545072</v>
      </c>
      <c r="I5798" s="224" t="s">
        <v>2</v>
      </c>
    </row>
    <row r="5799" spans="1:9" x14ac:dyDescent="0.25">
      <c r="A5799" s="515">
        <v>77027</v>
      </c>
      <c r="B5799" s="515" t="s">
        <v>314</v>
      </c>
      <c r="C5799" s="52">
        <v>684969.60872950498</v>
      </c>
      <c r="D5799" s="56">
        <v>-1.9790577298821926E-2</v>
      </c>
      <c r="E5799" s="224">
        <v>1809.4169927872399</v>
      </c>
      <c r="F5799" s="515" t="s">
        <v>7031</v>
      </c>
      <c r="G5799" s="52">
        <v>469144.25262353697</v>
      </c>
      <c r="H5799" s="56">
        <v>6.0494867706887195E-2</v>
      </c>
      <c r="I5799" s="224">
        <v>2825</v>
      </c>
    </row>
    <row r="5800" spans="1:9" x14ac:dyDescent="0.25">
      <c r="A5800" s="515">
        <v>28043</v>
      </c>
      <c r="B5800" s="515" t="s">
        <v>1128</v>
      </c>
      <c r="C5800" s="52">
        <v>167657.29199529599</v>
      </c>
      <c r="D5800" s="56">
        <v>0.23897155519107174</v>
      </c>
      <c r="E5800" s="224" t="s">
        <v>2</v>
      </c>
      <c r="F5800" s="515" t="s">
        <v>7032</v>
      </c>
      <c r="G5800" s="52">
        <v>365719.90635747201</v>
      </c>
      <c r="H5800" s="56">
        <v>7.7199328686713892E-2</v>
      </c>
      <c r="I5800" s="224">
        <v>1311.7222222222199</v>
      </c>
    </row>
    <row r="5801" spans="1:9" x14ac:dyDescent="0.25">
      <c r="A5801" s="515">
        <v>30143</v>
      </c>
      <c r="B5801" s="515" t="s">
        <v>957</v>
      </c>
      <c r="C5801" s="52">
        <v>381014.283091055</v>
      </c>
      <c r="D5801" s="56">
        <v>8.8856653389436588E-2</v>
      </c>
      <c r="E5801" s="224" t="s">
        <v>2</v>
      </c>
      <c r="F5801" s="515" t="s">
        <v>7033</v>
      </c>
      <c r="G5801" s="52">
        <v>194629.827340547</v>
      </c>
      <c r="H5801" s="56">
        <v>9.6923149366547945E-2</v>
      </c>
      <c r="I5801" s="224" t="s">
        <v>2</v>
      </c>
    </row>
    <row r="5802" spans="1:9" x14ac:dyDescent="0.25">
      <c r="A5802" s="515">
        <v>73008</v>
      </c>
      <c r="B5802" s="515" t="s">
        <v>385</v>
      </c>
      <c r="C5802" s="52">
        <v>165241.71573531599</v>
      </c>
      <c r="D5802" s="56">
        <v>0.13105023503114926</v>
      </c>
      <c r="E5802" s="224">
        <v>1240.8333333333301</v>
      </c>
      <c r="F5802" s="515" t="s">
        <v>7034</v>
      </c>
      <c r="G5802" s="52">
        <v>111901.873361691</v>
      </c>
      <c r="H5802" s="56">
        <v>-0.19960407230927973</v>
      </c>
      <c r="I5802" s="224" t="s">
        <v>2</v>
      </c>
    </row>
    <row r="5803" spans="1:9" x14ac:dyDescent="0.25">
      <c r="A5803" s="515">
        <v>44647</v>
      </c>
      <c r="B5803" s="515" t="s">
        <v>863</v>
      </c>
      <c r="C5803" s="52">
        <v>149587.675389938</v>
      </c>
      <c r="D5803" s="56">
        <v>6.7229028836747362E-2</v>
      </c>
      <c r="E5803" s="224" t="s">
        <v>2</v>
      </c>
      <c r="F5803" s="515" t="s">
        <v>7035</v>
      </c>
      <c r="G5803" s="52">
        <v>192613.270167382</v>
      </c>
      <c r="H5803" s="56">
        <v>8.4779720531515737E-2</v>
      </c>
      <c r="I5803" s="224" t="s">
        <v>2</v>
      </c>
    </row>
    <row r="5804" spans="1:9" x14ac:dyDescent="0.25">
      <c r="A5804" s="515">
        <v>48169</v>
      </c>
      <c r="B5804" s="515" t="s">
        <v>685</v>
      </c>
      <c r="C5804" s="52">
        <v>337900.448903627</v>
      </c>
      <c r="D5804" s="56">
        <v>5.7143099757953418E-2</v>
      </c>
      <c r="E5804" s="224" t="s">
        <v>2</v>
      </c>
      <c r="F5804" s="515" t="s">
        <v>7036</v>
      </c>
      <c r="G5804" s="52">
        <v>154272.46468178599</v>
      </c>
      <c r="H5804" s="56">
        <v>8.1006478489890302E-2</v>
      </c>
      <c r="I5804" s="224" t="s">
        <v>2</v>
      </c>
    </row>
    <row r="5805" spans="1:9" x14ac:dyDescent="0.25">
      <c r="A5805" s="515">
        <v>48314</v>
      </c>
      <c r="B5805" s="515" t="s">
        <v>685</v>
      </c>
      <c r="C5805" s="52">
        <v>321824.74222381698</v>
      </c>
      <c r="D5805" s="56">
        <v>4.7455059872815911E-2</v>
      </c>
      <c r="E5805" s="224" t="s">
        <v>2</v>
      </c>
      <c r="F5805" s="515" t="s">
        <v>7037</v>
      </c>
      <c r="G5805" s="52">
        <v>243796.36056448799</v>
      </c>
      <c r="H5805" s="56">
        <v>5.5329963852352178E-2</v>
      </c>
      <c r="I5805" s="224" t="s">
        <v>2</v>
      </c>
    </row>
    <row r="5806" spans="1:9" x14ac:dyDescent="0.25">
      <c r="A5806" s="515">
        <v>90048</v>
      </c>
      <c r="B5806" s="515" t="s">
        <v>375</v>
      </c>
      <c r="C5806" s="52">
        <v>1702451.5911687401</v>
      </c>
      <c r="D5806" s="56">
        <v>-1.5973198934895686E-2</v>
      </c>
      <c r="E5806" s="224">
        <v>3637.16391990076</v>
      </c>
      <c r="F5806" s="515" t="s">
        <v>7038</v>
      </c>
      <c r="G5806" s="52">
        <v>630527.00005108002</v>
      </c>
      <c r="H5806" s="56">
        <v>4.1985574290299546E-2</v>
      </c>
      <c r="I5806" s="224">
        <v>3173</v>
      </c>
    </row>
    <row r="5807" spans="1:9" x14ac:dyDescent="0.25">
      <c r="A5807" s="515">
        <v>2140</v>
      </c>
      <c r="B5807" s="515" t="s">
        <v>534</v>
      </c>
      <c r="C5807" s="52">
        <v>900708.631163046</v>
      </c>
      <c r="D5807" s="56">
        <v>-2.0641238834753595E-2</v>
      </c>
      <c r="E5807" s="224">
        <v>2952.8240510697001</v>
      </c>
      <c r="F5807" s="515" t="s">
        <v>7039</v>
      </c>
      <c r="G5807" s="52">
        <v>379236.05430157698</v>
      </c>
      <c r="H5807" s="56">
        <v>4.1691343568699551E-2</v>
      </c>
      <c r="I5807" s="224" t="s">
        <v>2</v>
      </c>
    </row>
    <row r="5808" spans="1:9" x14ac:dyDescent="0.25">
      <c r="A5808" s="515">
        <v>84737</v>
      </c>
      <c r="B5808" s="515" t="s">
        <v>522</v>
      </c>
      <c r="C5808" s="52">
        <v>491120.89196833898</v>
      </c>
      <c r="D5808" s="56">
        <v>2.1298098318263341E-2</v>
      </c>
      <c r="E5808" s="224">
        <v>1827.3333333333301</v>
      </c>
      <c r="F5808" s="515" t="s">
        <v>7040</v>
      </c>
      <c r="G5808" s="52">
        <v>274226.21328815899</v>
      </c>
      <c r="H5808" s="56">
        <v>4.6484709347638514E-2</v>
      </c>
      <c r="I5808" s="224" t="s">
        <v>2</v>
      </c>
    </row>
    <row r="5809" spans="1:9" x14ac:dyDescent="0.25">
      <c r="A5809" s="515">
        <v>43212</v>
      </c>
      <c r="B5809" s="515" t="s">
        <v>345</v>
      </c>
      <c r="C5809" s="52">
        <v>405616.43816440803</v>
      </c>
      <c r="D5809" s="56">
        <v>1.7357618997936784E-2</v>
      </c>
      <c r="E5809" s="224">
        <v>1526.81547619047</v>
      </c>
      <c r="F5809" s="515" t="s">
        <v>7041</v>
      </c>
      <c r="G5809" s="52">
        <v>806105.27670578798</v>
      </c>
      <c r="H5809" s="56">
        <v>6.1981379727094124E-2</v>
      </c>
      <c r="I5809" s="224" t="s">
        <v>2</v>
      </c>
    </row>
    <row r="5810" spans="1:9" x14ac:dyDescent="0.25">
      <c r="A5810" s="515">
        <v>11411</v>
      </c>
      <c r="B5810" s="515" t="s">
        <v>324</v>
      </c>
      <c r="C5810" s="52">
        <v>610505.57193967199</v>
      </c>
      <c r="D5810" s="56">
        <v>6.2022742371422489E-2</v>
      </c>
      <c r="E5810" s="224" t="s">
        <v>2</v>
      </c>
      <c r="F5810" s="515" t="s">
        <v>7042</v>
      </c>
      <c r="G5810" s="52">
        <v>157239.97035751201</v>
      </c>
      <c r="H5810" s="56">
        <v>3.4810192730062924E-2</v>
      </c>
      <c r="I5810" s="224" t="s">
        <v>2</v>
      </c>
    </row>
    <row r="5811" spans="1:9" x14ac:dyDescent="0.25">
      <c r="A5811" s="515">
        <v>7094</v>
      </c>
      <c r="B5811" s="515" t="s">
        <v>324</v>
      </c>
      <c r="C5811" s="52">
        <v>567131.79253955698</v>
      </c>
      <c r="D5811" s="56">
        <v>1.7454837495962144E-2</v>
      </c>
      <c r="E5811" s="224">
        <v>2792.5</v>
      </c>
      <c r="F5811" s="515" t="s">
        <v>7043</v>
      </c>
      <c r="G5811" s="52">
        <v>378913.989195248</v>
      </c>
      <c r="H5811" s="56">
        <v>7.0710149608726146E-3</v>
      </c>
      <c r="I5811" s="224" t="s">
        <v>2</v>
      </c>
    </row>
    <row r="5812" spans="1:9" x14ac:dyDescent="0.25">
      <c r="A5812" s="515">
        <v>91101</v>
      </c>
      <c r="B5812" s="515" t="s">
        <v>375</v>
      </c>
      <c r="C5812" s="52">
        <v>750074.976671646</v>
      </c>
      <c r="D5812" s="56">
        <v>6.4572672155865762E-2</v>
      </c>
      <c r="E5812" s="224">
        <v>2750.9607843137201</v>
      </c>
      <c r="F5812" s="515" t="s">
        <v>7044</v>
      </c>
      <c r="G5812" s="52">
        <v>228022.075336076</v>
      </c>
      <c r="H5812" s="56">
        <v>8.781904502488426E-2</v>
      </c>
      <c r="I5812" s="224" t="s">
        <v>2</v>
      </c>
    </row>
    <row r="5813" spans="1:9" x14ac:dyDescent="0.25">
      <c r="A5813" s="515">
        <v>27501</v>
      </c>
      <c r="B5813" s="515" t="s">
        <v>1149</v>
      </c>
      <c r="C5813" s="52">
        <v>306156.31068051298</v>
      </c>
      <c r="D5813" s="56">
        <v>0.11815669107785255</v>
      </c>
      <c r="E5813" s="224">
        <v>2145</v>
      </c>
      <c r="F5813" s="515" t="s">
        <v>7045</v>
      </c>
      <c r="G5813" s="52">
        <v>231913.32988033799</v>
      </c>
      <c r="H5813" s="56">
        <v>0.13262109651655363</v>
      </c>
      <c r="I5813" s="224" t="s">
        <v>2</v>
      </c>
    </row>
    <row r="5814" spans="1:9" x14ac:dyDescent="0.25">
      <c r="A5814" s="515">
        <v>32025</v>
      </c>
      <c r="B5814" s="515" t="s">
        <v>1045</v>
      </c>
      <c r="C5814" s="52">
        <v>210257.78010103499</v>
      </c>
      <c r="D5814" s="56">
        <v>0.16153572684564096</v>
      </c>
      <c r="E5814" s="224" t="s">
        <v>2</v>
      </c>
      <c r="F5814" s="515" t="s">
        <v>7046</v>
      </c>
      <c r="G5814" s="52">
        <v>392105.16501445603</v>
      </c>
      <c r="H5814" s="56">
        <v>-3.5757408470998217E-2</v>
      </c>
      <c r="I5814" s="224" t="s">
        <v>2</v>
      </c>
    </row>
    <row r="5815" spans="1:9" x14ac:dyDescent="0.25">
      <c r="A5815" s="515">
        <v>80620</v>
      </c>
      <c r="B5815" s="515" t="s">
        <v>382</v>
      </c>
      <c r="C5815" s="52">
        <v>384907.06109338801</v>
      </c>
      <c r="D5815" s="56">
        <v>2.1904146432636062E-2</v>
      </c>
      <c r="E5815" s="224">
        <v>1720.25</v>
      </c>
      <c r="F5815" s="515" t="s">
        <v>7047</v>
      </c>
      <c r="G5815" s="52">
        <v>309868.48036676802</v>
      </c>
      <c r="H5815" s="56">
        <v>1.4620168115642304E-2</v>
      </c>
      <c r="I5815" s="224" t="s">
        <v>2</v>
      </c>
    </row>
    <row r="5816" spans="1:9" x14ac:dyDescent="0.25">
      <c r="A5816" s="515">
        <v>61455</v>
      </c>
      <c r="B5816" s="515" t="s">
        <v>493</v>
      </c>
      <c r="C5816" s="52">
        <v>97096.833996299596</v>
      </c>
      <c r="D5816" s="56">
        <v>6.7130991868412621E-2</v>
      </c>
      <c r="E5816" s="224" t="s">
        <v>2</v>
      </c>
      <c r="F5816" s="515" t="s">
        <v>7048</v>
      </c>
      <c r="G5816" s="52">
        <v>766251.81780681701</v>
      </c>
      <c r="H5816" s="56">
        <v>2.4275323160626947E-2</v>
      </c>
      <c r="I5816" s="224" t="s">
        <v>2</v>
      </c>
    </row>
    <row r="5817" spans="1:9" x14ac:dyDescent="0.25">
      <c r="A5817" s="515">
        <v>68106</v>
      </c>
      <c r="B5817" s="515" t="s">
        <v>367</v>
      </c>
      <c r="C5817" s="52">
        <v>225087.840805958</v>
      </c>
      <c r="D5817" s="56">
        <v>7.9397530036667788E-2</v>
      </c>
      <c r="E5817" s="224">
        <v>1629.57142857142</v>
      </c>
      <c r="F5817" s="515" t="s">
        <v>7049</v>
      </c>
      <c r="G5817" s="52">
        <v>121682.27875144299</v>
      </c>
      <c r="H5817" s="56">
        <v>6.011184851135018E-2</v>
      </c>
      <c r="I5817" s="224" t="s">
        <v>2</v>
      </c>
    </row>
    <row r="5818" spans="1:9" x14ac:dyDescent="0.25">
      <c r="A5818" s="515">
        <v>30512</v>
      </c>
      <c r="C5818" s="52">
        <v>344455.52404561301</v>
      </c>
      <c r="D5818" s="56">
        <v>5.9820414194698746E-2</v>
      </c>
      <c r="E5818" s="224" t="s">
        <v>2</v>
      </c>
      <c r="F5818" s="515" t="s">
        <v>7050</v>
      </c>
      <c r="G5818" s="52">
        <v>215530.21292437601</v>
      </c>
      <c r="H5818" s="56">
        <v>9.2725819983974E-2</v>
      </c>
      <c r="I5818" s="224" t="s">
        <v>2</v>
      </c>
    </row>
    <row r="5819" spans="1:9" x14ac:dyDescent="0.25">
      <c r="A5819" s="515">
        <v>1440</v>
      </c>
      <c r="B5819" s="515" t="s">
        <v>751</v>
      </c>
      <c r="C5819" s="52">
        <v>305323.88349122502</v>
      </c>
      <c r="D5819" s="56">
        <v>7.4742200680030804E-2</v>
      </c>
      <c r="E5819" s="224" t="s">
        <v>2</v>
      </c>
      <c r="F5819" s="515" t="s">
        <v>7051</v>
      </c>
      <c r="G5819" s="52">
        <v>635667.83204391797</v>
      </c>
      <c r="H5819" s="56">
        <v>7.6105556861464529E-2</v>
      </c>
      <c r="I5819" s="224" t="s">
        <v>2</v>
      </c>
    </row>
    <row r="5820" spans="1:9" x14ac:dyDescent="0.25">
      <c r="A5820" s="515">
        <v>31906</v>
      </c>
      <c r="B5820" s="515" t="s">
        <v>778</v>
      </c>
      <c r="C5820" s="52">
        <v>112194.921617851</v>
      </c>
      <c r="D5820" s="56">
        <v>0.12807713652028591</v>
      </c>
      <c r="E5820" s="224">
        <v>1038.5</v>
      </c>
      <c r="F5820" s="515" t="s">
        <v>7052</v>
      </c>
      <c r="G5820" s="52">
        <v>606442.67704487604</v>
      </c>
      <c r="H5820" s="56">
        <v>3.8864049269071665E-2</v>
      </c>
      <c r="I5820" s="224" t="s">
        <v>2</v>
      </c>
    </row>
    <row r="5821" spans="1:9" x14ac:dyDescent="0.25">
      <c r="A5821" s="515">
        <v>76058</v>
      </c>
      <c r="B5821" s="515" t="s">
        <v>458</v>
      </c>
      <c r="C5821" s="52">
        <v>312472.718829374</v>
      </c>
      <c r="D5821" s="56">
        <v>9.7988689129138426E-2</v>
      </c>
      <c r="E5821" s="224" t="s">
        <v>2</v>
      </c>
      <c r="F5821" s="515" t="s">
        <v>7053</v>
      </c>
      <c r="G5821" s="52">
        <v>1216918.6784965801</v>
      </c>
      <c r="H5821" s="56">
        <v>4.3246707822313921E-2</v>
      </c>
      <c r="I5821" s="224" t="s">
        <v>2</v>
      </c>
    </row>
    <row r="5822" spans="1:9" x14ac:dyDescent="0.25">
      <c r="A5822" s="515">
        <v>78654</v>
      </c>
      <c r="C5822" s="52">
        <v>447236.98419469298</v>
      </c>
      <c r="D5822" s="56">
        <v>8.6547865182154987E-2</v>
      </c>
      <c r="E5822" s="224" t="s">
        <v>2</v>
      </c>
      <c r="F5822" s="515" t="s">
        <v>7054</v>
      </c>
      <c r="G5822" s="52">
        <v>191369.020405736</v>
      </c>
      <c r="H5822" s="56">
        <v>9.7846120041653925E-2</v>
      </c>
      <c r="I5822" s="224" t="s">
        <v>2</v>
      </c>
    </row>
    <row r="5823" spans="1:9" x14ac:dyDescent="0.25">
      <c r="A5823" s="515">
        <v>7650</v>
      </c>
      <c r="B5823" s="515" t="s">
        <v>324</v>
      </c>
      <c r="C5823" s="52">
        <v>772274.56510909996</v>
      </c>
      <c r="D5823" s="56">
        <v>3.4392485946922007E-2</v>
      </c>
      <c r="E5823" s="224">
        <v>2633.3333333333298</v>
      </c>
      <c r="F5823" s="515" t="s">
        <v>7055</v>
      </c>
      <c r="G5823" s="52">
        <v>149451.171510071</v>
      </c>
      <c r="H5823" s="56">
        <v>1.1209388558144174E-2</v>
      </c>
      <c r="I5823" s="224" t="s">
        <v>2</v>
      </c>
    </row>
    <row r="5824" spans="1:9" x14ac:dyDescent="0.25">
      <c r="A5824" s="515">
        <v>50320</v>
      </c>
      <c r="B5824" s="515" t="s">
        <v>295</v>
      </c>
      <c r="C5824" s="52">
        <v>230611.609399462</v>
      </c>
      <c r="D5824" s="56">
        <v>6.8841441803993139E-2</v>
      </c>
      <c r="E5824" s="224">
        <v>1175</v>
      </c>
      <c r="F5824" s="515" t="s">
        <v>7056</v>
      </c>
      <c r="G5824" s="52">
        <v>252213.88863993101</v>
      </c>
      <c r="H5824" s="56">
        <v>5.0701474250071467E-2</v>
      </c>
      <c r="I5824" s="224" t="s">
        <v>2</v>
      </c>
    </row>
    <row r="5825" spans="1:9" x14ac:dyDescent="0.25">
      <c r="A5825" s="515">
        <v>34233</v>
      </c>
      <c r="B5825" s="515" t="s">
        <v>466</v>
      </c>
      <c r="C5825" s="52">
        <v>414915.743082828</v>
      </c>
      <c r="D5825" s="56">
        <v>0.13486849831990905</v>
      </c>
      <c r="E5825" s="224">
        <v>2316.75</v>
      </c>
      <c r="F5825" s="515" t="s">
        <v>7057</v>
      </c>
      <c r="G5825" s="52">
        <v>138731.49157027999</v>
      </c>
      <c r="H5825" s="56">
        <v>3.3155386451690604E-2</v>
      </c>
      <c r="I5825" s="224" t="s">
        <v>2</v>
      </c>
    </row>
    <row r="5826" spans="1:9" x14ac:dyDescent="0.25">
      <c r="A5826" s="515">
        <v>53589</v>
      </c>
      <c r="B5826" s="515" t="s">
        <v>727</v>
      </c>
      <c r="C5826" s="52">
        <v>341681.44284744101</v>
      </c>
      <c r="D5826" s="56">
        <v>6.4494071618127674E-2</v>
      </c>
      <c r="E5826" s="224" t="s">
        <v>2</v>
      </c>
      <c r="F5826" s="515" t="s">
        <v>7058</v>
      </c>
      <c r="G5826" s="52">
        <v>414182.26224773499</v>
      </c>
      <c r="H5826" s="56">
        <v>4.8793579655296258E-2</v>
      </c>
      <c r="I5826" s="224" t="s">
        <v>2</v>
      </c>
    </row>
    <row r="5827" spans="1:9" x14ac:dyDescent="0.25">
      <c r="A5827" s="515">
        <v>50125</v>
      </c>
      <c r="B5827" s="515" t="s">
        <v>295</v>
      </c>
      <c r="C5827" s="52">
        <v>264738.18597423</v>
      </c>
      <c r="D5827" s="56">
        <v>9.1881610632016303E-2</v>
      </c>
      <c r="E5827" s="224" t="s">
        <v>2</v>
      </c>
      <c r="F5827" s="515" t="s">
        <v>7059</v>
      </c>
      <c r="G5827" s="52">
        <v>1852185.1273483799</v>
      </c>
      <c r="H5827" s="56">
        <v>0.38671089599264885</v>
      </c>
      <c r="I5827" s="224">
        <v>6419.1666666666597</v>
      </c>
    </row>
    <row r="5828" spans="1:9" x14ac:dyDescent="0.25">
      <c r="A5828" s="515">
        <v>55076</v>
      </c>
      <c r="B5828" s="515" t="s">
        <v>532</v>
      </c>
      <c r="C5828" s="52">
        <v>299025.67068839399</v>
      </c>
      <c r="D5828" s="56">
        <v>1.4876545814136888E-2</v>
      </c>
      <c r="E5828" s="224" t="s">
        <v>2</v>
      </c>
      <c r="F5828" s="515" t="s">
        <v>7060</v>
      </c>
      <c r="G5828" s="52">
        <v>181315.830537792</v>
      </c>
      <c r="H5828" s="56">
        <v>9.1935223670857713E-2</v>
      </c>
      <c r="I5828" s="224" t="s">
        <v>2</v>
      </c>
    </row>
    <row r="5829" spans="1:9" x14ac:dyDescent="0.25">
      <c r="A5829" s="515">
        <v>36804</v>
      </c>
      <c r="B5829" s="515" t="s">
        <v>1159</v>
      </c>
      <c r="C5829" s="52">
        <v>258155.00714083499</v>
      </c>
      <c r="D5829" s="56">
        <v>6.2626548652326225E-2</v>
      </c>
      <c r="E5829" s="224" t="s">
        <v>2</v>
      </c>
      <c r="F5829" s="515" t="s">
        <v>7061</v>
      </c>
      <c r="G5829" s="52">
        <v>96220.288850030702</v>
      </c>
      <c r="H5829" s="56">
        <v>0.19798810900407179</v>
      </c>
      <c r="I5829" s="224" t="s">
        <v>2</v>
      </c>
    </row>
    <row r="5830" spans="1:9" x14ac:dyDescent="0.25">
      <c r="A5830" s="515">
        <v>34715</v>
      </c>
      <c r="B5830" s="515" t="s">
        <v>517</v>
      </c>
      <c r="C5830" s="52">
        <v>424094.27760614001</v>
      </c>
      <c r="D5830" s="56">
        <v>0.10345418111227529</v>
      </c>
      <c r="E5830" s="224">
        <v>2065.4444444444398</v>
      </c>
      <c r="F5830" s="515" t="s">
        <v>7062</v>
      </c>
      <c r="G5830" s="52">
        <v>337756.43352056399</v>
      </c>
      <c r="H5830" s="56">
        <v>7.6842213728098727E-2</v>
      </c>
      <c r="I5830" s="224" t="s">
        <v>2</v>
      </c>
    </row>
    <row r="5831" spans="1:9" x14ac:dyDescent="0.25">
      <c r="A5831" s="515">
        <v>49001</v>
      </c>
      <c r="B5831" s="515" t="s">
        <v>1037</v>
      </c>
      <c r="C5831" s="52">
        <v>138739.83763426699</v>
      </c>
      <c r="D5831" s="56">
        <v>8.2609668418871893E-2</v>
      </c>
      <c r="E5831" s="224">
        <v>1200</v>
      </c>
      <c r="F5831" s="515" t="s">
        <v>7063</v>
      </c>
      <c r="G5831" s="52">
        <v>235719.95733791299</v>
      </c>
      <c r="H5831" s="56">
        <v>4.9760673086122857E-2</v>
      </c>
      <c r="I5831" s="224" t="s">
        <v>2</v>
      </c>
    </row>
    <row r="5832" spans="1:9" x14ac:dyDescent="0.25">
      <c r="A5832" s="515">
        <v>77302</v>
      </c>
      <c r="B5832" s="515" t="s">
        <v>314</v>
      </c>
      <c r="C5832" s="52">
        <v>287318.79206789797</v>
      </c>
      <c r="D5832" s="56">
        <v>7.3519878828594024E-2</v>
      </c>
      <c r="E5832" s="224">
        <v>1601.5</v>
      </c>
      <c r="F5832" s="515" t="s">
        <v>1156</v>
      </c>
      <c r="G5832" s="52">
        <v>81014.377956481097</v>
      </c>
      <c r="H5832" s="56">
        <v>-8.4953508317323054E-2</v>
      </c>
      <c r="I5832" s="224" t="s">
        <v>2</v>
      </c>
    </row>
    <row r="5833" spans="1:9" x14ac:dyDescent="0.25">
      <c r="A5833" s="515">
        <v>77401</v>
      </c>
      <c r="B5833" s="515" t="s">
        <v>314</v>
      </c>
      <c r="C5833" s="52">
        <v>944653.27411888703</v>
      </c>
      <c r="D5833" s="56">
        <v>4.7037843302514114E-2</v>
      </c>
      <c r="E5833" s="224" t="s">
        <v>2</v>
      </c>
      <c r="F5833" s="515" t="s">
        <v>7064</v>
      </c>
      <c r="G5833" s="52">
        <v>377924.98517286603</v>
      </c>
      <c r="H5833" s="56">
        <v>3.8752283910924216E-2</v>
      </c>
      <c r="I5833" s="224" t="s">
        <v>2</v>
      </c>
    </row>
    <row r="5834" spans="1:9" x14ac:dyDescent="0.25">
      <c r="A5834" s="515">
        <v>45237</v>
      </c>
      <c r="B5834" s="515" t="s">
        <v>344</v>
      </c>
      <c r="C5834" s="52">
        <v>160366.37535277201</v>
      </c>
      <c r="D5834" s="56">
        <v>6.9374510338509304E-2</v>
      </c>
      <c r="E5834" s="224">
        <v>1085.2222222222199</v>
      </c>
      <c r="F5834" s="515" t="s">
        <v>7065</v>
      </c>
      <c r="G5834" s="52">
        <v>146714.05974237199</v>
      </c>
      <c r="H5834" s="56">
        <v>0.19364501841889739</v>
      </c>
      <c r="I5834" s="224" t="s">
        <v>2</v>
      </c>
    </row>
    <row r="5835" spans="1:9" x14ac:dyDescent="0.25">
      <c r="A5835" s="515">
        <v>4011</v>
      </c>
      <c r="B5835" s="515" t="s">
        <v>570</v>
      </c>
      <c r="C5835" s="52">
        <v>429969.20881087601</v>
      </c>
      <c r="D5835" s="56">
        <v>6.494910333561224E-2</v>
      </c>
      <c r="E5835" s="224" t="s">
        <v>2</v>
      </c>
      <c r="F5835" s="515" t="s">
        <v>7066</v>
      </c>
      <c r="G5835" s="52">
        <v>165722.05005570801</v>
      </c>
      <c r="H5835" s="56">
        <v>4.4875133680649847E-2</v>
      </c>
      <c r="I5835" s="224" t="s">
        <v>2</v>
      </c>
    </row>
    <row r="5836" spans="1:9" x14ac:dyDescent="0.25">
      <c r="A5836" s="515">
        <v>36360</v>
      </c>
      <c r="B5836" s="515" t="s">
        <v>369</v>
      </c>
      <c r="C5836" s="52">
        <v>129248.634237541</v>
      </c>
      <c r="D5836" s="56">
        <v>0.13298783750548354</v>
      </c>
      <c r="E5836" s="224" t="s">
        <v>2</v>
      </c>
      <c r="F5836" s="515" t="s">
        <v>7067</v>
      </c>
      <c r="G5836" s="52">
        <v>227409.70857362801</v>
      </c>
      <c r="H5836" s="56">
        <v>8.9891736609243808E-2</v>
      </c>
      <c r="I5836" s="224" t="s">
        <v>2</v>
      </c>
    </row>
    <row r="5837" spans="1:9" x14ac:dyDescent="0.25">
      <c r="A5837" s="515">
        <v>76052</v>
      </c>
      <c r="B5837" s="515" t="s">
        <v>458</v>
      </c>
      <c r="C5837" s="52">
        <v>427189.78284561401</v>
      </c>
      <c r="D5837" s="56">
        <v>7.5043954783335601E-2</v>
      </c>
      <c r="E5837" s="224">
        <v>2059.1666666666601</v>
      </c>
      <c r="F5837" s="515" t="s">
        <v>7068</v>
      </c>
      <c r="G5837" s="52"/>
      <c r="H5837" s="56">
        <v>0</v>
      </c>
      <c r="I5837" s="224" t="s">
        <v>2</v>
      </c>
    </row>
    <row r="5838" spans="1:9" x14ac:dyDescent="0.25">
      <c r="A5838" s="515">
        <v>32796</v>
      </c>
      <c r="B5838" s="515" t="s">
        <v>1133</v>
      </c>
      <c r="C5838" s="52">
        <v>266214.88045552903</v>
      </c>
      <c r="D5838" s="56">
        <v>0.13561695306304808</v>
      </c>
      <c r="E5838" s="224">
        <v>1726.88888888888</v>
      </c>
      <c r="F5838" s="515" t="s">
        <v>7069</v>
      </c>
      <c r="G5838" s="52">
        <v>614226.42695930204</v>
      </c>
      <c r="H5838" s="56">
        <v>2.5900193219808649E-2</v>
      </c>
      <c r="I5838" s="224" t="s">
        <v>2</v>
      </c>
    </row>
    <row r="5839" spans="1:9" x14ac:dyDescent="0.25">
      <c r="A5839" s="515">
        <v>70714</v>
      </c>
      <c r="B5839" s="515" t="s">
        <v>610</v>
      </c>
      <c r="C5839" s="52">
        <v>159406.00310155001</v>
      </c>
      <c r="D5839" s="56">
        <v>3.5479552992268196E-2</v>
      </c>
      <c r="E5839" s="224" t="s">
        <v>2</v>
      </c>
      <c r="F5839" s="515" t="s">
        <v>7070</v>
      </c>
      <c r="G5839" s="52">
        <v>208476.419688297</v>
      </c>
      <c r="H5839" s="56">
        <v>6.6633000897934211E-2</v>
      </c>
      <c r="I5839" s="224" t="s">
        <v>2</v>
      </c>
    </row>
    <row r="5840" spans="1:9" x14ac:dyDescent="0.25">
      <c r="A5840" s="515">
        <v>2879</v>
      </c>
      <c r="B5840" s="515" t="s">
        <v>513</v>
      </c>
      <c r="C5840" s="52">
        <v>565874.95758655295</v>
      </c>
      <c r="D5840" s="56">
        <v>0.11549628883423291</v>
      </c>
      <c r="E5840" s="224" t="s">
        <v>2</v>
      </c>
      <c r="F5840" s="515" t="s">
        <v>7071</v>
      </c>
      <c r="G5840" s="52">
        <v>148806.60444507399</v>
      </c>
      <c r="H5840" s="56">
        <v>0.17242543441582719</v>
      </c>
      <c r="I5840" s="224" t="s">
        <v>2</v>
      </c>
    </row>
    <row r="5841" spans="1:9" x14ac:dyDescent="0.25">
      <c r="A5841" s="515">
        <v>39073</v>
      </c>
      <c r="B5841" s="515" t="s">
        <v>851</v>
      </c>
      <c r="C5841" s="52">
        <v>211119.40522685199</v>
      </c>
      <c r="D5841" s="56">
        <v>7.4222450345322197E-2</v>
      </c>
      <c r="E5841" s="224" t="s">
        <v>2</v>
      </c>
      <c r="F5841" s="515" t="s">
        <v>7072</v>
      </c>
      <c r="G5841" s="52">
        <v>422366.87777809898</v>
      </c>
      <c r="H5841" s="56">
        <v>0.12847422087780855</v>
      </c>
      <c r="I5841" s="224" t="s">
        <v>2</v>
      </c>
    </row>
    <row r="5842" spans="1:9" x14ac:dyDescent="0.25">
      <c r="A5842" s="515">
        <v>14206</v>
      </c>
      <c r="B5842" s="515" t="s">
        <v>336</v>
      </c>
      <c r="C5842" s="52">
        <v>144719.584719081</v>
      </c>
      <c r="D5842" s="56">
        <v>0.1019455662430105</v>
      </c>
      <c r="E5842" s="224" t="s">
        <v>2</v>
      </c>
      <c r="F5842" s="515" t="s">
        <v>7073</v>
      </c>
      <c r="G5842" s="52">
        <v>180454.47749555099</v>
      </c>
      <c r="H5842" s="56">
        <v>0.10566538339465263</v>
      </c>
      <c r="I5842" s="224">
        <v>1222.5</v>
      </c>
    </row>
    <row r="5843" spans="1:9" x14ac:dyDescent="0.25">
      <c r="A5843" s="515">
        <v>63135</v>
      </c>
      <c r="B5843" s="515" t="s">
        <v>498</v>
      </c>
      <c r="C5843" s="52">
        <v>104613.474526463</v>
      </c>
      <c r="D5843" s="56">
        <v>0.16516779934684395</v>
      </c>
      <c r="E5843" s="224">
        <v>1143.75</v>
      </c>
      <c r="F5843" s="515" t="s">
        <v>7074</v>
      </c>
      <c r="G5843" s="52">
        <v>307117.68464474898</v>
      </c>
      <c r="H5843" s="56">
        <v>9.5610504368690077E-2</v>
      </c>
      <c r="I5843" s="224" t="s">
        <v>2</v>
      </c>
    </row>
    <row r="5844" spans="1:9" x14ac:dyDescent="0.25">
      <c r="A5844" s="515">
        <v>80212</v>
      </c>
      <c r="B5844" s="515" t="s">
        <v>401</v>
      </c>
      <c r="C5844" s="52">
        <v>722902.00031314103</v>
      </c>
      <c r="D5844" s="56">
        <v>3.0863887160395117E-2</v>
      </c>
      <c r="E5844" s="224">
        <v>2503.9365079365002</v>
      </c>
      <c r="F5844" s="515" t="s">
        <v>7075</v>
      </c>
      <c r="G5844" s="52">
        <v>102920.102537112</v>
      </c>
      <c r="H5844" s="56">
        <v>4.7907161549455908E-2</v>
      </c>
      <c r="I5844" s="224" t="s">
        <v>2</v>
      </c>
    </row>
    <row r="5845" spans="1:9" x14ac:dyDescent="0.25">
      <c r="A5845" s="515">
        <v>17552</v>
      </c>
      <c r="B5845" s="515" t="s">
        <v>537</v>
      </c>
      <c r="C5845" s="52">
        <v>298233.04225033399</v>
      </c>
      <c r="D5845" s="56">
        <v>9.0041814167295259E-2</v>
      </c>
      <c r="E5845" s="224" t="s">
        <v>2</v>
      </c>
      <c r="F5845" s="515" t="s">
        <v>7076</v>
      </c>
      <c r="G5845" s="52">
        <v>318076.53029022599</v>
      </c>
      <c r="H5845" s="56">
        <v>4.8222205936375148E-2</v>
      </c>
      <c r="I5845" s="224" t="s">
        <v>2</v>
      </c>
    </row>
    <row r="5846" spans="1:9" x14ac:dyDescent="0.25">
      <c r="A5846" s="515">
        <v>43623</v>
      </c>
      <c r="B5846" s="515" t="s">
        <v>300</v>
      </c>
      <c r="C5846" s="52">
        <v>162785.176028785</v>
      </c>
      <c r="D5846" s="56">
        <v>6.0549252450370988E-2</v>
      </c>
      <c r="E5846" s="224" t="s">
        <v>2</v>
      </c>
      <c r="F5846" s="515" t="s">
        <v>7077</v>
      </c>
      <c r="G5846" s="52">
        <v>215136.39686103599</v>
      </c>
      <c r="H5846" s="56">
        <v>9.0108636236926568E-2</v>
      </c>
      <c r="I5846" s="224" t="s">
        <v>2</v>
      </c>
    </row>
    <row r="5847" spans="1:9" x14ac:dyDescent="0.25">
      <c r="A5847" s="515">
        <v>18505</v>
      </c>
      <c r="B5847" s="515" t="s">
        <v>512</v>
      </c>
      <c r="C5847" s="52">
        <v>137331.31749741899</v>
      </c>
      <c r="D5847" s="56">
        <v>9.6714544143464476E-2</v>
      </c>
      <c r="E5847" s="224" t="s">
        <v>2</v>
      </c>
      <c r="F5847" s="515" t="s">
        <v>7078</v>
      </c>
      <c r="G5847" s="52">
        <v>373543.50664774602</v>
      </c>
      <c r="H5847" s="56">
        <v>0.10278709914530962</v>
      </c>
      <c r="I5847" s="224" t="s">
        <v>2</v>
      </c>
    </row>
    <row r="5848" spans="1:9" x14ac:dyDescent="0.25">
      <c r="A5848" s="515">
        <v>45224</v>
      </c>
      <c r="B5848" s="515" t="s">
        <v>344</v>
      </c>
      <c r="C5848" s="52">
        <v>180090.82565718601</v>
      </c>
      <c r="D5848" s="56">
        <v>6.2669157578563131E-2</v>
      </c>
      <c r="E5848" s="224">
        <v>921.11111111111097</v>
      </c>
      <c r="F5848" s="515" t="s">
        <v>7079</v>
      </c>
      <c r="G5848" s="52">
        <v>186264.14812352799</v>
      </c>
      <c r="H5848" s="56">
        <v>6.7058366568733596E-2</v>
      </c>
      <c r="I5848" s="224" t="s">
        <v>2</v>
      </c>
    </row>
    <row r="5849" spans="1:9" x14ac:dyDescent="0.25">
      <c r="A5849" s="515">
        <v>32097</v>
      </c>
      <c r="B5849" s="515" t="s">
        <v>1158</v>
      </c>
      <c r="C5849" s="52">
        <v>363282.54521527101</v>
      </c>
      <c r="D5849" s="56">
        <v>0.13268507842156355</v>
      </c>
      <c r="E5849" s="224">
        <v>1995.75</v>
      </c>
      <c r="F5849" s="515" t="s">
        <v>7080</v>
      </c>
      <c r="G5849" s="52">
        <v>113720.939267468</v>
      </c>
      <c r="H5849" s="56">
        <v>5.9777609847768531E-2</v>
      </c>
      <c r="I5849" s="224" t="s">
        <v>2</v>
      </c>
    </row>
    <row r="5850" spans="1:9" x14ac:dyDescent="0.25">
      <c r="A5850" s="515">
        <v>43078</v>
      </c>
      <c r="B5850" s="515" t="s">
        <v>430</v>
      </c>
      <c r="C5850" s="52">
        <v>188950.69300413699</v>
      </c>
      <c r="D5850" s="56">
        <v>0.1214405775195575</v>
      </c>
      <c r="E5850" s="224" t="s">
        <v>2</v>
      </c>
      <c r="F5850" s="515" t="s">
        <v>7081</v>
      </c>
      <c r="G5850" s="52">
        <v>292730.62064839102</v>
      </c>
      <c r="H5850" s="56">
        <v>9.647804958842747E-2</v>
      </c>
      <c r="I5850" s="224" t="s">
        <v>2</v>
      </c>
    </row>
    <row r="5851" spans="1:9" x14ac:dyDescent="0.25">
      <c r="A5851" s="515">
        <v>73129</v>
      </c>
      <c r="B5851" s="515" t="s">
        <v>385</v>
      </c>
      <c r="C5851" s="52">
        <v>82726.983009613294</v>
      </c>
      <c r="D5851" s="56">
        <v>0.21969890295570788</v>
      </c>
      <c r="E5851" s="224">
        <v>881.66666666666595</v>
      </c>
      <c r="F5851" s="515" t="s">
        <v>7082</v>
      </c>
      <c r="G5851" s="52">
        <v>126928.864932403</v>
      </c>
      <c r="H5851" s="56">
        <v>4.204878634676068E-2</v>
      </c>
      <c r="I5851" s="224" t="s">
        <v>2</v>
      </c>
    </row>
    <row r="5852" spans="1:9" x14ac:dyDescent="0.25">
      <c r="A5852" s="515">
        <v>14845</v>
      </c>
      <c r="B5852" s="515" t="s">
        <v>724</v>
      </c>
      <c r="C5852" s="52">
        <v>190302.37487512399</v>
      </c>
      <c r="D5852" s="56">
        <v>6.1634885088738496E-2</v>
      </c>
      <c r="E5852" s="224" t="s">
        <v>2</v>
      </c>
      <c r="F5852" s="515" t="s">
        <v>7083</v>
      </c>
      <c r="G5852" s="52">
        <v>116314.23259844301</v>
      </c>
      <c r="H5852" s="56">
        <v>1.3457058357558772E-2</v>
      </c>
      <c r="I5852" s="224" t="s">
        <v>2</v>
      </c>
    </row>
    <row r="5853" spans="1:9" x14ac:dyDescent="0.25">
      <c r="A5853" s="515">
        <v>80218</v>
      </c>
      <c r="B5853" s="515" t="s">
        <v>401</v>
      </c>
      <c r="C5853" s="52">
        <v>522835.87647119199</v>
      </c>
      <c r="D5853" s="56">
        <v>2.5395216362345624E-2</v>
      </c>
      <c r="E5853" s="224">
        <v>1693.0300410600901</v>
      </c>
      <c r="F5853" s="515" t="s">
        <v>7084</v>
      </c>
      <c r="G5853" s="52">
        <v>304070.24787855701</v>
      </c>
      <c r="H5853" s="56">
        <v>8.551431003037939E-2</v>
      </c>
      <c r="I5853" s="224" t="s">
        <v>2</v>
      </c>
    </row>
    <row r="5854" spans="1:9" x14ac:dyDescent="0.25">
      <c r="A5854" s="515">
        <v>78259</v>
      </c>
      <c r="B5854" s="515" t="s">
        <v>717</v>
      </c>
      <c r="C5854" s="52">
        <v>400145.918335945</v>
      </c>
      <c r="D5854" s="56">
        <v>9.033780421825699E-2</v>
      </c>
      <c r="E5854" s="224">
        <v>1740.0285714285701</v>
      </c>
      <c r="F5854" s="515" t="s">
        <v>7085</v>
      </c>
      <c r="G5854" s="52">
        <v>242735.27346900001</v>
      </c>
      <c r="H5854" s="56">
        <v>5.8955522373301594E-2</v>
      </c>
      <c r="I5854" s="224" t="s">
        <v>2</v>
      </c>
    </row>
    <row r="5855" spans="1:9" x14ac:dyDescent="0.25">
      <c r="A5855" s="515">
        <v>48114</v>
      </c>
      <c r="B5855" s="515" t="s">
        <v>685</v>
      </c>
      <c r="C5855" s="52">
        <v>406886.94429764402</v>
      </c>
      <c r="D5855" s="56">
        <v>6.801935480895295E-2</v>
      </c>
      <c r="E5855" s="224" t="s">
        <v>2</v>
      </c>
      <c r="F5855" s="515" t="s">
        <v>7086</v>
      </c>
      <c r="G5855" s="52">
        <v>176545.94676326099</v>
      </c>
      <c r="H5855" s="56">
        <v>0.22264019702325072</v>
      </c>
      <c r="I5855" s="224" t="s">
        <v>2</v>
      </c>
    </row>
    <row r="5856" spans="1:9" x14ac:dyDescent="0.25">
      <c r="A5856" s="515">
        <v>39305</v>
      </c>
      <c r="B5856" s="515" t="s">
        <v>970</v>
      </c>
      <c r="C5856" s="52">
        <v>183774.69756488601</v>
      </c>
      <c r="D5856" s="56">
        <v>4.0904037555864678E-2</v>
      </c>
      <c r="E5856" s="224" t="s">
        <v>2</v>
      </c>
      <c r="F5856" s="515" t="s">
        <v>7087</v>
      </c>
      <c r="G5856" s="52">
        <v>131058.577301795</v>
      </c>
      <c r="H5856" s="56">
        <v>0.15086643396007748</v>
      </c>
      <c r="I5856" s="224" t="s">
        <v>2</v>
      </c>
    </row>
    <row r="5857" spans="1:9" x14ac:dyDescent="0.25">
      <c r="A5857" s="515">
        <v>53548</v>
      </c>
      <c r="B5857" s="515" t="s">
        <v>379</v>
      </c>
      <c r="C5857" s="52">
        <v>212394.008046826</v>
      </c>
      <c r="D5857" s="56">
        <v>6.4559035824364133E-2</v>
      </c>
      <c r="E5857" s="224" t="s">
        <v>2</v>
      </c>
      <c r="F5857" s="515" t="s">
        <v>7088</v>
      </c>
      <c r="G5857" s="52">
        <v>969103.67400237196</v>
      </c>
      <c r="H5857" s="56">
        <v>7.6637121189450305E-2</v>
      </c>
      <c r="I5857" s="224" t="s">
        <v>2</v>
      </c>
    </row>
    <row r="5858" spans="1:9" x14ac:dyDescent="0.25">
      <c r="A5858" s="515">
        <v>53045</v>
      </c>
      <c r="B5858" s="515" t="s">
        <v>950</v>
      </c>
      <c r="C5858" s="52">
        <v>428842.51371757302</v>
      </c>
      <c r="D5858" s="56">
        <v>2.5540472482248309E-2</v>
      </c>
      <c r="E5858" s="224">
        <v>1748.8333333333301</v>
      </c>
      <c r="F5858" s="515" t="s">
        <v>7089</v>
      </c>
      <c r="G5858" s="52">
        <v>218438.01221639299</v>
      </c>
      <c r="H5858" s="56">
        <v>0.17689897018060713</v>
      </c>
      <c r="I5858" s="224" t="s">
        <v>2</v>
      </c>
    </row>
    <row r="5859" spans="1:9" x14ac:dyDescent="0.25">
      <c r="A5859" s="515">
        <v>44001</v>
      </c>
      <c r="B5859" s="515" t="s">
        <v>520</v>
      </c>
      <c r="C5859" s="52">
        <v>230622.92334396299</v>
      </c>
      <c r="D5859" s="56">
        <v>7.4660964403611127E-2</v>
      </c>
      <c r="E5859" s="224" t="s">
        <v>2</v>
      </c>
      <c r="F5859" s="515" t="s">
        <v>7090</v>
      </c>
      <c r="G5859" s="52">
        <v>272119.12194071698</v>
      </c>
      <c r="H5859" s="56">
        <v>0.11184892462606566</v>
      </c>
      <c r="I5859" s="224" t="s">
        <v>2</v>
      </c>
    </row>
    <row r="5860" spans="1:9" x14ac:dyDescent="0.25">
      <c r="A5860" s="515">
        <v>7724</v>
      </c>
      <c r="B5860" s="515" t="s">
        <v>324</v>
      </c>
      <c r="C5860" s="52">
        <v>539004.72806307499</v>
      </c>
      <c r="D5860" s="56">
        <v>0.10079557231015376</v>
      </c>
      <c r="E5860" s="224">
        <v>2085.1666666666601</v>
      </c>
      <c r="F5860" s="515" t="s">
        <v>7091</v>
      </c>
      <c r="G5860" s="52">
        <v>264479.52632009599</v>
      </c>
      <c r="H5860" s="56">
        <v>7.5649031233045047E-2</v>
      </c>
      <c r="I5860" s="224" t="s">
        <v>2</v>
      </c>
    </row>
    <row r="5861" spans="1:9" x14ac:dyDescent="0.25">
      <c r="A5861" s="515">
        <v>33323</v>
      </c>
      <c r="B5861" s="515" t="s">
        <v>831</v>
      </c>
      <c r="C5861" s="52">
        <v>483788.55926800502</v>
      </c>
      <c r="D5861" s="56">
        <v>0.1250179307100884</v>
      </c>
      <c r="E5861" s="224">
        <v>2855.3968253968201</v>
      </c>
      <c r="F5861" s="515" t="s">
        <v>7092</v>
      </c>
      <c r="G5861" s="52">
        <v>523889.85573843401</v>
      </c>
      <c r="H5861" s="56">
        <v>8.5117207713025514E-2</v>
      </c>
      <c r="I5861" s="224" t="s">
        <v>2</v>
      </c>
    </row>
    <row r="5862" spans="1:9" x14ac:dyDescent="0.25">
      <c r="A5862" s="515">
        <v>10037</v>
      </c>
      <c r="B5862" s="515" t="s">
        <v>324</v>
      </c>
      <c r="C5862" s="52">
        <v>564271.39878031996</v>
      </c>
      <c r="D5862" s="56">
        <v>0.34044806660736443</v>
      </c>
      <c r="E5862" s="224">
        <v>2411.25</v>
      </c>
      <c r="F5862" s="515" t="s">
        <v>608</v>
      </c>
      <c r="G5862" s="52">
        <v>145234.143577173</v>
      </c>
      <c r="H5862" s="56">
        <v>6.8657225966348573E-2</v>
      </c>
      <c r="I5862" s="224" t="s">
        <v>2</v>
      </c>
    </row>
    <row r="5863" spans="1:9" x14ac:dyDescent="0.25">
      <c r="A5863" s="515">
        <v>29170</v>
      </c>
      <c r="B5863" s="515" t="s">
        <v>762</v>
      </c>
      <c r="C5863" s="52">
        <v>218917.03384970399</v>
      </c>
      <c r="D5863" s="56">
        <v>0.1544499368535239</v>
      </c>
      <c r="E5863" s="224" t="s">
        <v>2</v>
      </c>
      <c r="F5863" s="515" t="s">
        <v>7093</v>
      </c>
      <c r="G5863" s="52">
        <v>186175.682111667</v>
      </c>
      <c r="H5863" s="56">
        <v>4.7312402338382437E-2</v>
      </c>
      <c r="I5863" s="224" t="s">
        <v>2</v>
      </c>
    </row>
    <row r="5864" spans="1:9" x14ac:dyDescent="0.25">
      <c r="A5864" s="515">
        <v>33487</v>
      </c>
      <c r="B5864" s="515" t="s">
        <v>831</v>
      </c>
      <c r="C5864" s="52">
        <v>644570.20552211395</v>
      </c>
      <c r="D5864" s="56">
        <v>0.13369835768544108</v>
      </c>
      <c r="E5864" s="224">
        <v>3526.5482142857099</v>
      </c>
      <c r="F5864" s="515" t="s">
        <v>7094</v>
      </c>
      <c r="G5864" s="52">
        <v>724330.94935497199</v>
      </c>
      <c r="H5864" s="56">
        <v>9.6967921586332134E-2</v>
      </c>
      <c r="I5864" s="224" t="s">
        <v>2</v>
      </c>
    </row>
    <row r="5865" spans="1:9" x14ac:dyDescent="0.25">
      <c r="A5865" s="515">
        <v>39565</v>
      </c>
      <c r="B5865" s="515" t="s">
        <v>963</v>
      </c>
      <c r="C5865" s="52">
        <v>231330.47977596099</v>
      </c>
      <c r="D5865" s="56">
        <v>6.0378888375199391E-2</v>
      </c>
      <c r="E5865" s="224" t="s">
        <v>2</v>
      </c>
      <c r="F5865" s="515" t="s">
        <v>7095</v>
      </c>
      <c r="G5865" s="52">
        <v>349600.64039810398</v>
      </c>
      <c r="H5865" s="56">
        <v>2.9194559742279819E-2</v>
      </c>
      <c r="I5865" s="224" t="s">
        <v>2</v>
      </c>
    </row>
    <row r="5866" spans="1:9" x14ac:dyDescent="0.25">
      <c r="A5866" s="515">
        <v>75771</v>
      </c>
      <c r="B5866" s="515" t="s">
        <v>1157</v>
      </c>
      <c r="C5866" s="52">
        <v>292754.416401366</v>
      </c>
      <c r="D5866" s="56">
        <v>0.10092251171747936</v>
      </c>
      <c r="E5866" s="224" t="s">
        <v>2</v>
      </c>
      <c r="F5866" s="515" t="s">
        <v>7096</v>
      </c>
      <c r="G5866" s="52">
        <v>182287.694790821</v>
      </c>
      <c r="H5866" s="56">
        <v>8.607756238454177E-2</v>
      </c>
      <c r="I5866" s="224" t="s">
        <v>2</v>
      </c>
    </row>
    <row r="5867" spans="1:9" x14ac:dyDescent="0.25">
      <c r="A5867" s="515">
        <v>70427</v>
      </c>
      <c r="B5867" s="515" t="s">
        <v>1132</v>
      </c>
      <c r="C5867" s="52">
        <v>68050.228646806005</v>
      </c>
      <c r="D5867" s="56">
        <v>3.1768227682128621E-2</v>
      </c>
      <c r="E5867" s="224" t="s">
        <v>2</v>
      </c>
      <c r="F5867" s="515" t="s">
        <v>7097</v>
      </c>
      <c r="G5867" s="52">
        <v>186478.37864590099</v>
      </c>
      <c r="H5867" s="56">
        <v>8.8877404873720131E-2</v>
      </c>
      <c r="I5867" s="224" t="s">
        <v>2</v>
      </c>
    </row>
    <row r="5868" spans="1:9" x14ac:dyDescent="0.25">
      <c r="A5868" s="515">
        <v>95841</v>
      </c>
      <c r="B5868" s="515" t="s">
        <v>355</v>
      </c>
      <c r="C5868" s="52">
        <v>403368.665544344</v>
      </c>
      <c r="D5868" s="56">
        <v>1.4742364615845526E-2</v>
      </c>
      <c r="E5868" s="224">
        <v>1733.38888888888</v>
      </c>
      <c r="F5868" s="515" t="s">
        <v>7098</v>
      </c>
      <c r="G5868" s="52">
        <v>176380.03117461101</v>
      </c>
      <c r="H5868" s="56">
        <v>8.0897597862173473E-2</v>
      </c>
      <c r="I5868" s="224" t="s">
        <v>2</v>
      </c>
    </row>
    <row r="5869" spans="1:9" x14ac:dyDescent="0.25">
      <c r="A5869" s="515">
        <v>98005</v>
      </c>
      <c r="B5869" s="515" t="s">
        <v>384</v>
      </c>
      <c r="C5869" s="52">
        <v>1410314.8041320101</v>
      </c>
      <c r="D5869" s="56">
        <v>2.4368689857730261E-2</v>
      </c>
      <c r="E5869" s="224">
        <v>2716.0707070706999</v>
      </c>
      <c r="F5869" s="515" t="s">
        <v>7099</v>
      </c>
      <c r="G5869" s="52">
        <v>188988.41165905099</v>
      </c>
      <c r="H5869" s="56">
        <v>0.10074044720495463</v>
      </c>
      <c r="I5869" s="224" t="s">
        <v>2</v>
      </c>
    </row>
    <row r="5870" spans="1:9" x14ac:dyDescent="0.25">
      <c r="A5870" s="515">
        <v>73018</v>
      </c>
      <c r="B5870" s="515" t="s">
        <v>385</v>
      </c>
      <c r="C5870" s="52">
        <v>119951.90660050399</v>
      </c>
      <c r="D5870" s="56">
        <v>0.11279911064569687</v>
      </c>
      <c r="E5870" s="224" t="s">
        <v>2</v>
      </c>
      <c r="F5870" s="515" t="s">
        <v>7100</v>
      </c>
      <c r="G5870" s="52">
        <v>510924.74913111603</v>
      </c>
      <c r="H5870" s="56">
        <v>5.7087359075099361E-2</v>
      </c>
      <c r="I5870" s="224" t="s">
        <v>2</v>
      </c>
    </row>
    <row r="5871" spans="1:9" x14ac:dyDescent="0.25">
      <c r="A5871" s="515">
        <v>35010</v>
      </c>
      <c r="B5871" s="515" t="s">
        <v>862</v>
      </c>
      <c r="C5871" s="52">
        <v>160043.139315343</v>
      </c>
      <c r="D5871" s="56">
        <v>5.3580429034897896E-2</v>
      </c>
      <c r="E5871" s="224" t="s">
        <v>2</v>
      </c>
      <c r="F5871" s="515" t="s">
        <v>7101</v>
      </c>
      <c r="G5871" s="52">
        <v>807476.77484534006</v>
      </c>
      <c r="H5871" s="56">
        <v>3.731762064615278E-2</v>
      </c>
      <c r="I5871" s="224" t="s">
        <v>2</v>
      </c>
    </row>
    <row r="5872" spans="1:9" x14ac:dyDescent="0.25">
      <c r="A5872" s="515">
        <v>32609</v>
      </c>
      <c r="B5872" s="515" t="s">
        <v>577</v>
      </c>
      <c r="C5872" s="52">
        <v>202194.05471678099</v>
      </c>
      <c r="D5872" s="56">
        <v>0.1267711596258935</v>
      </c>
      <c r="E5872" s="224" t="s">
        <v>2</v>
      </c>
      <c r="F5872" s="515" t="s">
        <v>7102</v>
      </c>
      <c r="G5872" s="52">
        <v>448508.157684276</v>
      </c>
      <c r="H5872" s="56">
        <v>5.1971691610174439E-2</v>
      </c>
      <c r="I5872" s="224" t="s">
        <v>2</v>
      </c>
    </row>
    <row r="5873" spans="1:9" x14ac:dyDescent="0.25">
      <c r="A5873" s="515">
        <v>46323</v>
      </c>
      <c r="B5873" s="515" t="s">
        <v>394</v>
      </c>
      <c r="C5873" s="52">
        <v>164394.37730205501</v>
      </c>
      <c r="D5873" s="56">
        <v>9.8414340324127575E-2</v>
      </c>
      <c r="E5873" s="224" t="s">
        <v>2</v>
      </c>
      <c r="F5873" s="515" t="s">
        <v>7103</v>
      </c>
      <c r="G5873" s="52">
        <v>159913.32711781701</v>
      </c>
      <c r="H5873" s="56">
        <v>5.6142969407727845E-2</v>
      </c>
      <c r="I5873" s="224" t="s">
        <v>2</v>
      </c>
    </row>
    <row r="5874" spans="1:9" x14ac:dyDescent="0.25">
      <c r="A5874" s="515">
        <v>2492</v>
      </c>
      <c r="B5874" s="515" t="s">
        <v>534</v>
      </c>
      <c r="C5874" s="52">
        <v>1317627.8691396101</v>
      </c>
      <c r="D5874" s="56">
        <v>3.3432940208552697E-2</v>
      </c>
      <c r="E5874" s="224" t="s">
        <v>2</v>
      </c>
      <c r="F5874" s="515" t="s">
        <v>7104</v>
      </c>
      <c r="G5874" s="52">
        <v>131399.24791347899</v>
      </c>
      <c r="H5874" s="56">
        <v>0.18226293969176718</v>
      </c>
      <c r="I5874" s="224" t="s">
        <v>2</v>
      </c>
    </row>
    <row r="5875" spans="1:9" x14ac:dyDescent="0.25">
      <c r="A5875" s="515">
        <v>45822</v>
      </c>
      <c r="B5875" s="515" t="s">
        <v>432</v>
      </c>
      <c r="C5875" s="52">
        <v>193406.54017008399</v>
      </c>
      <c r="D5875" s="56">
        <v>6.5254258080888541E-2</v>
      </c>
      <c r="E5875" s="224" t="s">
        <v>2</v>
      </c>
      <c r="F5875" s="515" t="s">
        <v>7105</v>
      </c>
      <c r="G5875" s="52">
        <v>325890.72211726202</v>
      </c>
      <c r="H5875" s="56">
        <v>7.0327803825010568E-2</v>
      </c>
      <c r="I5875" s="224" t="s">
        <v>2</v>
      </c>
    </row>
    <row r="5876" spans="1:9" x14ac:dyDescent="0.25">
      <c r="A5876" s="515">
        <v>33761</v>
      </c>
      <c r="B5876" s="515" t="s">
        <v>461</v>
      </c>
      <c r="C5876" s="52">
        <v>346591.32740668597</v>
      </c>
      <c r="D5876" s="56">
        <v>0.10372378790023004</v>
      </c>
      <c r="E5876" s="224">
        <v>2030.2222222222199</v>
      </c>
      <c r="F5876" s="515" t="s">
        <v>7106</v>
      </c>
      <c r="G5876" s="52">
        <v>89889.681826569606</v>
      </c>
      <c r="H5876" s="56">
        <v>4.3647174851132842E-2</v>
      </c>
      <c r="I5876" s="224" t="s">
        <v>2</v>
      </c>
    </row>
    <row r="5877" spans="1:9" x14ac:dyDescent="0.25">
      <c r="A5877" s="515">
        <v>49037</v>
      </c>
      <c r="B5877" s="515" t="s">
        <v>1062</v>
      </c>
      <c r="C5877" s="52">
        <v>97452.107909331404</v>
      </c>
      <c r="D5877" s="56">
        <v>2.9298964781064144E-2</v>
      </c>
      <c r="E5877" s="224" t="s">
        <v>2</v>
      </c>
      <c r="F5877" s="515" t="s">
        <v>7107</v>
      </c>
      <c r="G5877" s="52">
        <v>487481.07354020799</v>
      </c>
      <c r="H5877" s="56">
        <v>0.11899603665283208</v>
      </c>
      <c r="I5877" s="224" t="s">
        <v>2</v>
      </c>
    </row>
    <row r="5878" spans="1:9" x14ac:dyDescent="0.25">
      <c r="A5878" s="515">
        <v>33598</v>
      </c>
      <c r="B5878" s="515" t="s">
        <v>461</v>
      </c>
      <c r="C5878" s="52">
        <v>386986.35950740299</v>
      </c>
      <c r="D5878" s="56">
        <v>0.14286785162136656</v>
      </c>
      <c r="E5878" s="224">
        <v>2615</v>
      </c>
      <c r="F5878" s="515" t="s">
        <v>7108</v>
      </c>
      <c r="G5878" s="52">
        <v>140513.30985915399</v>
      </c>
      <c r="H5878" s="56">
        <v>0</v>
      </c>
      <c r="I5878" s="224" t="s">
        <v>2</v>
      </c>
    </row>
    <row r="5879" spans="1:9" x14ac:dyDescent="0.25">
      <c r="A5879" s="515">
        <v>85139</v>
      </c>
      <c r="B5879" s="515" t="s">
        <v>563</v>
      </c>
      <c r="C5879" s="52">
        <v>351022.55161545199</v>
      </c>
      <c r="D5879" s="56">
        <v>2.59464311780798E-2</v>
      </c>
      <c r="E5879" s="224">
        <v>1792.2222222222199</v>
      </c>
      <c r="F5879" s="515" t="s">
        <v>7109</v>
      </c>
      <c r="G5879" s="52">
        <v>439329.93419215799</v>
      </c>
      <c r="H5879" s="56">
        <v>2.3334001476535927E-3</v>
      </c>
      <c r="I5879" s="224">
        <v>1591.6666666666599</v>
      </c>
    </row>
    <row r="5880" spans="1:9" x14ac:dyDescent="0.25">
      <c r="A5880" s="515">
        <v>92532</v>
      </c>
      <c r="B5880" s="515" t="s">
        <v>599</v>
      </c>
      <c r="C5880" s="52">
        <v>577826.78417179896</v>
      </c>
      <c r="D5880" s="56">
        <v>3.3215116819465276E-2</v>
      </c>
      <c r="E5880" s="224">
        <v>2437.24761904761</v>
      </c>
      <c r="F5880" s="515" t="s">
        <v>7110</v>
      </c>
      <c r="G5880" s="52">
        <v>583064.72355068999</v>
      </c>
      <c r="H5880" s="56">
        <v>1.4284996989713011E-2</v>
      </c>
      <c r="I5880" s="224" t="s">
        <v>2</v>
      </c>
    </row>
    <row r="5881" spans="1:9" x14ac:dyDescent="0.25">
      <c r="A5881" s="515">
        <v>64506</v>
      </c>
      <c r="B5881" s="515" t="s">
        <v>371</v>
      </c>
      <c r="C5881" s="52">
        <v>221463.76905329301</v>
      </c>
      <c r="D5881" s="56">
        <v>5.3944388372220611E-2</v>
      </c>
      <c r="E5881" s="224">
        <v>1025</v>
      </c>
      <c r="F5881" s="515" t="s">
        <v>7111</v>
      </c>
      <c r="G5881" s="52">
        <v>197772.41964574999</v>
      </c>
      <c r="H5881" s="56">
        <v>-1.1628265552345963E-2</v>
      </c>
      <c r="I5881" s="224" t="s">
        <v>2</v>
      </c>
    </row>
    <row r="5882" spans="1:9" x14ac:dyDescent="0.25">
      <c r="A5882" s="515">
        <v>35080</v>
      </c>
      <c r="B5882" s="515" t="s">
        <v>640</v>
      </c>
      <c r="C5882" s="52">
        <v>309463.98204825597</v>
      </c>
      <c r="D5882" s="56">
        <v>8.1395119360704565E-2</v>
      </c>
      <c r="E5882" s="224">
        <v>1730</v>
      </c>
      <c r="F5882" s="515" t="s">
        <v>7112</v>
      </c>
      <c r="G5882" s="52">
        <v>569262.95208654902</v>
      </c>
      <c r="H5882" s="56">
        <v>4.301753787255262E-3</v>
      </c>
      <c r="I5882" s="224" t="s">
        <v>2</v>
      </c>
    </row>
    <row r="5883" spans="1:9" x14ac:dyDescent="0.25">
      <c r="A5883" s="515">
        <v>36575</v>
      </c>
      <c r="B5883" s="515" t="s">
        <v>815</v>
      </c>
      <c r="C5883" s="52">
        <v>221747.248165267</v>
      </c>
      <c r="D5883" s="56">
        <v>7.5746566941095189E-2</v>
      </c>
      <c r="E5883" s="224" t="s">
        <v>2</v>
      </c>
      <c r="F5883" s="515" t="s">
        <v>7113</v>
      </c>
      <c r="G5883" s="52">
        <v>549099.20420225896</v>
      </c>
      <c r="H5883" s="56">
        <v>4.1181773198622193E-2</v>
      </c>
      <c r="I5883" s="224" t="s">
        <v>2</v>
      </c>
    </row>
    <row r="5884" spans="1:9" x14ac:dyDescent="0.25">
      <c r="A5884" s="515">
        <v>47834</v>
      </c>
      <c r="B5884" s="515" t="s">
        <v>318</v>
      </c>
      <c r="C5884" s="52">
        <v>157800.943691842</v>
      </c>
      <c r="D5884" s="56">
        <v>6.7330672036984993E-2</v>
      </c>
      <c r="E5884" s="224" t="s">
        <v>2</v>
      </c>
      <c r="F5884" s="515" t="s">
        <v>7114</v>
      </c>
      <c r="G5884" s="52">
        <v>128686.895464438</v>
      </c>
      <c r="H5884" s="56">
        <v>-4.3881068671697672E-2</v>
      </c>
      <c r="I5884" s="224" t="s">
        <v>2</v>
      </c>
    </row>
    <row r="5885" spans="1:9" x14ac:dyDescent="0.25">
      <c r="A5885" s="515">
        <v>23005</v>
      </c>
      <c r="B5885" s="515" t="s">
        <v>667</v>
      </c>
      <c r="C5885" s="52">
        <v>359900.220033655</v>
      </c>
      <c r="D5885" s="56">
        <v>7.0441364763085823E-2</v>
      </c>
      <c r="E5885" s="224" t="s">
        <v>2</v>
      </c>
      <c r="F5885" s="515" t="s">
        <v>7115</v>
      </c>
      <c r="G5885" s="52">
        <v>398277.13444845501</v>
      </c>
      <c r="H5885" s="56">
        <v>6.7661311772911681E-2</v>
      </c>
      <c r="I5885" s="224" t="s">
        <v>2</v>
      </c>
    </row>
    <row r="5886" spans="1:9" x14ac:dyDescent="0.25">
      <c r="A5886" s="515">
        <v>46706</v>
      </c>
      <c r="B5886" s="515" t="s">
        <v>1008</v>
      </c>
      <c r="C5886" s="52">
        <v>221174.300894427</v>
      </c>
      <c r="D5886" s="56">
        <v>6.9026130786264517E-2</v>
      </c>
      <c r="E5886" s="224" t="s">
        <v>2</v>
      </c>
      <c r="F5886" s="515" t="s">
        <v>7116</v>
      </c>
      <c r="G5886" s="52">
        <v>126043.14494533199</v>
      </c>
      <c r="H5886" s="56">
        <v>0.11478406759276386</v>
      </c>
      <c r="I5886" s="224" t="s">
        <v>2</v>
      </c>
    </row>
    <row r="5887" spans="1:9" x14ac:dyDescent="0.25">
      <c r="A5887" s="515">
        <v>64063</v>
      </c>
      <c r="B5887" s="515" t="s">
        <v>455</v>
      </c>
      <c r="C5887" s="52">
        <v>263470.19272966601</v>
      </c>
      <c r="D5887" s="56">
        <v>6.8348517645562629E-2</v>
      </c>
      <c r="E5887" s="224">
        <v>1528.3333333333301</v>
      </c>
      <c r="F5887" s="515" t="s">
        <v>7117</v>
      </c>
      <c r="G5887" s="52">
        <v>112115.476122245</v>
      </c>
      <c r="H5887" s="56">
        <v>2.0684236677334919E-2</v>
      </c>
      <c r="I5887" s="224" t="s">
        <v>2</v>
      </c>
    </row>
    <row r="5888" spans="1:9" x14ac:dyDescent="0.25">
      <c r="A5888" s="515">
        <v>85013</v>
      </c>
      <c r="B5888" s="515" t="s">
        <v>563</v>
      </c>
      <c r="C5888" s="52">
        <v>466791.07187606802</v>
      </c>
      <c r="D5888" s="56">
        <v>4.7024894259323213E-2</v>
      </c>
      <c r="E5888" s="224">
        <v>1676.6031746031699</v>
      </c>
      <c r="F5888" s="515" t="s">
        <v>7118</v>
      </c>
      <c r="G5888" s="52">
        <v>53530.513494944302</v>
      </c>
      <c r="H5888" s="56">
        <v>0.13638926761822492</v>
      </c>
      <c r="I5888" s="224" t="s">
        <v>2</v>
      </c>
    </row>
    <row r="5889" spans="1:9" x14ac:dyDescent="0.25">
      <c r="A5889" s="515">
        <v>44104</v>
      </c>
      <c r="B5889" s="515" t="s">
        <v>520</v>
      </c>
      <c r="C5889" s="52">
        <v>52780.849140978899</v>
      </c>
      <c r="D5889" s="56">
        <v>8.3278327927860565E-2</v>
      </c>
      <c r="E5889" s="224">
        <v>1300</v>
      </c>
      <c r="F5889" s="515" t="s">
        <v>7119</v>
      </c>
      <c r="G5889" s="52">
        <v>351053.790116527</v>
      </c>
      <c r="H5889" s="56">
        <v>9.7591693318223052E-2</v>
      </c>
      <c r="I5889" s="224" t="s">
        <v>2</v>
      </c>
    </row>
    <row r="5890" spans="1:9" x14ac:dyDescent="0.25">
      <c r="A5890" s="515">
        <v>28630</v>
      </c>
      <c r="B5890" s="515" t="s">
        <v>638</v>
      </c>
      <c r="C5890" s="52">
        <v>215444.516991807</v>
      </c>
      <c r="D5890" s="56">
        <v>0.18776920307075062</v>
      </c>
      <c r="E5890" s="224" t="s">
        <v>2</v>
      </c>
      <c r="F5890" s="515" t="s">
        <v>7120</v>
      </c>
      <c r="G5890" s="52">
        <v>696929.79268995905</v>
      </c>
      <c r="H5890" s="56">
        <v>0.12525572832267984</v>
      </c>
      <c r="I5890" s="224" t="s">
        <v>2</v>
      </c>
    </row>
    <row r="5891" spans="1:9" x14ac:dyDescent="0.25">
      <c r="A5891" s="515">
        <v>8028</v>
      </c>
      <c r="B5891" s="515" t="s">
        <v>294</v>
      </c>
      <c r="C5891" s="52">
        <v>283538.76756337599</v>
      </c>
      <c r="D5891" s="56">
        <v>8.0097345444808482E-2</v>
      </c>
      <c r="E5891" s="224">
        <v>2840.5423280423202</v>
      </c>
      <c r="F5891" s="515" t="s">
        <v>7121</v>
      </c>
      <c r="G5891" s="52">
        <v>394906.28628363501</v>
      </c>
      <c r="H5891" s="56">
        <v>0.15972369535058395</v>
      </c>
      <c r="I5891" s="224" t="s">
        <v>2</v>
      </c>
    </row>
    <row r="5892" spans="1:9" x14ac:dyDescent="0.25">
      <c r="A5892" s="515">
        <v>41015</v>
      </c>
      <c r="B5892" s="515" t="s">
        <v>344</v>
      </c>
      <c r="C5892" s="52">
        <v>177412.092282848</v>
      </c>
      <c r="D5892" s="56">
        <v>6.1649538507276759E-2</v>
      </c>
      <c r="E5892" s="224" t="s">
        <v>2</v>
      </c>
      <c r="F5892" s="515" t="s">
        <v>7122</v>
      </c>
      <c r="G5892" s="52">
        <v>112358.941226807</v>
      </c>
      <c r="H5892" s="56">
        <v>0.15356440022847551</v>
      </c>
      <c r="I5892" s="224" t="s">
        <v>2</v>
      </c>
    </row>
    <row r="5893" spans="1:9" x14ac:dyDescent="0.25">
      <c r="A5893" s="515">
        <v>74135</v>
      </c>
      <c r="B5893" s="515" t="s">
        <v>348</v>
      </c>
      <c r="C5893" s="52">
        <v>238755.71937509201</v>
      </c>
      <c r="D5893" s="56">
        <v>8.3879497278028833E-2</v>
      </c>
      <c r="E5893" s="224">
        <v>1431.94444444444</v>
      </c>
      <c r="F5893" s="515" t="s">
        <v>7123</v>
      </c>
      <c r="G5893" s="52">
        <v>959007.57416839595</v>
      </c>
      <c r="H5893" s="56">
        <v>8.0467899717866873E-2</v>
      </c>
      <c r="I5893" s="224" t="s">
        <v>2</v>
      </c>
    </row>
    <row r="5894" spans="1:9" x14ac:dyDescent="0.25">
      <c r="A5894" s="515">
        <v>43202</v>
      </c>
      <c r="B5894" s="515" t="s">
        <v>345</v>
      </c>
      <c r="C5894" s="52">
        <v>299177.82288060698</v>
      </c>
      <c r="D5894" s="56">
        <v>2.1662264126456825E-2</v>
      </c>
      <c r="E5894" s="224">
        <v>1396.9555555555501</v>
      </c>
      <c r="F5894" s="515" t="s">
        <v>7124</v>
      </c>
      <c r="G5894" s="52">
        <v>498618.01775786001</v>
      </c>
      <c r="H5894" s="56">
        <v>4.8084943462142916E-3</v>
      </c>
      <c r="I5894" s="224" t="s">
        <v>2</v>
      </c>
    </row>
    <row r="5895" spans="1:9" x14ac:dyDescent="0.25">
      <c r="A5895" s="515">
        <v>98221</v>
      </c>
      <c r="B5895" s="515" t="s">
        <v>454</v>
      </c>
      <c r="C5895" s="52">
        <v>662907.06553121901</v>
      </c>
      <c r="D5895" s="56">
        <v>2.0669839783793758E-2</v>
      </c>
      <c r="E5895" s="224">
        <v>2465.8333333333298</v>
      </c>
      <c r="F5895" s="515" t="s">
        <v>1032</v>
      </c>
      <c r="G5895" s="52">
        <v>161055.33698903199</v>
      </c>
      <c r="H5895" s="56">
        <v>0</v>
      </c>
      <c r="I5895" s="224" t="s">
        <v>2</v>
      </c>
    </row>
    <row r="5896" spans="1:9" x14ac:dyDescent="0.25">
      <c r="A5896" s="515">
        <v>29360</v>
      </c>
      <c r="B5896" s="515" t="s">
        <v>613</v>
      </c>
      <c r="C5896" s="52">
        <v>125406.98947792</v>
      </c>
      <c r="D5896" s="56">
        <v>0.16557133341003216</v>
      </c>
      <c r="E5896" s="224" t="s">
        <v>2</v>
      </c>
      <c r="F5896" s="515" t="s">
        <v>7125</v>
      </c>
      <c r="G5896" s="52">
        <v>487160.90990154201</v>
      </c>
      <c r="H5896" s="56">
        <v>6.4764060262710479E-4</v>
      </c>
      <c r="I5896" s="224">
        <v>2281.2222222222199</v>
      </c>
    </row>
    <row r="5897" spans="1:9" x14ac:dyDescent="0.25">
      <c r="A5897" s="515">
        <v>2459</v>
      </c>
      <c r="B5897" s="515" t="s">
        <v>534</v>
      </c>
      <c r="C5897" s="52">
        <v>1514096.5833449101</v>
      </c>
      <c r="D5897" s="56">
        <v>6.5607803219238536E-2</v>
      </c>
      <c r="E5897" s="224">
        <v>3600</v>
      </c>
      <c r="F5897" s="515" t="s">
        <v>7126</v>
      </c>
      <c r="G5897" s="52">
        <v>270156.62820331898</v>
      </c>
      <c r="H5897" s="56">
        <v>8.3034104789369817E-2</v>
      </c>
      <c r="I5897" s="224">
        <v>2122.5</v>
      </c>
    </row>
    <row r="5898" spans="1:9" x14ac:dyDescent="0.25">
      <c r="A5898" s="515">
        <v>98310</v>
      </c>
      <c r="B5898" s="515" t="s">
        <v>620</v>
      </c>
      <c r="C5898" s="52">
        <v>423068.76626877999</v>
      </c>
      <c r="D5898" s="56">
        <v>1.1694576164229614E-2</v>
      </c>
      <c r="E5898" s="224">
        <v>1857</v>
      </c>
      <c r="F5898" s="515" t="s">
        <v>7127</v>
      </c>
      <c r="G5898" s="52">
        <v>170678.91179327</v>
      </c>
      <c r="H5898" s="56">
        <v>2.9849033134192324E-2</v>
      </c>
      <c r="I5898" s="224" t="s">
        <v>2</v>
      </c>
    </row>
    <row r="5899" spans="1:9" x14ac:dyDescent="0.25">
      <c r="A5899" s="515">
        <v>71109</v>
      </c>
      <c r="B5899" s="515" t="s">
        <v>739</v>
      </c>
      <c r="C5899" s="52">
        <v>33165.4157786016</v>
      </c>
      <c r="D5899" s="56">
        <v>0.13846424685303421</v>
      </c>
      <c r="E5899" s="224" t="s">
        <v>2</v>
      </c>
      <c r="F5899" s="515" t="s">
        <v>7128</v>
      </c>
      <c r="G5899" s="52">
        <v>308186.93415149598</v>
      </c>
      <c r="H5899" s="56">
        <v>6.4919520278431272E-2</v>
      </c>
      <c r="I5899" s="224" t="s">
        <v>2</v>
      </c>
    </row>
    <row r="5900" spans="1:9" x14ac:dyDescent="0.25">
      <c r="A5900" s="515">
        <v>35126</v>
      </c>
      <c r="B5900" s="515" t="s">
        <v>640</v>
      </c>
      <c r="C5900" s="52">
        <v>218376.37369069501</v>
      </c>
      <c r="D5900" s="56">
        <v>0.10649893502920596</v>
      </c>
      <c r="E5900" s="224">
        <v>1623</v>
      </c>
      <c r="F5900" s="515" t="s">
        <v>7129</v>
      </c>
      <c r="G5900" s="52">
        <v>179273.25679031099</v>
      </c>
      <c r="H5900" s="56">
        <v>7.1837833835307743E-2</v>
      </c>
      <c r="I5900" s="224" t="s">
        <v>2</v>
      </c>
    </row>
    <row r="5901" spans="1:9" x14ac:dyDescent="0.25">
      <c r="A5901" s="515">
        <v>71108</v>
      </c>
      <c r="B5901" s="515" t="s">
        <v>739</v>
      </c>
      <c r="C5901" s="52">
        <v>44758.741982386498</v>
      </c>
      <c r="D5901" s="56">
        <v>8.3896592810953186E-2</v>
      </c>
      <c r="E5901" s="224">
        <v>771.66666666666595</v>
      </c>
      <c r="F5901" s="515" t="s">
        <v>7130</v>
      </c>
      <c r="G5901" s="52">
        <v>340136.63033449202</v>
      </c>
      <c r="H5901" s="56">
        <v>0.10426317526603876</v>
      </c>
      <c r="I5901" s="224" t="s">
        <v>2</v>
      </c>
    </row>
    <row r="5902" spans="1:9" x14ac:dyDescent="0.25">
      <c r="A5902" s="515">
        <v>27886</v>
      </c>
      <c r="B5902" s="515" t="s">
        <v>1152</v>
      </c>
      <c r="C5902" s="52">
        <v>134982.734181857</v>
      </c>
      <c r="D5902" s="56">
        <v>0.1997831418584331</v>
      </c>
      <c r="E5902" s="224" t="s">
        <v>2</v>
      </c>
      <c r="F5902" s="515" t="s">
        <v>7131</v>
      </c>
      <c r="G5902" s="52">
        <v>591203.892539163</v>
      </c>
      <c r="H5902" s="56">
        <v>7.8251042585721617E-2</v>
      </c>
      <c r="I5902" s="224" t="s">
        <v>2</v>
      </c>
    </row>
    <row r="5903" spans="1:9" x14ac:dyDescent="0.25">
      <c r="A5903" s="515">
        <v>27617</v>
      </c>
      <c r="B5903" s="515" t="s">
        <v>484</v>
      </c>
      <c r="C5903" s="52">
        <v>435657.35429463699</v>
      </c>
      <c r="D5903" s="56">
        <v>5.3592532838285405E-2</v>
      </c>
      <c r="E5903" s="224">
        <v>1544.59828877005</v>
      </c>
      <c r="F5903" s="515" t="s">
        <v>7132</v>
      </c>
      <c r="G5903" s="52">
        <v>629434.16353472997</v>
      </c>
      <c r="H5903" s="56">
        <v>7.2612802233448029E-2</v>
      </c>
      <c r="I5903" s="224" t="s">
        <v>2</v>
      </c>
    </row>
    <row r="5904" spans="1:9" x14ac:dyDescent="0.25">
      <c r="A5904" s="515">
        <v>46202</v>
      </c>
      <c r="B5904" s="515" t="s">
        <v>403</v>
      </c>
      <c r="C5904" s="52">
        <v>338985.19039941399</v>
      </c>
      <c r="D5904" s="56">
        <v>-1.1950904524534241E-2</v>
      </c>
      <c r="E5904" s="224">
        <v>1385.18518518518</v>
      </c>
      <c r="F5904" s="515" t="s">
        <v>7133</v>
      </c>
      <c r="G5904" s="52">
        <v>182788.89818510599</v>
      </c>
      <c r="H5904" s="56">
        <v>-1.9413820279901089E-3</v>
      </c>
      <c r="I5904" s="224" t="s">
        <v>2</v>
      </c>
    </row>
    <row r="5905" spans="1:9" x14ac:dyDescent="0.25">
      <c r="A5905" s="515">
        <v>44131</v>
      </c>
      <c r="B5905" s="515" t="s">
        <v>520</v>
      </c>
      <c r="C5905" s="52">
        <v>261042.764124985</v>
      </c>
      <c r="D5905" s="56">
        <v>5.2765871638442999E-2</v>
      </c>
      <c r="E5905" s="224" t="s">
        <v>2</v>
      </c>
      <c r="F5905" s="515" t="s">
        <v>407</v>
      </c>
      <c r="G5905" s="52">
        <v>462504.76115685201</v>
      </c>
      <c r="H5905" s="56">
        <v>0.12958074697655447</v>
      </c>
      <c r="I5905" s="224" t="s">
        <v>2</v>
      </c>
    </row>
    <row r="5906" spans="1:9" x14ac:dyDescent="0.25">
      <c r="A5906" s="515">
        <v>63137</v>
      </c>
      <c r="B5906" s="515" t="s">
        <v>498</v>
      </c>
      <c r="C5906" s="52">
        <v>86113.419827838501</v>
      </c>
      <c r="D5906" s="56">
        <v>0.13123155393185162</v>
      </c>
      <c r="E5906" s="224">
        <v>1129.55555555555</v>
      </c>
      <c r="F5906" s="515" t="s">
        <v>7134</v>
      </c>
      <c r="G5906" s="52">
        <v>180733.460908985</v>
      </c>
      <c r="H5906" s="56">
        <v>7.6992112516334532E-2</v>
      </c>
      <c r="I5906" s="224" t="s">
        <v>2</v>
      </c>
    </row>
    <row r="5907" spans="1:9" x14ac:dyDescent="0.25">
      <c r="A5907" s="515">
        <v>67204</v>
      </c>
      <c r="B5907" s="515" t="s">
        <v>485</v>
      </c>
      <c r="C5907" s="52">
        <v>166497.87760594499</v>
      </c>
      <c r="D5907" s="56">
        <v>9.8965781419962692E-2</v>
      </c>
      <c r="E5907" s="224" t="s">
        <v>2</v>
      </c>
      <c r="F5907" s="515" t="s">
        <v>7135</v>
      </c>
      <c r="G5907" s="52">
        <v>378580.444821148</v>
      </c>
      <c r="H5907" s="56">
        <v>7.0848501028163202E-2</v>
      </c>
      <c r="I5907" s="224" t="s">
        <v>2</v>
      </c>
    </row>
    <row r="5908" spans="1:9" x14ac:dyDescent="0.25">
      <c r="A5908" s="515">
        <v>79065</v>
      </c>
      <c r="B5908" s="515" t="s">
        <v>1111</v>
      </c>
      <c r="C5908" s="52">
        <v>71811.403803177993</v>
      </c>
      <c r="D5908" s="56">
        <v>-1.2844798689119342E-2</v>
      </c>
      <c r="E5908" s="224" t="s">
        <v>2</v>
      </c>
      <c r="F5908" s="515" t="s">
        <v>7136</v>
      </c>
      <c r="G5908" s="52">
        <v>200640.04048824401</v>
      </c>
      <c r="H5908" s="56">
        <v>2.0777006783190072E-2</v>
      </c>
      <c r="I5908" s="224" t="s">
        <v>2</v>
      </c>
    </row>
    <row r="5909" spans="1:9" x14ac:dyDescent="0.25">
      <c r="A5909" s="515">
        <v>39213</v>
      </c>
      <c r="B5909" s="515" t="s">
        <v>851</v>
      </c>
      <c r="C5909" s="52">
        <v>43184.671785997903</v>
      </c>
      <c r="D5909" s="56">
        <v>0.15217703194640247</v>
      </c>
      <c r="E5909" s="224" t="s">
        <v>2</v>
      </c>
      <c r="F5909" s="515" t="s">
        <v>7137</v>
      </c>
      <c r="G5909" s="52">
        <v>210237.61602277501</v>
      </c>
      <c r="H5909" s="56">
        <v>0.16522253385408953</v>
      </c>
      <c r="I5909" s="224" t="s">
        <v>2</v>
      </c>
    </row>
    <row r="5910" spans="1:9" x14ac:dyDescent="0.25">
      <c r="A5910" s="515">
        <v>6840</v>
      </c>
      <c r="B5910" s="515" t="s">
        <v>1173</v>
      </c>
      <c r="C5910" s="52">
        <v>1619038.63855094</v>
      </c>
      <c r="D5910" s="56">
        <v>0.10518060583124056</v>
      </c>
      <c r="E5910" s="224" t="s">
        <v>2</v>
      </c>
      <c r="F5910" s="515" t="s">
        <v>7138</v>
      </c>
      <c r="G5910" s="52">
        <v>651177.456385453</v>
      </c>
      <c r="H5910" s="56">
        <v>6.110957922980826E-2</v>
      </c>
      <c r="I5910" s="224" t="s">
        <v>2</v>
      </c>
    </row>
    <row r="5911" spans="1:9" x14ac:dyDescent="0.25">
      <c r="A5911" s="515">
        <v>33405</v>
      </c>
      <c r="B5911" s="515" t="s">
        <v>831</v>
      </c>
      <c r="C5911" s="52">
        <v>505064.92489944998</v>
      </c>
      <c r="D5911" s="56">
        <v>0.15321202927709648</v>
      </c>
      <c r="E5911" s="224">
        <v>3240.0555555555502</v>
      </c>
      <c r="F5911" s="515" t="s">
        <v>7139</v>
      </c>
      <c r="G5911" s="52">
        <v>1545232.1192866799</v>
      </c>
      <c r="H5911" s="56">
        <v>-2.1929770314343532E-2</v>
      </c>
      <c r="I5911" s="224" t="s">
        <v>2</v>
      </c>
    </row>
    <row r="5912" spans="1:9" x14ac:dyDescent="0.25">
      <c r="A5912" s="515">
        <v>14051</v>
      </c>
      <c r="B5912" s="515" t="s">
        <v>336</v>
      </c>
      <c r="C5912" s="52">
        <v>431199.29322998697</v>
      </c>
      <c r="D5912" s="56">
        <v>6.6345977966530092E-2</v>
      </c>
      <c r="E5912" s="224">
        <v>2125</v>
      </c>
      <c r="F5912" s="515" t="s">
        <v>7140</v>
      </c>
      <c r="G5912" s="52">
        <v>187593.17369944401</v>
      </c>
      <c r="H5912" s="56">
        <v>0.16729523695844778</v>
      </c>
      <c r="I5912" s="224" t="s">
        <v>2</v>
      </c>
    </row>
    <row r="5913" spans="1:9" x14ac:dyDescent="0.25">
      <c r="A5913" s="515">
        <v>75116</v>
      </c>
      <c r="B5913" s="515" t="s">
        <v>458</v>
      </c>
      <c r="C5913" s="52">
        <v>264633.80160818202</v>
      </c>
      <c r="D5913" s="56">
        <v>0.10330050321858189</v>
      </c>
      <c r="E5913" s="224" t="s">
        <v>2</v>
      </c>
      <c r="F5913" s="515" t="s">
        <v>7141</v>
      </c>
      <c r="G5913" s="52">
        <v>180224.28973277</v>
      </c>
      <c r="H5913" s="56">
        <v>0</v>
      </c>
      <c r="I5913" s="224" t="s">
        <v>2</v>
      </c>
    </row>
    <row r="5914" spans="1:9" x14ac:dyDescent="0.25">
      <c r="A5914" s="515">
        <v>2081</v>
      </c>
      <c r="B5914" s="515" t="s">
        <v>534</v>
      </c>
      <c r="C5914" s="52">
        <v>634076.67990826804</v>
      </c>
      <c r="D5914" s="56">
        <v>4.0744757679807328E-2</v>
      </c>
      <c r="E5914" s="224">
        <v>2559.5</v>
      </c>
      <c r="F5914" s="515" t="s">
        <v>7142</v>
      </c>
      <c r="G5914" s="52">
        <v>695125.97236339899</v>
      </c>
      <c r="H5914" s="56">
        <v>3.4816148293335097E-2</v>
      </c>
      <c r="I5914" s="224" t="s">
        <v>2</v>
      </c>
    </row>
    <row r="5915" spans="1:9" x14ac:dyDescent="0.25">
      <c r="A5915" s="515">
        <v>28037</v>
      </c>
      <c r="B5915" s="515" t="s">
        <v>360</v>
      </c>
      <c r="C5915" s="52">
        <v>508026.71859373199</v>
      </c>
      <c r="D5915" s="56">
        <v>0.10451985029501464</v>
      </c>
      <c r="E5915" s="224">
        <v>1554.25</v>
      </c>
      <c r="F5915" s="515" t="s">
        <v>7143</v>
      </c>
      <c r="G5915" s="52">
        <v>131177.124631516</v>
      </c>
      <c r="H5915" s="56">
        <v>7.7799907182719022E-2</v>
      </c>
      <c r="I5915" s="224" t="s">
        <v>2</v>
      </c>
    </row>
    <row r="5916" spans="1:9" x14ac:dyDescent="0.25">
      <c r="A5916" s="515">
        <v>43616</v>
      </c>
      <c r="B5916" s="515" t="s">
        <v>300</v>
      </c>
      <c r="C5916" s="52">
        <v>182569.217096598</v>
      </c>
      <c r="D5916" s="56">
        <v>6.9681765065452234E-2</v>
      </c>
      <c r="E5916" s="224" t="s">
        <v>2</v>
      </c>
      <c r="F5916" s="515" t="s">
        <v>7144</v>
      </c>
      <c r="G5916" s="52">
        <v>335829.769199531</v>
      </c>
      <c r="H5916" s="56">
        <v>3.3070739492312477E-2</v>
      </c>
      <c r="I5916" s="224" t="s">
        <v>2</v>
      </c>
    </row>
    <row r="5917" spans="1:9" x14ac:dyDescent="0.25">
      <c r="A5917" s="515">
        <v>74019</v>
      </c>
      <c r="B5917" s="515" t="s">
        <v>348</v>
      </c>
      <c r="C5917" s="52">
        <v>257002.52697310699</v>
      </c>
      <c r="D5917" s="56">
        <v>9.6797985364950989E-2</v>
      </c>
      <c r="E5917" s="224" t="s">
        <v>2</v>
      </c>
      <c r="F5917" s="515" t="s">
        <v>7145</v>
      </c>
      <c r="G5917" s="52">
        <v>365014.51712367497</v>
      </c>
      <c r="H5917" s="56">
        <v>6.2821045296950428E-2</v>
      </c>
      <c r="I5917" s="224" t="s">
        <v>2</v>
      </c>
    </row>
    <row r="5918" spans="1:9" x14ac:dyDescent="0.25">
      <c r="A5918" s="515">
        <v>99403</v>
      </c>
      <c r="B5918" s="515" t="s">
        <v>736</v>
      </c>
      <c r="C5918" s="52">
        <v>279767.145123419</v>
      </c>
      <c r="D5918" s="56">
        <v>4.9770573339407292E-2</v>
      </c>
      <c r="E5918" s="224" t="s">
        <v>2</v>
      </c>
      <c r="F5918" s="515" t="s">
        <v>7146</v>
      </c>
      <c r="G5918" s="52">
        <v>96253.157655296804</v>
      </c>
      <c r="H5918" s="56">
        <v>0.22922044524795304</v>
      </c>
      <c r="I5918" s="224" t="s">
        <v>2</v>
      </c>
    </row>
    <row r="5919" spans="1:9" x14ac:dyDescent="0.25">
      <c r="A5919" s="515">
        <v>40047</v>
      </c>
      <c r="B5919" s="515" t="s">
        <v>479</v>
      </c>
      <c r="C5919" s="52">
        <v>279462.19666988897</v>
      </c>
      <c r="D5919" s="56">
        <v>5.9489832058524691E-2</v>
      </c>
      <c r="E5919" s="224" t="s">
        <v>2</v>
      </c>
      <c r="F5919" s="515" t="s">
        <v>7147</v>
      </c>
      <c r="G5919" s="52">
        <v>210440.27619629199</v>
      </c>
      <c r="H5919" s="56">
        <v>2.2515424569217141E-2</v>
      </c>
      <c r="I5919" s="224" t="s">
        <v>2</v>
      </c>
    </row>
    <row r="5920" spans="1:9" x14ac:dyDescent="0.25">
      <c r="A5920" s="515">
        <v>8104</v>
      </c>
      <c r="B5920" s="515" t="s">
        <v>294</v>
      </c>
      <c r="C5920" s="52">
        <v>82739.137206217201</v>
      </c>
      <c r="D5920" s="56">
        <v>0.26899513106796857</v>
      </c>
      <c r="E5920" s="224" t="s">
        <v>2</v>
      </c>
      <c r="F5920" s="515" t="s">
        <v>7148</v>
      </c>
      <c r="G5920" s="52">
        <v>332603.49418810301</v>
      </c>
      <c r="H5920" s="56">
        <v>7.5656148666352049E-2</v>
      </c>
      <c r="I5920" s="224">
        <v>1560.43333333333</v>
      </c>
    </row>
    <row r="5921" spans="1:9" x14ac:dyDescent="0.25">
      <c r="A5921" s="515">
        <v>48842</v>
      </c>
      <c r="B5921" s="515" t="s">
        <v>528</v>
      </c>
      <c r="C5921" s="52">
        <v>222449.578066227</v>
      </c>
      <c r="D5921" s="56">
        <v>8.3685087850839182E-2</v>
      </c>
      <c r="E5921" s="224">
        <v>1445.3333333333301</v>
      </c>
      <c r="F5921" s="515" t="s">
        <v>7149</v>
      </c>
      <c r="G5921" s="52">
        <v>227463.14523523999</v>
      </c>
      <c r="H5921" s="56">
        <v>4.9877469457904493E-2</v>
      </c>
      <c r="I5921" s="224" t="s">
        <v>2</v>
      </c>
    </row>
    <row r="5922" spans="1:9" x14ac:dyDescent="0.25">
      <c r="A5922" s="515">
        <v>85310</v>
      </c>
      <c r="B5922" s="515" t="s">
        <v>563</v>
      </c>
      <c r="C5922" s="52">
        <v>506412.04848837497</v>
      </c>
      <c r="D5922" s="56">
        <v>3.8724171399617875E-2</v>
      </c>
      <c r="E5922" s="224">
        <v>2452.1111111111099</v>
      </c>
      <c r="F5922" s="515" t="s">
        <v>7150</v>
      </c>
      <c r="G5922" s="52">
        <v>254760.75525352999</v>
      </c>
      <c r="H5922" s="56">
        <v>0.10218449032775799</v>
      </c>
      <c r="I5922" s="224" t="s">
        <v>2</v>
      </c>
    </row>
    <row r="5923" spans="1:9" x14ac:dyDescent="0.25">
      <c r="A5923" s="515">
        <v>80223</v>
      </c>
      <c r="B5923" s="515" t="s">
        <v>401</v>
      </c>
      <c r="C5923" s="52">
        <v>468267.100107064</v>
      </c>
      <c r="D5923" s="56">
        <v>1.301718499044204E-2</v>
      </c>
      <c r="E5923" s="224">
        <v>1886.25952380952</v>
      </c>
      <c r="F5923" s="515" t="s">
        <v>7151</v>
      </c>
      <c r="G5923" s="52">
        <v>207267.277222773</v>
      </c>
      <c r="H5923" s="56">
        <v>7.4356139257618581E-2</v>
      </c>
      <c r="I5923" s="224" t="s">
        <v>2</v>
      </c>
    </row>
    <row r="5924" spans="1:9" x14ac:dyDescent="0.25">
      <c r="A5924" s="515">
        <v>93444</v>
      </c>
      <c r="B5924" s="515" t="s">
        <v>959</v>
      </c>
      <c r="C5924" s="52">
        <v>801543.47214380396</v>
      </c>
      <c r="D5924" s="56">
        <v>7.2022548032086034E-2</v>
      </c>
      <c r="E5924" s="224" t="s">
        <v>2</v>
      </c>
      <c r="F5924" s="515" t="s">
        <v>7152</v>
      </c>
      <c r="G5924" s="52">
        <v>343836.14856225398</v>
      </c>
      <c r="H5924" s="56">
        <v>6.9448965785699146E-2</v>
      </c>
      <c r="I5924" s="224" t="s">
        <v>2</v>
      </c>
    </row>
    <row r="5925" spans="1:9" x14ac:dyDescent="0.25">
      <c r="A5925" s="515">
        <v>17225</v>
      </c>
      <c r="B5925" s="515" t="s">
        <v>372</v>
      </c>
      <c r="C5925" s="52">
        <v>271231.97295685502</v>
      </c>
      <c r="D5925" s="56">
        <v>5.2396773221255417E-2</v>
      </c>
      <c r="E5925" s="224" t="s">
        <v>2</v>
      </c>
      <c r="F5925" s="515" t="s">
        <v>7153</v>
      </c>
      <c r="G5925" s="52">
        <v>519784.09575471398</v>
      </c>
      <c r="H5925" s="56">
        <v>3.7334525049555402E-2</v>
      </c>
      <c r="I5925" s="224" t="s">
        <v>2</v>
      </c>
    </row>
    <row r="5926" spans="1:9" x14ac:dyDescent="0.25">
      <c r="A5926" s="515">
        <v>25404</v>
      </c>
      <c r="B5926" s="515" t="s">
        <v>654</v>
      </c>
      <c r="C5926" s="52">
        <v>243547.92114882401</v>
      </c>
      <c r="D5926" s="56">
        <v>8.5820022809120808E-2</v>
      </c>
      <c r="E5926" s="224">
        <v>1641.6666666666599</v>
      </c>
      <c r="F5926" s="515" t="s">
        <v>7154</v>
      </c>
      <c r="G5926" s="52">
        <v>330471.25377964298</v>
      </c>
      <c r="H5926" s="56">
        <v>0.13138457113256383</v>
      </c>
      <c r="I5926" s="224" t="s">
        <v>2</v>
      </c>
    </row>
    <row r="5927" spans="1:9" x14ac:dyDescent="0.25">
      <c r="A5927" s="515">
        <v>31024</v>
      </c>
      <c r="C5927" s="52">
        <v>351475.074030068</v>
      </c>
      <c r="D5927" s="56">
        <v>4.9318922801011876E-2</v>
      </c>
      <c r="E5927" s="224" t="s">
        <v>2</v>
      </c>
      <c r="F5927" s="515" t="s">
        <v>7155</v>
      </c>
      <c r="G5927" s="52">
        <v>316640.61068450002</v>
      </c>
      <c r="H5927" s="56">
        <v>6.04577506620705E-2</v>
      </c>
      <c r="I5927" s="224" t="s">
        <v>2</v>
      </c>
    </row>
    <row r="5928" spans="1:9" x14ac:dyDescent="0.25">
      <c r="A5928" s="515">
        <v>53094</v>
      </c>
      <c r="B5928" s="515" t="s">
        <v>1085</v>
      </c>
      <c r="C5928" s="52">
        <v>232335.851948097</v>
      </c>
      <c r="D5928" s="56">
        <v>4.2783258837595109E-2</v>
      </c>
      <c r="E5928" s="224" t="s">
        <v>2</v>
      </c>
      <c r="F5928" s="515" t="s">
        <v>7156</v>
      </c>
      <c r="G5928" s="52">
        <v>651089.70275250799</v>
      </c>
      <c r="H5928" s="56">
        <v>2.0075491866330578E-2</v>
      </c>
      <c r="I5928" s="224">
        <v>1864.1666666666599</v>
      </c>
    </row>
    <row r="5929" spans="1:9" x14ac:dyDescent="0.25">
      <c r="A5929" s="515">
        <v>44514</v>
      </c>
      <c r="B5929" s="515" t="s">
        <v>397</v>
      </c>
      <c r="C5929" s="52">
        <v>196932.65341289001</v>
      </c>
      <c r="D5929" s="56">
        <v>9.8091892396041283E-2</v>
      </c>
      <c r="E5929" s="224" t="s">
        <v>2</v>
      </c>
      <c r="F5929" s="515" t="s">
        <v>7157</v>
      </c>
      <c r="G5929" s="52">
        <v>225868.15054754799</v>
      </c>
      <c r="H5929" s="56">
        <v>7.8591096644978237E-2</v>
      </c>
      <c r="I5929" s="224" t="s">
        <v>2</v>
      </c>
    </row>
    <row r="5930" spans="1:9" x14ac:dyDescent="0.25">
      <c r="A5930" s="515">
        <v>96746</v>
      </c>
      <c r="B5930" s="515" t="s">
        <v>452</v>
      </c>
      <c r="C5930" s="52">
        <v>857125.05963273998</v>
      </c>
      <c r="D5930" s="56">
        <v>0.12168417314212403</v>
      </c>
      <c r="E5930" s="224" t="s">
        <v>2</v>
      </c>
      <c r="F5930" s="515" t="s">
        <v>7158</v>
      </c>
      <c r="G5930" s="52">
        <v>351961.28401630302</v>
      </c>
      <c r="H5930" s="56">
        <v>8.9634490785038837E-2</v>
      </c>
      <c r="I5930" s="224">
        <v>2050</v>
      </c>
    </row>
    <row r="5931" spans="1:9" x14ac:dyDescent="0.25">
      <c r="A5931" s="515">
        <v>15241</v>
      </c>
      <c r="B5931" s="515" t="s">
        <v>297</v>
      </c>
      <c r="C5931" s="52">
        <v>402330.37354783498</v>
      </c>
      <c r="D5931" s="56">
        <v>5.7839177392695035E-2</v>
      </c>
      <c r="E5931" s="224">
        <v>1760.3333333333301</v>
      </c>
      <c r="F5931" s="515" t="s">
        <v>7159</v>
      </c>
      <c r="G5931" s="52">
        <v>344445.77468360303</v>
      </c>
      <c r="H5931" s="56">
        <v>8.398816242965669E-2</v>
      </c>
      <c r="I5931" s="224" t="s">
        <v>2</v>
      </c>
    </row>
    <row r="5932" spans="1:9" x14ac:dyDescent="0.25">
      <c r="A5932" s="515">
        <v>8550</v>
      </c>
      <c r="B5932" s="515" t="s">
        <v>938</v>
      </c>
      <c r="C5932" s="52">
        <v>798886.63601863105</v>
      </c>
      <c r="D5932" s="56">
        <v>5.1745702837641676E-2</v>
      </c>
      <c r="E5932" s="224" t="s">
        <v>2</v>
      </c>
      <c r="F5932" s="515" t="s">
        <v>7160</v>
      </c>
      <c r="G5932" s="52">
        <v>383444.92056264501</v>
      </c>
      <c r="H5932" s="56">
        <v>-6.4123683951857149E-2</v>
      </c>
      <c r="I5932" s="224" t="s">
        <v>2</v>
      </c>
    </row>
    <row r="5933" spans="1:9" x14ac:dyDescent="0.25">
      <c r="A5933" s="515">
        <v>47725</v>
      </c>
      <c r="B5933" s="515" t="s">
        <v>911</v>
      </c>
      <c r="C5933" s="52">
        <v>280047.90403315902</v>
      </c>
      <c r="D5933" s="56">
        <v>5.6893714798344777E-2</v>
      </c>
      <c r="E5933" s="224" t="s">
        <v>2</v>
      </c>
      <c r="F5933" s="515" t="s">
        <v>7161</v>
      </c>
      <c r="G5933" s="52">
        <v>254432.105553923</v>
      </c>
      <c r="H5933" s="56">
        <v>4.100406758626466E-2</v>
      </c>
      <c r="I5933" s="224" t="s">
        <v>2</v>
      </c>
    </row>
    <row r="5934" spans="1:9" x14ac:dyDescent="0.25">
      <c r="A5934" s="515">
        <v>92865</v>
      </c>
      <c r="B5934" s="515" t="s">
        <v>375</v>
      </c>
      <c r="C5934" s="52">
        <v>854600.37568987103</v>
      </c>
      <c r="D5934" s="56">
        <v>6.5179849550743185E-2</v>
      </c>
      <c r="E5934" s="224">
        <v>2972.5</v>
      </c>
      <c r="F5934" s="515" t="s">
        <v>7162</v>
      </c>
      <c r="G5934" s="52">
        <v>291242.90899695101</v>
      </c>
      <c r="H5934" s="56">
        <v>6.716401712097371E-2</v>
      </c>
      <c r="I5934" s="224">
        <v>1471.8333333333301</v>
      </c>
    </row>
    <row r="5935" spans="1:9" x14ac:dyDescent="0.25">
      <c r="A5935" s="515">
        <v>6037</v>
      </c>
      <c r="B5935" s="515" t="s">
        <v>894</v>
      </c>
      <c r="C5935" s="52">
        <v>349477.27561865002</v>
      </c>
      <c r="D5935" s="56">
        <v>7.6063019325142367E-2</v>
      </c>
      <c r="E5935" s="224" t="s">
        <v>2</v>
      </c>
      <c r="F5935" s="515" t="s">
        <v>7163</v>
      </c>
      <c r="G5935" s="52">
        <v>205615.36691339899</v>
      </c>
      <c r="H5935" s="56">
        <v>0.11211921333239817</v>
      </c>
      <c r="I5935" s="224" t="s">
        <v>2</v>
      </c>
    </row>
    <row r="5936" spans="1:9" x14ac:dyDescent="0.25">
      <c r="A5936" s="515">
        <v>24503</v>
      </c>
      <c r="B5936" s="515" t="s">
        <v>705</v>
      </c>
      <c r="C5936" s="52">
        <v>315214.80973886099</v>
      </c>
      <c r="D5936" s="56">
        <v>7.6271396313123907E-2</v>
      </c>
      <c r="E5936" s="224" t="s">
        <v>2</v>
      </c>
      <c r="F5936" s="515" t="s">
        <v>7164</v>
      </c>
      <c r="G5936" s="52">
        <v>446626.57840886601</v>
      </c>
      <c r="H5936" s="56">
        <v>4.2186864944781723E-2</v>
      </c>
      <c r="I5936" s="224" t="s">
        <v>2</v>
      </c>
    </row>
    <row r="5937" spans="1:9" x14ac:dyDescent="0.25">
      <c r="A5937" s="515">
        <v>17078</v>
      </c>
      <c r="B5937" s="515" t="s">
        <v>562</v>
      </c>
      <c r="C5937" s="52">
        <v>290370.24771813903</v>
      </c>
      <c r="D5937" s="56">
        <v>8.6772807451781869E-2</v>
      </c>
      <c r="E5937" s="224" t="s">
        <v>2</v>
      </c>
      <c r="F5937" s="515" t="s">
        <v>7165</v>
      </c>
      <c r="G5937" s="52">
        <v>200737.77280250599</v>
      </c>
      <c r="H5937" s="56">
        <v>4.3618174624057648E-2</v>
      </c>
      <c r="I5937" s="224" t="s">
        <v>2</v>
      </c>
    </row>
    <row r="5938" spans="1:9" x14ac:dyDescent="0.25">
      <c r="A5938" s="515">
        <v>8232</v>
      </c>
      <c r="B5938" s="515" t="s">
        <v>800</v>
      </c>
      <c r="C5938" s="52">
        <v>177438.04971713101</v>
      </c>
      <c r="D5938" s="56">
        <v>0.1087744850918794</v>
      </c>
      <c r="E5938" s="224">
        <v>1640</v>
      </c>
      <c r="F5938" s="515" t="s">
        <v>7166</v>
      </c>
      <c r="G5938" s="52">
        <v>149746.19340508999</v>
      </c>
      <c r="H5938" s="56">
        <v>9.0452436853608764E-2</v>
      </c>
      <c r="I5938" s="224" t="s">
        <v>2</v>
      </c>
    </row>
    <row r="5939" spans="1:9" x14ac:dyDescent="0.25">
      <c r="A5939" s="515">
        <v>35633</v>
      </c>
      <c r="B5939" s="515" t="s">
        <v>1100</v>
      </c>
      <c r="C5939" s="52">
        <v>210180.35461117601</v>
      </c>
      <c r="D5939" s="56">
        <v>0.10816713711439151</v>
      </c>
      <c r="E5939" s="224" t="s">
        <v>2</v>
      </c>
      <c r="F5939" s="515" t="s">
        <v>7167</v>
      </c>
      <c r="G5939" s="52">
        <v>398419.52012163599</v>
      </c>
      <c r="H5939" s="56">
        <v>1.9845758174228605E-2</v>
      </c>
      <c r="I5939" s="224" t="s">
        <v>2</v>
      </c>
    </row>
    <row r="5940" spans="1:9" x14ac:dyDescent="0.25">
      <c r="A5940" s="515">
        <v>98043</v>
      </c>
      <c r="B5940" s="515" t="s">
        <v>384</v>
      </c>
      <c r="C5940" s="52">
        <v>617278.91685100598</v>
      </c>
      <c r="D5940" s="56">
        <v>3.4518321662486896E-2</v>
      </c>
      <c r="E5940" s="224">
        <v>2226.25238095238</v>
      </c>
      <c r="F5940" s="515" t="s">
        <v>7168</v>
      </c>
      <c r="G5940" s="52">
        <v>148525.178273319</v>
      </c>
      <c r="H5940" s="56">
        <v>8.865237335904419E-2</v>
      </c>
      <c r="I5940" s="224" t="s">
        <v>2</v>
      </c>
    </row>
    <row r="5941" spans="1:9" x14ac:dyDescent="0.25">
      <c r="A5941" s="515">
        <v>46240</v>
      </c>
      <c r="B5941" s="515" t="s">
        <v>403</v>
      </c>
      <c r="C5941" s="52">
        <v>323352.92766342498</v>
      </c>
      <c r="D5941" s="56">
        <v>5.7665634900415229E-2</v>
      </c>
      <c r="E5941" s="224">
        <v>1433.3547619047599</v>
      </c>
      <c r="F5941" s="515" t="s">
        <v>7169</v>
      </c>
      <c r="G5941" s="52">
        <v>218921.204311662</v>
      </c>
      <c r="H5941" s="56">
        <v>0.10056000119250295</v>
      </c>
      <c r="I5941" s="224" t="s">
        <v>2</v>
      </c>
    </row>
    <row r="5942" spans="1:9" x14ac:dyDescent="0.25">
      <c r="A5942" s="515">
        <v>17821</v>
      </c>
      <c r="B5942" s="515" t="s">
        <v>676</v>
      </c>
      <c r="C5942" s="52">
        <v>233914.82868079899</v>
      </c>
      <c r="D5942" s="56">
        <v>3.6154324268729693E-2</v>
      </c>
      <c r="E5942" s="224" t="s">
        <v>2</v>
      </c>
      <c r="F5942" s="515" t="s">
        <v>7170</v>
      </c>
      <c r="G5942" s="52">
        <v>415240.19986142498</v>
      </c>
      <c r="H5942" s="56">
        <v>7.5459414887749821E-2</v>
      </c>
      <c r="I5942" s="224" t="s">
        <v>2</v>
      </c>
    </row>
    <row r="5943" spans="1:9" x14ac:dyDescent="0.25">
      <c r="A5943" s="515">
        <v>77303</v>
      </c>
      <c r="B5943" s="515" t="s">
        <v>314</v>
      </c>
      <c r="C5943" s="52">
        <v>261094.40712394501</v>
      </c>
      <c r="D5943" s="56">
        <v>8.223520024589108E-2</v>
      </c>
      <c r="E5943" s="224">
        <v>1559.1690476190399</v>
      </c>
      <c r="F5943" s="515" t="s">
        <v>7171</v>
      </c>
      <c r="G5943" s="52">
        <v>226924.40157905701</v>
      </c>
      <c r="H5943" s="56">
        <v>4.5881724463559967E-2</v>
      </c>
      <c r="I5943" s="224" t="s">
        <v>2</v>
      </c>
    </row>
    <row r="5944" spans="1:9" x14ac:dyDescent="0.25">
      <c r="A5944" s="515">
        <v>4074</v>
      </c>
      <c r="B5944" s="515" t="s">
        <v>570</v>
      </c>
      <c r="C5944" s="52">
        <v>582491.83291365905</v>
      </c>
      <c r="D5944" s="56">
        <v>6.420767939882796E-2</v>
      </c>
      <c r="E5944" s="224" t="s">
        <v>2</v>
      </c>
      <c r="F5944" s="515" t="s">
        <v>7172</v>
      </c>
      <c r="G5944" s="52">
        <v>447561.54914857901</v>
      </c>
      <c r="H5944" s="56">
        <v>3.8070747018598798E-2</v>
      </c>
      <c r="I5944" s="224" t="s">
        <v>2</v>
      </c>
    </row>
    <row r="5945" spans="1:9" x14ac:dyDescent="0.25">
      <c r="A5945" s="515">
        <v>35055</v>
      </c>
      <c r="B5945" s="515" t="s">
        <v>1110</v>
      </c>
      <c r="C5945" s="52">
        <v>219867.218904749</v>
      </c>
      <c r="D5945" s="56">
        <v>8.6919353786196196E-2</v>
      </c>
      <c r="E5945" s="224" t="s">
        <v>2</v>
      </c>
      <c r="F5945" s="515" t="s">
        <v>7173</v>
      </c>
      <c r="G5945" s="52">
        <v>178199.24316640201</v>
      </c>
      <c r="H5945" s="56">
        <v>6.5355359346039546E-2</v>
      </c>
      <c r="I5945" s="224" t="s">
        <v>2</v>
      </c>
    </row>
    <row r="5946" spans="1:9" x14ac:dyDescent="0.25">
      <c r="A5946" s="515">
        <v>80528</v>
      </c>
      <c r="B5946" s="515" t="s">
        <v>738</v>
      </c>
      <c r="C5946" s="52">
        <v>650973.56845333695</v>
      </c>
      <c r="D5946" s="56">
        <v>4.2658160437724545E-2</v>
      </c>
      <c r="E5946" s="224">
        <v>2008.2777777777701</v>
      </c>
      <c r="F5946" s="515" t="s">
        <v>7174</v>
      </c>
      <c r="G5946" s="52">
        <v>309172.36022400501</v>
      </c>
      <c r="H5946" s="56">
        <v>8.1293515306700537E-2</v>
      </c>
      <c r="I5946" s="224" t="s">
        <v>2</v>
      </c>
    </row>
    <row r="5947" spans="1:9" x14ac:dyDescent="0.25">
      <c r="A5947" s="515">
        <v>98686</v>
      </c>
      <c r="B5947" s="515" t="s">
        <v>659</v>
      </c>
      <c r="C5947" s="52">
        <v>552052.76400767395</v>
      </c>
      <c r="D5947" s="56">
        <v>4.1812953135162707E-2</v>
      </c>
      <c r="E5947" s="224">
        <v>2252.5555555555502</v>
      </c>
      <c r="F5947" s="515" t="s">
        <v>7175</v>
      </c>
      <c r="G5947" s="52">
        <v>223218.02925279699</v>
      </c>
      <c r="H5947" s="56">
        <v>0.20274249017569504</v>
      </c>
      <c r="I5947" s="224" t="s">
        <v>2</v>
      </c>
    </row>
    <row r="5948" spans="1:9" x14ac:dyDescent="0.25">
      <c r="A5948" s="515">
        <v>17512</v>
      </c>
      <c r="B5948" s="515" t="s">
        <v>537</v>
      </c>
      <c r="C5948" s="52">
        <v>236650.75435496899</v>
      </c>
      <c r="D5948" s="56">
        <v>0.11062866655019651</v>
      </c>
      <c r="E5948" s="224">
        <v>1208.75</v>
      </c>
      <c r="F5948" s="515" t="s">
        <v>7176</v>
      </c>
      <c r="G5948" s="52">
        <v>181007.268389832</v>
      </c>
      <c r="H5948" s="56">
        <v>8.3163594478168193E-2</v>
      </c>
      <c r="I5948" s="224" t="s">
        <v>2</v>
      </c>
    </row>
    <row r="5949" spans="1:9" x14ac:dyDescent="0.25">
      <c r="A5949" s="515">
        <v>54913</v>
      </c>
      <c r="B5949" s="515" t="s">
        <v>821</v>
      </c>
      <c r="C5949" s="52">
        <v>388840.40875374898</v>
      </c>
      <c r="D5949" s="56">
        <v>6.6974069196102964E-2</v>
      </c>
      <c r="E5949" s="224" t="s">
        <v>2</v>
      </c>
      <c r="F5949" s="515" t="s">
        <v>7177</v>
      </c>
      <c r="G5949" s="52">
        <v>179454.49603915599</v>
      </c>
      <c r="H5949" s="56">
        <v>4.906918206311963E-2</v>
      </c>
      <c r="I5949" s="224" t="s">
        <v>2</v>
      </c>
    </row>
    <row r="5950" spans="1:9" x14ac:dyDescent="0.25">
      <c r="A5950" s="515">
        <v>34470</v>
      </c>
      <c r="B5950" s="515" t="s">
        <v>475</v>
      </c>
      <c r="C5950" s="52">
        <v>226194.45868806299</v>
      </c>
      <c r="D5950" s="56">
        <v>0.19663527746064385</v>
      </c>
      <c r="E5950" s="224">
        <v>1342.3333333333301</v>
      </c>
      <c r="F5950" s="515" t="s">
        <v>7178</v>
      </c>
      <c r="G5950" s="52">
        <v>126152.380029262</v>
      </c>
      <c r="H5950" s="56">
        <v>0.12246458678648921</v>
      </c>
      <c r="I5950" s="224" t="s">
        <v>2</v>
      </c>
    </row>
    <row r="5951" spans="1:9" x14ac:dyDescent="0.25">
      <c r="A5951" s="515">
        <v>98275</v>
      </c>
      <c r="B5951" s="515" t="s">
        <v>384</v>
      </c>
      <c r="C5951" s="52">
        <v>838925.212855333</v>
      </c>
      <c r="D5951" s="56">
        <v>2.3485458162262413E-2</v>
      </c>
      <c r="E5951" s="224">
        <v>2221.7805555555501</v>
      </c>
      <c r="F5951" s="515" t="s">
        <v>7179</v>
      </c>
      <c r="G5951" s="52">
        <v>241725.99561562701</v>
      </c>
      <c r="H5951" s="56">
        <v>4.9363348268295998E-2</v>
      </c>
      <c r="I5951" s="224" t="s">
        <v>2</v>
      </c>
    </row>
    <row r="5952" spans="1:9" x14ac:dyDescent="0.25">
      <c r="A5952" s="515">
        <v>34695</v>
      </c>
      <c r="B5952" s="515" t="s">
        <v>461</v>
      </c>
      <c r="C5952" s="52">
        <v>474209.45763760002</v>
      </c>
      <c r="D5952" s="56">
        <v>9.3810799928445709E-2</v>
      </c>
      <c r="E5952" s="224">
        <v>2606.5</v>
      </c>
      <c r="F5952" s="515" t="s">
        <v>7180</v>
      </c>
      <c r="G5952" s="52">
        <v>97680.651120122202</v>
      </c>
      <c r="H5952" s="56">
        <v>7.4976052788039482E-2</v>
      </c>
      <c r="I5952" s="224" t="s">
        <v>2</v>
      </c>
    </row>
    <row r="5953" spans="1:9" x14ac:dyDescent="0.25">
      <c r="A5953" s="515">
        <v>53005</v>
      </c>
      <c r="B5953" s="515" t="s">
        <v>950</v>
      </c>
      <c r="C5953" s="52">
        <v>388592.38503439102</v>
      </c>
      <c r="D5953" s="56">
        <v>3.5448168144795109E-2</v>
      </c>
      <c r="E5953" s="224" t="s">
        <v>2</v>
      </c>
      <c r="F5953" s="515" t="s">
        <v>7181</v>
      </c>
      <c r="G5953" s="52">
        <v>5114859.2600550596</v>
      </c>
      <c r="H5953" s="56">
        <v>4.4314902450126273E-2</v>
      </c>
      <c r="I5953" s="224" t="s">
        <v>2</v>
      </c>
    </row>
    <row r="5954" spans="1:9" x14ac:dyDescent="0.25">
      <c r="A5954" s="515">
        <v>48125</v>
      </c>
      <c r="B5954" s="515" t="s">
        <v>685</v>
      </c>
      <c r="C5954" s="52">
        <v>135816.942748728</v>
      </c>
      <c r="D5954" s="56">
        <v>6.6434489190061702E-2</v>
      </c>
      <c r="E5954" s="224">
        <v>1379.82222222222</v>
      </c>
      <c r="F5954" s="515" t="s">
        <v>7182</v>
      </c>
      <c r="G5954" s="52">
        <v>350560.36985812098</v>
      </c>
      <c r="H5954" s="56">
        <v>6.1202006118918947E-2</v>
      </c>
      <c r="I5954" s="224" t="s">
        <v>2</v>
      </c>
    </row>
    <row r="5955" spans="1:9" x14ac:dyDescent="0.25">
      <c r="A5955" s="515">
        <v>38242</v>
      </c>
      <c r="B5955" s="515" t="s">
        <v>975</v>
      </c>
      <c r="C5955" s="52">
        <v>165372.91091877699</v>
      </c>
      <c r="D5955" s="56">
        <v>7.7324919218553459E-2</v>
      </c>
      <c r="E5955" s="224" t="s">
        <v>2</v>
      </c>
      <c r="F5955" s="515" t="s">
        <v>7183</v>
      </c>
      <c r="G5955" s="52">
        <v>702619.96283001604</v>
      </c>
      <c r="H5955" s="56">
        <v>3.9503956771515289E-2</v>
      </c>
      <c r="I5955" s="224" t="s">
        <v>2</v>
      </c>
    </row>
    <row r="5956" spans="1:9" x14ac:dyDescent="0.25">
      <c r="A5956" s="515">
        <v>44067</v>
      </c>
      <c r="B5956" s="515" t="s">
        <v>1000</v>
      </c>
      <c r="C5956" s="52">
        <v>252366.36278645799</v>
      </c>
      <c r="D5956" s="56">
        <v>4.6537451878312326E-2</v>
      </c>
      <c r="E5956" s="224" t="s">
        <v>2</v>
      </c>
      <c r="F5956" s="515" t="s">
        <v>7184</v>
      </c>
      <c r="G5956" s="52">
        <v>309895.60181432799</v>
      </c>
      <c r="H5956" s="56">
        <v>6.9688530238163363E-2</v>
      </c>
      <c r="I5956" s="224" t="s">
        <v>2</v>
      </c>
    </row>
    <row r="5957" spans="1:9" x14ac:dyDescent="0.25">
      <c r="A5957" s="515">
        <v>63005</v>
      </c>
      <c r="B5957" s="515" t="s">
        <v>498</v>
      </c>
      <c r="C5957" s="52">
        <v>714382.76260414498</v>
      </c>
      <c r="D5957" s="56">
        <v>7.1637581196338757E-2</v>
      </c>
      <c r="E5957" s="224" t="s">
        <v>2</v>
      </c>
      <c r="F5957" s="515" t="s">
        <v>7185</v>
      </c>
      <c r="G5957" s="52">
        <v>431544.83820502198</v>
      </c>
      <c r="H5957" s="56">
        <v>9.5502836882665962E-2</v>
      </c>
      <c r="I5957" s="224" t="s">
        <v>2</v>
      </c>
    </row>
    <row r="5958" spans="1:9" x14ac:dyDescent="0.25">
      <c r="A5958" s="515">
        <v>56007</v>
      </c>
      <c r="B5958" s="515" t="s">
        <v>565</v>
      </c>
      <c r="C5958" s="52">
        <v>146654.36786888799</v>
      </c>
      <c r="D5958" s="56">
        <v>3.36827336514363E-2</v>
      </c>
      <c r="E5958" s="224" t="s">
        <v>2</v>
      </c>
      <c r="F5958" s="515" t="s">
        <v>7186</v>
      </c>
      <c r="G5958" s="52">
        <v>228127.25594590601</v>
      </c>
      <c r="H5958" s="56">
        <v>7.0512488086682007E-2</v>
      </c>
      <c r="I5958" s="224" t="s">
        <v>2</v>
      </c>
    </row>
    <row r="5959" spans="1:9" x14ac:dyDescent="0.25">
      <c r="A5959" s="515">
        <v>29201</v>
      </c>
      <c r="B5959" s="515" t="s">
        <v>762</v>
      </c>
      <c r="C5959" s="52">
        <v>225807.50869714201</v>
      </c>
      <c r="D5959" s="56">
        <v>0.10311320154448833</v>
      </c>
      <c r="E5959" s="224">
        <v>1535.3481481481399</v>
      </c>
      <c r="F5959" s="515" t="s">
        <v>7187</v>
      </c>
      <c r="G5959" s="52">
        <v>314065.26597950503</v>
      </c>
      <c r="H5959" s="56">
        <v>6.4205120550078737E-2</v>
      </c>
      <c r="I5959" s="224" t="s">
        <v>2</v>
      </c>
    </row>
    <row r="5960" spans="1:9" x14ac:dyDescent="0.25">
      <c r="A5960" s="515">
        <v>47129</v>
      </c>
      <c r="B5960" s="515" t="s">
        <v>479</v>
      </c>
      <c r="C5960" s="52">
        <v>175820.671824697</v>
      </c>
      <c r="D5960" s="56">
        <v>6.7742183256680841E-2</v>
      </c>
      <c r="E5960" s="224" t="s">
        <v>2</v>
      </c>
      <c r="F5960" s="515" t="s">
        <v>7188</v>
      </c>
      <c r="G5960" s="52">
        <v>193973.297746019</v>
      </c>
      <c r="H5960" s="56">
        <v>8.4151333770271661E-2</v>
      </c>
      <c r="I5960" s="224" t="s">
        <v>2</v>
      </c>
    </row>
    <row r="5961" spans="1:9" x14ac:dyDescent="0.25">
      <c r="A5961" s="515">
        <v>55317</v>
      </c>
      <c r="B5961" s="515" t="s">
        <v>532</v>
      </c>
      <c r="C5961" s="52">
        <v>455284.89276269102</v>
      </c>
      <c r="D5961" s="56">
        <v>2.2638069223968677E-2</v>
      </c>
      <c r="E5961" s="224">
        <v>1806.88888888888</v>
      </c>
      <c r="F5961" s="515" t="s">
        <v>7189</v>
      </c>
      <c r="G5961" s="52">
        <v>216860.82544509001</v>
      </c>
      <c r="H5961" s="56">
        <v>5.4445356348264799E-2</v>
      </c>
      <c r="I5961" s="224" t="s">
        <v>2</v>
      </c>
    </row>
    <row r="5962" spans="1:9" x14ac:dyDescent="0.25">
      <c r="A5962" s="515">
        <v>40330</v>
      </c>
      <c r="C5962" s="52">
        <v>181131.243909499</v>
      </c>
      <c r="D5962" s="56">
        <v>0.15114004472899412</v>
      </c>
      <c r="E5962" s="224" t="s">
        <v>2</v>
      </c>
      <c r="F5962" s="515" t="s">
        <v>7190</v>
      </c>
      <c r="G5962" s="52">
        <v>674444.18121807801</v>
      </c>
      <c r="H5962" s="56">
        <v>4.6753205906364934E-2</v>
      </c>
      <c r="I5962" s="224">
        <v>2013.3333333333301</v>
      </c>
    </row>
    <row r="5963" spans="1:9" x14ac:dyDescent="0.25">
      <c r="A5963" s="515">
        <v>1609</v>
      </c>
      <c r="B5963" s="515" t="s">
        <v>751</v>
      </c>
      <c r="C5963" s="52">
        <v>460755.11626730801</v>
      </c>
      <c r="D5963" s="56">
        <v>9.6693079892478898E-2</v>
      </c>
      <c r="E5963" s="224">
        <v>1528.3333333333301</v>
      </c>
      <c r="F5963" s="515" t="s">
        <v>7191</v>
      </c>
      <c r="G5963" s="52">
        <v>127017.42316524799</v>
      </c>
      <c r="H5963" s="56">
        <v>0.19121469779982439</v>
      </c>
      <c r="I5963" s="224" t="s">
        <v>2</v>
      </c>
    </row>
    <row r="5964" spans="1:9" x14ac:dyDescent="0.25">
      <c r="A5964" s="515">
        <v>77627</v>
      </c>
      <c r="B5964" s="515" t="s">
        <v>492</v>
      </c>
      <c r="C5964" s="52">
        <v>187734.77477837799</v>
      </c>
      <c r="D5964" s="56">
        <v>2.869754908744368E-2</v>
      </c>
      <c r="E5964" s="224">
        <v>1125.125</v>
      </c>
      <c r="F5964" s="515" t="s">
        <v>7192</v>
      </c>
      <c r="G5964" s="52">
        <v>324991.158065797</v>
      </c>
      <c r="H5964" s="56">
        <v>9.0956751894804816E-2</v>
      </c>
      <c r="I5964" s="224" t="s">
        <v>2</v>
      </c>
    </row>
    <row r="5965" spans="1:9" x14ac:dyDescent="0.25">
      <c r="A5965" s="515">
        <v>23114</v>
      </c>
      <c r="B5965" s="515" t="s">
        <v>667</v>
      </c>
      <c r="C5965" s="52">
        <v>383210.27364380698</v>
      </c>
      <c r="D5965" s="56">
        <v>2.3133003302732599E-2</v>
      </c>
      <c r="E5965" s="224">
        <v>1720</v>
      </c>
      <c r="F5965" s="515" t="s">
        <v>7193</v>
      </c>
      <c r="G5965" s="52">
        <v>158318.39746731901</v>
      </c>
      <c r="H5965" s="56">
        <v>0.14611491268196872</v>
      </c>
      <c r="I5965" s="224" t="s">
        <v>2</v>
      </c>
    </row>
    <row r="5966" spans="1:9" x14ac:dyDescent="0.25">
      <c r="A5966" s="515">
        <v>73114</v>
      </c>
      <c r="B5966" s="515" t="s">
        <v>385</v>
      </c>
      <c r="C5966" s="52">
        <v>136611.21168126899</v>
      </c>
      <c r="D5966" s="56">
        <v>0.17534907532945515</v>
      </c>
      <c r="E5966" s="224">
        <v>1110.1703703703699</v>
      </c>
      <c r="F5966" s="515" t="s">
        <v>7194</v>
      </c>
      <c r="G5966" s="52">
        <v>530428.65276263503</v>
      </c>
      <c r="H5966" s="56">
        <v>2.536779272043261E-2</v>
      </c>
      <c r="I5966" s="224" t="s">
        <v>2</v>
      </c>
    </row>
    <row r="5967" spans="1:9" x14ac:dyDescent="0.25">
      <c r="A5967" s="515">
        <v>7719</v>
      </c>
      <c r="B5967" s="515" t="s">
        <v>324</v>
      </c>
      <c r="C5967" s="52">
        <v>639945.07790538296</v>
      </c>
      <c r="D5967" s="56">
        <v>0.10558485557011937</v>
      </c>
      <c r="E5967" s="224" t="s">
        <v>2</v>
      </c>
      <c r="F5967" s="515" t="s">
        <v>7195</v>
      </c>
      <c r="G5967" s="52">
        <v>355736.089181452</v>
      </c>
      <c r="H5967" s="56">
        <v>0.2449393470651994</v>
      </c>
      <c r="I5967" s="224" t="s">
        <v>2</v>
      </c>
    </row>
    <row r="5968" spans="1:9" x14ac:dyDescent="0.25">
      <c r="A5968" s="515">
        <v>80203</v>
      </c>
      <c r="B5968" s="515" t="s">
        <v>401</v>
      </c>
      <c r="C5968" s="52">
        <v>389303.14234207</v>
      </c>
      <c r="D5968" s="56">
        <v>1.9494787340510168E-2</v>
      </c>
      <c r="E5968" s="224">
        <v>1682.69634035949</v>
      </c>
      <c r="F5968" s="515" t="s">
        <v>7196</v>
      </c>
      <c r="G5968" s="52">
        <v>232789.90286525199</v>
      </c>
      <c r="H5968" s="56">
        <v>7.1278342732490951E-2</v>
      </c>
      <c r="I5968" s="224" t="s">
        <v>2</v>
      </c>
    </row>
    <row r="5969" spans="1:9" x14ac:dyDescent="0.25">
      <c r="A5969" s="515">
        <v>63020</v>
      </c>
      <c r="B5969" s="515" t="s">
        <v>498</v>
      </c>
      <c r="C5969" s="52">
        <v>182977.11314563401</v>
      </c>
      <c r="D5969" s="56">
        <v>5.3657240102914401E-2</v>
      </c>
      <c r="E5969" s="224" t="s">
        <v>2</v>
      </c>
      <c r="F5969" s="515" t="s">
        <v>7197</v>
      </c>
      <c r="G5969" s="52">
        <v>132689.57009846199</v>
      </c>
      <c r="H5969" s="56">
        <v>7.8468437331488186E-2</v>
      </c>
      <c r="I5969" s="224" t="s">
        <v>2</v>
      </c>
    </row>
    <row r="5970" spans="1:9" x14ac:dyDescent="0.25">
      <c r="A5970" s="515">
        <v>10567</v>
      </c>
      <c r="B5970" s="515" t="s">
        <v>324</v>
      </c>
      <c r="C5970" s="52">
        <v>516085.568933064</v>
      </c>
      <c r="D5970" s="56">
        <v>1.9814163919034927E-2</v>
      </c>
      <c r="E5970" s="224" t="s">
        <v>2</v>
      </c>
      <c r="F5970" s="515" t="s">
        <v>7198</v>
      </c>
      <c r="G5970" s="52">
        <v>115894.65390870201</v>
      </c>
      <c r="H5970" s="56">
        <v>8.0371341405820126E-2</v>
      </c>
      <c r="I5970" s="224" t="s">
        <v>2</v>
      </c>
    </row>
    <row r="5971" spans="1:9" x14ac:dyDescent="0.25">
      <c r="A5971" s="515">
        <v>49307</v>
      </c>
      <c r="B5971" s="515" t="s">
        <v>494</v>
      </c>
      <c r="C5971" s="52">
        <v>182710.18371200599</v>
      </c>
      <c r="D5971" s="56">
        <v>7.5614191852917317E-2</v>
      </c>
      <c r="E5971" s="224" t="s">
        <v>2</v>
      </c>
      <c r="F5971" s="515" t="s">
        <v>7199</v>
      </c>
      <c r="G5971" s="52">
        <v>545434.77412231301</v>
      </c>
      <c r="H5971" s="56">
        <v>4.4389816365827429E-2</v>
      </c>
      <c r="I5971" s="224" t="s">
        <v>2</v>
      </c>
    </row>
    <row r="5972" spans="1:9" x14ac:dyDescent="0.25">
      <c r="A5972" s="515">
        <v>74107</v>
      </c>
      <c r="B5972" s="515" t="s">
        <v>348</v>
      </c>
      <c r="C5972" s="52">
        <v>123682.888175111</v>
      </c>
      <c r="D5972" s="56">
        <v>9.11637644629118E-2</v>
      </c>
      <c r="E5972" s="224">
        <v>1070.8333333333301</v>
      </c>
      <c r="F5972" s="515" t="s">
        <v>7200</v>
      </c>
      <c r="G5972" s="52">
        <v>393536.27086367202</v>
      </c>
      <c r="H5972" s="56">
        <v>6.1455965805992899E-2</v>
      </c>
      <c r="I5972" s="224" t="s">
        <v>2</v>
      </c>
    </row>
    <row r="5973" spans="1:9" x14ac:dyDescent="0.25">
      <c r="A5973" s="515">
        <v>94022</v>
      </c>
      <c r="B5973" s="515" t="s">
        <v>850</v>
      </c>
      <c r="C5973" s="52">
        <v>4261974.9036431098</v>
      </c>
      <c r="D5973" s="56">
        <v>3.7950995394786184E-2</v>
      </c>
      <c r="E5973" s="224">
        <v>5849.1666666666597</v>
      </c>
      <c r="F5973" s="515" t="s">
        <v>7201</v>
      </c>
      <c r="G5973" s="52">
        <v>585084.38523962896</v>
      </c>
      <c r="H5973" s="56">
        <v>4.358953162310937E-2</v>
      </c>
      <c r="I5973" s="224">
        <v>2811.25</v>
      </c>
    </row>
    <row r="5974" spans="1:9" x14ac:dyDescent="0.25">
      <c r="A5974" s="515">
        <v>11790</v>
      </c>
      <c r="B5974" s="515" t="s">
        <v>324</v>
      </c>
      <c r="C5974" s="52">
        <v>594975.72154620395</v>
      </c>
      <c r="D5974" s="56">
        <v>3.970549042868405E-2</v>
      </c>
      <c r="E5974" s="224" t="s">
        <v>2</v>
      </c>
      <c r="F5974" s="515" t="s">
        <v>7202</v>
      </c>
      <c r="G5974" s="52">
        <v>255830.87459663299</v>
      </c>
      <c r="H5974" s="56">
        <v>5.2573636885515439E-2</v>
      </c>
      <c r="I5974" s="224" t="s">
        <v>2</v>
      </c>
    </row>
    <row r="5975" spans="1:9" x14ac:dyDescent="0.25">
      <c r="A5975" s="515">
        <v>14830</v>
      </c>
      <c r="B5975" s="515" t="s">
        <v>585</v>
      </c>
      <c r="C5975" s="52">
        <v>153161.40278612799</v>
      </c>
      <c r="D5975" s="56">
        <v>9.8688108435115024E-2</v>
      </c>
      <c r="E5975" s="224">
        <v>1358.125</v>
      </c>
      <c r="F5975" s="515" t="s">
        <v>7203</v>
      </c>
      <c r="G5975" s="52">
        <v>107814.51825481599</v>
      </c>
      <c r="H5975" s="56">
        <v>1.7485162981137187E-2</v>
      </c>
      <c r="I5975" s="224" t="s">
        <v>2</v>
      </c>
    </row>
    <row r="5976" spans="1:9" x14ac:dyDescent="0.25">
      <c r="A5976" s="515">
        <v>70611</v>
      </c>
      <c r="B5976" s="515" t="s">
        <v>696</v>
      </c>
      <c r="C5976" s="52">
        <v>250970.403969273</v>
      </c>
      <c r="D5976" s="56">
        <v>3.0298985847556231E-2</v>
      </c>
      <c r="E5976" s="224">
        <v>925</v>
      </c>
      <c r="F5976" s="515" t="s">
        <v>7204</v>
      </c>
      <c r="G5976" s="52">
        <v>263213.15746799298</v>
      </c>
      <c r="H5976" s="56">
        <v>6.2891033223063511E-2</v>
      </c>
      <c r="I5976" s="224" t="s">
        <v>2</v>
      </c>
    </row>
    <row r="5977" spans="1:9" x14ac:dyDescent="0.25">
      <c r="A5977" s="515">
        <v>32966</v>
      </c>
      <c r="B5977" s="515" t="s">
        <v>1176</v>
      </c>
      <c r="C5977" s="52">
        <v>351090.45533087401</v>
      </c>
      <c r="D5977" s="56">
        <v>0.14995206841428765</v>
      </c>
      <c r="E5977" s="224" t="s">
        <v>2</v>
      </c>
      <c r="F5977" s="515" t="s">
        <v>7205</v>
      </c>
      <c r="G5977" s="52">
        <v>111240.955199882</v>
      </c>
      <c r="H5977" s="56">
        <v>6.3616322414733709E-2</v>
      </c>
      <c r="I5977" s="224" t="s">
        <v>2</v>
      </c>
    </row>
    <row r="5978" spans="1:9" x14ac:dyDescent="0.25">
      <c r="A5978" s="515">
        <v>93023</v>
      </c>
      <c r="B5978" s="515" t="s">
        <v>1021</v>
      </c>
      <c r="C5978" s="52">
        <v>1020806.17787018</v>
      </c>
      <c r="D5978" s="56">
        <v>4.3227148750331054E-2</v>
      </c>
      <c r="E5978" s="224">
        <v>3466.6666666666601</v>
      </c>
      <c r="F5978" s="515" t="s">
        <v>7206</v>
      </c>
      <c r="G5978" s="52">
        <v>153001.331138757</v>
      </c>
      <c r="H5978" s="56">
        <v>6.3472129065643756E-2</v>
      </c>
      <c r="I5978" s="224" t="s">
        <v>2</v>
      </c>
    </row>
    <row r="5979" spans="1:9" x14ac:dyDescent="0.25">
      <c r="A5979" s="515">
        <v>20657</v>
      </c>
      <c r="B5979" s="515" t="s">
        <v>321</v>
      </c>
      <c r="C5979" s="52">
        <v>313655.46634757897</v>
      </c>
      <c r="D5979" s="56">
        <v>2.9997327098076905E-2</v>
      </c>
      <c r="E5979" s="224" t="s">
        <v>2</v>
      </c>
      <c r="F5979" s="515" t="s">
        <v>7207</v>
      </c>
      <c r="G5979" s="52">
        <v>299357.66675964399</v>
      </c>
      <c r="H5979" s="56">
        <v>9.5414629285235822E-2</v>
      </c>
      <c r="I5979" s="224" t="s">
        <v>2</v>
      </c>
    </row>
    <row r="5980" spans="1:9" x14ac:dyDescent="0.25">
      <c r="A5980" s="515">
        <v>15905</v>
      </c>
      <c r="B5980" s="515" t="s">
        <v>828</v>
      </c>
      <c r="C5980" s="52">
        <v>107688.852267104</v>
      </c>
      <c r="D5980" s="56">
        <v>6.289225362954623E-2</v>
      </c>
      <c r="E5980" s="224">
        <v>687.5</v>
      </c>
      <c r="F5980" s="515" t="s">
        <v>7208</v>
      </c>
      <c r="G5980" s="52">
        <v>1223921.30469045</v>
      </c>
      <c r="H5980" s="56">
        <v>4.4057786693401185E-2</v>
      </c>
      <c r="I5980" s="224" t="s">
        <v>2</v>
      </c>
    </row>
    <row r="5981" spans="1:9" x14ac:dyDescent="0.25">
      <c r="A5981" s="515">
        <v>45322</v>
      </c>
      <c r="B5981" s="515" t="s">
        <v>340</v>
      </c>
      <c r="C5981" s="52">
        <v>182271.06210114199</v>
      </c>
      <c r="D5981" s="56">
        <v>6.6315789753734533E-2</v>
      </c>
      <c r="E5981" s="224" t="s">
        <v>2</v>
      </c>
      <c r="F5981" s="515" t="s">
        <v>7209</v>
      </c>
      <c r="G5981" s="52">
        <v>189177.32482303699</v>
      </c>
      <c r="H5981" s="56">
        <v>5.5559083416597051E-2</v>
      </c>
      <c r="I5981" s="224" t="s">
        <v>2</v>
      </c>
    </row>
    <row r="5982" spans="1:9" x14ac:dyDescent="0.25">
      <c r="A5982" s="515">
        <v>43725</v>
      </c>
      <c r="B5982" s="515" t="s">
        <v>499</v>
      </c>
      <c r="C5982" s="52">
        <v>134250.203291607</v>
      </c>
      <c r="D5982" s="56">
        <v>5.3977408727299635E-2</v>
      </c>
      <c r="E5982" s="224" t="s">
        <v>2</v>
      </c>
      <c r="F5982" s="515" t="s">
        <v>7210</v>
      </c>
      <c r="G5982" s="52">
        <v>506677.71165002498</v>
      </c>
      <c r="H5982" s="56">
        <v>5.5083881609861709E-3</v>
      </c>
      <c r="I5982" s="224">
        <v>2550</v>
      </c>
    </row>
    <row r="5983" spans="1:9" x14ac:dyDescent="0.25">
      <c r="A5983" s="515">
        <v>34234</v>
      </c>
      <c r="B5983" s="515" t="s">
        <v>466</v>
      </c>
      <c r="C5983" s="52">
        <v>290720.79471372702</v>
      </c>
      <c r="D5983" s="56">
        <v>0.23694202617962701</v>
      </c>
      <c r="E5983" s="224">
        <v>2237.5</v>
      </c>
      <c r="F5983" s="515" t="s">
        <v>7211</v>
      </c>
      <c r="G5983" s="52">
        <v>477051.73375972698</v>
      </c>
      <c r="H5983" s="56">
        <v>1.5149037481886425E-2</v>
      </c>
      <c r="I5983" s="224" t="s">
        <v>2</v>
      </c>
    </row>
    <row r="5984" spans="1:9" x14ac:dyDescent="0.25">
      <c r="A5984" s="515">
        <v>71292</v>
      </c>
      <c r="B5984" s="515" t="s">
        <v>695</v>
      </c>
      <c r="C5984" s="52">
        <v>131642.536971806</v>
      </c>
      <c r="D5984" s="56">
        <v>5.7767686241115501E-2</v>
      </c>
      <c r="E5984" s="224" t="s">
        <v>2</v>
      </c>
      <c r="F5984" s="515" t="s">
        <v>7212</v>
      </c>
      <c r="G5984" s="52">
        <v>261183.871841221</v>
      </c>
      <c r="H5984" s="56">
        <v>7.7496310085247114E-2</v>
      </c>
      <c r="I5984" s="224" t="s">
        <v>2</v>
      </c>
    </row>
    <row r="5985" spans="1:9" x14ac:dyDescent="0.25">
      <c r="A5985" s="515">
        <v>3867</v>
      </c>
      <c r="B5985" s="515" t="s">
        <v>534</v>
      </c>
      <c r="C5985" s="52">
        <v>322458.90200797399</v>
      </c>
      <c r="D5985" s="56">
        <v>0.12509980213569485</v>
      </c>
      <c r="E5985" s="224" t="s">
        <v>2</v>
      </c>
      <c r="F5985" s="515" t="s">
        <v>7213</v>
      </c>
      <c r="G5985" s="52">
        <v>551809.03946897795</v>
      </c>
      <c r="H5985" s="56">
        <v>7.7838273171228489E-2</v>
      </c>
      <c r="I5985" s="224" t="s">
        <v>2</v>
      </c>
    </row>
    <row r="5986" spans="1:9" x14ac:dyDescent="0.25">
      <c r="A5986" s="515">
        <v>27403</v>
      </c>
      <c r="B5986" s="515" t="s">
        <v>1148</v>
      </c>
      <c r="C5986" s="52">
        <v>200401.95766315499</v>
      </c>
      <c r="D5986" s="56">
        <v>0.12549253565919102</v>
      </c>
      <c r="E5986" s="224">
        <v>1314.30555555555</v>
      </c>
      <c r="F5986" s="515" t="s">
        <v>7214</v>
      </c>
      <c r="G5986" s="52">
        <v>106141.89403500401</v>
      </c>
      <c r="H5986" s="56">
        <v>3.5151495091581247E-2</v>
      </c>
      <c r="I5986" s="224" t="s">
        <v>2</v>
      </c>
    </row>
    <row r="5987" spans="1:9" x14ac:dyDescent="0.25">
      <c r="A5987" s="515">
        <v>29206</v>
      </c>
      <c r="B5987" s="515" t="s">
        <v>762</v>
      </c>
      <c r="C5987" s="52">
        <v>329185.83922733302</v>
      </c>
      <c r="D5987" s="56">
        <v>5.6193986524241117E-2</v>
      </c>
      <c r="E5987" s="224">
        <v>1325.75</v>
      </c>
      <c r="F5987" s="515" t="s">
        <v>7215</v>
      </c>
      <c r="G5987" s="52">
        <v>293979.29345151701</v>
      </c>
      <c r="H5987" s="56">
        <v>9.7453241626552362E-2</v>
      </c>
      <c r="I5987" s="224" t="s">
        <v>2</v>
      </c>
    </row>
    <row r="5988" spans="1:9" x14ac:dyDescent="0.25">
      <c r="A5988" s="515">
        <v>93927</v>
      </c>
      <c r="B5988" s="515" t="s">
        <v>443</v>
      </c>
      <c r="C5988" s="52">
        <v>480153.00257922598</v>
      </c>
      <c r="D5988" s="56">
        <v>1.8605511797079335E-2</v>
      </c>
      <c r="E5988" s="224" t="s">
        <v>2</v>
      </c>
      <c r="F5988" s="515" t="s">
        <v>7216</v>
      </c>
      <c r="G5988" s="52">
        <v>303677.93302087201</v>
      </c>
      <c r="H5988" s="56">
        <v>4.7585129731011824E-2</v>
      </c>
      <c r="I5988" s="224" t="s">
        <v>2</v>
      </c>
    </row>
    <row r="5989" spans="1:9" x14ac:dyDescent="0.25">
      <c r="A5989" s="515">
        <v>19014</v>
      </c>
      <c r="B5989" s="515" t="s">
        <v>294</v>
      </c>
      <c r="C5989" s="52">
        <v>308856.27460618701</v>
      </c>
      <c r="D5989" s="56">
        <v>8.4118102091666203E-2</v>
      </c>
      <c r="E5989" s="224" t="s">
        <v>2</v>
      </c>
      <c r="F5989" s="515" t="s">
        <v>7217</v>
      </c>
      <c r="G5989" s="52">
        <v>543537.68457476795</v>
      </c>
      <c r="H5989" s="56">
        <v>3.7214786195632947E-2</v>
      </c>
      <c r="I5989" s="224">
        <v>3080</v>
      </c>
    </row>
    <row r="5990" spans="1:9" x14ac:dyDescent="0.25">
      <c r="A5990" s="515">
        <v>26062</v>
      </c>
      <c r="B5990" s="515" t="s">
        <v>389</v>
      </c>
      <c r="C5990" s="52">
        <v>128099.518225854</v>
      </c>
      <c r="D5990" s="56">
        <v>0.10723501502867776</v>
      </c>
      <c r="E5990" s="224">
        <v>735</v>
      </c>
      <c r="F5990" s="515" t="s">
        <v>7218</v>
      </c>
      <c r="G5990" s="52">
        <v>132587.45920101399</v>
      </c>
      <c r="H5990" s="56">
        <v>0.10899698801068433</v>
      </c>
      <c r="I5990" s="224" t="s">
        <v>2</v>
      </c>
    </row>
    <row r="5991" spans="1:9" x14ac:dyDescent="0.25">
      <c r="A5991" s="515">
        <v>1945</v>
      </c>
      <c r="B5991" s="515" t="s">
        <v>534</v>
      </c>
      <c r="C5991" s="52">
        <v>870539.87255982799</v>
      </c>
      <c r="D5991" s="56">
        <v>5.5092506452445178E-2</v>
      </c>
      <c r="E5991" s="224">
        <v>2200</v>
      </c>
      <c r="F5991" s="515" t="s">
        <v>7219</v>
      </c>
      <c r="G5991" s="52">
        <v>400423.15480436402</v>
      </c>
      <c r="H5991" s="56">
        <v>1.7110265719764244E-2</v>
      </c>
      <c r="I5991" s="224" t="s">
        <v>2</v>
      </c>
    </row>
    <row r="5992" spans="1:9" x14ac:dyDescent="0.25">
      <c r="A5992" s="515">
        <v>60008</v>
      </c>
      <c r="B5992" s="515" t="s">
        <v>394</v>
      </c>
      <c r="C5992" s="52">
        <v>260960.981296588</v>
      </c>
      <c r="D5992" s="56">
        <v>5.9764071298804983E-2</v>
      </c>
      <c r="E5992" s="224">
        <v>1650</v>
      </c>
      <c r="F5992" s="515" t="s">
        <v>7220</v>
      </c>
      <c r="G5992" s="52">
        <v>1509940.9752290901</v>
      </c>
      <c r="H5992" s="56">
        <v>5.6118512515289841E-2</v>
      </c>
      <c r="I5992" s="224" t="s">
        <v>2</v>
      </c>
    </row>
    <row r="5993" spans="1:9" x14ac:dyDescent="0.25">
      <c r="A5993" s="515">
        <v>76086</v>
      </c>
      <c r="B5993" s="515" t="s">
        <v>458</v>
      </c>
      <c r="C5993" s="52">
        <v>256677.104047492</v>
      </c>
      <c r="D5993" s="56">
        <v>9.5966544149546598E-2</v>
      </c>
      <c r="E5993" s="224">
        <v>1630</v>
      </c>
      <c r="F5993" s="515" t="s">
        <v>7221</v>
      </c>
      <c r="G5993" s="52">
        <v>127637.002161682</v>
      </c>
      <c r="H5993" s="56">
        <v>0.16971452474468618</v>
      </c>
      <c r="I5993" s="224" t="s">
        <v>2</v>
      </c>
    </row>
    <row r="5994" spans="1:9" x14ac:dyDescent="0.25">
      <c r="A5994" s="515">
        <v>35805</v>
      </c>
      <c r="B5994" s="515" t="s">
        <v>997</v>
      </c>
      <c r="C5994" s="52">
        <v>145872.60511421601</v>
      </c>
      <c r="D5994" s="56">
        <v>0.1213988853066626</v>
      </c>
      <c r="E5994" s="224">
        <v>1490.5888888888801</v>
      </c>
      <c r="F5994" s="515" t="s">
        <v>7222</v>
      </c>
      <c r="G5994" s="52">
        <v>307402.76325272198</v>
      </c>
      <c r="H5994" s="56">
        <v>7.2812295765412163E-2</v>
      </c>
      <c r="I5994" s="224" t="s">
        <v>2</v>
      </c>
    </row>
    <row r="5995" spans="1:9" x14ac:dyDescent="0.25">
      <c r="A5995" s="515">
        <v>85028</v>
      </c>
      <c r="B5995" s="515" t="s">
        <v>563</v>
      </c>
      <c r="C5995" s="52">
        <v>626964.15819501004</v>
      </c>
      <c r="D5995" s="56">
        <v>6.1527881841379931E-2</v>
      </c>
      <c r="E5995" s="224">
        <v>2897.5</v>
      </c>
      <c r="F5995" s="515" t="s">
        <v>7223</v>
      </c>
      <c r="G5995" s="52">
        <v>253864.03224864401</v>
      </c>
      <c r="H5995" s="56">
        <v>0.12288066423246374</v>
      </c>
      <c r="I5995" s="224" t="s">
        <v>2</v>
      </c>
    </row>
    <row r="5996" spans="1:9" x14ac:dyDescent="0.25">
      <c r="A5996" s="515">
        <v>36870</v>
      </c>
      <c r="B5996" s="515" t="s">
        <v>1159</v>
      </c>
      <c r="C5996" s="52">
        <v>201632.12176904001</v>
      </c>
      <c r="D5996" s="56">
        <v>7.2253343052186045E-2</v>
      </c>
      <c r="E5996" s="224" t="s">
        <v>2</v>
      </c>
      <c r="F5996" s="515" t="s">
        <v>7224</v>
      </c>
      <c r="G5996" s="52">
        <v>124318.757584551</v>
      </c>
      <c r="H5996" s="56">
        <v>0.11032795317354387</v>
      </c>
      <c r="I5996" s="224" t="s">
        <v>2</v>
      </c>
    </row>
    <row r="5997" spans="1:9" x14ac:dyDescent="0.25">
      <c r="A5997" s="515">
        <v>77026</v>
      </c>
      <c r="B5997" s="515" t="s">
        <v>314</v>
      </c>
      <c r="C5997" s="52">
        <v>148045.34587546601</v>
      </c>
      <c r="D5997" s="56">
        <v>0.20558137210730346</v>
      </c>
      <c r="E5997" s="224">
        <v>1055.125</v>
      </c>
      <c r="F5997" s="515" t="s">
        <v>7225</v>
      </c>
      <c r="G5997" s="52">
        <v>111893.882195823</v>
      </c>
      <c r="H5997" s="56">
        <v>0.20862084153932792</v>
      </c>
      <c r="I5997" s="224" t="s">
        <v>2</v>
      </c>
    </row>
    <row r="5998" spans="1:9" x14ac:dyDescent="0.25">
      <c r="A5998" s="515">
        <v>85253</v>
      </c>
      <c r="B5998" s="515" t="s">
        <v>563</v>
      </c>
      <c r="C5998" s="52">
        <v>2456814.4768166398</v>
      </c>
      <c r="D5998" s="56">
        <v>9.753988711569081E-2</v>
      </c>
      <c r="E5998" s="224">
        <v>2418.3746031746</v>
      </c>
      <c r="F5998" s="515" t="s">
        <v>7226</v>
      </c>
      <c r="G5998" s="52">
        <v>311796.74513057998</v>
      </c>
      <c r="H5998" s="56">
        <v>5.783916341952075E-2</v>
      </c>
      <c r="I5998" s="224" t="s">
        <v>2</v>
      </c>
    </row>
    <row r="5999" spans="1:9" x14ac:dyDescent="0.25">
      <c r="A5999" s="515">
        <v>80238</v>
      </c>
      <c r="B5999" s="515" t="s">
        <v>401</v>
      </c>
      <c r="C5999" s="52">
        <v>766196.83579030505</v>
      </c>
      <c r="D5999" s="56">
        <v>2.2480989484938447E-2</v>
      </c>
      <c r="E5999" s="224">
        <v>2374.2121212121201</v>
      </c>
      <c r="F5999" s="515" t="s">
        <v>7227</v>
      </c>
      <c r="G5999" s="52">
        <v>252024.51612182299</v>
      </c>
      <c r="H5999" s="56">
        <v>0.43468996307592672</v>
      </c>
      <c r="I5999" s="224" t="s">
        <v>2</v>
      </c>
    </row>
    <row r="6000" spans="1:9" x14ac:dyDescent="0.25">
      <c r="A6000" s="515">
        <v>85739</v>
      </c>
      <c r="B6000" s="515" t="s">
        <v>368</v>
      </c>
      <c r="C6000" s="52">
        <v>480227.90134426701</v>
      </c>
      <c r="D6000" s="56">
        <v>6.079843906391541E-2</v>
      </c>
      <c r="E6000" s="224" t="s">
        <v>2</v>
      </c>
      <c r="F6000" s="515" t="s">
        <v>7228</v>
      </c>
      <c r="G6000" s="52">
        <v>122227.569500467</v>
      </c>
      <c r="H6000" s="56">
        <v>0.25555704075599261</v>
      </c>
      <c r="I6000" s="224" t="s">
        <v>2</v>
      </c>
    </row>
    <row r="6001" spans="1:9" x14ac:dyDescent="0.25">
      <c r="A6001" s="515">
        <v>95819</v>
      </c>
      <c r="B6001" s="515" t="s">
        <v>355</v>
      </c>
      <c r="C6001" s="52">
        <v>695462.59590018005</v>
      </c>
      <c r="D6001" s="56">
        <v>1.4507474068224812E-2</v>
      </c>
      <c r="E6001" s="224">
        <v>2054.4444444444398</v>
      </c>
      <c r="F6001" s="515" t="s">
        <v>7229</v>
      </c>
      <c r="G6001" s="52">
        <v>292604.42887435597</v>
      </c>
      <c r="H6001" s="56">
        <v>4.6855781378479414E-2</v>
      </c>
      <c r="I6001" s="224" t="s">
        <v>2</v>
      </c>
    </row>
    <row r="6002" spans="1:9" x14ac:dyDescent="0.25">
      <c r="A6002" s="515">
        <v>36867</v>
      </c>
      <c r="B6002" s="515" t="s">
        <v>778</v>
      </c>
      <c r="C6002" s="52">
        <v>151202.888618283</v>
      </c>
      <c r="D6002" s="56">
        <v>6.4125394915043307E-2</v>
      </c>
      <c r="E6002" s="224" t="s">
        <v>2</v>
      </c>
      <c r="F6002" s="515" t="s">
        <v>7230</v>
      </c>
      <c r="G6002" s="52">
        <v>216433.02286649801</v>
      </c>
      <c r="H6002" s="56">
        <v>-2.6232833699177813E-2</v>
      </c>
      <c r="I6002" s="224" t="s">
        <v>2</v>
      </c>
    </row>
    <row r="6003" spans="1:9" x14ac:dyDescent="0.25">
      <c r="A6003" s="515">
        <v>44446</v>
      </c>
      <c r="B6003" s="515" t="s">
        <v>397</v>
      </c>
      <c r="C6003" s="52">
        <v>107308.043586653</v>
      </c>
      <c r="D6003" s="56">
        <v>0.13034591566319473</v>
      </c>
      <c r="E6003" s="224" t="s">
        <v>2</v>
      </c>
      <c r="F6003" s="515" t="s">
        <v>7231</v>
      </c>
      <c r="G6003" s="52">
        <v>285146.10291723401</v>
      </c>
      <c r="H6003" s="56">
        <v>5.2310416064929442E-2</v>
      </c>
      <c r="I6003" s="224" t="s">
        <v>2</v>
      </c>
    </row>
    <row r="6004" spans="1:9" x14ac:dyDescent="0.25">
      <c r="A6004" s="515">
        <v>27801</v>
      </c>
      <c r="B6004" s="515" t="s">
        <v>1152</v>
      </c>
      <c r="C6004" s="52">
        <v>123870.063709059</v>
      </c>
      <c r="D6004" s="56">
        <v>0.29183574961898429</v>
      </c>
      <c r="E6004" s="224" t="s">
        <v>2</v>
      </c>
      <c r="F6004" s="515" t="s">
        <v>7232</v>
      </c>
      <c r="G6004" s="52">
        <v>286317.88628433598</v>
      </c>
      <c r="H6004" s="56">
        <v>5.3464333147398374E-2</v>
      </c>
      <c r="I6004" s="224" t="s">
        <v>2</v>
      </c>
    </row>
    <row r="6005" spans="1:9" x14ac:dyDescent="0.25">
      <c r="A6005" s="515">
        <v>8852</v>
      </c>
      <c r="B6005" s="515" t="s">
        <v>324</v>
      </c>
      <c r="C6005" s="52">
        <v>538658.69055422803</v>
      </c>
      <c r="D6005" s="56">
        <v>5.4314796592071467E-2</v>
      </c>
      <c r="E6005" s="224" t="s">
        <v>2</v>
      </c>
      <c r="F6005" s="515" t="s">
        <v>7233</v>
      </c>
      <c r="G6005" s="52">
        <v>216978.97183169401</v>
      </c>
      <c r="H6005" s="56">
        <v>6.8675711326476235E-2</v>
      </c>
      <c r="I6005" s="224" t="s">
        <v>2</v>
      </c>
    </row>
    <row r="6006" spans="1:9" x14ac:dyDescent="0.25">
      <c r="A6006" s="515">
        <v>80831</v>
      </c>
      <c r="B6006" s="515" t="s">
        <v>701</v>
      </c>
      <c r="C6006" s="52">
        <v>525257.16917379398</v>
      </c>
      <c r="D6006" s="56">
        <v>3.5561119196857421E-2</v>
      </c>
      <c r="E6006" s="224">
        <v>2410</v>
      </c>
      <c r="F6006" s="515" t="s">
        <v>7234</v>
      </c>
      <c r="G6006" s="52">
        <v>794691.21749347704</v>
      </c>
      <c r="H6006" s="56">
        <v>6.4556333045306752E-2</v>
      </c>
      <c r="I6006" s="224" t="s">
        <v>2</v>
      </c>
    </row>
    <row r="6007" spans="1:9" x14ac:dyDescent="0.25">
      <c r="A6007" s="515">
        <v>77029</v>
      </c>
      <c r="B6007" s="515" t="s">
        <v>314</v>
      </c>
      <c r="C6007" s="52">
        <v>153457.197907369</v>
      </c>
      <c r="D6007" s="56">
        <v>0.18409087945793809</v>
      </c>
      <c r="E6007" s="224">
        <v>1525</v>
      </c>
      <c r="F6007" s="515" t="s">
        <v>7235</v>
      </c>
      <c r="G6007" s="52">
        <v>147691.90616474801</v>
      </c>
      <c r="H6007" s="56">
        <v>4.754687277292103E-2</v>
      </c>
      <c r="I6007" s="224" t="s">
        <v>2</v>
      </c>
    </row>
    <row r="6008" spans="1:9" x14ac:dyDescent="0.25">
      <c r="A6008" s="515">
        <v>89706</v>
      </c>
      <c r="B6008" s="515" t="s">
        <v>1196</v>
      </c>
      <c r="C6008" s="52">
        <v>402260.94744789298</v>
      </c>
      <c r="D6008" s="56">
        <v>-5.8364230489291579E-3</v>
      </c>
      <c r="E6008" s="224" t="s">
        <v>2</v>
      </c>
      <c r="F6008" s="515" t="s">
        <v>7236</v>
      </c>
      <c r="G6008" s="52">
        <v>561003.74707916996</v>
      </c>
      <c r="H6008" s="56">
        <v>6.7422772267175454E-2</v>
      </c>
      <c r="I6008" s="224" t="s">
        <v>2</v>
      </c>
    </row>
    <row r="6009" spans="1:9" x14ac:dyDescent="0.25">
      <c r="A6009" s="515">
        <v>1749</v>
      </c>
      <c r="B6009" s="515" t="s">
        <v>534</v>
      </c>
      <c r="C6009" s="52">
        <v>498446.408193729</v>
      </c>
      <c r="D6009" s="56">
        <v>4.4204857665459549E-2</v>
      </c>
      <c r="E6009" s="224">
        <v>2123.75</v>
      </c>
      <c r="F6009" s="515" t="s">
        <v>7237</v>
      </c>
      <c r="G6009" s="52">
        <v>435838.64812536002</v>
      </c>
      <c r="H6009" s="56">
        <v>9.3268121654415156E-2</v>
      </c>
      <c r="I6009" s="224" t="s">
        <v>2</v>
      </c>
    </row>
    <row r="6010" spans="1:9" x14ac:dyDescent="0.25">
      <c r="A6010" s="515">
        <v>34212</v>
      </c>
      <c r="B6010" s="515" t="s">
        <v>466</v>
      </c>
      <c r="C6010" s="52">
        <v>564841.33925744996</v>
      </c>
      <c r="D6010" s="56">
        <v>0.13467076317738488</v>
      </c>
      <c r="E6010" s="224">
        <v>2877.2777777777701</v>
      </c>
      <c r="F6010" s="515" t="s">
        <v>7238</v>
      </c>
      <c r="G6010" s="52">
        <v>219410.16319631599</v>
      </c>
      <c r="H6010" s="56">
        <v>0.15295912654028973</v>
      </c>
      <c r="I6010" s="224" t="s">
        <v>2</v>
      </c>
    </row>
    <row r="6011" spans="1:9" x14ac:dyDescent="0.25">
      <c r="A6011" s="515">
        <v>97754</v>
      </c>
      <c r="B6011" s="515" t="s">
        <v>1147</v>
      </c>
      <c r="C6011" s="52">
        <v>378508.94346124801</v>
      </c>
      <c r="D6011" s="56">
        <v>2.8446880783612263E-2</v>
      </c>
      <c r="E6011" s="224">
        <v>1600</v>
      </c>
      <c r="F6011" s="515" t="s">
        <v>7239</v>
      </c>
      <c r="G6011" s="52">
        <v>372540.611198937</v>
      </c>
      <c r="H6011" s="56">
        <v>4.9981508486181513E-2</v>
      </c>
      <c r="I6011" s="224" t="s">
        <v>2</v>
      </c>
    </row>
    <row r="6012" spans="1:9" x14ac:dyDescent="0.25">
      <c r="A6012" s="515">
        <v>44654</v>
      </c>
      <c r="C6012" s="52">
        <v>309498.487610057</v>
      </c>
      <c r="D6012" s="56">
        <v>0.14500575134492882</v>
      </c>
      <c r="E6012" s="224" t="s">
        <v>2</v>
      </c>
      <c r="F6012" s="515" t="s">
        <v>7240</v>
      </c>
      <c r="G6012" s="52">
        <v>1391131.49530554</v>
      </c>
      <c r="H6012" s="56">
        <v>-3.3814552314747851E-2</v>
      </c>
      <c r="I6012" s="224" t="s">
        <v>2</v>
      </c>
    </row>
    <row r="6013" spans="1:9" x14ac:dyDescent="0.25">
      <c r="A6013" s="515">
        <v>27546</v>
      </c>
      <c r="B6013" s="515" t="s">
        <v>1149</v>
      </c>
      <c r="C6013" s="52">
        <v>251751.308671279</v>
      </c>
      <c r="D6013" s="56">
        <v>0.16020192019078114</v>
      </c>
      <c r="E6013" s="224">
        <v>1475</v>
      </c>
      <c r="F6013" s="515" t="s">
        <v>7241</v>
      </c>
      <c r="G6013" s="52">
        <v>283443.57193657599</v>
      </c>
      <c r="H6013" s="56">
        <v>8.6753819264196619E-2</v>
      </c>
      <c r="I6013" s="224" t="s">
        <v>2</v>
      </c>
    </row>
    <row r="6014" spans="1:9" x14ac:dyDescent="0.25">
      <c r="A6014" s="515">
        <v>11428</v>
      </c>
      <c r="B6014" s="515" t="s">
        <v>324</v>
      </c>
      <c r="C6014" s="52">
        <v>666456.94059500296</v>
      </c>
      <c r="D6014" s="56">
        <v>5.6571110870242546E-2</v>
      </c>
      <c r="E6014" s="224" t="s">
        <v>2</v>
      </c>
      <c r="F6014" s="515" t="s">
        <v>7242</v>
      </c>
      <c r="G6014" s="52">
        <v>201952.34411560299</v>
      </c>
      <c r="H6014" s="56">
        <v>0.10944796673864257</v>
      </c>
      <c r="I6014" s="224" t="s">
        <v>2</v>
      </c>
    </row>
    <row r="6015" spans="1:9" x14ac:dyDescent="0.25">
      <c r="A6015" s="515">
        <v>24151</v>
      </c>
      <c r="B6015" s="515" t="s">
        <v>861</v>
      </c>
      <c r="C6015" s="52">
        <v>219350.14333369199</v>
      </c>
      <c r="D6015" s="56">
        <v>9.0455980793749516E-2</v>
      </c>
      <c r="E6015" s="224" t="s">
        <v>2</v>
      </c>
      <c r="F6015" s="515" t="s">
        <v>7243</v>
      </c>
      <c r="G6015" s="52">
        <v>238732.92810573601</v>
      </c>
      <c r="H6015" s="56">
        <v>6.7725704085160529E-2</v>
      </c>
      <c r="I6015" s="224" t="s">
        <v>2</v>
      </c>
    </row>
    <row r="6016" spans="1:9" x14ac:dyDescent="0.25">
      <c r="A6016" s="515">
        <v>73135</v>
      </c>
      <c r="B6016" s="515" t="s">
        <v>385</v>
      </c>
      <c r="C6016" s="52">
        <v>190251.27534956799</v>
      </c>
      <c r="D6016" s="56">
        <v>0.13835120742141524</v>
      </c>
      <c r="E6016" s="224">
        <v>1357.93333333333</v>
      </c>
      <c r="F6016" s="515" t="s">
        <v>7244</v>
      </c>
      <c r="G6016" s="52">
        <v>182337.275786265</v>
      </c>
      <c r="H6016" s="56">
        <v>7.7638358240027364E-2</v>
      </c>
      <c r="I6016" s="224" t="s">
        <v>2</v>
      </c>
    </row>
    <row r="6017" spans="1:9" x14ac:dyDescent="0.25">
      <c r="A6017" s="515">
        <v>54937</v>
      </c>
      <c r="B6017" s="515" t="s">
        <v>987</v>
      </c>
      <c r="C6017" s="52">
        <v>266555.44817518501</v>
      </c>
      <c r="D6017" s="56">
        <v>7.6474159587340496E-2</v>
      </c>
      <c r="E6017" s="224" t="s">
        <v>2</v>
      </c>
      <c r="F6017" s="515" t="s">
        <v>7245</v>
      </c>
      <c r="G6017" s="52">
        <v>259718.19858844101</v>
      </c>
      <c r="H6017" s="56">
        <v>6.9205966013437172E-3</v>
      </c>
      <c r="I6017" s="224" t="s">
        <v>2</v>
      </c>
    </row>
    <row r="6018" spans="1:9" x14ac:dyDescent="0.25">
      <c r="A6018" s="515">
        <v>20187</v>
      </c>
      <c r="B6018" s="515" t="s">
        <v>321</v>
      </c>
      <c r="C6018" s="52">
        <v>624773.57081046596</v>
      </c>
      <c r="D6018" s="56">
        <v>4.007313931741726E-2</v>
      </c>
      <c r="E6018" s="224" t="s">
        <v>2</v>
      </c>
      <c r="F6018" s="515" t="s">
        <v>7246</v>
      </c>
      <c r="G6018" s="52">
        <v>315554.03373574099</v>
      </c>
      <c r="H6018" s="56">
        <v>4.4564537595958451E-2</v>
      </c>
      <c r="I6018" s="224" t="s">
        <v>2</v>
      </c>
    </row>
    <row r="6019" spans="1:9" x14ac:dyDescent="0.25">
      <c r="A6019" s="515">
        <v>31721</v>
      </c>
      <c r="B6019" s="515" t="s">
        <v>746</v>
      </c>
      <c r="C6019" s="52">
        <v>211271.571145917</v>
      </c>
      <c r="D6019" s="56">
        <v>0.10468212817368185</v>
      </c>
      <c r="E6019" s="224">
        <v>800</v>
      </c>
      <c r="F6019" s="515" t="s">
        <v>7247</v>
      </c>
      <c r="G6019" s="52">
        <v>95230.828798225702</v>
      </c>
      <c r="H6019" s="56">
        <v>0.18865519038775319</v>
      </c>
      <c r="I6019" s="224" t="s">
        <v>2</v>
      </c>
    </row>
    <row r="6020" spans="1:9" x14ac:dyDescent="0.25">
      <c r="A6020" s="515">
        <v>20190</v>
      </c>
      <c r="B6020" s="515" t="s">
        <v>321</v>
      </c>
      <c r="C6020" s="52">
        <v>480127.53425238299</v>
      </c>
      <c r="D6020" s="56">
        <v>9.3353294207150408E-3</v>
      </c>
      <c r="E6020" s="224">
        <v>2299.5356616563499</v>
      </c>
      <c r="F6020" s="515" t="s">
        <v>7248</v>
      </c>
      <c r="G6020" s="52">
        <v>219793.575203674</v>
      </c>
      <c r="H6020" s="56">
        <v>3.1038270261340341E-2</v>
      </c>
      <c r="I6020" s="224" t="s">
        <v>2</v>
      </c>
    </row>
    <row r="6021" spans="1:9" x14ac:dyDescent="0.25">
      <c r="A6021" s="515">
        <v>17070</v>
      </c>
      <c r="B6021" s="515" t="s">
        <v>509</v>
      </c>
      <c r="C6021" s="52">
        <v>244720.94732992901</v>
      </c>
      <c r="D6021" s="56">
        <v>9.7346492128092085E-2</v>
      </c>
      <c r="E6021" s="224">
        <v>1457.5</v>
      </c>
      <c r="F6021" s="515" t="s">
        <v>7249</v>
      </c>
      <c r="G6021" s="52">
        <v>279742.96953778598</v>
      </c>
      <c r="H6021" s="56">
        <v>0.1196204747181592</v>
      </c>
      <c r="I6021" s="224" t="s">
        <v>2</v>
      </c>
    </row>
    <row r="6022" spans="1:9" x14ac:dyDescent="0.25">
      <c r="A6022" s="515">
        <v>82609</v>
      </c>
      <c r="B6022" s="515" t="s">
        <v>766</v>
      </c>
      <c r="C6022" s="52">
        <v>300106.86527268199</v>
      </c>
      <c r="D6022" s="56">
        <v>6.3977274448792032E-2</v>
      </c>
      <c r="E6022" s="224">
        <v>1295.87222222222</v>
      </c>
      <c r="F6022" s="515" t="s">
        <v>7250</v>
      </c>
      <c r="G6022" s="52">
        <v>1182334.64542483</v>
      </c>
      <c r="H6022" s="56">
        <v>0</v>
      </c>
      <c r="I6022" s="224" t="s">
        <v>2</v>
      </c>
    </row>
    <row r="6023" spans="1:9" x14ac:dyDescent="0.25">
      <c r="A6023" s="515">
        <v>60490</v>
      </c>
      <c r="B6023" s="515" t="s">
        <v>394</v>
      </c>
      <c r="C6023" s="52">
        <v>392015.23582634301</v>
      </c>
      <c r="D6023" s="56">
        <v>7.0413609490341061E-2</v>
      </c>
      <c r="E6023" s="224" t="s">
        <v>2</v>
      </c>
      <c r="F6023" s="515" t="s">
        <v>7251</v>
      </c>
      <c r="G6023" s="52">
        <v>148886.16329277301</v>
      </c>
      <c r="H6023" s="56">
        <v>4.5763760372139112E-2</v>
      </c>
      <c r="I6023" s="224" t="s">
        <v>2</v>
      </c>
    </row>
    <row r="6024" spans="1:9" x14ac:dyDescent="0.25">
      <c r="A6024" s="515">
        <v>74112</v>
      </c>
      <c r="B6024" s="515" t="s">
        <v>348</v>
      </c>
      <c r="C6024" s="52">
        <v>158813.46639814801</v>
      </c>
      <c r="D6024" s="56">
        <v>0.10048701976362821</v>
      </c>
      <c r="E6024" s="224">
        <v>1208.9166666666599</v>
      </c>
      <c r="F6024" s="515" t="s">
        <v>7252</v>
      </c>
      <c r="G6024" s="52">
        <v>157540.18303095701</v>
      </c>
      <c r="H6024" s="56">
        <v>0.10316368873474854</v>
      </c>
      <c r="I6024" s="224" t="s">
        <v>2</v>
      </c>
    </row>
    <row r="6025" spans="1:9" x14ac:dyDescent="0.25">
      <c r="A6025" s="515">
        <v>36693</v>
      </c>
      <c r="B6025" s="515" t="s">
        <v>815</v>
      </c>
      <c r="C6025" s="52">
        <v>212562.61010217201</v>
      </c>
      <c r="D6025" s="56">
        <v>7.0195872827398961E-2</v>
      </c>
      <c r="E6025" s="224" t="s">
        <v>2</v>
      </c>
      <c r="F6025" s="515" t="s">
        <v>7253</v>
      </c>
      <c r="G6025" s="52">
        <v>75094.986067211095</v>
      </c>
      <c r="H6025" s="56">
        <v>-6.75257918491243E-2</v>
      </c>
      <c r="I6025" s="224" t="s">
        <v>2</v>
      </c>
    </row>
    <row r="6026" spans="1:9" x14ac:dyDescent="0.25">
      <c r="A6026" s="515">
        <v>46774</v>
      </c>
      <c r="B6026" s="515" t="s">
        <v>1031</v>
      </c>
      <c r="C6026" s="52">
        <v>196966.80862503301</v>
      </c>
      <c r="D6026" s="56">
        <v>7.8749500915658147E-2</v>
      </c>
      <c r="E6026" s="224" t="s">
        <v>2</v>
      </c>
      <c r="F6026" s="515" t="s">
        <v>7254</v>
      </c>
      <c r="G6026" s="52">
        <v>111700.277288748</v>
      </c>
      <c r="H6026" s="56">
        <v>3.6580571280673047E-2</v>
      </c>
      <c r="I6026" s="224" t="s">
        <v>2</v>
      </c>
    </row>
    <row r="6027" spans="1:9" x14ac:dyDescent="0.25">
      <c r="A6027" s="515">
        <v>34480</v>
      </c>
      <c r="B6027" s="515" t="s">
        <v>475</v>
      </c>
      <c r="C6027" s="52">
        <v>305432.92060679401</v>
      </c>
      <c r="D6027" s="56">
        <v>0.14267362526253383</v>
      </c>
      <c r="E6027" s="224">
        <v>1408.3333333333301</v>
      </c>
      <c r="F6027" s="515" t="s">
        <v>7255</v>
      </c>
      <c r="G6027" s="52">
        <v>215448.94893528</v>
      </c>
      <c r="H6027" s="56">
        <v>0.11790716849061977</v>
      </c>
      <c r="I6027" s="224" t="s">
        <v>2</v>
      </c>
    </row>
    <row r="6028" spans="1:9" x14ac:dyDescent="0.25">
      <c r="A6028" s="515">
        <v>2129</v>
      </c>
      <c r="B6028" s="515" t="s">
        <v>534</v>
      </c>
      <c r="C6028" s="52">
        <v>829565.40295941697</v>
      </c>
      <c r="D6028" s="56">
        <v>-1.2538296752542148E-2</v>
      </c>
      <c r="E6028" s="224">
        <v>3046.26388888888</v>
      </c>
      <c r="F6028" s="515" t="s">
        <v>7256</v>
      </c>
      <c r="G6028" s="52">
        <v>976181.97102857498</v>
      </c>
      <c r="H6028" s="56">
        <v>3.25052205204844E-2</v>
      </c>
      <c r="I6028" s="224" t="s">
        <v>2</v>
      </c>
    </row>
    <row r="6029" spans="1:9" x14ac:dyDescent="0.25">
      <c r="A6029" s="515">
        <v>55331</v>
      </c>
      <c r="B6029" s="515" t="s">
        <v>532</v>
      </c>
      <c r="C6029" s="52">
        <v>722353.60536228504</v>
      </c>
      <c r="D6029" s="56">
        <v>5.7839006496058575E-2</v>
      </c>
      <c r="E6029" s="224" t="s">
        <v>2</v>
      </c>
      <c r="F6029" s="515" t="s">
        <v>7257</v>
      </c>
      <c r="G6029" s="52">
        <v>112055.139352773</v>
      </c>
      <c r="H6029" s="56">
        <v>4.4960659838358494E-2</v>
      </c>
      <c r="I6029" s="224" t="s">
        <v>2</v>
      </c>
    </row>
    <row r="6030" spans="1:9" x14ac:dyDescent="0.25">
      <c r="A6030" s="515">
        <v>19040</v>
      </c>
      <c r="B6030" s="515" t="s">
        <v>294</v>
      </c>
      <c r="C6030" s="52">
        <v>381586.40571683698</v>
      </c>
      <c r="D6030" s="56">
        <v>7.418964776407988E-2</v>
      </c>
      <c r="E6030" s="224" t="s">
        <v>2</v>
      </c>
      <c r="F6030" s="515" t="s">
        <v>7258</v>
      </c>
      <c r="G6030" s="52">
        <v>240062.21055944799</v>
      </c>
      <c r="H6030" s="56">
        <v>0.15957523639511498</v>
      </c>
      <c r="I6030" s="224" t="s">
        <v>2</v>
      </c>
    </row>
    <row r="6031" spans="1:9" x14ac:dyDescent="0.25">
      <c r="A6031" s="515">
        <v>15239</v>
      </c>
      <c r="B6031" s="515" t="s">
        <v>297</v>
      </c>
      <c r="C6031" s="52">
        <v>217283.07293449499</v>
      </c>
      <c r="D6031" s="56">
        <v>6.721374678104429E-2</v>
      </c>
      <c r="E6031" s="224" t="s">
        <v>2</v>
      </c>
      <c r="F6031" s="515" t="s">
        <v>7259</v>
      </c>
      <c r="G6031" s="52">
        <v>200233.866656495</v>
      </c>
      <c r="H6031" s="56">
        <v>0.12240175416801793</v>
      </c>
      <c r="I6031" s="224" t="s">
        <v>2</v>
      </c>
    </row>
    <row r="6032" spans="1:9" x14ac:dyDescent="0.25">
      <c r="A6032" s="515">
        <v>27409</v>
      </c>
      <c r="B6032" s="515" t="s">
        <v>1148</v>
      </c>
      <c r="C6032" s="52">
        <v>198081.54678929999</v>
      </c>
      <c r="D6032" s="56">
        <v>0.16459997181650243</v>
      </c>
      <c r="E6032" s="224">
        <v>1411.6666666666599</v>
      </c>
      <c r="F6032" s="515" t="s">
        <v>7260</v>
      </c>
      <c r="G6032" s="52">
        <v>323654.638131477</v>
      </c>
      <c r="H6032" s="56">
        <v>7.4509015425407221E-2</v>
      </c>
      <c r="I6032" s="224" t="s">
        <v>2</v>
      </c>
    </row>
    <row r="6033" spans="1:9" x14ac:dyDescent="0.25">
      <c r="A6033" s="515">
        <v>50208</v>
      </c>
      <c r="B6033" s="515" t="s">
        <v>295</v>
      </c>
      <c r="C6033" s="52">
        <v>165701.51122440901</v>
      </c>
      <c r="D6033" s="56">
        <v>8.502584960282987E-2</v>
      </c>
      <c r="E6033" s="224" t="s">
        <v>2</v>
      </c>
      <c r="F6033" s="515" t="s">
        <v>7261</v>
      </c>
      <c r="G6033" s="52">
        <v>122615.101769171</v>
      </c>
      <c r="H6033" s="56">
        <v>0.16375116179241458</v>
      </c>
      <c r="I6033" s="224" t="s">
        <v>2</v>
      </c>
    </row>
    <row r="6034" spans="1:9" x14ac:dyDescent="0.25">
      <c r="A6034" s="515">
        <v>14214</v>
      </c>
      <c r="B6034" s="515" t="s">
        <v>336</v>
      </c>
      <c r="C6034" s="52">
        <v>237988.55181516</v>
      </c>
      <c r="D6034" s="56">
        <v>6.2123455719731525E-2</v>
      </c>
      <c r="E6034" s="224">
        <v>1600</v>
      </c>
      <c r="F6034" s="515" t="s">
        <v>7262</v>
      </c>
      <c r="G6034" s="52">
        <v>302532.35608897801</v>
      </c>
      <c r="H6034" s="56">
        <v>8.3644732434403124E-2</v>
      </c>
      <c r="I6034" s="224" t="s">
        <v>2</v>
      </c>
    </row>
    <row r="6035" spans="1:9" x14ac:dyDescent="0.25">
      <c r="A6035" s="515">
        <v>98264</v>
      </c>
      <c r="B6035" s="515" t="s">
        <v>412</v>
      </c>
      <c r="C6035" s="52">
        <v>548353.90995494497</v>
      </c>
      <c r="D6035" s="56">
        <v>3.2376664714136076E-2</v>
      </c>
      <c r="E6035" s="224">
        <v>2023.75</v>
      </c>
      <c r="F6035" s="515" t="s">
        <v>7263</v>
      </c>
      <c r="G6035" s="52">
        <v>288560.87393245398</v>
      </c>
      <c r="H6035" s="56">
        <v>0.1877713903066317</v>
      </c>
      <c r="I6035" s="224" t="s">
        <v>2</v>
      </c>
    </row>
    <row r="6036" spans="1:9" x14ac:dyDescent="0.25">
      <c r="A6036" s="515">
        <v>87102</v>
      </c>
      <c r="B6036" s="515" t="s">
        <v>406</v>
      </c>
      <c r="C6036" s="52">
        <v>214964.978746587</v>
      </c>
      <c r="D6036" s="56">
        <v>0.13160325389738312</v>
      </c>
      <c r="E6036" s="224">
        <v>1286.94444444444</v>
      </c>
      <c r="F6036" s="515" t="s">
        <v>7264</v>
      </c>
      <c r="G6036" s="52">
        <v>165608.86060265201</v>
      </c>
      <c r="H6036" s="56">
        <v>4.0784065770914216E-2</v>
      </c>
      <c r="I6036" s="224" t="s">
        <v>2</v>
      </c>
    </row>
    <row r="6037" spans="1:9" x14ac:dyDescent="0.25">
      <c r="A6037" s="515">
        <v>2766</v>
      </c>
      <c r="B6037" s="515" t="s">
        <v>513</v>
      </c>
      <c r="C6037" s="52">
        <v>483785.19254557497</v>
      </c>
      <c r="D6037" s="56">
        <v>5.9211370080428385E-2</v>
      </c>
      <c r="E6037" s="224" t="s">
        <v>2</v>
      </c>
      <c r="F6037" s="515" t="s">
        <v>7265</v>
      </c>
      <c r="G6037" s="52">
        <v>556376.07735531603</v>
      </c>
      <c r="H6037" s="56">
        <v>6.7865972243580319E-2</v>
      </c>
      <c r="I6037" s="224" t="s">
        <v>2</v>
      </c>
    </row>
    <row r="6038" spans="1:9" x14ac:dyDescent="0.25">
      <c r="A6038" s="515">
        <v>92587</v>
      </c>
      <c r="B6038" s="515" t="s">
        <v>599</v>
      </c>
      <c r="C6038" s="52">
        <v>587883.17872352002</v>
      </c>
      <c r="D6038" s="56">
        <v>2.8370331838158559E-2</v>
      </c>
      <c r="E6038" s="224" t="s">
        <v>2</v>
      </c>
      <c r="F6038" s="515" t="s">
        <v>7266</v>
      </c>
      <c r="G6038" s="52">
        <v>1144245.8216357201</v>
      </c>
      <c r="H6038" s="56">
        <v>9.9746751774147768E-2</v>
      </c>
      <c r="I6038" s="224" t="s">
        <v>2</v>
      </c>
    </row>
    <row r="6039" spans="1:9" x14ac:dyDescent="0.25">
      <c r="A6039" s="515">
        <v>90210</v>
      </c>
      <c r="B6039" s="515" t="s">
        <v>375</v>
      </c>
      <c r="C6039" s="52">
        <v>5109835.4546681698</v>
      </c>
      <c r="D6039" s="56">
        <v>3.5861753182655283E-2</v>
      </c>
      <c r="E6039" s="224">
        <v>9914.7802197802193</v>
      </c>
      <c r="F6039" s="515" t="s">
        <v>7267</v>
      </c>
      <c r="G6039" s="52">
        <v>183700.206654913</v>
      </c>
      <c r="H6039" s="56">
        <v>5.0259146794968262E-2</v>
      </c>
      <c r="I6039" s="224" t="s">
        <v>2</v>
      </c>
    </row>
    <row r="6040" spans="1:9" x14ac:dyDescent="0.25">
      <c r="A6040" s="515">
        <v>19061</v>
      </c>
      <c r="B6040" s="515" t="s">
        <v>294</v>
      </c>
      <c r="C6040" s="52">
        <v>228160.23908842399</v>
      </c>
      <c r="D6040" s="56">
        <v>0.12092857389212859</v>
      </c>
      <c r="E6040" s="224">
        <v>1822.5</v>
      </c>
      <c r="F6040" s="515" t="s">
        <v>7268</v>
      </c>
      <c r="G6040" s="52">
        <v>1054482.35277672</v>
      </c>
      <c r="H6040" s="56">
        <v>9.0187695120577907E-2</v>
      </c>
      <c r="I6040" s="224" t="s">
        <v>2</v>
      </c>
    </row>
    <row r="6041" spans="1:9" x14ac:dyDescent="0.25">
      <c r="A6041" s="515">
        <v>11436</v>
      </c>
      <c r="B6041" s="515" t="s">
        <v>324</v>
      </c>
      <c r="C6041" s="52">
        <v>589736.65759441606</v>
      </c>
      <c r="D6041" s="56">
        <v>4.5587550657492003E-2</v>
      </c>
      <c r="E6041" s="224" t="s">
        <v>2</v>
      </c>
      <c r="F6041" s="515" t="s">
        <v>7269</v>
      </c>
      <c r="G6041" s="52">
        <v>226666.889688097</v>
      </c>
      <c r="H6041" s="56">
        <v>7.3571561653847692E-2</v>
      </c>
      <c r="I6041" s="224" t="s">
        <v>2</v>
      </c>
    </row>
    <row r="6042" spans="1:9" x14ac:dyDescent="0.25">
      <c r="A6042" s="515">
        <v>10990</v>
      </c>
      <c r="B6042" s="515" t="s">
        <v>529</v>
      </c>
      <c r="C6042" s="52">
        <v>484130.83981590002</v>
      </c>
      <c r="D6042" s="56">
        <v>9.5692737497159272E-2</v>
      </c>
      <c r="E6042" s="224">
        <v>2550</v>
      </c>
      <c r="F6042" s="515" t="s">
        <v>7270</v>
      </c>
      <c r="G6042" s="52">
        <v>297768.57929791801</v>
      </c>
      <c r="H6042" s="56">
        <v>9.2039571405513124E-2</v>
      </c>
      <c r="I6042" s="224" t="s">
        <v>2</v>
      </c>
    </row>
    <row r="6043" spans="1:9" x14ac:dyDescent="0.25">
      <c r="A6043" s="515">
        <v>94564</v>
      </c>
      <c r="B6043" s="515" t="s">
        <v>593</v>
      </c>
      <c r="C6043" s="52">
        <v>710415.10510697798</v>
      </c>
      <c r="D6043" s="56">
        <v>1.149982235698924E-2</v>
      </c>
      <c r="E6043" s="224">
        <v>3300</v>
      </c>
      <c r="F6043" s="515" t="s">
        <v>7271</v>
      </c>
      <c r="G6043" s="52">
        <v>245017.87958986301</v>
      </c>
      <c r="H6043" s="56">
        <v>8.6643096686443336E-2</v>
      </c>
      <c r="I6043" s="224" t="s">
        <v>2</v>
      </c>
    </row>
    <row r="6044" spans="1:9" x14ac:dyDescent="0.25">
      <c r="A6044" s="515">
        <v>82070</v>
      </c>
      <c r="B6044" s="515" t="s">
        <v>353</v>
      </c>
      <c r="C6044" s="52">
        <v>340981.59101924102</v>
      </c>
      <c r="D6044" s="56">
        <v>7.8970748285278586E-2</v>
      </c>
      <c r="E6044" s="224">
        <v>977</v>
      </c>
      <c r="F6044" s="515" t="s">
        <v>7272</v>
      </c>
      <c r="G6044" s="52">
        <v>639503.75273211498</v>
      </c>
      <c r="H6044" s="56">
        <v>7.4740611931020565E-2</v>
      </c>
      <c r="I6044" s="224" t="s">
        <v>2</v>
      </c>
    </row>
    <row r="6045" spans="1:9" x14ac:dyDescent="0.25">
      <c r="A6045" s="515">
        <v>95519</v>
      </c>
      <c r="B6045" s="515" t="s">
        <v>352</v>
      </c>
      <c r="C6045" s="52">
        <v>458071.330471322</v>
      </c>
      <c r="D6045" s="56">
        <v>1.6173833857810273E-2</v>
      </c>
      <c r="E6045" s="224" t="s">
        <v>2</v>
      </c>
      <c r="F6045" s="515" t="s">
        <v>7273</v>
      </c>
      <c r="G6045" s="52">
        <v>103676.03805473199</v>
      </c>
      <c r="H6045" s="56">
        <v>5.2663643424894574E-2</v>
      </c>
      <c r="I6045" s="224" t="s">
        <v>2</v>
      </c>
    </row>
    <row r="6046" spans="1:9" x14ac:dyDescent="0.25">
      <c r="A6046" s="515">
        <v>42103</v>
      </c>
      <c r="B6046" s="515" t="s">
        <v>799</v>
      </c>
      <c r="C6046" s="52">
        <v>317205.82603458699</v>
      </c>
      <c r="D6046" s="56">
        <v>0.11355535974627431</v>
      </c>
      <c r="E6046" s="224" t="s">
        <v>2</v>
      </c>
      <c r="F6046" s="515" t="s">
        <v>7274</v>
      </c>
      <c r="G6046" s="52">
        <v>378727.53884454002</v>
      </c>
      <c r="H6046" s="56">
        <v>4.6340721682365991E-2</v>
      </c>
      <c r="I6046" s="224" t="s">
        <v>2</v>
      </c>
    </row>
    <row r="6047" spans="1:9" x14ac:dyDescent="0.25">
      <c r="A6047" s="515">
        <v>17104</v>
      </c>
      <c r="B6047" s="515" t="s">
        <v>428</v>
      </c>
      <c r="C6047" s="52">
        <v>90582.008114968907</v>
      </c>
      <c r="D6047" s="56">
        <v>0.27879227050604655</v>
      </c>
      <c r="E6047" s="224" t="s">
        <v>2</v>
      </c>
      <c r="F6047" s="515" t="s">
        <v>7275</v>
      </c>
      <c r="G6047" s="52">
        <v>141705.046389133</v>
      </c>
      <c r="H6047" s="56">
        <v>8.0164909702111958E-2</v>
      </c>
      <c r="I6047" s="224" t="s">
        <v>2</v>
      </c>
    </row>
    <row r="6048" spans="1:9" x14ac:dyDescent="0.25">
      <c r="A6048" s="515">
        <v>83204</v>
      </c>
      <c r="B6048" s="515" t="s">
        <v>884</v>
      </c>
      <c r="C6048" s="52">
        <v>296815.23465937999</v>
      </c>
      <c r="D6048" s="56">
        <v>1.7071319152597842E-2</v>
      </c>
      <c r="E6048" s="224" t="s">
        <v>2</v>
      </c>
      <c r="F6048" s="515" t="s">
        <v>7276</v>
      </c>
      <c r="G6048" s="52">
        <v>205590.449912565</v>
      </c>
      <c r="H6048" s="56">
        <v>1.8180232016818988E-2</v>
      </c>
      <c r="I6048" s="224" t="s">
        <v>2</v>
      </c>
    </row>
    <row r="6049" spans="1:9" x14ac:dyDescent="0.25">
      <c r="A6049" s="515">
        <v>30548</v>
      </c>
      <c r="B6049" s="515" t="s">
        <v>957</v>
      </c>
      <c r="C6049" s="52">
        <v>460371.02971494501</v>
      </c>
      <c r="D6049" s="56">
        <v>0.10374383458812028</v>
      </c>
      <c r="E6049" s="224" t="s">
        <v>2</v>
      </c>
      <c r="F6049" s="515" t="s">
        <v>7277</v>
      </c>
      <c r="G6049" s="52">
        <v>212588.84608289899</v>
      </c>
      <c r="H6049" s="56">
        <v>4.4732870374280836E-2</v>
      </c>
      <c r="I6049" s="224" t="s">
        <v>2</v>
      </c>
    </row>
    <row r="6050" spans="1:9" x14ac:dyDescent="0.25">
      <c r="A6050" s="515">
        <v>32805</v>
      </c>
      <c r="B6050" s="515" t="s">
        <v>517</v>
      </c>
      <c r="C6050" s="52">
        <v>225870.85165201899</v>
      </c>
      <c r="D6050" s="56">
        <v>0.21619834778008029</v>
      </c>
      <c r="E6050" s="224">
        <v>1581.8333333333301</v>
      </c>
      <c r="F6050" s="515" t="s">
        <v>7278</v>
      </c>
      <c r="G6050" s="52">
        <v>490807.59195512801</v>
      </c>
      <c r="H6050" s="56">
        <v>5.1967548037866872E-2</v>
      </c>
      <c r="I6050" s="224" t="s">
        <v>2</v>
      </c>
    </row>
    <row r="6051" spans="1:9" x14ac:dyDescent="0.25">
      <c r="A6051" s="515">
        <v>48134</v>
      </c>
      <c r="B6051" s="515" t="s">
        <v>685</v>
      </c>
      <c r="C6051" s="52">
        <v>279189.57563256298</v>
      </c>
      <c r="D6051" s="56">
        <v>5.3278220594272299E-2</v>
      </c>
      <c r="E6051" s="224">
        <v>1247.3333333333301</v>
      </c>
      <c r="F6051" s="515" t="s">
        <v>7279</v>
      </c>
      <c r="G6051" s="52">
        <v>229865.86477366299</v>
      </c>
      <c r="H6051" s="56">
        <v>6.526949429087868E-2</v>
      </c>
      <c r="I6051" s="224" t="s">
        <v>2</v>
      </c>
    </row>
    <row r="6052" spans="1:9" x14ac:dyDescent="0.25">
      <c r="A6052" s="515">
        <v>75236</v>
      </c>
      <c r="B6052" s="515" t="s">
        <v>458</v>
      </c>
      <c r="C6052" s="52">
        <v>264173.177647773</v>
      </c>
      <c r="D6052" s="56">
        <v>0.12584651882359149</v>
      </c>
      <c r="E6052" s="224" t="s">
        <v>2</v>
      </c>
      <c r="F6052" s="515" t="s">
        <v>7280</v>
      </c>
      <c r="G6052" s="52">
        <v>202977.93551400001</v>
      </c>
      <c r="H6052" s="56">
        <v>6.2199381499698905E-2</v>
      </c>
      <c r="I6052" s="224" t="s">
        <v>2</v>
      </c>
    </row>
    <row r="6053" spans="1:9" x14ac:dyDescent="0.25">
      <c r="A6053" s="515">
        <v>70582</v>
      </c>
      <c r="B6053" s="515" t="s">
        <v>1004</v>
      </c>
      <c r="C6053" s="52">
        <v>120228.396750292</v>
      </c>
      <c r="D6053" s="56">
        <v>3.4433550063097604E-3</v>
      </c>
      <c r="E6053" s="224" t="s">
        <v>2</v>
      </c>
      <c r="F6053" s="515" t="s">
        <v>7281</v>
      </c>
      <c r="G6053" s="52">
        <v>328080.62193245802</v>
      </c>
      <c r="H6053" s="56">
        <v>6.107737716594646E-2</v>
      </c>
      <c r="I6053" s="224" t="s">
        <v>2</v>
      </c>
    </row>
    <row r="6054" spans="1:9" x14ac:dyDescent="0.25">
      <c r="A6054" s="515">
        <v>35901</v>
      </c>
      <c r="B6054" s="515" t="s">
        <v>978</v>
      </c>
      <c r="C6054" s="52">
        <v>132374.57306501901</v>
      </c>
      <c r="D6054" s="56">
        <v>3.3939977136002671E-2</v>
      </c>
      <c r="E6054" s="224" t="s">
        <v>2</v>
      </c>
      <c r="F6054" s="515" t="s">
        <v>7282</v>
      </c>
      <c r="G6054" s="52">
        <v>165896.70404374399</v>
      </c>
      <c r="H6054" s="56">
        <v>0.11466055919321247</v>
      </c>
      <c r="I6054" s="224" t="s">
        <v>2</v>
      </c>
    </row>
    <row r="6055" spans="1:9" x14ac:dyDescent="0.25">
      <c r="A6055" s="515">
        <v>34691</v>
      </c>
      <c r="B6055" s="515" t="s">
        <v>461</v>
      </c>
      <c r="C6055" s="52">
        <v>232006.23859225301</v>
      </c>
      <c r="D6055" s="56">
        <v>0.13866886000140644</v>
      </c>
      <c r="E6055" s="224">
        <v>1740.3968253968201</v>
      </c>
      <c r="F6055" s="515" t="s">
        <v>7283</v>
      </c>
      <c r="G6055" s="52">
        <v>96983.096251221097</v>
      </c>
      <c r="H6055" s="56">
        <v>0.14984774263761799</v>
      </c>
      <c r="I6055" s="224" t="s">
        <v>2</v>
      </c>
    </row>
    <row r="6056" spans="1:9" x14ac:dyDescent="0.25">
      <c r="A6056" s="515">
        <v>6488</v>
      </c>
      <c r="B6056" s="515" t="s">
        <v>1172</v>
      </c>
      <c r="C6056" s="52">
        <v>380370.74236187403</v>
      </c>
      <c r="D6056" s="56">
        <v>9.1915928561600385E-2</v>
      </c>
      <c r="E6056" s="224" t="s">
        <v>2</v>
      </c>
      <c r="F6056" s="515" t="s">
        <v>7284</v>
      </c>
      <c r="G6056" s="52">
        <v>460818.06374904199</v>
      </c>
      <c r="H6056" s="56">
        <v>0.10434237622277179</v>
      </c>
      <c r="I6056" s="224" t="s">
        <v>2</v>
      </c>
    </row>
    <row r="6057" spans="1:9" x14ac:dyDescent="0.25">
      <c r="A6057" s="515">
        <v>32305</v>
      </c>
      <c r="B6057" s="515" t="s">
        <v>335</v>
      </c>
      <c r="C6057" s="52">
        <v>159758.18013838501</v>
      </c>
      <c r="D6057" s="56">
        <v>8.7599851630059289E-2</v>
      </c>
      <c r="E6057" s="224" t="s">
        <v>2</v>
      </c>
      <c r="F6057" s="515" t="s">
        <v>7285</v>
      </c>
      <c r="G6057" s="52">
        <v>129019.563647442</v>
      </c>
      <c r="H6057" s="56">
        <v>7.1535139034867887E-4</v>
      </c>
      <c r="I6057" s="224" t="s">
        <v>2</v>
      </c>
    </row>
    <row r="6058" spans="1:9" x14ac:dyDescent="0.25">
      <c r="A6058" s="515">
        <v>40206</v>
      </c>
      <c r="B6058" s="515" t="s">
        <v>479</v>
      </c>
      <c r="C6058" s="52">
        <v>250766.82485655899</v>
      </c>
      <c r="D6058" s="56">
        <v>7.0270022356663478E-2</v>
      </c>
      <c r="E6058" s="224">
        <v>1136.3915343915301</v>
      </c>
      <c r="F6058" s="515" t="s">
        <v>7286</v>
      </c>
      <c r="G6058" s="52">
        <v>259594.111849012</v>
      </c>
      <c r="H6058" s="56">
        <v>6.0808089391522824E-2</v>
      </c>
      <c r="I6058" s="224" t="s">
        <v>2</v>
      </c>
    </row>
    <row r="6059" spans="1:9" x14ac:dyDescent="0.25">
      <c r="A6059" s="515">
        <v>10509</v>
      </c>
      <c r="B6059" s="515" t="s">
        <v>324</v>
      </c>
      <c r="C6059" s="52">
        <v>439536.72943643102</v>
      </c>
      <c r="D6059" s="56">
        <v>6.6103070692551683E-2</v>
      </c>
      <c r="E6059" s="224" t="s">
        <v>2</v>
      </c>
      <c r="F6059" s="515" t="s">
        <v>7287</v>
      </c>
      <c r="G6059" s="52">
        <v>899967.99247745494</v>
      </c>
      <c r="H6059" s="56">
        <v>5.1514855464667754E-2</v>
      </c>
      <c r="I6059" s="224" t="s">
        <v>2</v>
      </c>
    </row>
    <row r="6060" spans="1:9" x14ac:dyDescent="0.25">
      <c r="A6060" s="515">
        <v>50131</v>
      </c>
      <c r="B6060" s="515" t="s">
        <v>295</v>
      </c>
      <c r="C6060" s="52">
        <v>353090.09734684997</v>
      </c>
      <c r="D6060" s="56">
        <v>6.5420671754589946E-2</v>
      </c>
      <c r="E6060" s="224">
        <v>1345.24444444444</v>
      </c>
      <c r="F6060" s="515" t="s">
        <v>7288</v>
      </c>
      <c r="G6060" s="52">
        <v>114108.493451464</v>
      </c>
      <c r="H6060" s="56">
        <v>9.5637383778833587E-2</v>
      </c>
      <c r="I6060" s="224" t="s">
        <v>2</v>
      </c>
    </row>
    <row r="6061" spans="1:9" x14ac:dyDescent="0.25">
      <c r="A6061" s="515">
        <v>91602</v>
      </c>
      <c r="B6061" s="515" t="s">
        <v>375</v>
      </c>
      <c r="C6061" s="52">
        <v>1031162.25802274</v>
      </c>
      <c r="D6061" s="56">
        <v>8.8227720545284403E-3</v>
      </c>
      <c r="E6061" s="224">
        <v>2580.4074074074001</v>
      </c>
      <c r="F6061" s="515" t="s">
        <v>7289</v>
      </c>
      <c r="G6061" s="52">
        <v>178097.47381763201</v>
      </c>
      <c r="H6061" s="56">
        <v>3.7349121506721733E-2</v>
      </c>
      <c r="I6061" s="224" t="s">
        <v>2</v>
      </c>
    </row>
    <row r="6062" spans="1:9" x14ac:dyDescent="0.25">
      <c r="A6062" s="515">
        <v>49686</v>
      </c>
      <c r="B6062" s="515" t="s">
        <v>366</v>
      </c>
      <c r="C6062" s="52">
        <v>369690.34858595597</v>
      </c>
      <c r="D6062" s="56">
        <v>0.12485327738776042</v>
      </c>
      <c r="E6062" s="224">
        <v>1574</v>
      </c>
      <c r="F6062" s="515" t="s">
        <v>7290</v>
      </c>
      <c r="G6062" s="52">
        <v>226119.10867064699</v>
      </c>
      <c r="H6062" s="56">
        <v>6.1207010134414978E-2</v>
      </c>
      <c r="I6062" s="224" t="s">
        <v>2</v>
      </c>
    </row>
    <row r="6063" spans="1:9" x14ac:dyDescent="0.25">
      <c r="A6063" s="515">
        <v>37774</v>
      </c>
      <c r="B6063" s="515" t="s">
        <v>907</v>
      </c>
      <c r="C6063" s="52">
        <v>428967.90237767302</v>
      </c>
      <c r="D6063" s="56">
        <v>7.6441093403698326E-2</v>
      </c>
      <c r="E6063" s="224" t="s">
        <v>2</v>
      </c>
      <c r="F6063" s="515" t="s">
        <v>7291</v>
      </c>
      <c r="G6063" s="52">
        <v>131180.28909487999</v>
      </c>
      <c r="H6063" s="56">
        <v>8.7569417154339024E-2</v>
      </c>
      <c r="I6063" s="224" t="s">
        <v>2</v>
      </c>
    </row>
    <row r="6064" spans="1:9" x14ac:dyDescent="0.25">
      <c r="A6064" s="515">
        <v>76008</v>
      </c>
      <c r="B6064" s="515" t="s">
        <v>458</v>
      </c>
      <c r="C6064" s="52">
        <v>515011.33823301899</v>
      </c>
      <c r="D6064" s="56">
        <v>7.6754720959258671E-2</v>
      </c>
      <c r="E6064" s="224" t="s">
        <v>2</v>
      </c>
      <c r="F6064" s="515" t="s">
        <v>7292</v>
      </c>
      <c r="G6064" s="52">
        <v>119878.569553943</v>
      </c>
      <c r="H6064" s="56">
        <v>7.38921870073809E-2</v>
      </c>
      <c r="I6064" s="224" t="s">
        <v>2</v>
      </c>
    </row>
    <row r="6065" spans="1:9" x14ac:dyDescent="0.25">
      <c r="A6065" s="515">
        <v>54501</v>
      </c>
      <c r="C6065" s="52">
        <v>189505.325130746</v>
      </c>
      <c r="D6065" s="56">
        <v>7.9662845519174075E-2</v>
      </c>
      <c r="E6065" s="224" t="s">
        <v>2</v>
      </c>
      <c r="F6065" s="515" t="s">
        <v>7293</v>
      </c>
      <c r="G6065" s="52">
        <v>222943.37496924601</v>
      </c>
      <c r="H6065" s="56">
        <v>9.0541180058869353E-2</v>
      </c>
      <c r="I6065" s="224" t="s">
        <v>2</v>
      </c>
    </row>
    <row r="6066" spans="1:9" x14ac:dyDescent="0.25">
      <c r="A6066" s="515">
        <v>30277</v>
      </c>
      <c r="B6066" s="515" t="s">
        <v>957</v>
      </c>
      <c r="C6066" s="52">
        <v>388998.25478119298</v>
      </c>
      <c r="D6066" s="56">
        <v>8.4022045264836115E-2</v>
      </c>
      <c r="E6066" s="224" t="s">
        <v>2</v>
      </c>
      <c r="F6066" s="515" t="s">
        <v>7294</v>
      </c>
      <c r="G6066" s="52">
        <v>268164.963268583</v>
      </c>
      <c r="H6066" s="56">
        <v>6.9706719680340756E-2</v>
      </c>
      <c r="I6066" s="224" t="s">
        <v>2</v>
      </c>
    </row>
    <row r="6067" spans="1:9" x14ac:dyDescent="0.25">
      <c r="A6067" s="515">
        <v>7950</v>
      </c>
      <c r="B6067" s="515" t="s">
        <v>324</v>
      </c>
      <c r="C6067" s="52">
        <v>549538.26477785106</v>
      </c>
      <c r="D6067" s="56">
        <v>4.4845344264764185E-2</v>
      </c>
      <c r="E6067" s="224">
        <v>3419.4166666666601</v>
      </c>
      <c r="F6067" s="515" t="s">
        <v>7295</v>
      </c>
      <c r="G6067" s="52">
        <v>380753.28884317598</v>
      </c>
      <c r="H6067" s="56">
        <v>8.9042125076516404E-2</v>
      </c>
      <c r="I6067" s="224" t="s">
        <v>2</v>
      </c>
    </row>
    <row r="6068" spans="1:9" x14ac:dyDescent="0.25">
      <c r="A6068" s="515">
        <v>36207</v>
      </c>
      <c r="B6068" s="515" t="s">
        <v>927</v>
      </c>
      <c r="C6068" s="52">
        <v>171925.89293655401</v>
      </c>
      <c r="D6068" s="56">
        <v>8.9809599472258014E-2</v>
      </c>
      <c r="E6068" s="224" t="s">
        <v>2</v>
      </c>
      <c r="F6068" s="515" t="s">
        <v>7296</v>
      </c>
      <c r="G6068" s="52">
        <v>249854.16513357399</v>
      </c>
      <c r="H6068" s="56">
        <v>8.0989300485922275E-2</v>
      </c>
      <c r="I6068" s="224">
        <v>1205.44444444444</v>
      </c>
    </row>
    <row r="6069" spans="1:9" x14ac:dyDescent="0.25">
      <c r="A6069" s="515">
        <v>85614</v>
      </c>
      <c r="B6069" s="515" t="s">
        <v>368</v>
      </c>
      <c r="C6069" s="52">
        <v>296265.62119885598</v>
      </c>
      <c r="D6069" s="56">
        <v>7.7639288396660733E-2</v>
      </c>
      <c r="E6069" s="224">
        <v>1643.3333333333301</v>
      </c>
      <c r="F6069" s="515" t="s">
        <v>7297</v>
      </c>
      <c r="G6069" s="52">
        <v>312697.37251403299</v>
      </c>
      <c r="H6069" s="56">
        <v>0.12017280405801688</v>
      </c>
      <c r="I6069" s="224" t="s">
        <v>2</v>
      </c>
    </row>
    <row r="6070" spans="1:9" x14ac:dyDescent="0.25">
      <c r="A6070" s="515">
        <v>33545</v>
      </c>
      <c r="B6070" s="515" t="s">
        <v>461</v>
      </c>
      <c r="C6070" s="52">
        <v>411511.23063193</v>
      </c>
      <c r="D6070" s="56">
        <v>9.0224979858475968E-2</v>
      </c>
      <c r="E6070" s="224">
        <v>2231.6939393939301</v>
      </c>
      <c r="F6070" s="515" t="s">
        <v>7298</v>
      </c>
      <c r="G6070" s="52">
        <v>271310.23725116003</v>
      </c>
      <c r="H6070" s="56">
        <v>6.4634218224574533E-2</v>
      </c>
      <c r="I6070" s="224" t="s">
        <v>2</v>
      </c>
    </row>
    <row r="6071" spans="1:9" x14ac:dyDescent="0.25">
      <c r="A6071" s="515">
        <v>90603</v>
      </c>
      <c r="B6071" s="515" t="s">
        <v>375</v>
      </c>
      <c r="C6071" s="52">
        <v>786346.88039112301</v>
      </c>
      <c r="D6071" s="56">
        <v>4.5819547392263793E-2</v>
      </c>
      <c r="E6071" s="224" t="s">
        <v>2</v>
      </c>
      <c r="F6071" s="515" t="s">
        <v>7299</v>
      </c>
      <c r="G6071" s="52">
        <v>629410.08740277705</v>
      </c>
      <c r="H6071" s="56">
        <v>6.443664455708191E-2</v>
      </c>
      <c r="I6071" s="224" t="s">
        <v>2</v>
      </c>
    </row>
    <row r="6072" spans="1:9" x14ac:dyDescent="0.25">
      <c r="A6072" s="515">
        <v>60140</v>
      </c>
      <c r="B6072" s="515" t="s">
        <v>394</v>
      </c>
      <c r="C6072" s="52">
        <v>324083.39999927598</v>
      </c>
      <c r="D6072" s="56">
        <v>6.20884552440506E-2</v>
      </c>
      <c r="E6072" s="224" t="s">
        <v>2</v>
      </c>
      <c r="F6072" s="515" t="s">
        <v>7300</v>
      </c>
      <c r="G6072" s="52">
        <v>384995.02993701602</v>
      </c>
      <c r="H6072" s="56">
        <v>0.22224388871342105</v>
      </c>
      <c r="I6072" s="224">
        <v>2991.7015669515599</v>
      </c>
    </row>
    <row r="6073" spans="1:9" x14ac:dyDescent="0.25">
      <c r="A6073" s="515">
        <v>32804</v>
      </c>
      <c r="B6073" s="515" t="s">
        <v>517</v>
      </c>
      <c r="C6073" s="52">
        <v>456925.82281000703</v>
      </c>
      <c r="D6073" s="56">
        <v>0.10289610509154419</v>
      </c>
      <c r="E6073" s="224">
        <v>2046.2753968253901</v>
      </c>
      <c r="F6073" s="515" t="s">
        <v>7301</v>
      </c>
      <c r="G6073" s="52">
        <v>264261.72323007003</v>
      </c>
      <c r="H6073" s="56">
        <v>9.3326015044505328E-2</v>
      </c>
      <c r="I6073" s="224" t="s">
        <v>2</v>
      </c>
    </row>
    <row r="6074" spans="1:9" x14ac:dyDescent="0.25">
      <c r="A6074" s="515">
        <v>77069</v>
      </c>
      <c r="B6074" s="515" t="s">
        <v>314</v>
      </c>
      <c r="C6074" s="52">
        <v>325807.71870408702</v>
      </c>
      <c r="D6074" s="56">
        <v>8.6455425000957972E-2</v>
      </c>
      <c r="E6074" s="224">
        <v>1285.5462962962899</v>
      </c>
      <c r="F6074" s="515" t="s">
        <v>7302</v>
      </c>
      <c r="G6074" s="52">
        <v>357204.73304880899</v>
      </c>
      <c r="H6074" s="56">
        <v>6.4331611400004519E-3</v>
      </c>
      <c r="I6074" s="224" t="s">
        <v>2</v>
      </c>
    </row>
    <row r="6075" spans="1:9" x14ac:dyDescent="0.25">
      <c r="A6075" s="515">
        <v>30728</v>
      </c>
      <c r="B6075" s="515" t="s">
        <v>622</v>
      </c>
      <c r="C6075" s="52">
        <v>174404.290927122</v>
      </c>
      <c r="D6075" s="56">
        <v>9.9626457953476716E-2</v>
      </c>
      <c r="E6075" s="224" t="s">
        <v>2</v>
      </c>
      <c r="F6075" s="515" t="s">
        <v>7303</v>
      </c>
      <c r="G6075" s="52">
        <v>227594.11577165499</v>
      </c>
      <c r="H6075" s="56">
        <v>8.1272829951717016E-2</v>
      </c>
      <c r="I6075" s="224" t="s">
        <v>2</v>
      </c>
    </row>
    <row r="6076" spans="1:9" x14ac:dyDescent="0.25">
      <c r="A6076" s="515">
        <v>40769</v>
      </c>
      <c r="B6076" s="515" t="s">
        <v>633</v>
      </c>
      <c r="C6076" s="52">
        <v>105342.55571474299</v>
      </c>
      <c r="D6076" s="56">
        <v>0.11271855892585309</v>
      </c>
      <c r="E6076" s="224" t="s">
        <v>2</v>
      </c>
      <c r="F6076" s="515" t="s">
        <v>7304</v>
      </c>
      <c r="G6076" s="52">
        <v>310556.14554278099</v>
      </c>
      <c r="H6076" s="56">
        <v>8.0980804590021063E-2</v>
      </c>
      <c r="I6076" s="224" t="s">
        <v>2</v>
      </c>
    </row>
    <row r="6077" spans="1:9" x14ac:dyDescent="0.25">
      <c r="A6077" s="515">
        <v>93210</v>
      </c>
      <c r="B6077" s="515" t="s">
        <v>541</v>
      </c>
      <c r="C6077" s="52">
        <v>261276.329746912</v>
      </c>
      <c r="D6077" s="56">
        <v>0.1170172847499116</v>
      </c>
      <c r="E6077" s="224" t="s">
        <v>2</v>
      </c>
      <c r="F6077" s="515" t="s">
        <v>7305</v>
      </c>
      <c r="G6077" s="52">
        <v>375127.92207682802</v>
      </c>
      <c r="H6077" s="56">
        <v>9.2205043896634656E-2</v>
      </c>
      <c r="I6077" s="224" t="s">
        <v>2</v>
      </c>
    </row>
    <row r="6078" spans="1:9" x14ac:dyDescent="0.25">
      <c r="A6078" s="515">
        <v>53190</v>
      </c>
      <c r="B6078" s="515" t="s">
        <v>1089</v>
      </c>
      <c r="C6078" s="52">
        <v>274305.70028747403</v>
      </c>
      <c r="D6078" s="56">
        <v>5.4215041889922849E-2</v>
      </c>
      <c r="E6078" s="224" t="s">
        <v>2</v>
      </c>
      <c r="F6078" s="515" t="s">
        <v>7306</v>
      </c>
      <c r="G6078" s="52">
        <v>614029.09712904005</v>
      </c>
      <c r="H6078" s="56">
        <v>2.981007818847917E-2</v>
      </c>
      <c r="I6078" s="224" t="s">
        <v>2</v>
      </c>
    </row>
    <row r="6079" spans="1:9" x14ac:dyDescent="0.25">
      <c r="A6079" s="515">
        <v>60466</v>
      </c>
      <c r="B6079" s="515" t="s">
        <v>394</v>
      </c>
      <c r="C6079" s="52">
        <v>139422.09409922501</v>
      </c>
      <c r="D6079" s="56">
        <v>0.11458410749345292</v>
      </c>
      <c r="E6079" s="224">
        <v>1620.8333333333301</v>
      </c>
      <c r="F6079" s="515" t="s">
        <v>7307</v>
      </c>
      <c r="G6079" s="52">
        <v>328509.66734328802</v>
      </c>
      <c r="H6079" s="56">
        <v>5.0289996366410628E-2</v>
      </c>
      <c r="I6079" s="224" t="s">
        <v>2</v>
      </c>
    </row>
    <row r="6080" spans="1:9" x14ac:dyDescent="0.25">
      <c r="A6080" s="515">
        <v>33181</v>
      </c>
      <c r="B6080" s="515" t="s">
        <v>831</v>
      </c>
      <c r="C6080" s="52">
        <v>327368.11676711799</v>
      </c>
      <c r="D6080" s="56">
        <v>0.24454365051874613</v>
      </c>
      <c r="E6080" s="224">
        <v>2374.4082491582399</v>
      </c>
      <c r="F6080" s="515" t="s">
        <v>7308</v>
      </c>
      <c r="G6080" s="52">
        <v>186359.003328361</v>
      </c>
      <c r="H6080" s="56">
        <v>5.4959631947797551E-2</v>
      </c>
      <c r="I6080" s="224" t="s">
        <v>2</v>
      </c>
    </row>
    <row r="6081" spans="1:9" x14ac:dyDescent="0.25">
      <c r="A6081" s="515">
        <v>15501</v>
      </c>
      <c r="B6081" s="515" t="s">
        <v>370</v>
      </c>
      <c r="C6081" s="52">
        <v>173022.49022294799</v>
      </c>
      <c r="D6081" s="56">
        <v>9.3269044888117464E-2</v>
      </c>
      <c r="E6081" s="224" t="s">
        <v>2</v>
      </c>
      <c r="F6081" s="515" t="s">
        <v>7309</v>
      </c>
      <c r="G6081" s="52">
        <v>281969.35751575202</v>
      </c>
      <c r="H6081" s="56">
        <v>5.9695853833058456E-2</v>
      </c>
      <c r="I6081" s="224" t="s">
        <v>2</v>
      </c>
    </row>
    <row r="6082" spans="1:9" x14ac:dyDescent="0.25">
      <c r="A6082" s="515">
        <v>20132</v>
      </c>
      <c r="B6082" s="515" t="s">
        <v>321</v>
      </c>
      <c r="C6082" s="52">
        <v>741479.06814496196</v>
      </c>
      <c r="D6082" s="56">
        <v>4.8372718020781511E-2</v>
      </c>
      <c r="E6082" s="224" t="s">
        <v>2</v>
      </c>
      <c r="F6082" s="515" t="s">
        <v>7310</v>
      </c>
      <c r="G6082" s="52">
        <v>209769.955391803</v>
      </c>
      <c r="H6082" s="56">
        <v>5.8031715418790021E-2</v>
      </c>
      <c r="I6082" s="224" t="s">
        <v>2</v>
      </c>
    </row>
    <row r="6083" spans="1:9" x14ac:dyDescent="0.25">
      <c r="A6083" s="515">
        <v>27401</v>
      </c>
      <c r="B6083" s="515" t="s">
        <v>1148</v>
      </c>
      <c r="C6083" s="52">
        <v>151504.03346671001</v>
      </c>
      <c r="D6083" s="56">
        <v>0.17542023391267342</v>
      </c>
      <c r="E6083" s="224">
        <v>1310.8333333333301</v>
      </c>
      <c r="F6083" s="515" t="s">
        <v>7311</v>
      </c>
      <c r="G6083" s="52">
        <v>463207.12063482002</v>
      </c>
      <c r="H6083" s="56">
        <v>0.10597779089887158</v>
      </c>
      <c r="I6083" s="224" t="s">
        <v>2</v>
      </c>
    </row>
    <row r="6084" spans="1:9" x14ac:dyDescent="0.25">
      <c r="A6084" s="515">
        <v>73115</v>
      </c>
      <c r="B6084" s="515" t="s">
        <v>385</v>
      </c>
      <c r="C6084" s="52">
        <v>127632.16130948901</v>
      </c>
      <c r="D6084" s="56">
        <v>0.17952023339430362</v>
      </c>
      <c r="E6084" s="224">
        <v>1055.7142857142801</v>
      </c>
      <c r="F6084" s="515" t="s">
        <v>7312</v>
      </c>
      <c r="G6084" s="52">
        <v>962710.508229631</v>
      </c>
      <c r="H6084" s="56">
        <v>0.14158258451290687</v>
      </c>
      <c r="I6084" s="224" t="s">
        <v>2</v>
      </c>
    </row>
    <row r="6085" spans="1:9" x14ac:dyDescent="0.25">
      <c r="A6085" s="515">
        <v>15644</v>
      </c>
      <c r="B6085" s="515" t="s">
        <v>297</v>
      </c>
      <c r="C6085" s="52">
        <v>136768.590900729</v>
      </c>
      <c r="D6085" s="56">
        <v>1.1180074338412952E-2</v>
      </c>
      <c r="E6085" s="224">
        <v>840</v>
      </c>
      <c r="F6085" s="515" t="s">
        <v>7313</v>
      </c>
      <c r="G6085" s="52">
        <v>209778.349714443</v>
      </c>
      <c r="H6085" s="56">
        <v>9.4068134590508182E-2</v>
      </c>
      <c r="I6085" s="224" t="s">
        <v>2</v>
      </c>
    </row>
    <row r="6086" spans="1:9" x14ac:dyDescent="0.25">
      <c r="A6086" s="515">
        <v>89146</v>
      </c>
      <c r="B6086" s="515" t="s">
        <v>323</v>
      </c>
      <c r="C6086" s="52">
        <v>358466.133960279</v>
      </c>
      <c r="D6086" s="56">
        <v>6.4987823317743956E-2</v>
      </c>
      <c r="E6086" s="224">
        <v>1540.6666666666599</v>
      </c>
      <c r="F6086" s="515" t="s">
        <v>7314</v>
      </c>
      <c r="G6086" s="52">
        <v>366214.43954326201</v>
      </c>
      <c r="H6086" s="56">
        <v>4.5984890483224489E-2</v>
      </c>
      <c r="I6086" s="224" t="s">
        <v>2</v>
      </c>
    </row>
    <row r="6087" spans="1:9" x14ac:dyDescent="0.25">
      <c r="A6087" s="515">
        <v>6067</v>
      </c>
      <c r="B6087" s="515" t="s">
        <v>894</v>
      </c>
      <c r="C6087" s="52">
        <v>318076.66391476098</v>
      </c>
      <c r="D6087" s="56">
        <v>9.1409249755688982E-2</v>
      </c>
      <c r="E6087" s="224">
        <v>1505.38888888888</v>
      </c>
      <c r="F6087" s="515" t="s">
        <v>7315</v>
      </c>
      <c r="G6087" s="52">
        <v>1118451.83088912</v>
      </c>
      <c r="H6087" s="56">
        <v>6.7284927094867039E-2</v>
      </c>
      <c r="I6087" s="224">
        <v>5400</v>
      </c>
    </row>
    <row r="6088" spans="1:9" x14ac:dyDescent="0.25">
      <c r="A6088" s="515">
        <v>12144</v>
      </c>
      <c r="B6088" s="515" t="s">
        <v>609</v>
      </c>
      <c r="C6088" s="52">
        <v>246987.33787453</v>
      </c>
      <c r="D6088" s="56">
        <v>7.1272469889028467E-2</v>
      </c>
      <c r="E6088" s="224" t="s">
        <v>2</v>
      </c>
      <c r="F6088" s="515" t="s">
        <v>7316</v>
      </c>
      <c r="G6088" s="52">
        <v>423828.20874445298</v>
      </c>
      <c r="H6088" s="56">
        <v>5.5376843894198689E-2</v>
      </c>
      <c r="I6088" s="224" t="s">
        <v>2</v>
      </c>
    </row>
    <row r="6089" spans="1:9" x14ac:dyDescent="0.25">
      <c r="A6089" s="515">
        <v>39648</v>
      </c>
      <c r="B6089" s="515" t="s">
        <v>1194</v>
      </c>
      <c r="C6089" s="52">
        <v>100741.028733592</v>
      </c>
      <c r="D6089" s="56">
        <v>-7.4265834465786371E-2</v>
      </c>
      <c r="E6089" s="224" t="s">
        <v>2</v>
      </c>
      <c r="F6089" s="515" t="s">
        <v>7317</v>
      </c>
      <c r="G6089" s="52">
        <v>249420.37179757599</v>
      </c>
      <c r="H6089" s="56">
        <v>7.321565699178717E-2</v>
      </c>
      <c r="I6089" s="224" t="s">
        <v>2</v>
      </c>
    </row>
    <row r="6090" spans="1:9" x14ac:dyDescent="0.25">
      <c r="A6090" s="515">
        <v>44511</v>
      </c>
      <c r="B6090" s="515" t="s">
        <v>397</v>
      </c>
      <c r="C6090" s="52">
        <v>122692.496425212</v>
      </c>
      <c r="D6090" s="56">
        <v>0.13822571628155492</v>
      </c>
      <c r="E6090" s="224" t="s">
        <v>2</v>
      </c>
      <c r="F6090" s="515" t="s">
        <v>7318</v>
      </c>
      <c r="G6090" s="52">
        <v>127357.521817099</v>
      </c>
      <c r="H6090" s="56">
        <v>5.0297526700700139E-2</v>
      </c>
      <c r="I6090" s="224" t="s">
        <v>2</v>
      </c>
    </row>
    <row r="6091" spans="1:9" x14ac:dyDescent="0.25">
      <c r="A6091" s="515">
        <v>48094</v>
      </c>
      <c r="B6091" s="515" t="s">
        <v>685</v>
      </c>
      <c r="C6091" s="52">
        <v>391163.18057399697</v>
      </c>
      <c r="D6091" s="56">
        <v>5.4883777588595091E-2</v>
      </c>
      <c r="E6091" s="224" t="s">
        <v>2</v>
      </c>
      <c r="F6091" s="515" t="s">
        <v>7319</v>
      </c>
      <c r="G6091" s="52"/>
      <c r="H6091" s="56">
        <v>0</v>
      </c>
      <c r="I6091" s="224" t="s">
        <v>2</v>
      </c>
    </row>
    <row r="6092" spans="1:9" x14ac:dyDescent="0.25">
      <c r="A6092" s="515">
        <v>11501</v>
      </c>
      <c r="B6092" s="515" t="s">
        <v>324</v>
      </c>
      <c r="C6092" s="52">
        <v>667639.45538319403</v>
      </c>
      <c r="D6092" s="56">
        <v>1.3044534503662823E-2</v>
      </c>
      <c r="E6092" s="224">
        <v>3062.375</v>
      </c>
      <c r="F6092" s="515" t="s">
        <v>7320</v>
      </c>
      <c r="G6092" s="52">
        <v>161647.132323645</v>
      </c>
      <c r="H6092" s="56">
        <v>7.4728456829646669E-2</v>
      </c>
      <c r="I6092" s="224" t="s">
        <v>2</v>
      </c>
    </row>
    <row r="6093" spans="1:9" x14ac:dyDescent="0.25">
      <c r="A6093" s="515">
        <v>7871</v>
      </c>
      <c r="B6093" s="515" t="s">
        <v>324</v>
      </c>
      <c r="C6093" s="52">
        <v>486355.035415361</v>
      </c>
      <c r="D6093" s="56">
        <v>6.2308002540273806E-2</v>
      </c>
      <c r="E6093" s="224" t="s">
        <v>2</v>
      </c>
      <c r="F6093" s="515" t="s">
        <v>7321</v>
      </c>
      <c r="G6093" s="52">
        <v>215638.04017629099</v>
      </c>
      <c r="H6093" s="56">
        <v>0.10936689596383678</v>
      </c>
      <c r="I6093" s="224" t="s">
        <v>2</v>
      </c>
    </row>
    <row r="6094" spans="1:9" x14ac:dyDescent="0.25">
      <c r="A6094" s="515">
        <v>14760</v>
      </c>
      <c r="B6094" s="515" t="s">
        <v>870</v>
      </c>
      <c r="C6094" s="52">
        <v>99543.979738494105</v>
      </c>
      <c r="D6094" s="56">
        <v>0.14320335983790797</v>
      </c>
      <c r="E6094" s="224" t="s">
        <v>2</v>
      </c>
      <c r="F6094" s="515" t="s">
        <v>7322</v>
      </c>
      <c r="G6094" s="52">
        <v>296885.980875696</v>
      </c>
      <c r="H6094" s="56">
        <v>3.5342780718968791E-2</v>
      </c>
      <c r="I6094" s="224" t="s">
        <v>2</v>
      </c>
    </row>
    <row r="6095" spans="1:9" x14ac:dyDescent="0.25">
      <c r="A6095" s="515">
        <v>6468</v>
      </c>
      <c r="B6095" s="515" t="s">
        <v>1173</v>
      </c>
      <c r="C6095" s="52">
        <v>481645.29147930897</v>
      </c>
      <c r="D6095" s="56">
        <v>7.2478131092598666E-2</v>
      </c>
      <c r="E6095" s="224" t="s">
        <v>2</v>
      </c>
      <c r="F6095" s="515" t="s">
        <v>7323</v>
      </c>
      <c r="G6095" s="52">
        <v>241048.25416876801</v>
      </c>
      <c r="H6095" s="56">
        <v>3.5093409513192071E-2</v>
      </c>
      <c r="I6095" s="224" t="s">
        <v>2</v>
      </c>
    </row>
    <row r="6096" spans="1:9" x14ac:dyDescent="0.25">
      <c r="A6096" s="515">
        <v>26201</v>
      </c>
      <c r="C6096" s="52">
        <v>139185.77525643</v>
      </c>
      <c r="D6096" s="56">
        <v>5.6358183104726227E-2</v>
      </c>
      <c r="E6096" s="224" t="s">
        <v>2</v>
      </c>
      <c r="F6096" s="515" t="s">
        <v>7324</v>
      </c>
      <c r="G6096" s="52">
        <v>182413.41372393499</v>
      </c>
      <c r="H6096" s="56">
        <v>6.8095327962144417E-2</v>
      </c>
      <c r="I6096" s="224" t="s">
        <v>2</v>
      </c>
    </row>
    <row r="6097" spans="1:9" x14ac:dyDescent="0.25">
      <c r="A6097" s="515">
        <v>49202</v>
      </c>
      <c r="B6097" s="515" t="s">
        <v>1125</v>
      </c>
      <c r="C6097" s="52">
        <v>112035.00715626399</v>
      </c>
      <c r="D6097" s="56">
        <v>6.6461329402646499E-2</v>
      </c>
      <c r="E6097" s="224" t="s">
        <v>2</v>
      </c>
      <c r="F6097" s="515" t="s">
        <v>7325</v>
      </c>
      <c r="G6097" s="52">
        <v>171147.54549364001</v>
      </c>
      <c r="H6097" s="56">
        <v>8.2450274401256948E-2</v>
      </c>
      <c r="I6097" s="224" t="s">
        <v>2</v>
      </c>
    </row>
    <row r="6098" spans="1:9" x14ac:dyDescent="0.25">
      <c r="A6098" s="515">
        <v>32141</v>
      </c>
      <c r="B6098" s="515" t="s">
        <v>974</v>
      </c>
      <c r="C6098" s="52">
        <v>297675.153064118</v>
      </c>
      <c r="D6098" s="56">
        <v>0.10045679810346</v>
      </c>
      <c r="E6098" s="224" t="s">
        <v>2</v>
      </c>
      <c r="F6098" s="515" t="s">
        <v>7326</v>
      </c>
      <c r="G6098" s="52">
        <v>202440.89857938199</v>
      </c>
      <c r="H6098" s="56">
        <v>9.3226024284056755E-2</v>
      </c>
      <c r="I6098" s="224" t="s">
        <v>2</v>
      </c>
    </row>
    <row r="6099" spans="1:9" x14ac:dyDescent="0.25">
      <c r="A6099" s="515">
        <v>33187</v>
      </c>
      <c r="B6099" s="515" t="s">
        <v>831</v>
      </c>
      <c r="C6099" s="52">
        <v>612867.11770049494</v>
      </c>
      <c r="D6099" s="56">
        <v>0.1512512557765445</v>
      </c>
      <c r="E6099" s="224" t="s">
        <v>2</v>
      </c>
      <c r="F6099" s="515" t="s">
        <v>7327</v>
      </c>
      <c r="G6099" s="52">
        <v>255499.78943147601</v>
      </c>
      <c r="H6099" s="56">
        <v>9.1503183752999664E-2</v>
      </c>
      <c r="I6099" s="224" t="s">
        <v>2</v>
      </c>
    </row>
    <row r="6100" spans="1:9" x14ac:dyDescent="0.25">
      <c r="A6100" s="515">
        <v>32832</v>
      </c>
      <c r="B6100" s="515" t="s">
        <v>517</v>
      </c>
      <c r="C6100" s="52">
        <v>505110.59132416401</v>
      </c>
      <c r="D6100" s="56">
        <v>9.8857970993593614E-2</v>
      </c>
      <c r="E6100" s="224">
        <v>2187.1212647002098</v>
      </c>
      <c r="F6100" s="515" t="s">
        <v>7328</v>
      </c>
      <c r="G6100" s="52">
        <v>1517069.9631306599</v>
      </c>
      <c r="H6100" s="56">
        <v>0.12585220434749039</v>
      </c>
      <c r="I6100" s="224" t="s">
        <v>2</v>
      </c>
    </row>
    <row r="6101" spans="1:9" x14ac:dyDescent="0.25">
      <c r="A6101" s="515">
        <v>90254</v>
      </c>
      <c r="B6101" s="515" t="s">
        <v>375</v>
      </c>
      <c r="C6101" s="52">
        <v>2065491.1870039799</v>
      </c>
      <c r="D6101" s="56">
        <v>4.2026417922871949E-2</v>
      </c>
      <c r="E6101" s="224">
        <v>3987.1957671957598</v>
      </c>
      <c r="F6101" s="515" t="s">
        <v>7329</v>
      </c>
      <c r="G6101" s="52">
        <v>471302.835978836</v>
      </c>
      <c r="H6101" s="56">
        <v>0</v>
      </c>
      <c r="I6101" s="224" t="s">
        <v>2</v>
      </c>
    </row>
    <row r="6102" spans="1:9" x14ac:dyDescent="0.25">
      <c r="A6102" s="515">
        <v>85546</v>
      </c>
      <c r="B6102" s="515" t="s">
        <v>1167</v>
      </c>
      <c r="C6102" s="52">
        <v>227986.297660563</v>
      </c>
      <c r="D6102" s="56">
        <v>4.4923933518062543E-2</v>
      </c>
      <c r="E6102" s="224" t="s">
        <v>2</v>
      </c>
      <c r="F6102" s="515" t="s">
        <v>7330</v>
      </c>
      <c r="G6102" s="52">
        <v>198344.77240378101</v>
      </c>
      <c r="H6102" s="56">
        <v>6.8884574134909213E-2</v>
      </c>
      <c r="I6102" s="224" t="s">
        <v>2</v>
      </c>
    </row>
    <row r="6103" spans="1:9" x14ac:dyDescent="0.25">
      <c r="A6103" s="515">
        <v>45030</v>
      </c>
      <c r="B6103" s="515" t="s">
        <v>344</v>
      </c>
      <c r="C6103" s="52">
        <v>259589.32070439999</v>
      </c>
      <c r="D6103" s="56">
        <v>7.2042773395227341E-2</v>
      </c>
      <c r="E6103" s="224" t="s">
        <v>2</v>
      </c>
      <c r="F6103" s="515" t="s">
        <v>7331</v>
      </c>
      <c r="G6103" s="52">
        <v>141239.07280686201</v>
      </c>
      <c r="H6103" s="56">
        <v>4.5270728521401953E-3</v>
      </c>
      <c r="I6103" s="224" t="s">
        <v>2</v>
      </c>
    </row>
    <row r="6104" spans="1:9" x14ac:dyDescent="0.25">
      <c r="A6104" s="515">
        <v>44057</v>
      </c>
      <c r="B6104" s="515" t="s">
        <v>520</v>
      </c>
      <c r="C6104" s="52">
        <v>187822.90005429799</v>
      </c>
      <c r="D6104" s="56">
        <v>5.2688789771545098E-2</v>
      </c>
      <c r="E6104" s="224" t="s">
        <v>2</v>
      </c>
      <c r="F6104" s="515" t="s">
        <v>7332</v>
      </c>
      <c r="G6104" s="52">
        <v>81534.357404891402</v>
      </c>
      <c r="H6104" s="56">
        <v>0.1878133731485809</v>
      </c>
      <c r="I6104" s="224">
        <v>999.66666666666595</v>
      </c>
    </row>
    <row r="6105" spans="1:9" x14ac:dyDescent="0.25">
      <c r="A6105" s="515">
        <v>27523</v>
      </c>
      <c r="B6105" s="515" t="s">
        <v>484</v>
      </c>
      <c r="C6105" s="52">
        <v>662822.58778927894</v>
      </c>
      <c r="D6105" s="56">
        <v>8.9002368296565798E-2</v>
      </c>
      <c r="E6105" s="224">
        <v>1710.43809523809</v>
      </c>
      <c r="F6105" s="515" t="s">
        <v>7333</v>
      </c>
      <c r="G6105" s="52">
        <v>315005.582818239</v>
      </c>
      <c r="H6105" s="56">
        <v>7.1383175931257745E-2</v>
      </c>
      <c r="I6105" s="224" t="s">
        <v>2</v>
      </c>
    </row>
    <row r="6106" spans="1:9" x14ac:dyDescent="0.25">
      <c r="A6106" s="515">
        <v>6801</v>
      </c>
      <c r="B6106" s="515" t="s">
        <v>1173</v>
      </c>
      <c r="C6106" s="52">
        <v>448632.86896748998</v>
      </c>
      <c r="D6106" s="56">
        <v>9.3582325896453031E-2</v>
      </c>
      <c r="E6106" s="224" t="s">
        <v>2</v>
      </c>
      <c r="F6106" s="515" t="s">
        <v>7334</v>
      </c>
      <c r="G6106" s="52">
        <v>339490.39008067601</v>
      </c>
      <c r="H6106" s="56">
        <v>2.1676295949485159E-2</v>
      </c>
      <c r="I6106" s="224" t="s">
        <v>2</v>
      </c>
    </row>
    <row r="6107" spans="1:9" x14ac:dyDescent="0.25">
      <c r="A6107" s="515">
        <v>22026</v>
      </c>
      <c r="B6107" s="515" t="s">
        <v>321</v>
      </c>
      <c r="C6107" s="52">
        <v>498196.21868334099</v>
      </c>
      <c r="D6107" s="56">
        <v>3.0387450646817232E-2</v>
      </c>
      <c r="E6107" s="224">
        <v>2250</v>
      </c>
      <c r="F6107" s="515" t="s">
        <v>7335</v>
      </c>
      <c r="G6107" s="52">
        <v>272909.91291193099</v>
      </c>
      <c r="H6107" s="56">
        <v>7.54420766141852E-2</v>
      </c>
      <c r="I6107" s="224" t="s">
        <v>2</v>
      </c>
    </row>
    <row r="6108" spans="1:9" x14ac:dyDescent="0.25">
      <c r="A6108" s="515">
        <v>12110</v>
      </c>
      <c r="B6108" s="515" t="s">
        <v>609</v>
      </c>
      <c r="C6108" s="52">
        <v>320007.406829527</v>
      </c>
      <c r="D6108" s="56">
        <v>3.9045928669671943E-2</v>
      </c>
      <c r="E6108" s="224" t="s">
        <v>2</v>
      </c>
      <c r="F6108" s="515" t="s">
        <v>7336</v>
      </c>
      <c r="G6108" s="52">
        <v>309167.40080969897</v>
      </c>
      <c r="H6108" s="56">
        <v>0.11609115594632886</v>
      </c>
      <c r="I6108" s="224">
        <v>2466.6666666666601</v>
      </c>
    </row>
    <row r="6109" spans="1:9" x14ac:dyDescent="0.25">
      <c r="A6109" s="515">
        <v>73521</v>
      </c>
      <c r="B6109" s="515" t="s">
        <v>805</v>
      </c>
      <c r="C6109" s="52">
        <v>92218.6037896653</v>
      </c>
      <c r="D6109" s="56">
        <v>3.3152386258111746E-2</v>
      </c>
      <c r="E6109" s="224" t="s">
        <v>2</v>
      </c>
      <c r="F6109" s="515" t="s">
        <v>7337</v>
      </c>
      <c r="G6109" s="52">
        <v>302474.51006079803</v>
      </c>
      <c r="H6109" s="56">
        <v>3.9366064284652759E-2</v>
      </c>
      <c r="I6109" s="224" t="s">
        <v>2</v>
      </c>
    </row>
    <row r="6110" spans="1:9" x14ac:dyDescent="0.25">
      <c r="A6110" s="515">
        <v>2863</v>
      </c>
      <c r="B6110" s="515" t="s">
        <v>513</v>
      </c>
      <c r="C6110" s="52">
        <v>297056.78893806803</v>
      </c>
      <c r="D6110" s="56">
        <v>8.4930332999242145E-2</v>
      </c>
      <c r="E6110" s="224" t="s">
        <v>2</v>
      </c>
      <c r="F6110" s="515" t="s">
        <v>7338</v>
      </c>
      <c r="G6110" s="52">
        <v>182088.78848369201</v>
      </c>
      <c r="H6110" s="56">
        <v>0.16209790794568407</v>
      </c>
      <c r="I6110" s="224" t="s">
        <v>2</v>
      </c>
    </row>
    <row r="6111" spans="1:9" x14ac:dyDescent="0.25">
      <c r="A6111" s="515">
        <v>41076</v>
      </c>
      <c r="B6111" s="515" t="s">
        <v>344</v>
      </c>
      <c r="C6111" s="52">
        <v>219809.66405050099</v>
      </c>
      <c r="D6111" s="56">
        <v>0.10512205192006779</v>
      </c>
      <c r="E6111" s="224">
        <v>1212.5</v>
      </c>
      <c r="F6111" s="515" t="s">
        <v>7339</v>
      </c>
      <c r="G6111" s="52">
        <v>200021.30323953601</v>
      </c>
      <c r="H6111" s="56">
        <v>8.8418329806369447E-2</v>
      </c>
      <c r="I6111" s="224" t="s">
        <v>2</v>
      </c>
    </row>
    <row r="6112" spans="1:9" x14ac:dyDescent="0.25">
      <c r="A6112" s="515">
        <v>28805</v>
      </c>
      <c r="B6112" s="515" t="s">
        <v>668</v>
      </c>
      <c r="C6112" s="52">
        <v>430896.71268311399</v>
      </c>
      <c r="D6112" s="56">
        <v>0.10768684595311794</v>
      </c>
      <c r="E6112" s="224">
        <v>1752.6666666666599</v>
      </c>
      <c r="F6112" s="515" t="s">
        <v>7340</v>
      </c>
      <c r="G6112" s="52">
        <v>323710.458453128</v>
      </c>
      <c r="H6112" s="56">
        <v>0.2989130271905886</v>
      </c>
      <c r="I6112" s="224" t="s">
        <v>2</v>
      </c>
    </row>
    <row r="6113" spans="1:9" x14ac:dyDescent="0.25">
      <c r="A6113" s="515">
        <v>75401</v>
      </c>
      <c r="B6113" s="515" t="s">
        <v>458</v>
      </c>
      <c r="C6113" s="52">
        <v>180232.095956</v>
      </c>
      <c r="D6113" s="56">
        <v>0.11272979078382012</v>
      </c>
      <c r="E6113" s="224">
        <v>1528.3333333333301</v>
      </c>
      <c r="F6113" s="515" t="s">
        <v>7341</v>
      </c>
      <c r="G6113" s="52">
        <v>159798.916115122</v>
      </c>
      <c r="H6113" s="56">
        <v>5.0199846000318973E-2</v>
      </c>
      <c r="I6113" s="224" t="s">
        <v>2</v>
      </c>
    </row>
    <row r="6114" spans="1:9" x14ac:dyDescent="0.25">
      <c r="A6114" s="515">
        <v>49008</v>
      </c>
      <c r="B6114" s="515" t="s">
        <v>1037</v>
      </c>
      <c r="C6114" s="52">
        <v>213154.60518630699</v>
      </c>
      <c r="D6114" s="56">
        <v>5.1678249926990917E-2</v>
      </c>
      <c r="E6114" s="224">
        <v>1248.38888888888</v>
      </c>
      <c r="F6114" s="515" t="s">
        <v>7342</v>
      </c>
      <c r="G6114" s="52">
        <v>142616.073212516</v>
      </c>
      <c r="H6114" s="56">
        <v>0.10102337203469572</v>
      </c>
      <c r="I6114" s="224" t="s">
        <v>2</v>
      </c>
    </row>
    <row r="6115" spans="1:9" x14ac:dyDescent="0.25">
      <c r="A6115" s="515">
        <v>94945</v>
      </c>
      <c r="B6115" s="515" t="s">
        <v>593</v>
      </c>
      <c r="C6115" s="52">
        <v>1006786.8778870601</v>
      </c>
      <c r="D6115" s="56">
        <v>2.7187522007602511E-2</v>
      </c>
      <c r="E6115" s="224">
        <v>3431.25</v>
      </c>
      <c r="F6115" s="515" t="s">
        <v>7343</v>
      </c>
      <c r="G6115" s="52">
        <v>370017.28729585698</v>
      </c>
      <c r="H6115" s="56">
        <v>8.235829638274636E-2</v>
      </c>
      <c r="I6115" s="224" t="s">
        <v>2</v>
      </c>
    </row>
    <row r="6116" spans="1:9" x14ac:dyDescent="0.25">
      <c r="A6116" s="515">
        <v>19341</v>
      </c>
      <c r="B6116" s="515" t="s">
        <v>294</v>
      </c>
      <c r="C6116" s="52">
        <v>506588.26224757201</v>
      </c>
      <c r="D6116" s="56">
        <v>7.9865375468615538E-2</v>
      </c>
      <c r="E6116" s="224">
        <v>2146.1481481481401</v>
      </c>
      <c r="F6116" s="515" t="s">
        <v>7344</v>
      </c>
      <c r="G6116" s="52">
        <v>324436.48805460701</v>
      </c>
      <c r="H6116" s="56">
        <v>0</v>
      </c>
      <c r="I6116" s="224" t="s">
        <v>2</v>
      </c>
    </row>
    <row r="6117" spans="1:9" x14ac:dyDescent="0.25">
      <c r="A6117" s="515">
        <v>77979</v>
      </c>
      <c r="B6117" s="515" t="s">
        <v>495</v>
      </c>
      <c r="C6117" s="52">
        <v>169098.44721469501</v>
      </c>
      <c r="D6117" s="56">
        <v>3.1852333727746686E-2</v>
      </c>
      <c r="E6117" s="224" t="s">
        <v>2</v>
      </c>
      <c r="F6117" s="515" t="s">
        <v>7345</v>
      </c>
      <c r="G6117" s="52">
        <v>493980.93579046801</v>
      </c>
      <c r="H6117" s="56">
        <v>8.7448683134201385E-2</v>
      </c>
      <c r="I6117" s="224" t="s">
        <v>2</v>
      </c>
    </row>
    <row r="6118" spans="1:9" x14ac:dyDescent="0.25">
      <c r="A6118" s="515">
        <v>22305</v>
      </c>
      <c r="B6118" s="515" t="s">
        <v>321</v>
      </c>
      <c r="C6118" s="52">
        <v>726488.012201412</v>
      </c>
      <c r="D6118" s="56">
        <v>9.4634177514581978E-3</v>
      </c>
      <c r="E6118" s="224">
        <v>1810.4142156862699</v>
      </c>
      <c r="F6118" s="515" t="s">
        <v>7346</v>
      </c>
      <c r="G6118" s="52">
        <v>130944.795559516</v>
      </c>
      <c r="H6118" s="56">
        <v>5.6767714494506863E-2</v>
      </c>
      <c r="I6118" s="224" t="s">
        <v>2</v>
      </c>
    </row>
    <row r="6119" spans="1:9" x14ac:dyDescent="0.25">
      <c r="A6119" s="515">
        <v>76574</v>
      </c>
      <c r="B6119" s="515" t="s">
        <v>380</v>
      </c>
      <c r="C6119" s="52">
        <v>307178.55410466099</v>
      </c>
      <c r="D6119" s="56">
        <v>4.3584809210792767E-2</v>
      </c>
      <c r="E6119" s="224" t="s">
        <v>2</v>
      </c>
      <c r="F6119" s="515" t="s">
        <v>7347</v>
      </c>
      <c r="G6119" s="52">
        <v>402198.06123178801</v>
      </c>
      <c r="H6119" s="56">
        <v>3.9775824139523616E-2</v>
      </c>
      <c r="I6119" s="224" t="s">
        <v>2</v>
      </c>
    </row>
    <row r="6120" spans="1:9" x14ac:dyDescent="0.25">
      <c r="A6120" s="515">
        <v>93203</v>
      </c>
      <c r="B6120" s="515" t="s">
        <v>419</v>
      </c>
      <c r="C6120" s="52">
        <v>260128.88448516399</v>
      </c>
      <c r="D6120" s="56">
        <v>8.1480433276972269E-2</v>
      </c>
      <c r="E6120" s="224" t="s">
        <v>2</v>
      </c>
      <c r="F6120" s="515" t="s">
        <v>7348</v>
      </c>
      <c r="G6120" s="52">
        <v>304432.87140075298</v>
      </c>
      <c r="H6120" s="56">
        <v>0.13862440434079171</v>
      </c>
      <c r="I6120" s="224" t="s">
        <v>2</v>
      </c>
    </row>
    <row r="6121" spans="1:9" x14ac:dyDescent="0.25">
      <c r="A6121" s="515">
        <v>72713</v>
      </c>
      <c r="B6121" s="515" t="s">
        <v>675</v>
      </c>
      <c r="C6121" s="52">
        <v>414910.34803638502</v>
      </c>
      <c r="D6121" s="56">
        <v>0.11719175319704586</v>
      </c>
      <c r="E6121" s="224">
        <v>1584.44444444444</v>
      </c>
      <c r="F6121" s="515" t="s">
        <v>7349</v>
      </c>
      <c r="G6121" s="52">
        <v>203590.92963278599</v>
      </c>
      <c r="H6121" s="56">
        <v>-1.149839817117858E-2</v>
      </c>
      <c r="I6121" s="224" t="s">
        <v>2</v>
      </c>
    </row>
    <row r="6122" spans="1:9" x14ac:dyDescent="0.25">
      <c r="A6122" s="515">
        <v>5701</v>
      </c>
      <c r="B6122" s="515" t="s">
        <v>791</v>
      </c>
      <c r="C6122" s="52">
        <v>225180.19789165401</v>
      </c>
      <c r="D6122" s="56">
        <v>6.4054079109347267E-2</v>
      </c>
      <c r="E6122" s="224" t="s">
        <v>2</v>
      </c>
      <c r="F6122" s="515" t="s">
        <v>7350</v>
      </c>
      <c r="G6122" s="52">
        <v>413130.26498263399</v>
      </c>
      <c r="H6122" s="56">
        <v>9.3398435616046008E-2</v>
      </c>
      <c r="I6122" s="224">
        <v>1850</v>
      </c>
    </row>
    <row r="6123" spans="1:9" x14ac:dyDescent="0.25">
      <c r="A6123" s="515">
        <v>28461</v>
      </c>
      <c r="B6123" s="515" t="s">
        <v>703</v>
      </c>
      <c r="C6123" s="52">
        <v>470853.91929106601</v>
      </c>
      <c r="D6123" s="56">
        <v>0.13608732595821418</v>
      </c>
      <c r="E6123" s="224" t="s">
        <v>2</v>
      </c>
      <c r="F6123" s="515" t="s">
        <v>7351</v>
      </c>
      <c r="G6123" s="52">
        <v>1658859.9204375399</v>
      </c>
      <c r="H6123" s="56">
        <v>7.7024273761790746E-2</v>
      </c>
      <c r="I6123" s="224" t="s">
        <v>2</v>
      </c>
    </row>
    <row r="6124" spans="1:9" x14ac:dyDescent="0.25">
      <c r="A6124" s="515">
        <v>90715</v>
      </c>
      <c r="B6124" s="515" t="s">
        <v>375</v>
      </c>
      <c r="C6124" s="52">
        <v>698774.67301115196</v>
      </c>
      <c r="D6124" s="56">
        <v>5.2750668104154914E-2</v>
      </c>
      <c r="E6124" s="224">
        <v>2836.3333333333298</v>
      </c>
      <c r="F6124" s="515" t="s">
        <v>7352</v>
      </c>
      <c r="G6124" s="52">
        <v>369833.97440318897</v>
      </c>
      <c r="H6124" s="56">
        <v>4.0232501499160321E-2</v>
      </c>
      <c r="I6124" s="224" t="s">
        <v>2</v>
      </c>
    </row>
    <row r="6125" spans="1:9" x14ac:dyDescent="0.25">
      <c r="A6125" s="515">
        <v>48846</v>
      </c>
      <c r="B6125" s="515" t="s">
        <v>631</v>
      </c>
      <c r="C6125" s="52">
        <v>177181.587656282</v>
      </c>
      <c r="D6125" s="56">
        <v>7.5275308455638401E-2</v>
      </c>
      <c r="E6125" s="224" t="s">
        <v>2</v>
      </c>
      <c r="F6125" s="515" t="s">
        <v>7353</v>
      </c>
      <c r="G6125" s="52">
        <v>163778.84938840201</v>
      </c>
      <c r="H6125" s="56">
        <v>0.16267241619543735</v>
      </c>
      <c r="I6125" s="224" t="s">
        <v>2</v>
      </c>
    </row>
    <row r="6126" spans="1:9" x14ac:dyDescent="0.25">
      <c r="A6126" s="515">
        <v>79110</v>
      </c>
      <c r="B6126" s="515" t="s">
        <v>869</v>
      </c>
      <c r="C6126" s="52">
        <v>154641.770536814</v>
      </c>
      <c r="D6126" s="56">
        <v>9.2742450559406123E-2</v>
      </c>
      <c r="E6126" s="224" t="s">
        <v>2</v>
      </c>
      <c r="F6126" s="515" t="s">
        <v>7354</v>
      </c>
      <c r="G6126" s="52">
        <v>205185.13148988399</v>
      </c>
      <c r="H6126" s="56">
        <v>0.12592703076593881</v>
      </c>
      <c r="I6126" s="224" t="s">
        <v>2</v>
      </c>
    </row>
    <row r="6127" spans="1:9" x14ac:dyDescent="0.25">
      <c r="A6127" s="515">
        <v>93908</v>
      </c>
      <c r="B6127" s="515" t="s">
        <v>443</v>
      </c>
      <c r="C6127" s="52">
        <v>1067821.68146027</v>
      </c>
      <c r="D6127" s="56">
        <v>4.3063542273647726E-2</v>
      </c>
      <c r="E6127" s="224" t="s">
        <v>2</v>
      </c>
      <c r="F6127" s="515" t="s">
        <v>7355</v>
      </c>
      <c r="G6127" s="52">
        <v>420399.04659251502</v>
      </c>
      <c r="H6127" s="56">
        <v>5.7319309092489085E-2</v>
      </c>
      <c r="I6127" s="224" t="s">
        <v>2</v>
      </c>
    </row>
    <row r="6128" spans="1:9" x14ac:dyDescent="0.25">
      <c r="A6128" s="515">
        <v>98020</v>
      </c>
      <c r="B6128" s="515" t="s">
        <v>384</v>
      </c>
      <c r="C6128" s="52">
        <v>989425.76015631203</v>
      </c>
      <c r="D6128" s="56">
        <v>4.0047114574195158E-2</v>
      </c>
      <c r="E6128" s="224">
        <v>1934.1619047618999</v>
      </c>
      <c r="F6128" s="515" t="s">
        <v>7356</v>
      </c>
      <c r="G6128" s="52">
        <v>176196.16972444201</v>
      </c>
      <c r="H6128" s="56">
        <v>2.4335769193956521E-2</v>
      </c>
      <c r="I6128" s="224" t="s">
        <v>2</v>
      </c>
    </row>
    <row r="6129" spans="1:9" x14ac:dyDescent="0.25">
      <c r="A6129" s="515">
        <v>79902</v>
      </c>
      <c r="B6129" s="515" t="s">
        <v>1119</v>
      </c>
      <c r="C6129" s="52">
        <v>234850.20864598299</v>
      </c>
      <c r="D6129" s="56">
        <v>8.2134791710798238E-2</v>
      </c>
      <c r="E6129" s="224">
        <v>1187.5</v>
      </c>
      <c r="F6129" s="515" t="s">
        <v>7357</v>
      </c>
      <c r="G6129" s="52">
        <v>392565.07829027402</v>
      </c>
      <c r="H6129" s="56">
        <v>3.4310686969174352E-2</v>
      </c>
      <c r="I6129" s="224" t="s">
        <v>2</v>
      </c>
    </row>
    <row r="6130" spans="1:9" x14ac:dyDescent="0.25">
      <c r="A6130" s="515">
        <v>41102</v>
      </c>
      <c r="B6130" s="515" t="s">
        <v>602</v>
      </c>
      <c r="C6130" s="52">
        <v>134210.15877989301</v>
      </c>
      <c r="D6130" s="56">
        <v>0.11222245427175928</v>
      </c>
      <c r="E6130" s="224" t="s">
        <v>2</v>
      </c>
      <c r="F6130" s="515" t="s">
        <v>7358</v>
      </c>
      <c r="G6130" s="52">
        <v>231502.07274195499</v>
      </c>
      <c r="H6130" s="56">
        <v>5.589912224654258E-2</v>
      </c>
      <c r="I6130" s="224">
        <v>1042.9166666666599</v>
      </c>
    </row>
    <row r="6131" spans="1:9" x14ac:dyDescent="0.25">
      <c r="A6131" s="515">
        <v>45245</v>
      </c>
      <c r="B6131" s="515" t="s">
        <v>344</v>
      </c>
      <c r="C6131" s="52">
        <v>258540.695716102</v>
      </c>
      <c r="D6131" s="56">
        <v>5.3628695725683108E-2</v>
      </c>
      <c r="E6131" s="224" t="s">
        <v>2</v>
      </c>
      <c r="F6131" s="515" t="s">
        <v>7359</v>
      </c>
      <c r="G6131" s="52">
        <v>911785.606019211</v>
      </c>
      <c r="H6131" s="56">
        <v>8.5412797118215922E-2</v>
      </c>
      <c r="I6131" s="224" t="s">
        <v>2</v>
      </c>
    </row>
    <row r="6132" spans="1:9" x14ac:dyDescent="0.25">
      <c r="A6132" s="515">
        <v>80215</v>
      </c>
      <c r="B6132" s="515" t="s">
        <v>401</v>
      </c>
      <c r="C6132" s="52">
        <v>663074.68985455495</v>
      </c>
      <c r="D6132" s="56">
        <v>3.0031477524708212E-2</v>
      </c>
      <c r="E6132" s="224">
        <v>1908.32905982905</v>
      </c>
      <c r="F6132" s="515" t="s">
        <v>7360</v>
      </c>
      <c r="G6132" s="52">
        <v>260291.044452804</v>
      </c>
      <c r="H6132" s="56">
        <v>0.13307892505988606</v>
      </c>
      <c r="I6132" s="224" t="s">
        <v>2</v>
      </c>
    </row>
    <row r="6133" spans="1:9" x14ac:dyDescent="0.25">
      <c r="A6133" s="515">
        <v>32601</v>
      </c>
      <c r="B6133" s="515" t="s">
        <v>577</v>
      </c>
      <c r="C6133" s="52">
        <v>244194.59028462201</v>
      </c>
      <c r="D6133" s="56">
        <v>0.1216696687433421</v>
      </c>
      <c r="E6133" s="224">
        <v>1562.1306818181799</v>
      </c>
      <c r="F6133" s="515" t="s">
        <v>7361</v>
      </c>
      <c r="G6133" s="52">
        <v>282292.10502243799</v>
      </c>
      <c r="H6133" s="56">
        <v>4.535912631509284E-2</v>
      </c>
      <c r="I6133" s="224" t="s">
        <v>2</v>
      </c>
    </row>
    <row r="6134" spans="1:9" x14ac:dyDescent="0.25">
      <c r="A6134" s="515">
        <v>7029</v>
      </c>
      <c r="B6134" s="515" t="s">
        <v>324</v>
      </c>
      <c r="C6134" s="52">
        <v>514326.83059866301</v>
      </c>
      <c r="D6134" s="56">
        <v>-1.0082219283560939E-3</v>
      </c>
      <c r="E6134" s="224">
        <v>2482.5500730994099</v>
      </c>
      <c r="F6134" s="515" t="s">
        <v>7362</v>
      </c>
      <c r="G6134" s="52">
        <v>286604.65218837</v>
      </c>
      <c r="H6134" s="56">
        <v>9.9623967325652638E-2</v>
      </c>
      <c r="I6134" s="224" t="s">
        <v>2</v>
      </c>
    </row>
    <row r="6135" spans="1:9" x14ac:dyDescent="0.25">
      <c r="A6135" s="515">
        <v>1603</v>
      </c>
      <c r="B6135" s="515" t="s">
        <v>751</v>
      </c>
      <c r="C6135" s="52">
        <v>336014.92223474599</v>
      </c>
      <c r="D6135" s="56">
        <v>7.529661419401136E-2</v>
      </c>
      <c r="E6135" s="224">
        <v>1675</v>
      </c>
      <c r="F6135" s="515" t="s">
        <v>7363</v>
      </c>
      <c r="G6135" s="52">
        <v>888060.59124650399</v>
      </c>
      <c r="H6135" s="56">
        <v>3.8197739548447178E-2</v>
      </c>
      <c r="I6135" s="224" t="s">
        <v>2</v>
      </c>
    </row>
    <row r="6136" spans="1:9" x14ac:dyDescent="0.25">
      <c r="A6136" s="515">
        <v>32967</v>
      </c>
      <c r="B6136" s="515" t="s">
        <v>1176</v>
      </c>
      <c r="C6136" s="52">
        <v>404662.92061236798</v>
      </c>
      <c r="D6136" s="56">
        <v>0.16598412303025184</v>
      </c>
      <c r="E6136" s="224">
        <v>2316.6666666666601</v>
      </c>
      <c r="F6136" s="515" t="s">
        <v>7364</v>
      </c>
      <c r="G6136" s="52">
        <v>317767.44626000797</v>
      </c>
      <c r="H6136" s="56">
        <v>0.13027900978803916</v>
      </c>
      <c r="I6136" s="224" t="s">
        <v>2</v>
      </c>
    </row>
    <row r="6137" spans="1:9" x14ac:dyDescent="0.25">
      <c r="A6137" s="515">
        <v>60654</v>
      </c>
      <c r="B6137" s="515" t="s">
        <v>394</v>
      </c>
      <c r="C6137" s="52">
        <v>362808.89777308999</v>
      </c>
      <c r="D6137" s="56">
        <v>-7.611981540742498E-3</v>
      </c>
      <c r="E6137" s="224">
        <v>2606.2763323632798</v>
      </c>
      <c r="F6137" s="515" t="s">
        <v>7365</v>
      </c>
      <c r="G6137" s="52">
        <v>362100.20304371999</v>
      </c>
      <c r="H6137" s="56">
        <v>8.9312241144894694E-2</v>
      </c>
      <c r="I6137" s="224" t="s">
        <v>2</v>
      </c>
    </row>
    <row r="6138" spans="1:9" x14ac:dyDescent="0.25">
      <c r="A6138" s="515">
        <v>61104</v>
      </c>
      <c r="B6138" s="515" t="s">
        <v>1104</v>
      </c>
      <c r="C6138" s="52">
        <v>66100.449411940805</v>
      </c>
      <c r="D6138" s="56">
        <v>0.11574068894122172</v>
      </c>
      <c r="E6138" s="224">
        <v>788.33333333333303</v>
      </c>
      <c r="F6138" s="515" t="s">
        <v>7366</v>
      </c>
      <c r="G6138" s="52">
        <v>259477.328713525</v>
      </c>
      <c r="H6138" s="56">
        <v>6.7408077317791609E-2</v>
      </c>
      <c r="I6138" s="224" t="s">
        <v>2</v>
      </c>
    </row>
    <row r="6139" spans="1:9" x14ac:dyDescent="0.25">
      <c r="A6139" s="515">
        <v>53083</v>
      </c>
      <c r="B6139" s="515" t="s">
        <v>1063</v>
      </c>
      <c r="C6139" s="52">
        <v>240073.74024454501</v>
      </c>
      <c r="D6139" s="56">
        <v>5.4573748445349804E-2</v>
      </c>
      <c r="E6139" s="224" t="s">
        <v>2</v>
      </c>
      <c r="F6139" s="515" t="s">
        <v>7367</v>
      </c>
      <c r="G6139" s="52">
        <v>169920.03342184401</v>
      </c>
      <c r="H6139" s="56">
        <v>0.10033635186087458</v>
      </c>
      <c r="I6139" s="224" t="s">
        <v>2</v>
      </c>
    </row>
    <row r="6140" spans="1:9" x14ac:dyDescent="0.25">
      <c r="A6140" s="515">
        <v>10552</v>
      </c>
      <c r="B6140" s="515" t="s">
        <v>324</v>
      </c>
      <c r="C6140" s="52">
        <v>583685.59032876103</v>
      </c>
      <c r="D6140" s="56">
        <v>-1.8078135526581589E-2</v>
      </c>
      <c r="E6140" s="224" t="s">
        <v>2</v>
      </c>
      <c r="F6140" s="515" t="s">
        <v>7368</v>
      </c>
      <c r="G6140" s="52">
        <v>265749.262972066</v>
      </c>
      <c r="H6140" s="56">
        <v>7.8237428720859981E-2</v>
      </c>
      <c r="I6140" s="224" t="s">
        <v>2</v>
      </c>
    </row>
    <row r="6141" spans="1:9" x14ac:dyDescent="0.25">
      <c r="A6141" s="515">
        <v>49456</v>
      </c>
      <c r="B6141" s="515" t="s">
        <v>631</v>
      </c>
      <c r="C6141" s="52">
        <v>349844.79097338999</v>
      </c>
      <c r="D6141" s="56">
        <v>0.12215168225069639</v>
      </c>
      <c r="E6141" s="224" t="s">
        <v>2</v>
      </c>
      <c r="F6141" s="515" t="s">
        <v>7369</v>
      </c>
      <c r="G6141" s="52">
        <v>465639.89074611402</v>
      </c>
      <c r="H6141" s="56">
        <v>2.6438061177652513E-2</v>
      </c>
      <c r="I6141" s="224">
        <v>2567.5</v>
      </c>
    </row>
    <row r="6142" spans="1:9" x14ac:dyDescent="0.25">
      <c r="A6142" s="515">
        <v>75964</v>
      </c>
      <c r="B6142" s="515" t="s">
        <v>1035</v>
      </c>
      <c r="C6142" s="52">
        <v>151322.815037894</v>
      </c>
      <c r="D6142" s="56">
        <v>4.7880069843381425E-2</v>
      </c>
      <c r="E6142" s="224" t="s">
        <v>2</v>
      </c>
      <c r="F6142" s="515" t="s">
        <v>7370</v>
      </c>
      <c r="G6142" s="52">
        <v>184963.93486052501</v>
      </c>
      <c r="H6142" s="56">
        <v>9.7437937312201128E-2</v>
      </c>
      <c r="I6142" s="224" t="s">
        <v>2</v>
      </c>
    </row>
    <row r="6143" spans="1:9" x14ac:dyDescent="0.25">
      <c r="A6143" s="515">
        <v>13204</v>
      </c>
      <c r="B6143" s="515" t="s">
        <v>361</v>
      </c>
      <c r="C6143" s="52">
        <v>104604.55398318901</v>
      </c>
      <c r="D6143" s="56">
        <v>0.1106450453690216</v>
      </c>
      <c r="E6143" s="224">
        <v>1194.44444444444</v>
      </c>
      <c r="F6143" s="515" t="s">
        <v>7371</v>
      </c>
      <c r="G6143" s="52">
        <v>234512.57737701401</v>
      </c>
      <c r="H6143" s="56">
        <v>0.10032197640657083</v>
      </c>
      <c r="I6143" s="224" t="s">
        <v>2</v>
      </c>
    </row>
    <row r="6144" spans="1:9" x14ac:dyDescent="0.25">
      <c r="A6144" s="515">
        <v>14456</v>
      </c>
      <c r="B6144" s="515" t="s">
        <v>337</v>
      </c>
      <c r="C6144" s="52">
        <v>172987.81612209501</v>
      </c>
      <c r="D6144" s="56">
        <v>9.5129423704090804E-2</v>
      </c>
      <c r="E6144" s="224" t="s">
        <v>2</v>
      </c>
      <c r="F6144" s="515" t="s">
        <v>7372</v>
      </c>
      <c r="G6144" s="52">
        <v>834460.23919493402</v>
      </c>
      <c r="H6144" s="56">
        <v>7.711327718182355E-2</v>
      </c>
      <c r="I6144" s="224" t="s">
        <v>2</v>
      </c>
    </row>
    <row r="6145" spans="1:9" x14ac:dyDescent="0.25">
      <c r="A6145" s="515">
        <v>94563</v>
      </c>
      <c r="B6145" s="515" t="s">
        <v>593</v>
      </c>
      <c r="C6145" s="52">
        <v>1915869.35431772</v>
      </c>
      <c r="D6145" s="56">
        <v>3.8690557858778299E-2</v>
      </c>
      <c r="E6145" s="224">
        <v>5180.6666666666597</v>
      </c>
      <c r="F6145" s="515" t="s">
        <v>7373</v>
      </c>
      <c r="G6145" s="52">
        <v>361414.43785910303</v>
      </c>
      <c r="H6145" s="56">
        <v>4.2551335145948138E-2</v>
      </c>
      <c r="I6145" s="224" t="s">
        <v>2</v>
      </c>
    </row>
    <row r="6146" spans="1:9" x14ac:dyDescent="0.25">
      <c r="A6146" s="515">
        <v>32226</v>
      </c>
      <c r="B6146" s="515" t="s">
        <v>1158</v>
      </c>
      <c r="C6146" s="52">
        <v>378576.99719741498</v>
      </c>
      <c r="D6146" s="56">
        <v>0.10762633189108345</v>
      </c>
      <c r="E6146" s="224">
        <v>2154.0555555555502</v>
      </c>
      <c r="F6146" s="515" t="s">
        <v>7374</v>
      </c>
      <c r="G6146" s="52">
        <v>380350.661595774</v>
      </c>
      <c r="H6146" s="56">
        <v>0.10245603069208095</v>
      </c>
      <c r="I6146" s="224" t="s">
        <v>2</v>
      </c>
    </row>
    <row r="6147" spans="1:9" x14ac:dyDescent="0.25">
      <c r="A6147" s="515">
        <v>20895</v>
      </c>
      <c r="B6147" s="515" t="s">
        <v>321</v>
      </c>
      <c r="C6147" s="52">
        <v>729363.06863413297</v>
      </c>
      <c r="D6147" s="56">
        <v>3.1548426821751907E-2</v>
      </c>
      <c r="E6147" s="224" t="s">
        <v>2</v>
      </c>
      <c r="F6147" s="515" t="s">
        <v>7375</v>
      </c>
      <c r="G6147" s="52">
        <v>192634.47775414499</v>
      </c>
      <c r="H6147" s="56">
        <v>6.1558238018642436E-2</v>
      </c>
      <c r="I6147" s="224" t="s">
        <v>2</v>
      </c>
    </row>
    <row r="6148" spans="1:9" x14ac:dyDescent="0.25">
      <c r="A6148" s="515">
        <v>53089</v>
      </c>
      <c r="B6148" s="515" t="s">
        <v>950</v>
      </c>
      <c r="C6148" s="52">
        <v>403332.42489907402</v>
      </c>
      <c r="D6148" s="56">
        <v>4.6528198684060475E-2</v>
      </c>
      <c r="E6148" s="224" t="s">
        <v>2</v>
      </c>
      <c r="F6148" s="515" t="s">
        <v>7376</v>
      </c>
      <c r="G6148" s="52">
        <v>185993.62329134901</v>
      </c>
      <c r="H6148" s="56">
        <v>6.3124974813227416E-2</v>
      </c>
      <c r="I6148" s="224" t="s">
        <v>2</v>
      </c>
    </row>
    <row r="6149" spans="1:9" x14ac:dyDescent="0.25">
      <c r="A6149" s="515">
        <v>63110</v>
      </c>
      <c r="B6149" s="515" t="s">
        <v>498</v>
      </c>
      <c r="C6149" s="52">
        <v>276293.25829474197</v>
      </c>
      <c r="D6149" s="56">
        <v>3.2357170481252334E-2</v>
      </c>
      <c r="E6149" s="224">
        <v>1509.21672771672</v>
      </c>
      <c r="F6149" s="515" t="s">
        <v>7377</v>
      </c>
      <c r="G6149" s="52">
        <v>238781.62191976499</v>
      </c>
      <c r="H6149" s="56">
        <v>5.8980134743399672E-2</v>
      </c>
      <c r="I6149" s="224" t="s">
        <v>2</v>
      </c>
    </row>
    <row r="6150" spans="1:9" x14ac:dyDescent="0.25">
      <c r="A6150" s="515">
        <v>40215</v>
      </c>
      <c r="B6150" s="515" t="s">
        <v>479</v>
      </c>
      <c r="C6150" s="52">
        <v>113651.979713159</v>
      </c>
      <c r="D6150" s="56">
        <v>6.1962447173673822E-2</v>
      </c>
      <c r="E6150" s="224">
        <v>1040.5357142857099</v>
      </c>
      <c r="F6150" s="515" t="s">
        <v>7378</v>
      </c>
      <c r="G6150" s="52">
        <v>174749.89114238601</v>
      </c>
      <c r="H6150" s="56">
        <v>0.19484171475731804</v>
      </c>
      <c r="I6150" s="224" t="s">
        <v>2</v>
      </c>
    </row>
    <row r="6151" spans="1:9" x14ac:dyDescent="0.25">
      <c r="A6151" s="515">
        <v>45371</v>
      </c>
      <c r="B6151" s="515" t="s">
        <v>340</v>
      </c>
      <c r="C6151" s="52">
        <v>285566.761197004</v>
      </c>
      <c r="D6151" s="56">
        <v>5.7857847577621198E-2</v>
      </c>
      <c r="E6151" s="224">
        <v>1573</v>
      </c>
      <c r="F6151" s="515" t="s">
        <v>7379</v>
      </c>
      <c r="G6151" s="52">
        <v>122385.684486218</v>
      </c>
      <c r="H6151" s="56">
        <v>6.649074320400454E-2</v>
      </c>
      <c r="I6151" s="224" t="s">
        <v>2</v>
      </c>
    </row>
    <row r="6152" spans="1:9" x14ac:dyDescent="0.25">
      <c r="A6152" s="515">
        <v>85737</v>
      </c>
      <c r="B6152" s="515" t="s">
        <v>368</v>
      </c>
      <c r="C6152" s="52">
        <v>468173.65124314098</v>
      </c>
      <c r="D6152" s="56">
        <v>6.8176346183461842E-2</v>
      </c>
      <c r="E6152" s="224">
        <v>2039.1666666666599</v>
      </c>
      <c r="F6152" s="515" t="s">
        <v>7380</v>
      </c>
      <c r="G6152" s="52">
        <v>165919.000696887</v>
      </c>
      <c r="H6152" s="56">
        <v>7.6520855383426067E-2</v>
      </c>
      <c r="I6152" s="224" t="s">
        <v>2</v>
      </c>
    </row>
    <row r="6153" spans="1:9" x14ac:dyDescent="0.25">
      <c r="A6153" s="515">
        <v>37914</v>
      </c>
      <c r="B6153" s="515" t="s">
        <v>907</v>
      </c>
      <c r="C6153" s="52">
        <v>210544.37135145499</v>
      </c>
      <c r="D6153" s="56">
        <v>0.20201833374681058</v>
      </c>
      <c r="E6153" s="224" t="s">
        <v>2</v>
      </c>
      <c r="F6153" s="515" t="s">
        <v>7381</v>
      </c>
      <c r="G6153" s="52">
        <v>292075.97930902202</v>
      </c>
      <c r="H6153" s="56">
        <v>6.6985994230606999E-2</v>
      </c>
      <c r="I6153" s="224" t="s">
        <v>2</v>
      </c>
    </row>
    <row r="6154" spans="1:9" x14ac:dyDescent="0.25">
      <c r="A6154" s="515">
        <v>80224</v>
      </c>
      <c r="B6154" s="515" t="s">
        <v>401</v>
      </c>
      <c r="C6154" s="52">
        <v>579542.19765026995</v>
      </c>
      <c r="D6154" s="56">
        <v>4.1694799557397848E-2</v>
      </c>
      <c r="E6154" s="224">
        <v>2149.9444444444398</v>
      </c>
      <c r="F6154" s="515" t="s">
        <v>7382</v>
      </c>
      <c r="G6154" s="52">
        <v>440725.35496035498</v>
      </c>
      <c r="H6154" s="56">
        <v>8.7504755831235986E-2</v>
      </c>
      <c r="I6154" s="224" t="s">
        <v>2</v>
      </c>
    </row>
    <row r="6155" spans="1:9" x14ac:dyDescent="0.25">
      <c r="A6155" s="515">
        <v>8077</v>
      </c>
      <c r="B6155" s="515" t="s">
        <v>294</v>
      </c>
      <c r="C6155" s="52">
        <v>369641.59192023799</v>
      </c>
      <c r="D6155" s="56">
        <v>5.8556756193234361E-2</v>
      </c>
      <c r="E6155" s="224" t="s">
        <v>2</v>
      </c>
      <c r="F6155" s="515" t="s">
        <v>7383</v>
      </c>
      <c r="G6155" s="52">
        <v>588077.96007061296</v>
      </c>
      <c r="H6155" s="56">
        <v>7.7222669588013396E-2</v>
      </c>
      <c r="I6155" s="224" t="s">
        <v>2</v>
      </c>
    </row>
    <row r="6156" spans="1:9" x14ac:dyDescent="0.25">
      <c r="A6156" s="515">
        <v>87122</v>
      </c>
      <c r="B6156" s="515" t="s">
        <v>406</v>
      </c>
      <c r="C6156" s="52">
        <v>667452.97694650094</v>
      </c>
      <c r="D6156" s="56">
        <v>4.8068924653794767E-2</v>
      </c>
      <c r="E6156" s="224">
        <v>2200</v>
      </c>
      <c r="F6156" s="515" t="s">
        <v>7384</v>
      </c>
      <c r="G6156" s="52">
        <v>282962.27775064501</v>
      </c>
      <c r="H6156" s="56">
        <v>0.12124834758412231</v>
      </c>
      <c r="I6156" s="224" t="s">
        <v>2</v>
      </c>
    </row>
    <row r="6157" spans="1:9" x14ac:dyDescent="0.25">
      <c r="A6157" s="515">
        <v>67211</v>
      </c>
      <c r="B6157" s="515" t="s">
        <v>485</v>
      </c>
      <c r="C6157" s="52">
        <v>102758.653359563</v>
      </c>
      <c r="D6157" s="56">
        <v>0.14830544986322175</v>
      </c>
      <c r="E6157" s="224">
        <v>772.638888888888</v>
      </c>
      <c r="F6157" s="515" t="s">
        <v>7385</v>
      </c>
      <c r="G6157" s="52">
        <v>561350.56689703197</v>
      </c>
      <c r="H6157" s="56">
        <v>8.4458442297782738E-2</v>
      </c>
      <c r="I6157" s="224" t="s">
        <v>2</v>
      </c>
    </row>
    <row r="6158" spans="1:9" x14ac:dyDescent="0.25">
      <c r="A6158" s="515">
        <v>66203</v>
      </c>
      <c r="B6158" s="515" t="s">
        <v>455</v>
      </c>
      <c r="C6158" s="52">
        <v>269178.982496485</v>
      </c>
      <c r="D6158" s="56">
        <v>8.670129405798109E-2</v>
      </c>
      <c r="E6158" s="224">
        <v>1448.75</v>
      </c>
      <c r="F6158" s="515" t="s">
        <v>7386</v>
      </c>
      <c r="G6158" s="52">
        <v>219196.85527268701</v>
      </c>
      <c r="H6158" s="56">
        <v>0.12454301008874334</v>
      </c>
      <c r="I6158" s="224" t="s">
        <v>2</v>
      </c>
    </row>
    <row r="6159" spans="1:9" x14ac:dyDescent="0.25">
      <c r="A6159" s="515">
        <v>29488</v>
      </c>
      <c r="C6159" s="52">
        <v>170225.03818838199</v>
      </c>
      <c r="D6159" s="56">
        <v>0.12071412081694097</v>
      </c>
      <c r="E6159" s="224" t="s">
        <v>2</v>
      </c>
      <c r="F6159" s="515" t="s">
        <v>7387</v>
      </c>
      <c r="G6159" s="52">
        <v>244834.015751634</v>
      </c>
      <c r="H6159" s="56">
        <v>2.6802668740260039E-2</v>
      </c>
      <c r="I6159" s="224">
        <v>1658.88888888888</v>
      </c>
    </row>
    <row r="6160" spans="1:9" x14ac:dyDescent="0.25">
      <c r="A6160" s="515">
        <v>28312</v>
      </c>
      <c r="B6160" s="515" t="s">
        <v>1149</v>
      </c>
      <c r="C6160" s="52">
        <v>204543.82455071699</v>
      </c>
      <c r="D6160" s="56">
        <v>0.16813387546165079</v>
      </c>
      <c r="E6160" s="224" t="s">
        <v>2</v>
      </c>
      <c r="F6160" s="515" t="s">
        <v>7388</v>
      </c>
      <c r="G6160" s="52">
        <v>156830.612093795</v>
      </c>
      <c r="H6160" s="56">
        <v>0.19142029799643259</v>
      </c>
      <c r="I6160" s="224" t="s">
        <v>2</v>
      </c>
    </row>
    <row r="6161" spans="1:9" x14ac:dyDescent="0.25">
      <c r="A6161" s="515">
        <v>90670</v>
      </c>
      <c r="B6161" s="515" t="s">
        <v>375</v>
      </c>
      <c r="C6161" s="52">
        <v>668813.03723590297</v>
      </c>
      <c r="D6161" s="56">
        <v>4.6692532190583544E-2</v>
      </c>
      <c r="E6161" s="224" t="s">
        <v>2</v>
      </c>
      <c r="F6161" s="515" t="s">
        <v>7389</v>
      </c>
      <c r="G6161" s="52">
        <v>212537.735889756</v>
      </c>
      <c r="H6161" s="56">
        <v>6.1165053949467516E-2</v>
      </c>
      <c r="I6161" s="224" t="s">
        <v>2</v>
      </c>
    </row>
    <row r="6162" spans="1:9" x14ac:dyDescent="0.25">
      <c r="A6162" s="515">
        <v>18235</v>
      </c>
      <c r="B6162" s="515" t="s">
        <v>327</v>
      </c>
      <c r="C6162" s="52">
        <v>237095.82308714301</v>
      </c>
      <c r="D6162" s="56">
        <v>0.11012710394360119</v>
      </c>
      <c r="E6162" s="224" t="s">
        <v>2</v>
      </c>
      <c r="F6162" s="515" t="s">
        <v>7390</v>
      </c>
      <c r="G6162" s="52">
        <v>243814.93985351399</v>
      </c>
      <c r="H6162" s="56">
        <v>0.13575678380434228</v>
      </c>
      <c r="I6162" s="224" t="s">
        <v>2</v>
      </c>
    </row>
    <row r="6163" spans="1:9" x14ac:dyDescent="0.25">
      <c r="A6163" s="515">
        <v>50313</v>
      </c>
      <c r="B6163" s="515" t="s">
        <v>295</v>
      </c>
      <c r="C6163" s="52">
        <v>157306.018917401</v>
      </c>
      <c r="D6163" s="56">
        <v>8.631700423626798E-2</v>
      </c>
      <c r="E6163" s="224" t="s">
        <v>2</v>
      </c>
      <c r="F6163" s="515" t="s">
        <v>7391</v>
      </c>
      <c r="G6163" s="52">
        <v>1319756.1040157501</v>
      </c>
      <c r="H6163" s="56">
        <v>9.8563756982356657E-2</v>
      </c>
      <c r="I6163" s="224" t="s">
        <v>2</v>
      </c>
    </row>
    <row r="6164" spans="1:9" x14ac:dyDescent="0.25">
      <c r="A6164" s="515">
        <v>7751</v>
      </c>
      <c r="B6164" s="515" t="s">
        <v>324</v>
      </c>
      <c r="C6164" s="52">
        <v>715281.57805146195</v>
      </c>
      <c r="D6164" s="56">
        <v>6.2357934162525774E-2</v>
      </c>
      <c r="E6164" s="224">
        <v>2700</v>
      </c>
      <c r="F6164" s="515" t="s">
        <v>7392</v>
      </c>
      <c r="G6164" s="52">
        <v>188053.89676437501</v>
      </c>
      <c r="H6164" s="56">
        <v>0.15250253051941268</v>
      </c>
      <c r="I6164" s="224" t="s">
        <v>2</v>
      </c>
    </row>
    <row r="6165" spans="1:9" x14ac:dyDescent="0.25">
      <c r="A6165" s="515">
        <v>33534</v>
      </c>
      <c r="B6165" s="515" t="s">
        <v>461</v>
      </c>
      <c r="C6165" s="52">
        <v>342738.18729481898</v>
      </c>
      <c r="D6165" s="56">
        <v>0.11257394378456773</v>
      </c>
      <c r="E6165" s="224">
        <v>2305.4444444444398</v>
      </c>
      <c r="F6165" s="515" t="s">
        <v>7393</v>
      </c>
      <c r="G6165" s="52">
        <v>756352.73114687903</v>
      </c>
      <c r="H6165" s="56">
        <v>6.0591228529144142E-2</v>
      </c>
      <c r="I6165" s="224" t="s">
        <v>2</v>
      </c>
    </row>
    <row r="6166" spans="1:9" x14ac:dyDescent="0.25">
      <c r="A6166" s="515">
        <v>48837</v>
      </c>
      <c r="B6166" s="515" t="s">
        <v>528</v>
      </c>
      <c r="C6166" s="52">
        <v>257775.34623265799</v>
      </c>
      <c r="D6166" s="56">
        <v>7.6245252494458279E-2</v>
      </c>
      <c r="E6166" s="224" t="s">
        <v>2</v>
      </c>
      <c r="F6166" s="515" t="s">
        <v>7394</v>
      </c>
      <c r="G6166" s="52">
        <v>132229.63305537801</v>
      </c>
      <c r="H6166" s="56">
        <v>9.0588070112242736E-2</v>
      </c>
      <c r="I6166" s="224" t="s">
        <v>2</v>
      </c>
    </row>
    <row r="6167" spans="1:9" x14ac:dyDescent="0.25">
      <c r="A6167" s="515">
        <v>46808</v>
      </c>
      <c r="B6167" s="515" t="s">
        <v>1031</v>
      </c>
      <c r="C6167" s="52">
        <v>136090.41433932999</v>
      </c>
      <c r="D6167" s="56">
        <v>0.10184701719880737</v>
      </c>
      <c r="E6167" s="224">
        <v>1024</v>
      </c>
      <c r="F6167" s="515" t="s">
        <v>7395</v>
      </c>
      <c r="G6167" s="52">
        <v>79570.044170129899</v>
      </c>
      <c r="H6167" s="56">
        <v>6.0706868268598578E-2</v>
      </c>
      <c r="I6167" s="224" t="s">
        <v>2</v>
      </c>
    </row>
    <row r="6168" spans="1:9" x14ac:dyDescent="0.25">
      <c r="A6168" s="515">
        <v>75965</v>
      </c>
      <c r="B6168" s="515" t="s">
        <v>1035</v>
      </c>
      <c r="C6168" s="52">
        <v>239282.45430423901</v>
      </c>
      <c r="D6168" s="56">
        <v>6.271992166045548E-2</v>
      </c>
      <c r="E6168" s="224" t="s">
        <v>2</v>
      </c>
      <c r="F6168" s="515" t="s">
        <v>7396</v>
      </c>
      <c r="G6168" s="52">
        <v>106076.229313312</v>
      </c>
      <c r="H6168" s="56">
        <v>4.5713255148176007E-2</v>
      </c>
      <c r="I6168" s="224" t="s">
        <v>2</v>
      </c>
    </row>
    <row r="6169" spans="1:9" x14ac:dyDescent="0.25">
      <c r="A6169" s="515">
        <v>45505</v>
      </c>
      <c r="B6169" s="515" t="s">
        <v>398</v>
      </c>
      <c r="C6169" s="52">
        <v>93005.011836315403</v>
      </c>
      <c r="D6169" s="56">
        <v>0.19768451872270865</v>
      </c>
      <c r="E6169" s="224" t="s">
        <v>2</v>
      </c>
      <c r="F6169" s="515" t="s">
        <v>7397</v>
      </c>
      <c r="G6169" s="52">
        <v>301186.63944262499</v>
      </c>
      <c r="H6169" s="56">
        <v>8.0014121939090022E-2</v>
      </c>
      <c r="I6169" s="224" t="s">
        <v>2</v>
      </c>
    </row>
    <row r="6170" spans="1:9" x14ac:dyDescent="0.25">
      <c r="A6170" s="515">
        <v>97801</v>
      </c>
      <c r="B6170" s="515" t="s">
        <v>733</v>
      </c>
      <c r="C6170" s="52">
        <v>271114.49325361103</v>
      </c>
      <c r="D6170" s="56">
        <v>5.2301783811043605E-2</v>
      </c>
      <c r="E6170" s="224" t="s">
        <v>2</v>
      </c>
      <c r="F6170" s="515" t="s">
        <v>7398</v>
      </c>
      <c r="G6170" s="52">
        <v>248368.766262561</v>
      </c>
      <c r="H6170" s="56">
        <v>0.11696361156714537</v>
      </c>
      <c r="I6170" s="224" t="s">
        <v>2</v>
      </c>
    </row>
    <row r="6171" spans="1:9" x14ac:dyDescent="0.25">
      <c r="A6171" s="515">
        <v>15202</v>
      </c>
      <c r="B6171" s="515" t="s">
        <v>297</v>
      </c>
      <c r="C6171" s="52">
        <v>197541.99526205001</v>
      </c>
      <c r="D6171" s="56">
        <v>5.2738200965360617E-2</v>
      </c>
      <c r="E6171" s="224">
        <v>1168.88888888888</v>
      </c>
      <c r="F6171" s="515" t="s">
        <v>7399</v>
      </c>
      <c r="G6171" s="52">
        <v>475622.42911124899</v>
      </c>
      <c r="H6171" s="56">
        <v>1.4824225956978729E-2</v>
      </c>
      <c r="I6171" s="224">
        <v>1768.3333333333301</v>
      </c>
    </row>
    <row r="6172" spans="1:9" x14ac:dyDescent="0.25">
      <c r="A6172" s="515">
        <v>42633</v>
      </c>
      <c r="C6172" s="52">
        <v>131653.96684551399</v>
      </c>
      <c r="D6172" s="56">
        <v>0.22161158607656575</v>
      </c>
      <c r="E6172" s="224" t="s">
        <v>2</v>
      </c>
      <c r="F6172" s="515" t="s">
        <v>7400</v>
      </c>
      <c r="G6172" s="52">
        <v>171848.067576945</v>
      </c>
      <c r="H6172" s="56">
        <v>0.11378328877636437</v>
      </c>
      <c r="I6172" s="224" t="s">
        <v>2</v>
      </c>
    </row>
    <row r="6173" spans="1:9" x14ac:dyDescent="0.25">
      <c r="A6173" s="515">
        <v>33763</v>
      </c>
      <c r="B6173" s="515" t="s">
        <v>461</v>
      </c>
      <c r="C6173" s="52">
        <v>236667.36902926699</v>
      </c>
      <c r="D6173" s="56">
        <v>0.17423992382260436</v>
      </c>
      <c r="E6173" s="224">
        <v>1861</v>
      </c>
      <c r="F6173" s="515" t="s">
        <v>7401</v>
      </c>
      <c r="G6173" s="52">
        <v>393173.18466878898</v>
      </c>
      <c r="H6173" s="56">
        <v>7.8960724549099942E-2</v>
      </c>
      <c r="I6173" s="224" t="s">
        <v>2</v>
      </c>
    </row>
    <row r="6174" spans="1:9" x14ac:dyDescent="0.25">
      <c r="A6174" s="515">
        <v>50702</v>
      </c>
      <c r="B6174" s="515" t="s">
        <v>315</v>
      </c>
      <c r="C6174" s="52">
        <v>128505.67669757199</v>
      </c>
      <c r="D6174" s="56">
        <v>7.7723778882440558E-2</v>
      </c>
      <c r="E6174" s="224">
        <v>740.77777777777703</v>
      </c>
      <c r="F6174" s="515" t="s">
        <v>7402</v>
      </c>
      <c r="G6174" s="52">
        <v>217928.490482044</v>
      </c>
      <c r="H6174" s="56">
        <v>0.11193335196415714</v>
      </c>
      <c r="I6174" s="224" t="s">
        <v>2</v>
      </c>
    </row>
    <row r="6175" spans="1:9" x14ac:dyDescent="0.25">
      <c r="A6175" s="515">
        <v>47803</v>
      </c>
      <c r="B6175" s="515" t="s">
        <v>318</v>
      </c>
      <c r="C6175" s="52">
        <v>145694.54444001801</v>
      </c>
      <c r="D6175" s="56">
        <v>6.4568490598620715E-2</v>
      </c>
      <c r="E6175" s="224" t="s">
        <v>2</v>
      </c>
      <c r="F6175" s="515" t="s">
        <v>7403</v>
      </c>
      <c r="G6175" s="52">
        <v>112316.53862390001</v>
      </c>
      <c r="H6175" s="56">
        <v>4.8656553489954464E-2</v>
      </c>
      <c r="I6175" s="224" t="s">
        <v>2</v>
      </c>
    </row>
    <row r="6176" spans="1:9" x14ac:dyDescent="0.25">
      <c r="A6176" s="515">
        <v>11726</v>
      </c>
      <c r="B6176" s="515" t="s">
        <v>324</v>
      </c>
      <c r="C6176" s="52">
        <v>477163.26700818102</v>
      </c>
      <c r="D6176" s="56">
        <v>1.812383313329775E-2</v>
      </c>
      <c r="E6176" s="224" t="s">
        <v>2</v>
      </c>
      <c r="F6176" s="515" t="s">
        <v>7404</v>
      </c>
      <c r="G6176" s="52">
        <v>140945.921842977</v>
      </c>
      <c r="H6176" s="56">
        <v>4.0480212681481061E-2</v>
      </c>
      <c r="I6176" s="224" t="s">
        <v>2</v>
      </c>
    </row>
    <row r="6177" spans="1:9" x14ac:dyDescent="0.25">
      <c r="A6177" s="515">
        <v>19804</v>
      </c>
      <c r="B6177" s="515" t="s">
        <v>294</v>
      </c>
      <c r="C6177" s="52">
        <v>244535.895762664</v>
      </c>
      <c r="D6177" s="56">
        <v>7.5839905625569082E-2</v>
      </c>
      <c r="E6177" s="224" t="s">
        <v>2</v>
      </c>
      <c r="F6177" s="515" t="s">
        <v>7405</v>
      </c>
      <c r="G6177" s="52">
        <v>327204.69592055498</v>
      </c>
      <c r="H6177" s="56">
        <v>0.11040660716666488</v>
      </c>
      <c r="I6177" s="224" t="s">
        <v>2</v>
      </c>
    </row>
    <row r="6178" spans="1:9" x14ac:dyDescent="0.25">
      <c r="A6178" s="515">
        <v>70124</v>
      </c>
      <c r="B6178" s="515" t="s">
        <v>777</v>
      </c>
      <c r="C6178" s="52">
        <v>521850.141860075</v>
      </c>
      <c r="D6178" s="56">
        <v>-1.9200749449734222E-2</v>
      </c>
      <c r="E6178" s="224">
        <v>1862.63888888888</v>
      </c>
      <c r="F6178" s="515" t="s">
        <v>7406</v>
      </c>
      <c r="G6178" s="52">
        <v>294746.91243692301</v>
      </c>
      <c r="H6178" s="56">
        <v>4.7584722951055647E-2</v>
      </c>
      <c r="I6178" s="224" t="s">
        <v>2</v>
      </c>
    </row>
    <row r="6179" spans="1:9" x14ac:dyDescent="0.25">
      <c r="A6179" s="515">
        <v>33559</v>
      </c>
      <c r="B6179" s="515" t="s">
        <v>461</v>
      </c>
      <c r="C6179" s="52">
        <v>378381.38199482299</v>
      </c>
      <c r="D6179" s="56">
        <v>8.0911669544455986E-2</v>
      </c>
      <c r="E6179" s="224">
        <v>2463.5</v>
      </c>
      <c r="F6179" s="515" t="s">
        <v>7407</v>
      </c>
      <c r="G6179" s="52">
        <v>437942.94037609198</v>
      </c>
      <c r="H6179" s="56">
        <v>3.7828848658079874E-2</v>
      </c>
      <c r="I6179" s="224" t="s">
        <v>2</v>
      </c>
    </row>
    <row r="6180" spans="1:9" x14ac:dyDescent="0.25">
      <c r="A6180" s="515">
        <v>15122</v>
      </c>
      <c r="B6180" s="515" t="s">
        <v>297</v>
      </c>
      <c r="C6180" s="52">
        <v>148113.96280161801</v>
      </c>
      <c r="D6180" s="56">
        <v>8.2691572799423796E-2</v>
      </c>
      <c r="E6180" s="224">
        <v>1035</v>
      </c>
      <c r="F6180" s="515" t="s">
        <v>7408</v>
      </c>
      <c r="G6180" s="52">
        <v>337777.82664299698</v>
      </c>
      <c r="H6180" s="56">
        <v>0.11055793261246356</v>
      </c>
      <c r="I6180" s="224" t="s">
        <v>2</v>
      </c>
    </row>
    <row r="6181" spans="1:9" x14ac:dyDescent="0.25">
      <c r="A6181" s="515">
        <v>21409</v>
      </c>
      <c r="B6181" s="515" t="s">
        <v>582</v>
      </c>
      <c r="C6181" s="52">
        <v>518876.70446968498</v>
      </c>
      <c r="D6181" s="56">
        <v>4.3596026129745932E-2</v>
      </c>
      <c r="E6181" s="224" t="s">
        <v>2</v>
      </c>
      <c r="F6181" s="515" t="s">
        <v>7409</v>
      </c>
      <c r="G6181" s="52">
        <v>128343.642957066</v>
      </c>
      <c r="H6181" s="56">
        <v>0.16932242409209858</v>
      </c>
      <c r="I6181" s="224" t="s">
        <v>2</v>
      </c>
    </row>
    <row r="6182" spans="1:9" x14ac:dyDescent="0.25">
      <c r="A6182" s="515">
        <v>62305</v>
      </c>
      <c r="B6182" s="515" t="s">
        <v>697</v>
      </c>
      <c r="C6182" s="52">
        <v>217682.96176160799</v>
      </c>
      <c r="D6182" s="56">
        <v>0.10155345435692176</v>
      </c>
      <c r="E6182" s="224" t="s">
        <v>2</v>
      </c>
      <c r="F6182" s="515" t="s">
        <v>7410</v>
      </c>
      <c r="G6182" s="52">
        <v>439273.11536064098</v>
      </c>
      <c r="H6182" s="56">
        <v>6.460286614090377E-2</v>
      </c>
      <c r="I6182" s="224" t="s">
        <v>2</v>
      </c>
    </row>
    <row r="6183" spans="1:9" x14ac:dyDescent="0.25">
      <c r="A6183" s="515">
        <v>33774</v>
      </c>
      <c r="B6183" s="515" t="s">
        <v>461</v>
      </c>
      <c r="C6183" s="52">
        <v>366567.64967775799</v>
      </c>
      <c r="D6183" s="56">
        <v>0.11186959591678909</v>
      </c>
      <c r="E6183" s="224">
        <v>1523.3</v>
      </c>
      <c r="F6183" s="515" t="s">
        <v>7411</v>
      </c>
      <c r="G6183" s="52">
        <v>223730.44585302399</v>
      </c>
      <c r="H6183" s="56">
        <v>0.10555181384183904</v>
      </c>
      <c r="I6183" s="224" t="s">
        <v>2</v>
      </c>
    </row>
    <row r="6184" spans="1:9" x14ac:dyDescent="0.25">
      <c r="A6184" s="515">
        <v>28704</v>
      </c>
      <c r="B6184" s="515" t="s">
        <v>668</v>
      </c>
      <c r="C6184" s="52">
        <v>406690.464914429</v>
      </c>
      <c r="D6184" s="56">
        <v>0.10669441007679478</v>
      </c>
      <c r="E6184" s="224">
        <v>1804.81111111111</v>
      </c>
      <c r="F6184" s="515" t="s">
        <v>7412</v>
      </c>
      <c r="G6184" s="52">
        <v>470608.89711393201</v>
      </c>
      <c r="H6184" s="56">
        <v>7.8247340937097551E-2</v>
      </c>
      <c r="I6184" s="224" t="s">
        <v>2</v>
      </c>
    </row>
    <row r="6185" spans="1:9" x14ac:dyDescent="0.25">
      <c r="A6185" s="515">
        <v>43056</v>
      </c>
      <c r="B6185" s="515" t="s">
        <v>345</v>
      </c>
      <c r="C6185" s="52">
        <v>248043.586729061</v>
      </c>
      <c r="D6185" s="56">
        <v>9.9644387735907114E-2</v>
      </c>
      <c r="E6185" s="224" t="s">
        <v>2</v>
      </c>
      <c r="F6185" s="515" t="s">
        <v>7413</v>
      </c>
      <c r="G6185" s="52">
        <v>326354.65200558101</v>
      </c>
      <c r="H6185" s="56">
        <v>5.7520569543837781E-2</v>
      </c>
      <c r="I6185" s="224" t="s">
        <v>2</v>
      </c>
    </row>
    <row r="6186" spans="1:9" x14ac:dyDescent="0.25">
      <c r="A6186" s="515">
        <v>42501</v>
      </c>
      <c r="B6186" s="515" t="s">
        <v>1145</v>
      </c>
      <c r="C6186" s="52">
        <v>156519.94144101301</v>
      </c>
      <c r="D6186" s="56">
        <v>0.14573450324259535</v>
      </c>
      <c r="E6186" s="224" t="s">
        <v>2</v>
      </c>
      <c r="F6186" s="515" t="s">
        <v>7414</v>
      </c>
      <c r="G6186" s="52">
        <v>305469.80282353202</v>
      </c>
      <c r="H6186" s="56">
        <v>9.9323749862338592E-2</v>
      </c>
      <c r="I6186" s="224" t="s">
        <v>2</v>
      </c>
    </row>
    <row r="6187" spans="1:9" x14ac:dyDescent="0.25">
      <c r="A6187" s="515">
        <v>6518</v>
      </c>
      <c r="B6187" s="515" t="s">
        <v>1172</v>
      </c>
      <c r="C6187" s="52">
        <v>312999.85656365799</v>
      </c>
      <c r="D6187" s="56">
        <v>9.256492582888648E-2</v>
      </c>
      <c r="E6187" s="224">
        <v>2450.8333333333298</v>
      </c>
      <c r="F6187" s="515" t="s">
        <v>1226</v>
      </c>
      <c r="G6187" s="52">
        <v>128585.01069363</v>
      </c>
      <c r="H6187" s="56">
        <v>8.9334104950316448E-2</v>
      </c>
      <c r="I6187" s="224" t="s">
        <v>2</v>
      </c>
    </row>
    <row r="6188" spans="1:9" x14ac:dyDescent="0.25">
      <c r="A6188" s="515">
        <v>89144</v>
      </c>
      <c r="B6188" s="515" t="s">
        <v>323</v>
      </c>
      <c r="C6188" s="52">
        <v>464009.873153508</v>
      </c>
      <c r="D6188" s="56">
        <v>3.3195885654223239E-2</v>
      </c>
      <c r="E6188" s="224">
        <v>2102.3333333333298</v>
      </c>
      <c r="F6188" s="515" t="s">
        <v>7415</v>
      </c>
      <c r="G6188" s="52">
        <v>245575.903564067</v>
      </c>
      <c r="H6188" s="56">
        <v>7.235077152132513E-2</v>
      </c>
      <c r="I6188" s="224" t="s">
        <v>2</v>
      </c>
    </row>
    <row r="6189" spans="1:9" x14ac:dyDescent="0.25">
      <c r="A6189" s="515">
        <v>45895</v>
      </c>
      <c r="B6189" s="515" t="s">
        <v>480</v>
      </c>
      <c r="C6189" s="52">
        <v>183156.53386593101</v>
      </c>
      <c r="D6189" s="56">
        <v>9.0724911757911836E-2</v>
      </c>
      <c r="E6189" s="224" t="s">
        <v>2</v>
      </c>
      <c r="F6189" s="515" t="s">
        <v>7416</v>
      </c>
      <c r="G6189" s="52">
        <v>862617.17176984996</v>
      </c>
      <c r="H6189" s="56">
        <v>4.7257546247134102E-2</v>
      </c>
      <c r="I6189" s="224" t="s">
        <v>2</v>
      </c>
    </row>
    <row r="6190" spans="1:9" x14ac:dyDescent="0.25">
      <c r="A6190" s="515">
        <v>52317</v>
      </c>
      <c r="B6190" s="515" t="s">
        <v>587</v>
      </c>
      <c r="C6190" s="52">
        <v>274136.32726962899</v>
      </c>
      <c r="D6190" s="56">
        <v>7.1547084558873306E-2</v>
      </c>
      <c r="E6190" s="224">
        <v>1337.5</v>
      </c>
      <c r="F6190" s="515" t="s">
        <v>7417</v>
      </c>
      <c r="G6190" s="52">
        <v>253869.02327312299</v>
      </c>
      <c r="H6190" s="56">
        <v>0.10851704954280023</v>
      </c>
      <c r="I6190" s="224" t="s">
        <v>2</v>
      </c>
    </row>
    <row r="6191" spans="1:9" x14ac:dyDescent="0.25">
      <c r="A6191" s="515">
        <v>33525</v>
      </c>
      <c r="B6191" s="515" t="s">
        <v>461</v>
      </c>
      <c r="C6191" s="52">
        <v>352846.267029765</v>
      </c>
      <c r="D6191" s="56">
        <v>0.10380327994169389</v>
      </c>
      <c r="E6191" s="224">
        <v>1997.86666666666</v>
      </c>
      <c r="F6191" s="515" t="s">
        <v>7418</v>
      </c>
      <c r="G6191" s="52">
        <v>411533.07975508302</v>
      </c>
      <c r="H6191" s="56">
        <v>6.6483118912878017E-2</v>
      </c>
      <c r="I6191" s="224" t="s">
        <v>2</v>
      </c>
    </row>
    <row r="6192" spans="1:9" x14ac:dyDescent="0.25">
      <c r="A6192" s="515">
        <v>48098</v>
      </c>
      <c r="B6192" s="515" t="s">
        <v>685</v>
      </c>
      <c r="C6192" s="52">
        <v>482718.65268265503</v>
      </c>
      <c r="D6192" s="56">
        <v>4.6840671175162767E-2</v>
      </c>
      <c r="E6192" s="224">
        <v>2050</v>
      </c>
      <c r="F6192" s="515" t="s">
        <v>7419</v>
      </c>
      <c r="G6192" s="52">
        <v>427030.20997495099</v>
      </c>
      <c r="H6192" s="56">
        <v>0.12501063659057662</v>
      </c>
      <c r="I6192" s="224" t="s">
        <v>2</v>
      </c>
    </row>
    <row r="6193" spans="1:9" x14ac:dyDescent="0.25">
      <c r="A6193" s="515">
        <v>20018</v>
      </c>
      <c r="B6193" s="515" t="s">
        <v>321</v>
      </c>
      <c r="C6193" s="52">
        <v>599786.86101114796</v>
      </c>
      <c r="D6193" s="56">
        <v>2.3490262821831698E-2</v>
      </c>
      <c r="E6193" s="224">
        <v>2235.99735449735</v>
      </c>
      <c r="F6193" s="515" t="s">
        <v>7420</v>
      </c>
      <c r="G6193" s="52">
        <v>187452.253452768</v>
      </c>
      <c r="H6193" s="56">
        <v>0.12718557689522811</v>
      </c>
      <c r="I6193" s="224" t="s">
        <v>2</v>
      </c>
    </row>
    <row r="6194" spans="1:9" x14ac:dyDescent="0.25">
      <c r="A6194" s="515">
        <v>96814</v>
      </c>
      <c r="B6194" s="515" t="s">
        <v>1029</v>
      </c>
      <c r="C6194" s="52">
        <v>642825.16017524595</v>
      </c>
      <c r="D6194" s="56">
        <v>6.2722172871582133E-2</v>
      </c>
      <c r="E6194" s="224">
        <v>2468.6111111111099</v>
      </c>
      <c r="F6194" s="515" t="s">
        <v>7421</v>
      </c>
      <c r="G6194" s="52">
        <v>121704.360308467</v>
      </c>
      <c r="H6194" s="56">
        <v>-6.6834212269984549E-3</v>
      </c>
      <c r="I6194" s="224" t="s">
        <v>2</v>
      </c>
    </row>
    <row r="6195" spans="1:9" x14ac:dyDescent="0.25">
      <c r="A6195" s="515">
        <v>12477</v>
      </c>
      <c r="B6195" s="515" t="s">
        <v>307</v>
      </c>
      <c r="C6195" s="52">
        <v>337038.57595794799</v>
      </c>
      <c r="D6195" s="56">
        <v>0.13439196783089535</v>
      </c>
      <c r="E6195" s="224" t="s">
        <v>2</v>
      </c>
      <c r="F6195" s="515" t="s">
        <v>7422</v>
      </c>
      <c r="G6195" s="52">
        <v>564155.10857728799</v>
      </c>
      <c r="H6195" s="56">
        <v>4.5805539925620482E-2</v>
      </c>
      <c r="I6195" s="224" t="s">
        <v>2</v>
      </c>
    </row>
    <row r="6196" spans="1:9" x14ac:dyDescent="0.25">
      <c r="A6196" s="515">
        <v>55309</v>
      </c>
      <c r="B6196" s="515" t="s">
        <v>532</v>
      </c>
      <c r="C6196" s="52">
        <v>333255.21270403301</v>
      </c>
      <c r="D6196" s="56">
        <v>3.2436968100226914E-2</v>
      </c>
      <c r="E6196" s="224" t="s">
        <v>2</v>
      </c>
      <c r="F6196" s="515" t="s">
        <v>7423</v>
      </c>
      <c r="G6196" s="52">
        <v>1033039.15283207</v>
      </c>
      <c r="H6196" s="56">
        <v>7.5842044988294902E-2</v>
      </c>
      <c r="I6196" s="224" t="s">
        <v>2</v>
      </c>
    </row>
    <row r="6197" spans="1:9" x14ac:dyDescent="0.25">
      <c r="A6197" s="515">
        <v>70438</v>
      </c>
      <c r="B6197" s="515" t="s">
        <v>1132</v>
      </c>
      <c r="C6197" s="52">
        <v>144073.044073934</v>
      </c>
      <c r="D6197" s="56">
        <v>4.5053732601625048E-2</v>
      </c>
      <c r="E6197" s="224" t="s">
        <v>2</v>
      </c>
      <c r="F6197" s="515" t="s">
        <v>7424</v>
      </c>
      <c r="G6197" s="52">
        <v>1003582.46810486</v>
      </c>
      <c r="H6197" s="56">
        <v>0.1072291614989776</v>
      </c>
      <c r="I6197" s="224" t="s">
        <v>2</v>
      </c>
    </row>
    <row r="6198" spans="1:9" x14ac:dyDescent="0.25">
      <c r="A6198" s="515">
        <v>38863</v>
      </c>
      <c r="B6198" s="515" t="s">
        <v>1010</v>
      </c>
      <c r="C6198" s="52">
        <v>155093.225395883</v>
      </c>
      <c r="D6198" s="56">
        <v>6.3438097315650106E-3</v>
      </c>
      <c r="E6198" s="224" t="s">
        <v>2</v>
      </c>
      <c r="F6198" s="515" t="s">
        <v>7425</v>
      </c>
      <c r="G6198" s="52">
        <v>558546.01898614003</v>
      </c>
      <c r="H6198" s="56">
        <v>6.5657032454563863E-2</v>
      </c>
      <c r="I6198" s="224" t="s">
        <v>2</v>
      </c>
    </row>
    <row r="6199" spans="1:9" x14ac:dyDescent="0.25">
      <c r="A6199" s="515">
        <v>59808</v>
      </c>
      <c r="B6199" s="515" t="s">
        <v>1060</v>
      </c>
      <c r="C6199" s="52">
        <v>514323.90962159698</v>
      </c>
      <c r="D6199" s="56">
        <v>4.3691886063602622E-2</v>
      </c>
      <c r="E6199" s="224" t="s">
        <v>2</v>
      </c>
      <c r="F6199" s="515" t="s">
        <v>7426</v>
      </c>
      <c r="G6199" s="52">
        <v>412828.05097412202</v>
      </c>
      <c r="H6199" s="56">
        <v>6.3722570435482406E-2</v>
      </c>
      <c r="I6199" s="224" t="s">
        <v>2</v>
      </c>
    </row>
    <row r="6200" spans="1:9" x14ac:dyDescent="0.25">
      <c r="A6200" s="515">
        <v>70578</v>
      </c>
      <c r="B6200" s="515" t="s">
        <v>1004</v>
      </c>
      <c r="C6200" s="52">
        <v>139364.68498707601</v>
      </c>
      <c r="D6200" s="56">
        <v>1.8642782396068723E-2</v>
      </c>
      <c r="E6200" s="224" t="s">
        <v>2</v>
      </c>
      <c r="F6200" s="515" t="s">
        <v>7427</v>
      </c>
      <c r="G6200" s="52">
        <v>107662.36733699001</v>
      </c>
      <c r="H6200" s="56">
        <v>3.5206122687510381E-2</v>
      </c>
      <c r="I6200" s="224" t="s">
        <v>2</v>
      </c>
    </row>
    <row r="6201" spans="1:9" x14ac:dyDescent="0.25">
      <c r="A6201" s="515">
        <v>4072</v>
      </c>
      <c r="B6201" s="515" t="s">
        <v>570</v>
      </c>
      <c r="C6201" s="52">
        <v>432879.84064653597</v>
      </c>
      <c r="D6201" s="56">
        <v>0.10279875909926255</v>
      </c>
      <c r="E6201" s="224" t="s">
        <v>2</v>
      </c>
      <c r="F6201" s="515" t="s">
        <v>7428</v>
      </c>
      <c r="G6201" s="52">
        <v>742903.87224059005</v>
      </c>
      <c r="H6201" s="56">
        <v>2.6592222496869218E-2</v>
      </c>
      <c r="I6201" s="224" t="s">
        <v>2</v>
      </c>
    </row>
    <row r="6202" spans="1:9" x14ac:dyDescent="0.25">
      <c r="A6202" s="515">
        <v>40228</v>
      </c>
      <c r="B6202" s="515" t="s">
        <v>479</v>
      </c>
      <c r="C6202" s="52">
        <v>237038.654852262</v>
      </c>
      <c r="D6202" s="56">
        <v>6.0247439278946428E-2</v>
      </c>
      <c r="E6202" s="224" t="s">
        <v>2</v>
      </c>
      <c r="F6202" s="515" t="s">
        <v>7429</v>
      </c>
      <c r="G6202" s="52">
        <v>169662.586906779</v>
      </c>
      <c r="H6202" s="56">
        <v>-6.6089566274000464E-2</v>
      </c>
      <c r="I6202" s="224" t="s">
        <v>2</v>
      </c>
    </row>
    <row r="6203" spans="1:9" x14ac:dyDescent="0.25">
      <c r="A6203" s="515">
        <v>93268</v>
      </c>
      <c r="B6203" s="515" t="s">
        <v>419</v>
      </c>
      <c r="C6203" s="52">
        <v>184952.72762494301</v>
      </c>
      <c r="D6203" s="56">
        <v>0.10229916476406703</v>
      </c>
      <c r="E6203" s="224">
        <v>935</v>
      </c>
      <c r="F6203" s="515" t="s">
        <v>7430</v>
      </c>
      <c r="G6203" s="52">
        <v>130747.344189686</v>
      </c>
      <c r="H6203" s="56">
        <v>4.2281112459410831E-2</v>
      </c>
      <c r="I6203" s="224" t="s">
        <v>2</v>
      </c>
    </row>
    <row r="6204" spans="1:9" x14ac:dyDescent="0.25">
      <c r="A6204" s="515">
        <v>95448</v>
      </c>
      <c r="B6204" s="515" t="s">
        <v>331</v>
      </c>
      <c r="C6204" s="52">
        <v>1010522.6105366501</v>
      </c>
      <c r="D6204" s="56">
        <v>1.4710610189953122E-2</v>
      </c>
      <c r="E6204" s="224">
        <v>3662.5</v>
      </c>
      <c r="F6204" s="515" t="s">
        <v>7431</v>
      </c>
      <c r="G6204" s="52">
        <v>566371.180853153</v>
      </c>
      <c r="H6204" s="56">
        <v>6.2617950102047862E-2</v>
      </c>
      <c r="I6204" s="224">
        <v>1837.5</v>
      </c>
    </row>
    <row r="6205" spans="1:9" x14ac:dyDescent="0.25">
      <c r="A6205" s="515">
        <v>97034</v>
      </c>
      <c r="B6205" s="515" t="s">
        <v>659</v>
      </c>
      <c r="C6205" s="52">
        <v>1026749.4930404701</v>
      </c>
      <c r="D6205" s="56">
        <v>5.4874644897462202E-2</v>
      </c>
      <c r="E6205" s="224">
        <v>2683.1666666666601</v>
      </c>
      <c r="F6205" s="515" t="s">
        <v>7432</v>
      </c>
      <c r="G6205" s="52">
        <v>260890.62124032</v>
      </c>
      <c r="H6205" s="56">
        <v>3.1063162845654302E-2</v>
      </c>
      <c r="I6205" s="224" t="s">
        <v>2</v>
      </c>
    </row>
    <row r="6206" spans="1:9" x14ac:dyDescent="0.25">
      <c r="A6206" s="515">
        <v>54476</v>
      </c>
      <c r="B6206" s="515" t="s">
        <v>940</v>
      </c>
      <c r="C6206" s="52">
        <v>213619.65508359199</v>
      </c>
      <c r="D6206" s="56">
        <v>2.4239913219484353E-2</v>
      </c>
      <c r="E6206" s="224" t="s">
        <v>2</v>
      </c>
      <c r="F6206" s="515" t="s">
        <v>7433</v>
      </c>
      <c r="G6206" s="52">
        <v>419710.41772780998</v>
      </c>
      <c r="H6206" s="56">
        <v>6.5274619586400462E-2</v>
      </c>
      <c r="I6206" s="224" t="s">
        <v>2</v>
      </c>
    </row>
    <row r="6207" spans="1:9" x14ac:dyDescent="0.25">
      <c r="A6207" s="515">
        <v>53713</v>
      </c>
      <c r="B6207" s="515" t="s">
        <v>727</v>
      </c>
      <c r="C6207" s="52">
        <v>275057.38067307702</v>
      </c>
      <c r="D6207" s="56">
        <v>8.3144567746717524E-2</v>
      </c>
      <c r="E6207" s="224">
        <v>1407.1365079365</v>
      </c>
      <c r="F6207" s="515" t="s">
        <v>7434</v>
      </c>
      <c r="G6207" s="52">
        <v>170596.89013308799</v>
      </c>
      <c r="H6207" s="56">
        <v>3.7241673876857208E-2</v>
      </c>
      <c r="I6207" s="224" t="s">
        <v>2</v>
      </c>
    </row>
    <row r="6208" spans="1:9" x14ac:dyDescent="0.25">
      <c r="A6208" s="515">
        <v>63108</v>
      </c>
      <c r="B6208" s="515" t="s">
        <v>498</v>
      </c>
      <c r="C6208" s="52">
        <v>311079.43257612601</v>
      </c>
      <c r="D6208" s="56">
        <v>3.9140518877347034E-2</v>
      </c>
      <c r="E6208" s="224">
        <v>1339.66414141414</v>
      </c>
      <c r="F6208" s="515" t="s">
        <v>7435</v>
      </c>
      <c r="G6208" s="52">
        <v>251259.57646892901</v>
      </c>
      <c r="H6208" s="56">
        <v>0.1134122481044221</v>
      </c>
      <c r="I6208" s="224" t="s">
        <v>2</v>
      </c>
    </row>
    <row r="6209" spans="1:9" x14ac:dyDescent="0.25">
      <c r="A6209" s="515">
        <v>80002</v>
      </c>
      <c r="B6209" s="515" t="s">
        <v>401</v>
      </c>
      <c r="C6209" s="52">
        <v>545393.52804885397</v>
      </c>
      <c r="D6209" s="56">
        <v>2.0262440111950875E-2</v>
      </c>
      <c r="E6209" s="224">
        <v>2084.6574074074001</v>
      </c>
      <c r="F6209" s="515" t="s">
        <v>7436</v>
      </c>
      <c r="G6209" s="52">
        <v>175125.693674821</v>
      </c>
      <c r="H6209" s="56">
        <v>9.9266639793517741E-2</v>
      </c>
      <c r="I6209" s="224" t="s">
        <v>2</v>
      </c>
    </row>
    <row r="6210" spans="1:9" x14ac:dyDescent="0.25">
      <c r="A6210" s="515">
        <v>19027</v>
      </c>
      <c r="B6210" s="515" t="s">
        <v>294</v>
      </c>
      <c r="C6210" s="52">
        <v>355271.00976083399</v>
      </c>
      <c r="D6210" s="56">
        <v>0.10330806611876021</v>
      </c>
      <c r="E6210" s="224">
        <v>1856.25</v>
      </c>
      <c r="F6210" s="515" t="s">
        <v>7437</v>
      </c>
      <c r="G6210" s="52">
        <v>225576.436403322</v>
      </c>
      <c r="H6210" s="56">
        <v>6.7939950740776842E-2</v>
      </c>
      <c r="I6210" s="224" t="s">
        <v>2</v>
      </c>
    </row>
    <row r="6211" spans="1:9" x14ac:dyDescent="0.25">
      <c r="A6211" s="515">
        <v>44147</v>
      </c>
      <c r="B6211" s="515" t="s">
        <v>520</v>
      </c>
      <c r="C6211" s="52">
        <v>337297.56950024999</v>
      </c>
      <c r="D6211" s="56">
        <v>7.6136071465602362E-2</v>
      </c>
      <c r="E6211" s="224" t="s">
        <v>2</v>
      </c>
      <c r="F6211" s="515" t="s">
        <v>7438</v>
      </c>
      <c r="G6211" s="52">
        <v>112156.606730474</v>
      </c>
      <c r="H6211" s="56">
        <v>3.9508010308647104E-2</v>
      </c>
      <c r="I6211" s="224" t="s">
        <v>2</v>
      </c>
    </row>
    <row r="6212" spans="1:9" x14ac:dyDescent="0.25">
      <c r="A6212" s="515">
        <v>27803</v>
      </c>
      <c r="B6212" s="515" t="s">
        <v>1152</v>
      </c>
      <c r="C6212" s="52">
        <v>186012.47687550099</v>
      </c>
      <c r="D6212" s="56">
        <v>0.2126382693997419</v>
      </c>
      <c r="E6212" s="224">
        <v>875</v>
      </c>
      <c r="F6212" s="515" t="s">
        <v>7439</v>
      </c>
      <c r="G6212" s="52">
        <v>621470.77128900494</v>
      </c>
      <c r="H6212" s="56">
        <v>4.5048167385290473E-2</v>
      </c>
      <c r="I6212" s="224" t="s">
        <v>2</v>
      </c>
    </row>
    <row r="6213" spans="1:9" x14ac:dyDescent="0.25">
      <c r="A6213" s="515">
        <v>60805</v>
      </c>
      <c r="B6213" s="515" t="s">
        <v>394</v>
      </c>
      <c r="C6213" s="52">
        <v>247407.306906971</v>
      </c>
      <c r="D6213" s="56">
        <v>5.0628860124179144E-2</v>
      </c>
      <c r="E6213" s="224" t="s">
        <v>2</v>
      </c>
      <c r="F6213" s="515" t="s">
        <v>7440</v>
      </c>
      <c r="G6213" s="52">
        <v>272121.55860374699</v>
      </c>
      <c r="H6213" s="56">
        <v>6.5721944223507814E-2</v>
      </c>
      <c r="I6213" s="224" t="s">
        <v>2</v>
      </c>
    </row>
    <row r="6214" spans="1:9" x14ac:dyDescent="0.25">
      <c r="A6214" s="515">
        <v>57078</v>
      </c>
      <c r="B6214" s="515" t="s">
        <v>874</v>
      </c>
      <c r="C6214" s="52">
        <v>231339.74749087001</v>
      </c>
      <c r="D6214" s="56">
        <v>8.3909768876715654E-2</v>
      </c>
      <c r="E6214" s="224" t="s">
        <v>2</v>
      </c>
      <c r="F6214" s="515" t="s">
        <v>7441</v>
      </c>
      <c r="G6214" s="52">
        <v>339398.27959064202</v>
      </c>
      <c r="H6214" s="56">
        <v>4.250171805747692E-2</v>
      </c>
      <c r="I6214" s="224" t="s">
        <v>2</v>
      </c>
    </row>
    <row r="6215" spans="1:9" x14ac:dyDescent="0.25">
      <c r="A6215" s="515">
        <v>49735</v>
      </c>
      <c r="C6215" s="52">
        <v>205080.146333365</v>
      </c>
      <c r="D6215" s="56">
        <v>6.8487794115670284E-2</v>
      </c>
      <c r="E6215" s="224" t="s">
        <v>2</v>
      </c>
      <c r="F6215" s="515" t="s">
        <v>7442</v>
      </c>
      <c r="G6215" s="52">
        <v>222486.794166098</v>
      </c>
      <c r="H6215" s="56">
        <v>7.4740795488357187E-2</v>
      </c>
      <c r="I6215" s="224" t="s">
        <v>2</v>
      </c>
    </row>
    <row r="6216" spans="1:9" x14ac:dyDescent="0.25">
      <c r="A6216" s="515">
        <v>12508</v>
      </c>
      <c r="B6216" s="515" t="s">
        <v>529</v>
      </c>
      <c r="C6216" s="52">
        <v>439804.61564748001</v>
      </c>
      <c r="D6216" s="56">
        <v>6.4517435620798425E-2</v>
      </c>
      <c r="E6216" s="224">
        <v>2317.3611111111099</v>
      </c>
      <c r="F6216" s="515" t="s">
        <v>7443</v>
      </c>
      <c r="G6216" s="52">
        <v>119869.63933760099</v>
      </c>
      <c r="H6216" s="56">
        <v>-5.1716030665107673E-2</v>
      </c>
      <c r="I6216" s="224" t="s">
        <v>2</v>
      </c>
    </row>
    <row r="6217" spans="1:9" x14ac:dyDescent="0.25">
      <c r="A6217" s="515">
        <v>21078</v>
      </c>
      <c r="B6217" s="515" t="s">
        <v>582</v>
      </c>
      <c r="C6217" s="52">
        <v>351706.04961670202</v>
      </c>
      <c r="D6217" s="56">
        <v>5.856908304570968E-2</v>
      </c>
      <c r="E6217" s="224" t="s">
        <v>2</v>
      </c>
      <c r="F6217" s="515" t="s">
        <v>7444</v>
      </c>
      <c r="G6217" s="52">
        <v>589238.99889309495</v>
      </c>
      <c r="H6217" s="56">
        <v>2.8633292893360546E-2</v>
      </c>
      <c r="I6217" s="224" t="s">
        <v>2</v>
      </c>
    </row>
    <row r="6218" spans="1:9" x14ac:dyDescent="0.25">
      <c r="A6218" s="515">
        <v>74021</v>
      </c>
      <c r="B6218" s="515" t="s">
        <v>348</v>
      </c>
      <c r="C6218" s="52">
        <v>243209.06261964299</v>
      </c>
      <c r="D6218" s="56">
        <v>9.6634355815964842E-2</v>
      </c>
      <c r="E6218" s="224" t="s">
        <v>2</v>
      </c>
      <c r="F6218" s="515" t="s">
        <v>7009</v>
      </c>
      <c r="G6218" s="52">
        <v>444452.478153656</v>
      </c>
      <c r="H6218" s="56">
        <v>6.4749747040081435E-2</v>
      </c>
      <c r="I6218" s="224" t="s">
        <v>2</v>
      </c>
    </row>
    <row r="6219" spans="1:9" x14ac:dyDescent="0.25">
      <c r="A6219" s="515">
        <v>92354</v>
      </c>
      <c r="B6219" s="515" t="s">
        <v>599</v>
      </c>
      <c r="C6219" s="52">
        <v>579255.23080155102</v>
      </c>
      <c r="D6219" s="56">
        <v>5.0947899524816126E-2</v>
      </c>
      <c r="E6219" s="224">
        <v>2466.6666666666601</v>
      </c>
      <c r="F6219" s="515" t="s">
        <v>7445</v>
      </c>
      <c r="G6219" s="52">
        <v>434288.23240584199</v>
      </c>
      <c r="H6219" s="56">
        <v>-1.3288297932368928E-2</v>
      </c>
      <c r="I6219" s="224" t="s">
        <v>2</v>
      </c>
    </row>
    <row r="6220" spans="1:9" x14ac:dyDescent="0.25">
      <c r="A6220" s="515">
        <v>18914</v>
      </c>
      <c r="B6220" s="515" t="s">
        <v>294</v>
      </c>
      <c r="C6220" s="52">
        <v>508918.81226155499</v>
      </c>
      <c r="D6220" s="56">
        <v>7.409608938384922E-2</v>
      </c>
      <c r="E6220" s="224" t="s">
        <v>2</v>
      </c>
      <c r="F6220" s="515" t="s">
        <v>7446</v>
      </c>
      <c r="G6220" s="52">
        <v>355580.658152783</v>
      </c>
      <c r="H6220" s="56">
        <v>1.5552525054939224E-2</v>
      </c>
      <c r="I6220" s="224" t="s">
        <v>2</v>
      </c>
    </row>
    <row r="6221" spans="1:9" x14ac:dyDescent="0.25">
      <c r="A6221" s="515">
        <v>68128</v>
      </c>
      <c r="B6221" s="515" t="s">
        <v>367</v>
      </c>
      <c r="C6221" s="52">
        <v>265987.34617236501</v>
      </c>
      <c r="D6221" s="56">
        <v>6.3631335444571946E-2</v>
      </c>
      <c r="E6221" s="224">
        <v>1225</v>
      </c>
      <c r="F6221" s="515" t="s">
        <v>7447</v>
      </c>
      <c r="G6221" s="52">
        <v>305236.14906975901</v>
      </c>
      <c r="H6221" s="56">
        <v>6.4875136351341831E-2</v>
      </c>
      <c r="I6221" s="224" t="s">
        <v>2</v>
      </c>
    </row>
    <row r="6222" spans="1:9" x14ac:dyDescent="0.25">
      <c r="A6222" s="515">
        <v>44017</v>
      </c>
      <c r="B6222" s="515" t="s">
        <v>520</v>
      </c>
      <c r="C6222" s="52">
        <v>189831.55959629401</v>
      </c>
      <c r="D6222" s="56">
        <v>6.8175389110758142E-2</v>
      </c>
      <c r="E6222" s="224" t="s">
        <v>2</v>
      </c>
      <c r="F6222" s="515" t="s">
        <v>7448</v>
      </c>
      <c r="G6222" s="52">
        <v>134203.87190784799</v>
      </c>
      <c r="H6222" s="56">
        <v>5.5543949944815652E-2</v>
      </c>
      <c r="I6222" s="224" t="s">
        <v>2</v>
      </c>
    </row>
    <row r="6223" spans="1:9" x14ac:dyDescent="0.25">
      <c r="A6223" s="515">
        <v>55803</v>
      </c>
      <c r="B6223" s="515" t="s">
        <v>350</v>
      </c>
      <c r="C6223" s="52">
        <v>299174.08863814297</v>
      </c>
      <c r="D6223" s="56">
        <v>5.3987483001345864E-2</v>
      </c>
      <c r="E6223" s="224" t="s">
        <v>2</v>
      </c>
      <c r="F6223" s="515" t="s">
        <v>7449</v>
      </c>
      <c r="G6223" s="52">
        <v>315220.81049192598</v>
      </c>
      <c r="H6223" s="56">
        <v>4.3312580114282191E-2</v>
      </c>
      <c r="I6223" s="224" t="s">
        <v>2</v>
      </c>
    </row>
    <row r="6224" spans="1:9" x14ac:dyDescent="0.25">
      <c r="A6224" s="515">
        <v>19008</v>
      </c>
      <c r="B6224" s="515" t="s">
        <v>294</v>
      </c>
      <c r="C6224" s="52">
        <v>466687.14199510001</v>
      </c>
      <c r="D6224" s="56">
        <v>6.941305220091884E-2</v>
      </c>
      <c r="E6224" s="224" t="s">
        <v>2</v>
      </c>
      <c r="F6224" s="515" t="s">
        <v>7450</v>
      </c>
      <c r="G6224" s="52">
        <v>139179.96717182</v>
      </c>
      <c r="H6224" s="56">
        <v>4.5888237935928493E-2</v>
      </c>
      <c r="I6224" s="224" t="s">
        <v>2</v>
      </c>
    </row>
    <row r="6225" spans="1:9" x14ac:dyDescent="0.25">
      <c r="A6225" s="515">
        <v>66204</v>
      </c>
      <c r="B6225" s="515" t="s">
        <v>455</v>
      </c>
      <c r="C6225" s="52">
        <v>260153.77796239901</v>
      </c>
      <c r="D6225" s="56">
        <v>7.5481410834763965E-2</v>
      </c>
      <c r="E6225" s="224">
        <v>1466.81734006734</v>
      </c>
      <c r="F6225" s="515" t="s">
        <v>7451</v>
      </c>
      <c r="G6225" s="52">
        <v>81016.179757505699</v>
      </c>
      <c r="H6225" s="56">
        <v>-1.589762596170301E-3</v>
      </c>
      <c r="I6225" s="224" t="s">
        <v>2</v>
      </c>
    </row>
    <row r="6226" spans="1:9" x14ac:dyDescent="0.25">
      <c r="A6226" s="515">
        <v>24523</v>
      </c>
      <c r="B6226" s="515" t="s">
        <v>705</v>
      </c>
      <c r="C6226" s="52">
        <v>225230.37059477001</v>
      </c>
      <c r="D6226" s="56">
        <v>9.6796177347628048E-2</v>
      </c>
      <c r="E6226" s="224" t="s">
        <v>2</v>
      </c>
      <c r="F6226" s="515" t="s">
        <v>7452</v>
      </c>
      <c r="G6226" s="52">
        <v>325345.94412725198</v>
      </c>
      <c r="H6226" s="56">
        <v>8.5554964197489869E-2</v>
      </c>
      <c r="I6226" s="224" t="s">
        <v>2</v>
      </c>
    </row>
    <row r="6227" spans="1:9" x14ac:dyDescent="0.25">
      <c r="A6227" s="515">
        <v>44830</v>
      </c>
      <c r="B6227" s="515" t="s">
        <v>463</v>
      </c>
      <c r="C6227" s="52">
        <v>115093.64609940301</v>
      </c>
      <c r="D6227" s="56">
        <v>7.8907966999492596E-2</v>
      </c>
      <c r="E6227" s="224" t="s">
        <v>2</v>
      </c>
      <c r="F6227" s="515" t="s">
        <v>7453</v>
      </c>
      <c r="G6227" s="52">
        <v>438139.26781630202</v>
      </c>
      <c r="H6227" s="56">
        <v>1.9417138044908775E-2</v>
      </c>
      <c r="I6227" s="224" t="s">
        <v>2</v>
      </c>
    </row>
    <row r="6228" spans="1:9" x14ac:dyDescent="0.25">
      <c r="A6228" s="515">
        <v>74129</v>
      </c>
      <c r="B6228" s="515" t="s">
        <v>348</v>
      </c>
      <c r="C6228" s="52">
        <v>165875.09515503899</v>
      </c>
      <c r="D6228" s="56">
        <v>0.11593335131694618</v>
      </c>
      <c r="E6228" s="224" t="s">
        <v>2</v>
      </c>
      <c r="F6228" s="515" t="s">
        <v>7454</v>
      </c>
      <c r="G6228" s="52">
        <v>183926.75848545399</v>
      </c>
      <c r="H6228" s="56">
        <v>7.9062427621738887E-2</v>
      </c>
      <c r="I6228" s="224" t="s">
        <v>2</v>
      </c>
    </row>
    <row r="6229" spans="1:9" x14ac:dyDescent="0.25">
      <c r="A6229" s="515">
        <v>85607</v>
      </c>
      <c r="B6229" s="515" t="s">
        <v>374</v>
      </c>
      <c r="C6229" s="52">
        <v>143901.50820740499</v>
      </c>
      <c r="D6229" s="56">
        <v>7.154502639456739E-2</v>
      </c>
      <c r="E6229" s="224" t="s">
        <v>2</v>
      </c>
      <c r="F6229" s="515" t="s">
        <v>7455</v>
      </c>
      <c r="G6229" s="52">
        <v>204391.83569522601</v>
      </c>
      <c r="H6229" s="56">
        <v>0.13463921594285366</v>
      </c>
      <c r="I6229" s="224" t="s">
        <v>2</v>
      </c>
    </row>
    <row r="6230" spans="1:9" x14ac:dyDescent="0.25">
      <c r="A6230" s="515">
        <v>48334</v>
      </c>
      <c r="B6230" s="515" t="s">
        <v>685</v>
      </c>
      <c r="C6230" s="52">
        <v>306520.89670355502</v>
      </c>
      <c r="D6230" s="56">
        <v>5.6731670090777356E-2</v>
      </c>
      <c r="E6230" s="224">
        <v>1606.25</v>
      </c>
      <c r="F6230" s="515" t="s">
        <v>7456</v>
      </c>
      <c r="G6230" s="52">
        <v>323727.444642018</v>
      </c>
      <c r="H6230" s="56">
        <v>9.8205069643032952E-2</v>
      </c>
      <c r="I6230" s="224" t="s">
        <v>2</v>
      </c>
    </row>
    <row r="6231" spans="1:9" x14ac:dyDescent="0.25">
      <c r="A6231" s="515">
        <v>1581</v>
      </c>
      <c r="B6231" s="515" t="s">
        <v>751</v>
      </c>
      <c r="C6231" s="52">
        <v>631775.88755745697</v>
      </c>
      <c r="D6231" s="56">
        <v>4.9912539730359126E-2</v>
      </c>
      <c r="E6231" s="224">
        <v>2282</v>
      </c>
      <c r="F6231" s="515" t="s">
        <v>7457</v>
      </c>
      <c r="G6231" s="52">
        <v>267474.51214712899</v>
      </c>
      <c r="H6231" s="56">
        <v>9.2623024759251896E-2</v>
      </c>
      <c r="I6231" s="224">
        <v>1880.8333333333301</v>
      </c>
    </row>
    <row r="6232" spans="1:9" x14ac:dyDescent="0.25">
      <c r="A6232" s="515">
        <v>6105</v>
      </c>
      <c r="B6232" s="515" t="s">
        <v>894</v>
      </c>
      <c r="C6232" s="52">
        <v>133165.685178413</v>
      </c>
      <c r="D6232" s="56">
        <v>0.19586273923012937</v>
      </c>
      <c r="E6232" s="224" t="s">
        <v>2</v>
      </c>
      <c r="F6232" s="515" t="s">
        <v>7458</v>
      </c>
      <c r="G6232" s="52">
        <v>671028.06726452999</v>
      </c>
      <c r="H6232" s="56">
        <v>8.0793627934955439E-2</v>
      </c>
      <c r="I6232" s="224" t="s">
        <v>2</v>
      </c>
    </row>
    <row r="6233" spans="1:9" x14ac:dyDescent="0.25">
      <c r="A6233" s="515">
        <v>22205</v>
      </c>
      <c r="B6233" s="515" t="s">
        <v>321</v>
      </c>
      <c r="C6233" s="52">
        <v>1000114.44659211</v>
      </c>
      <c r="D6233" s="56">
        <v>3.8519584873134324E-2</v>
      </c>
      <c r="E6233" s="224">
        <v>2862.5</v>
      </c>
      <c r="F6233" s="515" t="s">
        <v>7459</v>
      </c>
      <c r="G6233" s="52">
        <v>217408.29613716301</v>
      </c>
      <c r="H6233" s="56">
        <v>0.13881134155970254</v>
      </c>
      <c r="I6233" s="224" t="s">
        <v>2</v>
      </c>
    </row>
    <row r="6234" spans="1:9" x14ac:dyDescent="0.25">
      <c r="A6234" s="515">
        <v>46319</v>
      </c>
      <c r="B6234" s="515" t="s">
        <v>394</v>
      </c>
      <c r="C6234" s="52">
        <v>218643.130749718</v>
      </c>
      <c r="D6234" s="56">
        <v>7.1674229349341673E-2</v>
      </c>
      <c r="E6234" s="224" t="s">
        <v>2</v>
      </c>
      <c r="F6234" s="515" t="s">
        <v>7460</v>
      </c>
      <c r="G6234" s="52">
        <v>116883.106123456</v>
      </c>
      <c r="H6234" s="56">
        <v>-5.8516476777281265E-2</v>
      </c>
      <c r="I6234" s="224" t="s">
        <v>2</v>
      </c>
    </row>
    <row r="6235" spans="1:9" x14ac:dyDescent="0.25">
      <c r="A6235" s="515">
        <v>49010</v>
      </c>
      <c r="B6235" s="515" t="s">
        <v>856</v>
      </c>
      <c r="C6235" s="52">
        <v>212739.75021312601</v>
      </c>
      <c r="D6235" s="56">
        <v>7.4569997567833959E-2</v>
      </c>
      <c r="E6235" s="224" t="s">
        <v>2</v>
      </c>
      <c r="F6235" s="515" t="s">
        <v>7461</v>
      </c>
      <c r="G6235" s="52">
        <v>702566.69634930801</v>
      </c>
      <c r="H6235" s="56">
        <v>-4.0516944557301825E-3</v>
      </c>
      <c r="I6235" s="224">
        <v>2126.6666666666601</v>
      </c>
    </row>
    <row r="6236" spans="1:9" x14ac:dyDescent="0.25">
      <c r="A6236" s="515">
        <v>49091</v>
      </c>
      <c r="B6236" s="515" t="s">
        <v>892</v>
      </c>
      <c r="C6236" s="52">
        <v>170822.90547388801</v>
      </c>
      <c r="D6236" s="56">
        <v>4.4131287071566293E-2</v>
      </c>
      <c r="E6236" s="224" t="s">
        <v>2</v>
      </c>
      <c r="F6236" s="515" t="s">
        <v>7462</v>
      </c>
      <c r="G6236" s="52">
        <v>241875.335923509</v>
      </c>
      <c r="H6236" s="56">
        <v>0.12303678651765086</v>
      </c>
      <c r="I6236" s="224" t="s">
        <v>2</v>
      </c>
    </row>
    <row r="6237" spans="1:9" x14ac:dyDescent="0.25">
      <c r="A6237" s="515">
        <v>27518</v>
      </c>
      <c r="B6237" s="515" t="s">
        <v>484</v>
      </c>
      <c r="C6237" s="52">
        <v>638320.00779964798</v>
      </c>
      <c r="D6237" s="56">
        <v>7.0064585121929562E-2</v>
      </c>
      <c r="E6237" s="224">
        <v>1646.2361111111099</v>
      </c>
      <c r="F6237" s="515" t="s">
        <v>7463</v>
      </c>
      <c r="G6237" s="52">
        <v>771531.74244189402</v>
      </c>
      <c r="H6237" s="56">
        <v>0.1231046583716827</v>
      </c>
      <c r="I6237" s="224" t="s">
        <v>2</v>
      </c>
    </row>
    <row r="6238" spans="1:9" x14ac:dyDescent="0.25">
      <c r="A6238" s="515">
        <v>1776</v>
      </c>
      <c r="B6238" s="515" t="s">
        <v>534</v>
      </c>
      <c r="C6238" s="52">
        <v>978264.78867195698</v>
      </c>
      <c r="D6238" s="56">
        <v>7.8433309506679982E-2</v>
      </c>
      <c r="E6238" s="224" t="s">
        <v>2</v>
      </c>
      <c r="F6238" s="515" t="s">
        <v>7464</v>
      </c>
      <c r="G6238" s="52">
        <v>947699.50379512995</v>
      </c>
      <c r="H6238" s="56">
        <v>8.0079933476166931E-2</v>
      </c>
      <c r="I6238" s="224" t="s">
        <v>2</v>
      </c>
    </row>
    <row r="6239" spans="1:9" x14ac:dyDescent="0.25">
      <c r="A6239" s="515">
        <v>71055</v>
      </c>
      <c r="B6239" s="515" t="s">
        <v>1093</v>
      </c>
      <c r="C6239" s="52">
        <v>98135.731273080295</v>
      </c>
      <c r="D6239" s="56">
        <v>3.5888652157729455E-2</v>
      </c>
      <c r="E6239" s="224" t="s">
        <v>2</v>
      </c>
      <c r="F6239" s="515" t="s">
        <v>7465</v>
      </c>
      <c r="G6239" s="52">
        <v>415434.45461384399</v>
      </c>
      <c r="H6239" s="56">
        <v>5.7275220379980028E-2</v>
      </c>
      <c r="I6239" s="224" t="s">
        <v>2</v>
      </c>
    </row>
    <row r="6240" spans="1:9" x14ac:dyDescent="0.25">
      <c r="A6240" s="515">
        <v>65810</v>
      </c>
      <c r="B6240" s="515" t="s">
        <v>603</v>
      </c>
      <c r="C6240" s="52">
        <v>308188.82630401099</v>
      </c>
      <c r="D6240" s="56">
        <v>8.4074271178472021E-2</v>
      </c>
      <c r="E6240" s="224">
        <v>1541.6666666666599</v>
      </c>
      <c r="F6240" s="515" t="s">
        <v>7466</v>
      </c>
      <c r="G6240" s="52">
        <v>205543.531949864</v>
      </c>
      <c r="H6240" s="56">
        <v>6.4708566473016427E-2</v>
      </c>
      <c r="I6240" s="224" t="s">
        <v>2</v>
      </c>
    </row>
    <row r="6241" spans="1:9" x14ac:dyDescent="0.25">
      <c r="A6241" s="515">
        <v>46816</v>
      </c>
      <c r="B6241" s="515" t="s">
        <v>1031</v>
      </c>
      <c r="C6241" s="52">
        <v>166892.926888569</v>
      </c>
      <c r="D6241" s="56">
        <v>7.847680721948283E-2</v>
      </c>
      <c r="E6241" s="224" t="s">
        <v>2</v>
      </c>
      <c r="F6241" s="515" t="s">
        <v>7467</v>
      </c>
      <c r="G6241" s="52">
        <v>297979.45289433998</v>
      </c>
      <c r="H6241" s="56">
        <v>1.7432307618527976E-2</v>
      </c>
      <c r="I6241" s="224">
        <v>1695.8333333333301</v>
      </c>
    </row>
    <row r="6242" spans="1:9" x14ac:dyDescent="0.25">
      <c r="A6242" s="515">
        <v>30308</v>
      </c>
      <c r="B6242" s="515" t="s">
        <v>957</v>
      </c>
      <c r="C6242" s="52">
        <v>352851.26931925601</v>
      </c>
      <c r="D6242" s="56">
        <v>1.2784656771368265E-2</v>
      </c>
      <c r="E6242" s="224">
        <v>2002.62466772993</v>
      </c>
      <c r="F6242" s="515" t="s">
        <v>7468</v>
      </c>
      <c r="G6242" s="52">
        <v>266159.29435714998</v>
      </c>
      <c r="H6242" s="56">
        <v>3.5820830572906741E-2</v>
      </c>
      <c r="I6242" s="224" t="s">
        <v>2</v>
      </c>
    </row>
    <row r="6243" spans="1:9" x14ac:dyDescent="0.25">
      <c r="A6243" s="515">
        <v>55441</v>
      </c>
      <c r="B6243" s="515" t="s">
        <v>532</v>
      </c>
      <c r="C6243" s="52">
        <v>412020.85286314698</v>
      </c>
      <c r="D6243" s="56">
        <v>4.2121995644756202E-2</v>
      </c>
      <c r="E6243" s="224">
        <v>1767.05555555555</v>
      </c>
      <c r="F6243" s="515" t="s">
        <v>7469</v>
      </c>
      <c r="G6243" s="52">
        <v>97941.196555068804</v>
      </c>
      <c r="H6243" s="56">
        <v>0.19956203139254206</v>
      </c>
      <c r="I6243" s="224" t="s">
        <v>2</v>
      </c>
    </row>
    <row r="6244" spans="1:9" x14ac:dyDescent="0.25">
      <c r="A6244" s="515">
        <v>53226</v>
      </c>
      <c r="B6244" s="515" t="s">
        <v>950</v>
      </c>
      <c r="C6244" s="52">
        <v>311417.64631418098</v>
      </c>
      <c r="D6244" s="56">
        <v>4.1874180536441465E-2</v>
      </c>
      <c r="E6244" s="224">
        <v>1295</v>
      </c>
      <c r="F6244" s="515" t="s">
        <v>7470</v>
      </c>
      <c r="G6244" s="52">
        <v>614690.073999719</v>
      </c>
      <c r="H6244" s="56">
        <v>8.3460909195833599E-2</v>
      </c>
      <c r="I6244" s="224" t="s">
        <v>2</v>
      </c>
    </row>
    <row r="6245" spans="1:9" x14ac:dyDescent="0.25">
      <c r="A6245" s="515">
        <v>2888</v>
      </c>
      <c r="B6245" s="515" t="s">
        <v>513</v>
      </c>
      <c r="C6245" s="52">
        <v>332628.39172251301</v>
      </c>
      <c r="D6245" s="56">
        <v>8.3810644154802771E-2</v>
      </c>
      <c r="E6245" s="224" t="s">
        <v>2</v>
      </c>
      <c r="F6245" s="515" t="s">
        <v>7471</v>
      </c>
      <c r="G6245" s="52">
        <v>233576.329831949</v>
      </c>
      <c r="H6245" s="56">
        <v>2.1670774043743148E-2</v>
      </c>
      <c r="I6245" s="224" t="s">
        <v>2</v>
      </c>
    </row>
    <row r="6246" spans="1:9" x14ac:dyDescent="0.25">
      <c r="A6246" s="515">
        <v>61364</v>
      </c>
      <c r="B6246" s="515" t="s">
        <v>556</v>
      </c>
      <c r="C6246" s="52">
        <v>82149.517860678607</v>
      </c>
      <c r="D6246" s="56">
        <v>5.3686899267051807E-2</v>
      </c>
      <c r="E6246" s="224" t="s">
        <v>2</v>
      </c>
      <c r="F6246" s="515" t="s">
        <v>7472</v>
      </c>
      <c r="G6246" s="52">
        <v>350279.49300045701</v>
      </c>
      <c r="H6246" s="56">
        <v>4.5503810358049297E-2</v>
      </c>
      <c r="I6246" s="224" t="s">
        <v>2</v>
      </c>
    </row>
    <row r="6247" spans="1:9" x14ac:dyDescent="0.25">
      <c r="A6247" s="515">
        <v>44333</v>
      </c>
      <c r="B6247" s="515" t="s">
        <v>1000</v>
      </c>
      <c r="C6247" s="52">
        <v>345476.07756844</v>
      </c>
      <c r="D6247" s="56">
        <v>7.0085767581987216E-2</v>
      </c>
      <c r="E6247" s="224" t="s">
        <v>2</v>
      </c>
      <c r="F6247" s="515" t="s">
        <v>7473</v>
      </c>
      <c r="G6247" s="52">
        <v>198573.52030862201</v>
      </c>
      <c r="H6247" s="56">
        <v>8.1647511487350069E-2</v>
      </c>
      <c r="I6247" s="224" t="s">
        <v>2</v>
      </c>
    </row>
    <row r="6248" spans="1:9" x14ac:dyDescent="0.25">
      <c r="A6248" s="515">
        <v>53022</v>
      </c>
      <c r="B6248" s="515" t="s">
        <v>950</v>
      </c>
      <c r="C6248" s="52">
        <v>345481.753560777</v>
      </c>
      <c r="D6248" s="56">
        <v>2.4404955166054957E-2</v>
      </c>
      <c r="E6248" s="224" t="s">
        <v>2</v>
      </c>
      <c r="F6248" s="515" t="s">
        <v>7474</v>
      </c>
      <c r="G6248" s="52">
        <v>135120.698315149</v>
      </c>
      <c r="H6248" s="56">
        <v>0.20496697212679399</v>
      </c>
      <c r="I6248" s="224" t="s">
        <v>2</v>
      </c>
    </row>
    <row r="6249" spans="1:9" x14ac:dyDescent="0.25">
      <c r="A6249" s="515">
        <v>34747</v>
      </c>
      <c r="B6249" s="515" t="s">
        <v>517</v>
      </c>
      <c r="C6249" s="52">
        <v>466343.159867118</v>
      </c>
      <c r="D6249" s="56">
        <v>0.13858778765126703</v>
      </c>
      <c r="E6249" s="224">
        <v>2044.33180544945</v>
      </c>
      <c r="F6249" s="515" t="s">
        <v>7475</v>
      </c>
      <c r="G6249" s="52">
        <v>957125.102559814</v>
      </c>
      <c r="H6249" s="56">
        <v>5.8232520923752001E-2</v>
      </c>
      <c r="I6249" s="224" t="s">
        <v>2</v>
      </c>
    </row>
    <row r="6250" spans="1:9" x14ac:dyDescent="0.25">
      <c r="A6250" s="515">
        <v>77551</v>
      </c>
      <c r="B6250" s="515" t="s">
        <v>314</v>
      </c>
      <c r="C6250" s="52">
        <v>268555.925471658</v>
      </c>
      <c r="D6250" s="56">
        <v>0.14282766712004016</v>
      </c>
      <c r="E6250" s="224">
        <v>1272.9841269841199</v>
      </c>
      <c r="F6250" s="515" t="s">
        <v>7476</v>
      </c>
      <c r="G6250" s="52">
        <v>562140.94014102197</v>
      </c>
      <c r="H6250" s="56">
        <v>0.1430497694832451</v>
      </c>
      <c r="I6250" s="224">
        <v>2650.2833333333301</v>
      </c>
    </row>
    <row r="6251" spans="1:9" x14ac:dyDescent="0.25">
      <c r="A6251" s="515">
        <v>40361</v>
      </c>
      <c r="B6251" s="515" t="s">
        <v>515</v>
      </c>
      <c r="C6251" s="52">
        <v>199997.308397463</v>
      </c>
      <c r="D6251" s="56">
        <v>8.0273187756165654E-2</v>
      </c>
      <c r="E6251" s="224" t="s">
        <v>2</v>
      </c>
      <c r="F6251" s="515" t="s">
        <v>7477</v>
      </c>
      <c r="G6251" s="52">
        <v>144470.30382173101</v>
      </c>
      <c r="H6251" s="56">
        <v>7.8802093168016701E-2</v>
      </c>
      <c r="I6251" s="224" t="s">
        <v>2</v>
      </c>
    </row>
    <row r="6252" spans="1:9" x14ac:dyDescent="0.25">
      <c r="A6252" s="515">
        <v>8110</v>
      </c>
      <c r="B6252" s="515" t="s">
        <v>294</v>
      </c>
      <c r="C6252" s="52">
        <v>207442.61512051799</v>
      </c>
      <c r="D6252" s="56">
        <v>9.369463771067417E-2</v>
      </c>
      <c r="E6252" s="224" t="s">
        <v>2</v>
      </c>
      <c r="F6252" s="515" t="s">
        <v>7478</v>
      </c>
      <c r="G6252" s="52">
        <v>179836.026031691</v>
      </c>
      <c r="H6252" s="56">
        <v>5.3578728297845775E-2</v>
      </c>
      <c r="I6252" s="224" t="s">
        <v>2</v>
      </c>
    </row>
    <row r="6253" spans="1:9" x14ac:dyDescent="0.25">
      <c r="A6253" s="515">
        <v>46733</v>
      </c>
      <c r="B6253" s="515" t="s">
        <v>1166</v>
      </c>
      <c r="C6253" s="52">
        <v>179928.729990022</v>
      </c>
      <c r="D6253" s="56">
        <v>7.5084747880688057E-2</v>
      </c>
      <c r="E6253" s="224" t="s">
        <v>2</v>
      </c>
      <c r="F6253" s="515" t="s">
        <v>7479</v>
      </c>
      <c r="G6253" s="52">
        <v>139995.711832489</v>
      </c>
      <c r="H6253" s="56">
        <v>-3.5603302392774643E-2</v>
      </c>
      <c r="I6253" s="224" t="s">
        <v>2</v>
      </c>
    </row>
    <row r="6254" spans="1:9" x14ac:dyDescent="0.25">
      <c r="A6254" s="515">
        <v>7503</v>
      </c>
      <c r="B6254" s="515" t="s">
        <v>324</v>
      </c>
      <c r="C6254" s="52">
        <v>419647.40307350497</v>
      </c>
      <c r="D6254" s="56">
        <v>7.9609331942497488E-2</v>
      </c>
      <c r="E6254" s="224" t="s">
        <v>2</v>
      </c>
      <c r="F6254" s="515" t="s">
        <v>7480</v>
      </c>
      <c r="G6254" s="52">
        <v>246703.94628519501</v>
      </c>
      <c r="H6254" s="56">
        <v>8.786917797763949E-2</v>
      </c>
      <c r="I6254" s="224" t="s">
        <v>2</v>
      </c>
    </row>
    <row r="6255" spans="1:9" x14ac:dyDescent="0.25">
      <c r="A6255" s="515">
        <v>95367</v>
      </c>
      <c r="B6255" s="515" t="s">
        <v>797</v>
      </c>
      <c r="C6255" s="52">
        <v>444407.48355496803</v>
      </c>
      <c r="D6255" s="56">
        <v>4.4130334665390472E-2</v>
      </c>
      <c r="E6255" s="224" t="s">
        <v>2</v>
      </c>
      <c r="F6255" s="515" t="s">
        <v>7481</v>
      </c>
      <c r="G6255" s="52">
        <v>218740.41344188401</v>
      </c>
      <c r="H6255" s="56">
        <v>0.11272143504761001</v>
      </c>
      <c r="I6255" s="224" t="s">
        <v>2</v>
      </c>
    </row>
    <row r="6256" spans="1:9" x14ac:dyDescent="0.25">
      <c r="A6256" s="515">
        <v>90814</v>
      </c>
      <c r="B6256" s="515" t="s">
        <v>375</v>
      </c>
      <c r="C6256" s="52">
        <v>862940.55151297897</v>
      </c>
      <c r="D6256" s="56">
        <v>-1.0939783285080239E-2</v>
      </c>
      <c r="E6256" s="224">
        <v>2216.3425925925899</v>
      </c>
      <c r="F6256" s="515" t="s">
        <v>7482</v>
      </c>
      <c r="G6256" s="52">
        <v>184603.24209812901</v>
      </c>
      <c r="H6256" s="56">
        <v>7.9743823026913851E-2</v>
      </c>
      <c r="I6256" s="224" t="s">
        <v>2</v>
      </c>
    </row>
    <row r="6257" spans="1:9" x14ac:dyDescent="0.25">
      <c r="A6257" s="515">
        <v>53012</v>
      </c>
      <c r="B6257" s="515" t="s">
        <v>950</v>
      </c>
      <c r="C6257" s="52">
        <v>398713.44866946299</v>
      </c>
      <c r="D6257" s="56">
        <v>4.0677771204068271E-2</v>
      </c>
      <c r="E6257" s="224" t="s">
        <v>2</v>
      </c>
      <c r="F6257" s="515" t="s">
        <v>7483</v>
      </c>
      <c r="G6257" s="52">
        <v>227189.31509397301</v>
      </c>
      <c r="H6257" s="56">
        <v>6.8096545982554074E-2</v>
      </c>
      <c r="I6257" s="224" t="s">
        <v>2</v>
      </c>
    </row>
    <row r="6258" spans="1:9" x14ac:dyDescent="0.25">
      <c r="A6258" s="515">
        <v>23704</v>
      </c>
      <c r="B6258" s="515" t="s">
        <v>301</v>
      </c>
      <c r="C6258" s="52">
        <v>201348.06687117799</v>
      </c>
      <c r="D6258" s="56">
        <v>0.12512591096484174</v>
      </c>
      <c r="E6258" s="224">
        <v>1434.7857142857099</v>
      </c>
      <c r="F6258" s="515" t="s">
        <v>7484</v>
      </c>
      <c r="G6258" s="52">
        <v>422553.59353767801</v>
      </c>
      <c r="H6258" s="56">
        <v>5.0710164416422149E-2</v>
      </c>
      <c r="I6258" s="224">
        <v>2092.3333333333298</v>
      </c>
    </row>
    <row r="6259" spans="1:9" x14ac:dyDescent="0.25">
      <c r="A6259" s="515">
        <v>44055</v>
      </c>
      <c r="B6259" s="515" t="s">
        <v>520</v>
      </c>
      <c r="C6259" s="52">
        <v>98396.268986367504</v>
      </c>
      <c r="D6259" s="56">
        <v>0.15663212564294934</v>
      </c>
      <c r="E6259" s="224">
        <v>750</v>
      </c>
      <c r="F6259" s="515" t="s">
        <v>7485</v>
      </c>
      <c r="G6259" s="52">
        <v>497300.50148688001</v>
      </c>
      <c r="H6259" s="56">
        <v>8.6133929216012164E-2</v>
      </c>
      <c r="I6259" s="224" t="s">
        <v>2</v>
      </c>
    </row>
    <row r="6260" spans="1:9" x14ac:dyDescent="0.25">
      <c r="A6260" s="515">
        <v>89161</v>
      </c>
      <c r="B6260" s="515" t="s">
        <v>323</v>
      </c>
      <c r="C6260" s="52">
        <v>1015900.8994831101</v>
      </c>
      <c r="D6260" s="56">
        <v>0.10218777922926965</v>
      </c>
      <c r="E6260" s="224" t="s">
        <v>2</v>
      </c>
      <c r="F6260" s="515" t="s">
        <v>7486</v>
      </c>
      <c r="G6260" s="52">
        <v>375084.84914312698</v>
      </c>
      <c r="H6260" s="56">
        <v>7.6557577376494615E-2</v>
      </c>
      <c r="I6260" s="224" t="s">
        <v>2</v>
      </c>
    </row>
    <row r="6261" spans="1:9" x14ac:dyDescent="0.25">
      <c r="A6261" s="515">
        <v>1742</v>
      </c>
      <c r="B6261" s="515" t="s">
        <v>534</v>
      </c>
      <c r="C6261" s="52">
        <v>1203857.6689009001</v>
      </c>
      <c r="D6261" s="56">
        <v>5.461780224872842E-2</v>
      </c>
      <c r="E6261" s="224" t="s">
        <v>2</v>
      </c>
      <c r="F6261" s="515" t="s">
        <v>7487</v>
      </c>
      <c r="G6261" s="52">
        <v>238907.42233083499</v>
      </c>
      <c r="H6261" s="56">
        <v>6.5836906113524718E-2</v>
      </c>
      <c r="I6261" s="224" t="s">
        <v>2</v>
      </c>
    </row>
    <row r="6262" spans="1:9" x14ac:dyDescent="0.25">
      <c r="A6262" s="515">
        <v>47710</v>
      </c>
      <c r="B6262" s="515" t="s">
        <v>911</v>
      </c>
      <c r="C6262" s="52">
        <v>132985.38774065999</v>
      </c>
      <c r="D6262" s="56">
        <v>9.2769176964298997E-2</v>
      </c>
      <c r="E6262" s="224">
        <v>625</v>
      </c>
      <c r="F6262" s="515" t="s">
        <v>7488</v>
      </c>
      <c r="G6262" s="52">
        <v>174168.56334777499</v>
      </c>
      <c r="H6262" s="56">
        <v>0.16609139041725568</v>
      </c>
      <c r="I6262" s="224">
        <v>1146.6507936507901</v>
      </c>
    </row>
    <row r="6263" spans="1:9" x14ac:dyDescent="0.25">
      <c r="A6263" s="515">
        <v>42025</v>
      </c>
      <c r="C6263" s="52">
        <v>145088.66099969501</v>
      </c>
      <c r="D6263" s="56">
        <v>6.4992913605397107E-2</v>
      </c>
      <c r="E6263" s="224" t="s">
        <v>2</v>
      </c>
      <c r="F6263" s="515" t="s">
        <v>7489</v>
      </c>
      <c r="G6263" s="52">
        <v>585510.37121786806</v>
      </c>
      <c r="H6263" s="56">
        <v>7.8527242910271286E-2</v>
      </c>
      <c r="I6263" s="224" t="s">
        <v>2</v>
      </c>
    </row>
    <row r="6264" spans="1:9" x14ac:dyDescent="0.25">
      <c r="A6264" s="515">
        <v>95959</v>
      </c>
      <c r="B6264" s="515" t="s">
        <v>387</v>
      </c>
      <c r="C6264" s="52">
        <v>536982.88055746804</v>
      </c>
      <c r="D6264" s="56">
        <v>-3.0863120398018404E-2</v>
      </c>
      <c r="E6264" s="224" t="s">
        <v>2</v>
      </c>
      <c r="F6264" s="515" t="s">
        <v>7490</v>
      </c>
      <c r="G6264" s="52">
        <v>234285.26653675301</v>
      </c>
      <c r="H6264" s="56">
        <v>9.1706597363454115E-2</v>
      </c>
      <c r="I6264" s="224" t="s">
        <v>2</v>
      </c>
    </row>
    <row r="6265" spans="1:9" x14ac:dyDescent="0.25">
      <c r="A6265" s="515">
        <v>18020</v>
      </c>
      <c r="B6265" s="515" t="s">
        <v>327</v>
      </c>
      <c r="C6265" s="52">
        <v>349129.68511300301</v>
      </c>
      <c r="D6265" s="56">
        <v>8.2166729575977218E-2</v>
      </c>
      <c r="E6265" s="224" t="s">
        <v>2</v>
      </c>
      <c r="F6265" s="515" t="s">
        <v>7491</v>
      </c>
      <c r="G6265" s="52">
        <v>233374.78176979299</v>
      </c>
      <c r="H6265" s="56">
        <v>0</v>
      </c>
      <c r="I6265" s="224" t="s">
        <v>2</v>
      </c>
    </row>
    <row r="6266" spans="1:9" x14ac:dyDescent="0.25">
      <c r="A6266" s="515">
        <v>79336</v>
      </c>
      <c r="B6266" s="515" t="s">
        <v>434</v>
      </c>
      <c r="C6266" s="52">
        <v>137584.17220959999</v>
      </c>
      <c r="D6266" s="56">
        <v>-1.310017901481399E-2</v>
      </c>
      <c r="E6266" s="224" t="s">
        <v>2</v>
      </c>
      <c r="F6266" s="515" t="s">
        <v>7492</v>
      </c>
      <c r="G6266" s="52">
        <v>743324.10839506099</v>
      </c>
      <c r="H6266" s="56">
        <v>0.11928040100074017</v>
      </c>
      <c r="I6266" s="224" t="s">
        <v>2</v>
      </c>
    </row>
    <row r="6267" spans="1:9" x14ac:dyDescent="0.25">
      <c r="A6267" s="515">
        <v>33711</v>
      </c>
      <c r="B6267" s="515" t="s">
        <v>461</v>
      </c>
      <c r="C6267" s="52">
        <v>279779.88676255802</v>
      </c>
      <c r="D6267" s="56">
        <v>0.1845242405318436</v>
      </c>
      <c r="E6267" s="224">
        <v>1976.25396825396</v>
      </c>
      <c r="F6267" s="515" t="s">
        <v>7493</v>
      </c>
      <c r="G6267" s="52">
        <v>157154.73952845001</v>
      </c>
      <c r="H6267" s="56">
        <v>0.14530313260402483</v>
      </c>
      <c r="I6267" s="224" t="s">
        <v>2</v>
      </c>
    </row>
    <row r="6268" spans="1:9" x14ac:dyDescent="0.25">
      <c r="A6268" s="515">
        <v>19473</v>
      </c>
      <c r="B6268" s="515" t="s">
        <v>294</v>
      </c>
      <c r="C6268" s="52">
        <v>448250.58406352199</v>
      </c>
      <c r="D6268" s="56">
        <v>0.118118502099009</v>
      </c>
      <c r="E6268" s="224" t="s">
        <v>2</v>
      </c>
      <c r="F6268" s="515" t="s">
        <v>7494</v>
      </c>
      <c r="G6268" s="52">
        <v>167557.387089342</v>
      </c>
      <c r="H6268" s="56">
        <v>0.18669754077824799</v>
      </c>
      <c r="I6268" s="224" t="s">
        <v>2</v>
      </c>
    </row>
    <row r="6269" spans="1:9" x14ac:dyDescent="0.25">
      <c r="A6269" s="515">
        <v>93103</v>
      </c>
      <c r="B6269" s="515" t="s">
        <v>847</v>
      </c>
      <c r="C6269" s="52">
        <v>1462620.83931778</v>
      </c>
      <c r="D6269" s="56">
        <v>3.5179899302865296E-2</v>
      </c>
      <c r="E6269" s="224">
        <v>3841.6666666666601</v>
      </c>
      <c r="F6269" s="515" t="s">
        <v>7495</v>
      </c>
      <c r="G6269" s="52">
        <v>432516.400599588</v>
      </c>
      <c r="H6269" s="56">
        <v>0.10339320833876724</v>
      </c>
      <c r="I6269" s="224" t="s">
        <v>2</v>
      </c>
    </row>
    <row r="6270" spans="1:9" x14ac:dyDescent="0.25">
      <c r="A6270" s="515">
        <v>53597</v>
      </c>
      <c r="B6270" s="515" t="s">
        <v>727</v>
      </c>
      <c r="C6270" s="52">
        <v>476001.763651905</v>
      </c>
      <c r="D6270" s="56">
        <v>6.3898862704179979E-2</v>
      </c>
      <c r="E6270" s="224" t="s">
        <v>2</v>
      </c>
      <c r="F6270" s="515" t="s">
        <v>7496</v>
      </c>
      <c r="G6270" s="52">
        <v>142093.65388165801</v>
      </c>
      <c r="H6270" s="56">
        <v>0.22815537444145456</v>
      </c>
      <c r="I6270" s="224" t="s">
        <v>2</v>
      </c>
    </row>
    <row r="6271" spans="1:9" x14ac:dyDescent="0.25">
      <c r="A6271" s="515">
        <v>2818</v>
      </c>
      <c r="B6271" s="515" t="s">
        <v>513</v>
      </c>
      <c r="C6271" s="52">
        <v>582714.49688059697</v>
      </c>
      <c r="D6271" s="56">
        <v>0.11534102157952977</v>
      </c>
      <c r="E6271" s="224" t="s">
        <v>2</v>
      </c>
      <c r="F6271" s="515" t="s">
        <v>7497</v>
      </c>
      <c r="G6271" s="52">
        <v>213815.90236659499</v>
      </c>
      <c r="H6271" s="56">
        <v>1.434496863536202E-2</v>
      </c>
      <c r="I6271" s="224" t="s">
        <v>2</v>
      </c>
    </row>
    <row r="6272" spans="1:9" x14ac:dyDescent="0.25">
      <c r="A6272" s="515">
        <v>47265</v>
      </c>
      <c r="B6272" s="515" t="s">
        <v>526</v>
      </c>
      <c r="C6272" s="52">
        <v>171308.61045646601</v>
      </c>
      <c r="D6272" s="56">
        <v>6.3133098469456778E-2</v>
      </c>
      <c r="E6272" s="224" t="s">
        <v>2</v>
      </c>
      <c r="F6272" s="515" t="s">
        <v>7498</v>
      </c>
      <c r="G6272" s="52">
        <v>597326.39080059796</v>
      </c>
      <c r="H6272" s="56">
        <v>7.1414784863715094E-2</v>
      </c>
      <c r="I6272" s="224" t="s">
        <v>2</v>
      </c>
    </row>
    <row r="6273" spans="1:9" x14ac:dyDescent="0.25">
      <c r="A6273" s="515">
        <v>19422</v>
      </c>
      <c r="B6273" s="515" t="s">
        <v>294</v>
      </c>
      <c r="C6273" s="52">
        <v>570245.88854979805</v>
      </c>
      <c r="D6273" s="56">
        <v>0.11912603767216175</v>
      </c>
      <c r="E6273" s="224">
        <v>2374.25</v>
      </c>
      <c r="F6273" s="515" t="s">
        <v>7499</v>
      </c>
      <c r="G6273" s="52">
        <v>564314.261536501</v>
      </c>
      <c r="H6273" s="56">
        <v>4.1595811643705828E-2</v>
      </c>
      <c r="I6273" s="224" t="s">
        <v>2</v>
      </c>
    </row>
    <row r="6274" spans="1:9" x14ac:dyDescent="0.25">
      <c r="A6274" s="515">
        <v>30707</v>
      </c>
      <c r="B6274" s="515" t="s">
        <v>622</v>
      </c>
      <c r="C6274" s="52">
        <v>210539.36028856499</v>
      </c>
      <c r="D6274" s="56">
        <v>9.0913938797354182E-2</v>
      </c>
      <c r="E6274" s="224" t="s">
        <v>2</v>
      </c>
      <c r="F6274" s="515" t="s">
        <v>7500</v>
      </c>
      <c r="G6274" s="52">
        <v>91306.019923308602</v>
      </c>
      <c r="H6274" s="56">
        <v>6.3898184463076671E-2</v>
      </c>
      <c r="I6274" s="224" t="s">
        <v>2</v>
      </c>
    </row>
    <row r="6275" spans="1:9" x14ac:dyDescent="0.25">
      <c r="A6275" s="515">
        <v>70125</v>
      </c>
      <c r="B6275" s="515" t="s">
        <v>777</v>
      </c>
      <c r="C6275" s="52">
        <v>355213.39440556802</v>
      </c>
      <c r="D6275" s="56">
        <v>8.3978083461181425E-3</v>
      </c>
      <c r="E6275" s="224">
        <v>1631.3428571428501</v>
      </c>
      <c r="F6275" s="515" t="s">
        <v>7501</v>
      </c>
      <c r="G6275" s="52">
        <v>412354.029859795</v>
      </c>
      <c r="H6275" s="56">
        <v>5.656095492057113E-2</v>
      </c>
      <c r="I6275" s="224" t="s">
        <v>2</v>
      </c>
    </row>
    <row r="6276" spans="1:9" x14ac:dyDescent="0.25">
      <c r="A6276" s="515">
        <v>6850</v>
      </c>
      <c r="B6276" s="515" t="s">
        <v>1173</v>
      </c>
      <c r="C6276" s="52">
        <v>498127.92975897802</v>
      </c>
      <c r="D6276" s="56">
        <v>6.2970025015227082E-2</v>
      </c>
      <c r="E6276" s="224">
        <v>2308.1428571428501</v>
      </c>
      <c r="F6276" s="515" t="s">
        <v>7502</v>
      </c>
      <c r="G6276" s="52">
        <v>216631.25089969701</v>
      </c>
      <c r="H6276" s="56">
        <v>6.8159480046506599E-2</v>
      </c>
      <c r="I6276" s="224" t="s">
        <v>2</v>
      </c>
    </row>
    <row r="6277" spans="1:9" x14ac:dyDescent="0.25">
      <c r="A6277" s="515">
        <v>34117</v>
      </c>
      <c r="B6277" s="515" t="s">
        <v>365</v>
      </c>
      <c r="C6277" s="52">
        <v>507231.95144193101</v>
      </c>
      <c r="D6277" s="56">
        <v>9.2169409820067355E-2</v>
      </c>
      <c r="E6277" s="224">
        <v>3420</v>
      </c>
      <c r="F6277" s="515" t="s">
        <v>7503</v>
      </c>
      <c r="G6277" s="52">
        <v>468623.83909869299</v>
      </c>
      <c r="H6277" s="56">
        <v>7.3839623646656305E-2</v>
      </c>
      <c r="I6277" s="224" t="s">
        <v>2</v>
      </c>
    </row>
    <row r="6278" spans="1:9" x14ac:dyDescent="0.25">
      <c r="A6278" s="515">
        <v>6615</v>
      </c>
      <c r="B6278" s="515" t="s">
        <v>1173</v>
      </c>
      <c r="C6278" s="52">
        <v>323016.68276155298</v>
      </c>
      <c r="D6278" s="56">
        <v>0.11581626154663162</v>
      </c>
      <c r="E6278" s="224">
        <v>1925.55555555555</v>
      </c>
      <c r="F6278" s="515" t="s">
        <v>7504</v>
      </c>
      <c r="G6278" s="52">
        <v>275404.71920242597</v>
      </c>
      <c r="H6278" s="56">
        <v>4.0103452647775949E-2</v>
      </c>
      <c r="I6278" s="224" t="s">
        <v>2</v>
      </c>
    </row>
    <row r="6279" spans="1:9" x14ac:dyDescent="0.25">
      <c r="A6279" s="515">
        <v>10605</v>
      </c>
      <c r="B6279" s="515" t="s">
        <v>324</v>
      </c>
      <c r="C6279" s="52">
        <v>813186.45055744005</v>
      </c>
      <c r="D6279" s="56">
        <v>5.2852182266442942E-2</v>
      </c>
      <c r="E6279" s="224">
        <v>2150</v>
      </c>
      <c r="F6279" s="515" t="s">
        <v>7505</v>
      </c>
      <c r="G6279" s="52">
        <v>91761.600747735007</v>
      </c>
      <c r="H6279" s="56">
        <v>8.9763620146122061E-2</v>
      </c>
      <c r="I6279" s="224" t="s">
        <v>2</v>
      </c>
    </row>
    <row r="6280" spans="1:9" x14ac:dyDescent="0.25">
      <c r="A6280" s="515">
        <v>10543</v>
      </c>
      <c r="B6280" s="515" t="s">
        <v>324</v>
      </c>
      <c r="C6280" s="52">
        <v>862929.64721528301</v>
      </c>
      <c r="D6280" s="56">
        <v>1.307562750032428E-2</v>
      </c>
      <c r="E6280" s="224">
        <v>2808.3333333333298</v>
      </c>
      <c r="F6280" s="515" t="s">
        <v>7506</v>
      </c>
      <c r="G6280" s="52">
        <v>215160.18492169399</v>
      </c>
      <c r="H6280" s="56">
        <v>7.4081702780906727E-2</v>
      </c>
      <c r="I6280" s="224" t="s">
        <v>2</v>
      </c>
    </row>
    <row r="6281" spans="1:9" x14ac:dyDescent="0.25">
      <c r="A6281" s="515">
        <v>84098</v>
      </c>
      <c r="B6281" s="515" t="s">
        <v>502</v>
      </c>
      <c r="C6281" s="52">
        <v>1303407.6483724201</v>
      </c>
      <c r="D6281" s="56">
        <v>3.9364993746166685E-2</v>
      </c>
      <c r="E6281" s="224">
        <v>4262.5</v>
      </c>
      <c r="F6281" s="515" t="s">
        <v>7507</v>
      </c>
      <c r="G6281" s="52">
        <v>367975.40464739798</v>
      </c>
      <c r="H6281" s="56">
        <v>9.2948798674559727E-2</v>
      </c>
      <c r="I6281" s="224" t="s">
        <v>2</v>
      </c>
    </row>
    <row r="6282" spans="1:9" x14ac:dyDescent="0.25">
      <c r="A6282" s="515">
        <v>78382</v>
      </c>
      <c r="B6282" s="515" t="s">
        <v>456</v>
      </c>
      <c r="C6282" s="52">
        <v>313528.624285992</v>
      </c>
      <c r="D6282" s="56">
        <v>7.5838840895205775E-2</v>
      </c>
      <c r="E6282" s="224" t="s">
        <v>2</v>
      </c>
      <c r="F6282" s="515" t="s">
        <v>7508</v>
      </c>
      <c r="G6282" s="52">
        <v>113297.663041384</v>
      </c>
      <c r="H6282" s="56">
        <v>4.384969335018845E-2</v>
      </c>
      <c r="I6282" s="224" t="s">
        <v>2</v>
      </c>
    </row>
    <row r="6283" spans="1:9" x14ac:dyDescent="0.25">
      <c r="A6283" s="515">
        <v>2536</v>
      </c>
      <c r="B6283" s="515" t="s">
        <v>427</v>
      </c>
      <c r="C6283" s="52">
        <v>589829.32273345999</v>
      </c>
      <c r="D6283" s="56">
        <v>0.12086879274761769</v>
      </c>
      <c r="E6283" s="224" t="s">
        <v>2</v>
      </c>
      <c r="F6283" s="515" t="s">
        <v>7509</v>
      </c>
      <c r="G6283" s="52">
        <v>318711.69974433602</v>
      </c>
      <c r="H6283" s="56">
        <v>8.4515357447286193E-2</v>
      </c>
      <c r="I6283" s="224" t="s">
        <v>2</v>
      </c>
    </row>
    <row r="6284" spans="1:9" x14ac:dyDescent="0.25">
      <c r="A6284" s="515">
        <v>53121</v>
      </c>
      <c r="B6284" s="515" t="s">
        <v>1089</v>
      </c>
      <c r="C6284" s="52">
        <v>304473.51232853997</v>
      </c>
      <c r="D6284" s="56">
        <v>5.511150475220658E-2</v>
      </c>
      <c r="E6284" s="224" t="s">
        <v>2</v>
      </c>
      <c r="F6284" s="515" t="s">
        <v>7510</v>
      </c>
      <c r="G6284" s="52">
        <v>179378.70084166701</v>
      </c>
      <c r="H6284" s="56">
        <v>0.1011335103221276</v>
      </c>
      <c r="I6284" s="224" t="s">
        <v>2</v>
      </c>
    </row>
    <row r="6285" spans="1:9" x14ac:dyDescent="0.25">
      <c r="A6285" s="515">
        <v>45344</v>
      </c>
      <c r="B6285" s="515" t="s">
        <v>398</v>
      </c>
      <c r="C6285" s="52">
        <v>170405.987563751</v>
      </c>
      <c r="D6285" s="56">
        <v>8.5738740211145581E-2</v>
      </c>
      <c r="E6285" s="224" t="s">
        <v>2</v>
      </c>
      <c r="F6285" s="515" t="s">
        <v>7511</v>
      </c>
      <c r="G6285" s="52">
        <v>167696.06514800401</v>
      </c>
      <c r="H6285" s="56">
        <v>3.0034945320284227E-2</v>
      </c>
      <c r="I6285" s="224" t="s">
        <v>2</v>
      </c>
    </row>
    <row r="6286" spans="1:9" x14ac:dyDescent="0.25">
      <c r="A6286" s="515">
        <v>27576</v>
      </c>
      <c r="B6286" s="515" t="s">
        <v>484</v>
      </c>
      <c r="C6286" s="52">
        <v>240547.67127424901</v>
      </c>
      <c r="D6286" s="56">
        <v>0.15788264561363693</v>
      </c>
      <c r="E6286" s="224" t="s">
        <v>2</v>
      </c>
      <c r="F6286" s="515" t="s">
        <v>7512</v>
      </c>
      <c r="G6286" s="52">
        <v>217416.71282048401</v>
      </c>
      <c r="H6286" s="56">
        <v>7.3660524202128125E-2</v>
      </c>
      <c r="I6286" s="224" t="s">
        <v>2</v>
      </c>
    </row>
    <row r="6287" spans="1:9" x14ac:dyDescent="0.25">
      <c r="A6287" s="515">
        <v>83647</v>
      </c>
      <c r="B6287" s="515" t="s">
        <v>885</v>
      </c>
      <c r="C6287" s="52">
        <v>325936.06485144701</v>
      </c>
      <c r="D6287" s="56">
        <v>1.2202795835464044E-2</v>
      </c>
      <c r="E6287" s="224">
        <v>1250</v>
      </c>
      <c r="F6287" s="515" t="s">
        <v>7513</v>
      </c>
      <c r="G6287" s="52">
        <v>221915.69571179699</v>
      </c>
      <c r="H6287" s="56">
        <v>9.7377557779235402E-2</v>
      </c>
      <c r="I6287" s="224" t="s">
        <v>2</v>
      </c>
    </row>
    <row r="6288" spans="1:9" x14ac:dyDescent="0.25">
      <c r="A6288" s="515">
        <v>7746</v>
      </c>
      <c r="B6288" s="515" t="s">
        <v>324</v>
      </c>
      <c r="C6288" s="52">
        <v>719177.18068233901</v>
      </c>
      <c r="D6288" s="56">
        <v>7.5026016461376743E-2</v>
      </c>
      <c r="E6288" s="224" t="s">
        <v>2</v>
      </c>
      <c r="F6288" s="515" t="s">
        <v>7514</v>
      </c>
      <c r="G6288" s="52">
        <v>325765.23722423299</v>
      </c>
      <c r="H6288" s="56">
        <v>9.8449523104420358E-2</v>
      </c>
      <c r="I6288" s="224" t="s">
        <v>2</v>
      </c>
    </row>
    <row r="6289" spans="1:9" x14ac:dyDescent="0.25">
      <c r="A6289" s="515">
        <v>1904</v>
      </c>
      <c r="B6289" s="515" t="s">
        <v>534</v>
      </c>
      <c r="C6289" s="52">
        <v>516936.72382541298</v>
      </c>
      <c r="D6289" s="56">
        <v>4.3297579198999292E-2</v>
      </c>
      <c r="E6289" s="224" t="s">
        <v>2</v>
      </c>
      <c r="F6289" s="515" t="s">
        <v>7515</v>
      </c>
      <c r="G6289" s="52">
        <v>454193.04632976098</v>
      </c>
      <c r="H6289" s="56">
        <v>2.1713370225316966E-2</v>
      </c>
      <c r="I6289" s="224" t="s">
        <v>2</v>
      </c>
    </row>
    <row r="6290" spans="1:9" x14ac:dyDescent="0.25">
      <c r="A6290" s="515">
        <v>48879</v>
      </c>
      <c r="B6290" s="515" t="s">
        <v>528</v>
      </c>
      <c r="C6290" s="52">
        <v>223844.37124880301</v>
      </c>
      <c r="D6290" s="56">
        <v>7.0206014040166506E-2</v>
      </c>
      <c r="E6290" s="224" t="s">
        <v>2</v>
      </c>
      <c r="F6290" s="515" t="s">
        <v>7516</v>
      </c>
      <c r="G6290" s="52">
        <v>77151.971392337902</v>
      </c>
      <c r="H6290" s="56">
        <v>-3.3235846283707814E-2</v>
      </c>
      <c r="I6290" s="224" t="s">
        <v>2</v>
      </c>
    </row>
    <row r="6291" spans="1:9" x14ac:dyDescent="0.25">
      <c r="A6291" s="515">
        <v>32401</v>
      </c>
      <c r="B6291" s="515" t="s">
        <v>1160</v>
      </c>
      <c r="C6291" s="52">
        <v>196352.98827497801</v>
      </c>
      <c r="D6291" s="56">
        <v>0.21794634208403046</v>
      </c>
      <c r="E6291" s="224">
        <v>1576.1111111111099</v>
      </c>
      <c r="F6291" s="515" t="s">
        <v>7517</v>
      </c>
      <c r="G6291" s="52">
        <v>299028.24790523201</v>
      </c>
      <c r="H6291" s="56">
        <v>3.3556814338532463E-2</v>
      </c>
      <c r="I6291" s="224" t="s">
        <v>2</v>
      </c>
    </row>
    <row r="6292" spans="1:9" x14ac:dyDescent="0.25">
      <c r="A6292" s="515">
        <v>55744</v>
      </c>
      <c r="B6292" s="515" t="s">
        <v>590</v>
      </c>
      <c r="C6292" s="52">
        <v>210492.80383624599</v>
      </c>
      <c r="D6292" s="56">
        <v>5.6798761111397159E-2</v>
      </c>
      <c r="E6292" s="224" t="s">
        <v>2</v>
      </c>
      <c r="F6292" s="515" t="s">
        <v>7518</v>
      </c>
      <c r="G6292" s="52">
        <v>519197.111016215</v>
      </c>
      <c r="H6292" s="56">
        <v>7.0487960736496352E-2</v>
      </c>
      <c r="I6292" s="224" t="s">
        <v>2</v>
      </c>
    </row>
    <row r="6293" spans="1:9" x14ac:dyDescent="0.25">
      <c r="A6293" s="515">
        <v>19073</v>
      </c>
      <c r="B6293" s="515" t="s">
        <v>294</v>
      </c>
      <c r="C6293" s="52">
        <v>597580.985315489</v>
      </c>
      <c r="D6293" s="56">
        <v>6.0769000037764531E-2</v>
      </c>
      <c r="E6293" s="224" t="s">
        <v>2</v>
      </c>
      <c r="F6293" s="515" t="s">
        <v>7519</v>
      </c>
      <c r="G6293" s="52">
        <v>248029.81958468599</v>
      </c>
      <c r="H6293" s="56">
        <v>8.6955292426514924E-2</v>
      </c>
      <c r="I6293" s="224" t="s">
        <v>2</v>
      </c>
    </row>
    <row r="6294" spans="1:9" x14ac:dyDescent="0.25">
      <c r="A6294" s="515">
        <v>92586</v>
      </c>
      <c r="B6294" s="515" t="s">
        <v>599</v>
      </c>
      <c r="C6294" s="52">
        <v>389372.56800611701</v>
      </c>
      <c r="D6294" s="56">
        <v>5.3553648481245157E-2</v>
      </c>
      <c r="E6294" s="224" t="s">
        <v>2</v>
      </c>
      <c r="F6294" s="515" t="s">
        <v>7520</v>
      </c>
      <c r="G6294" s="52">
        <v>825352.46626063099</v>
      </c>
      <c r="H6294" s="56">
        <v>7.4957857349716259E-2</v>
      </c>
      <c r="I6294" s="224" t="s">
        <v>2</v>
      </c>
    </row>
    <row r="6295" spans="1:9" x14ac:dyDescent="0.25">
      <c r="A6295" s="515">
        <v>29307</v>
      </c>
      <c r="B6295" s="515" t="s">
        <v>447</v>
      </c>
      <c r="C6295" s="52">
        <v>226069.30770142499</v>
      </c>
      <c r="D6295" s="56">
        <v>0.1405622542450552</v>
      </c>
      <c r="E6295" s="224">
        <v>1147.5</v>
      </c>
      <c r="F6295" s="515" t="s">
        <v>7521</v>
      </c>
      <c r="G6295" s="52">
        <v>144723.18673796501</v>
      </c>
      <c r="H6295" s="56">
        <v>0.21423810474409732</v>
      </c>
      <c r="I6295" s="224" t="s">
        <v>2</v>
      </c>
    </row>
    <row r="6296" spans="1:9" x14ac:dyDescent="0.25">
      <c r="A6296" s="515">
        <v>76031</v>
      </c>
      <c r="B6296" s="515" t="s">
        <v>458</v>
      </c>
      <c r="C6296" s="52">
        <v>243618.927926342</v>
      </c>
      <c r="D6296" s="56">
        <v>8.6930885756151058E-2</v>
      </c>
      <c r="E6296" s="224" t="s">
        <v>2</v>
      </c>
      <c r="F6296" s="515" t="s">
        <v>7522</v>
      </c>
      <c r="G6296" s="52">
        <v>1004798.83320217</v>
      </c>
      <c r="H6296" s="56">
        <v>7.0247372341551789E-2</v>
      </c>
      <c r="I6296" s="224" t="s">
        <v>2</v>
      </c>
    </row>
    <row r="6297" spans="1:9" x14ac:dyDescent="0.25">
      <c r="A6297" s="515">
        <v>46012</v>
      </c>
      <c r="B6297" s="515" t="s">
        <v>403</v>
      </c>
      <c r="C6297" s="52">
        <v>156938.20117515101</v>
      </c>
      <c r="D6297" s="56">
        <v>8.0822342777409836E-2</v>
      </c>
      <c r="E6297" s="224" t="s">
        <v>2</v>
      </c>
      <c r="F6297" s="515" t="s">
        <v>7523</v>
      </c>
      <c r="G6297" s="52">
        <v>110372.420953291</v>
      </c>
      <c r="H6297" s="56">
        <v>0.18802548116430456</v>
      </c>
      <c r="I6297" s="224" t="s">
        <v>2</v>
      </c>
    </row>
    <row r="6298" spans="1:9" x14ac:dyDescent="0.25">
      <c r="A6298" s="515">
        <v>79015</v>
      </c>
      <c r="B6298" s="515" t="s">
        <v>869</v>
      </c>
      <c r="C6298" s="52">
        <v>257941.59137387</v>
      </c>
      <c r="D6298" s="56">
        <v>7.1021758493123324E-2</v>
      </c>
      <c r="E6298" s="224">
        <v>1034.7222222222199</v>
      </c>
      <c r="F6298" s="515" t="s">
        <v>7524</v>
      </c>
      <c r="G6298" s="52">
        <v>499350.10538656899</v>
      </c>
      <c r="H6298" s="56">
        <v>-7.3726804697315899E-3</v>
      </c>
      <c r="I6298" s="224" t="s">
        <v>2</v>
      </c>
    </row>
    <row r="6299" spans="1:9" x14ac:dyDescent="0.25">
      <c r="A6299" s="515">
        <v>18013</v>
      </c>
      <c r="B6299" s="515" t="s">
        <v>327</v>
      </c>
      <c r="C6299" s="52">
        <v>259146.57624147399</v>
      </c>
      <c r="D6299" s="56">
        <v>0.10212072066818711</v>
      </c>
      <c r="E6299" s="224" t="s">
        <v>2</v>
      </c>
      <c r="F6299" s="515" t="s">
        <v>7525</v>
      </c>
      <c r="G6299" s="52">
        <v>535688.50699297898</v>
      </c>
      <c r="H6299" s="56">
        <v>2.4529260451453826E-2</v>
      </c>
      <c r="I6299" s="224" t="s">
        <v>2</v>
      </c>
    </row>
    <row r="6300" spans="1:9" x14ac:dyDescent="0.25">
      <c r="A6300" s="515">
        <v>32024</v>
      </c>
      <c r="B6300" s="515" t="s">
        <v>1045</v>
      </c>
      <c r="C6300" s="52">
        <v>284788.752907658</v>
      </c>
      <c r="D6300" s="56">
        <v>0.11390546658919012</v>
      </c>
      <c r="E6300" s="224" t="s">
        <v>2</v>
      </c>
      <c r="F6300" s="515" t="s">
        <v>7526</v>
      </c>
      <c r="G6300" s="52">
        <v>192718.681306527</v>
      </c>
      <c r="H6300" s="56">
        <v>6.9387556074754594E-2</v>
      </c>
      <c r="I6300" s="224" t="s">
        <v>2</v>
      </c>
    </row>
    <row r="6301" spans="1:9" x14ac:dyDescent="0.25">
      <c r="A6301" s="515">
        <v>7095</v>
      </c>
      <c r="B6301" s="515" t="s">
        <v>324</v>
      </c>
      <c r="C6301" s="52">
        <v>369047.79914409399</v>
      </c>
      <c r="D6301" s="56">
        <v>5.0400488354228529E-2</v>
      </c>
      <c r="E6301" s="224" t="s">
        <v>2</v>
      </c>
      <c r="F6301" s="515" t="s">
        <v>7527</v>
      </c>
      <c r="G6301" s="52">
        <v>281284.15156941302</v>
      </c>
      <c r="H6301" s="56">
        <v>8.9312467026548117E-2</v>
      </c>
      <c r="I6301" s="224" t="s">
        <v>2</v>
      </c>
    </row>
    <row r="6302" spans="1:9" x14ac:dyDescent="0.25">
      <c r="A6302" s="515">
        <v>25414</v>
      </c>
      <c r="B6302" s="515" t="s">
        <v>321</v>
      </c>
      <c r="C6302" s="52">
        <v>359632.712855238</v>
      </c>
      <c r="D6302" s="56">
        <v>6.8482377465691094E-2</v>
      </c>
      <c r="E6302" s="224" t="s">
        <v>2</v>
      </c>
      <c r="F6302" s="515" t="s">
        <v>7528</v>
      </c>
      <c r="G6302" s="52">
        <v>233165.20128824399</v>
      </c>
      <c r="H6302" s="56">
        <v>0</v>
      </c>
      <c r="I6302" s="224" t="s">
        <v>2</v>
      </c>
    </row>
    <row r="6303" spans="1:9" x14ac:dyDescent="0.25">
      <c r="A6303" s="515">
        <v>79414</v>
      </c>
      <c r="B6303" s="515" t="s">
        <v>354</v>
      </c>
      <c r="C6303" s="52">
        <v>154735.83220069701</v>
      </c>
      <c r="D6303" s="56">
        <v>0.10922825860596219</v>
      </c>
      <c r="E6303" s="224">
        <v>1152</v>
      </c>
      <c r="F6303" s="515" t="s">
        <v>7529</v>
      </c>
      <c r="G6303" s="52">
        <v>404527.83316057001</v>
      </c>
      <c r="H6303" s="56">
        <v>4.0280874584570525E-2</v>
      </c>
      <c r="I6303" s="224" t="s">
        <v>2</v>
      </c>
    </row>
    <row r="6304" spans="1:9" x14ac:dyDescent="0.25">
      <c r="A6304" s="515">
        <v>6107</v>
      </c>
      <c r="B6304" s="515" t="s">
        <v>894</v>
      </c>
      <c r="C6304" s="52">
        <v>447421.53621790197</v>
      </c>
      <c r="D6304" s="56">
        <v>9.0812931242840331E-2</v>
      </c>
      <c r="E6304" s="224">
        <v>2316.25</v>
      </c>
      <c r="F6304" s="515" t="s">
        <v>7530</v>
      </c>
      <c r="G6304" s="52">
        <v>204864.69518698801</v>
      </c>
      <c r="H6304" s="56">
        <v>3.6209181929243023E-2</v>
      </c>
      <c r="I6304" s="224" t="s">
        <v>2</v>
      </c>
    </row>
    <row r="6305" spans="1:9" x14ac:dyDescent="0.25">
      <c r="A6305" s="515">
        <v>76308</v>
      </c>
      <c r="B6305" s="515" t="s">
        <v>328</v>
      </c>
      <c r="C6305" s="52">
        <v>196053.13540843999</v>
      </c>
      <c r="D6305" s="56">
        <v>9.2730200593634335E-2</v>
      </c>
      <c r="E6305" s="224">
        <v>962.5</v>
      </c>
      <c r="F6305" s="515" t="s">
        <v>7531</v>
      </c>
      <c r="G6305" s="52">
        <v>451150.20257517701</v>
      </c>
      <c r="H6305" s="56">
        <v>1.7927324169096818E-2</v>
      </c>
      <c r="I6305" s="224" t="s">
        <v>2</v>
      </c>
    </row>
    <row r="6306" spans="1:9" x14ac:dyDescent="0.25">
      <c r="A6306" s="515">
        <v>60093</v>
      </c>
      <c r="B6306" s="515" t="s">
        <v>394</v>
      </c>
      <c r="C6306" s="52">
        <v>1087790.6021988301</v>
      </c>
      <c r="D6306" s="56">
        <v>9.6154591006879356E-2</v>
      </c>
      <c r="E6306" s="224">
        <v>2025</v>
      </c>
      <c r="F6306" s="515" t="s">
        <v>7532</v>
      </c>
      <c r="G6306" s="52">
        <v>563412.19792265596</v>
      </c>
      <c r="H6306" s="56">
        <v>5.573847234712561E-2</v>
      </c>
      <c r="I6306" s="224" t="s">
        <v>2</v>
      </c>
    </row>
    <row r="6307" spans="1:9" x14ac:dyDescent="0.25">
      <c r="A6307" s="515">
        <v>52245</v>
      </c>
      <c r="B6307" s="515" t="s">
        <v>587</v>
      </c>
      <c r="C6307" s="52">
        <v>287139.42820226098</v>
      </c>
      <c r="D6307" s="56">
        <v>4.7498653008913559E-2</v>
      </c>
      <c r="E6307" s="224">
        <v>1521.2323232323199</v>
      </c>
      <c r="F6307" s="515" t="s">
        <v>7533</v>
      </c>
      <c r="G6307" s="52">
        <v>755992.92352951004</v>
      </c>
      <c r="H6307" s="56">
        <v>6.6111686492577121E-2</v>
      </c>
      <c r="I6307" s="224">
        <v>3139</v>
      </c>
    </row>
    <row r="6308" spans="1:9" x14ac:dyDescent="0.25">
      <c r="A6308" s="515">
        <v>67205</v>
      </c>
      <c r="B6308" s="515" t="s">
        <v>485</v>
      </c>
      <c r="C6308" s="52">
        <v>340670.48542939598</v>
      </c>
      <c r="D6308" s="56">
        <v>5.5733797906201227E-2</v>
      </c>
      <c r="E6308" s="224" t="s">
        <v>2</v>
      </c>
      <c r="F6308" s="515" t="s">
        <v>7534</v>
      </c>
      <c r="G6308" s="52">
        <v>222825.09562292401</v>
      </c>
      <c r="H6308" s="56">
        <v>0.15742576875933567</v>
      </c>
      <c r="I6308" s="224" t="s">
        <v>2</v>
      </c>
    </row>
    <row r="6309" spans="1:9" x14ac:dyDescent="0.25">
      <c r="A6309" s="515">
        <v>70520</v>
      </c>
      <c r="B6309" s="515" t="s">
        <v>1004</v>
      </c>
      <c r="C6309" s="52">
        <v>187438.43590639401</v>
      </c>
      <c r="D6309" s="56">
        <v>4.7324421781362438E-2</v>
      </c>
      <c r="E6309" s="224" t="s">
        <v>2</v>
      </c>
      <c r="F6309" s="515" t="s">
        <v>7535</v>
      </c>
      <c r="G6309" s="52">
        <v>77745.177095040606</v>
      </c>
      <c r="H6309" s="56">
        <v>1.1018446724542845E-2</v>
      </c>
      <c r="I6309" s="224" t="s">
        <v>2</v>
      </c>
    </row>
    <row r="6310" spans="1:9" x14ac:dyDescent="0.25">
      <c r="A6310" s="515">
        <v>34285</v>
      </c>
      <c r="B6310" s="515" t="s">
        <v>466</v>
      </c>
      <c r="C6310" s="52">
        <v>452582.13370749401</v>
      </c>
      <c r="D6310" s="56">
        <v>0.15778696417956256</v>
      </c>
      <c r="E6310" s="224">
        <v>2690</v>
      </c>
      <c r="F6310" s="515" t="s">
        <v>7536</v>
      </c>
      <c r="G6310" s="52">
        <v>718356.49815212796</v>
      </c>
      <c r="H6310" s="56">
        <v>3.5809363909135083E-2</v>
      </c>
      <c r="I6310" s="224" t="s">
        <v>2</v>
      </c>
    </row>
    <row r="6311" spans="1:9" x14ac:dyDescent="0.25">
      <c r="A6311" s="515">
        <v>55431</v>
      </c>
      <c r="B6311" s="515" t="s">
        <v>532</v>
      </c>
      <c r="C6311" s="52">
        <v>345045.33938551799</v>
      </c>
      <c r="D6311" s="56">
        <v>3.198955611473079E-2</v>
      </c>
      <c r="E6311" s="224" t="s">
        <v>2</v>
      </c>
      <c r="F6311" s="515" t="s">
        <v>7537</v>
      </c>
      <c r="G6311" s="52">
        <v>393096.11557571898</v>
      </c>
      <c r="H6311" s="56">
        <v>9.2594121064179913E-2</v>
      </c>
      <c r="I6311" s="224" t="s">
        <v>2</v>
      </c>
    </row>
    <row r="6312" spans="1:9" x14ac:dyDescent="0.25">
      <c r="A6312" s="515">
        <v>49058</v>
      </c>
      <c r="C6312" s="52">
        <v>207854.71717133801</v>
      </c>
      <c r="D6312" s="56">
        <v>7.5182384515643977E-2</v>
      </c>
      <c r="E6312" s="224" t="s">
        <v>2</v>
      </c>
      <c r="F6312" s="515" t="s">
        <v>7538</v>
      </c>
      <c r="G6312" s="52">
        <v>124187.30776179599</v>
      </c>
      <c r="H6312" s="56">
        <v>6.4008968003721078E-2</v>
      </c>
      <c r="I6312" s="224" t="s">
        <v>2</v>
      </c>
    </row>
    <row r="6313" spans="1:9" x14ac:dyDescent="0.25">
      <c r="A6313" s="515">
        <v>35674</v>
      </c>
      <c r="B6313" s="515" t="s">
        <v>1100</v>
      </c>
      <c r="C6313" s="52">
        <v>158524.74998352001</v>
      </c>
      <c r="D6313" s="56">
        <v>3.9512290683494988E-2</v>
      </c>
      <c r="E6313" s="224" t="s">
        <v>2</v>
      </c>
      <c r="F6313" s="515" t="s">
        <v>7539</v>
      </c>
      <c r="G6313" s="52">
        <v>166019.196203967</v>
      </c>
      <c r="H6313" s="56">
        <v>5.1787159191103965E-2</v>
      </c>
      <c r="I6313" s="224" t="s">
        <v>2</v>
      </c>
    </row>
    <row r="6314" spans="1:9" x14ac:dyDescent="0.25">
      <c r="A6314" s="515">
        <v>13039</v>
      </c>
      <c r="B6314" s="515" t="s">
        <v>361</v>
      </c>
      <c r="C6314" s="52">
        <v>248240.01243121401</v>
      </c>
      <c r="D6314" s="56">
        <v>9.5732514648168468E-2</v>
      </c>
      <c r="E6314" s="224" t="s">
        <v>2</v>
      </c>
      <c r="F6314" s="515" t="s">
        <v>7540</v>
      </c>
      <c r="G6314" s="52">
        <v>1047691.3786151099</v>
      </c>
      <c r="H6314" s="56">
        <v>-3.461173284665689E-2</v>
      </c>
      <c r="I6314" s="224">
        <v>3400</v>
      </c>
    </row>
    <row r="6315" spans="1:9" x14ac:dyDescent="0.25">
      <c r="A6315" s="515">
        <v>74145</v>
      </c>
      <c r="B6315" s="515" t="s">
        <v>348</v>
      </c>
      <c r="C6315" s="52">
        <v>193614.019347572</v>
      </c>
      <c r="D6315" s="56">
        <v>9.8574408902013688E-2</v>
      </c>
      <c r="E6315" s="224">
        <v>1375</v>
      </c>
      <c r="F6315" s="515" t="s">
        <v>7541</v>
      </c>
      <c r="G6315" s="52">
        <v>219005.66426301899</v>
      </c>
      <c r="H6315" s="56">
        <v>0.16799572157075618</v>
      </c>
      <c r="I6315" s="224" t="s">
        <v>2</v>
      </c>
    </row>
    <row r="6316" spans="1:9" x14ac:dyDescent="0.25">
      <c r="A6316" s="515">
        <v>75142</v>
      </c>
      <c r="B6316" s="515" t="s">
        <v>458</v>
      </c>
      <c r="C6316" s="52">
        <v>271698.804920897</v>
      </c>
      <c r="D6316" s="56">
        <v>5.0910091864273199E-2</v>
      </c>
      <c r="E6316" s="224" t="s">
        <v>2</v>
      </c>
      <c r="F6316" s="515" t="s">
        <v>7542</v>
      </c>
      <c r="G6316" s="52">
        <v>178587.60959181</v>
      </c>
      <c r="H6316" s="56">
        <v>8.6564640206569246E-2</v>
      </c>
      <c r="I6316" s="224" t="s">
        <v>2</v>
      </c>
    </row>
    <row r="6317" spans="1:9" x14ac:dyDescent="0.25">
      <c r="A6317" s="515">
        <v>60104</v>
      </c>
      <c r="B6317" s="515" t="s">
        <v>394</v>
      </c>
      <c r="C6317" s="52">
        <v>210378.097643368</v>
      </c>
      <c r="D6317" s="56">
        <v>8.2183567184312606E-2</v>
      </c>
      <c r="E6317" s="224" t="s">
        <v>2</v>
      </c>
      <c r="F6317" s="515" t="s">
        <v>7543</v>
      </c>
      <c r="G6317" s="52">
        <v>289608.32270813099</v>
      </c>
      <c r="H6317" s="56">
        <v>6.1003551861083215E-2</v>
      </c>
      <c r="I6317" s="224" t="s">
        <v>2</v>
      </c>
    </row>
    <row r="6318" spans="1:9" x14ac:dyDescent="0.25">
      <c r="A6318" s="515">
        <v>80121</v>
      </c>
      <c r="B6318" s="515" t="s">
        <v>401</v>
      </c>
      <c r="C6318" s="52">
        <v>652142.92459280905</v>
      </c>
      <c r="D6318" s="56">
        <v>6.1490638477323606E-3</v>
      </c>
      <c r="E6318" s="224">
        <v>1736.25</v>
      </c>
      <c r="F6318" s="515" t="s">
        <v>499</v>
      </c>
      <c r="G6318" s="52">
        <v>99982.243043978306</v>
      </c>
      <c r="H6318" s="56">
        <v>5.3614326512574417E-2</v>
      </c>
      <c r="I6318" s="224" t="s">
        <v>2</v>
      </c>
    </row>
    <row r="6319" spans="1:9" x14ac:dyDescent="0.25">
      <c r="A6319" s="515">
        <v>18067</v>
      </c>
      <c r="B6319" s="515" t="s">
        <v>327</v>
      </c>
      <c r="C6319" s="52">
        <v>279305.58238696703</v>
      </c>
      <c r="D6319" s="56">
        <v>0.10975646909114704</v>
      </c>
      <c r="E6319" s="224" t="s">
        <v>2</v>
      </c>
      <c r="F6319" s="515" t="s">
        <v>7544</v>
      </c>
      <c r="G6319" s="52">
        <v>253030.85368163401</v>
      </c>
      <c r="H6319" s="56">
        <v>6.686956066962764E-2</v>
      </c>
      <c r="I6319" s="224" t="s">
        <v>2</v>
      </c>
    </row>
    <row r="6320" spans="1:9" x14ac:dyDescent="0.25">
      <c r="A6320" s="515">
        <v>28712</v>
      </c>
      <c r="B6320" s="515" t="s">
        <v>908</v>
      </c>
      <c r="C6320" s="52">
        <v>406334.31851654401</v>
      </c>
      <c r="D6320" s="56">
        <v>0.16225202544399114</v>
      </c>
      <c r="E6320" s="224" t="s">
        <v>2</v>
      </c>
      <c r="F6320" s="515" t="s">
        <v>7545</v>
      </c>
      <c r="G6320" s="52">
        <v>190012.684933871</v>
      </c>
      <c r="H6320" s="56">
        <v>8.0104333886452481E-2</v>
      </c>
      <c r="I6320" s="224" t="s">
        <v>2</v>
      </c>
    </row>
    <row r="6321" spans="1:9" x14ac:dyDescent="0.25">
      <c r="A6321" s="515">
        <v>18603</v>
      </c>
      <c r="B6321" s="515" t="s">
        <v>676</v>
      </c>
      <c r="C6321" s="52">
        <v>152138.76529556699</v>
      </c>
      <c r="D6321" s="56">
        <v>2.8530283573440639E-2</v>
      </c>
      <c r="E6321" s="224" t="s">
        <v>2</v>
      </c>
      <c r="F6321" s="515" t="s">
        <v>7546</v>
      </c>
      <c r="G6321" s="52">
        <v>198613.312275367</v>
      </c>
      <c r="H6321" s="56">
        <v>0.18010680870598894</v>
      </c>
      <c r="I6321" s="224">
        <v>1462.5</v>
      </c>
    </row>
    <row r="6322" spans="1:9" x14ac:dyDescent="0.25">
      <c r="A6322" s="515">
        <v>22124</v>
      </c>
      <c r="B6322" s="515" t="s">
        <v>321</v>
      </c>
      <c r="C6322" s="52">
        <v>922701.48006984196</v>
      </c>
      <c r="D6322" s="56">
        <v>2.7609393599876911E-2</v>
      </c>
      <c r="E6322" s="224">
        <v>3150</v>
      </c>
      <c r="F6322" s="515" t="s">
        <v>7547</v>
      </c>
      <c r="G6322" s="52">
        <v>238822.16005896899</v>
      </c>
      <c r="H6322" s="56">
        <v>9.2333960251061414E-2</v>
      </c>
      <c r="I6322" s="224" t="s">
        <v>2</v>
      </c>
    </row>
    <row r="6323" spans="1:9" x14ac:dyDescent="0.25">
      <c r="A6323" s="515">
        <v>36092</v>
      </c>
      <c r="B6323" s="515" t="s">
        <v>806</v>
      </c>
      <c r="C6323" s="52">
        <v>198333.11550205</v>
      </c>
      <c r="D6323" s="56">
        <v>9.3606688856917433E-2</v>
      </c>
      <c r="E6323" s="224" t="s">
        <v>2</v>
      </c>
      <c r="F6323" s="515" t="s">
        <v>7548</v>
      </c>
      <c r="G6323" s="52">
        <v>224176.46302225499</v>
      </c>
      <c r="H6323" s="56">
        <v>5.6525100868102432E-2</v>
      </c>
      <c r="I6323" s="224" t="s">
        <v>2</v>
      </c>
    </row>
    <row r="6324" spans="1:9" x14ac:dyDescent="0.25">
      <c r="A6324" s="515">
        <v>46250</v>
      </c>
      <c r="B6324" s="515" t="s">
        <v>403</v>
      </c>
      <c r="C6324" s="52">
        <v>295346.14055037702</v>
      </c>
      <c r="D6324" s="56">
        <v>6.9857168049885093E-2</v>
      </c>
      <c r="E6324" s="224" t="s">
        <v>2</v>
      </c>
      <c r="F6324" s="515" t="s">
        <v>7549</v>
      </c>
      <c r="G6324" s="52">
        <v>198528.86683419</v>
      </c>
      <c r="H6324" s="56">
        <v>0.17552762300749697</v>
      </c>
      <c r="I6324" s="224" t="s">
        <v>2</v>
      </c>
    </row>
    <row r="6325" spans="1:9" x14ac:dyDescent="0.25">
      <c r="A6325" s="515">
        <v>19046</v>
      </c>
      <c r="B6325" s="515" t="s">
        <v>294</v>
      </c>
      <c r="C6325" s="52">
        <v>450717.41935888602</v>
      </c>
      <c r="D6325" s="56">
        <v>9.479899847664168E-2</v>
      </c>
      <c r="E6325" s="224">
        <v>1550</v>
      </c>
      <c r="F6325" s="515" t="s">
        <v>7550</v>
      </c>
      <c r="G6325" s="52">
        <v>69940.085769225698</v>
      </c>
      <c r="H6325" s="56">
        <v>7.7417451523670355E-2</v>
      </c>
      <c r="I6325" s="224" t="s">
        <v>2</v>
      </c>
    </row>
    <row r="6326" spans="1:9" x14ac:dyDescent="0.25">
      <c r="A6326" s="515">
        <v>31548</v>
      </c>
      <c r="B6326" s="515" t="s">
        <v>946</v>
      </c>
      <c r="C6326" s="52">
        <v>255132.69441507399</v>
      </c>
      <c r="D6326" s="56">
        <v>0.12228502414139293</v>
      </c>
      <c r="E6326" s="224">
        <v>1706.5277777777701</v>
      </c>
      <c r="F6326" s="515" t="s">
        <v>7551</v>
      </c>
      <c r="G6326" s="52">
        <v>397038.89933513099</v>
      </c>
      <c r="H6326" s="56">
        <v>7.1824752364427105E-2</v>
      </c>
      <c r="I6326" s="224" t="s">
        <v>2</v>
      </c>
    </row>
    <row r="6327" spans="1:9" x14ac:dyDescent="0.25">
      <c r="A6327" s="515">
        <v>27312</v>
      </c>
      <c r="B6327" s="515" t="s">
        <v>467</v>
      </c>
      <c r="C6327" s="52">
        <v>499736.49140054098</v>
      </c>
      <c r="D6327" s="56">
        <v>0.11700208224828218</v>
      </c>
      <c r="E6327" s="224" t="s">
        <v>2</v>
      </c>
      <c r="F6327" s="515" t="s">
        <v>7552</v>
      </c>
      <c r="G6327" s="52">
        <v>868956.30573728203</v>
      </c>
      <c r="H6327" s="56">
        <v>4.8953328355227081E-2</v>
      </c>
      <c r="I6327" s="224" t="s">
        <v>2</v>
      </c>
    </row>
    <row r="6328" spans="1:9" x14ac:dyDescent="0.25">
      <c r="A6328" s="515">
        <v>85748</v>
      </c>
      <c r="B6328" s="515" t="s">
        <v>368</v>
      </c>
      <c r="C6328" s="52">
        <v>357802.14699077798</v>
      </c>
      <c r="D6328" s="56">
        <v>5.9629631048993596E-2</v>
      </c>
      <c r="E6328" s="224">
        <v>1844.3333333333301</v>
      </c>
      <c r="F6328" s="515" t="s">
        <v>7553</v>
      </c>
      <c r="G6328" s="52">
        <v>268366.89936003799</v>
      </c>
      <c r="H6328" s="56">
        <v>8.5048545483536464E-2</v>
      </c>
      <c r="I6328" s="224" t="s">
        <v>2</v>
      </c>
    </row>
    <row r="6329" spans="1:9" x14ac:dyDescent="0.25">
      <c r="A6329" s="515">
        <v>19428</v>
      </c>
      <c r="B6329" s="515" t="s">
        <v>294</v>
      </c>
      <c r="C6329" s="52">
        <v>406268.640537414</v>
      </c>
      <c r="D6329" s="56">
        <v>6.7023300599000246E-2</v>
      </c>
      <c r="E6329" s="224">
        <v>2141.8306878306798</v>
      </c>
      <c r="F6329" s="515" t="s">
        <v>7554</v>
      </c>
      <c r="G6329" s="52">
        <v>149059.48451939301</v>
      </c>
      <c r="H6329" s="56">
        <v>5.3214605570874096E-2</v>
      </c>
      <c r="I6329" s="224" t="s">
        <v>2</v>
      </c>
    </row>
    <row r="6330" spans="1:9" x14ac:dyDescent="0.25">
      <c r="A6330" s="515">
        <v>37321</v>
      </c>
      <c r="B6330" s="515" t="s">
        <v>1079</v>
      </c>
      <c r="C6330" s="52">
        <v>210007.16911422001</v>
      </c>
      <c r="D6330" s="56">
        <v>6.9481941819132198E-2</v>
      </c>
      <c r="E6330" s="224" t="s">
        <v>2</v>
      </c>
      <c r="F6330" s="515" t="s">
        <v>7555</v>
      </c>
      <c r="G6330" s="52">
        <v>249474.42146330999</v>
      </c>
      <c r="H6330" s="56">
        <v>6.7609233231628402E-2</v>
      </c>
      <c r="I6330" s="224" t="s">
        <v>2</v>
      </c>
    </row>
    <row r="6331" spans="1:9" x14ac:dyDescent="0.25">
      <c r="A6331" s="515">
        <v>55102</v>
      </c>
      <c r="B6331" s="515" t="s">
        <v>532</v>
      </c>
      <c r="C6331" s="52">
        <v>262950.25329538301</v>
      </c>
      <c r="D6331" s="56">
        <v>1.6925707822307224E-2</v>
      </c>
      <c r="E6331" s="224">
        <v>1626.42989417989</v>
      </c>
      <c r="F6331" s="515" t="s">
        <v>7556</v>
      </c>
      <c r="G6331" s="52">
        <v>129226.06155529</v>
      </c>
      <c r="H6331" s="56">
        <v>0.20932029959499587</v>
      </c>
      <c r="I6331" s="224" t="s">
        <v>2</v>
      </c>
    </row>
    <row r="6332" spans="1:9" x14ac:dyDescent="0.25">
      <c r="A6332" s="515">
        <v>6226</v>
      </c>
      <c r="B6332" s="515" t="s">
        <v>751</v>
      </c>
      <c r="C6332" s="52">
        <v>209100.52862462099</v>
      </c>
      <c r="D6332" s="56">
        <v>9.1559811381954431E-2</v>
      </c>
      <c r="E6332" s="224">
        <v>2200</v>
      </c>
      <c r="F6332" s="515" t="s">
        <v>7557</v>
      </c>
      <c r="G6332" s="52">
        <v>348377.05337161099</v>
      </c>
      <c r="H6332" s="56">
        <v>5.9943687717978436E-2</v>
      </c>
      <c r="I6332" s="224" t="s">
        <v>2</v>
      </c>
    </row>
    <row r="6333" spans="1:9" x14ac:dyDescent="0.25">
      <c r="A6333" s="515">
        <v>14526</v>
      </c>
      <c r="B6333" s="515" t="s">
        <v>337</v>
      </c>
      <c r="C6333" s="52">
        <v>290875.87170330802</v>
      </c>
      <c r="D6333" s="56">
        <v>5.8715531062989795E-2</v>
      </c>
      <c r="E6333" s="224">
        <v>1685</v>
      </c>
      <c r="F6333" s="515" t="s">
        <v>7558</v>
      </c>
      <c r="G6333" s="52">
        <v>233225.05095415801</v>
      </c>
      <c r="H6333" s="56">
        <v>0.11390544549611667</v>
      </c>
      <c r="I6333" s="224" t="s">
        <v>2</v>
      </c>
    </row>
    <row r="6334" spans="1:9" x14ac:dyDescent="0.25">
      <c r="A6334" s="515">
        <v>55906</v>
      </c>
      <c r="B6334" s="515" t="s">
        <v>470</v>
      </c>
      <c r="C6334" s="52">
        <v>342284.19726453401</v>
      </c>
      <c r="D6334" s="56">
        <v>5.3313947810155561E-2</v>
      </c>
      <c r="E6334" s="224">
        <v>1311.6666666666599</v>
      </c>
      <c r="F6334" s="515" t="s">
        <v>7559</v>
      </c>
      <c r="G6334" s="52">
        <v>488573.82463557099</v>
      </c>
      <c r="H6334" s="56">
        <v>1.5594291641633092E-2</v>
      </c>
      <c r="I6334" s="224" t="s">
        <v>2</v>
      </c>
    </row>
    <row r="6335" spans="1:9" x14ac:dyDescent="0.25">
      <c r="A6335" s="515">
        <v>75237</v>
      </c>
      <c r="B6335" s="515" t="s">
        <v>458</v>
      </c>
      <c r="C6335" s="52">
        <v>265581.111132483</v>
      </c>
      <c r="D6335" s="56">
        <v>9.4276324094463113E-2</v>
      </c>
      <c r="E6335" s="224">
        <v>1225.3333333333301</v>
      </c>
      <c r="F6335" s="515" t="s">
        <v>7560</v>
      </c>
      <c r="G6335" s="52">
        <v>419121.61925795901</v>
      </c>
      <c r="H6335" s="56">
        <v>5.1351576823890598E-3</v>
      </c>
      <c r="I6335" s="224" t="s">
        <v>2</v>
      </c>
    </row>
    <row r="6336" spans="1:9" x14ac:dyDescent="0.25">
      <c r="A6336" s="515">
        <v>12561</v>
      </c>
      <c r="B6336" s="515" t="s">
        <v>307</v>
      </c>
      <c r="C6336" s="52">
        <v>448009.01700032898</v>
      </c>
      <c r="D6336" s="56">
        <v>8.4963120692759159E-2</v>
      </c>
      <c r="E6336" s="224" t="s">
        <v>2</v>
      </c>
      <c r="F6336" s="515" t="s">
        <v>7561</v>
      </c>
      <c r="G6336" s="52">
        <v>199825.79297971801</v>
      </c>
      <c r="H6336" s="56">
        <v>7.9511791556196365E-2</v>
      </c>
      <c r="I6336" s="224" t="s">
        <v>2</v>
      </c>
    </row>
    <row r="6337" spans="1:9" x14ac:dyDescent="0.25">
      <c r="A6337" s="515">
        <v>80236</v>
      </c>
      <c r="B6337" s="515" t="s">
        <v>401</v>
      </c>
      <c r="C6337" s="52">
        <v>519883.772050759</v>
      </c>
      <c r="D6337" s="56">
        <v>3.0746564525880375E-2</v>
      </c>
      <c r="E6337" s="224">
        <v>1678.3333333333301</v>
      </c>
      <c r="F6337" s="515" t="s">
        <v>7562</v>
      </c>
      <c r="G6337" s="52">
        <v>741862.94092783995</v>
      </c>
      <c r="H6337" s="56">
        <v>6.1524881322224834E-2</v>
      </c>
      <c r="I6337" s="224" t="s">
        <v>2</v>
      </c>
    </row>
    <row r="6338" spans="1:9" x14ac:dyDescent="0.25">
      <c r="A6338" s="515">
        <v>41101</v>
      </c>
      <c r="B6338" s="515" t="s">
        <v>602</v>
      </c>
      <c r="C6338" s="52">
        <v>107504.55706188599</v>
      </c>
      <c r="D6338" s="56">
        <v>9.7954290678662237E-2</v>
      </c>
      <c r="E6338" s="224" t="s">
        <v>2</v>
      </c>
      <c r="F6338" s="515" t="s">
        <v>7563</v>
      </c>
      <c r="G6338" s="52">
        <v>484490.87774932297</v>
      </c>
      <c r="H6338" s="56">
        <v>8.0740352653051989E-2</v>
      </c>
      <c r="I6338" s="224" t="s">
        <v>2</v>
      </c>
    </row>
    <row r="6339" spans="1:9" x14ac:dyDescent="0.25">
      <c r="A6339" s="515">
        <v>86303</v>
      </c>
      <c r="B6339" s="515" t="s">
        <v>332</v>
      </c>
      <c r="C6339" s="52">
        <v>548985.67726926599</v>
      </c>
      <c r="D6339" s="56">
        <v>3.985596049108097E-2</v>
      </c>
      <c r="E6339" s="224">
        <v>1832.55555555555</v>
      </c>
      <c r="F6339" s="515" t="s">
        <v>7564</v>
      </c>
      <c r="G6339" s="52">
        <v>371794.803302343</v>
      </c>
      <c r="H6339" s="56">
        <v>6.9488692870577157E-2</v>
      </c>
      <c r="I6339" s="224" t="s">
        <v>2</v>
      </c>
    </row>
    <row r="6340" spans="1:9" x14ac:dyDescent="0.25">
      <c r="A6340" s="515">
        <v>29630</v>
      </c>
      <c r="B6340" s="515" t="s">
        <v>613</v>
      </c>
      <c r="C6340" s="52">
        <v>237416.54503978699</v>
      </c>
      <c r="D6340" s="56">
        <v>0.18011911028287042</v>
      </c>
      <c r="E6340" s="224" t="s">
        <v>2</v>
      </c>
      <c r="F6340" s="515" t="s">
        <v>7565</v>
      </c>
      <c r="G6340" s="52">
        <v>348915.33035530098</v>
      </c>
      <c r="H6340" s="56">
        <v>7.6806293867193745E-2</v>
      </c>
      <c r="I6340" s="224" t="s">
        <v>2</v>
      </c>
    </row>
    <row r="6341" spans="1:9" x14ac:dyDescent="0.25">
      <c r="A6341" s="515">
        <v>80908</v>
      </c>
      <c r="B6341" s="515" t="s">
        <v>701</v>
      </c>
      <c r="C6341" s="52">
        <v>699660.45291226101</v>
      </c>
      <c r="D6341" s="56">
        <v>4.6764031010022765E-2</v>
      </c>
      <c r="E6341" s="224">
        <v>2659.9444444444398</v>
      </c>
      <c r="F6341" s="515" t="s">
        <v>7566</v>
      </c>
      <c r="G6341" s="52">
        <v>559626.61480357195</v>
      </c>
      <c r="H6341" s="56">
        <v>7.0101587218145453E-2</v>
      </c>
      <c r="I6341" s="224" t="s">
        <v>2</v>
      </c>
    </row>
    <row r="6342" spans="1:9" x14ac:dyDescent="0.25">
      <c r="A6342" s="515">
        <v>6401</v>
      </c>
      <c r="B6342" s="515" t="s">
        <v>1172</v>
      </c>
      <c r="C6342" s="52">
        <v>297770.60059778602</v>
      </c>
      <c r="D6342" s="56">
        <v>9.1355286401852642E-2</v>
      </c>
      <c r="E6342" s="224" t="s">
        <v>2</v>
      </c>
      <c r="F6342" s="515" t="s">
        <v>7567</v>
      </c>
      <c r="G6342" s="52">
        <v>745073.00974561099</v>
      </c>
      <c r="H6342" s="56">
        <v>4.8585185483367953E-2</v>
      </c>
      <c r="I6342" s="224" t="s">
        <v>2</v>
      </c>
    </row>
    <row r="6343" spans="1:9" x14ac:dyDescent="0.25">
      <c r="A6343" s="515">
        <v>77048</v>
      </c>
      <c r="B6343" s="515" t="s">
        <v>314</v>
      </c>
      <c r="C6343" s="52">
        <v>205581.76031277701</v>
      </c>
      <c r="D6343" s="56">
        <v>0.11976520431536858</v>
      </c>
      <c r="E6343" s="224">
        <v>1697.2023809523801</v>
      </c>
      <c r="F6343" s="515" t="s">
        <v>7568</v>
      </c>
      <c r="G6343" s="52">
        <v>426589.73910029902</v>
      </c>
      <c r="H6343" s="56">
        <v>5.0961161095942974E-2</v>
      </c>
      <c r="I6343" s="224" t="s">
        <v>2</v>
      </c>
    </row>
    <row r="6344" spans="1:9" x14ac:dyDescent="0.25">
      <c r="A6344" s="515">
        <v>77085</v>
      </c>
      <c r="B6344" s="515" t="s">
        <v>314</v>
      </c>
      <c r="C6344" s="52">
        <v>227272.76052066099</v>
      </c>
      <c r="D6344" s="56">
        <v>0.13984906105587216</v>
      </c>
      <c r="E6344" s="224" t="s">
        <v>2</v>
      </c>
      <c r="F6344" s="515" t="s">
        <v>7569</v>
      </c>
      <c r="G6344" s="52">
        <v>581409.66356542404</v>
      </c>
      <c r="H6344" s="56">
        <v>5.6318113239214193E-2</v>
      </c>
      <c r="I6344" s="224" t="s">
        <v>2</v>
      </c>
    </row>
    <row r="6345" spans="1:9" x14ac:dyDescent="0.25">
      <c r="A6345" s="515">
        <v>11360</v>
      </c>
      <c r="B6345" s="515" t="s">
        <v>324</v>
      </c>
      <c r="C6345" s="52">
        <v>493151.58441044402</v>
      </c>
      <c r="D6345" s="56">
        <v>-2.970495005863695E-2</v>
      </c>
      <c r="E6345" s="224">
        <v>2450</v>
      </c>
      <c r="F6345" s="515" t="s">
        <v>7570</v>
      </c>
      <c r="G6345" s="52">
        <v>112459.29168055901</v>
      </c>
      <c r="H6345" s="56">
        <v>3.1610264715397768E-2</v>
      </c>
      <c r="I6345" s="224" t="s">
        <v>2</v>
      </c>
    </row>
    <row r="6346" spans="1:9" x14ac:dyDescent="0.25">
      <c r="A6346" s="515">
        <v>7506</v>
      </c>
      <c r="B6346" s="515" t="s">
        <v>324</v>
      </c>
      <c r="C6346" s="52">
        <v>485453.140115797</v>
      </c>
      <c r="D6346" s="56">
        <v>2.0139710791148499E-2</v>
      </c>
      <c r="E6346" s="224">
        <v>2000</v>
      </c>
      <c r="F6346" s="515" t="s">
        <v>7571</v>
      </c>
      <c r="G6346" s="52">
        <v>399647.04073759</v>
      </c>
      <c r="H6346" s="56">
        <v>5.003937845845477E-2</v>
      </c>
      <c r="I6346" s="224" t="s">
        <v>2</v>
      </c>
    </row>
    <row r="6347" spans="1:9" x14ac:dyDescent="0.25">
      <c r="A6347" s="515">
        <v>38614</v>
      </c>
      <c r="B6347" s="515" t="s">
        <v>822</v>
      </c>
      <c r="C6347" s="52">
        <v>57713.179731742799</v>
      </c>
      <c r="D6347" s="56">
        <v>-0.17203547494230731</v>
      </c>
      <c r="E6347" s="224" t="s">
        <v>2</v>
      </c>
      <c r="F6347" s="515" t="s">
        <v>7572</v>
      </c>
      <c r="G6347" s="52">
        <v>69347.936681918203</v>
      </c>
      <c r="H6347" s="56">
        <v>-0.15329751538276909</v>
      </c>
      <c r="I6347" s="224" t="s">
        <v>2</v>
      </c>
    </row>
    <row r="6348" spans="1:9" x14ac:dyDescent="0.25">
      <c r="A6348" s="515">
        <v>56537</v>
      </c>
      <c r="B6348" s="515" t="s">
        <v>601</v>
      </c>
      <c r="C6348" s="52">
        <v>215787.96776117399</v>
      </c>
      <c r="D6348" s="56">
        <v>3.1998794825535144E-2</v>
      </c>
      <c r="E6348" s="224">
        <v>940</v>
      </c>
      <c r="F6348" s="515" t="s">
        <v>7573</v>
      </c>
      <c r="G6348" s="52">
        <v>141173.21269724099</v>
      </c>
      <c r="H6348" s="56">
        <v>0.13559327025883783</v>
      </c>
      <c r="I6348" s="224" t="s">
        <v>2</v>
      </c>
    </row>
    <row r="6349" spans="1:9" x14ac:dyDescent="0.25">
      <c r="A6349" s="515">
        <v>71037</v>
      </c>
      <c r="B6349" s="515" t="s">
        <v>739</v>
      </c>
      <c r="C6349" s="52">
        <v>226780.43423540099</v>
      </c>
      <c r="D6349" s="56">
        <v>5.8025103845711037E-2</v>
      </c>
      <c r="E6349" s="224" t="s">
        <v>2</v>
      </c>
      <c r="F6349" s="515" t="s">
        <v>7574</v>
      </c>
      <c r="G6349" s="52">
        <v>355829.22511095501</v>
      </c>
      <c r="H6349" s="56">
        <v>4.0205627424743567E-2</v>
      </c>
      <c r="I6349" s="224" t="s">
        <v>2</v>
      </c>
    </row>
    <row r="6350" spans="1:9" x14ac:dyDescent="0.25">
      <c r="A6350" s="515">
        <v>97103</v>
      </c>
      <c r="B6350" s="515" t="s">
        <v>742</v>
      </c>
      <c r="C6350" s="52">
        <v>450730.96084926702</v>
      </c>
      <c r="D6350" s="56">
        <v>7.5118412535455481E-2</v>
      </c>
      <c r="E6350" s="224">
        <v>1345</v>
      </c>
      <c r="F6350" s="515" t="s">
        <v>7575</v>
      </c>
      <c r="G6350" s="52">
        <v>367169.91159600898</v>
      </c>
      <c r="H6350" s="56">
        <v>2.7296230602361658E-2</v>
      </c>
      <c r="I6350" s="224" t="s">
        <v>2</v>
      </c>
    </row>
    <row r="6351" spans="1:9" x14ac:dyDescent="0.25">
      <c r="A6351" s="515">
        <v>46952</v>
      </c>
      <c r="B6351" s="515" t="s">
        <v>472</v>
      </c>
      <c r="C6351" s="52">
        <v>128612.674892692</v>
      </c>
      <c r="D6351" s="56">
        <v>7.5533045642666177E-2</v>
      </c>
      <c r="E6351" s="224" t="s">
        <v>2</v>
      </c>
      <c r="F6351" s="515" t="s">
        <v>7576</v>
      </c>
      <c r="G6351" s="52">
        <v>351932.48025002202</v>
      </c>
      <c r="H6351" s="56">
        <v>3.593328069394236E-2</v>
      </c>
      <c r="I6351" s="224" t="s">
        <v>2</v>
      </c>
    </row>
    <row r="6352" spans="1:9" x14ac:dyDescent="0.25">
      <c r="A6352" s="515">
        <v>43611</v>
      </c>
      <c r="B6352" s="515" t="s">
        <v>300</v>
      </c>
      <c r="C6352" s="52">
        <v>118426.059449705</v>
      </c>
      <c r="D6352" s="56">
        <v>8.7606116091060227E-2</v>
      </c>
      <c r="E6352" s="224" t="s">
        <v>2</v>
      </c>
      <c r="F6352" s="515" t="s">
        <v>7577</v>
      </c>
      <c r="G6352" s="52">
        <v>246827.91529530799</v>
      </c>
      <c r="H6352" s="56">
        <v>7.1415614456725784E-2</v>
      </c>
      <c r="I6352" s="224" t="s">
        <v>2</v>
      </c>
    </row>
    <row r="6353" spans="1:9" x14ac:dyDescent="0.25">
      <c r="A6353" s="515">
        <v>23294</v>
      </c>
      <c r="B6353" s="515" t="s">
        <v>667</v>
      </c>
      <c r="C6353" s="52">
        <v>313546.48690548301</v>
      </c>
      <c r="D6353" s="56">
        <v>0.1381400700630234</v>
      </c>
      <c r="E6353" s="224">
        <v>1598.1</v>
      </c>
      <c r="F6353" s="515" t="s">
        <v>7578</v>
      </c>
      <c r="G6353" s="52">
        <v>184530.92036553501</v>
      </c>
      <c r="H6353" s="56">
        <v>0</v>
      </c>
      <c r="I6353" s="224" t="s">
        <v>2</v>
      </c>
    </row>
    <row r="6354" spans="1:9" x14ac:dyDescent="0.25">
      <c r="A6354" s="515">
        <v>83864</v>
      </c>
      <c r="B6354" s="515" t="s">
        <v>623</v>
      </c>
      <c r="C6354" s="52">
        <v>529793.62563278899</v>
      </c>
      <c r="D6354" s="56">
        <v>2.1686570154105602E-2</v>
      </c>
      <c r="E6354" s="224">
        <v>1200</v>
      </c>
      <c r="F6354" s="515" t="s">
        <v>7579</v>
      </c>
      <c r="G6354" s="52">
        <v>783224.60407697095</v>
      </c>
      <c r="H6354" s="56">
        <v>2.0267994651905288E-2</v>
      </c>
      <c r="I6354" s="224" t="s">
        <v>2</v>
      </c>
    </row>
    <row r="6355" spans="1:9" x14ac:dyDescent="0.25">
      <c r="A6355" s="515">
        <v>7514</v>
      </c>
      <c r="B6355" s="515" t="s">
        <v>324</v>
      </c>
      <c r="C6355" s="52">
        <v>400375.30083037697</v>
      </c>
      <c r="D6355" s="56">
        <v>6.7973319287712886E-2</v>
      </c>
      <c r="E6355" s="224">
        <v>1550</v>
      </c>
      <c r="F6355" s="515" t="s">
        <v>7580</v>
      </c>
      <c r="G6355" s="52">
        <v>485568.85374903202</v>
      </c>
      <c r="H6355" s="56">
        <v>5.7869728516644091E-2</v>
      </c>
      <c r="I6355" s="224" t="s">
        <v>2</v>
      </c>
    </row>
    <row r="6356" spans="1:9" x14ac:dyDescent="0.25">
      <c r="A6356" s="515">
        <v>48386</v>
      </c>
      <c r="B6356" s="515" t="s">
        <v>685</v>
      </c>
      <c r="C6356" s="52">
        <v>325162.78741646098</v>
      </c>
      <c r="D6356" s="56">
        <v>3.6471215741441909E-2</v>
      </c>
      <c r="E6356" s="224">
        <v>2027.25</v>
      </c>
      <c r="F6356" s="515" t="s">
        <v>7581</v>
      </c>
      <c r="G6356" s="52">
        <v>351476.66146527301</v>
      </c>
      <c r="H6356" s="56">
        <v>0.14527057003991076</v>
      </c>
      <c r="I6356" s="224">
        <v>1766.6666666666599</v>
      </c>
    </row>
    <row r="6357" spans="1:9" x14ac:dyDescent="0.25">
      <c r="A6357" s="515">
        <v>49319</v>
      </c>
      <c r="B6357" s="515" t="s">
        <v>631</v>
      </c>
      <c r="C6357" s="52">
        <v>276404.19926216698</v>
      </c>
      <c r="D6357" s="56">
        <v>3.182920428656711E-2</v>
      </c>
      <c r="E6357" s="224" t="s">
        <v>2</v>
      </c>
      <c r="F6357" s="515" t="s">
        <v>7582</v>
      </c>
      <c r="G6357" s="52">
        <v>310202.66901884601</v>
      </c>
      <c r="H6357" s="56">
        <v>3.3719352344691741E-2</v>
      </c>
      <c r="I6357" s="224" t="s">
        <v>2</v>
      </c>
    </row>
    <row r="6358" spans="1:9" x14ac:dyDescent="0.25">
      <c r="A6358" s="515">
        <v>38555</v>
      </c>
      <c r="B6358" s="515" t="s">
        <v>1025</v>
      </c>
      <c r="C6358" s="52">
        <v>232745.57716841999</v>
      </c>
      <c r="D6358" s="56">
        <v>8.7136717427034577E-2</v>
      </c>
      <c r="E6358" s="224" t="s">
        <v>2</v>
      </c>
      <c r="F6358" s="515" t="s">
        <v>7583</v>
      </c>
      <c r="G6358" s="52">
        <v>170828.85711961499</v>
      </c>
      <c r="H6358" s="56">
        <v>9.5794490863343532E-2</v>
      </c>
      <c r="I6358" s="224" t="s">
        <v>2</v>
      </c>
    </row>
    <row r="6359" spans="1:9" x14ac:dyDescent="0.25">
      <c r="A6359" s="515">
        <v>44709</v>
      </c>
      <c r="B6359" s="515" t="s">
        <v>863</v>
      </c>
      <c r="C6359" s="52">
        <v>156105.48275618599</v>
      </c>
      <c r="D6359" s="56">
        <v>5.3480397492342825E-2</v>
      </c>
      <c r="E6359" s="224">
        <v>972</v>
      </c>
      <c r="F6359" s="515" t="s">
        <v>7584</v>
      </c>
      <c r="G6359" s="52">
        <v>445208.76663294598</v>
      </c>
      <c r="H6359" s="56">
        <v>0.1160617984735368</v>
      </c>
      <c r="I6359" s="224" t="s">
        <v>2</v>
      </c>
    </row>
    <row r="6360" spans="1:9" x14ac:dyDescent="0.25">
      <c r="A6360" s="515">
        <v>44223</v>
      </c>
      <c r="B6360" s="515" t="s">
        <v>1000</v>
      </c>
      <c r="C6360" s="52">
        <v>207336.23786957501</v>
      </c>
      <c r="D6360" s="56">
        <v>5.559604436781708E-2</v>
      </c>
      <c r="E6360" s="224" t="s">
        <v>2</v>
      </c>
      <c r="F6360" s="515" t="s">
        <v>7585</v>
      </c>
      <c r="G6360" s="52">
        <v>255697.82268204601</v>
      </c>
      <c r="H6360" s="56">
        <v>5.5576125050813871E-2</v>
      </c>
      <c r="I6360" s="224" t="s">
        <v>2</v>
      </c>
    </row>
    <row r="6361" spans="1:9" x14ac:dyDescent="0.25">
      <c r="A6361" s="515">
        <v>97215</v>
      </c>
      <c r="B6361" s="515" t="s">
        <v>659</v>
      </c>
      <c r="C6361" s="52">
        <v>618735.90293850296</v>
      </c>
      <c r="D6361" s="56">
        <v>-7.5235688551307436E-3</v>
      </c>
      <c r="E6361" s="224">
        <v>1905.38888888888</v>
      </c>
      <c r="F6361" s="515" t="s">
        <v>7586</v>
      </c>
      <c r="G6361" s="52">
        <v>324507.875709349</v>
      </c>
      <c r="H6361" s="56">
        <v>8.6504267510058935E-2</v>
      </c>
      <c r="I6361" s="224" t="s">
        <v>2</v>
      </c>
    </row>
    <row r="6362" spans="1:9" x14ac:dyDescent="0.25">
      <c r="A6362" s="515">
        <v>22046</v>
      </c>
      <c r="B6362" s="515" t="s">
        <v>321</v>
      </c>
      <c r="C6362" s="52">
        <v>892008.949637627</v>
      </c>
      <c r="D6362" s="56">
        <v>2.1502670005309407E-2</v>
      </c>
      <c r="E6362" s="224">
        <v>2703.2999999999902</v>
      </c>
      <c r="F6362" s="515" t="s">
        <v>7587</v>
      </c>
      <c r="G6362" s="52">
        <v>392604.58645982097</v>
      </c>
      <c r="H6362" s="56">
        <v>5.6008853509043457E-2</v>
      </c>
      <c r="I6362" s="224" t="s">
        <v>2</v>
      </c>
    </row>
    <row r="6363" spans="1:9" x14ac:dyDescent="0.25">
      <c r="A6363" s="515">
        <v>79403</v>
      </c>
      <c r="B6363" s="515" t="s">
        <v>354</v>
      </c>
      <c r="C6363" s="52">
        <v>96949.970777504597</v>
      </c>
      <c r="D6363" s="56">
        <v>0.2772105163446234</v>
      </c>
      <c r="E6363" s="224" t="s">
        <v>2</v>
      </c>
      <c r="F6363" s="515" t="s">
        <v>7588</v>
      </c>
      <c r="G6363" s="52">
        <v>97123.964343309301</v>
      </c>
      <c r="H6363" s="56">
        <v>-2.463021291252766E-2</v>
      </c>
      <c r="I6363" s="224" t="s">
        <v>2</v>
      </c>
    </row>
    <row r="6364" spans="1:9" x14ac:dyDescent="0.25">
      <c r="A6364" s="515">
        <v>98942</v>
      </c>
      <c r="B6364" s="515" t="s">
        <v>948</v>
      </c>
      <c r="C6364" s="52">
        <v>394057.38033998699</v>
      </c>
      <c r="D6364" s="56">
        <v>3.8093548105476424E-2</v>
      </c>
      <c r="E6364" s="224" t="s">
        <v>2</v>
      </c>
      <c r="F6364" s="515" t="s">
        <v>7589</v>
      </c>
      <c r="G6364" s="52">
        <v>788779.19788471796</v>
      </c>
      <c r="H6364" s="56">
        <v>8.0732626042279626E-2</v>
      </c>
      <c r="I6364" s="224" t="s">
        <v>2</v>
      </c>
    </row>
    <row r="6365" spans="1:9" x14ac:dyDescent="0.25">
      <c r="A6365" s="515">
        <v>60513</v>
      </c>
      <c r="B6365" s="515" t="s">
        <v>394</v>
      </c>
      <c r="C6365" s="52">
        <v>290924.42235861003</v>
      </c>
      <c r="D6365" s="56">
        <v>5.0643781193848506E-2</v>
      </c>
      <c r="E6365" s="224" t="s">
        <v>2</v>
      </c>
      <c r="F6365" s="515" t="s">
        <v>7590</v>
      </c>
      <c r="G6365" s="52">
        <v>219189.27974228901</v>
      </c>
      <c r="H6365" s="56">
        <v>0.12196305491771445</v>
      </c>
      <c r="I6365" s="224" t="s">
        <v>2</v>
      </c>
    </row>
    <row r="6366" spans="1:9" x14ac:dyDescent="0.25">
      <c r="A6366" s="515">
        <v>92251</v>
      </c>
      <c r="B6366" s="515" t="s">
        <v>621</v>
      </c>
      <c r="C6366" s="52">
        <v>353940.98853584903</v>
      </c>
      <c r="D6366" s="56">
        <v>4.2375267338938302E-2</v>
      </c>
      <c r="E6366" s="224" t="s">
        <v>2</v>
      </c>
      <c r="F6366" s="515" t="s">
        <v>7591</v>
      </c>
      <c r="G6366" s="52">
        <v>214458.430801512</v>
      </c>
      <c r="H6366" s="56">
        <v>6.5958873080068453E-2</v>
      </c>
      <c r="I6366" s="224" t="s">
        <v>2</v>
      </c>
    </row>
    <row r="6367" spans="1:9" x14ac:dyDescent="0.25">
      <c r="A6367" s="515">
        <v>55066</v>
      </c>
      <c r="B6367" s="515" t="s">
        <v>663</v>
      </c>
      <c r="C6367" s="52">
        <v>260929.78730525199</v>
      </c>
      <c r="D6367" s="56">
        <v>4.0384110980095964E-2</v>
      </c>
      <c r="E6367" s="224" t="s">
        <v>2</v>
      </c>
      <c r="F6367" s="515" t="s">
        <v>7592</v>
      </c>
      <c r="G6367" s="52">
        <v>82695.011715517394</v>
      </c>
      <c r="H6367" s="56">
        <v>-4.3691421659701475E-2</v>
      </c>
      <c r="I6367" s="224" t="s">
        <v>2</v>
      </c>
    </row>
    <row r="6368" spans="1:9" x14ac:dyDescent="0.25">
      <c r="A6368" s="515">
        <v>78735</v>
      </c>
      <c r="B6368" s="515" t="s">
        <v>380</v>
      </c>
      <c r="C6368" s="52">
        <v>848266.90185044496</v>
      </c>
      <c r="D6368" s="56">
        <v>4.3505375223438503E-2</v>
      </c>
      <c r="E6368" s="224">
        <v>1848.33179012345</v>
      </c>
      <c r="F6368" s="515" t="s">
        <v>7593</v>
      </c>
      <c r="G6368" s="52">
        <v>203913.23678569199</v>
      </c>
      <c r="H6368" s="56">
        <v>6.97467964056704E-2</v>
      </c>
      <c r="I6368" s="224" t="s">
        <v>2</v>
      </c>
    </row>
    <row r="6369" spans="1:9" x14ac:dyDescent="0.25">
      <c r="A6369" s="515">
        <v>65738</v>
      </c>
      <c r="B6369" s="515" t="s">
        <v>603</v>
      </c>
      <c r="C6369" s="52">
        <v>237747.88885723299</v>
      </c>
      <c r="D6369" s="56">
        <v>0.12228065279138169</v>
      </c>
      <c r="E6369" s="224" t="s">
        <v>2</v>
      </c>
      <c r="F6369" s="515" t="s">
        <v>7594</v>
      </c>
      <c r="G6369" s="52">
        <v>547357.78249435301</v>
      </c>
      <c r="H6369" s="56">
        <v>1.8978642524070412E-2</v>
      </c>
      <c r="I6369" s="224" t="s">
        <v>2</v>
      </c>
    </row>
    <row r="6370" spans="1:9" x14ac:dyDescent="0.25">
      <c r="A6370" s="515">
        <v>77028</v>
      </c>
      <c r="B6370" s="515" t="s">
        <v>314</v>
      </c>
      <c r="C6370" s="52">
        <v>153010.53730637301</v>
      </c>
      <c r="D6370" s="56">
        <v>0.21685448914412367</v>
      </c>
      <c r="E6370" s="224" t="s">
        <v>2</v>
      </c>
      <c r="F6370" s="515" t="s">
        <v>7595</v>
      </c>
      <c r="G6370" s="52">
        <v>854188.64709458698</v>
      </c>
      <c r="H6370" s="56">
        <v>-1.1480619673310941E-2</v>
      </c>
      <c r="I6370" s="224" t="s">
        <v>2</v>
      </c>
    </row>
    <row r="6371" spans="1:9" x14ac:dyDescent="0.25">
      <c r="A6371" s="515">
        <v>82501</v>
      </c>
      <c r="B6371" s="515" t="s">
        <v>308</v>
      </c>
      <c r="C6371" s="52">
        <v>225412.394632026</v>
      </c>
      <c r="D6371" s="56">
        <v>0.10684215407755775</v>
      </c>
      <c r="E6371" s="224">
        <v>920</v>
      </c>
      <c r="F6371" s="515" t="s">
        <v>7596</v>
      </c>
      <c r="G6371" s="52">
        <v>83202.691670038505</v>
      </c>
      <c r="H6371" s="56">
        <v>0.12564094103538051</v>
      </c>
      <c r="I6371" s="224" t="s">
        <v>2</v>
      </c>
    </row>
    <row r="6372" spans="1:9" x14ac:dyDescent="0.25">
      <c r="A6372" s="515">
        <v>84721</v>
      </c>
      <c r="B6372" s="515" t="s">
        <v>571</v>
      </c>
      <c r="C6372" s="52">
        <v>395202.93707694201</v>
      </c>
      <c r="D6372" s="56">
        <v>3.7790746032406855E-2</v>
      </c>
      <c r="E6372" s="224">
        <v>1576.6666666666599</v>
      </c>
      <c r="F6372" s="515" t="s">
        <v>7597</v>
      </c>
      <c r="G6372" s="52">
        <v>174649.221200423</v>
      </c>
      <c r="H6372" s="56">
        <v>-1.6152458268042853E-2</v>
      </c>
      <c r="I6372" s="224" t="s">
        <v>2</v>
      </c>
    </row>
    <row r="6373" spans="1:9" x14ac:dyDescent="0.25">
      <c r="A6373" s="515">
        <v>63084</v>
      </c>
      <c r="B6373" s="515" t="s">
        <v>498</v>
      </c>
      <c r="C6373" s="52">
        <v>216119.67378488899</v>
      </c>
      <c r="D6373" s="56">
        <v>7.8754220055030327E-2</v>
      </c>
      <c r="E6373" s="224" t="s">
        <v>2</v>
      </c>
      <c r="F6373" s="515" t="s">
        <v>7598</v>
      </c>
      <c r="G6373" s="52">
        <v>280723.03523949097</v>
      </c>
      <c r="H6373" s="56">
        <v>7.9362668379422505E-2</v>
      </c>
      <c r="I6373" s="224" t="s">
        <v>2</v>
      </c>
    </row>
    <row r="6374" spans="1:9" x14ac:dyDescent="0.25">
      <c r="A6374" s="515">
        <v>44053</v>
      </c>
      <c r="B6374" s="515" t="s">
        <v>520</v>
      </c>
      <c r="C6374" s="52">
        <v>191100.039049924</v>
      </c>
      <c r="D6374" s="56">
        <v>0.11388809388946741</v>
      </c>
      <c r="E6374" s="224" t="s">
        <v>2</v>
      </c>
      <c r="F6374" s="515" t="s">
        <v>7599</v>
      </c>
      <c r="G6374" s="52">
        <v>274356.06718530401</v>
      </c>
      <c r="H6374" s="56">
        <v>9.7880822642168894E-2</v>
      </c>
      <c r="I6374" s="224">
        <v>1750</v>
      </c>
    </row>
    <row r="6375" spans="1:9" x14ac:dyDescent="0.25">
      <c r="A6375" s="515">
        <v>44149</v>
      </c>
      <c r="B6375" s="515" t="s">
        <v>520</v>
      </c>
      <c r="C6375" s="52">
        <v>296797.67942081101</v>
      </c>
      <c r="D6375" s="56">
        <v>5.8379038129989985E-2</v>
      </c>
      <c r="E6375" s="224" t="s">
        <v>2</v>
      </c>
      <c r="F6375" s="515" t="s">
        <v>7600</v>
      </c>
      <c r="G6375" s="52">
        <v>209865.577118466</v>
      </c>
      <c r="H6375" s="56">
        <v>4.2366799848888796E-2</v>
      </c>
      <c r="I6375" s="224" t="s">
        <v>2</v>
      </c>
    </row>
    <row r="6376" spans="1:9" x14ac:dyDescent="0.25">
      <c r="A6376" s="515">
        <v>8052</v>
      </c>
      <c r="B6376" s="515" t="s">
        <v>294</v>
      </c>
      <c r="C6376" s="52">
        <v>255500.251007785</v>
      </c>
      <c r="D6376" s="56">
        <v>6.8904563894381682E-2</v>
      </c>
      <c r="E6376" s="224">
        <v>1711.6666666666599</v>
      </c>
      <c r="F6376" s="515" t="s">
        <v>7601</v>
      </c>
      <c r="G6376" s="52">
        <v>140270.35228093201</v>
      </c>
      <c r="H6376" s="56">
        <v>1.5946884817787124E-2</v>
      </c>
      <c r="I6376" s="224" t="s">
        <v>2</v>
      </c>
    </row>
    <row r="6377" spans="1:9" x14ac:dyDescent="0.25">
      <c r="A6377" s="515">
        <v>6001</v>
      </c>
      <c r="B6377" s="515" t="s">
        <v>894</v>
      </c>
      <c r="C6377" s="52">
        <v>459126.70135249</v>
      </c>
      <c r="D6377" s="56">
        <v>0.10271434749514044</v>
      </c>
      <c r="E6377" s="224" t="s">
        <v>2</v>
      </c>
      <c r="F6377" s="515" t="s">
        <v>7602</v>
      </c>
      <c r="G6377" s="52">
        <v>156901.947398869</v>
      </c>
      <c r="H6377" s="56">
        <v>5.6313744704414338E-2</v>
      </c>
      <c r="I6377" s="224" t="s">
        <v>2</v>
      </c>
    </row>
    <row r="6378" spans="1:9" x14ac:dyDescent="0.25">
      <c r="A6378" s="515">
        <v>4092</v>
      </c>
      <c r="B6378" s="515" t="s">
        <v>570</v>
      </c>
      <c r="C6378" s="52">
        <v>381388.29215386498</v>
      </c>
      <c r="D6378" s="56">
        <v>5.8984881958025384E-2</v>
      </c>
      <c r="E6378" s="224" t="s">
        <v>2</v>
      </c>
      <c r="F6378" s="515" t="s">
        <v>7603</v>
      </c>
      <c r="G6378" s="52">
        <v>583604.27143542701</v>
      </c>
      <c r="H6378" s="56">
        <v>4.3765026216427555E-2</v>
      </c>
      <c r="I6378" s="224" t="s">
        <v>2</v>
      </c>
    </row>
    <row r="6379" spans="1:9" x14ac:dyDescent="0.25">
      <c r="A6379" s="515">
        <v>28906</v>
      </c>
      <c r="C6379" s="52">
        <v>280748.89608551201</v>
      </c>
      <c r="D6379" s="56">
        <v>0.1396432247164765</v>
      </c>
      <c r="E6379" s="224" t="s">
        <v>2</v>
      </c>
      <c r="F6379" s="515" t="s">
        <v>7604</v>
      </c>
      <c r="G6379" s="52">
        <v>194425.36515980001</v>
      </c>
      <c r="H6379" s="56">
        <v>9.7299029032629769E-2</v>
      </c>
      <c r="I6379" s="224" t="s">
        <v>2</v>
      </c>
    </row>
    <row r="6380" spans="1:9" x14ac:dyDescent="0.25">
      <c r="A6380" s="515">
        <v>43812</v>
      </c>
      <c r="B6380" s="515" t="s">
        <v>905</v>
      </c>
      <c r="C6380" s="52">
        <v>126646.815543103</v>
      </c>
      <c r="D6380" s="56">
        <v>0.10786812531528374</v>
      </c>
      <c r="E6380" s="224" t="s">
        <v>2</v>
      </c>
      <c r="F6380" s="515" t="s">
        <v>7605</v>
      </c>
      <c r="G6380" s="52">
        <v>264965.787368669</v>
      </c>
      <c r="H6380" s="56">
        <v>0.17324137954321031</v>
      </c>
      <c r="I6380" s="224" t="s">
        <v>2</v>
      </c>
    </row>
    <row r="6381" spans="1:9" x14ac:dyDescent="0.25">
      <c r="A6381" s="515">
        <v>77012</v>
      </c>
      <c r="B6381" s="515" t="s">
        <v>314</v>
      </c>
      <c r="C6381" s="52">
        <v>164498.96520163701</v>
      </c>
      <c r="D6381" s="56">
        <v>0.13731079536300811</v>
      </c>
      <c r="E6381" s="224" t="s">
        <v>2</v>
      </c>
      <c r="F6381" s="515" t="s">
        <v>7606</v>
      </c>
      <c r="G6381" s="52">
        <v>423347.47614133899</v>
      </c>
      <c r="H6381" s="56">
        <v>6.557532296843066E-2</v>
      </c>
      <c r="I6381" s="224" t="s">
        <v>2</v>
      </c>
    </row>
    <row r="6382" spans="1:9" x14ac:dyDescent="0.25">
      <c r="A6382" s="515">
        <v>8830</v>
      </c>
      <c r="B6382" s="515" t="s">
        <v>324</v>
      </c>
      <c r="C6382" s="52">
        <v>410544.98665518197</v>
      </c>
      <c r="D6382" s="56">
        <v>6.1685441559182458E-2</v>
      </c>
      <c r="E6382" s="224">
        <v>2483.3333333333298</v>
      </c>
      <c r="F6382" s="515" t="s">
        <v>7607</v>
      </c>
      <c r="G6382" s="52">
        <v>568943.40409203595</v>
      </c>
      <c r="H6382" s="56">
        <v>6.8067887894911111E-2</v>
      </c>
      <c r="I6382" s="224" t="s">
        <v>2</v>
      </c>
    </row>
    <row r="6383" spans="1:9" x14ac:dyDescent="0.25">
      <c r="A6383" s="515">
        <v>37216</v>
      </c>
      <c r="B6383" s="515" t="s">
        <v>684</v>
      </c>
      <c r="C6383" s="52">
        <v>467018.98772744503</v>
      </c>
      <c r="D6383" s="56">
        <v>0.12855520462529893</v>
      </c>
      <c r="E6383" s="224">
        <v>1935.86904761904</v>
      </c>
      <c r="F6383" s="515" t="s">
        <v>7608</v>
      </c>
      <c r="G6383" s="52">
        <v>141994.813920849</v>
      </c>
      <c r="H6383" s="56">
        <v>5.9612374299966846E-2</v>
      </c>
      <c r="I6383" s="224" t="s">
        <v>2</v>
      </c>
    </row>
    <row r="6384" spans="1:9" x14ac:dyDescent="0.25">
      <c r="A6384" s="515">
        <v>67530</v>
      </c>
      <c r="B6384" s="515" t="s">
        <v>741</v>
      </c>
      <c r="C6384" s="52">
        <v>101746.977511801</v>
      </c>
      <c r="D6384" s="56">
        <v>0.11248775160276123</v>
      </c>
      <c r="E6384" s="224">
        <v>580</v>
      </c>
      <c r="F6384" s="515" t="s">
        <v>7609</v>
      </c>
      <c r="G6384" s="52">
        <v>311257.25760456</v>
      </c>
      <c r="H6384" s="56">
        <v>7.7615772128676597E-2</v>
      </c>
      <c r="I6384" s="224" t="s">
        <v>2</v>
      </c>
    </row>
    <row r="6385" spans="1:9" x14ac:dyDescent="0.25">
      <c r="A6385" s="515">
        <v>14218</v>
      </c>
      <c r="B6385" s="515" t="s">
        <v>336</v>
      </c>
      <c r="C6385" s="52">
        <v>177642.23375459199</v>
      </c>
      <c r="D6385" s="56">
        <v>9.4217472376441763E-2</v>
      </c>
      <c r="E6385" s="224" t="s">
        <v>2</v>
      </c>
      <c r="F6385" s="515" t="s">
        <v>7610</v>
      </c>
      <c r="G6385" s="52">
        <v>257725.89627954899</v>
      </c>
      <c r="H6385" s="56">
        <v>6.5687718887661048E-2</v>
      </c>
      <c r="I6385" s="224" t="s">
        <v>2</v>
      </c>
    </row>
    <row r="6386" spans="1:9" x14ac:dyDescent="0.25">
      <c r="A6386" s="515">
        <v>27344</v>
      </c>
      <c r="B6386" s="515" t="s">
        <v>467</v>
      </c>
      <c r="C6386" s="52">
        <v>234732.24088723501</v>
      </c>
      <c r="D6386" s="56">
        <v>9.6912451002534927E-2</v>
      </c>
      <c r="E6386" s="224" t="s">
        <v>2</v>
      </c>
      <c r="F6386" s="515" t="s">
        <v>7611</v>
      </c>
      <c r="G6386" s="52">
        <v>197120.64480164199</v>
      </c>
      <c r="H6386" s="56">
        <v>7.2236598281872788E-2</v>
      </c>
      <c r="I6386" s="224" t="s">
        <v>2</v>
      </c>
    </row>
    <row r="6387" spans="1:9" x14ac:dyDescent="0.25">
      <c r="A6387" s="515">
        <v>72335</v>
      </c>
      <c r="B6387" s="515" t="s">
        <v>546</v>
      </c>
      <c r="C6387" s="52">
        <v>52573.535988382297</v>
      </c>
      <c r="D6387" s="56">
        <v>-3.2339023727100742E-2</v>
      </c>
      <c r="E6387" s="224" t="s">
        <v>2</v>
      </c>
      <c r="F6387" s="515" t="s">
        <v>7612</v>
      </c>
      <c r="G6387" s="52">
        <v>235942.38094105801</v>
      </c>
      <c r="H6387" s="56">
        <v>0.10272319828155703</v>
      </c>
      <c r="I6387" s="224" t="s">
        <v>2</v>
      </c>
    </row>
    <row r="6388" spans="1:9" x14ac:dyDescent="0.25">
      <c r="A6388" s="515">
        <v>27896</v>
      </c>
      <c r="B6388" s="515" t="s">
        <v>780</v>
      </c>
      <c r="C6388" s="52">
        <v>256701.91142565501</v>
      </c>
      <c r="D6388" s="56">
        <v>0.1488054051160963</v>
      </c>
      <c r="E6388" s="224" t="s">
        <v>2</v>
      </c>
      <c r="F6388" s="515" t="s">
        <v>7613</v>
      </c>
      <c r="G6388" s="52">
        <v>245526.75501830201</v>
      </c>
      <c r="H6388" s="56">
        <v>0.16033102005765165</v>
      </c>
      <c r="I6388" s="224" t="s">
        <v>2</v>
      </c>
    </row>
    <row r="6389" spans="1:9" x14ac:dyDescent="0.25">
      <c r="A6389" s="515">
        <v>11747</v>
      </c>
      <c r="B6389" s="515" t="s">
        <v>324</v>
      </c>
      <c r="C6389" s="52">
        <v>753452.17807626096</v>
      </c>
      <c r="D6389" s="56">
        <v>2.3536444738058701E-2</v>
      </c>
      <c r="E6389" s="224" t="s">
        <v>2</v>
      </c>
      <c r="F6389" s="515" t="s">
        <v>7614</v>
      </c>
      <c r="G6389" s="52">
        <v>178495.21844680599</v>
      </c>
      <c r="H6389" s="56">
        <v>0.12099007808816331</v>
      </c>
      <c r="I6389" s="224" t="s">
        <v>2</v>
      </c>
    </row>
    <row r="6390" spans="1:9" x14ac:dyDescent="0.25">
      <c r="A6390" s="515">
        <v>54455</v>
      </c>
      <c r="B6390" s="515" t="s">
        <v>940</v>
      </c>
      <c r="C6390" s="52">
        <v>240688.14551310299</v>
      </c>
      <c r="D6390" s="56">
        <v>3.8843441192501327E-2</v>
      </c>
      <c r="E6390" s="224" t="s">
        <v>2</v>
      </c>
      <c r="F6390" s="515" t="s">
        <v>7615</v>
      </c>
      <c r="G6390" s="52">
        <v>299374.32901705598</v>
      </c>
      <c r="H6390" s="56">
        <v>0.17600713210571664</v>
      </c>
      <c r="I6390" s="224" t="s">
        <v>2</v>
      </c>
    </row>
    <row r="6391" spans="1:9" x14ac:dyDescent="0.25">
      <c r="A6391" s="515">
        <v>63115</v>
      </c>
      <c r="B6391" s="515" t="s">
        <v>498</v>
      </c>
      <c r="C6391" s="52">
        <v>41494.933192626297</v>
      </c>
      <c r="D6391" s="56">
        <v>0.11467313993608927</v>
      </c>
      <c r="E6391" s="224" t="s">
        <v>2</v>
      </c>
      <c r="F6391" s="515" t="s">
        <v>7616</v>
      </c>
      <c r="G6391" s="52">
        <v>92889.384240551997</v>
      </c>
      <c r="H6391" s="56">
        <v>0.34291200619972034</v>
      </c>
      <c r="I6391" s="224" t="s">
        <v>2</v>
      </c>
    </row>
    <row r="6392" spans="1:9" x14ac:dyDescent="0.25">
      <c r="A6392" s="515">
        <v>43952</v>
      </c>
      <c r="B6392" s="515" t="s">
        <v>389</v>
      </c>
      <c r="C6392" s="52">
        <v>90366.186795383197</v>
      </c>
      <c r="D6392" s="56">
        <v>0.11279790740601534</v>
      </c>
      <c r="E6392" s="224" t="s">
        <v>2</v>
      </c>
      <c r="F6392" s="515" t="s">
        <v>7617</v>
      </c>
      <c r="G6392" s="52">
        <v>163766.41540312301</v>
      </c>
      <c r="H6392" s="56">
        <v>0.10476877224234978</v>
      </c>
      <c r="I6392" s="224" t="s">
        <v>2</v>
      </c>
    </row>
    <row r="6393" spans="1:9" x14ac:dyDescent="0.25">
      <c r="A6393" s="515">
        <v>70526</v>
      </c>
      <c r="B6393" s="515" t="s">
        <v>1004</v>
      </c>
      <c r="C6393" s="52">
        <v>96915.170587390006</v>
      </c>
      <c r="D6393" s="56">
        <v>3.1850951289624917E-2</v>
      </c>
      <c r="E6393" s="224" t="s">
        <v>2</v>
      </c>
      <c r="F6393" s="515" t="s">
        <v>7618</v>
      </c>
      <c r="G6393" s="52">
        <v>427796.21855732502</v>
      </c>
      <c r="H6393" s="56">
        <v>5.8178208824282741E-2</v>
      </c>
      <c r="I6393" s="224" t="s">
        <v>2</v>
      </c>
    </row>
    <row r="6394" spans="1:9" x14ac:dyDescent="0.25">
      <c r="A6394" s="515">
        <v>29575</v>
      </c>
      <c r="B6394" s="515" t="s">
        <v>703</v>
      </c>
      <c r="C6394" s="52">
        <v>323169.73267957597</v>
      </c>
      <c r="D6394" s="56">
        <v>0.1427592058919466</v>
      </c>
      <c r="E6394" s="224">
        <v>1550</v>
      </c>
      <c r="F6394" s="515" t="s">
        <v>7619</v>
      </c>
      <c r="G6394" s="52">
        <v>596300.63642453798</v>
      </c>
      <c r="H6394" s="56">
        <v>7.164403776943927E-2</v>
      </c>
      <c r="I6394" s="224" t="s">
        <v>2</v>
      </c>
    </row>
    <row r="6395" spans="1:9" x14ac:dyDescent="0.25">
      <c r="A6395" s="515">
        <v>29379</v>
      </c>
      <c r="B6395" s="515" t="s">
        <v>304</v>
      </c>
      <c r="C6395" s="52">
        <v>95103.006453299997</v>
      </c>
      <c r="D6395" s="56">
        <v>0.1080194252059196</v>
      </c>
      <c r="E6395" s="224" t="s">
        <v>2</v>
      </c>
      <c r="F6395" s="515" t="s">
        <v>7620</v>
      </c>
      <c r="G6395" s="52">
        <v>446297.05168020498</v>
      </c>
      <c r="H6395" s="56">
        <v>3.5362185822086188E-2</v>
      </c>
      <c r="I6395" s="224" t="s">
        <v>2</v>
      </c>
    </row>
    <row r="6396" spans="1:9" x14ac:dyDescent="0.25">
      <c r="A6396" s="515">
        <v>44320</v>
      </c>
      <c r="B6396" s="515" t="s">
        <v>1000</v>
      </c>
      <c r="C6396" s="52">
        <v>88939.884688656995</v>
      </c>
      <c r="D6396" s="56">
        <v>0.12762362346089301</v>
      </c>
      <c r="E6396" s="224">
        <v>1123.6666666666599</v>
      </c>
      <c r="F6396" s="515" t="s">
        <v>7621</v>
      </c>
      <c r="G6396" s="52">
        <v>202200.71155067199</v>
      </c>
      <c r="H6396" s="56">
        <v>8.5090825355285407E-2</v>
      </c>
      <c r="I6396" s="224" t="s">
        <v>2</v>
      </c>
    </row>
    <row r="6397" spans="1:9" x14ac:dyDescent="0.25">
      <c r="A6397" s="515">
        <v>12189</v>
      </c>
      <c r="B6397" s="515" t="s">
        <v>609</v>
      </c>
      <c r="C6397" s="52">
        <v>239804.13153507499</v>
      </c>
      <c r="D6397" s="56">
        <v>6.4635526128136847E-2</v>
      </c>
      <c r="E6397" s="224">
        <v>1339.1666666666599</v>
      </c>
      <c r="F6397" s="515" t="s">
        <v>7622</v>
      </c>
      <c r="G6397" s="52">
        <v>1304422.8326992199</v>
      </c>
      <c r="H6397" s="56">
        <v>9.5045213995782127E-2</v>
      </c>
      <c r="I6397" s="224" t="s">
        <v>2</v>
      </c>
    </row>
    <row r="6398" spans="1:9" x14ac:dyDescent="0.25">
      <c r="A6398" s="515">
        <v>8872</v>
      </c>
      <c r="B6398" s="515" t="s">
        <v>324</v>
      </c>
      <c r="C6398" s="52">
        <v>416093.81929275597</v>
      </c>
      <c r="D6398" s="56">
        <v>4.9013744952232659E-2</v>
      </c>
      <c r="E6398" s="224" t="s">
        <v>2</v>
      </c>
      <c r="F6398" s="515" t="s">
        <v>7623</v>
      </c>
      <c r="G6398" s="52">
        <v>127874.163401852</v>
      </c>
      <c r="H6398" s="56">
        <v>9.826381175669191E-2</v>
      </c>
      <c r="I6398" s="224" t="s">
        <v>2</v>
      </c>
    </row>
    <row r="6399" spans="1:9" x14ac:dyDescent="0.25">
      <c r="A6399" s="515">
        <v>2451</v>
      </c>
      <c r="B6399" s="515" t="s">
        <v>534</v>
      </c>
      <c r="C6399" s="52">
        <v>677971.73225833604</v>
      </c>
      <c r="D6399" s="56">
        <v>4.5955597484410797E-2</v>
      </c>
      <c r="E6399" s="224">
        <v>2736.9206349206302</v>
      </c>
      <c r="F6399" s="515" t="s">
        <v>7624</v>
      </c>
      <c r="G6399" s="52">
        <v>158966.89952447801</v>
      </c>
      <c r="H6399" s="56">
        <v>8.8015578655374405E-2</v>
      </c>
      <c r="I6399" s="224" t="s">
        <v>2</v>
      </c>
    </row>
    <row r="6400" spans="1:9" x14ac:dyDescent="0.25">
      <c r="A6400" s="515">
        <v>32541</v>
      </c>
      <c r="B6400" s="515" t="s">
        <v>1078</v>
      </c>
      <c r="C6400" s="52">
        <v>617872.06316023599</v>
      </c>
      <c r="D6400" s="56">
        <v>0.13340253956013368</v>
      </c>
      <c r="E6400" s="224">
        <v>2023.6635031635001</v>
      </c>
      <c r="F6400" s="515" t="s">
        <v>7625</v>
      </c>
      <c r="G6400" s="52">
        <v>208620.03150924499</v>
      </c>
      <c r="H6400" s="56">
        <v>5.8386670610044995E-2</v>
      </c>
      <c r="I6400" s="224" t="s">
        <v>2</v>
      </c>
    </row>
    <row r="6401" spans="1:9" x14ac:dyDescent="0.25">
      <c r="A6401" s="515">
        <v>99344</v>
      </c>
      <c r="B6401" s="515" t="s">
        <v>716</v>
      </c>
      <c r="C6401" s="52">
        <v>295585.51067150797</v>
      </c>
      <c r="D6401" s="56">
        <v>8.2897463353080014E-2</v>
      </c>
      <c r="E6401" s="224" t="s">
        <v>2</v>
      </c>
      <c r="F6401" s="515" t="s">
        <v>7626</v>
      </c>
      <c r="G6401" s="52">
        <v>132084.28028049399</v>
      </c>
      <c r="H6401" s="56">
        <v>4.7729667091693587E-2</v>
      </c>
      <c r="I6401" s="224" t="s">
        <v>2</v>
      </c>
    </row>
    <row r="6402" spans="1:9" x14ac:dyDescent="0.25">
      <c r="A6402" s="515">
        <v>18302</v>
      </c>
      <c r="B6402" s="515" t="s">
        <v>338</v>
      </c>
      <c r="C6402" s="52">
        <v>256485.62468465001</v>
      </c>
      <c r="D6402" s="56">
        <v>0.10570737586964983</v>
      </c>
      <c r="E6402" s="224" t="s">
        <v>2</v>
      </c>
      <c r="F6402" s="515" t="s">
        <v>7627</v>
      </c>
      <c r="G6402" s="52">
        <v>199606.12689528201</v>
      </c>
      <c r="H6402" s="56">
        <v>4.9081878271823878E-2</v>
      </c>
      <c r="I6402" s="224" t="s">
        <v>2</v>
      </c>
    </row>
    <row r="6403" spans="1:9" x14ac:dyDescent="0.25">
      <c r="A6403" s="515">
        <v>53185</v>
      </c>
      <c r="B6403" s="515" t="s">
        <v>1151</v>
      </c>
      <c r="C6403" s="52">
        <v>350077.300065552</v>
      </c>
      <c r="D6403" s="56">
        <v>6.784346982556512E-2</v>
      </c>
      <c r="E6403" s="224" t="s">
        <v>2</v>
      </c>
      <c r="F6403" s="515" t="s">
        <v>7628</v>
      </c>
      <c r="G6403" s="52">
        <v>374724.12398131698</v>
      </c>
      <c r="H6403" s="56">
        <v>0.10496411496172761</v>
      </c>
      <c r="I6403" s="224" t="s">
        <v>2</v>
      </c>
    </row>
    <row r="6404" spans="1:9" x14ac:dyDescent="0.25">
      <c r="A6404" s="515">
        <v>48341</v>
      </c>
      <c r="B6404" s="515" t="s">
        <v>685</v>
      </c>
      <c r="C6404" s="52">
        <v>128107.44966960599</v>
      </c>
      <c r="D6404" s="56">
        <v>7.6958833471949428E-2</v>
      </c>
      <c r="E6404" s="224" t="s">
        <v>2</v>
      </c>
      <c r="F6404" s="515" t="s">
        <v>1201</v>
      </c>
      <c r="G6404" s="52">
        <v>78248.593289397904</v>
      </c>
      <c r="H6404" s="56">
        <v>-8.2231342425419768E-2</v>
      </c>
      <c r="I6404" s="224" t="s">
        <v>2</v>
      </c>
    </row>
    <row r="6405" spans="1:9" x14ac:dyDescent="0.25">
      <c r="A6405" s="515">
        <v>19090</v>
      </c>
      <c r="B6405" s="515" t="s">
        <v>294</v>
      </c>
      <c r="C6405" s="52">
        <v>355643.27155947703</v>
      </c>
      <c r="D6405" s="56">
        <v>7.5816650794868004E-2</v>
      </c>
      <c r="E6405" s="224">
        <v>1901.25</v>
      </c>
      <c r="F6405" s="515" t="s">
        <v>7629</v>
      </c>
      <c r="G6405" s="52">
        <v>174991.40536194801</v>
      </c>
      <c r="H6405" s="56">
        <v>4.1483662282329858E-2</v>
      </c>
      <c r="I6405" s="224" t="s">
        <v>2</v>
      </c>
    </row>
    <row r="6406" spans="1:9" x14ac:dyDescent="0.25">
      <c r="A6406" s="515">
        <v>53147</v>
      </c>
      <c r="B6406" s="515" t="s">
        <v>1089</v>
      </c>
      <c r="C6406" s="52">
        <v>339882.90076480998</v>
      </c>
      <c r="D6406" s="56">
        <v>0.10189419349152785</v>
      </c>
      <c r="E6406" s="224" t="s">
        <v>2</v>
      </c>
      <c r="F6406" s="515" t="s">
        <v>7630</v>
      </c>
      <c r="G6406" s="52">
        <v>457942.868649351</v>
      </c>
      <c r="H6406" s="56">
        <v>6.0519840361986786E-2</v>
      </c>
      <c r="I6406" s="224" t="s">
        <v>2</v>
      </c>
    </row>
    <row r="6407" spans="1:9" x14ac:dyDescent="0.25">
      <c r="A6407" s="515">
        <v>15120</v>
      </c>
      <c r="B6407" s="515" t="s">
        <v>297</v>
      </c>
      <c r="C6407" s="52">
        <v>130148.432469904</v>
      </c>
      <c r="D6407" s="56">
        <v>8.952468193988794E-2</v>
      </c>
      <c r="E6407" s="224">
        <v>1382.0833333333301</v>
      </c>
      <c r="F6407" s="515" t="s">
        <v>7631</v>
      </c>
      <c r="G6407" s="52">
        <v>446735.620607791</v>
      </c>
      <c r="H6407" s="56">
        <v>5.2728543232771263E-2</v>
      </c>
      <c r="I6407" s="224" t="s">
        <v>2</v>
      </c>
    </row>
    <row r="6408" spans="1:9" x14ac:dyDescent="0.25">
      <c r="A6408" s="515">
        <v>74601</v>
      </c>
      <c r="B6408" s="515" t="s">
        <v>758</v>
      </c>
      <c r="C6408" s="52">
        <v>77892.365245694105</v>
      </c>
      <c r="D6408" s="56">
        <v>9.8620547882399476E-2</v>
      </c>
      <c r="E6408" s="224">
        <v>700</v>
      </c>
      <c r="F6408" s="515" t="s">
        <v>7632</v>
      </c>
      <c r="G6408" s="52">
        <v>153436.99367818699</v>
      </c>
      <c r="H6408" s="56">
        <v>-3.5904976855145065E-3</v>
      </c>
      <c r="I6408" s="224" t="s">
        <v>2</v>
      </c>
    </row>
    <row r="6409" spans="1:9" x14ac:dyDescent="0.25">
      <c r="A6409" s="515">
        <v>72210</v>
      </c>
      <c r="B6409" s="515" t="s">
        <v>393</v>
      </c>
      <c r="C6409" s="52">
        <v>227170.88071442</v>
      </c>
      <c r="D6409" s="56">
        <v>5.7937129806531866E-2</v>
      </c>
      <c r="E6409" s="224" t="s">
        <v>2</v>
      </c>
      <c r="F6409" s="515" t="s">
        <v>7633</v>
      </c>
      <c r="G6409" s="52">
        <v>189436.837926593</v>
      </c>
      <c r="H6409" s="56">
        <v>7.1149237159396889E-2</v>
      </c>
      <c r="I6409" s="224" t="s">
        <v>2</v>
      </c>
    </row>
    <row r="6410" spans="1:9" x14ac:dyDescent="0.25">
      <c r="A6410" s="515">
        <v>2067</v>
      </c>
      <c r="B6410" s="515" t="s">
        <v>534</v>
      </c>
      <c r="C6410" s="52">
        <v>722538.70841335994</v>
      </c>
      <c r="D6410" s="56">
        <v>5.9670156174126777E-2</v>
      </c>
      <c r="E6410" s="224">
        <v>2632.5</v>
      </c>
      <c r="F6410" s="515" t="s">
        <v>7634</v>
      </c>
      <c r="G6410" s="52">
        <v>354951.28544559702</v>
      </c>
      <c r="H6410" s="56">
        <v>2.7613415398193727E-2</v>
      </c>
      <c r="I6410" s="224" t="s">
        <v>2</v>
      </c>
    </row>
    <row r="6411" spans="1:9" x14ac:dyDescent="0.25">
      <c r="A6411" s="515">
        <v>48532</v>
      </c>
      <c r="B6411" s="515" t="s">
        <v>759</v>
      </c>
      <c r="C6411" s="52">
        <v>142370.66282715701</v>
      </c>
      <c r="D6411" s="56">
        <v>8.3095483851961513E-2</v>
      </c>
      <c r="E6411" s="224" t="s">
        <v>2</v>
      </c>
      <c r="F6411" s="515" t="s">
        <v>7635</v>
      </c>
      <c r="G6411" s="52">
        <v>293447.34751562099</v>
      </c>
      <c r="H6411" s="56">
        <v>2.0596799137339927E-2</v>
      </c>
      <c r="I6411" s="224" t="s">
        <v>2</v>
      </c>
    </row>
    <row r="6412" spans="1:9" x14ac:dyDescent="0.25">
      <c r="A6412" s="515">
        <v>24179</v>
      </c>
      <c r="B6412" s="515" t="s">
        <v>861</v>
      </c>
      <c r="C6412" s="52">
        <v>233111.79109850401</v>
      </c>
      <c r="D6412" s="56">
        <v>9.67436237485719E-2</v>
      </c>
      <c r="E6412" s="224" t="s">
        <v>2</v>
      </c>
      <c r="F6412" s="515" t="s">
        <v>7636</v>
      </c>
      <c r="G6412" s="52">
        <v>128599.03875648799</v>
      </c>
      <c r="H6412" s="56">
        <v>4.5773988851068564E-2</v>
      </c>
      <c r="I6412" s="224" t="s">
        <v>2</v>
      </c>
    </row>
    <row r="6413" spans="1:9" x14ac:dyDescent="0.25">
      <c r="A6413" s="515">
        <v>29566</v>
      </c>
      <c r="B6413" s="515" t="s">
        <v>703</v>
      </c>
      <c r="C6413" s="52">
        <v>293993.86444636801</v>
      </c>
      <c r="D6413" s="56">
        <v>0.13158347650407345</v>
      </c>
      <c r="E6413" s="224" t="s">
        <v>2</v>
      </c>
      <c r="F6413" s="515" t="s">
        <v>7637</v>
      </c>
      <c r="G6413" s="52">
        <v>236904.57385698301</v>
      </c>
      <c r="H6413" s="56">
        <v>0.11589788800252407</v>
      </c>
      <c r="I6413" s="224" t="s">
        <v>2</v>
      </c>
    </row>
    <row r="6414" spans="1:9" x14ac:dyDescent="0.25">
      <c r="A6414" s="515">
        <v>13901</v>
      </c>
      <c r="B6414" s="515" t="s">
        <v>840</v>
      </c>
      <c r="C6414" s="52">
        <v>158549.047272617</v>
      </c>
      <c r="D6414" s="56">
        <v>4.3036057334430937E-2</v>
      </c>
      <c r="E6414" s="224" t="s">
        <v>2</v>
      </c>
      <c r="F6414" s="515" t="s">
        <v>7638</v>
      </c>
      <c r="G6414" s="52">
        <v>549839.33510002797</v>
      </c>
      <c r="H6414" s="56">
        <v>3.9187081955362989E-2</v>
      </c>
      <c r="I6414" s="224" t="s">
        <v>2</v>
      </c>
    </row>
    <row r="6415" spans="1:9" x14ac:dyDescent="0.25">
      <c r="A6415" s="515">
        <v>33413</v>
      </c>
      <c r="B6415" s="515" t="s">
        <v>831</v>
      </c>
      <c r="C6415" s="52">
        <v>445809.46029587998</v>
      </c>
      <c r="D6415" s="56">
        <v>0.10054647306393157</v>
      </c>
      <c r="E6415" s="224">
        <v>2442.6111111111099</v>
      </c>
      <c r="F6415" s="515" t="s">
        <v>7639</v>
      </c>
      <c r="G6415" s="52">
        <v>290898.89217585698</v>
      </c>
      <c r="H6415" s="56">
        <v>6.8256048651302276E-2</v>
      </c>
      <c r="I6415" s="224" t="s">
        <v>2</v>
      </c>
    </row>
    <row r="6416" spans="1:9" x14ac:dyDescent="0.25">
      <c r="A6416" s="515">
        <v>93247</v>
      </c>
      <c r="B6416" s="515" t="s">
        <v>358</v>
      </c>
      <c r="C6416" s="52">
        <v>263103.93579024897</v>
      </c>
      <c r="D6416" s="56">
        <v>7.2540079067763649E-2</v>
      </c>
      <c r="E6416" s="224" t="s">
        <v>2</v>
      </c>
      <c r="F6416" s="515" t="s">
        <v>7640</v>
      </c>
      <c r="G6416" s="52">
        <v>134730.46847937701</v>
      </c>
      <c r="H6416" s="56">
        <v>2.296253792126788E-2</v>
      </c>
      <c r="I6416" s="224" t="s">
        <v>2</v>
      </c>
    </row>
    <row r="6417" spans="1:9" x14ac:dyDescent="0.25">
      <c r="A6417" s="515">
        <v>27408</v>
      </c>
      <c r="B6417" s="515" t="s">
        <v>1148</v>
      </c>
      <c r="C6417" s="52">
        <v>298482.30670246598</v>
      </c>
      <c r="D6417" s="56">
        <v>8.7262509680955627E-2</v>
      </c>
      <c r="E6417" s="224">
        <v>1591.55555555555</v>
      </c>
      <c r="F6417" s="515" t="s">
        <v>7641</v>
      </c>
      <c r="G6417" s="52">
        <v>233004.73419309099</v>
      </c>
      <c r="H6417" s="56">
        <v>0.13908904627263971</v>
      </c>
      <c r="I6417" s="224" t="s">
        <v>2</v>
      </c>
    </row>
    <row r="6418" spans="1:9" x14ac:dyDescent="0.25">
      <c r="A6418" s="515">
        <v>29053</v>
      </c>
      <c r="B6418" s="515" t="s">
        <v>762</v>
      </c>
      <c r="C6418" s="52">
        <v>93511.705534003995</v>
      </c>
      <c r="D6418" s="56">
        <v>0.18723601017876487</v>
      </c>
      <c r="E6418" s="224" t="s">
        <v>2</v>
      </c>
      <c r="F6418" s="515" t="s">
        <v>7642</v>
      </c>
      <c r="G6418" s="52">
        <v>403999.05234858801</v>
      </c>
      <c r="H6418" s="56">
        <v>4.9576198401543647E-2</v>
      </c>
      <c r="I6418" s="224" t="s">
        <v>2</v>
      </c>
    </row>
    <row r="6419" spans="1:9" x14ac:dyDescent="0.25">
      <c r="A6419" s="515">
        <v>43138</v>
      </c>
      <c r="B6419" s="515" t="s">
        <v>345</v>
      </c>
      <c r="C6419" s="52">
        <v>197665.501281109</v>
      </c>
      <c r="D6419" s="56">
        <v>9.840051919393647E-2</v>
      </c>
      <c r="E6419" s="224" t="s">
        <v>2</v>
      </c>
      <c r="F6419" s="515" t="s">
        <v>7643</v>
      </c>
      <c r="G6419" s="52">
        <v>256142.44843701701</v>
      </c>
      <c r="H6419" s="56">
        <v>9.5484331761035504E-2</v>
      </c>
      <c r="I6419" s="224" t="s">
        <v>2</v>
      </c>
    </row>
    <row r="6420" spans="1:9" x14ac:dyDescent="0.25">
      <c r="A6420" s="515">
        <v>40744</v>
      </c>
      <c r="B6420" s="515" t="s">
        <v>633</v>
      </c>
      <c r="C6420" s="52">
        <v>174202.31931189101</v>
      </c>
      <c r="D6420" s="56">
        <v>0.15269695296918551</v>
      </c>
      <c r="E6420" s="224" t="s">
        <v>2</v>
      </c>
      <c r="F6420" s="515" t="s">
        <v>7644</v>
      </c>
      <c r="G6420" s="52">
        <v>395191.62881143199</v>
      </c>
      <c r="H6420" s="56">
        <v>2.4874341453645733E-2</v>
      </c>
      <c r="I6420" s="224" t="s">
        <v>2</v>
      </c>
    </row>
    <row r="6421" spans="1:9" x14ac:dyDescent="0.25">
      <c r="A6421" s="515">
        <v>76234</v>
      </c>
      <c r="B6421" s="515" t="s">
        <v>458</v>
      </c>
      <c r="C6421" s="52">
        <v>387784.91871974798</v>
      </c>
      <c r="D6421" s="56">
        <v>4.4494424453630457E-2</v>
      </c>
      <c r="E6421" s="224" t="s">
        <v>2</v>
      </c>
      <c r="F6421" s="515" t="s">
        <v>7645</v>
      </c>
      <c r="G6421" s="52">
        <v>353703.93140948197</v>
      </c>
      <c r="H6421" s="56">
        <v>8.3631203760681561E-2</v>
      </c>
      <c r="I6421" s="224" t="s">
        <v>2</v>
      </c>
    </row>
    <row r="6422" spans="1:9" x14ac:dyDescent="0.25">
      <c r="A6422" s="515">
        <v>31030</v>
      </c>
      <c r="B6422" s="515" t="s">
        <v>1067</v>
      </c>
      <c r="C6422" s="52">
        <v>123475.252722798</v>
      </c>
      <c r="D6422" s="56">
        <v>0.1848976109137852</v>
      </c>
      <c r="E6422" s="224" t="s">
        <v>2</v>
      </c>
      <c r="F6422" s="515" t="s">
        <v>7646</v>
      </c>
      <c r="G6422" s="52">
        <v>231814.45362200699</v>
      </c>
      <c r="H6422" s="56">
        <v>3.603889697430282E-2</v>
      </c>
      <c r="I6422" s="224" t="s">
        <v>2</v>
      </c>
    </row>
    <row r="6423" spans="1:9" x14ac:dyDescent="0.25">
      <c r="A6423" s="515">
        <v>33408</v>
      </c>
      <c r="B6423" s="515" t="s">
        <v>831</v>
      </c>
      <c r="C6423" s="52">
        <v>594851.78792410705</v>
      </c>
      <c r="D6423" s="56">
        <v>0.13866955025108224</v>
      </c>
      <c r="E6423" s="224">
        <v>3133.3174603174598</v>
      </c>
      <c r="F6423" s="515" t="s">
        <v>7647</v>
      </c>
      <c r="G6423" s="52">
        <v>244364.64540630701</v>
      </c>
      <c r="H6423" s="56">
        <v>3.9946714142924049E-2</v>
      </c>
      <c r="I6423" s="224" t="s">
        <v>2</v>
      </c>
    </row>
    <row r="6424" spans="1:9" x14ac:dyDescent="0.25">
      <c r="A6424" s="515">
        <v>2359</v>
      </c>
      <c r="B6424" s="515" t="s">
        <v>534</v>
      </c>
      <c r="C6424" s="52">
        <v>546494.60397501802</v>
      </c>
      <c r="D6424" s="56">
        <v>6.100087333117038E-2</v>
      </c>
      <c r="E6424" s="224" t="s">
        <v>2</v>
      </c>
      <c r="F6424" s="515" t="s">
        <v>7648</v>
      </c>
      <c r="G6424" s="52">
        <v>622302.14552324696</v>
      </c>
      <c r="H6424" s="56">
        <v>5.5916663200998043E-2</v>
      </c>
      <c r="I6424" s="224">
        <v>4016.6666666666601</v>
      </c>
    </row>
    <row r="6425" spans="1:9" x14ac:dyDescent="0.25">
      <c r="A6425" s="515">
        <v>32217</v>
      </c>
      <c r="B6425" s="515" t="s">
        <v>1158</v>
      </c>
      <c r="C6425" s="52">
        <v>312901.71411458502</v>
      </c>
      <c r="D6425" s="56">
        <v>0.1204572570440698</v>
      </c>
      <c r="E6425" s="224">
        <v>1629.7222222222199</v>
      </c>
      <c r="F6425" s="515" t="s">
        <v>7649</v>
      </c>
      <c r="G6425" s="52">
        <v>173819.32223553199</v>
      </c>
      <c r="H6425" s="56">
        <v>0.17453614168331044</v>
      </c>
      <c r="I6425" s="224" t="s">
        <v>2</v>
      </c>
    </row>
    <row r="6426" spans="1:9" x14ac:dyDescent="0.25">
      <c r="A6426" s="515">
        <v>6515</v>
      </c>
      <c r="B6426" s="515" t="s">
        <v>1172</v>
      </c>
      <c r="C6426" s="52">
        <v>297399.77885636903</v>
      </c>
      <c r="D6426" s="56">
        <v>0.11692980091063923</v>
      </c>
      <c r="E6426" s="224">
        <v>1556.6666666666599</v>
      </c>
      <c r="F6426" s="515" t="s">
        <v>7650</v>
      </c>
      <c r="G6426" s="52">
        <v>580398.55865923804</v>
      </c>
      <c r="H6426" s="56">
        <v>4.8795781087852381E-2</v>
      </c>
      <c r="I6426" s="224" t="s">
        <v>2</v>
      </c>
    </row>
    <row r="6427" spans="1:9" x14ac:dyDescent="0.25">
      <c r="A6427" s="515">
        <v>17025</v>
      </c>
      <c r="B6427" s="515" t="s">
        <v>428</v>
      </c>
      <c r="C6427" s="52">
        <v>251913.02147986999</v>
      </c>
      <c r="D6427" s="56">
        <v>9.6808190626008858E-2</v>
      </c>
      <c r="E6427" s="224">
        <v>1478.75</v>
      </c>
      <c r="F6427" s="515" t="s">
        <v>7651</v>
      </c>
      <c r="G6427" s="52">
        <v>353314.11064420902</v>
      </c>
      <c r="H6427" s="56">
        <v>4.7619201060246377E-2</v>
      </c>
      <c r="I6427" s="224" t="s">
        <v>2</v>
      </c>
    </row>
    <row r="6428" spans="1:9" x14ac:dyDescent="0.25">
      <c r="A6428" s="515">
        <v>78734</v>
      </c>
      <c r="B6428" s="515" t="s">
        <v>380</v>
      </c>
      <c r="C6428" s="52">
        <v>674785.29562921997</v>
      </c>
      <c r="D6428" s="56">
        <v>2.8233148307486144E-2</v>
      </c>
      <c r="E6428" s="224">
        <v>2976.5222222222201</v>
      </c>
      <c r="F6428" s="515" t="s">
        <v>7652</v>
      </c>
      <c r="G6428" s="52">
        <v>142309.43510089899</v>
      </c>
      <c r="H6428" s="56">
        <v>1.5734159720935646E-2</v>
      </c>
      <c r="I6428" s="224" t="s">
        <v>2</v>
      </c>
    </row>
    <row r="6429" spans="1:9" x14ac:dyDescent="0.25">
      <c r="A6429" s="515">
        <v>28472</v>
      </c>
      <c r="C6429" s="52">
        <v>157824.69215607899</v>
      </c>
      <c r="D6429" s="56">
        <v>0.10519058289608911</v>
      </c>
      <c r="E6429" s="224" t="s">
        <v>2</v>
      </c>
      <c r="F6429" s="515" t="s">
        <v>7653</v>
      </c>
      <c r="G6429" s="52">
        <v>613042.85798834695</v>
      </c>
      <c r="H6429" s="56">
        <v>4.8600516459973341E-2</v>
      </c>
      <c r="I6429" s="224" t="s">
        <v>2</v>
      </c>
    </row>
    <row r="6430" spans="1:9" x14ac:dyDescent="0.25">
      <c r="A6430" s="515">
        <v>91345</v>
      </c>
      <c r="B6430" s="515" t="s">
        <v>375</v>
      </c>
      <c r="C6430" s="52">
        <v>734379.62402211502</v>
      </c>
      <c r="D6430" s="56">
        <v>6.1497126809541024E-2</v>
      </c>
      <c r="E6430" s="224" t="s">
        <v>2</v>
      </c>
      <c r="F6430" s="515" t="s">
        <v>7654</v>
      </c>
      <c r="G6430" s="52">
        <v>190270.28085303699</v>
      </c>
      <c r="H6430" s="56">
        <v>3.689481105387056E-2</v>
      </c>
      <c r="I6430" s="224" t="s">
        <v>2</v>
      </c>
    </row>
    <row r="6431" spans="1:9" x14ac:dyDescent="0.25">
      <c r="A6431" s="515">
        <v>29204</v>
      </c>
      <c r="B6431" s="515" t="s">
        <v>762</v>
      </c>
      <c r="C6431" s="52">
        <v>168558.64005152299</v>
      </c>
      <c r="D6431" s="56">
        <v>0.14341432221963296</v>
      </c>
      <c r="E6431" s="224">
        <v>1202.6111111111099</v>
      </c>
      <c r="F6431" s="515" t="s">
        <v>7655</v>
      </c>
      <c r="G6431" s="52">
        <v>345505.29587389203</v>
      </c>
      <c r="H6431" s="56">
        <v>7.5926012924590128E-2</v>
      </c>
      <c r="I6431" s="224" t="s">
        <v>2</v>
      </c>
    </row>
    <row r="6432" spans="1:9" x14ac:dyDescent="0.25">
      <c r="A6432" s="515">
        <v>7067</v>
      </c>
      <c r="B6432" s="515" t="s">
        <v>324</v>
      </c>
      <c r="C6432" s="52">
        <v>489556.99387272098</v>
      </c>
      <c r="D6432" s="56">
        <v>6.5440435294722821E-2</v>
      </c>
      <c r="E6432" s="224">
        <v>1875</v>
      </c>
      <c r="F6432" s="515" t="s">
        <v>7656</v>
      </c>
      <c r="G6432" s="52">
        <v>188865.54445251901</v>
      </c>
      <c r="H6432" s="56">
        <v>0.10695929396628202</v>
      </c>
      <c r="I6432" s="224" t="s">
        <v>2</v>
      </c>
    </row>
    <row r="6433" spans="1:9" x14ac:dyDescent="0.25">
      <c r="A6433" s="515">
        <v>78219</v>
      </c>
      <c r="B6433" s="515" t="s">
        <v>717</v>
      </c>
      <c r="C6433" s="52">
        <v>174348.956953396</v>
      </c>
      <c r="D6433" s="56">
        <v>0.10947179676704</v>
      </c>
      <c r="E6433" s="224">
        <v>1261.5</v>
      </c>
      <c r="F6433" s="515" t="s">
        <v>7657</v>
      </c>
      <c r="G6433" s="52">
        <v>110148.13932161999</v>
      </c>
      <c r="H6433" s="56">
        <v>9.8463063134896361E-3</v>
      </c>
      <c r="I6433" s="224" t="s">
        <v>2</v>
      </c>
    </row>
    <row r="6434" spans="1:9" x14ac:dyDescent="0.25">
      <c r="A6434" s="515">
        <v>13790</v>
      </c>
      <c r="B6434" s="515" t="s">
        <v>840</v>
      </c>
      <c r="C6434" s="52">
        <v>119173.38843472301</v>
      </c>
      <c r="D6434" s="56">
        <v>9.5636766546404559E-2</v>
      </c>
      <c r="E6434" s="224" t="s">
        <v>2</v>
      </c>
      <c r="F6434" s="515" t="s">
        <v>7658</v>
      </c>
      <c r="G6434" s="52">
        <v>206915.00691813399</v>
      </c>
      <c r="H6434" s="56">
        <v>0.12873644681049046</v>
      </c>
      <c r="I6434" s="224" t="s">
        <v>2</v>
      </c>
    </row>
    <row r="6435" spans="1:9" x14ac:dyDescent="0.25">
      <c r="A6435" s="515">
        <v>54452</v>
      </c>
      <c r="B6435" s="515" t="s">
        <v>940</v>
      </c>
      <c r="C6435" s="52">
        <v>157092.20308841101</v>
      </c>
      <c r="D6435" s="56">
        <v>5.9564230574818633E-2</v>
      </c>
      <c r="E6435" s="224" t="s">
        <v>2</v>
      </c>
      <c r="F6435" s="515" t="s">
        <v>436</v>
      </c>
      <c r="G6435" s="52">
        <v>177600.21677412599</v>
      </c>
      <c r="H6435" s="56">
        <v>7.8540961316023644E-2</v>
      </c>
      <c r="I6435" s="224" t="s">
        <v>2</v>
      </c>
    </row>
    <row r="6436" spans="1:9" x14ac:dyDescent="0.25">
      <c r="A6436" s="515">
        <v>6897</v>
      </c>
      <c r="B6436" s="515" t="s">
        <v>1173</v>
      </c>
      <c r="C6436" s="52">
        <v>934379.60968764103</v>
      </c>
      <c r="D6436" s="56">
        <v>9.6977578902172054E-2</v>
      </c>
      <c r="E6436" s="224" t="s">
        <v>2</v>
      </c>
      <c r="F6436" s="515" t="s">
        <v>7659</v>
      </c>
      <c r="G6436" s="52">
        <v>206486.516402134</v>
      </c>
      <c r="H6436" s="56">
        <v>8.5360690529059646E-2</v>
      </c>
      <c r="I6436" s="224" t="s">
        <v>2</v>
      </c>
    </row>
    <row r="6437" spans="1:9" x14ac:dyDescent="0.25">
      <c r="A6437" s="515">
        <v>63112</v>
      </c>
      <c r="B6437" s="515" t="s">
        <v>498</v>
      </c>
      <c r="C6437" s="52">
        <v>136125.955902216</v>
      </c>
      <c r="D6437" s="56">
        <v>1.2395184238969769E-2</v>
      </c>
      <c r="E6437" s="224">
        <v>1355.8333333333301</v>
      </c>
      <c r="F6437" s="515" t="s">
        <v>7660</v>
      </c>
      <c r="G6437" s="52">
        <v>169777.90211479799</v>
      </c>
      <c r="H6437" s="56">
        <v>0.10332518215121177</v>
      </c>
      <c r="I6437" s="224" t="s">
        <v>2</v>
      </c>
    </row>
    <row r="6438" spans="1:9" x14ac:dyDescent="0.25">
      <c r="A6438" s="515">
        <v>33635</v>
      </c>
      <c r="B6438" s="515" t="s">
        <v>461</v>
      </c>
      <c r="C6438" s="52">
        <v>432739.127119696</v>
      </c>
      <c r="D6438" s="56">
        <v>8.8407752409573631E-2</v>
      </c>
      <c r="E6438" s="224">
        <v>2390</v>
      </c>
      <c r="F6438" s="515" t="s">
        <v>7661</v>
      </c>
      <c r="G6438" s="52">
        <v>124442.400778169</v>
      </c>
      <c r="H6438" s="56">
        <v>0.14447725261182012</v>
      </c>
      <c r="I6438" s="224" t="s">
        <v>2</v>
      </c>
    </row>
    <row r="6439" spans="1:9" x14ac:dyDescent="0.25">
      <c r="A6439" s="515">
        <v>44505</v>
      </c>
      <c r="B6439" s="515" t="s">
        <v>397</v>
      </c>
      <c r="C6439" s="52">
        <v>63624.650757458097</v>
      </c>
      <c r="D6439" s="56">
        <v>0.2199689459216575</v>
      </c>
      <c r="E6439" s="224" t="s">
        <v>2</v>
      </c>
      <c r="F6439" s="515" t="s">
        <v>7662</v>
      </c>
      <c r="G6439" s="52">
        <v>241569.90414926299</v>
      </c>
      <c r="H6439" s="56">
        <v>0.10339309690693484</v>
      </c>
      <c r="I6439" s="224" t="s">
        <v>2</v>
      </c>
    </row>
    <row r="6440" spans="1:9" x14ac:dyDescent="0.25">
      <c r="A6440" s="515">
        <v>60106</v>
      </c>
      <c r="B6440" s="515" t="s">
        <v>394</v>
      </c>
      <c r="C6440" s="52">
        <v>282907.02352549799</v>
      </c>
      <c r="D6440" s="56">
        <v>4.0873385259426361E-2</v>
      </c>
      <c r="E6440" s="224" t="s">
        <v>2</v>
      </c>
      <c r="F6440" s="515" t="s">
        <v>7663</v>
      </c>
      <c r="G6440" s="52">
        <v>187030.69449086001</v>
      </c>
      <c r="H6440" s="56">
        <v>9.0240490034406609E-2</v>
      </c>
      <c r="I6440" s="224" t="s">
        <v>2</v>
      </c>
    </row>
    <row r="6441" spans="1:9" x14ac:dyDescent="0.25">
      <c r="A6441" s="515">
        <v>96161</v>
      </c>
      <c r="B6441" s="515" t="s">
        <v>387</v>
      </c>
      <c r="C6441" s="52">
        <v>973479.49249904195</v>
      </c>
      <c r="D6441" s="56">
        <v>-2.56581786323615E-2</v>
      </c>
      <c r="E6441" s="224" t="s">
        <v>2</v>
      </c>
      <c r="F6441" s="515" t="s">
        <v>7664</v>
      </c>
      <c r="G6441" s="52">
        <v>469908.96017986903</v>
      </c>
      <c r="H6441" s="56">
        <v>3.5746578600591966E-2</v>
      </c>
      <c r="I6441" s="224" t="s">
        <v>2</v>
      </c>
    </row>
    <row r="6442" spans="1:9" x14ac:dyDescent="0.25">
      <c r="A6442" s="515">
        <v>48838</v>
      </c>
      <c r="B6442" s="515" t="s">
        <v>631</v>
      </c>
      <c r="C6442" s="52">
        <v>212840.574418142</v>
      </c>
      <c r="D6442" s="56">
        <v>5.3541244008624013E-2</v>
      </c>
      <c r="E6442" s="224" t="s">
        <v>2</v>
      </c>
      <c r="F6442" s="515" t="s">
        <v>7665</v>
      </c>
      <c r="G6442" s="52">
        <v>762058.39166694903</v>
      </c>
      <c r="H6442" s="56">
        <v>6.3667467419758345E-2</v>
      </c>
      <c r="I6442" s="224" t="s">
        <v>2</v>
      </c>
    </row>
    <row r="6443" spans="1:9" x14ac:dyDescent="0.25">
      <c r="A6443" s="515">
        <v>77051</v>
      </c>
      <c r="B6443" s="515" t="s">
        <v>314</v>
      </c>
      <c r="C6443" s="52">
        <v>170081.94971761599</v>
      </c>
      <c r="D6443" s="56">
        <v>0.16756540584339918</v>
      </c>
      <c r="E6443" s="224">
        <v>1483.4166666666599</v>
      </c>
      <c r="F6443" s="515" t="s">
        <v>7666</v>
      </c>
      <c r="G6443" s="52">
        <v>190865.85666691</v>
      </c>
      <c r="H6443" s="56">
        <v>9.2341372958187742E-2</v>
      </c>
      <c r="I6443" s="224" t="s">
        <v>2</v>
      </c>
    </row>
    <row r="6444" spans="1:9" x14ac:dyDescent="0.25">
      <c r="A6444" s="515">
        <v>76104</v>
      </c>
      <c r="B6444" s="515" t="s">
        <v>458</v>
      </c>
      <c r="C6444" s="52">
        <v>181015.017670225</v>
      </c>
      <c r="D6444" s="56">
        <v>0.21728732700844858</v>
      </c>
      <c r="E6444" s="224">
        <v>1579.30446843604</v>
      </c>
      <c r="F6444" s="515" t="s">
        <v>7667</v>
      </c>
      <c r="G6444" s="52">
        <v>346134.48431026499</v>
      </c>
      <c r="H6444" s="56">
        <v>2.1103470389929022E-2</v>
      </c>
      <c r="I6444" s="224" t="s">
        <v>2</v>
      </c>
    </row>
    <row r="6445" spans="1:9" x14ac:dyDescent="0.25">
      <c r="A6445" s="515">
        <v>76082</v>
      </c>
      <c r="B6445" s="515" t="s">
        <v>458</v>
      </c>
      <c r="C6445" s="52">
        <v>358117.95772870397</v>
      </c>
      <c r="D6445" s="56">
        <v>7.5458610805686305E-2</v>
      </c>
      <c r="E6445" s="224" t="s">
        <v>2</v>
      </c>
      <c r="F6445" s="515" t="s">
        <v>430</v>
      </c>
      <c r="G6445" s="52">
        <v>161815.17687241899</v>
      </c>
      <c r="H6445" s="56">
        <v>0.11388389924549654</v>
      </c>
      <c r="I6445" s="224" t="s">
        <v>2</v>
      </c>
    </row>
    <row r="6446" spans="1:9" x14ac:dyDescent="0.25">
      <c r="A6446" s="515">
        <v>11021</v>
      </c>
      <c r="B6446" s="515" t="s">
        <v>324</v>
      </c>
      <c r="C6446" s="52">
        <v>1047047.02363745</v>
      </c>
      <c r="D6446" s="56">
        <v>-7.6996667729767265E-2</v>
      </c>
      <c r="E6446" s="224">
        <v>3542.5</v>
      </c>
      <c r="F6446" s="515" t="s">
        <v>7668</v>
      </c>
      <c r="G6446" s="52">
        <v>318813.28275288001</v>
      </c>
      <c r="H6446" s="56">
        <v>4.8260736112471683E-2</v>
      </c>
      <c r="I6446" s="224" t="s">
        <v>2</v>
      </c>
    </row>
    <row r="6447" spans="1:9" x14ac:dyDescent="0.25">
      <c r="A6447" s="515">
        <v>45406</v>
      </c>
      <c r="B6447" s="515" t="s">
        <v>340</v>
      </c>
      <c r="C6447" s="52">
        <v>77381.779699010003</v>
      </c>
      <c r="D6447" s="56">
        <v>0.26723876551198583</v>
      </c>
      <c r="E6447" s="224">
        <v>981.33333333333303</v>
      </c>
      <c r="F6447" s="515" t="s">
        <v>7669</v>
      </c>
      <c r="G6447" s="52">
        <v>249038.82935159799</v>
      </c>
      <c r="H6447" s="56">
        <v>6.9328795675825519E-2</v>
      </c>
      <c r="I6447" s="224" t="s">
        <v>2</v>
      </c>
    </row>
    <row r="6448" spans="1:9" x14ac:dyDescent="0.25">
      <c r="A6448" s="515">
        <v>40059</v>
      </c>
      <c r="B6448" s="515" t="s">
        <v>479</v>
      </c>
      <c r="C6448" s="52">
        <v>559246.12691275403</v>
      </c>
      <c r="D6448" s="56">
        <v>8.3761335499094647E-2</v>
      </c>
      <c r="E6448" s="224">
        <v>2393.3333333333298</v>
      </c>
      <c r="F6448" s="515" t="s">
        <v>7670</v>
      </c>
      <c r="G6448" s="52">
        <v>165803.591641712</v>
      </c>
      <c r="H6448" s="56">
        <v>4.7308187496889607E-2</v>
      </c>
      <c r="I6448" s="224" t="s">
        <v>2</v>
      </c>
    </row>
    <row r="6449" spans="1:9" x14ac:dyDescent="0.25">
      <c r="A6449" s="515">
        <v>63138</v>
      </c>
      <c r="B6449" s="515" t="s">
        <v>498</v>
      </c>
      <c r="C6449" s="52">
        <v>136295.820329915</v>
      </c>
      <c r="D6449" s="56">
        <v>0.11130174168676223</v>
      </c>
      <c r="E6449" s="224">
        <v>1249.5</v>
      </c>
      <c r="F6449" s="515" t="s">
        <v>7671</v>
      </c>
      <c r="G6449" s="52">
        <v>662246.81654536899</v>
      </c>
      <c r="H6449" s="56">
        <v>2.2099108339724664E-2</v>
      </c>
      <c r="I6449" s="224" t="s">
        <v>2</v>
      </c>
    </row>
    <row r="6450" spans="1:9" x14ac:dyDescent="0.25">
      <c r="A6450" s="515">
        <v>87701</v>
      </c>
      <c r="B6450" s="515" t="s">
        <v>767</v>
      </c>
      <c r="C6450" s="52">
        <v>158078.68063361099</v>
      </c>
      <c r="D6450" s="56">
        <v>3.8622758230451026E-2</v>
      </c>
      <c r="E6450" s="224" t="s">
        <v>2</v>
      </c>
      <c r="F6450" s="515" t="s">
        <v>7672</v>
      </c>
      <c r="G6450" s="52">
        <v>143190.56685854599</v>
      </c>
      <c r="H6450" s="56">
        <v>5.5187238487659156E-2</v>
      </c>
      <c r="I6450" s="224" t="s">
        <v>2</v>
      </c>
    </row>
    <row r="6451" spans="1:9" x14ac:dyDescent="0.25">
      <c r="A6451" s="515">
        <v>29706</v>
      </c>
      <c r="B6451" s="515" t="s">
        <v>360</v>
      </c>
      <c r="C6451" s="52">
        <v>170413.013587483</v>
      </c>
      <c r="D6451" s="56">
        <v>9.4424499656863517E-2</v>
      </c>
      <c r="E6451" s="224" t="s">
        <v>2</v>
      </c>
      <c r="F6451" s="515" t="s">
        <v>7673</v>
      </c>
      <c r="G6451" s="52">
        <v>7455342.0890699401</v>
      </c>
      <c r="H6451" s="56">
        <v>7.8610578196753097E-3</v>
      </c>
      <c r="I6451" s="224" t="s">
        <v>2</v>
      </c>
    </row>
    <row r="6452" spans="1:9" x14ac:dyDescent="0.25">
      <c r="A6452" s="515">
        <v>85715</v>
      </c>
      <c r="B6452" s="515" t="s">
        <v>368</v>
      </c>
      <c r="C6452" s="52">
        <v>365902.728463987</v>
      </c>
      <c r="D6452" s="56">
        <v>7.6475532253356099E-2</v>
      </c>
      <c r="E6452" s="224">
        <v>1623.5</v>
      </c>
      <c r="F6452" s="515" t="s">
        <v>7674</v>
      </c>
      <c r="G6452" s="52">
        <v>161750.86754310899</v>
      </c>
      <c r="H6452" s="56">
        <v>9.0376547253154804E-2</v>
      </c>
      <c r="I6452" s="224" t="s">
        <v>2</v>
      </c>
    </row>
    <row r="6453" spans="1:9" x14ac:dyDescent="0.25">
      <c r="A6453" s="515">
        <v>75039</v>
      </c>
      <c r="B6453" s="515" t="s">
        <v>458</v>
      </c>
      <c r="C6453" s="52">
        <v>608229.41076419305</v>
      </c>
      <c r="D6453" s="56">
        <v>7.0783663375231357E-2</v>
      </c>
      <c r="E6453" s="224">
        <v>1857.5534482758601</v>
      </c>
      <c r="F6453" s="515" t="s">
        <v>7675</v>
      </c>
      <c r="G6453" s="52">
        <v>250434.58430833701</v>
      </c>
      <c r="H6453" s="56">
        <v>0.10976983241687722</v>
      </c>
      <c r="I6453" s="224">
        <v>1812.5</v>
      </c>
    </row>
    <row r="6454" spans="1:9" x14ac:dyDescent="0.25">
      <c r="A6454" s="515">
        <v>48051</v>
      </c>
      <c r="B6454" s="515" t="s">
        <v>685</v>
      </c>
      <c r="C6454" s="52">
        <v>271956.80865254899</v>
      </c>
      <c r="D6454" s="56">
        <v>5.63700181579865E-2</v>
      </c>
      <c r="E6454" s="224" t="s">
        <v>2</v>
      </c>
      <c r="F6454" s="515" t="s">
        <v>7676</v>
      </c>
      <c r="G6454" s="52">
        <v>501519.71336052899</v>
      </c>
      <c r="H6454" s="56">
        <v>0.15770515975089922</v>
      </c>
      <c r="I6454" s="224" t="s">
        <v>2</v>
      </c>
    </row>
    <row r="6455" spans="1:9" x14ac:dyDescent="0.25">
      <c r="A6455" s="515">
        <v>79045</v>
      </c>
      <c r="B6455" s="515" t="s">
        <v>1126</v>
      </c>
      <c r="C6455" s="52">
        <v>138159.97356322399</v>
      </c>
      <c r="D6455" s="56">
        <v>1.9856926301759076E-2</v>
      </c>
      <c r="E6455" s="224" t="s">
        <v>2</v>
      </c>
      <c r="F6455" s="515" t="s">
        <v>7677</v>
      </c>
      <c r="G6455" s="52">
        <v>489949.12416488997</v>
      </c>
      <c r="H6455" s="56">
        <v>2.1744990527566961E-2</v>
      </c>
      <c r="I6455" s="224" t="s">
        <v>2</v>
      </c>
    </row>
    <row r="6456" spans="1:9" x14ac:dyDescent="0.25">
      <c r="A6456" s="515">
        <v>34286</v>
      </c>
      <c r="B6456" s="515" t="s">
        <v>466</v>
      </c>
      <c r="C6456" s="52">
        <v>362453.26799024898</v>
      </c>
      <c r="D6456" s="56">
        <v>0.1192393127382318</v>
      </c>
      <c r="E6456" s="224">
        <v>2217.1666666666601</v>
      </c>
      <c r="F6456" s="515" t="s">
        <v>7678</v>
      </c>
      <c r="G6456" s="52">
        <v>154326.65735328701</v>
      </c>
      <c r="H6456" s="56">
        <v>0.14328003454270435</v>
      </c>
      <c r="I6456" s="224" t="s">
        <v>2</v>
      </c>
    </row>
    <row r="6457" spans="1:9" x14ac:dyDescent="0.25">
      <c r="A6457" s="515">
        <v>8536</v>
      </c>
      <c r="B6457" s="515" t="s">
        <v>324</v>
      </c>
      <c r="C6457" s="52">
        <v>518639.90321024298</v>
      </c>
      <c r="D6457" s="56">
        <v>7.7973161724382817E-2</v>
      </c>
      <c r="E6457" s="224">
        <v>2069.2196969696902</v>
      </c>
      <c r="F6457" s="515" t="s">
        <v>7679</v>
      </c>
      <c r="G6457" s="52">
        <v>132606.67849988499</v>
      </c>
      <c r="H6457" s="56">
        <v>7.1564423441770691E-2</v>
      </c>
      <c r="I6457" s="224" t="s">
        <v>2</v>
      </c>
    </row>
    <row r="6458" spans="1:9" x14ac:dyDescent="0.25">
      <c r="A6458" s="515">
        <v>19801</v>
      </c>
      <c r="B6458" s="515" t="s">
        <v>294</v>
      </c>
      <c r="C6458" s="52">
        <v>134458.20906122899</v>
      </c>
      <c r="D6458" s="56">
        <v>0.1976847143529665</v>
      </c>
      <c r="E6458" s="224">
        <v>1601.1636363636301</v>
      </c>
      <c r="F6458" s="515" t="s">
        <v>7680</v>
      </c>
      <c r="G6458" s="52">
        <v>414498.607071359</v>
      </c>
      <c r="H6458" s="56">
        <v>7.5519790980018001E-2</v>
      </c>
      <c r="I6458" s="224" t="s">
        <v>2</v>
      </c>
    </row>
    <row r="6459" spans="1:9" x14ac:dyDescent="0.25">
      <c r="A6459" s="515">
        <v>84102</v>
      </c>
      <c r="B6459" s="515" t="s">
        <v>617</v>
      </c>
      <c r="C6459" s="52">
        <v>496752.393161449</v>
      </c>
      <c r="D6459" s="56">
        <v>9.0769311080189218E-3</v>
      </c>
      <c r="E6459" s="224">
        <v>1584.0471380471299</v>
      </c>
      <c r="F6459" s="515" t="s">
        <v>7681</v>
      </c>
      <c r="G6459" s="52">
        <v>195093.62650496099</v>
      </c>
      <c r="H6459" s="56">
        <v>0</v>
      </c>
      <c r="I6459" s="224" t="s">
        <v>2</v>
      </c>
    </row>
    <row r="6460" spans="1:9" x14ac:dyDescent="0.25">
      <c r="A6460" s="515">
        <v>76120</v>
      </c>
      <c r="B6460" s="515" t="s">
        <v>458</v>
      </c>
      <c r="C6460" s="52">
        <v>309303.48848436802</v>
      </c>
      <c r="D6460" s="56">
        <v>7.0763385986644972E-2</v>
      </c>
      <c r="E6460" s="224">
        <v>1370.375</v>
      </c>
      <c r="F6460" s="515" t="s">
        <v>7682</v>
      </c>
      <c r="G6460" s="52">
        <v>237891.60589036599</v>
      </c>
      <c r="H6460" s="56">
        <v>0.19782064764209356</v>
      </c>
      <c r="I6460" s="224" t="s">
        <v>2</v>
      </c>
    </row>
    <row r="6461" spans="1:9" x14ac:dyDescent="0.25">
      <c r="A6461" s="515">
        <v>37015</v>
      </c>
      <c r="B6461" s="515" t="s">
        <v>684</v>
      </c>
      <c r="C6461" s="52">
        <v>308413.39234083699</v>
      </c>
      <c r="D6461" s="56">
        <v>5.6466172116628979E-2</v>
      </c>
      <c r="E6461" s="224">
        <v>1702.6666666666599</v>
      </c>
      <c r="F6461" s="515" t="s">
        <v>7683</v>
      </c>
      <c r="G6461" s="52">
        <v>203423.15004158701</v>
      </c>
      <c r="H6461" s="56">
        <v>0.11242018947842264</v>
      </c>
      <c r="I6461" s="224" t="s">
        <v>2</v>
      </c>
    </row>
    <row r="6462" spans="1:9" x14ac:dyDescent="0.25">
      <c r="A6462" s="515">
        <v>5403</v>
      </c>
      <c r="B6462" s="515" t="s">
        <v>441</v>
      </c>
      <c r="C6462" s="52">
        <v>424406.913960192</v>
      </c>
      <c r="D6462" s="56">
        <v>0.10010892909227515</v>
      </c>
      <c r="E6462" s="224" t="s">
        <v>2</v>
      </c>
      <c r="F6462" s="515" t="s">
        <v>7684</v>
      </c>
      <c r="G6462" s="52">
        <v>63933.887325567601</v>
      </c>
      <c r="H6462" s="56">
        <v>0.15664519827590334</v>
      </c>
      <c r="I6462" s="224" t="s">
        <v>2</v>
      </c>
    </row>
    <row r="6463" spans="1:9" x14ac:dyDescent="0.25">
      <c r="A6463" s="515">
        <v>63034</v>
      </c>
      <c r="B6463" s="515" t="s">
        <v>498</v>
      </c>
      <c r="C6463" s="52">
        <v>250341.60237643501</v>
      </c>
      <c r="D6463" s="56">
        <v>6.3858151079494718E-2</v>
      </c>
      <c r="E6463" s="224">
        <v>2054.1666666666601</v>
      </c>
      <c r="F6463" s="515" t="s">
        <v>7685</v>
      </c>
      <c r="G6463" s="52">
        <v>183293.42083166199</v>
      </c>
      <c r="H6463" s="56">
        <v>2.1517121609477809E-2</v>
      </c>
      <c r="I6463" s="224" t="s">
        <v>2</v>
      </c>
    </row>
    <row r="6464" spans="1:9" x14ac:dyDescent="0.25">
      <c r="A6464" s="515">
        <v>50703</v>
      </c>
      <c r="B6464" s="515" t="s">
        <v>315</v>
      </c>
      <c r="C6464" s="52">
        <v>76067.9124155756</v>
      </c>
      <c r="D6464" s="56">
        <v>0.11781215835702574</v>
      </c>
      <c r="E6464" s="224">
        <v>807.77777777777703</v>
      </c>
      <c r="F6464" s="515" t="s">
        <v>7686</v>
      </c>
      <c r="G6464" s="52">
        <v>175992.47256813699</v>
      </c>
      <c r="H6464" s="56">
        <v>0.18139034202966253</v>
      </c>
      <c r="I6464" s="224" t="s">
        <v>2</v>
      </c>
    </row>
    <row r="6465" spans="1:9" x14ac:dyDescent="0.25">
      <c r="A6465" s="515">
        <v>60436</v>
      </c>
      <c r="B6465" s="515" t="s">
        <v>394</v>
      </c>
      <c r="C6465" s="52">
        <v>171161.257916287</v>
      </c>
      <c r="D6465" s="56">
        <v>7.308770960992797E-2</v>
      </c>
      <c r="E6465" s="224" t="s">
        <v>2</v>
      </c>
      <c r="F6465" s="515" t="s">
        <v>7687</v>
      </c>
      <c r="G6465" s="52">
        <v>211724.769521448</v>
      </c>
      <c r="H6465" s="56">
        <v>7.5982501337728298E-2</v>
      </c>
      <c r="I6465" s="224" t="s">
        <v>2</v>
      </c>
    </row>
    <row r="6466" spans="1:9" x14ac:dyDescent="0.25">
      <c r="A6466" s="515">
        <v>65613</v>
      </c>
      <c r="B6466" s="515" t="s">
        <v>603</v>
      </c>
      <c r="C6466" s="52">
        <v>214689.21452299799</v>
      </c>
      <c r="D6466" s="56">
        <v>0.10855823309961742</v>
      </c>
      <c r="E6466" s="224" t="s">
        <v>2</v>
      </c>
      <c r="F6466" s="515" t="s">
        <v>7688</v>
      </c>
      <c r="G6466" s="52">
        <v>497696.43137674499</v>
      </c>
      <c r="H6466" s="56">
        <v>2.7258939004792381E-2</v>
      </c>
      <c r="I6466" s="224" t="s">
        <v>2</v>
      </c>
    </row>
    <row r="6467" spans="1:9" x14ac:dyDescent="0.25">
      <c r="A6467" s="515">
        <v>92264</v>
      </c>
      <c r="B6467" s="515" t="s">
        <v>599</v>
      </c>
      <c r="C6467" s="52">
        <v>596257.34735830303</v>
      </c>
      <c r="D6467" s="56">
        <v>0.11713569591751537</v>
      </c>
      <c r="E6467" s="224">
        <v>2533.35</v>
      </c>
      <c r="F6467" s="515" t="s">
        <v>7689</v>
      </c>
      <c r="G6467" s="52">
        <v>180334.24713033301</v>
      </c>
      <c r="H6467" s="56">
        <v>4.8917195184338048E-2</v>
      </c>
      <c r="I6467" s="224" t="s">
        <v>2</v>
      </c>
    </row>
    <row r="6468" spans="1:9" x14ac:dyDescent="0.25">
      <c r="A6468" s="515">
        <v>46703</v>
      </c>
      <c r="B6468" s="515" t="s">
        <v>1072</v>
      </c>
      <c r="C6468" s="52">
        <v>255728.21885188899</v>
      </c>
      <c r="D6468" s="56">
        <v>5.6046242554700164E-2</v>
      </c>
      <c r="E6468" s="224" t="s">
        <v>2</v>
      </c>
      <c r="F6468" s="515" t="s">
        <v>7690</v>
      </c>
      <c r="G6468" s="52">
        <v>114350.908736791</v>
      </c>
      <c r="H6468" s="56">
        <v>0.10033801807451403</v>
      </c>
      <c r="I6468" s="224" t="s">
        <v>2</v>
      </c>
    </row>
    <row r="6469" spans="1:9" x14ac:dyDescent="0.25">
      <c r="A6469" s="515">
        <v>77447</v>
      </c>
      <c r="B6469" s="515" t="s">
        <v>314</v>
      </c>
      <c r="C6469" s="52">
        <v>309746.56851446198</v>
      </c>
      <c r="D6469" s="56">
        <v>7.9987265650869388E-2</v>
      </c>
      <c r="E6469" s="224">
        <v>1659.44444444444</v>
      </c>
      <c r="F6469" s="515" t="s">
        <v>7691</v>
      </c>
      <c r="G6469" s="52">
        <v>165453.00713604799</v>
      </c>
      <c r="H6469" s="56">
        <v>0.10944646078240822</v>
      </c>
      <c r="I6469" s="224" t="s">
        <v>2</v>
      </c>
    </row>
    <row r="6470" spans="1:9" x14ac:dyDescent="0.25">
      <c r="A6470" s="515">
        <v>85250</v>
      </c>
      <c r="B6470" s="515" t="s">
        <v>563</v>
      </c>
      <c r="C6470" s="52">
        <v>566630.67396706995</v>
      </c>
      <c r="D6470" s="56">
        <v>6.6880477896996304E-2</v>
      </c>
      <c r="E6470" s="224">
        <v>2554.6481481481401</v>
      </c>
      <c r="F6470" s="515" t="s">
        <v>7692</v>
      </c>
      <c r="G6470" s="52">
        <v>307688.01546598697</v>
      </c>
      <c r="H6470" s="56">
        <v>8.0536000367387311E-2</v>
      </c>
      <c r="I6470" s="224" t="s">
        <v>2</v>
      </c>
    </row>
    <row r="6471" spans="1:9" x14ac:dyDescent="0.25">
      <c r="A6471" s="515">
        <v>33976</v>
      </c>
      <c r="B6471" s="515" t="s">
        <v>661</v>
      </c>
      <c r="C6471" s="52">
        <v>280960.10487424699</v>
      </c>
      <c r="D6471" s="56">
        <v>0.14948355809744443</v>
      </c>
      <c r="E6471" s="224">
        <v>2205.8333333333298</v>
      </c>
      <c r="F6471" s="515" t="s">
        <v>7693</v>
      </c>
      <c r="G6471" s="52">
        <v>261087.53236083299</v>
      </c>
      <c r="H6471" s="56">
        <v>5.5288889243343742E-2</v>
      </c>
      <c r="I6471" s="224" t="s">
        <v>2</v>
      </c>
    </row>
    <row r="6472" spans="1:9" x14ac:dyDescent="0.25">
      <c r="A6472" s="515">
        <v>36606</v>
      </c>
      <c r="B6472" s="515" t="s">
        <v>815</v>
      </c>
      <c r="C6472" s="52">
        <v>121155.35339992</v>
      </c>
      <c r="D6472" s="56">
        <v>9.7283853149247951E-2</v>
      </c>
      <c r="E6472" s="224">
        <v>1001</v>
      </c>
      <c r="F6472" s="515" t="s">
        <v>7694</v>
      </c>
      <c r="G6472" s="52">
        <v>273817.35203050898</v>
      </c>
      <c r="H6472" s="56">
        <v>0.10400706466840762</v>
      </c>
      <c r="I6472" s="224" t="s">
        <v>2</v>
      </c>
    </row>
    <row r="6473" spans="1:9" x14ac:dyDescent="0.25">
      <c r="A6473" s="515">
        <v>12534</v>
      </c>
      <c r="B6473" s="515" t="s">
        <v>564</v>
      </c>
      <c r="C6473" s="52">
        <v>361683.719233885</v>
      </c>
      <c r="D6473" s="56">
        <v>0.12177224886685668</v>
      </c>
      <c r="E6473" s="224">
        <v>2293.75</v>
      </c>
      <c r="F6473" s="515" t="s">
        <v>7695</v>
      </c>
      <c r="G6473" s="52">
        <v>349466.18452498602</v>
      </c>
      <c r="H6473" s="56">
        <v>7.4612980976408241E-2</v>
      </c>
      <c r="I6473" s="224" t="s">
        <v>2</v>
      </c>
    </row>
    <row r="6474" spans="1:9" x14ac:dyDescent="0.25">
      <c r="A6474" s="515">
        <v>38108</v>
      </c>
      <c r="B6474" s="515" t="s">
        <v>951</v>
      </c>
      <c r="C6474" s="52">
        <v>59901.347848663601</v>
      </c>
      <c r="D6474" s="56">
        <v>0.25471989773993542</v>
      </c>
      <c r="E6474" s="224">
        <v>947.5</v>
      </c>
      <c r="F6474" s="515" t="s">
        <v>7696</v>
      </c>
      <c r="G6474" s="52">
        <v>259464.824084183</v>
      </c>
      <c r="H6474" s="56">
        <v>6.2645251606138264E-2</v>
      </c>
      <c r="I6474" s="224" t="s">
        <v>2</v>
      </c>
    </row>
    <row r="6475" spans="1:9" x14ac:dyDescent="0.25">
      <c r="A6475" s="515">
        <v>28075</v>
      </c>
      <c r="B6475" s="515" t="s">
        <v>360</v>
      </c>
      <c r="C6475" s="52">
        <v>475837.63211818098</v>
      </c>
      <c r="D6475" s="56">
        <v>9.6043870249769361E-2</v>
      </c>
      <c r="E6475" s="224" t="s">
        <v>2</v>
      </c>
      <c r="F6475" s="515" t="s">
        <v>7697</v>
      </c>
      <c r="G6475" s="52">
        <v>287140.52202493499</v>
      </c>
      <c r="H6475" s="56">
        <v>6.3380283665676163E-2</v>
      </c>
      <c r="I6475" s="224" t="s">
        <v>2</v>
      </c>
    </row>
    <row r="6476" spans="1:9" x14ac:dyDescent="0.25">
      <c r="A6476" s="515">
        <v>36066</v>
      </c>
      <c r="B6476" s="515" t="s">
        <v>806</v>
      </c>
      <c r="C6476" s="52">
        <v>236678.243245772</v>
      </c>
      <c r="D6476" s="56">
        <v>8.6333513930607758E-2</v>
      </c>
      <c r="E6476" s="224">
        <v>1629.9738095237999</v>
      </c>
      <c r="F6476" s="515" t="s">
        <v>7698</v>
      </c>
      <c r="G6476" s="52">
        <v>284134.75124760403</v>
      </c>
      <c r="H6476" s="56">
        <v>5.7113263042739962E-2</v>
      </c>
      <c r="I6476" s="224" t="s">
        <v>2</v>
      </c>
    </row>
    <row r="6477" spans="1:9" x14ac:dyDescent="0.25">
      <c r="A6477" s="515">
        <v>74037</v>
      </c>
      <c r="B6477" s="515" t="s">
        <v>348</v>
      </c>
      <c r="C6477" s="52">
        <v>300968.46479633299</v>
      </c>
      <c r="D6477" s="56">
        <v>9.9414698463535428E-2</v>
      </c>
      <c r="E6477" s="224">
        <v>0</v>
      </c>
      <c r="F6477" s="515" t="s">
        <v>7699</v>
      </c>
      <c r="G6477" s="52">
        <v>299838.43341715803</v>
      </c>
      <c r="H6477" s="56">
        <v>6.7277256701518393E-2</v>
      </c>
      <c r="I6477" s="224" t="s">
        <v>2</v>
      </c>
    </row>
    <row r="6478" spans="1:9" x14ac:dyDescent="0.25">
      <c r="A6478" s="515">
        <v>14559</v>
      </c>
      <c r="B6478" s="515" t="s">
        <v>337</v>
      </c>
      <c r="C6478" s="52">
        <v>239939.52432546401</v>
      </c>
      <c r="D6478" s="56">
        <v>9.1933870423677011E-2</v>
      </c>
      <c r="E6478" s="224">
        <v>1365</v>
      </c>
      <c r="F6478" s="515" t="s">
        <v>7700</v>
      </c>
      <c r="G6478" s="52">
        <v>288373.65408492298</v>
      </c>
      <c r="H6478" s="56">
        <v>4.2596908553484809E-2</v>
      </c>
      <c r="I6478" s="224" t="s">
        <v>2</v>
      </c>
    </row>
    <row r="6479" spans="1:9" x14ac:dyDescent="0.25">
      <c r="A6479" s="515">
        <v>11754</v>
      </c>
      <c r="B6479" s="515" t="s">
        <v>324</v>
      </c>
      <c r="C6479" s="52">
        <v>600634.67830187001</v>
      </c>
      <c r="D6479" s="56">
        <v>5.3230371672665484E-2</v>
      </c>
      <c r="E6479" s="224" t="s">
        <v>2</v>
      </c>
      <c r="F6479" s="515" t="s">
        <v>7701</v>
      </c>
      <c r="G6479" s="52">
        <v>823447.556549442</v>
      </c>
      <c r="H6479" s="56">
        <v>2.1639095183278282E-2</v>
      </c>
      <c r="I6479" s="224" t="s">
        <v>2</v>
      </c>
    </row>
    <row r="6480" spans="1:9" x14ac:dyDescent="0.25">
      <c r="A6480" s="515">
        <v>85755</v>
      </c>
      <c r="B6480" s="515" t="s">
        <v>368</v>
      </c>
      <c r="C6480" s="52">
        <v>488789.79697634699</v>
      </c>
      <c r="D6480" s="56">
        <v>6.8522985642771012E-2</v>
      </c>
      <c r="E6480" s="224">
        <v>2190.8333333333298</v>
      </c>
      <c r="F6480" s="515" t="s">
        <v>7702</v>
      </c>
      <c r="G6480" s="52">
        <v>381629.47078742</v>
      </c>
      <c r="H6480" s="56">
        <v>7.1690513135236819E-2</v>
      </c>
      <c r="I6480" s="224">
        <v>1811.1111111111099</v>
      </c>
    </row>
    <row r="6481" spans="1:9" x14ac:dyDescent="0.25">
      <c r="A6481" s="515">
        <v>19508</v>
      </c>
      <c r="B6481" s="515" t="s">
        <v>569</v>
      </c>
      <c r="C6481" s="52">
        <v>273655.676673782</v>
      </c>
      <c r="D6481" s="56">
        <v>0.11546890260772777</v>
      </c>
      <c r="E6481" s="224" t="s">
        <v>2</v>
      </c>
      <c r="F6481" s="515" t="s">
        <v>7703</v>
      </c>
      <c r="G6481" s="52">
        <v>164928.22220957599</v>
      </c>
      <c r="H6481" s="56">
        <v>1.4952197475005168E-2</v>
      </c>
      <c r="I6481" s="224" t="s">
        <v>2</v>
      </c>
    </row>
    <row r="6482" spans="1:9" x14ac:dyDescent="0.25">
      <c r="A6482" s="515">
        <v>59802</v>
      </c>
      <c r="B6482" s="515" t="s">
        <v>1060</v>
      </c>
      <c r="C6482" s="52">
        <v>497916.079076119</v>
      </c>
      <c r="D6482" s="56">
        <v>6.4000287450522747E-2</v>
      </c>
      <c r="E6482" s="224" t="s">
        <v>2</v>
      </c>
      <c r="F6482" s="515" t="s">
        <v>7704</v>
      </c>
      <c r="G6482" s="52">
        <v>425946.426360666</v>
      </c>
      <c r="H6482" s="56">
        <v>5.7201091491059557E-2</v>
      </c>
      <c r="I6482" s="224" t="s">
        <v>2</v>
      </c>
    </row>
    <row r="6483" spans="1:9" x14ac:dyDescent="0.25">
      <c r="A6483" s="515">
        <v>93250</v>
      </c>
      <c r="B6483" s="515" t="s">
        <v>419</v>
      </c>
      <c r="C6483" s="52">
        <v>265844.710891922</v>
      </c>
      <c r="D6483" s="56">
        <v>9.3772270227725399E-2</v>
      </c>
      <c r="E6483" s="224" t="s">
        <v>2</v>
      </c>
      <c r="F6483" s="515" t="s">
        <v>7705</v>
      </c>
      <c r="G6483" s="52">
        <v>190704.37200615901</v>
      </c>
      <c r="H6483" s="56">
        <v>9.3544990835856656E-2</v>
      </c>
      <c r="I6483" s="224" t="s">
        <v>2</v>
      </c>
    </row>
    <row r="6484" spans="1:9" x14ac:dyDescent="0.25">
      <c r="A6484" s="515">
        <v>33131</v>
      </c>
      <c r="B6484" s="515" t="s">
        <v>831</v>
      </c>
      <c r="C6484" s="52">
        <v>593393.13033303095</v>
      </c>
      <c r="D6484" s="56">
        <v>0.20452373941768426</v>
      </c>
      <c r="E6484" s="224">
        <v>3783.21425070028</v>
      </c>
      <c r="F6484" s="515" t="s">
        <v>7706</v>
      </c>
      <c r="G6484" s="52">
        <v>357990.38582657499</v>
      </c>
      <c r="H6484" s="56">
        <v>9.3103616466340036E-2</v>
      </c>
      <c r="I6484" s="224" t="s">
        <v>2</v>
      </c>
    </row>
    <row r="6485" spans="1:9" x14ac:dyDescent="0.25">
      <c r="A6485" s="515">
        <v>80751</v>
      </c>
      <c r="B6485" s="515" t="s">
        <v>721</v>
      </c>
      <c r="C6485" s="52">
        <v>235151.33328611299</v>
      </c>
      <c r="D6485" s="56">
        <v>7.0805582334544051E-2</v>
      </c>
      <c r="E6485" s="224" t="s">
        <v>2</v>
      </c>
      <c r="F6485" s="515" t="s">
        <v>7707</v>
      </c>
      <c r="G6485" s="52">
        <v>470706.76322893298</v>
      </c>
      <c r="H6485" s="56">
        <v>-1.1373154954627877E-2</v>
      </c>
      <c r="I6485" s="224" t="s">
        <v>2</v>
      </c>
    </row>
    <row r="6486" spans="1:9" x14ac:dyDescent="0.25">
      <c r="A6486" s="515">
        <v>57301</v>
      </c>
      <c r="B6486" s="515" t="s">
        <v>890</v>
      </c>
      <c r="C6486" s="52">
        <v>210222.46584026201</v>
      </c>
      <c r="D6486" s="56">
        <v>8.0727347874392383E-2</v>
      </c>
      <c r="E6486" s="224" t="s">
        <v>2</v>
      </c>
      <c r="F6486" s="515" t="s">
        <v>7708</v>
      </c>
      <c r="G6486" s="52">
        <v>603416.99777339399</v>
      </c>
      <c r="H6486" s="56">
        <v>9.0928047976193707E-2</v>
      </c>
      <c r="I6486" s="224" t="s">
        <v>2</v>
      </c>
    </row>
    <row r="6487" spans="1:9" x14ac:dyDescent="0.25">
      <c r="A6487" s="515">
        <v>17019</v>
      </c>
      <c r="B6487" s="515" t="s">
        <v>509</v>
      </c>
      <c r="C6487" s="52">
        <v>313677.26085431402</v>
      </c>
      <c r="D6487" s="56">
        <v>0.10457684549294528</v>
      </c>
      <c r="E6487" s="224" t="s">
        <v>2</v>
      </c>
      <c r="F6487" s="515" t="s">
        <v>7709</v>
      </c>
      <c r="G6487" s="52">
        <v>338922.37720532197</v>
      </c>
      <c r="H6487" s="56">
        <v>6.9970463200124289E-2</v>
      </c>
      <c r="I6487" s="224" t="s">
        <v>2</v>
      </c>
    </row>
    <row r="6488" spans="1:9" x14ac:dyDescent="0.25">
      <c r="A6488" s="515">
        <v>48458</v>
      </c>
      <c r="B6488" s="515" t="s">
        <v>759</v>
      </c>
      <c r="C6488" s="52">
        <v>97676.120392711295</v>
      </c>
      <c r="D6488" s="56">
        <v>3.9832857185304368E-2</v>
      </c>
      <c r="E6488" s="224" t="s">
        <v>2</v>
      </c>
      <c r="F6488" s="515" t="s">
        <v>7710</v>
      </c>
      <c r="G6488" s="52">
        <v>150069.53416603699</v>
      </c>
      <c r="H6488" s="56">
        <v>0.10961523726748093</v>
      </c>
      <c r="I6488" s="224" t="s">
        <v>2</v>
      </c>
    </row>
    <row r="6489" spans="1:9" x14ac:dyDescent="0.25">
      <c r="A6489" s="515">
        <v>97239</v>
      </c>
      <c r="B6489" s="515" t="s">
        <v>659</v>
      </c>
      <c r="C6489" s="52">
        <v>626151.83971012803</v>
      </c>
      <c r="D6489" s="56">
        <v>-8.5510569819017765E-3</v>
      </c>
      <c r="E6489" s="224">
        <v>1842.23371647509</v>
      </c>
      <c r="F6489" s="515" t="s">
        <v>7711</v>
      </c>
      <c r="G6489" s="52">
        <v>162501.315264203</v>
      </c>
      <c r="H6489" s="56">
        <v>5.4081115666552645E-2</v>
      </c>
      <c r="I6489" s="224" t="s">
        <v>2</v>
      </c>
    </row>
    <row r="6490" spans="1:9" x14ac:dyDescent="0.25">
      <c r="A6490" s="515">
        <v>60431</v>
      </c>
      <c r="B6490" s="515" t="s">
        <v>394</v>
      </c>
      <c r="C6490" s="52">
        <v>283308.70240024501</v>
      </c>
      <c r="D6490" s="56">
        <v>6.3086908857332535E-2</v>
      </c>
      <c r="E6490" s="224">
        <v>2100</v>
      </c>
      <c r="F6490" s="515" t="s">
        <v>7712</v>
      </c>
      <c r="G6490" s="52">
        <v>121529.702693409</v>
      </c>
      <c r="H6490" s="56">
        <v>8.1013833547343733E-2</v>
      </c>
      <c r="I6490" s="224" t="s">
        <v>2</v>
      </c>
    </row>
    <row r="6491" spans="1:9" x14ac:dyDescent="0.25">
      <c r="A6491" s="515">
        <v>32351</v>
      </c>
      <c r="B6491" s="515" t="s">
        <v>335</v>
      </c>
      <c r="C6491" s="52">
        <v>147863.14122582</v>
      </c>
      <c r="D6491" s="56">
        <v>0.22751947877839929</v>
      </c>
      <c r="E6491" s="224" t="s">
        <v>2</v>
      </c>
      <c r="F6491" s="515" t="s">
        <v>7713</v>
      </c>
      <c r="G6491" s="52">
        <v>526251.21447325498</v>
      </c>
      <c r="H6491" s="56">
        <v>3.1888714749782061E-2</v>
      </c>
      <c r="I6491" s="224">
        <v>1955.7777777777701</v>
      </c>
    </row>
    <row r="6492" spans="1:9" x14ac:dyDescent="0.25">
      <c r="A6492" s="515">
        <v>13903</v>
      </c>
      <c r="B6492" s="515" t="s">
        <v>840</v>
      </c>
      <c r="C6492" s="52">
        <v>144135.69124714599</v>
      </c>
      <c r="D6492" s="56">
        <v>5.8887351290075225E-2</v>
      </c>
      <c r="E6492" s="224" t="s">
        <v>2</v>
      </c>
      <c r="F6492" s="515" t="s">
        <v>7714</v>
      </c>
      <c r="G6492" s="52">
        <v>392215.47364700999</v>
      </c>
      <c r="H6492" s="56">
        <v>9.7816727839389953E-2</v>
      </c>
      <c r="I6492" s="224">
        <v>2253.2777777777701</v>
      </c>
    </row>
    <row r="6493" spans="1:9" x14ac:dyDescent="0.25">
      <c r="A6493" s="515">
        <v>20855</v>
      </c>
      <c r="B6493" s="515" t="s">
        <v>321</v>
      </c>
      <c r="C6493" s="52">
        <v>611668.94314678898</v>
      </c>
      <c r="D6493" s="56">
        <v>2.8427731106248296E-2</v>
      </c>
      <c r="E6493" s="224" t="s">
        <v>2</v>
      </c>
      <c r="F6493" s="515" t="s">
        <v>7715</v>
      </c>
      <c r="G6493" s="52">
        <v>203410.35760204701</v>
      </c>
      <c r="H6493" s="56">
        <v>7.1631127728122884E-2</v>
      </c>
      <c r="I6493" s="224" t="s">
        <v>2</v>
      </c>
    </row>
    <row r="6494" spans="1:9" x14ac:dyDescent="0.25">
      <c r="A6494" s="515">
        <v>64111</v>
      </c>
      <c r="B6494" s="515" t="s">
        <v>455</v>
      </c>
      <c r="C6494" s="52">
        <v>258325.820352443</v>
      </c>
      <c r="D6494" s="56">
        <v>3.1770232255608939E-2</v>
      </c>
      <c r="E6494" s="224">
        <v>1252.0933333333301</v>
      </c>
      <c r="F6494" s="515" t="s">
        <v>7716</v>
      </c>
      <c r="G6494" s="52">
        <v>162150.49895468901</v>
      </c>
      <c r="H6494" s="56">
        <v>7.2849776653130346E-2</v>
      </c>
      <c r="I6494" s="224" t="s">
        <v>2</v>
      </c>
    </row>
    <row r="6495" spans="1:9" x14ac:dyDescent="0.25">
      <c r="A6495" s="515">
        <v>89048</v>
      </c>
      <c r="B6495" s="515" t="s">
        <v>311</v>
      </c>
      <c r="C6495" s="52">
        <v>326121.48825226497</v>
      </c>
      <c r="D6495" s="56">
        <v>2.111372512783944E-2</v>
      </c>
      <c r="E6495" s="224">
        <v>1150</v>
      </c>
      <c r="F6495" s="515" t="s">
        <v>7717</v>
      </c>
      <c r="G6495" s="52">
        <v>194052.535089282</v>
      </c>
      <c r="H6495" s="56">
        <v>5.6162917635528664E-2</v>
      </c>
      <c r="I6495" s="224" t="s">
        <v>2</v>
      </c>
    </row>
    <row r="6496" spans="1:9" x14ac:dyDescent="0.25">
      <c r="A6496" s="515">
        <v>62656</v>
      </c>
      <c r="B6496" s="515" t="s">
        <v>837</v>
      </c>
      <c r="C6496" s="52">
        <v>104239.551646968</v>
      </c>
      <c r="D6496" s="56">
        <v>5.7061124883252493E-3</v>
      </c>
      <c r="E6496" s="224" t="s">
        <v>2</v>
      </c>
      <c r="F6496" s="515" t="s">
        <v>7718</v>
      </c>
      <c r="G6496" s="52">
        <v>211643.48756569001</v>
      </c>
      <c r="H6496" s="56">
        <v>4.2189125549787015E-2</v>
      </c>
      <c r="I6496" s="224" t="s">
        <v>2</v>
      </c>
    </row>
    <row r="6497" spans="1:9" x14ac:dyDescent="0.25">
      <c r="A6497" s="515">
        <v>92808</v>
      </c>
      <c r="B6497" s="515" t="s">
        <v>375</v>
      </c>
      <c r="C6497" s="52">
        <v>1016961.1171748301</v>
      </c>
      <c r="D6497" s="56">
        <v>4.9136807122490481E-2</v>
      </c>
      <c r="E6497" s="224">
        <v>3160.0666666666598</v>
      </c>
      <c r="F6497" s="515" t="s">
        <v>7719</v>
      </c>
      <c r="G6497" s="52">
        <v>360148.25773213798</v>
      </c>
      <c r="H6497" s="56">
        <v>0.11569257381719855</v>
      </c>
      <c r="I6497" s="224" t="s">
        <v>2</v>
      </c>
    </row>
    <row r="6498" spans="1:9" x14ac:dyDescent="0.25">
      <c r="A6498" s="515">
        <v>56377</v>
      </c>
      <c r="B6498" s="515" t="s">
        <v>418</v>
      </c>
      <c r="C6498" s="52">
        <v>303333.10482481698</v>
      </c>
      <c r="D6498" s="56">
        <v>3.5157296814338511E-2</v>
      </c>
      <c r="E6498" s="224">
        <v>1403.6111111111099</v>
      </c>
      <c r="F6498" s="515" t="s">
        <v>7720</v>
      </c>
      <c r="G6498" s="52">
        <v>449422.63371385401</v>
      </c>
      <c r="H6498" s="56">
        <v>5.2040117818209747E-2</v>
      </c>
      <c r="I6498" s="224" t="s">
        <v>2</v>
      </c>
    </row>
    <row r="6499" spans="1:9" x14ac:dyDescent="0.25">
      <c r="A6499" s="515">
        <v>53110</v>
      </c>
      <c r="B6499" s="515" t="s">
        <v>950</v>
      </c>
      <c r="C6499" s="52">
        <v>220854.06447817999</v>
      </c>
      <c r="D6499" s="56">
        <v>6.9854935659998826E-2</v>
      </c>
      <c r="E6499" s="224" t="s">
        <v>2</v>
      </c>
      <c r="F6499" s="515" t="s">
        <v>7721</v>
      </c>
      <c r="G6499" s="52">
        <v>459338.14061073901</v>
      </c>
      <c r="H6499" s="56">
        <v>4.0318987390404364E-3</v>
      </c>
      <c r="I6499" s="224">
        <v>1679.1666666666599</v>
      </c>
    </row>
    <row r="6500" spans="1:9" x14ac:dyDescent="0.25">
      <c r="A6500" s="515">
        <v>36502</v>
      </c>
      <c r="B6500" s="515" t="s">
        <v>919</v>
      </c>
      <c r="C6500" s="52">
        <v>146209.67565821501</v>
      </c>
      <c r="D6500" s="56">
        <v>6.8701800734090684E-2</v>
      </c>
      <c r="E6500" s="224" t="s">
        <v>2</v>
      </c>
      <c r="F6500" s="515" t="s">
        <v>7722</v>
      </c>
      <c r="G6500" s="52">
        <v>222036.91356209799</v>
      </c>
      <c r="H6500" s="56">
        <v>3.85658449427412E-2</v>
      </c>
      <c r="I6500" s="224" t="s">
        <v>2</v>
      </c>
    </row>
    <row r="6501" spans="1:9" x14ac:dyDescent="0.25">
      <c r="A6501" s="515">
        <v>44110</v>
      </c>
      <c r="B6501" s="515" t="s">
        <v>520</v>
      </c>
      <c r="C6501" s="52">
        <v>68601.406478450095</v>
      </c>
      <c r="D6501" s="56">
        <v>0.10502482804278274</v>
      </c>
      <c r="E6501" s="224">
        <v>791.66666666666595</v>
      </c>
      <c r="F6501" s="515" t="s">
        <v>7723</v>
      </c>
      <c r="G6501" s="52">
        <v>512537.16785834299</v>
      </c>
      <c r="H6501" s="56">
        <v>0.10737939571891221</v>
      </c>
      <c r="I6501" s="224" t="s">
        <v>2</v>
      </c>
    </row>
    <row r="6502" spans="1:9" x14ac:dyDescent="0.25">
      <c r="A6502" s="515">
        <v>60545</v>
      </c>
      <c r="B6502" s="515" t="s">
        <v>394</v>
      </c>
      <c r="C6502" s="52">
        <v>236027.61603202001</v>
      </c>
      <c r="D6502" s="56">
        <v>7.1079938270467838E-2</v>
      </c>
      <c r="E6502" s="224" t="s">
        <v>2</v>
      </c>
      <c r="F6502" s="515" t="s">
        <v>7724</v>
      </c>
      <c r="G6502" s="52">
        <v>660640.65610749298</v>
      </c>
      <c r="H6502" s="56">
        <v>0.13267333087676836</v>
      </c>
      <c r="I6502" s="224" t="s">
        <v>2</v>
      </c>
    </row>
    <row r="6503" spans="1:9" x14ac:dyDescent="0.25">
      <c r="A6503" s="515">
        <v>6443</v>
      </c>
      <c r="B6503" s="515" t="s">
        <v>1172</v>
      </c>
      <c r="C6503" s="52">
        <v>559301.74581394298</v>
      </c>
      <c r="D6503" s="56">
        <v>0.10581758339432996</v>
      </c>
      <c r="E6503" s="224" t="s">
        <v>2</v>
      </c>
      <c r="F6503" s="515" t="s">
        <v>7725</v>
      </c>
      <c r="G6503" s="52">
        <v>415375.52301357902</v>
      </c>
      <c r="H6503" s="56">
        <v>6.0871845869027622E-2</v>
      </c>
      <c r="I6503" s="224" t="s">
        <v>2</v>
      </c>
    </row>
    <row r="6504" spans="1:9" x14ac:dyDescent="0.25">
      <c r="A6504" s="515">
        <v>37135</v>
      </c>
      <c r="B6504" s="515" t="s">
        <v>684</v>
      </c>
      <c r="C6504" s="52">
        <v>722154.27870310994</v>
      </c>
      <c r="D6504" s="56">
        <v>0.11249625665400835</v>
      </c>
      <c r="E6504" s="224" t="s">
        <v>2</v>
      </c>
      <c r="F6504" s="515" t="s">
        <v>7726</v>
      </c>
      <c r="G6504" s="52">
        <v>419733.17495816998</v>
      </c>
      <c r="H6504" s="56">
        <v>1.5414374526647874E-2</v>
      </c>
      <c r="I6504" s="224" t="s">
        <v>2</v>
      </c>
    </row>
    <row r="6505" spans="1:9" x14ac:dyDescent="0.25">
      <c r="A6505" s="515">
        <v>54017</v>
      </c>
      <c r="B6505" s="515" t="s">
        <v>532</v>
      </c>
      <c r="C6505" s="52">
        <v>329293.46578541602</v>
      </c>
      <c r="D6505" s="56">
        <v>3.1055550030780369E-2</v>
      </c>
      <c r="E6505" s="224" t="s">
        <v>2</v>
      </c>
      <c r="F6505" s="515" t="s">
        <v>7727</v>
      </c>
      <c r="G6505" s="52">
        <v>660413.35493482102</v>
      </c>
      <c r="H6505" s="56">
        <v>4.9447593966400721E-2</v>
      </c>
      <c r="I6505" s="224" t="s">
        <v>2</v>
      </c>
    </row>
    <row r="6506" spans="1:9" x14ac:dyDescent="0.25">
      <c r="A6506" s="515">
        <v>90502</v>
      </c>
      <c r="B6506" s="515" t="s">
        <v>375</v>
      </c>
      <c r="C6506" s="52">
        <v>659937.59912629297</v>
      </c>
      <c r="D6506" s="56">
        <v>6.3628949513951524E-2</v>
      </c>
      <c r="E6506" s="224">
        <v>2788</v>
      </c>
      <c r="F6506" s="515" t="s">
        <v>7728</v>
      </c>
      <c r="G6506" s="52">
        <v>30823.6894018204</v>
      </c>
      <c r="H6506" s="56">
        <v>-7.7262188359171577E-2</v>
      </c>
      <c r="I6506" s="224" t="s">
        <v>2</v>
      </c>
    </row>
    <row r="6507" spans="1:9" x14ac:dyDescent="0.25">
      <c r="A6507" s="515">
        <v>33637</v>
      </c>
      <c r="B6507" s="515" t="s">
        <v>461</v>
      </c>
      <c r="C6507" s="52">
        <v>286953.01479156001</v>
      </c>
      <c r="D6507" s="56">
        <v>0.11785786821875441</v>
      </c>
      <c r="E6507" s="224">
        <v>1869.94444444444</v>
      </c>
      <c r="F6507" s="515" t="s">
        <v>7729</v>
      </c>
      <c r="G6507" s="52">
        <v>358395.52948238602</v>
      </c>
      <c r="H6507" s="56">
        <v>5.4018151130766606E-2</v>
      </c>
      <c r="I6507" s="224" t="s">
        <v>2</v>
      </c>
    </row>
    <row r="6508" spans="1:9" x14ac:dyDescent="0.25">
      <c r="A6508" s="515">
        <v>48820</v>
      </c>
      <c r="B6508" s="515" t="s">
        <v>528</v>
      </c>
      <c r="C6508" s="52">
        <v>308194.90591488301</v>
      </c>
      <c r="D6508" s="56">
        <v>7.6609684199075087E-2</v>
      </c>
      <c r="E6508" s="224">
        <v>1247.5</v>
      </c>
      <c r="F6508" s="515" t="s">
        <v>7730</v>
      </c>
      <c r="G6508" s="52">
        <v>180897.56949740899</v>
      </c>
      <c r="H6508" s="56">
        <v>7.5943158255254536E-2</v>
      </c>
      <c r="I6508" s="224" t="s">
        <v>2</v>
      </c>
    </row>
    <row r="6509" spans="1:9" x14ac:dyDescent="0.25">
      <c r="A6509" s="515">
        <v>8505</v>
      </c>
      <c r="B6509" s="515" t="s">
        <v>294</v>
      </c>
      <c r="C6509" s="52">
        <v>350732.83072889899</v>
      </c>
      <c r="D6509" s="56">
        <v>6.3008939235473405E-2</v>
      </c>
      <c r="E6509" s="224" t="s">
        <v>2</v>
      </c>
      <c r="F6509" s="515" t="s">
        <v>7731</v>
      </c>
      <c r="G6509" s="52">
        <v>509056.14396238403</v>
      </c>
      <c r="H6509" s="56">
        <v>5.8753863842741845E-2</v>
      </c>
      <c r="I6509" s="224" t="s">
        <v>2</v>
      </c>
    </row>
    <row r="6510" spans="1:9" x14ac:dyDescent="0.25">
      <c r="A6510" s="515">
        <v>60164</v>
      </c>
      <c r="B6510" s="515" t="s">
        <v>394</v>
      </c>
      <c r="C6510" s="52">
        <v>251046.957295837</v>
      </c>
      <c r="D6510" s="56">
        <v>3.6982973467317798E-2</v>
      </c>
      <c r="E6510" s="224" t="s">
        <v>2</v>
      </c>
      <c r="F6510" s="515" t="s">
        <v>7732</v>
      </c>
      <c r="G6510" s="52">
        <v>722346.34204147698</v>
      </c>
      <c r="H6510" s="56">
        <v>5.3708748257001698E-2</v>
      </c>
      <c r="I6510" s="224" t="s">
        <v>2</v>
      </c>
    </row>
    <row r="6511" spans="1:9" x14ac:dyDescent="0.25">
      <c r="A6511" s="515">
        <v>91204</v>
      </c>
      <c r="B6511" s="515" t="s">
        <v>375</v>
      </c>
      <c r="C6511" s="52">
        <v>743513.85326406395</v>
      </c>
      <c r="D6511" s="56">
        <v>3.6253281933176312E-2</v>
      </c>
      <c r="E6511" s="224">
        <v>2965.7863247863202</v>
      </c>
      <c r="F6511" s="515" t="s">
        <v>7733</v>
      </c>
      <c r="G6511" s="52">
        <v>282819.31786036998</v>
      </c>
      <c r="H6511" s="56">
        <v>8.4336819394606535E-2</v>
      </c>
      <c r="I6511" s="224" t="s">
        <v>2</v>
      </c>
    </row>
    <row r="6512" spans="1:9" x14ac:dyDescent="0.25">
      <c r="A6512" s="515">
        <v>70037</v>
      </c>
      <c r="B6512" s="515" t="s">
        <v>777</v>
      </c>
      <c r="C6512" s="52">
        <v>311282.17744621099</v>
      </c>
      <c r="D6512" s="56">
        <v>1.5868428272104614E-2</v>
      </c>
      <c r="E6512" s="224" t="s">
        <v>2</v>
      </c>
      <c r="F6512" s="515" t="s">
        <v>7734</v>
      </c>
      <c r="G6512" s="52">
        <v>627185.84770947404</v>
      </c>
      <c r="H6512" s="56">
        <v>0.10006650753149773</v>
      </c>
      <c r="I6512" s="224" t="s">
        <v>2</v>
      </c>
    </row>
    <row r="6513" spans="1:9" x14ac:dyDescent="0.25">
      <c r="A6513" s="515">
        <v>8879</v>
      </c>
      <c r="B6513" s="515" t="s">
        <v>324</v>
      </c>
      <c r="C6513" s="52">
        <v>396183.89143639198</v>
      </c>
      <c r="D6513" s="56">
        <v>5.294549797775009E-2</v>
      </c>
      <c r="E6513" s="224">
        <v>2261.8333333333298</v>
      </c>
      <c r="F6513" s="515" t="s">
        <v>7735</v>
      </c>
      <c r="G6513" s="52">
        <v>255873.54256992799</v>
      </c>
      <c r="H6513" s="56">
        <v>1.8811879818948742E-2</v>
      </c>
      <c r="I6513" s="224" t="s">
        <v>2</v>
      </c>
    </row>
    <row r="6514" spans="1:9" x14ac:dyDescent="0.25">
      <c r="A6514" s="515">
        <v>38804</v>
      </c>
      <c r="B6514" s="515" t="s">
        <v>1010</v>
      </c>
      <c r="C6514" s="52">
        <v>167719.69880287099</v>
      </c>
      <c r="D6514" s="56">
        <v>1.1316417540753481E-2</v>
      </c>
      <c r="E6514" s="224" t="s">
        <v>2</v>
      </c>
      <c r="F6514" s="515" t="s">
        <v>7736</v>
      </c>
      <c r="G6514" s="52">
        <v>170346.59122966</v>
      </c>
      <c r="H6514" s="56">
        <v>8.9296254465631802E-2</v>
      </c>
      <c r="I6514" s="224" t="s">
        <v>2</v>
      </c>
    </row>
    <row r="6515" spans="1:9" x14ac:dyDescent="0.25">
      <c r="A6515" s="515">
        <v>12206</v>
      </c>
      <c r="B6515" s="515" t="s">
        <v>609</v>
      </c>
      <c r="C6515" s="52">
        <v>173839.46979542999</v>
      </c>
      <c r="D6515" s="56">
        <v>7.6122656817410303E-2</v>
      </c>
      <c r="E6515" s="224">
        <v>1826.44444444444</v>
      </c>
      <c r="F6515" s="515" t="s">
        <v>7737</v>
      </c>
      <c r="G6515" s="52">
        <v>1022969.0494395701</v>
      </c>
      <c r="H6515" s="56">
        <v>4.301981955835101E-3</v>
      </c>
      <c r="I6515" s="224" t="s">
        <v>2</v>
      </c>
    </row>
    <row r="6516" spans="1:9" x14ac:dyDescent="0.25">
      <c r="A6516" s="515">
        <v>74354</v>
      </c>
      <c r="B6516" s="515" t="s">
        <v>469</v>
      </c>
      <c r="C6516" s="52">
        <v>101775.792425636</v>
      </c>
      <c r="D6516" s="56">
        <v>6.1776627343831346E-2</v>
      </c>
      <c r="E6516" s="224" t="s">
        <v>2</v>
      </c>
      <c r="F6516" s="515" t="s">
        <v>7738</v>
      </c>
      <c r="G6516" s="52">
        <v>303731.14117638499</v>
      </c>
      <c r="H6516" s="56">
        <v>5.3707871310821546E-2</v>
      </c>
      <c r="I6516" s="224" t="s">
        <v>2</v>
      </c>
    </row>
    <row r="6517" spans="1:9" x14ac:dyDescent="0.25">
      <c r="A6517" s="515">
        <v>4062</v>
      </c>
      <c r="B6517" s="515" t="s">
        <v>570</v>
      </c>
      <c r="C6517" s="52">
        <v>403291.66046380397</v>
      </c>
      <c r="D6517" s="56">
        <v>5.4969110476323663E-2</v>
      </c>
      <c r="E6517" s="224" t="s">
        <v>2</v>
      </c>
      <c r="F6517" s="515" t="s">
        <v>7739</v>
      </c>
      <c r="G6517" s="52">
        <v>107038.492264079</v>
      </c>
      <c r="H6517" s="56">
        <v>-1.7025646949127199E-2</v>
      </c>
      <c r="I6517" s="224" t="s">
        <v>2</v>
      </c>
    </row>
    <row r="6518" spans="1:9" x14ac:dyDescent="0.25">
      <c r="A6518" s="515">
        <v>2421</v>
      </c>
      <c r="B6518" s="515" t="s">
        <v>534</v>
      </c>
      <c r="C6518" s="52">
        <v>1343482.09256692</v>
      </c>
      <c r="D6518" s="56">
        <v>7.5470181711630654E-2</v>
      </c>
      <c r="E6518" s="224">
        <v>3025</v>
      </c>
      <c r="F6518" s="515" t="s">
        <v>7740</v>
      </c>
      <c r="G6518" s="52">
        <v>210670.662673085</v>
      </c>
      <c r="H6518" s="56">
        <v>0.10706849445913683</v>
      </c>
      <c r="I6518" s="224" t="s">
        <v>2</v>
      </c>
    </row>
    <row r="6519" spans="1:9" x14ac:dyDescent="0.25">
      <c r="A6519" s="515">
        <v>29078</v>
      </c>
      <c r="B6519" s="515" t="s">
        <v>762</v>
      </c>
      <c r="C6519" s="52">
        <v>216749.526748412</v>
      </c>
      <c r="D6519" s="56">
        <v>6.9230887506973732E-2</v>
      </c>
      <c r="E6519" s="224" t="s">
        <v>2</v>
      </c>
      <c r="F6519" s="515" t="s">
        <v>7741</v>
      </c>
      <c r="G6519" s="52">
        <v>284841.67736031802</v>
      </c>
      <c r="H6519" s="56">
        <v>8.2685768073469043E-2</v>
      </c>
      <c r="I6519" s="224" t="s">
        <v>2</v>
      </c>
    </row>
    <row r="6520" spans="1:9" x14ac:dyDescent="0.25">
      <c r="A6520" s="515">
        <v>18109</v>
      </c>
      <c r="B6520" s="515" t="s">
        <v>327</v>
      </c>
      <c r="C6520" s="52">
        <v>210022.86043755399</v>
      </c>
      <c r="D6520" s="56">
        <v>0.11743676815223894</v>
      </c>
      <c r="E6520" s="224" t="s">
        <v>2</v>
      </c>
      <c r="F6520" s="515" t="s">
        <v>7742</v>
      </c>
      <c r="G6520" s="52">
        <v>134401.877633703</v>
      </c>
      <c r="H6520" s="56">
        <v>0.2061650035087374</v>
      </c>
      <c r="I6520" s="224" t="s">
        <v>2</v>
      </c>
    </row>
    <row r="6521" spans="1:9" x14ac:dyDescent="0.25">
      <c r="A6521" s="515">
        <v>15425</v>
      </c>
      <c r="B6521" s="515" t="s">
        <v>297</v>
      </c>
      <c r="C6521" s="52">
        <v>124460.875022045</v>
      </c>
      <c r="D6521" s="56">
        <v>2.1968499665339262E-2</v>
      </c>
      <c r="E6521" s="224" t="s">
        <v>2</v>
      </c>
      <c r="F6521" s="515" t="s">
        <v>7743</v>
      </c>
      <c r="G6521" s="52">
        <v>634638.34625383595</v>
      </c>
      <c r="H6521" s="56">
        <v>5.4280897247902818E-2</v>
      </c>
      <c r="I6521" s="224" t="s">
        <v>2</v>
      </c>
    </row>
    <row r="6522" spans="1:9" x14ac:dyDescent="0.25">
      <c r="A6522" s="515">
        <v>46122</v>
      </c>
      <c r="B6522" s="515" t="s">
        <v>403</v>
      </c>
      <c r="C6522" s="52">
        <v>287849.08011162397</v>
      </c>
      <c r="D6522" s="56">
        <v>7.4378298532010445E-2</v>
      </c>
      <c r="E6522" s="224" t="s">
        <v>2</v>
      </c>
      <c r="F6522" s="515" t="s">
        <v>7744</v>
      </c>
      <c r="G6522" s="52">
        <v>203836.74431869999</v>
      </c>
      <c r="H6522" s="56">
        <v>0.13103895031886162</v>
      </c>
      <c r="I6522" s="224" t="s">
        <v>2</v>
      </c>
    </row>
    <row r="6523" spans="1:9" x14ac:dyDescent="0.25">
      <c r="A6523" s="515">
        <v>33609</v>
      </c>
      <c r="B6523" s="515" t="s">
        <v>461</v>
      </c>
      <c r="C6523" s="52">
        <v>584156.65087645501</v>
      </c>
      <c r="D6523" s="56">
        <v>0.12506897674292913</v>
      </c>
      <c r="E6523" s="224">
        <v>2433.3333333333298</v>
      </c>
      <c r="F6523" s="515" t="s">
        <v>7745</v>
      </c>
      <c r="G6523" s="52">
        <v>151107.17196148299</v>
      </c>
      <c r="H6523" s="56">
        <v>-1.0861453575245575E-2</v>
      </c>
      <c r="I6523" s="224" t="s">
        <v>2</v>
      </c>
    </row>
    <row r="6524" spans="1:9" x14ac:dyDescent="0.25">
      <c r="A6524" s="515">
        <v>30291</v>
      </c>
      <c r="B6524" s="515" t="s">
        <v>957</v>
      </c>
      <c r="C6524" s="52">
        <v>251554.717098667</v>
      </c>
      <c r="D6524" s="56">
        <v>0.15624268734674734</v>
      </c>
      <c r="E6524" s="224">
        <v>1903.13055555555</v>
      </c>
      <c r="F6524" s="515" t="s">
        <v>7746</v>
      </c>
      <c r="G6524" s="52">
        <v>81508.009794822094</v>
      </c>
      <c r="H6524" s="56">
        <v>0.22576567284726348</v>
      </c>
      <c r="I6524" s="224" t="s">
        <v>2</v>
      </c>
    </row>
    <row r="6525" spans="1:9" x14ac:dyDescent="0.25">
      <c r="A6525" s="515">
        <v>70764</v>
      </c>
      <c r="B6525" s="515" t="s">
        <v>610</v>
      </c>
      <c r="C6525" s="52"/>
      <c r="D6525" s="56">
        <v>0</v>
      </c>
      <c r="E6525" s="224" t="s">
        <v>2</v>
      </c>
      <c r="F6525" s="515" t="s">
        <v>7747</v>
      </c>
      <c r="G6525" s="52">
        <v>362855.9193135</v>
      </c>
      <c r="H6525" s="56">
        <v>9.2559956877895117E-2</v>
      </c>
      <c r="I6525" s="224" t="s">
        <v>2</v>
      </c>
    </row>
    <row r="6526" spans="1:9" x14ac:dyDescent="0.25">
      <c r="A6526" s="515">
        <v>31401</v>
      </c>
      <c r="B6526" s="515" t="s">
        <v>351</v>
      </c>
      <c r="C6526" s="52">
        <v>401739.44655191799</v>
      </c>
      <c r="D6526" s="56">
        <v>0.22213470412640168</v>
      </c>
      <c r="E6526" s="224">
        <v>2034.5787878787801</v>
      </c>
      <c r="F6526" s="515" t="s">
        <v>7748</v>
      </c>
      <c r="G6526" s="52">
        <v>333583.551333079</v>
      </c>
      <c r="H6526" s="56">
        <v>8.3989553594557537E-2</v>
      </c>
      <c r="I6526" s="224" t="s">
        <v>2</v>
      </c>
    </row>
    <row r="6527" spans="1:9" x14ac:dyDescent="0.25">
      <c r="A6527" s="515">
        <v>60430</v>
      </c>
      <c r="B6527" s="515" t="s">
        <v>394</v>
      </c>
      <c r="C6527" s="52">
        <v>221646.51514435699</v>
      </c>
      <c r="D6527" s="56">
        <v>8.1915400399355728E-2</v>
      </c>
      <c r="E6527" s="224" t="s">
        <v>2</v>
      </c>
      <c r="F6527" s="515" t="s">
        <v>7749</v>
      </c>
      <c r="G6527" s="52">
        <v>76371.046102711698</v>
      </c>
      <c r="H6527" s="56">
        <v>7.8176719370029582E-2</v>
      </c>
      <c r="I6527" s="224" t="s">
        <v>2</v>
      </c>
    </row>
    <row r="6528" spans="1:9" x14ac:dyDescent="0.25">
      <c r="A6528" s="515">
        <v>33304</v>
      </c>
      <c r="B6528" s="515" t="s">
        <v>831</v>
      </c>
      <c r="C6528" s="52">
        <v>599051.77092933503</v>
      </c>
      <c r="D6528" s="56">
        <v>0.18042896360439498</v>
      </c>
      <c r="E6528" s="224">
        <v>2695.3871100164201</v>
      </c>
      <c r="F6528" s="515" t="s">
        <v>7750</v>
      </c>
      <c r="G6528" s="52">
        <v>103414.292262414</v>
      </c>
      <c r="H6528" s="56">
        <v>0.17495061700404105</v>
      </c>
      <c r="I6528" s="224" t="s">
        <v>2</v>
      </c>
    </row>
    <row r="6529" spans="1:9" x14ac:dyDescent="0.25">
      <c r="A6529" s="515">
        <v>66605</v>
      </c>
      <c r="B6529" s="515" t="s">
        <v>549</v>
      </c>
      <c r="C6529" s="52">
        <v>127960.147012175</v>
      </c>
      <c r="D6529" s="56">
        <v>0.12487852918483788</v>
      </c>
      <c r="E6529" s="224">
        <v>776.66666666666595</v>
      </c>
      <c r="F6529" s="515" t="s">
        <v>7751</v>
      </c>
      <c r="G6529" s="52">
        <v>246958.52397672299</v>
      </c>
      <c r="H6529" s="56">
        <v>9.2462347150902971E-2</v>
      </c>
      <c r="I6529" s="224" t="s">
        <v>2</v>
      </c>
    </row>
    <row r="6530" spans="1:9" x14ac:dyDescent="0.25">
      <c r="A6530" s="515">
        <v>68114</v>
      </c>
      <c r="B6530" s="515" t="s">
        <v>367</v>
      </c>
      <c r="C6530" s="52">
        <v>269626.61380512698</v>
      </c>
      <c r="D6530" s="56">
        <v>6.4777837126685001E-2</v>
      </c>
      <c r="E6530" s="224">
        <v>1224.9642857142801</v>
      </c>
      <c r="F6530" s="515" t="s">
        <v>7752</v>
      </c>
      <c r="G6530" s="52">
        <v>342588.52678167803</v>
      </c>
      <c r="H6530" s="56">
        <v>1.7412623787184608E-2</v>
      </c>
      <c r="I6530" s="224" t="s">
        <v>2</v>
      </c>
    </row>
    <row r="6531" spans="1:9" x14ac:dyDescent="0.25">
      <c r="A6531" s="515">
        <v>95366</v>
      </c>
      <c r="B6531" s="515" t="s">
        <v>852</v>
      </c>
      <c r="C6531" s="52">
        <v>628948.81047082599</v>
      </c>
      <c r="D6531" s="56">
        <v>1.0302451278303714E-2</v>
      </c>
      <c r="E6531" s="224" t="s">
        <v>2</v>
      </c>
      <c r="F6531" s="515" t="s">
        <v>7753</v>
      </c>
      <c r="G6531" s="52">
        <v>170575.200508554</v>
      </c>
      <c r="H6531" s="56">
        <v>7.5447253518835522E-2</v>
      </c>
      <c r="I6531" s="224" t="s">
        <v>2</v>
      </c>
    </row>
    <row r="6532" spans="1:9" x14ac:dyDescent="0.25">
      <c r="A6532" s="515">
        <v>15147</v>
      </c>
      <c r="B6532" s="515" t="s">
        <v>297</v>
      </c>
      <c r="C6532" s="52">
        <v>147569.90601440199</v>
      </c>
      <c r="D6532" s="56">
        <v>9.7483323326126053E-2</v>
      </c>
      <c r="E6532" s="224">
        <v>1246.3333333333301</v>
      </c>
      <c r="F6532" s="515" t="s">
        <v>7754</v>
      </c>
      <c r="G6532" s="52">
        <v>178394.71187482501</v>
      </c>
      <c r="H6532" s="56">
        <v>6.6820540926251226E-2</v>
      </c>
      <c r="I6532" s="224" t="s">
        <v>2</v>
      </c>
    </row>
    <row r="6533" spans="1:9" x14ac:dyDescent="0.25">
      <c r="A6533" s="515">
        <v>8034</v>
      </c>
      <c r="B6533" s="515" t="s">
        <v>294</v>
      </c>
      <c r="C6533" s="52">
        <v>352382.22108852799</v>
      </c>
      <c r="D6533" s="56">
        <v>7.9530392052363355E-2</v>
      </c>
      <c r="E6533" s="224">
        <v>1920</v>
      </c>
      <c r="F6533" s="515" t="s">
        <v>7755</v>
      </c>
      <c r="G6533" s="52">
        <v>565457.186303364</v>
      </c>
      <c r="H6533" s="56">
        <v>7.5448421888868772E-2</v>
      </c>
      <c r="I6533" s="224" t="s">
        <v>2</v>
      </c>
    </row>
    <row r="6534" spans="1:9" x14ac:dyDescent="0.25">
      <c r="A6534" s="515">
        <v>31701</v>
      </c>
      <c r="B6534" s="515" t="s">
        <v>746</v>
      </c>
      <c r="C6534" s="52">
        <v>71253.247119666004</v>
      </c>
      <c r="D6534" s="56">
        <v>0.19473365203655127</v>
      </c>
      <c r="E6534" s="224">
        <v>817.5</v>
      </c>
      <c r="F6534" s="515" t="s">
        <v>7756</v>
      </c>
      <c r="G6534" s="52">
        <v>157202.16444480201</v>
      </c>
      <c r="H6534" s="56">
        <v>0.15498353710147386</v>
      </c>
      <c r="I6534" s="224" t="s">
        <v>2</v>
      </c>
    </row>
    <row r="6535" spans="1:9" x14ac:dyDescent="0.25">
      <c r="A6535" s="515">
        <v>33777</v>
      </c>
      <c r="B6535" s="515" t="s">
        <v>461</v>
      </c>
      <c r="C6535" s="52">
        <v>320944.21487166098</v>
      </c>
      <c r="D6535" s="56">
        <v>8.1546919216943486E-2</v>
      </c>
      <c r="E6535" s="224">
        <v>2248.3333333333298</v>
      </c>
      <c r="F6535" s="515" t="s">
        <v>7757</v>
      </c>
      <c r="G6535" s="52">
        <v>348275.25122885598</v>
      </c>
      <c r="H6535" s="56">
        <v>7.3944215305710631E-2</v>
      </c>
      <c r="I6535" s="224" t="s">
        <v>2</v>
      </c>
    </row>
    <row r="6536" spans="1:9" x14ac:dyDescent="0.25">
      <c r="A6536" s="515">
        <v>59803</v>
      </c>
      <c r="B6536" s="515" t="s">
        <v>1060</v>
      </c>
      <c r="C6536" s="52">
        <v>554914.08591791498</v>
      </c>
      <c r="D6536" s="56">
        <v>4.8897560654700932E-2</v>
      </c>
      <c r="E6536" s="224" t="s">
        <v>2</v>
      </c>
      <c r="F6536" s="515" t="s">
        <v>7758</v>
      </c>
      <c r="G6536" s="52">
        <v>73895.995064978793</v>
      </c>
      <c r="H6536" s="56">
        <v>6.8367380576255118E-2</v>
      </c>
      <c r="I6536" s="224" t="s">
        <v>2</v>
      </c>
    </row>
    <row r="6537" spans="1:9" x14ac:dyDescent="0.25">
      <c r="A6537" s="515">
        <v>18049</v>
      </c>
      <c r="B6537" s="515" t="s">
        <v>327</v>
      </c>
      <c r="C6537" s="52">
        <v>308493.59746357502</v>
      </c>
      <c r="D6537" s="56">
        <v>7.1667091659455284E-2</v>
      </c>
      <c r="E6537" s="224">
        <v>1503.94444444444</v>
      </c>
      <c r="F6537" s="515" t="s">
        <v>7759</v>
      </c>
      <c r="G6537" s="52">
        <v>461697.26024758501</v>
      </c>
      <c r="H6537" s="56">
        <v>9.1621644565518134E-2</v>
      </c>
      <c r="I6537" s="224" t="s">
        <v>2</v>
      </c>
    </row>
    <row r="6538" spans="1:9" x14ac:dyDescent="0.25">
      <c r="A6538" s="515">
        <v>55127</v>
      </c>
      <c r="B6538" s="515" t="s">
        <v>532</v>
      </c>
      <c r="C6538" s="52">
        <v>414707.67294094397</v>
      </c>
      <c r="D6538" s="56">
        <v>3.8985424438304245E-2</v>
      </c>
      <c r="E6538" s="224" t="s">
        <v>2</v>
      </c>
      <c r="F6538" s="515" t="s">
        <v>7760</v>
      </c>
      <c r="G6538" s="52">
        <v>73009.861048623105</v>
      </c>
      <c r="H6538" s="56">
        <v>9.3389918125710111E-2</v>
      </c>
      <c r="I6538" s="224" t="s">
        <v>2</v>
      </c>
    </row>
    <row r="6539" spans="1:9" x14ac:dyDescent="0.25">
      <c r="A6539" s="515">
        <v>15220</v>
      </c>
      <c r="B6539" s="515" t="s">
        <v>297</v>
      </c>
      <c r="C6539" s="52">
        <v>209230.22948668801</v>
      </c>
      <c r="D6539" s="56">
        <v>5.4647930416797497E-2</v>
      </c>
      <c r="E6539" s="224">
        <v>1103.88888888888</v>
      </c>
      <c r="F6539" s="515" t="s">
        <v>7761</v>
      </c>
      <c r="G6539" s="52">
        <v>238951.464560925</v>
      </c>
      <c r="H6539" s="56">
        <v>5.27646113840156E-2</v>
      </c>
      <c r="I6539" s="224" t="s">
        <v>2</v>
      </c>
    </row>
    <row r="6540" spans="1:9" x14ac:dyDescent="0.25">
      <c r="A6540" s="515">
        <v>31008</v>
      </c>
      <c r="B6540" s="515" t="s">
        <v>1067</v>
      </c>
      <c r="C6540" s="52">
        <v>229510.977043447</v>
      </c>
      <c r="D6540" s="56">
        <v>0.12298291111658001</v>
      </c>
      <c r="E6540" s="224" t="s">
        <v>2</v>
      </c>
      <c r="F6540" s="515" t="s">
        <v>7762</v>
      </c>
      <c r="G6540" s="52">
        <v>181348.785605037</v>
      </c>
      <c r="H6540" s="56">
        <v>0.2569604150075917</v>
      </c>
      <c r="I6540" s="224">
        <v>1877</v>
      </c>
    </row>
    <row r="6541" spans="1:9" x14ac:dyDescent="0.25">
      <c r="A6541" s="515">
        <v>11362</v>
      </c>
      <c r="B6541" s="515" t="s">
        <v>324</v>
      </c>
      <c r="C6541" s="52">
        <v>495465.09078826598</v>
      </c>
      <c r="D6541" s="56">
        <v>-1.8546504484266986E-2</v>
      </c>
      <c r="E6541" s="224" t="s">
        <v>2</v>
      </c>
      <c r="F6541" s="515" t="s">
        <v>7763</v>
      </c>
      <c r="G6541" s="52">
        <v>305465.60019412998</v>
      </c>
      <c r="H6541" s="56">
        <v>0.16212389675380473</v>
      </c>
      <c r="I6541" s="224" t="s">
        <v>2</v>
      </c>
    </row>
    <row r="6542" spans="1:9" x14ac:dyDescent="0.25">
      <c r="A6542" s="515">
        <v>86403</v>
      </c>
      <c r="B6542" s="515" t="s">
        <v>453</v>
      </c>
      <c r="C6542" s="52">
        <v>383896.81360546802</v>
      </c>
      <c r="D6542" s="56">
        <v>5.106382200011797E-2</v>
      </c>
      <c r="E6542" s="224">
        <v>1099.44444444444</v>
      </c>
      <c r="F6542" s="515" t="s">
        <v>7764</v>
      </c>
      <c r="G6542" s="52">
        <v>295815.92261716502</v>
      </c>
      <c r="H6542" s="56">
        <v>4.6758371624078303E-2</v>
      </c>
      <c r="I6542" s="224" t="s">
        <v>2</v>
      </c>
    </row>
    <row r="6543" spans="1:9" x14ac:dyDescent="0.25">
      <c r="A6543" s="515">
        <v>97031</v>
      </c>
      <c r="B6543" s="515" t="s">
        <v>1109</v>
      </c>
      <c r="C6543" s="52">
        <v>648228.33688634494</v>
      </c>
      <c r="D6543" s="56">
        <v>5.6870966730635041E-2</v>
      </c>
      <c r="E6543" s="224" t="s">
        <v>2</v>
      </c>
      <c r="F6543" s="515" t="s">
        <v>7765</v>
      </c>
      <c r="G6543" s="52">
        <v>645141.60252216295</v>
      </c>
      <c r="H6543" s="56">
        <v>7.5113804497379075E-2</v>
      </c>
      <c r="I6543" s="224">
        <v>2306.38888888888</v>
      </c>
    </row>
    <row r="6544" spans="1:9" x14ac:dyDescent="0.25">
      <c r="A6544" s="515">
        <v>79714</v>
      </c>
      <c r="B6544" s="515" t="s">
        <v>1208</v>
      </c>
      <c r="C6544" s="52">
        <v>202357.82812792799</v>
      </c>
      <c r="D6544" s="56">
        <v>-2.8599910151971972E-2</v>
      </c>
      <c r="E6544" s="224" t="s">
        <v>2</v>
      </c>
      <c r="F6544" s="515" t="s">
        <v>7766</v>
      </c>
      <c r="G6544" s="52">
        <v>132480.690193121</v>
      </c>
      <c r="H6544" s="56">
        <v>7.3703920123683084E-2</v>
      </c>
      <c r="I6544" s="224" t="s">
        <v>2</v>
      </c>
    </row>
    <row r="6545" spans="1:9" x14ac:dyDescent="0.25">
      <c r="A6545" s="515">
        <v>21050</v>
      </c>
      <c r="B6545" s="515" t="s">
        <v>582</v>
      </c>
      <c r="C6545" s="52">
        <v>434886.71403456002</v>
      </c>
      <c r="D6545" s="56">
        <v>2.7109815641817733E-2</v>
      </c>
      <c r="E6545" s="224" t="s">
        <v>2</v>
      </c>
      <c r="F6545" s="515" t="s">
        <v>7767</v>
      </c>
      <c r="G6545" s="52">
        <v>145872.382217612</v>
      </c>
      <c r="H6545" s="56">
        <v>4.9946090629383495E-2</v>
      </c>
      <c r="I6545" s="224" t="s">
        <v>2</v>
      </c>
    </row>
    <row r="6546" spans="1:9" x14ac:dyDescent="0.25">
      <c r="A6546" s="515">
        <v>76541</v>
      </c>
      <c r="B6546" s="515" t="s">
        <v>859</v>
      </c>
      <c r="C6546" s="52">
        <v>124251.549972019</v>
      </c>
      <c r="D6546" s="56">
        <v>0.19191523464614313</v>
      </c>
      <c r="E6546" s="224">
        <v>913.33333333333303</v>
      </c>
      <c r="F6546" s="515" t="s">
        <v>7768</v>
      </c>
      <c r="G6546" s="52">
        <v>252861.93322696499</v>
      </c>
      <c r="H6546" s="56">
        <v>8.0076097999121798E-2</v>
      </c>
      <c r="I6546" s="224" t="s">
        <v>2</v>
      </c>
    </row>
    <row r="6547" spans="1:9" x14ac:dyDescent="0.25">
      <c r="A6547" s="515">
        <v>19057</v>
      </c>
      <c r="B6547" s="515" t="s">
        <v>294</v>
      </c>
      <c r="C6547" s="52">
        <v>312650.11804329202</v>
      </c>
      <c r="D6547" s="56">
        <v>8.8053210825835074E-2</v>
      </c>
      <c r="E6547" s="224" t="s">
        <v>2</v>
      </c>
      <c r="F6547" s="515" t="s">
        <v>7769</v>
      </c>
      <c r="G6547" s="52">
        <v>91528.225842814398</v>
      </c>
      <c r="H6547" s="56">
        <v>1.4560600934076524E-2</v>
      </c>
      <c r="I6547" s="224" t="s">
        <v>2</v>
      </c>
    </row>
    <row r="6548" spans="1:9" x14ac:dyDescent="0.25">
      <c r="A6548" s="515">
        <v>46135</v>
      </c>
      <c r="B6548" s="515" t="s">
        <v>403</v>
      </c>
      <c r="C6548" s="52">
        <v>206331.57370124801</v>
      </c>
      <c r="D6548" s="56">
        <v>6.7143397604536942E-2</v>
      </c>
      <c r="E6548" s="224" t="s">
        <v>2</v>
      </c>
      <c r="F6548" s="515" t="s">
        <v>7770</v>
      </c>
      <c r="G6548" s="52">
        <v>642449.10498058703</v>
      </c>
      <c r="H6548" s="56">
        <v>8.2722771260208522E-2</v>
      </c>
      <c r="I6548" s="224" t="s">
        <v>2</v>
      </c>
    </row>
    <row r="6549" spans="1:9" x14ac:dyDescent="0.25">
      <c r="A6549" s="515">
        <v>67042</v>
      </c>
      <c r="B6549" s="515" t="s">
        <v>485</v>
      </c>
      <c r="C6549" s="52">
        <v>140907.70996232799</v>
      </c>
      <c r="D6549" s="56">
        <v>7.8435951507988849E-2</v>
      </c>
      <c r="E6549" s="224" t="s">
        <v>2</v>
      </c>
      <c r="F6549" s="515" t="s">
        <v>7771</v>
      </c>
      <c r="G6549" s="52">
        <v>425266.500329712</v>
      </c>
      <c r="H6549" s="56">
        <v>1.0196981411103789E-2</v>
      </c>
      <c r="I6549" s="224" t="s">
        <v>2</v>
      </c>
    </row>
    <row r="6550" spans="1:9" x14ac:dyDescent="0.25">
      <c r="A6550" s="515">
        <v>43311</v>
      </c>
      <c r="B6550" s="515" t="s">
        <v>973</v>
      </c>
      <c r="C6550" s="52">
        <v>189401.63241469301</v>
      </c>
      <c r="D6550" s="56">
        <v>9.3447051295342989E-2</v>
      </c>
      <c r="E6550" s="224" t="s">
        <v>2</v>
      </c>
      <c r="F6550" s="515" t="s">
        <v>7772</v>
      </c>
      <c r="G6550" s="52">
        <v>463156.85437453003</v>
      </c>
      <c r="H6550" s="56">
        <v>8.616222604296396E-2</v>
      </c>
      <c r="I6550" s="224" t="s">
        <v>2</v>
      </c>
    </row>
    <row r="6551" spans="1:9" x14ac:dyDescent="0.25">
      <c r="A6551" s="515">
        <v>91901</v>
      </c>
      <c r="B6551" s="515" t="s">
        <v>396</v>
      </c>
      <c r="C6551" s="52">
        <v>861745.40551992797</v>
      </c>
      <c r="D6551" s="56">
        <v>4.2666892781376614E-2</v>
      </c>
      <c r="E6551" s="224">
        <v>2100.5</v>
      </c>
      <c r="F6551" s="515" t="s">
        <v>7773</v>
      </c>
      <c r="G6551" s="52">
        <v>182718.96622563299</v>
      </c>
      <c r="H6551" s="56">
        <v>-3.139900170530837E-2</v>
      </c>
      <c r="I6551" s="224" t="s">
        <v>2</v>
      </c>
    </row>
    <row r="6552" spans="1:9" x14ac:dyDescent="0.25">
      <c r="A6552" s="515">
        <v>23692</v>
      </c>
      <c r="B6552" s="515" t="s">
        <v>301</v>
      </c>
      <c r="C6552" s="52">
        <v>391955.33546807902</v>
      </c>
      <c r="D6552" s="56">
        <v>5.744155603374456E-2</v>
      </c>
      <c r="E6552" s="224" t="s">
        <v>2</v>
      </c>
      <c r="F6552" s="515" t="s">
        <v>7774</v>
      </c>
      <c r="G6552" s="52">
        <v>187906.943142195</v>
      </c>
      <c r="H6552" s="56">
        <v>-6.6485647360260865E-3</v>
      </c>
      <c r="I6552" s="224" t="s">
        <v>2</v>
      </c>
    </row>
    <row r="6553" spans="1:9" x14ac:dyDescent="0.25">
      <c r="A6553" s="515">
        <v>15801</v>
      </c>
      <c r="B6553" s="515" t="s">
        <v>876</v>
      </c>
      <c r="C6553" s="52">
        <v>139385.94249906801</v>
      </c>
      <c r="D6553" s="56">
        <v>4.870645589259559E-2</v>
      </c>
      <c r="E6553" s="224" t="s">
        <v>2</v>
      </c>
      <c r="F6553" s="515" t="s">
        <v>7775</v>
      </c>
      <c r="G6553" s="52">
        <v>138612.11447186</v>
      </c>
      <c r="H6553" s="56">
        <v>0.20011849719189115</v>
      </c>
      <c r="I6553" s="224" t="s">
        <v>2</v>
      </c>
    </row>
    <row r="6554" spans="1:9" x14ac:dyDescent="0.25">
      <c r="A6554" s="515">
        <v>20724</v>
      </c>
      <c r="B6554" s="515" t="s">
        <v>582</v>
      </c>
      <c r="C6554" s="52">
        <v>413107.64471194899</v>
      </c>
      <c r="D6554" s="56">
        <v>4.660714634349615E-2</v>
      </c>
      <c r="E6554" s="224">
        <v>2021.2222222222199</v>
      </c>
      <c r="F6554" s="515" t="s">
        <v>7776</v>
      </c>
      <c r="G6554" s="52">
        <v>111079.869782065</v>
      </c>
      <c r="H6554" s="56">
        <v>-5.7334467548264913E-2</v>
      </c>
      <c r="I6554" s="224" t="s">
        <v>2</v>
      </c>
    </row>
    <row r="6555" spans="1:9" x14ac:dyDescent="0.25">
      <c r="A6555" s="515">
        <v>30656</v>
      </c>
      <c r="B6555" s="515" t="s">
        <v>957</v>
      </c>
      <c r="C6555" s="52">
        <v>335788.626433547</v>
      </c>
      <c r="D6555" s="56">
        <v>8.6031003317725382E-2</v>
      </c>
      <c r="E6555" s="224" t="s">
        <v>2</v>
      </c>
      <c r="F6555" s="515" t="s">
        <v>7777</v>
      </c>
      <c r="G6555" s="52">
        <v>256503.908099219</v>
      </c>
      <c r="H6555" s="56">
        <v>2.9884348876586886E-3</v>
      </c>
      <c r="I6555" s="224" t="s">
        <v>2</v>
      </c>
    </row>
    <row r="6556" spans="1:9" x14ac:dyDescent="0.25">
      <c r="A6556" s="515">
        <v>77445</v>
      </c>
      <c r="B6556" s="515" t="s">
        <v>314</v>
      </c>
      <c r="C6556" s="52">
        <v>243976.01526559499</v>
      </c>
      <c r="D6556" s="56">
        <v>6.5849320906941566E-2</v>
      </c>
      <c r="E6556" s="224" t="s">
        <v>2</v>
      </c>
      <c r="F6556" s="515" t="s">
        <v>7778</v>
      </c>
      <c r="G6556" s="52">
        <v>297736.54761061003</v>
      </c>
      <c r="H6556" s="56">
        <v>0.10311086135424738</v>
      </c>
      <c r="I6556" s="224" t="s">
        <v>2</v>
      </c>
    </row>
    <row r="6557" spans="1:9" x14ac:dyDescent="0.25">
      <c r="A6557" s="515">
        <v>8108</v>
      </c>
      <c r="B6557" s="515" t="s">
        <v>294</v>
      </c>
      <c r="C6557" s="52">
        <v>366184.58800705499</v>
      </c>
      <c r="D6557" s="56">
        <v>9.3578010174488191E-2</v>
      </c>
      <c r="E6557" s="224" t="s">
        <v>2</v>
      </c>
      <c r="F6557" s="515" t="s">
        <v>7779</v>
      </c>
      <c r="G6557" s="52">
        <v>537631.94336909498</v>
      </c>
      <c r="H6557" s="56">
        <v>2.933119581612267E-2</v>
      </c>
      <c r="I6557" s="224" t="s">
        <v>2</v>
      </c>
    </row>
    <row r="6558" spans="1:9" x14ac:dyDescent="0.25">
      <c r="A6558" s="515">
        <v>94552</v>
      </c>
      <c r="B6558" s="515" t="s">
        <v>593</v>
      </c>
      <c r="C6558" s="52">
        <v>1349724.52442639</v>
      </c>
      <c r="D6558" s="56">
        <v>-1.3227520095956223E-2</v>
      </c>
      <c r="E6558" s="224" t="s">
        <v>2</v>
      </c>
      <c r="F6558" s="515" t="s">
        <v>7780</v>
      </c>
      <c r="G6558" s="52">
        <v>472458.02778107702</v>
      </c>
      <c r="H6558" s="56">
        <v>3.1996651152495524E-2</v>
      </c>
      <c r="I6558" s="224" t="s">
        <v>2</v>
      </c>
    </row>
    <row r="6559" spans="1:9" x14ac:dyDescent="0.25">
      <c r="A6559" s="515">
        <v>53532</v>
      </c>
      <c r="B6559" s="515" t="s">
        <v>727</v>
      </c>
      <c r="C6559" s="52">
        <v>365382.69559918402</v>
      </c>
      <c r="D6559" s="56">
        <v>3.5117498868869355E-2</v>
      </c>
      <c r="E6559" s="224">
        <v>1440</v>
      </c>
      <c r="F6559" s="515" t="s">
        <v>7781</v>
      </c>
      <c r="G6559" s="52">
        <v>286459.40829471202</v>
      </c>
      <c r="H6559" s="56">
        <v>0.11334169988255299</v>
      </c>
      <c r="I6559" s="224" t="s">
        <v>2</v>
      </c>
    </row>
    <row r="6560" spans="1:9" x14ac:dyDescent="0.25">
      <c r="A6560" s="515">
        <v>32081</v>
      </c>
      <c r="B6560" s="515" t="s">
        <v>1158</v>
      </c>
      <c r="C6560" s="52">
        <v>653782.38495097205</v>
      </c>
      <c r="D6560" s="56">
        <v>0.1062101422982234</v>
      </c>
      <c r="E6560" s="224">
        <v>2336.4126984126901</v>
      </c>
      <c r="F6560" s="515" t="s">
        <v>7782</v>
      </c>
      <c r="G6560" s="52">
        <v>188524.55062263701</v>
      </c>
      <c r="H6560" s="56">
        <v>-4.4101938729509717E-3</v>
      </c>
      <c r="I6560" s="224" t="s">
        <v>2</v>
      </c>
    </row>
    <row r="6561" spans="1:9" x14ac:dyDescent="0.25">
      <c r="A6561" s="515">
        <v>37745</v>
      </c>
      <c r="B6561" s="515" t="s">
        <v>1117</v>
      </c>
      <c r="C6561" s="52">
        <v>195409.90275450901</v>
      </c>
      <c r="D6561" s="56">
        <v>7.0969908266778084E-2</v>
      </c>
      <c r="E6561" s="224" t="s">
        <v>2</v>
      </c>
      <c r="F6561" s="515" t="s">
        <v>7783</v>
      </c>
      <c r="G6561" s="52">
        <v>231895.04699707401</v>
      </c>
      <c r="H6561" s="56">
        <v>5.0984403264086098E-2</v>
      </c>
      <c r="I6561" s="224" t="s">
        <v>2</v>
      </c>
    </row>
    <row r="6562" spans="1:9" x14ac:dyDescent="0.25">
      <c r="A6562" s="515">
        <v>78747</v>
      </c>
      <c r="B6562" s="515" t="s">
        <v>380</v>
      </c>
      <c r="C6562" s="52">
        <v>423000.09772535501</v>
      </c>
      <c r="D6562" s="56">
        <v>1.507236241687776E-2</v>
      </c>
      <c r="E6562" s="224">
        <v>1972.5</v>
      </c>
      <c r="F6562" s="515" t="s">
        <v>7784</v>
      </c>
      <c r="G6562" s="52">
        <v>243858.31180985301</v>
      </c>
      <c r="H6562" s="56">
        <v>6.1647311818737026E-2</v>
      </c>
      <c r="I6562" s="224" t="s">
        <v>2</v>
      </c>
    </row>
    <row r="6563" spans="1:9" x14ac:dyDescent="0.25">
      <c r="A6563" s="515">
        <v>62220</v>
      </c>
      <c r="B6563" s="515" t="s">
        <v>498</v>
      </c>
      <c r="C6563" s="52">
        <v>125605.909951724</v>
      </c>
      <c r="D6563" s="56">
        <v>7.0898955897019264E-2</v>
      </c>
      <c r="E6563" s="224">
        <v>949.16666666666595</v>
      </c>
      <c r="F6563" s="515" t="s">
        <v>7785</v>
      </c>
      <c r="G6563" s="52">
        <v>350454.76380099601</v>
      </c>
      <c r="H6563" s="56">
        <v>0.11113620005440189</v>
      </c>
      <c r="I6563" s="224" t="s">
        <v>2</v>
      </c>
    </row>
    <row r="6564" spans="1:9" x14ac:dyDescent="0.25">
      <c r="A6564" s="515">
        <v>30540</v>
      </c>
      <c r="C6564" s="52">
        <v>343327.20033942699</v>
      </c>
      <c r="D6564" s="56">
        <v>0.13308966211122605</v>
      </c>
      <c r="E6564" s="224" t="s">
        <v>2</v>
      </c>
      <c r="F6564" s="515" t="s">
        <v>7786</v>
      </c>
      <c r="G6564" s="52">
        <v>205864.75554005799</v>
      </c>
      <c r="H6564" s="56">
        <v>6.4884239061352933E-2</v>
      </c>
      <c r="I6564" s="224" t="s">
        <v>2</v>
      </c>
    </row>
    <row r="6565" spans="1:9" x14ac:dyDescent="0.25">
      <c r="A6565" s="515">
        <v>99515</v>
      </c>
      <c r="B6565" s="515" t="s">
        <v>405</v>
      </c>
      <c r="C6565" s="52">
        <v>397228.14942183101</v>
      </c>
      <c r="D6565" s="56">
        <v>3.7400048257333507E-2</v>
      </c>
      <c r="E6565" s="224">
        <v>1897.5</v>
      </c>
      <c r="F6565" s="515" t="s">
        <v>7787</v>
      </c>
      <c r="G6565" s="52">
        <v>233386.64075240499</v>
      </c>
      <c r="H6565" s="56">
        <v>0.10380177568098399</v>
      </c>
      <c r="I6565" s="224" t="s">
        <v>2</v>
      </c>
    </row>
    <row r="6566" spans="1:9" x14ac:dyDescent="0.25">
      <c r="A6566" s="515">
        <v>57110</v>
      </c>
      <c r="B6566" s="515" t="s">
        <v>579</v>
      </c>
      <c r="C6566" s="52">
        <v>381530.37177017803</v>
      </c>
      <c r="D6566" s="56">
        <v>4.656716853024688E-2</v>
      </c>
      <c r="E6566" s="224">
        <v>1195.2857142857099</v>
      </c>
      <c r="F6566" s="515" t="s">
        <v>7788</v>
      </c>
      <c r="G6566" s="52">
        <v>163515.99250349001</v>
      </c>
      <c r="H6566" s="56">
        <v>8.4394191495519744E-2</v>
      </c>
      <c r="I6566" s="224" t="s">
        <v>2</v>
      </c>
    </row>
    <row r="6567" spans="1:9" x14ac:dyDescent="0.25">
      <c r="A6567" s="515">
        <v>39426</v>
      </c>
      <c r="B6567" s="515" t="s">
        <v>1200</v>
      </c>
      <c r="C6567" s="52">
        <v>219382.48699514801</v>
      </c>
      <c r="D6567" s="56">
        <v>4.9055004387994552E-2</v>
      </c>
      <c r="E6567" s="224" t="s">
        <v>2</v>
      </c>
      <c r="F6567" s="515" t="s">
        <v>7789</v>
      </c>
      <c r="G6567" s="52">
        <v>275887.95904716302</v>
      </c>
      <c r="H6567" s="56">
        <v>6.7059826550153925E-2</v>
      </c>
      <c r="I6567" s="224" t="s">
        <v>2</v>
      </c>
    </row>
    <row r="6568" spans="1:9" x14ac:dyDescent="0.25">
      <c r="A6568" s="515">
        <v>56379</v>
      </c>
      <c r="B6568" s="515" t="s">
        <v>418</v>
      </c>
      <c r="C6568" s="52">
        <v>258806.22022512599</v>
      </c>
      <c r="D6568" s="56">
        <v>4.856137293078612E-2</v>
      </c>
      <c r="E6568" s="224" t="s">
        <v>2</v>
      </c>
      <c r="F6568" s="515" t="s">
        <v>7790</v>
      </c>
      <c r="G6568" s="52">
        <v>276616.399441496</v>
      </c>
      <c r="H6568" s="56">
        <v>8.8724490174344292E-2</v>
      </c>
      <c r="I6568" s="224" t="s">
        <v>2</v>
      </c>
    </row>
    <row r="6569" spans="1:9" x14ac:dyDescent="0.25">
      <c r="A6569" s="515">
        <v>49783</v>
      </c>
      <c r="B6569" s="515" t="s">
        <v>740</v>
      </c>
      <c r="C6569" s="52">
        <v>142101.500172473</v>
      </c>
      <c r="D6569" s="56">
        <v>7.7646559330069725E-2</v>
      </c>
      <c r="E6569" s="224" t="s">
        <v>2</v>
      </c>
      <c r="F6569" s="515" t="s">
        <v>7791</v>
      </c>
      <c r="G6569" s="52">
        <v>496159.28834463703</v>
      </c>
      <c r="H6569" s="56">
        <v>5.9262198966109778E-2</v>
      </c>
      <c r="I6569" s="224" t="s">
        <v>2</v>
      </c>
    </row>
    <row r="6570" spans="1:9" x14ac:dyDescent="0.25">
      <c r="A6570" s="515">
        <v>15106</v>
      </c>
      <c r="B6570" s="515" t="s">
        <v>297</v>
      </c>
      <c r="C6570" s="52">
        <v>192892.09859163599</v>
      </c>
      <c r="D6570" s="56">
        <v>4.7264290613058389E-2</v>
      </c>
      <c r="E6570" s="224">
        <v>950.83333333333303</v>
      </c>
      <c r="F6570" s="515" t="s">
        <v>7792</v>
      </c>
      <c r="G6570" s="52">
        <v>105997.651973215</v>
      </c>
      <c r="H6570" s="56">
        <v>0.14637436437936971</v>
      </c>
      <c r="I6570" s="224" t="s">
        <v>2</v>
      </c>
    </row>
    <row r="6571" spans="1:9" x14ac:dyDescent="0.25">
      <c r="A6571" s="515">
        <v>93015</v>
      </c>
      <c r="B6571" s="515" t="s">
        <v>1021</v>
      </c>
      <c r="C6571" s="52">
        <v>615926.151620224</v>
      </c>
      <c r="D6571" s="56">
        <v>2.6797649309727355E-2</v>
      </c>
      <c r="E6571" s="224" t="s">
        <v>2</v>
      </c>
      <c r="F6571" s="515" t="s">
        <v>7793</v>
      </c>
      <c r="G6571" s="52">
        <v>168318.894524815</v>
      </c>
      <c r="H6571" s="56">
        <v>6.4086725523630386E-2</v>
      </c>
      <c r="I6571" s="224" t="s">
        <v>2</v>
      </c>
    </row>
    <row r="6572" spans="1:9" x14ac:dyDescent="0.25">
      <c r="A6572" s="515">
        <v>78738</v>
      </c>
      <c r="B6572" s="515" t="s">
        <v>380</v>
      </c>
      <c r="C6572" s="52">
        <v>917093.60499207897</v>
      </c>
      <c r="D6572" s="56">
        <v>3.9314221213497466E-2</v>
      </c>
      <c r="E6572" s="224">
        <v>2263.625</v>
      </c>
      <c r="F6572" s="515" t="s">
        <v>7794</v>
      </c>
      <c r="G6572" s="52">
        <v>109664.83458433099</v>
      </c>
      <c r="H6572" s="56">
        <v>0.19300659072464876</v>
      </c>
      <c r="I6572" s="224" t="s">
        <v>2</v>
      </c>
    </row>
    <row r="6573" spans="1:9" x14ac:dyDescent="0.25">
      <c r="A6573" s="515">
        <v>58059</v>
      </c>
      <c r="B6573" s="515" t="s">
        <v>928</v>
      </c>
      <c r="C6573" s="52">
        <v>283511.039973251</v>
      </c>
      <c r="D6573" s="56">
        <v>4.1871988291578267E-2</v>
      </c>
      <c r="E6573" s="224" t="s">
        <v>2</v>
      </c>
      <c r="F6573" s="515" t="s">
        <v>7795</v>
      </c>
      <c r="G6573" s="52">
        <v>357087.83037378202</v>
      </c>
      <c r="H6573" s="56">
        <v>0.12012921931830307</v>
      </c>
      <c r="I6573" s="224" t="s">
        <v>2</v>
      </c>
    </row>
    <row r="6574" spans="1:9" x14ac:dyDescent="0.25">
      <c r="A6574" s="515">
        <v>28716</v>
      </c>
      <c r="B6574" s="515" t="s">
        <v>668</v>
      </c>
      <c r="C6574" s="52">
        <v>254141.440691025</v>
      </c>
      <c r="D6574" s="56">
        <v>0.11280848134980934</v>
      </c>
      <c r="E6574" s="224" t="s">
        <v>2</v>
      </c>
      <c r="F6574" s="515" t="s">
        <v>7796</v>
      </c>
      <c r="G6574" s="52">
        <v>399417.99207660701</v>
      </c>
      <c r="H6574" s="56">
        <v>5.3460823305624204E-2</v>
      </c>
      <c r="I6574" s="224" t="s">
        <v>2</v>
      </c>
    </row>
    <row r="6575" spans="1:9" x14ac:dyDescent="0.25">
      <c r="A6575" s="515">
        <v>7070</v>
      </c>
      <c r="B6575" s="515" t="s">
        <v>324</v>
      </c>
      <c r="C6575" s="52">
        <v>580226.55376920302</v>
      </c>
      <c r="D6575" s="56">
        <v>3.4126342232845136E-2</v>
      </c>
      <c r="E6575" s="224" t="s">
        <v>2</v>
      </c>
      <c r="F6575" s="515" t="s">
        <v>7797</v>
      </c>
      <c r="G6575" s="52">
        <v>463276.83204454498</v>
      </c>
      <c r="H6575" s="56">
        <v>9.0512269828691247E-2</v>
      </c>
      <c r="I6575" s="224" t="s">
        <v>2</v>
      </c>
    </row>
    <row r="6576" spans="1:9" x14ac:dyDescent="0.25">
      <c r="A6576" s="515">
        <v>77011</v>
      </c>
      <c r="B6576" s="515" t="s">
        <v>314</v>
      </c>
      <c r="C6576" s="52">
        <v>193301.467552166</v>
      </c>
      <c r="D6576" s="56">
        <v>0.10032576369940367</v>
      </c>
      <c r="E6576" s="224">
        <v>1137.9166666666599</v>
      </c>
      <c r="F6576" s="515" t="s">
        <v>7798</v>
      </c>
      <c r="G6576" s="52">
        <v>143280.75656523299</v>
      </c>
      <c r="H6576" s="56">
        <v>0.18848397379778323</v>
      </c>
      <c r="I6576" s="224" t="s">
        <v>2</v>
      </c>
    </row>
    <row r="6577" spans="1:9" x14ac:dyDescent="0.25">
      <c r="A6577" s="515">
        <v>70435</v>
      </c>
      <c r="B6577" s="515" t="s">
        <v>777</v>
      </c>
      <c r="C6577" s="52">
        <v>270456.63476703502</v>
      </c>
      <c r="D6577" s="56">
        <v>3.1461481550400412E-2</v>
      </c>
      <c r="E6577" s="224" t="s">
        <v>2</v>
      </c>
      <c r="F6577" s="515" t="s">
        <v>7799</v>
      </c>
      <c r="G6577" s="52">
        <v>36838.267185107703</v>
      </c>
      <c r="H6577" s="56">
        <v>8.1792058539861642E-2</v>
      </c>
      <c r="I6577" s="224" t="s">
        <v>2</v>
      </c>
    </row>
    <row r="6578" spans="1:9" x14ac:dyDescent="0.25">
      <c r="A6578" s="515">
        <v>45405</v>
      </c>
      <c r="B6578" s="515" t="s">
        <v>340</v>
      </c>
      <c r="C6578" s="52">
        <v>78013.494802190296</v>
      </c>
      <c r="D6578" s="56">
        <v>0.19808856279608592</v>
      </c>
      <c r="E6578" s="224">
        <v>960.48888888888803</v>
      </c>
      <c r="F6578" s="515" t="s">
        <v>7800</v>
      </c>
      <c r="G6578" s="52">
        <v>238254.501624864</v>
      </c>
      <c r="H6578" s="56">
        <v>8.3137030366480721E-2</v>
      </c>
      <c r="I6578" s="224" t="s">
        <v>2</v>
      </c>
    </row>
    <row r="6579" spans="1:9" x14ac:dyDescent="0.25">
      <c r="A6579" s="515">
        <v>79415</v>
      </c>
      <c r="B6579" s="515" t="s">
        <v>354</v>
      </c>
      <c r="C6579" s="52">
        <v>103430.44813552999</v>
      </c>
      <c r="D6579" s="56">
        <v>0.21126839433568501</v>
      </c>
      <c r="E6579" s="224" t="s">
        <v>2</v>
      </c>
      <c r="F6579" s="515" t="s">
        <v>7801</v>
      </c>
      <c r="G6579" s="52">
        <v>159818.70770558499</v>
      </c>
      <c r="H6579" s="56">
        <v>3.9569238574437435E-2</v>
      </c>
      <c r="I6579" s="224" t="s">
        <v>2</v>
      </c>
    </row>
    <row r="6580" spans="1:9" x14ac:dyDescent="0.25">
      <c r="A6580" s="515">
        <v>34238</v>
      </c>
      <c r="B6580" s="515" t="s">
        <v>466</v>
      </c>
      <c r="C6580" s="52">
        <v>556682.22997613205</v>
      </c>
      <c r="D6580" s="56">
        <v>0.12400012866096415</v>
      </c>
      <c r="E6580" s="224">
        <v>2454.8343434343401</v>
      </c>
      <c r="F6580" s="515" t="s">
        <v>7802</v>
      </c>
      <c r="G6580" s="52">
        <v>285668.85305339802</v>
      </c>
      <c r="H6580" s="56">
        <v>0.10469233869550959</v>
      </c>
      <c r="I6580" s="224" t="s">
        <v>2</v>
      </c>
    </row>
    <row r="6581" spans="1:9" x14ac:dyDescent="0.25">
      <c r="A6581" s="515">
        <v>91203</v>
      </c>
      <c r="B6581" s="515" t="s">
        <v>375</v>
      </c>
      <c r="C6581" s="52">
        <v>738062.94089126994</v>
      </c>
      <c r="D6581" s="56">
        <v>2.3620858921979748E-2</v>
      </c>
      <c r="E6581" s="224">
        <v>3006.68681318681</v>
      </c>
      <c r="F6581" s="515" t="s">
        <v>7803</v>
      </c>
      <c r="G6581" s="52">
        <v>472826.55033882498</v>
      </c>
      <c r="H6581" s="56">
        <v>5.6557122547212832E-2</v>
      </c>
      <c r="I6581" s="224" t="s">
        <v>2</v>
      </c>
    </row>
    <row r="6582" spans="1:9" x14ac:dyDescent="0.25">
      <c r="A6582" s="515">
        <v>97470</v>
      </c>
      <c r="B6582" s="515" t="s">
        <v>449</v>
      </c>
      <c r="C6582" s="52">
        <v>296183.713823909</v>
      </c>
      <c r="D6582" s="56">
        <v>5.4443969743491555E-2</v>
      </c>
      <c r="E6582" s="224" t="s">
        <v>2</v>
      </c>
      <c r="F6582" s="515" t="s">
        <v>7804</v>
      </c>
      <c r="G6582" s="52">
        <v>263725.089498399</v>
      </c>
      <c r="H6582" s="56">
        <v>0.15190409913723016</v>
      </c>
      <c r="I6582" s="224">
        <v>1561.5166666666601</v>
      </c>
    </row>
    <row r="6583" spans="1:9" x14ac:dyDescent="0.25">
      <c r="A6583" s="515">
        <v>49685</v>
      </c>
      <c r="B6583" s="515" t="s">
        <v>366</v>
      </c>
      <c r="C6583" s="52">
        <v>375326.68046744098</v>
      </c>
      <c r="D6583" s="56">
        <v>0.10360672407091989</v>
      </c>
      <c r="E6583" s="224" t="s">
        <v>2</v>
      </c>
      <c r="F6583" s="515" t="s">
        <v>7805</v>
      </c>
      <c r="G6583" s="52">
        <v>299817.154604721</v>
      </c>
      <c r="H6583" s="56">
        <v>5.8512211792197392E-2</v>
      </c>
      <c r="I6583" s="224" t="s">
        <v>2</v>
      </c>
    </row>
    <row r="6584" spans="1:9" x14ac:dyDescent="0.25">
      <c r="A6584" s="515">
        <v>44622</v>
      </c>
      <c r="B6584" s="515" t="s">
        <v>309</v>
      </c>
      <c r="C6584" s="52">
        <v>193736.683319765</v>
      </c>
      <c r="D6584" s="56">
        <v>5.0994131375419589E-2</v>
      </c>
      <c r="E6584" s="224" t="s">
        <v>2</v>
      </c>
      <c r="F6584" s="515" t="s">
        <v>7806</v>
      </c>
      <c r="G6584" s="52">
        <v>248145.14529914499</v>
      </c>
      <c r="H6584" s="56">
        <v>0</v>
      </c>
      <c r="I6584" s="224" t="s">
        <v>2</v>
      </c>
    </row>
    <row r="6585" spans="1:9" x14ac:dyDescent="0.25">
      <c r="A6585" s="515">
        <v>16201</v>
      </c>
      <c r="B6585" s="515" t="s">
        <v>297</v>
      </c>
      <c r="C6585" s="52">
        <v>151571.05396784301</v>
      </c>
      <c r="D6585" s="56">
        <v>7.6887360612062236E-2</v>
      </c>
      <c r="E6585" s="224" t="s">
        <v>2</v>
      </c>
      <c r="F6585" s="515" t="s">
        <v>7807</v>
      </c>
      <c r="G6585" s="52">
        <v>89016.921657798099</v>
      </c>
      <c r="H6585" s="56">
        <v>4.6989796769301116E-2</v>
      </c>
      <c r="I6585" s="224" t="s">
        <v>2</v>
      </c>
    </row>
    <row r="6586" spans="1:9" x14ac:dyDescent="0.25">
      <c r="A6586" s="515">
        <v>63131</v>
      </c>
      <c r="B6586" s="515" t="s">
        <v>498</v>
      </c>
      <c r="C6586" s="52">
        <v>751521.03544055996</v>
      </c>
      <c r="D6586" s="56">
        <v>8.2221110676613099E-2</v>
      </c>
      <c r="E6586" s="224" t="s">
        <v>2</v>
      </c>
      <c r="F6586" s="515" t="s">
        <v>7808</v>
      </c>
      <c r="G6586" s="52">
        <v>362946.54690111801</v>
      </c>
      <c r="H6586" s="56">
        <v>6.0485709202591852E-2</v>
      </c>
      <c r="I6586" s="224" t="s">
        <v>2</v>
      </c>
    </row>
    <row r="6587" spans="1:9" x14ac:dyDescent="0.25">
      <c r="A6587" s="515">
        <v>2035</v>
      </c>
      <c r="B6587" s="515" t="s">
        <v>534</v>
      </c>
      <c r="C6587" s="52">
        <v>594232.61658236</v>
      </c>
      <c r="D6587" s="56">
        <v>5.3646297729846783E-2</v>
      </c>
      <c r="E6587" s="224">
        <v>2419.7222222222199</v>
      </c>
      <c r="F6587" s="515" t="s">
        <v>7809</v>
      </c>
      <c r="G6587" s="52">
        <v>239397.918377756</v>
      </c>
      <c r="H6587" s="56">
        <v>6.9312152036706848E-2</v>
      </c>
      <c r="I6587" s="224" t="s">
        <v>2</v>
      </c>
    </row>
    <row r="6588" spans="1:9" x14ac:dyDescent="0.25">
      <c r="A6588" s="515">
        <v>91506</v>
      </c>
      <c r="B6588" s="515" t="s">
        <v>375</v>
      </c>
      <c r="C6588" s="52">
        <v>1089497.52948551</v>
      </c>
      <c r="D6588" s="56">
        <v>3.3105873774120567E-2</v>
      </c>
      <c r="E6588" s="224">
        <v>2260.4166666666601</v>
      </c>
      <c r="F6588" s="515" t="s">
        <v>7810</v>
      </c>
      <c r="G6588" s="52">
        <v>277734.52662371198</v>
      </c>
      <c r="H6588" s="56">
        <v>7.2898939868295431E-2</v>
      </c>
      <c r="I6588" s="224" t="s">
        <v>2</v>
      </c>
    </row>
    <row r="6589" spans="1:9" x14ac:dyDescent="0.25">
      <c r="A6589" s="515">
        <v>80487</v>
      </c>
      <c r="B6589" s="515" t="s">
        <v>536</v>
      </c>
      <c r="C6589" s="52">
        <v>1057340.57113971</v>
      </c>
      <c r="D6589" s="56">
        <v>0.10728751188780393</v>
      </c>
      <c r="E6589" s="224" t="s">
        <v>2</v>
      </c>
      <c r="F6589" s="515" t="s">
        <v>7811</v>
      </c>
      <c r="G6589" s="52">
        <v>340891.65277311299</v>
      </c>
      <c r="H6589" s="56">
        <v>3.8834232335835425E-2</v>
      </c>
      <c r="I6589" s="224" t="s">
        <v>2</v>
      </c>
    </row>
    <row r="6590" spans="1:9" x14ac:dyDescent="0.25">
      <c r="A6590" s="515">
        <v>98121</v>
      </c>
      <c r="B6590" s="515" t="s">
        <v>384</v>
      </c>
      <c r="C6590" s="52">
        <v>602344.42443843605</v>
      </c>
      <c r="D6590" s="56">
        <v>-3.3311991412063757E-2</v>
      </c>
      <c r="E6590" s="224">
        <v>2295.29228850245</v>
      </c>
      <c r="F6590" s="515" t="s">
        <v>7812</v>
      </c>
      <c r="G6590" s="52">
        <v>143374.64811350199</v>
      </c>
      <c r="H6590" s="56">
        <v>4.0644089351543046E-2</v>
      </c>
      <c r="I6590" s="224" t="s">
        <v>2</v>
      </c>
    </row>
    <row r="6591" spans="1:9" x14ac:dyDescent="0.25">
      <c r="A6591" s="515">
        <v>7461</v>
      </c>
      <c r="B6591" s="515" t="s">
        <v>324</v>
      </c>
      <c r="C6591" s="52">
        <v>355537.94412150403</v>
      </c>
      <c r="D6591" s="56">
        <v>5.8373307944247492E-2</v>
      </c>
      <c r="E6591" s="224" t="s">
        <v>2</v>
      </c>
      <c r="F6591" s="515" t="s">
        <v>7813</v>
      </c>
      <c r="G6591" s="52">
        <v>195418.23422602101</v>
      </c>
      <c r="H6591" s="56">
        <v>0.14382798952102066</v>
      </c>
      <c r="I6591" s="224" t="s">
        <v>2</v>
      </c>
    </row>
    <row r="6592" spans="1:9" x14ac:dyDescent="0.25">
      <c r="A6592" s="515">
        <v>70447</v>
      </c>
      <c r="B6592" s="515" t="s">
        <v>777</v>
      </c>
      <c r="C6592" s="52">
        <v>350936.18837602797</v>
      </c>
      <c r="D6592" s="56">
        <v>4.1681886429524848E-2</v>
      </c>
      <c r="E6592" s="224" t="s">
        <v>2</v>
      </c>
      <c r="F6592" s="515" t="s">
        <v>7814</v>
      </c>
      <c r="G6592" s="52">
        <v>335342.00513303099</v>
      </c>
      <c r="H6592" s="56">
        <v>9.9442503583942382E-2</v>
      </c>
      <c r="I6592" s="224" t="s">
        <v>2</v>
      </c>
    </row>
    <row r="6593" spans="1:9" x14ac:dyDescent="0.25">
      <c r="A6593" s="515">
        <v>10302</v>
      </c>
      <c r="B6593" s="515" t="s">
        <v>324</v>
      </c>
      <c r="C6593" s="52">
        <v>529137.81006684899</v>
      </c>
      <c r="D6593" s="56">
        <v>3.5622797318857098E-2</v>
      </c>
      <c r="E6593" s="224" t="s">
        <v>2</v>
      </c>
      <c r="F6593" s="515" t="s">
        <v>7815</v>
      </c>
      <c r="G6593" s="52">
        <v>315382.42599733802</v>
      </c>
      <c r="H6593" s="56">
        <v>3.8334881635597631E-2</v>
      </c>
      <c r="I6593" s="224" t="s">
        <v>2</v>
      </c>
    </row>
    <row r="6594" spans="1:9" x14ac:dyDescent="0.25">
      <c r="A6594" s="515">
        <v>46016</v>
      </c>
      <c r="B6594" s="515" t="s">
        <v>403</v>
      </c>
      <c r="C6594" s="52">
        <v>65016.601088399999</v>
      </c>
      <c r="D6594" s="56">
        <v>0.20047744025538705</v>
      </c>
      <c r="E6594" s="224">
        <v>865.83333333333303</v>
      </c>
      <c r="F6594" s="515" t="s">
        <v>7816</v>
      </c>
      <c r="G6594" s="52">
        <v>172435.71753033501</v>
      </c>
      <c r="H6594" s="56">
        <v>5.2077220090283149E-2</v>
      </c>
      <c r="I6594" s="224" t="s">
        <v>2</v>
      </c>
    </row>
    <row r="6595" spans="1:9" x14ac:dyDescent="0.25">
      <c r="A6595" s="515">
        <v>77013</v>
      </c>
      <c r="B6595" s="515" t="s">
        <v>314</v>
      </c>
      <c r="C6595" s="52">
        <v>190890.801444677</v>
      </c>
      <c r="D6595" s="56">
        <v>0.18382210783108432</v>
      </c>
      <c r="E6595" s="224">
        <v>930</v>
      </c>
      <c r="F6595" s="515" t="s">
        <v>7817</v>
      </c>
      <c r="G6595" s="52">
        <v>236197.833181208</v>
      </c>
      <c r="H6595" s="56">
        <v>6.3744700742337151E-2</v>
      </c>
      <c r="I6595" s="224" t="s">
        <v>2</v>
      </c>
    </row>
    <row r="6596" spans="1:9" x14ac:dyDescent="0.25">
      <c r="A6596" s="515">
        <v>80216</v>
      </c>
      <c r="B6596" s="515" t="s">
        <v>401</v>
      </c>
      <c r="C6596" s="52">
        <v>386885.868859854</v>
      </c>
      <c r="D6596" s="56">
        <v>2.9801757903827542E-2</v>
      </c>
      <c r="E6596" s="224">
        <v>1869.7472934472901</v>
      </c>
      <c r="F6596" s="515" t="s">
        <v>7818</v>
      </c>
      <c r="G6596" s="52">
        <v>287502.84654232702</v>
      </c>
      <c r="H6596" s="56">
        <v>6.5207110387735565E-2</v>
      </c>
      <c r="I6596" s="224" t="s">
        <v>2</v>
      </c>
    </row>
    <row r="6597" spans="1:9" x14ac:dyDescent="0.25">
      <c r="A6597" s="515">
        <v>32055</v>
      </c>
      <c r="B6597" s="515" t="s">
        <v>1045</v>
      </c>
      <c r="C6597" s="52">
        <v>194033.65891880999</v>
      </c>
      <c r="D6597" s="56">
        <v>0.1456388893151995</v>
      </c>
      <c r="E6597" s="224" t="s">
        <v>2</v>
      </c>
      <c r="F6597" s="515" t="s">
        <v>7819</v>
      </c>
      <c r="G6597" s="52">
        <v>266968.26888540498</v>
      </c>
      <c r="H6597" s="56">
        <v>9.9535524851339069E-2</v>
      </c>
      <c r="I6597" s="224" t="s">
        <v>2</v>
      </c>
    </row>
    <row r="6598" spans="1:9" x14ac:dyDescent="0.25">
      <c r="A6598" s="515">
        <v>8690</v>
      </c>
      <c r="B6598" s="515" t="s">
        <v>938</v>
      </c>
      <c r="C6598" s="52">
        <v>380496.02071615797</v>
      </c>
      <c r="D6598" s="56">
        <v>7.4169971297482915E-2</v>
      </c>
      <c r="E6598" s="224" t="s">
        <v>2</v>
      </c>
      <c r="F6598" s="515" t="s">
        <v>7820</v>
      </c>
      <c r="G6598" s="52">
        <v>457276.28476192901</v>
      </c>
      <c r="H6598" s="56">
        <v>1.8163719967299246E-2</v>
      </c>
      <c r="I6598" s="224" t="s">
        <v>2</v>
      </c>
    </row>
    <row r="6599" spans="1:9" x14ac:dyDescent="0.25">
      <c r="A6599" s="515">
        <v>44142</v>
      </c>
      <c r="B6599" s="515" t="s">
        <v>520</v>
      </c>
      <c r="C6599" s="52">
        <v>172781.47551557899</v>
      </c>
      <c r="D6599" s="56">
        <v>9.8470820325780001E-2</v>
      </c>
      <c r="E6599" s="224" t="s">
        <v>2</v>
      </c>
      <c r="F6599" s="515" t="s">
        <v>7821</v>
      </c>
      <c r="G6599" s="52">
        <v>425978.75055868702</v>
      </c>
      <c r="H6599" s="56">
        <v>4.662641297585815E-2</v>
      </c>
      <c r="I6599" s="224" t="s">
        <v>2</v>
      </c>
    </row>
    <row r="6600" spans="1:9" x14ac:dyDescent="0.25">
      <c r="A6600" s="515">
        <v>40962</v>
      </c>
      <c r="B6600" s="515" t="s">
        <v>633</v>
      </c>
      <c r="C6600" s="52">
        <v>104965.996437177</v>
      </c>
      <c r="D6600" s="56">
        <v>0.29962969814650692</v>
      </c>
      <c r="E6600" s="224" t="s">
        <v>2</v>
      </c>
      <c r="F6600" s="515" t="s">
        <v>7822</v>
      </c>
      <c r="G6600" s="52">
        <v>631063.37826046394</v>
      </c>
      <c r="H6600" s="56">
        <v>2.2593888966711669E-2</v>
      </c>
      <c r="I6600" s="224" t="s">
        <v>2</v>
      </c>
    </row>
    <row r="6601" spans="1:9" x14ac:dyDescent="0.25">
      <c r="A6601" s="515">
        <v>37354</v>
      </c>
      <c r="C6601" s="52">
        <v>230056.64187307699</v>
      </c>
      <c r="D6601" s="56">
        <v>6.1828936852963694E-2</v>
      </c>
      <c r="E6601" s="224" t="s">
        <v>2</v>
      </c>
      <c r="F6601" s="515" t="s">
        <v>7823</v>
      </c>
      <c r="G6601" s="52">
        <v>128267.69200761701</v>
      </c>
      <c r="H6601" s="56">
        <v>8.2045816556057E-2</v>
      </c>
      <c r="I6601" s="224" t="s">
        <v>2</v>
      </c>
    </row>
    <row r="6602" spans="1:9" x14ac:dyDescent="0.25">
      <c r="A6602" s="515">
        <v>28574</v>
      </c>
      <c r="B6602" s="515" t="s">
        <v>1153</v>
      </c>
      <c r="C6602" s="52">
        <v>232132.75494204601</v>
      </c>
      <c r="D6602" s="56">
        <v>0.15489391292144042</v>
      </c>
      <c r="E6602" s="224">
        <v>1372.5</v>
      </c>
      <c r="F6602" s="515" t="s">
        <v>7824</v>
      </c>
      <c r="G6602" s="52">
        <v>193957.29717502199</v>
      </c>
      <c r="H6602" s="56">
        <v>0.10105819100805383</v>
      </c>
      <c r="I6602" s="224" t="s">
        <v>2</v>
      </c>
    </row>
    <row r="6603" spans="1:9" x14ac:dyDescent="0.25">
      <c r="A6603" s="515">
        <v>95357</v>
      </c>
      <c r="B6603" s="515" t="s">
        <v>797</v>
      </c>
      <c r="C6603" s="52">
        <v>462457.41565987602</v>
      </c>
      <c r="D6603" s="56">
        <v>4.9910304481647072E-2</v>
      </c>
      <c r="E6603" s="224" t="s">
        <v>2</v>
      </c>
      <c r="F6603" s="515" t="s">
        <v>7825</v>
      </c>
      <c r="G6603" s="52">
        <v>159109.91257821099</v>
      </c>
      <c r="H6603" s="56">
        <v>0.23044195208913504</v>
      </c>
      <c r="I6603" s="224" t="s">
        <v>2</v>
      </c>
    </row>
    <row r="6604" spans="1:9" x14ac:dyDescent="0.25">
      <c r="A6604" s="515">
        <v>94301</v>
      </c>
      <c r="B6604" s="515" t="s">
        <v>850</v>
      </c>
      <c r="C6604" s="52">
        <v>3689885.56162056</v>
      </c>
      <c r="D6604" s="56">
        <v>-4.7212743020353984E-2</v>
      </c>
      <c r="E6604" s="224">
        <v>4632.6666666666597</v>
      </c>
      <c r="F6604" s="515" t="s">
        <v>7826</v>
      </c>
      <c r="G6604" s="52">
        <v>483347.80066593498</v>
      </c>
      <c r="H6604" s="56">
        <v>4.2894660654367985E-2</v>
      </c>
      <c r="I6604" s="224" t="s">
        <v>2</v>
      </c>
    </row>
    <row r="6605" spans="1:9" x14ac:dyDescent="0.25">
      <c r="A6605" s="515">
        <v>4101</v>
      </c>
      <c r="B6605" s="515" t="s">
        <v>570</v>
      </c>
      <c r="C6605" s="52">
        <v>546179.85595641495</v>
      </c>
      <c r="D6605" s="56">
        <v>4.5367726973653585E-2</v>
      </c>
      <c r="E6605" s="224">
        <v>2062.1404761904701</v>
      </c>
      <c r="F6605" s="515" t="s">
        <v>7827</v>
      </c>
      <c r="G6605" s="52">
        <v>151982.85758778499</v>
      </c>
      <c r="H6605" s="56">
        <v>0.11890195450960948</v>
      </c>
      <c r="I6605" s="224" t="s">
        <v>2</v>
      </c>
    </row>
    <row r="6606" spans="1:9" x14ac:dyDescent="0.25">
      <c r="A6606" s="515">
        <v>46404</v>
      </c>
      <c r="B6606" s="515" t="s">
        <v>394</v>
      </c>
      <c r="C6606" s="52">
        <v>82223.204962961594</v>
      </c>
      <c r="D6606" s="56">
        <v>0.20628474537709479</v>
      </c>
      <c r="E6606" s="224" t="s">
        <v>2</v>
      </c>
      <c r="F6606" s="515" t="s">
        <v>7828</v>
      </c>
      <c r="G6606" s="52">
        <v>250859.844290587</v>
      </c>
      <c r="H6606" s="56">
        <v>0.30230167665859209</v>
      </c>
      <c r="I6606" s="224" t="s">
        <v>2</v>
      </c>
    </row>
    <row r="6607" spans="1:9" x14ac:dyDescent="0.25">
      <c r="A6607" s="515">
        <v>92270</v>
      </c>
      <c r="B6607" s="515" t="s">
        <v>599</v>
      </c>
      <c r="C6607" s="52">
        <v>844614.21392121504</v>
      </c>
      <c r="D6607" s="56">
        <v>0.11587276932781332</v>
      </c>
      <c r="E6607" s="224">
        <v>4043.3333333333298</v>
      </c>
      <c r="F6607" s="515" t="s">
        <v>7829</v>
      </c>
      <c r="G6607" s="52">
        <v>393029.14444695401</v>
      </c>
      <c r="H6607" s="56">
        <v>6.7490704951557567E-2</v>
      </c>
      <c r="I6607" s="224" t="s">
        <v>2</v>
      </c>
    </row>
    <row r="6608" spans="1:9" x14ac:dyDescent="0.25">
      <c r="A6608" s="515">
        <v>33974</v>
      </c>
      <c r="B6608" s="515" t="s">
        <v>661</v>
      </c>
      <c r="C6608" s="52">
        <v>111298.345629512</v>
      </c>
      <c r="D6608" s="56">
        <v>0.23363353164946907</v>
      </c>
      <c r="E6608" s="224">
        <v>2220.8333333333298</v>
      </c>
      <c r="F6608" s="515" t="s">
        <v>7830</v>
      </c>
      <c r="G6608" s="52">
        <v>175392.11853600899</v>
      </c>
      <c r="H6608" s="56">
        <v>7.874678854074986E-2</v>
      </c>
      <c r="I6608" s="224" t="s">
        <v>2</v>
      </c>
    </row>
    <row r="6609" spans="1:9" x14ac:dyDescent="0.25">
      <c r="A6609" s="515">
        <v>67226</v>
      </c>
      <c r="B6609" s="515" t="s">
        <v>485</v>
      </c>
      <c r="C6609" s="52">
        <v>298295.98869111802</v>
      </c>
      <c r="D6609" s="56">
        <v>6.8814504552026784E-2</v>
      </c>
      <c r="E6609" s="224">
        <v>1194.5</v>
      </c>
      <c r="F6609" s="515" t="s">
        <v>7831</v>
      </c>
      <c r="G6609" s="52">
        <v>402616.24324485398</v>
      </c>
      <c r="H6609" s="56">
        <v>1.7737466409415245E-2</v>
      </c>
      <c r="I6609" s="224" t="s">
        <v>2</v>
      </c>
    </row>
    <row r="6610" spans="1:9" x14ac:dyDescent="0.25">
      <c r="A6610" s="515">
        <v>36203</v>
      </c>
      <c r="B6610" s="515" t="s">
        <v>927</v>
      </c>
      <c r="C6610" s="52">
        <v>173868.88562096699</v>
      </c>
      <c r="D6610" s="56">
        <v>6.7472747055249679E-2</v>
      </c>
      <c r="E6610" s="224" t="s">
        <v>2</v>
      </c>
      <c r="F6610" s="515" t="s">
        <v>7832</v>
      </c>
      <c r="G6610" s="52">
        <v>244986.15259296901</v>
      </c>
      <c r="H6610" s="56">
        <v>9.7872284138197568E-2</v>
      </c>
      <c r="I6610" s="224" t="s">
        <v>2</v>
      </c>
    </row>
    <row r="6611" spans="1:9" x14ac:dyDescent="0.25">
      <c r="A6611" s="515">
        <v>61603</v>
      </c>
      <c r="B6611" s="515" t="s">
        <v>303</v>
      </c>
      <c r="C6611" s="52">
        <v>46642.8495015054</v>
      </c>
      <c r="D6611" s="56">
        <v>8.7406364565258063E-2</v>
      </c>
      <c r="E6611" s="224" t="s">
        <v>2</v>
      </c>
      <c r="F6611" s="515" t="s">
        <v>7833</v>
      </c>
      <c r="G6611" s="52">
        <v>336511.15447570302</v>
      </c>
      <c r="H6611" s="56">
        <v>0.14192975892899379</v>
      </c>
      <c r="I6611" s="224" t="s">
        <v>2</v>
      </c>
    </row>
    <row r="6612" spans="1:9" x14ac:dyDescent="0.25">
      <c r="A6612" s="515">
        <v>37212</v>
      </c>
      <c r="B6612" s="515" t="s">
        <v>684</v>
      </c>
      <c r="C6612" s="52">
        <v>731656.67888458294</v>
      </c>
      <c r="D6612" s="56">
        <v>9.5080961059067159E-2</v>
      </c>
      <c r="E6612" s="224">
        <v>2048.23809523809</v>
      </c>
      <c r="F6612" s="515" t="s">
        <v>7834</v>
      </c>
      <c r="G6612" s="52">
        <v>463087.27283133601</v>
      </c>
      <c r="H6612" s="56">
        <v>9.5932437181946439E-2</v>
      </c>
      <c r="I6612" s="224" t="s">
        <v>2</v>
      </c>
    </row>
    <row r="6613" spans="1:9" x14ac:dyDescent="0.25">
      <c r="A6613" s="515">
        <v>1075</v>
      </c>
      <c r="B6613" s="515" t="s">
        <v>575</v>
      </c>
      <c r="C6613" s="52">
        <v>324322.01227188797</v>
      </c>
      <c r="D6613" s="56">
        <v>8.6103104712115464E-2</v>
      </c>
      <c r="E6613" s="224" t="s">
        <v>2</v>
      </c>
      <c r="F6613" s="515" t="s">
        <v>7835</v>
      </c>
      <c r="G6613" s="52">
        <v>162208.20897060301</v>
      </c>
      <c r="H6613" s="56">
        <v>9.3465514270369712E-2</v>
      </c>
      <c r="I6613" s="224" t="s">
        <v>2</v>
      </c>
    </row>
    <row r="6614" spans="1:9" x14ac:dyDescent="0.25">
      <c r="A6614" s="515">
        <v>2152</v>
      </c>
      <c r="B6614" s="515" t="s">
        <v>534</v>
      </c>
      <c r="C6614" s="52">
        <v>585328.38685820403</v>
      </c>
      <c r="D6614" s="56">
        <v>3.6416637789938061E-2</v>
      </c>
      <c r="E6614" s="224">
        <v>2483.3333333333298</v>
      </c>
      <c r="F6614" s="515" t="s">
        <v>7836</v>
      </c>
      <c r="G6614" s="52">
        <v>567201.443953468</v>
      </c>
      <c r="H6614" s="56">
        <v>4.1229020911602687E-2</v>
      </c>
      <c r="I6614" s="224" t="s">
        <v>2</v>
      </c>
    </row>
    <row r="6615" spans="1:9" x14ac:dyDescent="0.25">
      <c r="A6615" s="515">
        <v>53158</v>
      </c>
      <c r="B6615" s="515" t="s">
        <v>394</v>
      </c>
      <c r="C6615" s="52">
        <v>344639.61290274502</v>
      </c>
      <c r="D6615" s="56">
        <v>2.8670921722122593E-2</v>
      </c>
      <c r="E6615" s="224" t="s">
        <v>2</v>
      </c>
      <c r="F6615" s="515" t="s">
        <v>7837</v>
      </c>
      <c r="G6615" s="52">
        <v>376137.07196135703</v>
      </c>
      <c r="H6615" s="56">
        <v>6.29894245829625E-2</v>
      </c>
      <c r="I6615" s="224" t="s">
        <v>2</v>
      </c>
    </row>
    <row r="6616" spans="1:9" x14ac:dyDescent="0.25">
      <c r="A6616" s="515">
        <v>63105</v>
      </c>
      <c r="B6616" s="515" t="s">
        <v>498</v>
      </c>
      <c r="C6616" s="52">
        <v>650240.603122139</v>
      </c>
      <c r="D6616" s="56">
        <v>3.5001503702738954E-2</v>
      </c>
      <c r="E6616" s="224">
        <v>1663.4047619047601</v>
      </c>
      <c r="F6616" s="515" t="s">
        <v>7838</v>
      </c>
      <c r="G6616" s="52">
        <v>339742.36350655899</v>
      </c>
      <c r="H6616" s="56">
        <v>2.0422031390168797E-2</v>
      </c>
      <c r="I6616" s="224" t="s">
        <v>2</v>
      </c>
    </row>
    <row r="6617" spans="1:9" x14ac:dyDescent="0.25">
      <c r="A6617" s="515">
        <v>37127</v>
      </c>
      <c r="B6617" s="515" t="s">
        <v>684</v>
      </c>
      <c r="C6617" s="52">
        <v>386007.840849798</v>
      </c>
      <c r="D6617" s="56">
        <v>6.2023179441190471E-2</v>
      </c>
      <c r="E6617" s="224">
        <v>2177.0833333333298</v>
      </c>
      <c r="F6617" s="515" t="s">
        <v>7839</v>
      </c>
      <c r="G6617" s="52">
        <v>255869.536836824</v>
      </c>
      <c r="H6617" s="56">
        <v>0.13536673635537338</v>
      </c>
      <c r="I6617" s="224" t="s">
        <v>2</v>
      </c>
    </row>
    <row r="6618" spans="1:9" x14ac:dyDescent="0.25">
      <c r="A6618" s="515">
        <v>30009</v>
      </c>
      <c r="B6618" s="515" t="s">
        <v>957</v>
      </c>
      <c r="C6618" s="52">
        <v>621153.275336258</v>
      </c>
      <c r="D6618" s="56">
        <v>0.145455018866295</v>
      </c>
      <c r="E6618" s="224">
        <v>2652.59018759018</v>
      </c>
      <c r="F6618" s="515" t="s">
        <v>7840</v>
      </c>
      <c r="G6618" s="52">
        <v>214696.39960381901</v>
      </c>
      <c r="H6618" s="56">
        <v>6.6974870981828027E-2</v>
      </c>
      <c r="I6618" s="224" t="s">
        <v>2</v>
      </c>
    </row>
    <row r="6619" spans="1:9" x14ac:dyDescent="0.25">
      <c r="A6619" s="515">
        <v>37766</v>
      </c>
      <c r="B6619" s="515" t="s">
        <v>907</v>
      </c>
      <c r="C6619" s="52">
        <v>184801.240341116</v>
      </c>
      <c r="D6619" s="56">
        <v>9.0094166448299609E-2</v>
      </c>
      <c r="E6619" s="224" t="s">
        <v>2</v>
      </c>
      <c r="F6619" s="515" t="s">
        <v>7841</v>
      </c>
      <c r="G6619" s="52">
        <v>271146.154596643</v>
      </c>
      <c r="H6619" s="56">
        <v>7.1915762261968552E-2</v>
      </c>
      <c r="I6619" s="224" t="s">
        <v>2</v>
      </c>
    </row>
    <row r="6620" spans="1:9" x14ac:dyDescent="0.25">
      <c r="A6620" s="515">
        <v>36022</v>
      </c>
      <c r="B6620" s="515" t="s">
        <v>806</v>
      </c>
      <c r="C6620" s="52">
        <v>253454.465519121</v>
      </c>
      <c r="D6620" s="56">
        <v>8.0794713210239913E-2</v>
      </c>
      <c r="E6620" s="224" t="s">
        <v>2</v>
      </c>
      <c r="F6620" s="515" t="s">
        <v>7842</v>
      </c>
      <c r="G6620" s="52">
        <v>482606.39121273998</v>
      </c>
      <c r="H6620" s="56">
        <v>7.9934927091396116E-2</v>
      </c>
      <c r="I6620" s="224" t="s">
        <v>2</v>
      </c>
    </row>
    <row r="6621" spans="1:9" x14ac:dyDescent="0.25">
      <c r="A6621" s="515">
        <v>49321</v>
      </c>
      <c r="B6621" s="515" t="s">
        <v>631</v>
      </c>
      <c r="C6621" s="52">
        <v>278834.34151556401</v>
      </c>
      <c r="D6621" s="56">
        <v>3.770281890557952E-2</v>
      </c>
      <c r="E6621" s="224" t="s">
        <v>2</v>
      </c>
      <c r="F6621" s="515" t="s">
        <v>7843</v>
      </c>
      <c r="G6621" s="52">
        <v>201856.55781531599</v>
      </c>
      <c r="H6621" s="56">
        <v>0.10726791449400847</v>
      </c>
      <c r="I6621" s="224" t="s">
        <v>2</v>
      </c>
    </row>
    <row r="6622" spans="1:9" x14ac:dyDescent="0.25">
      <c r="A6622" s="515">
        <v>7735</v>
      </c>
      <c r="B6622" s="515" t="s">
        <v>324</v>
      </c>
      <c r="C6622" s="52">
        <v>392646.99563417298</v>
      </c>
      <c r="D6622" s="56">
        <v>9.0238924420871239E-2</v>
      </c>
      <c r="E6622" s="224" t="s">
        <v>2</v>
      </c>
      <c r="F6622" s="515" t="s">
        <v>7844</v>
      </c>
      <c r="G6622" s="52">
        <v>305079.25300336099</v>
      </c>
      <c r="H6622" s="56">
        <v>6.7725623715705494E-2</v>
      </c>
      <c r="I6622" s="224" t="s">
        <v>2</v>
      </c>
    </row>
    <row r="6623" spans="1:9" x14ac:dyDescent="0.25">
      <c r="A6623" s="515">
        <v>85749</v>
      </c>
      <c r="B6623" s="515" t="s">
        <v>368</v>
      </c>
      <c r="C6623" s="52">
        <v>583926.97891866602</v>
      </c>
      <c r="D6623" s="56">
        <v>5.4269986212679137E-2</v>
      </c>
      <c r="E6623" s="224">
        <v>1575</v>
      </c>
      <c r="F6623" s="515" t="s">
        <v>7845</v>
      </c>
      <c r="G6623" s="52">
        <v>254305.41825830899</v>
      </c>
      <c r="H6623" s="56">
        <v>4.8915602039724011E-2</v>
      </c>
      <c r="I6623" s="224" t="s">
        <v>2</v>
      </c>
    </row>
    <row r="6624" spans="1:9" x14ac:dyDescent="0.25">
      <c r="A6624" s="515">
        <v>30179</v>
      </c>
      <c r="B6624" s="515" t="s">
        <v>957</v>
      </c>
      <c r="C6624" s="52">
        <v>264853.61579578801</v>
      </c>
      <c r="D6624" s="56">
        <v>0.11447582840277191</v>
      </c>
      <c r="E6624" s="224" t="s">
        <v>2</v>
      </c>
      <c r="F6624" s="515" t="s">
        <v>7846</v>
      </c>
      <c r="G6624" s="52">
        <v>102644.739853545</v>
      </c>
      <c r="H6624" s="56">
        <v>2.4105241240169589E-2</v>
      </c>
      <c r="I6624" s="224" t="s">
        <v>2</v>
      </c>
    </row>
    <row r="6625" spans="1:9" x14ac:dyDescent="0.25">
      <c r="A6625" s="515">
        <v>2370</v>
      </c>
      <c r="B6625" s="515" t="s">
        <v>534</v>
      </c>
      <c r="C6625" s="52">
        <v>458763.07623254298</v>
      </c>
      <c r="D6625" s="56">
        <v>4.3925837759519637E-2</v>
      </c>
      <c r="E6625" s="224" t="s">
        <v>2</v>
      </c>
      <c r="F6625" s="515" t="s">
        <v>7847</v>
      </c>
      <c r="G6625" s="52">
        <v>400934.24853821797</v>
      </c>
      <c r="H6625" s="56">
        <v>0.1048896268474412</v>
      </c>
      <c r="I6625" s="224" t="s">
        <v>2</v>
      </c>
    </row>
    <row r="6626" spans="1:9" x14ac:dyDescent="0.25">
      <c r="A6626" s="515">
        <v>11030</v>
      </c>
      <c r="B6626" s="515" t="s">
        <v>324</v>
      </c>
      <c r="C6626" s="52">
        <v>1746322.8531329001</v>
      </c>
      <c r="D6626" s="56">
        <v>6.1480735597036033E-2</v>
      </c>
      <c r="E6626" s="224">
        <v>3300</v>
      </c>
      <c r="F6626" s="515" t="s">
        <v>7848</v>
      </c>
      <c r="G6626" s="52">
        <v>122226.639194635</v>
      </c>
      <c r="H6626" s="56">
        <v>8.3596293509944117E-2</v>
      </c>
      <c r="I6626" s="224" t="s">
        <v>2</v>
      </c>
    </row>
    <row r="6627" spans="1:9" x14ac:dyDescent="0.25">
      <c r="A6627" s="515">
        <v>47720</v>
      </c>
      <c r="B6627" s="515" t="s">
        <v>911</v>
      </c>
      <c r="C6627" s="52">
        <v>234237.74999713901</v>
      </c>
      <c r="D6627" s="56">
        <v>7.2193681845105953E-2</v>
      </c>
      <c r="E6627" s="224" t="s">
        <v>2</v>
      </c>
      <c r="F6627" s="515" t="s">
        <v>7849</v>
      </c>
      <c r="G6627" s="52">
        <v>272894.86587847502</v>
      </c>
      <c r="H6627" s="56">
        <v>0.10514502464996703</v>
      </c>
      <c r="I6627" s="224" t="s">
        <v>2</v>
      </c>
    </row>
    <row r="6628" spans="1:9" x14ac:dyDescent="0.25">
      <c r="A6628" s="515">
        <v>34994</v>
      </c>
      <c r="B6628" s="515" t="s">
        <v>1180</v>
      </c>
      <c r="C6628" s="52">
        <v>280869.75853065401</v>
      </c>
      <c r="D6628" s="56">
        <v>0.24268179423301878</v>
      </c>
      <c r="E6628" s="224">
        <v>2060.25396825396</v>
      </c>
      <c r="F6628" s="515" t="s">
        <v>7850</v>
      </c>
      <c r="G6628" s="52">
        <v>178476.521668061</v>
      </c>
      <c r="H6628" s="56">
        <v>2.1000707399715757E-2</v>
      </c>
      <c r="I6628" s="224" t="s">
        <v>2</v>
      </c>
    </row>
    <row r="6629" spans="1:9" x14ac:dyDescent="0.25">
      <c r="A6629" s="515">
        <v>88061</v>
      </c>
      <c r="B6629" s="515" t="s">
        <v>423</v>
      </c>
      <c r="C6629" s="52">
        <v>219732.08224481699</v>
      </c>
      <c r="D6629" s="56">
        <v>0.14575026704722258</v>
      </c>
      <c r="E6629" s="224" t="s">
        <v>2</v>
      </c>
      <c r="F6629" s="515" t="s">
        <v>7851</v>
      </c>
      <c r="G6629" s="52">
        <v>327358.69889503601</v>
      </c>
      <c r="H6629" s="56">
        <v>9.6529232597428891E-2</v>
      </c>
      <c r="I6629" s="224" t="s">
        <v>2</v>
      </c>
    </row>
    <row r="6630" spans="1:9" x14ac:dyDescent="0.25">
      <c r="A6630" s="515">
        <v>77031</v>
      </c>
      <c r="B6630" s="515" t="s">
        <v>314</v>
      </c>
      <c r="C6630" s="52">
        <v>239874.573569489</v>
      </c>
      <c r="D6630" s="56">
        <v>0.10383554521762085</v>
      </c>
      <c r="E6630" s="224" t="s">
        <v>2</v>
      </c>
      <c r="F6630" s="515" t="s">
        <v>7852</v>
      </c>
      <c r="G6630" s="52">
        <v>256231.02547135</v>
      </c>
      <c r="H6630" s="56">
        <v>0.13739668008673595</v>
      </c>
      <c r="I6630" s="224" t="s">
        <v>2</v>
      </c>
    </row>
    <row r="6631" spans="1:9" x14ac:dyDescent="0.25">
      <c r="A6631" s="515">
        <v>28732</v>
      </c>
      <c r="B6631" s="515" t="s">
        <v>668</v>
      </c>
      <c r="C6631" s="52">
        <v>410494.47257020802</v>
      </c>
      <c r="D6631" s="56">
        <v>0.10350914459542478</v>
      </c>
      <c r="E6631" s="224" t="s">
        <v>2</v>
      </c>
      <c r="F6631" s="515" t="s">
        <v>7853</v>
      </c>
      <c r="G6631" s="52">
        <v>156830.234885571</v>
      </c>
      <c r="H6631" s="56">
        <v>7.379109474940844E-2</v>
      </c>
      <c r="I6631" s="224" t="s">
        <v>2</v>
      </c>
    </row>
    <row r="6632" spans="1:9" x14ac:dyDescent="0.25">
      <c r="A6632" s="515">
        <v>91723</v>
      </c>
      <c r="B6632" s="515" t="s">
        <v>375</v>
      </c>
      <c r="C6632" s="52">
        <v>712696.38008339202</v>
      </c>
      <c r="D6632" s="56">
        <v>3.7994806741170124E-2</v>
      </c>
      <c r="E6632" s="224">
        <v>1931.25</v>
      </c>
      <c r="F6632" s="515" t="s">
        <v>7854</v>
      </c>
      <c r="G6632" s="52">
        <v>814316.08181775699</v>
      </c>
      <c r="H6632" s="56">
        <v>4.9265639908693502E-2</v>
      </c>
      <c r="I6632" s="224" t="s">
        <v>2</v>
      </c>
    </row>
    <row r="6633" spans="1:9" x14ac:dyDescent="0.25">
      <c r="A6633" s="515">
        <v>50325</v>
      </c>
      <c r="B6633" s="515" t="s">
        <v>295</v>
      </c>
      <c r="C6633" s="52">
        <v>374051.64696712798</v>
      </c>
      <c r="D6633" s="56">
        <v>8.3717714319470352E-2</v>
      </c>
      <c r="E6633" s="224" t="s">
        <v>2</v>
      </c>
      <c r="F6633" s="515" t="s">
        <v>7855</v>
      </c>
      <c r="G6633" s="52">
        <v>224956.856633599</v>
      </c>
      <c r="H6633" s="56">
        <v>6.9012507089443564E-2</v>
      </c>
      <c r="I6633" s="224" t="s">
        <v>2</v>
      </c>
    </row>
    <row r="6634" spans="1:9" x14ac:dyDescent="0.25">
      <c r="A6634" s="515">
        <v>21076</v>
      </c>
      <c r="B6634" s="515" t="s">
        <v>582</v>
      </c>
      <c r="C6634" s="52">
        <v>490111.28472696798</v>
      </c>
      <c r="D6634" s="56">
        <v>4.0869075430176607E-2</v>
      </c>
      <c r="E6634" s="224">
        <v>2277.24444444444</v>
      </c>
      <c r="F6634" s="515" t="s">
        <v>7856</v>
      </c>
      <c r="G6634" s="52">
        <v>154781.93330652101</v>
      </c>
      <c r="H6634" s="56">
        <v>0.13858859646530608</v>
      </c>
      <c r="I6634" s="224" t="s">
        <v>2</v>
      </c>
    </row>
    <row r="6635" spans="1:9" x14ac:dyDescent="0.25">
      <c r="A6635" s="515">
        <v>42134</v>
      </c>
      <c r="C6635" s="52">
        <v>204257.10934870699</v>
      </c>
      <c r="D6635" s="56">
        <v>0.12934748710093222</v>
      </c>
      <c r="E6635" s="224" t="s">
        <v>2</v>
      </c>
      <c r="F6635" s="515" t="s">
        <v>7857</v>
      </c>
      <c r="G6635" s="52">
        <v>276276.37552546302</v>
      </c>
      <c r="H6635" s="56">
        <v>0.10828311310966862</v>
      </c>
      <c r="I6635" s="224" t="s">
        <v>2</v>
      </c>
    </row>
    <row r="6636" spans="1:9" x14ac:dyDescent="0.25">
      <c r="A6636" s="515">
        <v>35205</v>
      </c>
      <c r="B6636" s="515" t="s">
        <v>640</v>
      </c>
      <c r="C6636" s="52">
        <v>209484.637507348</v>
      </c>
      <c r="D6636" s="56">
        <v>9.6248267759586587E-2</v>
      </c>
      <c r="E6636" s="224">
        <v>1456.61574074074</v>
      </c>
      <c r="F6636" s="515" t="s">
        <v>7858</v>
      </c>
      <c r="G6636" s="52">
        <v>162994.84870071299</v>
      </c>
      <c r="H6636" s="56">
        <v>8.2608678922361373E-2</v>
      </c>
      <c r="I6636" s="224" t="s">
        <v>2</v>
      </c>
    </row>
    <row r="6637" spans="1:9" x14ac:dyDescent="0.25">
      <c r="A6637" s="515">
        <v>32934</v>
      </c>
      <c r="B6637" s="515" t="s">
        <v>1133</v>
      </c>
      <c r="C6637" s="52">
        <v>476093.53265874798</v>
      </c>
      <c r="D6637" s="56">
        <v>0.11882227037002877</v>
      </c>
      <c r="E6637" s="224">
        <v>1968.3333333333301</v>
      </c>
      <c r="F6637" s="515" t="s">
        <v>7859</v>
      </c>
      <c r="G6637" s="52">
        <v>310705.08826361701</v>
      </c>
      <c r="H6637" s="56">
        <v>6.5810462663436931E-2</v>
      </c>
      <c r="I6637" s="224" t="s">
        <v>2</v>
      </c>
    </row>
    <row r="6638" spans="1:9" x14ac:dyDescent="0.25">
      <c r="A6638" s="515">
        <v>80701</v>
      </c>
      <c r="B6638" s="515" t="s">
        <v>510</v>
      </c>
      <c r="C6638" s="52">
        <v>316500.98497572198</v>
      </c>
      <c r="D6638" s="56">
        <v>5.0847965659643737E-2</v>
      </c>
      <c r="E6638" s="224" t="s">
        <v>2</v>
      </c>
      <c r="F6638" s="515" t="s">
        <v>7860</v>
      </c>
      <c r="G6638" s="52">
        <v>300790.90502414398</v>
      </c>
      <c r="H6638" s="56">
        <v>0.12875123685573536</v>
      </c>
      <c r="I6638" s="224" t="s">
        <v>2</v>
      </c>
    </row>
    <row r="6639" spans="1:9" x14ac:dyDescent="0.25">
      <c r="A6639" s="515">
        <v>87508</v>
      </c>
      <c r="B6639" s="515" t="s">
        <v>926</v>
      </c>
      <c r="C6639" s="52">
        <v>580765.21191984997</v>
      </c>
      <c r="D6639" s="56">
        <v>6.3872552317817327E-2</v>
      </c>
      <c r="E6639" s="224" t="s">
        <v>2</v>
      </c>
      <c r="F6639" s="515" t="s">
        <v>7861</v>
      </c>
      <c r="G6639" s="52">
        <v>260065.39873812001</v>
      </c>
      <c r="H6639" s="56">
        <v>7.3358184845681851E-2</v>
      </c>
      <c r="I6639" s="224" t="s">
        <v>2</v>
      </c>
    </row>
    <row r="6640" spans="1:9" x14ac:dyDescent="0.25">
      <c r="A6640" s="515">
        <v>34275</v>
      </c>
      <c r="B6640" s="515" t="s">
        <v>466</v>
      </c>
      <c r="C6640" s="52">
        <v>571689.439398324</v>
      </c>
      <c r="D6640" s="56">
        <v>0.17656199053912727</v>
      </c>
      <c r="E6640" s="224">
        <v>2694.75</v>
      </c>
      <c r="F6640" s="515" t="s">
        <v>7862</v>
      </c>
      <c r="G6640" s="52">
        <v>494927.66716432403</v>
      </c>
      <c r="H6640" s="56">
        <v>5.0687257006036858E-2</v>
      </c>
      <c r="I6640" s="224" t="s">
        <v>2</v>
      </c>
    </row>
    <row r="6641" spans="1:9" x14ac:dyDescent="0.25">
      <c r="A6641" s="515">
        <v>36201</v>
      </c>
      <c r="B6641" s="515" t="s">
        <v>927</v>
      </c>
      <c r="C6641" s="52">
        <v>44437.576746788502</v>
      </c>
      <c r="D6641" s="56">
        <v>2.7185022509382552E-3</v>
      </c>
      <c r="E6641" s="224" t="s">
        <v>2</v>
      </c>
      <c r="F6641" s="515" t="s">
        <v>7863</v>
      </c>
      <c r="G6641" s="52">
        <v>404648.87413910398</v>
      </c>
      <c r="H6641" s="56">
        <v>7.0028751113983448E-2</v>
      </c>
      <c r="I6641" s="224" t="s">
        <v>2</v>
      </c>
    </row>
    <row r="6642" spans="1:9" x14ac:dyDescent="0.25">
      <c r="A6642" s="515">
        <v>78737</v>
      </c>
      <c r="B6642" s="515" t="s">
        <v>380</v>
      </c>
      <c r="C6642" s="52">
        <v>780097.57904514903</v>
      </c>
      <c r="D6642" s="56">
        <v>4.3746847775726107E-2</v>
      </c>
      <c r="E6642" s="224" t="s">
        <v>2</v>
      </c>
      <c r="F6642" s="515" t="s">
        <v>7864</v>
      </c>
      <c r="G6642" s="52">
        <v>362740.60809051798</v>
      </c>
      <c r="H6642" s="56">
        <v>9.5039015474268712E-2</v>
      </c>
      <c r="I6642" s="224" t="s">
        <v>2</v>
      </c>
    </row>
    <row r="6643" spans="1:9" x14ac:dyDescent="0.25">
      <c r="A6643" s="515">
        <v>63042</v>
      </c>
      <c r="B6643" s="515" t="s">
        <v>498</v>
      </c>
      <c r="C6643" s="52">
        <v>149771.09090164301</v>
      </c>
      <c r="D6643" s="56">
        <v>0.10255037530013573</v>
      </c>
      <c r="E6643" s="224">
        <v>1281.0833333333301</v>
      </c>
      <c r="F6643" s="515" t="s">
        <v>7865</v>
      </c>
      <c r="G6643" s="52">
        <v>146505.03656847501</v>
      </c>
      <c r="H6643" s="56">
        <v>0.1007360212790739</v>
      </c>
      <c r="I6643" s="224" t="s">
        <v>2</v>
      </c>
    </row>
    <row r="6644" spans="1:9" x14ac:dyDescent="0.25">
      <c r="A6644" s="515">
        <v>70053</v>
      </c>
      <c r="B6644" s="515" t="s">
        <v>777</v>
      </c>
      <c r="C6644" s="52">
        <v>195504.05338425</v>
      </c>
      <c r="D6644" s="56">
        <v>7.4019489740103018E-6</v>
      </c>
      <c r="E6644" s="224">
        <v>1400</v>
      </c>
      <c r="F6644" s="515" t="s">
        <v>7866</v>
      </c>
      <c r="G6644" s="52">
        <v>161353.82276262101</v>
      </c>
      <c r="H6644" s="56">
        <v>-6.2186109626771796E-3</v>
      </c>
      <c r="I6644" s="224" t="s">
        <v>2</v>
      </c>
    </row>
    <row r="6645" spans="1:9" x14ac:dyDescent="0.25">
      <c r="A6645" s="515">
        <v>28365</v>
      </c>
      <c r="C6645" s="52">
        <v>105004.063114269</v>
      </c>
      <c r="D6645" s="56">
        <v>0.11085095606437463</v>
      </c>
      <c r="E6645" s="224" t="s">
        <v>2</v>
      </c>
      <c r="F6645" s="515" t="s">
        <v>7867</v>
      </c>
      <c r="G6645" s="52">
        <v>239028.42524205099</v>
      </c>
      <c r="H6645" s="56">
        <v>8.3752113417404975E-2</v>
      </c>
      <c r="I6645" s="224" t="s">
        <v>2</v>
      </c>
    </row>
    <row r="6646" spans="1:9" x14ac:dyDescent="0.25">
      <c r="A6646" s="515">
        <v>46184</v>
      </c>
      <c r="B6646" s="515" t="s">
        <v>403</v>
      </c>
      <c r="C6646" s="52">
        <v>234057.681825015</v>
      </c>
      <c r="D6646" s="56">
        <v>9.1734169756847284E-2</v>
      </c>
      <c r="E6646" s="224" t="s">
        <v>2</v>
      </c>
      <c r="F6646" s="515" t="s">
        <v>465</v>
      </c>
      <c r="G6646" s="52">
        <v>150629.84086825899</v>
      </c>
      <c r="H6646" s="56">
        <v>5.7226154361595449E-2</v>
      </c>
      <c r="I6646" s="224" t="s">
        <v>2</v>
      </c>
    </row>
    <row r="6647" spans="1:9" x14ac:dyDescent="0.25">
      <c r="A6647" s="515">
        <v>54166</v>
      </c>
      <c r="B6647" s="515" t="s">
        <v>985</v>
      </c>
      <c r="C6647" s="52">
        <v>174752.22051333101</v>
      </c>
      <c r="D6647" s="56">
        <v>7.8393368030241301E-2</v>
      </c>
      <c r="E6647" s="224" t="s">
        <v>2</v>
      </c>
      <c r="F6647" s="515" t="s">
        <v>7868</v>
      </c>
      <c r="G6647" s="52">
        <v>238502.93133197</v>
      </c>
      <c r="H6647" s="56">
        <v>9.8995405812305995E-2</v>
      </c>
      <c r="I6647" s="224" t="s">
        <v>2</v>
      </c>
    </row>
    <row r="6648" spans="1:9" x14ac:dyDescent="0.25">
      <c r="A6648" s="515">
        <v>98407</v>
      </c>
      <c r="B6648" s="515" t="s">
        <v>384</v>
      </c>
      <c r="C6648" s="52">
        <v>577253.06011737196</v>
      </c>
      <c r="D6648" s="56">
        <v>3.3177643038007486E-2</v>
      </c>
      <c r="E6648" s="224">
        <v>1883.6666666666599</v>
      </c>
      <c r="F6648" s="515" t="s">
        <v>7869</v>
      </c>
      <c r="G6648" s="52">
        <v>317936.39113421598</v>
      </c>
      <c r="H6648" s="56">
        <v>1.6583015021210921E-2</v>
      </c>
      <c r="I6648" s="224" t="s">
        <v>2</v>
      </c>
    </row>
    <row r="6649" spans="1:9" x14ac:dyDescent="0.25">
      <c r="A6649" s="515">
        <v>98506</v>
      </c>
      <c r="B6649" s="515" t="s">
        <v>527</v>
      </c>
      <c r="C6649" s="52">
        <v>491578.463537401</v>
      </c>
      <c r="D6649" s="56">
        <v>4.839392029884005E-2</v>
      </c>
      <c r="E6649" s="224" t="s">
        <v>2</v>
      </c>
      <c r="F6649" s="515" t="s">
        <v>7870</v>
      </c>
      <c r="G6649" s="52">
        <v>404094.115505333</v>
      </c>
      <c r="H6649" s="56">
        <v>-1.6841701556089338E-2</v>
      </c>
      <c r="I6649" s="224" t="s">
        <v>2</v>
      </c>
    </row>
    <row r="6650" spans="1:9" x14ac:dyDescent="0.25">
      <c r="A6650" s="515">
        <v>28779</v>
      </c>
      <c r="B6650" s="515" t="s">
        <v>487</v>
      </c>
      <c r="C6650" s="52">
        <v>301052.94455339102</v>
      </c>
      <c r="D6650" s="56">
        <v>0.17826377103369564</v>
      </c>
      <c r="E6650" s="224" t="s">
        <v>2</v>
      </c>
      <c r="F6650" s="515" t="s">
        <v>7871</v>
      </c>
      <c r="G6650" s="52">
        <v>236883.69216085601</v>
      </c>
      <c r="H6650" s="56">
        <v>0.11759997113558114</v>
      </c>
      <c r="I6650" s="224" t="s">
        <v>2</v>
      </c>
    </row>
    <row r="6651" spans="1:9" x14ac:dyDescent="0.25">
      <c r="A6651" s="515">
        <v>33132</v>
      </c>
      <c r="B6651" s="515" t="s">
        <v>831</v>
      </c>
      <c r="C6651" s="52">
        <v>550295.39215360698</v>
      </c>
      <c r="D6651" s="56">
        <v>0.1615249958772661</v>
      </c>
      <c r="E6651" s="224">
        <v>3356.2031812724999</v>
      </c>
      <c r="F6651" s="515" t="s">
        <v>7872</v>
      </c>
      <c r="G6651" s="52">
        <v>400645.71788726299</v>
      </c>
      <c r="H6651" s="56">
        <v>5.6607391270048234E-2</v>
      </c>
      <c r="I6651" s="224" t="s">
        <v>2</v>
      </c>
    </row>
    <row r="6652" spans="1:9" x14ac:dyDescent="0.25">
      <c r="A6652" s="515">
        <v>7405</v>
      </c>
      <c r="B6652" s="515" t="s">
        <v>324</v>
      </c>
      <c r="C6652" s="52">
        <v>535338.49025094998</v>
      </c>
      <c r="D6652" s="56">
        <v>4.4029555923592596E-2</v>
      </c>
      <c r="E6652" s="224" t="s">
        <v>2</v>
      </c>
      <c r="F6652" s="515" t="s">
        <v>7873</v>
      </c>
      <c r="G6652" s="52">
        <v>245473.00504680301</v>
      </c>
      <c r="H6652" s="56">
        <v>7.2432068791558932E-2</v>
      </c>
      <c r="I6652" s="224" t="s">
        <v>2</v>
      </c>
    </row>
    <row r="6653" spans="1:9" x14ac:dyDescent="0.25">
      <c r="A6653" s="515">
        <v>49093</v>
      </c>
      <c r="B6653" s="515" t="s">
        <v>892</v>
      </c>
      <c r="C6653" s="52">
        <v>181509.24964514701</v>
      </c>
      <c r="D6653" s="56">
        <v>4.2873667792505905E-2</v>
      </c>
      <c r="E6653" s="224" t="s">
        <v>2</v>
      </c>
      <c r="F6653" s="515" t="s">
        <v>7874</v>
      </c>
      <c r="G6653" s="52">
        <v>411235.79289657</v>
      </c>
      <c r="H6653" s="56">
        <v>5.5001496982389604E-2</v>
      </c>
      <c r="I6653" s="224" t="s">
        <v>2</v>
      </c>
    </row>
    <row r="6654" spans="1:9" x14ac:dyDescent="0.25">
      <c r="A6654" s="515">
        <v>67208</v>
      </c>
      <c r="B6654" s="515" t="s">
        <v>485</v>
      </c>
      <c r="C6654" s="52">
        <v>152578.08810085</v>
      </c>
      <c r="D6654" s="56">
        <v>8.4967464218624972E-2</v>
      </c>
      <c r="E6654" s="224">
        <v>814.16666666666595</v>
      </c>
      <c r="F6654" s="515" t="s">
        <v>7875</v>
      </c>
      <c r="G6654" s="52">
        <v>320914.47860649298</v>
      </c>
      <c r="H6654" s="56">
        <v>4.9736641084082447E-2</v>
      </c>
      <c r="I6654" s="224" t="s">
        <v>2</v>
      </c>
    </row>
    <row r="6655" spans="1:9" x14ac:dyDescent="0.25">
      <c r="A6655" s="515">
        <v>7928</v>
      </c>
      <c r="B6655" s="515" t="s">
        <v>324</v>
      </c>
      <c r="C6655" s="52">
        <v>973578.92792447796</v>
      </c>
      <c r="D6655" s="56">
        <v>4.5823033207638433E-2</v>
      </c>
      <c r="E6655" s="224">
        <v>2801.4444444444398</v>
      </c>
      <c r="F6655" s="515" t="s">
        <v>7876</v>
      </c>
      <c r="G6655" s="52">
        <v>352885.464645762</v>
      </c>
      <c r="H6655" s="56">
        <v>0.1018045849380389</v>
      </c>
      <c r="I6655" s="224" t="s">
        <v>2</v>
      </c>
    </row>
    <row r="6656" spans="1:9" x14ac:dyDescent="0.25">
      <c r="A6656" s="515">
        <v>70563</v>
      </c>
      <c r="B6656" s="515" t="s">
        <v>1004</v>
      </c>
      <c r="C6656" s="52">
        <v>191486.14831806201</v>
      </c>
      <c r="D6656" s="56">
        <v>-1.2724980129469175E-2</v>
      </c>
      <c r="E6656" s="224" t="s">
        <v>2</v>
      </c>
      <c r="F6656" s="515" t="s">
        <v>7877</v>
      </c>
      <c r="G6656" s="52">
        <v>257529.56722438999</v>
      </c>
      <c r="H6656" s="56">
        <v>0.10354174634124197</v>
      </c>
      <c r="I6656" s="224" t="s">
        <v>2</v>
      </c>
    </row>
    <row r="6657" spans="1:9" x14ac:dyDescent="0.25">
      <c r="A6657" s="515">
        <v>66210</v>
      </c>
      <c r="B6657" s="515" t="s">
        <v>455</v>
      </c>
      <c r="C6657" s="52">
        <v>375707.107962179</v>
      </c>
      <c r="D6657" s="56">
        <v>5.2122142008220303E-2</v>
      </c>
      <c r="E6657" s="224">
        <v>1452.1767399267401</v>
      </c>
      <c r="F6657" s="515" t="s">
        <v>7878</v>
      </c>
      <c r="G6657" s="52">
        <v>351184.56669442198</v>
      </c>
      <c r="H6657" s="56">
        <v>5.1263067638793576E-2</v>
      </c>
      <c r="I6657" s="224" t="s">
        <v>2</v>
      </c>
    </row>
    <row r="6658" spans="1:9" x14ac:dyDescent="0.25">
      <c r="A6658" s="515">
        <v>95816</v>
      </c>
      <c r="B6658" s="515" t="s">
        <v>355</v>
      </c>
      <c r="C6658" s="52">
        <v>682939.32470719295</v>
      </c>
      <c r="D6658" s="56">
        <v>-2.9010162151086653E-2</v>
      </c>
      <c r="E6658" s="224">
        <v>1759.06878306878</v>
      </c>
      <c r="F6658" s="515" t="s">
        <v>7879</v>
      </c>
      <c r="G6658" s="52">
        <v>336824.56210736599</v>
      </c>
      <c r="H6658" s="56">
        <v>3.4595572740533619E-2</v>
      </c>
      <c r="I6658" s="224" t="s">
        <v>2</v>
      </c>
    </row>
    <row r="6659" spans="1:9" x14ac:dyDescent="0.25">
      <c r="A6659" s="515">
        <v>29118</v>
      </c>
      <c r="B6659" s="515" t="s">
        <v>1036</v>
      </c>
      <c r="C6659" s="52">
        <v>196782.85636452399</v>
      </c>
      <c r="D6659" s="56">
        <v>1.796202522746301E-2</v>
      </c>
      <c r="E6659" s="224" t="s">
        <v>2</v>
      </c>
      <c r="F6659" s="515" t="s">
        <v>7880</v>
      </c>
      <c r="G6659" s="52">
        <v>218539.50588665999</v>
      </c>
      <c r="H6659" s="56">
        <v>6.3884651273876228E-2</v>
      </c>
      <c r="I6659" s="224">
        <v>1325</v>
      </c>
    </row>
    <row r="6660" spans="1:9" x14ac:dyDescent="0.25">
      <c r="A6660" s="515">
        <v>97201</v>
      </c>
      <c r="B6660" s="515" t="s">
        <v>659</v>
      </c>
      <c r="C6660" s="52">
        <v>534703.54759474494</v>
      </c>
      <c r="D6660" s="56">
        <v>-4.4450535323969781E-2</v>
      </c>
      <c r="E6660" s="224">
        <v>1654.3423809523799</v>
      </c>
      <c r="F6660" s="515" t="s">
        <v>7881</v>
      </c>
      <c r="G6660" s="52">
        <v>265795.01041447697</v>
      </c>
      <c r="H6660" s="56">
        <v>0.12361052005744394</v>
      </c>
      <c r="I6660" s="224" t="s">
        <v>2</v>
      </c>
    </row>
    <row r="6661" spans="1:9" x14ac:dyDescent="0.25">
      <c r="A6661" s="515">
        <v>70062</v>
      </c>
      <c r="B6661" s="515" t="s">
        <v>777</v>
      </c>
      <c r="C6661" s="52">
        <v>193266.063886747</v>
      </c>
      <c r="D6661" s="56">
        <v>-2.4471239593330332E-2</v>
      </c>
      <c r="E6661" s="224" t="s">
        <v>2</v>
      </c>
      <c r="F6661" s="515" t="s">
        <v>7882</v>
      </c>
      <c r="G6661" s="52">
        <v>303066.70841769798</v>
      </c>
      <c r="H6661" s="56">
        <v>4.4719935885339991E-2</v>
      </c>
      <c r="I6661" s="224" t="s">
        <v>2</v>
      </c>
    </row>
    <row r="6662" spans="1:9" x14ac:dyDescent="0.25">
      <c r="A6662" s="515">
        <v>62401</v>
      </c>
      <c r="B6662" s="515" t="s">
        <v>952</v>
      </c>
      <c r="C6662" s="52">
        <v>200472.994444863</v>
      </c>
      <c r="D6662" s="56">
        <v>7.1555149980830429E-2</v>
      </c>
      <c r="E6662" s="224" t="s">
        <v>2</v>
      </c>
      <c r="F6662" s="515" t="s">
        <v>7883</v>
      </c>
      <c r="G6662" s="52">
        <v>151094.54618870301</v>
      </c>
      <c r="H6662" s="56">
        <v>6.5044257610587033E-2</v>
      </c>
      <c r="I6662" s="224" t="s">
        <v>2</v>
      </c>
    </row>
    <row r="6663" spans="1:9" x14ac:dyDescent="0.25">
      <c r="A6663" s="515">
        <v>1721</v>
      </c>
      <c r="B6663" s="515" t="s">
        <v>534</v>
      </c>
      <c r="C6663" s="52">
        <v>555332.18369009602</v>
      </c>
      <c r="D6663" s="56">
        <v>7.0488468795466663E-2</v>
      </c>
      <c r="E6663" s="224">
        <v>2497.4444444444398</v>
      </c>
      <c r="F6663" s="515" t="s">
        <v>7884</v>
      </c>
      <c r="G6663" s="52">
        <v>308971.62986357999</v>
      </c>
      <c r="H6663" s="56">
        <v>5.6439101900298584E-2</v>
      </c>
      <c r="I6663" s="224" t="s">
        <v>2</v>
      </c>
    </row>
    <row r="6664" spans="1:9" x14ac:dyDescent="0.25">
      <c r="A6664" s="515">
        <v>39051</v>
      </c>
      <c r="C6664" s="52">
        <v>127609.357904572</v>
      </c>
      <c r="D6664" s="56">
        <v>-3.7937987083681624E-2</v>
      </c>
      <c r="E6664" s="224" t="s">
        <v>2</v>
      </c>
      <c r="F6664" s="515" t="s">
        <v>7885</v>
      </c>
      <c r="G6664" s="52">
        <v>232690.494699731</v>
      </c>
      <c r="H6664" s="56">
        <v>7.2848351556629151E-2</v>
      </c>
      <c r="I6664" s="224" t="s">
        <v>2</v>
      </c>
    </row>
    <row r="6665" spans="1:9" x14ac:dyDescent="0.25">
      <c r="A6665" s="515">
        <v>61520</v>
      </c>
      <c r="B6665" s="515" t="s">
        <v>303</v>
      </c>
      <c r="C6665" s="52">
        <v>89677.680744764701</v>
      </c>
      <c r="D6665" s="56">
        <v>3.2360349002606044E-2</v>
      </c>
      <c r="E6665" s="224" t="s">
        <v>2</v>
      </c>
      <c r="F6665" s="515" t="s">
        <v>7886</v>
      </c>
      <c r="G6665" s="52">
        <v>224178.08983167799</v>
      </c>
      <c r="H6665" s="56">
        <v>0.11770497652332229</v>
      </c>
      <c r="I6665" s="224" t="s">
        <v>2</v>
      </c>
    </row>
    <row r="6666" spans="1:9" x14ac:dyDescent="0.25">
      <c r="A6666" s="515">
        <v>29102</v>
      </c>
      <c r="B6666" s="515" t="s">
        <v>1065</v>
      </c>
      <c r="C6666" s="52">
        <v>149547.79596764699</v>
      </c>
      <c r="D6666" s="56">
        <v>4.5345457832849127E-3</v>
      </c>
      <c r="E6666" s="224" t="s">
        <v>2</v>
      </c>
      <c r="F6666" s="515" t="s">
        <v>7887</v>
      </c>
      <c r="G6666" s="52">
        <v>226209.47126791501</v>
      </c>
      <c r="H6666" s="56">
        <v>0.1245050692262476</v>
      </c>
      <c r="I6666" s="224" t="s">
        <v>2</v>
      </c>
    </row>
    <row r="6667" spans="1:9" x14ac:dyDescent="0.25">
      <c r="A6667" s="515">
        <v>97051</v>
      </c>
      <c r="B6667" s="515" t="s">
        <v>659</v>
      </c>
      <c r="C6667" s="52">
        <v>399594.36049280502</v>
      </c>
      <c r="D6667" s="56">
        <v>2.3353892773240799E-2</v>
      </c>
      <c r="E6667" s="224" t="s">
        <v>2</v>
      </c>
      <c r="F6667" s="515" t="s">
        <v>7888</v>
      </c>
      <c r="G6667" s="52">
        <v>168616.57976561401</v>
      </c>
      <c r="H6667" s="56">
        <v>7.1577995228829266E-2</v>
      </c>
      <c r="I6667" s="224" t="s">
        <v>2</v>
      </c>
    </row>
    <row r="6668" spans="1:9" x14ac:dyDescent="0.25">
      <c r="A6668" s="515">
        <v>34114</v>
      </c>
      <c r="B6668" s="515" t="s">
        <v>365</v>
      </c>
      <c r="C6668" s="52">
        <v>550676.89122552401</v>
      </c>
      <c r="D6668" s="56">
        <v>0.17822735619045471</v>
      </c>
      <c r="E6668" s="224">
        <v>5498.75</v>
      </c>
      <c r="F6668" s="515" t="s">
        <v>7889</v>
      </c>
      <c r="G6668" s="52">
        <v>86451.2461334408</v>
      </c>
      <c r="H6668" s="56">
        <v>7.3455509648334208E-2</v>
      </c>
      <c r="I6668" s="224" t="s">
        <v>2</v>
      </c>
    </row>
    <row r="6669" spans="1:9" x14ac:dyDescent="0.25">
      <c r="A6669" s="515">
        <v>96821</v>
      </c>
      <c r="B6669" s="515" t="s">
        <v>1029</v>
      </c>
      <c r="C6669" s="52">
        <v>1623988.8235349699</v>
      </c>
      <c r="D6669" s="56">
        <v>7.9359187235745032E-2</v>
      </c>
      <c r="E6669" s="224" t="s">
        <v>2</v>
      </c>
      <c r="F6669" s="515" t="s">
        <v>7890</v>
      </c>
      <c r="G6669" s="52">
        <v>138402.37165920399</v>
      </c>
      <c r="H6669" s="56">
        <v>3.1821755806574939E-2</v>
      </c>
      <c r="I6669" s="224" t="s">
        <v>2</v>
      </c>
    </row>
    <row r="6670" spans="1:9" x14ac:dyDescent="0.25">
      <c r="A6670" s="515">
        <v>77868</v>
      </c>
      <c r="C6670" s="52">
        <v>237336.23781142899</v>
      </c>
      <c r="D6670" s="56">
        <v>4.4392083474078338E-2</v>
      </c>
      <c r="E6670" s="224" t="s">
        <v>2</v>
      </c>
      <c r="F6670" s="515" t="s">
        <v>7891</v>
      </c>
      <c r="G6670" s="52">
        <v>655582.34770196199</v>
      </c>
      <c r="H6670" s="56">
        <v>3.6210513960351812E-2</v>
      </c>
      <c r="I6670" s="224" t="s">
        <v>2</v>
      </c>
    </row>
    <row r="6671" spans="1:9" x14ac:dyDescent="0.25">
      <c r="A6671" s="515">
        <v>27856</v>
      </c>
      <c r="B6671" s="515" t="s">
        <v>1152</v>
      </c>
      <c r="C6671" s="52">
        <v>220359.13340542</v>
      </c>
      <c r="D6671" s="56">
        <v>0.16490242557448345</v>
      </c>
      <c r="E6671" s="224" t="s">
        <v>2</v>
      </c>
      <c r="F6671" s="515" t="s">
        <v>7892</v>
      </c>
      <c r="G6671" s="52">
        <v>307602.60560736898</v>
      </c>
      <c r="H6671" s="56">
        <v>8.5748839138523839E-2</v>
      </c>
      <c r="I6671" s="224" t="s">
        <v>2</v>
      </c>
    </row>
    <row r="6672" spans="1:9" x14ac:dyDescent="0.25">
      <c r="A6672" s="515">
        <v>98321</v>
      </c>
      <c r="B6672" s="515" t="s">
        <v>384</v>
      </c>
      <c r="C6672" s="52">
        <v>580432.50415287598</v>
      </c>
      <c r="D6672" s="56">
        <v>1.5081519283277851E-2</v>
      </c>
      <c r="E6672" s="224" t="s">
        <v>2</v>
      </c>
      <c r="F6672" s="515" t="s">
        <v>7893</v>
      </c>
      <c r="G6672" s="52">
        <v>776118.14775918704</v>
      </c>
      <c r="H6672" s="56">
        <v>9.684383259908548E-2</v>
      </c>
      <c r="I6672" s="224">
        <v>1988.6111111111099</v>
      </c>
    </row>
    <row r="6673" spans="1:9" x14ac:dyDescent="0.25">
      <c r="A6673" s="515">
        <v>37405</v>
      </c>
      <c r="B6673" s="515" t="s">
        <v>622</v>
      </c>
      <c r="C6673" s="52">
        <v>379201.44738982298</v>
      </c>
      <c r="D6673" s="56">
        <v>9.0266357830827176E-2</v>
      </c>
      <c r="E6673" s="224">
        <v>1597.68518518518</v>
      </c>
      <c r="F6673" s="515" t="s">
        <v>7894</v>
      </c>
      <c r="G6673" s="52">
        <v>499867.51461531699</v>
      </c>
      <c r="H6673" s="56">
        <v>3.8013707082352424E-2</v>
      </c>
      <c r="I6673" s="224" t="s">
        <v>2</v>
      </c>
    </row>
    <row r="6674" spans="1:9" x14ac:dyDescent="0.25">
      <c r="A6674" s="515">
        <v>28034</v>
      </c>
      <c r="B6674" s="515" t="s">
        <v>360</v>
      </c>
      <c r="C6674" s="52">
        <v>268041.94925929501</v>
      </c>
      <c r="D6674" s="56">
        <v>0.12013820060207622</v>
      </c>
      <c r="E6674" s="224">
        <v>1704.5</v>
      </c>
      <c r="F6674" s="515" t="s">
        <v>7895</v>
      </c>
      <c r="G6674" s="52">
        <v>113046.023848225</v>
      </c>
      <c r="H6674" s="56">
        <v>0.30333503095810294</v>
      </c>
      <c r="I6674" s="224" t="s">
        <v>2</v>
      </c>
    </row>
    <row r="6675" spans="1:9" x14ac:dyDescent="0.25">
      <c r="A6675" s="515">
        <v>74361</v>
      </c>
      <c r="C6675" s="52">
        <v>177985.92721814101</v>
      </c>
      <c r="D6675" s="56">
        <v>7.4816716978499759E-2</v>
      </c>
      <c r="E6675" s="224" t="s">
        <v>2</v>
      </c>
      <c r="F6675" s="515" t="s">
        <v>7896</v>
      </c>
      <c r="G6675" s="52">
        <v>144979.805023922</v>
      </c>
      <c r="H6675" s="56">
        <v>9.6843894669881678E-2</v>
      </c>
      <c r="I6675" s="224" t="s">
        <v>2</v>
      </c>
    </row>
    <row r="6676" spans="1:9" x14ac:dyDescent="0.25">
      <c r="A6676" s="515">
        <v>8361</v>
      </c>
      <c r="B6676" s="515" t="s">
        <v>557</v>
      </c>
      <c r="C6676" s="52">
        <v>292194.03720374103</v>
      </c>
      <c r="D6676" s="56">
        <v>8.0384367610932372E-2</v>
      </c>
      <c r="E6676" s="224" t="s">
        <v>2</v>
      </c>
      <c r="F6676" s="515" t="s">
        <v>7897</v>
      </c>
      <c r="G6676" s="52">
        <v>1388369.4255377201</v>
      </c>
      <c r="H6676" s="56">
        <v>9.6109656944671759E-2</v>
      </c>
      <c r="I6676" s="224" t="s">
        <v>2</v>
      </c>
    </row>
    <row r="6677" spans="1:9" x14ac:dyDescent="0.25">
      <c r="A6677" s="515">
        <v>76266</v>
      </c>
      <c r="B6677" s="515" t="s">
        <v>458</v>
      </c>
      <c r="C6677" s="52">
        <v>352912.54347660101</v>
      </c>
      <c r="D6677" s="56">
        <v>8.1778325708282015E-2</v>
      </c>
      <c r="E6677" s="224" t="s">
        <v>2</v>
      </c>
      <c r="F6677" s="515" t="s">
        <v>7898</v>
      </c>
      <c r="G6677" s="52">
        <v>130629.652183698</v>
      </c>
      <c r="H6677" s="56">
        <v>4.8030828860725683E-2</v>
      </c>
      <c r="I6677" s="224" t="s">
        <v>2</v>
      </c>
    </row>
    <row r="6678" spans="1:9" x14ac:dyDescent="0.25">
      <c r="A6678" s="515">
        <v>59106</v>
      </c>
      <c r="B6678" s="515" t="s">
        <v>637</v>
      </c>
      <c r="C6678" s="52">
        <v>521647.15669175202</v>
      </c>
      <c r="D6678" s="56">
        <v>9.0668478793322738E-2</v>
      </c>
      <c r="E6678" s="224" t="s">
        <v>2</v>
      </c>
      <c r="F6678" s="515" t="s">
        <v>7899</v>
      </c>
      <c r="G6678" s="52">
        <v>102272.522908346</v>
      </c>
      <c r="H6678" s="56">
        <v>0</v>
      </c>
      <c r="I6678" s="224" t="s">
        <v>2</v>
      </c>
    </row>
    <row r="6679" spans="1:9" x14ac:dyDescent="0.25">
      <c r="A6679" s="515">
        <v>20012</v>
      </c>
      <c r="B6679" s="515" t="s">
        <v>321</v>
      </c>
      <c r="C6679" s="52">
        <v>791831.85037334904</v>
      </c>
      <c r="D6679" s="56">
        <v>1.4184315945418042E-2</v>
      </c>
      <c r="E6679" s="224">
        <v>1820.1666666666599</v>
      </c>
      <c r="F6679" s="515" t="s">
        <v>7900</v>
      </c>
      <c r="G6679" s="52">
        <v>767753.11687899497</v>
      </c>
      <c r="H6679" s="56">
        <v>7.1527141685116952E-2</v>
      </c>
      <c r="I6679" s="224" t="s">
        <v>2</v>
      </c>
    </row>
    <row r="6680" spans="1:9" x14ac:dyDescent="0.25">
      <c r="A6680" s="515">
        <v>1027</v>
      </c>
      <c r="B6680" s="515" t="s">
        <v>575</v>
      </c>
      <c r="C6680" s="52">
        <v>363226.34700142097</v>
      </c>
      <c r="D6680" s="56">
        <v>9.6639244966108928E-2</v>
      </c>
      <c r="E6680" s="224" t="s">
        <v>2</v>
      </c>
      <c r="F6680" s="515" t="s">
        <v>7901</v>
      </c>
      <c r="G6680" s="52">
        <v>305249.00794942898</v>
      </c>
      <c r="H6680" s="56">
        <v>0.10859022778027688</v>
      </c>
      <c r="I6680" s="224" t="s">
        <v>2</v>
      </c>
    </row>
    <row r="6681" spans="1:9" x14ac:dyDescent="0.25">
      <c r="A6681" s="515">
        <v>44314</v>
      </c>
      <c r="B6681" s="515" t="s">
        <v>1000</v>
      </c>
      <c r="C6681" s="52">
        <v>84495.527743458399</v>
      </c>
      <c r="D6681" s="56">
        <v>0.13914248740237839</v>
      </c>
      <c r="E6681" s="224">
        <v>955.80555555555497</v>
      </c>
      <c r="F6681" s="515" t="s">
        <v>7902</v>
      </c>
      <c r="G6681" s="52">
        <v>696825.45476720401</v>
      </c>
      <c r="H6681" s="56">
        <v>6.2909291465171852E-2</v>
      </c>
      <c r="I6681" s="224" t="s">
        <v>2</v>
      </c>
    </row>
    <row r="6682" spans="1:9" x14ac:dyDescent="0.25">
      <c r="A6682" s="515">
        <v>97424</v>
      </c>
      <c r="B6682" s="515" t="s">
        <v>801</v>
      </c>
      <c r="C6682" s="52">
        <v>375556.90440556599</v>
      </c>
      <c r="D6682" s="56">
        <v>3.4741188200198267E-2</v>
      </c>
      <c r="E6682" s="224" t="s">
        <v>2</v>
      </c>
      <c r="F6682" s="515" t="s">
        <v>7903</v>
      </c>
      <c r="G6682" s="52">
        <v>162181.455648067</v>
      </c>
      <c r="H6682" s="56">
        <v>0.20413088343141647</v>
      </c>
      <c r="I6682" s="224" t="s">
        <v>2</v>
      </c>
    </row>
    <row r="6683" spans="1:9" x14ac:dyDescent="0.25">
      <c r="A6683" s="515">
        <v>14052</v>
      </c>
      <c r="B6683" s="515" t="s">
        <v>336</v>
      </c>
      <c r="C6683" s="52">
        <v>353651.32927708002</v>
      </c>
      <c r="D6683" s="56">
        <v>7.5127337757204246E-2</v>
      </c>
      <c r="E6683" s="224" t="s">
        <v>2</v>
      </c>
      <c r="F6683" s="515" t="s">
        <v>7904</v>
      </c>
      <c r="G6683" s="52">
        <v>230465.24162118201</v>
      </c>
      <c r="H6683" s="56">
        <v>8.2251298214857244E-2</v>
      </c>
      <c r="I6683" s="224" t="s">
        <v>2</v>
      </c>
    </row>
    <row r="6684" spans="1:9" x14ac:dyDescent="0.25">
      <c r="A6684" s="515">
        <v>77541</v>
      </c>
      <c r="B6684" s="515" t="s">
        <v>314</v>
      </c>
      <c r="C6684" s="52">
        <v>188117.35930274799</v>
      </c>
      <c r="D6684" s="56">
        <v>5.7151568123637768E-3</v>
      </c>
      <c r="E6684" s="224" t="s">
        <v>2</v>
      </c>
      <c r="F6684" s="515" t="s">
        <v>7905</v>
      </c>
      <c r="G6684" s="52">
        <v>264434.62444069801</v>
      </c>
      <c r="H6684" s="56">
        <v>9.2322687264641864E-2</v>
      </c>
      <c r="I6684" s="224" t="s">
        <v>2</v>
      </c>
    </row>
    <row r="6685" spans="1:9" x14ac:dyDescent="0.25">
      <c r="A6685" s="515">
        <v>45227</v>
      </c>
      <c r="B6685" s="515" t="s">
        <v>344</v>
      </c>
      <c r="C6685" s="52">
        <v>225675.942228092</v>
      </c>
      <c r="D6685" s="56">
        <v>6.2025225986539881E-2</v>
      </c>
      <c r="E6685" s="224">
        <v>1312.2</v>
      </c>
      <c r="F6685" s="515" t="s">
        <v>7906</v>
      </c>
      <c r="G6685" s="52">
        <v>224550.35062394099</v>
      </c>
      <c r="H6685" s="56">
        <v>7.8204280512659319E-2</v>
      </c>
      <c r="I6685" s="224" t="s">
        <v>2</v>
      </c>
    </row>
    <row r="6686" spans="1:9" x14ac:dyDescent="0.25">
      <c r="A6686" s="515">
        <v>39307</v>
      </c>
      <c r="B6686" s="515" t="s">
        <v>970</v>
      </c>
      <c r="C6686" s="52">
        <v>66121.182844372597</v>
      </c>
      <c r="D6686" s="56">
        <v>2.6745092731006587E-2</v>
      </c>
      <c r="E6686" s="224" t="s">
        <v>2</v>
      </c>
      <c r="F6686" s="515" t="s">
        <v>7907</v>
      </c>
      <c r="G6686" s="52">
        <v>240631.54212421001</v>
      </c>
      <c r="H6686" s="56">
        <v>0.11661151498726777</v>
      </c>
      <c r="I6686" s="224" t="s">
        <v>2</v>
      </c>
    </row>
    <row r="6687" spans="1:9" x14ac:dyDescent="0.25">
      <c r="A6687" s="515">
        <v>45502</v>
      </c>
      <c r="B6687" s="515" t="s">
        <v>398</v>
      </c>
      <c r="C6687" s="52">
        <v>250737.953138652</v>
      </c>
      <c r="D6687" s="56">
        <v>9.6917405762697348E-2</v>
      </c>
      <c r="E6687" s="224" t="s">
        <v>2</v>
      </c>
      <c r="F6687" s="515" t="s">
        <v>7908</v>
      </c>
      <c r="G6687" s="52">
        <v>308857.52163779899</v>
      </c>
      <c r="H6687" s="56">
        <v>6.7997581868248877E-2</v>
      </c>
      <c r="I6687" s="224" t="s">
        <v>2</v>
      </c>
    </row>
    <row r="6688" spans="1:9" x14ac:dyDescent="0.25">
      <c r="A6688" s="515">
        <v>5446</v>
      </c>
      <c r="B6688" s="515" t="s">
        <v>441</v>
      </c>
      <c r="C6688" s="52">
        <v>462273.07236894203</v>
      </c>
      <c r="D6688" s="56">
        <v>0.16449725233585699</v>
      </c>
      <c r="E6688" s="224" t="s">
        <v>2</v>
      </c>
      <c r="F6688" s="515" t="s">
        <v>7909</v>
      </c>
      <c r="G6688" s="52">
        <v>425523.61380339402</v>
      </c>
      <c r="H6688" s="56">
        <v>6.7606719392613299E-2</v>
      </c>
      <c r="I6688" s="224" t="s">
        <v>2</v>
      </c>
    </row>
    <row r="6689" spans="1:9" x14ac:dyDescent="0.25">
      <c r="A6689" s="515">
        <v>55350</v>
      </c>
      <c r="B6689" s="515" t="s">
        <v>882</v>
      </c>
      <c r="C6689" s="52">
        <v>253476.453701274</v>
      </c>
      <c r="D6689" s="56">
        <v>3.7326740215996856E-2</v>
      </c>
      <c r="E6689" s="224" t="s">
        <v>2</v>
      </c>
      <c r="F6689" s="515" t="s">
        <v>7910</v>
      </c>
      <c r="G6689" s="52">
        <v>384089.00322266802</v>
      </c>
      <c r="H6689" s="56">
        <v>7.3726446509247964E-2</v>
      </c>
      <c r="I6689" s="224">
        <v>2038.88888888888</v>
      </c>
    </row>
    <row r="6690" spans="1:9" x14ac:dyDescent="0.25">
      <c r="A6690" s="515">
        <v>7628</v>
      </c>
      <c r="B6690" s="515" t="s">
        <v>324</v>
      </c>
      <c r="C6690" s="52">
        <v>491935.98642416799</v>
      </c>
      <c r="D6690" s="56">
        <v>3.075971228029873E-2</v>
      </c>
      <c r="E6690" s="224" t="s">
        <v>2</v>
      </c>
      <c r="F6690" s="515" t="s">
        <v>7911</v>
      </c>
      <c r="G6690" s="52">
        <v>592046.36561570899</v>
      </c>
      <c r="H6690" s="56">
        <v>7.4195561452692474E-2</v>
      </c>
      <c r="I6690" s="224" t="s">
        <v>2</v>
      </c>
    </row>
    <row r="6691" spans="1:9" x14ac:dyDescent="0.25">
      <c r="A6691" s="515">
        <v>88210</v>
      </c>
      <c r="B6691" s="515" t="s">
        <v>3678</v>
      </c>
      <c r="C6691" s="52">
        <v>191313.53957744499</v>
      </c>
      <c r="D6691" s="56">
        <v>-1.5833060142343779E-2</v>
      </c>
      <c r="E6691" s="224" t="s">
        <v>2</v>
      </c>
      <c r="F6691" s="515" t="s">
        <v>7912</v>
      </c>
      <c r="G6691" s="52">
        <v>356881.453110584</v>
      </c>
      <c r="H6691" s="56">
        <v>-2.7998717708561183E-3</v>
      </c>
      <c r="I6691" s="224" t="s">
        <v>2</v>
      </c>
    </row>
    <row r="6692" spans="1:9" x14ac:dyDescent="0.25">
      <c r="A6692" s="515">
        <v>30276</v>
      </c>
      <c r="B6692" s="515" t="s">
        <v>957</v>
      </c>
      <c r="C6692" s="52">
        <v>433431.14035039197</v>
      </c>
      <c r="D6692" s="56">
        <v>0.10645497544299594</v>
      </c>
      <c r="E6692" s="224" t="s">
        <v>2</v>
      </c>
      <c r="F6692" s="515" t="s">
        <v>7913</v>
      </c>
      <c r="G6692" s="52">
        <v>125159.81935177901</v>
      </c>
      <c r="H6692" s="56">
        <v>2.0883042929703291E-2</v>
      </c>
      <c r="I6692" s="224" t="s">
        <v>2</v>
      </c>
    </row>
    <row r="6693" spans="1:9" x14ac:dyDescent="0.25">
      <c r="A6693" s="515">
        <v>94949</v>
      </c>
      <c r="B6693" s="515" t="s">
        <v>593</v>
      </c>
      <c r="C6693" s="52">
        <v>1148850.6261800299</v>
      </c>
      <c r="D6693" s="56">
        <v>3.8745592318948287E-2</v>
      </c>
      <c r="E6693" s="224">
        <v>3280</v>
      </c>
      <c r="F6693" s="515" t="s">
        <v>7914</v>
      </c>
      <c r="G6693" s="52">
        <v>547732.93816676806</v>
      </c>
      <c r="H6693" s="56">
        <v>5.8428265072897639E-2</v>
      </c>
      <c r="I6693" s="224" t="s">
        <v>2</v>
      </c>
    </row>
    <row r="6694" spans="1:9" x14ac:dyDescent="0.25">
      <c r="A6694" s="515">
        <v>14611</v>
      </c>
      <c r="B6694" s="515" t="s">
        <v>337</v>
      </c>
      <c r="C6694" s="52">
        <v>85423.753782636501</v>
      </c>
      <c r="D6694" s="56">
        <v>0.11093346802450302</v>
      </c>
      <c r="E6694" s="224">
        <v>1226.0833333333301</v>
      </c>
      <c r="F6694" s="515" t="s">
        <v>7915</v>
      </c>
      <c r="G6694" s="52">
        <v>254737.27707006299</v>
      </c>
      <c r="H6694" s="56">
        <v>0</v>
      </c>
      <c r="I6694" s="224" t="s">
        <v>2</v>
      </c>
    </row>
    <row r="6695" spans="1:9" x14ac:dyDescent="0.25">
      <c r="A6695" s="515">
        <v>55403</v>
      </c>
      <c r="B6695" s="515" t="s">
        <v>532</v>
      </c>
      <c r="C6695" s="52">
        <v>253611.673732058</v>
      </c>
      <c r="D6695" s="56">
        <v>-5.7379892402322316E-2</v>
      </c>
      <c r="E6695" s="224">
        <v>1392.24365079365</v>
      </c>
      <c r="F6695" s="515" t="s">
        <v>7916</v>
      </c>
      <c r="G6695" s="52">
        <v>422874.25320822798</v>
      </c>
      <c r="H6695" s="56">
        <v>4.965075633690394E-2</v>
      </c>
      <c r="I6695" s="224" t="s">
        <v>2</v>
      </c>
    </row>
    <row r="6696" spans="1:9" x14ac:dyDescent="0.25">
      <c r="A6696" s="515">
        <v>39440</v>
      </c>
      <c r="B6696" s="515" t="s">
        <v>793</v>
      </c>
      <c r="C6696" s="52">
        <v>99727.082035434403</v>
      </c>
      <c r="D6696" s="56">
        <v>3.4388082962796052E-3</v>
      </c>
      <c r="E6696" s="224" t="s">
        <v>2</v>
      </c>
      <c r="F6696" s="515" t="s">
        <v>7917</v>
      </c>
      <c r="G6696" s="52">
        <v>445813.99269321602</v>
      </c>
      <c r="H6696" s="56">
        <v>0.17760926731375778</v>
      </c>
      <c r="I6696" s="224" t="s">
        <v>2</v>
      </c>
    </row>
    <row r="6697" spans="1:9" x14ac:dyDescent="0.25">
      <c r="A6697" s="515">
        <v>1748</v>
      </c>
      <c r="B6697" s="515" t="s">
        <v>534</v>
      </c>
      <c r="C6697" s="52">
        <v>808535.79441911704</v>
      </c>
      <c r="D6697" s="56">
        <v>6.600473137933871E-2</v>
      </c>
      <c r="E6697" s="224">
        <v>2884.8333333333298</v>
      </c>
      <c r="F6697" s="515" t="s">
        <v>7918</v>
      </c>
      <c r="G6697" s="52">
        <v>494686.30366083002</v>
      </c>
      <c r="H6697" s="56">
        <v>4.9238873858452624E-2</v>
      </c>
      <c r="I6697" s="224" t="s">
        <v>2</v>
      </c>
    </row>
    <row r="6698" spans="1:9" x14ac:dyDescent="0.25">
      <c r="A6698" s="515">
        <v>28327</v>
      </c>
      <c r="B6698" s="515" t="s">
        <v>1090</v>
      </c>
      <c r="C6698" s="52">
        <v>373566.050304765</v>
      </c>
      <c r="D6698" s="56">
        <v>0.17750616903320099</v>
      </c>
      <c r="E6698" s="224">
        <v>2112.5</v>
      </c>
      <c r="F6698" s="515" t="s">
        <v>7919</v>
      </c>
      <c r="G6698" s="52">
        <v>370390.242031109</v>
      </c>
      <c r="H6698" s="56">
        <v>9.0383023109532376E-2</v>
      </c>
      <c r="I6698" s="224" t="s">
        <v>2</v>
      </c>
    </row>
    <row r="6699" spans="1:9" x14ac:dyDescent="0.25">
      <c r="A6699" s="515">
        <v>83716</v>
      </c>
      <c r="B6699" s="515" t="s">
        <v>500</v>
      </c>
      <c r="C6699" s="52">
        <v>577408.924657956</v>
      </c>
      <c r="D6699" s="56">
        <v>-3.2755609173553704E-2</v>
      </c>
      <c r="E6699" s="224">
        <v>1968.68888888888</v>
      </c>
      <c r="F6699" s="515" t="s">
        <v>7920</v>
      </c>
      <c r="G6699" s="52">
        <v>118422.623285341</v>
      </c>
      <c r="H6699" s="56">
        <v>9.9123619339184857E-2</v>
      </c>
      <c r="I6699" s="224" t="s">
        <v>2</v>
      </c>
    </row>
    <row r="6700" spans="1:9" x14ac:dyDescent="0.25">
      <c r="A6700" s="515">
        <v>75670</v>
      </c>
      <c r="B6700" s="515" t="s">
        <v>319</v>
      </c>
      <c r="C6700" s="52">
        <v>77098.441852775999</v>
      </c>
      <c r="D6700" s="56">
        <v>-5.7024928282976756E-2</v>
      </c>
      <c r="E6700" s="224" t="s">
        <v>2</v>
      </c>
      <c r="F6700" s="515" t="s">
        <v>7921</v>
      </c>
      <c r="G6700" s="52">
        <v>100958.237052995</v>
      </c>
      <c r="H6700" s="56">
        <v>-5.9887718944943713E-2</v>
      </c>
      <c r="I6700" s="224" t="s">
        <v>2</v>
      </c>
    </row>
    <row r="6701" spans="1:9" x14ac:dyDescent="0.25">
      <c r="A6701" s="515">
        <v>4038</v>
      </c>
      <c r="B6701" s="515" t="s">
        <v>570</v>
      </c>
      <c r="C6701" s="52">
        <v>442049.22735179501</v>
      </c>
      <c r="D6701" s="56">
        <v>6.7842791607517786E-2</v>
      </c>
      <c r="E6701" s="224" t="s">
        <v>2</v>
      </c>
      <c r="F6701" s="515" t="s">
        <v>7922</v>
      </c>
      <c r="G6701" s="52">
        <v>156888.013030634</v>
      </c>
      <c r="H6701" s="56">
        <v>2.7719406075474742E-3</v>
      </c>
      <c r="I6701" s="224" t="s">
        <v>2</v>
      </c>
    </row>
    <row r="6702" spans="1:9" x14ac:dyDescent="0.25">
      <c r="A6702" s="515">
        <v>20166</v>
      </c>
      <c r="B6702" s="515" t="s">
        <v>321</v>
      </c>
      <c r="C6702" s="52">
        <v>547091.69506755495</v>
      </c>
      <c r="D6702" s="56">
        <v>2.9039808307743657E-2</v>
      </c>
      <c r="E6702" s="224">
        <v>2337.7166666666599</v>
      </c>
      <c r="F6702" s="515" t="s">
        <v>7923</v>
      </c>
      <c r="G6702" s="52">
        <v>143236.95451845499</v>
      </c>
      <c r="H6702" s="56">
        <v>0.14372144149775179</v>
      </c>
      <c r="I6702" s="224" t="s">
        <v>2</v>
      </c>
    </row>
    <row r="6703" spans="1:9" x14ac:dyDescent="0.25">
      <c r="A6703" s="515">
        <v>33137</v>
      </c>
      <c r="B6703" s="515" t="s">
        <v>831</v>
      </c>
      <c r="C6703" s="52">
        <v>654612.21619305306</v>
      </c>
      <c r="D6703" s="56">
        <v>0.17146555017241483</v>
      </c>
      <c r="E6703" s="224">
        <v>3652.6481802315102</v>
      </c>
      <c r="F6703" s="515" t="s">
        <v>7924</v>
      </c>
      <c r="G6703" s="52">
        <v>229923.01822741199</v>
      </c>
      <c r="H6703" s="56">
        <v>0.11134831821496571</v>
      </c>
      <c r="I6703" s="224" t="s">
        <v>2</v>
      </c>
    </row>
    <row r="6704" spans="1:9" x14ac:dyDescent="0.25">
      <c r="A6704" s="515">
        <v>21201</v>
      </c>
      <c r="B6704" s="515" t="s">
        <v>582</v>
      </c>
      <c r="C6704" s="52">
        <v>214928.51955294699</v>
      </c>
      <c r="D6704" s="56">
        <v>3.698844507150692E-2</v>
      </c>
      <c r="E6704" s="224">
        <v>1450.32581453634</v>
      </c>
      <c r="F6704" s="515" t="s">
        <v>7925</v>
      </c>
      <c r="G6704" s="52">
        <v>749159.51390294998</v>
      </c>
      <c r="H6704" s="56">
        <v>0.10061378727732025</v>
      </c>
      <c r="I6704" s="224" t="s">
        <v>2</v>
      </c>
    </row>
    <row r="6705" spans="1:9" x14ac:dyDescent="0.25">
      <c r="A6705" s="515">
        <v>60521</v>
      </c>
      <c r="B6705" s="515" t="s">
        <v>394</v>
      </c>
      <c r="C6705" s="52">
        <v>866213.929014883</v>
      </c>
      <c r="D6705" s="56">
        <v>4.2040844531926497E-2</v>
      </c>
      <c r="E6705" s="224" t="s">
        <v>2</v>
      </c>
      <c r="F6705" s="515" t="s">
        <v>7926</v>
      </c>
      <c r="G6705" s="52">
        <v>362115.44131811702</v>
      </c>
      <c r="H6705" s="56">
        <v>8.8276027473886631E-2</v>
      </c>
      <c r="I6705" s="224" t="s">
        <v>2</v>
      </c>
    </row>
    <row r="6706" spans="1:9" x14ac:dyDescent="0.25">
      <c r="A6706" s="515">
        <v>70507</v>
      </c>
      <c r="B6706" s="515" t="s">
        <v>1004</v>
      </c>
      <c r="C6706" s="52">
        <v>189264.86402678001</v>
      </c>
      <c r="D6706" s="56">
        <v>2.9734642048237284E-2</v>
      </c>
      <c r="E6706" s="224" t="s">
        <v>2</v>
      </c>
      <c r="F6706" s="515" t="s">
        <v>7927</v>
      </c>
      <c r="G6706" s="52">
        <v>307612.49634116399</v>
      </c>
      <c r="H6706" s="56">
        <v>9.2618721312074978E-2</v>
      </c>
      <c r="I6706" s="224">
        <v>1720</v>
      </c>
    </row>
    <row r="6707" spans="1:9" x14ac:dyDescent="0.25">
      <c r="A6707" s="515">
        <v>70807</v>
      </c>
      <c r="B6707" s="515" t="s">
        <v>610</v>
      </c>
      <c r="C6707" s="52">
        <v>65932.599239218194</v>
      </c>
      <c r="D6707" s="56">
        <v>4.1345485107827602E-2</v>
      </c>
      <c r="E6707" s="224" t="s">
        <v>2</v>
      </c>
      <c r="F6707" s="515" t="s">
        <v>7928</v>
      </c>
      <c r="G6707" s="52">
        <v>509282.679615531</v>
      </c>
      <c r="H6707" s="56">
        <v>2.0174851690362875E-2</v>
      </c>
      <c r="I6707" s="224" t="s">
        <v>2</v>
      </c>
    </row>
    <row r="6708" spans="1:9" x14ac:dyDescent="0.25">
      <c r="A6708" s="515">
        <v>38901</v>
      </c>
      <c r="B6708" s="515" t="s">
        <v>983</v>
      </c>
      <c r="C6708" s="52">
        <v>120675.135056845</v>
      </c>
      <c r="D6708" s="56">
        <v>-4.8698673351284555E-2</v>
      </c>
      <c r="E6708" s="224" t="s">
        <v>2</v>
      </c>
      <c r="F6708" s="515" t="s">
        <v>7929</v>
      </c>
      <c r="G6708" s="52">
        <v>458169.85533724597</v>
      </c>
      <c r="H6708" s="56">
        <v>6.9495639258516387E-2</v>
      </c>
      <c r="I6708" s="224" t="s">
        <v>2</v>
      </c>
    </row>
    <row r="6709" spans="1:9" x14ac:dyDescent="0.25">
      <c r="A6709" s="515">
        <v>16652</v>
      </c>
      <c r="B6709" s="515" t="s">
        <v>539</v>
      </c>
      <c r="C6709" s="52">
        <v>165671.18834641701</v>
      </c>
      <c r="D6709" s="56">
        <v>4.5357955670724349E-2</v>
      </c>
      <c r="E6709" s="224" t="s">
        <v>2</v>
      </c>
      <c r="F6709" s="515" t="s">
        <v>7930</v>
      </c>
      <c r="G6709" s="52">
        <v>143829.02934451599</v>
      </c>
      <c r="H6709" s="56">
        <v>0.14276180615976425</v>
      </c>
      <c r="I6709" s="224" t="s">
        <v>2</v>
      </c>
    </row>
    <row r="6710" spans="1:9" x14ac:dyDescent="0.25">
      <c r="A6710" s="515">
        <v>46011</v>
      </c>
      <c r="B6710" s="515" t="s">
        <v>403</v>
      </c>
      <c r="C6710" s="52">
        <v>178464.04222359901</v>
      </c>
      <c r="D6710" s="56">
        <v>7.4371035420760886E-2</v>
      </c>
      <c r="E6710" s="224" t="s">
        <v>2</v>
      </c>
      <c r="F6710" s="515" t="s">
        <v>7931</v>
      </c>
      <c r="G6710" s="52">
        <v>154845.79780768001</v>
      </c>
      <c r="H6710" s="56">
        <v>0.32787842236836606</v>
      </c>
      <c r="I6710" s="224" t="s">
        <v>2</v>
      </c>
    </row>
    <row r="6711" spans="1:9" x14ac:dyDescent="0.25">
      <c r="A6711" s="515">
        <v>1301</v>
      </c>
      <c r="B6711" s="515" t="s">
        <v>575</v>
      </c>
      <c r="C6711" s="52">
        <v>276136.202388809</v>
      </c>
      <c r="D6711" s="56">
        <v>0.10005441003888554</v>
      </c>
      <c r="E6711" s="224" t="s">
        <v>2</v>
      </c>
      <c r="F6711" s="515" t="s">
        <v>7932</v>
      </c>
      <c r="G6711" s="52">
        <v>291397.709625602</v>
      </c>
      <c r="H6711" s="56">
        <v>0.10254607498248003</v>
      </c>
      <c r="I6711" s="224" t="s">
        <v>2</v>
      </c>
    </row>
    <row r="6712" spans="1:9" x14ac:dyDescent="0.25">
      <c r="A6712" s="515">
        <v>31750</v>
      </c>
      <c r="B6712" s="515" t="s">
        <v>1207</v>
      </c>
      <c r="C6712" s="52">
        <v>104040.021840852</v>
      </c>
      <c r="D6712" s="56">
        <v>0.15717661434552052</v>
      </c>
      <c r="E6712" s="224" t="s">
        <v>2</v>
      </c>
      <c r="F6712" s="515" t="s">
        <v>7933</v>
      </c>
      <c r="G6712" s="52">
        <v>275755.15005850099</v>
      </c>
      <c r="H6712" s="56">
        <v>1.9598733926135321E-2</v>
      </c>
      <c r="I6712" s="224" t="s">
        <v>2</v>
      </c>
    </row>
    <row r="6713" spans="1:9" x14ac:dyDescent="0.25">
      <c r="A6713" s="515">
        <v>77328</v>
      </c>
      <c r="C6713" s="52">
        <v>220003.60816192199</v>
      </c>
      <c r="D6713" s="56">
        <v>3.0652935015486125E-2</v>
      </c>
      <c r="E6713" s="224" t="s">
        <v>2</v>
      </c>
      <c r="F6713" s="515" t="s">
        <v>7934</v>
      </c>
      <c r="G6713" s="52">
        <v>157028.61676520601</v>
      </c>
      <c r="H6713" s="56">
        <v>3.0078435485646721E-2</v>
      </c>
      <c r="I6713" s="224" t="s">
        <v>2</v>
      </c>
    </row>
    <row r="6714" spans="1:9" x14ac:dyDescent="0.25">
      <c r="A6714" s="515">
        <v>67206</v>
      </c>
      <c r="B6714" s="515" t="s">
        <v>485</v>
      </c>
      <c r="C6714" s="52">
        <v>332650.51172565803</v>
      </c>
      <c r="D6714" s="56">
        <v>5.5129010627366824E-2</v>
      </c>
      <c r="E6714" s="224" t="s">
        <v>2</v>
      </c>
      <c r="F6714" s="515" t="s">
        <v>7935</v>
      </c>
      <c r="G6714" s="52">
        <v>70272.6576579299</v>
      </c>
      <c r="H6714" s="56">
        <v>-1.9232569920051362E-3</v>
      </c>
      <c r="I6714" s="224" t="s">
        <v>2</v>
      </c>
    </row>
    <row r="6715" spans="1:9" x14ac:dyDescent="0.25">
      <c r="A6715" s="515">
        <v>97216</v>
      </c>
      <c r="B6715" s="515" t="s">
        <v>659</v>
      </c>
      <c r="C6715" s="52">
        <v>416126.36251677899</v>
      </c>
      <c r="D6715" s="56">
        <v>-9.6528644433817069E-3</v>
      </c>
      <c r="E6715" s="224">
        <v>1851.1666666666599</v>
      </c>
      <c r="F6715" s="515" t="s">
        <v>7936</v>
      </c>
      <c r="G6715" s="52">
        <v>518561.25648925902</v>
      </c>
      <c r="H6715" s="56">
        <v>2.858162377830999E-2</v>
      </c>
      <c r="I6715" s="224" t="s">
        <v>2</v>
      </c>
    </row>
    <row r="6716" spans="1:9" x14ac:dyDescent="0.25">
      <c r="A6716" s="515">
        <v>77378</v>
      </c>
      <c r="B6716" s="515" t="s">
        <v>314</v>
      </c>
      <c r="C6716" s="52">
        <v>235592.022122517</v>
      </c>
      <c r="D6716" s="56">
        <v>7.0879478747353161E-2</v>
      </c>
      <c r="E6716" s="224">
        <v>1543.2142857142801</v>
      </c>
      <c r="F6716" s="515" t="s">
        <v>7937</v>
      </c>
      <c r="G6716" s="52">
        <v>29145.340929644801</v>
      </c>
      <c r="H6716" s="56">
        <v>0.15757862787427615</v>
      </c>
      <c r="I6716" s="224" t="s">
        <v>2</v>
      </c>
    </row>
    <row r="6717" spans="1:9" x14ac:dyDescent="0.25">
      <c r="A6717" s="515">
        <v>92274</v>
      </c>
      <c r="B6717" s="515" t="s">
        <v>599</v>
      </c>
      <c r="C6717" s="52">
        <v>233218.590345039</v>
      </c>
      <c r="D6717" s="56">
        <v>9.5173303329441766E-2</v>
      </c>
      <c r="E6717" s="224" t="s">
        <v>2</v>
      </c>
      <c r="F6717" s="515" t="s">
        <v>7938</v>
      </c>
      <c r="G6717" s="52">
        <v>299235.50724317099</v>
      </c>
      <c r="H6717" s="56">
        <v>7.3304199060598527E-2</v>
      </c>
      <c r="I6717" s="224" t="s">
        <v>2</v>
      </c>
    </row>
    <row r="6718" spans="1:9" x14ac:dyDescent="0.25">
      <c r="A6718" s="515">
        <v>48912</v>
      </c>
      <c r="B6718" s="515" t="s">
        <v>528</v>
      </c>
      <c r="C6718" s="52">
        <v>114104.599991772</v>
      </c>
      <c r="D6718" s="56">
        <v>9.0923483094087015E-2</v>
      </c>
      <c r="E6718" s="224">
        <v>1087.2222222222199</v>
      </c>
      <c r="F6718" s="515" t="s">
        <v>7939</v>
      </c>
      <c r="G6718" s="52">
        <v>132052.36841947801</v>
      </c>
      <c r="H6718" s="56">
        <v>5.6152887282155749E-2</v>
      </c>
      <c r="I6718" s="224" t="s">
        <v>2</v>
      </c>
    </row>
    <row r="6719" spans="1:9" x14ac:dyDescent="0.25">
      <c r="A6719" s="515">
        <v>34473</v>
      </c>
      <c r="B6719" s="515" t="s">
        <v>475</v>
      </c>
      <c r="C6719" s="52">
        <v>269045.028372425</v>
      </c>
      <c r="D6719" s="56">
        <v>0.15686499985310121</v>
      </c>
      <c r="E6719" s="224">
        <v>1606.6666666666599</v>
      </c>
      <c r="F6719" s="515" t="s">
        <v>7940</v>
      </c>
      <c r="G6719" s="52">
        <v>338195.62824039801</v>
      </c>
      <c r="H6719" s="56">
        <v>6.56945746775979E-2</v>
      </c>
      <c r="I6719" s="224" t="s">
        <v>2</v>
      </c>
    </row>
    <row r="6720" spans="1:9" x14ac:dyDescent="0.25">
      <c r="A6720" s="515">
        <v>95673</v>
      </c>
      <c r="B6720" s="515" t="s">
        <v>355</v>
      </c>
      <c r="C6720" s="52">
        <v>409280.31043342798</v>
      </c>
      <c r="D6720" s="56">
        <v>1.6404476267014041E-2</v>
      </c>
      <c r="E6720" s="224" t="s">
        <v>2</v>
      </c>
      <c r="F6720" s="515" t="s">
        <v>7941</v>
      </c>
      <c r="G6720" s="52">
        <v>272370.74356400903</v>
      </c>
      <c r="H6720" s="56">
        <v>5.9392666023269411E-2</v>
      </c>
      <c r="I6720" s="224" t="s">
        <v>2</v>
      </c>
    </row>
    <row r="6721" spans="1:9" x14ac:dyDescent="0.25">
      <c r="A6721" s="515">
        <v>49431</v>
      </c>
      <c r="B6721" s="515" t="s">
        <v>993</v>
      </c>
      <c r="C6721" s="52">
        <v>225353.40631370799</v>
      </c>
      <c r="D6721" s="56">
        <v>5.7442667297965301E-2</v>
      </c>
      <c r="E6721" s="224" t="s">
        <v>2</v>
      </c>
      <c r="F6721" s="515" t="s">
        <v>7942</v>
      </c>
      <c r="G6721" s="52">
        <v>288710.88611028902</v>
      </c>
      <c r="H6721" s="56">
        <v>0.12877597842771646</v>
      </c>
      <c r="I6721" s="224" t="s">
        <v>2</v>
      </c>
    </row>
    <row r="6722" spans="1:9" x14ac:dyDescent="0.25">
      <c r="A6722" s="515">
        <v>75009</v>
      </c>
      <c r="B6722" s="515" t="s">
        <v>458</v>
      </c>
      <c r="C6722" s="52">
        <v>562646.14105248405</v>
      </c>
      <c r="D6722" s="56">
        <v>8.1086640179154026E-2</v>
      </c>
      <c r="E6722" s="224">
        <v>2413.7222222222199</v>
      </c>
      <c r="F6722" s="515" t="s">
        <v>7943</v>
      </c>
      <c r="G6722" s="52">
        <v>253023.18891746501</v>
      </c>
      <c r="H6722" s="56">
        <v>0.18852291763638979</v>
      </c>
      <c r="I6722" s="224" t="s">
        <v>2</v>
      </c>
    </row>
    <row r="6723" spans="1:9" x14ac:dyDescent="0.25">
      <c r="A6723" s="515">
        <v>22151</v>
      </c>
      <c r="B6723" s="515" t="s">
        <v>321</v>
      </c>
      <c r="C6723" s="52">
        <v>623556.42166734301</v>
      </c>
      <c r="D6723" s="56">
        <v>3.7865370631897377E-2</v>
      </c>
      <c r="E6723" s="224" t="s">
        <v>2</v>
      </c>
      <c r="F6723" s="515" t="s">
        <v>7944</v>
      </c>
      <c r="G6723" s="52">
        <v>85974.573048229402</v>
      </c>
      <c r="H6723" s="56">
        <v>0.1419286556150261</v>
      </c>
      <c r="I6723" s="224" t="s">
        <v>2</v>
      </c>
    </row>
    <row r="6724" spans="1:9" x14ac:dyDescent="0.25">
      <c r="A6724" s="515">
        <v>2170</v>
      </c>
      <c r="B6724" s="515" t="s">
        <v>534</v>
      </c>
      <c r="C6724" s="52">
        <v>649275.40661885601</v>
      </c>
      <c r="D6724" s="56">
        <v>3.3933696259151137E-2</v>
      </c>
      <c r="E6724" s="224">
        <v>2455.38888888888</v>
      </c>
      <c r="F6724" s="515" t="s">
        <v>7945</v>
      </c>
      <c r="G6724" s="52">
        <v>528245.57259247499</v>
      </c>
      <c r="H6724" s="56">
        <v>5.0430655643114185E-2</v>
      </c>
      <c r="I6724" s="224" t="s">
        <v>2</v>
      </c>
    </row>
    <row r="6725" spans="1:9" x14ac:dyDescent="0.25">
      <c r="A6725" s="515">
        <v>38351</v>
      </c>
      <c r="C6725" s="52">
        <v>171781.35974607099</v>
      </c>
      <c r="D6725" s="56">
        <v>3.9069255277341355E-2</v>
      </c>
      <c r="E6725" s="224" t="s">
        <v>2</v>
      </c>
      <c r="F6725" s="515" t="s">
        <v>7946</v>
      </c>
      <c r="G6725" s="52">
        <v>198485.87669406299</v>
      </c>
      <c r="H6725" s="56">
        <v>0.10176194461434637</v>
      </c>
      <c r="I6725" s="224" t="s">
        <v>2</v>
      </c>
    </row>
    <row r="6726" spans="1:9" x14ac:dyDescent="0.25">
      <c r="A6726" s="515">
        <v>61073</v>
      </c>
      <c r="B6726" s="515" t="s">
        <v>1104</v>
      </c>
      <c r="C6726" s="52">
        <v>239464.84656797</v>
      </c>
      <c r="D6726" s="56">
        <v>5.8425382969723931E-2</v>
      </c>
      <c r="E6726" s="224">
        <v>1443.75</v>
      </c>
      <c r="F6726" s="515" t="s">
        <v>7947</v>
      </c>
      <c r="G6726" s="52">
        <v>327183.85643664602</v>
      </c>
      <c r="H6726" s="56">
        <v>9.8289324243907294E-2</v>
      </c>
      <c r="I6726" s="224" t="s">
        <v>2</v>
      </c>
    </row>
    <row r="6727" spans="1:9" x14ac:dyDescent="0.25">
      <c r="A6727" s="515">
        <v>97209</v>
      </c>
      <c r="B6727" s="515" t="s">
        <v>659</v>
      </c>
      <c r="C6727" s="52">
        <v>482137.97706965398</v>
      </c>
      <c r="D6727" s="56">
        <v>1.5712929407214185E-3</v>
      </c>
      <c r="E6727" s="224">
        <v>1854.5908919123201</v>
      </c>
      <c r="F6727" s="515" t="s">
        <v>7948</v>
      </c>
      <c r="G6727" s="52">
        <v>120070.98868852999</v>
      </c>
      <c r="H6727" s="56">
        <v>-0.14241302142665391</v>
      </c>
      <c r="I6727" s="224" t="s">
        <v>2</v>
      </c>
    </row>
    <row r="6728" spans="1:9" x14ac:dyDescent="0.25">
      <c r="A6728" s="515">
        <v>94706</v>
      </c>
      <c r="B6728" s="515" t="s">
        <v>593</v>
      </c>
      <c r="C6728" s="52">
        <v>1176658.7245338799</v>
      </c>
      <c r="D6728" s="56">
        <v>-1.4056619251973669E-2</v>
      </c>
      <c r="E6728" s="224">
        <v>2687.5</v>
      </c>
      <c r="F6728" s="515" t="s">
        <v>7949</v>
      </c>
      <c r="G6728" s="52">
        <v>75376.962493803803</v>
      </c>
      <c r="H6728" s="56">
        <v>5.2140650629050593E-2</v>
      </c>
      <c r="I6728" s="224" t="s">
        <v>2</v>
      </c>
    </row>
    <row r="6729" spans="1:9" x14ac:dyDescent="0.25">
      <c r="A6729" s="515">
        <v>30107</v>
      </c>
      <c r="B6729" s="515" t="s">
        <v>957</v>
      </c>
      <c r="C6729" s="52">
        <v>402829.55487531202</v>
      </c>
      <c r="D6729" s="56">
        <v>9.5727402292157218E-2</v>
      </c>
      <c r="E6729" s="224">
        <v>2165</v>
      </c>
      <c r="F6729" s="515" t="s">
        <v>7950</v>
      </c>
      <c r="G6729" s="52">
        <v>1269646.64526744</v>
      </c>
      <c r="H6729" s="56">
        <v>9.6803608106937125E-2</v>
      </c>
      <c r="I6729" s="224" t="s">
        <v>2</v>
      </c>
    </row>
    <row r="6730" spans="1:9" x14ac:dyDescent="0.25">
      <c r="A6730" s="515">
        <v>33549</v>
      </c>
      <c r="B6730" s="515" t="s">
        <v>461</v>
      </c>
      <c r="C6730" s="52">
        <v>414888.30979652802</v>
      </c>
      <c r="D6730" s="56">
        <v>0.10489985709680541</v>
      </c>
      <c r="E6730" s="224">
        <v>2344.1666666666601</v>
      </c>
      <c r="F6730" s="515" t="s">
        <v>7951</v>
      </c>
      <c r="G6730" s="52">
        <v>155098.231838259</v>
      </c>
      <c r="H6730" s="56">
        <v>8.6480419718709428E-2</v>
      </c>
      <c r="I6730" s="224" t="s">
        <v>2</v>
      </c>
    </row>
    <row r="6731" spans="1:9" x14ac:dyDescent="0.25">
      <c r="A6731" s="515">
        <v>75137</v>
      </c>
      <c r="B6731" s="515" t="s">
        <v>458</v>
      </c>
      <c r="C6731" s="52">
        <v>279745.29539153201</v>
      </c>
      <c r="D6731" s="56">
        <v>8.217323174431064E-2</v>
      </c>
      <c r="E6731" s="224">
        <v>1711.93333333333</v>
      </c>
      <c r="F6731" s="515" t="s">
        <v>7952</v>
      </c>
      <c r="G6731" s="52">
        <v>141812.69270055601</v>
      </c>
      <c r="H6731" s="56">
        <v>2.9379628446013027E-2</v>
      </c>
      <c r="I6731" s="224" t="s">
        <v>2</v>
      </c>
    </row>
    <row r="6732" spans="1:9" x14ac:dyDescent="0.25">
      <c r="A6732" s="515">
        <v>93110</v>
      </c>
      <c r="B6732" s="515" t="s">
        <v>847</v>
      </c>
      <c r="C6732" s="52">
        <v>1558395.61934219</v>
      </c>
      <c r="D6732" s="56">
        <v>8.3972210541311765E-2</v>
      </c>
      <c r="E6732" s="224">
        <v>7700</v>
      </c>
      <c r="F6732" s="515" t="s">
        <v>7953</v>
      </c>
      <c r="G6732" s="52">
        <v>120462.68931474601</v>
      </c>
      <c r="H6732" s="56">
        <v>6.3606673597565194E-2</v>
      </c>
      <c r="I6732" s="224" t="s">
        <v>2</v>
      </c>
    </row>
    <row r="6733" spans="1:9" x14ac:dyDescent="0.25">
      <c r="A6733" s="515">
        <v>6032</v>
      </c>
      <c r="B6733" s="515" t="s">
        <v>894</v>
      </c>
      <c r="C6733" s="52">
        <v>385157.30016349698</v>
      </c>
      <c r="D6733" s="56">
        <v>0.10100009606821315</v>
      </c>
      <c r="E6733" s="224" t="s">
        <v>2</v>
      </c>
      <c r="F6733" s="515" t="s">
        <v>7954</v>
      </c>
      <c r="G6733" s="52">
        <v>290905.602832089</v>
      </c>
      <c r="H6733" s="56">
        <v>6.4807987703662986E-2</v>
      </c>
      <c r="I6733" s="224" t="s">
        <v>2</v>
      </c>
    </row>
    <row r="6734" spans="1:9" x14ac:dyDescent="0.25">
      <c r="A6734" s="515">
        <v>87532</v>
      </c>
      <c r="B6734" s="515" t="s">
        <v>313</v>
      </c>
      <c r="C6734" s="52">
        <v>275680.79026866599</v>
      </c>
      <c r="D6734" s="56">
        <v>7.6358892415006055E-2</v>
      </c>
      <c r="E6734" s="224" t="s">
        <v>2</v>
      </c>
      <c r="F6734" s="515" t="s">
        <v>7955</v>
      </c>
      <c r="G6734" s="52">
        <v>417521.58902354701</v>
      </c>
      <c r="H6734" s="56">
        <v>2.3157064339500186E-2</v>
      </c>
      <c r="I6734" s="224" t="s">
        <v>2</v>
      </c>
    </row>
    <row r="6735" spans="1:9" x14ac:dyDescent="0.25">
      <c r="A6735" s="515">
        <v>55344</v>
      </c>
      <c r="B6735" s="515" t="s">
        <v>532</v>
      </c>
      <c r="C6735" s="52">
        <v>313038.70533605199</v>
      </c>
      <c r="D6735" s="56">
        <v>1.625049178637963E-2</v>
      </c>
      <c r="E6735" s="224">
        <v>1572.6872895622801</v>
      </c>
      <c r="F6735" s="515" t="s">
        <v>7956</v>
      </c>
      <c r="G6735" s="52">
        <v>627295.39159744699</v>
      </c>
      <c r="H6735" s="56">
        <v>3.7349732694504048E-2</v>
      </c>
      <c r="I6735" s="224" t="s">
        <v>2</v>
      </c>
    </row>
    <row r="6736" spans="1:9" x14ac:dyDescent="0.25">
      <c r="A6736" s="515">
        <v>76501</v>
      </c>
      <c r="B6736" s="515" t="s">
        <v>859</v>
      </c>
      <c r="C6736" s="52">
        <v>187181.75422331801</v>
      </c>
      <c r="D6736" s="56">
        <v>0.11995932398529115</v>
      </c>
      <c r="E6736" s="224" t="s">
        <v>2</v>
      </c>
      <c r="F6736" s="515" t="s">
        <v>7957</v>
      </c>
      <c r="G6736" s="52">
        <v>119096.062876906</v>
      </c>
      <c r="H6736" s="56">
        <v>0.11938361300265742</v>
      </c>
      <c r="I6736" s="224" t="s">
        <v>2</v>
      </c>
    </row>
    <row r="6737" spans="1:9" x14ac:dyDescent="0.25">
      <c r="A6737" s="515">
        <v>44278</v>
      </c>
      <c r="B6737" s="515" t="s">
        <v>1000</v>
      </c>
      <c r="C6737" s="52">
        <v>237724.84421760499</v>
      </c>
      <c r="D6737" s="56">
        <v>5.3721213889127685E-2</v>
      </c>
      <c r="E6737" s="224" t="s">
        <v>2</v>
      </c>
      <c r="F6737" s="515" t="s">
        <v>7958</v>
      </c>
      <c r="G6737" s="52">
        <v>226448.936017064</v>
      </c>
      <c r="H6737" s="56">
        <v>7.8447948153029495E-2</v>
      </c>
      <c r="I6737" s="224" t="s">
        <v>2</v>
      </c>
    </row>
    <row r="6738" spans="1:9" x14ac:dyDescent="0.25">
      <c r="A6738" s="515">
        <v>95334</v>
      </c>
      <c r="B6738" s="515" t="s">
        <v>594</v>
      </c>
      <c r="C6738" s="52">
        <v>375470.52814179298</v>
      </c>
      <c r="D6738" s="56">
        <v>3.6455909109201795E-2</v>
      </c>
      <c r="E6738" s="224" t="s">
        <v>2</v>
      </c>
      <c r="F6738" s="515" t="s">
        <v>7959</v>
      </c>
      <c r="G6738" s="52">
        <v>350435.768961497</v>
      </c>
      <c r="H6738" s="56">
        <v>4.5413406504289176E-2</v>
      </c>
      <c r="I6738" s="224" t="s">
        <v>2</v>
      </c>
    </row>
    <row r="6739" spans="1:9" x14ac:dyDescent="0.25">
      <c r="A6739" s="515">
        <v>44705</v>
      </c>
      <c r="B6739" s="515" t="s">
        <v>863</v>
      </c>
      <c r="C6739" s="52">
        <v>72010.006925113994</v>
      </c>
      <c r="D6739" s="56">
        <v>0.16662412910082378</v>
      </c>
      <c r="E6739" s="224">
        <v>964.16666666666595</v>
      </c>
      <c r="F6739" s="515" t="s">
        <v>7960</v>
      </c>
      <c r="G6739" s="52">
        <v>166659.28366315499</v>
      </c>
      <c r="H6739" s="56">
        <v>4.6139707965101993E-2</v>
      </c>
      <c r="I6739" s="224" t="s">
        <v>2</v>
      </c>
    </row>
    <row r="6740" spans="1:9" x14ac:dyDescent="0.25">
      <c r="A6740" s="515">
        <v>87410</v>
      </c>
      <c r="B6740" s="515" t="s">
        <v>893</v>
      </c>
      <c r="C6740" s="52">
        <v>197970.63593633901</v>
      </c>
      <c r="D6740" s="56">
        <v>5.6707511974065303E-2</v>
      </c>
      <c r="E6740" s="224" t="s">
        <v>2</v>
      </c>
      <c r="F6740" s="515" t="s">
        <v>7961</v>
      </c>
      <c r="G6740" s="52">
        <v>145920.65708114501</v>
      </c>
      <c r="H6740" s="56">
        <v>7.9487372132541048E-2</v>
      </c>
      <c r="I6740" s="224" t="s">
        <v>2</v>
      </c>
    </row>
    <row r="6741" spans="1:9" x14ac:dyDescent="0.25">
      <c r="A6741" s="515">
        <v>19363</v>
      </c>
      <c r="B6741" s="515" t="s">
        <v>294</v>
      </c>
      <c r="C6741" s="52">
        <v>373804.57678143698</v>
      </c>
      <c r="D6741" s="56">
        <v>0.1041964591187696</v>
      </c>
      <c r="E6741" s="224" t="s">
        <v>2</v>
      </c>
      <c r="F6741" s="515" t="s">
        <v>7962</v>
      </c>
      <c r="G6741" s="52">
        <v>228593.93080654801</v>
      </c>
      <c r="H6741" s="56">
        <v>0.11745213534084172</v>
      </c>
      <c r="I6741" s="224">
        <v>1880</v>
      </c>
    </row>
    <row r="6742" spans="1:9" x14ac:dyDescent="0.25">
      <c r="A6742" s="515">
        <v>63104</v>
      </c>
      <c r="B6742" s="515" t="s">
        <v>498</v>
      </c>
      <c r="C6742" s="52">
        <v>273107.48327036097</v>
      </c>
      <c r="D6742" s="56">
        <v>2.563789320304536E-2</v>
      </c>
      <c r="E6742" s="224">
        <v>1333.2037037037001</v>
      </c>
      <c r="F6742" s="515" t="s">
        <v>7963</v>
      </c>
      <c r="G6742" s="52">
        <v>231392.48472318501</v>
      </c>
      <c r="H6742" s="56">
        <v>6.4628922332040289E-2</v>
      </c>
      <c r="I6742" s="224" t="s">
        <v>2</v>
      </c>
    </row>
    <row r="6743" spans="1:9" x14ac:dyDescent="0.25">
      <c r="A6743" s="515">
        <v>70535</v>
      </c>
      <c r="B6743" s="515" t="s">
        <v>1162</v>
      </c>
      <c r="C6743" s="52">
        <v>104057.382829207</v>
      </c>
      <c r="D6743" s="56">
        <v>2.8646027186552642E-2</v>
      </c>
      <c r="E6743" s="224" t="s">
        <v>2</v>
      </c>
      <c r="F6743" s="515" t="s">
        <v>7964</v>
      </c>
      <c r="G6743" s="52">
        <v>599857.95187019696</v>
      </c>
      <c r="H6743" s="56">
        <v>4.6356435040491764E-2</v>
      </c>
      <c r="I6743" s="224" t="s">
        <v>2</v>
      </c>
    </row>
    <row r="6744" spans="1:9" x14ac:dyDescent="0.25">
      <c r="A6744" s="515">
        <v>22039</v>
      </c>
      <c r="B6744" s="515" t="s">
        <v>321</v>
      </c>
      <c r="C6744" s="52">
        <v>1009441.08564602</v>
      </c>
      <c r="D6744" s="56">
        <v>5.7204387174335257E-2</v>
      </c>
      <c r="E6744" s="224" t="s">
        <v>2</v>
      </c>
      <c r="F6744" s="515" t="s">
        <v>7965</v>
      </c>
      <c r="G6744" s="52">
        <v>298192.57764739799</v>
      </c>
      <c r="H6744" s="56">
        <v>5.0168103881192035E-2</v>
      </c>
      <c r="I6744" s="224" t="s">
        <v>2</v>
      </c>
    </row>
    <row r="6745" spans="1:9" x14ac:dyDescent="0.25">
      <c r="A6745" s="515">
        <v>48240</v>
      </c>
      <c r="B6745" s="515" t="s">
        <v>685</v>
      </c>
      <c r="C6745" s="52">
        <v>140578.51705999</v>
      </c>
      <c r="D6745" s="56">
        <v>8.5980820084657614E-2</v>
      </c>
      <c r="E6745" s="224">
        <v>1362.0833333333301</v>
      </c>
      <c r="F6745" s="515" t="s">
        <v>7966</v>
      </c>
      <c r="G6745" s="52">
        <v>218745.214344999</v>
      </c>
      <c r="H6745" s="56">
        <v>0.10246390931589971</v>
      </c>
      <c r="I6745" s="224" t="s">
        <v>2</v>
      </c>
    </row>
    <row r="6746" spans="1:9" x14ac:dyDescent="0.25">
      <c r="A6746" s="515">
        <v>2190</v>
      </c>
      <c r="B6746" s="515" t="s">
        <v>534</v>
      </c>
      <c r="C6746" s="52">
        <v>540221.20473838097</v>
      </c>
      <c r="D6746" s="56">
        <v>5.7589364402299503E-2</v>
      </c>
      <c r="E6746" s="224">
        <v>2442.0595238095202</v>
      </c>
      <c r="F6746" s="515" t="s">
        <v>7967</v>
      </c>
      <c r="G6746" s="52">
        <v>137607.52525356499</v>
      </c>
      <c r="H6746" s="56">
        <v>9.0209445788010642E-2</v>
      </c>
      <c r="I6746" s="224" t="s">
        <v>2</v>
      </c>
    </row>
    <row r="6747" spans="1:9" x14ac:dyDescent="0.25">
      <c r="A6747" s="515">
        <v>92582</v>
      </c>
      <c r="B6747" s="515" t="s">
        <v>599</v>
      </c>
      <c r="C6747" s="52">
        <v>478070.313121157</v>
      </c>
      <c r="D6747" s="56">
        <v>5.2830297370922749E-2</v>
      </c>
      <c r="E6747" s="224" t="s">
        <v>2</v>
      </c>
      <c r="F6747" s="515" t="s">
        <v>7968</v>
      </c>
      <c r="G6747" s="52">
        <v>915367.63161215303</v>
      </c>
      <c r="H6747" s="56">
        <v>7.0214097632233782E-2</v>
      </c>
      <c r="I6747" s="224">
        <v>1961.0833333333301</v>
      </c>
    </row>
    <row r="6748" spans="1:9" x14ac:dyDescent="0.25">
      <c r="A6748" s="515">
        <v>30153</v>
      </c>
      <c r="B6748" s="515" t="s">
        <v>1179</v>
      </c>
      <c r="C6748" s="52">
        <v>234141.43989774</v>
      </c>
      <c r="D6748" s="56">
        <v>0.16019813475723085</v>
      </c>
      <c r="E6748" s="224">
        <v>1890</v>
      </c>
      <c r="F6748" s="515" t="s">
        <v>7969</v>
      </c>
      <c r="G6748" s="52">
        <v>391695.63451116002</v>
      </c>
      <c r="H6748" s="56">
        <v>0.15324095151125969</v>
      </c>
      <c r="I6748" s="224" t="s">
        <v>2</v>
      </c>
    </row>
    <row r="6749" spans="1:9" x14ac:dyDescent="0.25">
      <c r="A6749" s="515">
        <v>33565</v>
      </c>
      <c r="B6749" s="515" t="s">
        <v>461</v>
      </c>
      <c r="C6749" s="52">
        <v>406486.29064247297</v>
      </c>
      <c r="D6749" s="56">
        <v>0.11629201158301317</v>
      </c>
      <c r="E6749" s="224" t="s">
        <v>2</v>
      </c>
      <c r="F6749" s="515" t="s">
        <v>7970</v>
      </c>
      <c r="G6749" s="52">
        <v>343243.12810779997</v>
      </c>
      <c r="H6749" s="56">
        <v>0.10193906646626791</v>
      </c>
      <c r="I6749" s="224" t="s">
        <v>2</v>
      </c>
    </row>
    <row r="6750" spans="1:9" x14ac:dyDescent="0.25">
      <c r="A6750" s="515">
        <v>78404</v>
      </c>
      <c r="B6750" s="515" t="s">
        <v>415</v>
      </c>
      <c r="C6750" s="52">
        <v>152830.06843144301</v>
      </c>
      <c r="D6750" s="56">
        <v>-1.4190443073855287E-2</v>
      </c>
      <c r="E6750" s="224">
        <v>1250</v>
      </c>
      <c r="F6750" s="515" t="s">
        <v>7971</v>
      </c>
      <c r="G6750" s="52">
        <v>400319.99141602201</v>
      </c>
      <c r="H6750" s="56">
        <v>3.9157464268494563E-2</v>
      </c>
      <c r="I6750" s="224" t="s">
        <v>2</v>
      </c>
    </row>
    <row r="6751" spans="1:9" x14ac:dyDescent="0.25">
      <c r="A6751" s="515">
        <v>60304</v>
      </c>
      <c r="B6751" s="515" t="s">
        <v>394</v>
      </c>
      <c r="C6751" s="52">
        <v>400087.64893842099</v>
      </c>
      <c r="D6751" s="56">
        <v>1.7786879364261377E-2</v>
      </c>
      <c r="E6751" s="224" t="s">
        <v>2</v>
      </c>
      <c r="F6751" s="515" t="s">
        <v>7972</v>
      </c>
      <c r="G6751" s="52">
        <v>351671.50716358598</v>
      </c>
      <c r="H6751" s="56">
        <v>2.758028895094896E-2</v>
      </c>
      <c r="I6751" s="224" t="s">
        <v>2</v>
      </c>
    </row>
    <row r="6752" spans="1:9" x14ac:dyDescent="0.25">
      <c r="A6752" s="515">
        <v>29671</v>
      </c>
      <c r="B6752" s="515" t="s">
        <v>613</v>
      </c>
      <c r="C6752" s="52">
        <v>230910.710809938</v>
      </c>
      <c r="D6752" s="56">
        <v>0.15231265068141547</v>
      </c>
      <c r="E6752" s="224" t="s">
        <v>2</v>
      </c>
      <c r="F6752" s="515" t="s">
        <v>7973</v>
      </c>
      <c r="G6752" s="52">
        <v>131448.78016558199</v>
      </c>
      <c r="H6752" s="56">
        <v>4.5652797125936333E-2</v>
      </c>
      <c r="I6752" s="224" t="s">
        <v>2</v>
      </c>
    </row>
    <row r="6753" spans="1:9" x14ac:dyDescent="0.25">
      <c r="A6753" s="515">
        <v>39574</v>
      </c>
      <c r="B6753" s="515" t="s">
        <v>963</v>
      </c>
      <c r="C6753" s="52">
        <v>206573.49658743499</v>
      </c>
      <c r="D6753" s="56">
        <v>1.6039267120439574E-2</v>
      </c>
      <c r="E6753" s="224" t="s">
        <v>2</v>
      </c>
      <c r="F6753" s="515" t="s">
        <v>7974</v>
      </c>
      <c r="G6753" s="52">
        <v>187461.75626590499</v>
      </c>
      <c r="H6753" s="56">
        <v>8.5949962427976812E-2</v>
      </c>
      <c r="I6753" s="224" t="s">
        <v>2</v>
      </c>
    </row>
    <row r="6754" spans="1:9" x14ac:dyDescent="0.25">
      <c r="A6754" s="515">
        <v>97850</v>
      </c>
      <c r="B6754" s="515" t="s">
        <v>606</v>
      </c>
      <c r="C6754" s="52">
        <v>274325.24406298599</v>
      </c>
      <c r="D6754" s="56">
        <v>3.4198104032094952E-2</v>
      </c>
      <c r="E6754" s="224" t="s">
        <v>2</v>
      </c>
      <c r="F6754" s="515" t="s">
        <v>7975</v>
      </c>
      <c r="G6754" s="52">
        <v>349267.74887827301</v>
      </c>
      <c r="H6754" s="56">
        <v>9.3673393770144039E-2</v>
      </c>
      <c r="I6754" s="224" t="s">
        <v>2</v>
      </c>
    </row>
    <row r="6755" spans="1:9" x14ac:dyDescent="0.25">
      <c r="A6755" s="515">
        <v>97055</v>
      </c>
      <c r="B6755" s="515" t="s">
        <v>659</v>
      </c>
      <c r="C6755" s="52">
        <v>480108.47540043498</v>
      </c>
      <c r="D6755" s="56">
        <v>2.530584635527014E-2</v>
      </c>
      <c r="E6755" s="224" t="s">
        <v>2</v>
      </c>
      <c r="F6755" s="515" t="s">
        <v>7976</v>
      </c>
      <c r="G6755" s="52">
        <v>170920.071847507</v>
      </c>
      <c r="H6755" s="56">
        <v>0</v>
      </c>
      <c r="I6755" s="224" t="s">
        <v>2</v>
      </c>
    </row>
    <row r="6756" spans="1:9" x14ac:dyDescent="0.25">
      <c r="A6756" s="515">
        <v>71602</v>
      </c>
      <c r="B6756" s="515" t="s">
        <v>872</v>
      </c>
      <c r="C6756" s="52">
        <v>127934.523158998</v>
      </c>
      <c r="D6756" s="56">
        <v>9.8633045112626119E-3</v>
      </c>
      <c r="E6756" s="224" t="s">
        <v>2</v>
      </c>
      <c r="F6756" s="515" t="s">
        <v>7977</v>
      </c>
      <c r="G6756" s="52">
        <v>67649.754271002006</v>
      </c>
      <c r="H6756" s="56">
        <v>-0.11871401206058636</v>
      </c>
      <c r="I6756" s="224" t="s">
        <v>2</v>
      </c>
    </row>
    <row r="6757" spans="1:9" x14ac:dyDescent="0.25">
      <c r="A6757" s="515">
        <v>33704</v>
      </c>
      <c r="B6757" s="515" t="s">
        <v>461</v>
      </c>
      <c r="C6757" s="52">
        <v>685321.84945480898</v>
      </c>
      <c r="D6757" s="56">
        <v>0.14891405198515831</v>
      </c>
      <c r="E6757" s="224">
        <v>2222.0833333333298</v>
      </c>
      <c r="F6757" s="515" t="s">
        <v>7978</v>
      </c>
      <c r="G6757" s="52">
        <v>223418.226293641</v>
      </c>
      <c r="H6757" s="56">
        <v>5.5022671106198018E-2</v>
      </c>
      <c r="I6757" s="224" t="s">
        <v>2</v>
      </c>
    </row>
    <row r="6758" spans="1:9" x14ac:dyDescent="0.25">
      <c r="A6758" s="515">
        <v>11415</v>
      </c>
      <c r="B6758" s="515" t="s">
        <v>324</v>
      </c>
      <c r="C6758" s="52">
        <v>285267.49718355702</v>
      </c>
      <c r="D6758" s="56">
        <v>-9.5926246215692859E-2</v>
      </c>
      <c r="E6758" s="224">
        <v>2275.5555555555502</v>
      </c>
      <c r="F6758" s="515" t="s">
        <v>7979</v>
      </c>
      <c r="G6758" s="52">
        <v>90585.405505066097</v>
      </c>
      <c r="H6758" s="56">
        <v>7.0615533510849149E-2</v>
      </c>
      <c r="I6758" s="224" t="s">
        <v>2</v>
      </c>
    </row>
    <row r="6759" spans="1:9" x14ac:dyDescent="0.25">
      <c r="A6759" s="515">
        <v>49331</v>
      </c>
      <c r="B6759" s="515" t="s">
        <v>631</v>
      </c>
      <c r="C6759" s="52">
        <v>321430.17274094402</v>
      </c>
      <c r="D6759" s="56">
        <v>7.1209296547728423E-2</v>
      </c>
      <c r="E6759" s="224" t="s">
        <v>2</v>
      </c>
      <c r="F6759" s="515" t="s">
        <v>7980</v>
      </c>
      <c r="G6759" s="52">
        <v>703271.62015381095</v>
      </c>
      <c r="H6759" s="56">
        <v>-1.4467997342857324E-2</v>
      </c>
      <c r="I6759" s="224" t="s">
        <v>2</v>
      </c>
    </row>
    <row r="6760" spans="1:9" x14ac:dyDescent="0.25">
      <c r="A6760" s="515">
        <v>6804</v>
      </c>
      <c r="B6760" s="515" t="s">
        <v>1173</v>
      </c>
      <c r="C6760" s="52">
        <v>472496.76576299698</v>
      </c>
      <c r="D6760" s="56">
        <v>6.965433796978715E-2</v>
      </c>
      <c r="E6760" s="224" t="s">
        <v>2</v>
      </c>
      <c r="F6760" s="515" t="s">
        <v>7981</v>
      </c>
      <c r="G6760" s="52">
        <v>145094.27312515301</v>
      </c>
      <c r="H6760" s="56">
        <v>0.1030030046600615</v>
      </c>
      <c r="I6760" s="224" t="s">
        <v>2</v>
      </c>
    </row>
    <row r="6761" spans="1:9" x14ac:dyDescent="0.25">
      <c r="A6761" s="515">
        <v>45504</v>
      </c>
      <c r="B6761" s="515" t="s">
        <v>398</v>
      </c>
      <c r="C6761" s="52">
        <v>175003.84079203001</v>
      </c>
      <c r="D6761" s="56">
        <v>8.7083386557342046E-2</v>
      </c>
      <c r="E6761" s="224" t="s">
        <v>2</v>
      </c>
      <c r="F6761" s="515" t="s">
        <v>7982</v>
      </c>
      <c r="G6761" s="52">
        <v>274895.568865982</v>
      </c>
      <c r="H6761" s="56">
        <v>8.6835124956471596E-2</v>
      </c>
      <c r="I6761" s="224" t="s">
        <v>2</v>
      </c>
    </row>
    <row r="6762" spans="1:9" x14ac:dyDescent="0.25">
      <c r="A6762" s="515">
        <v>61102</v>
      </c>
      <c r="B6762" s="515" t="s">
        <v>1104</v>
      </c>
      <c r="C6762" s="52">
        <v>72999.029428026799</v>
      </c>
      <c r="D6762" s="56">
        <v>8.2508352196066143E-2</v>
      </c>
      <c r="E6762" s="224" t="s">
        <v>2</v>
      </c>
      <c r="F6762" s="515" t="s">
        <v>7983</v>
      </c>
      <c r="G6762" s="52">
        <v>297459.33677899599</v>
      </c>
      <c r="H6762" s="56">
        <v>0.10313080163835775</v>
      </c>
      <c r="I6762" s="224" t="s">
        <v>2</v>
      </c>
    </row>
    <row r="6763" spans="1:9" x14ac:dyDescent="0.25">
      <c r="A6763" s="515">
        <v>37748</v>
      </c>
      <c r="B6763" s="515" t="s">
        <v>907</v>
      </c>
      <c r="C6763" s="52">
        <v>187812.77701068699</v>
      </c>
      <c r="D6763" s="56">
        <v>0.10589927188729986</v>
      </c>
      <c r="E6763" s="224" t="s">
        <v>2</v>
      </c>
      <c r="F6763" s="515" t="s">
        <v>7984</v>
      </c>
      <c r="G6763" s="52">
        <v>201630.88726062901</v>
      </c>
      <c r="H6763" s="56">
        <v>5.5699173186157969E-2</v>
      </c>
      <c r="I6763" s="224" t="s">
        <v>2</v>
      </c>
    </row>
    <row r="6764" spans="1:9" x14ac:dyDescent="0.25">
      <c r="A6764" s="515">
        <v>36081</v>
      </c>
      <c r="B6764" s="515" t="s">
        <v>1027</v>
      </c>
      <c r="C6764" s="52">
        <v>145761.689172688</v>
      </c>
      <c r="D6764" s="56">
        <v>4.5039910436700817E-2</v>
      </c>
      <c r="E6764" s="224" t="s">
        <v>2</v>
      </c>
      <c r="F6764" s="515" t="s">
        <v>7985</v>
      </c>
      <c r="G6764" s="52">
        <v>343606.60972846497</v>
      </c>
      <c r="H6764" s="56">
        <v>6.8239082088604269E-2</v>
      </c>
      <c r="I6764" s="224" t="s">
        <v>2</v>
      </c>
    </row>
    <row r="6765" spans="1:9" x14ac:dyDescent="0.25">
      <c r="A6765" s="515">
        <v>44023</v>
      </c>
      <c r="B6765" s="515" t="s">
        <v>520</v>
      </c>
      <c r="C6765" s="52">
        <v>404117.89922485902</v>
      </c>
      <c r="D6765" s="56">
        <v>6.868820663853574E-2</v>
      </c>
      <c r="E6765" s="224" t="s">
        <v>2</v>
      </c>
      <c r="F6765" s="515" t="s">
        <v>7986</v>
      </c>
      <c r="G6765" s="52">
        <v>366175.62234665803</v>
      </c>
      <c r="H6765" s="56">
        <v>8.980047158580215E-2</v>
      </c>
      <c r="I6765" s="224" t="s">
        <v>2</v>
      </c>
    </row>
    <row r="6766" spans="1:9" x14ac:dyDescent="0.25">
      <c r="A6766" s="515">
        <v>37090</v>
      </c>
      <c r="B6766" s="515" t="s">
        <v>684</v>
      </c>
      <c r="C6766" s="52">
        <v>444228.26177239203</v>
      </c>
      <c r="D6766" s="56">
        <v>9.89742770954085E-2</v>
      </c>
      <c r="E6766" s="224" t="s">
        <v>2</v>
      </c>
      <c r="F6766" s="515" t="s">
        <v>7987</v>
      </c>
      <c r="G6766" s="52">
        <v>241371.38899819201</v>
      </c>
      <c r="H6766" s="56">
        <v>4.9083499820421844E-2</v>
      </c>
      <c r="I6766" s="224" t="s">
        <v>2</v>
      </c>
    </row>
    <row r="6767" spans="1:9" x14ac:dyDescent="0.25">
      <c r="A6767" s="515">
        <v>94702</v>
      </c>
      <c r="B6767" s="515" t="s">
        <v>593</v>
      </c>
      <c r="C6767" s="52">
        <v>1121023.81106582</v>
      </c>
      <c r="D6767" s="56">
        <v>-4.6652669298109226E-2</v>
      </c>
      <c r="E6767" s="224">
        <v>2651.3611111111099</v>
      </c>
      <c r="F6767" s="515" t="s">
        <v>7988</v>
      </c>
      <c r="G6767" s="52">
        <v>156032.91389708899</v>
      </c>
      <c r="H6767" s="56">
        <v>4.2807266920092756E-2</v>
      </c>
      <c r="I6767" s="224" t="s">
        <v>2</v>
      </c>
    </row>
    <row r="6768" spans="1:9" x14ac:dyDescent="0.25">
      <c r="A6768" s="515">
        <v>94595</v>
      </c>
      <c r="B6768" s="515" t="s">
        <v>593</v>
      </c>
      <c r="C6768" s="52">
        <v>758954.68336999498</v>
      </c>
      <c r="D6768" s="56">
        <v>8.1425810317570166E-2</v>
      </c>
      <c r="E6768" s="224" t="s">
        <v>2</v>
      </c>
      <c r="F6768" s="515" t="s">
        <v>7989</v>
      </c>
      <c r="G6768" s="52">
        <v>259397.03715636701</v>
      </c>
      <c r="H6768" s="56">
        <v>8.1355529464436055E-2</v>
      </c>
      <c r="I6768" s="224" t="s">
        <v>2</v>
      </c>
    </row>
    <row r="6769" spans="1:9" x14ac:dyDescent="0.25">
      <c r="A6769" s="515">
        <v>84025</v>
      </c>
      <c r="B6769" s="515" t="s">
        <v>628</v>
      </c>
      <c r="C6769" s="52">
        <v>624111.25077275699</v>
      </c>
      <c r="D6769" s="56">
        <v>2.8919332153371665E-2</v>
      </c>
      <c r="E6769" s="224">
        <v>1719.75</v>
      </c>
      <c r="F6769" s="515" t="s">
        <v>7990</v>
      </c>
      <c r="G6769" s="52">
        <v>137950.04874089701</v>
      </c>
      <c r="H6769" s="56">
        <v>8.0023698956755845E-2</v>
      </c>
      <c r="I6769" s="224" t="s">
        <v>2</v>
      </c>
    </row>
    <row r="6770" spans="1:9" x14ac:dyDescent="0.25">
      <c r="A6770" s="515">
        <v>22603</v>
      </c>
      <c r="B6770" s="515" t="s">
        <v>629</v>
      </c>
      <c r="C6770" s="52">
        <v>362492.70969182398</v>
      </c>
      <c r="D6770" s="56">
        <v>5.3739862284961804E-2</v>
      </c>
      <c r="E6770" s="224" t="s">
        <v>2</v>
      </c>
      <c r="F6770" s="515" t="s">
        <v>7991</v>
      </c>
      <c r="G6770" s="52">
        <v>390990.86254898499</v>
      </c>
      <c r="H6770" s="56">
        <v>0.11037695923550021</v>
      </c>
      <c r="I6770" s="224" t="s">
        <v>2</v>
      </c>
    </row>
    <row r="6771" spans="1:9" x14ac:dyDescent="0.25">
      <c r="A6771" s="515">
        <v>1913</v>
      </c>
      <c r="B6771" s="515" t="s">
        <v>534</v>
      </c>
      <c r="C6771" s="52">
        <v>501598.62254283699</v>
      </c>
      <c r="D6771" s="56">
        <v>6.5029852863070559E-2</v>
      </c>
      <c r="E6771" s="224">
        <v>2687.1111111111099</v>
      </c>
      <c r="F6771" s="515" t="s">
        <v>7992</v>
      </c>
      <c r="G6771" s="52">
        <v>405045.202298655</v>
      </c>
      <c r="H6771" s="56">
        <v>1.0499906127032712E-2</v>
      </c>
      <c r="I6771" s="224" t="s">
        <v>2</v>
      </c>
    </row>
    <row r="6772" spans="1:9" x14ac:dyDescent="0.25">
      <c r="A6772" s="515">
        <v>21108</v>
      </c>
      <c r="B6772" s="515" t="s">
        <v>582</v>
      </c>
      <c r="C6772" s="52">
        <v>546130.89479978802</v>
      </c>
      <c r="D6772" s="56">
        <v>5.4861890571763557E-2</v>
      </c>
      <c r="E6772" s="224" t="s">
        <v>2</v>
      </c>
      <c r="F6772" s="515" t="s">
        <v>7993</v>
      </c>
      <c r="G6772" s="52">
        <v>446796.88626470801</v>
      </c>
      <c r="H6772" s="56">
        <v>3.6323420677851048E-2</v>
      </c>
      <c r="I6772" s="224">
        <v>1932.5</v>
      </c>
    </row>
    <row r="6773" spans="1:9" x14ac:dyDescent="0.25">
      <c r="A6773" s="515">
        <v>19963</v>
      </c>
      <c r="B6773" s="515" t="s">
        <v>410</v>
      </c>
      <c r="C6773" s="52">
        <v>311974.240475178</v>
      </c>
      <c r="D6773" s="56">
        <v>6.5402383120533328E-2</v>
      </c>
      <c r="E6773" s="224" t="s">
        <v>2</v>
      </c>
      <c r="F6773" s="515" t="s">
        <v>1175</v>
      </c>
      <c r="G6773" s="52">
        <v>356576.79004920297</v>
      </c>
      <c r="H6773" s="56">
        <v>0.10129355662742906</v>
      </c>
      <c r="I6773" s="224" t="s">
        <v>2</v>
      </c>
    </row>
    <row r="6774" spans="1:9" x14ac:dyDescent="0.25">
      <c r="A6774" s="515">
        <v>82072</v>
      </c>
      <c r="B6774" s="515" t="s">
        <v>353</v>
      </c>
      <c r="C6774" s="52">
        <v>329910.76331184799</v>
      </c>
      <c r="D6774" s="56">
        <v>7.4460651763010255E-2</v>
      </c>
      <c r="E6774" s="224">
        <v>952.5</v>
      </c>
      <c r="F6774" s="515" t="s">
        <v>7994</v>
      </c>
      <c r="G6774" s="52">
        <v>282626.067263278</v>
      </c>
      <c r="H6774" s="56">
        <v>3.3834172116767244E-2</v>
      </c>
      <c r="I6774" s="224" t="s">
        <v>2</v>
      </c>
    </row>
    <row r="6775" spans="1:9" x14ac:dyDescent="0.25">
      <c r="A6775" s="515">
        <v>47501</v>
      </c>
      <c r="B6775" s="515" t="s">
        <v>922</v>
      </c>
      <c r="C6775" s="52">
        <v>154659.03714584201</v>
      </c>
      <c r="D6775" s="56">
        <v>9.0036549595998883E-2</v>
      </c>
      <c r="E6775" s="224" t="s">
        <v>2</v>
      </c>
      <c r="F6775" s="515" t="s">
        <v>7995</v>
      </c>
      <c r="G6775" s="52">
        <v>103103.81197208499</v>
      </c>
      <c r="H6775" s="56">
        <v>-1.4716651990031531E-2</v>
      </c>
      <c r="I6775" s="224" t="s">
        <v>2</v>
      </c>
    </row>
    <row r="6776" spans="1:9" x14ac:dyDescent="0.25">
      <c r="A6776" s="515">
        <v>45208</v>
      </c>
      <c r="B6776" s="515" t="s">
        <v>344</v>
      </c>
      <c r="C6776" s="52">
        <v>495897.75057249703</v>
      </c>
      <c r="D6776" s="56">
        <v>6.176281476559508E-2</v>
      </c>
      <c r="E6776" s="224">
        <v>1394.3333333333301</v>
      </c>
      <c r="F6776" s="515" t="s">
        <v>7996</v>
      </c>
      <c r="G6776" s="52">
        <v>108029.762635003</v>
      </c>
      <c r="H6776" s="56">
        <v>-1.6067431355551508E-2</v>
      </c>
      <c r="I6776" s="224" t="s">
        <v>2</v>
      </c>
    </row>
    <row r="6777" spans="1:9" x14ac:dyDescent="0.25">
      <c r="A6777" s="515">
        <v>71753</v>
      </c>
      <c r="B6777" s="515" t="s">
        <v>1012</v>
      </c>
      <c r="C6777" s="52">
        <v>106145.308295885</v>
      </c>
      <c r="D6777" s="56">
        <v>-5.1356523315710272E-2</v>
      </c>
      <c r="E6777" s="224" t="s">
        <v>2</v>
      </c>
      <c r="F6777" s="515" t="s">
        <v>7997</v>
      </c>
      <c r="G6777" s="52">
        <v>128600.37928059501</v>
      </c>
      <c r="H6777" s="56">
        <v>0.2107724065982301</v>
      </c>
      <c r="I6777" s="224" t="s">
        <v>2</v>
      </c>
    </row>
    <row r="6778" spans="1:9" x14ac:dyDescent="0.25">
      <c r="A6778" s="515">
        <v>72002</v>
      </c>
      <c r="B6778" s="515" t="s">
        <v>393</v>
      </c>
      <c r="C6778" s="52">
        <v>213995.53570536399</v>
      </c>
      <c r="D6778" s="56">
        <v>7.1464677830554546E-2</v>
      </c>
      <c r="E6778" s="224" t="s">
        <v>2</v>
      </c>
      <c r="F6778" s="515" t="s">
        <v>887</v>
      </c>
      <c r="G6778" s="52">
        <v>261493.11672631599</v>
      </c>
      <c r="H6778" s="56">
        <v>0.13271162404343462</v>
      </c>
      <c r="I6778" s="224" t="s">
        <v>2</v>
      </c>
    </row>
    <row r="6779" spans="1:9" x14ac:dyDescent="0.25">
      <c r="A6779" s="515">
        <v>17401</v>
      </c>
      <c r="B6779" s="515" t="s">
        <v>509</v>
      </c>
      <c r="C6779" s="52">
        <v>98457.350145697594</v>
      </c>
      <c r="D6779" s="56">
        <v>0.25270475560321937</v>
      </c>
      <c r="E6779" s="224">
        <v>1117.5</v>
      </c>
      <c r="F6779" s="515" t="s">
        <v>7998</v>
      </c>
      <c r="G6779" s="52">
        <v>521242.18570962898</v>
      </c>
      <c r="H6779" s="56">
        <v>1.8127610436849368E-2</v>
      </c>
      <c r="I6779" s="224" t="s">
        <v>2</v>
      </c>
    </row>
    <row r="6780" spans="1:9" x14ac:dyDescent="0.25">
      <c r="A6780" s="515">
        <v>38829</v>
      </c>
      <c r="B6780" s="515" t="s">
        <v>1010</v>
      </c>
      <c r="C6780" s="52">
        <v>114802.72826693401</v>
      </c>
      <c r="D6780" s="56">
        <v>1.0180563228187122E-2</v>
      </c>
      <c r="E6780" s="224" t="s">
        <v>2</v>
      </c>
      <c r="F6780" s="515" t="s">
        <v>7999</v>
      </c>
      <c r="G6780" s="52">
        <v>962998.61715156003</v>
      </c>
      <c r="H6780" s="56">
        <v>3.370007930167862E-2</v>
      </c>
      <c r="I6780" s="224" t="s">
        <v>2</v>
      </c>
    </row>
    <row r="6781" spans="1:9" x14ac:dyDescent="0.25">
      <c r="A6781" s="515">
        <v>2724</v>
      </c>
      <c r="B6781" s="515" t="s">
        <v>513</v>
      </c>
      <c r="C6781" s="52">
        <v>359738.04370762501</v>
      </c>
      <c r="D6781" s="56">
        <v>8.2435847395644565E-2</v>
      </c>
      <c r="E6781" s="224" t="s">
        <v>2</v>
      </c>
      <c r="F6781" s="515" t="s">
        <v>8000</v>
      </c>
      <c r="G6781" s="52">
        <v>412511.25927553599</v>
      </c>
      <c r="H6781" s="56">
        <v>4.1722956854059801E-2</v>
      </c>
      <c r="I6781" s="224" t="s">
        <v>2</v>
      </c>
    </row>
    <row r="6782" spans="1:9" x14ac:dyDescent="0.25">
      <c r="A6782" s="515">
        <v>53718</v>
      </c>
      <c r="B6782" s="515" t="s">
        <v>727</v>
      </c>
      <c r="C6782" s="52">
        <v>352239.32549643598</v>
      </c>
      <c r="D6782" s="56">
        <v>4.1443337669705517E-2</v>
      </c>
      <c r="E6782" s="224">
        <v>1539.17857142857</v>
      </c>
      <c r="F6782" s="515" t="s">
        <v>8001</v>
      </c>
      <c r="G6782" s="52">
        <v>359688.66928070801</v>
      </c>
      <c r="H6782" s="56">
        <v>2.7700351451384858E-2</v>
      </c>
      <c r="I6782" s="224">
        <v>2200</v>
      </c>
    </row>
    <row r="6783" spans="1:9" x14ac:dyDescent="0.25">
      <c r="A6783" s="515">
        <v>62223</v>
      </c>
      <c r="B6783" s="515" t="s">
        <v>498</v>
      </c>
      <c r="C6783" s="52">
        <v>142074.50982036599</v>
      </c>
      <c r="D6783" s="56">
        <v>6.6100478274305638E-2</v>
      </c>
      <c r="E6783" s="224" t="s">
        <v>2</v>
      </c>
      <c r="F6783" s="515" t="s">
        <v>8002</v>
      </c>
      <c r="G6783" s="52">
        <v>90985.113612680696</v>
      </c>
      <c r="H6783" s="56">
        <v>7.2660807829594998E-2</v>
      </c>
      <c r="I6783" s="224" t="s">
        <v>2</v>
      </c>
    </row>
    <row r="6784" spans="1:9" x14ac:dyDescent="0.25">
      <c r="A6784" s="515">
        <v>16365</v>
      </c>
      <c r="B6784" s="515" t="s">
        <v>584</v>
      </c>
      <c r="C6784" s="52">
        <v>130713.80056725</v>
      </c>
      <c r="D6784" s="56">
        <v>4.7819894179879675E-2</v>
      </c>
      <c r="E6784" s="224" t="s">
        <v>2</v>
      </c>
      <c r="F6784" s="515" t="s">
        <v>8003</v>
      </c>
      <c r="G6784" s="52">
        <v>168653.67480495901</v>
      </c>
      <c r="H6784" s="56">
        <v>6.9684487497485528E-2</v>
      </c>
      <c r="I6784" s="224" t="s">
        <v>2</v>
      </c>
    </row>
    <row r="6785" spans="1:9" x14ac:dyDescent="0.25">
      <c r="A6785" s="515">
        <v>77707</v>
      </c>
      <c r="B6785" s="515" t="s">
        <v>492</v>
      </c>
      <c r="C6785" s="52">
        <v>161755.32923791901</v>
      </c>
      <c r="D6785" s="56">
        <v>3.6578685679313931E-2</v>
      </c>
      <c r="E6785" s="224" t="s">
        <v>2</v>
      </c>
      <c r="F6785" s="515" t="s">
        <v>8004</v>
      </c>
      <c r="G6785" s="52">
        <v>186011.08522741901</v>
      </c>
      <c r="H6785" s="56">
        <v>0.20769166505353814</v>
      </c>
      <c r="I6785" s="224" t="s">
        <v>2</v>
      </c>
    </row>
    <row r="6786" spans="1:9" x14ac:dyDescent="0.25">
      <c r="A6786" s="515">
        <v>54656</v>
      </c>
      <c r="C6786" s="52">
        <v>210680.99721803801</v>
      </c>
      <c r="D6786" s="56">
        <v>5.1695772000489339E-2</v>
      </c>
      <c r="E6786" s="224" t="s">
        <v>2</v>
      </c>
      <c r="F6786" s="515" t="s">
        <v>8005</v>
      </c>
      <c r="G6786" s="52">
        <v>321550.17644487502</v>
      </c>
      <c r="H6786" s="56">
        <v>0.12507851421407842</v>
      </c>
      <c r="I6786" s="224" t="s">
        <v>2</v>
      </c>
    </row>
    <row r="6787" spans="1:9" x14ac:dyDescent="0.25">
      <c r="A6787" s="515">
        <v>74401</v>
      </c>
      <c r="B6787" s="515" t="s">
        <v>538</v>
      </c>
      <c r="C6787" s="52">
        <v>88849.968324765301</v>
      </c>
      <c r="D6787" s="56">
        <v>0.13097181912594738</v>
      </c>
      <c r="E6787" s="224" t="s">
        <v>2</v>
      </c>
      <c r="F6787" s="515" t="s">
        <v>8006</v>
      </c>
      <c r="G6787" s="52">
        <v>204680.381714291</v>
      </c>
      <c r="H6787" s="56">
        <v>1.7310955689188858E-2</v>
      </c>
      <c r="I6787" s="224" t="s">
        <v>2</v>
      </c>
    </row>
    <row r="6788" spans="1:9" x14ac:dyDescent="0.25">
      <c r="A6788" s="515">
        <v>75409</v>
      </c>
      <c r="B6788" s="515" t="s">
        <v>458</v>
      </c>
      <c r="C6788" s="52">
        <v>359217.57224860397</v>
      </c>
      <c r="D6788" s="56">
        <v>6.5947166124410372E-2</v>
      </c>
      <c r="E6788" s="224">
        <v>2063.2777777777701</v>
      </c>
      <c r="F6788" s="515" t="s">
        <v>8007</v>
      </c>
      <c r="G6788" s="52">
        <v>139094.185940036</v>
      </c>
      <c r="H6788" s="56">
        <v>0.15984623595824951</v>
      </c>
      <c r="I6788" s="224" t="s">
        <v>2</v>
      </c>
    </row>
    <row r="6789" spans="1:9" x14ac:dyDescent="0.25">
      <c r="A6789" s="515">
        <v>52246</v>
      </c>
      <c r="B6789" s="515" t="s">
        <v>587</v>
      </c>
      <c r="C6789" s="52">
        <v>280335.68202528899</v>
      </c>
      <c r="D6789" s="56">
        <v>6.4384472362780734E-2</v>
      </c>
      <c r="E6789" s="224">
        <v>1187.1035353535301</v>
      </c>
      <c r="F6789" s="515" t="s">
        <v>8008</v>
      </c>
      <c r="G6789" s="52">
        <v>182873.29607563899</v>
      </c>
      <c r="H6789" s="56">
        <v>0.10857938770037502</v>
      </c>
      <c r="I6789" s="224" t="s">
        <v>2</v>
      </c>
    </row>
    <row r="6790" spans="1:9" x14ac:dyDescent="0.25">
      <c r="A6790" s="515">
        <v>20905</v>
      </c>
      <c r="B6790" s="515" t="s">
        <v>321</v>
      </c>
      <c r="C6790" s="52">
        <v>613916.19380043901</v>
      </c>
      <c r="D6790" s="56">
        <v>4.3242067942435874E-2</v>
      </c>
      <c r="E6790" s="224" t="s">
        <v>2</v>
      </c>
      <c r="F6790" s="515" t="s">
        <v>8009</v>
      </c>
      <c r="G6790" s="52">
        <v>208542.96337421599</v>
      </c>
      <c r="H6790" s="56">
        <v>0.11541520032850931</v>
      </c>
      <c r="I6790" s="224" t="s">
        <v>2</v>
      </c>
    </row>
    <row r="6791" spans="1:9" x14ac:dyDescent="0.25">
      <c r="A6791" s="515">
        <v>34685</v>
      </c>
      <c r="B6791" s="515" t="s">
        <v>461</v>
      </c>
      <c r="C6791" s="52">
        <v>493457.20897569001</v>
      </c>
      <c r="D6791" s="56">
        <v>8.8746336625904351E-2</v>
      </c>
      <c r="E6791" s="224" t="s">
        <v>2</v>
      </c>
      <c r="F6791" s="515" t="s">
        <v>8010</v>
      </c>
      <c r="G6791" s="52">
        <v>142970.17236077899</v>
      </c>
      <c r="H6791" s="56">
        <v>8.9723746945300401E-2</v>
      </c>
      <c r="I6791" s="224" t="s">
        <v>2</v>
      </c>
    </row>
    <row r="6792" spans="1:9" x14ac:dyDescent="0.25">
      <c r="A6792" s="515">
        <v>28501</v>
      </c>
      <c r="B6792" s="515" t="s">
        <v>1163</v>
      </c>
      <c r="C6792" s="52">
        <v>76424.4634441128</v>
      </c>
      <c r="D6792" s="56">
        <v>0.36833894342181894</v>
      </c>
      <c r="E6792" s="224" t="s">
        <v>2</v>
      </c>
      <c r="F6792" s="515" t="s">
        <v>8011</v>
      </c>
      <c r="G6792" s="52">
        <v>163736.17132882401</v>
      </c>
      <c r="H6792" s="56">
        <v>5.0690578320794134E-2</v>
      </c>
      <c r="I6792" s="224" t="s">
        <v>2</v>
      </c>
    </row>
    <row r="6793" spans="1:9" x14ac:dyDescent="0.25">
      <c r="A6793" s="515">
        <v>77423</v>
      </c>
      <c r="B6793" s="515" t="s">
        <v>314</v>
      </c>
      <c r="C6793" s="52">
        <v>357334.910061948</v>
      </c>
      <c r="D6793" s="56">
        <v>8.0502074434116208E-2</v>
      </c>
      <c r="E6793" s="224">
        <v>2215</v>
      </c>
      <c r="F6793" s="515" t="s">
        <v>8012</v>
      </c>
      <c r="G6793" s="52">
        <v>277089.66141891602</v>
      </c>
      <c r="H6793" s="56">
        <v>4.4977300350628462E-2</v>
      </c>
      <c r="I6793" s="224" t="s">
        <v>2</v>
      </c>
    </row>
    <row r="6794" spans="1:9" x14ac:dyDescent="0.25">
      <c r="A6794" s="515">
        <v>61550</v>
      </c>
      <c r="B6794" s="515" t="s">
        <v>303</v>
      </c>
      <c r="C6794" s="52">
        <v>226892.391521343</v>
      </c>
      <c r="D6794" s="56">
        <v>4.1661852024505536E-2</v>
      </c>
      <c r="E6794" s="224" t="s">
        <v>2</v>
      </c>
      <c r="F6794" s="515" t="s">
        <v>8013</v>
      </c>
      <c r="G6794" s="52">
        <v>245186.37162204899</v>
      </c>
      <c r="H6794" s="56">
        <v>8.5151518895916684E-2</v>
      </c>
      <c r="I6794" s="224" t="s">
        <v>2</v>
      </c>
    </row>
    <row r="6795" spans="1:9" x14ac:dyDescent="0.25">
      <c r="A6795" s="515">
        <v>98136</v>
      </c>
      <c r="B6795" s="515" t="s">
        <v>384</v>
      </c>
      <c r="C6795" s="52">
        <v>862388.99455119495</v>
      </c>
      <c r="D6795" s="56">
        <v>1.5655321278752035E-2</v>
      </c>
      <c r="E6795" s="224">
        <v>2409.5833333333298</v>
      </c>
      <c r="F6795" s="515" t="s">
        <v>8014</v>
      </c>
      <c r="G6795" s="52">
        <v>195368.60782106</v>
      </c>
      <c r="H6795" s="56">
        <v>9.6354362155092049E-2</v>
      </c>
      <c r="I6795" s="224" t="s">
        <v>2</v>
      </c>
    </row>
    <row r="6796" spans="1:9" x14ac:dyDescent="0.25">
      <c r="A6796" s="515">
        <v>12054</v>
      </c>
      <c r="B6796" s="515" t="s">
        <v>609</v>
      </c>
      <c r="C6796" s="52">
        <v>354562.86062235298</v>
      </c>
      <c r="D6796" s="56">
        <v>7.1373745753091911E-2</v>
      </c>
      <c r="E6796" s="224">
        <v>1833.25</v>
      </c>
      <c r="F6796" s="515" t="s">
        <v>8015</v>
      </c>
      <c r="G6796" s="52">
        <v>69562.0725551246</v>
      </c>
      <c r="H6796" s="56">
        <v>0.15241106727159459</v>
      </c>
      <c r="I6796" s="224" t="s">
        <v>2</v>
      </c>
    </row>
    <row r="6797" spans="1:9" x14ac:dyDescent="0.25">
      <c r="A6797" s="515">
        <v>44820</v>
      </c>
      <c r="B6797" s="515" t="s">
        <v>516</v>
      </c>
      <c r="C6797" s="52">
        <v>127969.798423681</v>
      </c>
      <c r="D6797" s="56">
        <v>0.10280963598144141</v>
      </c>
      <c r="E6797" s="224" t="s">
        <v>2</v>
      </c>
      <c r="F6797" s="515" t="s">
        <v>8016</v>
      </c>
      <c r="G6797" s="52">
        <v>178656.432986781</v>
      </c>
      <c r="H6797" s="56">
        <v>7.7796744098068638E-2</v>
      </c>
      <c r="I6797" s="224" t="s">
        <v>2</v>
      </c>
    </row>
    <row r="6798" spans="1:9" x14ac:dyDescent="0.25">
      <c r="A6798" s="515">
        <v>78064</v>
      </c>
      <c r="B6798" s="515" t="s">
        <v>717</v>
      </c>
      <c r="C6798" s="52">
        <v>255238.462631028</v>
      </c>
      <c r="D6798" s="56">
        <v>3.8009098911449393E-2</v>
      </c>
      <c r="E6798" s="224" t="s">
        <v>2</v>
      </c>
      <c r="F6798" s="515" t="s">
        <v>8017</v>
      </c>
      <c r="G6798" s="52">
        <v>128448.00197881801</v>
      </c>
      <c r="H6798" s="56">
        <v>7.2193573297173852E-2</v>
      </c>
      <c r="I6798" s="224" t="s">
        <v>2</v>
      </c>
    </row>
    <row r="6799" spans="1:9" x14ac:dyDescent="0.25">
      <c r="A6799" s="515">
        <v>19525</v>
      </c>
      <c r="B6799" s="515" t="s">
        <v>294</v>
      </c>
      <c r="C6799" s="52">
        <v>421122.606098213</v>
      </c>
      <c r="D6799" s="56">
        <v>6.8925727057781175E-2</v>
      </c>
      <c r="E6799" s="224" t="s">
        <v>2</v>
      </c>
      <c r="F6799" s="515" t="s">
        <v>8018</v>
      </c>
      <c r="G6799" s="52">
        <v>759835.996744395</v>
      </c>
      <c r="H6799" s="56">
        <v>8.6524176534277797E-2</v>
      </c>
      <c r="I6799" s="224" t="s">
        <v>2</v>
      </c>
    </row>
    <row r="6800" spans="1:9" x14ac:dyDescent="0.25">
      <c r="A6800" s="515">
        <v>55130</v>
      </c>
      <c r="B6800" s="515" t="s">
        <v>532</v>
      </c>
      <c r="C6800" s="52">
        <v>223276.13582230901</v>
      </c>
      <c r="D6800" s="56">
        <v>8.2499157696096295E-3</v>
      </c>
      <c r="E6800" s="224">
        <v>1298.05555555555</v>
      </c>
      <c r="F6800" s="515" t="s">
        <v>8019</v>
      </c>
      <c r="G6800" s="52">
        <v>225704.103110903</v>
      </c>
      <c r="H6800" s="56">
        <v>9.5361478924106999E-2</v>
      </c>
      <c r="I6800" s="224" t="s">
        <v>2</v>
      </c>
    </row>
    <row r="6801" spans="1:9" x14ac:dyDescent="0.25">
      <c r="A6801" s="515">
        <v>60118</v>
      </c>
      <c r="B6801" s="515" t="s">
        <v>394</v>
      </c>
      <c r="C6801" s="52">
        <v>338237.38085538498</v>
      </c>
      <c r="D6801" s="56">
        <v>8.8073910569455613E-2</v>
      </c>
      <c r="E6801" s="224">
        <v>2062.125</v>
      </c>
      <c r="F6801" s="515" t="s">
        <v>8020</v>
      </c>
      <c r="G6801" s="52">
        <v>223719.27458431301</v>
      </c>
      <c r="H6801" s="56">
        <v>5.0340893601110881E-2</v>
      </c>
      <c r="I6801" s="224">
        <v>962.5</v>
      </c>
    </row>
    <row r="6802" spans="1:9" x14ac:dyDescent="0.25">
      <c r="A6802" s="515">
        <v>53024</v>
      </c>
      <c r="B6802" s="515" t="s">
        <v>950</v>
      </c>
      <c r="C6802" s="52">
        <v>343708.97042241902</v>
      </c>
      <c r="D6802" s="56">
        <v>2.3006599651405689E-2</v>
      </c>
      <c r="E6802" s="224" t="s">
        <v>2</v>
      </c>
      <c r="F6802" s="515" t="s">
        <v>8021</v>
      </c>
      <c r="G6802" s="52">
        <v>587530.45283279195</v>
      </c>
      <c r="H6802" s="56">
        <v>2.6339129642502714E-2</v>
      </c>
      <c r="I6802" s="224" t="s">
        <v>2</v>
      </c>
    </row>
    <row r="6803" spans="1:9" x14ac:dyDescent="0.25">
      <c r="A6803" s="515">
        <v>99212</v>
      </c>
      <c r="B6803" s="515" t="s">
        <v>820</v>
      </c>
      <c r="C6803" s="52">
        <v>347737.87035782402</v>
      </c>
      <c r="D6803" s="56">
        <v>6.0125796587148062E-2</v>
      </c>
      <c r="E6803" s="224">
        <v>1441.6666666666599</v>
      </c>
      <c r="F6803" s="515" t="s">
        <v>8022</v>
      </c>
      <c r="G6803" s="52">
        <v>501161.75043106102</v>
      </c>
      <c r="H6803" s="56">
        <v>9.2044721529588161E-2</v>
      </c>
      <c r="I6803" s="224" t="s">
        <v>2</v>
      </c>
    </row>
    <row r="6804" spans="1:9" x14ac:dyDescent="0.25">
      <c r="A6804" s="515">
        <v>78220</v>
      </c>
      <c r="B6804" s="515" t="s">
        <v>717</v>
      </c>
      <c r="C6804" s="52">
        <v>161320.30058854699</v>
      </c>
      <c r="D6804" s="56">
        <v>0.11413019437041447</v>
      </c>
      <c r="E6804" s="224">
        <v>1430</v>
      </c>
      <c r="F6804" s="515" t="s">
        <v>8023</v>
      </c>
      <c r="G6804" s="52">
        <v>77970.689037913995</v>
      </c>
      <c r="H6804" s="56">
        <v>8.4528301819942461E-2</v>
      </c>
      <c r="I6804" s="224" t="s">
        <v>2</v>
      </c>
    </row>
    <row r="6805" spans="1:9" x14ac:dyDescent="0.25">
      <c r="A6805" s="515">
        <v>6470</v>
      </c>
      <c r="B6805" s="515" t="s">
        <v>1173</v>
      </c>
      <c r="C6805" s="52">
        <v>537714.70226036501</v>
      </c>
      <c r="D6805" s="56">
        <v>6.6713717684453624E-2</v>
      </c>
      <c r="E6805" s="224" t="s">
        <v>2</v>
      </c>
      <c r="F6805" s="515" t="s">
        <v>8024</v>
      </c>
      <c r="G6805" s="52">
        <v>278244.34185594501</v>
      </c>
      <c r="H6805" s="56">
        <v>7.8863584395335487E-2</v>
      </c>
      <c r="I6805" s="224" t="s">
        <v>2</v>
      </c>
    </row>
    <row r="6806" spans="1:9" x14ac:dyDescent="0.25">
      <c r="A6806" s="515">
        <v>32091</v>
      </c>
      <c r="C6806" s="52">
        <v>201956.357981546</v>
      </c>
      <c r="D6806" s="56">
        <v>0.1428690723089717</v>
      </c>
      <c r="E6806" s="224" t="s">
        <v>2</v>
      </c>
      <c r="F6806" s="515" t="s">
        <v>8025</v>
      </c>
      <c r="G6806" s="52">
        <v>299849.68473740102</v>
      </c>
      <c r="H6806" s="56">
        <v>6.7584762456255526E-2</v>
      </c>
      <c r="I6806" s="224" t="s">
        <v>2</v>
      </c>
    </row>
    <row r="6807" spans="1:9" x14ac:dyDescent="0.25">
      <c r="A6807" s="515">
        <v>2476</v>
      </c>
      <c r="B6807" s="515" t="s">
        <v>534</v>
      </c>
      <c r="C6807" s="52">
        <v>896094.25270615902</v>
      </c>
      <c r="D6807" s="56">
        <v>3.3420598398079128E-2</v>
      </c>
      <c r="E6807" s="224">
        <v>2516.6666666666601</v>
      </c>
      <c r="F6807" s="515" t="s">
        <v>8026</v>
      </c>
      <c r="G6807" s="52">
        <v>2404514.3668109998</v>
      </c>
      <c r="H6807" s="56">
        <v>1.5987628752283497E-3</v>
      </c>
      <c r="I6807" s="224" t="s">
        <v>2</v>
      </c>
    </row>
    <row r="6808" spans="1:9" x14ac:dyDescent="0.25">
      <c r="A6808" s="515">
        <v>38343</v>
      </c>
      <c r="B6808" s="515" t="s">
        <v>691</v>
      </c>
      <c r="C6808" s="52">
        <v>149156.30809978701</v>
      </c>
      <c r="D6808" s="56">
        <v>7.2841230733118434E-2</v>
      </c>
      <c r="E6808" s="224" t="s">
        <v>2</v>
      </c>
      <c r="F6808" s="515" t="s">
        <v>8027</v>
      </c>
      <c r="G6808" s="52">
        <v>531302.49100606004</v>
      </c>
      <c r="H6808" s="56">
        <v>6.9109959056140452E-2</v>
      </c>
      <c r="I6808" s="224">
        <v>2193</v>
      </c>
    </row>
    <row r="6809" spans="1:9" x14ac:dyDescent="0.25">
      <c r="A6809" s="515">
        <v>85215</v>
      </c>
      <c r="B6809" s="515" t="s">
        <v>563</v>
      </c>
      <c r="C6809" s="52">
        <v>467387.88276841899</v>
      </c>
      <c r="D6809" s="56">
        <v>2.6859515346292055E-2</v>
      </c>
      <c r="E6809" s="224">
        <v>2092.6944444444398</v>
      </c>
      <c r="F6809" s="515" t="s">
        <v>8028</v>
      </c>
      <c r="G6809" s="52">
        <v>92885.716006312097</v>
      </c>
      <c r="H6809" s="56">
        <v>0.13257450165752308</v>
      </c>
      <c r="I6809" s="224" t="s">
        <v>2</v>
      </c>
    </row>
    <row r="6810" spans="1:9" x14ac:dyDescent="0.25">
      <c r="A6810" s="515">
        <v>38635</v>
      </c>
      <c r="B6810" s="515" t="s">
        <v>951</v>
      </c>
      <c r="C6810" s="52">
        <v>140000.49904808099</v>
      </c>
      <c r="D6810" s="56">
        <v>1.5742330180220167E-2</v>
      </c>
      <c r="E6810" s="224" t="s">
        <v>2</v>
      </c>
      <c r="F6810" s="515" t="s">
        <v>8029</v>
      </c>
      <c r="G6810" s="52">
        <v>195728.85293741099</v>
      </c>
      <c r="H6810" s="56">
        <v>7.4885221416533448E-2</v>
      </c>
      <c r="I6810" s="224" t="s">
        <v>2</v>
      </c>
    </row>
    <row r="6811" spans="1:9" x14ac:dyDescent="0.25">
      <c r="A6811" s="515">
        <v>11738</v>
      </c>
      <c r="B6811" s="515" t="s">
        <v>324</v>
      </c>
      <c r="C6811" s="52">
        <v>500800.22820926399</v>
      </c>
      <c r="D6811" s="56">
        <v>5.2498892771515884E-2</v>
      </c>
      <c r="E6811" s="224" t="s">
        <v>2</v>
      </c>
      <c r="F6811" s="515" t="s">
        <v>8030</v>
      </c>
      <c r="G6811" s="52">
        <v>137830.72256358399</v>
      </c>
      <c r="H6811" s="56">
        <v>0.15641575858525214</v>
      </c>
      <c r="I6811" s="224" t="s">
        <v>2</v>
      </c>
    </row>
    <row r="6812" spans="1:9" x14ac:dyDescent="0.25">
      <c r="A6812" s="515">
        <v>8204</v>
      </c>
      <c r="B6812" s="515" t="s">
        <v>653</v>
      </c>
      <c r="C6812" s="52">
        <v>549792.23690222995</v>
      </c>
      <c r="D6812" s="56">
        <v>7.3788552876907096E-2</v>
      </c>
      <c r="E6812" s="224" t="s">
        <v>2</v>
      </c>
      <c r="F6812" s="515" t="s">
        <v>8031</v>
      </c>
      <c r="G6812" s="52">
        <v>512449.83674027398</v>
      </c>
      <c r="H6812" s="56">
        <v>7.6299478262785964E-2</v>
      </c>
      <c r="I6812" s="224" t="s">
        <v>2</v>
      </c>
    </row>
    <row r="6813" spans="1:9" x14ac:dyDescent="0.25">
      <c r="A6813" s="515">
        <v>7081</v>
      </c>
      <c r="B6813" s="515" t="s">
        <v>324</v>
      </c>
      <c r="C6813" s="52">
        <v>528186.61162570305</v>
      </c>
      <c r="D6813" s="56">
        <v>3.6981072877050672E-2</v>
      </c>
      <c r="E6813" s="224">
        <v>2306.25</v>
      </c>
      <c r="F6813" s="515" t="s">
        <v>8032</v>
      </c>
      <c r="G6813" s="52">
        <v>220239.471025593</v>
      </c>
      <c r="H6813" s="56">
        <v>0.10525548592140385</v>
      </c>
      <c r="I6813" s="224" t="s">
        <v>2</v>
      </c>
    </row>
    <row r="6814" spans="1:9" x14ac:dyDescent="0.25">
      <c r="A6814" s="515">
        <v>72058</v>
      </c>
      <c r="B6814" s="515" t="s">
        <v>393</v>
      </c>
      <c r="C6814" s="52">
        <v>223962.11295260701</v>
      </c>
      <c r="D6814" s="56">
        <v>9.8238681339856748E-2</v>
      </c>
      <c r="E6814" s="224">
        <v>1150</v>
      </c>
      <c r="F6814" s="515" t="s">
        <v>8033</v>
      </c>
      <c r="G6814" s="52">
        <v>257716.42486616501</v>
      </c>
      <c r="H6814" s="56">
        <v>7.1445287304538557E-2</v>
      </c>
      <c r="I6814" s="224" t="s">
        <v>2</v>
      </c>
    </row>
    <row r="6815" spans="1:9" x14ac:dyDescent="0.25">
      <c r="A6815" s="515">
        <v>46807</v>
      </c>
      <c r="B6815" s="515" t="s">
        <v>1031</v>
      </c>
      <c r="C6815" s="52">
        <v>136349.82868169399</v>
      </c>
      <c r="D6815" s="56">
        <v>7.8715723857655975E-2</v>
      </c>
      <c r="E6815" s="224">
        <v>842.08888888888896</v>
      </c>
      <c r="F6815" s="515" t="s">
        <v>8034</v>
      </c>
      <c r="G6815" s="52">
        <v>279370.21456732397</v>
      </c>
      <c r="H6815" s="56">
        <v>0.10932154355080778</v>
      </c>
      <c r="I6815" s="224">
        <v>1725</v>
      </c>
    </row>
    <row r="6816" spans="1:9" x14ac:dyDescent="0.25">
      <c r="A6816" s="515">
        <v>15228</v>
      </c>
      <c r="B6816" s="515" t="s">
        <v>297</v>
      </c>
      <c r="C6816" s="52">
        <v>344231.74878043198</v>
      </c>
      <c r="D6816" s="56">
        <v>4.5292716807328388E-2</v>
      </c>
      <c r="E6816" s="224">
        <v>1181.6666666666599</v>
      </c>
      <c r="F6816" s="515" t="s">
        <v>8035</v>
      </c>
      <c r="G6816" s="52">
        <v>229487.86442283099</v>
      </c>
      <c r="H6816" s="56">
        <v>0.10469791036444938</v>
      </c>
      <c r="I6816" s="224" t="s">
        <v>2</v>
      </c>
    </row>
    <row r="6817" spans="1:9" x14ac:dyDescent="0.25">
      <c r="A6817" s="515">
        <v>96130</v>
      </c>
      <c r="B6817" s="515" t="s">
        <v>658</v>
      </c>
      <c r="C6817" s="52">
        <v>227538.02357427601</v>
      </c>
      <c r="D6817" s="56">
        <v>8.0983181437087361E-3</v>
      </c>
      <c r="E6817" s="224" t="s">
        <v>2</v>
      </c>
      <c r="F6817" s="515" t="s">
        <v>8036</v>
      </c>
      <c r="G6817" s="52">
        <v>304618.229090365</v>
      </c>
      <c r="H6817" s="56">
        <v>8.9876881451780646E-2</v>
      </c>
      <c r="I6817" s="224" t="s">
        <v>2</v>
      </c>
    </row>
    <row r="6818" spans="1:9" x14ac:dyDescent="0.25">
      <c r="A6818" s="515">
        <v>4102</v>
      </c>
      <c r="B6818" s="515" t="s">
        <v>570</v>
      </c>
      <c r="C6818" s="52">
        <v>456937.38131868298</v>
      </c>
      <c r="D6818" s="56">
        <v>5.0253907288757109E-2</v>
      </c>
      <c r="E6818" s="224">
        <v>2319.25</v>
      </c>
      <c r="F6818" s="515" t="s">
        <v>8037</v>
      </c>
      <c r="G6818" s="52">
        <v>242730.161373465</v>
      </c>
      <c r="H6818" s="56">
        <v>4.4152712281193995E-2</v>
      </c>
      <c r="I6818" s="224" t="s">
        <v>2</v>
      </c>
    </row>
    <row r="6819" spans="1:9" x14ac:dyDescent="0.25">
      <c r="A6819" s="515">
        <v>6062</v>
      </c>
      <c r="B6819" s="515" t="s">
        <v>894</v>
      </c>
      <c r="C6819" s="52">
        <v>256120.25929814501</v>
      </c>
      <c r="D6819" s="56">
        <v>9.5771446868861326E-2</v>
      </c>
      <c r="E6819" s="224" t="s">
        <v>2</v>
      </c>
      <c r="F6819" s="515" t="s">
        <v>8038</v>
      </c>
      <c r="G6819" s="52">
        <v>123207.141490323</v>
      </c>
      <c r="H6819" s="56">
        <v>5.697271890732384E-2</v>
      </c>
      <c r="I6819" s="224" t="s">
        <v>2</v>
      </c>
    </row>
    <row r="6820" spans="1:9" x14ac:dyDescent="0.25">
      <c r="A6820" s="515">
        <v>29070</v>
      </c>
      <c r="B6820" s="515" t="s">
        <v>762</v>
      </c>
      <c r="C6820" s="52">
        <v>198364.76133625099</v>
      </c>
      <c r="D6820" s="56">
        <v>0.14214996833128762</v>
      </c>
      <c r="E6820" s="224" t="s">
        <v>2</v>
      </c>
      <c r="F6820" s="515" t="s">
        <v>8039</v>
      </c>
      <c r="G6820" s="52">
        <v>349098.61136922898</v>
      </c>
      <c r="H6820" s="56">
        <v>3.4782131936161212E-2</v>
      </c>
      <c r="I6820" s="224">
        <v>1500</v>
      </c>
    </row>
    <row r="6821" spans="1:9" x14ac:dyDescent="0.25">
      <c r="A6821" s="515">
        <v>47904</v>
      </c>
      <c r="B6821" s="515" t="s">
        <v>433</v>
      </c>
      <c r="C6821" s="52">
        <v>139348.08712233501</v>
      </c>
      <c r="D6821" s="56">
        <v>6.3347306871362988E-2</v>
      </c>
      <c r="E6821" s="224">
        <v>961.75</v>
      </c>
      <c r="F6821" s="515" t="s">
        <v>8040</v>
      </c>
      <c r="G6821" s="52">
        <v>249590.19556078699</v>
      </c>
      <c r="H6821" s="56">
        <v>4.0048935541192245E-2</v>
      </c>
      <c r="I6821" s="224" t="s">
        <v>2</v>
      </c>
    </row>
    <row r="6822" spans="1:9" x14ac:dyDescent="0.25">
      <c r="A6822" s="515">
        <v>22066</v>
      </c>
      <c r="B6822" s="515" t="s">
        <v>321</v>
      </c>
      <c r="C6822" s="52">
        <v>1404811.2296663199</v>
      </c>
      <c r="D6822" s="56">
        <v>6.7098699282286081E-2</v>
      </c>
      <c r="E6822" s="224" t="s">
        <v>2</v>
      </c>
      <c r="F6822" s="515" t="s">
        <v>8041</v>
      </c>
      <c r="G6822" s="52">
        <v>182806.81168106</v>
      </c>
      <c r="H6822" s="56">
        <v>0.10647463733985131</v>
      </c>
      <c r="I6822" s="224" t="s">
        <v>2</v>
      </c>
    </row>
    <row r="6823" spans="1:9" x14ac:dyDescent="0.25">
      <c r="A6823" s="515">
        <v>77657</v>
      </c>
      <c r="B6823" s="515" t="s">
        <v>492</v>
      </c>
      <c r="C6823" s="52">
        <v>251302.337657283</v>
      </c>
      <c r="D6823" s="56">
        <v>3.8635464176649315E-2</v>
      </c>
      <c r="E6823" s="224" t="s">
        <v>2</v>
      </c>
      <c r="F6823" s="515" t="s">
        <v>8042</v>
      </c>
      <c r="G6823" s="52">
        <v>332479.59919002099</v>
      </c>
      <c r="H6823" s="56">
        <v>2.4700958766716075E-2</v>
      </c>
      <c r="I6823" s="224" t="s">
        <v>2</v>
      </c>
    </row>
    <row r="6824" spans="1:9" x14ac:dyDescent="0.25">
      <c r="A6824" s="515">
        <v>32766</v>
      </c>
      <c r="B6824" s="515" t="s">
        <v>517</v>
      </c>
      <c r="C6824" s="52">
        <v>547028.77389197994</v>
      </c>
      <c r="D6824" s="56">
        <v>0.1216565889776671</v>
      </c>
      <c r="E6824" s="224">
        <v>2788.3333333333298</v>
      </c>
      <c r="F6824" s="515" t="s">
        <v>8043</v>
      </c>
      <c r="G6824" s="52">
        <v>172022.42578155201</v>
      </c>
      <c r="H6824" s="56">
        <v>8.8671071331126838E-2</v>
      </c>
      <c r="I6824" s="224" t="s">
        <v>2</v>
      </c>
    </row>
    <row r="6825" spans="1:9" x14ac:dyDescent="0.25">
      <c r="A6825" s="515">
        <v>39475</v>
      </c>
      <c r="B6825" s="515" t="s">
        <v>1074</v>
      </c>
      <c r="C6825" s="52">
        <v>202833.33794527099</v>
      </c>
      <c r="D6825" s="56">
        <v>3.3783352191664354E-2</v>
      </c>
      <c r="E6825" s="224" t="s">
        <v>2</v>
      </c>
      <c r="F6825" s="515" t="s">
        <v>8044</v>
      </c>
      <c r="G6825" s="52">
        <v>647772.82881157298</v>
      </c>
      <c r="H6825" s="56">
        <v>6.1094991581409061E-2</v>
      </c>
      <c r="I6825" s="224" t="s">
        <v>2</v>
      </c>
    </row>
    <row r="6826" spans="1:9" x14ac:dyDescent="0.25">
      <c r="A6826" s="515">
        <v>46064</v>
      </c>
      <c r="B6826" s="515" t="s">
        <v>403</v>
      </c>
      <c r="C6826" s="52">
        <v>277995.91869553702</v>
      </c>
      <c r="D6826" s="56">
        <v>6.2510125799739885E-2</v>
      </c>
      <c r="E6826" s="224" t="s">
        <v>2</v>
      </c>
      <c r="F6826" s="515" t="s">
        <v>8045</v>
      </c>
      <c r="G6826" s="52">
        <v>715164.23840384802</v>
      </c>
      <c r="H6826" s="56">
        <v>6.5220674089655109E-2</v>
      </c>
      <c r="I6826" s="224" t="s">
        <v>2</v>
      </c>
    </row>
    <row r="6827" spans="1:9" x14ac:dyDescent="0.25">
      <c r="A6827" s="515">
        <v>33523</v>
      </c>
      <c r="B6827" s="515" t="s">
        <v>461</v>
      </c>
      <c r="C6827" s="52">
        <v>251344.41172302401</v>
      </c>
      <c r="D6827" s="56">
        <v>0.17064647173834904</v>
      </c>
      <c r="E6827" s="224">
        <v>1825</v>
      </c>
      <c r="F6827" s="515" t="s">
        <v>8046</v>
      </c>
      <c r="G6827" s="52">
        <v>380221.51266065601</v>
      </c>
      <c r="H6827" s="56">
        <v>8.6015800088170336E-2</v>
      </c>
      <c r="I6827" s="224" t="s">
        <v>2</v>
      </c>
    </row>
    <row r="6828" spans="1:9" x14ac:dyDescent="0.25">
      <c r="A6828" s="515">
        <v>66202</v>
      </c>
      <c r="B6828" s="515" t="s">
        <v>455</v>
      </c>
      <c r="C6828" s="52">
        <v>269012.99648379697</v>
      </c>
      <c r="D6828" s="56">
        <v>6.4277016274235821E-2</v>
      </c>
      <c r="E6828" s="224">
        <v>1566.4166666666599</v>
      </c>
      <c r="F6828" s="515" t="s">
        <v>8047</v>
      </c>
      <c r="G6828" s="52">
        <v>84985.308946844001</v>
      </c>
      <c r="H6828" s="56">
        <v>4.0819976864267381E-2</v>
      </c>
      <c r="I6828" s="224" t="s">
        <v>2</v>
      </c>
    </row>
    <row r="6829" spans="1:9" x14ac:dyDescent="0.25">
      <c r="A6829" s="515">
        <v>46356</v>
      </c>
      <c r="B6829" s="515" t="s">
        <v>394</v>
      </c>
      <c r="C6829" s="52">
        <v>286782.26522684703</v>
      </c>
      <c r="D6829" s="56">
        <v>6.0665799009985678E-2</v>
      </c>
      <c r="E6829" s="224" t="s">
        <v>2</v>
      </c>
      <c r="F6829" s="515" t="s">
        <v>8048</v>
      </c>
      <c r="G6829" s="52">
        <v>392000.76809100102</v>
      </c>
      <c r="H6829" s="56">
        <v>4.7050723283633258E-2</v>
      </c>
      <c r="I6829" s="224">
        <v>1230</v>
      </c>
    </row>
    <row r="6830" spans="1:9" x14ac:dyDescent="0.25">
      <c r="A6830" s="515">
        <v>33759</v>
      </c>
      <c r="B6830" s="515" t="s">
        <v>461</v>
      </c>
      <c r="C6830" s="52">
        <v>335807.44248788699</v>
      </c>
      <c r="D6830" s="56">
        <v>0.1103912110667349</v>
      </c>
      <c r="E6830" s="224">
        <v>1942.38888888888</v>
      </c>
      <c r="F6830" s="515" t="s">
        <v>8049</v>
      </c>
      <c r="G6830" s="52">
        <v>283010.25063157798</v>
      </c>
      <c r="H6830" s="56">
        <v>5.1586121954575653E-2</v>
      </c>
      <c r="I6830" s="224" t="s">
        <v>2</v>
      </c>
    </row>
    <row r="6831" spans="1:9" x14ac:dyDescent="0.25">
      <c r="A6831" s="515">
        <v>29512</v>
      </c>
      <c r="B6831" s="515" t="s">
        <v>1130</v>
      </c>
      <c r="C6831" s="52">
        <v>81263.556250459806</v>
      </c>
      <c r="D6831" s="56">
        <v>8.8714938512910291E-2</v>
      </c>
      <c r="E6831" s="224" t="s">
        <v>2</v>
      </c>
      <c r="F6831" s="515" t="s">
        <v>8050</v>
      </c>
      <c r="G6831" s="52">
        <v>215949.87282825299</v>
      </c>
      <c r="H6831" s="56">
        <v>5.1931068268689616E-2</v>
      </c>
      <c r="I6831" s="224">
        <v>993.5</v>
      </c>
    </row>
    <row r="6832" spans="1:9" x14ac:dyDescent="0.25">
      <c r="A6832" s="515">
        <v>55371</v>
      </c>
      <c r="B6832" s="515" t="s">
        <v>532</v>
      </c>
      <c r="C6832" s="52">
        <v>316365.73991095199</v>
      </c>
      <c r="D6832" s="56">
        <v>2.9652783012552111E-2</v>
      </c>
      <c r="E6832" s="224" t="s">
        <v>2</v>
      </c>
      <c r="F6832" s="515" t="s">
        <v>8051</v>
      </c>
      <c r="G6832" s="52">
        <v>473517.29953024199</v>
      </c>
      <c r="H6832" s="56">
        <v>4.0660887886870452E-2</v>
      </c>
      <c r="I6832" s="224" t="s">
        <v>2</v>
      </c>
    </row>
    <row r="6833" spans="1:9" x14ac:dyDescent="0.25">
      <c r="A6833" s="515">
        <v>40212</v>
      </c>
      <c r="B6833" s="515" t="s">
        <v>479</v>
      </c>
      <c r="C6833" s="52">
        <v>69080.459464012398</v>
      </c>
      <c r="D6833" s="56">
        <v>0.12643475652686362</v>
      </c>
      <c r="E6833" s="224">
        <v>1041.63333333333</v>
      </c>
      <c r="F6833" s="515" t="s">
        <v>8052</v>
      </c>
      <c r="G6833" s="52">
        <v>253986.06623492701</v>
      </c>
      <c r="H6833" s="56">
        <v>8.2900928063417964E-2</v>
      </c>
      <c r="I6833" s="224" t="s">
        <v>2</v>
      </c>
    </row>
    <row r="6834" spans="1:9" x14ac:dyDescent="0.25">
      <c r="A6834" s="515">
        <v>36108</v>
      </c>
      <c r="B6834" s="515" t="s">
        <v>806</v>
      </c>
      <c r="C6834" s="52">
        <v>49480.076822462099</v>
      </c>
      <c r="D6834" s="56">
        <v>0.11994258625489951</v>
      </c>
      <c r="E6834" s="224" t="s">
        <v>2</v>
      </c>
      <c r="F6834" s="515" t="s">
        <v>8053</v>
      </c>
      <c r="G6834" s="52">
        <v>473293.19442072802</v>
      </c>
      <c r="H6834" s="56">
        <v>-6.8295910196491645E-3</v>
      </c>
      <c r="I6834" s="224" t="s">
        <v>2</v>
      </c>
    </row>
    <row r="6835" spans="1:9" x14ac:dyDescent="0.25">
      <c r="A6835" s="515">
        <v>43950</v>
      </c>
      <c r="B6835" s="515" t="s">
        <v>442</v>
      </c>
      <c r="C6835" s="52">
        <v>193098.043229114</v>
      </c>
      <c r="D6835" s="56">
        <v>6.5004106429967262E-2</v>
      </c>
      <c r="E6835" s="224" t="s">
        <v>2</v>
      </c>
      <c r="F6835" s="515" t="s">
        <v>8054</v>
      </c>
      <c r="G6835" s="52">
        <v>274247.68558180297</v>
      </c>
      <c r="H6835" s="56">
        <v>5.1873376733073857E-2</v>
      </c>
      <c r="I6835" s="224" t="s">
        <v>2</v>
      </c>
    </row>
    <row r="6836" spans="1:9" x14ac:dyDescent="0.25">
      <c r="A6836" s="515">
        <v>29302</v>
      </c>
      <c r="B6836" s="515" t="s">
        <v>447</v>
      </c>
      <c r="C6836" s="52">
        <v>236155.591867093</v>
      </c>
      <c r="D6836" s="56">
        <v>0.12890122423451852</v>
      </c>
      <c r="E6836" s="224">
        <v>958</v>
      </c>
      <c r="F6836" s="515" t="s">
        <v>8055</v>
      </c>
      <c r="G6836" s="52">
        <v>163869.07568798901</v>
      </c>
      <c r="H6836" s="56">
        <v>0.134097017955916</v>
      </c>
      <c r="I6836" s="224" t="s">
        <v>2</v>
      </c>
    </row>
    <row r="6837" spans="1:9" x14ac:dyDescent="0.25">
      <c r="A6837" s="515">
        <v>73010</v>
      </c>
      <c r="B6837" s="515" t="s">
        <v>385</v>
      </c>
      <c r="C6837" s="52">
        <v>265555.063952661</v>
      </c>
      <c r="D6837" s="56">
        <v>9.9469408085555253E-2</v>
      </c>
      <c r="E6837" s="224" t="s">
        <v>2</v>
      </c>
      <c r="F6837" s="515" t="s">
        <v>8056</v>
      </c>
      <c r="G6837" s="52">
        <v>312829.872249857</v>
      </c>
      <c r="H6837" s="56">
        <v>3.7148321153492973E-2</v>
      </c>
      <c r="I6837" s="224" t="s">
        <v>2</v>
      </c>
    </row>
    <row r="6838" spans="1:9" x14ac:dyDescent="0.25">
      <c r="A6838" s="515">
        <v>37932</v>
      </c>
      <c r="B6838" s="515" t="s">
        <v>907</v>
      </c>
      <c r="C6838" s="52">
        <v>473095.53946578299</v>
      </c>
      <c r="D6838" s="56">
        <v>0.12244739700501558</v>
      </c>
      <c r="E6838" s="224">
        <v>2735</v>
      </c>
      <c r="F6838" s="515" t="s">
        <v>8057</v>
      </c>
      <c r="G6838" s="52">
        <v>433028.030000992</v>
      </c>
      <c r="H6838" s="56">
        <v>3.5319587347701853E-2</v>
      </c>
      <c r="I6838" s="224" t="s">
        <v>2</v>
      </c>
    </row>
    <row r="6839" spans="1:9" x14ac:dyDescent="0.25">
      <c r="A6839" s="515">
        <v>2915</v>
      </c>
      <c r="B6839" s="515" t="s">
        <v>513</v>
      </c>
      <c r="C6839" s="52">
        <v>348495.20452177798</v>
      </c>
      <c r="D6839" s="56">
        <v>8.3296689614991606E-2</v>
      </c>
      <c r="E6839" s="224">
        <v>1769.8611111111099</v>
      </c>
      <c r="F6839" s="515" t="s">
        <v>8058</v>
      </c>
      <c r="G6839" s="52">
        <v>406457.75926430698</v>
      </c>
      <c r="H6839" s="56">
        <v>2.7669185755024403E-2</v>
      </c>
      <c r="I6839" s="224" t="s">
        <v>2</v>
      </c>
    </row>
    <row r="6840" spans="1:9" x14ac:dyDescent="0.25">
      <c r="A6840" s="515">
        <v>77587</v>
      </c>
      <c r="B6840" s="515" t="s">
        <v>314</v>
      </c>
      <c r="C6840" s="52">
        <v>189298.56675577699</v>
      </c>
      <c r="D6840" s="56">
        <v>0.15987549527603956</v>
      </c>
      <c r="E6840" s="224" t="s">
        <v>2</v>
      </c>
      <c r="F6840" s="515" t="s">
        <v>8059</v>
      </c>
      <c r="G6840" s="52">
        <v>349179.296884246</v>
      </c>
      <c r="H6840" s="56">
        <v>3.7895133246573363E-2</v>
      </c>
      <c r="I6840" s="224" t="s">
        <v>2</v>
      </c>
    </row>
    <row r="6841" spans="1:9" x14ac:dyDescent="0.25">
      <c r="A6841" s="515">
        <v>17745</v>
      </c>
      <c r="B6841" s="515" t="s">
        <v>776</v>
      </c>
      <c r="C6841" s="52">
        <v>166533.907899282</v>
      </c>
      <c r="D6841" s="56">
        <v>5.35068479722135E-2</v>
      </c>
      <c r="E6841" s="224" t="s">
        <v>2</v>
      </c>
      <c r="F6841" s="515" t="s">
        <v>8060</v>
      </c>
      <c r="G6841" s="52">
        <v>365926.07639874902</v>
      </c>
      <c r="H6841" s="56">
        <v>9.7715492558911335E-2</v>
      </c>
      <c r="I6841" s="224" t="s">
        <v>2</v>
      </c>
    </row>
    <row r="6842" spans="1:9" x14ac:dyDescent="0.25">
      <c r="A6842" s="515">
        <v>55376</v>
      </c>
      <c r="B6842" s="515" t="s">
        <v>532</v>
      </c>
      <c r="C6842" s="52">
        <v>390143.894232144</v>
      </c>
      <c r="D6842" s="56">
        <v>2.9856296428440808E-2</v>
      </c>
      <c r="E6842" s="224">
        <v>2300</v>
      </c>
      <c r="F6842" s="515" t="s">
        <v>8061</v>
      </c>
      <c r="G6842" s="52">
        <v>228012.6875</v>
      </c>
      <c r="H6842" s="56">
        <v>0</v>
      </c>
      <c r="I6842" s="224" t="s">
        <v>2</v>
      </c>
    </row>
    <row r="6843" spans="1:9" x14ac:dyDescent="0.25">
      <c r="A6843" s="515">
        <v>27282</v>
      </c>
      <c r="B6843" s="515" t="s">
        <v>1148</v>
      </c>
      <c r="C6843" s="52">
        <v>296542.08053421398</v>
      </c>
      <c r="D6843" s="56">
        <v>8.0462737232097473E-2</v>
      </c>
      <c r="E6843" s="224">
        <v>1795</v>
      </c>
      <c r="F6843" s="515" t="s">
        <v>8062</v>
      </c>
      <c r="G6843" s="52">
        <v>174167.05144405499</v>
      </c>
      <c r="H6843" s="56">
        <v>6.6117644901226874E-2</v>
      </c>
      <c r="I6843" s="224" t="s">
        <v>2</v>
      </c>
    </row>
    <row r="6844" spans="1:9" x14ac:dyDescent="0.25">
      <c r="A6844" s="515">
        <v>29909</v>
      </c>
      <c r="B6844" s="515" t="s">
        <v>734</v>
      </c>
      <c r="C6844" s="52">
        <v>464664.955453754</v>
      </c>
      <c r="D6844" s="56">
        <v>0.16212833454756767</v>
      </c>
      <c r="E6844" s="224" t="s">
        <v>2</v>
      </c>
      <c r="F6844" s="515" t="s">
        <v>8063</v>
      </c>
      <c r="G6844" s="52">
        <v>245072.47069287999</v>
      </c>
      <c r="H6844" s="56">
        <v>0.13896521976758128</v>
      </c>
      <c r="I6844" s="224" t="s">
        <v>2</v>
      </c>
    </row>
    <row r="6845" spans="1:9" x14ac:dyDescent="0.25">
      <c r="A6845" s="515">
        <v>57703</v>
      </c>
      <c r="B6845" s="515" t="s">
        <v>854</v>
      </c>
      <c r="C6845" s="52">
        <v>317279.99871124502</v>
      </c>
      <c r="D6845" s="56">
        <v>8.4528467029567206E-2</v>
      </c>
      <c r="E6845" s="224">
        <v>1800</v>
      </c>
      <c r="F6845" s="515" t="s">
        <v>8064</v>
      </c>
      <c r="G6845" s="52">
        <v>624300.83919751598</v>
      </c>
      <c r="H6845" s="56">
        <v>0.11575085396842816</v>
      </c>
      <c r="I6845" s="224">
        <v>2348.3333333333298</v>
      </c>
    </row>
    <row r="6846" spans="1:9" x14ac:dyDescent="0.25">
      <c r="A6846" s="515">
        <v>38478</v>
      </c>
      <c r="C6846" s="52">
        <v>208684.89435158801</v>
      </c>
      <c r="D6846" s="56">
        <v>0.10283546734124513</v>
      </c>
      <c r="E6846" s="224" t="s">
        <v>2</v>
      </c>
      <c r="F6846" s="515" t="s">
        <v>8065</v>
      </c>
      <c r="G6846" s="52">
        <v>114286.724739654</v>
      </c>
      <c r="H6846" s="56">
        <v>-0.18717709387754469</v>
      </c>
      <c r="I6846" s="224" t="s">
        <v>2</v>
      </c>
    </row>
    <row r="6847" spans="1:9" x14ac:dyDescent="0.25">
      <c r="A6847" s="515">
        <v>37377</v>
      </c>
      <c r="B6847" s="515" t="s">
        <v>622</v>
      </c>
      <c r="C6847" s="52">
        <v>490517.49157602101</v>
      </c>
      <c r="D6847" s="56">
        <v>8.0191301253801264E-2</v>
      </c>
      <c r="E6847" s="224">
        <v>2600</v>
      </c>
      <c r="F6847" s="515" t="s">
        <v>8066</v>
      </c>
      <c r="G6847" s="52">
        <v>158597.30423580899</v>
      </c>
      <c r="H6847" s="56">
        <v>8.0191769199553065E-2</v>
      </c>
      <c r="I6847" s="224" t="s">
        <v>2</v>
      </c>
    </row>
    <row r="6848" spans="1:9" x14ac:dyDescent="0.25">
      <c r="A6848" s="515">
        <v>21613</v>
      </c>
      <c r="B6848" s="515" t="s">
        <v>388</v>
      </c>
      <c r="C6848" s="52">
        <v>222934.09384399699</v>
      </c>
      <c r="D6848" s="56">
        <v>6.3676610749348939E-2</v>
      </c>
      <c r="E6848" s="224" t="s">
        <v>2</v>
      </c>
      <c r="F6848" s="515" t="s">
        <v>8067</v>
      </c>
      <c r="G6848" s="52">
        <v>335678.59656719299</v>
      </c>
      <c r="H6848" s="56">
        <v>4.2556519184425289E-2</v>
      </c>
      <c r="I6848" s="224" t="s">
        <v>2</v>
      </c>
    </row>
    <row r="6849" spans="1:9" x14ac:dyDescent="0.25">
      <c r="A6849" s="515">
        <v>75203</v>
      </c>
      <c r="B6849" s="515" t="s">
        <v>458</v>
      </c>
      <c r="C6849" s="52">
        <v>209818.867027915</v>
      </c>
      <c r="D6849" s="56">
        <v>0.16428443499719075</v>
      </c>
      <c r="E6849" s="224">
        <v>1469.5</v>
      </c>
      <c r="F6849" s="515" t="s">
        <v>8068</v>
      </c>
      <c r="G6849" s="52">
        <v>309240.37242315902</v>
      </c>
      <c r="H6849" s="56">
        <v>9.9824235365466016E-2</v>
      </c>
      <c r="I6849" s="224" t="s">
        <v>2</v>
      </c>
    </row>
    <row r="6850" spans="1:9" x14ac:dyDescent="0.25">
      <c r="A6850" s="515">
        <v>33912</v>
      </c>
      <c r="B6850" s="515" t="s">
        <v>661</v>
      </c>
      <c r="C6850" s="52">
        <v>446693.32096846501</v>
      </c>
      <c r="D6850" s="56">
        <v>0.14040927051248267</v>
      </c>
      <c r="E6850" s="224">
        <v>3400</v>
      </c>
      <c r="F6850" s="515" t="s">
        <v>8069</v>
      </c>
      <c r="G6850" s="52">
        <v>544554.20085646794</v>
      </c>
      <c r="H6850" s="56">
        <v>0.15844489452860475</v>
      </c>
      <c r="I6850" s="224" t="s">
        <v>2</v>
      </c>
    </row>
    <row r="6851" spans="1:9" x14ac:dyDescent="0.25">
      <c r="A6851" s="515">
        <v>47112</v>
      </c>
      <c r="B6851" s="515" t="s">
        <v>479</v>
      </c>
      <c r="C6851" s="52">
        <v>227098.509779224</v>
      </c>
      <c r="D6851" s="56">
        <v>6.0704921856977866E-2</v>
      </c>
      <c r="E6851" s="224" t="s">
        <v>2</v>
      </c>
      <c r="F6851" s="515" t="s">
        <v>8070</v>
      </c>
      <c r="G6851" s="52">
        <v>86310.279849901301</v>
      </c>
      <c r="H6851" s="56">
        <v>0.10206048838254858</v>
      </c>
      <c r="I6851" s="224" t="s">
        <v>2</v>
      </c>
    </row>
    <row r="6852" spans="1:9" x14ac:dyDescent="0.25">
      <c r="A6852" s="515">
        <v>71006</v>
      </c>
      <c r="B6852" s="515" t="s">
        <v>739</v>
      </c>
      <c r="C6852" s="52">
        <v>317623.863885217</v>
      </c>
      <c r="D6852" s="56">
        <v>5.629273240213855E-2</v>
      </c>
      <c r="E6852" s="224" t="s">
        <v>2</v>
      </c>
      <c r="F6852" s="515" t="s">
        <v>8071</v>
      </c>
      <c r="G6852" s="52">
        <v>239954.816802997</v>
      </c>
      <c r="H6852" s="56">
        <v>5.2338400565719818E-2</v>
      </c>
      <c r="I6852" s="224" t="s">
        <v>2</v>
      </c>
    </row>
    <row r="6853" spans="1:9" x14ac:dyDescent="0.25">
      <c r="A6853" s="515">
        <v>98282</v>
      </c>
      <c r="B6853" s="515" t="s">
        <v>1146</v>
      </c>
      <c r="C6853" s="52">
        <v>636627.70984986401</v>
      </c>
      <c r="D6853" s="56">
        <v>2.232288164042073E-2</v>
      </c>
      <c r="E6853" s="224" t="s">
        <v>2</v>
      </c>
      <c r="F6853" s="515" t="s">
        <v>8072</v>
      </c>
      <c r="G6853" s="52">
        <v>275464.78809374798</v>
      </c>
      <c r="H6853" s="56">
        <v>9.552657695926535E-2</v>
      </c>
      <c r="I6853" s="224" t="s">
        <v>2</v>
      </c>
    </row>
    <row r="6854" spans="1:9" x14ac:dyDescent="0.25">
      <c r="A6854" s="515">
        <v>63775</v>
      </c>
      <c r="C6854" s="52">
        <v>184425.22412538101</v>
      </c>
      <c r="D6854" s="56">
        <v>7.1413154368636156E-2</v>
      </c>
      <c r="E6854" s="224" t="s">
        <v>2</v>
      </c>
      <c r="F6854" s="515" t="s">
        <v>8073</v>
      </c>
      <c r="G6854" s="52">
        <v>574066.07756842999</v>
      </c>
      <c r="H6854" s="56">
        <v>2.4590558488923143E-2</v>
      </c>
      <c r="I6854" s="224" t="s">
        <v>2</v>
      </c>
    </row>
    <row r="6855" spans="1:9" x14ac:dyDescent="0.25">
      <c r="A6855" s="515">
        <v>2019</v>
      </c>
      <c r="B6855" s="515" t="s">
        <v>534</v>
      </c>
      <c r="C6855" s="52">
        <v>436306.48591725098</v>
      </c>
      <c r="D6855" s="56">
        <v>5.5021788102753828E-2</v>
      </c>
      <c r="E6855" s="224" t="s">
        <v>2</v>
      </c>
      <c r="F6855" s="515" t="s">
        <v>8074</v>
      </c>
      <c r="G6855" s="52">
        <v>413741.48662918399</v>
      </c>
      <c r="H6855" s="56">
        <v>7.3449798168617575E-2</v>
      </c>
      <c r="I6855" s="224" t="s">
        <v>2</v>
      </c>
    </row>
    <row r="6856" spans="1:9" x14ac:dyDescent="0.25">
      <c r="A6856" s="515">
        <v>35243</v>
      </c>
      <c r="B6856" s="515" t="s">
        <v>640</v>
      </c>
      <c r="C6856" s="52">
        <v>490385.97550946003</v>
      </c>
      <c r="D6856" s="56">
        <v>7.1496097305322789E-2</v>
      </c>
      <c r="E6856" s="224">
        <v>1333.8333333333301</v>
      </c>
      <c r="F6856" s="515" t="s">
        <v>8075</v>
      </c>
      <c r="G6856" s="52">
        <v>147492.754169294</v>
      </c>
      <c r="H6856" s="56">
        <v>7.6107435732092804E-2</v>
      </c>
      <c r="I6856" s="224" t="s">
        <v>2</v>
      </c>
    </row>
    <row r="6857" spans="1:9" x14ac:dyDescent="0.25">
      <c r="A6857" s="515">
        <v>19015</v>
      </c>
      <c r="B6857" s="515" t="s">
        <v>294</v>
      </c>
      <c r="C6857" s="52">
        <v>225631.25217395599</v>
      </c>
      <c r="D6857" s="56">
        <v>0.13100329481763578</v>
      </c>
      <c r="E6857" s="224" t="s">
        <v>2</v>
      </c>
      <c r="F6857" s="515" t="s">
        <v>8076</v>
      </c>
      <c r="G6857" s="52">
        <v>97284.945287517505</v>
      </c>
      <c r="H6857" s="56">
        <v>1.129011993806788E-3</v>
      </c>
      <c r="I6857" s="224" t="s">
        <v>2</v>
      </c>
    </row>
    <row r="6858" spans="1:9" x14ac:dyDescent="0.25">
      <c r="A6858" s="515">
        <v>50009</v>
      </c>
      <c r="B6858" s="515" t="s">
        <v>295</v>
      </c>
      <c r="C6858" s="52">
        <v>280101.24675215199</v>
      </c>
      <c r="D6858" s="56">
        <v>5.375168654302636E-2</v>
      </c>
      <c r="E6858" s="224">
        <v>1545.8333333333301</v>
      </c>
      <c r="F6858" s="515" t="s">
        <v>8077</v>
      </c>
      <c r="G6858" s="52">
        <v>89008.214792347004</v>
      </c>
      <c r="H6858" s="56">
        <v>0.11118084258959125</v>
      </c>
      <c r="I6858" s="224" t="s">
        <v>2</v>
      </c>
    </row>
    <row r="6859" spans="1:9" x14ac:dyDescent="0.25">
      <c r="A6859" s="515">
        <v>2871</v>
      </c>
      <c r="B6859" s="515" t="s">
        <v>513</v>
      </c>
      <c r="C6859" s="52">
        <v>558988.19489669299</v>
      </c>
      <c r="D6859" s="56">
        <v>6.732071163502025E-2</v>
      </c>
      <c r="E6859" s="224">
        <v>2650</v>
      </c>
      <c r="F6859" s="515" t="s">
        <v>8078</v>
      </c>
      <c r="G6859" s="52">
        <v>101029.353784369</v>
      </c>
      <c r="H6859" s="56">
        <v>4.7960578971759787E-2</v>
      </c>
      <c r="I6859" s="224" t="s">
        <v>2</v>
      </c>
    </row>
    <row r="6860" spans="1:9" x14ac:dyDescent="0.25">
      <c r="A6860" s="515">
        <v>35976</v>
      </c>
      <c r="B6860" s="515" t="s">
        <v>1182</v>
      </c>
      <c r="C6860" s="52">
        <v>252303.05374095999</v>
      </c>
      <c r="D6860" s="56">
        <v>9.4150680973514922E-2</v>
      </c>
      <c r="E6860" s="224" t="s">
        <v>2</v>
      </c>
      <c r="F6860" s="515" t="s">
        <v>8079</v>
      </c>
      <c r="G6860" s="52">
        <v>242637.49786602799</v>
      </c>
      <c r="H6860" s="56">
        <v>3.7202959434182316E-2</v>
      </c>
      <c r="I6860" s="224" t="s">
        <v>2</v>
      </c>
    </row>
    <row r="6861" spans="1:9" x14ac:dyDescent="0.25">
      <c r="A6861" s="515">
        <v>1570</v>
      </c>
      <c r="B6861" s="515" t="s">
        <v>751</v>
      </c>
      <c r="C6861" s="52">
        <v>363358.70882860501</v>
      </c>
      <c r="D6861" s="56">
        <v>6.7224579221783709E-2</v>
      </c>
      <c r="E6861" s="224">
        <v>1275</v>
      </c>
      <c r="F6861" s="515" t="s">
        <v>8080</v>
      </c>
      <c r="G6861" s="52">
        <v>204782.586448963</v>
      </c>
      <c r="H6861" s="56">
        <v>6.3953730526566319E-2</v>
      </c>
      <c r="I6861" s="224" t="s">
        <v>2</v>
      </c>
    </row>
    <row r="6862" spans="1:9" x14ac:dyDescent="0.25">
      <c r="A6862" s="515">
        <v>75751</v>
      </c>
      <c r="B6862" s="515" t="s">
        <v>1088</v>
      </c>
      <c r="C6862" s="52">
        <v>180094.50362358801</v>
      </c>
      <c r="D6862" s="56">
        <v>9.3818816743589897E-2</v>
      </c>
      <c r="E6862" s="224">
        <v>1900</v>
      </c>
      <c r="F6862" s="515" t="s">
        <v>8081</v>
      </c>
      <c r="G6862" s="52">
        <v>569408.86330046202</v>
      </c>
      <c r="H6862" s="56">
        <v>4.0551900506277921E-3</v>
      </c>
      <c r="I6862" s="224" t="s">
        <v>2</v>
      </c>
    </row>
    <row r="6863" spans="1:9" x14ac:dyDescent="0.25">
      <c r="A6863" s="515">
        <v>40208</v>
      </c>
      <c r="B6863" s="515" t="s">
        <v>479</v>
      </c>
      <c r="C6863" s="52">
        <v>108921.485039294</v>
      </c>
      <c r="D6863" s="56">
        <v>6.552338429515564E-2</v>
      </c>
      <c r="E6863" s="224">
        <v>989.55357142857099</v>
      </c>
      <c r="F6863" s="515" t="s">
        <v>8082</v>
      </c>
      <c r="G6863" s="52">
        <v>114114.46003994301</v>
      </c>
      <c r="H6863" s="56">
        <v>8.2279350908336879E-2</v>
      </c>
      <c r="I6863" s="224" t="s">
        <v>2</v>
      </c>
    </row>
    <row r="6864" spans="1:9" x14ac:dyDescent="0.25">
      <c r="A6864" s="515">
        <v>55746</v>
      </c>
      <c r="B6864" s="515" t="s">
        <v>350</v>
      </c>
      <c r="C6864" s="52">
        <v>132073.94780768099</v>
      </c>
      <c r="D6864" s="56">
        <v>9.5724739379439802E-2</v>
      </c>
      <c r="E6864" s="224" t="s">
        <v>2</v>
      </c>
      <c r="F6864" s="515" t="s">
        <v>8083</v>
      </c>
      <c r="G6864" s="52">
        <v>376877.82166818599</v>
      </c>
      <c r="H6864" s="56">
        <v>8.8845179985858641E-2</v>
      </c>
      <c r="I6864" s="224">
        <v>2354.4444444444398</v>
      </c>
    </row>
    <row r="6865" spans="1:9" x14ac:dyDescent="0.25">
      <c r="A6865" s="515">
        <v>32118</v>
      </c>
      <c r="B6865" s="515" t="s">
        <v>974</v>
      </c>
      <c r="C6865" s="52">
        <v>343097.97371078201</v>
      </c>
      <c r="D6865" s="56">
        <v>0.15555982770585369</v>
      </c>
      <c r="E6865" s="224">
        <v>1674.87037037037</v>
      </c>
      <c r="F6865" s="515" t="s">
        <v>8084</v>
      </c>
      <c r="G6865" s="52">
        <v>170734.806007159</v>
      </c>
      <c r="H6865" s="56">
        <v>-5.1515046714537731E-3</v>
      </c>
      <c r="I6865" s="224" t="s">
        <v>2</v>
      </c>
    </row>
    <row r="6866" spans="1:9" x14ac:dyDescent="0.25">
      <c r="A6866" s="515">
        <v>53716</v>
      </c>
      <c r="B6866" s="515" t="s">
        <v>727</v>
      </c>
      <c r="C6866" s="52">
        <v>332485.11901521898</v>
      </c>
      <c r="D6866" s="56">
        <v>4.5536975549116787E-2</v>
      </c>
      <c r="E6866" s="224">
        <v>1202.5</v>
      </c>
      <c r="F6866" s="515" t="s">
        <v>8085</v>
      </c>
      <c r="G6866" s="52">
        <v>289942.48889996199</v>
      </c>
      <c r="H6866" s="56">
        <v>5.3141310781164637E-2</v>
      </c>
      <c r="I6866" s="224">
        <v>1981.6666666666599</v>
      </c>
    </row>
    <row r="6867" spans="1:9" x14ac:dyDescent="0.25">
      <c r="A6867" s="515">
        <v>1001</v>
      </c>
      <c r="B6867" s="515" t="s">
        <v>575</v>
      </c>
      <c r="C6867" s="52">
        <v>282142.955498469</v>
      </c>
      <c r="D6867" s="56">
        <v>8.3032698130057384E-2</v>
      </c>
      <c r="E6867" s="224" t="s">
        <v>2</v>
      </c>
      <c r="F6867" s="515" t="s">
        <v>8086</v>
      </c>
      <c r="G6867" s="52">
        <v>205765.48548730701</v>
      </c>
      <c r="H6867" s="56">
        <v>2.8715818419423562E-2</v>
      </c>
      <c r="I6867" s="224" t="s">
        <v>2</v>
      </c>
    </row>
    <row r="6868" spans="1:9" x14ac:dyDescent="0.25">
      <c r="A6868" s="515">
        <v>68847</v>
      </c>
      <c r="B6868" s="515" t="s">
        <v>660</v>
      </c>
      <c r="C6868" s="52">
        <v>249080.30221592999</v>
      </c>
      <c r="D6868" s="56">
        <v>5.7564637133742901E-2</v>
      </c>
      <c r="E6868" s="224" t="s">
        <v>2</v>
      </c>
      <c r="F6868" s="515" t="s">
        <v>8087</v>
      </c>
      <c r="G6868" s="52">
        <v>569898.37719600298</v>
      </c>
      <c r="H6868" s="56">
        <v>5.4115639372557922E-2</v>
      </c>
      <c r="I6868" s="224" t="s">
        <v>2</v>
      </c>
    </row>
    <row r="6869" spans="1:9" x14ac:dyDescent="0.25">
      <c r="A6869" s="515">
        <v>75961</v>
      </c>
      <c r="B6869" s="515" t="s">
        <v>1035</v>
      </c>
      <c r="C6869" s="52">
        <v>148365.26041609101</v>
      </c>
      <c r="D6869" s="56">
        <v>3.5808657994180072E-2</v>
      </c>
      <c r="E6869" s="224">
        <v>1300</v>
      </c>
      <c r="F6869" s="515" t="s">
        <v>8088</v>
      </c>
      <c r="G6869" s="52">
        <v>289204.95892470301</v>
      </c>
      <c r="H6869" s="56">
        <v>5.5047699731989183E-2</v>
      </c>
      <c r="I6869" s="224" t="s">
        <v>2</v>
      </c>
    </row>
    <row r="6870" spans="1:9" x14ac:dyDescent="0.25">
      <c r="A6870" s="515">
        <v>8691</v>
      </c>
      <c r="B6870" s="515" t="s">
        <v>938</v>
      </c>
      <c r="C6870" s="52">
        <v>513891.61096899299</v>
      </c>
      <c r="D6870" s="56">
        <v>9.6073194167171042E-2</v>
      </c>
      <c r="E6870" s="224" t="s">
        <v>2</v>
      </c>
      <c r="F6870" s="515" t="s">
        <v>8089</v>
      </c>
      <c r="G6870" s="52">
        <v>369359.05713920499</v>
      </c>
      <c r="H6870" s="56">
        <v>6.9714851288678867E-2</v>
      </c>
      <c r="I6870" s="224" t="s">
        <v>2</v>
      </c>
    </row>
    <row r="6871" spans="1:9" x14ac:dyDescent="0.25">
      <c r="A6871" s="515">
        <v>50312</v>
      </c>
      <c r="B6871" s="515" t="s">
        <v>295</v>
      </c>
      <c r="C6871" s="52">
        <v>259872.93061382699</v>
      </c>
      <c r="D6871" s="56">
        <v>7.1142239851848907E-2</v>
      </c>
      <c r="E6871" s="224">
        <v>1108.3333333333301</v>
      </c>
      <c r="F6871" s="515" t="s">
        <v>8090</v>
      </c>
      <c r="G6871" s="52">
        <v>176211.29733250701</v>
      </c>
      <c r="H6871" s="56">
        <v>9.2266412245082155E-2</v>
      </c>
      <c r="I6871" s="224" t="s">
        <v>2</v>
      </c>
    </row>
    <row r="6872" spans="1:9" x14ac:dyDescent="0.25">
      <c r="A6872" s="515">
        <v>19530</v>
      </c>
      <c r="B6872" s="515" t="s">
        <v>569</v>
      </c>
      <c r="C6872" s="52">
        <v>293607.41348777601</v>
      </c>
      <c r="D6872" s="56">
        <v>9.6970426756350675E-2</v>
      </c>
      <c r="E6872" s="224" t="s">
        <v>2</v>
      </c>
      <c r="F6872" s="515" t="s">
        <v>8091</v>
      </c>
      <c r="G6872" s="52">
        <v>113334.152210396</v>
      </c>
      <c r="H6872" s="56">
        <v>0.14801388951125918</v>
      </c>
      <c r="I6872" s="224" t="s">
        <v>2</v>
      </c>
    </row>
    <row r="6873" spans="1:9" x14ac:dyDescent="0.25">
      <c r="A6873" s="515">
        <v>1950</v>
      </c>
      <c r="B6873" s="515" t="s">
        <v>534</v>
      </c>
      <c r="C6873" s="52">
        <v>744194.60103462997</v>
      </c>
      <c r="D6873" s="56">
        <v>5.7468275334781022E-2</v>
      </c>
      <c r="E6873" s="224">
        <v>2370</v>
      </c>
      <c r="F6873" s="515" t="s">
        <v>8092</v>
      </c>
      <c r="G6873" s="52">
        <v>4229345.18023491</v>
      </c>
      <c r="H6873" s="56">
        <v>6.9139897841215658E-2</v>
      </c>
      <c r="I6873" s="224" t="s">
        <v>2</v>
      </c>
    </row>
    <row r="6874" spans="1:9" x14ac:dyDescent="0.25">
      <c r="A6874" s="515">
        <v>35214</v>
      </c>
      <c r="B6874" s="515" t="s">
        <v>640</v>
      </c>
      <c r="C6874" s="52">
        <v>138652.17451948501</v>
      </c>
      <c r="D6874" s="56">
        <v>0.11973068694775869</v>
      </c>
      <c r="E6874" s="224">
        <v>1209.1666666666599</v>
      </c>
      <c r="F6874" s="515" t="s">
        <v>8093</v>
      </c>
      <c r="G6874" s="52">
        <v>253827.849471831</v>
      </c>
      <c r="H6874" s="56">
        <v>0</v>
      </c>
      <c r="I6874" s="224" t="s">
        <v>2</v>
      </c>
    </row>
    <row r="6875" spans="1:9" x14ac:dyDescent="0.25">
      <c r="A6875" s="515">
        <v>77575</v>
      </c>
      <c r="B6875" s="515" t="s">
        <v>314</v>
      </c>
      <c r="C6875" s="52">
        <v>192725.37334013401</v>
      </c>
      <c r="D6875" s="56">
        <v>4.1362557164997225E-2</v>
      </c>
      <c r="E6875" s="224" t="s">
        <v>2</v>
      </c>
      <c r="F6875" s="515" t="s">
        <v>8094</v>
      </c>
      <c r="G6875" s="52">
        <v>287331.227851098</v>
      </c>
      <c r="H6875" s="56">
        <v>6.0762066658299696E-2</v>
      </c>
      <c r="I6875" s="224">
        <v>1187.5</v>
      </c>
    </row>
    <row r="6876" spans="1:9" x14ac:dyDescent="0.25">
      <c r="A6876" s="515">
        <v>83318</v>
      </c>
      <c r="B6876" s="515" t="s">
        <v>719</v>
      </c>
      <c r="C6876" s="52">
        <v>292108.98153771699</v>
      </c>
      <c r="D6876" s="56">
        <v>0.10269385396221813</v>
      </c>
      <c r="E6876" s="224" t="s">
        <v>2</v>
      </c>
      <c r="F6876" s="515" t="s">
        <v>8095</v>
      </c>
      <c r="G6876" s="52">
        <v>336701.21571648598</v>
      </c>
      <c r="H6876" s="56">
        <v>0</v>
      </c>
      <c r="I6876" s="224" t="s">
        <v>2</v>
      </c>
    </row>
    <row r="6877" spans="1:9" x14ac:dyDescent="0.25">
      <c r="A6877" s="515">
        <v>7001</v>
      </c>
      <c r="B6877" s="515" t="s">
        <v>324</v>
      </c>
      <c r="C6877" s="52">
        <v>388411.76345401502</v>
      </c>
      <c r="D6877" s="56">
        <v>6.2485664697578089E-2</v>
      </c>
      <c r="E6877" s="224" t="s">
        <v>2</v>
      </c>
      <c r="F6877" s="515" t="s">
        <v>8096</v>
      </c>
      <c r="G6877" s="52">
        <v>247351.93302276099</v>
      </c>
      <c r="H6877" s="56">
        <v>8.6502965857303382E-2</v>
      </c>
      <c r="I6877" s="224" t="s">
        <v>2</v>
      </c>
    </row>
    <row r="6878" spans="1:9" x14ac:dyDescent="0.25">
      <c r="A6878" s="515">
        <v>13205</v>
      </c>
      <c r="B6878" s="515" t="s">
        <v>361</v>
      </c>
      <c r="C6878" s="52">
        <v>105690.115601752</v>
      </c>
      <c r="D6878" s="56">
        <v>6.4290540843651531E-2</v>
      </c>
      <c r="E6878" s="224" t="s">
        <v>2</v>
      </c>
      <c r="F6878" s="515" t="s">
        <v>8097</v>
      </c>
      <c r="G6878" s="52">
        <v>360686.301477545</v>
      </c>
      <c r="H6878" s="56">
        <v>7.4927474489386095E-2</v>
      </c>
      <c r="I6878" s="224" t="s">
        <v>2</v>
      </c>
    </row>
    <row r="6879" spans="1:9" x14ac:dyDescent="0.25">
      <c r="A6879" s="515">
        <v>7481</v>
      </c>
      <c r="B6879" s="515" t="s">
        <v>324</v>
      </c>
      <c r="C6879" s="52">
        <v>861092.16831289802</v>
      </c>
      <c r="D6879" s="56">
        <v>4.8699840192440808E-2</v>
      </c>
      <c r="E6879" s="224" t="s">
        <v>2</v>
      </c>
      <c r="F6879" s="515" t="s">
        <v>8098</v>
      </c>
      <c r="G6879" s="52">
        <v>176252.68495586701</v>
      </c>
      <c r="H6879" s="56">
        <v>0.14073757876685927</v>
      </c>
      <c r="I6879" s="224" t="s">
        <v>2</v>
      </c>
    </row>
    <row r="6880" spans="1:9" x14ac:dyDescent="0.25">
      <c r="A6880" s="515">
        <v>75402</v>
      </c>
      <c r="B6880" s="515" t="s">
        <v>458</v>
      </c>
      <c r="C6880" s="52">
        <v>271943.01328555302</v>
      </c>
      <c r="D6880" s="56">
        <v>7.8925278066111187E-2</v>
      </c>
      <c r="E6880" s="224" t="s">
        <v>2</v>
      </c>
      <c r="F6880" s="515" t="s">
        <v>8099</v>
      </c>
      <c r="G6880" s="52">
        <v>190110.82273276299</v>
      </c>
      <c r="H6880" s="56">
        <v>5.5897220080635517E-2</v>
      </c>
      <c r="I6880" s="224" t="s">
        <v>2</v>
      </c>
    </row>
    <row r="6881" spans="1:9" x14ac:dyDescent="0.25">
      <c r="A6881" s="515">
        <v>23430</v>
      </c>
      <c r="B6881" s="515" t="s">
        <v>301</v>
      </c>
      <c r="C6881" s="52">
        <v>347154.24564993999</v>
      </c>
      <c r="D6881" s="56">
        <v>1.2829308121474408E-2</v>
      </c>
      <c r="E6881" s="224" t="s">
        <v>2</v>
      </c>
      <c r="F6881" s="515" t="s">
        <v>8100</v>
      </c>
      <c r="G6881" s="52">
        <v>678054.94927792705</v>
      </c>
      <c r="H6881" s="56">
        <v>1.4055626159798494E-2</v>
      </c>
      <c r="I6881" s="224">
        <v>2795</v>
      </c>
    </row>
    <row r="6882" spans="1:9" x14ac:dyDescent="0.25">
      <c r="A6882" s="515">
        <v>69361</v>
      </c>
      <c r="B6882" s="515" t="s">
        <v>966</v>
      </c>
      <c r="C6882" s="52">
        <v>151054.66749421801</v>
      </c>
      <c r="D6882" s="56">
        <v>9.3720406545380996E-2</v>
      </c>
      <c r="E6882" s="224" t="s">
        <v>2</v>
      </c>
      <c r="F6882" s="515" t="s">
        <v>8101</v>
      </c>
      <c r="G6882" s="52">
        <v>166718.13077778701</v>
      </c>
      <c r="H6882" s="56">
        <v>0.11443725581224325</v>
      </c>
      <c r="I6882" s="224" t="s">
        <v>2</v>
      </c>
    </row>
    <row r="6883" spans="1:9" x14ac:dyDescent="0.25">
      <c r="A6883" s="515">
        <v>7834</v>
      </c>
      <c r="B6883" s="515" t="s">
        <v>324</v>
      </c>
      <c r="C6883" s="52">
        <v>513570.869649951</v>
      </c>
      <c r="D6883" s="56">
        <v>4.6294303434812979E-2</v>
      </c>
      <c r="E6883" s="224" t="s">
        <v>2</v>
      </c>
      <c r="F6883" s="515" t="s">
        <v>8102</v>
      </c>
      <c r="G6883" s="52">
        <v>205848.75717815899</v>
      </c>
      <c r="H6883" s="56">
        <v>6.9583921024879689E-2</v>
      </c>
      <c r="I6883" s="224" t="s">
        <v>2</v>
      </c>
    </row>
    <row r="6884" spans="1:9" x14ac:dyDescent="0.25">
      <c r="A6884" s="515">
        <v>15666</v>
      </c>
      <c r="B6884" s="515" t="s">
        <v>297</v>
      </c>
      <c r="C6884" s="52">
        <v>145366.59617332599</v>
      </c>
      <c r="D6884" s="56">
        <v>2.2290500935031429E-2</v>
      </c>
      <c r="E6884" s="224" t="s">
        <v>2</v>
      </c>
      <c r="F6884" s="515" t="s">
        <v>8103</v>
      </c>
      <c r="G6884" s="52">
        <v>216993.172414078</v>
      </c>
      <c r="H6884" s="56">
        <v>0.1473048240746011</v>
      </c>
      <c r="I6884" s="224" t="s">
        <v>2</v>
      </c>
    </row>
    <row r="6885" spans="1:9" x14ac:dyDescent="0.25">
      <c r="A6885" s="515">
        <v>85373</v>
      </c>
      <c r="B6885" s="515" t="s">
        <v>563</v>
      </c>
      <c r="C6885" s="52">
        <v>368563.14744902903</v>
      </c>
      <c r="D6885" s="56">
        <v>3.9378589694113141E-2</v>
      </c>
      <c r="E6885" s="224" t="s">
        <v>2</v>
      </c>
      <c r="F6885" s="515" t="s">
        <v>8104</v>
      </c>
      <c r="G6885" s="52">
        <v>428964.41068193398</v>
      </c>
      <c r="H6885" s="56">
        <v>7.1117494712534479E-2</v>
      </c>
      <c r="I6885" s="224" t="s">
        <v>2</v>
      </c>
    </row>
    <row r="6886" spans="1:9" x14ac:dyDescent="0.25">
      <c r="A6886" s="515">
        <v>37813</v>
      </c>
      <c r="B6886" s="515" t="s">
        <v>786</v>
      </c>
      <c r="C6886" s="52">
        <v>173379.659054836</v>
      </c>
      <c r="D6886" s="56">
        <v>0.10137332603417293</v>
      </c>
      <c r="E6886" s="224" t="s">
        <v>2</v>
      </c>
      <c r="F6886" s="515" t="s">
        <v>8105</v>
      </c>
      <c r="G6886" s="52">
        <v>217476.36141998999</v>
      </c>
      <c r="H6886" s="56">
        <v>2.7743729532859814E-2</v>
      </c>
      <c r="I6886" s="224" t="s">
        <v>2</v>
      </c>
    </row>
    <row r="6887" spans="1:9" x14ac:dyDescent="0.25">
      <c r="A6887" s="515">
        <v>21085</v>
      </c>
      <c r="B6887" s="515" t="s">
        <v>582</v>
      </c>
      <c r="C6887" s="52">
        <v>321742.076183589</v>
      </c>
      <c r="D6887" s="56">
        <v>4.379961209560522E-2</v>
      </c>
      <c r="E6887" s="224">
        <v>2072.5</v>
      </c>
      <c r="F6887" s="515" t="s">
        <v>8106</v>
      </c>
      <c r="G6887" s="52">
        <v>578852.24586864805</v>
      </c>
      <c r="H6887" s="56">
        <v>8.6803779926361721E-2</v>
      </c>
      <c r="I6887" s="224" t="s">
        <v>2</v>
      </c>
    </row>
    <row r="6888" spans="1:9" x14ac:dyDescent="0.25">
      <c r="A6888" s="515">
        <v>71701</v>
      </c>
      <c r="B6888" s="515" t="s">
        <v>773</v>
      </c>
      <c r="C6888" s="52">
        <v>79873.376695230094</v>
      </c>
      <c r="D6888" s="56">
        <v>3.6525492446097013E-2</v>
      </c>
      <c r="E6888" s="224" t="s">
        <v>2</v>
      </c>
      <c r="F6888" s="515" t="s">
        <v>8107</v>
      </c>
      <c r="G6888" s="52">
        <v>185281.31664379899</v>
      </c>
      <c r="H6888" s="56">
        <v>5.7578090657457143E-2</v>
      </c>
      <c r="I6888" s="224" t="s">
        <v>2</v>
      </c>
    </row>
    <row r="6889" spans="1:9" x14ac:dyDescent="0.25">
      <c r="A6889" s="515">
        <v>2865</v>
      </c>
      <c r="B6889" s="515" t="s">
        <v>513</v>
      </c>
      <c r="C6889" s="52">
        <v>468724.621778687</v>
      </c>
      <c r="D6889" s="56">
        <v>7.1552481416104208E-2</v>
      </c>
      <c r="E6889" s="224" t="s">
        <v>2</v>
      </c>
      <c r="F6889" s="515" t="s">
        <v>8108</v>
      </c>
      <c r="G6889" s="52">
        <v>514904.14400338801</v>
      </c>
      <c r="H6889" s="56">
        <v>2.4027119007783239E-2</v>
      </c>
      <c r="I6889" s="224" t="s">
        <v>2</v>
      </c>
    </row>
    <row r="6890" spans="1:9" x14ac:dyDescent="0.25">
      <c r="A6890" s="515">
        <v>98274</v>
      </c>
      <c r="B6890" s="515" t="s">
        <v>454</v>
      </c>
      <c r="C6890" s="52">
        <v>547854.94247368304</v>
      </c>
      <c r="D6890" s="56">
        <v>3.2122475787682445E-2</v>
      </c>
      <c r="E6890" s="224" t="s">
        <v>2</v>
      </c>
      <c r="F6890" s="515" t="s">
        <v>8109</v>
      </c>
      <c r="G6890" s="52">
        <v>297400.79074658302</v>
      </c>
      <c r="H6890" s="56">
        <v>0.13066675970411251</v>
      </c>
      <c r="I6890" s="224" t="s">
        <v>2</v>
      </c>
    </row>
    <row r="6891" spans="1:9" x14ac:dyDescent="0.25">
      <c r="A6891" s="515">
        <v>48324</v>
      </c>
      <c r="B6891" s="515" t="s">
        <v>685</v>
      </c>
      <c r="C6891" s="52">
        <v>398982.58413692698</v>
      </c>
      <c r="D6891" s="56">
        <v>3.636305422079715E-2</v>
      </c>
      <c r="E6891" s="224" t="s">
        <v>2</v>
      </c>
      <c r="F6891" s="515" t="s">
        <v>8110</v>
      </c>
      <c r="G6891" s="52">
        <v>490264.56826675998</v>
      </c>
      <c r="H6891" s="56">
        <v>0.10274989586519137</v>
      </c>
      <c r="I6891" s="224">
        <v>2795</v>
      </c>
    </row>
    <row r="6892" spans="1:9" x14ac:dyDescent="0.25">
      <c r="A6892" s="515">
        <v>37725</v>
      </c>
      <c r="B6892" s="515" t="s">
        <v>786</v>
      </c>
      <c r="C6892" s="52">
        <v>322711.13279891002</v>
      </c>
      <c r="D6892" s="56">
        <v>9.7142308343530312E-2</v>
      </c>
      <c r="E6892" s="224" t="s">
        <v>2</v>
      </c>
      <c r="F6892" s="515" t="s">
        <v>8111</v>
      </c>
      <c r="G6892" s="52">
        <v>374138.08146838797</v>
      </c>
      <c r="H6892" s="56">
        <v>2.9120416495190659E-2</v>
      </c>
      <c r="I6892" s="224" t="s">
        <v>2</v>
      </c>
    </row>
    <row r="6893" spans="1:9" x14ac:dyDescent="0.25">
      <c r="A6893" s="515">
        <v>48184</v>
      </c>
      <c r="B6893" s="515" t="s">
        <v>685</v>
      </c>
      <c r="C6893" s="52">
        <v>145968.98550326101</v>
      </c>
      <c r="D6893" s="56">
        <v>6.8401422361410807E-2</v>
      </c>
      <c r="E6893" s="224">
        <v>1113.3333333333301</v>
      </c>
      <c r="F6893" s="515" t="s">
        <v>8112</v>
      </c>
      <c r="G6893" s="52">
        <v>411778.22633317002</v>
      </c>
      <c r="H6893" s="56">
        <v>5.9647771410169116E-2</v>
      </c>
      <c r="I6893" s="224" t="s">
        <v>2</v>
      </c>
    </row>
    <row r="6894" spans="1:9" x14ac:dyDescent="0.25">
      <c r="A6894" s="515">
        <v>35406</v>
      </c>
      <c r="B6894" s="515" t="s">
        <v>841</v>
      </c>
      <c r="C6894" s="52">
        <v>422831.95114988001</v>
      </c>
      <c r="D6894" s="56">
        <v>6.3721609018545095E-2</v>
      </c>
      <c r="E6894" s="224">
        <v>1375.6458333333301</v>
      </c>
      <c r="F6894" s="515" t="s">
        <v>8113</v>
      </c>
      <c r="G6894" s="52">
        <v>942676.85679559899</v>
      </c>
      <c r="H6894" s="56">
        <v>4.4900233854391944E-2</v>
      </c>
      <c r="I6894" s="224" t="s">
        <v>2</v>
      </c>
    </row>
    <row r="6895" spans="1:9" x14ac:dyDescent="0.25">
      <c r="A6895" s="515">
        <v>70767</v>
      </c>
      <c r="B6895" s="515" t="s">
        <v>610</v>
      </c>
      <c r="C6895" s="52">
        <v>192933.280938988</v>
      </c>
      <c r="D6895" s="56">
        <v>5.3072327102105882E-2</v>
      </c>
      <c r="E6895" s="224" t="s">
        <v>2</v>
      </c>
      <c r="F6895" s="515" t="s">
        <v>8114</v>
      </c>
      <c r="G6895" s="52">
        <v>1611996.00397794</v>
      </c>
      <c r="H6895" s="56">
        <v>2.2186304691604545E-2</v>
      </c>
      <c r="I6895" s="224">
        <v>6500</v>
      </c>
    </row>
    <row r="6896" spans="1:9" x14ac:dyDescent="0.25">
      <c r="A6896" s="515">
        <v>19465</v>
      </c>
      <c r="B6896" s="515" t="s">
        <v>294</v>
      </c>
      <c r="C6896" s="52">
        <v>402865.50082327699</v>
      </c>
      <c r="D6896" s="56">
        <v>8.6431542774049991E-2</v>
      </c>
      <c r="E6896" s="224" t="s">
        <v>2</v>
      </c>
      <c r="F6896" s="515" t="s">
        <v>8115</v>
      </c>
      <c r="G6896" s="52">
        <v>247769.466546546</v>
      </c>
      <c r="H6896" s="56">
        <v>7.725260528136875E-2</v>
      </c>
      <c r="I6896" s="224" t="s">
        <v>2</v>
      </c>
    </row>
    <row r="6897" spans="1:9" x14ac:dyDescent="0.25">
      <c r="A6897" s="515">
        <v>31005</v>
      </c>
      <c r="B6897" s="515" t="s">
        <v>1067</v>
      </c>
      <c r="C6897" s="52">
        <v>259361.40583552301</v>
      </c>
      <c r="D6897" s="56">
        <v>0.11143351318810316</v>
      </c>
      <c r="E6897" s="224">
        <v>1603.3333333333301</v>
      </c>
      <c r="F6897" s="515" t="s">
        <v>8116</v>
      </c>
      <c r="G6897" s="52">
        <v>138705.14465303501</v>
      </c>
      <c r="H6897" s="56">
        <v>6.0768103332816299E-2</v>
      </c>
      <c r="I6897" s="224" t="s">
        <v>2</v>
      </c>
    </row>
    <row r="6898" spans="1:9" x14ac:dyDescent="0.25">
      <c r="A6898" s="515">
        <v>48302</v>
      </c>
      <c r="B6898" s="515" t="s">
        <v>685</v>
      </c>
      <c r="C6898" s="52">
        <v>591204.74264932005</v>
      </c>
      <c r="D6898" s="56">
        <v>4.4012425624096276E-2</v>
      </c>
      <c r="E6898" s="224" t="s">
        <v>2</v>
      </c>
      <c r="F6898" s="515" t="s">
        <v>8117</v>
      </c>
      <c r="G6898" s="52">
        <v>846255.37562490895</v>
      </c>
      <c r="H6898" s="56">
        <v>7.0803500716058607E-2</v>
      </c>
      <c r="I6898" s="224" t="s">
        <v>2</v>
      </c>
    </row>
    <row r="6899" spans="1:9" x14ac:dyDescent="0.25">
      <c r="A6899" s="515">
        <v>30354</v>
      </c>
      <c r="B6899" s="515" t="s">
        <v>957</v>
      </c>
      <c r="C6899" s="52">
        <v>222826.996247284</v>
      </c>
      <c r="D6899" s="56">
        <v>7.4534204600821552E-2</v>
      </c>
      <c r="E6899" s="224">
        <v>1782.3611111111099</v>
      </c>
      <c r="F6899" s="515" t="s">
        <v>8118</v>
      </c>
      <c r="G6899" s="52">
        <v>616140.26571019099</v>
      </c>
      <c r="H6899" s="56">
        <v>0.12117056748454209</v>
      </c>
      <c r="I6899" s="224">
        <v>3450</v>
      </c>
    </row>
    <row r="6900" spans="1:9" x14ac:dyDescent="0.25">
      <c r="A6900" s="515">
        <v>16002</v>
      </c>
      <c r="B6900" s="515" t="s">
        <v>297</v>
      </c>
      <c r="C6900" s="52">
        <v>247360.108474212</v>
      </c>
      <c r="D6900" s="56">
        <v>7.1763323247468161E-2</v>
      </c>
      <c r="E6900" s="224" t="s">
        <v>2</v>
      </c>
      <c r="F6900" s="515" t="s">
        <v>8119</v>
      </c>
      <c r="G6900" s="52">
        <v>396868.53299484798</v>
      </c>
      <c r="H6900" s="56">
        <v>7.0022930722605847E-2</v>
      </c>
      <c r="I6900" s="224" t="s">
        <v>2</v>
      </c>
    </row>
    <row r="6901" spans="1:9" x14ac:dyDescent="0.25">
      <c r="A6901" s="515">
        <v>74146</v>
      </c>
      <c r="B6901" s="515" t="s">
        <v>348</v>
      </c>
      <c r="C6901" s="52">
        <v>152649.49639374501</v>
      </c>
      <c r="D6901" s="56">
        <v>9.4253861510809597E-2</v>
      </c>
      <c r="E6901" s="224" t="s">
        <v>2</v>
      </c>
      <c r="F6901" s="515" t="s">
        <v>8120</v>
      </c>
      <c r="G6901" s="52">
        <v>513843.08048388298</v>
      </c>
      <c r="H6901" s="56">
        <v>5.6853014352949538E-2</v>
      </c>
      <c r="I6901" s="224" t="s">
        <v>2</v>
      </c>
    </row>
    <row r="6902" spans="1:9" x14ac:dyDescent="0.25">
      <c r="A6902" s="515">
        <v>28301</v>
      </c>
      <c r="B6902" s="515" t="s">
        <v>1149</v>
      </c>
      <c r="C6902" s="52">
        <v>108281.550694327</v>
      </c>
      <c r="D6902" s="56">
        <v>0.31125175589436771</v>
      </c>
      <c r="E6902" s="224">
        <v>1320.4166666666599</v>
      </c>
      <c r="F6902" s="515" t="s">
        <v>8121</v>
      </c>
      <c r="G6902" s="52">
        <v>199012.53176756101</v>
      </c>
      <c r="H6902" s="56">
        <v>0.12838545527317505</v>
      </c>
      <c r="I6902" s="224" t="s">
        <v>2</v>
      </c>
    </row>
    <row r="6903" spans="1:9" x14ac:dyDescent="0.25">
      <c r="A6903" s="515">
        <v>7730</v>
      </c>
      <c r="B6903" s="515" t="s">
        <v>324</v>
      </c>
      <c r="C6903" s="52">
        <v>489163.612677739</v>
      </c>
      <c r="D6903" s="56">
        <v>6.0715152407739448E-2</v>
      </c>
      <c r="E6903" s="224" t="s">
        <v>2</v>
      </c>
      <c r="F6903" s="515" t="s">
        <v>8122</v>
      </c>
      <c r="G6903" s="52">
        <v>53790.729195246597</v>
      </c>
      <c r="H6903" s="56">
        <v>9.8185439853953782E-2</v>
      </c>
      <c r="I6903" s="224" t="s">
        <v>2</v>
      </c>
    </row>
    <row r="6904" spans="1:9" x14ac:dyDescent="0.25">
      <c r="A6904" s="515">
        <v>95602</v>
      </c>
      <c r="B6904" s="515" t="s">
        <v>355</v>
      </c>
      <c r="C6904" s="52">
        <v>618152.93067226396</v>
      </c>
      <c r="D6904" s="56">
        <v>-4.3886236183641571E-3</v>
      </c>
      <c r="E6904" s="224" t="s">
        <v>2</v>
      </c>
      <c r="F6904" s="515" t="s">
        <v>8123</v>
      </c>
      <c r="G6904" s="52">
        <v>118133.918311049</v>
      </c>
      <c r="H6904" s="56">
        <v>4.6831381229296441E-2</v>
      </c>
      <c r="I6904" s="224" t="s">
        <v>2</v>
      </c>
    </row>
    <row r="6905" spans="1:9" x14ac:dyDescent="0.25">
      <c r="A6905" s="515">
        <v>85396</v>
      </c>
      <c r="B6905" s="515" t="s">
        <v>563</v>
      </c>
      <c r="C6905" s="52">
        <v>464242.34858469298</v>
      </c>
      <c r="D6905" s="56">
        <v>2.9285926688287455E-2</v>
      </c>
      <c r="E6905" s="224">
        <v>2083.12777777777</v>
      </c>
      <c r="F6905" s="515" t="s">
        <v>8124</v>
      </c>
      <c r="G6905" s="52">
        <v>73241.851011505802</v>
      </c>
      <c r="H6905" s="56">
        <v>2.0151237696713391E-2</v>
      </c>
      <c r="I6905" s="224" t="s">
        <v>2</v>
      </c>
    </row>
    <row r="6906" spans="1:9" x14ac:dyDescent="0.25">
      <c r="A6906" s="515">
        <v>18466</v>
      </c>
      <c r="B6906" s="515" t="s">
        <v>338</v>
      </c>
      <c r="C6906" s="52">
        <v>220788.90632231699</v>
      </c>
      <c r="D6906" s="56">
        <v>0.18182988107527229</v>
      </c>
      <c r="E6906" s="224" t="s">
        <v>2</v>
      </c>
      <c r="F6906" s="515" t="s">
        <v>8125</v>
      </c>
      <c r="G6906" s="52">
        <v>475616.96230903099</v>
      </c>
      <c r="H6906" s="56">
        <v>0.1131418212529926</v>
      </c>
      <c r="I6906" s="224" t="s">
        <v>2</v>
      </c>
    </row>
    <row r="6907" spans="1:9" x14ac:dyDescent="0.25">
      <c r="A6907" s="515">
        <v>46013</v>
      </c>
      <c r="B6907" s="515" t="s">
        <v>403</v>
      </c>
      <c r="C6907" s="52">
        <v>152352.89735310801</v>
      </c>
      <c r="D6907" s="56">
        <v>8.7384383561685111E-2</v>
      </c>
      <c r="E6907" s="224" t="s">
        <v>2</v>
      </c>
      <c r="F6907" s="515" t="s">
        <v>8126</v>
      </c>
      <c r="G6907" s="52">
        <v>528038.72731395997</v>
      </c>
      <c r="H6907" s="56">
        <v>7.7161901234259103E-2</v>
      </c>
      <c r="I6907" s="224" t="s">
        <v>2</v>
      </c>
    </row>
    <row r="6908" spans="1:9" x14ac:dyDescent="0.25">
      <c r="A6908" s="515">
        <v>36305</v>
      </c>
      <c r="B6908" s="515" t="s">
        <v>816</v>
      </c>
      <c r="C6908" s="52">
        <v>238757.20072180699</v>
      </c>
      <c r="D6908" s="56">
        <v>7.4842961153028437E-2</v>
      </c>
      <c r="E6908" s="224" t="s">
        <v>2</v>
      </c>
      <c r="F6908" s="515" t="s">
        <v>8127</v>
      </c>
      <c r="G6908" s="52">
        <v>536643.42294006096</v>
      </c>
      <c r="H6908" s="56">
        <v>0.1098393969790535</v>
      </c>
      <c r="I6908" s="224" t="s">
        <v>2</v>
      </c>
    </row>
    <row r="6909" spans="1:9" x14ac:dyDescent="0.25">
      <c r="A6909" s="515">
        <v>96768</v>
      </c>
      <c r="B6909" s="515" t="s">
        <v>400</v>
      </c>
      <c r="C6909" s="52">
        <v>1014607.69274103</v>
      </c>
      <c r="D6909" s="56">
        <v>0.12528269067696496</v>
      </c>
      <c r="E6909" s="224" t="s">
        <v>2</v>
      </c>
      <c r="F6909" s="515" t="s">
        <v>8128</v>
      </c>
      <c r="G6909" s="52">
        <v>105738.552519826</v>
      </c>
      <c r="H6909" s="56">
        <v>-8.3526610541856172E-2</v>
      </c>
      <c r="I6909" s="224" t="s">
        <v>2</v>
      </c>
    </row>
    <row r="6910" spans="1:9" x14ac:dyDescent="0.25">
      <c r="A6910" s="515">
        <v>35206</v>
      </c>
      <c r="B6910" s="515" t="s">
        <v>640</v>
      </c>
      <c r="C6910" s="52">
        <v>101483.92666817</v>
      </c>
      <c r="D6910" s="56">
        <v>0.10196146726806592</v>
      </c>
      <c r="E6910" s="224">
        <v>1032.24603174603</v>
      </c>
      <c r="F6910" s="515" t="s">
        <v>8129</v>
      </c>
      <c r="G6910" s="52">
        <v>238633.22821842899</v>
      </c>
      <c r="H6910" s="56">
        <v>8.4325312194785146E-2</v>
      </c>
      <c r="I6910" s="224" t="s">
        <v>2</v>
      </c>
    </row>
    <row r="6911" spans="1:9" x14ac:dyDescent="0.25">
      <c r="A6911" s="515">
        <v>75233</v>
      </c>
      <c r="B6911" s="515" t="s">
        <v>458</v>
      </c>
      <c r="C6911" s="52">
        <v>288722.333921374</v>
      </c>
      <c r="D6911" s="56">
        <v>0.10688652338387565</v>
      </c>
      <c r="E6911" s="224" t="s">
        <v>2</v>
      </c>
      <c r="F6911" s="515" t="s">
        <v>8130</v>
      </c>
      <c r="G6911" s="52">
        <v>281434.67009971302</v>
      </c>
      <c r="H6911" s="56">
        <v>7.844767195247021E-2</v>
      </c>
      <c r="I6911" s="224" t="s">
        <v>2</v>
      </c>
    </row>
    <row r="6912" spans="1:9" x14ac:dyDescent="0.25">
      <c r="A6912" s="515">
        <v>64056</v>
      </c>
      <c r="B6912" s="515" t="s">
        <v>455</v>
      </c>
      <c r="C6912" s="52">
        <v>203520.176969436</v>
      </c>
      <c r="D6912" s="56">
        <v>0.11412590102980844</v>
      </c>
      <c r="E6912" s="224">
        <v>1518.3333333333301</v>
      </c>
      <c r="F6912" s="515" t="s">
        <v>8131</v>
      </c>
      <c r="G6912" s="52">
        <v>630027.01784194296</v>
      </c>
      <c r="H6912" s="56">
        <v>3.8382080332826874E-3</v>
      </c>
      <c r="I6912" s="224" t="s">
        <v>2</v>
      </c>
    </row>
    <row r="6913" spans="1:9" x14ac:dyDescent="0.25">
      <c r="A6913" s="515">
        <v>73139</v>
      </c>
      <c r="B6913" s="515" t="s">
        <v>385</v>
      </c>
      <c r="C6913" s="52">
        <v>172129.114810806</v>
      </c>
      <c r="D6913" s="56">
        <v>0.10856654986414464</v>
      </c>
      <c r="E6913" s="224">
        <v>910.55555555555497</v>
      </c>
      <c r="F6913" s="515" t="s">
        <v>8132</v>
      </c>
      <c r="G6913" s="52">
        <v>867000.11909662501</v>
      </c>
      <c r="H6913" s="56">
        <v>3.4867948829514578E-2</v>
      </c>
      <c r="I6913" s="224" t="s">
        <v>2</v>
      </c>
    </row>
    <row r="6914" spans="1:9" x14ac:dyDescent="0.25">
      <c r="A6914" s="515">
        <v>19440</v>
      </c>
      <c r="B6914" s="515" t="s">
        <v>294</v>
      </c>
      <c r="C6914" s="52">
        <v>416424.83916168899</v>
      </c>
      <c r="D6914" s="56">
        <v>8.4469843082112486E-2</v>
      </c>
      <c r="E6914" s="224">
        <v>1833.75</v>
      </c>
      <c r="F6914" s="515" t="s">
        <v>8133</v>
      </c>
      <c r="G6914" s="52">
        <v>253679.700863801</v>
      </c>
      <c r="H6914" s="56">
        <v>5.7415776584027786E-2</v>
      </c>
      <c r="I6914" s="224" t="s">
        <v>2</v>
      </c>
    </row>
    <row r="6915" spans="1:9" x14ac:dyDescent="0.25">
      <c r="A6915" s="515">
        <v>13413</v>
      </c>
      <c r="B6915" s="515" t="s">
        <v>543</v>
      </c>
      <c r="C6915" s="52">
        <v>249450.60737517601</v>
      </c>
      <c r="D6915" s="56">
        <v>8.5203010854879122E-2</v>
      </c>
      <c r="E6915" s="224" t="s">
        <v>2</v>
      </c>
      <c r="F6915" s="515" t="s">
        <v>8134</v>
      </c>
      <c r="G6915" s="52">
        <v>356807.94716659299</v>
      </c>
      <c r="H6915" s="56">
        <v>0.44580321260050765</v>
      </c>
      <c r="I6915" s="224" t="s">
        <v>2</v>
      </c>
    </row>
    <row r="6916" spans="1:9" x14ac:dyDescent="0.25">
      <c r="A6916" s="515">
        <v>28036</v>
      </c>
      <c r="B6916" s="515" t="s">
        <v>360</v>
      </c>
      <c r="C6916" s="52">
        <v>556445.38431412098</v>
      </c>
      <c r="D6916" s="56">
        <v>8.1629659747758224E-2</v>
      </c>
      <c r="E6916" s="224">
        <v>2047.5833333333301</v>
      </c>
      <c r="F6916" s="515" t="s">
        <v>8135</v>
      </c>
      <c r="G6916" s="52">
        <v>234362.45940960001</v>
      </c>
      <c r="H6916" s="56">
        <v>8.9765601788866431E-2</v>
      </c>
      <c r="I6916" s="224" t="s">
        <v>2</v>
      </c>
    </row>
    <row r="6917" spans="1:9" x14ac:dyDescent="0.25">
      <c r="A6917" s="515">
        <v>10549</v>
      </c>
      <c r="B6917" s="515" t="s">
        <v>324</v>
      </c>
      <c r="C6917" s="52">
        <v>764955.63514951698</v>
      </c>
      <c r="D6917" s="56">
        <v>4.887724486044568E-2</v>
      </c>
      <c r="E6917" s="224" t="s">
        <v>2</v>
      </c>
      <c r="F6917" s="515" t="s">
        <v>8136</v>
      </c>
      <c r="G6917" s="52">
        <v>257702.28936859401</v>
      </c>
      <c r="H6917" s="56">
        <v>6.0360181120853611E-2</v>
      </c>
      <c r="I6917" s="224" t="s">
        <v>2</v>
      </c>
    </row>
    <row r="6918" spans="1:9" x14ac:dyDescent="0.25">
      <c r="A6918" s="515">
        <v>80621</v>
      </c>
      <c r="B6918" s="515" t="s">
        <v>382</v>
      </c>
      <c r="C6918" s="52">
        <v>454336.538975609</v>
      </c>
      <c r="D6918" s="56">
        <v>6.6882043559716289E-2</v>
      </c>
      <c r="E6918" s="224" t="s">
        <v>2</v>
      </c>
      <c r="F6918" s="515" t="s">
        <v>8137</v>
      </c>
      <c r="G6918" s="52">
        <v>180665.572252151</v>
      </c>
      <c r="H6918" s="56">
        <v>6.2882591445375002E-2</v>
      </c>
      <c r="I6918" s="224" t="s">
        <v>2</v>
      </c>
    </row>
    <row r="6919" spans="1:9" x14ac:dyDescent="0.25">
      <c r="A6919" s="515">
        <v>7733</v>
      </c>
      <c r="B6919" s="515" t="s">
        <v>324</v>
      </c>
      <c r="C6919" s="52">
        <v>856668.04576769902</v>
      </c>
      <c r="D6919" s="56">
        <v>5.307933847083468E-2</v>
      </c>
      <c r="E6919" s="224">
        <v>3533.3333333333298</v>
      </c>
      <c r="F6919" s="515" t="s">
        <v>8138</v>
      </c>
      <c r="G6919" s="52">
        <v>434054.91917111701</v>
      </c>
      <c r="H6919" s="56">
        <v>9.8119897098050093E-2</v>
      </c>
      <c r="I6919" s="224" t="s">
        <v>2</v>
      </c>
    </row>
    <row r="6920" spans="1:9" x14ac:dyDescent="0.25">
      <c r="A6920" s="515">
        <v>63601</v>
      </c>
      <c r="B6920" s="515" t="s">
        <v>817</v>
      </c>
      <c r="C6920" s="52">
        <v>132525.181908292</v>
      </c>
      <c r="D6920" s="56">
        <v>0.1249509234013752</v>
      </c>
      <c r="E6920" s="224" t="s">
        <v>2</v>
      </c>
      <c r="F6920" s="515" t="s">
        <v>8139</v>
      </c>
      <c r="G6920" s="52">
        <v>284057.79906652501</v>
      </c>
      <c r="H6920" s="56">
        <v>6.418117074124649E-2</v>
      </c>
      <c r="I6920" s="224" t="s">
        <v>2</v>
      </c>
    </row>
    <row r="6921" spans="1:9" x14ac:dyDescent="0.25">
      <c r="A6921" s="515">
        <v>85641</v>
      </c>
      <c r="B6921" s="515" t="s">
        <v>368</v>
      </c>
      <c r="C6921" s="52">
        <v>404193.45275616599</v>
      </c>
      <c r="D6921" s="56">
        <v>4.0944400886023455E-2</v>
      </c>
      <c r="E6921" s="224">
        <v>1962.2222222222199</v>
      </c>
      <c r="F6921" s="515" t="s">
        <v>8140</v>
      </c>
      <c r="G6921" s="52">
        <v>247926.43830501501</v>
      </c>
      <c r="H6921" s="56">
        <v>7.977270306594765E-2</v>
      </c>
      <c r="I6921" s="224" t="s">
        <v>2</v>
      </c>
    </row>
    <row r="6922" spans="1:9" x14ac:dyDescent="0.25">
      <c r="A6922" s="515">
        <v>32433</v>
      </c>
      <c r="B6922" s="515" t="s">
        <v>1078</v>
      </c>
      <c r="C6922" s="52">
        <v>228191.95258025901</v>
      </c>
      <c r="D6922" s="56">
        <v>0.14660092291897256</v>
      </c>
      <c r="E6922" s="224" t="s">
        <v>2</v>
      </c>
      <c r="F6922" s="515" t="s">
        <v>8141</v>
      </c>
      <c r="G6922" s="52">
        <v>271265.385736431</v>
      </c>
      <c r="H6922" s="56">
        <v>7.0977017248595134E-2</v>
      </c>
      <c r="I6922" s="224" t="s">
        <v>2</v>
      </c>
    </row>
    <row r="6923" spans="1:9" x14ac:dyDescent="0.25">
      <c r="A6923" s="515">
        <v>55391</v>
      </c>
      <c r="B6923" s="515" t="s">
        <v>532</v>
      </c>
      <c r="C6923" s="52">
        <v>818140.40055555699</v>
      </c>
      <c r="D6923" s="56">
        <v>7.5060609876691595E-2</v>
      </c>
      <c r="E6923" s="224">
        <v>2597.5</v>
      </c>
      <c r="F6923" s="515" t="s">
        <v>8142</v>
      </c>
      <c r="G6923" s="52">
        <v>648745.33120776003</v>
      </c>
      <c r="H6923" s="56">
        <v>3.8883115554176673E-2</v>
      </c>
      <c r="I6923" s="224" t="s">
        <v>2</v>
      </c>
    </row>
    <row r="6924" spans="1:9" x14ac:dyDescent="0.25">
      <c r="A6924" s="515">
        <v>63049</v>
      </c>
      <c r="B6924" s="515" t="s">
        <v>498</v>
      </c>
      <c r="C6924" s="52">
        <v>220854.20564312901</v>
      </c>
      <c r="D6924" s="56">
        <v>4.6180642166312603E-2</v>
      </c>
      <c r="E6924" s="224" t="s">
        <v>2</v>
      </c>
      <c r="F6924" s="515" t="s">
        <v>8143</v>
      </c>
      <c r="G6924" s="52">
        <v>485795.73215771001</v>
      </c>
      <c r="H6924" s="56">
        <v>5.3603052906213214E-3</v>
      </c>
      <c r="I6924" s="224">
        <v>2600</v>
      </c>
    </row>
    <row r="6925" spans="1:9" x14ac:dyDescent="0.25">
      <c r="A6925" s="515">
        <v>91361</v>
      </c>
      <c r="B6925" s="515" t="s">
        <v>1021</v>
      </c>
      <c r="C6925" s="52">
        <v>1349712.03463527</v>
      </c>
      <c r="D6925" s="56">
        <v>5.2771032040829821E-2</v>
      </c>
      <c r="E6925" s="224">
        <v>3617.2222222222199</v>
      </c>
      <c r="F6925" s="515" t="s">
        <v>8144</v>
      </c>
      <c r="G6925" s="52">
        <v>134952.992200423</v>
      </c>
      <c r="H6925" s="56">
        <v>0.1324952928445646</v>
      </c>
      <c r="I6925" s="224" t="s">
        <v>2</v>
      </c>
    </row>
    <row r="6926" spans="1:9" x14ac:dyDescent="0.25">
      <c r="A6926" s="515">
        <v>20871</v>
      </c>
      <c r="B6926" s="515" t="s">
        <v>321</v>
      </c>
      <c r="C6926" s="52">
        <v>592979.90807303996</v>
      </c>
      <c r="D6926" s="56">
        <v>2.7212489300501682E-2</v>
      </c>
      <c r="E6926" s="224" t="s">
        <v>2</v>
      </c>
      <c r="F6926" s="515" t="s">
        <v>8145</v>
      </c>
      <c r="G6926" s="52">
        <v>300163.86753162002</v>
      </c>
      <c r="H6926" s="56">
        <v>8.752321473429342E-2</v>
      </c>
      <c r="I6926" s="224" t="s">
        <v>2</v>
      </c>
    </row>
    <row r="6927" spans="1:9" x14ac:dyDescent="0.25">
      <c r="A6927" s="515">
        <v>48033</v>
      </c>
      <c r="B6927" s="515" t="s">
        <v>685</v>
      </c>
      <c r="C6927" s="52">
        <v>202022.6727655</v>
      </c>
      <c r="D6927" s="56">
        <v>4.3188729058765252E-2</v>
      </c>
      <c r="E6927" s="224">
        <v>1479.2777777777701</v>
      </c>
      <c r="F6927" s="515" t="s">
        <v>8146</v>
      </c>
      <c r="G6927" s="52">
        <v>135920.41545940199</v>
      </c>
      <c r="H6927" s="56">
        <v>8.576677780186874E-2</v>
      </c>
      <c r="I6927" s="224" t="s">
        <v>2</v>
      </c>
    </row>
    <row r="6928" spans="1:9" x14ac:dyDescent="0.25">
      <c r="A6928" s="515">
        <v>66209</v>
      </c>
      <c r="B6928" s="515" t="s">
        <v>455</v>
      </c>
      <c r="C6928" s="52">
        <v>567084.62347999006</v>
      </c>
      <c r="D6928" s="56">
        <v>5.9512396912200331E-2</v>
      </c>
      <c r="E6928" s="224">
        <v>1428.98888888888</v>
      </c>
      <c r="F6928" s="515" t="s">
        <v>8147</v>
      </c>
      <c r="G6928" s="52">
        <v>308569.029526914</v>
      </c>
      <c r="H6928" s="56">
        <v>3.4092070339356843E-2</v>
      </c>
      <c r="I6928" s="224" t="s">
        <v>2</v>
      </c>
    </row>
    <row r="6929" spans="1:9" x14ac:dyDescent="0.25">
      <c r="A6929" s="515">
        <v>38019</v>
      </c>
      <c r="B6929" s="515" t="s">
        <v>951</v>
      </c>
      <c r="C6929" s="52">
        <v>164851.979740643</v>
      </c>
      <c r="D6929" s="56">
        <v>8.0212534353743078E-2</v>
      </c>
      <c r="E6929" s="224" t="s">
        <v>2</v>
      </c>
      <c r="F6929" s="515" t="s">
        <v>8148</v>
      </c>
      <c r="G6929" s="52">
        <v>225911.89700832599</v>
      </c>
      <c r="H6929" s="56">
        <v>3.0968290994469856E-2</v>
      </c>
      <c r="I6929" s="224" t="s">
        <v>2</v>
      </c>
    </row>
    <row r="6930" spans="1:9" x14ac:dyDescent="0.25">
      <c r="A6930" s="515">
        <v>35473</v>
      </c>
      <c r="B6930" s="515" t="s">
        <v>841</v>
      </c>
      <c r="C6930" s="52">
        <v>247295.192860062</v>
      </c>
      <c r="D6930" s="56">
        <v>7.3265953457724839E-2</v>
      </c>
      <c r="E6930" s="224" t="s">
        <v>2</v>
      </c>
      <c r="F6930" s="515" t="s">
        <v>8149</v>
      </c>
      <c r="G6930" s="52">
        <v>334354.90607678698</v>
      </c>
      <c r="H6930" s="56">
        <v>7.7494945241129237E-2</v>
      </c>
      <c r="I6930" s="224" t="s">
        <v>2</v>
      </c>
    </row>
    <row r="6931" spans="1:9" x14ac:dyDescent="0.25">
      <c r="A6931" s="515">
        <v>60433</v>
      </c>
      <c r="B6931" s="515" t="s">
        <v>394</v>
      </c>
      <c r="C6931" s="52">
        <v>154017.49307031801</v>
      </c>
      <c r="D6931" s="56">
        <v>7.3387705896023919E-2</v>
      </c>
      <c r="E6931" s="224" t="s">
        <v>2</v>
      </c>
      <c r="F6931" s="515" t="s">
        <v>8150</v>
      </c>
      <c r="G6931" s="52">
        <v>81230.275514044493</v>
      </c>
      <c r="H6931" s="56">
        <v>0.13042473420475098</v>
      </c>
      <c r="I6931" s="224" t="s">
        <v>2</v>
      </c>
    </row>
    <row r="6932" spans="1:9" x14ac:dyDescent="0.25">
      <c r="A6932" s="515">
        <v>35903</v>
      </c>
      <c r="B6932" s="515" t="s">
        <v>978</v>
      </c>
      <c r="C6932" s="52">
        <v>108167.75407306</v>
      </c>
      <c r="D6932" s="56">
        <v>6.0514654462275143E-2</v>
      </c>
      <c r="E6932" s="224" t="s">
        <v>2</v>
      </c>
      <c r="F6932" s="515" t="s">
        <v>8151</v>
      </c>
      <c r="G6932" s="52">
        <v>803433.378220618</v>
      </c>
      <c r="H6932" s="56">
        <v>4.3100519019108142E-2</v>
      </c>
      <c r="I6932" s="224" t="s">
        <v>2</v>
      </c>
    </row>
    <row r="6933" spans="1:9" x14ac:dyDescent="0.25">
      <c r="A6933" s="515">
        <v>44092</v>
      </c>
      <c r="B6933" s="515" t="s">
        <v>520</v>
      </c>
      <c r="C6933" s="52">
        <v>169731.807956745</v>
      </c>
      <c r="D6933" s="56">
        <v>6.8252344579579183E-2</v>
      </c>
      <c r="E6933" s="224" t="s">
        <v>2</v>
      </c>
      <c r="F6933" s="515" t="s">
        <v>8152</v>
      </c>
      <c r="G6933" s="52">
        <v>56189.662394789397</v>
      </c>
      <c r="H6933" s="56">
        <v>0.11011346316089521</v>
      </c>
      <c r="I6933" s="224" t="s">
        <v>2</v>
      </c>
    </row>
    <row r="6934" spans="1:9" x14ac:dyDescent="0.25">
      <c r="A6934" s="515">
        <v>90701</v>
      </c>
      <c r="B6934" s="515" t="s">
        <v>375</v>
      </c>
      <c r="C6934" s="52">
        <v>723893.78709279001</v>
      </c>
      <c r="D6934" s="56">
        <v>4.9432072663078495E-2</v>
      </c>
      <c r="E6934" s="224" t="s">
        <v>2</v>
      </c>
      <c r="F6934" s="515" t="s">
        <v>8153</v>
      </c>
      <c r="G6934" s="52">
        <v>129931.04676282</v>
      </c>
      <c r="H6934" s="56">
        <v>-6.3430015959409025E-3</v>
      </c>
      <c r="I6934" s="224" t="s">
        <v>2</v>
      </c>
    </row>
    <row r="6935" spans="1:9" x14ac:dyDescent="0.25">
      <c r="A6935" s="515">
        <v>58401</v>
      </c>
      <c r="B6935" s="515" t="s">
        <v>732</v>
      </c>
      <c r="C6935" s="52">
        <v>192834.43219293701</v>
      </c>
      <c r="D6935" s="56">
        <v>5.9428528712902919E-2</v>
      </c>
      <c r="E6935" s="224">
        <v>689.33333333333303</v>
      </c>
      <c r="F6935" s="515" t="s">
        <v>8154</v>
      </c>
      <c r="G6935" s="52">
        <v>330508.29154671403</v>
      </c>
      <c r="H6935" s="56">
        <v>5.0492780573358091E-2</v>
      </c>
      <c r="I6935" s="224" t="s">
        <v>2</v>
      </c>
    </row>
    <row r="6936" spans="1:9" x14ac:dyDescent="0.25">
      <c r="A6936" s="515">
        <v>18040</v>
      </c>
      <c r="B6936" s="515" t="s">
        <v>327</v>
      </c>
      <c r="C6936" s="52">
        <v>362945.37893315102</v>
      </c>
      <c r="D6936" s="56">
        <v>9.0553432812934931E-2</v>
      </c>
      <c r="E6936" s="224" t="s">
        <v>2</v>
      </c>
      <c r="F6936" s="515" t="s">
        <v>8155</v>
      </c>
      <c r="G6936" s="52">
        <v>338798.76702240697</v>
      </c>
      <c r="H6936" s="56">
        <v>4.6275705395564304E-2</v>
      </c>
      <c r="I6936" s="224" t="s">
        <v>2</v>
      </c>
    </row>
    <row r="6937" spans="1:9" x14ac:dyDescent="0.25">
      <c r="A6937" s="515">
        <v>45205</v>
      </c>
      <c r="B6937" s="515" t="s">
        <v>344</v>
      </c>
      <c r="C6937" s="52">
        <v>115662.542457911</v>
      </c>
      <c r="D6937" s="56">
        <v>2.334454209233669E-2</v>
      </c>
      <c r="E6937" s="224">
        <v>1221.94444444444</v>
      </c>
      <c r="F6937" s="515" t="s">
        <v>8156</v>
      </c>
      <c r="G6937" s="52">
        <v>536789.48513425898</v>
      </c>
      <c r="H6937" s="56">
        <v>4.0405565301401374E-2</v>
      </c>
      <c r="I6937" s="224" t="s">
        <v>2</v>
      </c>
    </row>
    <row r="6938" spans="1:9" x14ac:dyDescent="0.25">
      <c r="A6938" s="515">
        <v>32408</v>
      </c>
      <c r="B6938" s="515" t="s">
        <v>1160</v>
      </c>
      <c r="C6938" s="52">
        <v>416966.53013627202</v>
      </c>
      <c r="D6938" s="56">
        <v>0.13632784724583374</v>
      </c>
      <c r="E6938" s="224">
        <v>1916.6666666666599</v>
      </c>
      <c r="F6938" s="515" t="s">
        <v>8157</v>
      </c>
      <c r="G6938" s="52">
        <v>453425.58547922102</v>
      </c>
      <c r="H6938" s="56">
        <v>9.6289159730145471E-2</v>
      </c>
      <c r="I6938" s="224" t="s">
        <v>2</v>
      </c>
    </row>
    <row r="6939" spans="1:9" x14ac:dyDescent="0.25">
      <c r="A6939" s="515">
        <v>37208</v>
      </c>
      <c r="B6939" s="515" t="s">
        <v>684</v>
      </c>
      <c r="C6939" s="52">
        <v>462369.81432553497</v>
      </c>
      <c r="D6939" s="56">
        <v>0.13688040882824626</v>
      </c>
      <c r="E6939" s="224">
        <v>2063.4236111111099</v>
      </c>
      <c r="F6939" s="515" t="s">
        <v>8158</v>
      </c>
      <c r="G6939" s="52">
        <v>138489.09128253601</v>
      </c>
      <c r="H6939" s="56">
        <v>0.19261723181959087</v>
      </c>
      <c r="I6939" s="224" t="s">
        <v>2</v>
      </c>
    </row>
    <row r="6940" spans="1:9" x14ac:dyDescent="0.25">
      <c r="A6940" s="515">
        <v>31029</v>
      </c>
      <c r="B6940" s="515" t="s">
        <v>995</v>
      </c>
      <c r="C6940" s="52">
        <v>243528.010542064</v>
      </c>
      <c r="D6940" s="56">
        <v>8.4503120700511525E-2</v>
      </c>
      <c r="E6940" s="224" t="s">
        <v>2</v>
      </c>
      <c r="F6940" s="515" t="s">
        <v>8159</v>
      </c>
      <c r="G6940" s="52">
        <v>283294.45942775899</v>
      </c>
      <c r="H6940" s="56">
        <v>5.4593014345803936E-2</v>
      </c>
      <c r="I6940" s="224">
        <v>1468.6666666666599</v>
      </c>
    </row>
    <row r="6941" spans="1:9" x14ac:dyDescent="0.25">
      <c r="A6941" s="515">
        <v>22025</v>
      </c>
      <c r="B6941" s="515" t="s">
        <v>321</v>
      </c>
      <c r="C6941" s="52">
        <v>509004.21683777001</v>
      </c>
      <c r="D6941" s="56">
        <v>3.6856772774239183E-2</v>
      </c>
      <c r="E6941" s="224" t="s">
        <v>2</v>
      </c>
      <c r="F6941" s="515" t="s">
        <v>8160</v>
      </c>
      <c r="G6941" s="52">
        <v>284608.05527450802</v>
      </c>
      <c r="H6941" s="56">
        <v>2.5337005472286116E-2</v>
      </c>
      <c r="I6941" s="224" t="s">
        <v>2</v>
      </c>
    </row>
    <row r="6942" spans="1:9" x14ac:dyDescent="0.25">
      <c r="A6942" s="515">
        <v>49004</v>
      </c>
      <c r="B6942" s="515" t="s">
        <v>1037</v>
      </c>
      <c r="C6942" s="52">
        <v>188209.98115935401</v>
      </c>
      <c r="D6942" s="56">
        <v>5.444639615507435E-2</v>
      </c>
      <c r="E6942" s="224" t="s">
        <v>2</v>
      </c>
      <c r="F6942" s="515" t="s">
        <v>8161</v>
      </c>
      <c r="G6942" s="52">
        <v>425437.19313625997</v>
      </c>
      <c r="H6942" s="56">
        <v>3.9144562005731215E-2</v>
      </c>
      <c r="I6942" s="224">
        <v>2065</v>
      </c>
    </row>
    <row r="6943" spans="1:9" x14ac:dyDescent="0.25">
      <c r="A6943" s="515">
        <v>37909</v>
      </c>
      <c r="B6943" s="515" t="s">
        <v>907</v>
      </c>
      <c r="C6943" s="52">
        <v>328445.65956047102</v>
      </c>
      <c r="D6943" s="56">
        <v>0.12252174347265379</v>
      </c>
      <c r="E6943" s="224" t="s">
        <v>2</v>
      </c>
      <c r="F6943" s="515" t="s">
        <v>8162</v>
      </c>
      <c r="G6943" s="52">
        <v>345437.126515479</v>
      </c>
      <c r="H6943" s="56">
        <v>4.6122517039563833E-2</v>
      </c>
      <c r="I6943" s="224" t="s">
        <v>2</v>
      </c>
    </row>
    <row r="6944" spans="1:9" x14ac:dyDescent="0.25">
      <c r="A6944" s="515">
        <v>48323</v>
      </c>
      <c r="B6944" s="515" t="s">
        <v>685</v>
      </c>
      <c r="C6944" s="52">
        <v>444851.050008272</v>
      </c>
      <c r="D6944" s="56">
        <v>3.7828891725004719E-2</v>
      </c>
      <c r="E6944" s="224" t="s">
        <v>2</v>
      </c>
      <c r="F6944" s="515" t="s">
        <v>8163</v>
      </c>
      <c r="G6944" s="52">
        <v>171232.55593784701</v>
      </c>
      <c r="H6944" s="56">
        <v>5.1883278188918108E-2</v>
      </c>
      <c r="I6944" s="224" t="s">
        <v>2</v>
      </c>
    </row>
    <row r="6945" spans="1:9" x14ac:dyDescent="0.25">
      <c r="A6945" s="515">
        <v>11575</v>
      </c>
      <c r="B6945" s="515" t="s">
        <v>324</v>
      </c>
      <c r="C6945" s="52">
        <v>486217.64556843502</v>
      </c>
      <c r="D6945" s="56">
        <v>6.7683233114075522E-2</v>
      </c>
      <c r="E6945" s="224" t="s">
        <v>2</v>
      </c>
      <c r="F6945" s="515" t="s">
        <v>8164</v>
      </c>
      <c r="G6945" s="52">
        <v>247304.99857890001</v>
      </c>
      <c r="H6945" s="56">
        <v>9.9794606659914506E-2</v>
      </c>
      <c r="I6945" s="224" t="s">
        <v>2</v>
      </c>
    </row>
    <row r="6946" spans="1:9" x14ac:dyDescent="0.25">
      <c r="A6946" s="515">
        <v>65270</v>
      </c>
      <c r="B6946" s="515" t="s">
        <v>790</v>
      </c>
      <c r="C6946" s="52">
        <v>122132.07140748401</v>
      </c>
      <c r="D6946" s="56">
        <v>0.10135057422581924</v>
      </c>
      <c r="E6946" s="224" t="s">
        <v>2</v>
      </c>
      <c r="F6946" s="515" t="s">
        <v>8165</v>
      </c>
      <c r="G6946" s="52">
        <v>267534.77834752202</v>
      </c>
      <c r="H6946" s="56">
        <v>8.047837930841252E-2</v>
      </c>
      <c r="I6946" s="224" t="s">
        <v>2</v>
      </c>
    </row>
    <row r="6947" spans="1:9" x14ac:dyDescent="0.25">
      <c r="A6947" s="515">
        <v>35016</v>
      </c>
      <c r="B6947" s="515" t="s">
        <v>1182</v>
      </c>
      <c r="C6947" s="52">
        <v>203523.32192719399</v>
      </c>
      <c r="D6947" s="56">
        <v>7.476787718690979E-2</v>
      </c>
      <c r="E6947" s="224" t="s">
        <v>2</v>
      </c>
      <c r="F6947" s="515" t="s">
        <v>312</v>
      </c>
      <c r="G6947" s="52">
        <v>232034.57971558499</v>
      </c>
      <c r="H6947" s="56">
        <v>0.13545169587027783</v>
      </c>
      <c r="I6947" s="224" t="s">
        <v>2</v>
      </c>
    </row>
    <row r="6948" spans="1:9" x14ac:dyDescent="0.25">
      <c r="A6948" s="515">
        <v>55437</v>
      </c>
      <c r="B6948" s="515" t="s">
        <v>532</v>
      </c>
      <c r="C6948" s="52">
        <v>367085.129850108</v>
      </c>
      <c r="D6948" s="56">
        <v>3.832973805513671E-2</v>
      </c>
      <c r="E6948" s="224">
        <v>1595.3952380952301</v>
      </c>
      <c r="F6948" s="515" t="s">
        <v>8166</v>
      </c>
      <c r="G6948" s="52">
        <v>220081.194550505</v>
      </c>
      <c r="H6948" s="56">
        <v>8.8298986384506686E-2</v>
      </c>
      <c r="I6948" s="224" t="s">
        <v>2</v>
      </c>
    </row>
    <row r="6949" spans="1:9" x14ac:dyDescent="0.25">
      <c r="A6949" s="515">
        <v>19512</v>
      </c>
      <c r="B6949" s="515" t="s">
        <v>569</v>
      </c>
      <c r="C6949" s="52">
        <v>275127.91058275098</v>
      </c>
      <c r="D6949" s="56">
        <v>0.10037006187594526</v>
      </c>
      <c r="E6949" s="224" t="s">
        <v>2</v>
      </c>
      <c r="F6949" s="515" t="s">
        <v>8167</v>
      </c>
      <c r="G6949" s="52">
        <v>119309.40672389499</v>
      </c>
      <c r="H6949" s="56">
        <v>4.6392971077089333E-2</v>
      </c>
      <c r="I6949" s="224" t="s">
        <v>2</v>
      </c>
    </row>
    <row r="6950" spans="1:9" x14ac:dyDescent="0.25">
      <c r="A6950" s="515">
        <v>70128</v>
      </c>
      <c r="B6950" s="515" t="s">
        <v>777</v>
      </c>
      <c r="C6950" s="52">
        <v>194939.86618970599</v>
      </c>
      <c r="D6950" s="56">
        <v>5.6478469422823932E-2</v>
      </c>
      <c r="E6950" s="224" t="s">
        <v>2</v>
      </c>
      <c r="F6950" s="515" t="s">
        <v>8168</v>
      </c>
      <c r="G6950" s="52">
        <v>207074.19214286699</v>
      </c>
      <c r="H6950" s="56">
        <v>7.5151707682035787E-2</v>
      </c>
      <c r="I6950" s="224" t="s">
        <v>2</v>
      </c>
    </row>
    <row r="6951" spans="1:9" x14ac:dyDescent="0.25">
      <c r="A6951" s="515">
        <v>74447</v>
      </c>
      <c r="B6951" s="515" t="s">
        <v>348</v>
      </c>
      <c r="C6951" s="52">
        <v>88241.357338601403</v>
      </c>
      <c r="D6951" s="56">
        <v>0.20053200805108318</v>
      </c>
      <c r="E6951" s="224" t="s">
        <v>2</v>
      </c>
      <c r="F6951" s="515" t="s">
        <v>8169</v>
      </c>
      <c r="G6951" s="52">
        <v>163985.10999736399</v>
      </c>
      <c r="H6951" s="56">
        <v>-3.8319912414700942E-3</v>
      </c>
      <c r="I6951" s="224" t="s">
        <v>2</v>
      </c>
    </row>
    <row r="6952" spans="1:9" x14ac:dyDescent="0.25">
      <c r="A6952" s="515">
        <v>78133</v>
      </c>
      <c r="B6952" s="515" t="s">
        <v>717</v>
      </c>
      <c r="C6952" s="52">
        <v>407558.75087544101</v>
      </c>
      <c r="D6952" s="56">
        <v>9.0147039920926389E-2</v>
      </c>
      <c r="E6952" s="224" t="s">
        <v>2</v>
      </c>
      <c r="F6952" s="515" t="s">
        <v>8170</v>
      </c>
      <c r="G6952" s="52">
        <v>96751.228563336903</v>
      </c>
      <c r="H6952" s="56">
        <v>4.1470359324756477E-2</v>
      </c>
      <c r="I6952" s="224" t="s">
        <v>2</v>
      </c>
    </row>
    <row r="6953" spans="1:9" x14ac:dyDescent="0.25">
      <c r="A6953" s="515">
        <v>11788</v>
      </c>
      <c r="B6953" s="515" t="s">
        <v>324</v>
      </c>
      <c r="C6953" s="52">
        <v>644828.64637406298</v>
      </c>
      <c r="D6953" s="56">
        <v>5.9501760503073944E-2</v>
      </c>
      <c r="E6953" s="224">
        <v>2813.3333333333298</v>
      </c>
      <c r="F6953" s="515" t="s">
        <v>8171</v>
      </c>
      <c r="G6953" s="52">
        <v>500858.46782555903</v>
      </c>
      <c r="H6953" s="56">
        <v>0.11178085182610201</v>
      </c>
      <c r="I6953" s="224" t="s">
        <v>2</v>
      </c>
    </row>
    <row r="6954" spans="1:9" x14ac:dyDescent="0.25">
      <c r="A6954" s="515">
        <v>1550</v>
      </c>
      <c r="B6954" s="515" t="s">
        <v>751</v>
      </c>
      <c r="C6954" s="52">
        <v>313516.655573725</v>
      </c>
      <c r="D6954" s="56">
        <v>9.4186099433383949E-2</v>
      </c>
      <c r="E6954" s="224" t="s">
        <v>2</v>
      </c>
      <c r="F6954" s="515" t="s">
        <v>8172</v>
      </c>
      <c r="G6954" s="52">
        <v>222988.72196068201</v>
      </c>
      <c r="H6954" s="56">
        <v>7.1291651830427044E-2</v>
      </c>
      <c r="I6954" s="224" t="s">
        <v>2</v>
      </c>
    </row>
    <row r="6955" spans="1:9" x14ac:dyDescent="0.25">
      <c r="A6955" s="515">
        <v>77318</v>
      </c>
      <c r="B6955" s="515" t="s">
        <v>314</v>
      </c>
      <c r="C6955" s="52">
        <v>318847.16999389703</v>
      </c>
      <c r="D6955" s="56">
        <v>7.8463027190484314E-2</v>
      </c>
      <c r="E6955" s="224" t="s">
        <v>2</v>
      </c>
      <c r="F6955" s="515" t="s">
        <v>8173</v>
      </c>
      <c r="G6955" s="52">
        <v>180694.83183057301</v>
      </c>
      <c r="H6955" s="56">
        <v>5.9728017864943105E-2</v>
      </c>
      <c r="I6955" s="224" t="s">
        <v>2</v>
      </c>
    </row>
    <row r="6956" spans="1:9" x14ac:dyDescent="0.25">
      <c r="A6956" s="515">
        <v>7079</v>
      </c>
      <c r="B6956" s="515" t="s">
        <v>324</v>
      </c>
      <c r="C6956" s="52">
        <v>797063.98011698597</v>
      </c>
      <c r="D6956" s="56">
        <v>6.6560812350486179E-2</v>
      </c>
      <c r="E6956" s="224">
        <v>3012.1904761904698</v>
      </c>
      <c r="F6956" s="515" t="s">
        <v>8174</v>
      </c>
      <c r="G6956" s="52">
        <v>216102.65103921201</v>
      </c>
      <c r="H6956" s="56">
        <v>0.14035630138295441</v>
      </c>
      <c r="I6956" s="224" t="s">
        <v>2</v>
      </c>
    </row>
    <row r="6957" spans="1:9" x14ac:dyDescent="0.25">
      <c r="A6957" s="515">
        <v>44833</v>
      </c>
      <c r="B6957" s="515" t="s">
        <v>516</v>
      </c>
      <c r="C6957" s="52">
        <v>129200.015422485</v>
      </c>
      <c r="D6957" s="56">
        <v>0.11634415251963739</v>
      </c>
      <c r="E6957" s="224" t="s">
        <v>2</v>
      </c>
      <c r="F6957" s="515" t="s">
        <v>8175</v>
      </c>
      <c r="G6957" s="52">
        <v>331090.092071102</v>
      </c>
      <c r="H6957" s="56">
        <v>8.1504775200498925E-2</v>
      </c>
      <c r="I6957" s="224" t="s">
        <v>2</v>
      </c>
    </row>
    <row r="6958" spans="1:9" x14ac:dyDescent="0.25">
      <c r="A6958" s="515">
        <v>4073</v>
      </c>
      <c r="B6958" s="515" t="s">
        <v>570</v>
      </c>
      <c r="C6958" s="52">
        <v>305070.03176399902</v>
      </c>
      <c r="D6958" s="56">
        <v>8.252504161715854E-2</v>
      </c>
      <c r="E6958" s="224" t="s">
        <v>2</v>
      </c>
      <c r="F6958" s="515" t="s">
        <v>8176</v>
      </c>
      <c r="G6958" s="52">
        <v>284913.55099830002</v>
      </c>
      <c r="H6958" s="56">
        <v>7.3395865371325298E-3</v>
      </c>
      <c r="I6958" s="224" t="s">
        <v>2</v>
      </c>
    </row>
    <row r="6959" spans="1:9" x14ac:dyDescent="0.25">
      <c r="A6959" s="515">
        <v>19126</v>
      </c>
      <c r="B6959" s="515" t="s">
        <v>294</v>
      </c>
      <c r="C6959" s="52">
        <v>211636.34276571299</v>
      </c>
      <c r="D6959" s="56">
        <v>3.8673921345337273E-2</v>
      </c>
      <c r="E6959" s="224">
        <v>1307.5</v>
      </c>
      <c r="F6959" s="515" t="s">
        <v>8177</v>
      </c>
      <c r="G6959" s="52">
        <v>159204.60819106101</v>
      </c>
      <c r="H6959" s="56">
        <v>5.4306441470279097E-2</v>
      </c>
      <c r="I6959" s="224" t="s">
        <v>2</v>
      </c>
    </row>
    <row r="6960" spans="1:9" x14ac:dyDescent="0.25">
      <c r="A6960" s="515">
        <v>39560</v>
      </c>
      <c r="B6960" s="515" t="s">
        <v>963</v>
      </c>
      <c r="C6960" s="52">
        <v>207271.01720486401</v>
      </c>
      <c r="D6960" s="56">
        <v>7.9043993401739773E-2</v>
      </c>
      <c r="E6960" s="224" t="s">
        <v>2</v>
      </c>
      <c r="F6960" s="515" t="s">
        <v>8178</v>
      </c>
      <c r="G6960" s="52">
        <v>155316.56864826899</v>
      </c>
      <c r="H6960" s="56">
        <v>1.6045087507762536E-2</v>
      </c>
      <c r="I6960" s="224" t="s">
        <v>2</v>
      </c>
    </row>
    <row r="6961" spans="1:9" x14ac:dyDescent="0.25">
      <c r="A6961" s="515">
        <v>28551</v>
      </c>
      <c r="B6961" s="515" t="s">
        <v>1163</v>
      </c>
      <c r="C6961" s="52">
        <v>149974.31376949101</v>
      </c>
      <c r="D6961" s="56">
        <v>0.18436078360634756</v>
      </c>
      <c r="E6961" s="224" t="s">
        <v>2</v>
      </c>
      <c r="F6961" s="515" t="s">
        <v>8179</v>
      </c>
      <c r="G6961" s="52">
        <v>813176.72215160599</v>
      </c>
      <c r="H6961" s="56">
        <v>2.7093840634219622E-2</v>
      </c>
      <c r="I6961" s="224" t="s">
        <v>2</v>
      </c>
    </row>
    <row r="6962" spans="1:9" x14ac:dyDescent="0.25">
      <c r="A6962" s="515">
        <v>70546</v>
      </c>
      <c r="B6962" s="515" t="s">
        <v>1156</v>
      </c>
      <c r="C6962" s="52">
        <v>101994.55703538199</v>
      </c>
      <c r="D6962" s="56">
        <v>-6.4762052983842106E-2</v>
      </c>
      <c r="E6962" s="224" t="s">
        <v>2</v>
      </c>
      <c r="F6962" s="515" t="s">
        <v>8180</v>
      </c>
      <c r="G6962" s="52">
        <v>124049.322503295</v>
      </c>
      <c r="H6962" s="56">
        <v>3.3593583003838197E-2</v>
      </c>
      <c r="I6962" s="224" t="s">
        <v>2</v>
      </c>
    </row>
    <row r="6963" spans="1:9" x14ac:dyDescent="0.25">
      <c r="A6963" s="515">
        <v>43215</v>
      </c>
      <c r="B6963" s="515" t="s">
        <v>345</v>
      </c>
      <c r="C6963" s="52">
        <v>342641.235374426</v>
      </c>
      <c r="D6963" s="56">
        <v>-7.5874439037730964E-3</v>
      </c>
      <c r="E6963" s="224">
        <v>1405.70256410256</v>
      </c>
      <c r="F6963" s="515" t="s">
        <v>8181</v>
      </c>
      <c r="G6963" s="52">
        <v>149368.42018297501</v>
      </c>
      <c r="H6963" s="56">
        <v>9.9447186053818887E-2</v>
      </c>
      <c r="I6963" s="224" t="s">
        <v>2</v>
      </c>
    </row>
    <row r="6964" spans="1:9" x14ac:dyDescent="0.25">
      <c r="A6964" s="515">
        <v>33605</v>
      </c>
      <c r="B6964" s="515" t="s">
        <v>461</v>
      </c>
      <c r="C6964" s="52">
        <v>247829.94279076299</v>
      </c>
      <c r="D6964" s="56">
        <v>0.19189133551289714</v>
      </c>
      <c r="E6964" s="224">
        <v>1950.61688311688</v>
      </c>
      <c r="F6964" s="515" t="s">
        <v>8182</v>
      </c>
      <c r="G6964" s="52">
        <v>404869.638827805</v>
      </c>
      <c r="H6964" s="56">
        <v>2.0978687114857206E-2</v>
      </c>
      <c r="I6964" s="224" t="s">
        <v>2</v>
      </c>
    </row>
    <row r="6965" spans="1:9" x14ac:dyDescent="0.25">
      <c r="A6965" s="515">
        <v>18612</v>
      </c>
      <c r="B6965" s="515" t="s">
        <v>512</v>
      </c>
      <c r="C6965" s="52">
        <v>250088.19559324801</v>
      </c>
      <c r="D6965" s="56">
        <v>5.698246836392884E-2</v>
      </c>
      <c r="E6965" s="224">
        <v>1200</v>
      </c>
      <c r="F6965" s="515" t="s">
        <v>8183</v>
      </c>
      <c r="G6965" s="52">
        <v>937518.52096891205</v>
      </c>
      <c r="H6965" s="56">
        <v>5.6382591372701088E-2</v>
      </c>
      <c r="I6965" s="224" t="s">
        <v>2</v>
      </c>
    </row>
    <row r="6966" spans="1:9" x14ac:dyDescent="0.25">
      <c r="A6966" s="515">
        <v>85648</v>
      </c>
      <c r="B6966" s="515" t="s">
        <v>720</v>
      </c>
      <c r="C6966" s="52">
        <v>240023.904846352</v>
      </c>
      <c r="D6966" s="56">
        <v>6.3951309249091939E-2</v>
      </c>
      <c r="E6966" s="224" t="s">
        <v>2</v>
      </c>
      <c r="F6966" s="515" t="s">
        <v>8184</v>
      </c>
      <c r="G6966" s="52">
        <v>145595.322740473</v>
      </c>
      <c r="H6966" s="56">
        <v>0.10204173944882776</v>
      </c>
      <c r="I6966" s="224" t="s">
        <v>2</v>
      </c>
    </row>
    <row r="6967" spans="1:9" x14ac:dyDescent="0.25">
      <c r="A6967" s="515">
        <v>7940</v>
      </c>
      <c r="B6967" s="515" t="s">
        <v>324</v>
      </c>
      <c r="C6967" s="52">
        <v>810939.15405625396</v>
      </c>
      <c r="D6967" s="56">
        <v>5.3969320939335895E-2</v>
      </c>
      <c r="E6967" s="224">
        <v>3497.5</v>
      </c>
      <c r="F6967" s="515" t="s">
        <v>8185</v>
      </c>
      <c r="G6967" s="52">
        <v>133201.35714431701</v>
      </c>
      <c r="H6967" s="56">
        <v>0.10036633917708269</v>
      </c>
      <c r="I6967" s="224" t="s">
        <v>2</v>
      </c>
    </row>
    <row r="6968" spans="1:9" x14ac:dyDescent="0.25">
      <c r="A6968" s="515">
        <v>24210</v>
      </c>
      <c r="B6968" s="515" t="s">
        <v>902</v>
      </c>
      <c r="C6968" s="52">
        <v>215266.19988073301</v>
      </c>
      <c r="D6968" s="56">
        <v>0.12400750382497513</v>
      </c>
      <c r="E6968" s="224" t="s">
        <v>2</v>
      </c>
      <c r="F6968" s="515" t="s">
        <v>8186</v>
      </c>
      <c r="G6968" s="52">
        <v>559833.40534391603</v>
      </c>
      <c r="H6968" s="56">
        <v>2.4142261150591985E-2</v>
      </c>
      <c r="I6968" s="224" t="s">
        <v>2</v>
      </c>
    </row>
    <row r="6969" spans="1:9" x14ac:dyDescent="0.25">
      <c r="A6969" s="515">
        <v>77656</v>
      </c>
      <c r="B6969" s="515" t="s">
        <v>492</v>
      </c>
      <c r="C6969" s="52">
        <v>148729.04719897901</v>
      </c>
      <c r="D6969" s="56">
        <v>-2.9790498191376746E-2</v>
      </c>
      <c r="E6969" s="224" t="s">
        <v>2</v>
      </c>
      <c r="F6969" s="515" t="s">
        <v>8187</v>
      </c>
      <c r="G6969" s="52">
        <v>146907.289593397</v>
      </c>
      <c r="H6969" s="56">
        <v>6.5739553807153836E-2</v>
      </c>
      <c r="I6969" s="224" t="s">
        <v>2</v>
      </c>
    </row>
    <row r="6970" spans="1:9" x14ac:dyDescent="0.25">
      <c r="A6970" s="515">
        <v>89027</v>
      </c>
      <c r="B6970" s="515" t="s">
        <v>323</v>
      </c>
      <c r="C6970" s="52">
        <v>342796.55123983801</v>
      </c>
      <c r="D6970" s="56">
        <v>3.5995901774078201E-2</v>
      </c>
      <c r="E6970" s="224" t="s">
        <v>2</v>
      </c>
      <c r="F6970" s="515" t="s">
        <v>8188</v>
      </c>
      <c r="G6970" s="52">
        <v>402734.65191416501</v>
      </c>
      <c r="H6970" s="56">
        <v>0.1000652470237348</v>
      </c>
      <c r="I6970" s="224" t="s">
        <v>2</v>
      </c>
    </row>
    <row r="6971" spans="1:9" x14ac:dyDescent="0.25">
      <c r="A6971" s="515">
        <v>12524</v>
      </c>
      <c r="B6971" s="515" t="s">
        <v>529</v>
      </c>
      <c r="C6971" s="52">
        <v>391138.86073325702</v>
      </c>
      <c r="D6971" s="56">
        <v>7.4368794973923819E-2</v>
      </c>
      <c r="E6971" s="224" t="s">
        <v>2</v>
      </c>
      <c r="F6971" s="515" t="s">
        <v>8189</v>
      </c>
      <c r="G6971" s="52">
        <v>2736051.2329813899</v>
      </c>
      <c r="H6971" s="56">
        <v>0.10060651661776801</v>
      </c>
      <c r="I6971" s="224" t="s">
        <v>2</v>
      </c>
    </row>
    <row r="6972" spans="1:9" x14ac:dyDescent="0.25">
      <c r="A6972" s="515">
        <v>48377</v>
      </c>
      <c r="B6972" s="515" t="s">
        <v>685</v>
      </c>
      <c r="C6972" s="52">
        <v>343443.54242730298</v>
      </c>
      <c r="D6972" s="56">
        <v>3.4608401272928226E-2</v>
      </c>
      <c r="E6972" s="224">
        <v>1893.125</v>
      </c>
      <c r="F6972" s="515" t="s">
        <v>8190</v>
      </c>
      <c r="G6972" s="52">
        <v>263434.50845896802</v>
      </c>
      <c r="H6972" s="56">
        <v>9.436915141218305E-2</v>
      </c>
      <c r="I6972" s="224" t="s">
        <v>2</v>
      </c>
    </row>
    <row r="6973" spans="1:9" x14ac:dyDescent="0.25">
      <c r="A6973" s="515">
        <v>38372</v>
      </c>
      <c r="C6973" s="52">
        <v>158763.639809399</v>
      </c>
      <c r="D6973" s="56">
        <v>8.0940459484732399E-2</v>
      </c>
      <c r="E6973" s="224" t="s">
        <v>2</v>
      </c>
      <c r="F6973" s="515" t="s">
        <v>8191</v>
      </c>
      <c r="G6973" s="52">
        <v>152044.58534155399</v>
      </c>
      <c r="H6973" s="56">
        <v>8.838224275982591E-2</v>
      </c>
      <c r="I6973" s="224" t="s">
        <v>2</v>
      </c>
    </row>
    <row r="6974" spans="1:9" x14ac:dyDescent="0.25">
      <c r="A6974" s="515">
        <v>49770</v>
      </c>
      <c r="C6974" s="52">
        <v>341869.62759409402</v>
      </c>
      <c r="D6974" s="56">
        <v>5.378975292218828E-2</v>
      </c>
      <c r="E6974" s="224" t="s">
        <v>2</v>
      </c>
      <c r="F6974" s="515" t="s">
        <v>8192</v>
      </c>
      <c r="G6974" s="52">
        <v>392169.35940533201</v>
      </c>
      <c r="H6974" s="56">
        <v>4.1541189578643133E-2</v>
      </c>
      <c r="I6974" s="224" t="s">
        <v>2</v>
      </c>
    </row>
    <row r="6975" spans="1:9" x14ac:dyDescent="0.25">
      <c r="A6975" s="515">
        <v>37210</v>
      </c>
      <c r="B6975" s="515" t="s">
        <v>684</v>
      </c>
      <c r="C6975" s="52">
        <v>360484.68679608201</v>
      </c>
      <c r="D6975" s="56">
        <v>0.11841588457835946</v>
      </c>
      <c r="E6975" s="224">
        <v>1753.18888888888</v>
      </c>
      <c r="F6975" s="515" t="s">
        <v>8193</v>
      </c>
      <c r="G6975" s="52">
        <v>612190.28757948696</v>
      </c>
      <c r="H6975" s="56">
        <v>3.3295894862926299E-2</v>
      </c>
      <c r="I6975" s="224">
        <v>2179.2777777777701</v>
      </c>
    </row>
    <row r="6976" spans="1:9" x14ac:dyDescent="0.25">
      <c r="A6976" s="515">
        <v>90245</v>
      </c>
      <c r="B6976" s="515" t="s">
        <v>375</v>
      </c>
      <c r="C6976" s="52">
        <v>1483926.2322599499</v>
      </c>
      <c r="D6976" s="56">
        <v>-5.6135861261241886E-3</v>
      </c>
      <c r="E6976" s="224">
        <v>2833.5642857142798</v>
      </c>
      <c r="F6976" s="515" t="s">
        <v>8194</v>
      </c>
      <c r="G6976" s="52">
        <v>250350.72180700899</v>
      </c>
      <c r="H6976" s="56">
        <v>7.5586875792221606E-2</v>
      </c>
      <c r="I6976" s="224" t="s">
        <v>2</v>
      </c>
    </row>
    <row r="6977" spans="1:9" x14ac:dyDescent="0.25">
      <c r="A6977" s="515">
        <v>61114</v>
      </c>
      <c r="B6977" s="515" t="s">
        <v>1104</v>
      </c>
      <c r="C6977" s="52">
        <v>204790.158026666</v>
      </c>
      <c r="D6977" s="56">
        <v>5.8658085057004448E-2</v>
      </c>
      <c r="E6977" s="224" t="s">
        <v>2</v>
      </c>
      <c r="F6977" s="515" t="s">
        <v>8195</v>
      </c>
      <c r="G6977" s="52">
        <v>68015.6050981343</v>
      </c>
      <c r="H6977" s="56">
        <v>3.4066374688617826E-2</v>
      </c>
      <c r="I6977" s="224" t="s">
        <v>2</v>
      </c>
    </row>
    <row r="6978" spans="1:9" x14ac:dyDescent="0.25">
      <c r="A6978" s="515">
        <v>85128</v>
      </c>
      <c r="B6978" s="515" t="s">
        <v>563</v>
      </c>
      <c r="C6978" s="52">
        <v>282186.80014154798</v>
      </c>
      <c r="D6978" s="56">
        <v>8.5492978709100359E-2</v>
      </c>
      <c r="E6978" s="224">
        <v>1653.3333333333301</v>
      </c>
      <c r="F6978" s="515" t="s">
        <v>8196</v>
      </c>
      <c r="G6978" s="52">
        <v>168056.20963822401</v>
      </c>
      <c r="H6978" s="56">
        <v>0.14562270223892351</v>
      </c>
      <c r="I6978" s="224" t="s">
        <v>2</v>
      </c>
    </row>
    <row r="6979" spans="1:9" x14ac:dyDescent="0.25">
      <c r="A6979" s="515">
        <v>93013</v>
      </c>
      <c r="B6979" s="515" t="s">
        <v>847</v>
      </c>
      <c r="C6979" s="52">
        <v>1188581.76755256</v>
      </c>
      <c r="D6979" s="56">
        <v>7.7910670307533375E-2</v>
      </c>
      <c r="E6979" s="224" t="s">
        <v>2</v>
      </c>
      <c r="F6979" s="515" t="s">
        <v>8197</v>
      </c>
      <c r="G6979" s="52">
        <v>223764.689026826</v>
      </c>
      <c r="H6979" s="56">
        <v>0.1395617364603178</v>
      </c>
      <c r="I6979" s="224" t="s">
        <v>2</v>
      </c>
    </row>
    <row r="6980" spans="1:9" x14ac:dyDescent="0.25">
      <c r="A6980" s="515">
        <v>13206</v>
      </c>
      <c r="B6980" s="515" t="s">
        <v>361</v>
      </c>
      <c r="C6980" s="52">
        <v>143364.85250776599</v>
      </c>
      <c r="D6980" s="56">
        <v>6.0467313328422333E-2</v>
      </c>
      <c r="E6980" s="224" t="s">
        <v>2</v>
      </c>
      <c r="F6980" s="515" t="s">
        <v>8198</v>
      </c>
      <c r="G6980" s="52">
        <v>132410.61434955799</v>
      </c>
      <c r="H6980" s="56">
        <v>0.12583184364443764</v>
      </c>
      <c r="I6980" s="224" t="s">
        <v>2</v>
      </c>
    </row>
    <row r="6981" spans="1:9" x14ac:dyDescent="0.25">
      <c r="A6981" s="515">
        <v>64064</v>
      </c>
      <c r="B6981" s="515" t="s">
        <v>455</v>
      </c>
      <c r="C6981" s="52">
        <v>413550.97813465103</v>
      </c>
      <c r="D6981" s="56">
        <v>7.6884249079473693E-2</v>
      </c>
      <c r="E6981" s="224">
        <v>1402.9166666666599</v>
      </c>
      <c r="F6981" s="515" t="s">
        <v>8199</v>
      </c>
      <c r="G6981" s="52">
        <v>1720587.5967297701</v>
      </c>
      <c r="H6981" s="56">
        <v>0.12041219140576834</v>
      </c>
      <c r="I6981" s="224">
        <v>3750.3333333333298</v>
      </c>
    </row>
    <row r="6982" spans="1:9" x14ac:dyDescent="0.25">
      <c r="A6982" s="515">
        <v>2790</v>
      </c>
      <c r="B6982" s="515" t="s">
        <v>513</v>
      </c>
      <c r="C6982" s="52">
        <v>538109.48267172498</v>
      </c>
      <c r="D6982" s="56">
        <v>5.1198452402076343E-2</v>
      </c>
      <c r="E6982" s="224" t="s">
        <v>2</v>
      </c>
      <c r="F6982" s="515" t="s">
        <v>8200</v>
      </c>
      <c r="G6982" s="52">
        <v>424555.06432446098</v>
      </c>
      <c r="H6982" s="56">
        <v>3.6201010711528377E-2</v>
      </c>
      <c r="I6982" s="224" t="s">
        <v>2</v>
      </c>
    </row>
    <row r="6983" spans="1:9" x14ac:dyDescent="0.25">
      <c r="A6983" s="515">
        <v>16701</v>
      </c>
      <c r="B6983" s="515" t="s">
        <v>604</v>
      </c>
      <c r="C6983" s="52">
        <v>79936.705433600902</v>
      </c>
      <c r="D6983" s="56">
        <v>1.215438337253846E-2</v>
      </c>
      <c r="E6983" s="224" t="s">
        <v>2</v>
      </c>
      <c r="F6983" s="515" t="s">
        <v>8201</v>
      </c>
      <c r="G6983" s="52">
        <v>543335.87905909505</v>
      </c>
      <c r="H6983" s="56">
        <v>4.916554482629492E-2</v>
      </c>
      <c r="I6983" s="224" t="s">
        <v>2</v>
      </c>
    </row>
    <row r="6984" spans="1:9" x14ac:dyDescent="0.25">
      <c r="A6984" s="515">
        <v>60455</v>
      </c>
      <c r="B6984" s="515" t="s">
        <v>394</v>
      </c>
      <c r="C6984" s="52">
        <v>248890.55468374299</v>
      </c>
      <c r="D6984" s="56">
        <v>3.9314077081267051E-2</v>
      </c>
      <c r="E6984" s="224" t="s">
        <v>2</v>
      </c>
      <c r="F6984" s="515" t="s">
        <v>8202</v>
      </c>
      <c r="G6984" s="52">
        <v>381759.84986792499</v>
      </c>
      <c r="H6984" s="56">
        <v>9.8511176428789385E-2</v>
      </c>
      <c r="I6984" s="224" t="s">
        <v>2</v>
      </c>
    </row>
    <row r="6985" spans="1:9" x14ac:dyDescent="0.25">
      <c r="A6985" s="515">
        <v>33616</v>
      </c>
      <c r="B6985" s="515" t="s">
        <v>461</v>
      </c>
      <c r="C6985" s="52">
        <v>388759.06881115702</v>
      </c>
      <c r="D6985" s="56">
        <v>9.7478410154353434E-2</v>
      </c>
      <c r="E6985" s="224">
        <v>2033.07037037037</v>
      </c>
      <c r="F6985" s="515" t="s">
        <v>8203</v>
      </c>
      <c r="G6985" s="52">
        <v>156057.23205692499</v>
      </c>
      <c r="H6985" s="56">
        <v>6.6943843083877727E-2</v>
      </c>
      <c r="I6985" s="224" t="s">
        <v>2</v>
      </c>
    </row>
    <row r="6986" spans="1:9" x14ac:dyDescent="0.25">
      <c r="A6986" s="515">
        <v>42728</v>
      </c>
      <c r="C6986" s="52">
        <v>124226.077446009</v>
      </c>
      <c r="D6986" s="56">
        <v>0.13788057170458154</v>
      </c>
      <c r="E6986" s="224" t="s">
        <v>2</v>
      </c>
      <c r="F6986" s="515" t="s">
        <v>8204</v>
      </c>
      <c r="G6986" s="52">
        <v>219883.56500477099</v>
      </c>
      <c r="H6986" s="56">
        <v>5.1613183904378891E-2</v>
      </c>
      <c r="I6986" s="224" t="s">
        <v>2</v>
      </c>
    </row>
    <row r="6987" spans="1:9" x14ac:dyDescent="0.25">
      <c r="A6987" s="515">
        <v>19044</v>
      </c>
      <c r="B6987" s="515" t="s">
        <v>294</v>
      </c>
      <c r="C6987" s="52">
        <v>372374.71495683998</v>
      </c>
      <c r="D6987" s="56">
        <v>8.9866122865449441E-2</v>
      </c>
      <c r="E6987" s="224" t="s">
        <v>2</v>
      </c>
      <c r="F6987" s="515" t="s">
        <v>8205</v>
      </c>
      <c r="G6987" s="52">
        <v>217767.37702941499</v>
      </c>
      <c r="H6987" s="56">
        <v>9.0582893463745803E-2</v>
      </c>
      <c r="I6987" s="224" t="s">
        <v>2</v>
      </c>
    </row>
    <row r="6988" spans="1:9" x14ac:dyDescent="0.25">
      <c r="A6988" s="515">
        <v>31513</v>
      </c>
      <c r="C6988" s="52">
        <v>116875.08656174901</v>
      </c>
      <c r="D6988" s="56">
        <v>-3.7118117606057348E-3</v>
      </c>
      <c r="E6988" s="224" t="s">
        <v>2</v>
      </c>
      <c r="F6988" s="515" t="s">
        <v>8206</v>
      </c>
      <c r="G6988" s="52">
        <v>105969.062092199</v>
      </c>
      <c r="H6988" s="56">
        <v>5.9890517007818514E-2</v>
      </c>
      <c r="I6988" s="224" t="s">
        <v>2</v>
      </c>
    </row>
    <row r="6989" spans="1:9" x14ac:dyDescent="0.25">
      <c r="A6989" s="515">
        <v>33948</v>
      </c>
      <c r="B6989" s="515" t="s">
        <v>1030</v>
      </c>
      <c r="C6989" s="52">
        <v>314330.92258674698</v>
      </c>
      <c r="D6989" s="56">
        <v>0.11191255833527962</v>
      </c>
      <c r="E6989" s="224">
        <v>2482.9444444444398</v>
      </c>
      <c r="F6989" s="515" t="s">
        <v>8207</v>
      </c>
      <c r="G6989" s="52">
        <v>165063.00767300301</v>
      </c>
      <c r="H6989" s="56">
        <v>1.1373550385053E-2</v>
      </c>
      <c r="I6989" s="224" t="s">
        <v>2</v>
      </c>
    </row>
    <row r="6990" spans="1:9" x14ac:dyDescent="0.25">
      <c r="A6990" s="515">
        <v>75215</v>
      </c>
      <c r="B6990" s="515" t="s">
        <v>458</v>
      </c>
      <c r="C6990" s="52">
        <v>164776.92681368001</v>
      </c>
      <c r="D6990" s="56">
        <v>0.2459957898468195</v>
      </c>
      <c r="E6990" s="224">
        <v>2055.5555555555502</v>
      </c>
      <c r="F6990" s="515" t="s">
        <v>8208</v>
      </c>
      <c r="G6990" s="52">
        <v>205878.83916965799</v>
      </c>
      <c r="H6990" s="56">
        <v>0.1429852424867413</v>
      </c>
      <c r="I6990" s="224" t="s">
        <v>2</v>
      </c>
    </row>
    <row r="6991" spans="1:9" x14ac:dyDescent="0.25">
      <c r="A6991" s="515">
        <v>31216</v>
      </c>
      <c r="B6991" s="515" t="s">
        <v>995</v>
      </c>
      <c r="C6991" s="52">
        <v>213133.553408045</v>
      </c>
      <c r="D6991" s="56">
        <v>0.14464959240229422</v>
      </c>
      <c r="E6991" s="224" t="s">
        <v>2</v>
      </c>
      <c r="F6991" s="515" t="s">
        <v>8209</v>
      </c>
      <c r="G6991" s="52">
        <v>557796.33114987996</v>
      </c>
      <c r="H6991" s="56">
        <v>4.9929407260563025E-2</v>
      </c>
      <c r="I6991" s="224" t="s">
        <v>2</v>
      </c>
    </row>
    <row r="6992" spans="1:9" x14ac:dyDescent="0.25">
      <c r="A6992" s="515">
        <v>75801</v>
      </c>
      <c r="B6992" s="515" t="s">
        <v>1020</v>
      </c>
      <c r="C6992" s="52">
        <v>151441.566575139</v>
      </c>
      <c r="D6992" s="56">
        <v>0.11628101306498569</v>
      </c>
      <c r="E6992" s="224" t="s">
        <v>2</v>
      </c>
      <c r="F6992" s="515" t="s">
        <v>8210</v>
      </c>
      <c r="G6992" s="52">
        <v>155120.857393741</v>
      </c>
      <c r="H6992" s="56">
        <v>4.4276953316070268E-2</v>
      </c>
      <c r="I6992" s="224" t="s">
        <v>2</v>
      </c>
    </row>
    <row r="6993" spans="1:9" x14ac:dyDescent="0.25">
      <c r="A6993" s="515">
        <v>34950</v>
      </c>
      <c r="B6993" s="515" t="s">
        <v>1180</v>
      </c>
      <c r="C6993" s="52">
        <v>199741.76951089301</v>
      </c>
      <c r="D6993" s="56">
        <v>0.23889095877076552</v>
      </c>
      <c r="E6993" s="224">
        <v>1800</v>
      </c>
      <c r="F6993" s="515" t="s">
        <v>8211</v>
      </c>
      <c r="G6993" s="52">
        <v>248502.123158306</v>
      </c>
      <c r="H6993" s="56">
        <v>0.1183729486950087</v>
      </c>
      <c r="I6993" s="224" t="s">
        <v>2</v>
      </c>
    </row>
    <row r="6994" spans="1:9" x14ac:dyDescent="0.25">
      <c r="A6994" s="515">
        <v>2120</v>
      </c>
      <c r="B6994" s="515" t="s">
        <v>534</v>
      </c>
      <c r="C6994" s="52">
        <v>680778.99721812399</v>
      </c>
      <c r="D6994" s="56">
        <v>-7.7552288151109011E-2</v>
      </c>
      <c r="E6994" s="224">
        <v>4936.0903119843997</v>
      </c>
      <c r="F6994" s="515" t="s">
        <v>8212</v>
      </c>
      <c r="G6994" s="52">
        <v>163241.25333129501</v>
      </c>
      <c r="H6994" s="56">
        <v>9.2817951500074145E-2</v>
      </c>
      <c r="I6994" s="224" t="s">
        <v>2</v>
      </c>
    </row>
    <row r="6995" spans="1:9" x14ac:dyDescent="0.25">
      <c r="A6995" s="515">
        <v>44410</v>
      </c>
      <c r="B6995" s="515" t="s">
        <v>397</v>
      </c>
      <c r="C6995" s="52">
        <v>186146.154187732</v>
      </c>
      <c r="D6995" s="56">
        <v>6.9443764241183564E-2</v>
      </c>
      <c r="E6995" s="224" t="s">
        <v>2</v>
      </c>
      <c r="F6995" s="515" t="s">
        <v>8213</v>
      </c>
      <c r="G6995" s="52">
        <v>178792.39074944</v>
      </c>
      <c r="H6995" s="56">
        <v>7.2534616438695007E-2</v>
      </c>
      <c r="I6995" s="224" t="s">
        <v>2</v>
      </c>
    </row>
    <row r="6996" spans="1:9" x14ac:dyDescent="0.25">
      <c r="A6996" s="515">
        <v>22911</v>
      </c>
      <c r="B6996" s="515" t="s">
        <v>630</v>
      </c>
      <c r="C6996" s="52">
        <v>429625.191333419</v>
      </c>
      <c r="D6996" s="56">
        <v>6.5279331202445445E-2</v>
      </c>
      <c r="E6996" s="224">
        <v>1982.9166666666599</v>
      </c>
      <c r="F6996" s="515" t="s">
        <v>8214</v>
      </c>
      <c r="G6996" s="52">
        <v>114431.91976143701</v>
      </c>
      <c r="H6996" s="56">
        <v>-2.7929573851453826E-3</v>
      </c>
      <c r="I6996" s="224" t="s">
        <v>2</v>
      </c>
    </row>
    <row r="6997" spans="1:9" x14ac:dyDescent="0.25">
      <c r="A6997" s="515">
        <v>74114</v>
      </c>
      <c r="B6997" s="515" t="s">
        <v>348</v>
      </c>
      <c r="C6997" s="52">
        <v>245439.603795192</v>
      </c>
      <c r="D6997" s="56">
        <v>8.7808538341431527E-2</v>
      </c>
      <c r="E6997" s="224">
        <v>1340.55</v>
      </c>
      <c r="F6997" s="515" t="s">
        <v>8215</v>
      </c>
      <c r="G6997" s="52">
        <v>199607.14650711001</v>
      </c>
      <c r="H6997" s="56">
        <v>7.331567467832642E-2</v>
      </c>
      <c r="I6997" s="224" t="s">
        <v>2</v>
      </c>
    </row>
    <row r="6998" spans="1:9" x14ac:dyDescent="0.25">
      <c r="A6998" s="515">
        <v>40203</v>
      </c>
      <c r="B6998" s="515" t="s">
        <v>479</v>
      </c>
      <c r="C6998" s="52">
        <v>134986.740376362</v>
      </c>
      <c r="D6998" s="56">
        <v>7.3289827646603689E-2</v>
      </c>
      <c r="E6998" s="224">
        <v>1065.06349206349</v>
      </c>
      <c r="F6998" s="515" t="s">
        <v>8216</v>
      </c>
      <c r="G6998" s="52">
        <v>471463.84491560003</v>
      </c>
      <c r="H6998" s="56">
        <v>2.883744262210015E-2</v>
      </c>
      <c r="I6998" s="224" t="s">
        <v>2</v>
      </c>
    </row>
    <row r="6999" spans="1:9" x14ac:dyDescent="0.25">
      <c r="A6999" s="515">
        <v>37938</v>
      </c>
      <c r="B6999" s="515" t="s">
        <v>907</v>
      </c>
      <c r="C6999" s="52">
        <v>332122.38021884498</v>
      </c>
      <c r="D6999" s="56">
        <v>0.10865956975090786</v>
      </c>
      <c r="E6999" s="224" t="s">
        <v>2</v>
      </c>
      <c r="F6999" s="515" t="s">
        <v>8217</v>
      </c>
      <c r="G6999" s="52">
        <v>274495.66463064798</v>
      </c>
      <c r="H6999" s="56">
        <v>5.714819188143673E-2</v>
      </c>
      <c r="I6999" s="224" t="s">
        <v>2</v>
      </c>
    </row>
    <row r="7000" spans="1:9" x14ac:dyDescent="0.25">
      <c r="A7000" s="515">
        <v>14613</v>
      </c>
      <c r="B7000" s="515" t="s">
        <v>337</v>
      </c>
      <c r="C7000" s="52">
        <v>107296.393400619</v>
      </c>
      <c r="D7000" s="56">
        <v>4.92479498194833E-2</v>
      </c>
      <c r="E7000" s="224" t="s">
        <v>2</v>
      </c>
      <c r="F7000" s="515" t="s">
        <v>8218</v>
      </c>
      <c r="G7000" s="52">
        <v>282796.12118362501</v>
      </c>
      <c r="H7000" s="56">
        <v>8.5977084405513451E-2</v>
      </c>
      <c r="I7000" s="224" t="s">
        <v>2</v>
      </c>
    </row>
    <row r="7001" spans="1:9" x14ac:dyDescent="0.25">
      <c r="A7001" s="515">
        <v>33478</v>
      </c>
      <c r="B7001" s="515" t="s">
        <v>831</v>
      </c>
      <c r="C7001" s="52">
        <v>737504.69222143595</v>
      </c>
      <c r="D7001" s="56">
        <v>0.12145158357349613</v>
      </c>
      <c r="E7001" s="224" t="s">
        <v>2</v>
      </c>
      <c r="F7001" s="515" t="s">
        <v>8219</v>
      </c>
      <c r="G7001" s="52">
        <v>307696.85359633598</v>
      </c>
      <c r="H7001" s="56">
        <v>2.055452817129861E-2</v>
      </c>
      <c r="I7001" s="224" t="s">
        <v>2</v>
      </c>
    </row>
    <row r="7002" spans="1:9" x14ac:dyDescent="0.25">
      <c r="A7002" s="515">
        <v>76118</v>
      </c>
      <c r="B7002" s="515" t="s">
        <v>458</v>
      </c>
      <c r="C7002" s="52">
        <v>316030.45847448899</v>
      </c>
      <c r="D7002" s="56">
        <v>8.3690784948476468E-2</v>
      </c>
      <c r="E7002" s="224">
        <v>2109.4222222222202</v>
      </c>
      <c r="F7002" s="515" t="s">
        <v>8220</v>
      </c>
      <c r="G7002" s="52">
        <v>167567.69007817001</v>
      </c>
      <c r="H7002" s="56">
        <v>0.10569511424151301</v>
      </c>
      <c r="I7002" s="224" t="s">
        <v>2</v>
      </c>
    </row>
    <row r="7003" spans="1:9" x14ac:dyDescent="0.25">
      <c r="A7003" s="515">
        <v>87113</v>
      </c>
      <c r="B7003" s="515" t="s">
        <v>406</v>
      </c>
      <c r="C7003" s="52">
        <v>378817.49596992898</v>
      </c>
      <c r="D7003" s="56">
        <v>7.0630826192361565E-2</v>
      </c>
      <c r="E7003" s="224">
        <v>1903.30555555555</v>
      </c>
      <c r="F7003" s="515" t="s">
        <v>8221</v>
      </c>
      <c r="G7003" s="52">
        <v>290113.427732546</v>
      </c>
      <c r="H7003" s="56">
        <v>7.4328318390682713E-2</v>
      </c>
      <c r="I7003" s="224" t="s">
        <v>2</v>
      </c>
    </row>
    <row r="7004" spans="1:9" x14ac:dyDescent="0.25">
      <c r="A7004" s="515">
        <v>14305</v>
      </c>
      <c r="B7004" s="515" t="s">
        <v>336</v>
      </c>
      <c r="C7004" s="52">
        <v>117645.392605286</v>
      </c>
      <c r="D7004" s="56">
        <v>9.2791620800852098E-2</v>
      </c>
      <c r="E7004" s="224">
        <v>834.75</v>
      </c>
      <c r="F7004" s="515" t="s">
        <v>8222</v>
      </c>
      <c r="G7004" s="52">
        <v>199228.91347750201</v>
      </c>
      <c r="H7004" s="56">
        <v>3.1652188334981249E-2</v>
      </c>
      <c r="I7004" s="224" t="s">
        <v>2</v>
      </c>
    </row>
    <row r="7005" spans="1:9" x14ac:dyDescent="0.25">
      <c r="A7005" s="515">
        <v>75652</v>
      </c>
      <c r="B7005" s="515" t="s">
        <v>319</v>
      </c>
      <c r="C7005" s="52">
        <v>159740.555419429</v>
      </c>
      <c r="D7005" s="56">
        <v>8.2745879728089014E-2</v>
      </c>
      <c r="E7005" s="224" t="s">
        <v>2</v>
      </c>
      <c r="F7005" s="515" t="s">
        <v>8223</v>
      </c>
      <c r="G7005" s="52">
        <v>491737.77826449799</v>
      </c>
      <c r="H7005" s="56">
        <v>0.10574767301237425</v>
      </c>
      <c r="I7005" s="224" t="s">
        <v>2</v>
      </c>
    </row>
    <row r="7006" spans="1:9" x14ac:dyDescent="0.25">
      <c r="A7006" s="515">
        <v>29153</v>
      </c>
      <c r="B7006" s="515" t="s">
        <v>1065</v>
      </c>
      <c r="C7006" s="52">
        <v>139353.71995982499</v>
      </c>
      <c r="D7006" s="56">
        <v>4.0937482844169024E-2</v>
      </c>
      <c r="E7006" s="224" t="s">
        <v>2</v>
      </c>
      <c r="F7006" s="515" t="s">
        <v>8224</v>
      </c>
      <c r="G7006" s="52">
        <v>383755.19664073002</v>
      </c>
      <c r="H7006" s="56">
        <v>0.15668625326050722</v>
      </c>
      <c r="I7006" s="224" t="s">
        <v>2</v>
      </c>
    </row>
    <row r="7007" spans="1:9" x14ac:dyDescent="0.25">
      <c r="A7007" s="515">
        <v>68136</v>
      </c>
      <c r="B7007" s="515" t="s">
        <v>367</v>
      </c>
      <c r="C7007" s="52">
        <v>370028.45036999602</v>
      </c>
      <c r="D7007" s="56">
        <v>6.9241900637393106E-2</v>
      </c>
      <c r="E7007" s="224">
        <v>1637</v>
      </c>
      <c r="F7007" s="515" t="s">
        <v>8225</v>
      </c>
      <c r="G7007" s="52">
        <v>236801.933273445</v>
      </c>
      <c r="H7007" s="56">
        <v>-0.10967905507779371</v>
      </c>
      <c r="I7007" s="224" t="s">
        <v>2</v>
      </c>
    </row>
    <row r="7008" spans="1:9" x14ac:dyDescent="0.25">
      <c r="A7008" s="515">
        <v>35661</v>
      </c>
      <c r="B7008" s="515" t="s">
        <v>1100</v>
      </c>
      <c r="C7008" s="52">
        <v>210560.12682982301</v>
      </c>
      <c r="D7008" s="56">
        <v>8.3214175198957546E-2</v>
      </c>
      <c r="E7008" s="224" t="s">
        <v>2</v>
      </c>
      <c r="F7008" s="515" t="s">
        <v>8226</v>
      </c>
      <c r="G7008" s="52">
        <v>159628.123938879</v>
      </c>
      <c r="H7008" s="56">
        <v>0</v>
      </c>
      <c r="I7008" s="224" t="s">
        <v>2</v>
      </c>
    </row>
    <row r="7009" spans="1:9" x14ac:dyDescent="0.25">
      <c r="A7009" s="515">
        <v>29928</v>
      </c>
      <c r="B7009" s="515" t="s">
        <v>734</v>
      </c>
      <c r="C7009" s="52">
        <v>726954.72173168405</v>
      </c>
      <c r="D7009" s="56">
        <v>0.14309498825416359</v>
      </c>
      <c r="E7009" s="224" t="s">
        <v>2</v>
      </c>
      <c r="F7009" s="515" t="s">
        <v>8227</v>
      </c>
      <c r="G7009" s="52">
        <v>176311.267297768</v>
      </c>
      <c r="H7009" s="56">
        <v>5.5028060447612229E-2</v>
      </c>
      <c r="I7009" s="224" t="s">
        <v>2</v>
      </c>
    </row>
    <row r="7010" spans="1:9" x14ac:dyDescent="0.25">
      <c r="A7010" s="515">
        <v>6716</v>
      </c>
      <c r="B7010" s="515" t="s">
        <v>1172</v>
      </c>
      <c r="C7010" s="52">
        <v>307271.48644979403</v>
      </c>
      <c r="D7010" s="56">
        <v>9.0021128692088656E-2</v>
      </c>
      <c r="E7010" s="224" t="s">
        <v>2</v>
      </c>
      <c r="F7010" s="515" t="s">
        <v>8228</v>
      </c>
      <c r="G7010" s="52">
        <v>87353.110684576706</v>
      </c>
      <c r="H7010" s="56">
        <v>4.3820705967007115E-2</v>
      </c>
      <c r="I7010" s="224" t="s">
        <v>2</v>
      </c>
    </row>
    <row r="7011" spans="1:9" x14ac:dyDescent="0.25">
      <c r="A7011" s="515">
        <v>15219</v>
      </c>
      <c r="B7011" s="515" t="s">
        <v>297</v>
      </c>
      <c r="C7011" s="52">
        <v>129787.03791780199</v>
      </c>
      <c r="D7011" s="56">
        <v>9.3609842351958156E-2</v>
      </c>
      <c r="E7011" s="224">
        <v>1483.2292929292901</v>
      </c>
      <c r="F7011" s="515" t="s">
        <v>8229</v>
      </c>
      <c r="G7011" s="52">
        <v>200657.354890963</v>
      </c>
      <c r="H7011" s="56">
        <v>5.3043081358808896E-3</v>
      </c>
      <c r="I7011" s="224" t="s">
        <v>2</v>
      </c>
    </row>
    <row r="7012" spans="1:9" x14ac:dyDescent="0.25">
      <c r="A7012" s="515">
        <v>26330</v>
      </c>
      <c r="B7012" s="515" t="s">
        <v>347</v>
      </c>
      <c r="C7012" s="52">
        <v>277246.88642168703</v>
      </c>
      <c r="D7012" s="56">
        <v>5.9781833276077341E-2</v>
      </c>
      <c r="E7012" s="224" t="s">
        <v>2</v>
      </c>
      <c r="F7012" s="515" t="s">
        <v>8230</v>
      </c>
      <c r="G7012" s="52">
        <v>255918.11772651799</v>
      </c>
      <c r="H7012" s="56">
        <v>0.13208778276020836</v>
      </c>
      <c r="I7012" s="224" t="s">
        <v>2</v>
      </c>
    </row>
    <row r="7013" spans="1:9" x14ac:dyDescent="0.25">
      <c r="A7013" s="515">
        <v>27596</v>
      </c>
      <c r="B7013" s="515" t="s">
        <v>484</v>
      </c>
      <c r="C7013" s="52">
        <v>394478.21993501298</v>
      </c>
      <c r="D7013" s="56">
        <v>0.11222877976042694</v>
      </c>
      <c r="E7013" s="224">
        <v>1800</v>
      </c>
      <c r="F7013" s="515" t="s">
        <v>8231</v>
      </c>
      <c r="G7013" s="52">
        <v>79183.687298354198</v>
      </c>
      <c r="H7013" s="56">
        <v>4.3165882942497805E-2</v>
      </c>
      <c r="I7013" s="224" t="s">
        <v>2</v>
      </c>
    </row>
    <row r="7014" spans="1:9" x14ac:dyDescent="0.25">
      <c r="A7014" s="515">
        <v>45449</v>
      </c>
      <c r="B7014" s="515" t="s">
        <v>340</v>
      </c>
      <c r="C7014" s="52">
        <v>157093.779534406</v>
      </c>
      <c r="D7014" s="56">
        <v>8.4046508410658666E-2</v>
      </c>
      <c r="E7014" s="224" t="s">
        <v>2</v>
      </c>
      <c r="F7014" s="515" t="s">
        <v>8232</v>
      </c>
      <c r="G7014" s="52">
        <v>895927.85377319704</v>
      </c>
      <c r="H7014" s="56">
        <v>-3.3152811609197213E-3</v>
      </c>
      <c r="I7014" s="224" t="s">
        <v>2</v>
      </c>
    </row>
    <row r="7015" spans="1:9" x14ac:dyDescent="0.25">
      <c r="A7015" s="515">
        <v>89005</v>
      </c>
      <c r="B7015" s="515" t="s">
        <v>323</v>
      </c>
      <c r="C7015" s="52">
        <v>424911.79568972398</v>
      </c>
      <c r="D7015" s="56">
        <v>5.2709319987727959E-2</v>
      </c>
      <c r="E7015" s="224">
        <v>1736.25</v>
      </c>
      <c r="F7015" s="515" t="s">
        <v>8233</v>
      </c>
      <c r="G7015" s="52">
        <v>206219.690303237</v>
      </c>
      <c r="H7015" s="56">
        <v>4.3169008931025869E-3</v>
      </c>
      <c r="I7015" s="224" t="s">
        <v>2</v>
      </c>
    </row>
    <row r="7016" spans="1:9" x14ac:dyDescent="0.25">
      <c r="A7016" s="515">
        <v>74127</v>
      </c>
      <c r="B7016" s="515" t="s">
        <v>348</v>
      </c>
      <c r="C7016" s="52">
        <v>118769.629415006</v>
      </c>
      <c r="D7016" s="56">
        <v>0.13250848394345169</v>
      </c>
      <c r="E7016" s="224">
        <v>1100</v>
      </c>
      <c r="F7016" s="515" t="s">
        <v>8234</v>
      </c>
      <c r="G7016" s="52">
        <v>167513.552345092</v>
      </c>
      <c r="H7016" s="56">
        <v>6.949379322333675E-2</v>
      </c>
      <c r="I7016" s="224" t="s">
        <v>2</v>
      </c>
    </row>
    <row r="7017" spans="1:9" x14ac:dyDescent="0.25">
      <c r="A7017" s="515">
        <v>57501</v>
      </c>
      <c r="B7017" s="515" t="s">
        <v>834</v>
      </c>
      <c r="C7017" s="52">
        <v>267446.98642153002</v>
      </c>
      <c r="D7017" s="56">
        <v>7.8340034093408742E-2</v>
      </c>
      <c r="E7017" s="224" t="s">
        <v>2</v>
      </c>
      <c r="F7017" s="515" t="s">
        <v>8235</v>
      </c>
      <c r="G7017" s="52">
        <v>515938.80367068999</v>
      </c>
      <c r="H7017" s="56">
        <v>6.446805033383686E-2</v>
      </c>
      <c r="I7017" s="224" t="s">
        <v>2</v>
      </c>
    </row>
    <row r="7018" spans="1:9" x14ac:dyDescent="0.25">
      <c r="A7018" s="515">
        <v>21205</v>
      </c>
      <c r="B7018" s="515" t="s">
        <v>582</v>
      </c>
      <c r="C7018" s="52">
        <v>95723.513958353593</v>
      </c>
      <c r="D7018" s="56">
        <v>8.6887979710369836E-2</v>
      </c>
      <c r="E7018" s="224">
        <v>1625</v>
      </c>
      <c r="F7018" s="515" t="s">
        <v>8236</v>
      </c>
      <c r="G7018" s="52">
        <v>86260.107157471997</v>
      </c>
      <c r="H7018" s="56">
        <v>-0.10196196840878159</v>
      </c>
      <c r="I7018" s="224" t="s">
        <v>2</v>
      </c>
    </row>
    <row r="7019" spans="1:9" x14ac:dyDescent="0.25">
      <c r="A7019" s="515">
        <v>15904</v>
      </c>
      <c r="B7019" s="515" t="s">
        <v>828</v>
      </c>
      <c r="C7019" s="52">
        <v>139698.72694412799</v>
      </c>
      <c r="D7019" s="56">
        <v>1.1748623977453116E-2</v>
      </c>
      <c r="E7019" s="224" t="s">
        <v>2</v>
      </c>
      <c r="F7019" s="515" t="s">
        <v>8237</v>
      </c>
      <c r="G7019" s="52">
        <v>144264.532171267</v>
      </c>
      <c r="H7019" s="56">
        <v>0.18134627437969972</v>
      </c>
      <c r="I7019" s="224" t="s">
        <v>2</v>
      </c>
    </row>
    <row r="7020" spans="1:9" x14ac:dyDescent="0.25">
      <c r="A7020" s="515">
        <v>66503</v>
      </c>
      <c r="B7020" s="515" t="s">
        <v>795</v>
      </c>
      <c r="C7020" s="52">
        <v>298759.40835145902</v>
      </c>
      <c r="D7020" s="56">
        <v>4.2851579526129176E-2</v>
      </c>
      <c r="E7020" s="224">
        <v>1250.625</v>
      </c>
      <c r="F7020" s="515" t="s">
        <v>8238</v>
      </c>
      <c r="G7020" s="52">
        <v>236176.318294066</v>
      </c>
      <c r="H7020" s="56">
        <v>9.3783221329861111E-2</v>
      </c>
      <c r="I7020" s="224" t="s">
        <v>2</v>
      </c>
    </row>
    <row r="7021" spans="1:9" x14ac:dyDescent="0.25">
      <c r="A7021" s="515">
        <v>94556</v>
      </c>
      <c r="B7021" s="515" t="s">
        <v>593</v>
      </c>
      <c r="C7021" s="52">
        <v>1605506.38140866</v>
      </c>
      <c r="D7021" s="56">
        <v>6.0533712960013303E-3</v>
      </c>
      <c r="E7021" s="224">
        <v>4328.3333333333303</v>
      </c>
      <c r="F7021" s="515" t="s">
        <v>8239</v>
      </c>
      <c r="G7021" s="52">
        <v>166650.11879305099</v>
      </c>
      <c r="H7021" s="56">
        <v>1.3183452054272835E-2</v>
      </c>
      <c r="I7021" s="224" t="s">
        <v>2</v>
      </c>
    </row>
    <row r="7022" spans="1:9" x14ac:dyDescent="0.25">
      <c r="A7022" s="515">
        <v>61705</v>
      </c>
      <c r="B7022" s="515" t="s">
        <v>645</v>
      </c>
      <c r="C7022" s="52">
        <v>318728.100136286</v>
      </c>
      <c r="D7022" s="56">
        <v>0.11292945949639736</v>
      </c>
      <c r="E7022" s="224" t="s">
        <v>2</v>
      </c>
      <c r="F7022" s="515" t="s">
        <v>8240</v>
      </c>
      <c r="G7022" s="52">
        <v>193108.672044707</v>
      </c>
      <c r="H7022" s="56">
        <v>6.7475336838044991E-2</v>
      </c>
      <c r="I7022" s="224" t="s">
        <v>2</v>
      </c>
    </row>
    <row r="7023" spans="1:9" x14ac:dyDescent="0.25">
      <c r="A7023" s="515">
        <v>7005</v>
      </c>
      <c r="B7023" s="515" t="s">
        <v>324</v>
      </c>
      <c r="C7023" s="52">
        <v>543948.54057267797</v>
      </c>
      <c r="D7023" s="56">
        <v>5.3961379547597811E-2</v>
      </c>
      <c r="E7023" s="224">
        <v>2795.5</v>
      </c>
      <c r="F7023" s="515" t="s">
        <v>8241</v>
      </c>
      <c r="G7023" s="52">
        <v>445197.06647622603</v>
      </c>
      <c r="H7023" s="56">
        <v>2.4650153434151015E-2</v>
      </c>
      <c r="I7023" s="224" t="s">
        <v>2</v>
      </c>
    </row>
    <row r="7024" spans="1:9" x14ac:dyDescent="0.25">
      <c r="A7024" s="515">
        <v>96778</v>
      </c>
      <c r="B7024" s="515" t="s">
        <v>399</v>
      </c>
      <c r="C7024" s="52">
        <v>289787.27212458302</v>
      </c>
      <c r="D7024" s="56">
        <v>0.1812977198054031</v>
      </c>
      <c r="E7024" s="224" t="s">
        <v>2</v>
      </c>
      <c r="F7024" s="515" t="s">
        <v>8242</v>
      </c>
      <c r="G7024" s="52">
        <v>514960.53623326198</v>
      </c>
      <c r="H7024" s="56">
        <v>2.4697240704112874E-2</v>
      </c>
      <c r="I7024" s="224" t="s">
        <v>2</v>
      </c>
    </row>
    <row r="7025" spans="1:9" x14ac:dyDescent="0.25">
      <c r="A7025" s="515">
        <v>79119</v>
      </c>
      <c r="B7025" s="515" t="s">
        <v>869</v>
      </c>
      <c r="C7025" s="52">
        <v>352489.71450604103</v>
      </c>
      <c r="D7025" s="56">
        <v>6.659864123332139E-2</v>
      </c>
      <c r="E7025" s="224">
        <v>1975</v>
      </c>
      <c r="F7025" s="515" t="s">
        <v>8243</v>
      </c>
      <c r="G7025" s="52">
        <v>101316.209846678</v>
      </c>
      <c r="H7025" s="56">
        <v>9.126117428410209E-2</v>
      </c>
      <c r="I7025" s="224" t="s">
        <v>2</v>
      </c>
    </row>
    <row r="7026" spans="1:9" x14ac:dyDescent="0.25">
      <c r="A7026" s="515">
        <v>77437</v>
      </c>
      <c r="B7026" s="515" t="s">
        <v>320</v>
      </c>
      <c r="C7026" s="52">
        <v>184658.73803263</v>
      </c>
      <c r="D7026" s="56">
        <v>6.3737465617079284E-2</v>
      </c>
      <c r="E7026" s="224" t="s">
        <v>2</v>
      </c>
      <c r="F7026" s="515" t="s">
        <v>8244</v>
      </c>
      <c r="G7026" s="52">
        <v>309954.279240362</v>
      </c>
      <c r="H7026" s="56">
        <v>4.1635332103268467E-2</v>
      </c>
      <c r="I7026" s="224" t="s">
        <v>2</v>
      </c>
    </row>
    <row r="7027" spans="1:9" x14ac:dyDescent="0.25">
      <c r="A7027" s="515">
        <v>88130</v>
      </c>
      <c r="B7027" s="515" t="s">
        <v>1206</v>
      </c>
      <c r="C7027" s="52">
        <v>121425.273210561</v>
      </c>
      <c r="D7027" s="56">
        <v>2.9231948866323874E-2</v>
      </c>
      <c r="E7027" s="224">
        <v>930</v>
      </c>
      <c r="F7027" s="515" t="s">
        <v>8245</v>
      </c>
      <c r="G7027" s="52">
        <v>105123.83805365401</v>
      </c>
      <c r="H7027" s="56">
        <v>6.6148804065957273E-2</v>
      </c>
      <c r="I7027" s="224" t="s">
        <v>2</v>
      </c>
    </row>
    <row r="7028" spans="1:9" x14ac:dyDescent="0.25">
      <c r="A7028" s="515">
        <v>2777</v>
      </c>
      <c r="B7028" s="515" t="s">
        <v>513</v>
      </c>
      <c r="C7028" s="52">
        <v>425530.39990684099</v>
      </c>
      <c r="D7028" s="56">
        <v>8.3973592776638725E-2</v>
      </c>
      <c r="E7028" s="224" t="s">
        <v>2</v>
      </c>
      <c r="F7028" s="515" t="s">
        <v>8246</v>
      </c>
      <c r="G7028" s="52">
        <v>363722.744700082</v>
      </c>
      <c r="H7028" s="56">
        <v>2.3200942574984944E-2</v>
      </c>
      <c r="I7028" s="224" t="s">
        <v>2</v>
      </c>
    </row>
    <row r="7029" spans="1:9" x14ac:dyDescent="0.25">
      <c r="A7029" s="515">
        <v>32011</v>
      </c>
      <c r="B7029" s="515" t="s">
        <v>1158</v>
      </c>
      <c r="C7029" s="52">
        <v>351767.82527323999</v>
      </c>
      <c r="D7029" s="56">
        <v>0.16439493870451771</v>
      </c>
      <c r="E7029" s="224" t="s">
        <v>2</v>
      </c>
      <c r="F7029" s="515" t="s">
        <v>8247</v>
      </c>
      <c r="G7029" s="52">
        <v>605798.97459734895</v>
      </c>
      <c r="H7029" s="56">
        <v>6.3992843742688377E-2</v>
      </c>
      <c r="I7029" s="224" t="s">
        <v>2</v>
      </c>
    </row>
    <row r="7030" spans="1:9" x14ac:dyDescent="0.25">
      <c r="A7030" s="515">
        <v>35210</v>
      </c>
      <c r="B7030" s="515" t="s">
        <v>640</v>
      </c>
      <c r="C7030" s="52">
        <v>245709.75379079499</v>
      </c>
      <c r="D7030" s="56">
        <v>0.10423021376235511</v>
      </c>
      <c r="E7030" s="224">
        <v>1638.3333333333301</v>
      </c>
      <c r="F7030" s="515" t="s">
        <v>8248</v>
      </c>
      <c r="G7030" s="52">
        <v>203970.50540537899</v>
      </c>
      <c r="H7030" s="56">
        <v>0.20173584661196192</v>
      </c>
      <c r="I7030" s="224" t="s">
        <v>2</v>
      </c>
    </row>
    <row r="7031" spans="1:9" x14ac:dyDescent="0.25">
      <c r="A7031" s="515">
        <v>93631</v>
      </c>
      <c r="B7031" s="515" t="s">
        <v>541</v>
      </c>
      <c r="C7031" s="52">
        <v>403209.22528746497</v>
      </c>
      <c r="D7031" s="56">
        <v>5.1945928700564123E-2</v>
      </c>
      <c r="E7031" s="224" t="s">
        <v>2</v>
      </c>
      <c r="F7031" s="515" t="s">
        <v>8249</v>
      </c>
      <c r="G7031" s="52">
        <v>154979.762417886</v>
      </c>
      <c r="H7031" s="56">
        <v>0.14737252135146894</v>
      </c>
      <c r="I7031" s="224" t="s">
        <v>2</v>
      </c>
    </row>
    <row r="7032" spans="1:9" x14ac:dyDescent="0.25">
      <c r="A7032" s="515">
        <v>49080</v>
      </c>
      <c r="B7032" s="515" t="s">
        <v>856</v>
      </c>
      <c r="C7032" s="52">
        <v>235037.03368613499</v>
      </c>
      <c r="D7032" s="56">
        <v>6.0310079568452933E-2</v>
      </c>
      <c r="E7032" s="224" t="s">
        <v>2</v>
      </c>
      <c r="F7032" s="515" t="s">
        <v>8250</v>
      </c>
      <c r="G7032" s="52">
        <v>165198.75827487101</v>
      </c>
      <c r="H7032" s="56">
        <v>4.3548137913966646E-2</v>
      </c>
      <c r="I7032" s="224" t="s">
        <v>2</v>
      </c>
    </row>
    <row r="7033" spans="1:9" x14ac:dyDescent="0.25">
      <c r="A7033" s="515">
        <v>17033</v>
      </c>
      <c r="B7033" s="515" t="s">
        <v>428</v>
      </c>
      <c r="C7033" s="52">
        <v>342440.58191207401</v>
      </c>
      <c r="D7033" s="56">
        <v>9.4242496639605405E-2</v>
      </c>
      <c r="E7033" s="224" t="s">
        <v>2</v>
      </c>
      <c r="F7033" s="515" t="s">
        <v>8251</v>
      </c>
      <c r="G7033" s="52">
        <v>267694.59266545501</v>
      </c>
      <c r="H7033" s="56">
        <v>7.8767139520366111E-2</v>
      </c>
      <c r="I7033" s="224" t="s">
        <v>2</v>
      </c>
    </row>
    <row r="7034" spans="1:9" x14ac:dyDescent="0.25">
      <c r="A7034" s="515">
        <v>93111</v>
      </c>
      <c r="B7034" s="515" t="s">
        <v>847</v>
      </c>
      <c r="C7034" s="52">
        <v>1385372.5555458299</v>
      </c>
      <c r="D7034" s="56">
        <v>9.3091520191939045E-2</v>
      </c>
      <c r="E7034" s="224" t="s">
        <v>2</v>
      </c>
      <c r="F7034" s="515" t="s">
        <v>8252</v>
      </c>
      <c r="G7034" s="52">
        <v>524062.28560358699</v>
      </c>
      <c r="H7034" s="56">
        <v>0.11806769243820425</v>
      </c>
      <c r="I7034" s="224" t="s">
        <v>2</v>
      </c>
    </row>
    <row r="7035" spans="1:9" x14ac:dyDescent="0.25">
      <c r="A7035" s="515">
        <v>39507</v>
      </c>
      <c r="B7035" s="515" t="s">
        <v>963</v>
      </c>
      <c r="C7035" s="52">
        <v>187660.011908221</v>
      </c>
      <c r="D7035" s="56">
        <v>6.388939782351899E-2</v>
      </c>
      <c r="E7035" s="224">
        <v>1500</v>
      </c>
      <c r="F7035" s="515" t="s">
        <v>8253</v>
      </c>
      <c r="G7035" s="52">
        <v>252869.284277812</v>
      </c>
      <c r="H7035" s="56">
        <v>7.8431861205730841E-2</v>
      </c>
      <c r="I7035" s="224">
        <v>1718.25</v>
      </c>
    </row>
    <row r="7036" spans="1:9" x14ac:dyDescent="0.25">
      <c r="A7036" s="515">
        <v>37411</v>
      </c>
      <c r="B7036" s="515" t="s">
        <v>622</v>
      </c>
      <c r="C7036" s="52">
        <v>192439.76390137299</v>
      </c>
      <c r="D7036" s="56">
        <v>9.9589649138981329E-2</v>
      </c>
      <c r="E7036" s="224">
        <v>1393.88888888888</v>
      </c>
      <c r="F7036" s="515" t="s">
        <v>8254</v>
      </c>
      <c r="G7036" s="52">
        <v>95121.405325063097</v>
      </c>
      <c r="H7036" s="56">
        <v>1.7781816785461261E-2</v>
      </c>
      <c r="I7036" s="224" t="s">
        <v>2</v>
      </c>
    </row>
    <row r="7037" spans="1:9" x14ac:dyDescent="0.25">
      <c r="A7037" s="515">
        <v>18640</v>
      </c>
      <c r="B7037" s="515" t="s">
        <v>512</v>
      </c>
      <c r="C7037" s="52">
        <v>149694.237538405</v>
      </c>
      <c r="D7037" s="56">
        <v>5.8784192867852879E-2</v>
      </c>
      <c r="E7037" s="224" t="s">
        <v>2</v>
      </c>
      <c r="F7037" s="515" t="s">
        <v>8255</v>
      </c>
      <c r="G7037" s="52">
        <v>349623.20572533098</v>
      </c>
      <c r="H7037" s="56">
        <v>0.12601808132800416</v>
      </c>
      <c r="I7037" s="224" t="s">
        <v>2</v>
      </c>
    </row>
    <row r="7038" spans="1:9" x14ac:dyDescent="0.25">
      <c r="A7038" s="515">
        <v>7646</v>
      </c>
      <c r="B7038" s="515" t="s">
        <v>324</v>
      </c>
      <c r="C7038" s="52">
        <v>534267.59138366103</v>
      </c>
      <c r="D7038" s="56">
        <v>3.7889305125807043E-2</v>
      </c>
      <c r="E7038" s="224" t="s">
        <v>2</v>
      </c>
      <c r="F7038" s="515" t="s">
        <v>8256</v>
      </c>
      <c r="G7038" s="52">
        <v>203267.034614998</v>
      </c>
      <c r="H7038" s="56">
        <v>0.13254744391303669</v>
      </c>
      <c r="I7038" s="224" t="s">
        <v>2</v>
      </c>
    </row>
    <row r="7039" spans="1:9" x14ac:dyDescent="0.25">
      <c r="A7039" s="515">
        <v>80534</v>
      </c>
      <c r="B7039" s="515" t="s">
        <v>382</v>
      </c>
      <c r="C7039" s="52">
        <v>512541.39712592901</v>
      </c>
      <c r="D7039" s="56">
        <v>8.5111650251765668E-3</v>
      </c>
      <c r="E7039" s="224">
        <v>2550</v>
      </c>
      <c r="F7039" s="515" t="s">
        <v>8257</v>
      </c>
      <c r="G7039" s="52">
        <v>207841.96145210901</v>
      </c>
      <c r="H7039" s="56">
        <v>5.3034104837811111E-2</v>
      </c>
      <c r="I7039" s="224" t="s">
        <v>2</v>
      </c>
    </row>
    <row r="7040" spans="1:9" x14ac:dyDescent="0.25">
      <c r="A7040" s="515">
        <v>77905</v>
      </c>
      <c r="B7040" s="515" t="s">
        <v>1174</v>
      </c>
      <c r="C7040" s="52">
        <v>225775.16939199201</v>
      </c>
      <c r="D7040" s="56">
        <v>5.1794561116757946E-2</v>
      </c>
      <c r="E7040" s="224" t="s">
        <v>2</v>
      </c>
      <c r="F7040" s="515" t="s">
        <v>8258</v>
      </c>
      <c r="G7040" s="52">
        <v>531379.29234908696</v>
      </c>
      <c r="H7040" s="56">
        <v>5.4783990168435041E-2</v>
      </c>
      <c r="I7040" s="224" t="s">
        <v>2</v>
      </c>
    </row>
    <row r="7041" spans="1:9" x14ac:dyDescent="0.25">
      <c r="A7041" s="515">
        <v>83001</v>
      </c>
      <c r="B7041" s="515" t="s">
        <v>490</v>
      </c>
      <c r="C7041" s="52">
        <v>1507337.8311933901</v>
      </c>
      <c r="D7041" s="56">
        <v>0.14268045340445124</v>
      </c>
      <c r="E7041" s="224" t="s">
        <v>2</v>
      </c>
      <c r="F7041" s="515" t="s">
        <v>8259</v>
      </c>
      <c r="G7041" s="52">
        <v>202150.23691809599</v>
      </c>
      <c r="H7041" s="56">
        <v>0.14222883745388071</v>
      </c>
      <c r="I7041" s="224" t="s">
        <v>2</v>
      </c>
    </row>
    <row r="7042" spans="1:9" x14ac:dyDescent="0.25">
      <c r="A7042" s="515">
        <v>29569</v>
      </c>
      <c r="B7042" s="515" t="s">
        <v>703</v>
      </c>
      <c r="C7042" s="52">
        <v>239886.64546606599</v>
      </c>
      <c r="D7042" s="56">
        <v>0.15806134760976476</v>
      </c>
      <c r="E7042" s="224" t="s">
        <v>2</v>
      </c>
      <c r="F7042" s="515" t="s">
        <v>8260</v>
      </c>
      <c r="G7042" s="52">
        <v>282502.01902080601</v>
      </c>
      <c r="H7042" s="56">
        <v>0.11727748594739647</v>
      </c>
      <c r="I7042" s="224" t="s">
        <v>2</v>
      </c>
    </row>
    <row r="7043" spans="1:9" x14ac:dyDescent="0.25">
      <c r="A7043" s="515">
        <v>2171</v>
      </c>
      <c r="B7043" s="515" t="s">
        <v>534</v>
      </c>
      <c r="C7043" s="52">
        <v>610881.99871442595</v>
      </c>
      <c r="D7043" s="56">
        <v>5.4454454426653559E-2</v>
      </c>
      <c r="E7043" s="224">
        <v>2633.8440170940098</v>
      </c>
      <c r="F7043" s="515" t="s">
        <v>8261</v>
      </c>
      <c r="G7043" s="52">
        <v>280328.41875133401</v>
      </c>
      <c r="H7043" s="56">
        <v>0.15771006891057293</v>
      </c>
      <c r="I7043" s="224" t="s">
        <v>2</v>
      </c>
    </row>
    <row r="7044" spans="1:9" x14ac:dyDescent="0.25">
      <c r="A7044" s="515">
        <v>14607</v>
      </c>
      <c r="B7044" s="515" t="s">
        <v>337</v>
      </c>
      <c r="C7044" s="52">
        <v>277644.600016699</v>
      </c>
      <c r="D7044" s="56">
        <v>5.6334444465841065E-2</v>
      </c>
      <c r="E7044" s="224">
        <v>1205.7222222222199</v>
      </c>
      <c r="F7044" s="515" t="s">
        <v>8262</v>
      </c>
      <c r="G7044" s="52">
        <v>97953.426986156497</v>
      </c>
      <c r="H7044" s="56">
        <v>8.4305841546594512E-2</v>
      </c>
      <c r="I7044" s="224" t="s">
        <v>2</v>
      </c>
    </row>
    <row r="7045" spans="1:9" x14ac:dyDescent="0.25">
      <c r="A7045" s="515">
        <v>48030</v>
      </c>
      <c r="B7045" s="515" t="s">
        <v>685</v>
      </c>
      <c r="C7045" s="52">
        <v>146600.150259794</v>
      </c>
      <c r="D7045" s="56">
        <v>7.7985281663172534E-2</v>
      </c>
      <c r="E7045" s="224">
        <v>1293.4722222222199</v>
      </c>
      <c r="F7045" s="515" t="s">
        <v>8263</v>
      </c>
      <c r="G7045" s="52">
        <v>378649.64488622802</v>
      </c>
      <c r="H7045" s="56">
        <v>7.031411959917061E-2</v>
      </c>
      <c r="I7045" s="224" t="s">
        <v>2</v>
      </c>
    </row>
    <row r="7046" spans="1:9" x14ac:dyDescent="0.25">
      <c r="A7046" s="515">
        <v>20015</v>
      </c>
      <c r="B7046" s="515" t="s">
        <v>321</v>
      </c>
      <c r="C7046" s="52">
        <v>1276190.0362680999</v>
      </c>
      <c r="D7046" s="56">
        <v>4.1211594511844016E-2</v>
      </c>
      <c r="E7046" s="224">
        <v>2034.1499999999901</v>
      </c>
      <c r="F7046" s="515" t="s">
        <v>8264</v>
      </c>
      <c r="G7046" s="52">
        <v>278166.543519</v>
      </c>
      <c r="H7046" s="56">
        <v>0.10526809752795778</v>
      </c>
      <c r="I7046" s="224" t="s">
        <v>2</v>
      </c>
    </row>
    <row r="7047" spans="1:9" x14ac:dyDescent="0.25">
      <c r="A7047" s="515">
        <v>13203</v>
      </c>
      <c r="B7047" s="515" t="s">
        <v>361</v>
      </c>
      <c r="C7047" s="52">
        <v>135167.131353356</v>
      </c>
      <c r="D7047" s="56">
        <v>4.4692304763046198E-2</v>
      </c>
      <c r="E7047" s="224">
        <v>1162.5</v>
      </c>
      <c r="F7047" s="515" t="s">
        <v>8265</v>
      </c>
      <c r="G7047" s="52">
        <v>278761.14378974697</v>
      </c>
      <c r="H7047" s="56">
        <v>2.5415469733652329E-2</v>
      </c>
      <c r="I7047" s="224" t="s">
        <v>2</v>
      </c>
    </row>
    <row r="7048" spans="1:9" x14ac:dyDescent="0.25">
      <c r="A7048" s="515">
        <v>34108</v>
      </c>
      <c r="B7048" s="515" t="s">
        <v>365</v>
      </c>
      <c r="C7048" s="52">
        <v>1190854.0051591999</v>
      </c>
      <c r="D7048" s="56">
        <v>0.21311464235911037</v>
      </c>
      <c r="E7048" s="224">
        <v>6375.6666666666597</v>
      </c>
      <c r="F7048" s="515" t="s">
        <v>8266</v>
      </c>
      <c r="G7048" s="52">
        <v>489129.80181454303</v>
      </c>
      <c r="H7048" s="56">
        <v>-4.7951178625475731E-3</v>
      </c>
      <c r="I7048" s="224" t="s">
        <v>2</v>
      </c>
    </row>
    <row r="7049" spans="1:9" x14ac:dyDescent="0.25">
      <c r="A7049" s="515">
        <v>45320</v>
      </c>
      <c r="C7049" s="52">
        <v>195543.55314474201</v>
      </c>
      <c r="D7049" s="56">
        <v>9.6954430317601856E-2</v>
      </c>
      <c r="E7049" s="224" t="s">
        <v>2</v>
      </c>
      <c r="F7049" s="515" t="s">
        <v>8267</v>
      </c>
      <c r="G7049" s="52">
        <v>256466.285130832</v>
      </c>
      <c r="H7049" s="56">
        <v>0.20753914961778158</v>
      </c>
      <c r="I7049" s="224">
        <v>1467.3333333333301</v>
      </c>
    </row>
    <row r="7050" spans="1:9" x14ac:dyDescent="0.25">
      <c r="A7050" s="515">
        <v>20882</v>
      </c>
      <c r="B7050" s="515" t="s">
        <v>321</v>
      </c>
      <c r="C7050" s="52">
        <v>698629.52839013096</v>
      </c>
      <c r="D7050" s="56">
        <v>3.1119634216398222E-2</v>
      </c>
      <c r="E7050" s="224" t="s">
        <v>2</v>
      </c>
      <c r="F7050" s="515" t="s">
        <v>8268</v>
      </c>
      <c r="G7050" s="52">
        <v>132675.78257116501</v>
      </c>
      <c r="H7050" s="56">
        <v>0.10766941719983934</v>
      </c>
      <c r="I7050" s="224" t="s">
        <v>2</v>
      </c>
    </row>
    <row r="7051" spans="1:9" x14ac:dyDescent="0.25">
      <c r="A7051" s="515">
        <v>6483</v>
      </c>
      <c r="B7051" s="515" t="s">
        <v>1172</v>
      </c>
      <c r="C7051" s="52">
        <v>324364.26369560702</v>
      </c>
      <c r="D7051" s="56">
        <v>0.10915345375354522</v>
      </c>
      <c r="E7051" s="224" t="s">
        <v>2</v>
      </c>
      <c r="F7051" s="515" t="s">
        <v>8269</v>
      </c>
      <c r="G7051" s="52">
        <v>209925.29042342899</v>
      </c>
      <c r="H7051" s="56">
        <v>6.2085469305614413E-2</v>
      </c>
      <c r="I7051" s="224" t="s">
        <v>2</v>
      </c>
    </row>
    <row r="7052" spans="1:9" x14ac:dyDescent="0.25">
      <c r="A7052" s="515">
        <v>43528</v>
      </c>
      <c r="B7052" s="515" t="s">
        <v>300</v>
      </c>
      <c r="C7052" s="52">
        <v>243797.89355663001</v>
      </c>
      <c r="D7052" s="56">
        <v>6.8102320682200151E-2</v>
      </c>
      <c r="E7052" s="224">
        <v>1205.38888888888</v>
      </c>
      <c r="F7052" s="515" t="s">
        <v>8270</v>
      </c>
      <c r="G7052" s="52">
        <v>272837.88803268701</v>
      </c>
      <c r="H7052" s="56">
        <v>9.5261815538550759E-2</v>
      </c>
      <c r="I7052" s="224" t="s">
        <v>2</v>
      </c>
    </row>
    <row r="7053" spans="1:9" x14ac:dyDescent="0.25">
      <c r="A7053" s="515">
        <v>40514</v>
      </c>
      <c r="B7053" s="515" t="s">
        <v>515</v>
      </c>
      <c r="C7053" s="52">
        <v>304377.62003545801</v>
      </c>
      <c r="D7053" s="56">
        <v>6.2513823528556098E-2</v>
      </c>
      <c r="E7053" s="224">
        <v>1705</v>
      </c>
      <c r="F7053" s="515" t="s">
        <v>8271</v>
      </c>
      <c r="G7053" s="52">
        <v>241421.19192013901</v>
      </c>
      <c r="H7053" s="56">
        <v>7.3313483870834084E-2</v>
      </c>
      <c r="I7053" s="224" t="s">
        <v>2</v>
      </c>
    </row>
    <row r="7054" spans="1:9" x14ac:dyDescent="0.25">
      <c r="A7054" s="515">
        <v>84054</v>
      </c>
      <c r="B7054" s="515" t="s">
        <v>628</v>
      </c>
      <c r="C7054" s="52">
        <v>525749.24956274999</v>
      </c>
      <c r="D7054" s="56">
        <v>3.0918856546668094E-2</v>
      </c>
      <c r="E7054" s="224">
        <v>1718.2222222222199</v>
      </c>
      <c r="F7054" s="515" t="s">
        <v>8272</v>
      </c>
      <c r="G7054" s="52">
        <v>248957.246448185</v>
      </c>
      <c r="H7054" s="56">
        <v>5.235439322938009E-2</v>
      </c>
      <c r="I7054" s="224" t="s">
        <v>2</v>
      </c>
    </row>
    <row r="7055" spans="1:9" x14ac:dyDescent="0.25">
      <c r="A7055" s="515">
        <v>92845</v>
      </c>
      <c r="B7055" s="515" t="s">
        <v>375</v>
      </c>
      <c r="C7055" s="52">
        <v>913884.06602358201</v>
      </c>
      <c r="D7055" s="56">
        <v>4.2075178207586439E-2</v>
      </c>
      <c r="E7055" s="224" t="s">
        <v>2</v>
      </c>
      <c r="F7055" s="515" t="s">
        <v>8273</v>
      </c>
      <c r="G7055" s="52">
        <v>131952.40893277901</v>
      </c>
      <c r="H7055" s="56">
        <v>0.25075806749309631</v>
      </c>
      <c r="I7055" s="224" t="s">
        <v>2</v>
      </c>
    </row>
    <row r="7056" spans="1:9" x14ac:dyDescent="0.25">
      <c r="A7056" s="515">
        <v>31709</v>
      </c>
      <c r="B7056" s="515" t="s">
        <v>763</v>
      </c>
      <c r="C7056" s="52">
        <v>116841.68499758901</v>
      </c>
      <c r="D7056" s="56">
        <v>0.12150498569224122</v>
      </c>
      <c r="E7056" s="224" t="s">
        <v>2</v>
      </c>
      <c r="F7056" s="515" t="s">
        <v>8274</v>
      </c>
      <c r="G7056" s="52">
        <v>138574.55523813399</v>
      </c>
      <c r="H7056" s="56">
        <v>5.6514514010667455E-2</v>
      </c>
      <c r="I7056" s="224" t="s">
        <v>2</v>
      </c>
    </row>
    <row r="7057" spans="1:9" x14ac:dyDescent="0.25">
      <c r="A7057" s="515">
        <v>55438</v>
      </c>
      <c r="B7057" s="515" t="s">
        <v>532</v>
      </c>
      <c r="C7057" s="52">
        <v>388713.71401281399</v>
      </c>
      <c r="D7057" s="56">
        <v>2.3406142477229521E-2</v>
      </c>
      <c r="E7057" s="224" t="s">
        <v>2</v>
      </c>
      <c r="F7057" s="515" t="s">
        <v>8275</v>
      </c>
      <c r="G7057" s="52">
        <v>316894.86602772999</v>
      </c>
      <c r="H7057" s="56">
        <v>0</v>
      </c>
      <c r="I7057" s="224" t="s">
        <v>2</v>
      </c>
    </row>
    <row r="7058" spans="1:9" x14ac:dyDescent="0.25">
      <c r="A7058" s="515">
        <v>31903</v>
      </c>
      <c r="B7058" s="515" t="s">
        <v>778</v>
      </c>
      <c r="C7058" s="52">
        <v>54376.655630077803</v>
      </c>
      <c r="D7058" s="56">
        <v>0.18973772867534572</v>
      </c>
      <c r="E7058" s="224" t="s">
        <v>2</v>
      </c>
      <c r="F7058" s="515" t="s">
        <v>8276</v>
      </c>
      <c r="G7058" s="52">
        <v>256819.12749266901</v>
      </c>
      <c r="H7058" s="56">
        <v>0.11819011533371829</v>
      </c>
      <c r="I7058" s="224" t="s">
        <v>2</v>
      </c>
    </row>
    <row r="7059" spans="1:9" x14ac:dyDescent="0.25">
      <c r="A7059" s="515">
        <v>6415</v>
      </c>
      <c r="B7059" s="515" t="s">
        <v>1091</v>
      </c>
      <c r="C7059" s="52">
        <v>343503.97876521898</v>
      </c>
      <c r="D7059" s="56">
        <v>8.2565071833358997E-2</v>
      </c>
      <c r="E7059" s="224" t="s">
        <v>2</v>
      </c>
      <c r="F7059" s="515" t="s">
        <v>8277</v>
      </c>
      <c r="G7059" s="52">
        <v>321449.751628411</v>
      </c>
      <c r="H7059" s="56">
        <v>6.2146103313382758E-2</v>
      </c>
      <c r="I7059" s="224" t="s">
        <v>2</v>
      </c>
    </row>
    <row r="7060" spans="1:9" x14ac:dyDescent="0.25">
      <c r="A7060" s="515">
        <v>29306</v>
      </c>
      <c r="B7060" s="515" t="s">
        <v>447</v>
      </c>
      <c r="C7060" s="52">
        <v>160882.88829985901</v>
      </c>
      <c r="D7060" s="56">
        <v>0.15285400261697038</v>
      </c>
      <c r="E7060" s="224">
        <v>1157.7777777777701</v>
      </c>
      <c r="F7060" s="515" t="s">
        <v>8278</v>
      </c>
      <c r="G7060" s="52">
        <v>302252.64051957801</v>
      </c>
      <c r="H7060" s="56">
        <v>0.11027694904666234</v>
      </c>
      <c r="I7060" s="224" t="s">
        <v>2</v>
      </c>
    </row>
    <row r="7061" spans="1:9" x14ac:dyDescent="0.25">
      <c r="A7061" s="515">
        <v>44126</v>
      </c>
      <c r="B7061" s="515" t="s">
        <v>520</v>
      </c>
      <c r="C7061" s="52">
        <v>230062.33323687001</v>
      </c>
      <c r="D7061" s="56">
        <v>5.3413747168523491E-2</v>
      </c>
      <c r="E7061" s="224" t="s">
        <v>2</v>
      </c>
      <c r="F7061" s="515" t="s">
        <v>8279</v>
      </c>
      <c r="G7061" s="52">
        <v>121031.40866069699</v>
      </c>
      <c r="H7061" s="56">
        <v>-1.5513539518445415E-2</v>
      </c>
      <c r="I7061" s="224" t="s">
        <v>2</v>
      </c>
    </row>
    <row r="7062" spans="1:9" x14ac:dyDescent="0.25">
      <c r="A7062" s="515">
        <v>80305</v>
      </c>
      <c r="B7062" s="515" t="s">
        <v>702</v>
      </c>
      <c r="C7062" s="52">
        <v>983491.34859548905</v>
      </c>
      <c r="D7062" s="56">
        <v>7.3082693427433065E-2</v>
      </c>
      <c r="E7062" s="224">
        <v>2829.0282051282002</v>
      </c>
      <c r="F7062" s="515" t="s">
        <v>8280</v>
      </c>
      <c r="G7062" s="52">
        <v>70924.625888042094</v>
      </c>
      <c r="H7062" s="56">
        <v>-7.4155311105222046E-3</v>
      </c>
      <c r="I7062" s="224" t="s">
        <v>2</v>
      </c>
    </row>
    <row r="7063" spans="1:9" x14ac:dyDescent="0.25">
      <c r="A7063" s="515">
        <v>42164</v>
      </c>
      <c r="B7063" s="515" t="s">
        <v>799</v>
      </c>
      <c r="C7063" s="52">
        <v>155497.526662016</v>
      </c>
      <c r="D7063" s="56">
        <v>7.591516860542287E-2</v>
      </c>
      <c r="E7063" s="224" t="s">
        <v>2</v>
      </c>
      <c r="F7063" s="515" t="s">
        <v>8281</v>
      </c>
      <c r="G7063" s="52">
        <v>165499.03927738799</v>
      </c>
      <c r="H7063" s="56">
        <v>0.10314320912038073</v>
      </c>
      <c r="I7063" s="224" t="s">
        <v>2</v>
      </c>
    </row>
    <row r="7064" spans="1:9" x14ac:dyDescent="0.25">
      <c r="A7064" s="515">
        <v>92866</v>
      </c>
      <c r="B7064" s="515" t="s">
        <v>375</v>
      </c>
      <c r="C7064" s="52">
        <v>965731.18514253804</v>
      </c>
      <c r="D7064" s="56">
        <v>4.3294516539463132E-2</v>
      </c>
      <c r="E7064" s="224" t="s">
        <v>2</v>
      </c>
      <c r="F7064" s="515" t="s">
        <v>8282</v>
      </c>
      <c r="G7064" s="52">
        <v>363463.445344129</v>
      </c>
      <c r="H7064" s="56">
        <v>0</v>
      </c>
      <c r="I7064" s="224" t="s">
        <v>2</v>
      </c>
    </row>
    <row r="7065" spans="1:9" x14ac:dyDescent="0.25">
      <c r="A7065" s="515">
        <v>3824</v>
      </c>
      <c r="B7065" s="515" t="s">
        <v>534</v>
      </c>
      <c r="C7065" s="52">
        <v>550010.76441143197</v>
      </c>
      <c r="D7065" s="56">
        <v>0.10637409203089407</v>
      </c>
      <c r="E7065" s="224" t="s">
        <v>2</v>
      </c>
      <c r="F7065" s="515" t="s">
        <v>8283</v>
      </c>
      <c r="G7065" s="52">
        <v>248237.02652102199</v>
      </c>
      <c r="H7065" s="56">
        <v>5.7023931460594333E-2</v>
      </c>
      <c r="I7065" s="224" t="s">
        <v>2</v>
      </c>
    </row>
    <row r="7066" spans="1:9" x14ac:dyDescent="0.25">
      <c r="A7066" s="515">
        <v>98332</v>
      </c>
      <c r="B7066" s="515" t="s">
        <v>384</v>
      </c>
      <c r="C7066" s="52">
        <v>795791.00798827002</v>
      </c>
      <c r="D7066" s="56">
        <v>4.0824017582735343E-2</v>
      </c>
      <c r="E7066" s="224">
        <v>2966.6666666666601</v>
      </c>
      <c r="F7066" s="515" t="s">
        <v>8284</v>
      </c>
      <c r="G7066" s="52">
        <v>133943.47894746199</v>
      </c>
      <c r="H7066" s="56">
        <v>-9.7963816918917049E-2</v>
      </c>
      <c r="I7066" s="224" t="s">
        <v>2</v>
      </c>
    </row>
    <row r="7067" spans="1:9" x14ac:dyDescent="0.25">
      <c r="A7067" s="515">
        <v>96766</v>
      </c>
      <c r="B7067" s="515" t="s">
        <v>452</v>
      </c>
      <c r="C7067" s="52">
        <v>772503.90787259606</v>
      </c>
      <c r="D7067" s="56">
        <v>0.15629089476615748</v>
      </c>
      <c r="E7067" s="224" t="s">
        <v>2</v>
      </c>
      <c r="F7067" s="515" t="s">
        <v>8285</v>
      </c>
      <c r="G7067" s="52">
        <v>309930.069118449</v>
      </c>
      <c r="H7067" s="56">
        <v>5.0937889580188404E-2</v>
      </c>
      <c r="I7067" s="224" t="s">
        <v>2</v>
      </c>
    </row>
    <row r="7068" spans="1:9" x14ac:dyDescent="0.25">
      <c r="A7068" s="515">
        <v>30824</v>
      </c>
      <c r="B7068" s="515" t="s">
        <v>888</v>
      </c>
      <c r="C7068" s="52">
        <v>159333.58193958001</v>
      </c>
      <c r="D7068" s="56">
        <v>0.14940660639856207</v>
      </c>
      <c r="E7068" s="224" t="s">
        <v>2</v>
      </c>
      <c r="F7068" s="515" t="s">
        <v>8286</v>
      </c>
      <c r="G7068" s="52">
        <v>886294.57232101704</v>
      </c>
      <c r="H7068" s="56">
        <v>7.0553359047313427E-2</v>
      </c>
      <c r="I7068" s="224" t="s">
        <v>2</v>
      </c>
    </row>
    <row r="7069" spans="1:9" x14ac:dyDescent="0.25">
      <c r="A7069" s="515">
        <v>92010</v>
      </c>
      <c r="B7069" s="515" t="s">
        <v>396</v>
      </c>
      <c r="C7069" s="52">
        <v>1093694.8859532999</v>
      </c>
      <c r="D7069" s="56">
        <v>9.8538573412954994E-2</v>
      </c>
      <c r="E7069" s="224">
        <v>3710</v>
      </c>
      <c r="F7069" s="515" t="s">
        <v>8287</v>
      </c>
      <c r="G7069" s="52">
        <v>275502.11935950501</v>
      </c>
      <c r="H7069" s="56">
        <v>4.1360277419408641E-2</v>
      </c>
      <c r="I7069" s="224" t="s">
        <v>2</v>
      </c>
    </row>
    <row r="7070" spans="1:9" x14ac:dyDescent="0.25">
      <c r="A7070" s="515">
        <v>81601</v>
      </c>
      <c r="B7070" s="515" t="s">
        <v>725</v>
      </c>
      <c r="C7070" s="52">
        <v>726280.35285064101</v>
      </c>
      <c r="D7070" s="56">
        <v>0.10486545164213243</v>
      </c>
      <c r="E7070" s="224" t="s">
        <v>2</v>
      </c>
      <c r="F7070" s="515" t="s">
        <v>8288</v>
      </c>
      <c r="G7070" s="52">
        <v>300454.43052663701</v>
      </c>
      <c r="H7070" s="56">
        <v>2.0430205513194124E-3</v>
      </c>
      <c r="I7070" s="224" t="s">
        <v>2</v>
      </c>
    </row>
    <row r="7071" spans="1:9" x14ac:dyDescent="0.25">
      <c r="A7071" s="515">
        <v>14615</v>
      </c>
      <c r="B7071" s="515" t="s">
        <v>337</v>
      </c>
      <c r="C7071" s="52">
        <v>141934.266750243</v>
      </c>
      <c r="D7071" s="56">
        <v>5.5795174344255301E-2</v>
      </c>
      <c r="E7071" s="224" t="s">
        <v>2</v>
      </c>
      <c r="F7071" s="515" t="s">
        <v>8289</v>
      </c>
      <c r="G7071" s="52">
        <v>201797.07239884499</v>
      </c>
      <c r="H7071" s="56">
        <v>6.6732137684248308E-2</v>
      </c>
      <c r="I7071" s="224" t="s">
        <v>2</v>
      </c>
    </row>
    <row r="7072" spans="1:9" x14ac:dyDescent="0.25">
      <c r="A7072" s="515">
        <v>76015</v>
      </c>
      <c r="B7072" s="515" t="s">
        <v>458</v>
      </c>
      <c r="C7072" s="52">
        <v>280211.03981242998</v>
      </c>
      <c r="D7072" s="56">
        <v>9.7454308200259535E-2</v>
      </c>
      <c r="E7072" s="224">
        <v>1469.8333333333301</v>
      </c>
      <c r="F7072" s="515" t="s">
        <v>8290</v>
      </c>
      <c r="G7072" s="52">
        <v>295056.790428304</v>
      </c>
      <c r="H7072" s="56">
        <v>8.0093966651133969E-2</v>
      </c>
      <c r="I7072" s="224" t="s">
        <v>2</v>
      </c>
    </row>
    <row r="7073" spans="1:9" x14ac:dyDescent="0.25">
      <c r="A7073" s="515">
        <v>30360</v>
      </c>
      <c r="B7073" s="515" t="s">
        <v>957</v>
      </c>
      <c r="C7073" s="52">
        <v>455745.49143717898</v>
      </c>
      <c r="D7073" s="56">
        <v>9.5360401720496202E-2</v>
      </c>
      <c r="E7073" s="224">
        <v>2632.5</v>
      </c>
      <c r="F7073" s="515" t="s">
        <v>8291</v>
      </c>
      <c r="G7073" s="52">
        <v>187770.131591927</v>
      </c>
      <c r="H7073" s="56">
        <v>6.369617587883955E-2</v>
      </c>
      <c r="I7073" s="224" t="s">
        <v>2</v>
      </c>
    </row>
    <row r="7074" spans="1:9" x14ac:dyDescent="0.25">
      <c r="A7074" s="515">
        <v>35150</v>
      </c>
      <c r="B7074" s="515" t="s">
        <v>523</v>
      </c>
      <c r="C7074" s="52">
        <v>130182.03642705</v>
      </c>
      <c r="D7074" s="56">
        <v>2.3819152002712216E-2</v>
      </c>
      <c r="E7074" s="224" t="s">
        <v>2</v>
      </c>
      <c r="F7074" s="515" t="s">
        <v>377</v>
      </c>
      <c r="G7074" s="52">
        <v>51172.206188663702</v>
      </c>
      <c r="H7074" s="56">
        <v>6.8756427917280719E-2</v>
      </c>
      <c r="I7074" s="224" t="s">
        <v>2</v>
      </c>
    </row>
    <row r="7075" spans="1:9" x14ac:dyDescent="0.25">
      <c r="A7075" s="515">
        <v>8837</v>
      </c>
      <c r="B7075" s="515" t="s">
        <v>324</v>
      </c>
      <c r="C7075" s="52">
        <v>419962.14409572497</v>
      </c>
      <c r="D7075" s="56">
        <v>3.6271741997019588E-2</v>
      </c>
      <c r="E7075" s="224" t="s">
        <v>2</v>
      </c>
      <c r="F7075" s="515" t="s">
        <v>8292</v>
      </c>
      <c r="G7075" s="52">
        <v>193237.34524006999</v>
      </c>
      <c r="H7075" s="56">
        <v>7.5918015110299414E-2</v>
      </c>
      <c r="I7075" s="224" t="s">
        <v>2</v>
      </c>
    </row>
    <row r="7076" spans="1:9" x14ac:dyDescent="0.25">
      <c r="A7076" s="515">
        <v>39429</v>
      </c>
      <c r="C7076" s="52">
        <v>122656.103728972</v>
      </c>
      <c r="D7076" s="56">
        <v>-1.1948439786839694E-2</v>
      </c>
      <c r="E7076" s="224" t="s">
        <v>2</v>
      </c>
      <c r="F7076" s="515" t="s">
        <v>8293</v>
      </c>
      <c r="G7076" s="52">
        <v>121796.952068431</v>
      </c>
      <c r="H7076" s="56">
        <v>0.13864904515994353</v>
      </c>
      <c r="I7076" s="224" t="s">
        <v>2</v>
      </c>
    </row>
    <row r="7077" spans="1:9" x14ac:dyDescent="0.25">
      <c r="A7077" s="515">
        <v>78255</v>
      </c>
      <c r="B7077" s="515" t="s">
        <v>717</v>
      </c>
      <c r="C7077" s="52">
        <v>526109.20363126497</v>
      </c>
      <c r="D7077" s="56">
        <v>8.4824681775357555E-2</v>
      </c>
      <c r="E7077" s="224" t="s">
        <v>2</v>
      </c>
      <c r="F7077" s="515" t="s">
        <v>8294</v>
      </c>
      <c r="G7077" s="52">
        <v>198189.28331137</v>
      </c>
      <c r="H7077" s="56">
        <v>9.3003562085377758E-2</v>
      </c>
      <c r="I7077" s="224" t="s">
        <v>2</v>
      </c>
    </row>
    <row r="7078" spans="1:9" x14ac:dyDescent="0.25">
      <c r="A7078" s="515">
        <v>55720</v>
      </c>
      <c r="B7078" s="515" t="s">
        <v>350</v>
      </c>
      <c r="C7078" s="52">
        <v>215566.22533832199</v>
      </c>
      <c r="D7078" s="56">
        <v>5.7983904148574551E-2</v>
      </c>
      <c r="E7078" s="224" t="s">
        <v>2</v>
      </c>
      <c r="F7078" s="515" t="s">
        <v>8295</v>
      </c>
      <c r="G7078" s="52">
        <v>101447.474369025</v>
      </c>
      <c r="H7078" s="56">
        <v>-7.9633897980121743E-2</v>
      </c>
      <c r="I7078" s="224" t="s">
        <v>2</v>
      </c>
    </row>
    <row r="7079" spans="1:9" x14ac:dyDescent="0.25">
      <c r="A7079" s="515">
        <v>15017</v>
      </c>
      <c r="B7079" s="515" t="s">
        <v>297</v>
      </c>
      <c r="C7079" s="52">
        <v>233689.22363289201</v>
      </c>
      <c r="D7079" s="56">
        <v>4.8506100166821803E-2</v>
      </c>
      <c r="E7079" s="224">
        <v>1156.6666666666599</v>
      </c>
      <c r="F7079" s="515" t="s">
        <v>8296</v>
      </c>
      <c r="G7079" s="52">
        <v>166722.584517557</v>
      </c>
      <c r="H7079" s="56">
        <v>0.26017063935317863</v>
      </c>
      <c r="I7079" s="224" t="s">
        <v>2</v>
      </c>
    </row>
    <row r="7080" spans="1:9" x14ac:dyDescent="0.25">
      <c r="A7080" s="515">
        <v>99712</v>
      </c>
      <c r="B7080" s="515" t="s">
        <v>1080</v>
      </c>
      <c r="C7080" s="52">
        <v>288132.95193851902</v>
      </c>
      <c r="D7080" s="56">
        <v>2.8414498168292334E-3</v>
      </c>
      <c r="E7080" s="224" t="s">
        <v>2</v>
      </c>
      <c r="F7080" s="515" t="s">
        <v>8297</v>
      </c>
      <c r="G7080" s="52">
        <v>225330.53477887801</v>
      </c>
      <c r="H7080" s="56">
        <v>7.0354874631003345E-2</v>
      </c>
      <c r="I7080" s="224" t="s">
        <v>2</v>
      </c>
    </row>
    <row r="7081" spans="1:9" x14ac:dyDescent="0.25">
      <c r="A7081" s="515">
        <v>14901</v>
      </c>
      <c r="B7081" s="515" t="s">
        <v>724</v>
      </c>
      <c r="C7081" s="52">
        <v>93008.0121456286</v>
      </c>
      <c r="D7081" s="56">
        <v>7.3373126214766646E-2</v>
      </c>
      <c r="E7081" s="224" t="s">
        <v>2</v>
      </c>
      <c r="F7081" s="515" t="s">
        <v>8298</v>
      </c>
      <c r="G7081" s="52">
        <v>211912.76066005399</v>
      </c>
      <c r="H7081" s="56">
        <v>8.615721427381362E-2</v>
      </c>
      <c r="I7081" s="224" t="s">
        <v>2</v>
      </c>
    </row>
    <row r="7082" spans="1:9" x14ac:dyDescent="0.25">
      <c r="A7082" s="515">
        <v>27504</v>
      </c>
      <c r="B7082" s="515" t="s">
        <v>484</v>
      </c>
      <c r="C7082" s="52">
        <v>287832.09516536898</v>
      </c>
      <c r="D7082" s="56">
        <v>0.13250265391233898</v>
      </c>
      <c r="E7082" s="224" t="s">
        <v>2</v>
      </c>
      <c r="F7082" s="515" t="s">
        <v>8299</v>
      </c>
      <c r="G7082" s="52">
        <v>399993.526192652</v>
      </c>
      <c r="H7082" s="56">
        <v>1.3164518053694981E-2</v>
      </c>
      <c r="I7082" s="224" t="s">
        <v>2</v>
      </c>
    </row>
    <row r="7083" spans="1:9" x14ac:dyDescent="0.25">
      <c r="A7083" s="515">
        <v>62035</v>
      </c>
      <c r="B7083" s="515" t="s">
        <v>498</v>
      </c>
      <c r="C7083" s="52">
        <v>176091.16962964099</v>
      </c>
      <c r="D7083" s="56">
        <v>9.0745181960201635E-2</v>
      </c>
      <c r="E7083" s="224" t="s">
        <v>2</v>
      </c>
      <c r="F7083" s="515" t="s">
        <v>8300</v>
      </c>
      <c r="G7083" s="52">
        <v>129954.05087521501</v>
      </c>
      <c r="H7083" s="56">
        <v>5.9793207705549974E-2</v>
      </c>
      <c r="I7083" s="224" t="s">
        <v>2</v>
      </c>
    </row>
    <row r="7084" spans="1:9" x14ac:dyDescent="0.25">
      <c r="A7084" s="515">
        <v>2351</v>
      </c>
      <c r="B7084" s="515" t="s">
        <v>534</v>
      </c>
      <c r="C7084" s="52">
        <v>501728.76565902901</v>
      </c>
      <c r="D7084" s="56">
        <v>2.9299478059242271E-2</v>
      </c>
      <c r="E7084" s="224">
        <v>2465</v>
      </c>
      <c r="F7084" s="515" t="s">
        <v>8301</v>
      </c>
      <c r="G7084" s="52">
        <v>143839.355745454</v>
      </c>
      <c r="H7084" s="56">
        <v>4.9789789120725625E-2</v>
      </c>
      <c r="I7084" s="224" t="s">
        <v>2</v>
      </c>
    </row>
    <row r="7085" spans="1:9" x14ac:dyDescent="0.25">
      <c r="A7085" s="515">
        <v>21054</v>
      </c>
      <c r="B7085" s="515" t="s">
        <v>582</v>
      </c>
      <c r="C7085" s="52">
        <v>556635.38669554703</v>
      </c>
      <c r="D7085" s="56">
        <v>3.3758369498955353E-2</v>
      </c>
      <c r="E7085" s="224">
        <v>2519.38333333333</v>
      </c>
      <c r="F7085" s="515" t="s">
        <v>8302</v>
      </c>
      <c r="G7085" s="52">
        <v>146124.93574290301</v>
      </c>
      <c r="H7085" s="56">
        <v>0.10066368433036418</v>
      </c>
      <c r="I7085" s="224" t="s">
        <v>2</v>
      </c>
    </row>
    <row r="7086" spans="1:9" x14ac:dyDescent="0.25">
      <c r="A7086" s="515">
        <v>44906</v>
      </c>
      <c r="B7086" s="515" t="s">
        <v>1140</v>
      </c>
      <c r="C7086" s="52">
        <v>137091.70328784201</v>
      </c>
      <c r="D7086" s="56">
        <v>9.847100697623308E-2</v>
      </c>
      <c r="E7086" s="224" t="s">
        <v>2</v>
      </c>
      <c r="F7086" s="515" t="s">
        <v>8303</v>
      </c>
      <c r="G7086" s="52">
        <v>313170.63248084299</v>
      </c>
      <c r="H7086" s="56">
        <v>6.62915727550423E-2</v>
      </c>
      <c r="I7086" s="224" t="s">
        <v>2</v>
      </c>
    </row>
    <row r="7087" spans="1:9" x14ac:dyDescent="0.25">
      <c r="A7087" s="515">
        <v>3063</v>
      </c>
      <c r="B7087" s="515" t="s">
        <v>996</v>
      </c>
      <c r="C7087" s="52">
        <v>389011.33422686701</v>
      </c>
      <c r="D7087" s="56">
        <v>0.10580006017025234</v>
      </c>
      <c r="E7087" s="224" t="s">
        <v>2</v>
      </c>
      <c r="F7087" s="515" t="s">
        <v>8304</v>
      </c>
      <c r="G7087" s="52">
        <v>376399.15209433599</v>
      </c>
      <c r="H7087" s="56">
        <v>0.10688109975994022</v>
      </c>
      <c r="I7087" s="224" t="s">
        <v>2</v>
      </c>
    </row>
    <row r="7088" spans="1:9" x14ac:dyDescent="0.25">
      <c r="A7088" s="515">
        <v>80903</v>
      </c>
      <c r="B7088" s="515" t="s">
        <v>701</v>
      </c>
      <c r="C7088" s="52">
        <v>396248.21792871202</v>
      </c>
      <c r="D7088" s="56">
        <v>1.5702531833158367E-2</v>
      </c>
      <c r="E7088" s="224">
        <v>1681.99404761904</v>
      </c>
      <c r="F7088" s="515" t="s">
        <v>8305</v>
      </c>
      <c r="G7088" s="52">
        <v>288881.54650206602</v>
      </c>
      <c r="H7088" s="56">
        <v>6.4086312951772348E-2</v>
      </c>
      <c r="I7088" s="224" t="s">
        <v>2</v>
      </c>
    </row>
    <row r="7089" spans="1:9" x14ac:dyDescent="0.25">
      <c r="A7089" s="515">
        <v>24450</v>
      </c>
      <c r="C7089" s="52">
        <v>291838.75456786097</v>
      </c>
      <c r="D7089" s="56">
        <v>9.0984621394021026E-2</v>
      </c>
      <c r="E7089" s="224" t="s">
        <v>2</v>
      </c>
      <c r="F7089" s="515" t="s">
        <v>8306</v>
      </c>
      <c r="G7089" s="52">
        <v>281174.15376489598</v>
      </c>
      <c r="H7089" s="56">
        <v>0.13514547820876888</v>
      </c>
      <c r="I7089" s="224" t="s">
        <v>2</v>
      </c>
    </row>
    <row r="7090" spans="1:9" x14ac:dyDescent="0.25">
      <c r="A7090" s="515">
        <v>34235</v>
      </c>
      <c r="B7090" s="515" t="s">
        <v>466</v>
      </c>
      <c r="C7090" s="52">
        <v>364896.83110151102</v>
      </c>
      <c r="D7090" s="56">
        <v>0.15535992697665529</v>
      </c>
      <c r="E7090" s="224">
        <v>2729.7777777777701</v>
      </c>
      <c r="F7090" s="515" t="s">
        <v>8307</v>
      </c>
      <c r="G7090" s="52">
        <v>269286.82244126103</v>
      </c>
      <c r="H7090" s="56">
        <v>6.341570173174968E-2</v>
      </c>
      <c r="I7090" s="224" t="s">
        <v>2</v>
      </c>
    </row>
    <row r="7091" spans="1:9" x14ac:dyDescent="0.25">
      <c r="A7091" s="515">
        <v>78070</v>
      </c>
      <c r="B7091" s="515" t="s">
        <v>717</v>
      </c>
      <c r="C7091" s="52">
        <v>562655.66335500497</v>
      </c>
      <c r="D7091" s="56">
        <v>9.1061826362498613E-2</v>
      </c>
      <c r="E7091" s="224" t="s">
        <v>2</v>
      </c>
      <c r="F7091" s="515" t="s">
        <v>8308</v>
      </c>
      <c r="G7091" s="52">
        <v>249183.95544218799</v>
      </c>
      <c r="H7091" s="56">
        <v>9.9476048063386668E-2</v>
      </c>
      <c r="I7091" s="224" t="s">
        <v>2</v>
      </c>
    </row>
    <row r="7092" spans="1:9" x14ac:dyDescent="0.25">
      <c r="A7092" s="515">
        <v>35967</v>
      </c>
      <c r="B7092" s="515" t="s">
        <v>979</v>
      </c>
      <c r="C7092" s="52">
        <v>167375.77495781399</v>
      </c>
      <c r="D7092" s="56">
        <v>0.10356248183076058</v>
      </c>
      <c r="E7092" s="224" t="s">
        <v>2</v>
      </c>
      <c r="F7092" s="515" t="s">
        <v>8309</v>
      </c>
      <c r="G7092" s="52">
        <v>216000.767929428</v>
      </c>
      <c r="H7092" s="56">
        <v>4.3946872622657243E-2</v>
      </c>
      <c r="I7092" s="224" t="s">
        <v>2</v>
      </c>
    </row>
    <row r="7093" spans="1:9" x14ac:dyDescent="0.25">
      <c r="A7093" s="515">
        <v>45804</v>
      </c>
      <c r="B7093" s="515" t="s">
        <v>299</v>
      </c>
      <c r="C7093" s="52">
        <v>56592.930024118199</v>
      </c>
      <c r="D7093" s="56">
        <v>0.10579731657948366</v>
      </c>
      <c r="E7093" s="224" t="s">
        <v>2</v>
      </c>
      <c r="F7093" s="515" t="s">
        <v>8310</v>
      </c>
      <c r="G7093" s="52">
        <v>280422.05993142299</v>
      </c>
      <c r="H7093" s="56">
        <v>4.7917991052035869E-2</v>
      </c>
      <c r="I7093" s="224">
        <v>1000</v>
      </c>
    </row>
    <row r="7094" spans="1:9" x14ac:dyDescent="0.25">
      <c r="A7094" s="515">
        <v>27358</v>
      </c>
      <c r="B7094" s="515" t="s">
        <v>1148</v>
      </c>
      <c r="C7094" s="52">
        <v>419619.332947338</v>
      </c>
      <c r="D7094" s="56">
        <v>8.9953112441851363E-2</v>
      </c>
      <c r="E7094" s="224" t="s">
        <v>2</v>
      </c>
      <c r="F7094" s="515" t="s">
        <v>8311</v>
      </c>
      <c r="G7094" s="52">
        <v>320288.01478782098</v>
      </c>
      <c r="H7094" s="56">
        <v>7.7976059777910972E-2</v>
      </c>
      <c r="I7094" s="224" t="s">
        <v>2</v>
      </c>
    </row>
    <row r="7095" spans="1:9" x14ac:dyDescent="0.25">
      <c r="A7095" s="515">
        <v>27574</v>
      </c>
      <c r="B7095" s="515" t="s">
        <v>467</v>
      </c>
      <c r="C7095" s="52">
        <v>186377.96481957199</v>
      </c>
      <c r="D7095" s="56">
        <v>7.3586033628870992E-2</v>
      </c>
      <c r="E7095" s="224" t="s">
        <v>2</v>
      </c>
      <c r="F7095" s="515" t="s">
        <v>8312</v>
      </c>
      <c r="G7095" s="52">
        <v>154804.85615920901</v>
      </c>
      <c r="H7095" s="56">
        <v>8.9314048363609205E-2</v>
      </c>
      <c r="I7095" s="224" t="s">
        <v>2</v>
      </c>
    </row>
    <row r="7096" spans="1:9" x14ac:dyDescent="0.25">
      <c r="A7096" s="515">
        <v>15057</v>
      </c>
      <c r="B7096" s="515" t="s">
        <v>297</v>
      </c>
      <c r="C7096" s="52">
        <v>331384.05728141998</v>
      </c>
      <c r="D7096" s="56">
        <v>6.5644654387417345E-2</v>
      </c>
      <c r="E7096" s="224" t="s">
        <v>2</v>
      </c>
      <c r="F7096" s="515" t="s">
        <v>8313</v>
      </c>
      <c r="G7096" s="52">
        <v>141369.923540797</v>
      </c>
      <c r="H7096" s="56">
        <v>0.29735024982196084</v>
      </c>
      <c r="I7096" s="224" t="s">
        <v>2</v>
      </c>
    </row>
    <row r="7097" spans="1:9" x14ac:dyDescent="0.25">
      <c r="A7097" s="515">
        <v>37617</v>
      </c>
      <c r="B7097" s="515" t="s">
        <v>902</v>
      </c>
      <c r="C7097" s="52">
        <v>239769.87902096199</v>
      </c>
      <c r="D7097" s="56">
        <v>8.6895081370105723E-2</v>
      </c>
      <c r="E7097" s="224" t="s">
        <v>2</v>
      </c>
      <c r="F7097" s="515" t="s">
        <v>8314</v>
      </c>
      <c r="G7097" s="52">
        <v>331399.28787887498</v>
      </c>
      <c r="H7097" s="56">
        <v>5.2260225228668029E-2</v>
      </c>
      <c r="I7097" s="224" t="s">
        <v>2</v>
      </c>
    </row>
    <row r="7098" spans="1:9" x14ac:dyDescent="0.25">
      <c r="A7098" s="515">
        <v>32206</v>
      </c>
      <c r="B7098" s="515" t="s">
        <v>1158</v>
      </c>
      <c r="C7098" s="52">
        <v>124186.23011191</v>
      </c>
      <c r="D7098" s="56">
        <v>0.28359920440442221</v>
      </c>
      <c r="E7098" s="224">
        <v>1189.7023809523801</v>
      </c>
      <c r="F7098" s="515" t="s">
        <v>8315</v>
      </c>
      <c r="G7098" s="52">
        <v>147822.710778298</v>
      </c>
      <c r="H7098" s="56">
        <v>5.7036233876559095E-2</v>
      </c>
      <c r="I7098" s="224" t="s">
        <v>2</v>
      </c>
    </row>
    <row r="7099" spans="1:9" x14ac:dyDescent="0.25">
      <c r="A7099" s="515">
        <v>60417</v>
      </c>
      <c r="B7099" s="515" t="s">
        <v>394</v>
      </c>
      <c r="C7099" s="52">
        <v>245798.20675007501</v>
      </c>
      <c r="D7099" s="56">
        <v>7.3254319137372598E-2</v>
      </c>
      <c r="E7099" s="224" t="s">
        <v>2</v>
      </c>
      <c r="F7099" s="515" t="s">
        <v>8316</v>
      </c>
      <c r="G7099" s="52">
        <v>213990.12645727</v>
      </c>
      <c r="H7099" s="56">
        <v>6.1549925923441079E-2</v>
      </c>
      <c r="I7099" s="224" t="s">
        <v>2</v>
      </c>
    </row>
    <row r="7100" spans="1:9" x14ac:dyDescent="0.25">
      <c r="A7100" s="515">
        <v>32836</v>
      </c>
      <c r="B7100" s="515" t="s">
        <v>517</v>
      </c>
      <c r="C7100" s="52">
        <v>703233.27361443394</v>
      </c>
      <c r="D7100" s="56">
        <v>0.11357976279822893</v>
      </c>
      <c r="E7100" s="224">
        <v>2256.0726495726499</v>
      </c>
      <c r="F7100" s="515" t="s">
        <v>8317</v>
      </c>
      <c r="G7100" s="52">
        <v>93668.052502161503</v>
      </c>
      <c r="H7100" s="56">
        <v>0.10775211258845729</v>
      </c>
      <c r="I7100" s="224" t="s">
        <v>2</v>
      </c>
    </row>
    <row r="7101" spans="1:9" x14ac:dyDescent="0.25">
      <c r="A7101" s="515">
        <v>45233</v>
      </c>
      <c r="B7101" s="515" t="s">
        <v>344</v>
      </c>
      <c r="C7101" s="52">
        <v>285714.89126634499</v>
      </c>
      <c r="D7101" s="56">
        <v>6.1168755189683351E-2</v>
      </c>
      <c r="E7101" s="224" t="s">
        <v>2</v>
      </c>
      <c r="F7101" s="515" t="s">
        <v>8318</v>
      </c>
      <c r="G7101" s="52">
        <v>293187.18450695899</v>
      </c>
      <c r="H7101" s="56">
        <v>4.1243843213257967E-3</v>
      </c>
      <c r="I7101" s="224" t="s">
        <v>2</v>
      </c>
    </row>
    <row r="7102" spans="1:9" x14ac:dyDescent="0.25">
      <c r="A7102" s="515">
        <v>34223</v>
      </c>
      <c r="B7102" s="515" t="s">
        <v>466</v>
      </c>
      <c r="C7102" s="52">
        <v>436265.35566268303</v>
      </c>
      <c r="D7102" s="56">
        <v>0.13046688275766172</v>
      </c>
      <c r="E7102" s="224" t="s">
        <v>2</v>
      </c>
      <c r="F7102" s="515" t="s">
        <v>8319</v>
      </c>
      <c r="G7102" s="52">
        <v>193859.99833925601</v>
      </c>
      <c r="H7102" s="56">
        <v>6.7707639040544138E-2</v>
      </c>
      <c r="I7102" s="224" t="s">
        <v>2</v>
      </c>
    </row>
    <row r="7103" spans="1:9" x14ac:dyDescent="0.25">
      <c r="A7103" s="515">
        <v>83703</v>
      </c>
      <c r="B7103" s="515" t="s">
        <v>500</v>
      </c>
      <c r="C7103" s="52">
        <v>480131.63316333998</v>
      </c>
      <c r="D7103" s="56">
        <v>-4.5467624482889997E-2</v>
      </c>
      <c r="E7103" s="224">
        <v>1651.7925925925899</v>
      </c>
      <c r="F7103" s="515" t="s">
        <v>8320</v>
      </c>
      <c r="G7103" s="52">
        <v>143809.86621881701</v>
      </c>
      <c r="H7103" s="56">
        <v>0.17055487901396951</v>
      </c>
      <c r="I7103" s="224" t="s">
        <v>2</v>
      </c>
    </row>
    <row r="7104" spans="1:9" x14ac:dyDescent="0.25">
      <c r="A7104" s="515">
        <v>56501</v>
      </c>
      <c r="C7104" s="52">
        <v>328626.04155549099</v>
      </c>
      <c r="D7104" s="56">
        <v>9.0867235809585875E-2</v>
      </c>
      <c r="E7104" s="224" t="s">
        <v>2</v>
      </c>
      <c r="F7104" s="515" t="s">
        <v>8321</v>
      </c>
      <c r="G7104" s="52">
        <v>159445.32499049601</v>
      </c>
      <c r="H7104" s="56">
        <v>0.1386594784507072</v>
      </c>
      <c r="I7104" s="224" t="s">
        <v>2</v>
      </c>
    </row>
    <row r="7105" spans="1:9" x14ac:dyDescent="0.25">
      <c r="A7105" s="515">
        <v>35115</v>
      </c>
      <c r="B7105" s="515" t="s">
        <v>640</v>
      </c>
      <c r="C7105" s="52">
        <v>211290.458831153</v>
      </c>
      <c r="D7105" s="56">
        <v>5.8468740230412826E-2</v>
      </c>
      <c r="E7105" s="224" t="s">
        <v>2</v>
      </c>
      <c r="F7105" s="515" t="s">
        <v>8322</v>
      </c>
      <c r="G7105" s="52">
        <v>897229.40989385697</v>
      </c>
      <c r="H7105" s="56">
        <v>2.2672405358960597E-2</v>
      </c>
      <c r="I7105" s="224" t="s">
        <v>2</v>
      </c>
    </row>
    <row r="7106" spans="1:9" x14ac:dyDescent="0.25">
      <c r="A7106" s="515">
        <v>48193</v>
      </c>
      <c r="B7106" s="515" t="s">
        <v>685</v>
      </c>
      <c r="C7106" s="52">
        <v>214611.048897384</v>
      </c>
      <c r="D7106" s="56">
        <v>4.8658112829908055E-2</v>
      </c>
      <c r="E7106" s="224" t="s">
        <v>2</v>
      </c>
      <c r="F7106" s="515" t="s">
        <v>8323</v>
      </c>
      <c r="G7106" s="52">
        <v>595129.94611742604</v>
      </c>
      <c r="H7106" s="56">
        <v>0.14222587324304567</v>
      </c>
      <c r="I7106" s="224" t="s">
        <v>2</v>
      </c>
    </row>
    <row r="7107" spans="1:9" x14ac:dyDescent="0.25">
      <c r="A7107" s="515">
        <v>19001</v>
      </c>
      <c r="B7107" s="515" t="s">
        <v>294</v>
      </c>
      <c r="C7107" s="52">
        <v>355530.19665600703</v>
      </c>
      <c r="D7107" s="56">
        <v>7.651389548783856E-2</v>
      </c>
      <c r="E7107" s="224" t="s">
        <v>2</v>
      </c>
      <c r="F7107" s="515" t="s">
        <v>8324</v>
      </c>
      <c r="G7107" s="52">
        <v>124476.446268425</v>
      </c>
      <c r="H7107" s="56">
        <v>4.2940730588899141E-2</v>
      </c>
      <c r="I7107" s="224" t="s">
        <v>2</v>
      </c>
    </row>
    <row r="7108" spans="1:9" x14ac:dyDescent="0.25">
      <c r="A7108" s="515">
        <v>28539</v>
      </c>
      <c r="B7108" s="515" t="s">
        <v>1153</v>
      </c>
      <c r="C7108" s="52">
        <v>237929.493078011</v>
      </c>
      <c r="D7108" s="56">
        <v>0.13902400515114777</v>
      </c>
      <c r="E7108" s="224">
        <v>1267.5</v>
      </c>
      <c r="F7108" s="515" t="s">
        <v>8325</v>
      </c>
      <c r="G7108" s="52">
        <v>179050.65871439601</v>
      </c>
      <c r="H7108" s="56">
        <v>5.9490657519553312E-2</v>
      </c>
      <c r="I7108" s="224" t="s">
        <v>2</v>
      </c>
    </row>
    <row r="7109" spans="1:9" x14ac:dyDescent="0.25">
      <c r="A7109" s="515">
        <v>48201</v>
      </c>
      <c r="B7109" s="515" t="s">
        <v>685</v>
      </c>
      <c r="C7109" s="52">
        <v>423301.29985256499</v>
      </c>
      <c r="D7109" s="56">
        <v>-1.4102543284238269E-2</v>
      </c>
      <c r="E7109" s="224" t="s">
        <v>2</v>
      </c>
      <c r="F7109" s="515" t="s">
        <v>8326</v>
      </c>
      <c r="G7109" s="52">
        <v>382707.76289019198</v>
      </c>
      <c r="H7109" s="56">
        <v>9.0669952929693844E-3</v>
      </c>
      <c r="I7109" s="224" t="s">
        <v>2</v>
      </c>
    </row>
    <row r="7110" spans="1:9" x14ac:dyDescent="0.25">
      <c r="A7110" s="515">
        <v>48082</v>
      </c>
      <c r="B7110" s="515" t="s">
        <v>685</v>
      </c>
      <c r="C7110" s="52">
        <v>193734.04172817399</v>
      </c>
      <c r="D7110" s="56">
        <v>5.9423417660310597E-2</v>
      </c>
      <c r="E7110" s="224" t="s">
        <v>2</v>
      </c>
      <c r="F7110" s="515" t="s">
        <v>8327</v>
      </c>
      <c r="G7110" s="52">
        <v>137556.842281294</v>
      </c>
      <c r="H7110" s="56">
        <v>6.3206435331104011E-2</v>
      </c>
      <c r="I7110" s="224" t="s">
        <v>2</v>
      </c>
    </row>
    <row r="7111" spans="1:9" x14ac:dyDescent="0.25">
      <c r="A7111" s="515">
        <v>53538</v>
      </c>
      <c r="B7111" s="515" t="s">
        <v>1085</v>
      </c>
      <c r="C7111" s="52">
        <v>244071.12739337599</v>
      </c>
      <c r="D7111" s="56">
        <v>5.6570316873320835E-2</v>
      </c>
      <c r="E7111" s="224" t="s">
        <v>2</v>
      </c>
      <c r="F7111" s="515" t="s">
        <v>8328</v>
      </c>
      <c r="G7111" s="52">
        <v>284338.46816624899</v>
      </c>
      <c r="H7111" s="56">
        <v>0.12870615087494527</v>
      </c>
      <c r="I7111" s="224" t="s">
        <v>2</v>
      </c>
    </row>
    <row r="7112" spans="1:9" x14ac:dyDescent="0.25">
      <c r="A7112" s="515">
        <v>31522</v>
      </c>
      <c r="B7112" s="515" t="s">
        <v>871</v>
      </c>
      <c r="C7112" s="52">
        <v>573759.65135075594</v>
      </c>
      <c r="D7112" s="56">
        <v>0.11801930037873187</v>
      </c>
      <c r="E7112" s="224" t="s">
        <v>2</v>
      </c>
      <c r="F7112" s="515" t="s">
        <v>8329</v>
      </c>
      <c r="G7112" s="52">
        <v>141455.80297010901</v>
      </c>
      <c r="H7112" s="56">
        <v>0.20038957362130633</v>
      </c>
      <c r="I7112" s="224" t="s">
        <v>2</v>
      </c>
    </row>
    <row r="7113" spans="1:9" x14ac:dyDescent="0.25">
      <c r="A7113" s="515">
        <v>38652</v>
      </c>
      <c r="C7113" s="52">
        <v>161364.67844669201</v>
      </c>
      <c r="D7113" s="56">
        <v>2.5623830002351904E-2</v>
      </c>
      <c r="E7113" s="224" t="s">
        <v>2</v>
      </c>
      <c r="F7113" s="515" t="s">
        <v>8330</v>
      </c>
      <c r="G7113" s="52">
        <v>273578.52013402898</v>
      </c>
      <c r="H7113" s="56">
        <v>0.13578292783680773</v>
      </c>
      <c r="I7113" s="224" t="s">
        <v>2</v>
      </c>
    </row>
    <row r="7114" spans="1:9" x14ac:dyDescent="0.25">
      <c r="A7114" s="515">
        <v>1501</v>
      </c>
      <c r="B7114" s="515" t="s">
        <v>751</v>
      </c>
      <c r="C7114" s="52">
        <v>388240.283112153</v>
      </c>
      <c r="D7114" s="56">
        <v>8.4633139304044619E-2</v>
      </c>
      <c r="E7114" s="224" t="s">
        <v>2</v>
      </c>
      <c r="F7114" s="515" t="s">
        <v>8331</v>
      </c>
      <c r="G7114" s="52">
        <v>299070.36463215901</v>
      </c>
      <c r="H7114" s="56">
        <v>2.0164616449895079E-2</v>
      </c>
      <c r="I7114" s="224" t="s">
        <v>2</v>
      </c>
    </row>
    <row r="7115" spans="1:9" x14ac:dyDescent="0.25">
      <c r="A7115" s="515">
        <v>44113</v>
      </c>
      <c r="B7115" s="515" t="s">
        <v>520</v>
      </c>
      <c r="C7115" s="52">
        <v>258350.90636600999</v>
      </c>
      <c r="D7115" s="56">
        <v>6.4582789963353912E-2</v>
      </c>
      <c r="E7115" s="224">
        <v>1701.9027777777701</v>
      </c>
      <c r="F7115" s="515" t="s">
        <v>8332</v>
      </c>
      <c r="G7115" s="52">
        <v>248466.53680981501</v>
      </c>
      <c r="H7115" s="56">
        <v>0</v>
      </c>
      <c r="I7115" s="224" t="s">
        <v>2</v>
      </c>
    </row>
    <row r="7116" spans="1:9" x14ac:dyDescent="0.25">
      <c r="A7116" s="515">
        <v>97914</v>
      </c>
      <c r="B7116" s="515" t="s">
        <v>825</v>
      </c>
      <c r="C7116" s="52">
        <v>279747.481951928</v>
      </c>
      <c r="D7116" s="56">
        <v>8.9232281287824539E-2</v>
      </c>
      <c r="E7116" s="224" t="s">
        <v>2</v>
      </c>
      <c r="F7116" s="515" t="s">
        <v>8333</v>
      </c>
      <c r="G7116" s="52">
        <v>118763.784272561</v>
      </c>
      <c r="H7116" s="56">
        <v>-4.7343224971181888E-2</v>
      </c>
      <c r="I7116" s="224" t="s">
        <v>2</v>
      </c>
    </row>
    <row r="7117" spans="1:9" x14ac:dyDescent="0.25">
      <c r="A7117" s="515">
        <v>95963</v>
      </c>
      <c r="C7117" s="52">
        <v>368592.52361729101</v>
      </c>
      <c r="D7117" s="56">
        <v>1.2214611431801789E-2</v>
      </c>
      <c r="E7117" s="224" t="s">
        <v>2</v>
      </c>
      <c r="F7117" s="515" t="s">
        <v>8334</v>
      </c>
      <c r="G7117" s="52">
        <v>210866.82158378899</v>
      </c>
      <c r="H7117" s="56">
        <v>0.11070837714315679</v>
      </c>
      <c r="I7117" s="224" t="s">
        <v>2</v>
      </c>
    </row>
    <row r="7118" spans="1:9" x14ac:dyDescent="0.25">
      <c r="A7118" s="515">
        <v>27244</v>
      </c>
      <c r="B7118" s="515" t="s">
        <v>1186</v>
      </c>
      <c r="C7118" s="52">
        <v>278035.22981438501</v>
      </c>
      <c r="D7118" s="56">
        <v>0.14114167042598721</v>
      </c>
      <c r="E7118" s="224" t="s">
        <v>2</v>
      </c>
      <c r="F7118" s="515" t="s">
        <v>8335</v>
      </c>
      <c r="G7118" s="52">
        <v>216592.571390186</v>
      </c>
      <c r="H7118" s="56">
        <v>7.9147776234338399E-2</v>
      </c>
      <c r="I7118" s="224" t="s">
        <v>2</v>
      </c>
    </row>
    <row r="7119" spans="1:9" x14ac:dyDescent="0.25">
      <c r="A7119" s="515">
        <v>60429</v>
      </c>
      <c r="B7119" s="515" t="s">
        <v>394</v>
      </c>
      <c r="C7119" s="52">
        <v>162055.17363009899</v>
      </c>
      <c r="D7119" s="56">
        <v>0.10795040278888705</v>
      </c>
      <c r="E7119" s="224" t="s">
        <v>2</v>
      </c>
      <c r="F7119" s="515" t="s">
        <v>8336</v>
      </c>
      <c r="G7119" s="52">
        <v>234874.00116607701</v>
      </c>
      <c r="H7119" s="56">
        <v>6.1476885489991709E-2</v>
      </c>
      <c r="I7119" s="224" t="s">
        <v>2</v>
      </c>
    </row>
    <row r="7120" spans="1:9" x14ac:dyDescent="0.25">
      <c r="A7120" s="515">
        <v>77713</v>
      </c>
      <c r="B7120" s="515" t="s">
        <v>492</v>
      </c>
      <c r="C7120" s="52">
        <v>227389.75311230001</v>
      </c>
      <c r="D7120" s="56">
        <v>3.2008907841928426E-2</v>
      </c>
      <c r="E7120" s="224" t="s">
        <v>2</v>
      </c>
      <c r="F7120" s="515" t="s">
        <v>8337</v>
      </c>
      <c r="G7120" s="52">
        <v>542287.20671687101</v>
      </c>
      <c r="H7120" s="56">
        <v>0.12920573314611764</v>
      </c>
      <c r="I7120" s="224">
        <v>1923.75</v>
      </c>
    </row>
    <row r="7121" spans="1:9" x14ac:dyDescent="0.25">
      <c r="A7121" s="515">
        <v>29388</v>
      </c>
      <c r="B7121" s="515" t="s">
        <v>447</v>
      </c>
      <c r="C7121" s="52">
        <v>240855.097234724</v>
      </c>
      <c r="D7121" s="56">
        <v>0.16466973695532311</v>
      </c>
      <c r="E7121" s="224" t="s">
        <v>2</v>
      </c>
      <c r="F7121" s="515" t="s">
        <v>8338</v>
      </c>
      <c r="G7121" s="52">
        <v>136692.778488326</v>
      </c>
      <c r="H7121" s="56">
        <v>3.5743092754108613E-2</v>
      </c>
      <c r="I7121" s="224" t="s">
        <v>2</v>
      </c>
    </row>
    <row r="7122" spans="1:9" x14ac:dyDescent="0.25">
      <c r="A7122" s="515">
        <v>33527</v>
      </c>
      <c r="B7122" s="515" t="s">
        <v>461</v>
      </c>
      <c r="C7122" s="52">
        <v>412321.00903681299</v>
      </c>
      <c r="D7122" s="56">
        <v>0.11547250389288102</v>
      </c>
      <c r="E7122" s="224" t="s">
        <v>2</v>
      </c>
      <c r="F7122" s="515" t="s">
        <v>8339</v>
      </c>
      <c r="G7122" s="52">
        <v>136001.32041470299</v>
      </c>
      <c r="H7122" s="56">
        <v>4.9364978726432661E-2</v>
      </c>
      <c r="I7122" s="224" t="s">
        <v>2</v>
      </c>
    </row>
    <row r="7123" spans="1:9" x14ac:dyDescent="0.25">
      <c r="A7123" s="515">
        <v>34224</v>
      </c>
      <c r="B7123" s="515" t="s">
        <v>1030</v>
      </c>
      <c r="C7123" s="52">
        <v>329990.73574305599</v>
      </c>
      <c r="D7123" s="56">
        <v>0.13175819405695413</v>
      </c>
      <c r="E7123" s="224" t="s">
        <v>2</v>
      </c>
      <c r="F7123" s="515" t="s">
        <v>8340</v>
      </c>
      <c r="G7123" s="52">
        <v>75980.449409108405</v>
      </c>
      <c r="H7123" s="56">
        <v>-8.1862857287112581E-2</v>
      </c>
      <c r="I7123" s="224" t="s">
        <v>2</v>
      </c>
    </row>
    <row r="7124" spans="1:9" x14ac:dyDescent="0.25">
      <c r="A7124" s="515">
        <v>16508</v>
      </c>
      <c r="B7124" s="515" t="s">
        <v>753</v>
      </c>
      <c r="C7124" s="52">
        <v>126203.478732298</v>
      </c>
      <c r="D7124" s="56">
        <v>8.0972486196563498E-2</v>
      </c>
      <c r="E7124" s="224" t="s">
        <v>2</v>
      </c>
      <c r="F7124" s="515" t="s">
        <v>8341</v>
      </c>
      <c r="G7124" s="52">
        <v>191858.70482053701</v>
      </c>
      <c r="H7124" s="56">
        <v>4.7058454062738489E-3</v>
      </c>
      <c r="I7124" s="224" t="s">
        <v>2</v>
      </c>
    </row>
    <row r="7125" spans="1:9" x14ac:dyDescent="0.25">
      <c r="A7125" s="515">
        <v>2746</v>
      </c>
      <c r="B7125" s="515" t="s">
        <v>513</v>
      </c>
      <c r="C7125" s="52">
        <v>344862.903153183</v>
      </c>
      <c r="D7125" s="56">
        <v>8.4932668650117615E-2</v>
      </c>
      <c r="E7125" s="224" t="s">
        <v>2</v>
      </c>
      <c r="F7125" s="515" t="s">
        <v>8342</v>
      </c>
      <c r="G7125" s="52">
        <v>422852.30513461097</v>
      </c>
      <c r="H7125" s="56">
        <v>3.9165653420592306E-2</v>
      </c>
      <c r="I7125" s="224" t="s">
        <v>2</v>
      </c>
    </row>
    <row r="7126" spans="1:9" x14ac:dyDescent="0.25">
      <c r="A7126" s="515">
        <v>12831</v>
      </c>
      <c r="B7126" s="515" t="s">
        <v>609</v>
      </c>
      <c r="C7126" s="52">
        <v>357124.61502649402</v>
      </c>
      <c r="D7126" s="56">
        <v>8.5038495287800817E-2</v>
      </c>
      <c r="E7126" s="224" t="s">
        <v>2</v>
      </c>
      <c r="F7126" s="515" t="s">
        <v>8343</v>
      </c>
      <c r="G7126" s="52">
        <v>137627.14777337</v>
      </c>
      <c r="H7126" s="56">
        <v>-0.15921517582234074</v>
      </c>
      <c r="I7126" s="224" t="s">
        <v>2</v>
      </c>
    </row>
    <row r="7127" spans="1:9" x14ac:dyDescent="0.25">
      <c r="A7127" s="515">
        <v>10606</v>
      </c>
      <c r="B7127" s="515" t="s">
        <v>324</v>
      </c>
      <c r="C7127" s="52">
        <v>639901.671209555</v>
      </c>
      <c r="D7127" s="56">
        <v>3.5031784320366023E-3</v>
      </c>
      <c r="E7127" s="224">
        <v>2871.7063492063398</v>
      </c>
      <c r="F7127" s="515" t="s">
        <v>8344</v>
      </c>
      <c r="G7127" s="52">
        <v>231911.31728143699</v>
      </c>
      <c r="H7127" s="56">
        <v>6.2537606410651106E-2</v>
      </c>
      <c r="I7127" s="224" t="s">
        <v>2</v>
      </c>
    </row>
    <row r="7128" spans="1:9" x14ac:dyDescent="0.25">
      <c r="A7128" s="515">
        <v>44022</v>
      </c>
      <c r="B7128" s="515" t="s">
        <v>520</v>
      </c>
      <c r="C7128" s="52">
        <v>463211.16458508698</v>
      </c>
      <c r="D7128" s="56">
        <v>8.461417299041217E-2</v>
      </c>
      <c r="E7128" s="224" t="s">
        <v>2</v>
      </c>
      <c r="F7128" s="515" t="s">
        <v>8345</v>
      </c>
      <c r="G7128" s="52">
        <v>568738.03432642005</v>
      </c>
      <c r="H7128" s="56">
        <v>2.9571925647984353E-2</v>
      </c>
      <c r="I7128" s="224" t="s">
        <v>2</v>
      </c>
    </row>
    <row r="7129" spans="1:9" x14ac:dyDescent="0.25">
      <c r="A7129" s="515">
        <v>6117</v>
      </c>
      <c r="B7129" s="515" t="s">
        <v>894</v>
      </c>
      <c r="C7129" s="52">
        <v>435494.55138503801</v>
      </c>
      <c r="D7129" s="56">
        <v>7.2902073947894136E-2</v>
      </c>
      <c r="E7129" s="224" t="s">
        <v>2</v>
      </c>
      <c r="F7129" s="515" t="s">
        <v>8346</v>
      </c>
      <c r="G7129" s="52">
        <v>214529.22711305699</v>
      </c>
      <c r="H7129" s="56">
        <v>0.15067218289109968</v>
      </c>
      <c r="I7129" s="224" t="s">
        <v>2</v>
      </c>
    </row>
    <row r="7130" spans="1:9" x14ac:dyDescent="0.25">
      <c r="A7130" s="515">
        <v>33973</v>
      </c>
      <c r="B7130" s="515" t="s">
        <v>661</v>
      </c>
      <c r="C7130" s="52">
        <v>322233.66954116401</v>
      </c>
      <c r="D7130" s="56">
        <v>0.19499658286656993</v>
      </c>
      <c r="E7130" s="224">
        <v>1750.2777777777701</v>
      </c>
      <c r="F7130" s="515" t="s">
        <v>8347</v>
      </c>
      <c r="G7130" s="52">
        <v>321118.83661412902</v>
      </c>
      <c r="H7130" s="56">
        <v>6.7866989238427725E-2</v>
      </c>
      <c r="I7130" s="224" t="s">
        <v>2</v>
      </c>
    </row>
    <row r="7131" spans="1:9" x14ac:dyDescent="0.25">
      <c r="A7131" s="515">
        <v>76177</v>
      </c>
      <c r="B7131" s="515" t="s">
        <v>458</v>
      </c>
      <c r="C7131" s="52">
        <v>390354.421924981</v>
      </c>
      <c r="D7131" s="56">
        <v>6.553142502120865E-2</v>
      </c>
      <c r="E7131" s="224">
        <v>1749.0541125541099</v>
      </c>
      <c r="F7131" s="515" t="s">
        <v>8348</v>
      </c>
      <c r="G7131" s="52">
        <v>213972.88565975599</v>
      </c>
      <c r="H7131" s="56">
        <v>8.6696564936960083E-2</v>
      </c>
      <c r="I7131" s="224">
        <v>1050</v>
      </c>
    </row>
    <row r="7132" spans="1:9" x14ac:dyDescent="0.25">
      <c r="A7132" s="515">
        <v>53575</v>
      </c>
      <c r="B7132" s="515" t="s">
        <v>727</v>
      </c>
      <c r="C7132" s="52">
        <v>390475.98031125998</v>
      </c>
      <c r="D7132" s="56">
        <v>5.4242798008534467E-2</v>
      </c>
      <c r="E7132" s="224" t="s">
        <v>2</v>
      </c>
      <c r="F7132" s="515" t="s">
        <v>8349</v>
      </c>
      <c r="G7132" s="52">
        <v>173369.07599095401</v>
      </c>
      <c r="H7132" s="56">
        <v>0.11072199535750549</v>
      </c>
      <c r="I7132" s="224" t="s">
        <v>2</v>
      </c>
    </row>
    <row r="7133" spans="1:9" x14ac:dyDescent="0.25">
      <c r="A7133" s="515">
        <v>34145</v>
      </c>
      <c r="B7133" s="515" t="s">
        <v>365</v>
      </c>
      <c r="C7133" s="52">
        <v>939523.82881636801</v>
      </c>
      <c r="D7133" s="56">
        <v>0.14640053223721794</v>
      </c>
      <c r="E7133" s="224" t="s">
        <v>2</v>
      </c>
      <c r="F7133" s="515" t="s">
        <v>8350</v>
      </c>
      <c r="G7133" s="52">
        <v>147010.14826768599</v>
      </c>
      <c r="H7133" s="56">
        <v>-2.4129081326498717E-2</v>
      </c>
      <c r="I7133" s="224" t="s">
        <v>2</v>
      </c>
    </row>
    <row r="7134" spans="1:9" x14ac:dyDescent="0.25">
      <c r="A7134" s="515">
        <v>48374</v>
      </c>
      <c r="B7134" s="515" t="s">
        <v>685</v>
      </c>
      <c r="C7134" s="52">
        <v>568406.21437391394</v>
      </c>
      <c r="D7134" s="56">
        <v>3.7163329981490981E-2</v>
      </c>
      <c r="E7134" s="224" t="s">
        <v>2</v>
      </c>
      <c r="F7134" s="515" t="s">
        <v>8351</v>
      </c>
      <c r="G7134" s="52">
        <v>167254.43520993399</v>
      </c>
      <c r="H7134" s="56">
        <v>7.4113541255690626E-2</v>
      </c>
      <c r="I7134" s="224" t="s">
        <v>2</v>
      </c>
    </row>
    <row r="7135" spans="1:9" x14ac:dyDescent="0.25">
      <c r="A7135" s="515">
        <v>93930</v>
      </c>
      <c r="B7135" s="515" t="s">
        <v>443</v>
      </c>
      <c r="C7135" s="52">
        <v>459461.69453890203</v>
      </c>
      <c r="D7135" s="56">
        <v>3.4354301637952916E-2</v>
      </c>
      <c r="E7135" s="224" t="s">
        <v>2</v>
      </c>
      <c r="F7135" s="515" t="s">
        <v>8352</v>
      </c>
      <c r="G7135" s="52">
        <v>169849.427486045</v>
      </c>
      <c r="H7135" s="56">
        <v>9.4539050105721514E-2</v>
      </c>
      <c r="I7135" s="224" t="s">
        <v>2</v>
      </c>
    </row>
    <row r="7136" spans="1:9" x14ac:dyDescent="0.25">
      <c r="A7136" s="515">
        <v>56304</v>
      </c>
      <c r="B7136" s="515" t="s">
        <v>532</v>
      </c>
      <c r="C7136" s="52">
        <v>233337.79046743701</v>
      </c>
      <c r="D7136" s="56">
        <v>5.6062281487900434E-2</v>
      </c>
      <c r="E7136" s="224">
        <v>725</v>
      </c>
      <c r="F7136" s="515" t="s">
        <v>8353</v>
      </c>
      <c r="G7136" s="52">
        <v>168902.45566427699</v>
      </c>
      <c r="H7136" s="56">
        <v>0.20387274475222425</v>
      </c>
      <c r="I7136" s="224" t="s">
        <v>2</v>
      </c>
    </row>
    <row r="7137" spans="1:9" x14ac:dyDescent="0.25">
      <c r="A7137" s="515">
        <v>30273</v>
      </c>
      <c r="B7137" s="515" t="s">
        <v>957</v>
      </c>
      <c r="C7137" s="52">
        <v>242250.368670492</v>
      </c>
      <c r="D7137" s="56">
        <v>9.2077237135947509E-2</v>
      </c>
      <c r="E7137" s="224">
        <v>1849.7738095238001</v>
      </c>
      <c r="F7137" s="515" t="s">
        <v>8354</v>
      </c>
      <c r="G7137" s="52">
        <v>707003.29911556502</v>
      </c>
      <c r="H7137" s="56">
        <v>-7.4389030113305946E-3</v>
      </c>
      <c r="I7137" s="224">
        <v>2547.6666666666601</v>
      </c>
    </row>
    <row r="7138" spans="1:9" x14ac:dyDescent="0.25">
      <c r="A7138" s="515">
        <v>63069</v>
      </c>
      <c r="B7138" s="515" t="s">
        <v>498</v>
      </c>
      <c r="C7138" s="52">
        <v>251414.554413248</v>
      </c>
      <c r="D7138" s="56">
        <v>6.4810856613657486E-2</v>
      </c>
      <c r="E7138" s="224" t="s">
        <v>2</v>
      </c>
      <c r="F7138" s="515" t="s">
        <v>8355</v>
      </c>
      <c r="G7138" s="52">
        <v>163434.763811941</v>
      </c>
      <c r="H7138" s="56">
        <v>0.11928381601205047</v>
      </c>
      <c r="I7138" s="224" t="s">
        <v>2</v>
      </c>
    </row>
    <row r="7139" spans="1:9" x14ac:dyDescent="0.25">
      <c r="A7139" s="515">
        <v>51103</v>
      </c>
      <c r="B7139" s="515" t="s">
        <v>649</v>
      </c>
      <c r="C7139" s="52">
        <v>126663.06244238801</v>
      </c>
      <c r="D7139" s="56">
        <v>7.6234017286063799E-2</v>
      </c>
      <c r="E7139" s="224" t="s">
        <v>2</v>
      </c>
      <c r="F7139" s="515" t="s">
        <v>8356</v>
      </c>
      <c r="G7139" s="52">
        <v>374111.39342211903</v>
      </c>
      <c r="H7139" s="56">
        <v>3.1165623539161833E-2</v>
      </c>
      <c r="I7139" s="224" t="s">
        <v>2</v>
      </c>
    </row>
    <row r="7140" spans="1:9" x14ac:dyDescent="0.25">
      <c r="A7140" s="515">
        <v>23325</v>
      </c>
      <c r="B7140" s="515" t="s">
        <v>301</v>
      </c>
      <c r="C7140" s="52">
        <v>274682.95587727701</v>
      </c>
      <c r="D7140" s="56">
        <v>6.5197220697814209E-2</v>
      </c>
      <c r="E7140" s="224" t="s">
        <v>2</v>
      </c>
      <c r="F7140" s="515" t="s">
        <v>8357</v>
      </c>
      <c r="G7140" s="52">
        <v>495718.82556576299</v>
      </c>
      <c r="H7140" s="56">
        <v>5.4537312583537959E-2</v>
      </c>
      <c r="I7140" s="224" t="s">
        <v>2</v>
      </c>
    </row>
    <row r="7141" spans="1:9" x14ac:dyDescent="0.25">
      <c r="A7141" s="515">
        <v>63050</v>
      </c>
      <c r="B7141" s="515" t="s">
        <v>498</v>
      </c>
      <c r="C7141" s="52">
        <v>259445.42635847101</v>
      </c>
      <c r="D7141" s="56">
        <v>5.8273953139526956E-2</v>
      </c>
      <c r="E7141" s="224" t="s">
        <v>2</v>
      </c>
      <c r="F7141" s="515" t="s">
        <v>8358</v>
      </c>
      <c r="G7141" s="52">
        <v>125149.873379036</v>
      </c>
      <c r="H7141" s="56">
        <v>3.7829429082650981E-2</v>
      </c>
      <c r="I7141" s="224" t="s">
        <v>2</v>
      </c>
    </row>
    <row r="7142" spans="1:9" x14ac:dyDescent="0.25">
      <c r="A7142" s="515">
        <v>95650</v>
      </c>
      <c r="B7142" s="515" t="s">
        <v>355</v>
      </c>
      <c r="C7142" s="52">
        <v>798264.41230297706</v>
      </c>
      <c r="D7142" s="56">
        <v>-1.1570137809004011E-2</v>
      </c>
      <c r="E7142" s="224" t="s">
        <v>2</v>
      </c>
      <c r="F7142" s="515" t="s">
        <v>8359</v>
      </c>
      <c r="G7142" s="52">
        <v>161756.45068285201</v>
      </c>
      <c r="H7142" s="56">
        <v>0</v>
      </c>
      <c r="I7142" s="224" t="s">
        <v>2</v>
      </c>
    </row>
    <row r="7143" spans="1:9" x14ac:dyDescent="0.25">
      <c r="A7143" s="515">
        <v>33498</v>
      </c>
      <c r="B7143" s="515" t="s">
        <v>831</v>
      </c>
      <c r="C7143" s="52">
        <v>715742.25758310896</v>
      </c>
      <c r="D7143" s="56">
        <v>0.12364894451355699</v>
      </c>
      <c r="E7143" s="224">
        <v>4573.3333333333303</v>
      </c>
      <c r="F7143" s="515" t="s">
        <v>8360</v>
      </c>
      <c r="G7143" s="52">
        <v>161422.64852888</v>
      </c>
      <c r="H7143" s="56">
        <v>-6.4633617308254964E-3</v>
      </c>
      <c r="I7143" s="224" t="s">
        <v>2</v>
      </c>
    </row>
    <row r="7144" spans="1:9" x14ac:dyDescent="0.25">
      <c r="A7144" s="515">
        <v>48130</v>
      </c>
      <c r="B7144" s="515" t="s">
        <v>783</v>
      </c>
      <c r="C7144" s="52">
        <v>397968.37856657599</v>
      </c>
      <c r="D7144" s="56">
        <v>2.9826707384570557E-2</v>
      </c>
      <c r="E7144" s="224" t="s">
        <v>2</v>
      </c>
      <c r="F7144" s="515" t="s">
        <v>8361</v>
      </c>
      <c r="G7144" s="52">
        <v>373119.52492561197</v>
      </c>
      <c r="H7144" s="56">
        <v>8.0396284373245849E-2</v>
      </c>
      <c r="I7144" s="224" t="s">
        <v>2</v>
      </c>
    </row>
    <row r="7145" spans="1:9" x14ac:dyDescent="0.25">
      <c r="A7145" s="515">
        <v>68504</v>
      </c>
      <c r="B7145" s="515" t="s">
        <v>486</v>
      </c>
      <c r="C7145" s="52">
        <v>189276.3124347</v>
      </c>
      <c r="D7145" s="56">
        <v>7.8167140211252067E-2</v>
      </c>
      <c r="E7145" s="224">
        <v>1142.71085858585</v>
      </c>
      <c r="F7145" s="515" t="s">
        <v>8362</v>
      </c>
      <c r="G7145" s="52">
        <v>256369.13649001601</v>
      </c>
      <c r="H7145" s="56">
        <v>6.1799784674213064E-2</v>
      </c>
      <c r="I7145" s="224" t="s">
        <v>2</v>
      </c>
    </row>
    <row r="7146" spans="1:9" x14ac:dyDescent="0.25">
      <c r="A7146" s="515">
        <v>36542</v>
      </c>
      <c r="B7146" s="515" t="s">
        <v>488</v>
      </c>
      <c r="C7146" s="52">
        <v>434756.81738806999</v>
      </c>
      <c r="D7146" s="56">
        <v>6.1982365912858495E-2</v>
      </c>
      <c r="E7146" s="224">
        <v>1699.5</v>
      </c>
      <c r="F7146" s="515" t="s">
        <v>8363</v>
      </c>
      <c r="G7146" s="52">
        <v>238165.58704242899</v>
      </c>
      <c r="H7146" s="56">
        <v>5.9865295710243814E-2</v>
      </c>
      <c r="I7146" s="224" t="s">
        <v>2</v>
      </c>
    </row>
    <row r="7147" spans="1:9" x14ac:dyDescent="0.25">
      <c r="A7147" s="515">
        <v>55306</v>
      </c>
      <c r="B7147" s="515" t="s">
        <v>532</v>
      </c>
      <c r="C7147" s="52">
        <v>390799.89618641202</v>
      </c>
      <c r="D7147" s="56">
        <v>2.1307526207734569E-2</v>
      </c>
      <c r="E7147" s="224">
        <v>1456.8333333333301</v>
      </c>
      <c r="F7147" s="515" t="s">
        <v>8364</v>
      </c>
      <c r="G7147" s="52">
        <v>127826.48149701201</v>
      </c>
      <c r="H7147" s="56">
        <v>2.0050996918718911E-2</v>
      </c>
      <c r="I7147" s="224" t="s">
        <v>2</v>
      </c>
    </row>
    <row r="7148" spans="1:9" x14ac:dyDescent="0.25">
      <c r="A7148" s="515">
        <v>1028</v>
      </c>
      <c r="B7148" s="515" t="s">
        <v>575</v>
      </c>
      <c r="C7148" s="52">
        <v>352856.13141848199</v>
      </c>
      <c r="D7148" s="56">
        <v>7.6587074653730325E-2</v>
      </c>
      <c r="E7148" s="224" t="s">
        <v>2</v>
      </c>
      <c r="F7148" s="515" t="s">
        <v>8365</v>
      </c>
      <c r="G7148" s="52">
        <v>131443.80726416601</v>
      </c>
      <c r="H7148" s="56">
        <v>0.12075431827881045</v>
      </c>
      <c r="I7148" s="224" t="s">
        <v>2</v>
      </c>
    </row>
    <row r="7149" spans="1:9" x14ac:dyDescent="0.25">
      <c r="A7149" s="515">
        <v>64870</v>
      </c>
      <c r="B7149" s="515" t="s">
        <v>784</v>
      </c>
      <c r="C7149" s="52">
        <v>201644.60221747399</v>
      </c>
      <c r="D7149" s="56">
        <v>8.9023801522315676E-2</v>
      </c>
      <c r="E7149" s="224" t="s">
        <v>2</v>
      </c>
      <c r="F7149" s="515" t="s">
        <v>8366</v>
      </c>
      <c r="G7149" s="52">
        <v>228369.031569905</v>
      </c>
      <c r="H7149" s="56">
        <v>6.7033478292860965E-2</v>
      </c>
      <c r="I7149" s="224" t="s">
        <v>2</v>
      </c>
    </row>
    <row r="7150" spans="1:9" x14ac:dyDescent="0.25">
      <c r="A7150" s="515">
        <v>15025</v>
      </c>
      <c r="B7150" s="515" t="s">
        <v>297</v>
      </c>
      <c r="C7150" s="52">
        <v>138863.68038451401</v>
      </c>
      <c r="D7150" s="56">
        <v>5.9852607705202628E-2</v>
      </c>
      <c r="E7150" s="224" t="s">
        <v>2</v>
      </c>
      <c r="F7150" s="515" t="s">
        <v>8367</v>
      </c>
      <c r="G7150" s="52">
        <v>182845.469286343</v>
      </c>
      <c r="H7150" s="56">
        <v>9.0724889050054602E-2</v>
      </c>
      <c r="I7150" s="224" t="s">
        <v>2</v>
      </c>
    </row>
    <row r="7151" spans="1:9" x14ac:dyDescent="0.25">
      <c r="A7151" s="515">
        <v>60445</v>
      </c>
      <c r="B7151" s="515" t="s">
        <v>394</v>
      </c>
      <c r="C7151" s="52">
        <v>200710.46097159499</v>
      </c>
      <c r="D7151" s="56">
        <v>4.8709444877394724E-2</v>
      </c>
      <c r="E7151" s="224">
        <v>1700</v>
      </c>
      <c r="F7151" s="515" t="s">
        <v>8368</v>
      </c>
      <c r="G7151" s="52">
        <v>315797.40841135901</v>
      </c>
      <c r="H7151" s="56">
        <v>2.6715028247027203E-2</v>
      </c>
      <c r="I7151" s="224" t="s">
        <v>2</v>
      </c>
    </row>
    <row r="7152" spans="1:9" x14ac:dyDescent="0.25">
      <c r="A7152" s="515">
        <v>5641</v>
      </c>
      <c r="B7152" s="515" t="s">
        <v>945</v>
      </c>
      <c r="C7152" s="52">
        <v>263476.44594038202</v>
      </c>
      <c r="D7152" s="56">
        <v>0.12483754679704966</v>
      </c>
      <c r="E7152" s="224" t="s">
        <v>2</v>
      </c>
      <c r="F7152" s="515" t="s">
        <v>8369</v>
      </c>
      <c r="G7152" s="52">
        <v>243163.26183595401</v>
      </c>
      <c r="H7152" s="56">
        <v>4.1763562818692257E-2</v>
      </c>
      <c r="I7152" s="224" t="s">
        <v>2</v>
      </c>
    </row>
    <row r="7153" spans="1:9" x14ac:dyDescent="0.25">
      <c r="A7153" s="515">
        <v>44030</v>
      </c>
      <c r="B7153" s="515" t="s">
        <v>592</v>
      </c>
      <c r="C7153" s="52">
        <v>129623.34385785001</v>
      </c>
      <c r="D7153" s="56">
        <v>0.10796337170376237</v>
      </c>
      <c r="E7153" s="224" t="s">
        <v>2</v>
      </c>
      <c r="F7153" s="515" t="s">
        <v>8370</v>
      </c>
      <c r="G7153" s="52">
        <v>210989.46248385301</v>
      </c>
      <c r="H7153" s="56">
        <v>6.3220324699686054E-2</v>
      </c>
      <c r="I7153" s="224" t="s">
        <v>2</v>
      </c>
    </row>
    <row r="7154" spans="1:9" x14ac:dyDescent="0.25">
      <c r="A7154" s="515">
        <v>2066</v>
      </c>
      <c r="B7154" s="515" t="s">
        <v>534</v>
      </c>
      <c r="C7154" s="52">
        <v>810236.968901427</v>
      </c>
      <c r="D7154" s="56">
        <v>6.7521640977143693E-2</v>
      </c>
      <c r="E7154" s="224" t="s">
        <v>2</v>
      </c>
      <c r="F7154" s="515" t="s">
        <v>8371</v>
      </c>
      <c r="G7154" s="52">
        <v>993641.00655467401</v>
      </c>
      <c r="H7154" s="56">
        <v>0.13138687853751752</v>
      </c>
      <c r="I7154" s="224" t="s">
        <v>2</v>
      </c>
    </row>
    <row r="7155" spans="1:9" x14ac:dyDescent="0.25">
      <c r="A7155" s="515">
        <v>35957</v>
      </c>
      <c r="B7155" s="515" t="s">
        <v>1182</v>
      </c>
      <c r="C7155" s="52">
        <v>163210.47327027499</v>
      </c>
      <c r="D7155" s="56">
        <v>8.3146709251583864E-2</v>
      </c>
      <c r="E7155" s="224" t="s">
        <v>2</v>
      </c>
      <c r="F7155" s="515" t="s">
        <v>8372</v>
      </c>
      <c r="G7155" s="52">
        <v>132072.127242402</v>
      </c>
      <c r="H7155" s="56">
        <v>0.1021719957128838</v>
      </c>
      <c r="I7155" s="224" t="s">
        <v>2</v>
      </c>
    </row>
    <row r="7156" spans="1:9" x14ac:dyDescent="0.25">
      <c r="A7156" s="515">
        <v>70006</v>
      </c>
      <c r="B7156" s="515" t="s">
        <v>777</v>
      </c>
      <c r="C7156" s="52">
        <v>311425.514904232</v>
      </c>
      <c r="D7156" s="56">
        <v>-8.0058352816987175E-3</v>
      </c>
      <c r="E7156" s="224" t="s">
        <v>2</v>
      </c>
      <c r="F7156" s="515" t="s">
        <v>8373</v>
      </c>
      <c r="G7156" s="52">
        <v>187296.86034078299</v>
      </c>
      <c r="H7156" s="56">
        <v>7.3570439174188068E-2</v>
      </c>
      <c r="I7156" s="224" t="s">
        <v>2</v>
      </c>
    </row>
    <row r="7157" spans="1:9" x14ac:dyDescent="0.25">
      <c r="A7157" s="515">
        <v>85757</v>
      </c>
      <c r="B7157" s="515" t="s">
        <v>368</v>
      </c>
      <c r="C7157" s="52">
        <v>314906.02658317098</v>
      </c>
      <c r="D7157" s="56">
        <v>4.1951728848823581E-2</v>
      </c>
      <c r="E7157" s="224">
        <v>1995</v>
      </c>
      <c r="F7157" s="515" t="s">
        <v>8374</v>
      </c>
      <c r="G7157" s="52">
        <v>576694.04942885705</v>
      </c>
      <c r="H7157" s="56">
        <v>9.0401428129756097E-3</v>
      </c>
      <c r="I7157" s="224" t="s">
        <v>2</v>
      </c>
    </row>
    <row r="7158" spans="1:9" x14ac:dyDescent="0.25">
      <c r="A7158" s="515">
        <v>30103</v>
      </c>
      <c r="B7158" s="515" t="s">
        <v>957</v>
      </c>
      <c r="C7158" s="52">
        <v>262500.53741406999</v>
      </c>
      <c r="D7158" s="56">
        <v>0.12041598033408051</v>
      </c>
      <c r="E7158" s="224" t="s">
        <v>2</v>
      </c>
      <c r="F7158" s="515" t="s">
        <v>8375</v>
      </c>
      <c r="G7158" s="52">
        <v>449030.39589033299</v>
      </c>
      <c r="H7158" s="56">
        <v>6.1419549763619456E-2</v>
      </c>
      <c r="I7158" s="224" t="s">
        <v>2</v>
      </c>
    </row>
    <row r="7159" spans="1:9" x14ac:dyDescent="0.25">
      <c r="A7159" s="515">
        <v>19934</v>
      </c>
      <c r="B7159" s="515" t="s">
        <v>410</v>
      </c>
      <c r="C7159" s="52">
        <v>316596.29618479498</v>
      </c>
      <c r="D7159" s="56">
        <v>8.0201512499930877E-2</v>
      </c>
      <c r="E7159" s="224" t="s">
        <v>2</v>
      </c>
      <c r="F7159" s="515" t="s">
        <v>8376</v>
      </c>
      <c r="G7159" s="52">
        <v>417504.00343642599</v>
      </c>
      <c r="H7159" s="56">
        <v>0</v>
      </c>
      <c r="I7159" s="224" t="s">
        <v>2</v>
      </c>
    </row>
    <row r="7160" spans="1:9" x14ac:dyDescent="0.25">
      <c r="A7160" s="515">
        <v>48304</v>
      </c>
      <c r="B7160" s="515" t="s">
        <v>685</v>
      </c>
      <c r="C7160" s="52">
        <v>457211.76192271902</v>
      </c>
      <c r="D7160" s="56">
        <v>4.8769773474370351E-2</v>
      </c>
      <c r="E7160" s="224" t="s">
        <v>2</v>
      </c>
      <c r="F7160" s="515" t="s">
        <v>8377</v>
      </c>
      <c r="G7160" s="52">
        <v>480951.89134077</v>
      </c>
      <c r="H7160" s="56">
        <v>8.8042398958788473E-2</v>
      </c>
      <c r="I7160" s="224" t="s">
        <v>2</v>
      </c>
    </row>
    <row r="7161" spans="1:9" x14ac:dyDescent="0.25">
      <c r="A7161" s="515">
        <v>56073</v>
      </c>
      <c r="B7161" s="515" t="s">
        <v>896</v>
      </c>
      <c r="C7161" s="52">
        <v>200280.639679471</v>
      </c>
      <c r="D7161" s="56">
        <v>4.8926387564667551E-2</v>
      </c>
      <c r="E7161" s="224" t="s">
        <v>2</v>
      </c>
      <c r="F7161" s="515" t="s">
        <v>8378</v>
      </c>
      <c r="G7161" s="52">
        <v>588101.28840466798</v>
      </c>
      <c r="H7161" s="56">
        <v>9.5664734454271635E-2</v>
      </c>
      <c r="I7161" s="224" t="s">
        <v>2</v>
      </c>
    </row>
    <row r="7162" spans="1:9" x14ac:dyDescent="0.25">
      <c r="A7162" s="515">
        <v>92585</v>
      </c>
      <c r="B7162" s="515" t="s">
        <v>599</v>
      </c>
      <c r="C7162" s="52">
        <v>547891.18216272304</v>
      </c>
      <c r="D7162" s="56">
        <v>5.5367943718204499E-2</v>
      </c>
      <c r="E7162" s="224">
        <v>2519.25</v>
      </c>
      <c r="F7162" s="515" t="s">
        <v>8379</v>
      </c>
      <c r="G7162" s="52">
        <v>256109.12685458601</v>
      </c>
      <c r="H7162" s="56">
        <v>0.12547138262921481</v>
      </c>
      <c r="I7162" s="224" t="s">
        <v>2</v>
      </c>
    </row>
    <row r="7163" spans="1:9" x14ac:dyDescent="0.25">
      <c r="A7163" s="515">
        <v>60465</v>
      </c>
      <c r="B7163" s="515" t="s">
        <v>394</v>
      </c>
      <c r="C7163" s="52">
        <v>241493.74126633501</v>
      </c>
      <c r="D7163" s="56">
        <v>2.5433155254857686E-2</v>
      </c>
      <c r="E7163" s="224" t="s">
        <v>2</v>
      </c>
      <c r="F7163" s="515" t="s">
        <v>8380</v>
      </c>
      <c r="G7163" s="52">
        <v>455405.04619309999</v>
      </c>
      <c r="H7163" s="56">
        <v>9.923384428310679E-2</v>
      </c>
      <c r="I7163" s="224" t="s">
        <v>2</v>
      </c>
    </row>
    <row r="7164" spans="1:9" x14ac:dyDescent="0.25">
      <c r="A7164" s="515">
        <v>2090</v>
      </c>
      <c r="B7164" s="515" t="s">
        <v>534</v>
      </c>
      <c r="C7164" s="52">
        <v>1013821.46568197</v>
      </c>
      <c r="D7164" s="56">
        <v>4.1562130630428566E-2</v>
      </c>
      <c r="E7164" s="224">
        <v>3155.3333333333298</v>
      </c>
      <c r="F7164" s="515" t="s">
        <v>8381</v>
      </c>
      <c r="G7164" s="52">
        <v>413083.14917844301</v>
      </c>
      <c r="H7164" s="56">
        <v>2.7001770378883176E-2</v>
      </c>
      <c r="I7164" s="224" t="s">
        <v>2</v>
      </c>
    </row>
    <row r="7165" spans="1:9" x14ac:dyDescent="0.25">
      <c r="A7165" s="515">
        <v>47172</v>
      </c>
      <c r="B7165" s="515" t="s">
        <v>479</v>
      </c>
      <c r="C7165" s="52">
        <v>267875.78744068497</v>
      </c>
      <c r="D7165" s="56">
        <v>4.998382444993265E-2</v>
      </c>
      <c r="E7165" s="224" t="s">
        <v>2</v>
      </c>
      <c r="F7165" s="515" t="s">
        <v>8382</v>
      </c>
      <c r="G7165" s="52">
        <v>252842.853789057</v>
      </c>
      <c r="H7165" s="56">
        <v>0.10441493542577832</v>
      </c>
      <c r="I7165" s="224" t="s">
        <v>2</v>
      </c>
    </row>
    <row r="7166" spans="1:9" x14ac:dyDescent="0.25">
      <c r="A7166" s="515">
        <v>48362</v>
      </c>
      <c r="B7166" s="515" t="s">
        <v>685</v>
      </c>
      <c r="C7166" s="52">
        <v>324332.05015505402</v>
      </c>
      <c r="D7166" s="56">
        <v>3.6729693495647933E-2</v>
      </c>
      <c r="E7166" s="224" t="s">
        <v>2</v>
      </c>
      <c r="F7166" s="515" t="s">
        <v>8383</v>
      </c>
      <c r="G7166" s="52">
        <v>715705.06986455398</v>
      </c>
      <c r="H7166" s="56">
        <v>0.11577535474034126</v>
      </c>
      <c r="I7166" s="224" t="s">
        <v>2</v>
      </c>
    </row>
    <row r="7167" spans="1:9" x14ac:dyDescent="0.25">
      <c r="A7167" s="515">
        <v>31545</v>
      </c>
      <c r="B7167" s="515" t="s">
        <v>1137</v>
      </c>
      <c r="C7167" s="52">
        <v>160741.55624521</v>
      </c>
      <c r="D7167" s="56">
        <v>7.7078201059708099E-2</v>
      </c>
      <c r="E7167" s="224" t="s">
        <v>2</v>
      </c>
      <c r="F7167" s="515" t="s">
        <v>8384</v>
      </c>
      <c r="G7167" s="52">
        <v>94857.052530894696</v>
      </c>
      <c r="H7167" s="56">
        <v>1.499140753910678E-2</v>
      </c>
      <c r="I7167" s="224" t="s">
        <v>2</v>
      </c>
    </row>
    <row r="7168" spans="1:9" x14ac:dyDescent="0.25">
      <c r="A7168" s="515">
        <v>33706</v>
      </c>
      <c r="B7168" s="515" t="s">
        <v>461</v>
      </c>
      <c r="C7168" s="52">
        <v>668448.09373511595</v>
      </c>
      <c r="D7168" s="56">
        <v>0.12111174222014419</v>
      </c>
      <c r="E7168" s="224">
        <v>2793.4424603174598</v>
      </c>
      <c r="F7168" s="515" t="s">
        <v>8385</v>
      </c>
      <c r="G7168" s="52">
        <v>201566.728500514</v>
      </c>
      <c r="H7168" s="56">
        <v>0.10089170457170325</v>
      </c>
      <c r="I7168" s="224" t="s">
        <v>2</v>
      </c>
    </row>
    <row r="7169" spans="1:9" x14ac:dyDescent="0.25">
      <c r="A7169" s="515">
        <v>44123</v>
      </c>
      <c r="B7169" s="515" t="s">
        <v>520</v>
      </c>
      <c r="C7169" s="52">
        <v>120465.626628445</v>
      </c>
      <c r="D7169" s="56">
        <v>6.3674811312415647E-2</v>
      </c>
      <c r="E7169" s="224">
        <v>1200</v>
      </c>
      <c r="F7169" s="515" t="s">
        <v>8386</v>
      </c>
      <c r="G7169" s="52">
        <v>67186.887998487393</v>
      </c>
      <c r="H7169" s="56">
        <v>7.6666194528695122E-2</v>
      </c>
      <c r="I7169" s="224" t="s">
        <v>2</v>
      </c>
    </row>
    <row r="7170" spans="1:9" x14ac:dyDescent="0.25">
      <c r="A7170" s="515">
        <v>53115</v>
      </c>
      <c r="B7170" s="515" t="s">
        <v>1089</v>
      </c>
      <c r="C7170" s="52">
        <v>253636.53460079501</v>
      </c>
      <c r="D7170" s="56">
        <v>6.0931953036684736E-2</v>
      </c>
      <c r="E7170" s="224" t="s">
        <v>2</v>
      </c>
      <c r="F7170" s="515" t="s">
        <v>8387</v>
      </c>
      <c r="G7170" s="52">
        <v>259229.67676880601</v>
      </c>
      <c r="H7170" s="56">
        <v>0.16043685137001676</v>
      </c>
      <c r="I7170" s="224" t="s">
        <v>2</v>
      </c>
    </row>
    <row r="7171" spans="1:9" x14ac:dyDescent="0.25">
      <c r="A7171" s="515">
        <v>60084</v>
      </c>
      <c r="B7171" s="515" t="s">
        <v>394</v>
      </c>
      <c r="C7171" s="52">
        <v>280980.94451633398</v>
      </c>
      <c r="D7171" s="56">
        <v>7.3454375847813988E-2</v>
      </c>
      <c r="E7171" s="224" t="s">
        <v>2</v>
      </c>
      <c r="F7171" s="515" t="s">
        <v>8388</v>
      </c>
      <c r="G7171" s="52">
        <v>253039.94015234799</v>
      </c>
      <c r="H7171" s="56">
        <v>5.6746309234025356E-2</v>
      </c>
      <c r="I7171" s="224" t="s">
        <v>2</v>
      </c>
    </row>
    <row r="7172" spans="1:9" x14ac:dyDescent="0.25">
      <c r="A7172" s="515">
        <v>40213</v>
      </c>
      <c r="B7172" s="515" t="s">
        <v>479</v>
      </c>
      <c r="C7172" s="52">
        <v>171878.90217607599</v>
      </c>
      <c r="D7172" s="56">
        <v>7.2761556883928102E-2</v>
      </c>
      <c r="E7172" s="224">
        <v>1422</v>
      </c>
      <c r="F7172" s="515" t="s">
        <v>8389</v>
      </c>
      <c r="G7172" s="52">
        <v>512964.04281094298</v>
      </c>
      <c r="H7172" s="56">
        <v>3.7211351473744214E-2</v>
      </c>
      <c r="I7172" s="224" t="s">
        <v>2</v>
      </c>
    </row>
    <row r="7173" spans="1:9" x14ac:dyDescent="0.25">
      <c r="A7173" s="515">
        <v>82716</v>
      </c>
      <c r="B7173" s="515" t="s">
        <v>589</v>
      </c>
      <c r="C7173" s="52">
        <v>244315.234923829</v>
      </c>
      <c r="D7173" s="56">
        <v>7.2153960103979745E-2</v>
      </c>
      <c r="E7173" s="224" t="s">
        <v>2</v>
      </c>
      <c r="F7173" s="515" t="s">
        <v>8390</v>
      </c>
      <c r="G7173" s="52">
        <v>369559.613978635</v>
      </c>
      <c r="H7173" s="56">
        <v>8.1565368580652761E-2</v>
      </c>
      <c r="I7173" s="224" t="s">
        <v>2</v>
      </c>
    </row>
    <row r="7174" spans="1:9" x14ac:dyDescent="0.25">
      <c r="A7174" s="515">
        <v>11703</v>
      </c>
      <c r="B7174" s="515" t="s">
        <v>324</v>
      </c>
      <c r="C7174" s="52">
        <v>518852.40883996303</v>
      </c>
      <c r="D7174" s="56">
        <v>3.2635981860491034E-2</v>
      </c>
      <c r="E7174" s="224" t="s">
        <v>2</v>
      </c>
      <c r="F7174" s="515" t="s">
        <v>8391</v>
      </c>
      <c r="G7174" s="52">
        <v>341351.44715170399</v>
      </c>
      <c r="H7174" s="56">
        <v>5.0934933557635183E-2</v>
      </c>
      <c r="I7174" s="224" t="s">
        <v>2</v>
      </c>
    </row>
    <row r="7175" spans="1:9" x14ac:dyDescent="0.25">
      <c r="A7175" s="515">
        <v>13031</v>
      </c>
      <c r="B7175" s="515" t="s">
        <v>361</v>
      </c>
      <c r="C7175" s="52">
        <v>225011.130277288</v>
      </c>
      <c r="D7175" s="56">
        <v>9.4453435674036468E-2</v>
      </c>
      <c r="E7175" s="224">
        <v>1339.375</v>
      </c>
      <c r="F7175" s="515" t="s">
        <v>8392</v>
      </c>
      <c r="G7175" s="52">
        <v>561367.44288229197</v>
      </c>
      <c r="H7175" s="56">
        <v>-5.5508965108723503E-2</v>
      </c>
      <c r="I7175" s="224">
        <v>2131.6666666666601</v>
      </c>
    </row>
    <row r="7176" spans="1:9" x14ac:dyDescent="0.25">
      <c r="A7176" s="515">
        <v>30747</v>
      </c>
      <c r="B7176" s="515" t="s">
        <v>1124</v>
      </c>
      <c r="C7176" s="52">
        <v>147650.617407768</v>
      </c>
      <c r="D7176" s="56">
        <v>9.7876421030628227E-2</v>
      </c>
      <c r="E7176" s="224" t="s">
        <v>2</v>
      </c>
      <c r="F7176" s="515" t="s">
        <v>8393</v>
      </c>
      <c r="G7176" s="52">
        <v>537189.15258381504</v>
      </c>
      <c r="H7176" s="56">
        <v>0.10150829999568783</v>
      </c>
      <c r="I7176" s="224" t="s">
        <v>2</v>
      </c>
    </row>
    <row r="7177" spans="1:9" x14ac:dyDescent="0.25">
      <c r="A7177" s="515">
        <v>33066</v>
      </c>
      <c r="B7177" s="515" t="s">
        <v>831</v>
      </c>
      <c r="C7177" s="52">
        <v>240352.36513977699</v>
      </c>
      <c r="D7177" s="56">
        <v>0.23365461523711503</v>
      </c>
      <c r="E7177" s="224">
        <v>2000.7777777777701</v>
      </c>
      <c r="F7177" s="515" t="s">
        <v>8394</v>
      </c>
      <c r="G7177" s="52">
        <v>146515.77634081701</v>
      </c>
      <c r="H7177" s="56">
        <v>0.16880207443371112</v>
      </c>
      <c r="I7177" s="224" t="s">
        <v>2</v>
      </c>
    </row>
    <row r="7178" spans="1:9" x14ac:dyDescent="0.25">
      <c r="A7178" s="515">
        <v>76247</v>
      </c>
      <c r="B7178" s="515" t="s">
        <v>458</v>
      </c>
      <c r="C7178" s="52">
        <v>387286.69572068</v>
      </c>
      <c r="D7178" s="56">
        <v>9.117141562788833E-2</v>
      </c>
      <c r="E7178" s="224">
        <v>2108.3333333333298</v>
      </c>
      <c r="F7178" s="515" t="s">
        <v>8395</v>
      </c>
      <c r="G7178" s="52">
        <v>253980.98519651001</v>
      </c>
      <c r="H7178" s="56">
        <v>0.10185775319562261</v>
      </c>
      <c r="I7178" s="224">
        <v>1100</v>
      </c>
    </row>
    <row r="7179" spans="1:9" x14ac:dyDescent="0.25">
      <c r="A7179" s="515">
        <v>97524</v>
      </c>
      <c r="B7179" s="515" t="s">
        <v>775</v>
      </c>
      <c r="C7179" s="52">
        <v>437817.64217509201</v>
      </c>
      <c r="D7179" s="56">
        <v>2.3958457077521787E-2</v>
      </c>
      <c r="E7179" s="224" t="s">
        <v>2</v>
      </c>
      <c r="F7179" s="515" t="s">
        <v>8396</v>
      </c>
      <c r="G7179" s="52">
        <v>444499.93850463198</v>
      </c>
      <c r="H7179" s="56">
        <v>1.7120714472131402E-2</v>
      </c>
      <c r="I7179" s="224" t="s">
        <v>2</v>
      </c>
    </row>
    <row r="7180" spans="1:9" x14ac:dyDescent="0.25">
      <c r="A7180" s="515">
        <v>92637</v>
      </c>
      <c r="B7180" s="515" t="s">
        <v>375</v>
      </c>
      <c r="C7180" s="52">
        <v>434431.84608843701</v>
      </c>
      <c r="D7180" s="56">
        <v>3.726929270915111E-3</v>
      </c>
      <c r="E7180" s="224">
        <v>2733</v>
      </c>
      <c r="F7180" s="515" t="s">
        <v>8397</v>
      </c>
      <c r="G7180" s="52">
        <v>202877.11651241299</v>
      </c>
      <c r="H7180" s="56">
        <v>0.14298805642503395</v>
      </c>
      <c r="I7180" s="224" t="s">
        <v>2</v>
      </c>
    </row>
    <row r="7181" spans="1:9" x14ac:dyDescent="0.25">
      <c r="A7181" s="515">
        <v>27317</v>
      </c>
      <c r="B7181" s="515" t="s">
        <v>1148</v>
      </c>
      <c r="C7181" s="52">
        <v>216333.15422814601</v>
      </c>
      <c r="D7181" s="56">
        <v>6.1456403503986429E-2</v>
      </c>
      <c r="E7181" s="224" t="s">
        <v>2</v>
      </c>
      <c r="F7181" s="515" t="s">
        <v>8398</v>
      </c>
      <c r="G7181" s="52">
        <v>1161832.0258754001</v>
      </c>
      <c r="H7181" s="56">
        <v>5.3690552662456745E-2</v>
      </c>
      <c r="I7181" s="224" t="s">
        <v>2</v>
      </c>
    </row>
    <row r="7182" spans="1:9" x14ac:dyDescent="0.25">
      <c r="A7182" s="515">
        <v>30011</v>
      </c>
      <c r="B7182" s="515" t="s">
        <v>957</v>
      </c>
      <c r="C7182" s="52">
        <v>338470.510689841</v>
      </c>
      <c r="D7182" s="56">
        <v>9.9026649174098175E-2</v>
      </c>
      <c r="E7182" s="224">
        <v>2176.1111111111099</v>
      </c>
      <c r="F7182" s="515" t="s">
        <v>8399</v>
      </c>
      <c r="G7182" s="52">
        <v>250295.14848595901</v>
      </c>
      <c r="H7182" s="56">
        <v>9.7712102613844345E-2</v>
      </c>
      <c r="I7182" s="224" t="s">
        <v>2</v>
      </c>
    </row>
    <row r="7183" spans="1:9" x14ac:dyDescent="0.25">
      <c r="A7183" s="515">
        <v>94305</v>
      </c>
      <c r="B7183" s="515" t="s">
        <v>850</v>
      </c>
      <c r="C7183" s="52">
        <v>2729551.5730485399</v>
      </c>
      <c r="D7183" s="56">
        <v>2.8712140651581522E-2</v>
      </c>
      <c r="E7183" s="224" t="s">
        <v>2</v>
      </c>
      <c r="F7183" s="515" t="s">
        <v>8400</v>
      </c>
      <c r="G7183" s="52">
        <v>618438.15221988596</v>
      </c>
      <c r="H7183" s="56">
        <v>9.3069451935080233E-2</v>
      </c>
      <c r="I7183" s="224" t="s">
        <v>2</v>
      </c>
    </row>
    <row r="7184" spans="1:9" x14ac:dyDescent="0.25">
      <c r="A7184" s="515">
        <v>39531</v>
      </c>
      <c r="B7184" s="515" t="s">
        <v>963</v>
      </c>
      <c r="C7184" s="52">
        <v>179241.289119497</v>
      </c>
      <c r="D7184" s="56">
        <v>8.1494499838393325E-2</v>
      </c>
      <c r="E7184" s="224" t="s">
        <v>2</v>
      </c>
      <c r="F7184" s="515" t="s">
        <v>8401</v>
      </c>
      <c r="G7184" s="52">
        <v>242964.82804373401</v>
      </c>
      <c r="H7184" s="56">
        <v>0.12015781584385353</v>
      </c>
      <c r="I7184" s="224" t="s">
        <v>2</v>
      </c>
    </row>
    <row r="7185" spans="1:9" x14ac:dyDescent="0.25">
      <c r="A7185" s="515">
        <v>77568</v>
      </c>
      <c r="B7185" s="515" t="s">
        <v>314</v>
      </c>
      <c r="C7185" s="52">
        <v>227730.69535251599</v>
      </c>
      <c r="D7185" s="56">
        <v>5.0216025351918402E-2</v>
      </c>
      <c r="E7185" s="224">
        <v>1501.9047619047601</v>
      </c>
      <c r="F7185" s="515" t="s">
        <v>8402</v>
      </c>
      <c r="G7185" s="52">
        <v>176415.04698525</v>
      </c>
      <c r="H7185" s="56">
        <v>8.3556855252073486E-2</v>
      </c>
      <c r="I7185" s="224" t="s">
        <v>2</v>
      </c>
    </row>
    <row r="7186" spans="1:9" x14ac:dyDescent="0.25">
      <c r="A7186" s="515">
        <v>36426</v>
      </c>
      <c r="B7186" s="515" t="s">
        <v>919</v>
      </c>
      <c r="C7186" s="52">
        <v>130844.194722881</v>
      </c>
      <c r="D7186" s="56">
        <v>7.2141016736642749E-2</v>
      </c>
      <c r="E7186" s="224" t="s">
        <v>2</v>
      </c>
      <c r="F7186" s="515" t="s">
        <v>8403</v>
      </c>
      <c r="G7186" s="52">
        <v>1552061.8316182799</v>
      </c>
      <c r="H7186" s="56">
        <v>8.5037712132884358E-2</v>
      </c>
      <c r="I7186" s="224">
        <v>4750</v>
      </c>
    </row>
    <row r="7187" spans="1:9" x14ac:dyDescent="0.25">
      <c r="A7187" s="515">
        <v>33136</v>
      </c>
      <c r="B7187" s="515" t="s">
        <v>831</v>
      </c>
      <c r="C7187" s="52">
        <v>312656.18858613499</v>
      </c>
      <c r="D7187" s="56">
        <v>0.25367998214166015</v>
      </c>
      <c r="E7187" s="224">
        <v>2679.2925925925902</v>
      </c>
      <c r="F7187" s="515" t="s">
        <v>8404</v>
      </c>
      <c r="G7187" s="52">
        <v>214399.54202189599</v>
      </c>
      <c r="H7187" s="56">
        <v>8.5763637370039142E-2</v>
      </c>
      <c r="I7187" s="224" t="s">
        <v>2</v>
      </c>
    </row>
    <row r="7188" spans="1:9" x14ac:dyDescent="0.25">
      <c r="A7188" s="515">
        <v>33146</v>
      </c>
      <c r="B7188" s="515" t="s">
        <v>831</v>
      </c>
      <c r="C7188" s="52">
        <v>1422538.89470649</v>
      </c>
      <c r="D7188" s="56">
        <v>0.25479564763105961</v>
      </c>
      <c r="E7188" s="224">
        <v>4202.4666666666599</v>
      </c>
      <c r="F7188" s="515" t="s">
        <v>8405</v>
      </c>
      <c r="G7188" s="52">
        <v>280362.62481233501</v>
      </c>
      <c r="H7188" s="56">
        <v>7.5319458009041648E-2</v>
      </c>
      <c r="I7188" s="224" t="s">
        <v>2</v>
      </c>
    </row>
    <row r="7189" spans="1:9" x14ac:dyDescent="0.25">
      <c r="A7189" s="515">
        <v>24333</v>
      </c>
      <c r="C7189" s="52">
        <v>146057.053058641</v>
      </c>
      <c r="D7189" s="56">
        <v>7.7429902153365482E-2</v>
      </c>
      <c r="E7189" s="224" t="s">
        <v>2</v>
      </c>
      <c r="F7189" s="515" t="s">
        <v>8406</v>
      </c>
      <c r="G7189" s="52">
        <v>270890.185575579</v>
      </c>
      <c r="H7189" s="56">
        <v>8.4612595936111631E-2</v>
      </c>
      <c r="I7189" s="224" t="s">
        <v>2</v>
      </c>
    </row>
    <row r="7190" spans="1:9" x14ac:dyDescent="0.25">
      <c r="A7190" s="515">
        <v>19602</v>
      </c>
      <c r="B7190" s="515" t="s">
        <v>569</v>
      </c>
      <c r="C7190" s="52">
        <v>90478.360119762205</v>
      </c>
      <c r="D7190" s="56">
        <v>0.31269515569863482</v>
      </c>
      <c r="E7190" s="224">
        <v>987.5</v>
      </c>
      <c r="F7190" s="515" t="s">
        <v>8407</v>
      </c>
      <c r="G7190" s="52">
        <v>299177.21911166399</v>
      </c>
      <c r="H7190" s="56">
        <v>0.11359435489787457</v>
      </c>
      <c r="I7190" s="224" t="s">
        <v>2</v>
      </c>
    </row>
    <row r="7191" spans="1:9" x14ac:dyDescent="0.25">
      <c r="A7191" s="515">
        <v>73801</v>
      </c>
      <c r="B7191" s="515" t="s">
        <v>830</v>
      </c>
      <c r="C7191" s="52">
        <v>117214.14385291999</v>
      </c>
      <c r="D7191" s="56">
        <v>4.5869593344189913E-2</v>
      </c>
      <c r="E7191" s="224" t="s">
        <v>2</v>
      </c>
      <c r="F7191" s="515" t="s">
        <v>8408</v>
      </c>
      <c r="G7191" s="52">
        <v>31989.8353474084</v>
      </c>
      <c r="H7191" s="56">
        <v>0.11897306223829149</v>
      </c>
      <c r="I7191" s="224" t="s">
        <v>2</v>
      </c>
    </row>
    <row r="7192" spans="1:9" x14ac:dyDescent="0.25">
      <c r="A7192" s="515">
        <v>64024</v>
      </c>
      <c r="B7192" s="515" t="s">
        <v>455</v>
      </c>
      <c r="C7192" s="52">
        <v>208088.03387909901</v>
      </c>
      <c r="D7192" s="56">
        <v>0.10818029814607291</v>
      </c>
      <c r="E7192" s="224" t="s">
        <v>2</v>
      </c>
      <c r="F7192" s="515" t="s">
        <v>8409</v>
      </c>
      <c r="G7192" s="52">
        <v>122930.14403947</v>
      </c>
      <c r="H7192" s="56">
        <v>0.12420709352895615</v>
      </c>
      <c r="I7192" s="224" t="s">
        <v>2</v>
      </c>
    </row>
    <row r="7193" spans="1:9" x14ac:dyDescent="0.25">
      <c r="A7193" s="515">
        <v>64060</v>
      </c>
      <c r="B7193" s="515" t="s">
        <v>455</v>
      </c>
      <c r="C7193" s="52">
        <v>354474.63619929401</v>
      </c>
      <c r="D7193" s="56">
        <v>7.666802721673549E-2</v>
      </c>
      <c r="E7193" s="224">
        <v>1650</v>
      </c>
      <c r="F7193" s="515" t="s">
        <v>8410</v>
      </c>
      <c r="G7193" s="52">
        <v>167463.552948811</v>
      </c>
      <c r="H7193" s="56">
        <v>0.1780308050185023</v>
      </c>
      <c r="I7193" s="224" t="s">
        <v>2</v>
      </c>
    </row>
    <row r="7194" spans="1:9" x14ac:dyDescent="0.25">
      <c r="A7194" s="515">
        <v>38063</v>
      </c>
      <c r="C7194" s="52">
        <v>123703.963734423</v>
      </c>
      <c r="D7194" s="56">
        <v>8.9645379541551967E-2</v>
      </c>
      <c r="E7194" s="224" t="s">
        <v>2</v>
      </c>
      <c r="F7194" s="515" t="s">
        <v>8411</v>
      </c>
      <c r="G7194" s="52">
        <v>635329.36756778404</v>
      </c>
      <c r="H7194" s="56">
        <v>0.1032988897720101</v>
      </c>
      <c r="I7194" s="224" t="s">
        <v>2</v>
      </c>
    </row>
    <row r="7195" spans="1:9" x14ac:dyDescent="0.25">
      <c r="A7195" s="515">
        <v>80905</v>
      </c>
      <c r="B7195" s="515" t="s">
        <v>701</v>
      </c>
      <c r="C7195" s="52">
        <v>382450.07898683101</v>
      </c>
      <c r="D7195" s="56">
        <v>2.9023452646566222E-2</v>
      </c>
      <c r="E7195" s="224">
        <v>1753.1</v>
      </c>
      <c r="F7195" s="515" t="s">
        <v>8412</v>
      </c>
      <c r="G7195" s="52">
        <v>288514.43364227901</v>
      </c>
      <c r="H7195" s="56">
        <v>0.11816747466587944</v>
      </c>
      <c r="I7195" s="224" t="s">
        <v>2</v>
      </c>
    </row>
    <row r="7196" spans="1:9" x14ac:dyDescent="0.25">
      <c r="A7196" s="515">
        <v>2806</v>
      </c>
      <c r="B7196" s="515" t="s">
        <v>513</v>
      </c>
      <c r="C7196" s="52">
        <v>627371.60932507296</v>
      </c>
      <c r="D7196" s="56">
        <v>0.11193663017702177</v>
      </c>
      <c r="E7196" s="224" t="s">
        <v>2</v>
      </c>
      <c r="F7196" s="515" t="s">
        <v>8413</v>
      </c>
      <c r="G7196" s="52">
        <v>224169.415600084</v>
      </c>
      <c r="H7196" s="56">
        <v>4.1139523743328757E-2</v>
      </c>
      <c r="I7196" s="224" t="s">
        <v>2</v>
      </c>
    </row>
    <row r="7197" spans="1:9" x14ac:dyDescent="0.25">
      <c r="A7197" s="515">
        <v>2723</v>
      </c>
      <c r="B7197" s="515" t="s">
        <v>513</v>
      </c>
      <c r="C7197" s="52">
        <v>351652.48643144697</v>
      </c>
      <c r="D7197" s="56">
        <v>7.5434252321757295E-2</v>
      </c>
      <c r="E7197" s="224" t="s">
        <v>2</v>
      </c>
      <c r="F7197" s="515" t="s">
        <v>8414</v>
      </c>
      <c r="G7197" s="52">
        <v>220247.58881395601</v>
      </c>
      <c r="H7197" s="56">
        <v>9.6671786153824393E-2</v>
      </c>
      <c r="I7197" s="224" t="s">
        <v>2</v>
      </c>
    </row>
    <row r="7198" spans="1:9" x14ac:dyDescent="0.25">
      <c r="A7198" s="515">
        <v>32615</v>
      </c>
      <c r="B7198" s="515" t="s">
        <v>577</v>
      </c>
      <c r="C7198" s="52">
        <v>304627.20859714103</v>
      </c>
      <c r="D7198" s="56">
        <v>0.11945458311627653</v>
      </c>
      <c r="E7198" s="224" t="s">
        <v>2</v>
      </c>
      <c r="F7198" s="515" t="s">
        <v>8415</v>
      </c>
      <c r="G7198" s="52">
        <v>198183.049501036</v>
      </c>
      <c r="H7198" s="56">
        <v>5.3893603970776971E-2</v>
      </c>
      <c r="I7198" s="224" t="s">
        <v>2</v>
      </c>
    </row>
    <row r="7199" spans="1:9" x14ac:dyDescent="0.25">
      <c r="A7199" s="515">
        <v>30901</v>
      </c>
      <c r="B7199" s="515" t="s">
        <v>888</v>
      </c>
      <c r="C7199" s="52">
        <v>61262.987270788901</v>
      </c>
      <c r="D7199" s="56">
        <v>0.45725744254943618</v>
      </c>
      <c r="E7199" s="224">
        <v>1069.88888888888</v>
      </c>
      <c r="F7199" s="515" t="s">
        <v>8416</v>
      </c>
      <c r="G7199" s="52">
        <v>99569.198256960095</v>
      </c>
      <c r="H7199" s="56">
        <v>9.832266937904556E-2</v>
      </c>
      <c r="I7199" s="224" t="s">
        <v>2</v>
      </c>
    </row>
    <row r="7200" spans="1:9" x14ac:dyDescent="0.25">
      <c r="A7200" s="515">
        <v>48827</v>
      </c>
      <c r="B7200" s="515" t="s">
        <v>528</v>
      </c>
      <c r="C7200" s="52">
        <v>212578.45944292599</v>
      </c>
      <c r="D7200" s="56">
        <v>5.0388459138326978E-2</v>
      </c>
      <c r="E7200" s="224" t="s">
        <v>2</v>
      </c>
      <c r="F7200" s="515" t="s">
        <v>8417</v>
      </c>
      <c r="G7200" s="52">
        <v>238316.35970831799</v>
      </c>
      <c r="H7200" s="56">
        <v>0.1058744581277149</v>
      </c>
      <c r="I7200" s="224" t="s">
        <v>2</v>
      </c>
    </row>
    <row r="7201" spans="1:9" x14ac:dyDescent="0.25">
      <c r="A7201" s="515">
        <v>7480</v>
      </c>
      <c r="B7201" s="515" t="s">
        <v>324</v>
      </c>
      <c r="C7201" s="52">
        <v>382439.22199145798</v>
      </c>
      <c r="D7201" s="56">
        <v>4.7009673382105002E-2</v>
      </c>
      <c r="E7201" s="224" t="s">
        <v>2</v>
      </c>
      <c r="F7201" s="515" t="s">
        <v>8418</v>
      </c>
      <c r="G7201" s="52">
        <v>523419.73674960301</v>
      </c>
      <c r="H7201" s="56">
        <v>0.11998468934556164</v>
      </c>
      <c r="I7201" s="224" t="s">
        <v>2</v>
      </c>
    </row>
    <row r="7202" spans="1:9" x14ac:dyDescent="0.25">
      <c r="A7202" s="515">
        <v>55008</v>
      </c>
      <c r="B7202" s="515" t="s">
        <v>532</v>
      </c>
      <c r="C7202" s="52">
        <v>296372.38853549201</v>
      </c>
      <c r="D7202" s="56">
        <v>4.9177642654176561E-2</v>
      </c>
      <c r="E7202" s="224" t="s">
        <v>2</v>
      </c>
      <c r="F7202" s="515" t="s">
        <v>8419</v>
      </c>
      <c r="G7202" s="52">
        <v>137954.924255169</v>
      </c>
      <c r="H7202" s="56">
        <v>0.10326829224193845</v>
      </c>
      <c r="I7202" s="224" t="s">
        <v>2</v>
      </c>
    </row>
    <row r="7203" spans="1:9" x14ac:dyDescent="0.25">
      <c r="A7203" s="515">
        <v>94041</v>
      </c>
      <c r="B7203" s="515" t="s">
        <v>850</v>
      </c>
      <c r="C7203" s="52">
        <v>1952939.6805243699</v>
      </c>
      <c r="D7203" s="56">
        <v>-2.3294776634870139E-2</v>
      </c>
      <c r="E7203" s="224">
        <v>3571.24404761904</v>
      </c>
      <c r="F7203" s="515" t="s">
        <v>8420</v>
      </c>
      <c r="G7203" s="52">
        <v>277102.54417981999</v>
      </c>
      <c r="H7203" s="56">
        <v>-1.0972442055630116E-2</v>
      </c>
      <c r="I7203" s="224" t="s">
        <v>2</v>
      </c>
    </row>
    <row r="7204" spans="1:9" x14ac:dyDescent="0.25">
      <c r="A7204" s="515">
        <v>41031</v>
      </c>
      <c r="C7204" s="52">
        <v>173568.17099027499</v>
      </c>
      <c r="D7204" s="56">
        <v>9.092018843568693E-2</v>
      </c>
      <c r="E7204" s="224" t="s">
        <v>2</v>
      </c>
      <c r="F7204" s="515" t="s">
        <v>8421</v>
      </c>
      <c r="G7204" s="52">
        <v>214345.164975897</v>
      </c>
      <c r="H7204" s="56">
        <v>8.3144276481013704E-2</v>
      </c>
      <c r="I7204" s="224" t="s">
        <v>2</v>
      </c>
    </row>
    <row r="7205" spans="1:9" x14ac:dyDescent="0.25">
      <c r="A7205" s="515">
        <v>33412</v>
      </c>
      <c r="B7205" s="515" t="s">
        <v>831</v>
      </c>
      <c r="C7205" s="52">
        <v>675307.63847401796</v>
      </c>
      <c r="D7205" s="56">
        <v>0.15513515985412163</v>
      </c>
      <c r="E7205" s="224">
        <v>2425.3333333333298</v>
      </c>
      <c r="F7205" s="515" t="s">
        <v>8422</v>
      </c>
      <c r="G7205" s="52">
        <v>172703.475620643</v>
      </c>
      <c r="H7205" s="56">
        <v>0.25928209972751254</v>
      </c>
      <c r="I7205" s="224" t="s">
        <v>2</v>
      </c>
    </row>
    <row r="7206" spans="1:9" x14ac:dyDescent="0.25">
      <c r="A7206" s="515">
        <v>50036</v>
      </c>
      <c r="B7206" s="515" t="s">
        <v>568</v>
      </c>
      <c r="C7206" s="52">
        <v>177832.497705961</v>
      </c>
      <c r="D7206" s="56">
        <v>7.6635877648606965E-2</v>
      </c>
      <c r="E7206" s="224" t="s">
        <v>2</v>
      </c>
      <c r="F7206" s="515" t="s">
        <v>8423</v>
      </c>
      <c r="G7206" s="52">
        <v>298463.14554934</v>
      </c>
      <c r="H7206" s="56">
        <v>0.20886437489350243</v>
      </c>
      <c r="I7206" s="224" t="s">
        <v>2</v>
      </c>
    </row>
    <row r="7207" spans="1:9" x14ac:dyDescent="0.25">
      <c r="A7207" s="515">
        <v>34420</v>
      </c>
      <c r="B7207" s="515" t="s">
        <v>475</v>
      </c>
      <c r="C7207" s="52">
        <v>235477.46389853299</v>
      </c>
      <c r="D7207" s="56">
        <v>0.18591638098402774</v>
      </c>
      <c r="E7207" s="224" t="s">
        <v>2</v>
      </c>
      <c r="F7207" s="515" t="s">
        <v>8424</v>
      </c>
      <c r="G7207" s="52">
        <v>1035191.2808655601</v>
      </c>
      <c r="H7207" s="56">
        <v>0.16287176610420995</v>
      </c>
      <c r="I7207" s="224" t="s">
        <v>2</v>
      </c>
    </row>
    <row r="7208" spans="1:9" x14ac:dyDescent="0.25">
      <c r="A7208" s="515">
        <v>74106</v>
      </c>
      <c r="B7208" s="515" t="s">
        <v>348</v>
      </c>
      <c r="C7208" s="52">
        <v>89708.135183450198</v>
      </c>
      <c r="D7208" s="56">
        <v>0.11590596486843685</v>
      </c>
      <c r="E7208" s="224">
        <v>1080.4166666666599</v>
      </c>
      <c r="F7208" s="515" t="s">
        <v>8425</v>
      </c>
      <c r="G7208" s="52">
        <v>231833.12989292</v>
      </c>
      <c r="H7208" s="56">
        <v>0.16818263723794444</v>
      </c>
      <c r="I7208" s="224" t="s">
        <v>2</v>
      </c>
    </row>
    <row r="7209" spans="1:9" x14ac:dyDescent="0.25">
      <c r="A7209" s="515">
        <v>25314</v>
      </c>
      <c r="B7209" s="515" t="s">
        <v>322</v>
      </c>
      <c r="C7209" s="52">
        <v>220906.51969961001</v>
      </c>
      <c r="D7209" s="56">
        <v>6.3523215910527439E-2</v>
      </c>
      <c r="E7209" s="224" t="s">
        <v>2</v>
      </c>
      <c r="F7209" s="515" t="s">
        <v>8426</v>
      </c>
      <c r="G7209" s="52">
        <v>266029.32736235001</v>
      </c>
      <c r="H7209" s="56">
        <v>0.13169688653360465</v>
      </c>
      <c r="I7209" s="224" t="s">
        <v>2</v>
      </c>
    </row>
    <row r="7210" spans="1:9" x14ac:dyDescent="0.25">
      <c r="A7210" s="515">
        <v>60064</v>
      </c>
      <c r="B7210" s="515" t="s">
        <v>394</v>
      </c>
      <c r="C7210" s="52">
        <v>150336.03977064401</v>
      </c>
      <c r="D7210" s="56">
        <v>8.9819431531468971E-2</v>
      </c>
      <c r="E7210" s="224" t="s">
        <v>2</v>
      </c>
      <c r="F7210" s="515" t="s">
        <v>8427</v>
      </c>
      <c r="G7210" s="52">
        <v>164650.00405757301</v>
      </c>
      <c r="H7210" s="56">
        <v>1.1377286638745232E-2</v>
      </c>
      <c r="I7210" s="224" t="s">
        <v>2</v>
      </c>
    </row>
    <row r="7211" spans="1:9" x14ac:dyDescent="0.25">
      <c r="A7211" s="515">
        <v>40071</v>
      </c>
      <c r="B7211" s="515" t="s">
        <v>479</v>
      </c>
      <c r="C7211" s="52">
        <v>309353.40324956301</v>
      </c>
      <c r="D7211" s="56">
        <v>3.4320560507291535E-2</v>
      </c>
      <c r="E7211" s="224" t="s">
        <v>2</v>
      </c>
      <c r="F7211" s="515" t="s">
        <v>8428</v>
      </c>
      <c r="G7211" s="52">
        <v>155759.159914647</v>
      </c>
      <c r="H7211" s="56">
        <v>0.13196169055012313</v>
      </c>
      <c r="I7211" s="224" t="s">
        <v>2</v>
      </c>
    </row>
    <row r="7212" spans="1:9" x14ac:dyDescent="0.25">
      <c r="A7212" s="515">
        <v>39553</v>
      </c>
      <c r="B7212" s="515" t="s">
        <v>963</v>
      </c>
      <c r="C7212" s="52">
        <v>157327.032785341</v>
      </c>
      <c r="D7212" s="56">
        <v>7.6622430586183413E-2</v>
      </c>
      <c r="E7212" s="224">
        <v>1175</v>
      </c>
      <c r="F7212" s="515" t="s">
        <v>8429</v>
      </c>
      <c r="G7212" s="52">
        <v>128587.537300508</v>
      </c>
      <c r="H7212" s="56">
        <v>0</v>
      </c>
      <c r="I7212" s="224" t="s">
        <v>2</v>
      </c>
    </row>
    <row r="7213" spans="1:9" x14ac:dyDescent="0.25">
      <c r="A7213" s="515">
        <v>34446</v>
      </c>
      <c r="B7213" s="515" t="s">
        <v>1193</v>
      </c>
      <c r="C7213" s="52">
        <v>326196.58742021798</v>
      </c>
      <c r="D7213" s="56">
        <v>0.12763313707373602</v>
      </c>
      <c r="E7213" s="224" t="s">
        <v>2</v>
      </c>
      <c r="F7213" s="515" t="s">
        <v>8430</v>
      </c>
      <c r="G7213" s="52">
        <v>510242.422686373</v>
      </c>
      <c r="H7213" s="56">
        <v>0.10228955969636375</v>
      </c>
      <c r="I7213" s="224" t="s">
        <v>2</v>
      </c>
    </row>
    <row r="7214" spans="1:9" x14ac:dyDescent="0.25">
      <c r="A7214" s="515">
        <v>87413</v>
      </c>
      <c r="B7214" s="515" t="s">
        <v>893</v>
      </c>
      <c r="C7214" s="52">
        <v>180825.95806941899</v>
      </c>
      <c r="D7214" s="56">
        <v>8.535041886408197E-2</v>
      </c>
      <c r="E7214" s="224" t="s">
        <v>2</v>
      </c>
      <c r="F7214" s="515" t="s">
        <v>8431</v>
      </c>
      <c r="G7214" s="52">
        <v>207811.25710887101</v>
      </c>
      <c r="H7214" s="56">
        <v>8.0828278173132706E-2</v>
      </c>
      <c r="I7214" s="224" t="s">
        <v>2</v>
      </c>
    </row>
    <row r="7215" spans="1:9" x14ac:dyDescent="0.25">
      <c r="A7215" s="515">
        <v>36618</v>
      </c>
      <c r="B7215" s="515" t="s">
        <v>815</v>
      </c>
      <c r="C7215" s="52">
        <v>154993.70779278601</v>
      </c>
      <c r="D7215" s="56">
        <v>8.1611762600928159E-2</v>
      </c>
      <c r="E7215" s="224" t="s">
        <v>2</v>
      </c>
      <c r="F7215" s="515" t="s">
        <v>8432</v>
      </c>
      <c r="G7215" s="52">
        <v>301652.35361480399</v>
      </c>
      <c r="H7215" s="56">
        <v>9.0590227493852052E-2</v>
      </c>
      <c r="I7215" s="224" t="s">
        <v>2</v>
      </c>
    </row>
    <row r="7216" spans="1:9" x14ac:dyDescent="0.25">
      <c r="A7216" s="515">
        <v>79360</v>
      </c>
      <c r="C7216" s="52">
        <v>201089.467602747</v>
      </c>
      <c r="D7216" s="56">
        <v>2.9325274453125435E-2</v>
      </c>
      <c r="E7216" s="224" t="s">
        <v>2</v>
      </c>
      <c r="F7216" s="515" t="s">
        <v>8433</v>
      </c>
      <c r="G7216" s="52">
        <v>401647.76188760297</v>
      </c>
      <c r="H7216" s="56">
        <v>8.7190136261299761E-2</v>
      </c>
      <c r="I7216" s="224" t="s">
        <v>2</v>
      </c>
    </row>
    <row r="7217" spans="1:9" x14ac:dyDescent="0.25">
      <c r="A7217" s="515">
        <v>98903</v>
      </c>
      <c r="B7217" s="515" t="s">
        <v>948</v>
      </c>
      <c r="C7217" s="52">
        <v>341282.37724056398</v>
      </c>
      <c r="D7217" s="56">
        <v>4.8383213099093957E-2</v>
      </c>
      <c r="E7217" s="224" t="s">
        <v>2</v>
      </c>
      <c r="F7217" s="515" t="s">
        <v>8434</v>
      </c>
      <c r="G7217" s="52">
        <v>566970.87678342301</v>
      </c>
      <c r="H7217" s="56">
        <v>2.8240089006121263E-2</v>
      </c>
      <c r="I7217" s="224">
        <v>1700</v>
      </c>
    </row>
    <row r="7218" spans="1:9" x14ac:dyDescent="0.25">
      <c r="A7218" s="515">
        <v>33154</v>
      </c>
      <c r="B7218" s="515" t="s">
        <v>831</v>
      </c>
      <c r="C7218" s="52">
        <v>978758.86039555399</v>
      </c>
      <c r="D7218" s="56">
        <v>0.22815464839332003</v>
      </c>
      <c r="E7218" s="224">
        <v>5145.8611111111104</v>
      </c>
      <c r="F7218" s="515" t="s">
        <v>8435</v>
      </c>
      <c r="G7218" s="52">
        <v>195908.345036566</v>
      </c>
      <c r="H7218" s="56">
        <v>7.9184317856512129E-2</v>
      </c>
      <c r="I7218" s="224" t="s">
        <v>2</v>
      </c>
    </row>
    <row r="7219" spans="1:9" x14ac:dyDescent="0.25">
      <c r="A7219" s="515">
        <v>11733</v>
      </c>
      <c r="B7219" s="515" t="s">
        <v>324</v>
      </c>
      <c r="C7219" s="52">
        <v>665452.16076465696</v>
      </c>
      <c r="D7219" s="56">
        <v>4.498052228265003E-2</v>
      </c>
      <c r="E7219" s="224" t="s">
        <v>2</v>
      </c>
      <c r="F7219" s="515" t="s">
        <v>8436</v>
      </c>
      <c r="G7219" s="52">
        <v>705027.13765152195</v>
      </c>
      <c r="H7219" s="56">
        <v>3.3159904390686119E-2</v>
      </c>
      <c r="I7219" s="224" t="s">
        <v>2</v>
      </c>
    </row>
    <row r="7220" spans="1:9" x14ac:dyDescent="0.25">
      <c r="A7220" s="515">
        <v>28023</v>
      </c>
      <c r="B7220" s="515" t="s">
        <v>360</v>
      </c>
      <c r="C7220" s="52">
        <v>249287.05870928301</v>
      </c>
      <c r="D7220" s="56">
        <v>0.11447313121575807</v>
      </c>
      <c r="E7220" s="224" t="s">
        <v>2</v>
      </c>
      <c r="F7220" s="515" t="s">
        <v>8437</v>
      </c>
      <c r="G7220" s="52">
        <v>138963.75608921799</v>
      </c>
      <c r="H7220" s="56">
        <v>3.9059214632582925E-3</v>
      </c>
      <c r="I7220" s="224" t="s">
        <v>2</v>
      </c>
    </row>
    <row r="7221" spans="1:9" x14ac:dyDescent="0.25">
      <c r="A7221" s="515">
        <v>99501</v>
      </c>
      <c r="B7221" s="515" t="s">
        <v>405</v>
      </c>
      <c r="C7221" s="52">
        <v>299572.38521943102</v>
      </c>
      <c r="D7221" s="56">
        <v>2.184788609461091E-2</v>
      </c>
      <c r="E7221" s="224">
        <v>1491.5277777777701</v>
      </c>
      <c r="F7221" s="515" t="s">
        <v>8438</v>
      </c>
      <c r="G7221" s="52">
        <v>97787.420122145297</v>
      </c>
      <c r="H7221" s="56">
        <v>7.7117101350110934E-2</v>
      </c>
      <c r="I7221" s="224" t="s">
        <v>2</v>
      </c>
    </row>
    <row r="7222" spans="1:9" x14ac:dyDescent="0.25">
      <c r="A7222" s="515">
        <v>78580</v>
      </c>
      <c r="B7222" s="515" t="s">
        <v>482</v>
      </c>
      <c r="C7222" s="52">
        <v>80303.979947164698</v>
      </c>
      <c r="D7222" s="56">
        <v>-0.15001623953582</v>
      </c>
      <c r="E7222" s="224" t="s">
        <v>2</v>
      </c>
      <c r="F7222" s="515" t="s">
        <v>8439</v>
      </c>
      <c r="G7222" s="52">
        <v>344022.89246518502</v>
      </c>
      <c r="H7222" s="56">
        <v>5.1304300987157915E-2</v>
      </c>
      <c r="I7222" s="224" t="s">
        <v>2</v>
      </c>
    </row>
    <row r="7223" spans="1:9" x14ac:dyDescent="0.25">
      <c r="A7223" s="515">
        <v>90232</v>
      </c>
      <c r="B7223" s="515" t="s">
        <v>375</v>
      </c>
      <c r="C7223" s="52">
        <v>1663967.32478171</v>
      </c>
      <c r="D7223" s="56">
        <v>5.0007640458638279E-3</v>
      </c>
      <c r="E7223" s="224">
        <v>3817.2804232804201</v>
      </c>
      <c r="F7223" s="515" t="s">
        <v>8440</v>
      </c>
      <c r="G7223" s="52">
        <v>764159.47569790797</v>
      </c>
      <c r="H7223" s="56">
        <v>2.3963088950280965E-2</v>
      </c>
      <c r="I7223" s="224" t="s">
        <v>2</v>
      </c>
    </row>
    <row r="7224" spans="1:9" x14ac:dyDescent="0.25">
      <c r="A7224" s="515">
        <v>94618</v>
      </c>
      <c r="B7224" s="515" t="s">
        <v>593</v>
      </c>
      <c r="C7224" s="52">
        <v>1612004.6822840599</v>
      </c>
      <c r="D7224" s="56">
        <v>-1.1602492326692937E-2</v>
      </c>
      <c r="E7224" s="224">
        <v>3278.5833333333298</v>
      </c>
      <c r="F7224" s="515" t="s">
        <v>8441</v>
      </c>
      <c r="G7224" s="52">
        <v>178942.852233974</v>
      </c>
      <c r="H7224" s="56">
        <v>-1.2867007925469652E-2</v>
      </c>
      <c r="I7224" s="224" t="s">
        <v>2</v>
      </c>
    </row>
    <row r="7225" spans="1:9" x14ac:dyDescent="0.25">
      <c r="A7225" s="515">
        <v>1850</v>
      </c>
      <c r="B7225" s="515" t="s">
        <v>534</v>
      </c>
      <c r="C7225" s="52">
        <v>365578.31020427798</v>
      </c>
      <c r="D7225" s="56">
        <v>7.4207846860052135E-2</v>
      </c>
      <c r="E7225" s="224" t="s">
        <v>2</v>
      </c>
      <c r="F7225" s="515" t="s">
        <v>8442</v>
      </c>
      <c r="G7225" s="52">
        <v>338928.18138177198</v>
      </c>
      <c r="H7225" s="56">
        <v>9.3794448188231488E-2</v>
      </c>
      <c r="I7225" s="224" t="s">
        <v>2</v>
      </c>
    </row>
    <row r="7226" spans="1:9" x14ac:dyDescent="0.25">
      <c r="A7226" s="515">
        <v>32428</v>
      </c>
      <c r="C7226" s="52">
        <v>202437.701660297</v>
      </c>
      <c r="D7226" s="56">
        <v>0.11704885225618576</v>
      </c>
      <c r="E7226" s="224" t="s">
        <v>2</v>
      </c>
      <c r="F7226" s="515" t="s">
        <v>8443</v>
      </c>
      <c r="G7226" s="52">
        <v>283776.39586943702</v>
      </c>
      <c r="H7226" s="56">
        <v>4.7730745794483118E-3</v>
      </c>
      <c r="I7226" s="224" t="s">
        <v>2</v>
      </c>
    </row>
    <row r="7227" spans="1:9" x14ac:dyDescent="0.25">
      <c r="A7227" s="515">
        <v>53818</v>
      </c>
      <c r="B7227" s="515" t="s">
        <v>664</v>
      </c>
      <c r="C7227" s="52">
        <v>209026.82942955801</v>
      </c>
      <c r="D7227" s="56">
        <v>2.2317573407033605E-2</v>
      </c>
      <c r="E7227" s="224" t="s">
        <v>2</v>
      </c>
      <c r="F7227" s="515" t="s">
        <v>8444</v>
      </c>
      <c r="G7227" s="52">
        <v>249463.13649789401</v>
      </c>
      <c r="H7227" s="56">
        <v>8.7891341876033424E-2</v>
      </c>
      <c r="I7227" s="224" t="s">
        <v>2</v>
      </c>
    </row>
    <row r="7228" spans="1:9" x14ac:dyDescent="0.25">
      <c r="A7228" s="515">
        <v>32968</v>
      </c>
      <c r="B7228" s="515" t="s">
        <v>1176</v>
      </c>
      <c r="C7228" s="52">
        <v>417964.192719449</v>
      </c>
      <c r="D7228" s="56">
        <v>0.12794997239380906</v>
      </c>
      <c r="E7228" s="224" t="s">
        <v>2</v>
      </c>
      <c r="F7228" s="515" t="s">
        <v>8445</v>
      </c>
      <c r="G7228" s="52">
        <v>93945.685113453204</v>
      </c>
      <c r="H7228" s="56">
        <v>5.0745430106116846E-2</v>
      </c>
      <c r="I7228" s="224" t="s">
        <v>2</v>
      </c>
    </row>
    <row r="7229" spans="1:9" x14ac:dyDescent="0.25">
      <c r="A7229" s="515">
        <v>11780</v>
      </c>
      <c r="B7229" s="515" t="s">
        <v>324</v>
      </c>
      <c r="C7229" s="52">
        <v>671001.17065014294</v>
      </c>
      <c r="D7229" s="56">
        <v>5.3264795289300955E-2</v>
      </c>
      <c r="E7229" s="224" t="s">
        <v>2</v>
      </c>
      <c r="F7229" s="515" t="s">
        <v>8446</v>
      </c>
      <c r="G7229" s="52">
        <v>394950.182207142</v>
      </c>
      <c r="H7229" s="56">
        <v>3.3825519919968607E-2</v>
      </c>
      <c r="I7229" s="224" t="s">
        <v>2</v>
      </c>
    </row>
    <row r="7230" spans="1:9" x14ac:dyDescent="0.25">
      <c r="A7230" s="515">
        <v>16125</v>
      </c>
      <c r="B7230" s="515" t="s">
        <v>397</v>
      </c>
      <c r="C7230" s="52">
        <v>116592.47855891399</v>
      </c>
      <c r="D7230" s="56">
        <v>2.1528057225367201E-5</v>
      </c>
      <c r="E7230" s="224" t="s">
        <v>2</v>
      </c>
      <c r="F7230" s="515" t="s">
        <v>8447</v>
      </c>
      <c r="G7230" s="52">
        <v>728144.70819524804</v>
      </c>
      <c r="H7230" s="56">
        <v>0.15967258726754974</v>
      </c>
      <c r="I7230" s="224" t="s">
        <v>2</v>
      </c>
    </row>
    <row r="7231" spans="1:9" x14ac:dyDescent="0.25">
      <c r="A7231" s="515">
        <v>77619</v>
      </c>
      <c r="B7231" s="515" t="s">
        <v>492</v>
      </c>
      <c r="C7231" s="52">
        <v>159270.53649494101</v>
      </c>
      <c r="D7231" s="56">
        <v>3.4965534398835887E-2</v>
      </c>
      <c r="E7231" s="224">
        <v>1347.5</v>
      </c>
      <c r="F7231" s="515" t="s">
        <v>8448</v>
      </c>
      <c r="G7231" s="52">
        <v>224315.57706036701</v>
      </c>
      <c r="H7231" s="56">
        <v>3.0958879741273766E-2</v>
      </c>
      <c r="I7231" s="224" t="s">
        <v>2</v>
      </c>
    </row>
    <row r="7232" spans="1:9" x14ac:dyDescent="0.25">
      <c r="A7232" s="515">
        <v>22963</v>
      </c>
      <c r="B7232" s="515" t="s">
        <v>630</v>
      </c>
      <c r="C7232" s="52">
        <v>315721.20387422497</v>
      </c>
      <c r="D7232" s="56">
        <v>6.9534519888968041E-2</v>
      </c>
      <c r="E7232" s="224" t="s">
        <v>2</v>
      </c>
      <c r="F7232" s="515" t="s">
        <v>8449</v>
      </c>
      <c r="G7232" s="52">
        <v>153772.091478352</v>
      </c>
      <c r="H7232" s="56">
        <v>-1.587691068077518E-2</v>
      </c>
      <c r="I7232" s="224" t="s">
        <v>2</v>
      </c>
    </row>
    <row r="7233" spans="1:9" x14ac:dyDescent="0.25">
      <c r="A7233" s="515">
        <v>6351</v>
      </c>
      <c r="B7233" s="515" t="s">
        <v>1091</v>
      </c>
      <c r="C7233" s="52">
        <v>287394.73451008101</v>
      </c>
      <c r="D7233" s="56">
        <v>8.5482703162120505E-2</v>
      </c>
      <c r="E7233" s="224" t="s">
        <v>2</v>
      </c>
      <c r="F7233" s="515" t="s">
        <v>8450</v>
      </c>
      <c r="G7233" s="52">
        <v>374865.478119826</v>
      </c>
      <c r="H7233" s="56">
        <v>8.8644068413479882E-2</v>
      </c>
      <c r="I7233" s="224" t="s">
        <v>2</v>
      </c>
    </row>
    <row r="7234" spans="1:9" x14ac:dyDescent="0.25">
      <c r="A7234" s="515">
        <v>32922</v>
      </c>
      <c r="B7234" s="515" t="s">
        <v>1133</v>
      </c>
      <c r="C7234" s="52">
        <v>192093.126738922</v>
      </c>
      <c r="D7234" s="56">
        <v>0.22506970995243153</v>
      </c>
      <c r="E7234" s="224">
        <v>1403.05555555555</v>
      </c>
      <c r="F7234" s="515" t="s">
        <v>8451</v>
      </c>
      <c r="G7234" s="52">
        <v>254131.684567449</v>
      </c>
      <c r="H7234" s="56">
        <v>7.7882931291149718E-2</v>
      </c>
      <c r="I7234" s="224" t="s">
        <v>2</v>
      </c>
    </row>
    <row r="7235" spans="1:9" x14ac:dyDescent="0.25">
      <c r="A7235" s="515">
        <v>8840</v>
      </c>
      <c r="B7235" s="515" t="s">
        <v>324</v>
      </c>
      <c r="C7235" s="52">
        <v>530022.14764388895</v>
      </c>
      <c r="D7235" s="56">
        <v>5.9637542965521088E-2</v>
      </c>
      <c r="E7235" s="224">
        <v>2367.5</v>
      </c>
      <c r="F7235" s="515" t="s">
        <v>8452</v>
      </c>
      <c r="G7235" s="52">
        <v>195308.86387420099</v>
      </c>
      <c r="H7235" s="56">
        <v>2.8000996428822259E-2</v>
      </c>
      <c r="I7235" s="224" t="s">
        <v>2</v>
      </c>
    </row>
    <row r="7236" spans="1:9" x14ac:dyDescent="0.25">
      <c r="A7236" s="515">
        <v>36613</v>
      </c>
      <c r="B7236" s="515" t="s">
        <v>815</v>
      </c>
      <c r="C7236" s="52">
        <v>135095.57563658501</v>
      </c>
      <c r="D7236" s="56">
        <v>6.892343934514264E-2</v>
      </c>
      <c r="E7236" s="224" t="s">
        <v>2</v>
      </c>
      <c r="F7236" s="515" t="s">
        <v>8453</v>
      </c>
      <c r="G7236" s="52">
        <v>114187.654408316</v>
      </c>
      <c r="H7236" s="56">
        <v>3.7728553480525256E-2</v>
      </c>
      <c r="I7236" s="224" t="s">
        <v>2</v>
      </c>
    </row>
    <row r="7237" spans="1:9" x14ac:dyDescent="0.25">
      <c r="A7237" s="515">
        <v>72745</v>
      </c>
      <c r="B7237" s="515" t="s">
        <v>675</v>
      </c>
      <c r="C7237" s="52">
        <v>298229.99982696702</v>
      </c>
      <c r="D7237" s="56">
        <v>0.11929662033908518</v>
      </c>
      <c r="E7237" s="224" t="s">
        <v>2</v>
      </c>
      <c r="F7237" s="515" t="s">
        <v>8454</v>
      </c>
      <c r="G7237" s="52">
        <v>287679.719100332</v>
      </c>
      <c r="H7237" s="56">
        <v>-1.7699347020252186E-2</v>
      </c>
      <c r="I7237" s="224" t="s">
        <v>2</v>
      </c>
    </row>
    <row r="7238" spans="1:9" x14ac:dyDescent="0.25">
      <c r="A7238" s="515">
        <v>8882</v>
      </c>
      <c r="B7238" s="515" t="s">
        <v>324</v>
      </c>
      <c r="C7238" s="52">
        <v>406686.06573452899</v>
      </c>
      <c r="D7238" s="56">
        <v>6.7153211670801224E-2</v>
      </c>
      <c r="E7238" s="224" t="s">
        <v>2</v>
      </c>
      <c r="F7238" s="515" t="s">
        <v>8455</v>
      </c>
      <c r="G7238" s="52">
        <v>329448.08526635403</v>
      </c>
      <c r="H7238" s="56">
        <v>6.6044975015278701E-2</v>
      </c>
      <c r="I7238" s="224" t="s">
        <v>2</v>
      </c>
    </row>
    <row r="7239" spans="1:9" x14ac:dyDescent="0.25">
      <c r="A7239" s="515">
        <v>48206</v>
      </c>
      <c r="B7239" s="515" t="s">
        <v>685</v>
      </c>
      <c r="C7239" s="52">
        <v>85286.721802771601</v>
      </c>
      <c r="D7239" s="56">
        <v>0.12153540921253102</v>
      </c>
      <c r="E7239" s="224" t="s">
        <v>2</v>
      </c>
      <c r="F7239" s="515" t="s">
        <v>8456</v>
      </c>
      <c r="G7239" s="52">
        <v>386625.40689413197</v>
      </c>
      <c r="H7239" s="56">
        <v>5.3228718295032541E-2</v>
      </c>
      <c r="I7239" s="224" t="s">
        <v>2</v>
      </c>
    </row>
    <row r="7240" spans="1:9" x14ac:dyDescent="0.25">
      <c r="A7240" s="515">
        <v>13676</v>
      </c>
      <c r="B7240" s="515" t="s">
        <v>511</v>
      </c>
      <c r="C7240" s="52">
        <v>156487.20142828801</v>
      </c>
      <c r="D7240" s="56">
        <v>6.4065294532377803E-2</v>
      </c>
      <c r="E7240" s="224" t="s">
        <v>2</v>
      </c>
      <c r="F7240" s="515" t="s">
        <v>8457</v>
      </c>
      <c r="G7240" s="52">
        <v>275984.02756539098</v>
      </c>
      <c r="H7240" s="56">
        <v>0.10275764417803371</v>
      </c>
      <c r="I7240" s="224" t="s">
        <v>2</v>
      </c>
    </row>
    <row r="7241" spans="1:9" x14ac:dyDescent="0.25">
      <c r="A7241" s="515">
        <v>2842</v>
      </c>
      <c r="B7241" s="515" t="s">
        <v>513</v>
      </c>
      <c r="C7241" s="52">
        <v>612367.09224723303</v>
      </c>
      <c r="D7241" s="56">
        <v>0.11558110573336931</v>
      </c>
      <c r="E7241" s="224">
        <v>2655.5555555555502</v>
      </c>
      <c r="F7241" s="515" t="s">
        <v>8458</v>
      </c>
      <c r="G7241" s="52">
        <v>180863.80615595999</v>
      </c>
      <c r="H7241" s="56">
        <v>0.1096382607423274</v>
      </c>
      <c r="I7241" s="224" t="s">
        <v>2</v>
      </c>
    </row>
    <row r="7242" spans="1:9" x14ac:dyDescent="0.25">
      <c r="A7242" s="515">
        <v>62298</v>
      </c>
      <c r="B7242" s="515" t="s">
        <v>498</v>
      </c>
      <c r="C7242" s="52">
        <v>245445.47434933099</v>
      </c>
      <c r="D7242" s="56">
        <v>7.3921341978776117E-2</v>
      </c>
      <c r="E7242" s="224" t="s">
        <v>2</v>
      </c>
      <c r="F7242" s="515" t="s">
        <v>8459</v>
      </c>
      <c r="G7242" s="52">
        <v>149852.05095971201</v>
      </c>
      <c r="H7242" s="56">
        <v>0.14627790605479821</v>
      </c>
      <c r="I7242" s="224" t="s">
        <v>2</v>
      </c>
    </row>
    <row r="7243" spans="1:9" x14ac:dyDescent="0.25">
      <c r="A7243" s="515">
        <v>6519</v>
      </c>
      <c r="B7243" s="515" t="s">
        <v>1172</v>
      </c>
      <c r="C7243" s="52">
        <v>217965.002279496</v>
      </c>
      <c r="D7243" s="56">
        <v>0.14313904396059127</v>
      </c>
      <c r="E7243" s="224">
        <v>1885.6</v>
      </c>
      <c r="F7243" s="515" t="s">
        <v>8460</v>
      </c>
      <c r="G7243" s="52">
        <v>548161.28072801395</v>
      </c>
      <c r="H7243" s="56">
        <v>6.2170310255269721E-2</v>
      </c>
      <c r="I7243" s="224" t="s">
        <v>2</v>
      </c>
    </row>
    <row r="7244" spans="1:9" x14ac:dyDescent="0.25">
      <c r="A7244" s="515">
        <v>48043</v>
      </c>
      <c r="B7244" s="515" t="s">
        <v>685</v>
      </c>
      <c r="C7244" s="52">
        <v>154130.59211482099</v>
      </c>
      <c r="D7244" s="56">
        <v>8.2404165022159567E-2</v>
      </c>
      <c r="E7244" s="224" t="s">
        <v>2</v>
      </c>
      <c r="F7244" s="515" t="s">
        <v>8461</v>
      </c>
      <c r="G7244" s="52">
        <v>334539.980666811</v>
      </c>
      <c r="H7244" s="56">
        <v>9.1770568101754421E-2</v>
      </c>
      <c r="I7244" s="224" t="s">
        <v>2</v>
      </c>
    </row>
    <row r="7245" spans="1:9" x14ac:dyDescent="0.25">
      <c r="A7245" s="515">
        <v>7502</v>
      </c>
      <c r="B7245" s="515" t="s">
        <v>324</v>
      </c>
      <c r="C7245" s="52">
        <v>401134.47347182001</v>
      </c>
      <c r="D7245" s="56">
        <v>6.6476802732721468E-2</v>
      </c>
      <c r="E7245" s="224" t="s">
        <v>2</v>
      </c>
      <c r="F7245" s="515" t="s">
        <v>8462</v>
      </c>
      <c r="G7245" s="52">
        <v>333073.56985473301</v>
      </c>
      <c r="H7245" s="56">
        <v>4.9592586936616959E-2</v>
      </c>
      <c r="I7245" s="224" t="s">
        <v>2</v>
      </c>
    </row>
    <row r="7246" spans="1:9" x14ac:dyDescent="0.25">
      <c r="A7246" s="515">
        <v>16301</v>
      </c>
      <c r="B7246" s="515" t="s">
        <v>349</v>
      </c>
      <c r="C7246" s="52">
        <v>74492.128361817493</v>
      </c>
      <c r="D7246" s="56">
        <v>0.12065432236884108</v>
      </c>
      <c r="E7246" s="224" t="s">
        <v>2</v>
      </c>
      <c r="F7246" s="515" t="s">
        <v>8463</v>
      </c>
      <c r="G7246" s="52">
        <v>656617.38899936795</v>
      </c>
      <c r="H7246" s="56">
        <v>-2.4924691191487026E-2</v>
      </c>
      <c r="I7246" s="224" t="s">
        <v>2</v>
      </c>
    </row>
    <row r="7247" spans="1:9" x14ac:dyDescent="0.25">
      <c r="A7247" s="515">
        <v>30474</v>
      </c>
      <c r="B7247" s="515" t="s">
        <v>1134</v>
      </c>
      <c r="C7247" s="52">
        <v>146005.69759256401</v>
      </c>
      <c r="D7247" s="56">
        <v>4.8097265814200367E-2</v>
      </c>
      <c r="E7247" s="224" t="s">
        <v>2</v>
      </c>
      <c r="F7247" s="515" t="s">
        <v>8464</v>
      </c>
      <c r="G7247" s="52">
        <v>545537.66879209899</v>
      </c>
      <c r="H7247" s="56">
        <v>8.8675561463248762E-3</v>
      </c>
      <c r="I7247" s="224" t="s">
        <v>2</v>
      </c>
    </row>
    <row r="7248" spans="1:9" x14ac:dyDescent="0.25">
      <c r="A7248" s="515">
        <v>95066</v>
      </c>
      <c r="B7248" s="515" t="s">
        <v>596</v>
      </c>
      <c r="C7248" s="52">
        <v>1183454.64041992</v>
      </c>
      <c r="D7248" s="56">
        <v>1.4681625388555254E-2</v>
      </c>
      <c r="E7248" s="224" t="s">
        <v>2</v>
      </c>
      <c r="F7248" s="515" t="s">
        <v>8465</v>
      </c>
      <c r="G7248" s="52">
        <v>244175.48779925201</v>
      </c>
      <c r="H7248" s="56">
        <v>0.1180399607318131</v>
      </c>
      <c r="I7248" s="224" t="s">
        <v>2</v>
      </c>
    </row>
    <row r="7249" spans="1:9" x14ac:dyDescent="0.25">
      <c r="A7249" s="515">
        <v>37203</v>
      </c>
      <c r="B7249" s="515" t="s">
        <v>684</v>
      </c>
      <c r="C7249" s="52">
        <v>612700.64023136301</v>
      </c>
      <c r="D7249" s="56">
        <v>4.600243209911422E-2</v>
      </c>
      <c r="E7249" s="224">
        <v>2235.6879686797702</v>
      </c>
      <c r="F7249" s="515" t="s">
        <v>8466</v>
      </c>
      <c r="G7249" s="52">
        <v>140457.367869168</v>
      </c>
      <c r="H7249" s="56">
        <v>7.3658845424257255E-2</v>
      </c>
      <c r="I7249" s="224" t="s">
        <v>2</v>
      </c>
    </row>
    <row r="7250" spans="1:9" x14ac:dyDescent="0.25">
      <c r="A7250" s="515">
        <v>64116</v>
      </c>
      <c r="B7250" s="515" t="s">
        <v>455</v>
      </c>
      <c r="C7250" s="52">
        <v>225512.078145807</v>
      </c>
      <c r="D7250" s="56">
        <v>8.0833155767876738E-2</v>
      </c>
      <c r="E7250" s="224">
        <v>1125.44444444444</v>
      </c>
      <c r="F7250" s="515" t="s">
        <v>8467</v>
      </c>
      <c r="G7250" s="52">
        <v>287313.27406324801</v>
      </c>
      <c r="H7250" s="56">
        <v>6.5871704059153699E-2</v>
      </c>
      <c r="I7250" s="224" t="s">
        <v>2</v>
      </c>
    </row>
    <row r="7251" spans="1:9" x14ac:dyDescent="0.25">
      <c r="A7251" s="515">
        <v>38261</v>
      </c>
      <c r="B7251" s="515" t="s">
        <v>1044</v>
      </c>
      <c r="C7251" s="52">
        <v>127359.342763379</v>
      </c>
      <c r="D7251" s="56">
        <v>5.3980992261794709E-2</v>
      </c>
      <c r="E7251" s="224" t="s">
        <v>2</v>
      </c>
      <c r="F7251" s="515" t="s">
        <v>8468</v>
      </c>
      <c r="G7251" s="52">
        <v>472467.63477514801</v>
      </c>
      <c r="H7251" s="56">
        <v>0.11446028395913166</v>
      </c>
      <c r="I7251" s="224" t="s">
        <v>2</v>
      </c>
    </row>
    <row r="7252" spans="1:9" x14ac:dyDescent="0.25">
      <c r="A7252" s="515">
        <v>38571</v>
      </c>
      <c r="B7252" s="515" t="s">
        <v>1025</v>
      </c>
      <c r="C7252" s="52">
        <v>242805.06508654499</v>
      </c>
      <c r="D7252" s="56">
        <v>7.1027729182692137E-2</v>
      </c>
      <c r="E7252" s="224" t="s">
        <v>2</v>
      </c>
      <c r="F7252" s="515" t="s">
        <v>8469</v>
      </c>
      <c r="G7252" s="52">
        <v>192963.79204237601</v>
      </c>
      <c r="H7252" s="56">
        <v>6.1905560595760405E-2</v>
      </c>
      <c r="I7252" s="224" t="s">
        <v>2</v>
      </c>
    </row>
    <row r="7253" spans="1:9" x14ac:dyDescent="0.25">
      <c r="A7253" s="515">
        <v>45409</v>
      </c>
      <c r="B7253" s="515" t="s">
        <v>340</v>
      </c>
      <c r="C7253" s="52">
        <v>207701.46399039499</v>
      </c>
      <c r="D7253" s="56">
        <v>8.6926608681408377E-2</v>
      </c>
      <c r="E7253" s="224" t="s">
        <v>2</v>
      </c>
      <c r="F7253" s="515" t="s">
        <v>8470</v>
      </c>
      <c r="G7253" s="52">
        <v>797115.43388291996</v>
      </c>
      <c r="H7253" s="56">
        <v>6.6529643571824712E-2</v>
      </c>
      <c r="I7253" s="224" t="s">
        <v>2</v>
      </c>
    </row>
    <row r="7254" spans="1:9" x14ac:dyDescent="0.25">
      <c r="A7254" s="515">
        <v>34984</v>
      </c>
      <c r="B7254" s="515" t="s">
        <v>1180</v>
      </c>
      <c r="C7254" s="52">
        <v>375153.06307209597</v>
      </c>
      <c r="D7254" s="56">
        <v>0.1022217652108032</v>
      </c>
      <c r="E7254" s="224">
        <v>2685</v>
      </c>
      <c r="F7254" s="515" t="s">
        <v>8471</v>
      </c>
      <c r="G7254" s="52">
        <v>243967.40285204901</v>
      </c>
      <c r="H7254" s="56">
        <v>0</v>
      </c>
      <c r="I7254" s="224" t="s">
        <v>2</v>
      </c>
    </row>
    <row r="7255" spans="1:9" x14ac:dyDescent="0.25">
      <c r="A7255" s="515">
        <v>39773</v>
      </c>
      <c r="B7255" s="515" t="s">
        <v>1051</v>
      </c>
      <c r="C7255" s="52">
        <v>126404.694302269</v>
      </c>
      <c r="D7255" s="56">
        <v>1.4578377034890008E-2</v>
      </c>
      <c r="E7255" s="224" t="s">
        <v>2</v>
      </c>
      <c r="F7255" s="515" t="s">
        <v>8472</v>
      </c>
      <c r="G7255" s="52">
        <v>285150.08139460202</v>
      </c>
      <c r="H7255" s="56">
        <v>7.4203599138354309E-2</v>
      </c>
      <c r="I7255" s="224" t="s">
        <v>2</v>
      </c>
    </row>
    <row r="7256" spans="1:9" x14ac:dyDescent="0.25">
      <c r="A7256" s="515">
        <v>27021</v>
      </c>
      <c r="B7256" s="515" t="s">
        <v>735</v>
      </c>
      <c r="C7256" s="52">
        <v>223960.00563973901</v>
      </c>
      <c r="D7256" s="56">
        <v>0.13840225293881467</v>
      </c>
      <c r="E7256" s="224" t="s">
        <v>2</v>
      </c>
      <c r="F7256" s="515" t="s">
        <v>8473</v>
      </c>
      <c r="G7256" s="52">
        <v>140384.27738371599</v>
      </c>
      <c r="H7256" s="56">
        <v>1.1450718564828747E-2</v>
      </c>
      <c r="I7256" s="224" t="s">
        <v>2</v>
      </c>
    </row>
    <row r="7257" spans="1:9" x14ac:dyDescent="0.25">
      <c r="A7257" s="515">
        <v>36619</v>
      </c>
      <c r="B7257" s="515" t="s">
        <v>815</v>
      </c>
      <c r="C7257" s="52">
        <v>190031.849535797</v>
      </c>
      <c r="D7257" s="56">
        <v>7.3022338248495772E-2</v>
      </c>
      <c r="E7257" s="224" t="s">
        <v>2</v>
      </c>
      <c r="F7257" s="515" t="s">
        <v>8474</v>
      </c>
      <c r="G7257" s="52">
        <v>145025.71462036</v>
      </c>
      <c r="H7257" s="56">
        <v>2.8805425292589052E-3</v>
      </c>
      <c r="I7257" s="224" t="s">
        <v>2</v>
      </c>
    </row>
    <row r="7258" spans="1:9" x14ac:dyDescent="0.25">
      <c r="A7258" s="515">
        <v>48230</v>
      </c>
      <c r="B7258" s="515" t="s">
        <v>685</v>
      </c>
      <c r="C7258" s="52">
        <v>420678.43681239302</v>
      </c>
      <c r="D7258" s="56">
        <v>2.6220046078666119E-2</v>
      </c>
      <c r="E7258" s="224">
        <v>1449.1666666666599</v>
      </c>
      <c r="F7258" s="515" t="s">
        <v>8475</v>
      </c>
      <c r="G7258" s="52">
        <v>143657.74793527299</v>
      </c>
      <c r="H7258" s="56">
        <v>0.13640833152499054</v>
      </c>
      <c r="I7258" s="224" t="s">
        <v>2</v>
      </c>
    </row>
    <row r="7259" spans="1:9" x14ac:dyDescent="0.25">
      <c r="A7259" s="515">
        <v>3246</v>
      </c>
      <c r="B7259" s="515" t="s">
        <v>1006</v>
      </c>
      <c r="C7259" s="52">
        <v>355206.40055537102</v>
      </c>
      <c r="D7259" s="56">
        <v>0.10761515489556324</v>
      </c>
      <c r="E7259" s="224" t="s">
        <v>2</v>
      </c>
      <c r="F7259" s="515" t="s">
        <v>8476</v>
      </c>
      <c r="G7259" s="52">
        <v>221207.489576683</v>
      </c>
      <c r="H7259" s="56">
        <v>7.5451913389570108E-2</v>
      </c>
      <c r="I7259" s="224" t="s">
        <v>2</v>
      </c>
    </row>
    <row r="7260" spans="1:9" x14ac:dyDescent="0.25">
      <c r="A7260" s="515">
        <v>60546</v>
      </c>
      <c r="B7260" s="515" t="s">
        <v>394</v>
      </c>
      <c r="C7260" s="52">
        <v>350297.14591965999</v>
      </c>
      <c r="D7260" s="56">
        <v>3.770069625340678E-2</v>
      </c>
      <c r="E7260" s="224" t="s">
        <v>2</v>
      </c>
      <c r="F7260" s="515" t="s">
        <v>8477</v>
      </c>
      <c r="G7260" s="52">
        <v>859601.77981625497</v>
      </c>
      <c r="H7260" s="56">
        <v>4.878250949856678E-2</v>
      </c>
      <c r="I7260" s="224" t="s">
        <v>2</v>
      </c>
    </row>
    <row r="7261" spans="1:9" x14ac:dyDescent="0.25">
      <c r="A7261" s="515">
        <v>49829</v>
      </c>
      <c r="B7261" s="515" t="s">
        <v>713</v>
      </c>
      <c r="C7261" s="52">
        <v>128959.802115738</v>
      </c>
      <c r="D7261" s="56">
        <v>8.7125622225554505E-2</v>
      </c>
      <c r="E7261" s="224" t="s">
        <v>2</v>
      </c>
      <c r="F7261" s="515" t="s">
        <v>8478</v>
      </c>
      <c r="G7261" s="52">
        <v>712619.23967897601</v>
      </c>
      <c r="H7261" s="56">
        <v>9.4115982271228943E-2</v>
      </c>
      <c r="I7261" s="224" t="s">
        <v>2</v>
      </c>
    </row>
    <row r="7262" spans="1:9" x14ac:dyDescent="0.25">
      <c r="A7262" s="515">
        <v>38107</v>
      </c>
      <c r="B7262" s="515" t="s">
        <v>951</v>
      </c>
      <c r="C7262" s="52">
        <v>118020.938289357</v>
      </c>
      <c r="D7262" s="56">
        <v>0.22554075877503479</v>
      </c>
      <c r="E7262" s="224">
        <v>1408.2777777777701</v>
      </c>
      <c r="F7262" s="515" t="s">
        <v>8479</v>
      </c>
      <c r="G7262" s="52">
        <v>262673.90726171702</v>
      </c>
      <c r="H7262" s="56">
        <v>7.2838962696291379E-2</v>
      </c>
      <c r="I7262" s="224" t="s">
        <v>2</v>
      </c>
    </row>
    <row r="7263" spans="1:9" x14ac:dyDescent="0.25">
      <c r="A7263" s="515">
        <v>48624</v>
      </c>
      <c r="C7263" s="52">
        <v>148376.40149188499</v>
      </c>
      <c r="D7263" s="56">
        <v>8.5696043915048217E-2</v>
      </c>
      <c r="E7263" s="224" t="s">
        <v>2</v>
      </c>
      <c r="F7263" s="515" t="s">
        <v>8480</v>
      </c>
      <c r="G7263" s="52">
        <v>203853.45793131899</v>
      </c>
      <c r="H7263" s="56">
        <v>5.6305780766917383E-2</v>
      </c>
      <c r="I7263" s="224" t="s">
        <v>2</v>
      </c>
    </row>
    <row r="7264" spans="1:9" x14ac:dyDescent="0.25">
      <c r="A7264" s="515">
        <v>6268</v>
      </c>
      <c r="B7264" s="515" t="s">
        <v>894</v>
      </c>
      <c r="C7264" s="52">
        <v>321576.82392257499</v>
      </c>
      <c r="D7264" s="56">
        <v>8.3939791543249362E-2</v>
      </c>
      <c r="E7264" s="224">
        <v>2400</v>
      </c>
      <c r="F7264" s="515" t="s">
        <v>8481</v>
      </c>
      <c r="G7264" s="52">
        <v>169838.78474227901</v>
      </c>
      <c r="H7264" s="56">
        <v>6.6402576075201961E-2</v>
      </c>
      <c r="I7264" s="224" t="s">
        <v>2</v>
      </c>
    </row>
    <row r="7265" spans="1:9" x14ac:dyDescent="0.25">
      <c r="A7265" s="515">
        <v>55444</v>
      </c>
      <c r="B7265" s="515" t="s">
        <v>532</v>
      </c>
      <c r="C7265" s="52">
        <v>312163.40674050601</v>
      </c>
      <c r="D7265" s="56">
        <v>1.7417309334003969E-2</v>
      </c>
      <c r="E7265" s="224" t="s">
        <v>2</v>
      </c>
      <c r="F7265" s="515" t="s">
        <v>8482</v>
      </c>
      <c r="G7265" s="52">
        <v>301155.67771877401</v>
      </c>
      <c r="H7265" s="56">
        <v>3.9228530883185841E-2</v>
      </c>
      <c r="I7265" s="224" t="s">
        <v>2</v>
      </c>
    </row>
    <row r="7266" spans="1:9" x14ac:dyDescent="0.25">
      <c r="A7266" s="515">
        <v>11950</v>
      </c>
      <c r="B7266" s="515" t="s">
        <v>324</v>
      </c>
      <c r="C7266" s="52">
        <v>388713.79882552999</v>
      </c>
      <c r="D7266" s="56">
        <v>6.0205990570665946E-2</v>
      </c>
      <c r="E7266" s="224" t="s">
        <v>2</v>
      </c>
      <c r="F7266" s="515" t="s">
        <v>8483</v>
      </c>
      <c r="G7266" s="52">
        <v>719335.60591767495</v>
      </c>
      <c r="H7266" s="56">
        <v>-2.0843869929550837E-2</v>
      </c>
      <c r="I7266" s="224" t="s">
        <v>2</v>
      </c>
    </row>
    <row r="7267" spans="1:9" x14ac:dyDescent="0.25">
      <c r="A7267" s="515">
        <v>84014</v>
      </c>
      <c r="B7267" s="515" t="s">
        <v>628</v>
      </c>
      <c r="C7267" s="52">
        <v>537649.26557382406</v>
      </c>
      <c r="D7267" s="56">
        <v>3.5969442164337492E-2</v>
      </c>
      <c r="E7267" s="224" t="s">
        <v>2</v>
      </c>
      <c r="F7267" s="515" t="s">
        <v>8484</v>
      </c>
      <c r="G7267" s="52">
        <v>326157.50659588201</v>
      </c>
      <c r="H7267" s="56">
        <v>7.8386598048191966E-2</v>
      </c>
      <c r="I7267" s="224" t="s">
        <v>2</v>
      </c>
    </row>
    <row r="7268" spans="1:9" x14ac:dyDescent="0.25">
      <c r="A7268" s="515">
        <v>45219</v>
      </c>
      <c r="B7268" s="515" t="s">
        <v>344</v>
      </c>
      <c r="C7268" s="52">
        <v>214319.60036156999</v>
      </c>
      <c r="D7268" s="56">
        <v>6.3650418896632324E-2</v>
      </c>
      <c r="E7268" s="224">
        <v>2063.82828282828</v>
      </c>
      <c r="F7268" s="515" t="s">
        <v>8485</v>
      </c>
      <c r="G7268" s="52">
        <v>368437.29879415099</v>
      </c>
      <c r="H7268" s="56">
        <v>3.1708290581824179E-2</v>
      </c>
      <c r="I7268" s="224" t="s">
        <v>2</v>
      </c>
    </row>
    <row r="7269" spans="1:9" x14ac:dyDescent="0.25">
      <c r="A7269" s="515">
        <v>94502</v>
      </c>
      <c r="B7269" s="515" t="s">
        <v>593</v>
      </c>
      <c r="C7269" s="52">
        <v>1188083.5591708999</v>
      </c>
      <c r="D7269" s="56">
        <v>-2.8518473827315552E-2</v>
      </c>
      <c r="E7269" s="224" t="s">
        <v>2</v>
      </c>
      <c r="F7269" s="515" t="s">
        <v>8486</v>
      </c>
      <c r="G7269" s="52">
        <v>230512.72776845301</v>
      </c>
      <c r="H7269" s="56">
        <v>0.11538140220201529</v>
      </c>
      <c r="I7269" s="224" t="s">
        <v>2</v>
      </c>
    </row>
    <row r="7270" spans="1:9" x14ac:dyDescent="0.25">
      <c r="A7270" s="515">
        <v>38606</v>
      </c>
      <c r="C7270" s="52">
        <v>166882.647435875</v>
      </c>
      <c r="D7270" s="56">
        <v>0.11788790076871911</v>
      </c>
      <c r="E7270" s="224" t="s">
        <v>2</v>
      </c>
      <c r="F7270" s="515" t="s">
        <v>8487</v>
      </c>
      <c r="G7270" s="52">
        <v>422111.72547938401</v>
      </c>
      <c r="H7270" s="56">
        <v>7.5985273693609079E-2</v>
      </c>
      <c r="I7270" s="224" t="s">
        <v>2</v>
      </c>
    </row>
    <row r="7271" spans="1:9" x14ac:dyDescent="0.25">
      <c r="A7271" s="515">
        <v>45220</v>
      </c>
      <c r="B7271" s="515" t="s">
        <v>344</v>
      </c>
      <c r="C7271" s="52">
        <v>278746.86963083298</v>
      </c>
      <c r="D7271" s="56">
        <v>4.1307010791739755E-2</v>
      </c>
      <c r="E7271" s="224">
        <v>1422.38095238095</v>
      </c>
      <c r="F7271" s="515" t="s">
        <v>8488</v>
      </c>
      <c r="G7271" s="52">
        <v>232159.76673280599</v>
      </c>
      <c r="H7271" s="56">
        <v>6.1306887162516463E-2</v>
      </c>
      <c r="I7271" s="224" t="s">
        <v>2</v>
      </c>
    </row>
    <row r="7272" spans="1:9" x14ac:dyDescent="0.25">
      <c r="A7272" s="515">
        <v>10470</v>
      </c>
      <c r="B7272" s="515" t="s">
        <v>324</v>
      </c>
      <c r="C7272" s="52">
        <v>430193.96016634098</v>
      </c>
      <c r="D7272" s="56">
        <v>-6.8939776977426724E-4</v>
      </c>
      <c r="E7272" s="224" t="s">
        <v>2</v>
      </c>
      <c r="F7272" s="515" t="s">
        <v>8489</v>
      </c>
      <c r="G7272" s="52">
        <v>364261.21603882301</v>
      </c>
      <c r="H7272" s="56">
        <v>6.8444588475187904E-2</v>
      </c>
      <c r="I7272" s="224" t="s">
        <v>2</v>
      </c>
    </row>
    <row r="7273" spans="1:9" x14ac:dyDescent="0.25">
      <c r="A7273" s="515">
        <v>75707</v>
      </c>
      <c r="B7273" s="515" t="s">
        <v>1157</v>
      </c>
      <c r="C7273" s="52">
        <v>293359.56224817602</v>
      </c>
      <c r="D7273" s="56">
        <v>8.8326864601278296E-2</v>
      </c>
      <c r="E7273" s="224" t="s">
        <v>2</v>
      </c>
      <c r="F7273" s="515" t="s">
        <v>8490</v>
      </c>
      <c r="G7273" s="52">
        <v>152338.61328818899</v>
      </c>
      <c r="H7273" s="56">
        <v>8.0166039220827573E-2</v>
      </c>
      <c r="I7273" s="224" t="s">
        <v>2</v>
      </c>
    </row>
    <row r="7274" spans="1:9" x14ac:dyDescent="0.25">
      <c r="A7274" s="515">
        <v>79935</v>
      </c>
      <c r="B7274" s="515" t="s">
        <v>1119</v>
      </c>
      <c r="C7274" s="52">
        <v>210223.34975085899</v>
      </c>
      <c r="D7274" s="56">
        <v>9.5040210202983227E-2</v>
      </c>
      <c r="E7274" s="224">
        <v>1143.7222222222199</v>
      </c>
      <c r="F7274" s="515" t="s">
        <v>8491</v>
      </c>
      <c r="G7274" s="52">
        <v>478663.761393325</v>
      </c>
      <c r="H7274" s="56">
        <v>0.10401634067688981</v>
      </c>
      <c r="I7274" s="224" t="s">
        <v>2</v>
      </c>
    </row>
    <row r="7275" spans="1:9" x14ac:dyDescent="0.25">
      <c r="A7275" s="515">
        <v>16504</v>
      </c>
      <c r="B7275" s="515" t="s">
        <v>753</v>
      </c>
      <c r="C7275" s="52">
        <v>116738.655258983</v>
      </c>
      <c r="D7275" s="56">
        <v>0.11992084854777454</v>
      </c>
      <c r="E7275" s="224">
        <v>1237.5</v>
      </c>
      <c r="F7275" s="515" t="s">
        <v>8492</v>
      </c>
      <c r="G7275" s="52">
        <v>277604.66277619102</v>
      </c>
      <c r="H7275" s="56">
        <v>0.11662315222360621</v>
      </c>
      <c r="I7275" s="224" t="s">
        <v>2</v>
      </c>
    </row>
    <row r="7276" spans="1:9" x14ac:dyDescent="0.25">
      <c r="A7276" s="515">
        <v>85650</v>
      </c>
      <c r="B7276" s="515" t="s">
        <v>374</v>
      </c>
      <c r="C7276" s="52">
        <v>332331.38290455501</v>
      </c>
      <c r="D7276" s="56">
        <v>5.4713761959337553E-2</v>
      </c>
      <c r="E7276" s="224" t="s">
        <v>2</v>
      </c>
      <c r="F7276" s="515" t="s">
        <v>8493</v>
      </c>
      <c r="G7276" s="52">
        <v>224766.618662333</v>
      </c>
      <c r="H7276" s="56">
        <v>3.9375859147408022E-2</v>
      </c>
      <c r="I7276" s="224" t="s">
        <v>2</v>
      </c>
    </row>
    <row r="7277" spans="1:9" x14ac:dyDescent="0.25">
      <c r="A7277" s="515">
        <v>23226</v>
      </c>
      <c r="B7277" s="515" t="s">
        <v>667</v>
      </c>
      <c r="C7277" s="52">
        <v>432463.39874151303</v>
      </c>
      <c r="D7277" s="56">
        <v>-2.9606042065255436E-3</v>
      </c>
      <c r="E7277" s="224">
        <v>1854.74603174603</v>
      </c>
      <c r="F7277" s="515" t="s">
        <v>8494</v>
      </c>
      <c r="G7277" s="52">
        <v>207460.360812623</v>
      </c>
      <c r="H7277" s="56">
        <v>5.1217162084069914E-2</v>
      </c>
      <c r="I7277" s="224" t="s">
        <v>2</v>
      </c>
    </row>
    <row r="7278" spans="1:9" x14ac:dyDescent="0.25">
      <c r="A7278" s="515">
        <v>75951</v>
      </c>
      <c r="C7278" s="52">
        <v>134246.816215539</v>
      </c>
      <c r="D7278" s="56">
        <v>-1.6070277172010299E-2</v>
      </c>
      <c r="E7278" s="224" t="s">
        <v>2</v>
      </c>
      <c r="F7278" s="515" t="s">
        <v>8495</v>
      </c>
      <c r="G7278" s="52">
        <v>84190.369612952403</v>
      </c>
      <c r="H7278" s="56">
        <v>0.13341866809877773</v>
      </c>
      <c r="I7278" s="224" t="s">
        <v>2</v>
      </c>
    </row>
    <row r="7279" spans="1:9" x14ac:dyDescent="0.25">
      <c r="A7279" s="515">
        <v>16127</v>
      </c>
      <c r="B7279" s="515" t="s">
        <v>397</v>
      </c>
      <c r="C7279" s="52">
        <v>180885.810683513</v>
      </c>
      <c r="D7279" s="56">
        <v>7.1907471089762871E-3</v>
      </c>
      <c r="E7279" s="224" t="s">
        <v>2</v>
      </c>
      <c r="F7279" s="515" t="s">
        <v>8496</v>
      </c>
      <c r="G7279" s="52">
        <v>228197.591353761</v>
      </c>
      <c r="H7279" s="56">
        <v>8.6475787810130503E-2</v>
      </c>
      <c r="I7279" s="224" t="s">
        <v>2</v>
      </c>
    </row>
    <row r="7280" spans="1:9" x14ac:dyDescent="0.25">
      <c r="A7280" s="515">
        <v>71801</v>
      </c>
      <c r="B7280" s="515" t="s">
        <v>764</v>
      </c>
      <c r="C7280" s="52">
        <v>92628.245185276101</v>
      </c>
      <c r="D7280" s="56">
        <v>3.3270472859928346E-2</v>
      </c>
      <c r="E7280" s="224" t="s">
        <v>2</v>
      </c>
      <c r="F7280" s="515" t="s">
        <v>8497</v>
      </c>
      <c r="G7280" s="52">
        <v>295678.96411479102</v>
      </c>
      <c r="H7280" s="56">
        <v>0.10846676002727398</v>
      </c>
      <c r="I7280" s="224" t="s">
        <v>2</v>
      </c>
    </row>
    <row r="7281" spans="1:9" x14ac:dyDescent="0.25">
      <c r="A7281" s="515">
        <v>10603</v>
      </c>
      <c r="B7281" s="515" t="s">
        <v>324</v>
      </c>
      <c r="C7281" s="52">
        <v>575738.12691611098</v>
      </c>
      <c r="D7281" s="56">
        <v>-4.7417840021896232E-3</v>
      </c>
      <c r="E7281" s="224" t="s">
        <v>2</v>
      </c>
      <c r="F7281" s="515" t="s">
        <v>8498</v>
      </c>
      <c r="G7281" s="52">
        <v>130286.175942207</v>
      </c>
      <c r="H7281" s="56">
        <v>7.0975255666276257E-2</v>
      </c>
      <c r="I7281" s="224" t="s">
        <v>2</v>
      </c>
    </row>
    <row r="7282" spans="1:9" x14ac:dyDescent="0.25">
      <c r="A7282" s="515">
        <v>60403</v>
      </c>
      <c r="B7282" s="515" t="s">
        <v>394</v>
      </c>
      <c r="C7282" s="52">
        <v>226199.04312576901</v>
      </c>
      <c r="D7282" s="56">
        <v>7.665835544921315E-2</v>
      </c>
      <c r="E7282" s="224">
        <v>1287.1111111111099</v>
      </c>
      <c r="F7282" s="515" t="s">
        <v>8499</v>
      </c>
      <c r="G7282" s="52">
        <v>257243.61465313399</v>
      </c>
      <c r="H7282" s="56">
        <v>0.12186180037890082</v>
      </c>
      <c r="I7282" s="224" t="s">
        <v>2</v>
      </c>
    </row>
    <row r="7283" spans="1:9" x14ac:dyDescent="0.25">
      <c r="A7283" s="515">
        <v>31220</v>
      </c>
      <c r="B7283" s="515" t="s">
        <v>995</v>
      </c>
      <c r="C7283" s="52">
        <v>210759.32786431801</v>
      </c>
      <c r="D7283" s="56">
        <v>0.13450555220235288</v>
      </c>
      <c r="E7283" s="224" t="s">
        <v>2</v>
      </c>
      <c r="F7283" s="515" t="s">
        <v>8500</v>
      </c>
      <c r="G7283" s="52">
        <v>221798.18432282799</v>
      </c>
      <c r="H7283" s="56">
        <v>0.14227192964759147</v>
      </c>
      <c r="I7283" s="224" t="s">
        <v>2</v>
      </c>
    </row>
    <row r="7284" spans="1:9" x14ac:dyDescent="0.25">
      <c r="A7284" s="515">
        <v>75143</v>
      </c>
      <c r="B7284" s="515" t="s">
        <v>458</v>
      </c>
      <c r="C7284" s="52">
        <v>267687.31436417799</v>
      </c>
      <c r="D7284" s="56">
        <v>6.9749524820985329E-2</v>
      </c>
      <c r="E7284" s="224" t="s">
        <v>2</v>
      </c>
      <c r="F7284" s="515" t="s">
        <v>8501</v>
      </c>
      <c r="G7284" s="52">
        <v>222948.99872183101</v>
      </c>
      <c r="H7284" s="56">
        <v>8.8056634423609975E-2</v>
      </c>
      <c r="I7284" s="224" t="s">
        <v>2</v>
      </c>
    </row>
    <row r="7285" spans="1:9" x14ac:dyDescent="0.25">
      <c r="A7285" s="515">
        <v>29631</v>
      </c>
      <c r="B7285" s="515" t="s">
        <v>613</v>
      </c>
      <c r="C7285" s="52">
        <v>349201.09251286398</v>
      </c>
      <c r="D7285" s="56">
        <v>0.12011073214211311</v>
      </c>
      <c r="E7285" s="224">
        <v>1161.6666666666599</v>
      </c>
      <c r="F7285" s="515" t="s">
        <v>8502</v>
      </c>
      <c r="G7285" s="52">
        <v>190211.51585741001</v>
      </c>
      <c r="H7285" s="56">
        <v>8.2080588307697627E-2</v>
      </c>
      <c r="I7285" s="224" t="s">
        <v>2</v>
      </c>
    </row>
    <row r="7286" spans="1:9" x14ac:dyDescent="0.25">
      <c r="A7286" s="515">
        <v>93402</v>
      </c>
      <c r="B7286" s="515" t="s">
        <v>959</v>
      </c>
      <c r="C7286" s="52">
        <v>785852.92544636701</v>
      </c>
      <c r="D7286" s="56">
        <v>4.9514684980530667E-2</v>
      </c>
      <c r="E7286" s="224" t="s">
        <v>2</v>
      </c>
      <c r="F7286" s="515" t="s">
        <v>8503</v>
      </c>
      <c r="G7286" s="52">
        <v>220653.91769864</v>
      </c>
      <c r="H7286" s="56">
        <v>0.14863203439741535</v>
      </c>
      <c r="I7286" s="224" t="s">
        <v>2</v>
      </c>
    </row>
    <row r="7287" spans="1:9" x14ac:dyDescent="0.25">
      <c r="A7287" s="515">
        <v>19707</v>
      </c>
      <c r="B7287" s="515" t="s">
        <v>294</v>
      </c>
      <c r="C7287" s="52">
        <v>517827.97310717701</v>
      </c>
      <c r="D7287" s="56">
        <v>6.6172365919903428E-2</v>
      </c>
      <c r="E7287" s="224" t="s">
        <v>2</v>
      </c>
      <c r="F7287" s="515" t="s">
        <v>8504</v>
      </c>
      <c r="G7287" s="52">
        <v>359545.91811759002</v>
      </c>
      <c r="H7287" s="56">
        <v>5.8218805777782816E-2</v>
      </c>
      <c r="I7287" s="224" t="s">
        <v>2</v>
      </c>
    </row>
    <row r="7288" spans="1:9" x14ac:dyDescent="0.25">
      <c r="A7288" s="515">
        <v>16148</v>
      </c>
      <c r="B7288" s="515" t="s">
        <v>397</v>
      </c>
      <c r="C7288" s="52">
        <v>179769.79679038</v>
      </c>
      <c r="D7288" s="56">
        <v>2.0280275590872494E-2</v>
      </c>
      <c r="E7288" s="224" t="s">
        <v>2</v>
      </c>
      <c r="F7288" s="515" t="s">
        <v>8505</v>
      </c>
      <c r="G7288" s="52">
        <v>170260.702862904</v>
      </c>
      <c r="H7288" s="56">
        <v>4.0466945530644387E-2</v>
      </c>
      <c r="I7288" s="224" t="s">
        <v>2</v>
      </c>
    </row>
    <row r="7289" spans="1:9" x14ac:dyDescent="0.25">
      <c r="A7289" s="515">
        <v>8062</v>
      </c>
      <c r="B7289" s="515" t="s">
        <v>294</v>
      </c>
      <c r="C7289" s="52">
        <v>491590.52803643298</v>
      </c>
      <c r="D7289" s="56">
        <v>8.366338694072277E-2</v>
      </c>
      <c r="E7289" s="224" t="s">
        <v>2</v>
      </c>
      <c r="F7289" s="515" t="s">
        <v>8051</v>
      </c>
      <c r="G7289" s="52">
        <v>378232.80938217102</v>
      </c>
      <c r="H7289" s="56">
        <v>2.0365027700214318E-2</v>
      </c>
      <c r="I7289" s="224" t="s">
        <v>2</v>
      </c>
    </row>
    <row r="7290" spans="1:9" x14ac:dyDescent="0.25">
      <c r="A7290" s="515">
        <v>75223</v>
      </c>
      <c r="B7290" s="515" t="s">
        <v>458</v>
      </c>
      <c r="C7290" s="52">
        <v>238149.38477392701</v>
      </c>
      <c r="D7290" s="56">
        <v>0.11134243994710642</v>
      </c>
      <c r="E7290" s="224">
        <v>2133.3333333333298</v>
      </c>
      <c r="F7290" s="515" t="s">
        <v>8506</v>
      </c>
      <c r="G7290" s="52">
        <v>358795.541179839</v>
      </c>
      <c r="H7290" s="56">
        <v>6.6966176004923508E-2</v>
      </c>
      <c r="I7290" s="224" t="s">
        <v>2</v>
      </c>
    </row>
    <row r="7291" spans="1:9" x14ac:dyDescent="0.25">
      <c r="A7291" s="515">
        <v>18969</v>
      </c>
      <c r="B7291" s="515" t="s">
        <v>294</v>
      </c>
      <c r="C7291" s="52">
        <v>362622.77922084101</v>
      </c>
      <c r="D7291" s="56">
        <v>9.0259436234677318E-2</v>
      </c>
      <c r="E7291" s="224" t="s">
        <v>2</v>
      </c>
      <c r="F7291" s="515" t="s">
        <v>8507</v>
      </c>
      <c r="G7291" s="52">
        <v>95503.943668614098</v>
      </c>
      <c r="H7291" s="56">
        <v>5.5507882676645588E-2</v>
      </c>
      <c r="I7291" s="224" t="s">
        <v>2</v>
      </c>
    </row>
    <row r="7292" spans="1:9" x14ac:dyDescent="0.25">
      <c r="A7292" s="515">
        <v>79412</v>
      </c>
      <c r="B7292" s="515" t="s">
        <v>354</v>
      </c>
      <c r="C7292" s="52">
        <v>122328.061660361</v>
      </c>
      <c r="D7292" s="56">
        <v>0.14528343680522554</v>
      </c>
      <c r="E7292" s="224">
        <v>851.27777777777703</v>
      </c>
      <c r="F7292" s="515" t="s">
        <v>8508</v>
      </c>
      <c r="G7292" s="52">
        <v>350036.78640432801</v>
      </c>
      <c r="H7292" s="56">
        <v>0.1376867414535044</v>
      </c>
      <c r="I7292" s="224" t="s">
        <v>2</v>
      </c>
    </row>
    <row r="7293" spans="1:9" x14ac:dyDescent="0.25">
      <c r="A7293" s="515">
        <v>38732</v>
      </c>
      <c r="B7293" s="515" t="s">
        <v>982</v>
      </c>
      <c r="C7293" s="52">
        <v>137529.68494627599</v>
      </c>
      <c r="D7293" s="56">
        <v>-5.5168745914623743E-2</v>
      </c>
      <c r="E7293" s="224" t="s">
        <v>2</v>
      </c>
      <c r="F7293" s="515" t="s">
        <v>426</v>
      </c>
      <c r="G7293" s="52">
        <v>160409.51820011201</v>
      </c>
      <c r="H7293" s="56">
        <v>5.478924557336258E-2</v>
      </c>
      <c r="I7293" s="224" t="s">
        <v>2</v>
      </c>
    </row>
    <row r="7294" spans="1:9" x14ac:dyDescent="0.25">
      <c r="A7294" s="515">
        <v>48393</v>
      </c>
      <c r="B7294" s="515" t="s">
        <v>685</v>
      </c>
      <c r="C7294" s="52">
        <v>336016.79650648503</v>
      </c>
      <c r="D7294" s="56">
        <v>3.1610453496275989E-2</v>
      </c>
      <c r="E7294" s="224" t="s">
        <v>2</v>
      </c>
      <c r="F7294" s="515" t="s">
        <v>8509</v>
      </c>
      <c r="G7294" s="52">
        <v>220071.752358347</v>
      </c>
      <c r="H7294" s="56">
        <v>6.9336662026082505E-2</v>
      </c>
      <c r="I7294" s="224" t="s">
        <v>2</v>
      </c>
    </row>
    <row r="7295" spans="1:9" x14ac:dyDescent="0.25">
      <c r="A7295" s="515">
        <v>6029</v>
      </c>
      <c r="B7295" s="515" t="s">
        <v>894</v>
      </c>
      <c r="C7295" s="52">
        <v>343297.34987939597</v>
      </c>
      <c r="D7295" s="56">
        <v>7.8727536893767977E-2</v>
      </c>
      <c r="E7295" s="224" t="s">
        <v>2</v>
      </c>
      <c r="F7295" s="515" t="s">
        <v>8510</v>
      </c>
      <c r="G7295" s="52">
        <v>119933.12471809601</v>
      </c>
      <c r="H7295" s="56">
        <v>0.16865123763231904</v>
      </c>
      <c r="I7295" s="224" t="s">
        <v>2</v>
      </c>
    </row>
    <row r="7296" spans="1:9" x14ac:dyDescent="0.25">
      <c r="A7296" s="515">
        <v>33701</v>
      </c>
      <c r="B7296" s="515" t="s">
        <v>461</v>
      </c>
      <c r="C7296" s="52">
        <v>660033.68649882497</v>
      </c>
      <c r="D7296" s="56">
        <v>0.13416043481401874</v>
      </c>
      <c r="E7296" s="224">
        <v>2483.6078431372498</v>
      </c>
      <c r="F7296" s="515" t="s">
        <v>8511</v>
      </c>
      <c r="G7296" s="52">
        <v>371194.37189975899</v>
      </c>
      <c r="H7296" s="56">
        <v>8.0975223094925025E-2</v>
      </c>
      <c r="I7296" s="224" t="s">
        <v>2</v>
      </c>
    </row>
    <row r="7297" spans="1:9" x14ac:dyDescent="0.25">
      <c r="A7297" s="515">
        <v>16046</v>
      </c>
      <c r="B7297" s="515" t="s">
        <v>297</v>
      </c>
      <c r="C7297" s="52">
        <v>435090.41019462998</v>
      </c>
      <c r="D7297" s="56">
        <v>5.4696446446053967E-2</v>
      </c>
      <c r="E7297" s="224">
        <v>2440</v>
      </c>
      <c r="F7297" s="515" t="s">
        <v>8512</v>
      </c>
      <c r="G7297" s="52">
        <v>297057.79445723398</v>
      </c>
      <c r="H7297" s="56">
        <v>3.1704687320306853E-2</v>
      </c>
      <c r="I7297" s="224" t="s">
        <v>2</v>
      </c>
    </row>
    <row r="7298" spans="1:9" x14ac:dyDescent="0.25">
      <c r="A7298" s="515">
        <v>52807</v>
      </c>
      <c r="B7298" s="515" t="s">
        <v>439</v>
      </c>
      <c r="C7298" s="52">
        <v>290842.623572885</v>
      </c>
      <c r="D7298" s="56">
        <v>5.7989443999848019E-2</v>
      </c>
      <c r="E7298" s="224">
        <v>766.66666666666595</v>
      </c>
      <c r="F7298" s="515" t="s">
        <v>8513</v>
      </c>
      <c r="G7298" s="52">
        <v>189614.157949196</v>
      </c>
      <c r="H7298" s="56">
        <v>8.0917244304962735E-2</v>
      </c>
      <c r="I7298" s="224" t="s">
        <v>2</v>
      </c>
    </row>
    <row r="7299" spans="1:9" x14ac:dyDescent="0.25">
      <c r="A7299" s="515">
        <v>14564</v>
      </c>
      <c r="B7299" s="515" t="s">
        <v>337</v>
      </c>
      <c r="C7299" s="52">
        <v>393094.71847552201</v>
      </c>
      <c r="D7299" s="56">
        <v>0.10103686695562375</v>
      </c>
      <c r="E7299" s="224">
        <v>1760</v>
      </c>
      <c r="F7299" s="515" t="s">
        <v>8514</v>
      </c>
      <c r="G7299" s="52">
        <v>130623.871346456</v>
      </c>
      <c r="H7299" s="56">
        <v>0.13877391087936899</v>
      </c>
      <c r="I7299" s="224" t="s">
        <v>2</v>
      </c>
    </row>
    <row r="7300" spans="1:9" x14ac:dyDescent="0.25">
      <c r="A7300" s="515">
        <v>8103</v>
      </c>
      <c r="B7300" s="515" t="s">
        <v>294</v>
      </c>
      <c r="C7300" s="52">
        <v>91619.169753698996</v>
      </c>
      <c r="D7300" s="56">
        <v>0.18261376500987303</v>
      </c>
      <c r="E7300" s="224" t="s">
        <v>2</v>
      </c>
      <c r="F7300" s="515" t="s">
        <v>8515</v>
      </c>
      <c r="G7300" s="52">
        <v>255069.46366101701</v>
      </c>
      <c r="H7300" s="56">
        <v>9.02009275619126E-2</v>
      </c>
      <c r="I7300" s="224" t="s">
        <v>2</v>
      </c>
    </row>
    <row r="7301" spans="1:9" x14ac:dyDescent="0.25">
      <c r="A7301" s="515">
        <v>34785</v>
      </c>
      <c r="B7301" s="515" t="s">
        <v>558</v>
      </c>
      <c r="C7301" s="52">
        <v>237598.88749542099</v>
      </c>
      <c r="D7301" s="56">
        <v>0.12055089518220942</v>
      </c>
      <c r="E7301" s="224">
        <v>1800.6666666666599</v>
      </c>
      <c r="F7301" s="515" t="s">
        <v>8516</v>
      </c>
      <c r="G7301" s="52">
        <v>88957.061718561104</v>
      </c>
      <c r="H7301" s="56">
        <v>1.3971644305259009E-2</v>
      </c>
      <c r="I7301" s="224" t="s">
        <v>2</v>
      </c>
    </row>
    <row r="7302" spans="1:9" x14ac:dyDescent="0.25">
      <c r="A7302" s="515">
        <v>1106</v>
      </c>
      <c r="B7302" s="515" t="s">
        <v>575</v>
      </c>
      <c r="C7302" s="52">
        <v>442763.64980360097</v>
      </c>
      <c r="D7302" s="56">
        <v>6.4004797828339774E-2</v>
      </c>
      <c r="E7302" s="224" t="s">
        <v>2</v>
      </c>
      <c r="F7302" s="515" t="s">
        <v>8517</v>
      </c>
      <c r="G7302" s="52">
        <v>416826.31318681297</v>
      </c>
      <c r="H7302" s="56">
        <v>0</v>
      </c>
      <c r="I7302" s="224" t="s">
        <v>2</v>
      </c>
    </row>
    <row r="7303" spans="1:9" x14ac:dyDescent="0.25">
      <c r="A7303" s="515">
        <v>48202</v>
      </c>
      <c r="B7303" s="515" t="s">
        <v>685</v>
      </c>
      <c r="C7303" s="52">
        <v>201734.70327106799</v>
      </c>
      <c r="D7303" s="56">
        <v>-5.1996086303199643E-2</v>
      </c>
      <c r="E7303" s="224">
        <v>1391.1111111111099</v>
      </c>
      <c r="F7303" s="515" t="s">
        <v>8518</v>
      </c>
      <c r="G7303" s="52">
        <v>127736.011917221</v>
      </c>
      <c r="H7303" s="56">
        <v>7.8245104798592938E-2</v>
      </c>
      <c r="I7303" s="224" t="s">
        <v>2</v>
      </c>
    </row>
    <row r="7304" spans="1:9" x14ac:dyDescent="0.25">
      <c r="A7304" s="515">
        <v>33602</v>
      </c>
      <c r="B7304" s="515" t="s">
        <v>461</v>
      </c>
      <c r="C7304" s="52">
        <v>540496.46036575199</v>
      </c>
      <c r="D7304" s="56">
        <v>0.13141146131148193</v>
      </c>
      <c r="E7304" s="224">
        <v>2599.6347985347902</v>
      </c>
      <c r="F7304" s="515" t="s">
        <v>8519</v>
      </c>
      <c r="G7304" s="52">
        <v>125817.09758356299</v>
      </c>
      <c r="H7304" s="56">
        <v>9.4199772041374849E-2</v>
      </c>
      <c r="I7304" s="224" t="s">
        <v>2</v>
      </c>
    </row>
    <row r="7305" spans="1:9" x14ac:dyDescent="0.25">
      <c r="A7305" s="515">
        <v>10805</v>
      </c>
      <c r="B7305" s="515" t="s">
        <v>324</v>
      </c>
      <c r="C7305" s="52">
        <v>572173.36862559395</v>
      </c>
      <c r="D7305" s="56">
        <v>-6.49662408999825E-2</v>
      </c>
      <c r="E7305" s="224">
        <v>2073</v>
      </c>
      <c r="F7305" s="515" t="s">
        <v>8520</v>
      </c>
      <c r="G7305" s="52">
        <v>287944.50924018398</v>
      </c>
      <c r="H7305" s="56">
        <v>3.2634713886640812E-2</v>
      </c>
      <c r="I7305" s="224" t="s">
        <v>2</v>
      </c>
    </row>
    <row r="7306" spans="1:9" x14ac:dyDescent="0.25">
      <c r="A7306" s="515">
        <v>62966</v>
      </c>
      <c r="B7306" s="515" t="s">
        <v>471</v>
      </c>
      <c r="C7306" s="52">
        <v>86051.747539780205</v>
      </c>
      <c r="D7306" s="56">
        <v>3.4850782240393882E-2</v>
      </c>
      <c r="E7306" s="224" t="s">
        <v>2</v>
      </c>
      <c r="F7306" s="515" t="s">
        <v>8521</v>
      </c>
      <c r="G7306" s="52">
        <v>190486.55486956099</v>
      </c>
      <c r="H7306" s="56">
        <v>9.1482833001832783E-2</v>
      </c>
      <c r="I7306" s="224" t="s">
        <v>2</v>
      </c>
    </row>
    <row r="7307" spans="1:9" x14ac:dyDescent="0.25">
      <c r="A7307" s="515">
        <v>48342</v>
      </c>
      <c r="B7307" s="515" t="s">
        <v>685</v>
      </c>
      <c r="C7307" s="52">
        <v>99942.737617188803</v>
      </c>
      <c r="D7307" s="56">
        <v>0.14486105432703864</v>
      </c>
      <c r="E7307" s="224" t="s">
        <v>2</v>
      </c>
      <c r="F7307" s="515" t="s">
        <v>8522</v>
      </c>
      <c r="G7307" s="52">
        <v>424519.28555527597</v>
      </c>
      <c r="H7307" s="56">
        <v>0.12229793432280317</v>
      </c>
      <c r="I7307" s="224" t="s">
        <v>2</v>
      </c>
    </row>
    <row r="7308" spans="1:9" x14ac:dyDescent="0.25">
      <c r="A7308" s="515">
        <v>24014</v>
      </c>
      <c r="B7308" s="515" t="s">
        <v>861</v>
      </c>
      <c r="C7308" s="52">
        <v>233170.61533759299</v>
      </c>
      <c r="D7308" s="56">
        <v>0.10845792832663829</v>
      </c>
      <c r="E7308" s="224" t="s">
        <v>2</v>
      </c>
      <c r="F7308" s="515" t="s">
        <v>8523</v>
      </c>
      <c r="G7308" s="52">
        <v>260063.70909090899</v>
      </c>
      <c r="H7308" s="56">
        <v>0</v>
      </c>
      <c r="I7308" s="224" t="s">
        <v>2</v>
      </c>
    </row>
    <row r="7309" spans="1:9" x14ac:dyDescent="0.25">
      <c r="A7309" s="515">
        <v>45640</v>
      </c>
      <c r="B7309" s="515" t="s">
        <v>381</v>
      </c>
      <c r="C7309" s="52">
        <v>145007.00307796401</v>
      </c>
      <c r="D7309" s="56">
        <v>6.6068578613610041E-2</v>
      </c>
      <c r="E7309" s="224" t="s">
        <v>2</v>
      </c>
      <c r="F7309" s="515" t="s">
        <v>8524</v>
      </c>
      <c r="G7309" s="52">
        <v>216709.33573033099</v>
      </c>
      <c r="H7309" s="56">
        <v>8.5891724903362193E-2</v>
      </c>
      <c r="I7309" s="224" t="s">
        <v>2</v>
      </c>
    </row>
    <row r="7310" spans="1:9" x14ac:dyDescent="0.25">
      <c r="A7310" s="515">
        <v>71909</v>
      </c>
      <c r="B7310" s="515" t="s">
        <v>393</v>
      </c>
      <c r="C7310" s="52">
        <v>278203.17499458801</v>
      </c>
      <c r="D7310" s="56">
        <v>0.11159623298782463</v>
      </c>
      <c r="E7310" s="224" t="s">
        <v>2</v>
      </c>
      <c r="F7310" s="515" t="s">
        <v>8525</v>
      </c>
      <c r="G7310" s="52">
        <v>150715.48340478801</v>
      </c>
      <c r="H7310" s="56">
        <v>-3.0344701550671319E-3</v>
      </c>
      <c r="I7310" s="224" t="s">
        <v>2</v>
      </c>
    </row>
    <row r="7311" spans="1:9" x14ac:dyDescent="0.25">
      <c r="A7311" s="515">
        <v>38112</v>
      </c>
      <c r="B7311" s="515" t="s">
        <v>951</v>
      </c>
      <c r="C7311" s="52">
        <v>131574.14317510801</v>
      </c>
      <c r="D7311" s="56">
        <v>0.10501429986952966</v>
      </c>
      <c r="E7311" s="224">
        <v>1077.7777777777701</v>
      </c>
      <c r="F7311" s="515" t="s">
        <v>8526</v>
      </c>
      <c r="G7311" s="52">
        <v>204958.149755886</v>
      </c>
      <c r="H7311" s="56">
        <v>8.4069761897879278E-2</v>
      </c>
      <c r="I7311" s="224" t="s">
        <v>2</v>
      </c>
    </row>
    <row r="7312" spans="1:9" x14ac:dyDescent="0.25">
      <c r="A7312" s="515">
        <v>75474</v>
      </c>
      <c r="B7312" s="515" t="s">
        <v>458</v>
      </c>
      <c r="C7312" s="52">
        <v>242617.267356108</v>
      </c>
      <c r="D7312" s="56">
        <v>9.4687072754359614E-2</v>
      </c>
      <c r="E7312" s="224" t="s">
        <v>2</v>
      </c>
      <c r="F7312" s="515" t="s">
        <v>8527</v>
      </c>
      <c r="G7312" s="52">
        <v>98894.697855750404</v>
      </c>
      <c r="H7312" s="56">
        <v>0</v>
      </c>
      <c r="I7312" s="224" t="s">
        <v>2</v>
      </c>
    </row>
    <row r="7313" spans="1:9" x14ac:dyDescent="0.25">
      <c r="A7313" s="515">
        <v>76103</v>
      </c>
      <c r="B7313" s="515" t="s">
        <v>458</v>
      </c>
      <c r="C7313" s="52">
        <v>221500.695293989</v>
      </c>
      <c r="D7313" s="56">
        <v>0.15311313129385121</v>
      </c>
      <c r="E7313" s="224" t="s">
        <v>2</v>
      </c>
      <c r="F7313" s="515" t="s">
        <v>8528</v>
      </c>
      <c r="G7313" s="52">
        <v>499877.53259661299</v>
      </c>
      <c r="H7313" s="56">
        <v>3.2282900466520943E-2</v>
      </c>
      <c r="I7313" s="224">
        <v>1816.6111111111099</v>
      </c>
    </row>
    <row r="7314" spans="1:9" x14ac:dyDescent="0.25">
      <c r="A7314" s="515">
        <v>29920</v>
      </c>
      <c r="B7314" s="515" t="s">
        <v>734</v>
      </c>
      <c r="C7314" s="52">
        <v>506509.94118412503</v>
      </c>
      <c r="D7314" s="56">
        <v>0.16004614943965148</v>
      </c>
      <c r="E7314" s="224" t="s">
        <v>2</v>
      </c>
      <c r="F7314" s="515" t="s">
        <v>8529</v>
      </c>
      <c r="G7314" s="52">
        <v>586728.99526477698</v>
      </c>
      <c r="H7314" s="56">
        <v>3.6350791249003318E-2</v>
      </c>
      <c r="I7314" s="224" t="s">
        <v>2</v>
      </c>
    </row>
    <row r="7315" spans="1:9" x14ac:dyDescent="0.25">
      <c r="A7315" s="515">
        <v>41001</v>
      </c>
      <c r="B7315" s="515" t="s">
        <v>344</v>
      </c>
      <c r="C7315" s="52">
        <v>272426.68302288098</v>
      </c>
      <c r="D7315" s="56">
        <v>5.6400329183436203E-2</v>
      </c>
      <c r="E7315" s="224" t="s">
        <v>2</v>
      </c>
      <c r="F7315" s="515" t="s">
        <v>8530</v>
      </c>
      <c r="G7315" s="52">
        <v>278649.82136894698</v>
      </c>
      <c r="H7315" s="56">
        <v>9.5606712562644983E-2</v>
      </c>
      <c r="I7315" s="224" t="s">
        <v>2</v>
      </c>
    </row>
    <row r="7316" spans="1:9" x14ac:dyDescent="0.25">
      <c r="A7316" s="515">
        <v>46992</v>
      </c>
      <c r="B7316" s="515" t="s">
        <v>435</v>
      </c>
      <c r="C7316" s="52">
        <v>142625.63486048399</v>
      </c>
      <c r="D7316" s="56">
        <v>8.6747820038560602E-2</v>
      </c>
      <c r="E7316" s="224" t="s">
        <v>2</v>
      </c>
      <c r="F7316" s="515" t="s">
        <v>8531</v>
      </c>
      <c r="G7316" s="52">
        <v>327843.48324357899</v>
      </c>
      <c r="H7316" s="56">
        <v>8.2868123494632934E-2</v>
      </c>
      <c r="I7316" s="224" t="s">
        <v>2</v>
      </c>
    </row>
    <row r="7317" spans="1:9" x14ac:dyDescent="0.25">
      <c r="A7317" s="515">
        <v>64110</v>
      </c>
      <c r="B7317" s="515" t="s">
        <v>455</v>
      </c>
      <c r="C7317" s="52">
        <v>225606.134842895</v>
      </c>
      <c r="D7317" s="56">
        <v>5.4346847940374768E-2</v>
      </c>
      <c r="E7317" s="224">
        <v>1184.5238095238001</v>
      </c>
      <c r="F7317" s="515" t="s">
        <v>8532</v>
      </c>
      <c r="G7317" s="52">
        <v>218833.811414105</v>
      </c>
      <c r="H7317" s="56">
        <v>5.037585568129007E-2</v>
      </c>
      <c r="I7317" s="224" t="s">
        <v>2</v>
      </c>
    </row>
    <row r="7318" spans="1:9" x14ac:dyDescent="0.25">
      <c r="A7318" s="515">
        <v>78620</v>
      </c>
      <c r="B7318" s="515" t="s">
        <v>380</v>
      </c>
      <c r="C7318" s="52">
        <v>740744.42804035696</v>
      </c>
      <c r="D7318" s="56">
        <v>4.8267533991365456E-2</v>
      </c>
      <c r="E7318" s="224">
        <v>1757.5</v>
      </c>
      <c r="F7318" s="515" t="s">
        <v>8533</v>
      </c>
      <c r="G7318" s="52">
        <v>646100.91299361503</v>
      </c>
      <c r="H7318" s="56">
        <v>9.0803132063272909E-2</v>
      </c>
      <c r="I7318" s="224" t="s">
        <v>2</v>
      </c>
    </row>
    <row r="7319" spans="1:9" x14ac:dyDescent="0.25">
      <c r="A7319" s="515">
        <v>86404</v>
      </c>
      <c r="B7319" s="515" t="s">
        <v>453</v>
      </c>
      <c r="C7319" s="52">
        <v>490188.70491535898</v>
      </c>
      <c r="D7319" s="56">
        <v>4.6591084381816236E-2</v>
      </c>
      <c r="E7319" s="224" t="s">
        <v>2</v>
      </c>
      <c r="F7319" s="515" t="s">
        <v>8534</v>
      </c>
      <c r="G7319" s="52">
        <v>332700.17675236001</v>
      </c>
      <c r="H7319" s="56">
        <v>8.0843916149295536E-2</v>
      </c>
      <c r="I7319" s="224" t="s">
        <v>2</v>
      </c>
    </row>
    <row r="7320" spans="1:9" x14ac:dyDescent="0.25">
      <c r="A7320" s="515">
        <v>64505</v>
      </c>
      <c r="B7320" s="515" t="s">
        <v>371</v>
      </c>
      <c r="C7320" s="52">
        <v>153154.669652966</v>
      </c>
      <c r="D7320" s="56">
        <v>2.540657238539968E-2</v>
      </c>
      <c r="E7320" s="224" t="s">
        <v>2</v>
      </c>
      <c r="F7320" s="515" t="s">
        <v>8535</v>
      </c>
      <c r="G7320" s="52">
        <v>233839.306055953</v>
      </c>
      <c r="H7320" s="56">
        <v>5.901835918536489E-2</v>
      </c>
      <c r="I7320" s="224" t="s">
        <v>2</v>
      </c>
    </row>
    <row r="7321" spans="1:9" x14ac:dyDescent="0.25">
      <c r="A7321" s="515">
        <v>75672</v>
      </c>
      <c r="B7321" s="515" t="s">
        <v>319</v>
      </c>
      <c r="C7321" s="52">
        <v>174972.88627718799</v>
      </c>
      <c r="D7321" s="56">
        <v>2.1483491390106229E-2</v>
      </c>
      <c r="E7321" s="224" t="s">
        <v>2</v>
      </c>
      <c r="F7321" s="515" t="s">
        <v>8536</v>
      </c>
      <c r="G7321" s="52">
        <v>964242.98937466799</v>
      </c>
      <c r="H7321" s="56">
        <v>7.8368716852795853E-2</v>
      </c>
      <c r="I7321" s="224">
        <v>4000</v>
      </c>
    </row>
    <row r="7322" spans="1:9" x14ac:dyDescent="0.25">
      <c r="A7322" s="515">
        <v>75407</v>
      </c>
      <c r="B7322" s="515" t="s">
        <v>458</v>
      </c>
      <c r="C7322" s="52">
        <v>343947.44528850401</v>
      </c>
      <c r="D7322" s="56">
        <v>8.5699764262434155E-2</v>
      </c>
      <c r="E7322" s="224">
        <v>2149.7777777777701</v>
      </c>
      <c r="F7322" s="515" t="s">
        <v>8537</v>
      </c>
      <c r="G7322" s="52">
        <v>189965.81019551901</v>
      </c>
      <c r="H7322" s="56">
        <v>0.11389431803465408</v>
      </c>
      <c r="I7322" s="224" t="s">
        <v>2</v>
      </c>
    </row>
    <row r="7323" spans="1:9" x14ac:dyDescent="0.25">
      <c r="A7323" s="515">
        <v>16117</v>
      </c>
      <c r="B7323" s="515" t="s">
        <v>652</v>
      </c>
      <c r="C7323" s="52">
        <v>137211.22488226299</v>
      </c>
      <c r="D7323" s="56">
        <v>7.7289497102091667E-2</v>
      </c>
      <c r="E7323" s="224" t="s">
        <v>2</v>
      </c>
      <c r="F7323" s="515" t="s">
        <v>8538</v>
      </c>
      <c r="G7323" s="52">
        <v>235192.963237663</v>
      </c>
      <c r="H7323" s="56">
        <v>6.2208311679042234E-2</v>
      </c>
      <c r="I7323" s="224" t="s">
        <v>2</v>
      </c>
    </row>
    <row r="7324" spans="1:9" x14ac:dyDescent="0.25">
      <c r="A7324" s="515">
        <v>21074</v>
      </c>
      <c r="B7324" s="515" t="s">
        <v>582</v>
      </c>
      <c r="C7324" s="52">
        <v>361858.98905096401</v>
      </c>
      <c r="D7324" s="56">
        <v>2.1274703964804971E-2</v>
      </c>
      <c r="E7324" s="224" t="s">
        <v>2</v>
      </c>
      <c r="F7324" s="515" t="s">
        <v>8539</v>
      </c>
      <c r="G7324" s="52">
        <v>275478.83067270002</v>
      </c>
      <c r="H7324" s="56">
        <v>8.2573669134586136E-2</v>
      </c>
      <c r="I7324" s="224" t="s">
        <v>2</v>
      </c>
    </row>
    <row r="7325" spans="1:9" x14ac:dyDescent="0.25">
      <c r="A7325" s="515">
        <v>48855</v>
      </c>
      <c r="B7325" s="515" t="s">
        <v>685</v>
      </c>
      <c r="C7325" s="52">
        <v>325454.390878162</v>
      </c>
      <c r="D7325" s="56">
        <v>5.4199952283949207E-2</v>
      </c>
      <c r="E7325" s="224" t="s">
        <v>2</v>
      </c>
      <c r="F7325" s="515" t="s">
        <v>8540</v>
      </c>
      <c r="G7325" s="52">
        <v>204183.426221231</v>
      </c>
      <c r="H7325" s="56">
        <v>8.6637811901350489E-2</v>
      </c>
      <c r="I7325" s="224" t="s">
        <v>2</v>
      </c>
    </row>
    <row r="7326" spans="1:9" x14ac:dyDescent="0.25">
      <c r="A7326" s="515">
        <v>44089</v>
      </c>
      <c r="B7326" s="515" t="s">
        <v>712</v>
      </c>
      <c r="C7326" s="52">
        <v>211259.960184639</v>
      </c>
      <c r="D7326" s="56">
        <v>6.7479380659400401E-2</v>
      </c>
      <c r="E7326" s="224" t="s">
        <v>2</v>
      </c>
      <c r="F7326" s="515" t="s">
        <v>8541</v>
      </c>
      <c r="G7326" s="52">
        <v>124930.438958516</v>
      </c>
      <c r="H7326" s="56">
        <v>0.22651427832918708</v>
      </c>
      <c r="I7326" s="224" t="s">
        <v>2</v>
      </c>
    </row>
    <row r="7327" spans="1:9" x14ac:dyDescent="0.25">
      <c r="A7327" s="515">
        <v>71923</v>
      </c>
      <c r="B7327" s="515" t="s">
        <v>1073</v>
      </c>
      <c r="C7327" s="52">
        <v>146535.47326514201</v>
      </c>
      <c r="D7327" s="56">
        <v>7.3432592307259861E-2</v>
      </c>
      <c r="E7327" s="224" t="s">
        <v>2</v>
      </c>
      <c r="F7327" s="515" t="s">
        <v>8542</v>
      </c>
      <c r="G7327" s="52">
        <v>366830.318181818</v>
      </c>
      <c r="H7327" s="56">
        <v>0</v>
      </c>
      <c r="I7327" s="224" t="s">
        <v>2</v>
      </c>
    </row>
    <row r="7328" spans="1:9" x14ac:dyDescent="0.25">
      <c r="A7328" s="515">
        <v>21704</v>
      </c>
      <c r="B7328" s="515" t="s">
        <v>321</v>
      </c>
      <c r="C7328" s="52">
        <v>587732.40693339298</v>
      </c>
      <c r="D7328" s="56">
        <v>6.901472043756128E-2</v>
      </c>
      <c r="E7328" s="224">
        <v>2225.1666666666601</v>
      </c>
      <c r="F7328" s="515" t="s">
        <v>8543</v>
      </c>
      <c r="G7328" s="52">
        <v>83056.932515588604</v>
      </c>
      <c r="H7328" s="56">
        <v>0.10504078652048431</v>
      </c>
      <c r="I7328" s="224" t="s">
        <v>2</v>
      </c>
    </row>
    <row r="7329" spans="1:9" x14ac:dyDescent="0.25">
      <c r="A7329" s="515">
        <v>78416</v>
      </c>
      <c r="B7329" s="515" t="s">
        <v>415</v>
      </c>
      <c r="C7329" s="52">
        <v>100743.48439722</v>
      </c>
      <c r="D7329" s="56">
        <v>-4.1881701710753663E-3</v>
      </c>
      <c r="E7329" s="224" t="s">
        <v>2</v>
      </c>
      <c r="F7329" s="515" t="s">
        <v>8544</v>
      </c>
      <c r="G7329" s="52">
        <v>592586.15287527395</v>
      </c>
      <c r="H7329" s="56">
        <v>3.5902969848613409E-2</v>
      </c>
      <c r="I7329" s="224" t="s">
        <v>2</v>
      </c>
    </row>
    <row r="7330" spans="1:9" x14ac:dyDescent="0.25">
      <c r="A7330" s="515">
        <v>64127</v>
      </c>
      <c r="B7330" s="515" t="s">
        <v>455</v>
      </c>
      <c r="C7330" s="52">
        <v>84181.169877032502</v>
      </c>
      <c r="D7330" s="56">
        <v>0.28706467614401815</v>
      </c>
      <c r="E7330" s="224">
        <v>1016.66666666666</v>
      </c>
      <c r="F7330" s="515" t="s">
        <v>8545</v>
      </c>
      <c r="G7330" s="52">
        <v>177968.00343165299</v>
      </c>
      <c r="H7330" s="56">
        <v>5.5339564939574384E-2</v>
      </c>
      <c r="I7330" s="224" t="s">
        <v>2</v>
      </c>
    </row>
    <row r="7331" spans="1:9" x14ac:dyDescent="0.25">
      <c r="A7331" s="515">
        <v>42754</v>
      </c>
      <c r="C7331" s="52">
        <v>163941.33130697801</v>
      </c>
      <c r="D7331" s="56">
        <v>8.4962805771936697E-2</v>
      </c>
      <c r="E7331" s="224" t="s">
        <v>2</v>
      </c>
      <c r="F7331" s="515" t="s">
        <v>8546</v>
      </c>
      <c r="G7331" s="52">
        <v>275866.78246801801</v>
      </c>
      <c r="H7331" s="56">
        <v>0.14443331302693979</v>
      </c>
      <c r="I7331" s="224" t="s">
        <v>2</v>
      </c>
    </row>
    <row r="7332" spans="1:9" x14ac:dyDescent="0.25">
      <c r="A7332" s="515">
        <v>82414</v>
      </c>
      <c r="C7332" s="52">
        <v>439336.09836782998</v>
      </c>
      <c r="D7332" s="56">
        <v>8.4947978220463086E-2</v>
      </c>
      <c r="E7332" s="224" t="s">
        <v>2</v>
      </c>
      <c r="F7332" s="515" t="s">
        <v>8547</v>
      </c>
      <c r="G7332" s="52">
        <v>295521.10333061102</v>
      </c>
      <c r="H7332" s="56">
        <v>8.2322275192574706E-2</v>
      </c>
      <c r="I7332" s="224" t="s">
        <v>2</v>
      </c>
    </row>
    <row r="7333" spans="1:9" x14ac:dyDescent="0.25">
      <c r="A7333" s="515">
        <v>5301</v>
      </c>
      <c r="C7333" s="52">
        <v>309445.80522773199</v>
      </c>
      <c r="D7333" s="56">
        <v>6.4189327261076332E-2</v>
      </c>
      <c r="E7333" s="224" t="s">
        <v>2</v>
      </c>
      <c r="F7333" s="515" t="s">
        <v>8548</v>
      </c>
      <c r="G7333" s="52">
        <v>303320.76646500302</v>
      </c>
      <c r="H7333" s="56">
        <v>2.8642522829343143E-2</v>
      </c>
      <c r="I7333" s="224" t="s">
        <v>2</v>
      </c>
    </row>
    <row r="7334" spans="1:9" x14ac:dyDescent="0.25">
      <c r="A7334" s="515">
        <v>20816</v>
      </c>
      <c r="B7334" s="515" t="s">
        <v>321</v>
      </c>
      <c r="C7334" s="52">
        <v>1210022.4493015599</v>
      </c>
      <c r="D7334" s="56">
        <v>3.0476385067464105E-2</v>
      </c>
      <c r="E7334" s="224">
        <v>2284</v>
      </c>
      <c r="F7334" s="515" t="s">
        <v>8549</v>
      </c>
      <c r="G7334" s="52">
        <v>296543.54340531799</v>
      </c>
      <c r="H7334" s="56">
        <v>7.7429286753238499E-2</v>
      </c>
      <c r="I7334" s="224" t="s">
        <v>2</v>
      </c>
    </row>
    <row r="7335" spans="1:9" x14ac:dyDescent="0.25">
      <c r="A7335" s="515">
        <v>39204</v>
      </c>
      <c r="B7335" s="515" t="s">
        <v>851</v>
      </c>
      <c r="C7335" s="52">
        <v>44137.659739855902</v>
      </c>
      <c r="D7335" s="56">
        <v>6.3996093479876642E-2</v>
      </c>
      <c r="E7335" s="224">
        <v>956.66666666666595</v>
      </c>
      <c r="F7335" s="515" t="s">
        <v>8550</v>
      </c>
      <c r="G7335" s="52">
        <v>222408.97169038001</v>
      </c>
      <c r="H7335" s="56">
        <v>4.0824107440028977E-2</v>
      </c>
      <c r="I7335" s="224">
        <v>772.5</v>
      </c>
    </row>
    <row r="7336" spans="1:9" x14ac:dyDescent="0.25">
      <c r="A7336" s="515">
        <v>20866</v>
      </c>
      <c r="B7336" s="515" t="s">
        <v>321</v>
      </c>
      <c r="C7336" s="52">
        <v>421870.55798429903</v>
      </c>
      <c r="D7336" s="56">
        <v>3.5264352341076992E-2</v>
      </c>
      <c r="E7336" s="224">
        <v>2163.1666666666601</v>
      </c>
      <c r="F7336" s="515" t="s">
        <v>8551</v>
      </c>
      <c r="G7336" s="52">
        <v>286819.72764078103</v>
      </c>
      <c r="H7336" s="56">
        <v>0.11669417227795166</v>
      </c>
      <c r="I7336" s="224" t="s">
        <v>2</v>
      </c>
    </row>
    <row r="7337" spans="1:9" x14ac:dyDescent="0.25">
      <c r="A7337" s="515">
        <v>3055</v>
      </c>
      <c r="B7337" s="515" t="s">
        <v>996</v>
      </c>
      <c r="C7337" s="52">
        <v>410122.46664373</v>
      </c>
      <c r="D7337" s="56">
        <v>7.8079024883239992E-2</v>
      </c>
      <c r="E7337" s="224" t="s">
        <v>2</v>
      </c>
      <c r="F7337" s="515" t="s">
        <v>8552</v>
      </c>
      <c r="G7337" s="52">
        <v>166041.889130942</v>
      </c>
      <c r="H7337" s="56">
        <v>5.5983990862321933E-2</v>
      </c>
      <c r="I7337" s="224" t="s">
        <v>2</v>
      </c>
    </row>
    <row r="7338" spans="1:9" x14ac:dyDescent="0.25">
      <c r="A7338" s="515">
        <v>43146</v>
      </c>
      <c r="B7338" s="515" t="s">
        <v>345</v>
      </c>
      <c r="C7338" s="52">
        <v>311892.55026354903</v>
      </c>
      <c r="D7338" s="56">
        <v>9.9261553210417908E-2</v>
      </c>
      <c r="E7338" s="224" t="s">
        <v>2</v>
      </c>
      <c r="F7338" s="515" t="s">
        <v>8553</v>
      </c>
      <c r="G7338" s="52">
        <v>348790.635797353</v>
      </c>
      <c r="H7338" s="56">
        <v>0.13818209755805091</v>
      </c>
      <c r="I7338" s="224" t="s">
        <v>2</v>
      </c>
    </row>
    <row r="7339" spans="1:9" x14ac:dyDescent="0.25">
      <c r="A7339" s="515">
        <v>93728</v>
      </c>
      <c r="B7339" s="515" t="s">
        <v>541</v>
      </c>
      <c r="C7339" s="52">
        <v>273194.74839168502</v>
      </c>
      <c r="D7339" s="56">
        <v>8.001144807664537E-2</v>
      </c>
      <c r="E7339" s="224">
        <v>1417.7777777777701</v>
      </c>
      <c r="F7339" s="515" t="s">
        <v>8554</v>
      </c>
      <c r="G7339" s="52">
        <v>753109.64363636298</v>
      </c>
      <c r="H7339" s="56">
        <v>0</v>
      </c>
      <c r="I7339" s="224">
        <v>3345</v>
      </c>
    </row>
    <row r="7340" spans="1:9" x14ac:dyDescent="0.25">
      <c r="A7340" s="515">
        <v>99353</v>
      </c>
      <c r="B7340" s="515" t="s">
        <v>1068</v>
      </c>
      <c r="C7340" s="52">
        <v>472359.34469226998</v>
      </c>
      <c r="D7340" s="56">
        <v>4.4348112022795143E-2</v>
      </c>
      <c r="E7340" s="224" t="s">
        <v>2</v>
      </c>
      <c r="F7340" s="515" t="s">
        <v>8555</v>
      </c>
      <c r="G7340" s="52">
        <v>172301.547217407</v>
      </c>
      <c r="H7340" s="56">
        <v>0.13331447442038563</v>
      </c>
      <c r="I7340" s="224" t="s">
        <v>2</v>
      </c>
    </row>
    <row r="7341" spans="1:9" x14ac:dyDescent="0.25">
      <c r="A7341" s="515">
        <v>8215</v>
      </c>
      <c r="B7341" s="515" t="s">
        <v>800</v>
      </c>
      <c r="C7341" s="52">
        <v>264186.136702166</v>
      </c>
      <c r="D7341" s="56">
        <v>9.4400375461448027E-2</v>
      </c>
      <c r="E7341" s="224" t="s">
        <v>2</v>
      </c>
      <c r="F7341" s="515" t="s">
        <v>8556</v>
      </c>
      <c r="G7341" s="52">
        <v>234905.90247604501</v>
      </c>
      <c r="H7341" s="56">
        <v>5.9727066536610501E-2</v>
      </c>
      <c r="I7341" s="224" t="s">
        <v>2</v>
      </c>
    </row>
    <row r="7342" spans="1:9" x14ac:dyDescent="0.25">
      <c r="A7342" s="515">
        <v>13104</v>
      </c>
      <c r="B7342" s="515" t="s">
        <v>361</v>
      </c>
      <c r="C7342" s="52">
        <v>336844.72122265399</v>
      </c>
      <c r="D7342" s="56">
        <v>8.8605454461724589E-2</v>
      </c>
      <c r="E7342" s="224" t="s">
        <v>2</v>
      </c>
      <c r="F7342" s="515" t="s">
        <v>8557</v>
      </c>
      <c r="G7342" s="52">
        <v>434820.86880525597</v>
      </c>
      <c r="H7342" s="56">
        <v>1.5557968135914688E-2</v>
      </c>
      <c r="I7342" s="224" t="s">
        <v>2</v>
      </c>
    </row>
    <row r="7343" spans="1:9" x14ac:dyDescent="0.25">
      <c r="A7343" s="515">
        <v>7059</v>
      </c>
      <c r="B7343" s="515" t="s">
        <v>324</v>
      </c>
      <c r="C7343" s="52">
        <v>878435.54491357401</v>
      </c>
      <c r="D7343" s="56">
        <v>5.0759757215967476E-2</v>
      </c>
      <c r="E7343" s="224" t="s">
        <v>2</v>
      </c>
      <c r="F7343" s="515" t="s">
        <v>8558</v>
      </c>
      <c r="G7343" s="52">
        <v>662359.88563273405</v>
      </c>
      <c r="H7343" s="56">
        <v>-2.4905683431318795E-3</v>
      </c>
      <c r="I7343" s="224" t="s">
        <v>2</v>
      </c>
    </row>
    <row r="7344" spans="1:9" x14ac:dyDescent="0.25">
      <c r="A7344" s="515">
        <v>91208</v>
      </c>
      <c r="B7344" s="515" t="s">
        <v>375</v>
      </c>
      <c r="C7344" s="52">
        <v>1313467.93691623</v>
      </c>
      <c r="D7344" s="56">
        <v>4.4287229402632453E-2</v>
      </c>
      <c r="E7344" s="224">
        <v>3326.6666666666601</v>
      </c>
      <c r="F7344" s="515" t="s">
        <v>8559</v>
      </c>
      <c r="G7344" s="52">
        <v>179088.669937486</v>
      </c>
      <c r="H7344" s="56">
        <v>0.11884866441005831</v>
      </c>
      <c r="I7344" s="224" t="s">
        <v>2</v>
      </c>
    </row>
    <row r="7345" spans="1:9" x14ac:dyDescent="0.25">
      <c r="A7345" s="515">
        <v>48084</v>
      </c>
      <c r="B7345" s="515" t="s">
        <v>685</v>
      </c>
      <c r="C7345" s="52">
        <v>396836.00811376399</v>
      </c>
      <c r="D7345" s="56">
        <v>2.8587273625571306E-2</v>
      </c>
      <c r="E7345" s="224">
        <v>1497.56746031746</v>
      </c>
      <c r="F7345" s="515" t="s">
        <v>8560</v>
      </c>
      <c r="G7345" s="52">
        <v>814622.04550395103</v>
      </c>
      <c r="H7345" s="56">
        <v>4.4382967364788153E-2</v>
      </c>
      <c r="I7345" s="224" t="s">
        <v>2</v>
      </c>
    </row>
    <row r="7346" spans="1:9" x14ac:dyDescent="0.25">
      <c r="A7346" s="515">
        <v>30461</v>
      </c>
      <c r="B7346" s="515" t="s">
        <v>1108</v>
      </c>
      <c r="C7346" s="52">
        <v>254266.60932118</v>
      </c>
      <c r="D7346" s="56">
        <v>0.13178247184831607</v>
      </c>
      <c r="E7346" s="224" t="s">
        <v>2</v>
      </c>
      <c r="F7346" s="515" t="s">
        <v>8561</v>
      </c>
      <c r="G7346" s="52">
        <v>88988.668400023598</v>
      </c>
      <c r="H7346" s="56">
        <v>1.2416117129177569E-2</v>
      </c>
      <c r="I7346" s="224" t="s">
        <v>2</v>
      </c>
    </row>
    <row r="7347" spans="1:9" x14ac:dyDescent="0.25">
      <c r="A7347" s="515">
        <v>18706</v>
      </c>
      <c r="B7347" s="515" t="s">
        <v>512</v>
      </c>
      <c r="C7347" s="52">
        <v>126604.668718774</v>
      </c>
      <c r="D7347" s="56">
        <v>0.12844657915525695</v>
      </c>
      <c r="E7347" s="224" t="s">
        <v>2</v>
      </c>
      <c r="F7347" s="515" t="s">
        <v>8562</v>
      </c>
      <c r="G7347" s="52">
        <v>159545.91752826</v>
      </c>
      <c r="H7347" s="56">
        <v>4.259538455930522E-2</v>
      </c>
      <c r="I7347" s="224" t="s">
        <v>2</v>
      </c>
    </row>
    <row r="7348" spans="1:9" x14ac:dyDescent="0.25">
      <c r="A7348" s="515">
        <v>56258</v>
      </c>
      <c r="B7348" s="515" t="s">
        <v>708</v>
      </c>
      <c r="C7348" s="52">
        <v>205953.90612470001</v>
      </c>
      <c r="D7348" s="56">
        <v>4.0946969566941993E-2</v>
      </c>
      <c r="E7348" s="224" t="s">
        <v>2</v>
      </c>
      <c r="F7348" s="515" t="s">
        <v>8563</v>
      </c>
      <c r="G7348" s="52">
        <v>596930.18604458496</v>
      </c>
      <c r="H7348" s="56">
        <v>8.5563645834431268E-2</v>
      </c>
      <c r="I7348" s="224" t="s">
        <v>2</v>
      </c>
    </row>
    <row r="7349" spans="1:9" x14ac:dyDescent="0.25">
      <c r="A7349" s="515">
        <v>20639</v>
      </c>
      <c r="B7349" s="515" t="s">
        <v>321</v>
      </c>
      <c r="C7349" s="52">
        <v>545915.50273670105</v>
      </c>
      <c r="D7349" s="56">
        <v>1.9278467196706194E-2</v>
      </c>
      <c r="E7349" s="224" t="s">
        <v>2</v>
      </c>
      <c r="F7349" s="515" t="s">
        <v>8564</v>
      </c>
      <c r="G7349" s="52">
        <v>236028.544781576</v>
      </c>
      <c r="H7349" s="56">
        <v>6.9978474566460447E-2</v>
      </c>
      <c r="I7349" s="224" t="s">
        <v>2</v>
      </c>
    </row>
    <row r="7350" spans="1:9" x14ac:dyDescent="0.25">
      <c r="A7350" s="515">
        <v>77032</v>
      </c>
      <c r="B7350" s="515" t="s">
        <v>314</v>
      </c>
      <c r="C7350" s="52">
        <v>174835.344916856</v>
      </c>
      <c r="D7350" s="56">
        <v>0.16366228984070777</v>
      </c>
      <c r="E7350" s="224">
        <v>1547.94444444444</v>
      </c>
      <c r="F7350" s="515" t="s">
        <v>8565</v>
      </c>
      <c r="G7350" s="52">
        <v>253857.714538261</v>
      </c>
      <c r="H7350" s="56">
        <v>6.1337425939434823E-2</v>
      </c>
      <c r="I7350" s="224" t="s">
        <v>2</v>
      </c>
    </row>
    <row r="7351" spans="1:9" x14ac:dyDescent="0.25">
      <c r="A7351" s="515">
        <v>29624</v>
      </c>
      <c r="B7351" s="515" t="s">
        <v>613</v>
      </c>
      <c r="C7351" s="52">
        <v>99876.603422599699</v>
      </c>
      <c r="D7351" s="56">
        <v>0.14416643966817255</v>
      </c>
      <c r="E7351" s="224">
        <v>1040</v>
      </c>
      <c r="F7351" s="515" t="s">
        <v>8566</v>
      </c>
      <c r="G7351" s="52">
        <v>299628.64014057099</v>
      </c>
      <c r="H7351" s="56">
        <v>8.2331434584703073E-2</v>
      </c>
      <c r="I7351" s="224" t="s">
        <v>2</v>
      </c>
    </row>
    <row r="7352" spans="1:9" x14ac:dyDescent="0.25">
      <c r="A7352" s="515">
        <v>16648</v>
      </c>
      <c r="B7352" s="515" t="s">
        <v>1086</v>
      </c>
      <c r="C7352" s="52">
        <v>218359.32980041899</v>
      </c>
      <c r="D7352" s="56">
        <v>2.3046091945319432E-2</v>
      </c>
      <c r="E7352" s="224" t="s">
        <v>2</v>
      </c>
      <c r="F7352" s="515" t="s">
        <v>8567</v>
      </c>
      <c r="G7352" s="52">
        <v>186851.77992289999</v>
      </c>
      <c r="H7352" s="56">
        <v>2.8288208477124301E-2</v>
      </c>
      <c r="I7352" s="224" t="s">
        <v>2</v>
      </c>
    </row>
    <row r="7353" spans="1:9" x14ac:dyDescent="0.25">
      <c r="A7353" s="515">
        <v>33983</v>
      </c>
      <c r="B7353" s="515" t="s">
        <v>1030</v>
      </c>
      <c r="C7353" s="52">
        <v>362696.08511376701</v>
      </c>
      <c r="D7353" s="56">
        <v>0.13539053538931739</v>
      </c>
      <c r="E7353" s="224">
        <v>2440.8333333333298</v>
      </c>
      <c r="F7353" s="515" t="s">
        <v>8568</v>
      </c>
      <c r="G7353" s="52">
        <v>208306.08992676501</v>
      </c>
      <c r="H7353" s="56">
        <v>5.6698109803575723E-2</v>
      </c>
      <c r="I7353" s="224" t="s">
        <v>2</v>
      </c>
    </row>
    <row r="7354" spans="1:9" x14ac:dyDescent="0.25">
      <c r="A7354" s="515">
        <v>45426</v>
      </c>
      <c r="B7354" s="515" t="s">
        <v>340</v>
      </c>
      <c r="C7354" s="52">
        <v>133462.24181841299</v>
      </c>
      <c r="D7354" s="56">
        <v>0.13285439153564313</v>
      </c>
      <c r="E7354" s="224" t="s">
        <v>2</v>
      </c>
      <c r="F7354" s="515" t="s">
        <v>8569</v>
      </c>
      <c r="G7354" s="52">
        <v>168772.55475231301</v>
      </c>
      <c r="H7354" s="56">
        <v>6.2501912899015424E-2</v>
      </c>
      <c r="I7354" s="224" t="s">
        <v>2</v>
      </c>
    </row>
    <row r="7355" spans="1:9" x14ac:dyDescent="0.25">
      <c r="A7355" s="515">
        <v>16323</v>
      </c>
      <c r="B7355" s="515" t="s">
        <v>349</v>
      </c>
      <c r="C7355" s="52">
        <v>113978.186869856</v>
      </c>
      <c r="D7355" s="56">
        <v>0.11888911276214892</v>
      </c>
      <c r="E7355" s="224" t="s">
        <v>2</v>
      </c>
      <c r="F7355" s="515" t="s">
        <v>8570</v>
      </c>
      <c r="G7355" s="52">
        <v>392307.739280371</v>
      </c>
      <c r="H7355" s="56">
        <v>4.5278807263212248E-2</v>
      </c>
      <c r="I7355" s="224" t="s">
        <v>2</v>
      </c>
    </row>
    <row r="7356" spans="1:9" x14ac:dyDescent="0.25">
      <c r="A7356" s="515">
        <v>1864</v>
      </c>
      <c r="B7356" s="515" t="s">
        <v>534</v>
      </c>
      <c r="C7356" s="52">
        <v>722778.94192168803</v>
      </c>
      <c r="D7356" s="56">
        <v>6.9023147650220376E-3</v>
      </c>
      <c r="E7356" s="224" t="s">
        <v>2</v>
      </c>
      <c r="F7356" s="515" t="s">
        <v>8571</v>
      </c>
      <c r="G7356" s="52">
        <v>522115.30540465802</v>
      </c>
      <c r="H7356" s="56">
        <v>2.3898285036952498E-2</v>
      </c>
      <c r="I7356" s="224" t="s">
        <v>2</v>
      </c>
    </row>
    <row r="7357" spans="1:9" x14ac:dyDescent="0.25">
      <c r="A7357" s="515">
        <v>75235</v>
      </c>
      <c r="B7357" s="515" t="s">
        <v>458</v>
      </c>
      <c r="C7357" s="52">
        <v>242582.760492378</v>
      </c>
      <c r="D7357" s="56">
        <v>0.10237568147239288</v>
      </c>
      <c r="E7357" s="224">
        <v>1546.86428736428</v>
      </c>
      <c r="F7357" s="515" t="s">
        <v>8572</v>
      </c>
      <c r="G7357" s="52">
        <v>244526.503178438</v>
      </c>
      <c r="H7357" s="56">
        <v>0.10325706829229354</v>
      </c>
      <c r="I7357" s="224" t="s">
        <v>2</v>
      </c>
    </row>
    <row r="7358" spans="1:9" x14ac:dyDescent="0.25">
      <c r="A7358" s="515">
        <v>55346</v>
      </c>
      <c r="B7358" s="515" t="s">
        <v>532</v>
      </c>
      <c r="C7358" s="52">
        <v>435832.55672995298</v>
      </c>
      <c r="D7358" s="56">
        <v>3.6884951941006751E-2</v>
      </c>
      <c r="E7358" s="224">
        <v>2122.5</v>
      </c>
      <c r="F7358" s="515" t="s">
        <v>8573</v>
      </c>
      <c r="G7358" s="52">
        <v>238076.448652764</v>
      </c>
      <c r="H7358" s="56">
        <v>0.10527122786358736</v>
      </c>
      <c r="I7358" s="224">
        <v>1612.9166666666599</v>
      </c>
    </row>
    <row r="7359" spans="1:9" x14ac:dyDescent="0.25">
      <c r="A7359" s="515">
        <v>19123</v>
      </c>
      <c r="B7359" s="515" t="s">
        <v>294</v>
      </c>
      <c r="C7359" s="52">
        <v>431759.83305310598</v>
      </c>
      <c r="D7359" s="56">
        <v>-3.1167834606108627E-2</v>
      </c>
      <c r="E7359" s="224">
        <v>1984.78496732026</v>
      </c>
      <c r="F7359" s="515" t="s">
        <v>8574</v>
      </c>
      <c r="G7359" s="52">
        <v>476938.500190883</v>
      </c>
      <c r="H7359" s="56">
        <v>3.1538303701883333E-2</v>
      </c>
      <c r="I7359" s="224" t="s">
        <v>2</v>
      </c>
    </row>
    <row r="7360" spans="1:9" x14ac:dyDescent="0.25">
      <c r="A7360" s="515">
        <v>93923</v>
      </c>
      <c r="B7360" s="515" t="s">
        <v>443</v>
      </c>
      <c r="C7360" s="52">
        <v>1970549.59240914</v>
      </c>
      <c r="D7360" s="56">
        <v>5.8415163374047285E-2</v>
      </c>
      <c r="E7360" s="224" t="s">
        <v>2</v>
      </c>
      <c r="F7360" s="515" t="s">
        <v>8575</v>
      </c>
      <c r="G7360" s="52">
        <v>199192.16544070299</v>
      </c>
      <c r="H7360" s="56">
        <v>7.4050777146870111E-2</v>
      </c>
      <c r="I7360" s="224" t="s">
        <v>2</v>
      </c>
    </row>
    <row r="7361" spans="1:9" x14ac:dyDescent="0.25">
      <c r="A7361" s="515">
        <v>34442</v>
      </c>
      <c r="B7361" s="515" t="s">
        <v>1193</v>
      </c>
      <c r="C7361" s="52">
        <v>348652.50775849901</v>
      </c>
      <c r="D7361" s="56">
        <v>0.13311428264660113</v>
      </c>
      <c r="E7361" s="224">
        <v>1400</v>
      </c>
      <c r="F7361" s="515" t="s">
        <v>8576</v>
      </c>
      <c r="G7361" s="52">
        <v>164761.97988824101</v>
      </c>
      <c r="H7361" s="56">
        <v>5.9054804915019146E-2</v>
      </c>
      <c r="I7361" s="224" t="s">
        <v>2</v>
      </c>
    </row>
    <row r="7362" spans="1:9" x14ac:dyDescent="0.25">
      <c r="A7362" s="515">
        <v>31217</v>
      </c>
      <c r="B7362" s="515" t="s">
        <v>995</v>
      </c>
      <c r="C7362" s="52">
        <v>78868.199366928195</v>
      </c>
      <c r="D7362" s="56">
        <v>0.31776677707139378</v>
      </c>
      <c r="E7362" s="224" t="s">
        <v>2</v>
      </c>
      <c r="F7362" s="515" t="s">
        <v>8577</v>
      </c>
      <c r="G7362" s="52">
        <v>149786.11447002599</v>
      </c>
      <c r="H7362" s="56">
        <v>0.17574193719484912</v>
      </c>
      <c r="I7362" s="224" t="s">
        <v>2</v>
      </c>
    </row>
    <row r="7363" spans="1:9" x14ac:dyDescent="0.25">
      <c r="A7363" s="515">
        <v>63628</v>
      </c>
      <c r="B7363" s="515" t="s">
        <v>817</v>
      </c>
      <c r="C7363" s="52">
        <v>177045.674631131</v>
      </c>
      <c r="D7363" s="56">
        <v>6.9629770323070564E-2</v>
      </c>
      <c r="E7363" s="224" t="s">
        <v>2</v>
      </c>
      <c r="F7363" s="515" t="s">
        <v>8578</v>
      </c>
      <c r="G7363" s="52">
        <v>155331.72780248499</v>
      </c>
      <c r="H7363" s="56">
        <v>0.11534957945273044</v>
      </c>
      <c r="I7363" s="224" t="s">
        <v>2</v>
      </c>
    </row>
    <row r="7364" spans="1:9" x14ac:dyDescent="0.25">
      <c r="A7364" s="515">
        <v>13669</v>
      </c>
      <c r="B7364" s="515" t="s">
        <v>511</v>
      </c>
      <c r="C7364" s="52">
        <v>102265.002542193</v>
      </c>
      <c r="D7364" s="56">
        <v>8.7386662947642343E-2</v>
      </c>
      <c r="E7364" s="224" t="s">
        <v>2</v>
      </c>
      <c r="F7364" s="515" t="s">
        <v>8579</v>
      </c>
      <c r="G7364" s="52">
        <v>616835.88116507698</v>
      </c>
      <c r="H7364" s="56">
        <v>7.2653099480150321E-2</v>
      </c>
      <c r="I7364" s="224" t="s">
        <v>2</v>
      </c>
    </row>
    <row r="7365" spans="1:9" x14ac:dyDescent="0.25">
      <c r="A7365" s="515">
        <v>2719</v>
      </c>
      <c r="B7365" s="515" t="s">
        <v>513</v>
      </c>
      <c r="C7365" s="52">
        <v>417850.22560464201</v>
      </c>
      <c r="D7365" s="56">
        <v>8.8988975437688508E-2</v>
      </c>
      <c r="E7365" s="224" t="s">
        <v>2</v>
      </c>
      <c r="F7365" s="515" t="s">
        <v>8580</v>
      </c>
      <c r="G7365" s="52">
        <v>126740.593888891</v>
      </c>
      <c r="H7365" s="56">
        <v>9.5045544153675068E-2</v>
      </c>
      <c r="I7365" s="224" t="s">
        <v>2</v>
      </c>
    </row>
    <row r="7366" spans="1:9" x14ac:dyDescent="0.25">
      <c r="A7366" s="515">
        <v>97381</v>
      </c>
      <c r="B7366" s="515" t="s">
        <v>416</v>
      </c>
      <c r="C7366" s="52">
        <v>493385.05505853402</v>
      </c>
      <c r="D7366" s="56">
        <v>4.4424785269970006E-2</v>
      </c>
      <c r="E7366" s="224" t="s">
        <v>2</v>
      </c>
      <c r="F7366" s="515" t="s">
        <v>8581</v>
      </c>
      <c r="G7366" s="52">
        <v>84072.256578103101</v>
      </c>
      <c r="H7366" s="56">
        <v>-1.3993931559523352E-2</v>
      </c>
      <c r="I7366" s="224" t="s">
        <v>2</v>
      </c>
    </row>
    <row r="7367" spans="1:9" x14ac:dyDescent="0.25">
      <c r="A7367" s="515">
        <v>24740</v>
      </c>
      <c r="B7367" s="515" t="s">
        <v>306</v>
      </c>
      <c r="C7367" s="52">
        <v>125597.43359135299</v>
      </c>
      <c r="D7367" s="56">
        <v>0.17461587436356213</v>
      </c>
      <c r="E7367" s="224" t="s">
        <v>2</v>
      </c>
      <c r="F7367" s="515" t="s">
        <v>8582</v>
      </c>
      <c r="G7367" s="52">
        <v>303724.09098724998</v>
      </c>
      <c r="H7367" s="56">
        <v>0.13874504546527153</v>
      </c>
      <c r="I7367" s="224" t="s">
        <v>2</v>
      </c>
    </row>
    <row r="7368" spans="1:9" x14ac:dyDescent="0.25">
      <c r="A7368" s="515">
        <v>23838</v>
      </c>
      <c r="B7368" s="515" t="s">
        <v>667</v>
      </c>
      <c r="C7368" s="52">
        <v>416879.26049279602</v>
      </c>
      <c r="D7368" s="56">
        <v>-2.9656454448599909E-2</v>
      </c>
      <c r="E7368" s="224" t="s">
        <v>2</v>
      </c>
      <c r="F7368" s="515" t="s">
        <v>8583</v>
      </c>
      <c r="G7368" s="52">
        <v>415876.082569641</v>
      </c>
      <c r="H7368" s="56">
        <v>7.9235497161620386E-2</v>
      </c>
      <c r="I7368" s="224" t="s">
        <v>2</v>
      </c>
    </row>
    <row r="7369" spans="1:9" x14ac:dyDescent="0.25">
      <c r="A7369" s="515">
        <v>33760</v>
      </c>
      <c r="B7369" s="515" t="s">
        <v>461</v>
      </c>
      <c r="C7369" s="52">
        <v>286825.20966145099</v>
      </c>
      <c r="D7369" s="56">
        <v>0.13507570994336185</v>
      </c>
      <c r="E7369" s="224">
        <v>1619.3492063491999</v>
      </c>
      <c r="F7369" s="515" t="s">
        <v>8584</v>
      </c>
      <c r="G7369" s="52">
        <v>191125.22744181499</v>
      </c>
      <c r="H7369" s="56">
        <v>2.6312005496470996E-2</v>
      </c>
      <c r="I7369" s="224" t="s">
        <v>2</v>
      </c>
    </row>
    <row r="7370" spans="1:9" x14ac:dyDescent="0.25">
      <c r="A7370" s="515">
        <v>45067</v>
      </c>
      <c r="B7370" s="515" t="s">
        <v>344</v>
      </c>
      <c r="C7370" s="52">
        <v>223557.043080476</v>
      </c>
      <c r="D7370" s="56">
        <v>6.4844407661036121E-2</v>
      </c>
      <c r="E7370" s="224">
        <v>1845</v>
      </c>
      <c r="F7370" s="515" t="s">
        <v>8585</v>
      </c>
      <c r="G7370" s="52">
        <v>339303.14360410901</v>
      </c>
      <c r="H7370" s="56">
        <v>0.15419652853069854</v>
      </c>
      <c r="I7370" s="224" t="s">
        <v>2</v>
      </c>
    </row>
    <row r="7371" spans="1:9" x14ac:dyDescent="0.25">
      <c r="A7371" s="515">
        <v>65340</v>
      </c>
      <c r="B7371" s="515" t="s">
        <v>1142</v>
      </c>
      <c r="C7371" s="52">
        <v>150021.93134276901</v>
      </c>
      <c r="D7371" s="56">
        <v>0.48120740781214688</v>
      </c>
      <c r="E7371" s="224" t="s">
        <v>2</v>
      </c>
      <c r="F7371" s="515" t="s">
        <v>8586</v>
      </c>
      <c r="G7371" s="52">
        <v>160214.72234177601</v>
      </c>
      <c r="H7371" s="56">
        <v>8.9204660231749069E-2</v>
      </c>
      <c r="I7371" s="224">
        <v>1036.25</v>
      </c>
    </row>
    <row r="7372" spans="1:9" x14ac:dyDescent="0.25">
      <c r="A7372" s="515">
        <v>34237</v>
      </c>
      <c r="B7372" s="515" t="s">
        <v>466</v>
      </c>
      <c r="C7372" s="52">
        <v>314763.39591425401</v>
      </c>
      <c r="D7372" s="56">
        <v>0.1922251322478655</v>
      </c>
      <c r="E7372" s="224">
        <v>2193.0555555555502</v>
      </c>
      <c r="F7372" s="515" t="s">
        <v>8587</v>
      </c>
      <c r="G7372" s="52">
        <v>448714.67955946998</v>
      </c>
      <c r="H7372" s="56">
        <v>8.450192671659449E-3</v>
      </c>
      <c r="I7372" s="224">
        <v>1532.0833333333301</v>
      </c>
    </row>
    <row r="7373" spans="1:9" x14ac:dyDescent="0.25">
      <c r="A7373" s="515">
        <v>27592</v>
      </c>
      <c r="B7373" s="515" t="s">
        <v>484</v>
      </c>
      <c r="C7373" s="52">
        <v>372911.39362944098</v>
      </c>
      <c r="D7373" s="56">
        <v>9.0725990337491194E-2</v>
      </c>
      <c r="E7373" s="224">
        <v>1822.5</v>
      </c>
      <c r="F7373" s="515" t="s">
        <v>8588</v>
      </c>
      <c r="G7373" s="52">
        <v>736838.50407564396</v>
      </c>
      <c r="H7373" s="56">
        <v>3.3526186262358336E-2</v>
      </c>
      <c r="I7373" s="224">
        <v>1754.6666666666599</v>
      </c>
    </row>
    <row r="7374" spans="1:9" x14ac:dyDescent="0.25">
      <c r="A7374" s="515">
        <v>70739</v>
      </c>
      <c r="B7374" s="515" t="s">
        <v>610</v>
      </c>
      <c r="C7374" s="52">
        <v>258202.252368535</v>
      </c>
      <c r="D7374" s="56">
        <v>3.9083772931364162E-2</v>
      </c>
      <c r="E7374" s="224" t="s">
        <v>2</v>
      </c>
      <c r="F7374" s="515" t="s">
        <v>8589</v>
      </c>
      <c r="G7374" s="52">
        <v>314962.36410796101</v>
      </c>
      <c r="H7374" s="56">
        <v>9.4220766912681345E-2</v>
      </c>
      <c r="I7374" s="224" t="s">
        <v>2</v>
      </c>
    </row>
    <row r="7375" spans="1:9" x14ac:dyDescent="0.25">
      <c r="A7375" s="515">
        <v>21211</v>
      </c>
      <c r="B7375" s="515" t="s">
        <v>582</v>
      </c>
      <c r="C7375" s="52">
        <v>251560.90650777399</v>
      </c>
      <c r="D7375" s="56">
        <v>2.9787825175935929E-2</v>
      </c>
      <c r="E7375" s="224">
        <v>1743.4166666666599</v>
      </c>
      <c r="F7375" s="515" t="s">
        <v>8590</v>
      </c>
      <c r="G7375" s="52">
        <v>131470.41653322999</v>
      </c>
      <c r="H7375" s="56">
        <v>-2.4613781321848303E-2</v>
      </c>
      <c r="I7375" s="224" t="s">
        <v>2</v>
      </c>
    </row>
    <row r="7376" spans="1:9" x14ac:dyDescent="0.25">
      <c r="A7376" s="515">
        <v>17870</v>
      </c>
      <c r="B7376" s="515" t="s">
        <v>1084</v>
      </c>
      <c r="C7376" s="52">
        <v>210447.557263808</v>
      </c>
      <c r="D7376" s="56">
        <v>3.0138024607612682E-2</v>
      </c>
      <c r="E7376" s="224" t="s">
        <v>2</v>
      </c>
      <c r="F7376" s="515" t="s">
        <v>8591</v>
      </c>
      <c r="G7376" s="52">
        <v>123488.309548017</v>
      </c>
      <c r="H7376" s="56">
        <v>7.3430172042600259E-2</v>
      </c>
      <c r="I7376" s="224" t="s">
        <v>2</v>
      </c>
    </row>
    <row r="7377" spans="1:9" x14ac:dyDescent="0.25">
      <c r="A7377" s="515">
        <v>28557</v>
      </c>
      <c r="B7377" s="515" t="s">
        <v>641</v>
      </c>
      <c r="C7377" s="52">
        <v>351003.66178794898</v>
      </c>
      <c r="D7377" s="56">
        <v>0.13171152219457649</v>
      </c>
      <c r="E7377" s="224">
        <v>1025</v>
      </c>
      <c r="F7377" s="515" t="s">
        <v>8592</v>
      </c>
      <c r="G7377" s="52">
        <v>118746.80932700601</v>
      </c>
      <c r="H7377" s="56">
        <v>0.14015343355165269</v>
      </c>
      <c r="I7377" s="224" t="s">
        <v>2</v>
      </c>
    </row>
    <row r="7378" spans="1:9" x14ac:dyDescent="0.25">
      <c r="A7378" s="515">
        <v>68124</v>
      </c>
      <c r="B7378" s="515" t="s">
        <v>367</v>
      </c>
      <c r="C7378" s="52">
        <v>306603.73022445402</v>
      </c>
      <c r="D7378" s="56">
        <v>7.3196531869372236E-2</v>
      </c>
      <c r="E7378" s="224">
        <v>1236.5</v>
      </c>
      <c r="F7378" s="515" t="s">
        <v>8593</v>
      </c>
      <c r="G7378" s="52">
        <v>81591.703452144793</v>
      </c>
      <c r="H7378" s="56">
        <v>0.10841791258074696</v>
      </c>
      <c r="I7378" s="224" t="s">
        <v>2</v>
      </c>
    </row>
    <row r="7379" spans="1:9" x14ac:dyDescent="0.25">
      <c r="A7379" s="515">
        <v>93648</v>
      </c>
      <c r="B7379" s="515" t="s">
        <v>541</v>
      </c>
      <c r="C7379" s="52">
        <v>270759.806092215</v>
      </c>
      <c r="D7379" s="56">
        <v>9.0846642396950977E-2</v>
      </c>
      <c r="E7379" s="224" t="s">
        <v>2</v>
      </c>
      <c r="F7379" s="515" t="s">
        <v>8594</v>
      </c>
      <c r="G7379" s="52">
        <v>293719.35536964802</v>
      </c>
      <c r="H7379" s="56">
        <v>9.3183943186795848E-2</v>
      </c>
      <c r="I7379" s="224" t="s">
        <v>2</v>
      </c>
    </row>
    <row r="7380" spans="1:9" x14ac:dyDescent="0.25">
      <c r="A7380" s="515">
        <v>95203</v>
      </c>
      <c r="B7380" s="515" t="s">
        <v>852</v>
      </c>
      <c r="C7380" s="52">
        <v>340428.71076073201</v>
      </c>
      <c r="D7380" s="56">
        <v>4.5187645206112285E-2</v>
      </c>
      <c r="E7380" s="224" t="s">
        <v>2</v>
      </c>
      <c r="F7380" s="515" t="s">
        <v>8595</v>
      </c>
      <c r="G7380" s="52">
        <v>155262.43296059099</v>
      </c>
      <c r="H7380" s="56">
        <v>0.15026167966793103</v>
      </c>
      <c r="I7380" s="224" t="s">
        <v>2</v>
      </c>
    </row>
    <row r="7381" spans="1:9" x14ac:dyDescent="0.25">
      <c r="A7381" s="515">
        <v>98233</v>
      </c>
      <c r="B7381" s="515" t="s">
        <v>454</v>
      </c>
      <c r="C7381" s="52">
        <v>470288.454792195</v>
      </c>
      <c r="D7381" s="56">
        <v>3.5714850643265683E-2</v>
      </c>
      <c r="E7381" s="224">
        <v>2349</v>
      </c>
      <c r="F7381" s="515" t="s">
        <v>8596</v>
      </c>
      <c r="G7381" s="52">
        <v>330123.74578709202</v>
      </c>
      <c r="H7381" s="56">
        <v>5.321729487254151E-2</v>
      </c>
      <c r="I7381" s="224" t="s">
        <v>2</v>
      </c>
    </row>
    <row r="7382" spans="1:9" x14ac:dyDescent="0.25">
      <c r="A7382" s="515">
        <v>90248</v>
      </c>
      <c r="B7382" s="515" t="s">
        <v>375</v>
      </c>
      <c r="C7382" s="52">
        <v>735997.50648256298</v>
      </c>
      <c r="D7382" s="56">
        <v>5.3977815180797292E-2</v>
      </c>
      <c r="E7382" s="224" t="s">
        <v>2</v>
      </c>
      <c r="F7382" s="515" t="s">
        <v>8597</v>
      </c>
      <c r="G7382" s="52">
        <v>65457.149746694296</v>
      </c>
      <c r="H7382" s="56">
        <v>6.0668958766117033E-2</v>
      </c>
      <c r="I7382" s="224" t="s">
        <v>2</v>
      </c>
    </row>
    <row r="7383" spans="1:9" x14ac:dyDescent="0.25">
      <c r="A7383" s="515">
        <v>45410</v>
      </c>
      <c r="B7383" s="515" t="s">
        <v>340</v>
      </c>
      <c r="C7383" s="52">
        <v>111371.56816342899</v>
      </c>
      <c r="D7383" s="56">
        <v>0.19804707910756927</v>
      </c>
      <c r="E7383" s="224">
        <v>1096.38888888888</v>
      </c>
      <c r="F7383" s="515" t="s">
        <v>8598</v>
      </c>
      <c r="G7383" s="52">
        <v>200128.44250826101</v>
      </c>
      <c r="H7383" s="56">
        <v>0.10131144404451631</v>
      </c>
      <c r="I7383" s="224" t="s">
        <v>2</v>
      </c>
    </row>
    <row r="7384" spans="1:9" x14ac:dyDescent="0.25">
      <c r="A7384" s="515">
        <v>93950</v>
      </c>
      <c r="B7384" s="515" t="s">
        <v>443</v>
      </c>
      <c r="C7384" s="52">
        <v>1239434.7335685</v>
      </c>
      <c r="D7384" s="56">
        <v>2.2993151409387926E-2</v>
      </c>
      <c r="E7384" s="224">
        <v>2671.6111111111099</v>
      </c>
      <c r="F7384" s="515" t="s">
        <v>8599</v>
      </c>
      <c r="G7384" s="52">
        <v>104973.20959815801</v>
      </c>
      <c r="H7384" s="56">
        <v>1.7194495671271782E-2</v>
      </c>
      <c r="I7384" s="224" t="s">
        <v>2</v>
      </c>
    </row>
    <row r="7385" spans="1:9" x14ac:dyDescent="0.25">
      <c r="A7385" s="515">
        <v>13057</v>
      </c>
      <c r="B7385" s="515" t="s">
        <v>361</v>
      </c>
      <c r="C7385" s="52">
        <v>182406.00045057901</v>
      </c>
      <c r="D7385" s="56">
        <v>0.1130078638313624</v>
      </c>
      <c r="E7385" s="224" t="s">
        <v>2</v>
      </c>
      <c r="F7385" s="515" t="s">
        <v>8600</v>
      </c>
      <c r="G7385" s="52">
        <v>184428.96185796501</v>
      </c>
      <c r="H7385" s="56">
        <v>8.1792102511376003E-2</v>
      </c>
      <c r="I7385" s="224" t="s">
        <v>2</v>
      </c>
    </row>
    <row r="7386" spans="1:9" x14ac:dyDescent="0.25">
      <c r="A7386" s="515">
        <v>1520</v>
      </c>
      <c r="B7386" s="515" t="s">
        <v>751</v>
      </c>
      <c r="C7386" s="52">
        <v>463878.06239257898</v>
      </c>
      <c r="D7386" s="56">
        <v>6.5780405158745711E-2</v>
      </c>
      <c r="E7386" s="224" t="s">
        <v>2</v>
      </c>
      <c r="F7386" s="515" t="s">
        <v>8601</v>
      </c>
      <c r="G7386" s="52">
        <v>282731.53374324797</v>
      </c>
      <c r="H7386" s="56">
        <v>2.8129384057198493E-2</v>
      </c>
      <c r="I7386" s="224" t="s">
        <v>2</v>
      </c>
    </row>
    <row r="7387" spans="1:9" x14ac:dyDescent="0.25">
      <c r="A7387" s="515">
        <v>29568</v>
      </c>
      <c r="B7387" s="515" t="s">
        <v>703</v>
      </c>
      <c r="C7387" s="52">
        <v>284987.184673418</v>
      </c>
      <c r="D7387" s="56">
        <v>0.14959703668559748</v>
      </c>
      <c r="E7387" s="224" t="s">
        <v>2</v>
      </c>
      <c r="F7387" s="515" t="s">
        <v>8602</v>
      </c>
      <c r="G7387" s="52">
        <v>1922543.75066226</v>
      </c>
      <c r="H7387" s="56">
        <v>3.6746273445429488E-2</v>
      </c>
      <c r="I7387" s="224" t="s">
        <v>2</v>
      </c>
    </row>
    <row r="7388" spans="1:9" x14ac:dyDescent="0.25">
      <c r="A7388" s="515">
        <v>80030</v>
      </c>
      <c r="B7388" s="515" t="s">
        <v>401</v>
      </c>
      <c r="C7388" s="52">
        <v>443658.99490665499</v>
      </c>
      <c r="D7388" s="56">
        <v>2.8673292945704292E-2</v>
      </c>
      <c r="E7388" s="224">
        <v>1364.0396825396799</v>
      </c>
      <c r="F7388" s="515" t="s">
        <v>8603</v>
      </c>
      <c r="G7388" s="52">
        <v>529785.67503309704</v>
      </c>
      <c r="H7388" s="56">
        <v>8.5516241427376294E-2</v>
      </c>
      <c r="I7388" s="224" t="s">
        <v>2</v>
      </c>
    </row>
    <row r="7389" spans="1:9" x14ac:dyDescent="0.25">
      <c r="A7389" s="515">
        <v>2771</v>
      </c>
      <c r="B7389" s="515" t="s">
        <v>513</v>
      </c>
      <c r="C7389" s="52">
        <v>466246.86615301098</v>
      </c>
      <c r="D7389" s="56">
        <v>6.0697189878853954E-2</v>
      </c>
      <c r="E7389" s="224" t="s">
        <v>2</v>
      </c>
      <c r="F7389" s="515" t="s">
        <v>8604</v>
      </c>
      <c r="G7389" s="52">
        <v>478810.17854016798</v>
      </c>
      <c r="H7389" s="56">
        <v>5.8680113233407542E-2</v>
      </c>
      <c r="I7389" s="224" t="s">
        <v>2</v>
      </c>
    </row>
    <row r="7390" spans="1:9" x14ac:dyDescent="0.25">
      <c r="A7390" s="515">
        <v>70070</v>
      </c>
      <c r="B7390" s="515" t="s">
        <v>777</v>
      </c>
      <c r="C7390" s="52">
        <v>259267.344065404</v>
      </c>
      <c r="D7390" s="56">
        <v>-1.5696382040623822E-2</v>
      </c>
      <c r="E7390" s="224" t="s">
        <v>2</v>
      </c>
      <c r="F7390" s="515" t="s">
        <v>8605</v>
      </c>
      <c r="G7390" s="52">
        <v>481594.015694189</v>
      </c>
      <c r="H7390" s="56">
        <v>3.1908588791555732E-2</v>
      </c>
      <c r="I7390" s="224" t="s">
        <v>2</v>
      </c>
    </row>
    <row r="7391" spans="1:9" x14ac:dyDescent="0.25">
      <c r="A7391" s="515">
        <v>1247</v>
      </c>
      <c r="B7391" s="515" t="s">
        <v>497</v>
      </c>
      <c r="C7391" s="52">
        <v>212239.78355715799</v>
      </c>
      <c r="D7391" s="56">
        <v>9.6592430027993129E-2</v>
      </c>
      <c r="E7391" s="224" t="s">
        <v>2</v>
      </c>
      <c r="F7391" s="515" t="s">
        <v>8606</v>
      </c>
      <c r="G7391" s="52">
        <v>103841.300928008</v>
      </c>
      <c r="H7391" s="56">
        <v>8.3382786641362713E-2</v>
      </c>
      <c r="I7391" s="224" t="s">
        <v>2</v>
      </c>
    </row>
    <row r="7392" spans="1:9" x14ac:dyDescent="0.25">
      <c r="A7392" s="515">
        <v>60601</v>
      </c>
      <c r="B7392" s="515" t="s">
        <v>394</v>
      </c>
      <c r="C7392" s="52">
        <v>320609.89338881202</v>
      </c>
      <c r="D7392" s="56">
        <v>-1.6117335396589223E-2</v>
      </c>
      <c r="E7392" s="224">
        <v>2540.9492063491998</v>
      </c>
      <c r="F7392" s="515" t="s">
        <v>8607</v>
      </c>
      <c r="G7392" s="52">
        <v>287647.46369309601</v>
      </c>
      <c r="H7392" s="56">
        <v>2.5622277932510488E-2</v>
      </c>
      <c r="I7392" s="224" t="s">
        <v>2</v>
      </c>
    </row>
    <row r="7393" spans="1:9" x14ac:dyDescent="0.25">
      <c r="A7393" s="515">
        <v>19522</v>
      </c>
      <c r="B7393" s="515" t="s">
        <v>569</v>
      </c>
      <c r="C7393" s="52">
        <v>283072.34439772402</v>
      </c>
      <c r="D7393" s="56">
        <v>0.10442713118174499</v>
      </c>
      <c r="E7393" s="224" t="s">
        <v>2</v>
      </c>
      <c r="F7393" s="515" t="s">
        <v>8608</v>
      </c>
      <c r="G7393" s="52">
        <v>234841.16265188501</v>
      </c>
      <c r="H7393" s="56">
        <v>8.7159349057910132E-2</v>
      </c>
      <c r="I7393" s="224" t="s">
        <v>2</v>
      </c>
    </row>
    <row r="7394" spans="1:9" x14ac:dyDescent="0.25">
      <c r="A7394" s="515">
        <v>76164</v>
      </c>
      <c r="B7394" s="515" t="s">
        <v>458</v>
      </c>
      <c r="C7394" s="52">
        <v>176583.73862449301</v>
      </c>
      <c r="D7394" s="56">
        <v>0.20134782485462463</v>
      </c>
      <c r="E7394" s="224" t="s">
        <v>2</v>
      </c>
      <c r="F7394" s="515" t="s">
        <v>8609</v>
      </c>
      <c r="G7394" s="52">
        <v>803187.16664046503</v>
      </c>
      <c r="H7394" s="56">
        <v>5.124295157868719E-2</v>
      </c>
      <c r="I7394" s="224" t="s">
        <v>2</v>
      </c>
    </row>
    <row r="7395" spans="1:9" x14ac:dyDescent="0.25">
      <c r="A7395" s="515">
        <v>1060</v>
      </c>
      <c r="B7395" s="515" t="s">
        <v>575</v>
      </c>
      <c r="C7395" s="52">
        <v>409526.95912404498</v>
      </c>
      <c r="D7395" s="56">
        <v>8.4925191578632195E-2</v>
      </c>
      <c r="E7395" s="224" t="s">
        <v>2</v>
      </c>
      <c r="F7395" s="515" t="s">
        <v>8610</v>
      </c>
      <c r="G7395" s="52">
        <v>429730.41515187599</v>
      </c>
      <c r="H7395" s="56">
        <v>5.4557953166142266E-2</v>
      </c>
      <c r="I7395" s="224" t="s">
        <v>2</v>
      </c>
    </row>
    <row r="7396" spans="1:9" x14ac:dyDescent="0.25">
      <c r="A7396" s="515">
        <v>83858</v>
      </c>
      <c r="B7396" s="515" t="s">
        <v>992</v>
      </c>
      <c r="C7396" s="52">
        <v>508739.68487404502</v>
      </c>
      <c r="D7396" s="56">
        <v>5.9631407493808936E-2</v>
      </c>
      <c r="E7396" s="224" t="s">
        <v>2</v>
      </c>
      <c r="F7396" s="515" t="s">
        <v>8611</v>
      </c>
      <c r="G7396" s="52">
        <v>386502.96986801899</v>
      </c>
      <c r="H7396" s="56">
        <v>8.3282170877882256E-2</v>
      </c>
      <c r="I7396" s="224" t="s">
        <v>2</v>
      </c>
    </row>
    <row r="7397" spans="1:9" x14ac:dyDescent="0.25">
      <c r="A7397" s="515">
        <v>72022</v>
      </c>
      <c r="B7397" s="515" t="s">
        <v>393</v>
      </c>
      <c r="C7397" s="52">
        <v>224488.72720575501</v>
      </c>
      <c r="D7397" s="56">
        <v>7.9033341245155583E-2</v>
      </c>
      <c r="E7397" s="224">
        <v>1562.5</v>
      </c>
      <c r="F7397" s="515" t="s">
        <v>8612</v>
      </c>
      <c r="G7397" s="52">
        <v>140414.543802542</v>
      </c>
      <c r="H7397" s="56">
        <v>9.8547329817483265E-2</v>
      </c>
      <c r="I7397" s="224" t="s">
        <v>2</v>
      </c>
    </row>
    <row r="7398" spans="1:9" x14ac:dyDescent="0.25">
      <c r="A7398" s="515">
        <v>46408</v>
      </c>
      <c r="B7398" s="515" t="s">
        <v>394</v>
      </c>
      <c r="C7398" s="52">
        <v>98709.583137240101</v>
      </c>
      <c r="D7398" s="56">
        <v>0.26234040426100491</v>
      </c>
      <c r="E7398" s="224" t="s">
        <v>2</v>
      </c>
      <c r="F7398" s="515" t="s">
        <v>8613</v>
      </c>
      <c r="G7398" s="52">
        <v>363814.65318897902</v>
      </c>
      <c r="H7398" s="56">
        <v>6.9297671527283458E-2</v>
      </c>
      <c r="I7398" s="224" t="s">
        <v>2</v>
      </c>
    </row>
    <row r="7399" spans="1:9" x14ac:dyDescent="0.25">
      <c r="A7399" s="515">
        <v>10965</v>
      </c>
      <c r="B7399" s="515" t="s">
        <v>324</v>
      </c>
      <c r="C7399" s="52">
        <v>559302.38299499301</v>
      </c>
      <c r="D7399" s="56">
        <v>5.8168214291937477E-2</v>
      </c>
      <c r="E7399" s="224" t="s">
        <v>2</v>
      </c>
      <c r="F7399" s="515" t="s">
        <v>8614</v>
      </c>
      <c r="G7399" s="52">
        <v>320480.74361818202</v>
      </c>
      <c r="H7399" s="56">
        <v>4.2790554244941173E-2</v>
      </c>
      <c r="I7399" s="224" t="s">
        <v>2</v>
      </c>
    </row>
    <row r="7400" spans="1:9" x14ac:dyDescent="0.25">
      <c r="A7400" s="515">
        <v>44301</v>
      </c>
      <c r="B7400" s="515" t="s">
        <v>1000</v>
      </c>
      <c r="C7400" s="52">
        <v>105850.567342715</v>
      </c>
      <c r="D7400" s="56">
        <v>0.10440232340765611</v>
      </c>
      <c r="E7400" s="224" t="s">
        <v>2</v>
      </c>
      <c r="F7400" s="515" t="s">
        <v>8615</v>
      </c>
      <c r="G7400" s="52">
        <v>109769.40172799501</v>
      </c>
      <c r="H7400" s="56">
        <v>-2.9381763946187359E-2</v>
      </c>
      <c r="I7400" s="224" t="s">
        <v>2</v>
      </c>
    </row>
    <row r="7401" spans="1:9" x14ac:dyDescent="0.25">
      <c r="A7401" s="515">
        <v>79029</v>
      </c>
      <c r="B7401" s="515" t="s">
        <v>1113</v>
      </c>
      <c r="C7401" s="52">
        <v>158860.99310301</v>
      </c>
      <c r="D7401" s="56">
        <v>3.4162742142562291E-2</v>
      </c>
      <c r="E7401" s="224" t="s">
        <v>2</v>
      </c>
      <c r="F7401" s="515" t="s">
        <v>8616</v>
      </c>
      <c r="G7401" s="52">
        <v>457268.20316485199</v>
      </c>
      <c r="H7401" s="56">
        <v>0.1121093273521028</v>
      </c>
      <c r="I7401" s="224" t="s">
        <v>2</v>
      </c>
    </row>
    <row r="7402" spans="1:9" x14ac:dyDescent="0.25">
      <c r="A7402" s="515">
        <v>99016</v>
      </c>
      <c r="B7402" s="515" t="s">
        <v>820</v>
      </c>
      <c r="C7402" s="52">
        <v>486056.23453512799</v>
      </c>
      <c r="D7402" s="56">
        <v>3.8575872527880785E-2</v>
      </c>
      <c r="E7402" s="224">
        <v>1634.375</v>
      </c>
      <c r="F7402" s="515" t="s">
        <v>8617</v>
      </c>
      <c r="G7402" s="52">
        <v>319373.39614091802</v>
      </c>
      <c r="H7402" s="56">
        <v>4.76072459676272E-2</v>
      </c>
      <c r="I7402" s="224" t="s">
        <v>2</v>
      </c>
    </row>
    <row r="7403" spans="1:9" x14ac:dyDescent="0.25">
      <c r="A7403" s="515">
        <v>8904</v>
      </c>
      <c r="B7403" s="515" t="s">
        <v>324</v>
      </c>
      <c r="C7403" s="52">
        <v>455061.45129349298</v>
      </c>
      <c r="D7403" s="56">
        <v>4.5434954629816844E-2</v>
      </c>
      <c r="E7403" s="224">
        <v>2009.6666666666599</v>
      </c>
      <c r="F7403" s="515" t="s">
        <v>8618</v>
      </c>
      <c r="G7403" s="52">
        <v>292276.35509233898</v>
      </c>
      <c r="H7403" s="56">
        <v>-8.7680076819539876E-3</v>
      </c>
      <c r="I7403" s="224" t="s">
        <v>2</v>
      </c>
    </row>
    <row r="7404" spans="1:9" x14ac:dyDescent="0.25">
      <c r="A7404" s="515">
        <v>7031</v>
      </c>
      <c r="B7404" s="515" t="s">
        <v>324</v>
      </c>
      <c r="C7404" s="52">
        <v>480773.27808577701</v>
      </c>
      <c r="D7404" s="56">
        <v>2.2304378116251949E-2</v>
      </c>
      <c r="E7404" s="224">
        <v>2200</v>
      </c>
      <c r="F7404" s="515" t="s">
        <v>8619</v>
      </c>
      <c r="G7404" s="52">
        <v>1444164.00411706</v>
      </c>
      <c r="H7404" s="56">
        <v>5.2115086061978268E-2</v>
      </c>
      <c r="I7404" s="224" t="s">
        <v>2</v>
      </c>
    </row>
    <row r="7405" spans="1:9" x14ac:dyDescent="0.25">
      <c r="A7405" s="515">
        <v>53714</v>
      </c>
      <c r="B7405" s="515" t="s">
        <v>727</v>
      </c>
      <c r="C7405" s="52">
        <v>298210.544462508</v>
      </c>
      <c r="D7405" s="56">
        <v>5.289699346906674E-2</v>
      </c>
      <c r="E7405" s="224" t="s">
        <v>2</v>
      </c>
      <c r="F7405" s="515" t="s">
        <v>8620</v>
      </c>
      <c r="G7405" s="52">
        <v>221531.90751768</v>
      </c>
      <c r="H7405" s="56">
        <v>3.6716217682394671E-2</v>
      </c>
      <c r="I7405" s="224" t="s">
        <v>2</v>
      </c>
    </row>
    <row r="7406" spans="1:9" x14ac:dyDescent="0.25">
      <c r="A7406" s="515">
        <v>24572</v>
      </c>
      <c r="B7406" s="515" t="s">
        <v>705</v>
      </c>
      <c r="C7406" s="52">
        <v>209423.845285774</v>
      </c>
      <c r="D7406" s="56">
        <v>0.12355363297685161</v>
      </c>
      <c r="E7406" s="224" t="s">
        <v>2</v>
      </c>
      <c r="F7406" s="515" t="s">
        <v>8621</v>
      </c>
      <c r="G7406" s="52">
        <v>453109.122257518</v>
      </c>
      <c r="H7406" s="56">
        <v>0.13069058145605811</v>
      </c>
      <c r="I7406" s="224" t="s">
        <v>2</v>
      </c>
    </row>
    <row r="7407" spans="1:9" x14ac:dyDescent="0.25">
      <c r="A7407" s="515">
        <v>20124</v>
      </c>
      <c r="B7407" s="515" t="s">
        <v>321</v>
      </c>
      <c r="C7407" s="52">
        <v>870000.90043361695</v>
      </c>
      <c r="D7407" s="56">
        <v>3.3146956051602727E-2</v>
      </c>
      <c r="E7407" s="224" t="s">
        <v>2</v>
      </c>
      <c r="F7407" s="515" t="s">
        <v>8622</v>
      </c>
      <c r="G7407" s="52">
        <v>566763.21471385797</v>
      </c>
      <c r="H7407" s="56">
        <v>6.8968217903445803E-2</v>
      </c>
      <c r="I7407" s="224" t="s">
        <v>2</v>
      </c>
    </row>
    <row r="7408" spans="1:9" x14ac:dyDescent="0.25">
      <c r="A7408" s="515">
        <v>58203</v>
      </c>
      <c r="B7408" s="515" t="s">
        <v>624</v>
      </c>
      <c r="C7408" s="52">
        <v>196330.747797708</v>
      </c>
      <c r="D7408" s="56">
        <v>2.2755809090693118E-2</v>
      </c>
      <c r="E7408" s="224">
        <v>1093.125</v>
      </c>
      <c r="F7408" s="515" t="s">
        <v>8623</v>
      </c>
      <c r="G7408" s="52">
        <v>233863.58462775801</v>
      </c>
      <c r="H7408" s="56">
        <v>7.8706566681339185E-2</v>
      </c>
      <c r="I7408" s="224" t="s">
        <v>2</v>
      </c>
    </row>
    <row r="7409" spans="1:9" x14ac:dyDescent="0.25">
      <c r="A7409" s="515">
        <v>54603</v>
      </c>
      <c r="B7409" s="515" t="s">
        <v>635</v>
      </c>
      <c r="C7409" s="52">
        <v>183411.150197382</v>
      </c>
      <c r="D7409" s="56">
        <v>7.4620725940742441E-2</v>
      </c>
      <c r="E7409" s="224">
        <v>840</v>
      </c>
      <c r="F7409" s="515" t="s">
        <v>8624</v>
      </c>
      <c r="G7409" s="52">
        <v>364698.85344043898</v>
      </c>
      <c r="H7409" s="56">
        <v>6.5256326164067013E-2</v>
      </c>
      <c r="I7409" s="224" t="s">
        <v>2</v>
      </c>
    </row>
    <row r="7410" spans="1:9" x14ac:dyDescent="0.25">
      <c r="A7410" s="515">
        <v>75249</v>
      </c>
      <c r="B7410" s="515" t="s">
        <v>458</v>
      </c>
      <c r="C7410" s="52">
        <v>285049.15819905797</v>
      </c>
      <c r="D7410" s="56">
        <v>7.9621370006753955E-2</v>
      </c>
      <c r="E7410" s="224">
        <v>2134.7777777777701</v>
      </c>
      <c r="F7410" s="515" t="s">
        <v>8625</v>
      </c>
      <c r="G7410" s="52">
        <v>104831.817011512</v>
      </c>
      <c r="H7410" s="56">
        <v>0.15260606951149056</v>
      </c>
      <c r="I7410" s="224" t="s">
        <v>2</v>
      </c>
    </row>
    <row r="7411" spans="1:9" x14ac:dyDescent="0.25">
      <c r="A7411" s="515">
        <v>8033</v>
      </c>
      <c r="B7411" s="515" t="s">
        <v>294</v>
      </c>
      <c r="C7411" s="52">
        <v>589848.34923413198</v>
      </c>
      <c r="D7411" s="56">
        <v>6.4950569820504775E-2</v>
      </c>
      <c r="E7411" s="224">
        <v>1715.55555555555</v>
      </c>
      <c r="F7411" s="515" t="s">
        <v>8626</v>
      </c>
      <c r="G7411" s="52">
        <v>103769.738183811</v>
      </c>
      <c r="H7411" s="56">
        <v>0.11944982959658573</v>
      </c>
      <c r="I7411" s="224" t="s">
        <v>2</v>
      </c>
    </row>
    <row r="7412" spans="1:9" x14ac:dyDescent="0.25">
      <c r="A7412" s="515">
        <v>33972</v>
      </c>
      <c r="B7412" s="515" t="s">
        <v>661</v>
      </c>
      <c r="C7412" s="52">
        <v>175528.85650930999</v>
      </c>
      <c r="D7412" s="56">
        <v>0.19726304058737032</v>
      </c>
      <c r="E7412" s="224" t="s">
        <v>2</v>
      </c>
      <c r="F7412" s="515" t="s">
        <v>8627</v>
      </c>
      <c r="G7412" s="52">
        <v>206070.104670689</v>
      </c>
      <c r="H7412" s="56">
        <v>4.2208890628723128E-2</v>
      </c>
      <c r="I7412" s="224" t="s">
        <v>2</v>
      </c>
    </row>
    <row r="7413" spans="1:9" x14ac:dyDescent="0.25">
      <c r="A7413" s="515">
        <v>86323</v>
      </c>
      <c r="B7413" s="515" t="s">
        <v>332</v>
      </c>
      <c r="C7413" s="52">
        <v>456601.18420546199</v>
      </c>
      <c r="D7413" s="56">
        <v>2.9348313710531357E-2</v>
      </c>
      <c r="E7413" s="224" t="s">
        <v>2</v>
      </c>
      <c r="F7413" s="515" t="s">
        <v>8628</v>
      </c>
      <c r="G7413" s="52">
        <v>144899.265812144</v>
      </c>
      <c r="H7413" s="56">
        <v>6.0576548215788666E-2</v>
      </c>
      <c r="I7413" s="224" t="s">
        <v>2</v>
      </c>
    </row>
    <row r="7414" spans="1:9" x14ac:dyDescent="0.25">
      <c r="A7414" s="515">
        <v>29582</v>
      </c>
      <c r="B7414" s="515" t="s">
        <v>703</v>
      </c>
      <c r="C7414" s="52">
        <v>382925.99181973003</v>
      </c>
      <c r="D7414" s="56">
        <v>0.14552662355487495</v>
      </c>
      <c r="E7414" s="224" t="s">
        <v>2</v>
      </c>
      <c r="F7414" s="515" t="s">
        <v>8629</v>
      </c>
      <c r="G7414" s="52">
        <v>164925.899078997</v>
      </c>
      <c r="H7414" s="56">
        <v>6.280978334833856E-2</v>
      </c>
      <c r="I7414" s="224" t="s">
        <v>2</v>
      </c>
    </row>
    <row r="7415" spans="1:9" x14ac:dyDescent="0.25">
      <c r="A7415" s="515">
        <v>36854</v>
      </c>
      <c r="B7415" s="515" t="s">
        <v>1066</v>
      </c>
      <c r="C7415" s="52">
        <v>133214.78449061999</v>
      </c>
      <c r="D7415" s="56">
        <v>4.0121064408834811E-2</v>
      </c>
      <c r="E7415" s="224" t="s">
        <v>2</v>
      </c>
      <c r="F7415" s="515" t="s">
        <v>8630</v>
      </c>
      <c r="G7415" s="52">
        <v>143389.93199362201</v>
      </c>
      <c r="H7415" s="56">
        <v>2.051686432480674E-2</v>
      </c>
      <c r="I7415" s="224" t="s">
        <v>2</v>
      </c>
    </row>
    <row r="7416" spans="1:9" x14ac:dyDescent="0.25">
      <c r="A7416" s="515">
        <v>97038</v>
      </c>
      <c r="B7416" s="515" t="s">
        <v>659</v>
      </c>
      <c r="C7416" s="52">
        <v>462041.19524174603</v>
      </c>
      <c r="D7416" s="56">
        <v>1.5222640604792503E-2</v>
      </c>
      <c r="E7416" s="224" t="s">
        <v>2</v>
      </c>
      <c r="F7416" s="515" t="s">
        <v>8631</v>
      </c>
      <c r="G7416" s="52">
        <v>188228.09800817701</v>
      </c>
      <c r="H7416" s="56">
        <v>7.9106292930308603E-2</v>
      </c>
      <c r="I7416" s="224" t="s">
        <v>2</v>
      </c>
    </row>
    <row r="7417" spans="1:9" x14ac:dyDescent="0.25">
      <c r="A7417" s="515">
        <v>34475</v>
      </c>
      <c r="B7417" s="515" t="s">
        <v>475</v>
      </c>
      <c r="C7417" s="52">
        <v>183203.87100572299</v>
      </c>
      <c r="D7417" s="56">
        <v>0.29417423896959</v>
      </c>
      <c r="E7417" s="224" t="s">
        <v>2</v>
      </c>
      <c r="F7417" s="515" t="s">
        <v>8632</v>
      </c>
      <c r="G7417" s="52">
        <v>414290.29627346498</v>
      </c>
      <c r="H7417" s="56">
        <v>8.3845608587247294E-2</v>
      </c>
      <c r="I7417" s="224" t="s">
        <v>2</v>
      </c>
    </row>
    <row r="7418" spans="1:9" x14ac:dyDescent="0.25">
      <c r="A7418" s="515">
        <v>62629</v>
      </c>
      <c r="B7418" s="515" t="s">
        <v>819</v>
      </c>
      <c r="C7418" s="52">
        <v>237595.49673404699</v>
      </c>
      <c r="D7418" s="56">
        <v>8.9883803365714499E-2</v>
      </c>
      <c r="E7418" s="224" t="s">
        <v>2</v>
      </c>
      <c r="F7418" s="515" t="s">
        <v>8633</v>
      </c>
      <c r="G7418" s="52">
        <v>315229.79902674502</v>
      </c>
      <c r="H7418" s="56">
        <v>5.9602211304065324E-2</v>
      </c>
      <c r="I7418" s="224" t="s">
        <v>2</v>
      </c>
    </row>
    <row r="7419" spans="1:9" x14ac:dyDescent="0.25">
      <c r="A7419" s="515">
        <v>62711</v>
      </c>
      <c r="B7419" s="515" t="s">
        <v>819</v>
      </c>
      <c r="C7419" s="52">
        <v>293774.16662730498</v>
      </c>
      <c r="D7419" s="56">
        <v>6.9338255814470007E-2</v>
      </c>
      <c r="E7419" s="224">
        <v>1187.5</v>
      </c>
      <c r="F7419" s="515" t="s">
        <v>8634</v>
      </c>
      <c r="G7419" s="52">
        <v>158283.66933150601</v>
      </c>
      <c r="H7419" s="56">
        <v>7.0248726248007293E-2</v>
      </c>
      <c r="I7419" s="224" t="s">
        <v>2</v>
      </c>
    </row>
    <row r="7420" spans="1:9" x14ac:dyDescent="0.25">
      <c r="A7420" s="515">
        <v>95388</v>
      </c>
      <c r="B7420" s="515" t="s">
        <v>594</v>
      </c>
      <c r="C7420" s="52">
        <v>319454.41236684698</v>
      </c>
      <c r="D7420" s="56">
        <v>1.900063912632912E-2</v>
      </c>
      <c r="E7420" s="224" t="s">
        <v>2</v>
      </c>
      <c r="F7420" s="515" t="s">
        <v>8635</v>
      </c>
      <c r="G7420" s="52">
        <v>130267.01636012799</v>
      </c>
      <c r="H7420" s="56">
        <v>7.6200356416863735E-2</v>
      </c>
      <c r="I7420" s="224" t="s">
        <v>2</v>
      </c>
    </row>
    <row r="7421" spans="1:9" x14ac:dyDescent="0.25">
      <c r="A7421" s="515">
        <v>18707</v>
      </c>
      <c r="B7421" s="515" t="s">
        <v>512</v>
      </c>
      <c r="C7421" s="52">
        <v>265280.00912156003</v>
      </c>
      <c r="D7421" s="56">
        <v>7.114117708300384E-2</v>
      </c>
      <c r="E7421" s="224" t="s">
        <v>2</v>
      </c>
      <c r="F7421" s="515" t="s">
        <v>8636</v>
      </c>
      <c r="G7421" s="52">
        <v>171374.265562063</v>
      </c>
      <c r="H7421" s="56">
        <v>2.7842321035919861E-2</v>
      </c>
      <c r="I7421" s="224" t="s">
        <v>2</v>
      </c>
    </row>
    <row r="7422" spans="1:9" x14ac:dyDescent="0.25">
      <c r="A7422" s="515">
        <v>24015</v>
      </c>
      <c r="B7422" s="515" t="s">
        <v>861</v>
      </c>
      <c r="C7422" s="52">
        <v>256657.930611396</v>
      </c>
      <c r="D7422" s="56">
        <v>9.1043259167551766E-2</v>
      </c>
      <c r="E7422" s="224">
        <v>1500</v>
      </c>
      <c r="F7422" s="515" t="s">
        <v>8637</v>
      </c>
      <c r="G7422" s="52">
        <v>203637.84810615101</v>
      </c>
      <c r="H7422" s="56">
        <v>8.0293071044076583E-2</v>
      </c>
      <c r="I7422" s="224" t="s">
        <v>2</v>
      </c>
    </row>
    <row r="7423" spans="1:9" x14ac:dyDescent="0.25">
      <c r="A7423" s="515">
        <v>32963</v>
      </c>
      <c r="B7423" s="515" t="s">
        <v>1176</v>
      </c>
      <c r="C7423" s="52">
        <v>1022473.70544635</v>
      </c>
      <c r="D7423" s="56">
        <v>0.20128207315081575</v>
      </c>
      <c r="E7423" s="224">
        <v>5566.6666666666597</v>
      </c>
      <c r="F7423" s="515" t="s">
        <v>8638</v>
      </c>
      <c r="G7423" s="52">
        <v>81281.707549524799</v>
      </c>
      <c r="H7423" s="56">
        <v>-0.17263067767609186</v>
      </c>
      <c r="I7423" s="224" t="s">
        <v>2</v>
      </c>
    </row>
    <row r="7424" spans="1:9" x14ac:dyDescent="0.25">
      <c r="A7424" s="515">
        <v>46637</v>
      </c>
      <c r="B7424" s="515" t="s">
        <v>1002</v>
      </c>
      <c r="C7424" s="52">
        <v>202433.056599656</v>
      </c>
      <c r="D7424" s="56">
        <v>0.10301323296019711</v>
      </c>
      <c r="E7424" s="224" t="s">
        <v>2</v>
      </c>
      <c r="F7424" s="515" t="s">
        <v>8639</v>
      </c>
      <c r="G7424" s="52">
        <v>169324.46570123301</v>
      </c>
      <c r="H7424" s="56">
        <v>7.7622595848238204E-2</v>
      </c>
      <c r="I7424" s="224" t="s">
        <v>2</v>
      </c>
    </row>
    <row r="7425" spans="1:9" x14ac:dyDescent="0.25">
      <c r="A7425" s="515">
        <v>34210</v>
      </c>
      <c r="B7425" s="515" t="s">
        <v>466</v>
      </c>
      <c r="C7425" s="52">
        <v>340616.42418963299</v>
      </c>
      <c r="D7425" s="56">
        <v>0.16095284785355379</v>
      </c>
      <c r="E7425" s="224">
        <v>1857.7</v>
      </c>
      <c r="F7425" s="515" t="s">
        <v>8640</v>
      </c>
      <c r="G7425" s="52">
        <v>414912.20525498799</v>
      </c>
      <c r="H7425" s="56">
        <v>8.5278354513183788E-2</v>
      </c>
      <c r="I7425" s="224" t="s">
        <v>2</v>
      </c>
    </row>
    <row r="7426" spans="1:9" x14ac:dyDescent="0.25">
      <c r="A7426" s="515">
        <v>55108</v>
      </c>
      <c r="B7426" s="515" t="s">
        <v>532</v>
      </c>
      <c r="C7426" s="52">
        <v>346375.21406372101</v>
      </c>
      <c r="D7426" s="56">
        <v>3.2297231426955404E-2</v>
      </c>
      <c r="E7426" s="224">
        <v>1397.3999999999901</v>
      </c>
      <c r="F7426" s="515" t="s">
        <v>8641</v>
      </c>
      <c r="G7426" s="52">
        <v>294245.03012839903</v>
      </c>
      <c r="H7426" s="56">
        <v>0.13264310047081601</v>
      </c>
      <c r="I7426" s="224" t="s">
        <v>2</v>
      </c>
    </row>
    <row r="7427" spans="1:9" x14ac:dyDescent="0.25">
      <c r="A7427" s="515">
        <v>19703</v>
      </c>
      <c r="B7427" s="515" t="s">
        <v>294</v>
      </c>
      <c r="C7427" s="52">
        <v>273456.15694458602</v>
      </c>
      <c r="D7427" s="56">
        <v>8.8490887191082876E-2</v>
      </c>
      <c r="E7427" s="224">
        <v>1720</v>
      </c>
      <c r="F7427" s="515" t="s">
        <v>8642</v>
      </c>
      <c r="G7427" s="52">
        <v>157482.86080092401</v>
      </c>
      <c r="H7427" s="56">
        <v>4.6910061771701102E-2</v>
      </c>
      <c r="I7427" s="224" t="s">
        <v>2</v>
      </c>
    </row>
    <row r="7428" spans="1:9" x14ac:dyDescent="0.25">
      <c r="A7428" s="515">
        <v>99701</v>
      </c>
      <c r="B7428" s="515" t="s">
        <v>1080</v>
      </c>
      <c r="C7428" s="52">
        <v>228039.273061941</v>
      </c>
      <c r="D7428" s="56">
        <v>3.5907949458416767E-3</v>
      </c>
      <c r="E7428" s="224">
        <v>1608.3333333333301</v>
      </c>
      <c r="F7428" s="515" t="s">
        <v>8643</v>
      </c>
      <c r="G7428" s="52">
        <v>137637.80107250201</v>
      </c>
      <c r="H7428" s="56">
        <v>-3.4756405138424823E-3</v>
      </c>
      <c r="I7428" s="224" t="s">
        <v>2</v>
      </c>
    </row>
    <row r="7429" spans="1:9" x14ac:dyDescent="0.25">
      <c r="A7429" s="515">
        <v>88260</v>
      </c>
      <c r="B7429" s="515" t="s">
        <v>1097</v>
      </c>
      <c r="C7429" s="52">
        <v>133948.75630151099</v>
      </c>
      <c r="D7429" s="56">
        <v>-9.7690129963469388E-2</v>
      </c>
      <c r="E7429" s="224" t="s">
        <v>2</v>
      </c>
      <c r="F7429" s="515" t="s">
        <v>8644</v>
      </c>
      <c r="G7429" s="52">
        <v>170064.35872910501</v>
      </c>
      <c r="H7429" s="56">
        <v>9.6104927984302535E-2</v>
      </c>
      <c r="I7429" s="224" t="s">
        <v>2</v>
      </c>
    </row>
    <row r="7430" spans="1:9" x14ac:dyDescent="0.25">
      <c r="A7430" s="515">
        <v>41048</v>
      </c>
      <c r="B7430" s="515" t="s">
        <v>344</v>
      </c>
      <c r="C7430" s="52">
        <v>308697.212819379</v>
      </c>
      <c r="D7430" s="56">
        <v>4.7363776954283739E-2</v>
      </c>
      <c r="E7430" s="224" t="s">
        <v>2</v>
      </c>
      <c r="F7430" s="515" t="s">
        <v>8645</v>
      </c>
      <c r="G7430" s="52">
        <v>87786.654699055405</v>
      </c>
      <c r="H7430" s="56">
        <v>9.7978317101780954E-2</v>
      </c>
      <c r="I7430" s="224" t="s">
        <v>2</v>
      </c>
    </row>
    <row r="7431" spans="1:9" x14ac:dyDescent="0.25">
      <c r="A7431" s="515">
        <v>79903</v>
      </c>
      <c r="B7431" s="515" t="s">
        <v>1119</v>
      </c>
      <c r="C7431" s="52"/>
      <c r="D7431" s="56">
        <v>0</v>
      </c>
      <c r="E7431" s="224" t="s">
        <v>2</v>
      </c>
      <c r="F7431" s="515" t="s">
        <v>8646</v>
      </c>
      <c r="G7431" s="52">
        <v>45546.616901529</v>
      </c>
      <c r="H7431" s="56">
        <v>2.2389905250813996E-2</v>
      </c>
      <c r="I7431" s="224" t="s">
        <v>2</v>
      </c>
    </row>
    <row r="7432" spans="1:9" x14ac:dyDescent="0.25">
      <c r="A7432" s="515">
        <v>10017</v>
      </c>
      <c r="B7432" s="515" t="s">
        <v>324</v>
      </c>
      <c r="C7432" s="52">
        <v>718296.88224287995</v>
      </c>
      <c r="D7432" s="56">
        <v>-1.0162771068726069E-2</v>
      </c>
      <c r="E7432" s="224">
        <v>3692.82051282051</v>
      </c>
      <c r="F7432" s="515" t="s">
        <v>8647</v>
      </c>
      <c r="G7432" s="52">
        <v>411955.88878079801</v>
      </c>
      <c r="H7432" s="56">
        <v>8.6665213288081883E-2</v>
      </c>
      <c r="I7432" s="224" t="s">
        <v>2</v>
      </c>
    </row>
    <row r="7433" spans="1:9" x14ac:dyDescent="0.25">
      <c r="A7433" s="515">
        <v>25704</v>
      </c>
      <c r="B7433" s="515" t="s">
        <v>602</v>
      </c>
      <c r="C7433" s="52">
        <v>100610.20635806699</v>
      </c>
      <c r="D7433" s="56">
        <v>5.9816731149097781E-2</v>
      </c>
      <c r="E7433" s="224" t="s">
        <v>2</v>
      </c>
      <c r="F7433" s="515" t="s">
        <v>8648</v>
      </c>
      <c r="G7433" s="52">
        <v>281341.42354710301</v>
      </c>
      <c r="H7433" s="56">
        <v>8.9786459107654162E-2</v>
      </c>
      <c r="I7433" s="224" t="s">
        <v>2</v>
      </c>
    </row>
    <row r="7434" spans="1:9" x14ac:dyDescent="0.25">
      <c r="A7434" s="515">
        <v>83406</v>
      </c>
      <c r="B7434" s="515" t="s">
        <v>409</v>
      </c>
      <c r="C7434" s="52">
        <v>395236.21617621899</v>
      </c>
      <c r="D7434" s="56">
        <v>-2.945345091439287E-3</v>
      </c>
      <c r="E7434" s="224">
        <v>1478.75</v>
      </c>
      <c r="F7434" s="515" t="s">
        <v>8649</v>
      </c>
      <c r="G7434" s="52">
        <v>226719.22045636</v>
      </c>
      <c r="H7434" s="56">
        <v>0.21268106083270419</v>
      </c>
      <c r="I7434" s="224" t="s">
        <v>2</v>
      </c>
    </row>
    <row r="7435" spans="1:9" x14ac:dyDescent="0.25">
      <c r="A7435" s="515">
        <v>29657</v>
      </c>
      <c r="B7435" s="515" t="s">
        <v>613</v>
      </c>
      <c r="C7435" s="52">
        <v>221355.09125095801</v>
      </c>
      <c r="D7435" s="56">
        <v>0.18063927165178204</v>
      </c>
      <c r="E7435" s="224" t="s">
        <v>2</v>
      </c>
      <c r="F7435" s="515" t="s">
        <v>8650</v>
      </c>
      <c r="G7435" s="52">
        <v>396393.24825084902</v>
      </c>
      <c r="H7435" s="56">
        <v>7.4978421431132203E-2</v>
      </c>
      <c r="I7435" s="224" t="s">
        <v>2</v>
      </c>
    </row>
    <row r="7436" spans="1:9" x14ac:dyDescent="0.25">
      <c r="A7436" s="515">
        <v>81321</v>
      </c>
      <c r="C7436" s="52">
        <v>289509.35068391199</v>
      </c>
      <c r="D7436" s="56">
        <v>7.2639553602931825E-2</v>
      </c>
      <c r="E7436" s="224" t="s">
        <v>2</v>
      </c>
      <c r="F7436" s="515" t="s">
        <v>8651</v>
      </c>
      <c r="G7436" s="52">
        <v>154719.062469681</v>
      </c>
      <c r="H7436" s="56">
        <v>0.11863353881799672</v>
      </c>
      <c r="I7436" s="224" t="s">
        <v>2</v>
      </c>
    </row>
    <row r="7437" spans="1:9" x14ac:dyDescent="0.25">
      <c r="A7437" s="515">
        <v>6070</v>
      </c>
      <c r="B7437" s="515" t="s">
        <v>894</v>
      </c>
      <c r="C7437" s="52">
        <v>407140.59204032202</v>
      </c>
      <c r="D7437" s="56">
        <v>8.2941936806334993E-2</v>
      </c>
      <c r="E7437" s="224">
        <v>2067.5</v>
      </c>
      <c r="F7437" s="515" t="s">
        <v>8652</v>
      </c>
      <c r="G7437" s="52">
        <v>229995.14849780101</v>
      </c>
      <c r="H7437" s="56">
        <v>2.0192687320259674E-2</v>
      </c>
      <c r="I7437" s="224" t="s">
        <v>2</v>
      </c>
    </row>
    <row r="7438" spans="1:9" x14ac:dyDescent="0.25">
      <c r="A7438" s="515">
        <v>18964</v>
      </c>
      <c r="B7438" s="515" t="s">
        <v>294</v>
      </c>
      <c r="C7438" s="52">
        <v>384386.228680089</v>
      </c>
      <c r="D7438" s="56">
        <v>9.8893347635686871E-2</v>
      </c>
      <c r="E7438" s="224" t="s">
        <v>2</v>
      </c>
      <c r="F7438" s="515" t="s">
        <v>8653</v>
      </c>
      <c r="G7438" s="52">
        <v>373134.48078473198</v>
      </c>
      <c r="H7438" s="56">
        <v>6.903472873053787E-2</v>
      </c>
      <c r="I7438" s="224" t="s">
        <v>2</v>
      </c>
    </row>
    <row r="7439" spans="1:9" x14ac:dyDescent="0.25">
      <c r="A7439" s="515">
        <v>68507</v>
      </c>
      <c r="B7439" s="515" t="s">
        <v>486</v>
      </c>
      <c r="C7439" s="52">
        <v>217664.02757546</v>
      </c>
      <c r="D7439" s="56">
        <v>7.9032430866762607E-2</v>
      </c>
      <c r="E7439" s="224">
        <v>1590.6666666666599</v>
      </c>
      <c r="F7439" s="515" t="s">
        <v>8654</v>
      </c>
      <c r="G7439" s="52">
        <v>432659.28079680499</v>
      </c>
      <c r="H7439" s="56">
        <v>7.8059503718909753E-2</v>
      </c>
      <c r="I7439" s="224" t="s">
        <v>2</v>
      </c>
    </row>
    <row r="7440" spans="1:9" x14ac:dyDescent="0.25">
      <c r="A7440" s="515">
        <v>28387</v>
      </c>
      <c r="B7440" s="515" t="s">
        <v>1090</v>
      </c>
      <c r="C7440" s="52">
        <v>407726.732264933</v>
      </c>
      <c r="D7440" s="56">
        <v>0.13587677110923405</v>
      </c>
      <c r="E7440" s="224">
        <v>1771.8611111111099</v>
      </c>
      <c r="F7440" s="515" t="s">
        <v>8655</v>
      </c>
      <c r="G7440" s="52">
        <v>122819.780183268</v>
      </c>
      <c r="H7440" s="56">
        <v>6.5594200875147154E-2</v>
      </c>
      <c r="I7440" s="224" t="s">
        <v>2</v>
      </c>
    </row>
    <row r="7441" spans="1:9" x14ac:dyDescent="0.25">
      <c r="A7441" s="515">
        <v>37642</v>
      </c>
      <c r="B7441" s="515" t="s">
        <v>902</v>
      </c>
      <c r="C7441" s="52">
        <v>209442.39738972101</v>
      </c>
      <c r="D7441" s="56">
        <v>0.13367727749323827</v>
      </c>
      <c r="E7441" s="224" t="s">
        <v>2</v>
      </c>
      <c r="F7441" s="515" t="s">
        <v>8656</v>
      </c>
      <c r="G7441" s="52">
        <v>171888.83970765301</v>
      </c>
      <c r="H7441" s="56">
        <v>8.3979505750989725E-2</v>
      </c>
      <c r="I7441" s="224" t="s">
        <v>2</v>
      </c>
    </row>
    <row r="7442" spans="1:9" x14ac:dyDescent="0.25">
      <c r="A7442" s="515">
        <v>29536</v>
      </c>
      <c r="C7442" s="52">
        <v>63638.668730596801</v>
      </c>
      <c r="D7442" s="56">
        <v>-5.092400574908184E-2</v>
      </c>
      <c r="E7442" s="224" t="s">
        <v>2</v>
      </c>
      <c r="F7442" s="515" t="s">
        <v>8657</v>
      </c>
      <c r="G7442" s="52">
        <v>901116.09870212094</v>
      </c>
      <c r="H7442" s="56">
        <v>5.4886278554046923E-2</v>
      </c>
      <c r="I7442" s="224">
        <v>1947.5</v>
      </c>
    </row>
    <row r="7443" spans="1:9" x14ac:dyDescent="0.25">
      <c r="A7443" s="515">
        <v>95742</v>
      </c>
      <c r="B7443" s="515" t="s">
        <v>355</v>
      </c>
      <c r="C7443" s="52">
        <v>612177.229597967</v>
      </c>
      <c r="D7443" s="56">
        <v>-8.65251675754178E-3</v>
      </c>
      <c r="E7443" s="224">
        <v>2376.5</v>
      </c>
      <c r="F7443" s="515" t="s">
        <v>764</v>
      </c>
      <c r="G7443" s="52">
        <v>67170.240960154901</v>
      </c>
      <c r="H7443" s="56">
        <v>3.3327069843673514E-2</v>
      </c>
      <c r="I7443" s="224" t="s">
        <v>2</v>
      </c>
    </row>
    <row r="7444" spans="1:9" x14ac:dyDescent="0.25">
      <c r="A7444" s="515">
        <v>38611</v>
      </c>
      <c r="B7444" s="515" t="s">
        <v>951</v>
      </c>
      <c r="C7444" s="52">
        <v>217956.910002185</v>
      </c>
      <c r="D7444" s="56">
        <v>6.5421888655629243E-2</v>
      </c>
      <c r="E7444" s="224" t="s">
        <v>2</v>
      </c>
      <c r="F7444" s="515" t="s">
        <v>8658</v>
      </c>
      <c r="G7444" s="52">
        <v>159733.82973722101</v>
      </c>
      <c r="H7444" s="56">
        <v>2.1463034775024612E-3</v>
      </c>
      <c r="I7444" s="224" t="s">
        <v>2</v>
      </c>
    </row>
    <row r="7445" spans="1:9" x14ac:dyDescent="0.25">
      <c r="A7445" s="515">
        <v>11937</v>
      </c>
      <c r="B7445" s="515" t="s">
        <v>324</v>
      </c>
      <c r="C7445" s="52">
        <v>1627125.50427286</v>
      </c>
      <c r="D7445" s="56">
        <v>0.17219407111860333</v>
      </c>
      <c r="E7445" s="224">
        <v>33583.484461152802</v>
      </c>
      <c r="F7445" s="515" t="s">
        <v>8659</v>
      </c>
      <c r="G7445" s="52">
        <v>260707.74032212101</v>
      </c>
      <c r="H7445" s="56">
        <v>2.8450858010043982E-2</v>
      </c>
      <c r="I7445" s="224" t="s">
        <v>2</v>
      </c>
    </row>
    <row r="7446" spans="1:9" x14ac:dyDescent="0.25">
      <c r="A7446" s="515">
        <v>34613</v>
      </c>
      <c r="B7446" s="515" t="s">
        <v>461</v>
      </c>
      <c r="C7446" s="52">
        <v>312374.38700228499</v>
      </c>
      <c r="D7446" s="56">
        <v>0.13753535001584202</v>
      </c>
      <c r="E7446" s="224" t="s">
        <v>2</v>
      </c>
      <c r="F7446" s="515" t="s">
        <v>8660</v>
      </c>
      <c r="G7446" s="52">
        <v>345172.54593880498</v>
      </c>
      <c r="H7446" s="56">
        <v>7.4241619845055978E-2</v>
      </c>
      <c r="I7446" s="224">
        <v>2160</v>
      </c>
    </row>
    <row r="7447" spans="1:9" x14ac:dyDescent="0.25">
      <c r="A7447" s="515">
        <v>17801</v>
      </c>
      <c r="B7447" s="515" t="s">
        <v>939</v>
      </c>
      <c r="C7447" s="52">
        <v>135003.105353844</v>
      </c>
      <c r="D7447" s="56">
        <v>3.6674706715662184E-2</v>
      </c>
      <c r="E7447" s="224" t="s">
        <v>2</v>
      </c>
      <c r="F7447" s="515" t="s">
        <v>8661</v>
      </c>
      <c r="G7447" s="52">
        <v>363394.34695032</v>
      </c>
      <c r="H7447" s="56">
        <v>7.9214440272731043E-2</v>
      </c>
      <c r="I7447" s="224" t="s">
        <v>2</v>
      </c>
    </row>
    <row r="7448" spans="1:9" x14ac:dyDescent="0.25">
      <c r="A7448" s="515">
        <v>32310</v>
      </c>
      <c r="B7448" s="515" t="s">
        <v>335</v>
      </c>
      <c r="C7448" s="52">
        <v>145807.70331527499</v>
      </c>
      <c r="D7448" s="56">
        <v>0.11292144712669352</v>
      </c>
      <c r="E7448" s="224" t="s">
        <v>2</v>
      </c>
      <c r="F7448" s="515" t="s">
        <v>8662</v>
      </c>
      <c r="G7448" s="52">
        <v>294044.84682036599</v>
      </c>
      <c r="H7448" s="56">
        <v>8.5118394160806382E-2</v>
      </c>
      <c r="I7448" s="224" t="s">
        <v>2</v>
      </c>
    </row>
    <row r="7449" spans="1:9" x14ac:dyDescent="0.25">
      <c r="A7449" s="515">
        <v>6831</v>
      </c>
      <c r="B7449" s="515" t="s">
        <v>1173</v>
      </c>
      <c r="C7449" s="52">
        <v>1673829.2813086601</v>
      </c>
      <c r="D7449" s="56">
        <v>0.10915791474062908</v>
      </c>
      <c r="E7449" s="224">
        <v>4150</v>
      </c>
      <c r="F7449" s="515" t="s">
        <v>8663</v>
      </c>
      <c r="G7449" s="52">
        <v>151446.69766681801</v>
      </c>
      <c r="H7449" s="56">
        <v>0.12065412429941871</v>
      </c>
      <c r="I7449" s="224" t="s">
        <v>2</v>
      </c>
    </row>
    <row r="7450" spans="1:9" x14ac:dyDescent="0.25">
      <c r="A7450" s="515">
        <v>15012</v>
      </c>
      <c r="B7450" s="515" t="s">
        <v>297</v>
      </c>
      <c r="C7450" s="52">
        <v>165006.57123160301</v>
      </c>
      <c r="D7450" s="56">
        <v>1.5788660639636704E-2</v>
      </c>
      <c r="E7450" s="224" t="s">
        <v>2</v>
      </c>
      <c r="F7450" s="515" t="s">
        <v>8664</v>
      </c>
      <c r="G7450" s="52">
        <v>166804.60303181401</v>
      </c>
      <c r="H7450" s="56">
        <v>-6.4281766482578273E-2</v>
      </c>
      <c r="I7450" s="224" t="s">
        <v>2</v>
      </c>
    </row>
    <row r="7451" spans="1:9" x14ac:dyDescent="0.25">
      <c r="A7451" s="515">
        <v>44706</v>
      </c>
      <c r="B7451" s="515" t="s">
        <v>863</v>
      </c>
      <c r="C7451" s="52">
        <v>126624.86349804699</v>
      </c>
      <c r="D7451" s="56">
        <v>7.595856369473386E-2</v>
      </c>
      <c r="E7451" s="224" t="s">
        <v>2</v>
      </c>
      <c r="F7451" s="515" t="s">
        <v>8665</v>
      </c>
      <c r="G7451" s="52">
        <v>309867.95900131698</v>
      </c>
      <c r="H7451" s="56">
        <v>0.11014929543632428</v>
      </c>
      <c r="I7451" s="224" t="s">
        <v>2</v>
      </c>
    </row>
    <row r="7452" spans="1:9" x14ac:dyDescent="0.25">
      <c r="A7452" s="515">
        <v>74070</v>
      </c>
      <c r="B7452" s="515" t="s">
        <v>348</v>
      </c>
      <c r="C7452" s="52">
        <v>218860.37612553799</v>
      </c>
      <c r="D7452" s="56">
        <v>6.9859136354133045E-2</v>
      </c>
      <c r="E7452" s="224" t="s">
        <v>2</v>
      </c>
      <c r="F7452" s="515" t="s">
        <v>8666</v>
      </c>
      <c r="G7452" s="52">
        <v>297999.16265013599</v>
      </c>
      <c r="H7452" s="56">
        <v>4.4874477864138132E-2</v>
      </c>
      <c r="I7452" s="224" t="s">
        <v>2</v>
      </c>
    </row>
    <row r="7453" spans="1:9" x14ac:dyDescent="0.25">
      <c r="A7453" s="515">
        <v>54660</v>
      </c>
      <c r="C7453" s="52">
        <v>203062.93803731599</v>
      </c>
      <c r="D7453" s="56">
        <v>4.6939744609756522E-2</v>
      </c>
      <c r="E7453" s="224" t="s">
        <v>2</v>
      </c>
      <c r="F7453" s="515" t="s">
        <v>8667</v>
      </c>
      <c r="G7453" s="52">
        <v>108174.602123919</v>
      </c>
      <c r="H7453" s="56">
        <v>-4.1311606189619786E-2</v>
      </c>
      <c r="I7453" s="224" t="s">
        <v>2</v>
      </c>
    </row>
    <row r="7454" spans="1:9" x14ac:dyDescent="0.25">
      <c r="A7454" s="515">
        <v>11751</v>
      </c>
      <c r="B7454" s="515" t="s">
        <v>324</v>
      </c>
      <c r="C7454" s="52">
        <v>522820.46690498199</v>
      </c>
      <c r="D7454" s="56">
        <v>1.1084008164334436E-2</v>
      </c>
      <c r="E7454" s="224" t="s">
        <v>2</v>
      </c>
      <c r="F7454" s="515" t="s">
        <v>8668</v>
      </c>
      <c r="G7454" s="52">
        <v>338806.43778484</v>
      </c>
      <c r="H7454" s="56">
        <v>6.6959761204045634E-2</v>
      </c>
      <c r="I7454" s="224">
        <v>1942.5</v>
      </c>
    </row>
    <row r="7455" spans="1:9" x14ac:dyDescent="0.25">
      <c r="A7455" s="515">
        <v>21046</v>
      </c>
      <c r="B7455" s="515" t="s">
        <v>582</v>
      </c>
      <c r="C7455" s="52">
        <v>458933.91349668999</v>
      </c>
      <c r="D7455" s="56">
        <v>3.1667765901690119E-2</v>
      </c>
      <c r="E7455" s="224">
        <v>2065.1666666666601</v>
      </c>
      <c r="F7455" s="515" t="s">
        <v>8669</v>
      </c>
      <c r="G7455" s="52">
        <v>676314.30514496204</v>
      </c>
      <c r="H7455" s="56">
        <v>0.10269470964250678</v>
      </c>
      <c r="I7455" s="224">
        <v>1935.7222222222199</v>
      </c>
    </row>
    <row r="7456" spans="1:9" x14ac:dyDescent="0.25">
      <c r="A7456" s="515">
        <v>36106</v>
      </c>
      <c r="B7456" s="515" t="s">
        <v>806</v>
      </c>
      <c r="C7456" s="52">
        <v>183784.92212780099</v>
      </c>
      <c r="D7456" s="56">
        <v>8.2984807320184706E-2</v>
      </c>
      <c r="E7456" s="224">
        <v>1318.3333333333301</v>
      </c>
      <c r="F7456" s="515" t="s">
        <v>8670</v>
      </c>
      <c r="G7456" s="52">
        <v>251000.84784725701</v>
      </c>
      <c r="H7456" s="56">
        <v>8.5924073457640804E-2</v>
      </c>
      <c r="I7456" s="224" t="s">
        <v>2</v>
      </c>
    </row>
    <row r="7457" spans="1:9" x14ac:dyDescent="0.25">
      <c r="A7457" s="515">
        <v>2878</v>
      </c>
      <c r="B7457" s="515" t="s">
        <v>513</v>
      </c>
      <c r="C7457" s="52">
        <v>447329.57023638499</v>
      </c>
      <c r="D7457" s="56">
        <v>0.12161288641915208</v>
      </c>
      <c r="E7457" s="224" t="s">
        <v>2</v>
      </c>
      <c r="F7457" s="515" t="s">
        <v>8671</v>
      </c>
      <c r="G7457" s="52">
        <v>443842.62905265403</v>
      </c>
      <c r="H7457" s="56">
        <v>6.4528366472957621E-2</v>
      </c>
      <c r="I7457" s="224" t="s">
        <v>2</v>
      </c>
    </row>
    <row r="7458" spans="1:9" x14ac:dyDescent="0.25">
      <c r="A7458" s="515">
        <v>37398</v>
      </c>
      <c r="B7458" s="515" t="s">
        <v>977</v>
      </c>
      <c r="C7458" s="52">
        <v>284634.19461575698</v>
      </c>
      <c r="D7458" s="56">
        <v>0.10847132615478047</v>
      </c>
      <c r="E7458" s="224" t="s">
        <v>2</v>
      </c>
      <c r="F7458" s="515" t="s">
        <v>8672</v>
      </c>
      <c r="G7458" s="52">
        <v>230993.588278788</v>
      </c>
      <c r="H7458" s="56">
        <v>6.0732414076346372E-2</v>
      </c>
      <c r="I7458" s="224" t="s">
        <v>2</v>
      </c>
    </row>
    <row r="7459" spans="1:9" x14ac:dyDescent="0.25">
      <c r="A7459" s="515">
        <v>75601</v>
      </c>
      <c r="B7459" s="515" t="s">
        <v>319</v>
      </c>
      <c r="C7459" s="52">
        <v>188926.20272080999</v>
      </c>
      <c r="D7459" s="56">
        <v>0.10147847147969959</v>
      </c>
      <c r="E7459" s="224" t="s">
        <v>2</v>
      </c>
      <c r="F7459" s="515" t="s">
        <v>8673</v>
      </c>
      <c r="G7459" s="52">
        <v>185642.000072133</v>
      </c>
      <c r="H7459" s="56">
        <v>9.2691939656567426E-2</v>
      </c>
      <c r="I7459" s="224" t="s">
        <v>2</v>
      </c>
    </row>
    <row r="7460" spans="1:9" x14ac:dyDescent="0.25">
      <c r="A7460" s="515">
        <v>77640</v>
      </c>
      <c r="B7460" s="515" t="s">
        <v>492</v>
      </c>
      <c r="C7460" s="52">
        <v>92193.426159198701</v>
      </c>
      <c r="D7460" s="56">
        <v>7.771465550787407E-2</v>
      </c>
      <c r="E7460" s="224" t="s">
        <v>2</v>
      </c>
      <c r="F7460" s="515" t="s">
        <v>8674</v>
      </c>
      <c r="G7460" s="52">
        <v>279973.49068884098</v>
      </c>
      <c r="H7460" s="56">
        <v>7.4145860081659354E-2</v>
      </c>
      <c r="I7460" s="224" t="s">
        <v>2</v>
      </c>
    </row>
    <row r="7461" spans="1:9" x14ac:dyDescent="0.25">
      <c r="A7461" s="515">
        <v>44044</v>
      </c>
      <c r="B7461" s="515" t="s">
        <v>520</v>
      </c>
      <c r="C7461" s="52">
        <v>251173.14114763</v>
      </c>
      <c r="D7461" s="56">
        <v>7.674104333280897E-2</v>
      </c>
      <c r="E7461" s="224" t="s">
        <v>2</v>
      </c>
      <c r="F7461" s="515" t="s">
        <v>8675</v>
      </c>
      <c r="G7461" s="52">
        <v>211555.63472532501</v>
      </c>
      <c r="H7461" s="56">
        <v>3.9657454712987851E-2</v>
      </c>
      <c r="I7461" s="224" t="s">
        <v>2</v>
      </c>
    </row>
    <row r="7462" spans="1:9" x14ac:dyDescent="0.25">
      <c r="A7462" s="515">
        <v>48072</v>
      </c>
      <c r="B7462" s="515" t="s">
        <v>685</v>
      </c>
      <c r="C7462" s="52">
        <v>271501.75383181102</v>
      </c>
      <c r="D7462" s="56">
        <v>4.1297407204522171E-2</v>
      </c>
      <c r="E7462" s="224">
        <v>1719.44444444444</v>
      </c>
      <c r="F7462" s="515" t="s">
        <v>8676</v>
      </c>
      <c r="G7462" s="52">
        <v>238479.205777172</v>
      </c>
      <c r="H7462" s="56">
        <v>5.3158219042131949E-3</v>
      </c>
      <c r="I7462" s="224" t="s">
        <v>2</v>
      </c>
    </row>
    <row r="7463" spans="1:9" x14ac:dyDescent="0.25">
      <c r="A7463" s="515">
        <v>77422</v>
      </c>
      <c r="B7463" s="515" t="s">
        <v>314</v>
      </c>
      <c r="C7463" s="52">
        <v>203322.362858448</v>
      </c>
      <c r="D7463" s="56">
        <v>-7.1653923472744657E-3</v>
      </c>
      <c r="E7463" s="224" t="s">
        <v>2</v>
      </c>
      <c r="F7463" s="515" t="s">
        <v>8677</v>
      </c>
      <c r="G7463" s="52">
        <v>241283.85076057701</v>
      </c>
      <c r="H7463" s="56">
        <v>5.0076416859994498E-2</v>
      </c>
      <c r="I7463" s="224" t="s">
        <v>2</v>
      </c>
    </row>
    <row r="7464" spans="1:9" x14ac:dyDescent="0.25">
      <c r="A7464" s="515">
        <v>33469</v>
      </c>
      <c r="B7464" s="515" t="s">
        <v>831</v>
      </c>
      <c r="C7464" s="52">
        <v>671591.20471036399</v>
      </c>
      <c r="D7464" s="56">
        <v>0.14513045670194549</v>
      </c>
      <c r="E7464" s="224">
        <v>3425</v>
      </c>
      <c r="F7464" s="515" t="s">
        <v>8678</v>
      </c>
      <c r="G7464" s="52">
        <v>143463.116182903</v>
      </c>
      <c r="H7464" s="56">
        <v>6.4515101102291902E-2</v>
      </c>
      <c r="I7464" s="224" t="s">
        <v>2</v>
      </c>
    </row>
    <row r="7465" spans="1:9" x14ac:dyDescent="0.25">
      <c r="A7465" s="515">
        <v>55413</v>
      </c>
      <c r="B7465" s="515" t="s">
        <v>532</v>
      </c>
      <c r="C7465" s="52">
        <v>317149.04955902399</v>
      </c>
      <c r="D7465" s="56">
        <v>5.6646421773672842E-4</v>
      </c>
      <c r="E7465" s="224">
        <v>1612.658008658</v>
      </c>
      <c r="F7465" s="515" t="s">
        <v>916</v>
      </c>
      <c r="G7465" s="52">
        <v>220125.81047182801</v>
      </c>
      <c r="H7465" s="56">
        <v>7.2105402869681201E-2</v>
      </c>
      <c r="I7465" s="224" t="s">
        <v>2</v>
      </c>
    </row>
    <row r="7466" spans="1:9" x14ac:dyDescent="0.25">
      <c r="A7466" s="515">
        <v>70518</v>
      </c>
      <c r="B7466" s="515" t="s">
        <v>1004</v>
      </c>
      <c r="C7466" s="52">
        <v>260297.67563304299</v>
      </c>
      <c r="D7466" s="56">
        <v>3.7599792809766976E-2</v>
      </c>
      <c r="E7466" s="224" t="s">
        <v>2</v>
      </c>
      <c r="F7466" s="515" t="s">
        <v>8679</v>
      </c>
      <c r="G7466" s="52">
        <v>369988.58986174298</v>
      </c>
      <c r="H7466" s="56">
        <v>6.5711067565976014E-2</v>
      </c>
      <c r="I7466" s="224" t="s">
        <v>2</v>
      </c>
    </row>
    <row r="7467" spans="1:9" x14ac:dyDescent="0.25">
      <c r="A7467" s="515">
        <v>12589</v>
      </c>
      <c r="B7467" s="515" t="s">
        <v>307</v>
      </c>
      <c r="C7467" s="52">
        <v>383564.31355130702</v>
      </c>
      <c r="D7467" s="56">
        <v>9.4859628507630619E-2</v>
      </c>
      <c r="E7467" s="224" t="s">
        <v>2</v>
      </c>
      <c r="F7467" s="515" t="s">
        <v>8680</v>
      </c>
      <c r="G7467" s="52">
        <v>465876.67699436197</v>
      </c>
      <c r="H7467" s="56">
        <v>5.8386877463147212E-2</v>
      </c>
      <c r="I7467" s="224" t="s">
        <v>2</v>
      </c>
    </row>
    <row r="7468" spans="1:9" x14ac:dyDescent="0.25">
      <c r="A7468" s="515">
        <v>61834</v>
      </c>
      <c r="B7468" s="515" t="s">
        <v>999</v>
      </c>
      <c r="C7468" s="52">
        <v>133840.20047028299</v>
      </c>
      <c r="D7468" s="56">
        <v>6.1436404473743593E-2</v>
      </c>
      <c r="E7468" s="224" t="s">
        <v>2</v>
      </c>
      <c r="F7468" s="515" t="s">
        <v>8681</v>
      </c>
      <c r="G7468" s="52">
        <v>192926.361473834</v>
      </c>
      <c r="H7468" s="56">
        <v>8.2115250410334462E-2</v>
      </c>
      <c r="I7468" s="224" t="s">
        <v>2</v>
      </c>
    </row>
    <row r="7469" spans="1:9" x14ac:dyDescent="0.25">
      <c r="A7469" s="515">
        <v>24201</v>
      </c>
      <c r="B7469" s="515" t="s">
        <v>902</v>
      </c>
      <c r="C7469" s="52">
        <v>150101.51924436499</v>
      </c>
      <c r="D7469" s="56">
        <v>0.15641155832019871</v>
      </c>
      <c r="E7469" s="224" t="s">
        <v>2</v>
      </c>
      <c r="F7469" s="515" t="s">
        <v>8682</v>
      </c>
      <c r="G7469" s="52">
        <v>123075.791005363</v>
      </c>
      <c r="H7469" s="56">
        <v>7.9499409961835257E-2</v>
      </c>
      <c r="I7469" s="224" t="s">
        <v>2</v>
      </c>
    </row>
    <row r="7470" spans="1:9" x14ac:dyDescent="0.25">
      <c r="A7470" s="515">
        <v>53073</v>
      </c>
      <c r="B7470" s="515" t="s">
        <v>1063</v>
      </c>
      <c r="C7470" s="52">
        <v>268366.27516358701</v>
      </c>
      <c r="D7470" s="56">
        <v>5.5356757740681779E-2</v>
      </c>
      <c r="E7470" s="224" t="s">
        <v>2</v>
      </c>
      <c r="F7470" s="515" t="s">
        <v>8683</v>
      </c>
      <c r="G7470" s="52">
        <v>89984.947305875103</v>
      </c>
      <c r="H7470" s="56">
        <v>0.13333325901390916</v>
      </c>
      <c r="I7470" s="224" t="s">
        <v>2</v>
      </c>
    </row>
    <row r="7471" spans="1:9" x14ac:dyDescent="0.25">
      <c r="A7471" s="515">
        <v>31322</v>
      </c>
      <c r="B7471" s="515" t="s">
        <v>351</v>
      </c>
      <c r="C7471" s="52">
        <v>308146.25446059502</v>
      </c>
      <c r="D7471" s="56">
        <v>0.13460038620424564</v>
      </c>
      <c r="E7471" s="224">
        <v>1874.39696969696</v>
      </c>
      <c r="F7471" s="515" t="s">
        <v>8684</v>
      </c>
      <c r="G7471" s="52">
        <v>126689.514616659</v>
      </c>
      <c r="H7471" s="56">
        <v>1.5701781136798744E-2</v>
      </c>
      <c r="I7471" s="224" t="s">
        <v>2</v>
      </c>
    </row>
    <row r="7472" spans="1:9" x14ac:dyDescent="0.25">
      <c r="A7472" s="515">
        <v>78751</v>
      </c>
      <c r="B7472" s="515" t="s">
        <v>380</v>
      </c>
      <c r="C7472" s="52">
        <v>677441.83226536401</v>
      </c>
      <c r="D7472" s="56">
        <v>6.1588278508639918E-2</v>
      </c>
      <c r="E7472" s="224">
        <v>1940.9243773390101</v>
      </c>
      <c r="F7472" s="515" t="s">
        <v>8685</v>
      </c>
      <c r="G7472" s="52">
        <v>173008.59493491601</v>
      </c>
      <c r="H7472" s="56">
        <v>6.1972983082839508E-2</v>
      </c>
      <c r="I7472" s="224" t="s">
        <v>2</v>
      </c>
    </row>
    <row r="7473" spans="1:9" x14ac:dyDescent="0.25">
      <c r="A7473" s="515">
        <v>32641</v>
      </c>
      <c r="B7473" s="515" t="s">
        <v>577</v>
      </c>
      <c r="C7473" s="52">
        <v>155374.35254330601</v>
      </c>
      <c r="D7473" s="56">
        <v>0.15872816427207911</v>
      </c>
      <c r="E7473" s="224" t="s">
        <v>2</v>
      </c>
      <c r="F7473" s="515" t="s">
        <v>8686</v>
      </c>
      <c r="G7473" s="52">
        <v>367378.57123176899</v>
      </c>
      <c r="H7473" s="56">
        <v>7.1723165457595328E-2</v>
      </c>
      <c r="I7473" s="224" t="s">
        <v>2</v>
      </c>
    </row>
    <row r="7474" spans="1:9" x14ac:dyDescent="0.25">
      <c r="A7474" s="515">
        <v>34105</v>
      </c>
      <c r="B7474" s="515" t="s">
        <v>365</v>
      </c>
      <c r="C7474" s="52">
        <v>489034.57632573199</v>
      </c>
      <c r="D7474" s="56">
        <v>0.1579495815797721</v>
      </c>
      <c r="E7474" s="224">
        <v>2945.6444444444401</v>
      </c>
      <c r="F7474" s="515" t="s">
        <v>8687</v>
      </c>
      <c r="G7474" s="52">
        <v>292749.16398691799</v>
      </c>
      <c r="H7474" s="56">
        <v>3.2418327755221243E-2</v>
      </c>
      <c r="I7474" s="224" t="s">
        <v>2</v>
      </c>
    </row>
    <row r="7475" spans="1:9" x14ac:dyDescent="0.25">
      <c r="A7475" s="515">
        <v>38237</v>
      </c>
      <c r="B7475" s="515" t="s">
        <v>788</v>
      </c>
      <c r="C7475" s="52">
        <v>170238.687285166</v>
      </c>
      <c r="D7475" s="56">
        <v>8.9436572221897617E-2</v>
      </c>
      <c r="E7475" s="224" t="s">
        <v>2</v>
      </c>
      <c r="F7475" s="515" t="s">
        <v>8688</v>
      </c>
      <c r="G7475" s="52">
        <v>327619.70777082897</v>
      </c>
      <c r="H7475" s="56">
        <v>3.8142264605974696E-2</v>
      </c>
      <c r="I7475" s="224" t="s">
        <v>2</v>
      </c>
    </row>
    <row r="7476" spans="1:9" x14ac:dyDescent="0.25">
      <c r="A7476" s="515">
        <v>16505</v>
      </c>
      <c r="B7476" s="515" t="s">
        <v>753</v>
      </c>
      <c r="C7476" s="52">
        <v>193784.72196089401</v>
      </c>
      <c r="D7476" s="56">
        <v>6.169432653258148E-2</v>
      </c>
      <c r="E7476" s="224" t="s">
        <v>2</v>
      </c>
      <c r="F7476" s="515" t="s">
        <v>8689</v>
      </c>
      <c r="G7476" s="52">
        <v>341309.43403256399</v>
      </c>
      <c r="H7476" s="56">
        <v>5.9172449104960272E-2</v>
      </c>
      <c r="I7476" s="224" t="s">
        <v>2</v>
      </c>
    </row>
    <row r="7477" spans="1:9" x14ac:dyDescent="0.25">
      <c r="A7477" s="515">
        <v>10580</v>
      </c>
      <c r="B7477" s="515" t="s">
        <v>324</v>
      </c>
      <c r="C7477" s="52">
        <v>1815559.3262267299</v>
      </c>
      <c r="D7477" s="56">
        <v>0.1161574039965716</v>
      </c>
      <c r="E7477" s="224" t="s">
        <v>2</v>
      </c>
      <c r="F7477" s="515" t="s">
        <v>8690</v>
      </c>
      <c r="G7477" s="52">
        <v>227587.52457002501</v>
      </c>
      <c r="H7477" s="56">
        <v>0.18361213906765839</v>
      </c>
      <c r="I7477" s="224" t="s">
        <v>2</v>
      </c>
    </row>
    <row r="7478" spans="1:9" x14ac:dyDescent="0.25">
      <c r="A7478" s="515">
        <v>19968</v>
      </c>
      <c r="B7478" s="515" t="s">
        <v>552</v>
      </c>
      <c r="C7478" s="52">
        <v>438267.94462138403</v>
      </c>
      <c r="D7478" s="56">
        <v>5.7333240681747444E-2</v>
      </c>
      <c r="E7478" s="224" t="s">
        <v>2</v>
      </c>
      <c r="F7478" s="515" t="s">
        <v>8691</v>
      </c>
      <c r="G7478" s="52">
        <v>669506.03988595598</v>
      </c>
      <c r="H7478" s="56">
        <v>5.5218236732357831E-2</v>
      </c>
      <c r="I7478" s="224" t="s">
        <v>2</v>
      </c>
    </row>
    <row r="7479" spans="1:9" x14ac:dyDescent="0.25">
      <c r="A7479" s="515">
        <v>79549</v>
      </c>
      <c r="B7479" s="515" t="s">
        <v>743</v>
      </c>
      <c r="C7479" s="52">
        <v>101999.81366365901</v>
      </c>
      <c r="D7479" s="56">
        <v>-5.0323037153178866E-2</v>
      </c>
      <c r="E7479" s="224" t="s">
        <v>2</v>
      </c>
      <c r="F7479" s="515" t="s">
        <v>8692</v>
      </c>
      <c r="G7479" s="52">
        <v>106725.581940117</v>
      </c>
      <c r="H7479" s="56">
        <v>-4.0518293297632568E-2</v>
      </c>
      <c r="I7479" s="224" t="s">
        <v>2</v>
      </c>
    </row>
    <row r="7480" spans="1:9" x14ac:dyDescent="0.25">
      <c r="A7480" s="515">
        <v>45202</v>
      </c>
      <c r="B7480" s="515" t="s">
        <v>344</v>
      </c>
      <c r="C7480" s="52">
        <v>363166.81950045697</v>
      </c>
      <c r="D7480" s="56">
        <v>7.7578369247294585E-3</v>
      </c>
      <c r="E7480" s="224">
        <v>1514.7885558069299</v>
      </c>
      <c r="F7480" s="515" t="s">
        <v>8693</v>
      </c>
      <c r="G7480" s="52">
        <v>142413.424852892</v>
      </c>
      <c r="H7480" s="56">
        <v>0.11029399999605422</v>
      </c>
      <c r="I7480" s="224" t="s">
        <v>2</v>
      </c>
    </row>
    <row r="7481" spans="1:9" x14ac:dyDescent="0.25">
      <c r="A7481" s="515">
        <v>44425</v>
      </c>
      <c r="B7481" s="515" t="s">
        <v>397</v>
      </c>
      <c r="C7481" s="52">
        <v>140835.975629625</v>
      </c>
      <c r="D7481" s="56">
        <v>6.9465950107453392E-2</v>
      </c>
      <c r="E7481" s="224" t="s">
        <v>2</v>
      </c>
      <c r="F7481" s="515" t="s">
        <v>8694</v>
      </c>
      <c r="G7481" s="52">
        <v>926677.56956704799</v>
      </c>
      <c r="H7481" s="56">
        <v>3.6168928460230815E-2</v>
      </c>
      <c r="I7481" s="224" t="s">
        <v>2</v>
      </c>
    </row>
    <row r="7482" spans="1:9" x14ac:dyDescent="0.25">
      <c r="A7482" s="515">
        <v>44140</v>
      </c>
      <c r="B7482" s="515" t="s">
        <v>520</v>
      </c>
      <c r="C7482" s="52">
        <v>332200.54178439802</v>
      </c>
      <c r="D7482" s="56">
        <v>5.3579351519301148E-2</v>
      </c>
      <c r="E7482" s="224" t="s">
        <v>2</v>
      </c>
      <c r="F7482" s="515" t="s">
        <v>8695</v>
      </c>
      <c r="G7482" s="52">
        <v>735604.24622892903</v>
      </c>
      <c r="H7482" s="56">
        <v>6.1367842154744077E-2</v>
      </c>
      <c r="I7482" s="224" t="s">
        <v>2</v>
      </c>
    </row>
    <row r="7483" spans="1:9" x14ac:dyDescent="0.25">
      <c r="A7483" s="515">
        <v>6461</v>
      </c>
      <c r="B7483" s="515" t="s">
        <v>1172</v>
      </c>
      <c r="C7483" s="52">
        <v>413488.90000144299</v>
      </c>
      <c r="D7483" s="56">
        <v>9.3759831224195095E-2</v>
      </c>
      <c r="E7483" s="224" t="s">
        <v>2</v>
      </c>
      <c r="F7483" s="515" t="s">
        <v>8696</v>
      </c>
      <c r="G7483" s="52">
        <v>653915.25333659304</v>
      </c>
      <c r="H7483" s="56">
        <v>2.9812267370088463E-2</v>
      </c>
      <c r="I7483" s="224" t="s">
        <v>2</v>
      </c>
    </row>
    <row r="7484" spans="1:9" x14ac:dyDescent="0.25">
      <c r="A7484" s="515">
        <v>94805</v>
      </c>
      <c r="B7484" s="515" t="s">
        <v>593</v>
      </c>
      <c r="C7484" s="52">
        <v>738660.94568030001</v>
      </c>
      <c r="D7484" s="56">
        <v>1.7506206946338792E-2</v>
      </c>
      <c r="E7484" s="224">
        <v>2401.5</v>
      </c>
      <c r="F7484" s="515" t="s">
        <v>8697</v>
      </c>
      <c r="G7484" s="52">
        <v>447959.24693606101</v>
      </c>
      <c r="H7484" s="56">
        <v>5.7431824005665655E-2</v>
      </c>
      <c r="I7484" s="224" t="s">
        <v>2</v>
      </c>
    </row>
    <row r="7485" spans="1:9" x14ac:dyDescent="0.25">
      <c r="A7485" s="515">
        <v>92617</v>
      </c>
      <c r="B7485" s="515" t="s">
        <v>375</v>
      </c>
      <c r="C7485" s="52">
        <v>701473.07171307504</v>
      </c>
      <c r="D7485" s="56">
        <v>0.10105191376894744</v>
      </c>
      <c r="E7485" s="224" t="s">
        <v>2</v>
      </c>
      <c r="F7485" s="515" t="s">
        <v>8698</v>
      </c>
      <c r="G7485" s="52">
        <v>335308.10896319099</v>
      </c>
      <c r="H7485" s="56">
        <v>9.8957664464788264E-2</v>
      </c>
      <c r="I7485" s="224" t="s">
        <v>2</v>
      </c>
    </row>
    <row r="7486" spans="1:9" x14ac:dyDescent="0.25">
      <c r="A7486" s="515">
        <v>46755</v>
      </c>
      <c r="B7486" s="515" t="s">
        <v>1058</v>
      </c>
      <c r="C7486" s="52">
        <v>182572.23635049499</v>
      </c>
      <c r="D7486" s="56">
        <v>6.4942095272127326E-2</v>
      </c>
      <c r="E7486" s="224" t="s">
        <v>2</v>
      </c>
      <c r="F7486" s="515" t="s">
        <v>8699</v>
      </c>
      <c r="G7486" s="52">
        <v>191708.38255965299</v>
      </c>
      <c r="H7486" s="56">
        <v>4.3083292781503045E-2</v>
      </c>
      <c r="I7486" s="224" t="s">
        <v>2</v>
      </c>
    </row>
    <row r="7487" spans="1:9" x14ac:dyDescent="0.25">
      <c r="A7487" s="515">
        <v>67214</v>
      </c>
      <c r="B7487" s="515" t="s">
        <v>485</v>
      </c>
      <c r="C7487" s="52">
        <v>70922.032499424298</v>
      </c>
      <c r="D7487" s="56">
        <v>0.27063362755536552</v>
      </c>
      <c r="E7487" s="224">
        <v>724.58333333333303</v>
      </c>
      <c r="F7487" s="515" t="s">
        <v>8700</v>
      </c>
      <c r="G7487" s="52">
        <v>202845.286617651</v>
      </c>
      <c r="H7487" s="56">
        <v>0.10623559429552265</v>
      </c>
      <c r="I7487" s="224" t="s">
        <v>2</v>
      </c>
    </row>
    <row r="7488" spans="1:9" x14ac:dyDescent="0.25">
      <c r="A7488" s="515">
        <v>22303</v>
      </c>
      <c r="B7488" s="515" t="s">
        <v>321</v>
      </c>
      <c r="C7488" s="52">
        <v>475014.99674387398</v>
      </c>
      <c r="D7488" s="56">
        <v>2.3392737604748914E-2</v>
      </c>
      <c r="E7488" s="224">
        <v>1816.9992063492</v>
      </c>
      <c r="F7488" s="515" t="s">
        <v>8701</v>
      </c>
      <c r="G7488" s="52">
        <v>247542.54910221501</v>
      </c>
      <c r="H7488" s="56">
        <v>9.6202825583852167E-2</v>
      </c>
      <c r="I7488" s="224" t="s">
        <v>2</v>
      </c>
    </row>
    <row r="7489" spans="1:9" x14ac:dyDescent="0.25">
      <c r="A7489" s="515">
        <v>37763</v>
      </c>
      <c r="B7489" s="515" t="s">
        <v>907</v>
      </c>
      <c r="C7489" s="52">
        <v>282237.69568582898</v>
      </c>
      <c r="D7489" s="56">
        <v>9.0197020299792152E-2</v>
      </c>
      <c r="E7489" s="224" t="s">
        <v>2</v>
      </c>
      <c r="F7489" s="515" t="s">
        <v>8702</v>
      </c>
      <c r="G7489" s="52">
        <v>292482.46039623499</v>
      </c>
      <c r="H7489" s="56">
        <v>8.8668701045710396E-2</v>
      </c>
      <c r="I7489" s="224" t="s">
        <v>2</v>
      </c>
    </row>
    <row r="7490" spans="1:9" x14ac:dyDescent="0.25">
      <c r="A7490" s="515">
        <v>2452</v>
      </c>
      <c r="B7490" s="515" t="s">
        <v>534</v>
      </c>
      <c r="C7490" s="52">
        <v>725542.57408611698</v>
      </c>
      <c r="D7490" s="56">
        <v>3.4299445533838104E-2</v>
      </c>
      <c r="E7490" s="224">
        <v>2410.7777777777701</v>
      </c>
      <c r="F7490" s="515" t="s">
        <v>8703</v>
      </c>
      <c r="G7490" s="52">
        <v>196521.41715774901</v>
      </c>
      <c r="H7490" s="56">
        <v>9.6940942149098888E-2</v>
      </c>
      <c r="I7490" s="224" t="s">
        <v>2</v>
      </c>
    </row>
    <row r="7491" spans="1:9" x14ac:dyDescent="0.25">
      <c r="A7491" s="515">
        <v>91436</v>
      </c>
      <c r="B7491" s="515" t="s">
        <v>375</v>
      </c>
      <c r="C7491" s="52">
        <v>2157464.5995942699</v>
      </c>
      <c r="D7491" s="56">
        <v>7.855575365235809E-2</v>
      </c>
      <c r="E7491" s="224">
        <v>4927.7777777777701</v>
      </c>
      <c r="F7491" s="515" t="s">
        <v>8704</v>
      </c>
      <c r="G7491" s="52">
        <v>200446.76101495</v>
      </c>
      <c r="H7491" s="56">
        <v>8.9871030694257101E-2</v>
      </c>
      <c r="I7491" s="224" t="s">
        <v>2</v>
      </c>
    </row>
    <row r="7492" spans="1:9" x14ac:dyDescent="0.25">
      <c r="A7492" s="515">
        <v>75773</v>
      </c>
      <c r="C7492" s="52">
        <v>231310.01986657499</v>
      </c>
      <c r="D7492" s="56">
        <v>5.3393197791696531E-2</v>
      </c>
      <c r="E7492" s="224" t="s">
        <v>2</v>
      </c>
      <c r="F7492" s="515" t="s">
        <v>8705</v>
      </c>
      <c r="G7492" s="52">
        <v>121074.434951038</v>
      </c>
      <c r="H7492" s="56">
        <v>-5.1408675683959848E-2</v>
      </c>
      <c r="I7492" s="224" t="s">
        <v>2</v>
      </c>
    </row>
    <row r="7493" spans="1:9" x14ac:dyDescent="0.25">
      <c r="A7493" s="515">
        <v>90623</v>
      </c>
      <c r="B7493" s="515" t="s">
        <v>375</v>
      </c>
      <c r="C7493" s="52">
        <v>986656.17430636997</v>
      </c>
      <c r="D7493" s="56">
        <v>5.590688517981468E-2</v>
      </c>
      <c r="E7493" s="224">
        <v>3650</v>
      </c>
      <c r="F7493" s="515" t="s">
        <v>8706</v>
      </c>
      <c r="G7493" s="52">
        <v>200407.21568409301</v>
      </c>
      <c r="H7493" s="56">
        <v>0.12778003186479298</v>
      </c>
      <c r="I7493" s="224" t="s">
        <v>2</v>
      </c>
    </row>
    <row r="7494" spans="1:9" x14ac:dyDescent="0.25">
      <c r="A7494" s="515">
        <v>99338</v>
      </c>
      <c r="B7494" s="515" t="s">
        <v>1068</v>
      </c>
      <c r="C7494" s="52">
        <v>520794.14367055101</v>
      </c>
      <c r="D7494" s="56">
        <v>5.2431975325458589E-2</v>
      </c>
      <c r="E7494" s="224" t="s">
        <v>2</v>
      </c>
      <c r="F7494" s="515" t="s">
        <v>8707</v>
      </c>
      <c r="G7494" s="52">
        <v>224743.210058255</v>
      </c>
      <c r="H7494" s="56">
        <v>6.0171355055685369E-2</v>
      </c>
      <c r="I7494" s="224" t="s">
        <v>2</v>
      </c>
    </row>
    <row r="7495" spans="1:9" x14ac:dyDescent="0.25">
      <c r="A7495" s="515">
        <v>68108</v>
      </c>
      <c r="B7495" s="515" t="s">
        <v>367</v>
      </c>
      <c r="C7495" s="52">
        <v>150339.06645616001</v>
      </c>
      <c r="D7495" s="56">
        <v>0.12133647886338418</v>
      </c>
      <c r="E7495" s="224" t="s">
        <v>2</v>
      </c>
      <c r="F7495" s="515" t="s">
        <v>8708</v>
      </c>
      <c r="G7495" s="52">
        <v>385011.95045402303</v>
      </c>
      <c r="H7495" s="56">
        <v>4.1264911013097851E-2</v>
      </c>
      <c r="I7495" s="224" t="s">
        <v>2</v>
      </c>
    </row>
    <row r="7496" spans="1:9" x14ac:dyDescent="0.25">
      <c r="A7496" s="515">
        <v>20794</v>
      </c>
      <c r="B7496" s="515" t="s">
        <v>582</v>
      </c>
      <c r="C7496" s="52">
        <v>434161.37085593201</v>
      </c>
      <c r="D7496" s="56">
        <v>4.0819599712509078E-2</v>
      </c>
      <c r="E7496" s="224" t="s">
        <v>2</v>
      </c>
      <c r="F7496" s="515" t="s">
        <v>8709</v>
      </c>
      <c r="G7496" s="52">
        <v>412152.957733799</v>
      </c>
      <c r="H7496" s="56">
        <v>7.4164005677596317E-2</v>
      </c>
      <c r="I7496" s="224" t="s">
        <v>2</v>
      </c>
    </row>
    <row r="7497" spans="1:9" x14ac:dyDescent="0.25">
      <c r="A7497" s="515">
        <v>76707</v>
      </c>
      <c r="B7497" s="515" t="s">
        <v>1057</v>
      </c>
      <c r="C7497" s="52">
        <v>144276.06793809199</v>
      </c>
      <c r="D7497" s="56">
        <v>0.17778356544062252</v>
      </c>
      <c r="E7497" s="224">
        <v>1213.3333333333301</v>
      </c>
      <c r="F7497" s="515" t="s">
        <v>8710</v>
      </c>
      <c r="G7497" s="52">
        <v>61422.458199672801</v>
      </c>
      <c r="H7497" s="56">
        <v>0.16976192242125068</v>
      </c>
      <c r="I7497" s="224" t="s">
        <v>2</v>
      </c>
    </row>
    <row r="7498" spans="1:9" x14ac:dyDescent="0.25">
      <c r="A7498" s="515">
        <v>33182</v>
      </c>
      <c r="B7498" s="515" t="s">
        <v>831</v>
      </c>
      <c r="C7498" s="52">
        <v>549191.04174400598</v>
      </c>
      <c r="D7498" s="56">
        <v>0.11452115496896513</v>
      </c>
      <c r="E7498" s="224" t="s">
        <v>2</v>
      </c>
      <c r="F7498" s="515" t="s">
        <v>8711</v>
      </c>
      <c r="G7498" s="52">
        <v>348303.248204973</v>
      </c>
      <c r="H7498" s="56">
        <v>8.233498295109748E-2</v>
      </c>
      <c r="I7498" s="224" t="s">
        <v>2</v>
      </c>
    </row>
    <row r="7499" spans="1:9" x14ac:dyDescent="0.25">
      <c r="A7499" s="515">
        <v>11239</v>
      </c>
      <c r="B7499" s="515" t="s">
        <v>324</v>
      </c>
      <c r="C7499" s="52">
        <v>599138.48847803904</v>
      </c>
      <c r="D7499" s="56">
        <v>5.0430123304580639E-2</v>
      </c>
      <c r="E7499" s="224" t="s">
        <v>2</v>
      </c>
      <c r="F7499" s="515" t="s">
        <v>8712</v>
      </c>
      <c r="G7499" s="52">
        <v>283734.19839884201</v>
      </c>
      <c r="H7499" s="56">
        <v>0.12867187135060904</v>
      </c>
      <c r="I7499" s="224" t="s">
        <v>2</v>
      </c>
    </row>
    <row r="7500" spans="1:9" x14ac:dyDescent="0.25">
      <c r="A7500" s="515">
        <v>46714</v>
      </c>
      <c r="B7500" s="515" t="s">
        <v>465</v>
      </c>
      <c r="C7500" s="52">
        <v>181893.21630613899</v>
      </c>
      <c r="D7500" s="56">
        <v>4.8498550686146391E-2</v>
      </c>
      <c r="E7500" s="224" t="s">
        <v>2</v>
      </c>
      <c r="F7500" s="515" t="s">
        <v>8713</v>
      </c>
      <c r="G7500" s="52">
        <v>214288.77215044401</v>
      </c>
      <c r="H7500" s="56">
        <v>7.4013079660560574E-2</v>
      </c>
      <c r="I7500" s="224">
        <v>1270</v>
      </c>
    </row>
    <row r="7501" spans="1:9" x14ac:dyDescent="0.25">
      <c r="A7501" s="515">
        <v>10960</v>
      </c>
      <c r="B7501" s="515" t="s">
        <v>324</v>
      </c>
      <c r="C7501" s="52">
        <v>630551.12666110403</v>
      </c>
      <c r="D7501" s="56">
        <v>3.3196910081629373E-2</v>
      </c>
      <c r="E7501" s="224" t="s">
        <v>2</v>
      </c>
      <c r="F7501" s="515" t="s">
        <v>8714</v>
      </c>
      <c r="G7501" s="52">
        <v>107970.421486356</v>
      </c>
      <c r="H7501" s="56">
        <v>3.0921189391588205E-2</v>
      </c>
      <c r="I7501" s="224" t="s">
        <v>2</v>
      </c>
    </row>
    <row r="7502" spans="1:9" x14ac:dyDescent="0.25">
      <c r="A7502" s="515">
        <v>50316</v>
      </c>
      <c r="B7502" s="515" t="s">
        <v>295</v>
      </c>
      <c r="C7502" s="52">
        <v>141911.96999590599</v>
      </c>
      <c r="D7502" s="56">
        <v>7.7442983170831287E-2</v>
      </c>
      <c r="E7502" s="224" t="s">
        <v>2</v>
      </c>
      <c r="F7502" s="515" t="s">
        <v>8715</v>
      </c>
      <c r="G7502" s="52">
        <v>1335534.8374463499</v>
      </c>
      <c r="H7502" s="56">
        <v>7.3175726945899112E-3</v>
      </c>
      <c r="I7502" s="224" t="s">
        <v>2</v>
      </c>
    </row>
    <row r="7503" spans="1:9" x14ac:dyDescent="0.25">
      <c r="A7503" s="515">
        <v>5478</v>
      </c>
      <c r="B7503" s="515" t="s">
        <v>441</v>
      </c>
      <c r="C7503" s="52">
        <v>317168.80469697597</v>
      </c>
      <c r="D7503" s="56">
        <v>0.11505935939783066</v>
      </c>
      <c r="E7503" s="224" t="s">
        <v>2</v>
      </c>
      <c r="F7503" s="515" t="s">
        <v>8716</v>
      </c>
      <c r="G7503" s="52">
        <v>212231.26728775201</v>
      </c>
      <c r="H7503" s="56">
        <v>0.18759496737531789</v>
      </c>
      <c r="I7503" s="224" t="s">
        <v>2</v>
      </c>
    </row>
    <row r="7504" spans="1:9" x14ac:dyDescent="0.25">
      <c r="A7504" s="515">
        <v>26041</v>
      </c>
      <c r="B7504" s="515" t="s">
        <v>442</v>
      </c>
      <c r="C7504" s="52">
        <v>110690.539830022</v>
      </c>
      <c r="D7504" s="56">
        <v>1.8329559442321178E-2</v>
      </c>
      <c r="E7504" s="224" t="s">
        <v>2</v>
      </c>
      <c r="F7504" s="515" t="s">
        <v>8717</v>
      </c>
      <c r="G7504" s="52">
        <v>173520.30971034101</v>
      </c>
      <c r="H7504" s="56">
        <v>4.5777678328143258E-2</v>
      </c>
      <c r="I7504" s="224" t="s">
        <v>2</v>
      </c>
    </row>
    <row r="7505" spans="1:9" x14ac:dyDescent="0.25">
      <c r="A7505" s="515">
        <v>65706</v>
      </c>
      <c r="B7505" s="515" t="s">
        <v>603</v>
      </c>
      <c r="C7505" s="52">
        <v>227696.44298946601</v>
      </c>
      <c r="D7505" s="56">
        <v>0.11395681542626614</v>
      </c>
      <c r="E7505" s="224" t="s">
        <v>2</v>
      </c>
      <c r="F7505" s="515" t="s">
        <v>8718</v>
      </c>
      <c r="G7505" s="52">
        <v>396840.68973987899</v>
      </c>
      <c r="H7505" s="56">
        <v>8.927401899364007E-2</v>
      </c>
      <c r="I7505" s="224" t="s">
        <v>2</v>
      </c>
    </row>
    <row r="7506" spans="1:9" x14ac:dyDescent="0.25">
      <c r="A7506" s="515">
        <v>75201</v>
      </c>
      <c r="B7506" s="515" t="s">
        <v>458</v>
      </c>
      <c r="C7506" s="52">
        <v>870409.42592058796</v>
      </c>
      <c r="D7506" s="56">
        <v>-4.0669551028003237E-2</v>
      </c>
      <c r="E7506" s="224">
        <v>2214.8494949494898</v>
      </c>
      <c r="F7506" s="515" t="s">
        <v>8719</v>
      </c>
      <c r="G7506" s="52">
        <v>235918.19196229801</v>
      </c>
      <c r="H7506" s="56">
        <v>6.0548710189373932E-3</v>
      </c>
      <c r="I7506" s="224" t="s">
        <v>2</v>
      </c>
    </row>
    <row r="7507" spans="1:9" x14ac:dyDescent="0.25">
      <c r="A7507" s="515">
        <v>78065</v>
      </c>
      <c r="B7507" s="515" t="s">
        <v>717</v>
      </c>
      <c r="C7507" s="52">
        <v>220521.041077501</v>
      </c>
      <c r="D7507" s="56">
        <v>-8.7929940981981616E-3</v>
      </c>
      <c r="E7507" s="224" t="s">
        <v>2</v>
      </c>
      <c r="F7507" s="515" t="s">
        <v>8720</v>
      </c>
      <c r="G7507" s="52">
        <v>479772.18254364602</v>
      </c>
      <c r="H7507" s="56">
        <v>0.11586072349139137</v>
      </c>
      <c r="I7507" s="224" t="s">
        <v>2</v>
      </c>
    </row>
    <row r="7508" spans="1:9" x14ac:dyDescent="0.25">
      <c r="A7508" s="515">
        <v>38139</v>
      </c>
      <c r="B7508" s="515" t="s">
        <v>951</v>
      </c>
      <c r="C7508" s="52">
        <v>562142.54541849205</v>
      </c>
      <c r="D7508" s="56">
        <v>4.9174119655079992E-2</v>
      </c>
      <c r="E7508" s="224" t="s">
        <v>2</v>
      </c>
      <c r="F7508" s="515" t="s">
        <v>8721</v>
      </c>
      <c r="G7508" s="52">
        <v>321853.076504022</v>
      </c>
      <c r="H7508" s="56">
        <v>4.5986325669139655E-2</v>
      </c>
      <c r="I7508" s="224" t="s">
        <v>2</v>
      </c>
    </row>
    <row r="7509" spans="1:9" x14ac:dyDescent="0.25">
      <c r="A7509" s="515">
        <v>78732</v>
      </c>
      <c r="B7509" s="515" t="s">
        <v>380</v>
      </c>
      <c r="C7509" s="52">
        <v>853872.57119216898</v>
      </c>
      <c r="D7509" s="56">
        <v>3.0439464277406302E-2</v>
      </c>
      <c r="E7509" s="224">
        <v>2444.5185185185101</v>
      </c>
      <c r="F7509" s="515" t="s">
        <v>8722</v>
      </c>
      <c r="G7509" s="52">
        <v>400902.30615118699</v>
      </c>
      <c r="H7509" s="56">
        <v>3.683807467039648E-2</v>
      </c>
      <c r="I7509" s="224" t="s">
        <v>2</v>
      </c>
    </row>
    <row r="7510" spans="1:9" x14ac:dyDescent="0.25">
      <c r="A7510" s="515">
        <v>99006</v>
      </c>
      <c r="B7510" s="515" t="s">
        <v>820</v>
      </c>
      <c r="C7510" s="52">
        <v>449668.19226146297</v>
      </c>
      <c r="D7510" s="56">
        <v>6.6553914860884966E-2</v>
      </c>
      <c r="E7510" s="224" t="s">
        <v>2</v>
      </c>
      <c r="F7510" s="515" t="s">
        <v>8723</v>
      </c>
      <c r="G7510" s="52">
        <v>61082.048609844598</v>
      </c>
      <c r="H7510" s="56">
        <v>4.3914060035898733E-2</v>
      </c>
      <c r="I7510" s="224" t="s">
        <v>2</v>
      </c>
    </row>
    <row r="7511" spans="1:9" x14ac:dyDescent="0.25">
      <c r="A7511" s="515">
        <v>77461</v>
      </c>
      <c r="B7511" s="515" t="s">
        <v>314</v>
      </c>
      <c r="C7511" s="52">
        <v>309117.58831918699</v>
      </c>
      <c r="D7511" s="56">
        <v>7.029979895182345E-2</v>
      </c>
      <c r="E7511" s="224" t="s">
        <v>2</v>
      </c>
      <c r="F7511" s="515" t="s">
        <v>8724</v>
      </c>
      <c r="G7511" s="52">
        <v>178247.882377459</v>
      </c>
      <c r="H7511" s="56">
        <v>9.7582274751028292E-2</v>
      </c>
      <c r="I7511" s="224" t="s">
        <v>2</v>
      </c>
    </row>
    <row r="7512" spans="1:9" x14ac:dyDescent="0.25">
      <c r="A7512" s="515">
        <v>34465</v>
      </c>
      <c r="B7512" s="515" t="s">
        <v>1193</v>
      </c>
      <c r="C7512" s="52">
        <v>232542.929664586</v>
      </c>
      <c r="D7512" s="56">
        <v>0.15662795053226855</v>
      </c>
      <c r="E7512" s="224">
        <v>1312.5</v>
      </c>
      <c r="F7512" s="515" t="s">
        <v>8725</v>
      </c>
      <c r="G7512" s="52">
        <v>160683.459911265</v>
      </c>
      <c r="H7512" s="56">
        <v>9.5258979404900176E-2</v>
      </c>
      <c r="I7512" s="224" t="s">
        <v>2</v>
      </c>
    </row>
    <row r="7513" spans="1:9" x14ac:dyDescent="0.25">
      <c r="A7513" s="515">
        <v>19610</v>
      </c>
      <c r="B7513" s="515" t="s">
        <v>569</v>
      </c>
      <c r="C7513" s="52">
        <v>324210.04766734701</v>
      </c>
      <c r="D7513" s="56">
        <v>8.881971702983954E-2</v>
      </c>
      <c r="E7513" s="224" t="s">
        <v>2</v>
      </c>
      <c r="F7513" s="515" t="s">
        <v>8726</v>
      </c>
      <c r="G7513" s="52">
        <v>185452.781746772</v>
      </c>
      <c r="H7513" s="56">
        <v>0.10522640368278879</v>
      </c>
      <c r="I7513" s="224" t="s">
        <v>2</v>
      </c>
    </row>
    <row r="7514" spans="1:9" x14ac:dyDescent="0.25">
      <c r="A7514" s="515">
        <v>89445</v>
      </c>
      <c r="B7514" s="515" t="s">
        <v>1205</v>
      </c>
      <c r="C7514" s="52">
        <v>280812.13880337501</v>
      </c>
      <c r="D7514" s="56">
        <v>1.5568086600288206E-2</v>
      </c>
      <c r="E7514" s="224" t="s">
        <v>2</v>
      </c>
      <c r="F7514" s="515" t="s">
        <v>8727</v>
      </c>
      <c r="G7514" s="52">
        <v>296438.50348583702</v>
      </c>
      <c r="H7514" s="56">
        <v>0.12075624638480323</v>
      </c>
      <c r="I7514" s="224" t="s">
        <v>2</v>
      </c>
    </row>
    <row r="7515" spans="1:9" x14ac:dyDescent="0.25">
      <c r="A7515" s="515">
        <v>54868</v>
      </c>
      <c r="C7515" s="52">
        <v>218048.53801683101</v>
      </c>
      <c r="D7515" s="56">
        <v>6.3532289551561691E-2</v>
      </c>
      <c r="E7515" s="224" t="s">
        <v>2</v>
      </c>
      <c r="F7515" s="515" t="s">
        <v>8728</v>
      </c>
      <c r="G7515" s="52">
        <v>900829.97276927996</v>
      </c>
      <c r="H7515" s="56">
        <v>4.3571651550681004E-2</v>
      </c>
      <c r="I7515" s="224" t="s">
        <v>2</v>
      </c>
    </row>
    <row r="7516" spans="1:9" x14ac:dyDescent="0.25">
      <c r="A7516" s="515">
        <v>77058</v>
      </c>
      <c r="B7516" s="515" t="s">
        <v>314</v>
      </c>
      <c r="C7516" s="52">
        <v>252146.858217462</v>
      </c>
      <c r="D7516" s="56">
        <v>6.9667131195237958E-2</v>
      </c>
      <c r="E7516" s="224">
        <v>1556.49783549783</v>
      </c>
      <c r="F7516" s="515" t="s">
        <v>8729</v>
      </c>
      <c r="G7516" s="52">
        <v>106976.280021377</v>
      </c>
      <c r="H7516" s="56">
        <v>5.770910429252854E-2</v>
      </c>
      <c r="I7516" s="224" t="s">
        <v>2</v>
      </c>
    </row>
    <row r="7517" spans="1:9" x14ac:dyDescent="0.25">
      <c r="A7517" s="515">
        <v>2420</v>
      </c>
      <c r="B7517" s="515" t="s">
        <v>534</v>
      </c>
      <c r="C7517" s="52">
        <v>1280783.91774742</v>
      </c>
      <c r="D7517" s="56">
        <v>7.2019160662397538E-2</v>
      </c>
      <c r="E7517" s="224" t="s">
        <v>2</v>
      </c>
      <c r="F7517" s="515" t="s">
        <v>8730</v>
      </c>
      <c r="G7517" s="52">
        <v>101505.338527272</v>
      </c>
      <c r="H7517" s="56">
        <v>0.11098902825246468</v>
      </c>
      <c r="I7517" s="224" t="s">
        <v>2</v>
      </c>
    </row>
    <row r="7518" spans="1:9" x14ac:dyDescent="0.25">
      <c r="A7518" s="515">
        <v>44103</v>
      </c>
      <c r="B7518" s="515" t="s">
        <v>520</v>
      </c>
      <c r="C7518" s="52">
        <v>53448.704618395299</v>
      </c>
      <c r="D7518" s="56">
        <v>8.2245056037589984E-2</v>
      </c>
      <c r="E7518" s="224" t="s">
        <v>2</v>
      </c>
      <c r="F7518" s="515" t="s">
        <v>8731</v>
      </c>
      <c r="G7518" s="52">
        <v>234951.22376833201</v>
      </c>
      <c r="H7518" s="56">
        <v>8.3871437987783765E-2</v>
      </c>
      <c r="I7518" s="224" t="s">
        <v>2</v>
      </c>
    </row>
    <row r="7519" spans="1:9" x14ac:dyDescent="0.25">
      <c r="A7519" s="515">
        <v>34947</v>
      </c>
      <c r="B7519" s="515" t="s">
        <v>1180</v>
      </c>
      <c r="C7519" s="52">
        <v>218044.94186350101</v>
      </c>
      <c r="D7519" s="56">
        <v>0.2672567587027142</v>
      </c>
      <c r="E7519" s="224" t="s">
        <v>2</v>
      </c>
      <c r="F7519" s="515" t="s">
        <v>8732</v>
      </c>
      <c r="G7519" s="52">
        <v>533957.54796117905</v>
      </c>
      <c r="H7519" s="56">
        <v>7.6411470462667705E-2</v>
      </c>
      <c r="I7519" s="224" t="s">
        <v>2</v>
      </c>
    </row>
    <row r="7520" spans="1:9" x14ac:dyDescent="0.25">
      <c r="A7520" s="515">
        <v>35094</v>
      </c>
      <c r="B7520" s="515" t="s">
        <v>640</v>
      </c>
      <c r="C7520" s="52">
        <v>231283.88369219101</v>
      </c>
      <c r="D7520" s="56">
        <v>0.10107371827457012</v>
      </c>
      <c r="E7520" s="224" t="s">
        <v>2</v>
      </c>
      <c r="F7520" s="515" t="s">
        <v>8733</v>
      </c>
      <c r="G7520" s="52">
        <v>69764.074108307002</v>
      </c>
      <c r="H7520" s="56">
        <v>0.10975286333852474</v>
      </c>
      <c r="I7520" s="224">
        <v>948.75</v>
      </c>
    </row>
    <row r="7521" spans="1:9" x14ac:dyDescent="0.25">
      <c r="A7521" s="515">
        <v>89403</v>
      </c>
      <c r="B7521" s="515" t="s">
        <v>718</v>
      </c>
      <c r="C7521" s="52">
        <v>414644.97834385402</v>
      </c>
      <c r="D7521" s="56">
        <v>-1.4939189082835598E-2</v>
      </c>
      <c r="E7521" s="224" t="s">
        <v>2</v>
      </c>
      <c r="F7521" s="515" t="s">
        <v>8734</v>
      </c>
      <c r="G7521" s="52">
        <v>137637.333810399</v>
      </c>
      <c r="H7521" s="56">
        <v>4.2278965352495576E-2</v>
      </c>
      <c r="I7521" s="224" t="s">
        <v>2</v>
      </c>
    </row>
    <row r="7522" spans="1:9" x14ac:dyDescent="0.25">
      <c r="A7522" s="515">
        <v>19518</v>
      </c>
      <c r="B7522" s="515" t="s">
        <v>569</v>
      </c>
      <c r="C7522" s="52">
        <v>370834.04435930401</v>
      </c>
      <c r="D7522" s="56">
        <v>9.7640076942960063E-2</v>
      </c>
      <c r="E7522" s="224" t="s">
        <v>2</v>
      </c>
      <c r="F7522" s="515" t="s">
        <v>8735</v>
      </c>
      <c r="G7522" s="52">
        <v>164801.68103303199</v>
      </c>
      <c r="H7522" s="56">
        <v>8.5955160302270905E-2</v>
      </c>
      <c r="I7522" s="224" t="s">
        <v>2</v>
      </c>
    </row>
    <row r="7523" spans="1:9" x14ac:dyDescent="0.25">
      <c r="A7523" s="515">
        <v>25427</v>
      </c>
      <c r="B7523" s="515" t="s">
        <v>654</v>
      </c>
      <c r="C7523" s="52">
        <v>272796.147416497</v>
      </c>
      <c r="D7523" s="56">
        <v>0.10197093842008541</v>
      </c>
      <c r="E7523" s="224" t="s">
        <v>2</v>
      </c>
      <c r="F7523" s="515" t="s">
        <v>8736</v>
      </c>
      <c r="G7523" s="52">
        <v>346178.41205162398</v>
      </c>
      <c r="H7523" s="56">
        <v>7.2466113759105583E-2</v>
      </c>
      <c r="I7523" s="224" t="s">
        <v>2</v>
      </c>
    </row>
    <row r="7524" spans="1:9" x14ac:dyDescent="0.25">
      <c r="A7524" s="515">
        <v>98663</v>
      </c>
      <c r="B7524" s="515" t="s">
        <v>659</v>
      </c>
      <c r="C7524" s="52">
        <v>443054.06210937398</v>
      </c>
      <c r="D7524" s="56">
        <v>4.048995916014414E-2</v>
      </c>
      <c r="E7524" s="224">
        <v>1713.94444444444</v>
      </c>
      <c r="F7524" s="515" t="s">
        <v>8737</v>
      </c>
      <c r="G7524" s="52">
        <v>231433.16770308401</v>
      </c>
      <c r="H7524" s="56">
        <v>4.857497190129284E-2</v>
      </c>
      <c r="I7524" s="224" t="s">
        <v>2</v>
      </c>
    </row>
    <row r="7525" spans="1:9" x14ac:dyDescent="0.25">
      <c r="A7525" s="515">
        <v>33004</v>
      </c>
      <c r="B7525" s="515" t="s">
        <v>831</v>
      </c>
      <c r="C7525" s="52">
        <v>313920.53453240299</v>
      </c>
      <c r="D7525" s="56">
        <v>0.16019951759863113</v>
      </c>
      <c r="E7525" s="224">
        <v>2033.9761904761899</v>
      </c>
      <c r="F7525" s="515" t="s">
        <v>8738</v>
      </c>
      <c r="G7525" s="52">
        <v>120292.473672191</v>
      </c>
      <c r="H7525" s="56">
        <v>0.16571239631018006</v>
      </c>
      <c r="I7525" s="224" t="s">
        <v>2</v>
      </c>
    </row>
    <row r="7526" spans="1:9" x14ac:dyDescent="0.25">
      <c r="A7526" s="515">
        <v>22181</v>
      </c>
      <c r="B7526" s="515" t="s">
        <v>321</v>
      </c>
      <c r="C7526" s="52">
        <v>930637.32003208494</v>
      </c>
      <c r="D7526" s="56">
        <v>2.7888858879820976E-2</v>
      </c>
      <c r="E7526" s="224">
        <v>2774.5833333333298</v>
      </c>
      <c r="F7526" s="515" t="s">
        <v>8739</v>
      </c>
      <c r="G7526" s="52">
        <v>193018.83595324599</v>
      </c>
      <c r="H7526" s="56">
        <v>8.7648577246280113E-2</v>
      </c>
      <c r="I7526" s="224" t="s">
        <v>2</v>
      </c>
    </row>
    <row r="7527" spans="1:9" x14ac:dyDescent="0.25">
      <c r="A7527" s="515">
        <v>2767</v>
      </c>
      <c r="B7527" s="515" t="s">
        <v>513</v>
      </c>
      <c r="C7527" s="52">
        <v>527422.51866418705</v>
      </c>
      <c r="D7527" s="56">
        <v>6.4027174109527102E-2</v>
      </c>
      <c r="E7527" s="224" t="s">
        <v>2</v>
      </c>
      <c r="F7527" s="515" t="s">
        <v>8740</v>
      </c>
      <c r="G7527" s="52">
        <v>323225.88905775</v>
      </c>
      <c r="H7527" s="56">
        <v>0</v>
      </c>
      <c r="I7527" s="224" t="s">
        <v>2</v>
      </c>
    </row>
    <row r="7528" spans="1:9" x14ac:dyDescent="0.25">
      <c r="A7528" s="515">
        <v>15116</v>
      </c>
      <c r="B7528" s="515" t="s">
        <v>297</v>
      </c>
      <c r="C7528" s="52">
        <v>262241.598847221</v>
      </c>
      <c r="D7528" s="56">
        <v>4.5302649805220398E-2</v>
      </c>
      <c r="E7528" s="224" t="s">
        <v>2</v>
      </c>
      <c r="F7528" s="515" t="s">
        <v>8741</v>
      </c>
      <c r="G7528" s="52">
        <v>472379.32324636501</v>
      </c>
      <c r="H7528" s="56">
        <v>2.7350950119954174E-2</v>
      </c>
      <c r="I7528" s="224" t="s">
        <v>2</v>
      </c>
    </row>
    <row r="7529" spans="1:9" x14ac:dyDescent="0.25">
      <c r="A7529" s="515">
        <v>17067</v>
      </c>
      <c r="B7529" s="515" t="s">
        <v>562</v>
      </c>
      <c r="C7529" s="52">
        <v>255986.07622594599</v>
      </c>
      <c r="D7529" s="56">
        <v>9.5893083544746432E-2</v>
      </c>
      <c r="E7529" s="224" t="s">
        <v>2</v>
      </c>
      <c r="F7529" s="515" t="s">
        <v>8742</v>
      </c>
      <c r="G7529" s="52">
        <v>364146.503381797</v>
      </c>
      <c r="H7529" s="56">
        <v>0.13595842305813755</v>
      </c>
      <c r="I7529" s="224" t="s">
        <v>2</v>
      </c>
    </row>
    <row r="7530" spans="1:9" x14ac:dyDescent="0.25">
      <c r="A7530" s="515">
        <v>95422</v>
      </c>
      <c r="B7530" s="515" t="s">
        <v>363</v>
      </c>
      <c r="C7530" s="52">
        <v>215445.56764866499</v>
      </c>
      <c r="D7530" s="56">
        <v>1.3978715708071911E-2</v>
      </c>
      <c r="E7530" s="224" t="s">
        <v>2</v>
      </c>
      <c r="F7530" s="515" t="s">
        <v>462</v>
      </c>
      <c r="G7530" s="52">
        <v>177882.68492507999</v>
      </c>
      <c r="H7530" s="56">
        <v>1.8333384271022869E-2</v>
      </c>
      <c r="I7530" s="224" t="s">
        <v>2</v>
      </c>
    </row>
    <row r="7531" spans="1:9" x14ac:dyDescent="0.25">
      <c r="A7531" s="515">
        <v>93636</v>
      </c>
      <c r="B7531" s="515" t="s">
        <v>681</v>
      </c>
      <c r="C7531" s="52">
        <v>507273.80791458202</v>
      </c>
      <c r="D7531" s="56">
        <v>3.1127601585212002E-2</v>
      </c>
      <c r="E7531" s="224" t="s">
        <v>2</v>
      </c>
      <c r="F7531" s="515" t="s">
        <v>8743</v>
      </c>
      <c r="G7531" s="52">
        <v>110445.73589676</v>
      </c>
      <c r="H7531" s="56">
        <v>0.17515579064834419</v>
      </c>
      <c r="I7531" s="224" t="s">
        <v>2</v>
      </c>
    </row>
    <row r="7532" spans="1:9" x14ac:dyDescent="0.25">
      <c r="A7532" s="515">
        <v>55804</v>
      </c>
      <c r="B7532" s="515" t="s">
        <v>350</v>
      </c>
      <c r="C7532" s="52">
        <v>291438.56112264202</v>
      </c>
      <c r="D7532" s="56">
        <v>4.6909460618443803E-2</v>
      </c>
      <c r="E7532" s="224" t="s">
        <v>2</v>
      </c>
      <c r="F7532" s="515" t="s">
        <v>8744</v>
      </c>
      <c r="G7532" s="52">
        <v>150654.97289856599</v>
      </c>
      <c r="H7532" s="56">
        <v>0.11720322271159049</v>
      </c>
      <c r="I7532" s="224" t="s">
        <v>2</v>
      </c>
    </row>
    <row r="7533" spans="1:9" x14ac:dyDescent="0.25">
      <c r="A7533" s="515">
        <v>11782</v>
      </c>
      <c r="B7533" s="515" t="s">
        <v>324</v>
      </c>
      <c r="C7533" s="52">
        <v>604895.05554184294</v>
      </c>
      <c r="D7533" s="56">
        <v>2.6934007583644202E-2</v>
      </c>
      <c r="E7533" s="224" t="s">
        <v>2</v>
      </c>
      <c r="F7533" s="515" t="s">
        <v>8745</v>
      </c>
      <c r="G7533" s="52">
        <v>308544.30365109001</v>
      </c>
      <c r="H7533" s="56">
        <v>8.373691962405494E-2</v>
      </c>
      <c r="I7533" s="224" t="s">
        <v>2</v>
      </c>
    </row>
    <row r="7534" spans="1:9" x14ac:dyDescent="0.25">
      <c r="A7534" s="515">
        <v>2601</v>
      </c>
      <c r="B7534" s="515" t="s">
        <v>427</v>
      </c>
      <c r="C7534" s="52">
        <v>460992.20879034599</v>
      </c>
      <c r="D7534" s="56">
        <v>8.7222636294107606E-2</v>
      </c>
      <c r="E7534" s="224" t="s">
        <v>2</v>
      </c>
      <c r="F7534" s="515" t="s">
        <v>8746</v>
      </c>
      <c r="G7534" s="52">
        <v>539987.38155770395</v>
      </c>
      <c r="H7534" s="56">
        <v>9.1955269238224464E-3</v>
      </c>
      <c r="I7534" s="224">
        <v>2090.8333333333298</v>
      </c>
    </row>
    <row r="7535" spans="1:9" x14ac:dyDescent="0.25">
      <c r="A7535" s="515">
        <v>29325</v>
      </c>
      <c r="B7535" s="515" t="s">
        <v>613</v>
      </c>
      <c r="C7535" s="52">
        <v>112108.682076902</v>
      </c>
      <c r="D7535" s="56">
        <v>0.10086563824500404</v>
      </c>
      <c r="E7535" s="224" t="s">
        <v>2</v>
      </c>
      <c r="F7535" s="515" t="s">
        <v>8747</v>
      </c>
      <c r="G7535" s="52">
        <v>295567.71998660802</v>
      </c>
      <c r="H7535" s="56">
        <v>9.225871465238672E-2</v>
      </c>
      <c r="I7535" s="224" t="s">
        <v>2</v>
      </c>
    </row>
    <row r="7536" spans="1:9" x14ac:dyDescent="0.25">
      <c r="A7536" s="515">
        <v>77531</v>
      </c>
      <c r="B7536" s="515" t="s">
        <v>314</v>
      </c>
      <c r="C7536" s="52">
        <v>199819.83417401399</v>
      </c>
      <c r="D7536" s="56">
        <v>7.4453341586125528E-4</v>
      </c>
      <c r="E7536" s="224">
        <v>946.73809523809496</v>
      </c>
      <c r="F7536" s="515" t="s">
        <v>8748</v>
      </c>
      <c r="G7536" s="52">
        <v>235126.744753709</v>
      </c>
      <c r="H7536" s="56">
        <v>0.10026532520861438</v>
      </c>
      <c r="I7536" s="224" t="s">
        <v>2</v>
      </c>
    </row>
    <row r="7537" spans="1:9" x14ac:dyDescent="0.25">
      <c r="A7537" s="515">
        <v>53566</v>
      </c>
      <c r="B7537" s="515" t="s">
        <v>727</v>
      </c>
      <c r="C7537" s="52">
        <v>218184.38621972801</v>
      </c>
      <c r="D7537" s="56">
        <v>2.8818063082015167E-2</v>
      </c>
      <c r="E7537" s="224" t="s">
        <v>2</v>
      </c>
      <c r="F7537" s="515" t="s">
        <v>8749</v>
      </c>
      <c r="G7537" s="52">
        <v>464404.10217620502</v>
      </c>
      <c r="H7537" s="56">
        <v>7.6020525968484645E-2</v>
      </c>
      <c r="I7537" s="224" t="s">
        <v>2</v>
      </c>
    </row>
    <row r="7538" spans="1:9" x14ac:dyDescent="0.25">
      <c r="A7538" s="515">
        <v>12182</v>
      </c>
      <c r="B7538" s="515" t="s">
        <v>609</v>
      </c>
      <c r="C7538" s="52">
        <v>207483.07935894601</v>
      </c>
      <c r="D7538" s="56">
        <v>6.7071083265807019E-2</v>
      </c>
      <c r="E7538" s="224" t="s">
        <v>2</v>
      </c>
      <c r="F7538" s="515" t="s">
        <v>8750</v>
      </c>
      <c r="G7538" s="52">
        <v>136681.757907655</v>
      </c>
      <c r="H7538" s="56">
        <v>0.14657833999027053</v>
      </c>
      <c r="I7538" s="224" t="s">
        <v>2</v>
      </c>
    </row>
    <row r="7539" spans="1:9" x14ac:dyDescent="0.25">
      <c r="A7539" s="515">
        <v>33330</v>
      </c>
      <c r="B7539" s="515" t="s">
        <v>831</v>
      </c>
      <c r="C7539" s="52">
        <v>912797.64823880699</v>
      </c>
      <c r="D7539" s="56">
        <v>0.15318958370561003</v>
      </c>
      <c r="E7539" s="224">
        <v>3725</v>
      </c>
      <c r="F7539" s="515" t="s">
        <v>8751</v>
      </c>
      <c r="G7539" s="52">
        <v>1302567.5176286099</v>
      </c>
      <c r="H7539" s="56">
        <v>1.7134976027798982E-2</v>
      </c>
      <c r="I7539" s="224" t="s">
        <v>2</v>
      </c>
    </row>
    <row r="7540" spans="1:9" x14ac:dyDescent="0.25">
      <c r="A7540" s="515">
        <v>37771</v>
      </c>
      <c r="B7540" s="515" t="s">
        <v>907</v>
      </c>
      <c r="C7540" s="52">
        <v>266875.46107245499</v>
      </c>
      <c r="D7540" s="56">
        <v>0.10990696169599957</v>
      </c>
      <c r="E7540" s="224" t="s">
        <v>2</v>
      </c>
      <c r="F7540" s="515" t="s">
        <v>8752</v>
      </c>
      <c r="G7540" s="52">
        <v>93230.754214394299</v>
      </c>
      <c r="H7540" s="56">
        <v>-1.0945631275138028E-2</v>
      </c>
      <c r="I7540" s="224" t="s">
        <v>2</v>
      </c>
    </row>
    <row r="7541" spans="1:9" x14ac:dyDescent="0.25">
      <c r="A7541" s="515">
        <v>11366</v>
      </c>
      <c r="B7541" s="515" t="s">
        <v>324</v>
      </c>
      <c r="C7541" s="52">
        <v>970396.77710115304</v>
      </c>
      <c r="D7541" s="56">
        <v>4.0825923599519809E-2</v>
      </c>
      <c r="E7541" s="224" t="s">
        <v>2</v>
      </c>
      <c r="F7541" s="515" t="s">
        <v>8753</v>
      </c>
      <c r="G7541" s="52">
        <v>196344.321702096</v>
      </c>
      <c r="H7541" s="56">
        <v>5.10644976633296E-2</v>
      </c>
      <c r="I7541" s="224" t="s">
        <v>2</v>
      </c>
    </row>
    <row r="7542" spans="1:9" x14ac:dyDescent="0.25">
      <c r="A7542" s="515">
        <v>2726</v>
      </c>
      <c r="B7542" s="515" t="s">
        <v>513</v>
      </c>
      <c r="C7542" s="52">
        <v>419616.34250272601</v>
      </c>
      <c r="D7542" s="56">
        <v>8.5992371382869998E-2</v>
      </c>
      <c r="E7542" s="224" t="s">
        <v>2</v>
      </c>
      <c r="F7542" s="515" t="s">
        <v>8754</v>
      </c>
      <c r="G7542" s="52">
        <v>177930.974766192</v>
      </c>
      <c r="H7542" s="56">
        <v>7.9765231462955499E-2</v>
      </c>
      <c r="I7542" s="224" t="s">
        <v>2</v>
      </c>
    </row>
    <row r="7543" spans="1:9" x14ac:dyDescent="0.25">
      <c r="A7543" s="515">
        <v>83617</v>
      </c>
      <c r="B7543" s="515" t="s">
        <v>500</v>
      </c>
      <c r="C7543" s="52">
        <v>407996.57309149601</v>
      </c>
      <c r="D7543" s="56">
        <v>-2.1404104945103069E-2</v>
      </c>
      <c r="E7543" s="224" t="s">
        <v>2</v>
      </c>
      <c r="F7543" s="515" t="s">
        <v>8755</v>
      </c>
      <c r="G7543" s="52">
        <v>211180.23661040701</v>
      </c>
      <c r="H7543" s="56">
        <v>6.7608248256769282E-2</v>
      </c>
      <c r="I7543" s="224" t="s">
        <v>2</v>
      </c>
    </row>
    <row r="7544" spans="1:9" x14ac:dyDescent="0.25">
      <c r="A7544" s="515">
        <v>34239</v>
      </c>
      <c r="B7544" s="515" t="s">
        <v>466</v>
      </c>
      <c r="C7544" s="52">
        <v>500826.25357758399</v>
      </c>
      <c r="D7544" s="56">
        <v>0.19871130728633013</v>
      </c>
      <c r="E7544" s="224">
        <v>3516.2222222222199</v>
      </c>
      <c r="F7544" s="515" t="s">
        <v>8756</v>
      </c>
      <c r="G7544" s="52">
        <v>259650.08162768499</v>
      </c>
      <c r="H7544" s="56">
        <v>8.8111967154614265E-2</v>
      </c>
      <c r="I7544" s="224" t="s">
        <v>2</v>
      </c>
    </row>
    <row r="7545" spans="1:9" x14ac:dyDescent="0.25">
      <c r="A7545" s="515">
        <v>62249</v>
      </c>
      <c r="B7545" s="515" t="s">
        <v>498</v>
      </c>
      <c r="C7545" s="52">
        <v>214229.59604994499</v>
      </c>
      <c r="D7545" s="56">
        <v>6.9528632533208304E-2</v>
      </c>
      <c r="E7545" s="224" t="s">
        <v>2</v>
      </c>
      <c r="F7545" s="515" t="s">
        <v>8757</v>
      </c>
      <c r="G7545" s="52">
        <v>230339.086994438</v>
      </c>
      <c r="H7545" s="56">
        <v>6.4588792331083542E-2</v>
      </c>
      <c r="I7545" s="224" t="s">
        <v>2</v>
      </c>
    </row>
    <row r="7546" spans="1:9" x14ac:dyDescent="0.25">
      <c r="A7546" s="515">
        <v>2332</v>
      </c>
      <c r="B7546" s="515" t="s">
        <v>534</v>
      </c>
      <c r="C7546" s="52">
        <v>893492.47304325202</v>
      </c>
      <c r="D7546" s="56">
        <v>7.8053317557614063E-2</v>
      </c>
      <c r="E7546" s="224" t="s">
        <v>2</v>
      </c>
      <c r="F7546" s="515" t="s">
        <v>8758</v>
      </c>
      <c r="G7546" s="52">
        <v>595058.93950057996</v>
      </c>
      <c r="H7546" s="56">
        <v>5.8126692181245977E-2</v>
      </c>
      <c r="I7546" s="224" t="s">
        <v>2</v>
      </c>
    </row>
    <row r="7547" spans="1:9" x14ac:dyDescent="0.25">
      <c r="A7547" s="515">
        <v>65806</v>
      </c>
      <c r="B7547" s="515" t="s">
        <v>603</v>
      </c>
      <c r="C7547" s="52">
        <v>115903.06975803799</v>
      </c>
      <c r="D7547" s="56">
        <v>0.16224043827827336</v>
      </c>
      <c r="E7547" s="224">
        <v>1167.2222222222199</v>
      </c>
      <c r="F7547" s="515" t="s">
        <v>8759</v>
      </c>
      <c r="G7547" s="52">
        <v>185146.224513491</v>
      </c>
      <c r="H7547" s="56">
        <v>2.4044706091382987E-2</v>
      </c>
      <c r="I7547" s="224" t="s">
        <v>2</v>
      </c>
    </row>
    <row r="7548" spans="1:9" x14ac:dyDescent="0.25">
      <c r="A7548" s="515">
        <v>46320</v>
      </c>
      <c r="B7548" s="515" t="s">
        <v>394</v>
      </c>
      <c r="C7548" s="52">
        <v>123218.71021960401</v>
      </c>
      <c r="D7548" s="56">
        <v>0.12072690629495129</v>
      </c>
      <c r="E7548" s="224" t="s">
        <v>2</v>
      </c>
      <c r="F7548" s="515" t="s">
        <v>8760</v>
      </c>
      <c r="G7548" s="52">
        <v>763719.62720626395</v>
      </c>
      <c r="H7548" s="56">
        <v>0.13525539154184257</v>
      </c>
      <c r="I7548" s="224" t="s">
        <v>2</v>
      </c>
    </row>
    <row r="7549" spans="1:9" x14ac:dyDescent="0.25">
      <c r="A7549" s="515">
        <v>10520</v>
      </c>
      <c r="B7549" s="515" t="s">
        <v>324</v>
      </c>
      <c r="C7549" s="52">
        <v>650834.05201931705</v>
      </c>
      <c r="D7549" s="56">
        <v>1.3854816024903582E-2</v>
      </c>
      <c r="E7549" s="224" t="s">
        <v>2</v>
      </c>
      <c r="F7549" s="515" t="s">
        <v>8761</v>
      </c>
      <c r="G7549" s="52">
        <v>1111287.6859130301</v>
      </c>
      <c r="H7549" s="56">
        <v>8.014660836776942E-2</v>
      </c>
      <c r="I7549" s="224" t="s">
        <v>2</v>
      </c>
    </row>
    <row r="7550" spans="1:9" x14ac:dyDescent="0.25">
      <c r="A7550" s="515">
        <v>67005</v>
      </c>
      <c r="B7550" s="515" t="s">
        <v>789</v>
      </c>
      <c r="C7550" s="52">
        <v>90927.416640020994</v>
      </c>
      <c r="D7550" s="56">
        <v>0.11119716594385215</v>
      </c>
      <c r="E7550" s="224" t="s">
        <v>2</v>
      </c>
      <c r="F7550" s="515" t="s">
        <v>8762</v>
      </c>
      <c r="G7550" s="52">
        <v>452421.277505062</v>
      </c>
      <c r="H7550" s="56">
        <v>4.3624486835090202E-2</v>
      </c>
      <c r="I7550" s="224" t="s">
        <v>2</v>
      </c>
    </row>
    <row r="7551" spans="1:9" x14ac:dyDescent="0.25">
      <c r="A7551" s="515">
        <v>62208</v>
      </c>
      <c r="B7551" s="515" t="s">
        <v>498</v>
      </c>
      <c r="C7551" s="52">
        <v>150436.04329519</v>
      </c>
      <c r="D7551" s="56">
        <v>4.9425941173320824E-2</v>
      </c>
      <c r="E7551" s="224">
        <v>1325</v>
      </c>
      <c r="F7551" s="515" t="s">
        <v>8763</v>
      </c>
      <c r="G7551" s="52">
        <v>190623.86248225201</v>
      </c>
      <c r="H7551" s="56">
        <v>0.10426693068329636</v>
      </c>
      <c r="I7551" s="224" t="s">
        <v>2</v>
      </c>
    </row>
    <row r="7552" spans="1:9" x14ac:dyDescent="0.25">
      <c r="A7552" s="515">
        <v>2481</v>
      </c>
      <c r="B7552" s="515" t="s">
        <v>534</v>
      </c>
      <c r="C7552" s="52">
        <v>1796747.5646635699</v>
      </c>
      <c r="D7552" s="56">
        <v>6.0431748830743669E-2</v>
      </c>
      <c r="E7552" s="224" t="s">
        <v>2</v>
      </c>
      <c r="F7552" s="515" t="s">
        <v>8764</v>
      </c>
      <c r="G7552" s="52">
        <v>201736.179128558</v>
      </c>
      <c r="H7552" s="56">
        <v>8.7702424526334977E-2</v>
      </c>
      <c r="I7552" s="224" t="s">
        <v>2</v>
      </c>
    </row>
    <row r="7553" spans="1:9" x14ac:dyDescent="0.25">
      <c r="A7553" s="515">
        <v>66067</v>
      </c>
      <c r="B7553" s="515" t="s">
        <v>880</v>
      </c>
      <c r="C7553" s="52">
        <v>185828.409296467</v>
      </c>
      <c r="D7553" s="56">
        <v>6.6476457967943992E-2</v>
      </c>
      <c r="E7553" s="224" t="s">
        <v>2</v>
      </c>
      <c r="F7553" s="515" t="s">
        <v>8765</v>
      </c>
      <c r="G7553" s="52">
        <v>99976.750193811706</v>
      </c>
      <c r="H7553" s="56">
        <v>2.6130345673955821E-2</v>
      </c>
      <c r="I7553" s="224" t="s">
        <v>2</v>
      </c>
    </row>
    <row r="7554" spans="1:9" x14ac:dyDescent="0.25">
      <c r="A7554" s="515">
        <v>28360</v>
      </c>
      <c r="B7554" s="515" t="s">
        <v>1161</v>
      </c>
      <c r="C7554" s="52">
        <v>157683.293764881</v>
      </c>
      <c r="D7554" s="56">
        <v>0.15575659637079001</v>
      </c>
      <c r="E7554" s="224" t="s">
        <v>2</v>
      </c>
      <c r="F7554" s="515" t="s">
        <v>8766</v>
      </c>
      <c r="G7554" s="52">
        <v>207715.45518093</v>
      </c>
      <c r="H7554" s="56">
        <v>0.11597809972082519</v>
      </c>
      <c r="I7554" s="224" t="s">
        <v>2</v>
      </c>
    </row>
    <row r="7555" spans="1:9" x14ac:dyDescent="0.25">
      <c r="A7555" s="515">
        <v>23093</v>
      </c>
      <c r="C7555" s="52">
        <v>302941.84720820398</v>
      </c>
      <c r="D7555" s="56">
        <v>8.9829268733450304E-2</v>
      </c>
      <c r="E7555" s="224" t="s">
        <v>2</v>
      </c>
      <c r="F7555" s="515" t="s">
        <v>8767</v>
      </c>
      <c r="G7555" s="52">
        <v>110240.090959728</v>
      </c>
      <c r="H7555" s="56">
        <v>7.2232146534225897E-2</v>
      </c>
      <c r="I7555" s="224" t="s">
        <v>2</v>
      </c>
    </row>
    <row r="7556" spans="1:9" x14ac:dyDescent="0.25">
      <c r="A7556" s="515">
        <v>78015</v>
      </c>
      <c r="B7556" s="515" t="s">
        <v>717</v>
      </c>
      <c r="C7556" s="52">
        <v>576908.93075869803</v>
      </c>
      <c r="D7556" s="56">
        <v>0.10120250309968927</v>
      </c>
      <c r="E7556" s="224" t="s">
        <v>2</v>
      </c>
      <c r="F7556" s="515" t="s">
        <v>8768</v>
      </c>
      <c r="G7556" s="52">
        <v>407436.694184792</v>
      </c>
      <c r="H7556" s="56">
        <v>3.1874701433416135E-2</v>
      </c>
      <c r="I7556" s="224" t="s">
        <v>2</v>
      </c>
    </row>
    <row r="7557" spans="1:9" x14ac:dyDescent="0.25">
      <c r="A7557" s="515">
        <v>97218</v>
      </c>
      <c r="B7557" s="515" t="s">
        <v>659</v>
      </c>
      <c r="C7557" s="52">
        <v>476321.97278207401</v>
      </c>
      <c r="D7557" s="56">
        <v>8.8587897042467882E-3</v>
      </c>
      <c r="E7557" s="224">
        <v>1852.94444444444</v>
      </c>
      <c r="F7557" s="515" t="s">
        <v>8769</v>
      </c>
      <c r="G7557" s="52">
        <v>115309.633931292</v>
      </c>
      <c r="H7557" s="56">
        <v>0.28393449784001817</v>
      </c>
      <c r="I7557" s="224">
        <v>1475</v>
      </c>
    </row>
    <row r="7558" spans="1:9" x14ac:dyDescent="0.25">
      <c r="A7558" s="515">
        <v>96743</v>
      </c>
      <c r="B7558" s="515" t="s">
        <v>399</v>
      </c>
      <c r="C7558" s="52">
        <v>1070478.1809604401</v>
      </c>
      <c r="D7558" s="56">
        <v>0.14171579040361904</v>
      </c>
      <c r="E7558" s="224" t="s">
        <v>2</v>
      </c>
      <c r="F7558" s="515" t="s">
        <v>8770</v>
      </c>
      <c r="G7558" s="52">
        <v>67768.912434615093</v>
      </c>
      <c r="H7558" s="56">
        <v>1.9812057715485661E-2</v>
      </c>
      <c r="I7558" s="224" t="s">
        <v>2</v>
      </c>
    </row>
    <row r="7559" spans="1:9" x14ac:dyDescent="0.25">
      <c r="A7559" s="515">
        <v>35208</v>
      </c>
      <c r="B7559" s="515" t="s">
        <v>640</v>
      </c>
      <c r="C7559" s="52">
        <v>77380.820034585297</v>
      </c>
      <c r="D7559" s="56">
        <v>0.15919361948905122</v>
      </c>
      <c r="E7559" s="224" t="s">
        <v>2</v>
      </c>
      <c r="F7559" s="515" t="s">
        <v>8771</v>
      </c>
      <c r="G7559" s="52">
        <v>79772.154343503498</v>
      </c>
      <c r="H7559" s="56">
        <v>3.6897023015616356E-2</v>
      </c>
      <c r="I7559" s="224" t="s">
        <v>2</v>
      </c>
    </row>
    <row r="7560" spans="1:9" x14ac:dyDescent="0.25">
      <c r="A7560" s="515">
        <v>11767</v>
      </c>
      <c r="B7560" s="515" t="s">
        <v>324</v>
      </c>
      <c r="C7560" s="52">
        <v>624807.31600592798</v>
      </c>
      <c r="D7560" s="56">
        <v>5.7612176847164902E-2</v>
      </c>
      <c r="E7560" s="224" t="s">
        <v>2</v>
      </c>
      <c r="F7560" s="515" t="s">
        <v>8772</v>
      </c>
      <c r="G7560" s="52">
        <v>90576.235768974395</v>
      </c>
      <c r="H7560" s="56">
        <v>2.4679954793987349E-2</v>
      </c>
      <c r="I7560" s="224" t="s">
        <v>2</v>
      </c>
    </row>
    <row r="7561" spans="1:9" x14ac:dyDescent="0.25">
      <c r="A7561" s="515">
        <v>60070</v>
      </c>
      <c r="B7561" s="515" t="s">
        <v>394</v>
      </c>
      <c r="C7561" s="52">
        <v>256217.85542239901</v>
      </c>
      <c r="D7561" s="56">
        <v>1.6416463245047176E-2</v>
      </c>
      <c r="E7561" s="224" t="s">
        <v>2</v>
      </c>
      <c r="F7561" s="515" t="s">
        <v>8773</v>
      </c>
      <c r="G7561" s="52">
        <v>181443.402953079</v>
      </c>
      <c r="H7561" s="56">
        <v>2.0954321995370933E-2</v>
      </c>
      <c r="I7561" s="224" t="s">
        <v>2</v>
      </c>
    </row>
    <row r="7562" spans="1:9" x14ac:dyDescent="0.25">
      <c r="A7562" s="515">
        <v>80202</v>
      </c>
      <c r="B7562" s="515" t="s">
        <v>401</v>
      </c>
      <c r="C7562" s="52">
        <v>621798.49691886595</v>
      </c>
      <c r="D7562" s="56">
        <v>3.8129937555739422E-2</v>
      </c>
      <c r="E7562" s="224">
        <v>2190.1325857226502</v>
      </c>
      <c r="F7562" s="515" t="s">
        <v>8774</v>
      </c>
      <c r="G7562" s="52">
        <v>177760.969867209</v>
      </c>
      <c r="H7562" s="56">
        <v>5.0481471775018494E-2</v>
      </c>
      <c r="I7562" s="224" t="s">
        <v>2</v>
      </c>
    </row>
    <row r="7563" spans="1:9" x14ac:dyDescent="0.25">
      <c r="A7563" s="515">
        <v>77488</v>
      </c>
      <c r="B7563" s="515" t="s">
        <v>320</v>
      </c>
      <c r="C7563" s="52">
        <v>174678.34826697499</v>
      </c>
      <c r="D7563" s="56">
        <v>2.9636702122167215E-2</v>
      </c>
      <c r="E7563" s="224" t="s">
        <v>2</v>
      </c>
      <c r="F7563" s="515" t="s">
        <v>8775</v>
      </c>
      <c r="G7563" s="52">
        <v>128363.591896688</v>
      </c>
      <c r="H7563" s="56">
        <v>3.5094777530663705E-3</v>
      </c>
      <c r="I7563" s="224" t="s">
        <v>2</v>
      </c>
    </row>
    <row r="7564" spans="1:9" x14ac:dyDescent="0.25">
      <c r="A7564" s="515">
        <v>52577</v>
      </c>
      <c r="B7564" s="515" t="s">
        <v>477</v>
      </c>
      <c r="C7564" s="52">
        <v>146237.75866774601</v>
      </c>
      <c r="D7564" s="56">
        <v>9.7376541082688131E-2</v>
      </c>
      <c r="E7564" s="224" t="s">
        <v>2</v>
      </c>
      <c r="F7564" s="515" t="s">
        <v>8776</v>
      </c>
      <c r="G7564" s="52">
        <v>63235.198003219703</v>
      </c>
      <c r="H7564" s="56">
        <v>0</v>
      </c>
      <c r="I7564" s="224" t="s">
        <v>2</v>
      </c>
    </row>
    <row r="7565" spans="1:9" x14ac:dyDescent="0.25">
      <c r="A7565" s="515">
        <v>75001</v>
      </c>
      <c r="B7565" s="515" t="s">
        <v>458</v>
      </c>
      <c r="C7565" s="52">
        <v>447744.37261517701</v>
      </c>
      <c r="D7565" s="56">
        <v>7.5813987303676528E-2</v>
      </c>
      <c r="E7565" s="224">
        <v>1688.2101353543701</v>
      </c>
      <c r="F7565" s="515" t="s">
        <v>8777</v>
      </c>
      <c r="G7565" s="52">
        <v>110229.911236605</v>
      </c>
      <c r="H7565" s="56">
        <v>4.4526527491842924E-2</v>
      </c>
      <c r="I7565" s="224" t="s">
        <v>2</v>
      </c>
    </row>
    <row r="7566" spans="1:9" x14ac:dyDescent="0.25">
      <c r="A7566" s="515">
        <v>19054</v>
      </c>
      <c r="B7566" s="515" t="s">
        <v>294</v>
      </c>
      <c r="C7566" s="52">
        <v>330749.76745129097</v>
      </c>
      <c r="D7566" s="56">
        <v>5.7750648359663329E-2</v>
      </c>
      <c r="E7566" s="224" t="s">
        <v>2</v>
      </c>
      <c r="F7566" s="515" t="s">
        <v>8778</v>
      </c>
      <c r="G7566" s="52">
        <v>395089.56933093001</v>
      </c>
      <c r="H7566" s="56">
        <v>2.8713185755444143E-2</v>
      </c>
      <c r="I7566" s="224" t="s">
        <v>2</v>
      </c>
    </row>
    <row r="7567" spans="1:9" x14ac:dyDescent="0.25">
      <c r="A7567" s="515">
        <v>67460</v>
      </c>
      <c r="B7567" s="515" t="s">
        <v>812</v>
      </c>
      <c r="C7567" s="52">
        <v>184207.41571900999</v>
      </c>
      <c r="D7567" s="56">
        <v>2.7415712851380669E-2</v>
      </c>
      <c r="E7567" s="224">
        <v>1000</v>
      </c>
      <c r="F7567" s="515" t="s">
        <v>8779</v>
      </c>
      <c r="G7567" s="52">
        <v>201618.28084358099</v>
      </c>
      <c r="H7567" s="56">
        <v>1.1724184969696774E-3</v>
      </c>
      <c r="I7567" s="224" t="s">
        <v>2</v>
      </c>
    </row>
    <row r="7568" spans="1:9" x14ac:dyDescent="0.25">
      <c r="A7568" s="515">
        <v>34292</v>
      </c>
      <c r="B7568" s="515" t="s">
        <v>466</v>
      </c>
      <c r="C7568" s="52">
        <v>489324.83912938298</v>
      </c>
      <c r="D7568" s="56">
        <v>0.13945342237486366</v>
      </c>
      <c r="E7568" s="224" t="s">
        <v>2</v>
      </c>
      <c r="F7568" s="515" t="s">
        <v>8780</v>
      </c>
      <c r="G7568" s="52">
        <v>301598.40638855699</v>
      </c>
      <c r="H7568" s="56">
        <v>9.0018119579517331E-2</v>
      </c>
      <c r="I7568" s="224" t="s">
        <v>2</v>
      </c>
    </row>
    <row r="7569" spans="1:9" x14ac:dyDescent="0.25">
      <c r="A7569" s="515">
        <v>77059</v>
      </c>
      <c r="B7569" s="515" t="s">
        <v>314</v>
      </c>
      <c r="C7569" s="52">
        <v>431903.15113676997</v>
      </c>
      <c r="D7569" s="56">
        <v>7.4104483301554364E-2</v>
      </c>
      <c r="E7569" s="224" t="s">
        <v>2</v>
      </c>
      <c r="F7569" s="515" t="s">
        <v>8781</v>
      </c>
      <c r="G7569" s="52">
        <v>257997.57043725799</v>
      </c>
      <c r="H7569" s="56">
        <v>6.0758608194621123E-2</v>
      </c>
      <c r="I7569" s="224" t="s">
        <v>2</v>
      </c>
    </row>
    <row r="7570" spans="1:9" x14ac:dyDescent="0.25">
      <c r="A7570" s="515">
        <v>37204</v>
      </c>
      <c r="B7570" s="515" t="s">
        <v>684</v>
      </c>
      <c r="C7570" s="52">
        <v>889984.34105480101</v>
      </c>
      <c r="D7570" s="56">
        <v>0.12668044436723006</v>
      </c>
      <c r="E7570" s="224">
        <v>2282.2916666666601</v>
      </c>
      <c r="F7570" s="515" t="s">
        <v>8782</v>
      </c>
      <c r="G7570" s="52">
        <v>262650.246480298</v>
      </c>
      <c r="H7570" s="56">
        <v>4.8244321673983702E-2</v>
      </c>
      <c r="I7570" s="224" t="s">
        <v>2</v>
      </c>
    </row>
    <row r="7571" spans="1:9" x14ac:dyDescent="0.25">
      <c r="A7571" s="515">
        <v>39520</v>
      </c>
      <c r="B7571" s="515" t="s">
        <v>963</v>
      </c>
      <c r="C7571" s="52">
        <v>229938.230770405</v>
      </c>
      <c r="D7571" s="56">
        <v>8.3068326972995266E-2</v>
      </c>
      <c r="E7571" s="224">
        <v>1600</v>
      </c>
      <c r="F7571" s="515" t="s">
        <v>8783</v>
      </c>
      <c r="G7571" s="52">
        <v>479329.10413507</v>
      </c>
      <c r="H7571" s="56">
        <v>7.3214203213090176E-2</v>
      </c>
      <c r="I7571" s="224" t="s">
        <v>2</v>
      </c>
    </row>
    <row r="7572" spans="1:9" x14ac:dyDescent="0.25">
      <c r="A7572" s="515">
        <v>64701</v>
      </c>
      <c r="B7572" s="515" t="s">
        <v>455</v>
      </c>
      <c r="C7572" s="52">
        <v>243500.149752736</v>
      </c>
      <c r="D7572" s="56">
        <v>9.1483983174550587E-2</v>
      </c>
      <c r="E7572" s="224" t="s">
        <v>2</v>
      </c>
      <c r="F7572" s="515" t="s">
        <v>8784</v>
      </c>
      <c r="G7572" s="52">
        <v>87956.107247521199</v>
      </c>
      <c r="H7572" s="56">
        <v>-2.7012324377345714E-2</v>
      </c>
      <c r="I7572" s="224" t="s">
        <v>2</v>
      </c>
    </row>
    <row r="7573" spans="1:9" x14ac:dyDescent="0.25">
      <c r="A7573" s="515">
        <v>2188</v>
      </c>
      <c r="B7573" s="515" t="s">
        <v>534</v>
      </c>
      <c r="C7573" s="52">
        <v>521292.70259514998</v>
      </c>
      <c r="D7573" s="56">
        <v>6.2472033839082952E-2</v>
      </c>
      <c r="E7573" s="224">
        <v>2182.3194444444398</v>
      </c>
      <c r="F7573" s="515" t="s">
        <v>8785</v>
      </c>
      <c r="G7573" s="52">
        <v>481696.08323345898</v>
      </c>
      <c r="H7573" s="56">
        <v>0.13382013649546859</v>
      </c>
      <c r="I7573" s="224" t="s">
        <v>2</v>
      </c>
    </row>
    <row r="7574" spans="1:9" x14ac:dyDescent="0.25">
      <c r="A7574" s="515">
        <v>7066</v>
      </c>
      <c r="B7574" s="515" t="s">
        <v>324</v>
      </c>
      <c r="C7574" s="52">
        <v>541203.208876385</v>
      </c>
      <c r="D7574" s="56">
        <v>1.9509204277892406E-2</v>
      </c>
      <c r="E7574" s="224" t="s">
        <v>2</v>
      </c>
      <c r="F7574" s="515" t="s">
        <v>8786</v>
      </c>
      <c r="G7574" s="52">
        <v>136332.84345108</v>
      </c>
      <c r="H7574" s="56">
        <v>7.2191595776183809E-2</v>
      </c>
      <c r="I7574" s="224" t="s">
        <v>2</v>
      </c>
    </row>
    <row r="7575" spans="1:9" x14ac:dyDescent="0.25">
      <c r="A7575" s="515">
        <v>35071</v>
      </c>
      <c r="B7575" s="515" t="s">
        <v>640</v>
      </c>
      <c r="C7575" s="52">
        <v>250541.914539466</v>
      </c>
      <c r="D7575" s="56">
        <v>9.4743261284942357E-2</v>
      </c>
      <c r="E7575" s="224" t="s">
        <v>2</v>
      </c>
      <c r="F7575" s="515" t="s">
        <v>8787</v>
      </c>
      <c r="G7575" s="52">
        <v>100290.514798519</v>
      </c>
      <c r="H7575" s="56">
        <v>1.9729054856700762E-2</v>
      </c>
      <c r="I7575" s="224" t="s">
        <v>2</v>
      </c>
    </row>
    <row r="7576" spans="1:9" x14ac:dyDescent="0.25">
      <c r="A7576" s="515">
        <v>11004</v>
      </c>
      <c r="B7576" s="515" t="s">
        <v>324</v>
      </c>
      <c r="C7576" s="52">
        <v>493413.93117678101</v>
      </c>
      <c r="D7576" s="56">
        <v>0.1416157622737946</v>
      </c>
      <c r="E7576" s="224" t="s">
        <v>2</v>
      </c>
      <c r="F7576" s="515" t="s">
        <v>8788</v>
      </c>
      <c r="G7576" s="52">
        <v>382014.49829287903</v>
      </c>
      <c r="H7576" s="56">
        <v>6.5653352493951794E-2</v>
      </c>
      <c r="I7576" s="224" t="s">
        <v>2</v>
      </c>
    </row>
    <row r="7577" spans="1:9" x14ac:dyDescent="0.25">
      <c r="A7577" s="515">
        <v>85501</v>
      </c>
      <c r="B7577" s="515" t="s">
        <v>692</v>
      </c>
      <c r="C7577" s="52">
        <v>200571.47655459901</v>
      </c>
      <c r="D7577" s="56">
        <v>0.1088514657875629</v>
      </c>
      <c r="E7577" s="224" t="s">
        <v>2</v>
      </c>
      <c r="F7577" s="515" t="s">
        <v>8789</v>
      </c>
      <c r="G7577" s="52">
        <v>627678.26959747705</v>
      </c>
      <c r="H7577" s="56">
        <v>3.6106517724055869E-2</v>
      </c>
      <c r="I7577" s="224" t="s">
        <v>2</v>
      </c>
    </row>
    <row r="7578" spans="1:9" x14ac:dyDescent="0.25">
      <c r="A7578" s="515">
        <v>15767</v>
      </c>
      <c r="C7578" s="52">
        <v>97021.913537207394</v>
      </c>
      <c r="D7578" s="56">
        <v>-4.2263147416821065E-2</v>
      </c>
      <c r="E7578" s="224" t="s">
        <v>2</v>
      </c>
      <c r="F7578" s="515" t="s">
        <v>8790</v>
      </c>
      <c r="G7578" s="52">
        <v>277489.36842439201</v>
      </c>
      <c r="H7578" s="56">
        <v>7.8052096134649335E-2</v>
      </c>
      <c r="I7578" s="224" t="s">
        <v>2</v>
      </c>
    </row>
    <row r="7579" spans="1:9" x14ac:dyDescent="0.25">
      <c r="A7579" s="515">
        <v>1007</v>
      </c>
      <c r="B7579" s="515" t="s">
        <v>575</v>
      </c>
      <c r="C7579" s="52">
        <v>385822.228986339</v>
      </c>
      <c r="D7579" s="56">
        <v>8.0731068897776037E-2</v>
      </c>
      <c r="E7579" s="224" t="s">
        <v>2</v>
      </c>
      <c r="F7579" s="515" t="s">
        <v>8791</v>
      </c>
      <c r="G7579" s="52">
        <v>455183.678584159</v>
      </c>
      <c r="H7579" s="56">
        <v>7.5993938586369547E-2</v>
      </c>
      <c r="I7579" s="224" t="s">
        <v>2</v>
      </c>
    </row>
    <row r="7580" spans="1:9" x14ac:dyDescent="0.25">
      <c r="A7580" s="515">
        <v>68776</v>
      </c>
      <c r="B7580" s="515" t="s">
        <v>649</v>
      </c>
      <c r="C7580" s="52">
        <v>188622.56965534799</v>
      </c>
      <c r="D7580" s="56">
        <v>0.10479341924423446</v>
      </c>
      <c r="E7580" s="224" t="s">
        <v>2</v>
      </c>
      <c r="F7580" s="515" t="s">
        <v>8792</v>
      </c>
      <c r="G7580" s="52">
        <v>141916.49785758101</v>
      </c>
      <c r="H7580" s="56">
        <v>8.4879829333539117E-2</v>
      </c>
      <c r="I7580" s="224" t="s">
        <v>2</v>
      </c>
    </row>
    <row r="7581" spans="1:9" x14ac:dyDescent="0.25">
      <c r="A7581" s="515">
        <v>20650</v>
      </c>
      <c r="B7581" s="515" t="s">
        <v>779</v>
      </c>
      <c r="C7581" s="52">
        <v>448428.41277774703</v>
      </c>
      <c r="D7581" s="56">
        <v>3.4722202689773177E-2</v>
      </c>
      <c r="E7581" s="224" t="s">
        <v>2</v>
      </c>
      <c r="F7581" s="515" t="s">
        <v>8793</v>
      </c>
      <c r="G7581" s="52">
        <v>88716.754523522803</v>
      </c>
      <c r="H7581" s="56">
        <v>0.1181388757847792</v>
      </c>
      <c r="I7581" s="224" t="s">
        <v>2</v>
      </c>
    </row>
    <row r="7582" spans="1:9" x14ac:dyDescent="0.25">
      <c r="A7582" s="515">
        <v>28714</v>
      </c>
      <c r="C7582" s="52">
        <v>280448.42696189199</v>
      </c>
      <c r="D7582" s="56">
        <v>0.1638664557721887</v>
      </c>
      <c r="E7582" s="224" t="s">
        <v>2</v>
      </c>
      <c r="F7582" s="515" t="s">
        <v>8794</v>
      </c>
      <c r="G7582" s="52">
        <v>198836.35973529599</v>
      </c>
      <c r="H7582" s="56">
        <v>1.507910455628529E-2</v>
      </c>
      <c r="I7582" s="224">
        <v>1016.1111111111099</v>
      </c>
    </row>
    <row r="7583" spans="1:9" x14ac:dyDescent="0.25">
      <c r="A7583" s="515">
        <v>94542</v>
      </c>
      <c r="B7583" s="515" t="s">
        <v>593</v>
      </c>
      <c r="C7583" s="52">
        <v>1152986.53482009</v>
      </c>
      <c r="D7583" s="56">
        <v>-1.6137409452776714E-2</v>
      </c>
      <c r="E7583" s="224">
        <v>2289.4499999999998</v>
      </c>
      <c r="F7583" s="515" t="s">
        <v>8795</v>
      </c>
      <c r="G7583" s="52">
        <v>253993.8161046</v>
      </c>
      <c r="H7583" s="56">
        <v>0.10846037435709005</v>
      </c>
      <c r="I7583" s="224" t="s">
        <v>2</v>
      </c>
    </row>
    <row r="7584" spans="1:9" x14ac:dyDescent="0.25">
      <c r="A7584" s="515">
        <v>45891</v>
      </c>
      <c r="B7584" s="515" t="s">
        <v>818</v>
      </c>
      <c r="C7584" s="52">
        <v>138594.32175792599</v>
      </c>
      <c r="D7584" s="56">
        <v>6.5529292560917912E-2</v>
      </c>
      <c r="E7584" s="224" t="s">
        <v>2</v>
      </c>
      <c r="F7584" s="515" t="s">
        <v>8796</v>
      </c>
      <c r="G7584" s="52">
        <v>286454.80987420998</v>
      </c>
      <c r="H7584" s="56">
        <v>8.3971861845431775E-2</v>
      </c>
      <c r="I7584" s="224" t="s">
        <v>2</v>
      </c>
    </row>
    <row r="7585" spans="1:9" x14ac:dyDescent="0.25">
      <c r="A7585" s="515">
        <v>13662</v>
      </c>
      <c r="B7585" s="515" t="s">
        <v>511</v>
      </c>
      <c r="C7585" s="52">
        <v>101229.974380029</v>
      </c>
      <c r="D7585" s="56">
        <v>0.11190057248668535</v>
      </c>
      <c r="E7585" s="224" t="s">
        <v>2</v>
      </c>
      <c r="F7585" s="515" t="s">
        <v>8797</v>
      </c>
      <c r="G7585" s="52">
        <v>306659.29557551799</v>
      </c>
      <c r="H7585" s="56">
        <v>8.3135064543504528E-2</v>
      </c>
      <c r="I7585" s="224">
        <v>1816.6666666666599</v>
      </c>
    </row>
    <row r="7586" spans="1:9" x14ac:dyDescent="0.25">
      <c r="A7586" s="515">
        <v>45243</v>
      </c>
      <c r="B7586" s="515" t="s">
        <v>344</v>
      </c>
      <c r="C7586" s="52">
        <v>579018.92080973601</v>
      </c>
      <c r="D7586" s="56">
        <v>7.2472174841729659E-2</v>
      </c>
      <c r="E7586" s="224" t="s">
        <v>2</v>
      </c>
      <c r="F7586" s="515" t="s">
        <v>8798</v>
      </c>
      <c r="G7586" s="52">
        <v>466904.41643756803</v>
      </c>
      <c r="H7586" s="56">
        <v>1.9721379823551308E-2</v>
      </c>
      <c r="I7586" s="224" t="s">
        <v>2</v>
      </c>
    </row>
    <row r="7587" spans="1:9" x14ac:dyDescent="0.25">
      <c r="A7587" s="515">
        <v>60154</v>
      </c>
      <c r="B7587" s="515" t="s">
        <v>394</v>
      </c>
      <c r="C7587" s="52">
        <v>295951.00650516798</v>
      </c>
      <c r="D7587" s="56">
        <v>4.3161704166332103E-2</v>
      </c>
      <c r="E7587" s="224" t="s">
        <v>2</v>
      </c>
      <c r="F7587" s="515" t="s">
        <v>8799</v>
      </c>
      <c r="G7587" s="52">
        <v>231657.55544314301</v>
      </c>
      <c r="H7587" s="56">
        <v>6.0650033825182845E-2</v>
      </c>
      <c r="I7587" s="224" t="s">
        <v>2</v>
      </c>
    </row>
    <row r="7588" spans="1:9" x14ac:dyDescent="0.25">
      <c r="A7588" s="515">
        <v>17557</v>
      </c>
      <c r="B7588" s="515" t="s">
        <v>537</v>
      </c>
      <c r="C7588" s="52">
        <v>338364.14497823903</v>
      </c>
      <c r="D7588" s="56">
        <v>9.6110545309153125E-2</v>
      </c>
      <c r="E7588" s="224" t="s">
        <v>2</v>
      </c>
      <c r="F7588" s="515" t="s">
        <v>8800</v>
      </c>
      <c r="G7588" s="52">
        <v>452212.70202756202</v>
      </c>
      <c r="H7588" s="56">
        <v>6.7530517385948922E-3</v>
      </c>
      <c r="I7588" s="224">
        <v>1832.88333333333</v>
      </c>
    </row>
    <row r="7589" spans="1:9" x14ac:dyDescent="0.25">
      <c r="A7589" s="515">
        <v>96021</v>
      </c>
      <c r="B7589" s="515" t="s">
        <v>525</v>
      </c>
      <c r="C7589" s="52">
        <v>272315.04893025901</v>
      </c>
      <c r="D7589" s="56">
        <v>1.2131081203354561E-3</v>
      </c>
      <c r="E7589" s="224" t="s">
        <v>2</v>
      </c>
      <c r="F7589" s="515" t="s">
        <v>8801</v>
      </c>
      <c r="G7589" s="52">
        <v>130846.731899964</v>
      </c>
      <c r="H7589" s="56">
        <v>0.19907704693615574</v>
      </c>
      <c r="I7589" s="224" t="s">
        <v>2</v>
      </c>
    </row>
    <row r="7590" spans="1:9" x14ac:dyDescent="0.25">
      <c r="A7590" s="515">
        <v>47170</v>
      </c>
      <c r="B7590" s="515" t="s">
        <v>1071</v>
      </c>
      <c r="C7590" s="52">
        <v>182089.766837551</v>
      </c>
      <c r="D7590" s="56">
        <v>5.9376268556784614E-2</v>
      </c>
      <c r="E7590" s="224" t="s">
        <v>2</v>
      </c>
      <c r="F7590" s="515" t="s">
        <v>8802</v>
      </c>
      <c r="G7590" s="52">
        <v>216934.968036529</v>
      </c>
      <c r="H7590" s="56">
        <v>0</v>
      </c>
      <c r="I7590" s="224" t="s">
        <v>2</v>
      </c>
    </row>
    <row r="7591" spans="1:9" x14ac:dyDescent="0.25">
      <c r="A7591" s="515">
        <v>5201</v>
      </c>
      <c r="B7591" s="515" t="s">
        <v>657</v>
      </c>
      <c r="C7591" s="52">
        <v>220189.968872681</v>
      </c>
      <c r="D7591" s="56">
        <v>7.4971968101775519E-2</v>
      </c>
      <c r="E7591" s="224" t="s">
        <v>2</v>
      </c>
      <c r="F7591" s="515" t="s">
        <v>8803</v>
      </c>
      <c r="G7591" s="52">
        <v>386988.130317153</v>
      </c>
      <c r="H7591" s="56">
        <v>8.0626247540388676E-2</v>
      </c>
      <c r="I7591" s="224" t="s">
        <v>2</v>
      </c>
    </row>
    <row r="7592" spans="1:9" x14ac:dyDescent="0.25">
      <c r="A7592" s="515">
        <v>46228</v>
      </c>
      <c r="B7592" s="515" t="s">
        <v>403</v>
      </c>
      <c r="C7592" s="52">
        <v>245837.38776080799</v>
      </c>
      <c r="D7592" s="56">
        <v>6.1668529986607844E-2</v>
      </c>
      <c r="E7592" s="224">
        <v>1428.88888888888</v>
      </c>
      <c r="F7592" s="515" t="s">
        <v>8804</v>
      </c>
      <c r="G7592" s="52">
        <v>241291.795724689</v>
      </c>
      <c r="H7592" s="56">
        <v>5.149669285918726E-2</v>
      </c>
      <c r="I7592" s="224" t="s">
        <v>2</v>
      </c>
    </row>
    <row r="7593" spans="1:9" x14ac:dyDescent="0.25">
      <c r="A7593" s="515">
        <v>93221</v>
      </c>
      <c r="B7593" s="515" t="s">
        <v>358</v>
      </c>
      <c r="C7593" s="52">
        <v>340271.61635397997</v>
      </c>
      <c r="D7593" s="56">
        <v>4.8775191488513586E-2</v>
      </c>
      <c r="E7593" s="224" t="s">
        <v>2</v>
      </c>
      <c r="F7593" s="515" t="s">
        <v>8805</v>
      </c>
      <c r="G7593" s="52">
        <v>296814.48382998997</v>
      </c>
      <c r="H7593" s="56">
        <v>4.8581082366417373E-2</v>
      </c>
      <c r="I7593" s="224" t="s">
        <v>2</v>
      </c>
    </row>
    <row r="7594" spans="1:9" x14ac:dyDescent="0.25">
      <c r="A7594" s="515">
        <v>81503</v>
      </c>
      <c r="B7594" s="515" t="s">
        <v>619</v>
      </c>
      <c r="C7594" s="52">
        <v>339518.14648760803</v>
      </c>
      <c r="D7594" s="56">
        <v>3.9799100870885354E-2</v>
      </c>
      <c r="E7594" s="224" t="s">
        <v>2</v>
      </c>
      <c r="F7594" s="515" t="s">
        <v>8806</v>
      </c>
      <c r="G7594" s="52">
        <v>224410.81829048201</v>
      </c>
      <c r="H7594" s="56">
        <v>4.9213981513307914E-2</v>
      </c>
      <c r="I7594" s="224" t="s">
        <v>2</v>
      </c>
    </row>
    <row r="7595" spans="1:9" x14ac:dyDescent="0.25">
      <c r="A7595" s="515">
        <v>75057</v>
      </c>
      <c r="B7595" s="515" t="s">
        <v>458</v>
      </c>
      <c r="C7595" s="52">
        <v>304670.10679977102</v>
      </c>
      <c r="D7595" s="56">
        <v>0.11897523958583205</v>
      </c>
      <c r="E7595" s="224">
        <v>1571.9821428571399</v>
      </c>
      <c r="F7595" s="515" t="s">
        <v>8807</v>
      </c>
      <c r="G7595" s="52">
        <v>526123.92087821802</v>
      </c>
      <c r="H7595" s="56">
        <v>0.12966576082310668</v>
      </c>
      <c r="I7595" s="224">
        <v>4691.6666666666597</v>
      </c>
    </row>
    <row r="7596" spans="1:9" x14ac:dyDescent="0.25">
      <c r="A7596" s="515">
        <v>97232</v>
      </c>
      <c r="B7596" s="515" t="s">
        <v>659</v>
      </c>
      <c r="C7596" s="52">
        <v>649601.181865399</v>
      </c>
      <c r="D7596" s="56">
        <v>-1.6364904252368508E-2</v>
      </c>
      <c r="E7596" s="224">
        <v>1633.56111111111</v>
      </c>
      <c r="F7596" s="515" t="s">
        <v>8808</v>
      </c>
      <c r="G7596" s="52">
        <v>315886.15256784501</v>
      </c>
      <c r="H7596" s="56">
        <v>4.6460091950278358E-2</v>
      </c>
      <c r="I7596" s="224">
        <v>1243.3333333333301</v>
      </c>
    </row>
    <row r="7597" spans="1:9" x14ac:dyDescent="0.25">
      <c r="A7597" s="515">
        <v>29936</v>
      </c>
      <c r="B7597" s="515" t="s">
        <v>734</v>
      </c>
      <c r="C7597" s="52">
        <v>244329.49120707999</v>
      </c>
      <c r="D7597" s="56">
        <v>6.1744849689506803E-2</v>
      </c>
      <c r="E7597" s="224" t="s">
        <v>2</v>
      </c>
      <c r="F7597" s="515" t="s">
        <v>8809</v>
      </c>
      <c r="G7597" s="52">
        <v>163874.20263925201</v>
      </c>
      <c r="H7597" s="56">
        <v>0.1733078367769165</v>
      </c>
      <c r="I7597" s="224" t="s">
        <v>2</v>
      </c>
    </row>
    <row r="7598" spans="1:9" x14ac:dyDescent="0.25">
      <c r="A7598" s="515">
        <v>59912</v>
      </c>
      <c r="B7598" s="515" t="s">
        <v>459</v>
      </c>
      <c r="C7598" s="52">
        <v>563017.84858497803</v>
      </c>
      <c r="D7598" s="56">
        <v>8.732537118040519E-2</v>
      </c>
      <c r="E7598" s="224" t="s">
        <v>2</v>
      </c>
      <c r="F7598" s="515" t="s">
        <v>8810</v>
      </c>
      <c r="G7598" s="52">
        <v>323230.24810395</v>
      </c>
      <c r="H7598" s="56">
        <v>6.647070510257462E-2</v>
      </c>
      <c r="I7598" s="224" t="s">
        <v>2</v>
      </c>
    </row>
    <row r="7599" spans="1:9" x14ac:dyDescent="0.25">
      <c r="A7599" s="515">
        <v>60191</v>
      </c>
      <c r="B7599" s="515" t="s">
        <v>394</v>
      </c>
      <c r="C7599" s="52">
        <v>284991.64760144003</v>
      </c>
      <c r="D7599" s="56">
        <v>4.317255226757593E-2</v>
      </c>
      <c r="E7599" s="224" t="s">
        <v>2</v>
      </c>
      <c r="F7599" s="515" t="s">
        <v>8811</v>
      </c>
      <c r="G7599" s="52">
        <v>260897.127489354</v>
      </c>
      <c r="H7599" s="56">
        <v>9.1285572341501572E-2</v>
      </c>
      <c r="I7599" s="224" t="s">
        <v>2</v>
      </c>
    </row>
    <row r="7600" spans="1:9" x14ac:dyDescent="0.25">
      <c r="A7600" s="515">
        <v>44485</v>
      </c>
      <c r="B7600" s="515" t="s">
        <v>397</v>
      </c>
      <c r="C7600" s="52">
        <v>59298.730549080501</v>
      </c>
      <c r="D7600" s="56">
        <v>0.19370636047469311</v>
      </c>
      <c r="E7600" s="224" t="s">
        <v>2</v>
      </c>
      <c r="F7600" s="515" t="s">
        <v>8812</v>
      </c>
      <c r="G7600" s="52">
        <v>611007.66885750205</v>
      </c>
      <c r="H7600" s="56">
        <v>1.7383050217638189E-2</v>
      </c>
      <c r="I7600" s="224" t="s">
        <v>2</v>
      </c>
    </row>
    <row r="7601" spans="1:9" x14ac:dyDescent="0.25">
      <c r="A7601" s="515">
        <v>47111</v>
      </c>
      <c r="B7601" s="515" t="s">
        <v>479</v>
      </c>
      <c r="C7601" s="52">
        <v>264393.76185069297</v>
      </c>
      <c r="D7601" s="56">
        <v>5.9329492821848094E-2</v>
      </c>
      <c r="E7601" s="224" t="s">
        <v>2</v>
      </c>
      <c r="F7601" s="515" t="s">
        <v>8813</v>
      </c>
      <c r="G7601" s="52">
        <v>85138.482918181398</v>
      </c>
      <c r="H7601" s="56">
        <v>-2.4574629320507711E-2</v>
      </c>
      <c r="I7601" s="224" t="s">
        <v>2</v>
      </c>
    </row>
    <row r="7602" spans="1:9" x14ac:dyDescent="0.25">
      <c r="A7602" s="515">
        <v>94960</v>
      </c>
      <c r="B7602" s="515" t="s">
        <v>593</v>
      </c>
      <c r="C7602" s="52">
        <v>1513892.58110654</v>
      </c>
      <c r="D7602" s="56">
        <v>-1.6163841374676184E-2</v>
      </c>
      <c r="E7602" s="224">
        <v>3837.5</v>
      </c>
      <c r="F7602" s="515" t="s">
        <v>8814</v>
      </c>
      <c r="G7602" s="52">
        <v>133492.38665658899</v>
      </c>
      <c r="H7602" s="56">
        <v>5.0817868017855568E-3</v>
      </c>
      <c r="I7602" s="224" t="s">
        <v>2</v>
      </c>
    </row>
    <row r="7603" spans="1:9" x14ac:dyDescent="0.25">
      <c r="A7603" s="515">
        <v>95437</v>
      </c>
      <c r="B7603" s="515" t="s">
        <v>644</v>
      </c>
      <c r="C7603" s="52">
        <v>510841.02769120201</v>
      </c>
      <c r="D7603" s="56">
        <v>-8.1887688002015291E-2</v>
      </c>
      <c r="E7603" s="224" t="s">
        <v>2</v>
      </c>
      <c r="F7603" s="515" t="s">
        <v>8815</v>
      </c>
      <c r="G7603" s="52">
        <v>435782.928752148</v>
      </c>
      <c r="H7603" s="56">
        <v>0.18377061590776592</v>
      </c>
      <c r="I7603" s="224" t="s">
        <v>2</v>
      </c>
    </row>
    <row r="7604" spans="1:9" x14ac:dyDescent="0.25">
      <c r="A7604" s="515">
        <v>39562</v>
      </c>
      <c r="B7604" s="515" t="s">
        <v>963</v>
      </c>
      <c r="C7604" s="52">
        <v>168103.05188312801</v>
      </c>
      <c r="D7604" s="56">
        <v>3.6858669318181964E-2</v>
      </c>
      <c r="E7604" s="224" t="s">
        <v>2</v>
      </c>
      <c r="F7604" s="515" t="s">
        <v>8816</v>
      </c>
      <c r="G7604" s="52">
        <v>683619.07352161699</v>
      </c>
      <c r="H7604" s="56">
        <v>4.1619503202609438E-2</v>
      </c>
      <c r="I7604" s="224" t="s">
        <v>2</v>
      </c>
    </row>
    <row r="7605" spans="1:9" x14ac:dyDescent="0.25">
      <c r="A7605" s="515">
        <v>53404</v>
      </c>
      <c r="B7605" s="515" t="s">
        <v>1151</v>
      </c>
      <c r="C7605" s="52">
        <v>136462.508838749</v>
      </c>
      <c r="D7605" s="56">
        <v>8.0581550247040473E-2</v>
      </c>
      <c r="E7605" s="224" t="s">
        <v>2</v>
      </c>
      <c r="F7605" s="515" t="s">
        <v>8817</v>
      </c>
      <c r="G7605" s="52">
        <v>236168.880877302</v>
      </c>
      <c r="H7605" s="56">
        <v>4.994159611716454E-2</v>
      </c>
      <c r="I7605" s="224" t="s">
        <v>2</v>
      </c>
    </row>
    <row r="7606" spans="1:9" x14ac:dyDescent="0.25">
      <c r="A7606" s="515">
        <v>76207</v>
      </c>
      <c r="B7606" s="515" t="s">
        <v>458</v>
      </c>
      <c r="C7606" s="52">
        <v>370726.46003734198</v>
      </c>
      <c r="D7606" s="56">
        <v>5.6269046744702324E-2</v>
      </c>
      <c r="E7606" s="224">
        <v>1607.1666666666599</v>
      </c>
      <c r="F7606" s="515" t="s">
        <v>8818</v>
      </c>
      <c r="G7606" s="52">
        <v>239398.18865382901</v>
      </c>
      <c r="H7606" s="56">
        <v>8.8322438244234983E-2</v>
      </c>
      <c r="I7606" s="224" t="s">
        <v>2</v>
      </c>
    </row>
    <row r="7607" spans="1:9" x14ac:dyDescent="0.25">
      <c r="A7607" s="515">
        <v>75209</v>
      </c>
      <c r="B7607" s="515" t="s">
        <v>458</v>
      </c>
      <c r="C7607" s="52">
        <v>820859.89402907901</v>
      </c>
      <c r="D7607" s="56">
        <v>0.11979787622430631</v>
      </c>
      <c r="E7607" s="224">
        <v>1915.45</v>
      </c>
      <c r="F7607" s="515" t="s">
        <v>8819</v>
      </c>
      <c r="G7607" s="52">
        <v>258538.06822275699</v>
      </c>
      <c r="H7607" s="56">
        <v>3.9030184026778603E-2</v>
      </c>
      <c r="I7607" s="224" t="s">
        <v>2</v>
      </c>
    </row>
    <row r="7608" spans="1:9" x14ac:dyDescent="0.25">
      <c r="A7608" s="515">
        <v>77078</v>
      </c>
      <c r="B7608" s="515" t="s">
        <v>314</v>
      </c>
      <c r="C7608" s="52">
        <v>168916.287038574</v>
      </c>
      <c r="D7608" s="56">
        <v>0.18517530551803313</v>
      </c>
      <c r="E7608" s="224" t="s">
        <v>2</v>
      </c>
      <c r="F7608" s="515" t="s">
        <v>8820</v>
      </c>
      <c r="G7608" s="52">
        <v>111858.11641327701</v>
      </c>
      <c r="H7608" s="56">
        <v>0.14199177635223245</v>
      </c>
      <c r="I7608" s="224" t="s">
        <v>2</v>
      </c>
    </row>
    <row r="7609" spans="1:9" x14ac:dyDescent="0.25">
      <c r="A7609" s="515">
        <v>33708</v>
      </c>
      <c r="B7609" s="515" t="s">
        <v>461</v>
      </c>
      <c r="C7609" s="52">
        <v>597448.74683736695</v>
      </c>
      <c r="D7609" s="56">
        <v>0.1279172633515851</v>
      </c>
      <c r="E7609" s="224">
        <v>2397.2222222222199</v>
      </c>
      <c r="F7609" s="515" t="s">
        <v>8821</v>
      </c>
      <c r="G7609" s="52">
        <v>197287.393154041</v>
      </c>
      <c r="H7609" s="56">
        <v>6.0130173352307963E-2</v>
      </c>
      <c r="I7609" s="224" t="s">
        <v>2</v>
      </c>
    </row>
    <row r="7610" spans="1:9" x14ac:dyDescent="0.25">
      <c r="A7610" s="515">
        <v>2382</v>
      </c>
      <c r="B7610" s="515" t="s">
        <v>534</v>
      </c>
      <c r="C7610" s="52">
        <v>467747.78789526899</v>
      </c>
      <c r="D7610" s="56">
        <v>5.6881195684622167E-2</v>
      </c>
      <c r="E7610" s="224" t="s">
        <v>2</v>
      </c>
      <c r="F7610" s="515" t="s">
        <v>8822</v>
      </c>
      <c r="G7610" s="52">
        <v>153221.51006076799</v>
      </c>
      <c r="H7610" s="56">
        <v>8.3814912743800069E-2</v>
      </c>
      <c r="I7610" s="224" t="s">
        <v>2</v>
      </c>
    </row>
    <row r="7611" spans="1:9" x14ac:dyDescent="0.25">
      <c r="A7611" s="515">
        <v>1532</v>
      </c>
      <c r="B7611" s="515" t="s">
        <v>751</v>
      </c>
      <c r="C7611" s="52">
        <v>572019.87356471701</v>
      </c>
      <c r="D7611" s="56">
        <v>6.9727628162855132E-2</v>
      </c>
      <c r="E7611" s="224" t="s">
        <v>2</v>
      </c>
      <c r="F7611" s="515" t="s">
        <v>8823</v>
      </c>
      <c r="G7611" s="52">
        <v>135271.401251145</v>
      </c>
      <c r="H7611" s="56">
        <v>0.15511105804607725</v>
      </c>
      <c r="I7611" s="224" t="s">
        <v>2</v>
      </c>
    </row>
    <row r="7612" spans="1:9" x14ac:dyDescent="0.25">
      <c r="A7612" s="515">
        <v>94705</v>
      </c>
      <c r="B7612" s="515" t="s">
        <v>593</v>
      </c>
      <c r="C7612" s="52">
        <v>1893039.9133039301</v>
      </c>
      <c r="D7612" s="56">
        <v>-1.7773587923320303E-2</v>
      </c>
      <c r="E7612" s="224">
        <v>2675</v>
      </c>
      <c r="F7612" s="515" t="s">
        <v>8824</v>
      </c>
      <c r="G7612" s="52">
        <v>230980.904672498</v>
      </c>
      <c r="H7612" s="56">
        <v>6.2290986181222335E-2</v>
      </c>
      <c r="I7612" s="224" t="s">
        <v>2</v>
      </c>
    </row>
    <row r="7613" spans="1:9" x14ac:dyDescent="0.25">
      <c r="A7613" s="515">
        <v>78405</v>
      </c>
      <c r="B7613" s="515" t="s">
        <v>415</v>
      </c>
      <c r="C7613" s="52">
        <v>71211.641286465296</v>
      </c>
      <c r="D7613" s="56">
        <v>-1.0402382301550224E-2</v>
      </c>
      <c r="E7613" s="224" t="s">
        <v>2</v>
      </c>
      <c r="F7613" s="515" t="s">
        <v>8825</v>
      </c>
      <c r="G7613" s="52">
        <v>176773.18894043099</v>
      </c>
      <c r="H7613" s="56">
        <v>7.3119703153323529E-2</v>
      </c>
      <c r="I7613" s="224" t="s">
        <v>2</v>
      </c>
    </row>
    <row r="7614" spans="1:9" x14ac:dyDescent="0.25">
      <c r="A7614" s="515">
        <v>53901</v>
      </c>
      <c r="B7614" s="515" t="s">
        <v>727</v>
      </c>
      <c r="C7614" s="52">
        <v>218765.757281461</v>
      </c>
      <c r="D7614" s="56">
        <v>6.6280899884602701E-2</v>
      </c>
      <c r="E7614" s="224" t="s">
        <v>2</v>
      </c>
      <c r="F7614" s="515" t="s">
        <v>8826</v>
      </c>
      <c r="G7614" s="52">
        <v>206838.71149418899</v>
      </c>
      <c r="H7614" s="56">
        <v>-1.4265827369374533E-2</v>
      </c>
      <c r="I7614" s="224" t="s">
        <v>2</v>
      </c>
    </row>
    <row r="7615" spans="1:9" x14ac:dyDescent="0.25">
      <c r="A7615" s="515">
        <v>31211</v>
      </c>
      <c r="B7615" s="515" t="s">
        <v>995</v>
      </c>
      <c r="C7615" s="52">
        <v>144291.13608540301</v>
      </c>
      <c r="D7615" s="56">
        <v>0.16550817668129902</v>
      </c>
      <c r="E7615" s="224" t="s">
        <v>2</v>
      </c>
      <c r="F7615" s="515" t="s">
        <v>8827</v>
      </c>
      <c r="G7615" s="52">
        <v>395857.92252322898</v>
      </c>
      <c r="H7615" s="56">
        <v>5.4812609905069407E-2</v>
      </c>
      <c r="I7615" s="224" t="s">
        <v>2</v>
      </c>
    </row>
    <row r="7616" spans="1:9" x14ac:dyDescent="0.25">
      <c r="A7616" s="515">
        <v>57350</v>
      </c>
      <c r="B7616" s="515" t="s">
        <v>5167</v>
      </c>
      <c r="C7616" s="52">
        <v>174565.31371644299</v>
      </c>
      <c r="D7616" s="56">
        <v>3.9947361566705697E-2</v>
      </c>
      <c r="E7616" s="224" t="s">
        <v>2</v>
      </c>
      <c r="F7616" s="515" t="s">
        <v>8828</v>
      </c>
      <c r="G7616" s="52">
        <v>190115.06277904901</v>
      </c>
      <c r="H7616" s="56">
        <v>0.10218819788203376</v>
      </c>
      <c r="I7616" s="224" t="s">
        <v>2</v>
      </c>
    </row>
    <row r="7617" spans="1:9" x14ac:dyDescent="0.25">
      <c r="A7617" s="515">
        <v>6795</v>
      </c>
      <c r="B7617" s="515" t="s">
        <v>559</v>
      </c>
      <c r="C7617" s="52">
        <v>350306.52038674499</v>
      </c>
      <c r="D7617" s="56">
        <v>8.8678821962708654E-2</v>
      </c>
      <c r="E7617" s="224" t="s">
        <v>2</v>
      </c>
      <c r="F7617" s="515" t="s">
        <v>8829</v>
      </c>
      <c r="G7617" s="52">
        <v>259831.74018159101</v>
      </c>
      <c r="H7617" s="56">
        <v>9.3419866726695153E-2</v>
      </c>
      <c r="I7617" s="224" t="s">
        <v>2</v>
      </c>
    </row>
    <row r="7618" spans="1:9" x14ac:dyDescent="0.25">
      <c r="A7618" s="515">
        <v>28791</v>
      </c>
      <c r="B7618" s="515" t="s">
        <v>668</v>
      </c>
      <c r="C7618" s="52">
        <v>384617.81542744901</v>
      </c>
      <c r="D7618" s="56">
        <v>0.11050925284274825</v>
      </c>
      <c r="E7618" s="224" t="s">
        <v>2</v>
      </c>
      <c r="F7618" s="515" t="s">
        <v>8830</v>
      </c>
      <c r="G7618" s="52">
        <v>275593.077075671</v>
      </c>
      <c r="H7618" s="56">
        <v>0.23493144713215353</v>
      </c>
      <c r="I7618" s="224" t="s">
        <v>2</v>
      </c>
    </row>
    <row r="7619" spans="1:9" x14ac:dyDescent="0.25">
      <c r="A7619" s="515">
        <v>61068</v>
      </c>
      <c r="B7619" s="515" t="s">
        <v>429</v>
      </c>
      <c r="C7619" s="52">
        <v>155537.34875758699</v>
      </c>
      <c r="D7619" s="56">
        <v>4.5433373162460579E-2</v>
      </c>
      <c r="E7619" s="224" t="s">
        <v>2</v>
      </c>
      <c r="F7619" s="515" t="s">
        <v>8831</v>
      </c>
      <c r="G7619" s="52">
        <v>108638.348311608</v>
      </c>
      <c r="H7619" s="56">
        <v>3.6423274604325297E-2</v>
      </c>
      <c r="I7619" s="224" t="s">
        <v>2</v>
      </c>
    </row>
    <row r="7620" spans="1:9" x14ac:dyDescent="0.25">
      <c r="A7620" s="515">
        <v>81101</v>
      </c>
      <c r="C7620" s="52">
        <v>280936.68974765501</v>
      </c>
      <c r="D7620" s="56">
        <v>0.1183375638118554</v>
      </c>
      <c r="E7620" s="224" t="s">
        <v>2</v>
      </c>
      <c r="F7620" s="515" t="s">
        <v>8832</v>
      </c>
      <c r="G7620" s="52">
        <v>105701.33611776101</v>
      </c>
      <c r="H7620" s="56">
        <v>0.16274473667733291</v>
      </c>
      <c r="I7620" s="224" t="s">
        <v>2</v>
      </c>
    </row>
    <row r="7621" spans="1:9" x14ac:dyDescent="0.25">
      <c r="A7621" s="515">
        <v>6084</v>
      </c>
      <c r="B7621" s="515" t="s">
        <v>894</v>
      </c>
      <c r="C7621" s="52">
        <v>342027.49758475902</v>
      </c>
      <c r="D7621" s="56">
        <v>7.7356428534729252E-2</v>
      </c>
      <c r="E7621" s="224" t="s">
        <v>2</v>
      </c>
      <c r="F7621" s="515" t="s">
        <v>8833</v>
      </c>
      <c r="G7621" s="52">
        <v>127485.711022937</v>
      </c>
      <c r="H7621" s="56">
        <v>-1.7112205453874287E-2</v>
      </c>
      <c r="I7621" s="224" t="s">
        <v>2</v>
      </c>
    </row>
    <row r="7622" spans="1:9" x14ac:dyDescent="0.25">
      <c r="A7622" s="515">
        <v>8210</v>
      </c>
      <c r="B7622" s="515" t="s">
        <v>653</v>
      </c>
      <c r="C7622" s="52">
        <v>351315.20988958701</v>
      </c>
      <c r="D7622" s="56">
        <v>4.9254374249949384E-2</v>
      </c>
      <c r="E7622" s="224" t="s">
        <v>2</v>
      </c>
      <c r="F7622" s="515" t="s">
        <v>8834</v>
      </c>
      <c r="G7622" s="52">
        <v>326714.795695843</v>
      </c>
      <c r="H7622" s="56">
        <v>6.8261298463791947E-2</v>
      </c>
      <c r="I7622" s="224" t="s">
        <v>2</v>
      </c>
    </row>
    <row r="7623" spans="1:9" x14ac:dyDescent="0.25">
      <c r="A7623" s="515">
        <v>12118</v>
      </c>
      <c r="B7623" s="515" t="s">
        <v>609</v>
      </c>
      <c r="C7623" s="52">
        <v>359038.77696381602</v>
      </c>
      <c r="D7623" s="56">
        <v>5.9417044717477392E-2</v>
      </c>
      <c r="E7623" s="224">
        <v>1202.5</v>
      </c>
      <c r="F7623" s="515" t="s">
        <v>8835</v>
      </c>
      <c r="G7623" s="52">
        <v>353834.94529898802</v>
      </c>
      <c r="H7623" s="56">
        <v>3.2695334633997479E-2</v>
      </c>
      <c r="I7623" s="224" t="s">
        <v>2</v>
      </c>
    </row>
    <row r="7624" spans="1:9" x14ac:dyDescent="0.25">
      <c r="A7624" s="515">
        <v>18938</v>
      </c>
      <c r="B7624" s="515" t="s">
        <v>294</v>
      </c>
      <c r="C7624" s="52">
        <v>752209.11352574395</v>
      </c>
      <c r="D7624" s="56">
        <v>5.7534394673884645E-2</v>
      </c>
      <c r="E7624" s="224">
        <v>2875</v>
      </c>
      <c r="F7624" s="515" t="s">
        <v>8836</v>
      </c>
      <c r="G7624" s="52">
        <v>193572.238990321</v>
      </c>
      <c r="H7624" s="56">
        <v>0.11511890915356025</v>
      </c>
      <c r="I7624" s="224" t="s">
        <v>2</v>
      </c>
    </row>
    <row r="7625" spans="1:9" x14ac:dyDescent="0.25">
      <c r="A7625" s="515">
        <v>45419</v>
      </c>
      <c r="B7625" s="515" t="s">
        <v>340</v>
      </c>
      <c r="C7625" s="52">
        <v>236388.796340423</v>
      </c>
      <c r="D7625" s="56">
        <v>6.7997434983646673E-2</v>
      </c>
      <c r="E7625" s="224">
        <v>1253.3333333333301</v>
      </c>
      <c r="F7625" s="515" t="s">
        <v>8837</v>
      </c>
      <c r="G7625" s="52">
        <v>778316.73413096997</v>
      </c>
      <c r="H7625" s="56">
        <v>6.3594369723956002E-3</v>
      </c>
      <c r="I7625" s="224" t="s">
        <v>2</v>
      </c>
    </row>
    <row r="7626" spans="1:9" x14ac:dyDescent="0.25">
      <c r="A7626" s="515">
        <v>12538</v>
      </c>
      <c r="B7626" s="515" t="s">
        <v>529</v>
      </c>
      <c r="C7626" s="52">
        <v>330898.82288066897</v>
      </c>
      <c r="D7626" s="56">
        <v>7.8012023299348116E-2</v>
      </c>
      <c r="E7626" s="224" t="s">
        <v>2</v>
      </c>
      <c r="F7626" s="515" t="s">
        <v>1219</v>
      </c>
      <c r="G7626" s="52">
        <v>118054.579390295</v>
      </c>
      <c r="H7626" s="56">
        <v>0.10997277812644296</v>
      </c>
      <c r="I7626" s="224" t="s">
        <v>2</v>
      </c>
    </row>
    <row r="7627" spans="1:9" x14ac:dyDescent="0.25">
      <c r="A7627" s="515">
        <v>44132</v>
      </c>
      <c r="B7627" s="515" t="s">
        <v>520</v>
      </c>
      <c r="C7627" s="52">
        <v>129699.414961046</v>
      </c>
      <c r="D7627" s="56">
        <v>6.404397739745564E-2</v>
      </c>
      <c r="E7627" s="224" t="s">
        <v>2</v>
      </c>
      <c r="F7627" s="515" t="s">
        <v>8838</v>
      </c>
      <c r="G7627" s="52">
        <v>227889.82672710301</v>
      </c>
      <c r="H7627" s="56">
        <v>0.18250452148472296</v>
      </c>
      <c r="I7627" s="224" t="s">
        <v>2</v>
      </c>
    </row>
    <row r="7628" spans="1:9" x14ac:dyDescent="0.25">
      <c r="A7628" s="515">
        <v>68028</v>
      </c>
      <c r="B7628" s="515" t="s">
        <v>367</v>
      </c>
      <c r="C7628" s="52">
        <v>392822.98262795602</v>
      </c>
      <c r="D7628" s="56">
        <v>6.3051301986010694E-2</v>
      </c>
      <c r="E7628" s="224" t="s">
        <v>2</v>
      </c>
      <c r="F7628" s="515" t="s">
        <v>8839</v>
      </c>
      <c r="G7628" s="52">
        <v>481876.57241803501</v>
      </c>
      <c r="H7628" s="56">
        <v>4.0198610706735277E-2</v>
      </c>
      <c r="I7628" s="224" t="s">
        <v>2</v>
      </c>
    </row>
    <row r="7629" spans="1:9" x14ac:dyDescent="0.25">
      <c r="A7629" s="515">
        <v>32653</v>
      </c>
      <c r="B7629" s="515" t="s">
        <v>577</v>
      </c>
      <c r="C7629" s="52">
        <v>306058.90952446801</v>
      </c>
      <c r="D7629" s="56">
        <v>9.247684844371383E-2</v>
      </c>
      <c r="E7629" s="224" t="s">
        <v>2</v>
      </c>
      <c r="F7629" s="515" t="s">
        <v>8840</v>
      </c>
      <c r="G7629" s="52">
        <v>332269.38955111097</v>
      </c>
      <c r="H7629" s="56">
        <v>8.4256443606798917E-2</v>
      </c>
      <c r="I7629" s="224" t="s">
        <v>2</v>
      </c>
    </row>
    <row r="7630" spans="1:9" x14ac:dyDescent="0.25">
      <c r="A7630" s="515">
        <v>17517</v>
      </c>
      <c r="B7630" s="515" t="s">
        <v>537</v>
      </c>
      <c r="C7630" s="52">
        <v>314123.26397510298</v>
      </c>
      <c r="D7630" s="56">
        <v>8.7661918957896282E-2</v>
      </c>
      <c r="E7630" s="224" t="s">
        <v>2</v>
      </c>
      <c r="F7630" s="515" t="s">
        <v>8841</v>
      </c>
      <c r="G7630" s="52">
        <v>258633.069181636</v>
      </c>
      <c r="H7630" s="56">
        <v>6.8181665859978258E-2</v>
      </c>
      <c r="I7630" s="224" t="s">
        <v>2</v>
      </c>
    </row>
    <row r="7631" spans="1:9" x14ac:dyDescent="0.25">
      <c r="A7631" s="515">
        <v>28711</v>
      </c>
      <c r="B7631" s="515" t="s">
        <v>668</v>
      </c>
      <c r="C7631" s="52">
        <v>435580.903351438</v>
      </c>
      <c r="D7631" s="56">
        <v>0.12900353665881961</v>
      </c>
      <c r="E7631" s="224">
        <v>1530.8333333333301</v>
      </c>
      <c r="F7631" s="515" t="s">
        <v>8842</v>
      </c>
      <c r="G7631" s="52">
        <v>360407.45174174901</v>
      </c>
      <c r="H7631" s="56">
        <v>8.8299342152747637E-2</v>
      </c>
      <c r="I7631" s="224" t="s">
        <v>2</v>
      </c>
    </row>
    <row r="7632" spans="1:9" x14ac:dyDescent="0.25">
      <c r="A7632" s="515">
        <v>74110</v>
      </c>
      <c r="B7632" s="515" t="s">
        <v>348</v>
      </c>
      <c r="C7632" s="52">
        <v>74656.048113240002</v>
      </c>
      <c r="D7632" s="56">
        <v>0.12325893885275815</v>
      </c>
      <c r="E7632" s="224" t="s">
        <v>2</v>
      </c>
      <c r="F7632" s="515" t="s">
        <v>8843</v>
      </c>
      <c r="G7632" s="52">
        <v>214393.26666767299</v>
      </c>
      <c r="H7632" s="56">
        <v>5.2235801326211841E-2</v>
      </c>
      <c r="I7632" s="224" t="s">
        <v>2</v>
      </c>
    </row>
    <row r="7633" spans="1:9" x14ac:dyDescent="0.25">
      <c r="A7633" s="515">
        <v>40204</v>
      </c>
      <c r="B7633" s="515" t="s">
        <v>479</v>
      </c>
      <c r="C7633" s="52">
        <v>251169.21232374199</v>
      </c>
      <c r="D7633" s="56">
        <v>4.9793191918117388E-2</v>
      </c>
      <c r="E7633" s="224">
        <v>1170.6111111111099</v>
      </c>
      <c r="F7633" s="515" t="s">
        <v>8844</v>
      </c>
      <c r="G7633" s="52">
        <v>288047.41876898799</v>
      </c>
      <c r="H7633" s="56">
        <v>6.1736542279308242E-2</v>
      </c>
      <c r="I7633" s="224" t="s">
        <v>2</v>
      </c>
    </row>
    <row r="7634" spans="1:9" x14ac:dyDescent="0.25">
      <c r="A7634" s="515">
        <v>79765</v>
      </c>
      <c r="B7634" s="515" t="s">
        <v>1001</v>
      </c>
      <c r="C7634" s="52">
        <v>293019.324131876</v>
      </c>
      <c r="D7634" s="56">
        <v>8.3556174332189825E-3</v>
      </c>
      <c r="E7634" s="224">
        <v>1556.2354497354399</v>
      </c>
      <c r="F7634" s="515" t="s">
        <v>8845</v>
      </c>
      <c r="G7634" s="52">
        <v>245911.04707614999</v>
      </c>
      <c r="H7634" s="56">
        <v>6.1875626378315424E-2</v>
      </c>
      <c r="I7634" s="224" t="s">
        <v>2</v>
      </c>
    </row>
    <row r="7635" spans="1:9" x14ac:dyDescent="0.25">
      <c r="A7635" s="515">
        <v>64468</v>
      </c>
      <c r="B7635" s="515" t="s">
        <v>749</v>
      </c>
      <c r="C7635" s="52">
        <v>199568.78649947399</v>
      </c>
      <c r="D7635" s="56">
        <v>9.7841601518556046E-2</v>
      </c>
      <c r="E7635" s="224" t="s">
        <v>2</v>
      </c>
      <c r="F7635" s="515" t="s">
        <v>8846</v>
      </c>
      <c r="G7635" s="52">
        <v>181413.48290982601</v>
      </c>
      <c r="H7635" s="56">
        <v>0.10354139812949936</v>
      </c>
      <c r="I7635" s="224" t="s">
        <v>2</v>
      </c>
    </row>
    <row r="7636" spans="1:9" x14ac:dyDescent="0.25">
      <c r="A7636" s="515">
        <v>74955</v>
      </c>
      <c r="B7636" s="515" t="s">
        <v>326</v>
      </c>
      <c r="C7636" s="52">
        <v>144673.434590541</v>
      </c>
      <c r="D7636" s="56">
        <v>0.10464579351491053</v>
      </c>
      <c r="E7636" s="224" t="s">
        <v>2</v>
      </c>
      <c r="F7636" s="515" t="s">
        <v>8847</v>
      </c>
      <c r="G7636" s="52">
        <v>541428.78914762498</v>
      </c>
      <c r="H7636" s="56">
        <v>3.6947845589469987E-2</v>
      </c>
      <c r="I7636" s="224" t="s">
        <v>2</v>
      </c>
    </row>
    <row r="7637" spans="1:9" x14ac:dyDescent="0.25">
      <c r="A7637" s="515">
        <v>99218</v>
      </c>
      <c r="B7637" s="515" t="s">
        <v>820</v>
      </c>
      <c r="C7637" s="52">
        <v>440468.53141829901</v>
      </c>
      <c r="D7637" s="56">
        <v>2.2708484795704784E-2</v>
      </c>
      <c r="E7637" s="224" t="s">
        <v>2</v>
      </c>
      <c r="F7637" s="515" t="s">
        <v>8848</v>
      </c>
      <c r="G7637" s="52">
        <v>196046.88437037301</v>
      </c>
      <c r="H7637" s="56">
        <v>1.4658120812770646E-2</v>
      </c>
      <c r="I7637" s="224" t="s">
        <v>2</v>
      </c>
    </row>
    <row r="7638" spans="1:9" x14ac:dyDescent="0.25">
      <c r="A7638" s="515">
        <v>75156</v>
      </c>
      <c r="B7638" s="515" t="s">
        <v>1088</v>
      </c>
      <c r="C7638" s="52">
        <v>311499.53633175202</v>
      </c>
      <c r="D7638" s="56">
        <v>7.0070234414623248E-2</v>
      </c>
      <c r="E7638" s="224" t="s">
        <v>2</v>
      </c>
      <c r="F7638" s="515" t="s">
        <v>8849</v>
      </c>
      <c r="G7638" s="52">
        <v>78951.151081044198</v>
      </c>
      <c r="H7638" s="56">
        <v>3.3305631122915728E-2</v>
      </c>
      <c r="I7638" s="224" t="s">
        <v>2</v>
      </c>
    </row>
    <row r="7639" spans="1:9" x14ac:dyDescent="0.25">
      <c r="A7639" s="515">
        <v>28364</v>
      </c>
      <c r="B7639" s="515" t="s">
        <v>1161</v>
      </c>
      <c r="C7639" s="52">
        <v>97631.552034186898</v>
      </c>
      <c r="D7639" s="56">
        <v>0.21556880186566996</v>
      </c>
      <c r="E7639" s="224" t="s">
        <v>2</v>
      </c>
      <c r="F7639" s="515" t="s">
        <v>8850</v>
      </c>
      <c r="G7639" s="52">
        <v>416206.96670891001</v>
      </c>
      <c r="H7639" s="56">
        <v>8.6418592498459706E-2</v>
      </c>
      <c r="I7639" s="224" t="s">
        <v>2</v>
      </c>
    </row>
    <row r="7640" spans="1:9" x14ac:dyDescent="0.25">
      <c r="A7640" s="515">
        <v>37874</v>
      </c>
      <c r="C7640" s="52">
        <v>213563.38401731901</v>
      </c>
      <c r="D7640" s="56">
        <v>7.6484850357680795E-2</v>
      </c>
      <c r="E7640" s="224" t="s">
        <v>2</v>
      </c>
      <c r="F7640" s="515" t="s">
        <v>8851</v>
      </c>
      <c r="G7640" s="52">
        <v>121579.722361846</v>
      </c>
      <c r="H7640" s="56">
        <v>-5.8385909108245862E-3</v>
      </c>
      <c r="I7640" s="224" t="s">
        <v>2</v>
      </c>
    </row>
    <row r="7641" spans="1:9" x14ac:dyDescent="0.25">
      <c r="A7641" s="515">
        <v>34771</v>
      </c>
      <c r="B7641" s="515" t="s">
        <v>517</v>
      </c>
      <c r="C7641" s="52">
        <v>457038.770498414</v>
      </c>
      <c r="D7641" s="56">
        <v>0.1125144617854152</v>
      </c>
      <c r="E7641" s="224">
        <v>2504.5</v>
      </c>
      <c r="F7641" s="515" t="s">
        <v>8852</v>
      </c>
      <c r="G7641" s="52">
        <v>318567.28383119701</v>
      </c>
      <c r="H7641" s="56">
        <v>5.9784005614248736E-2</v>
      </c>
      <c r="I7641" s="224" t="s">
        <v>2</v>
      </c>
    </row>
    <row r="7642" spans="1:9" x14ac:dyDescent="0.25">
      <c r="A7642" s="515">
        <v>43021</v>
      </c>
      <c r="B7642" s="515" t="s">
        <v>345</v>
      </c>
      <c r="C7642" s="52">
        <v>557413.26542182302</v>
      </c>
      <c r="D7642" s="56">
        <v>8.4987209959012336E-2</v>
      </c>
      <c r="E7642" s="224" t="s">
        <v>2</v>
      </c>
      <c r="F7642" s="515" t="s">
        <v>8853</v>
      </c>
      <c r="G7642" s="52">
        <v>1873602.0389086099</v>
      </c>
      <c r="H7642" s="56">
        <v>8.0417375690097076E-2</v>
      </c>
      <c r="I7642" s="224" t="s">
        <v>2</v>
      </c>
    </row>
    <row r="7643" spans="1:9" x14ac:dyDescent="0.25">
      <c r="A7643" s="515">
        <v>7446</v>
      </c>
      <c r="B7643" s="515" t="s">
        <v>324</v>
      </c>
      <c r="C7643" s="52">
        <v>637042.32944557397</v>
      </c>
      <c r="D7643" s="56">
        <v>2.9974318904658778E-2</v>
      </c>
      <c r="E7643" s="224" t="s">
        <v>2</v>
      </c>
      <c r="F7643" s="515" t="s">
        <v>8854</v>
      </c>
      <c r="G7643" s="52">
        <v>365201.68622671999</v>
      </c>
      <c r="H7643" s="56">
        <v>5.8337905861894121E-2</v>
      </c>
      <c r="I7643" s="224" t="s">
        <v>2</v>
      </c>
    </row>
    <row r="7644" spans="1:9" x14ac:dyDescent="0.25">
      <c r="A7644" s="515">
        <v>19956</v>
      </c>
      <c r="B7644" s="515" t="s">
        <v>552</v>
      </c>
      <c r="C7644" s="52">
        <v>255779.877420862</v>
      </c>
      <c r="D7644" s="56">
        <v>6.1047965402503845E-2</v>
      </c>
      <c r="E7644" s="224" t="s">
        <v>2</v>
      </c>
      <c r="F7644" s="515" t="s">
        <v>8855</v>
      </c>
      <c r="G7644" s="52">
        <v>171778.597449113</v>
      </c>
      <c r="H7644" s="56">
        <v>2.9931431064497253E-2</v>
      </c>
      <c r="I7644" s="224" t="s">
        <v>2</v>
      </c>
    </row>
    <row r="7645" spans="1:9" x14ac:dyDescent="0.25">
      <c r="A7645" s="515">
        <v>98467</v>
      </c>
      <c r="B7645" s="515" t="s">
        <v>384</v>
      </c>
      <c r="C7645" s="52">
        <v>615918.08360875805</v>
      </c>
      <c r="D7645" s="56">
        <v>1.4444536257292435E-2</v>
      </c>
      <c r="E7645" s="224" t="s">
        <v>2</v>
      </c>
      <c r="F7645" s="515" t="s">
        <v>8856</v>
      </c>
      <c r="G7645" s="52">
        <v>186064.257272241</v>
      </c>
      <c r="H7645" s="56">
        <v>2.7613717729292973E-2</v>
      </c>
      <c r="I7645" s="224" t="s">
        <v>2</v>
      </c>
    </row>
    <row r="7646" spans="1:9" x14ac:dyDescent="0.25">
      <c r="A7646" s="515">
        <v>16503</v>
      </c>
      <c r="B7646" s="515" t="s">
        <v>753</v>
      </c>
      <c r="C7646" s="52">
        <v>44486.713700530498</v>
      </c>
      <c r="D7646" s="56">
        <v>0.17290068214817247</v>
      </c>
      <c r="E7646" s="224" t="s">
        <v>2</v>
      </c>
      <c r="F7646" s="515" t="s">
        <v>8857</v>
      </c>
      <c r="G7646" s="52">
        <v>203917.02753625801</v>
      </c>
      <c r="H7646" s="56">
        <v>0.15978341635327464</v>
      </c>
      <c r="I7646" s="224" t="s">
        <v>2</v>
      </c>
    </row>
    <row r="7647" spans="1:9" x14ac:dyDescent="0.25">
      <c r="A7647" s="515">
        <v>26104</v>
      </c>
      <c r="B7647" s="515" t="s">
        <v>956</v>
      </c>
      <c r="C7647" s="52">
        <v>152807.56951676001</v>
      </c>
      <c r="D7647" s="56">
        <v>7.9771372057410569E-2</v>
      </c>
      <c r="E7647" s="224" t="s">
        <v>2</v>
      </c>
      <c r="F7647" s="515" t="s">
        <v>8858</v>
      </c>
      <c r="G7647" s="52">
        <v>432505.34508541803</v>
      </c>
      <c r="H7647" s="56">
        <v>8.1362811159901086E-2</v>
      </c>
      <c r="I7647" s="224" t="s">
        <v>2</v>
      </c>
    </row>
    <row r="7648" spans="1:9" x14ac:dyDescent="0.25">
      <c r="A7648" s="515">
        <v>10538</v>
      </c>
      <c r="B7648" s="515" t="s">
        <v>324</v>
      </c>
      <c r="C7648" s="52">
        <v>1397125.5731225901</v>
      </c>
      <c r="D7648" s="56">
        <v>4.8766555300591347E-2</v>
      </c>
      <c r="E7648" s="224">
        <v>2901.6666666666601</v>
      </c>
      <c r="F7648" s="515" t="s">
        <v>8859</v>
      </c>
      <c r="G7648" s="52">
        <v>245278.10435564001</v>
      </c>
      <c r="H7648" s="56">
        <v>7.8316716964252048E-2</v>
      </c>
      <c r="I7648" s="224" t="s">
        <v>2</v>
      </c>
    </row>
    <row r="7649" spans="1:9" x14ac:dyDescent="0.25">
      <c r="A7649" s="515">
        <v>29907</v>
      </c>
      <c r="B7649" s="515" t="s">
        <v>734</v>
      </c>
      <c r="C7649" s="52">
        <v>409584.49641280703</v>
      </c>
      <c r="D7649" s="56">
        <v>0.11008787285122412</v>
      </c>
      <c r="E7649" s="224" t="s">
        <v>2</v>
      </c>
      <c r="F7649" s="515" t="s">
        <v>8860</v>
      </c>
      <c r="G7649" s="52">
        <v>346954.58737710997</v>
      </c>
      <c r="H7649" s="56">
        <v>0.11864030804973667</v>
      </c>
      <c r="I7649" s="224" t="s">
        <v>2</v>
      </c>
    </row>
    <row r="7650" spans="1:9" x14ac:dyDescent="0.25">
      <c r="A7650" s="515">
        <v>67220</v>
      </c>
      <c r="B7650" s="515" t="s">
        <v>485</v>
      </c>
      <c r="C7650" s="52">
        <v>221699.605034707</v>
      </c>
      <c r="D7650" s="56">
        <v>9.0503793004038768E-2</v>
      </c>
      <c r="E7650" s="224" t="s">
        <v>2</v>
      </c>
      <c r="F7650" s="515" t="s">
        <v>8861</v>
      </c>
      <c r="G7650" s="52">
        <v>312490.80375098198</v>
      </c>
      <c r="H7650" s="56">
        <v>9.9381552446031987E-2</v>
      </c>
      <c r="I7650" s="224" t="s">
        <v>2</v>
      </c>
    </row>
    <row r="7651" spans="1:9" x14ac:dyDescent="0.25">
      <c r="A7651" s="515">
        <v>28164</v>
      </c>
      <c r="B7651" s="515" t="s">
        <v>360</v>
      </c>
      <c r="C7651" s="52">
        <v>323298.41478502</v>
      </c>
      <c r="D7651" s="56">
        <v>0.12040550697204948</v>
      </c>
      <c r="E7651" s="224" t="s">
        <v>2</v>
      </c>
      <c r="F7651" s="515" t="s">
        <v>8862</v>
      </c>
      <c r="G7651" s="52">
        <v>349004.52330556698</v>
      </c>
      <c r="H7651" s="56">
        <v>8.9997460691206524E-2</v>
      </c>
      <c r="I7651" s="224" t="s">
        <v>2</v>
      </c>
    </row>
    <row r="7652" spans="1:9" x14ac:dyDescent="0.25">
      <c r="A7652" s="515">
        <v>3303</v>
      </c>
      <c r="B7652" s="515" t="s">
        <v>981</v>
      </c>
      <c r="C7652" s="52">
        <v>338790.85804865498</v>
      </c>
      <c r="D7652" s="56">
        <v>0.12946195604216951</v>
      </c>
      <c r="E7652" s="224" t="s">
        <v>2</v>
      </c>
      <c r="F7652" s="515" t="s">
        <v>8863</v>
      </c>
      <c r="G7652" s="52">
        <v>332079.540886831</v>
      </c>
      <c r="H7652" s="56">
        <v>2.7041921838007001E-2</v>
      </c>
      <c r="I7652" s="224">
        <v>1618.2333333333299</v>
      </c>
    </row>
    <row r="7653" spans="1:9" x14ac:dyDescent="0.25">
      <c r="A7653" s="515">
        <v>39074</v>
      </c>
      <c r="C7653" s="52">
        <v>96723.327057374801</v>
      </c>
      <c r="D7653" s="56">
        <v>-3.5106874796277568E-2</v>
      </c>
      <c r="E7653" s="224" t="s">
        <v>2</v>
      </c>
      <c r="F7653" s="515" t="s">
        <v>8864</v>
      </c>
      <c r="G7653" s="52">
        <v>81200.521256354798</v>
      </c>
      <c r="H7653" s="56">
        <v>0.28893354083676781</v>
      </c>
      <c r="I7653" s="224" t="s">
        <v>2</v>
      </c>
    </row>
    <row r="7654" spans="1:9" x14ac:dyDescent="0.25">
      <c r="A7654" s="515">
        <v>55107</v>
      </c>
      <c r="B7654" s="515" t="s">
        <v>532</v>
      </c>
      <c r="C7654" s="52">
        <v>240413.02245121801</v>
      </c>
      <c r="D7654" s="56">
        <v>2.4872257959597341E-2</v>
      </c>
      <c r="E7654" s="224">
        <v>1458.25</v>
      </c>
      <c r="F7654" s="515" t="s">
        <v>8865</v>
      </c>
      <c r="G7654" s="52">
        <v>93649.630368164406</v>
      </c>
      <c r="H7654" s="56">
        <v>0.15347545364139928</v>
      </c>
      <c r="I7654" s="224" t="s">
        <v>2</v>
      </c>
    </row>
    <row r="7655" spans="1:9" x14ac:dyDescent="0.25">
      <c r="A7655" s="515">
        <v>34951</v>
      </c>
      <c r="B7655" s="515" t="s">
        <v>1180</v>
      </c>
      <c r="C7655" s="52">
        <v>278683.48136512499</v>
      </c>
      <c r="D7655" s="56">
        <v>0.14249634880786419</v>
      </c>
      <c r="E7655" s="224">
        <v>2255</v>
      </c>
      <c r="F7655" s="515" t="s">
        <v>8866</v>
      </c>
      <c r="G7655" s="52">
        <v>397312.23945692502</v>
      </c>
      <c r="H7655" s="56">
        <v>1.8493769965267109E-2</v>
      </c>
      <c r="I7655" s="224" t="s">
        <v>2</v>
      </c>
    </row>
    <row r="7656" spans="1:9" x14ac:dyDescent="0.25">
      <c r="A7656" s="515">
        <v>62034</v>
      </c>
      <c r="B7656" s="515" t="s">
        <v>498</v>
      </c>
      <c r="C7656" s="52">
        <v>270744.37734016799</v>
      </c>
      <c r="D7656" s="56">
        <v>3.046541778819949E-2</v>
      </c>
      <c r="E7656" s="224" t="s">
        <v>2</v>
      </c>
      <c r="F7656" s="515" t="s">
        <v>8867</v>
      </c>
      <c r="G7656" s="52">
        <v>317745.64877465903</v>
      </c>
      <c r="H7656" s="56">
        <v>3.0040038810888594E-2</v>
      </c>
      <c r="I7656" s="224" t="s">
        <v>2</v>
      </c>
    </row>
    <row r="7657" spans="1:9" x14ac:dyDescent="0.25">
      <c r="A7657" s="515">
        <v>30643</v>
      </c>
      <c r="C7657" s="52">
        <v>283350.77941364498</v>
      </c>
      <c r="D7657" s="56">
        <v>7.5894553593658987E-2</v>
      </c>
      <c r="E7657" s="224" t="s">
        <v>2</v>
      </c>
      <c r="F7657" s="515" t="s">
        <v>8868</v>
      </c>
      <c r="G7657" s="52">
        <v>382064.25760338601</v>
      </c>
      <c r="H7657" s="56">
        <v>4.0565181257865034E-2</v>
      </c>
      <c r="I7657" s="224" t="s">
        <v>2</v>
      </c>
    </row>
    <row r="7658" spans="1:9" x14ac:dyDescent="0.25">
      <c r="A7658" s="515">
        <v>35756</v>
      </c>
      <c r="B7658" s="515" t="s">
        <v>997</v>
      </c>
      <c r="C7658" s="52">
        <v>368040.62247692602</v>
      </c>
      <c r="D7658" s="56">
        <v>6.5520070349410819E-2</v>
      </c>
      <c r="E7658" s="224">
        <v>1905.1666666666599</v>
      </c>
      <c r="F7658" s="515" t="s">
        <v>8869</v>
      </c>
      <c r="G7658" s="52">
        <v>186605.058458179</v>
      </c>
      <c r="H7658" s="56">
        <v>0.2261668322948604</v>
      </c>
      <c r="I7658" s="224" t="s">
        <v>2</v>
      </c>
    </row>
    <row r="7659" spans="1:9" x14ac:dyDescent="0.25">
      <c r="A7659" s="515">
        <v>98360</v>
      </c>
      <c r="B7659" s="515" t="s">
        <v>384</v>
      </c>
      <c r="C7659" s="52">
        <v>504533.66527068999</v>
      </c>
      <c r="D7659" s="56">
        <v>-8.1415861180832898E-4</v>
      </c>
      <c r="E7659" s="224" t="s">
        <v>2</v>
      </c>
      <c r="F7659" s="515" t="s">
        <v>8870</v>
      </c>
      <c r="G7659" s="52">
        <v>155659.47150480401</v>
      </c>
      <c r="H7659" s="56">
        <v>3.0017959661293885E-2</v>
      </c>
      <c r="I7659" s="224" t="s">
        <v>2</v>
      </c>
    </row>
    <row r="7660" spans="1:9" x14ac:dyDescent="0.25">
      <c r="A7660" s="515">
        <v>48025</v>
      </c>
      <c r="B7660" s="515" t="s">
        <v>685</v>
      </c>
      <c r="C7660" s="52">
        <v>502949.29988367</v>
      </c>
      <c r="D7660" s="56">
        <v>3.3426067643636141E-2</v>
      </c>
      <c r="E7660" s="224" t="s">
        <v>2</v>
      </c>
      <c r="F7660" s="515" t="s">
        <v>8871</v>
      </c>
      <c r="G7660" s="52">
        <v>112389.724450858</v>
      </c>
      <c r="H7660" s="56">
        <v>0.10814226503800203</v>
      </c>
      <c r="I7660" s="224" t="s">
        <v>2</v>
      </c>
    </row>
    <row r="7661" spans="1:9" x14ac:dyDescent="0.25">
      <c r="A7661" s="515">
        <v>98045</v>
      </c>
      <c r="B7661" s="515" t="s">
        <v>384</v>
      </c>
      <c r="C7661" s="52">
        <v>874729.28036609804</v>
      </c>
      <c r="D7661" s="56">
        <v>4.8178556701764574E-2</v>
      </c>
      <c r="E7661" s="224">
        <v>2558.75</v>
      </c>
      <c r="F7661" s="515" t="s">
        <v>8872</v>
      </c>
      <c r="G7661" s="52">
        <v>190783.32033696401</v>
      </c>
      <c r="H7661" s="56">
        <v>5.7558060728796254E-2</v>
      </c>
      <c r="I7661" s="224" t="s">
        <v>2</v>
      </c>
    </row>
    <row r="7662" spans="1:9" x14ac:dyDescent="0.25">
      <c r="A7662" s="515">
        <v>35120</v>
      </c>
      <c r="B7662" s="515" t="s">
        <v>640</v>
      </c>
      <c r="C7662" s="52">
        <v>258414.611483004</v>
      </c>
      <c r="D7662" s="56">
        <v>7.8924691152242724E-2</v>
      </c>
      <c r="E7662" s="224">
        <v>1539.05555555555</v>
      </c>
      <c r="F7662" s="515" t="s">
        <v>8873</v>
      </c>
      <c r="G7662" s="52">
        <v>722286.75608137297</v>
      </c>
      <c r="H7662" s="56">
        <v>4.0236778649783332E-2</v>
      </c>
      <c r="I7662" s="224" t="s">
        <v>2</v>
      </c>
    </row>
    <row r="7663" spans="1:9" x14ac:dyDescent="0.25">
      <c r="A7663" s="515">
        <v>65742</v>
      </c>
      <c r="B7663" s="515" t="s">
        <v>603</v>
      </c>
      <c r="C7663" s="52">
        <v>305152.73231256497</v>
      </c>
      <c r="D7663" s="56">
        <v>0.11874476836735945</v>
      </c>
      <c r="E7663" s="224" t="s">
        <v>2</v>
      </c>
      <c r="F7663" s="515" t="s">
        <v>8874</v>
      </c>
      <c r="G7663" s="52">
        <v>420225.00994959701</v>
      </c>
      <c r="H7663" s="56">
        <v>1.7160662341676309E-2</v>
      </c>
      <c r="I7663" s="224" t="s">
        <v>2</v>
      </c>
    </row>
    <row r="7664" spans="1:9" x14ac:dyDescent="0.25">
      <c r="A7664" s="515">
        <v>70471</v>
      </c>
      <c r="B7664" s="515" t="s">
        <v>777</v>
      </c>
      <c r="C7664" s="52">
        <v>367567.89183240698</v>
      </c>
      <c r="D7664" s="56">
        <v>3.2544758633111556E-2</v>
      </c>
      <c r="E7664" s="224">
        <v>1541.7777777777701</v>
      </c>
      <c r="F7664" s="515" t="s">
        <v>8875</v>
      </c>
      <c r="G7664" s="52">
        <v>239151.86681551</v>
      </c>
      <c r="H7664" s="56">
        <v>7.5777326919593158E-2</v>
      </c>
      <c r="I7664" s="224" t="s">
        <v>2</v>
      </c>
    </row>
    <row r="7665" spans="1:9" x14ac:dyDescent="0.25">
      <c r="A7665" s="515">
        <v>54981</v>
      </c>
      <c r="C7665" s="52">
        <v>235007.009391456</v>
      </c>
      <c r="D7665" s="56">
        <v>6.7788368567012994E-2</v>
      </c>
      <c r="E7665" s="224" t="s">
        <v>2</v>
      </c>
      <c r="F7665" s="515" t="s">
        <v>8876</v>
      </c>
      <c r="G7665" s="52">
        <v>660483.27257148596</v>
      </c>
      <c r="H7665" s="56">
        <v>7.0870641246729468E-2</v>
      </c>
      <c r="I7665" s="224" t="s">
        <v>2</v>
      </c>
    </row>
    <row r="7666" spans="1:9" x14ac:dyDescent="0.25">
      <c r="A7666" s="515">
        <v>47167</v>
      </c>
      <c r="B7666" s="515" t="s">
        <v>479</v>
      </c>
      <c r="C7666" s="52">
        <v>169881.715310125</v>
      </c>
      <c r="D7666" s="56">
        <v>7.139072582143477E-2</v>
      </c>
      <c r="E7666" s="224" t="s">
        <v>2</v>
      </c>
      <c r="F7666" s="515" t="s">
        <v>8877</v>
      </c>
      <c r="G7666" s="52">
        <v>203387.94799158699</v>
      </c>
      <c r="H7666" s="56">
        <v>6.4149591838706277E-2</v>
      </c>
      <c r="I7666" s="224" t="s">
        <v>2</v>
      </c>
    </row>
    <row r="7667" spans="1:9" x14ac:dyDescent="0.25">
      <c r="A7667" s="515">
        <v>44062</v>
      </c>
      <c r="B7667" s="515" t="s">
        <v>520</v>
      </c>
      <c r="C7667" s="52">
        <v>229872.38575143999</v>
      </c>
      <c r="D7667" s="56">
        <v>0.10290812026511989</v>
      </c>
      <c r="E7667" s="224" t="s">
        <v>2</v>
      </c>
      <c r="F7667" s="515" t="s">
        <v>8878</v>
      </c>
      <c r="G7667" s="52">
        <v>452081.43943498598</v>
      </c>
      <c r="H7667" s="56">
        <v>0.10893849615074033</v>
      </c>
      <c r="I7667" s="224" t="s">
        <v>2</v>
      </c>
    </row>
    <row r="7668" spans="1:9" x14ac:dyDescent="0.25">
      <c r="A7668" s="515">
        <v>60457</v>
      </c>
      <c r="B7668" s="515" t="s">
        <v>394</v>
      </c>
      <c r="C7668" s="52">
        <v>278958.37945166801</v>
      </c>
      <c r="D7668" s="56">
        <v>3.8352871041014917E-2</v>
      </c>
      <c r="E7668" s="224" t="s">
        <v>2</v>
      </c>
      <c r="F7668" s="515" t="s">
        <v>8879</v>
      </c>
      <c r="G7668" s="52">
        <v>458889.05229272402</v>
      </c>
      <c r="H7668" s="56">
        <v>9.8355242458553371E-2</v>
      </c>
      <c r="I7668" s="224" t="s">
        <v>2</v>
      </c>
    </row>
    <row r="7669" spans="1:9" x14ac:dyDescent="0.25">
      <c r="A7669" s="515">
        <v>32219</v>
      </c>
      <c r="B7669" s="515" t="s">
        <v>1158</v>
      </c>
      <c r="C7669" s="52">
        <v>281215.17957609601</v>
      </c>
      <c r="D7669" s="56">
        <v>0.1595528043885307</v>
      </c>
      <c r="E7669" s="224">
        <v>1908.7777777777701</v>
      </c>
      <c r="F7669" s="515" t="s">
        <v>8880</v>
      </c>
      <c r="G7669" s="52">
        <v>425005.97315324697</v>
      </c>
      <c r="H7669" s="56">
        <v>0.32804046633027029</v>
      </c>
      <c r="I7669" s="224" t="s">
        <v>2</v>
      </c>
    </row>
    <row r="7670" spans="1:9" x14ac:dyDescent="0.25">
      <c r="A7670" s="515">
        <v>2189</v>
      </c>
      <c r="B7670" s="515" t="s">
        <v>534</v>
      </c>
      <c r="C7670" s="52">
        <v>499663.50682882097</v>
      </c>
      <c r="D7670" s="56">
        <v>5.5507044248676307E-2</v>
      </c>
      <c r="E7670" s="224">
        <v>2254.1666666666601</v>
      </c>
      <c r="F7670" s="515" t="s">
        <v>8881</v>
      </c>
      <c r="G7670" s="52">
        <v>239008.651608958</v>
      </c>
      <c r="H7670" s="56">
        <v>8.8126295810032451E-2</v>
      </c>
      <c r="I7670" s="224" t="s">
        <v>2</v>
      </c>
    </row>
    <row r="7671" spans="1:9" x14ac:dyDescent="0.25">
      <c r="A7671" s="515">
        <v>99350</v>
      </c>
      <c r="B7671" s="515" t="s">
        <v>1068</v>
      </c>
      <c r="C7671" s="52">
        <v>349066.23271353898</v>
      </c>
      <c r="D7671" s="56">
        <v>4.7923640123187145E-2</v>
      </c>
      <c r="E7671" s="224" t="s">
        <v>2</v>
      </c>
      <c r="F7671" s="515" t="s">
        <v>8882</v>
      </c>
      <c r="G7671" s="52">
        <v>242092.521389153</v>
      </c>
      <c r="H7671" s="56">
        <v>0.1257140703740805</v>
      </c>
      <c r="I7671" s="224" t="s">
        <v>2</v>
      </c>
    </row>
    <row r="7672" spans="1:9" x14ac:dyDescent="0.25">
      <c r="A7672" s="515">
        <v>98930</v>
      </c>
      <c r="B7672" s="515" t="s">
        <v>948</v>
      </c>
      <c r="C7672" s="52">
        <v>295287.97420529003</v>
      </c>
      <c r="D7672" s="56">
        <v>6.0374405125931306E-2</v>
      </c>
      <c r="E7672" s="224" t="s">
        <v>2</v>
      </c>
      <c r="F7672" s="515" t="s">
        <v>8883</v>
      </c>
      <c r="G7672" s="52">
        <v>527640.77863391</v>
      </c>
      <c r="H7672" s="56">
        <v>6.7216906279117458E-2</v>
      </c>
      <c r="I7672" s="224" t="s">
        <v>2</v>
      </c>
    </row>
    <row r="7673" spans="1:9" x14ac:dyDescent="0.25">
      <c r="A7673" s="515">
        <v>96704</v>
      </c>
      <c r="B7673" s="515" t="s">
        <v>399</v>
      </c>
      <c r="C7673" s="52">
        <v>473769.416557547</v>
      </c>
      <c r="D7673" s="56">
        <v>0.14504804936455307</v>
      </c>
      <c r="E7673" s="224" t="s">
        <v>2</v>
      </c>
      <c r="F7673" s="515" t="s">
        <v>8884</v>
      </c>
      <c r="G7673" s="52">
        <v>553350.88999792002</v>
      </c>
      <c r="H7673" s="56">
        <v>0.10760996645146659</v>
      </c>
      <c r="I7673" s="224" t="s">
        <v>2</v>
      </c>
    </row>
    <row r="7674" spans="1:9" x14ac:dyDescent="0.25">
      <c r="A7674" s="515">
        <v>68508</v>
      </c>
      <c r="B7674" s="515" t="s">
        <v>486</v>
      </c>
      <c r="C7674" s="52">
        <v>164646.987295061</v>
      </c>
      <c r="D7674" s="56">
        <v>7.7641180486619069E-2</v>
      </c>
      <c r="E7674" s="224">
        <v>890</v>
      </c>
      <c r="F7674" s="515" t="s">
        <v>8885</v>
      </c>
      <c r="G7674" s="52">
        <v>261785.33537479301</v>
      </c>
      <c r="H7674" s="56">
        <v>7.1262460583255263E-2</v>
      </c>
      <c r="I7674" s="224" t="s">
        <v>2</v>
      </c>
    </row>
    <row r="7675" spans="1:9" x14ac:dyDescent="0.25">
      <c r="A7675" s="515">
        <v>70394</v>
      </c>
      <c r="B7675" s="515" t="s">
        <v>898</v>
      </c>
      <c r="C7675" s="52">
        <v>144282.133949429</v>
      </c>
      <c r="D7675" s="56">
        <v>-9.0526257491538989E-2</v>
      </c>
      <c r="E7675" s="224" t="s">
        <v>2</v>
      </c>
      <c r="F7675" s="515" t="s">
        <v>8886</v>
      </c>
      <c r="G7675" s="52">
        <v>414109.59762637102</v>
      </c>
      <c r="H7675" s="56">
        <v>2.3271495334099401E-2</v>
      </c>
      <c r="I7675" s="224" t="s">
        <v>2</v>
      </c>
    </row>
    <row r="7676" spans="1:9" x14ac:dyDescent="0.25">
      <c r="A7676" s="515">
        <v>64507</v>
      </c>
      <c r="B7676" s="515" t="s">
        <v>371</v>
      </c>
      <c r="C7676" s="52">
        <v>123098.908399867</v>
      </c>
      <c r="D7676" s="56">
        <v>8.4759771635792694E-2</v>
      </c>
      <c r="E7676" s="224" t="s">
        <v>2</v>
      </c>
      <c r="F7676" s="515" t="s">
        <v>8887</v>
      </c>
      <c r="G7676" s="52">
        <v>269992.74067473999</v>
      </c>
      <c r="H7676" s="56">
        <v>7.1603308296808388E-2</v>
      </c>
      <c r="I7676" s="224" t="s">
        <v>2</v>
      </c>
    </row>
    <row r="7677" spans="1:9" x14ac:dyDescent="0.25">
      <c r="A7677" s="515">
        <v>6119</v>
      </c>
      <c r="B7677" s="515" t="s">
        <v>894</v>
      </c>
      <c r="C7677" s="52">
        <v>341356.766932328</v>
      </c>
      <c r="D7677" s="56">
        <v>0.1060777827108623</v>
      </c>
      <c r="E7677" s="224">
        <v>1769.4166666666599</v>
      </c>
      <c r="F7677" s="515" t="s">
        <v>8888</v>
      </c>
      <c r="G7677" s="52">
        <v>138865.801408609</v>
      </c>
      <c r="H7677" s="56">
        <v>4.8686892389060848E-2</v>
      </c>
      <c r="I7677" s="224" t="s">
        <v>2</v>
      </c>
    </row>
    <row r="7678" spans="1:9" x14ac:dyDescent="0.25">
      <c r="A7678" s="515">
        <v>25403</v>
      </c>
      <c r="B7678" s="515" t="s">
        <v>654</v>
      </c>
      <c r="C7678" s="52">
        <v>331786.20069175999</v>
      </c>
      <c r="D7678" s="56">
        <v>7.7138252220798606E-2</v>
      </c>
      <c r="E7678" s="224">
        <v>1706</v>
      </c>
      <c r="F7678" s="515" t="s">
        <v>8889</v>
      </c>
      <c r="G7678" s="52">
        <v>499033.42379054998</v>
      </c>
      <c r="H7678" s="56">
        <v>9.3776783952873644E-2</v>
      </c>
      <c r="I7678" s="224" t="s">
        <v>2</v>
      </c>
    </row>
    <row r="7679" spans="1:9" x14ac:dyDescent="0.25">
      <c r="A7679" s="515">
        <v>22546</v>
      </c>
      <c r="C7679" s="52">
        <v>297546.90995618602</v>
      </c>
      <c r="D7679" s="56">
        <v>9.1539559684200203E-2</v>
      </c>
      <c r="E7679" s="224" t="s">
        <v>2</v>
      </c>
      <c r="F7679" s="515" t="s">
        <v>8890</v>
      </c>
      <c r="G7679" s="52">
        <v>451683.61389746697</v>
      </c>
      <c r="H7679" s="56">
        <v>3.6679015615665576E-2</v>
      </c>
      <c r="I7679" s="224">
        <v>1255</v>
      </c>
    </row>
    <row r="7680" spans="1:9" x14ac:dyDescent="0.25">
      <c r="A7680" s="515">
        <v>1095</v>
      </c>
      <c r="B7680" s="515" t="s">
        <v>575</v>
      </c>
      <c r="C7680" s="52">
        <v>387885.90103235299</v>
      </c>
      <c r="D7680" s="56">
        <v>7.0712275615761433E-2</v>
      </c>
      <c r="E7680" s="224" t="s">
        <v>2</v>
      </c>
      <c r="F7680" s="515" t="s">
        <v>8891</v>
      </c>
      <c r="G7680" s="52">
        <v>207420.82220471901</v>
      </c>
      <c r="H7680" s="56">
        <v>3.2388021010098876E-2</v>
      </c>
      <c r="I7680" s="224" t="s">
        <v>2</v>
      </c>
    </row>
    <row r="7681" spans="1:9" x14ac:dyDescent="0.25">
      <c r="A7681" s="515">
        <v>29323</v>
      </c>
      <c r="B7681" s="515" t="s">
        <v>447</v>
      </c>
      <c r="C7681" s="52">
        <v>233751.04865923899</v>
      </c>
      <c r="D7681" s="56">
        <v>0.12809238767612383</v>
      </c>
      <c r="E7681" s="224" t="s">
        <v>2</v>
      </c>
      <c r="F7681" s="515" t="s">
        <v>8892</v>
      </c>
      <c r="G7681" s="52">
        <v>270142.83855831402</v>
      </c>
      <c r="H7681" s="56">
        <v>6.895752994538086E-2</v>
      </c>
      <c r="I7681" s="224" t="s">
        <v>2</v>
      </c>
    </row>
    <row r="7682" spans="1:9" x14ac:dyDescent="0.25">
      <c r="A7682" s="515">
        <v>56187</v>
      </c>
      <c r="B7682" s="515" t="s">
        <v>782</v>
      </c>
      <c r="C7682" s="52">
        <v>197610.77666249199</v>
      </c>
      <c r="D7682" s="56">
        <v>8.5785909019789247E-2</v>
      </c>
      <c r="E7682" s="224" t="s">
        <v>2</v>
      </c>
      <c r="F7682" s="515" t="s">
        <v>8893</v>
      </c>
      <c r="G7682" s="52">
        <v>197109.59279189701</v>
      </c>
      <c r="H7682" s="56">
        <v>0.10101211219103842</v>
      </c>
      <c r="I7682" s="224" t="s">
        <v>2</v>
      </c>
    </row>
    <row r="7683" spans="1:9" x14ac:dyDescent="0.25">
      <c r="A7683" s="515">
        <v>35213</v>
      </c>
      <c r="B7683" s="515" t="s">
        <v>640</v>
      </c>
      <c r="C7683" s="52">
        <v>678514.77623807499</v>
      </c>
      <c r="D7683" s="56">
        <v>6.5252336359135535E-2</v>
      </c>
      <c r="E7683" s="224" t="s">
        <v>2</v>
      </c>
      <c r="F7683" s="515" t="s">
        <v>8894</v>
      </c>
      <c r="G7683" s="52">
        <v>356925.44115755003</v>
      </c>
      <c r="H7683" s="56">
        <v>5.805508641546335E-2</v>
      </c>
      <c r="I7683" s="224" t="s">
        <v>2</v>
      </c>
    </row>
    <row r="7684" spans="1:9" x14ac:dyDescent="0.25">
      <c r="A7684" s="515">
        <v>33773</v>
      </c>
      <c r="B7684" s="515" t="s">
        <v>461</v>
      </c>
      <c r="C7684" s="52">
        <v>329330.67238233698</v>
      </c>
      <c r="D7684" s="56">
        <v>0.12237556558014721</v>
      </c>
      <c r="E7684" s="224">
        <v>2162.5</v>
      </c>
      <c r="F7684" s="515" t="s">
        <v>8895</v>
      </c>
      <c r="G7684" s="52">
        <v>301108.79962521599</v>
      </c>
      <c r="H7684" s="56">
        <v>3.9860682538817707E-2</v>
      </c>
      <c r="I7684" s="224" t="s">
        <v>2</v>
      </c>
    </row>
    <row r="7685" spans="1:9" x14ac:dyDescent="0.25">
      <c r="A7685" s="515">
        <v>15370</v>
      </c>
      <c r="C7685" s="52">
        <v>145928.772533966</v>
      </c>
      <c r="D7685" s="56">
        <v>2.5165277439686429E-2</v>
      </c>
      <c r="E7685" s="224" t="s">
        <v>2</v>
      </c>
      <c r="F7685" s="515" t="s">
        <v>8896</v>
      </c>
      <c r="G7685" s="52">
        <v>610198.49203545996</v>
      </c>
      <c r="H7685" s="56">
        <v>6.5446929719968572E-2</v>
      </c>
      <c r="I7685" s="224" t="s">
        <v>2</v>
      </c>
    </row>
    <row r="7686" spans="1:9" x14ac:dyDescent="0.25">
      <c r="A7686" s="515">
        <v>41075</v>
      </c>
      <c r="B7686" s="515" t="s">
        <v>344</v>
      </c>
      <c r="C7686" s="52">
        <v>309992.08237530501</v>
      </c>
      <c r="D7686" s="56">
        <v>5.1345179199562288E-2</v>
      </c>
      <c r="E7686" s="224" t="s">
        <v>2</v>
      </c>
      <c r="F7686" s="515" t="s">
        <v>8897</v>
      </c>
      <c r="G7686" s="52"/>
      <c r="H7686" s="56">
        <v>0</v>
      </c>
      <c r="I7686" s="224" t="s">
        <v>2</v>
      </c>
    </row>
    <row r="7687" spans="1:9" x14ac:dyDescent="0.25">
      <c r="A7687" s="515">
        <v>14904</v>
      </c>
      <c r="B7687" s="515" t="s">
        <v>724</v>
      </c>
      <c r="C7687" s="52">
        <v>90403.915739128104</v>
      </c>
      <c r="D7687" s="56">
        <v>8.2558165466455669E-2</v>
      </c>
      <c r="E7687" s="224" t="s">
        <v>2</v>
      </c>
      <c r="F7687" s="515" t="s">
        <v>8898</v>
      </c>
      <c r="G7687" s="52">
        <v>339889.79439563601</v>
      </c>
      <c r="H7687" s="56">
        <v>7.0088372876169286E-2</v>
      </c>
      <c r="I7687" s="224" t="s">
        <v>2</v>
      </c>
    </row>
    <row r="7688" spans="1:9" x14ac:dyDescent="0.25">
      <c r="A7688" s="515">
        <v>62568</v>
      </c>
      <c r="B7688" s="515" t="s">
        <v>386</v>
      </c>
      <c r="C7688" s="52">
        <v>104977.118550097</v>
      </c>
      <c r="D7688" s="56">
        <v>5.2421913953999852E-2</v>
      </c>
      <c r="E7688" s="224" t="s">
        <v>2</v>
      </c>
      <c r="F7688" s="515" t="s">
        <v>8899</v>
      </c>
      <c r="G7688" s="52">
        <v>455831.41332102998</v>
      </c>
      <c r="H7688" s="56">
        <v>0.11302216042447935</v>
      </c>
      <c r="I7688" s="224" t="s">
        <v>2</v>
      </c>
    </row>
    <row r="7689" spans="1:9" x14ac:dyDescent="0.25">
      <c r="A7689" s="515">
        <v>23901</v>
      </c>
      <c r="C7689" s="52">
        <v>215990.66264858999</v>
      </c>
      <c r="D7689" s="56">
        <v>6.226073691429642E-2</v>
      </c>
      <c r="E7689" s="224" t="s">
        <v>2</v>
      </c>
      <c r="F7689" s="515" t="s">
        <v>8900</v>
      </c>
      <c r="G7689" s="52">
        <v>106100.18175973999</v>
      </c>
      <c r="H7689" s="56">
        <v>9.0810431769073816E-2</v>
      </c>
      <c r="I7689" s="224" t="s">
        <v>2</v>
      </c>
    </row>
    <row r="7690" spans="1:9" x14ac:dyDescent="0.25">
      <c r="A7690" s="515">
        <v>38028</v>
      </c>
      <c r="B7690" s="515" t="s">
        <v>951</v>
      </c>
      <c r="C7690" s="52">
        <v>535110.34052830504</v>
      </c>
      <c r="D7690" s="56">
        <v>5.5351821756721792E-2</v>
      </c>
      <c r="E7690" s="224" t="s">
        <v>2</v>
      </c>
      <c r="F7690" s="515" t="s">
        <v>8901</v>
      </c>
      <c r="G7690" s="52">
        <v>156515.36326009</v>
      </c>
      <c r="H7690" s="56">
        <v>0.14738657843642999</v>
      </c>
      <c r="I7690" s="224" t="s">
        <v>2</v>
      </c>
    </row>
    <row r="7691" spans="1:9" x14ac:dyDescent="0.25">
      <c r="A7691" s="515">
        <v>35763</v>
      </c>
      <c r="B7691" s="515" t="s">
        <v>997</v>
      </c>
      <c r="C7691" s="52">
        <v>409550.95589322102</v>
      </c>
      <c r="D7691" s="56">
        <v>6.7823361442656174E-2</v>
      </c>
      <c r="E7691" s="224">
        <v>1883.3333333333301</v>
      </c>
      <c r="F7691" s="515" t="s">
        <v>8902</v>
      </c>
      <c r="G7691" s="52">
        <v>1000467.5629760301</v>
      </c>
      <c r="H7691" s="56">
        <v>0.16488903082417289</v>
      </c>
      <c r="I7691" s="224">
        <v>4877.7777777777701</v>
      </c>
    </row>
    <row r="7692" spans="1:9" x14ac:dyDescent="0.25">
      <c r="A7692" s="515">
        <v>55364</v>
      </c>
      <c r="B7692" s="515" t="s">
        <v>532</v>
      </c>
      <c r="C7692" s="52">
        <v>467764.13347973902</v>
      </c>
      <c r="D7692" s="56">
        <v>6.1990997392940964E-2</v>
      </c>
      <c r="E7692" s="224" t="s">
        <v>2</v>
      </c>
      <c r="F7692" s="515" t="s">
        <v>8903</v>
      </c>
      <c r="G7692" s="52">
        <v>221852.75471588201</v>
      </c>
      <c r="H7692" s="56">
        <v>6.2403321371423445E-2</v>
      </c>
      <c r="I7692" s="224" t="s">
        <v>2</v>
      </c>
    </row>
    <row r="7693" spans="1:9" x14ac:dyDescent="0.25">
      <c r="A7693" s="515">
        <v>81521</v>
      </c>
      <c r="B7693" s="515" t="s">
        <v>619</v>
      </c>
      <c r="C7693" s="52">
        <v>414693.36976602901</v>
      </c>
      <c r="D7693" s="56">
        <v>4.4868512552175784E-2</v>
      </c>
      <c r="E7693" s="224">
        <v>1990</v>
      </c>
      <c r="F7693" s="515" t="s">
        <v>8904</v>
      </c>
      <c r="G7693" s="52">
        <v>495361.65338645398</v>
      </c>
      <c r="H7693" s="56">
        <v>0</v>
      </c>
      <c r="I7693" s="224" t="s">
        <v>2</v>
      </c>
    </row>
    <row r="7694" spans="1:9" x14ac:dyDescent="0.25">
      <c r="A7694" s="515">
        <v>60633</v>
      </c>
      <c r="B7694" s="515" t="s">
        <v>394</v>
      </c>
      <c r="C7694" s="52">
        <v>165701.37379167101</v>
      </c>
      <c r="D7694" s="56">
        <v>7.5546954835355784E-2</v>
      </c>
      <c r="E7694" s="224" t="s">
        <v>2</v>
      </c>
      <c r="F7694" s="515" t="s">
        <v>8905</v>
      </c>
      <c r="G7694" s="52">
        <v>441821.819987636</v>
      </c>
      <c r="H7694" s="56">
        <v>3.2078707786919361E-2</v>
      </c>
      <c r="I7694" s="224">
        <v>1852.5</v>
      </c>
    </row>
    <row r="7695" spans="1:9" x14ac:dyDescent="0.25">
      <c r="A7695" s="515">
        <v>29585</v>
      </c>
      <c r="B7695" s="515" t="s">
        <v>1197</v>
      </c>
      <c r="C7695" s="52">
        <v>459528.84775649197</v>
      </c>
      <c r="D7695" s="56">
        <v>0.13343440538386708</v>
      </c>
      <c r="E7695" s="224" t="s">
        <v>2</v>
      </c>
      <c r="F7695" s="515" t="s">
        <v>8906</v>
      </c>
      <c r="G7695" s="52">
        <v>183282.316702029</v>
      </c>
      <c r="H7695" s="56">
        <v>6.4718775924127267E-2</v>
      </c>
      <c r="I7695" s="224" t="s">
        <v>2</v>
      </c>
    </row>
    <row r="7696" spans="1:9" x14ac:dyDescent="0.25">
      <c r="A7696" s="515">
        <v>27006</v>
      </c>
      <c r="B7696" s="515" t="s">
        <v>735</v>
      </c>
      <c r="C7696" s="52">
        <v>350269.95432027901</v>
      </c>
      <c r="D7696" s="56">
        <v>9.7367055242070732E-2</v>
      </c>
      <c r="E7696" s="224" t="s">
        <v>2</v>
      </c>
      <c r="F7696" s="515" t="s">
        <v>8907</v>
      </c>
      <c r="G7696" s="52">
        <v>1172116.67356014</v>
      </c>
      <c r="H7696" s="56">
        <v>7.8885080505054911E-2</v>
      </c>
      <c r="I7696" s="224">
        <v>3112.5</v>
      </c>
    </row>
    <row r="7697" spans="1:9" x14ac:dyDescent="0.25">
      <c r="A7697" s="515">
        <v>94612</v>
      </c>
      <c r="B7697" s="515" t="s">
        <v>593</v>
      </c>
      <c r="C7697" s="52">
        <v>636777.22043517197</v>
      </c>
      <c r="D7697" s="56">
        <v>-9.4864941439592912E-2</v>
      </c>
      <c r="E7697" s="224">
        <v>2914.1452809952798</v>
      </c>
      <c r="F7697" s="515" t="s">
        <v>8908</v>
      </c>
      <c r="G7697" s="52">
        <v>452313.17579910101</v>
      </c>
      <c r="H7697" s="56">
        <v>9.9729103273829264E-2</v>
      </c>
      <c r="I7697" s="224" t="s">
        <v>2</v>
      </c>
    </row>
    <row r="7698" spans="1:9" x14ac:dyDescent="0.25">
      <c r="A7698" s="515">
        <v>62236</v>
      </c>
      <c r="B7698" s="515" t="s">
        <v>498</v>
      </c>
      <c r="C7698" s="52">
        <v>271767.715502429</v>
      </c>
      <c r="D7698" s="56">
        <v>7.5065932385300543E-2</v>
      </c>
      <c r="E7698" s="224" t="s">
        <v>2</v>
      </c>
      <c r="F7698" s="515" t="s">
        <v>8909</v>
      </c>
      <c r="G7698" s="52">
        <v>394236.98207114101</v>
      </c>
      <c r="H7698" s="56">
        <v>-8.3708765111043491E-3</v>
      </c>
      <c r="I7698" s="224" t="s">
        <v>2</v>
      </c>
    </row>
    <row r="7699" spans="1:9" x14ac:dyDescent="0.25">
      <c r="A7699" s="515">
        <v>21210</v>
      </c>
      <c r="B7699" s="515" t="s">
        <v>582</v>
      </c>
      <c r="C7699" s="52">
        <v>468914.31777504802</v>
      </c>
      <c r="D7699" s="56">
        <v>2.5503408455214031E-2</v>
      </c>
      <c r="E7699" s="224">
        <v>1570.44444444444</v>
      </c>
      <c r="F7699" s="515" t="s">
        <v>8910</v>
      </c>
      <c r="G7699" s="52">
        <v>82692.854611561997</v>
      </c>
      <c r="H7699" s="56">
        <v>2.2098733279137858E-2</v>
      </c>
      <c r="I7699" s="224" t="s">
        <v>2</v>
      </c>
    </row>
    <row r="7700" spans="1:9" x14ac:dyDescent="0.25">
      <c r="A7700" s="515">
        <v>8009</v>
      </c>
      <c r="B7700" s="515" t="s">
        <v>294</v>
      </c>
      <c r="C7700" s="52">
        <v>308503.22449266101</v>
      </c>
      <c r="D7700" s="56">
        <v>7.7884486967261454E-2</v>
      </c>
      <c r="E7700" s="224" t="s">
        <v>2</v>
      </c>
      <c r="F7700" s="515" t="s">
        <v>8911</v>
      </c>
      <c r="G7700" s="52">
        <v>126446.72122688001</v>
      </c>
      <c r="H7700" s="56">
        <v>0.16121782412955324</v>
      </c>
      <c r="I7700" s="224" t="s">
        <v>2</v>
      </c>
    </row>
    <row r="7701" spans="1:9" x14ac:dyDescent="0.25">
      <c r="A7701" s="515">
        <v>55398</v>
      </c>
      <c r="B7701" s="515" t="s">
        <v>532</v>
      </c>
      <c r="C7701" s="52">
        <v>344044.386733733</v>
      </c>
      <c r="D7701" s="56">
        <v>4.1643340369922115E-2</v>
      </c>
      <c r="E7701" s="224" t="s">
        <v>2</v>
      </c>
      <c r="F7701" s="515" t="s">
        <v>8912</v>
      </c>
      <c r="G7701" s="52">
        <v>221596.98478580199</v>
      </c>
      <c r="H7701" s="56">
        <v>8.3793386477258397E-2</v>
      </c>
      <c r="I7701" s="224" t="s">
        <v>2</v>
      </c>
    </row>
    <row r="7702" spans="1:9" x14ac:dyDescent="0.25">
      <c r="A7702" s="515">
        <v>55405</v>
      </c>
      <c r="B7702" s="515" t="s">
        <v>532</v>
      </c>
      <c r="C7702" s="52">
        <v>418434.02522629697</v>
      </c>
      <c r="D7702" s="56">
        <v>1.35493782738751E-2</v>
      </c>
      <c r="E7702" s="224">
        <v>1362.9166666666599</v>
      </c>
      <c r="F7702" s="515" t="s">
        <v>8913</v>
      </c>
      <c r="G7702" s="52">
        <v>1060685.5095478699</v>
      </c>
      <c r="H7702" s="56">
        <v>5.7762466894654724E-2</v>
      </c>
      <c r="I7702" s="224" t="s">
        <v>2</v>
      </c>
    </row>
    <row r="7703" spans="1:9" x14ac:dyDescent="0.25">
      <c r="A7703" s="515">
        <v>16502</v>
      </c>
      <c r="B7703" s="515" t="s">
        <v>753</v>
      </c>
      <c r="C7703" s="52">
        <v>92473.635903768707</v>
      </c>
      <c r="D7703" s="56">
        <v>0.11709378677810968</v>
      </c>
      <c r="E7703" s="224" t="s">
        <v>2</v>
      </c>
      <c r="F7703" s="515" t="s">
        <v>8914</v>
      </c>
      <c r="G7703" s="52">
        <v>96250.268793234907</v>
      </c>
      <c r="H7703" s="56">
        <v>7.7005676029532219E-2</v>
      </c>
      <c r="I7703" s="224" t="s">
        <v>2</v>
      </c>
    </row>
    <row r="7704" spans="1:9" x14ac:dyDescent="0.25">
      <c r="A7704" s="515">
        <v>37416</v>
      </c>
      <c r="B7704" s="515" t="s">
        <v>622</v>
      </c>
      <c r="C7704" s="52">
        <v>243120.712074532</v>
      </c>
      <c r="D7704" s="56">
        <v>6.3788124024467749E-2</v>
      </c>
      <c r="E7704" s="224">
        <v>1230.8333333333301</v>
      </c>
      <c r="F7704" s="515" t="s">
        <v>8915</v>
      </c>
      <c r="G7704" s="52">
        <v>210397.16396053199</v>
      </c>
      <c r="H7704" s="56">
        <v>0.21686200869283886</v>
      </c>
      <c r="I7704" s="224" t="s">
        <v>2</v>
      </c>
    </row>
    <row r="7705" spans="1:9" x14ac:dyDescent="0.25">
      <c r="A7705" s="515">
        <v>24739</v>
      </c>
      <c r="B7705" s="515" t="s">
        <v>306</v>
      </c>
      <c r="C7705" s="52">
        <v>154969.25533762501</v>
      </c>
      <c r="D7705" s="56">
        <v>0.14695398730468387</v>
      </c>
      <c r="E7705" s="224" t="s">
        <v>2</v>
      </c>
      <c r="F7705" s="515" t="s">
        <v>8916</v>
      </c>
      <c r="G7705" s="52">
        <v>62009.5939155585</v>
      </c>
      <c r="H7705" s="56">
        <v>-4.122504714123492E-2</v>
      </c>
      <c r="I7705" s="224" t="s">
        <v>2</v>
      </c>
    </row>
    <row r="7706" spans="1:9" x14ac:dyDescent="0.25">
      <c r="A7706" s="515">
        <v>16105</v>
      </c>
      <c r="B7706" s="515" t="s">
        <v>652</v>
      </c>
      <c r="C7706" s="52">
        <v>172939.216764588</v>
      </c>
      <c r="D7706" s="56">
        <v>9.3625860833742622E-2</v>
      </c>
      <c r="E7706" s="224" t="s">
        <v>2</v>
      </c>
      <c r="F7706" s="515" t="s">
        <v>8917</v>
      </c>
      <c r="G7706" s="52">
        <v>135284.48914074301</v>
      </c>
      <c r="H7706" s="56">
        <v>3.0141310088831027E-2</v>
      </c>
      <c r="I7706" s="224" t="s">
        <v>2</v>
      </c>
    </row>
    <row r="7707" spans="1:9" x14ac:dyDescent="0.25">
      <c r="A7707" s="515">
        <v>66207</v>
      </c>
      <c r="B7707" s="515" t="s">
        <v>455</v>
      </c>
      <c r="C7707" s="52">
        <v>424621.96369171899</v>
      </c>
      <c r="D7707" s="56">
        <v>5.7419233970343958E-2</v>
      </c>
      <c r="E7707" s="224">
        <v>1655.8333333333301</v>
      </c>
      <c r="F7707" s="515" t="s">
        <v>8918</v>
      </c>
      <c r="G7707" s="52">
        <v>155629.509232343</v>
      </c>
      <c r="H7707" s="56">
        <v>5.5851333573572436E-2</v>
      </c>
      <c r="I7707" s="224" t="s">
        <v>2</v>
      </c>
    </row>
    <row r="7708" spans="1:9" x14ac:dyDescent="0.25">
      <c r="A7708" s="515">
        <v>41701</v>
      </c>
      <c r="C7708" s="52">
        <v>102472.62921204801</v>
      </c>
      <c r="D7708" s="56">
        <v>0.11090624313805052</v>
      </c>
      <c r="E7708" s="224" t="s">
        <v>2</v>
      </c>
      <c r="F7708" s="515" t="s">
        <v>8919</v>
      </c>
      <c r="G7708" s="52">
        <v>305542.49063673499</v>
      </c>
      <c r="H7708" s="56">
        <v>9.9339415797873143E-2</v>
      </c>
      <c r="I7708" s="224" t="s">
        <v>2</v>
      </c>
    </row>
    <row r="7709" spans="1:9" x14ac:dyDescent="0.25">
      <c r="A7709" s="515">
        <v>54235</v>
      </c>
      <c r="C7709" s="52">
        <v>272662.63859832799</v>
      </c>
      <c r="D7709" s="56">
        <v>9.086090761553213E-2</v>
      </c>
      <c r="E7709" s="224" t="s">
        <v>2</v>
      </c>
      <c r="F7709" s="515" t="s">
        <v>8920</v>
      </c>
      <c r="G7709" s="52">
        <v>302953.852712953</v>
      </c>
      <c r="H7709" s="56">
        <v>8.1709628821525743E-2</v>
      </c>
      <c r="I7709" s="224" t="s">
        <v>2</v>
      </c>
    </row>
    <row r="7710" spans="1:9" x14ac:dyDescent="0.25">
      <c r="A7710" s="515">
        <v>49286</v>
      </c>
      <c r="B7710" s="515" t="s">
        <v>958</v>
      </c>
      <c r="C7710" s="52">
        <v>222430.90735677601</v>
      </c>
      <c r="D7710" s="56">
        <v>5.9710807814713704E-2</v>
      </c>
      <c r="E7710" s="224" t="s">
        <v>2</v>
      </c>
      <c r="F7710" s="515" t="s">
        <v>8921</v>
      </c>
      <c r="G7710" s="52">
        <v>217552.10156935599</v>
      </c>
      <c r="H7710" s="56">
        <v>0.10692600573047205</v>
      </c>
      <c r="I7710" s="224" t="s">
        <v>2</v>
      </c>
    </row>
    <row r="7711" spans="1:9" x14ac:dyDescent="0.25">
      <c r="A7711" s="515">
        <v>77098</v>
      </c>
      <c r="B7711" s="515" t="s">
        <v>314</v>
      </c>
      <c r="C7711" s="52">
        <v>607397.84254681296</v>
      </c>
      <c r="D7711" s="56">
        <v>-2.936770577809553E-2</v>
      </c>
      <c r="E7711" s="224">
        <v>1712.70516565246</v>
      </c>
      <c r="F7711" s="515" t="s">
        <v>8922</v>
      </c>
      <c r="G7711" s="52">
        <v>273302.59564152203</v>
      </c>
      <c r="H7711" s="56">
        <v>7.8628432691373457E-2</v>
      </c>
      <c r="I7711" s="224" t="s">
        <v>2</v>
      </c>
    </row>
    <row r="7712" spans="1:9" x14ac:dyDescent="0.25">
      <c r="A7712" s="515">
        <v>33129</v>
      </c>
      <c r="B7712" s="515" t="s">
        <v>831</v>
      </c>
      <c r="C7712" s="52">
        <v>647441.05252001295</v>
      </c>
      <c r="D7712" s="56">
        <v>0.17185740707138775</v>
      </c>
      <c r="E7712" s="224">
        <v>3417.2916666666601</v>
      </c>
      <c r="F7712" s="515" t="s">
        <v>8923</v>
      </c>
      <c r="G7712" s="52">
        <v>266404.50096045202</v>
      </c>
      <c r="H7712" s="56">
        <v>6.2872793477557101E-2</v>
      </c>
      <c r="I7712" s="224" t="s">
        <v>2</v>
      </c>
    </row>
    <row r="7713" spans="1:9" x14ac:dyDescent="0.25">
      <c r="A7713" s="515">
        <v>81003</v>
      </c>
      <c r="B7713" s="515" t="s">
        <v>1003</v>
      </c>
      <c r="C7713" s="52">
        <v>209883.618631052</v>
      </c>
      <c r="D7713" s="56">
        <v>0.11499025272765004</v>
      </c>
      <c r="E7713" s="224">
        <v>1500</v>
      </c>
      <c r="F7713" s="515" t="s">
        <v>8924</v>
      </c>
      <c r="G7713" s="52">
        <v>595204.36965535395</v>
      </c>
      <c r="H7713" s="56">
        <v>6.2200999492944498E-2</v>
      </c>
      <c r="I7713" s="224" t="s">
        <v>2</v>
      </c>
    </row>
    <row r="7714" spans="1:9" x14ac:dyDescent="0.25">
      <c r="A7714" s="515">
        <v>47601</v>
      </c>
      <c r="B7714" s="515" t="s">
        <v>911</v>
      </c>
      <c r="C7714" s="52">
        <v>183552.56758081101</v>
      </c>
      <c r="D7714" s="56">
        <v>5.0135852972313537E-2</v>
      </c>
      <c r="E7714" s="224" t="s">
        <v>2</v>
      </c>
      <c r="F7714" s="515" t="s">
        <v>8925</v>
      </c>
      <c r="G7714" s="52">
        <v>253309.12150640099</v>
      </c>
      <c r="H7714" s="56">
        <v>0.15417696049872034</v>
      </c>
      <c r="I7714" s="224" t="s">
        <v>2</v>
      </c>
    </row>
    <row r="7715" spans="1:9" x14ac:dyDescent="0.25">
      <c r="A7715" s="515">
        <v>28374</v>
      </c>
      <c r="B7715" s="515" t="s">
        <v>1090</v>
      </c>
      <c r="C7715" s="52">
        <v>466377.368336001</v>
      </c>
      <c r="D7715" s="56">
        <v>0.12178177911324936</v>
      </c>
      <c r="E7715" s="224">
        <v>2047.2222222222199</v>
      </c>
      <c r="F7715" s="515" t="s">
        <v>8926</v>
      </c>
      <c r="G7715" s="52">
        <v>193847.37551502301</v>
      </c>
      <c r="H7715" s="56">
        <v>7.127650205324576E-2</v>
      </c>
      <c r="I7715" s="224" t="s">
        <v>2</v>
      </c>
    </row>
    <row r="7716" spans="1:9" x14ac:dyDescent="0.25">
      <c r="A7716" s="515">
        <v>23707</v>
      </c>
      <c r="B7716" s="515" t="s">
        <v>301</v>
      </c>
      <c r="C7716" s="52">
        <v>215819.995044857</v>
      </c>
      <c r="D7716" s="56">
        <v>7.6491880349436672E-2</v>
      </c>
      <c r="E7716" s="224" t="s">
        <v>2</v>
      </c>
      <c r="F7716" s="515" t="s">
        <v>8927</v>
      </c>
      <c r="G7716" s="52">
        <v>300938.07453118399</v>
      </c>
      <c r="H7716" s="56">
        <v>3.917261204849027E-2</v>
      </c>
      <c r="I7716" s="224" t="s">
        <v>2</v>
      </c>
    </row>
    <row r="7717" spans="1:9" x14ac:dyDescent="0.25">
      <c r="A7717" s="515">
        <v>48836</v>
      </c>
      <c r="B7717" s="515" t="s">
        <v>685</v>
      </c>
      <c r="C7717" s="52">
        <v>270627.531621464</v>
      </c>
      <c r="D7717" s="56">
        <v>5.853826556852991E-2</v>
      </c>
      <c r="E7717" s="224" t="s">
        <v>2</v>
      </c>
      <c r="F7717" s="515" t="s">
        <v>8928</v>
      </c>
      <c r="G7717" s="52">
        <v>255318.261178916</v>
      </c>
      <c r="H7717" s="56">
        <v>9.2039951691704428E-3</v>
      </c>
      <c r="I7717" s="224" t="s">
        <v>2</v>
      </c>
    </row>
    <row r="7718" spans="1:9" x14ac:dyDescent="0.25">
      <c r="A7718" s="515">
        <v>99517</v>
      </c>
      <c r="B7718" s="515" t="s">
        <v>405</v>
      </c>
      <c r="C7718" s="52">
        <v>341950.13967147499</v>
      </c>
      <c r="D7718" s="56">
        <v>5.3326840755402213E-2</v>
      </c>
      <c r="E7718" s="224">
        <v>1376.1111111111099</v>
      </c>
      <c r="F7718" s="515" t="s">
        <v>8929</v>
      </c>
      <c r="G7718" s="52">
        <v>327073.96053902898</v>
      </c>
      <c r="H7718" s="56">
        <v>7.8890485189826637E-2</v>
      </c>
      <c r="I7718" s="224" t="s">
        <v>2</v>
      </c>
    </row>
    <row r="7719" spans="1:9" x14ac:dyDescent="0.25">
      <c r="A7719" s="515">
        <v>53228</v>
      </c>
      <c r="B7719" s="515" t="s">
        <v>950</v>
      </c>
      <c r="C7719" s="52">
        <v>284490.81535318098</v>
      </c>
      <c r="D7719" s="56">
        <v>8.4350370806591607E-2</v>
      </c>
      <c r="E7719" s="224" t="s">
        <v>2</v>
      </c>
      <c r="F7719" s="515" t="s">
        <v>8930</v>
      </c>
      <c r="G7719" s="52">
        <v>328735.46100035001</v>
      </c>
      <c r="H7719" s="56">
        <v>0.13747403751145887</v>
      </c>
      <c r="I7719" s="224" t="s">
        <v>2</v>
      </c>
    </row>
    <row r="7720" spans="1:9" x14ac:dyDescent="0.25">
      <c r="A7720" s="515">
        <v>68505</v>
      </c>
      <c r="B7720" s="515" t="s">
        <v>486</v>
      </c>
      <c r="C7720" s="52">
        <v>226745.10062050199</v>
      </c>
      <c r="D7720" s="56">
        <v>6.9146258221092646E-2</v>
      </c>
      <c r="E7720" s="224">
        <v>1291.6666666666599</v>
      </c>
      <c r="F7720" s="515" t="s">
        <v>8931</v>
      </c>
      <c r="G7720" s="52">
        <v>169245.95686468299</v>
      </c>
      <c r="H7720" s="56">
        <v>6.8435115668137411E-2</v>
      </c>
      <c r="I7720" s="224" t="s">
        <v>2</v>
      </c>
    </row>
    <row r="7721" spans="1:9" x14ac:dyDescent="0.25">
      <c r="A7721" s="515">
        <v>79108</v>
      </c>
      <c r="B7721" s="515" t="s">
        <v>869</v>
      </c>
      <c r="C7721" s="52">
        <v>174286.590742573</v>
      </c>
      <c r="D7721" s="56">
        <v>8.9324225776761357E-2</v>
      </c>
      <c r="E7721" s="224" t="s">
        <v>2</v>
      </c>
      <c r="F7721" s="515" t="s">
        <v>8932</v>
      </c>
      <c r="G7721" s="52">
        <v>244958.05966689301</v>
      </c>
      <c r="H7721" s="56">
        <v>8.6101755962642301E-2</v>
      </c>
      <c r="I7721" s="224" t="s">
        <v>2</v>
      </c>
    </row>
    <row r="7722" spans="1:9" x14ac:dyDescent="0.25">
      <c r="A7722" s="515">
        <v>23605</v>
      </c>
      <c r="B7722" s="515" t="s">
        <v>301</v>
      </c>
      <c r="C7722" s="52">
        <v>192030.18716164699</v>
      </c>
      <c r="D7722" s="56">
        <v>0.11112068683481033</v>
      </c>
      <c r="E7722" s="224">
        <v>1431.4074074073999</v>
      </c>
      <c r="F7722" s="515" t="s">
        <v>8933</v>
      </c>
      <c r="G7722" s="52">
        <v>290177.07939887902</v>
      </c>
      <c r="H7722" s="56">
        <v>4.5731938983204823E-2</v>
      </c>
      <c r="I7722" s="224" t="s">
        <v>2</v>
      </c>
    </row>
    <row r="7723" spans="1:9" x14ac:dyDescent="0.25">
      <c r="A7723" s="515">
        <v>31316</v>
      </c>
      <c r="B7723" s="515" t="s">
        <v>1092</v>
      </c>
      <c r="C7723" s="52">
        <v>243769.07558373801</v>
      </c>
      <c r="D7723" s="56">
        <v>0.12048584306088136</v>
      </c>
      <c r="E7723" s="224" t="s">
        <v>2</v>
      </c>
      <c r="F7723" s="515" t="s">
        <v>8934</v>
      </c>
      <c r="G7723" s="52">
        <v>522743.68005040701</v>
      </c>
      <c r="H7723" s="56">
        <v>-1.3475546977642817E-2</v>
      </c>
      <c r="I7723" s="224" t="s">
        <v>2</v>
      </c>
    </row>
    <row r="7724" spans="1:9" x14ac:dyDescent="0.25">
      <c r="A7724" s="515">
        <v>37073</v>
      </c>
      <c r="B7724" s="515" t="s">
        <v>684</v>
      </c>
      <c r="C7724" s="52">
        <v>352035.98099385801</v>
      </c>
      <c r="D7724" s="56">
        <v>7.1869444819893505E-2</v>
      </c>
      <c r="E7724" s="224" t="s">
        <v>2</v>
      </c>
      <c r="F7724" s="515" t="s">
        <v>8935</v>
      </c>
      <c r="G7724" s="52">
        <v>373259.22321340698</v>
      </c>
      <c r="H7724" s="56">
        <v>0.11544031334146364</v>
      </c>
      <c r="I7724" s="224" t="s">
        <v>2</v>
      </c>
    </row>
    <row r="7725" spans="1:9" x14ac:dyDescent="0.25">
      <c r="A7725" s="515">
        <v>78676</v>
      </c>
      <c r="B7725" s="515" t="s">
        <v>380</v>
      </c>
      <c r="C7725" s="52">
        <v>542260.58749318297</v>
      </c>
      <c r="D7725" s="56">
        <v>6.1382577871221838E-2</v>
      </c>
      <c r="E7725" s="224" t="s">
        <v>2</v>
      </c>
      <c r="F7725" s="515" t="s">
        <v>8936</v>
      </c>
      <c r="G7725" s="52">
        <v>845294.23569746595</v>
      </c>
      <c r="H7725" s="56">
        <v>2.2696592285408341E-2</v>
      </c>
      <c r="I7725" s="224" t="s">
        <v>2</v>
      </c>
    </row>
    <row r="7726" spans="1:9" x14ac:dyDescent="0.25">
      <c r="A7726" s="515">
        <v>50311</v>
      </c>
      <c r="B7726" s="515" t="s">
        <v>295</v>
      </c>
      <c r="C7726" s="52">
        <v>206197.38118747901</v>
      </c>
      <c r="D7726" s="56">
        <v>6.6067133769542027E-2</v>
      </c>
      <c r="E7726" s="224">
        <v>1306.6666666666599</v>
      </c>
      <c r="F7726" s="515" t="s">
        <v>8937</v>
      </c>
      <c r="G7726" s="52">
        <v>97585.7526315617</v>
      </c>
      <c r="H7726" s="56">
        <v>0.13832545563857271</v>
      </c>
      <c r="I7726" s="224" t="s">
        <v>2</v>
      </c>
    </row>
    <row r="7727" spans="1:9" x14ac:dyDescent="0.25">
      <c r="A7727" s="515">
        <v>72801</v>
      </c>
      <c r="B7727" s="515" t="s">
        <v>636</v>
      </c>
      <c r="C7727" s="52">
        <v>145956.01904591601</v>
      </c>
      <c r="D7727" s="56">
        <v>7.0503638292494522E-2</v>
      </c>
      <c r="E7727" s="224" t="s">
        <v>2</v>
      </c>
      <c r="F7727" s="515" t="s">
        <v>8938</v>
      </c>
      <c r="G7727" s="52">
        <v>88706.838459296501</v>
      </c>
      <c r="H7727" s="56">
        <v>5.5945864926744589E-2</v>
      </c>
      <c r="I7727" s="224" t="s">
        <v>2</v>
      </c>
    </row>
    <row r="7728" spans="1:9" x14ac:dyDescent="0.25">
      <c r="A7728" s="515">
        <v>77703</v>
      </c>
      <c r="B7728" s="515" t="s">
        <v>492</v>
      </c>
      <c r="C7728" s="52">
        <v>68953.293208772098</v>
      </c>
      <c r="D7728" s="56">
        <v>4.2502991309339183E-2</v>
      </c>
      <c r="E7728" s="224" t="s">
        <v>2</v>
      </c>
      <c r="F7728" s="515" t="s">
        <v>8939</v>
      </c>
      <c r="G7728" s="52">
        <v>124012.515410958</v>
      </c>
      <c r="H7728" s="56">
        <v>0</v>
      </c>
      <c r="I7728" s="224" t="s">
        <v>2</v>
      </c>
    </row>
    <row r="7729" spans="1:9" x14ac:dyDescent="0.25">
      <c r="A7729" s="515">
        <v>72715</v>
      </c>
      <c r="B7729" s="515" t="s">
        <v>675</v>
      </c>
      <c r="C7729" s="52">
        <v>311851.93761024298</v>
      </c>
      <c r="D7729" s="56">
        <v>0.14455308661530059</v>
      </c>
      <c r="E7729" s="224" t="s">
        <v>2</v>
      </c>
      <c r="F7729" s="515" t="s">
        <v>8940</v>
      </c>
      <c r="G7729" s="52">
        <v>266118.35240125097</v>
      </c>
      <c r="H7729" s="56">
        <v>0.10189389092137952</v>
      </c>
      <c r="I7729" s="224" t="s">
        <v>2</v>
      </c>
    </row>
    <row r="7730" spans="1:9" x14ac:dyDescent="0.25">
      <c r="A7730" s="515">
        <v>45432</v>
      </c>
      <c r="B7730" s="515" t="s">
        <v>340</v>
      </c>
      <c r="C7730" s="52">
        <v>178295.005855945</v>
      </c>
      <c r="D7730" s="56">
        <v>8.0748500048851451E-2</v>
      </c>
      <c r="E7730" s="224" t="s">
        <v>2</v>
      </c>
      <c r="F7730" s="515" t="s">
        <v>8941</v>
      </c>
      <c r="G7730" s="52">
        <v>257935.58442064899</v>
      </c>
      <c r="H7730" s="56">
        <v>8.2279587365930718E-2</v>
      </c>
      <c r="I7730" s="224" t="s">
        <v>2</v>
      </c>
    </row>
    <row r="7731" spans="1:9" x14ac:dyDescent="0.25">
      <c r="A7731" s="515">
        <v>71953</v>
      </c>
      <c r="C7731" s="52">
        <v>154629.04003222601</v>
      </c>
      <c r="D7731" s="56">
        <v>7.0701940995908832E-2</v>
      </c>
      <c r="E7731" s="224" t="s">
        <v>2</v>
      </c>
      <c r="F7731" s="515" t="s">
        <v>8942</v>
      </c>
      <c r="G7731" s="52">
        <v>532477.69084456598</v>
      </c>
      <c r="H7731" s="56">
        <v>4.5791421273124758E-2</v>
      </c>
      <c r="I7731" s="224">
        <v>1290.8333333333301</v>
      </c>
    </row>
    <row r="7732" spans="1:9" x14ac:dyDescent="0.25">
      <c r="A7732" s="515">
        <v>35773</v>
      </c>
      <c r="B7732" s="515" t="s">
        <v>997</v>
      </c>
      <c r="C7732" s="52">
        <v>228859.26296610601</v>
      </c>
      <c r="D7732" s="56">
        <v>7.7750748517518051E-2</v>
      </c>
      <c r="E7732" s="224" t="s">
        <v>2</v>
      </c>
      <c r="F7732" s="515" t="s">
        <v>8943</v>
      </c>
      <c r="G7732" s="52">
        <v>148510.21709275601</v>
      </c>
      <c r="H7732" s="56">
        <v>3.0107524186727214E-2</v>
      </c>
      <c r="I7732" s="224" t="s">
        <v>2</v>
      </c>
    </row>
    <row r="7733" spans="1:9" x14ac:dyDescent="0.25">
      <c r="A7733" s="515">
        <v>77701</v>
      </c>
      <c r="B7733" s="515" t="s">
        <v>492</v>
      </c>
      <c r="C7733" s="52">
        <v>69409.205940889005</v>
      </c>
      <c r="D7733" s="56">
        <v>-1.7095116458630884E-2</v>
      </c>
      <c r="E7733" s="224">
        <v>808</v>
      </c>
      <c r="F7733" s="515" t="s">
        <v>8944</v>
      </c>
      <c r="G7733" s="52">
        <v>1012357.91870973</v>
      </c>
      <c r="H7733" s="56">
        <v>0.254182364563807</v>
      </c>
      <c r="I7733" s="224">
        <v>4998.4444444444398</v>
      </c>
    </row>
    <row r="7734" spans="1:9" x14ac:dyDescent="0.25">
      <c r="A7734" s="515">
        <v>78559</v>
      </c>
      <c r="B7734" s="515" t="s">
        <v>444</v>
      </c>
      <c r="C7734" s="52">
        <v>120696.473000547</v>
      </c>
      <c r="D7734" s="56">
        <v>0.10766516955616888</v>
      </c>
      <c r="E7734" s="224" t="s">
        <v>2</v>
      </c>
      <c r="F7734" s="515" t="s">
        <v>8945</v>
      </c>
      <c r="G7734" s="52">
        <v>205132.00653961801</v>
      </c>
      <c r="H7734" s="56">
        <v>7.1847985365408581E-2</v>
      </c>
      <c r="I7734" s="224" t="s">
        <v>2</v>
      </c>
    </row>
    <row r="7735" spans="1:9" x14ac:dyDescent="0.25">
      <c r="A7735" s="515">
        <v>63074</v>
      </c>
      <c r="B7735" s="515" t="s">
        <v>498</v>
      </c>
      <c r="C7735" s="52">
        <v>132677.90169563901</v>
      </c>
      <c r="D7735" s="56">
        <v>9.6361201248823317E-2</v>
      </c>
      <c r="E7735" s="224">
        <v>950.91666666666595</v>
      </c>
      <c r="F7735" s="515" t="s">
        <v>8946</v>
      </c>
      <c r="G7735" s="52">
        <v>112709.247469997</v>
      </c>
      <c r="H7735" s="56">
        <v>0.14903635815239014</v>
      </c>
      <c r="I7735" s="224" t="s">
        <v>2</v>
      </c>
    </row>
    <row r="7736" spans="1:9" x14ac:dyDescent="0.25">
      <c r="A7736" s="515">
        <v>57783</v>
      </c>
      <c r="B7736" s="515" t="s">
        <v>934</v>
      </c>
      <c r="C7736" s="52">
        <v>372829.41082098201</v>
      </c>
      <c r="D7736" s="56">
        <v>5.6792187014039791E-2</v>
      </c>
      <c r="E7736" s="224" t="s">
        <v>2</v>
      </c>
      <c r="F7736" s="515" t="s">
        <v>8947</v>
      </c>
      <c r="G7736" s="52">
        <v>235806.32447186799</v>
      </c>
      <c r="H7736" s="56">
        <v>4.1318018356254767E-2</v>
      </c>
      <c r="I7736" s="224" t="s">
        <v>2</v>
      </c>
    </row>
    <row r="7737" spans="1:9" x14ac:dyDescent="0.25">
      <c r="A7737" s="515">
        <v>60478</v>
      </c>
      <c r="B7737" s="515" t="s">
        <v>394</v>
      </c>
      <c r="C7737" s="52">
        <v>182064.349810338</v>
      </c>
      <c r="D7737" s="56">
        <v>6.5158717380762884E-2</v>
      </c>
      <c r="E7737" s="224" t="s">
        <v>2</v>
      </c>
      <c r="F7737" s="515" t="s">
        <v>8948</v>
      </c>
      <c r="G7737" s="52">
        <v>159368.143760962</v>
      </c>
      <c r="H7737" s="56">
        <v>4.8915732130601609E-2</v>
      </c>
      <c r="I7737" s="224" t="s">
        <v>2</v>
      </c>
    </row>
    <row r="7738" spans="1:9" x14ac:dyDescent="0.25">
      <c r="A7738" s="515">
        <v>28203</v>
      </c>
      <c r="B7738" s="515" t="s">
        <v>360</v>
      </c>
      <c r="C7738" s="52">
        <v>613435.66321306804</v>
      </c>
      <c r="D7738" s="56">
        <v>4.3771652283647669E-2</v>
      </c>
      <c r="E7738" s="224">
        <v>1991.56061369899</v>
      </c>
      <c r="F7738" s="515" t="s">
        <v>8949</v>
      </c>
      <c r="G7738" s="52">
        <v>208724.538881307</v>
      </c>
      <c r="H7738" s="56">
        <v>3.8785214236819097E-2</v>
      </c>
      <c r="I7738" s="224" t="s">
        <v>2</v>
      </c>
    </row>
    <row r="7739" spans="1:9" x14ac:dyDescent="0.25">
      <c r="A7739" s="515">
        <v>7670</v>
      </c>
      <c r="B7739" s="515" t="s">
        <v>324</v>
      </c>
      <c r="C7739" s="52">
        <v>963223.79106599803</v>
      </c>
      <c r="D7739" s="56">
        <v>5.7806799237454194E-2</v>
      </c>
      <c r="E7739" s="224" t="s">
        <v>2</v>
      </c>
      <c r="F7739" s="515" t="s">
        <v>8950</v>
      </c>
      <c r="G7739" s="52">
        <v>131537.633507319</v>
      </c>
      <c r="H7739" s="56">
        <v>4.222250583778963E-2</v>
      </c>
      <c r="I7739" s="224" t="s">
        <v>2</v>
      </c>
    </row>
    <row r="7740" spans="1:9" x14ac:dyDescent="0.25">
      <c r="A7740" s="515">
        <v>14048</v>
      </c>
      <c r="B7740" s="515" t="s">
        <v>560</v>
      </c>
      <c r="C7740" s="52">
        <v>108146.902594589</v>
      </c>
      <c r="D7740" s="56">
        <v>0.13423046358852189</v>
      </c>
      <c r="E7740" s="224" t="s">
        <v>2</v>
      </c>
      <c r="F7740" s="515" t="s">
        <v>8951</v>
      </c>
      <c r="G7740" s="52">
        <v>315522.18243564398</v>
      </c>
      <c r="H7740" s="56">
        <v>6.8874720973258335E-2</v>
      </c>
      <c r="I7740" s="224" t="s">
        <v>2</v>
      </c>
    </row>
    <row r="7741" spans="1:9" x14ac:dyDescent="0.25">
      <c r="A7741" s="515">
        <v>34610</v>
      </c>
      <c r="B7741" s="515" t="s">
        <v>461</v>
      </c>
      <c r="C7741" s="52">
        <v>351930.43128697801</v>
      </c>
      <c r="D7741" s="56">
        <v>7.4366088967059721E-2</v>
      </c>
      <c r="E7741" s="224">
        <v>2197.5</v>
      </c>
      <c r="F7741" s="515" t="s">
        <v>8952</v>
      </c>
      <c r="G7741" s="52">
        <v>94737.3077141658</v>
      </c>
      <c r="H7741" s="56">
        <v>-6.0441429231661271E-2</v>
      </c>
      <c r="I7741" s="224" t="s">
        <v>2</v>
      </c>
    </row>
    <row r="7742" spans="1:9" x14ac:dyDescent="0.25">
      <c r="A7742" s="515">
        <v>71655</v>
      </c>
      <c r="C7742" s="52">
        <v>135887.78150743301</v>
      </c>
      <c r="D7742" s="56">
        <v>1.0416461355384743E-2</v>
      </c>
      <c r="E7742" s="224" t="s">
        <v>2</v>
      </c>
      <c r="F7742" s="515" t="s">
        <v>8953</v>
      </c>
      <c r="G7742" s="52">
        <v>212688.86068787301</v>
      </c>
      <c r="H7742" s="56">
        <v>0.1259658378581614</v>
      </c>
      <c r="I7742" s="224" t="s">
        <v>2</v>
      </c>
    </row>
    <row r="7743" spans="1:9" x14ac:dyDescent="0.25">
      <c r="A7743" s="515">
        <v>21532</v>
      </c>
      <c r="B7743" s="515" t="s">
        <v>362</v>
      </c>
      <c r="C7743" s="52">
        <v>146095.888142671</v>
      </c>
      <c r="D7743" s="56">
        <v>2.5049923074903089E-4</v>
      </c>
      <c r="E7743" s="224" t="s">
        <v>2</v>
      </c>
      <c r="F7743" s="515" t="s">
        <v>8954</v>
      </c>
      <c r="G7743" s="52">
        <v>892637.44547104405</v>
      </c>
      <c r="H7743" s="56">
        <v>3.0008558739963141E-2</v>
      </c>
      <c r="I7743" s="224" t="s">
        <v>2</v>
      </c>
    </row>
    <row r="7744" spans="1:9" x14ac:dyDescent="0.25">
      <c r="A7744" s="515">
        <v>42276</v>
      </c>
      <c r="C7744" s="52">
        <v>157065.561115497</v>
      </c>
      <c r="D7744" s="56">
        <v>0.16035378564613609</v>
      </c>
      <c r="E7744" s="224" t="s">
        <v>2</v>
      </c>
      <c r="F7744" s="515" t="s">
        <v>8955</v>
      </c>
      <c r="G7744" s="52">
        <v>115176.419628123</v>
      </c>
      <c r="H7744" s="56">
        <v>9.4861412522290744E-2</v>
      </c>
      <c r="I7744" s="224" t="s">
        <v>2</v>
      </c>
    </row>
    <row r="7745" spans="1:9" x14ac:dyDescent="0.25">
      <c r="A7745" s="515">
        <v>47620</v>
      </c>
      <c r="B7745" s="515" t="s">
        <v>911</v>
      </c>
      <c r="C7745" s="52">
        <v>185523.53873919099</v>
      </c>
      <c r="D7745" s="56">
        <v>5.0811767909232128E-2</v>
      </c>
      <c r="E7745" s="224" t="s">
        <v>2</v>
      </c>
      <c r="F7745" s="515" t="s">
        <v>8956</v>
      </c>
      <c r="G7745" s="52">
        <v>293986.182981349</v>
      </c>
      <c r="H7745" s="56">
        <v>0.12601935199012221</v>
      </c>
      <c r="I7745" s="224" t="s">
        <v>2</v>
      </c>
    </row>
    <row r="7746" spans="1:9" x14ac:dyDescent="0.25">
      <c r="A7746" s="515">
        <v>64132</v>
      </c>
      <c r="B7746" s="515" t="s">
        <v>455</v>
      </c>
      <c r="C7746" s="52">
        <v>101530.243130066</v>
      </c>
      <c r="D7746" s="56">
        <v>0.21996066072067813</v>
      </c>
      <c r="E7746" s="224">
        <v>1120.9777777777699</v>
      </c>
      <c r="F7746" s="515" t="s">
        <v>8957</v>
      </c>
      <c r="G7746" s="52">
        <v>172632.51738518299</v>
      </c>
      <c r="H7746" s="56">
        <v>5.4411912630668094E-2</v>
      </c>
      <c r="I7746" s="224" t="s">
        <v>2</v>
      </c>
    </row>
    <row r="7747" spans="1:9" x14ac:dyDescent="0.25">
      <c r="A7747" s="515">
        <v>45631</v>
      </c>
      <c r="B7747" s="515" t="s">
        <v>445</v>
      </c>
      <c r="C7747" s="52">
        <v>133705.30207463499</v>
      </c>
      <c r="D7747" s="56">
        <v>0.12305427281448975</v>
      </c>
      <c r="E7747" s="224" t="s">
        <v>2</v>
      </c>
      <c r="F7747" s="515" t="s">
        <v>8958</v>
      </c>
      <c r="G7747" s="52">
        <v>553645.17930264201</v>
      </c>
      <c r="H7747" s="56">
        <v>2.9663652348938571E-2</v>
      </c>
      <c r="I7747" s="224" t="s">
        <v>2</v>
      </c>
    </row>
    <row r="7748" spans="1:9" x14ac:dyDescent="0.25">
      <c r="A7748" s="515">
        <v>3087</v>
      </c>
      <c r="B7748" s="515" t="s">
        <v>534</v>
      </c>
      <c r="C7748" s="52">
        <v>686280.11151807394</v>
      </c>
      <c r="D7748" s="56">
        <v>8.8573764273338865E-2</v>
      </c>
      <c r="E7748" s="224" t="s">
        <v>2</v>
      </c>
      <c r="F7748" s="515" t="s">
        <v>8959</v>
      </c>
      <c r="G7748" s="52">
        <v>561260.90056860796</v>
      </c>
      <c r="H7748" s="56">
        <v>0.12888685626788429</v>
      </c>
      <c r="I7748" s="224" t="s">
        <v>2</v>
      </c>
    </row>
    <row r="7749" spans="1:9" x14ac:dyDescent="0.25">
      <c r="A7749" s="515">
        <v>78225</v>
      </c>
      <c r="B7749" s="515" t="s">
        <v>717</v>
      </c>
      <c r="C7749" s="52">
        <v>142023.74030704499</v>
      </c>
      <c r="D7749" s="56">
        <v>9.0784013865021024E-2</v>
      </c>
      <c r="E7749" s="224" t="s">
        <v>2</v>
      </c>
      <c r="F7749" s="515" t="s">
        <v>8960</v>
      </c>
      <c r="G7749" s="52">
        <v>152354.69073982901</v>
      </c>
      <c r="H7749" s="56">
        <v>0.16000662502271976</v>
      </c>
      <c r="I7749" s="224" t="s">
        <v>2</v>
      </c>
    </row>
    <row r="7750" spans="1:9" x14ac:dyDescent="0.25">
      <c r="A7750" s="515">
        <v>55374</v>
      </c>
      <c r="B7750" s="515" t="s">
        <v>532</v>
      </c>
      <c r="C7750" s="52">
        <v>440852.43775054498</v>
      </c>
      <c r="D7750" s="56">
        <v>4.9853127283062404E-2</v>
      </c>
      <c r="E7750" s="224" t="s">
        <v>2</v>
      </c>
      <c r="F7750" s="515" t="s">
        <v>8961</v>
      </c>
      <c r="G7750" s="52">
        <v>163000.821898239</v>
      </c>
      <c r="H7750" s="56">
        <v>0.11983711073552261</v>
      </c>
      <c r="I7750" s="224" t="s">
        <v>2</v>
      </c>
    </row>
    <row r="7751" spans="1:9" x14ac:dyDescent="0.25">
      <c r="A7751" s="515">
        <v>19462</v>
      </c>
      <c r="B7751" s="515" t="s">
        <v>294</v>
      </c>
      <c r="C7751" s="52">
        <v>450568.29000502999</v>
      </c>
      <c r="D7751" s="56">
        <v>9.7376335750748499E-2</v>
      </c>
      <c r="E7751" s="224">
        <v>2094.1666666666601</v>
      </c>
      <c r="F7751" s="515" t="s">
        <v>8962</v>
      </c>
      <c r="G7751" s="52">
        <v>214311.59970052799</v>
      </c>
      <c r="H7751" s="56">
        <v>7.8514902532087982E-2</v>
      </c>
      <c r="I7751" s="224" t="s">
        <v>2</v>
      </c>
    </row>
    <row r="7752" spans="1:9" x14ac:dyDescent="0.25">
      <c r="A7752" s="515">
        <v>7836</v>
      </c>
      <c r="B7752" s="515" t="s">
        <v>324</v>
      </c>
      <c r="C7752" s="52">
        <v>521927.59441558801</v>
      </c>
      <c r="D7752" s="56">
        <v>4.6332477268378504E-2</v>
      </c>
      <c r="E7752" s="224" t="s">
        <v>2</v>
      </c>
      <c r="F7752" s="515" t="s">
        <v>8963</v>
      </c>
      <c r="G7752" s="52">
        <v>156878.07392688599</v>
      </c>
      <c r="H7752" s="56">
        <v>0.12857825625443234</v>
      </c>
      <c r="I7752" s="224" t="s">
        <v>2</v>
      </c>
    </row>
    <row r="7753" spans="1:9" x14ac:dyDescent="0.25">
      <c r="A7753" s="515">
        <v>19809</v>
      </c>
      <c r="B7753" s="515" t="s">
        <v>294</v>
      </c>
      <c r="C7753" s="52">
        <v>280043.04116179998</v>
      </c>
      <c r="D7753" s="56">
        <v>5.8827600769519608E-2</v>
      </c>
      <c r="E7753" s="224">
        <v>1450.8492063491999</v>
      </c>
      <c r="F7753" s="515" t="s">
        <v>8964</v>
      </c>
      <c r="G7753" s="52">
        <v>432591.96907920501</v>
      </c>
      <c r="H7753" s="56">
        <v>3.3958535478341239E-4</v>
      </c>
      <c r="I7753" s="224" t="s">
        <v>2</v>
      </c>
    </row>
    <row r="7754" spans="1:9" x14ac:dyDescent="0.25">
      <c r="A7754" s="515">
        <v>48026</v>
      </c>
      <c r="B7754" s="515" t="s">
        <v>685</v>
      </c>
      <c r="C7754" s="52">
        <v>205682.250275764</v>
      </c>
      <c r="D7754" s="56">
        <v>6.4717747591244573E-2</v>
      </c>
      <c r="E7754" s="224" t="s">
        <v>2</v>
      </c>
      <c r="F7754" s="515" t="s">
        <v>8965</v>
      </c>
      <c r="G7754" s="52">
        <v>787879.33402843401</v>
      </c>
      <c r="H7754" s="56">
        <v>8.1638802031213112E-2</v>
      </c>
      <c r="I7754" s="224" t="s">
        <v>2</v>
      </c>
    </row>
    <row r="7755" spans="1:9" x14ac:dyDescent="0.25">
      <c r="A7755" s="515">
        <v>85007</v>
      </c>
      <c r="B7755" s="515" t="s">
        <v>563</v>
      </c>
      <c r="C7755" s="52">
        <v>396658.50267576898</v>
      </c>
      <c r="D7755" s="56">
        <v>4.2267874058375586E-2</v>
      </c>
      <c r="E7755" s="224">
        <v>1571.9166666666599</v>
      </c>
      <c r="F7755" s="515" t="s">
        <v>8966</v>
      </c>
      <c r="G7755" s="52">
        <v>256046.86923762801</v>
      </c>
      <c r="H7755" s="56">
        <v>7.5991652855500177E-2</v>
      </c>
      <c r="I7755" s="224" t="s">
        <v>2</v>
      </c>
    </row>
    <row r="7756" spans="1:9" x14ac:dyDescent="0.25">
      <c r="A7756" s="515">
        <v>48160</v>
      </c>
      <c r="B7756" s="515" t="s">
        <v>783</v>
      </c>
      <c r="C7756" s="52">
        <v>259227.900855877</v>
      </c>
      <c r="D7756" s="56">
        <v>7.9449547696614581E-2</v>
      </c>
      <c r="E7756" s="224" t="s">
        <v>2</v>
      </c>
      <c r="F7756" s="515" t="s">
        <v>8967</v>
      </c>
      <c r="G7756" s="52">
        <v>428770.95917612099</v>
      </c>
      <c r="H7756" s="56">
        <v>2.6511123309950323E-2</v>
      </c>
      <c r="I7756" s="224" t="s">
        <v>2</v>
      </c>
    </row>
    <row r="7757" spans="1:9" x14ac:dyDescent="0.25">
      <c r="A7757" s="515">
        <v>40444</v>
      </c>
      <c r="C7757" s="52">
        <v>200664.99513754499</v>
      </c>
      <c r="D7757" s="56">
        <v>9.40787591291153E-2</v>
      </c>
      <c r="E7757" s="224" t="s">
        <v>2</v>
      </c>
      <c r="F7757" s="515" t="s">
        <v>8968</v>
      </c>
      <c r="G7757" s="52">
        <v>103795.43489058899</v>
      </c>
      <c r="H7757" s="56">
        <v>7.476986185672733E-3</v>
      </c>
      <c r="I7757" s="224" t="s">
        <v>2</v>
      </c>
    </row>
    <row r="7758" spans="1:9" x14ac:dyDescent="0.25">
      <c r="A7758" s="515">
        <v>81520</v>
      </c>
      <c r="B7758" s="515" t="s">
        <v>619</v>
      </c>
      <c r="C7758" s="52">
        <v>278014.87071023398</v>
      </c>
      <c r="D7758" s="56">
        <v>4.502596305224793E-2</v>
      </c>
      <c r="E7758" s="224" t="s">
        <v>2</v>
      </c>
      <c r="F7758" s="515" t="s">
        <v>8969</v>
      </c>
      <c r="G7758" s="52">
        <v>274033.65091009298</v>
      </c>
      <c r="H7758" s="56">
        <v>9.6161024044236612E-2</v>
      </c>
      <c r="I7758" s="224" t="s">
        <v>2</v>
      </c>
    </row>
    <row r="7759" spans="1:9" x14ac:dyDescent="0.25">
      <c r="A7759" s="515">
        <v>63025</v>
      </c>
      <c r="B7759" s="515" t="s">
        <v>498</v>
      </c>
      <c r="C7759" s="52">
        <v>368621.09684622701</v>
      </c>
      <c r="D7759" s="56">
        <v>8.142897818359357E-2</v>
      </c>
      <c r="E7759" s="224" t="s">
        <v>2</v>
      </c>
      <c r="F7759" s="515" t="s">
        <v>8970</v>
      </c>
      <c r="G7759" s="52">
        <v>227543.526096196</v>
      </c>
      <c r="H7759" s="56">
        <v>0.15057628147119367</v>
      </c>
      <c r="I7759" s="224" t="s">
        <v>2</v>
      </c>
    </row>
    <row r="7760" spans="1:9" x14ac:dyDescent="0.25">
      <c r="A7760" s="515">
        <v>2917</v>
      </c>
      <c r="B7760" s="515" t="s">
        <v>513</v>
      </c>
      <c r="C7760" s="52">
        <v>412572.61123304698</v>
      </c>
      <c r="D7760" s="56">
        <v>7.4341406911209384E-2</v>
      </c>
      <c r="E7760" s="224" t="s">
        <v>2</v>
      </c>
      <c r="F7760" s="515" t="s">
        <v>8971</v>
      </c>
      <c r="G7760" s="52">
        <v>157116.52058363601</v>
      </c>
      <c r="H7760" s="56">
        <v>7.1639680551218429E-2</v>
      </c>
      <c r="I7760" s="224" t="s">
        <v>2</v>
      </c>
    </row>
    <row r="7761" spans="1:9" x14ac:dyDescent="0.25">
      <c r="A7761" s="515">
        <v>2649</v>
      </c>
      <c r="B7761" s="515" t="s">
        <v>427</v>
      </c>
      <c r="C7761" s="52">
        <v>615072.32900092204</v>
      </c>
      <c r="D7761" s="56">
        <v>9.1968218969619195E-2</v>
      </c>
      <c r="E7761" s="224" t="s">
        <v>2</v>
      </c>
      <c r="F7761" s="515" t="s">
        <v>8972</v>
      </c>
      <c r="G7761" s="52">
        <v>162517.76257737001</v>
      </c>
      <c r="H7761" s="56">
        <v>0.10547376843021682</v>
      </c>
      <c r="I7761" s="224" t="s">
        <v>2</v>
      </c>
    </row>
    <row r="7762" spans="1:9" x14ac:dyDescent="0.25">
      <c r="A7762" s="515">
        <v>87506</v>
      </c>
      <c r="B7762" s="515" t="s">
        <v>926</v>
      </c>
      <c r="C7762" s="52">
        <v>965929.68962628196</v>
      </c>
      <c r="D7762" s="56">
        <v>3.2845336763967913E-2</v>
      </c>
      <c r="E7762" s="224" t="s">
        <v>2</v>
      </c>
      <c r="F7762" s="515" t="s">
        <v>8973</v>
      </c>
      <c r="G7762" s="52">
        <v>226750.704585792</v>
      </c>
      <c r="H7762" s="56">
        <v>2.1770069066939981E-2</v>
      </c>
      <c r="I7762" s="224" t="s">
        <v>2</v>
      </c>
    </row>
    <row r="7763" spans="1:9" x14ac:dyDescent="0.25">
      <c r="A7763" s="515">
        <v>31539</v>
      </c>
      <c r="C7763" s="52">
        <v>114088.50944312201</v>
      </c>
      <c r="D7763" s="56">
        <v>7.3491413416242754E-2</v>
      </c>
      <c r="E7763" s="224" t="s">
        <v>2</v>
      </c>
      <c r="F7763" s="515" t="s">
        <v>8974</v>
      </c>
      <c r="G7763" s="52">
        <v>307840.83507762098</v>
      </c>
      <c r="H7763" s="56">
        <v>8.9235624674298228E-2</v>
      </c>
      <c r="I7763" s="224" t="s">
        <v>2</v>
      </c>
    </row>
    <row r="7764" spans="1:9" x14ac:dyDescent="0.25">
      <c r="A7764" s="515">
        <v>61866</v>
      </c>
      <c r="B7764" s="515" t="s">
        <v>417</v>
      </c>
      <c r="C7764" s="52">
        <v>106189.981162276</v>
      </c>
      <c r="D7764" s="56">
        <v>3.1977525884697079E-2</v>
      </c>
      <c r="E7764" s="224">
        <v>741.944444444444</v>
      </c>
      <c r="F7764" s="515" t="s">
        <v>8975</v>
      </c>
      <c r="G7764" s="52">
        <v>361606.142711366</v>
      </c>
      <c r="H7764" s="56">
        <v>6.9806618442267751E-2</v>
      </c>
      <c r="I7764" s="224" t="s">
        <v>2</v>
      </c>
    </row>
    <row r="7765" spans="1:9" x14ac:dyDescent="0.25">
      <c r="A7765" s="515">
        <v>48451</v>
      </c>
      <c r="B7765" s="515" t="s">
        <v>759</v>
      </c>
      <c r="C7765" s="52">
        <v>304043.28938554198</v>
      </c>
      <c r="D7765" s="56">
        <v>4.4212119471188929E-2</v>
      </c>
      <c r="E7765" s="224" t="s">
        <v>2</v>
      </c>
      <c r="F7765" s="515" t="s">
        <v>8976</v>
      </c>
      <c r="G7765" s="52">
        <v>363709.24076667603</v>
      </c>
      <c r="H7765" s="56">
        <v>5.3870669433331221E-2</v>
      </c>
      <c r="I7765" s="224" t="s">
        <v>2</v>
      </c>
    </row>
    <row r="7766" spans="1:9" x14ac:dyDescent="0.25">
      <c r="A7766" s="515">
        <v>64080</v>
      </c>
      <c r="B7766" s="515" t="s">
        <v>455</v>
      </c>
      <c r="C7766" s="52">
        <v>308993.71251938603</v>
      </c>
      <c r="D7766" s="56">
        <v>9.3978962349905201E-2</v>
      </c>
      <c r="E7766" s="224">
        <v>1720</v>
      </c>
      <c r="F7766" s="515" t="s">
        <v>8977</v>
      </c>
      <c r="G7766" s="52">
        <v>171208.021244384</v>
      </c>
      <c r="H7766" s="56">
        <v>-7.1502845741669846E-2</v>
      </c>
      <c r="I7766" s="224" t="s">
        <v>2</v>
      </c>
    </row>
    <row r="7767" spans="1:9" x14ac:dyDescent="0.25">
      <c r="A7767" s="515">
        <v>96022</v>
      </c>
      <c r="B7767" s="515" t="s">
        <v>525</v>
      </c>
      <c r="C7767" s="52">
        <v>352777.18666483799</v>
      </c>
      <c r="D7767" s="56">
        <v>-2.1968999856899381E-2</v>
      </c>
      <c r="E7767" s="224" t="s">
        <v>2</v>
      </c>
      <c r="F7767" s="515" t="s">
        <v>8978</v>
      </c>
      <c r="G7767" s="52">
        <v>389199.381317853</v>
      </c>
      <c r="H7767" s="56">
        <v>3.986385312115865E-2</v>
      </c>
      <c r="I7767" s="224" t="s">
        <v>2</v>
      </c>
    </row>
    <row r="7768" spans="1:9" x14ac:dyDescent="0.25">
      <c r="A7768" s="515">
        <v>29571</v>
      </c>
      <c r="C7768" s="52">
        <v>81731.504405159096</v>
      </c>
      <c r="D7768" s="56">
        <v>0.1179310587003518</v>
      </c>
      <c r="E7768" s="224" t="s">
        <v>2</v>
      </c>
      <c r="F7768" s="515" t="s">
        <v>8979</v>
      </c>
      <c r="G7768" s="52">
        <v>102854.651201348</v>
      </c>
      <c r="H7768" s="56">
        <v>7.3614279181205181E-2</v>
      </c>
      <c r="I7768" s="224" t="s">
        <v>2</v>
      </c>
    </row>
    <row r="7769" spans="1:9" x14ac:dyDescent="0.25">
      <c r="A7769" s="515">
        <v>2911</v>
      </c>
      <c r="B7769" s="515" t="s">
        <v>513</v>
      </c>
      <c r="C7769" s="52">
        <v>342682.62928156299</v>
      </c>
      <c r="D7769" s="56">
        <v>6.6207004012808407E-2</v>
      </c>
      <c r="E7769" s="224" t="s">
        <v>2</v>
      </c>
      <c r="F7769" s="515" t="s">
        <v>8980</v>
      </c>
      <c r="G7769" s="52">
        <v>150397.780095708</v>
      </c>
      <c r="H7769" s="56">
        <v>3.8977843106361314E-2</v>
      </c>
      <c r="I7769" s="224" t="s">
        <v>2</v>
      </c>
    </row>
    <row r="7770" spans="1:9" x14ac:dyDescent="0.25">
      <c r="A7770" s="515">
        <v>33776</v>
      </c>
      <c r="B7770" s="515" t="s">
        <v>461</v>
      </c>
      <c r="C7770" s="52">
        <v>482085.60392235499</v>
      </c>
      <c r="D7770" s="56">
        <v>8.0034172968147022E-2</v>
      </c>
      <c r="E7770" s="224" t="s">
        <v>2</v>
      </c>
      <c r="F7770" s="515" t="s">
        <v>8981</v>
      </c>
      <c r="G7770" s="52">
        <v>779953.30010858504</v>
      </c>
      <c r="H7770" s="56">
        <v>6.1075747520992742E-2</v>
      </c>
      <c r="I7770" s="224" t="s">
        <v>2</v>
      </c>
    </row>
    <row r="7771" spans="1:9" x14ac:dyDescent="0.25">
      <c r="A7771" s="515">
        <v>30635</v>
      </c>
      <c r="C7771" s="52">
        <v>137468.79128957799</v>
      </c>
      <c r="D7771" s="56">
        <v>9.2009764186044632E-2</v>
      </c>
      <c r="E7771" s="224" t="s">
        <v>2</v>
      </c>
      <c r="F7771" s="515" t="s">
        <v>8982</v>
      </c>
      <c r="G7771" s="52">
        <v>179659.27313671299</v>
      </c>
      <c r="H7771" s="56">
        <v>5.7204298602947908E-2</v>
      </c>
      <c r="I7771" s="224" t="s">
        <v>2</v>
      </c>
    </row>
    <row r="7772" spans="1:9" x14ac:dyDescent="0.25">
      <c r="A7772" s="515">
        <v>27370</v>
      </c>
      <c r="B7772" s="515" t="s">
        <v>1148</v>
      </c>
      <c r="C7772" s="52">
        <v>231974.08320287601</v>
      </c>
      <c r="D7772" s="56">
        <v>7.1083510613780154E-2</v>
      </c>
      <c r="E7772" s="224" t="s">
        <v>2</v>
      </c>
      <c r="F7772" s="515" t="s">
        <v>8983</v>
      </c>
      <c r="G7772" s="52">
        <v>128374.037636286</v>
      </c>
      <c r="H7772" s="56">
        <v>8.8211572722169621E-3</v>
      </c>
      <c r="I7772" s="224" t="s">
        <v>2</v>
      </c>
    </row>
    <row r="7773" spans="1:9" x14ac:dyDescent="0.25">
      <c r="A7773" s="515">
        <v>37218</v>
      </c>
      <c r="B7773" s="515" t="s">
        <v>684</v>
      </c>
      <c r="C7773" s="52">
        <v>324326.35387074301</v>
      </c>
      <c r="D7773" s="56">
        <v>0.13431385707549343</v>
      </c>
      <c r="E7773" s="224" t="s">
        <v>2</v>
      </c>
      <c r="F7773" s="515" t="s">
        <v>8984</v>
      </c>
      <c r="G7773" s="52">
        <v>446940.25521285803</v>
      </c>
      <c r="H7773" s="56">
        <v>8.4003393386552619E-2</v>
      </c>
      <c r="I7773" s="224" t="s">
        <v>2</v>
      </c>
    </row>
    <row r="7774" spans="1:9" x14ac:dyDescent="0.25">
      <c r="A7774" s="515">
        <v>63126</v>
      </c>
      <c r="B7774" s="515" t="s">
        <v>498</v>
      </c>
      <c r="C7774" s="52">
        <v>285498.555796028</v>
      </c>
      <c r="D7774" s="56">
        <v>7.4387045228414175E-2</v>
      </c>
      <c r="E7774" s="224" t="s">
        <v>2</v>
      </c>
      <c r="F7774" s="515" t="s">
        <v>8985</v>
      </c>
      <c r="G7774" s="52">
        <v>221750.96403759901</v>
      </c>
      <c r="H7774" s="56">
        <v>0.13966910413074876</v>
      </c>
      <c r="I7774" s="224" t="s">
        <v>2</v>
      </c>
    </row>
    <row r="7775" spans="1:9" x14ac:dyDescent="0.25">
      <c r="A7775" s="515">
        <v>75169</v>
      </c>
      <c r="C7775" s="52">
        <v>235229.242670493</v>
      </c>
      <c r="D7775" s="56">
        <v>2.7159240893625185E-2</v>
      </c>
      <c r="E7775" s="224" t="s">
        <v>2</v>
      </c>
      <c r="F7775" s="515" t="s">
        <v>8986</v>
      </c>
      <c r="G7775" s="52">
        <v>162420.06896169999</v>
      </c>
      <c r="H7775" s="56">
        <v>0.12978155607330466</v>
      </c>
      <c r="I7775" s="224" t="s">
        <v>2</v>
      </c>
    </row>
    <row r="7776" spans="1:9" x14ac:dyDescent="0.25">
      <c r="A7776" s="515">
        <v>45690</v>
      </c>
      <c r="C7776" s="52">
        <v>142753.942439112</v>
      </c>
      <c r="D7776" s="56">
        <v>5.8144159364025803E-2</v>
      </c>
      <c r="E7776" s="224" t="s">
        <v>2</v>
      </c>
      <c r="F7776" s="515" t="s">
        <v>8987</v>
      </c>
      <c r="G7776" s="52">
        <v>67471.103539215997</v>
      </c>
      <c r="H7776" s="56">
        <v>-8.9239763379435177E-2</v>
      </c>
      <c r="I7776" s="224" t="s">
        <v>2</v>
      </c>
    </row>
    <row r="7777" spans="1:9" x14ac:dyDescent="0.25">
      <c r="A7777" s="515">
        <v>27536</v>
      </c>
      <c r="B7777" s="515" t="s">
        <v>1112</v>
      </c>
      <c r="C7777" s="52">
        <v>90425.438374585196</v>
      </c>
      <c r="D7777" s="56">
        <v>0.17567985537363942</v>
      </c>
      <c r="E7777" s="224" t="s">
        <v>2</v>
      </c>
      <c r="F7777" s="515" t="s">
        <v>8988</v>
      </c>
      <c r="G7777" s="52">
        <v>346811.657584776</v>
      </c>
      <c r="H7777" s="56">
        <v>7.7092035453357105E-2</v>
      </c>
      <c r="I7777" s="224" t="s">
        <v>2</v>
      </c>
    </row>
    <row r="7778" spans="1:9" x14ac:dyDescent="0.25">
      <c r="A7778" s="515">
        <v>1746</v>
      </c>
      <c r="B7778" s="515" t="s">
        <v>534</v>
      </c>
      <c r="C7778" s="52">
        <v>604196.70250596397</v>
      </c>
      <c r="D7778" s="56">
        <v>6.9874658986562588E-2</v>
      </c>
      <c r="E7778" s="224" t="s">
        <v>2</v>
      </c>
      <c r="F7778" s="515" t="s">
        <v>8989</v>
      </c>
      <c r="G7778" s="52">
        <v>334507.30790749198</v>
      </c>
      <c r="H7778" s="56">
        <v>7.4482268013230074E-2</v>
      </c>
      <c r="I7778" s="224" t="s">
        <v>2</v>
      </c>
    </row>
    <row r="7779" spans="1:9" x14ac:dyDescent="0.25">
      <c r="A7779" s="515">
        <v>12953</v>
      </c>
      <c r="B7779" s="515" t="s">
        <v>706</v>
      </c>
      <c r="C7779" s="52">
        <v>133925.450963487</v>
      </c>
      <c r="D7779" s="56">
        <v>0.14080329288551813</v>
      </c>
      <c r="E7779" s="224" t="s">
        <v>2</v>
      </c>
      <c r="F7779" s="515" t="s">
        <v>8990</v>
      </c>
      <c r="G7779" s="52">
        <v>161598.95083600201</v>
      </c>
      <c r="H7779" s="56">
        <v>0.14956328251931861</v>
      </c>
      <c r="I7779" s="224" t="s">
        <v>2</v>
      </c>
    </row>
    <row r="7780" spans="1:9" x14ac:dyDescent="0.25">
      <c r="A7780" s="515">
        <v>16057</v>
      </c>
      <c r="B7780" s="515" t="s">
        <v>297</v>
      </c>
      <c r="C7780" s="52">
        <v>217754.903415218</v>
      </c>
      <c r="D7780" s="56">
        <v>8.8212417229244861E-2</v>
      </c>
      <c r="E7780" s="224" t="s">
        <v>2</v>
      </c>
      <c r="F7780" s="515" t="s">
        <v>8991</v>
      </c>
      <c r="G7780" s="52">
        <v>215736.39749285599</v>
      </c>
      <c r="H7780" s="56">
        <v>9.3369658956760068E-2</v>
      </c>
      <c r="I7780" s="224" t="s">
        <v>2</v>
      </c>
    </row>
    <row r="7781" spans="1:9" x14ac:dyDescent="0.25">
      <c r="A7781" s="515">
        <v>35045</v>
      </c>
      <c r="B7781" s="515" t="s">
        <v>640</v>
      </c>
      <c r="C7781" s="52">
        <v>180020.81354875301</v>
      </c>
      <c r="D7781" s="56">
        <v>0.11283204915007235</v>
      </c>
      <c r="E7781" s="224">
        <v>1046.3333333333301</v>
      </c>
      <c r="F7781" s="515" t="s">
        <v>8992</v>
      </c>
      <c r="G7781" s="52">
        <v>199670.94395396599</v>
      </c>
      <c r="H7781" s="56">
        <v>3.8996636865768805E-2</v>
      </c>
      <c r="I7781" s="224" t="s">
        <v>2</v>
      </c>
    </row>
    <row r="7782" spans="1:9" x14ac:dyDescent="0.25">
      <c r="A7782" s="515">
        <v>10804</v>
      </c>
      <c r="B7782" s="515" t="s">
        <v>324</v>
      </c>
      <c r="C7782" s="52">
        <v>935662.10504967801</v>
      </c>
      <c r="D7782" s="56">
        <v>5.6848136887171045E-2</v>
      </c>
      <c r="E7782" s="224" t="s">
        <v>2</v>
      </c>
      <c r="F7782" s="515" t="s">
        <v>8993</v>
      </c>
      <c r="G7782" s="52">
        <v>170912.03428238101</v>
      </c>
      <c r="H7782" s="56">
        <v>0.12746629365736756</v>
      </c>
      <c r="I7782" s="224" t="s">
        <v>2</v>
      </c>
    </row>
    <row r="7783" spans="1:9" x14ac:dyDescent="0.25">
      <c r="A7783" s="515">
        <v>66224</v>
      </c>
      <c r="B7783" s="515" t="s">
        <v>455</v>
      </c>
      <c r="C7783" s="52">
        <v>669205.16244959994</v>
      </c>
      <c r="D7783" s="56">
        <v>5.9406188514918384E-2</v>
      </c>
      <c r="E7783" s="224" t="s">
        <v>2</v>
      </c>
      <c r="F7783" s="515" t="s">
        <v>8994</v>
      </c>
      <c r="G7783" s="52">
        <v>281451.33521505701</v>
      </c>
      <c r="H7783" s="56">
        <v>6.9921119657588252E-2</v>
      </c>
      <c r="I7783" s="224" t="s">
        <v>2</v>
      </c>
    </row>
    <row r="7784" spans="1:9" x14ac:dyDescent="0.25">
      <c r="A7784" s="515">
        <v>33170</v>
      </c>
      <c r="B7784" s="515" t="s">
        <v>831</v>
      </c>
      <c r="C7784" s="52">
        <v>486523.55125365098</v>
      </c>
      <c r="D7784" s="56">
        <v>0.15043364398606296</v>
      </c>
      <c r="E7784" s="224" t="s">
        <v>2</v>
      </c>
      <c r="F7784" s="515" t="s">
        <v>8995</v>
      </c>
      <c r="G7784" s="52">
        <v>99108.394856164494</v>
      </c>
      <c r="H7784" s="56">
        <v>5.8830213500362723E-2</v>
      </c>
      <c r="I7784" s="224" t="s">
        <v>2</v>
      </c>
    </row>
    <row r="7785" spans="1:9" x14ac:dyDescent="0.25">
      <c r="A7785" s="515">
        <v>32669</v>
      </c>
      <c r="B7785" s="515" t="s">
        <v>577</v>
      </c>
      <c r="C7785" s="52">
        <v>331883.11742067098</v>
      </c>
      <c r="D7785" s="56">
        <v>9.1533319393796955E-2</v>
      </c>
      <c r="E7785" s="224">
        <v>1980.8333333333301</v>
      </c>
      <c r="F7785" s="515" t="s">
        <v>8996</v>
      </c>
      <c r="G7785" s="52">
        <v>573094.09775296599</v>
      </c>
      <c r="H7785" s="56">
        <v>7.761318516180811E-2</v>
      </c>
      <c r="I7785" s="224" t="s">
        <v>2</v>
      </c>
    </row>
    <row r="7786" spans="1:9" x14ac:dyDescent="0.25">
      <c r="A7786" s="515">
        <v>65265</v>
      </c>
      <c r="B7786" s="515" t="s">
        <v>787</v>
      </c>
      <c r="C7786" s="52">
        <v>136743.14756758499</v>
      </c>
      <c r="D7786" s="56">
        <v>9.6352744266416768E-2</v>
      </c>
      <c r="E7786" s="224" t="s">
        <v>2</v>
      </c>
      <c r="F7786" s="515" t="s">
        <v>8997</v>
      </c>
      <c r="G7786" s="52">
        <v>330478.34346286999</v>
      </c>
      <c r="H7786" s="56">
        <v>0.1636306000076469</v>
      </c>
      <c r="I7786" s="224" t="s">
        <v>2</v>
      </c>
    </row>
    <row r="7787" spans="1:9" x14ac:dyDescent="0.25">
      <c r="A7787" s="515">
        <v>72117</v>
      </c>
      <c r="B7787" s="515" t="s">
        <v>393</v>
      </c>
      <c r="C7787" s="52">
        <v>102634.69112526299</v>
      </c>
      <c r="D7787" s="56">
        <v>0.12483225780971274</v>
      </c>
      <c r="E7787" s="224" t="s">
        <v>2</v>
      </c>
      <c r="F7787" s="515" t="s">
        <v>8998</v>
      </c>
      <c r="G7787" s="52">
        <v>156237.17024646801</v>
      </c>
      <c r="H7787" s="56">
        <v>0.11132746920685872</v>
      </c>
      <c r="I7787" s="224" t="s">
        <v>2</v>
      </c>
    </row>
    <row r="7788" spans="1:9" x14ac:dyDescent="0.25">
      <c r="A7788" s="515">
        <v>27249</v>
      </c>
      <c r="B7788" s="515" t="s">
        <v>1148</v>
      </c>
      <c r="C7788" s="52">
        <v>244385.96674161099</v>
      </c>
      <c r="D7788" s="56">
        <v>0.14201873094623968</v>
      </c>
      <c r="E7788" s="224" t="s">
        <v>2</v>
      </c>
      <c r="F7788" s="515" t="s">
        <v>8999</v>
      </c>
      <c r="G7788" s="52">
        <v>325174.37721803301</v>
      </c>
      <c r="H7788" s="56">
        <v>5.5356415851891036E-2</v>
      </c>
      <c r="I7788" s="224" t="s">
        <v>2</v>
      </c>
    </row>
    <row r="7789" spans="1:9" x14ac:dyDescent="0.25">
      <c r="A7789" s="515">
        <v>19107</v>
      </c>
      <c r="B7789" s="515" t="s">
        <v>294</v>
      </c>
      <c r="C7789" s="52">
        <v>320102.62738407898</v>
      </c>
      <c r="D7789" s="56">
        <v>-1.2054291439122677E-2</v>
      </c>
      <c r="E7789" s="224">
        <v>2108.83537634408</v>
      </c>
      <c r="F7789" s="515" t="s">
        <v>9000</v>
      </c>
      <c r="G7789" s="52">
        <v>117184.68711717099</v>
      </c>
      <c r="H7789" s="56">
        <v>-2.5902719038230597E-2</v>
      </c>
      <c r="I7789" s="224" t="s">
        <v>2</v>
      </c>
    </row>
    <row r="7790" spans="1:9" x14ac:dyDescent="0.25">
      <c r="A7790" s="515">
        <v>67156</v>
      </c>
      <c r="B7790" s="515" t="s">
        <v>789</v>
      </c>
      <c r="C7790" s="52">
        <v>123016.12011324101</v>
      </c>
      <c r="D7790" s="56">
        <v>0.1110435541546254</v>
      </c>
      <c r="E7790" s="224" t="s">
        <v>2</v>
      </c>
      <c r="F7790" s="515" t="s">
        <v>9001</v>
      </c>
      <c r="G7790" s="52">
        <v>240541.86973656999</v>
      </c>
      <c r="H7790" s="56">
        <v>3.531122463559444E-2</v>
      </c>
      <c r="I7790" s="224" t="s">
        <v>2</v>
      </c>
    </row>
    <row r="7791" spans="1:9" x14ac:dyDescent="0.25">
      <c r="A7791" s="515">
        <v>23836</v>
      </c>
      <c r="B7791" s="515" t="s">
        <v>667</v>
      </c>
      <c r="C7791" s="52">
        <v>361372.157675519</v>
      </c>
      <c r="D7791" s="56">
        <v>3.7535298690193369E-2</v>
      </c>
      <c r="E7791" s="224" t="s">
        <v>2</v>
      </c>
      <c r="F7791" s="515" t="s">
        <v>9002</v>
      </c>
      <c r="G7791" s="52">
        <v>72982.689456401393</v>
      </c>
      <c r="H7791" s="56">
        <v>-9.5465619743899943E-3</v>
      </c>
      <c r="I7791" s="224" t="s">
        <v>2</v>
      </c>
    </row>
    <row r="7792" spans="1:9" x14ac:dyDescent="0.25">
      <c r="A7792" s="515">
        <v>12801</v>
      </c>
      <c r="B7792" s="515" t="s">
        <v>422</v>
      </c>
      <c r="C7792" s="52">
        <v>207081.901336298</v>
      </c>
      <c r="D7792" s="56">
        <v>7.2320813993819205E-2</v>
      </c>
      <c r="E7792" s="224" t="s">
        <v>2</v>
      </c>
      <c r="F7792" s="515" t="s">
        <v>9003</v>
      </c>
      <c r="G7792" s="52">
        <v>340707.26060683298</v>
      </c>
      <c r="H7792" s="56">
        <v>0.11254650909036697</v>
      </c>
      <c r="I7792" s="224" t="s">
        <v>2</v>
      </c>
    </row>
    <row r="7793" spans="1:9" x14ac:dyDescent="0.25">
      <c r="A7793" s="515">
        <v>1907</v>
      </c>
      <c r="B7793" s="515" t="s">
        <v>534</v>
      </c>
      <c r="C7793" s="52">
        <v>694349.66503224603</v>
      </c>
      <c r="D7793" s="56">
        <v>3.8302629423957395E-2</v>
      </c>
      <c r="E7793" s="224" t="s">
        <v>2</v>
      </c>
      <c r="F7793" s="515" t="s">
        <v>9004</v>
      </c>
      <c r="G7793" s="52">
        <v>368651.21467149002</v>
      </c>
      <c r="H7793" s="56">
        <v>2.7480838596366769E-2</v>
      </c>
      <c r="I7793" s="224" t="s">
        <v>2</v>
      </c>
    </row>
    <row r="7794" spans="1:9" x14ac:dyDescent="0.25">
      <c r="A7794" s="515">
        <v>2333</v>
      </c>
      <c r="B7794" s="515" t="s">
        <v>534</v>
      </c>
      <c r="C7794" s="52">
        <v>487127.42093336303</v>
      </c>
      <c r="D7794" s="56">
        <v>6.1733311511318806E-2</v>
      </c>
      <c r="E7794" s="224" t="s">
        <v>2</v>
      </c>
      <c r="F7794" s="515" t="s">
        <v>9005</v>
      </c>
      <c r="G7794" s="52">
        <v>373616.678971663</v>
      </c>
      <c r="H7794" s="56">
        <v>4.2164928611886171E-2</v>
      </c>
      <c r="I7794" s="224" t="s">
        <v>2</v>
      </c>
    </row>
    <row r="7795" spans="1:9" x14ac:dyDescent="0.25">
      <c r="A7795" s="515">
        <v>39183</v>
      </c>
      <c r="B7795" s="515" t="s">
        <v>842</v>
      </c>
      <c r="C7795" s="52">
        <v>166919.529072223</v>
      </c>
      <c r="D7795" s="56">
        <v>-6.2358117987122312E-2</v>
      </c>
      <c r="E7795" s="224" t="s">
        <v>2</v>
      </c>
      <c r="F7795" s="515" t="s">
        <v>9006</v>
      </c>
      <c r="G7795" s="52">
        <v>333694.66403392103</v>
      </c>
      <c r="H7795" s="56">
        <v>9.1951666788992678E-2</v>
      </c>
      <c r="I7795" s="224" t="s">
        <v>2</v>
      </c>
    </row>
    <row r="7796" spans="1:9" x14ac:dyDescent="0.25">
      <c r="A7796" s="515">
        <v>2339</v>
      </c>
      <c r="B7796" s="515" t="s">
        <v>534</v>
      </c>
      <c r="C7796" s="52">
        <v>691985.92119916505</v>
      </c>
      <c r="D7796" s="56">
        <v>4.3702273437674591E-2</v>
      </c>
      <c r="E7796" s="224" t="s">
        <v>2</v>
      </c>
      <c r="F7796" s="515" t="s">
        <v>9007</v>
      </c>
      <c r="G7796" s="52">
        <v>357357.89936654398</v>
      </c>
      <c r="H7796" s="56">
        <v>9.858727437948997E-2</v>
      </c>
      <c r="I7796" s="224" t="s">
        <v>2</v>
      </c>
    </row>
    <row r="7797" spans="1:9" x14ac:dyDescent="0.25">
      <c r="A7797" s="515">
        <v>60173</v>
      </c>
      <c r="B7797" s="515" t="s">
        <v>394</v>
      </c>
      <c r="C7797" s="52">
        <v>285705.80670691299</v>
      </c>
      <c r="D7797" s="56">
        <v>-2.9306153717280077E-2</v>
      </c>
      <c r="E7797" s="224">
        <v>1878.64935064935</v>
      </c>
      <c r="F7797" s="515" t="s">
        <v>9008</v>
      </c>
      <c r="G7797" s="52">
        <v>242581.11732326</v>
      </c>
      <c r="H7797" s="56">
        <v>0.15667754804887116</v>
      </c>
      <c r="I7797" s="224" t="s">
        <v>2</v>
      </c>
    </row>
    <row r="7798" spans="1:9" x14ac:dyDescent="0.25">
      <c r="A7798" s="515">
        <v>33483</v>
      </c>
      <c r="B7798" s="515" t="s">
        <v>831</v>
      </c>
      <c r="C7798" s="52">
        <v>899377.96519144101</v>
      </c>
      <c r="D7798" s="56">
        <v>0.12150879667614055</v>
      </c>
      <c r="E7798" s="224">
        <v>3291.3892156862698</v>
      </c>
      <c r="F7798" s="515" t="s">
        <v>9009</v>
      </c>
      <c r="G7798" s="52">
        <v>167198.287882559</v>
      </c>
      <c r="H7798" s="56">
        <v>8.1442400661879383E-2</v>
      </c>
      <c r="I7798" s="224" t="s">
        <v>2</v>
      </c>
    </row>
    <row r="7799" spans="1:9" x14ac:dyDescent="0.25">
      <c r="A7799" s="515">
        <v>28612</v>
      </c>
      <c r="B7799" s="515" t="s">
        <v>638</v>
      </c>
      <c r="C7799" s="52">
        <v>204558.32637313599</v>
      </c>
      <c r="D7799" s="56">
        <v>0.14361643978763136</v>
      </c>
      <c r="E7799" s="224" t="s">
        <v>2</v>
      </c>
      <c r="F7799" s="515" t="s">
        <v>9010</v>
      </c>
      <c r="G7799" s="52">
        <v>251773.681891671</v>
      </c>
      <c r="H7799" s="56">
        <v>8.9304773213812388E-2</v>
      </c>
      <c r="I7799" s="224" t="s">
        <v>2</v>
      </c>
    </row>
    <row r="7800" spans="1:9" x14ac:dyDescent="0.25">
      <c r="A7800" s="515">
        <v>54241</v>
      </c>
      <c r="B7800" s="515" t="s">
        <v>446</v>
      </c>
      <c r="C7800" s="52">
        <v>217757.56310566701</v>
      </c>
      <c r="D7800" s="56">
        <v>4.2990530341645523E-2</v>
      </c>
      <c r="E7800" s="224" t="s">
        <v>2</v>
      </c>
      <c r="F7800" s="515" t="s">
        <v>9011</v>
      </c>
      <c r="G7800" s="52">
        <v>745898.80839997495</v>
      </c>
      <c r="H7800" s="56">
        <v>4.5483006702280282E-2</v>
      </c>
      <c r="I7800" s="224" t="s">
        <v>2</v>
      </c>
    </row>
    <row r="7801" spans="1:9" x14ac:dyDescent="0.25">
      <c r="A7801" s="515">
        <v>48301</v>
      </c>
      <c r="B7801" s="515" t="s">
        <v>685</v>
      </c>
      <c r="C7801" s="52">
        <v>602124.32138521003</v>
      </c>
      <c r="D7801" s="56">
        <v>2.4229884129247495E-2</v>
      </c>
      <c r="E7801" s="224" t="s">
        <v>2</v>
      </c>
      <c r="F7801" s="515" t="s">
        <v>9012</v>
      </c>
      <c r="G7801" s="52">
        <v>367412.737961128</v>
      </c>
      <c r="H7801" s="56">
        <v>1.994109513908832E-2</v>
      </c>
      <c r="I7801" s="224" t="s">
        <v>2</v>
      </c>
    </row>
    <row r="7802" spans="1:9" x14ac:dyDescent="0.25">
      <c r="A7802" s="515">
        <v>31023</v>
      </c>
      <c r="C7802" s="52">
        <v>116916.304752168</v>
      </c>
      <c r="D7802" s="56">
        <v>3.2589438280767019E-2</v>
      </c>
      <c r="E7802" s="224" t="s">
        <v>2</v>
      </c>
      <c r="F7802" s="515" t="s">
        <v>9013</v>
      </c>
      <c r="G7802" s="52">
        <v>144928.74704977201</v>
      </c>
      <c r="H7802" s="56">
        <v>5.3509329355780642E-2</v>
      </c>
      <c r="I7802" s="224" t="s">
        <v>2</v>
      </c>
    </row>
    <row r="7803" spans="1:9" x14ac:dyDescent="0.25">
      <c r="A7803" s="515">
        <v>8812</v>
      </c>
      <c r="B7803" s="515" t="s">
        <v>324</v>
      </c>
      <c r="C7803" s="52">
        <v>451668.58735659602</v>
      </c>
      <c r="D7803" s="56">
        <v>5.7097064465613578E-2</v>
      </c>
      <c r="E7803" s="224" t="s">
        <v>2</v>
      </c>
      <c r="F7803" s="515" t="s">
        <v>9014</v>
      </c>
      <c r="G7803" s="52">
        <v>183582.25157409499</v>
      </c>
      <c r="H7803" s="56">
        <v>6.7908928040705641E-2</v>
      </c>
      <c r="I7803" s="224" t="s">
        <v>2</v>
      </c>
    </row>
    <row r="7804" spans="1:9" x14ac:dyDescent="0.25">
      <c r="A7804" s="515">
        <v>78642</v>
      </c>
      <c r="B7804" s="515" t="s">
        <v>380</v>
      </c>
      <c r="C7804" s="52">
        <v>527173.4101029</v>
      </c>
      <c r="D7804" s="56">
        <v>5.0999130016796297E-2</v>
      </c>
      <c r="E7804" s="224">
        <v>2124.1666666666601</v>
      </c>
      <c r="F7804" s="515" t="s">
        <v>9015</v>
      </c>
      <c r="G7804" s="52">
        <v>247922.70149422501</v>
      </c>
      <c r="H7804" s="56">
        <v>0.10653529676757315</v>
      </c>
      <c r="I7804" s="224" t="s">
        <v>2</v>
      </c>
    </row>
    <row r="7805" spans="1:9" x14ac:dyDescent="0.25">
      <c r="A7805" s="515">
        <v>15009</v>
      </c>
      <c r="B7805" s="515" t="s">
        <v>297</v>
      </c>
      <c r="C7805" s="52">
        <v>238587.35921302199</v>
      </c>
      <c r="D7805" s="56">
        <v>2.3006448263534904E-2</v>
      </c>
      <c r="E7805" s="224" t="s">
        <v>2</v>
      </c>
      <c r="F7805" s="515" t="s">
        <v>9016</v>
      </c>
      <c r="G7805" s="52">
        <v>622542.990635211</v>
      </c>
      <c r="H7805" s="56">
        <v>6.9490250988776744E-2</v>
      </c>
      <c r="I7805" s="224">
        <v>1750</v>
      </c>
    </row>
    <row r="7806" spans="1:9" x14ac:dyDescent="0.25">
      <c r="A7806" s="515">
        <v>31415</v>
      </c>
      <c r="B7806" s="515" t="s">
        <v>351</v>
      </c>
      <c r="C7806" s="52">
        <v>116263.88198894799</v>
      </c>
      <c r="D7806" s="56">
        <v>0.48712590659165617</v>
      </c>
      <c r="E7806" s="224">
        <v>1650</v>
      </c>
      <c r="F7806" s="515" t="s">
        <v>9017</v>
      </c>
      <c r="G7806" s="52">
        <v>310625.50812519901</v>
      </c>
      <c r="H7806" s="56">
        <v>0.13244777546348982</v>
      </c>
      <c r="I7806" s="224" t="s">
        <v>2</v>
      </c>
    </row>
    <row r="7807" spans="1:9" x14ac:dyDescent="0.25">
      <c r="A7807" s="515">
        <v>84050</v>
      </c>
      <c r="B7807" s="515" t="s">
        <v>628</v>
      </c>
      <c r="C7807" s="52">
        <v>630947.37835876201</v>
      </c>
      <c r="D7807" s="56">
        <v>-5.4618674627330025E-3</v>
      </c>
      <c r="E7807" s="224" t="s">
        <v>2</v>
      </c>
      <c r="F7807" s="515" t="s">
        <v>9018</v>
      </c>
      <c r="G7807" s="52">
        <v>607547.70943721</v>
      </c>
      <c r="H7807" s="56">
        <v>9.6121746312802514E-2</v>
      </c>
      <c r="I7807" s="224" t="s">
        <v>2</v>
      </c>
    </row>
    <row r="7808" spans="1:9" x14ac:dyDescent="0.25">
      <c r="A7808" s="515">
        <v>7114</v>
      </c>
      <c r="B7808" s="515" t="s">
        <v>324</v>
      </c>
      <c r="C7808" s="52">
        <v>417230.14769959898</v>
      </c>
      <c r="D7808" s="56">
        <v>4.7219259945656081E-2</v>
      </c>
      <c r="E7808" s="224" t="s">
        <v>2</v>
      </c>
      <c r="F7808" s="515" t="s">
        <v>9019</v>
      </c>
      <c r="G7808" s="52">
        <v>292363.01203394699</v>
      </c>
      <c r="H7808" s="56">
        <v>1.3216704111144719E-2</v>
      </c>
      <c r="I7808" s="224" t="s">
        <v>2</v>
      </c>
    </row>
    <row r="7809" spans="1:9" x14ac:dyDescent="0.25">
      <c r="A7809" s="515">
        <v>29860</v>
      </c>
      <c r="B7809" s="515" t="s">
        <v>888</v>
      </c>
      <c r="C7809" s="52">
        <v>281424.94997696701</v>
      </c>
      <c r="D7809" s="56">
        <v>9.4500124331196381E-2</v>
      </c>
      <c r="E7809" s="224" t="s">
        <v>2</v>
      </c>
      <c r="F7809" s="515" t="s">
        <v>9020</v>
      </c>
      <c r="G7809" s="52">
        <v>371936.65676425502</v>
      </c>
      <c r="H7809" s="56">
        <v>4.4806204652087234E-2</v>
      </c>
      <c r="I7809" s="224" t="s">
        <v>2</v>
      </c>
    </row>
    <row r="7810" spans="1:9" x14ac:dyDescent="0.25">
      <c r="A7810" s="515">
        <v>62206</v>
      </c>
      <c r="B7810" s="515" t="s">
        <v>498</v>
      </c>
      <c r="C7810" s="52">
        <v>39466.2357254538</v>
      </c>
      <c r="D7810" s="56">
        <v>5.5389356708614161E-2</v>
      </c>
      <c r="E7810" s="224" t="s">
        <v>2</v>
      </c>
      <c r="F7810" s="515" t="s">
        <v>9021</v>
      </c>
      <c r="G7810" s="52">
        <v>165954.94786449301</v>
      </c>
      <c r="H7810" s="56">
        <v>2.201119950169609E-2</v>
      </c>
      <c r="I7810" s="224" t="s">
        <v>2</v>
      </c>
    </row>
    <row r="7811" spans="1:9" x14ac:dyDescent="0.25">
      <c r="A7811" s="515">
        <v>44241</v>
      </c>
      <c r="B7811" s="515" t="s">
        <v>1000</v>
      </c>
      <c r="C7811" s="52">
        <v>234253.071199728</v>
      </c>
      <c r="D7811" s="56">
        <v>7.2253956717635834E-2</v>
      </c>
      <c r="E7811" s="224">
        <v>1486.6666666666599</v>
      </c>
      <c r="F7811" s="515" t="s">
        <v>9022</v>
      </c>
      <c r="G7811" s="52">
        <v>184652.18668386401</v>
      </c>
      <c r="H7811" s="56">
        <v>0.21608906350611368</v>
      </c>
      <c r="I7811" s="224" t="s">
        <v>2</v>
      </c>
    </row>
    <row r="7812" spans="1:9" x14ac:dyDescent="0.25">
      <c r="A7812" s="515">
        <v>49079</v>
      </c>
      <c r="C7812" s="52">
        <v>220887.21249802099</v>
      </c>
      <c r="D7812" s="56">
        <v>3.9587436619841772E-2</v>
      </c>
      <c r="E7812" s="224" t="s">
        <v>2</v>
      </c>
      <c r="F7812" s="515" t="s">
        <v>9023</v>
      </c>
      <c r="G7812" s="52">
        <v>139345.83088793099</v>
      </c>
      <c r="H7812" s="56">
        <v>6.690963068960934E-2</v>
      </c>
      <c r="I7812" s="224" t="s">
        <v>2</v>
      </c>
    </row>
    <row r="7813" spans="1:9" x14ac:dyDescent="0.25">
      <c r="A7813" s="515">
        <v>25405</v>
      </c>
      <c r="B7813" s="515" t="s">
        <v>654</v>
      </c>
      <c r="C7813" s="52">
        <v>264818.03605816897</v>
      </c>
      <c r="D7813" s="56">
        <v>8.0641143846621521E-2</v>
      </c>
      <c r="E7813" s="224" t="s">
        <v>2</v>
      </c>
      <c r="F7813" s="515" t="s">
        <v>9024</v>
      </c>
      <c r="G7813" s="52">
        <v>436994.08281573397</v>
      </c>
      <c r="H7813" s="56">
        <v>0</v>
      </c>
      <c r="I7813" s="224" t="s">
        <v>2</v>
      </c>
    </row>
    <row r="7814" spans="1:9" x14ac:dyDescent="0.25">
      <c r="A7814" s="515">
        <v>60463</v>
      </c>
      <c r="B7814" s="515" t="s">
        <v>394</v>
      </c>
      <c r="C7814" s="52">
        <v>330152.49877624901</v>
      </c>
      <c r="D7814" s="56">
        <v>3.6435563654784009E-2</v>
      </c>
      <c r="E7814" s="224" t="s">
        <v>2</v>
      </c>
      <c r="F7814" s="515" t="s">
        <v>9025</v>
      </c>
      <c r="G7814" s="52">
        <v>411591.80113236798</v>
      </c>
      <c r="H7814" s="56">
        <v>3.5990238290081043E-2</v>
      </c>
      <c r="I7814" s="224" t="s">
        <v>2</v>
      </c>
    </row>
    <row r="7815" spans="1:9" x14ac:dyDescent="0.25">
      <c r="A7815" s="515">
        <v>29334</v>
      </c>
      <c r="B7815" s="515" t="s">
        <v>447</v>
      </c>
      <c r="C7815" s="52">
        <v>287983.41040331498</v>
      </c>
      <c r="D7815" s="56">
        <v>9.4747931527304444E-2</v>
      </c>
      <c r="E7815" s="224" t="s">
        <v>2</v>
      </c>
      <c r="F7815" s="515" t="s">
        <v>9026</v>
      </c>
      <c r="G7815" s="52">
        <v>157518.93197294199</v>
      </c>
      <c r="H7815" s="56">
        <v>-2.400068102259496E-3</v>
      </c>
      <c r="I7815" s="224" t="s">
        <v>2</v>
      </c>
    </row>
    <row r="7816" spans="1:9" x14ac:dyDescent="0.25">
      <c r="A7816" s="515">
        <v>74467</v>
      </c>
      <c r="B7816" s="515" t="s">
        <v>348</v>
      </c>
      <c r="C7816" s="52">
        <v>146593.717968618</v>
      </c>
      <c r="D7816" s="56">
        <v>4.3299205123559149E-2</v>
      </c>
      <c r="E7816" s="224" t="s">
        <v>2</v>
      </c>
      <c r="F7816" s="515" t="s">
        <v>9027</v>
      </c>
      <c r="G7816" s="52">
        <v>613385.46089477802</v>
      </c>
      <c r="H7816" s="56">
        <v>6.4690979736811316E-2</v>
      </c>
      <c r="I7816" s="224" t="s">
        <v>2</v>
      </c>
    </row>
    <row r="7817" spans="1:9" x14ac:dyDescent="0.25">
      <c r="A7817" s="515">
        <v>31516</v>
      </c>
      <c r="B7817" s="515" t="s">
        <v>824</v>
      </c>
      <c r="C7817" s="52">
        <v>145772.86572662101</v>
      </c>
      <c r="D7817" s="56">
        <v>0.11107537630825068</v>
      </c>
      <c r="E7817" s="224" t="s">
        <v>2</v>
      </c>
      <c r="F7817" s="515" t="s">
        <v>9028</v>
      </c>
      <c r="G7817" s="52">
        <v>190553.45450354501</v>
      </c>
      <c r="H7817" s="56">
        <v>0.16907343543603587</v>
      </c>
      <c r="I7817" s="224" t="s">
        <v>2</v>
      </c>
    </row>
    <row r="7818" spans="1:9" x14ac:dyDescent="0.25">
      <c r="A7818" s="515">
        <v>94019</v>
      </c>
      <c r="B7818" s="515" t="s">
        <v>593</v>
      </c>
      <c r="C7818" s="52">
        <v>1450738.3454147</v>
      </c>
      <c r="D7818" s="56">
        <v>1.2265336871871407E-2</v>
      </c>
      <c r="E7818" s="224" t="s">
        <v>2</v>
      </c>
      <c r="F7818" s="515" t="s">
        <v>9029</v>
      </c>
      <c r="G7818" s="52">
        <v>248731.67679556599</v>
      </c>
      <c r="H7818" s="56">
        <v>2.0898453581030565E-2</v>
      </c>
      <c r="I7818" s="224" t="s">
        <v>2</v>
      </c>
    </row>
    <row r="7819" spans="1:9" x14ac:dyDescent="0.25">
      <c r="A7819" s="515">
        <v>76550</v>
      </c>
      <c r="B7819" s="515" t="s">
        <v>859</v>
      </c>
      <c r="C7819" s="52">
        <v>268472.73922695301</v>
      </c>
      <c r="D7819" s="56">
        <v>0.13860592027434185</v>
      </c>
      <c r="E7819" s="224" t="s">
        <v>2</v>
      </c>
      <c r="F7819" s="515" t="s">
        <v>9030</v>
      </c>
      <c r="G7819" s="52">
        <v>158209.545775145</v>
      </c>
      <c r="H7819" s="56">
        <v>9.0240946964403851E-2</v>
      </c>
      <c r="I7819" s="224" t="s">
        <v>2</v>
      </c>
    </row>
    <row r="7820" spans="1:9" x14ac:dyDescent="0.25">
      <c r="A7820" s="515">
        <v>49242</v>
      </c>
      <c r="B7820" s="515" t="s">
        <v>971</v>
      </c>
      <c r="C7820" s="52">
        <v>169200.563579229</v>
      </c>
      <c r="D7820" s="56">
        <v>7.9355863558049591E-2</v>
      </c>
      <c r="E7820" s="224" t="s">
        <v>2</v>
      </c>
      <c r="F7820" s="515" t="s">
        <v>9031</v>
      </c>
      <c r="G7820" s="52">
        <v>367581.98663003102</v>
      </c>
      <c r="H7820" s="56">
        <v>7.9210003007534252E-2</v>
      </c>
      <c r="I7820" s="224" t="s">
        <v>2</v>
      </c>
    </row>
    <row r="7821" spans="1:9" x14ac:dyDescent="0.25">
      <c r="A7821" s="515">
        <v>6706</v>
      </c>
      <c r="B7821" s="515" t="s">
        <v>1172</v>
      </c>
      <c r="C7821" s="52">
        <v>207949.67742159899</v>
      </c>
      <c r="D7821" s="56">
        <v>0.12979186726539566</v>
      </c>
      <c r="E7821" s="224" t="s">
        <v>2</v>
      </c>
      <c r="F7821" s="515" t="s">
        <v>810</v>
      </c>
      <c r="G7821" s="52">
        <v>141056.930761472</v>
      </c>
      <c r="H7821" s="56">
        <v>9.5795398026875769E-2</v>
      </c>
      <c r="I7821" s="224" t="s">
        <v>2</v>
      </c>
    </row>
    <row r="7822" spans="1:9" x14ac:dyDescent="0.25">
      <c r="A7822" s="515">
        <v>7853</v>
      </c>
      <c r="B7822" s="515" t="s">
        <v>324</v>
      </c>
      <c r="C7822" s="52">
        <v>572740.22672416596</v>
      </c>
      <c r="D7822" s="56">
        <v>5.0611904738454172E-2</v>
      </c>
      <c r="E7822" s="224" t="s">
        <v>2</v>
      </c>
      <c r="F7822" s="515" t="s">
        <v>9032</v>
      </c>
      <c r="G7822" s="52">
        <v>221078.86508746701</v>
      </c>
      <c r="H7822" s="56">
        <v>8.9291816480695396E-2</v>
      </c>
      <c r="I7822" s="224" t="s">
        <v>2</v>
      </c>
    </row>
    <row r="7823" spans="1:9" x14ac:dyDescent="0.25">
      <c r="A7823" s="515">
        <v>43506</v>
      </c>
      <c r="C7823" s="52">
        <v>159399.39292956999</v>
      </c>
      <c r="D7823" s="56">
        <v>8.2000526451466563E-2</v>
      </c>
      <c r="E7823" s="224" t="s">
        <v>2</v>
      </c>
      <c r="F7823" s="515" t="s">
        <v>9033</v>
      </c>
      <c r="G7823" s="52">
        <v>191646.905704932</v>
      </c>
      <c r="H7823" s="56">
        <v>0.11532820752483527</v>
      </c>
      <c r="I7823" s="224" t="s">
        <v>2</v>
      </c>
    </row>
    <row r="7824" spans="1:9" x14ac:dyDescent="0.25">
      <c r="A7824" s="515">
        <v>67209</v>
      </c>
      <c r="B7824" s="515" t="s">
        <v>485</v>
      </c>
      <c r="C7824" s="52">
        <v>228711.40704444901</v>
      </c>
      <c r="D7824" s="56">
        <v>9.1287266867027955E-2</v>
      </c>
      <c r="E7824" s="224" t="s">
        <v>2</v>
      </c>
      <c r="F7824" s="515" t="s">
        <v>9034</v>
      </c>
      <c r="G7824" s="52">
        <v>167745.0047127</v>
      </c>
      <c r="H7824" s="56">
        <v>9.1424733595815016E-2</v>
      </c>
      <c r="I7824" s="224" t="s">
        <v>2</v>
      </c>
    </row>
    <row r="7825" spans="1:9" x14ac:dyDescent="0.25">
      <c r="A7825" s="515">
        <v>55435</v>
      </c>
      <c r="B7825" s="515" t="s">
        <v>532</v>
      </c>
      <c r="C7825" s="52">
        <v>252444.672824921</v>
      </c>
      <c r="D7825" s="56">
        <v>1.4350764051138632E-2</v>
      </c>
      <c r="E7825" s="224">
        <v>1784.81878306878</v>
      </c>
      <c r="F7825" s="515" t="s">
        <v>9035</v>
      </c>
      <c r="G7825" s="52">
        <v>172822.41820736599</v>
      </c>
      <c r="H7825" s="56">
        <v>7.59424076992751E-2</v>
      </c>
      <c r="I7825" s="224" t="s">
        <v>2</v>
      </c>
    </row>
    <row r="7826" spans="1:9" x14ac:dyDescent="0.25">
      <c r="A7826" s="515">
        <v>45246</v>
      </c>
      <c r="B7826" s="515" t="s">
        <v>344</v>
      </c>
      <c r="C7826" s="52">
        <v>205708.53102600499</v>
      </c>
      <c r="D7826" s="56">
        <v>6.4017981463996912E-2</v>
      </c>
      <c r="E7826" s="224">
        <v>1376.3333333333301</v>
      </c>
      <c r="F7826" s="515" t="s">
        <v>9036</v>
      </c>
      <c r="G7826" s="52">
        <v>235520.19939741501</v>
      </c>
      <c r="H7826" s="56">
        <v>7.9204617330401961E-2</v>
      </c>
      <c r="I7826" s="224" t="s">
        <v>2</v>
      </c>
    </row>
    <row r="7827" spans="1:9" x14ac:dyDescent="0.25">
      <c r="A7827" s="515">
        <v>22508</v>
      </c>
      <c r="C7827" s="52">
        <v>373268.549081276</v>
      </c>
      <c r="D7827" s="56">
        <v>5.3326409189785137E-2</v>
      </c>
      <c r="E7827" s="224" t="s">
        <v>2</v>
      </c>
      <c r="F7827" s="515" t="s">
        <v>9037</v>
      </c>
      <c r="G7827" s="52">
        <v>610349.21903427702</v>
      </c>
      <c r="H7827" s="56">
        <v>5.1087018938100442E-2</v>
      </c>
      <c r="I7827" s="224" t="s">
        <v>2</v>
      </c>
    </row>
    <row r="7828" spans="1:9" x14ac:dyDescent="0.25">
      <c r="A7828" s="515">
        <v>87020</v>
      </c>
      <c r="B7828" s="515" t="s">
        <v>5283</v>
      </c>
      <c r="C7828" s="52">
        <v>154802.494881972</v>
      </c>
      <c r="D7828" s="56">
        <v>-3.5140802500602513E-4</v>
      </c>
      <c r="E7828" s="224" t="s">
        <v>2</v>
      </c>
      <c r="F7828" s="515" t="s">
        <v>9038</v>
      </c>
      <c r="G7828" s="52">
        <v>175076.670054599</v>
      </c>
      <c r="H7828" s="56">
        <v>7.5002586791414125E-2</v>
      </c>
      <c r="I7828" s="224" t="s">
        <v>2</v>
      </c>
    </row>
    <row r="7829" spans="1:9" x14ac:dyDescent="0.25">
      <c r="A7829" s="515">
        <v>92250</v>
      </c>
      <c r="B7829" s="515" t="s">
        <v>621</v>
      </c>
      <c r="C7829" s="52">
        <v>285016.22641140799</v>
      </c>
      <c r="D7829" s="56">
        <v>3.3566596618341896E-2</v>
      </c>
      <c r="E7829" s="224" t="s">
        <v>2</v>
      </c>
      <c r="F7829" s="515" t="s">
        <v>9039</v>
      </c>
      <c r="G7829" s="52">
        <v>575412.04053553496</v>
      </c>
      <c r="H7829" s="56">
        <v>7.2786443372447995E-2</v>
      </c>
      <c r="I7829" s="224" t="s">
        <v>2</v>
      </c>
    </row>
    <row r="7830" spans="1:9" x14ac:dyDescent="0.25">
      <c r="A7830" s="515">
        <v>81416</v>
      </c>
      <c r="C7830" s="52">
        <v>321026.43629818602</v>
      </c>
      <c r="D7830" s="56">
        <v>7.0380784237240965E-2</v>
      </c>
      <c r="E7830" s="224" t="s">
        <v>2</v>
      </c>
      <c r="F7830" s="515" t="s">
        <v>9040</v>
      </c>
      <c r="G7830" s="52">
        <v>200716.33077952699</v>
      </c>
      <c r="H7830" s="56">
        <v>-4.3882836950940557E-2</v>
      </c>
      <c r="I7830" s="224" t="s">
        <v>2</v>
      </c>
    </row>
    <row r="7831" spans="1:9" x14ac:dyDescent="0.25">
      <c r="A7831" s="515">
        <v>32176</v>
      </c>
      <c r="B7831" s="515" t="s">
        <v>974</v>
      </c>
      <c r="C7831" s="52">
        <v>388408.92726248101</v>
      </c>
      <c r="D7831" s="56">
        <v>0.13320118928514768</v>
      </c>
      <c r="E7831" s="224">
        <v>1900</v>
      </c>
      <c r="F7831" s="515" t="s">
        <v>9041</v>
      </c>
      <c r="G7831" s="52">
        <v>221033.10369909101</v>
      </c>
      <c r="H7831" s="56">
        <v>9.5725871219852515E-2</v>
      </c>
      <c r="I7831" s="224" t="s">
        <v>2</v>
      </c>
    </row>
    <row r="7832" spans="1:9" x14ac:dyDescent="0.25">
      <c r="A7832" s="515">
        <v>24382</v>
      </c>
      <c r="C7832" s="52">
        <v>183323.225281152</v>
      </c>
      <c r="D7832" s="56">
        <v>0.10628626550071099</v>
      </c>
      <c r="E7832" s="224" t="s">
        <v>2</v>
      </c>
      <c r="F7832" s="515" t="s">
        <v>9042</v>
      </c>
      <c r="G7832" s="52">
        <v>518558.20267798897</v>
      </c>
      <c r="H7832" s="56">
        <v>-0.10319865310506196</v>
      </c>
      <c r="I7832" s="224" t="s">
        <v>2</v>
      </c>
    </row>
    <row r="7833" spans="1:9" x14ac:dyDescent="0.25">
      <c r="A7833" s="515">
        <v>84335</v>
      </c>
      <c r="B7833" s="515" t="s">
        <v>632</v>
      </c>
      <c r="C7833" s="52">
        <v>441669.89191000297</v>
      </c>
      <c r="D7833" s="56">
        <v>1.5598139555262574E-2</v>
      </c>
      <c r="E7833" s="224" t="s">
        <v>2</v>
      </c>
      <c r="F7833" s="515" t="s">
        <v>9043</v>
      </c>
      <c r="G7833" s="52">
        <v>129378.677950602</v>
      </c>
      <c r="H7833" s="56">
        <v>0.10345610970325902</v>
      </c>
      <c r="I7833" s="224" t="s">
        <v>2</v>
      </c>
    </row>
    <row r="7834" spans="1:9" x14ac:dyDescent="0.25">
      <c r="A7834" s="515">
        <v>33301</v>
      </c>
      <c r="B7834" s="515" t="s">
        <v>831</v>
      </c>
      <c r="C7834" s="52">
        <v>845562.911896431</v>
      </c>
      <c r="D7834" s="56">
        <v>0.1853518198470252</v>
      </c>
      <c r="E7834" s="224">
        <v>3056.4038359788301</v>
      </c>
      <c r="F7834" s="515" t="s">
        <v>9044</v>
      </c>
      <c r="G7834" s="52">
        <v>407910.69752985402</v>
      </c>
      <c r="H7834" s="56">
        <v>0.13499769070042644</v>
      </c>
      <c r="I7834" s="224" t="s">
        <v>2</v>
      </c>
    </row>
    <row r="7835" spans="1:9" x14ac:dyDescent="0.25">
      <c r="A7835" s="515">
        <v>6120</v>
      </c>
      <c r="B7835" s="515" t="s">
        <v>894</v>
      </c>
      <c r="C7835" s="52">
        <v>188419.64579022399</v>
      </c>
      <c r="D7835" s="56">
        <v>0.11549909168748686</v>
      </c>
      <c r="E7835" s="224" t="s">
        <v>2</v>
      </c>
      <c r="F7835" s="515" t="s">
        <v>9045</v>
      </c>
      <c r="G7835" s="52">
        <v>88318.950072717897</v>
      </c>
      <c r="H7835" s="56">
        <v>4.7326990257005291E-2</v>
      </c>
      <c r="I7835" s="224" t="s">
        <v>2</v>
      </c>
    </row>
    <row r="7836" spans="1:9" x14ac:dyDescent="0.25">
      <c r="A7836" s="515">
        <v>74344</v>
      </c>
      <c r="C7836" s="52">
        <v>235128.57523135099</v>
      </c>
      <c r="D7836" s="56">
        <v>6.5955029663585643E-2</v>
      </c>
      <c r="E7836" s="224" t="s">
        <v>2</v>
      </c>
      <c r="F7836" s="515" t="s">
        <v>9046</v>
      </c>
      <c r="G7836" s="52">
        <v>136376.937762913</v>
      </c>
      <c r="H7836" s="56">
        <v>-7.0839215659390345E-2</v>
      </c>
      <c r="I7836" s="224" t="s">
        <v>2</v>
      </c>
    </row>
    <row r="7837" spans="1:9" x14ac:dyDescent="0.25">
      <c r="A7837" s="515">
        <v>25401</v>
      </c>
      <c r="B7837" s="515" t="s">
        <v>654</v>
      </c>
      <c r="C7837" s="52">
        <v>202247.911467097</v>
      </c>
      <c r="D7837" s="56">
        <v>0.10218523132908021</v>
      </c>
      <c r="E7837" s="224" t="s">
        <v>2</v>
      </c>
      <c r="F7837" s="515" t="s">
        <v>9047</v>
      </c>
      <c r="G7837" s="52">
        <v>88734.273387506604</v>
      </c>
      <c r="H7837" s="56">
        <v>-1.3058458177886883E-2</v>
      </c>
      <c r="I7837" s="224" t="s">
        <v>2</v>
      </c>
    </row>
    <row r="7838" spans="1:9" x14ac:dyDescent="0.25">
      <c r="A7838" s="515">
        <v>79007</v>
      </c>
      <c r="B7838" s="515" t="s">
        <v>425</v>
      </c>
      <c r="C7838" s="52">
        <v>73083.387036945904</v>
      </c>
      <c r="D7838" s="56">
        <v>4.7484091286992519E-4</v>
      </c>
      <c r="E7838" s="224" t="s">
        <v>2</v>
      </c>
      <c r="F7838" s="515" t="s">
        <v>9048</v>
      </c>
      <c r="G7838" s="52">
        <v>410558.53920361301</v>
      </c>
      <c r="H7838" s="56">
        <v>2.9645229744659038E-2</v>
      </c>
      <c r="I7838" s="224" t="s">
        <v>2</v>
      </c>
    </row>
    <row r="7839" spans="1:9" x14ac:dyDescent="0.25">
      <c r="A7839" s="515">
        <v>18036</v>
      </c>
      <c r="B7839" s="515" t="s">
        <v>327</v>
      </c>
      <c r="C7839" s="52">
        <v>403779.49387220002</v>
      </c>
      <c r="D7839" s="56">
        <v>6.6740797299692747E-2</v>
      </c>
      <c r="E7839" s="224" t="s">
        <v>2</v>
      </c>
      <c r="F7839" s="515" t="s">
        <v>9049</v>
      </c>
      <c r="G7839" s="52">
        <v>653293.777874875</v>
      </c>
      <c r="H7839" s="56">
        <v>0.1130876016328205</v>
      </c>
      <c r="I7839" s="224" t="s">
        <v>2</v>
      </c>
    </row>
    <row r="7840" spans="1:9" x14ac:dyDescent="0.25">
      <c r="A7840" s="515">
        <v>53233</v>
      </c>
      <c r="B7840" s="515" t="s">
        <v>950</v>
      </c>
      <c r="C7840" s="52">
        <v>132965.491660978</v>
      </c>
      <c r="D7840" s="56">
        <v>0.11300352225206345</v>
      </c>
      <c r="E7840" s="224">
        <v>898.888888888888</v>
      </c>
      <c r="F7840" s="515" t="s">
        <v>9050</v>
      </c>
      <c r="G7840" s="52">
        <v>86804.420527177805</v>
      </c>
      <c r="H7840" s="56">
        <v>0.14221672887561818</v>
      </c>
      <c r="I7840" s="224" t="s">
        <v>2</v>
      </c>
    </row>
    <row r="7841" spans="1:9" x14ac:dyDescent="0.25">
      <c r="A7841" s="515">
        <v>20613</v>
      </c>
      <c r="B7841" s="515" t="s">
        <v>321</v>
      </c>
      <c r="C7841" s="52">
        <v>482977.24800272402</v>
      </c>
      <c r="D7841" s="56">
        <v>2.8615795645224505E-2</v>
      </c>
      <c r="E7841" s="224" t="s">
        <v>2</v>
      </c>
      <c r="F7841" s="515" t="s">
        <v>9051</v>
      </c>
      <c r="G7841" s="52">
        <v>249132.70386210299</v>
      </c>
      <c r="H7841" s="56">
        <v>0.1011531832426376</v>
      </c>
      <c r="I7841" s="224">
        <v>1227.5</v>
      </c>
    </row>
    <row r="7842" spans="1:9" x14ac:dyDescent="0.25">
      <c r="A7842" s="515">
        <v>34134</v>
      </c>
      <c r="B7842" s="515" t="s">
        <v>661</v>
      </c>
      <c r="C7842" s="52">
        <v>768187.11408549</v>
      </c>
      <c r="D7842" s="56">
        <v>0.19702654162489905</v>
      </c>
      <c r="E7842" s="224">
        <v>4720.25</v>
      </c>
      <c r="F7842" s="515" t="s">
        <v>9052</v>
      </c>
      <c r="G7842" s="52">
        <v>574305.17019216798</v>
      </c>
      <c r="H7842" s="56">
        <v>0.12007550536715077</v>
      </c>
      <c r="I7842" s="224" t="s">
        <v>2</v>
      </c>
    </row>
    <row r="7843" spans="1:9" x14ac:dyDescent="0.25">
      <c r="A7843" s="515">
        <v>28462</v>
      </c>
      <c r="B7843" s="515" t="s">
        <v>703</v>
      </c>
      <c r="C7843" s="52">
        <v>471015.32777176501</v>
      </c>
      <c r="D7843" s="56">
        <v>0.12488164532732834</v>
      </c>
      <c r="E7843" s="224" t="s">
        <v>2</v>
      </c>
      <c r="F7843" s="515" t="s">
        <v>9053</v>
      </c>
      <c r="G7843" s="52">
        <v>188062.96966784401</v>
      </c>
      <c r="H7843" s="56">
        <v>6.2129268188030176E-2</v>
      </c>
      <c r="I7843" s="224" t="s">
        <v>2</v>
      </c>
    </row>
    <row r="7844" spans="1:9" x14ac:dyDescent="0.25">
      <c r="A7844" s="515">
        <v>55103</v>
      </c>
      <c r="B7844" s="515" t="s">
        <v>532</v>
      </c>
      <c r="C7844" s="52">
        <v>228472.15936881799</v>
      </c>
      <c r="D7844" s="56">
        <v>9.7432021441437901E-3</v>
      </c>
      <c r="E7844" s="224">
        <v>1314</v>
      </c>
      <c r="F7844" s="515" t="s">
        <v>9054</v>
      </c>
      <c r="G7844" s="52">
        <v>79161.781910134698</v>
      </c>
      <c r="H7844" s="56">
        <v>3.6031042362554361E-2</v>
      </c>
      <c r="I7844" s="224" t="s">
        <v>2</v>
      </c>
    </row>
    <row r="7845" spans="1:9" x14ac:dyDescent="0.25">
      <c r="A7845" s="515">
        <v>70811</v>
      </c>
      <c r="B7845" s="515" t="s">
        <v>610</v>
      </c>
      <c r="C7845" s="52">
        <v>136074.33646502401</v>
      </c>
      <c r="D7845" s="56">
        <v>4.3410031049150838E-2</v>
      </c>
      <c r="E7845" s="224" t="s">
        <v>2</v>
      </c>
      <c r="F7845" s="515" t="s">
        <v>9055</v>
      </c>
      <c r="G7845" s="52">
        <v>147231.05413250701</v>
      </c>
      <c r="H7845" s="56">
        <v>4.6098960253955906E-3</v>
      </c>
      <c r="I7845" s="224" t="s">
        <v>2</v>
      </c>
    </row>
    <row r="7846" spans="1:9" x14ac:dyDescent="0.25">
      <c r="A7846" s="515">
        <v>23221</v>
      </c>
      <c r="B7846" s="515" t="s">
        <v>667</v>
      </c>
      <c r="C7846" s="52">
        <v>462520.69173907401</v>
      </c>
      <c r="D7846" s="56">
        <v>-4.5097769466098087E-2</v>
      </c>
      <c r="E7846" s="224">
        <v>1550.42592592592</v>
      </c>
      <c r="F7846" s="515" t="s">
        <v>9056</v>
      </c>
      <c r="G7846" s="52">
        <v>855241.62690918206</v>
      </c>
      <c r="H7846" s="56">
        <v>8.2864239883595439E-2</v>
      </c>
      <c r="I7846" s="224" t="s">
        <v>2</v>
      </c>
    </row>
    <row r="7847" spans="1:9" x14ac:dyDescent="0.25">
      <c r="A7847" s="515">
        <v>3842</v>
      </c>
      <c r="B7847" s="515" t="s">
        <v>534</v>
      </c>
      <c r="C7847" s="52">
        <v>517918.51393617399</v>
      </c>
      <c r="D7847" s="56">
        <v>0.13499180333171248</v>
      </c>
      <c r="E7847" s="224" t="s">
        <v>2</v>
      </c>
      <c r="F7847" s="515" t="s">
        <v>9057</v>
      </c>
      <c r="G7847" s="52">
        <v>1437690.22052599</v>
      </c>
      <c r="H7847" s="56">
        <v>2.1362637384084792E-2</v>
      </c>
      <c r="I7847" s="224" t="s">
        <v>2</v>
      </c>
    </row>
    <row r="7848" spans="1:9" x14ac:dyDescent="0.25">
      <c r="A7848" s="515">
        <v>34241</v>
      </c>
      <c r="B7848" s="515" t="s">
        <v>466</v>
      </c>
      <c r="C7848" s="52">
        <v>595535.76658896299</v>
      </c>
      <c r="D7848" s="56">
        <v>0.14146540409308062</v>
      </c>
      <c r="E7848" s="224" t="s">
        <v>2</v>
      </c>
      <c r="F7848" s="515" t="s">
        <v>9058</v>
      </c>
      <c r="G7848" s="52">
        <v>198887.673937666</v>
      </c>
      <c r="H7848" s="56">
        <v>0.15823158761489653</v>
      </c>
      <c r="I7848" s="224" t="s">
        <v>2</v>
      </c>
    </row>
    <row r="7849" spans="1:9" x14ac:dyDescent="0.25">
      <c r="A7849" s="515">
        <v>22553</v>
      </c>
      <c r="B7849" s="515" t="s">
        <v>321</v>
      </c>
      <c r="C7849" s="52">
        <v>420157.57196742803</v>
      </c>
      <c r="D7849" s="56">
        <v>-7.4318089730502218E-2</v>
      </c>
      <c r="E7849" s="224">
        <v>1653.3333333333301</v>
      </c>
      <c r="F7849" s="515" t="s">
        <v>9059</v>
      </c>
      <c r="G7849" s="52">
        <v>216890.86171568499</v>
      </c>
      <c r="H7849" s="56">
        <v>0.10920038186577427</v>
      </c>
      <c r="I7849" s="224" t="s">
        <v>2</v>
      </c>
    </row>
    <row r="7850" spans="1:9" x14ac:dyDescent="0.25">
      <c r="A7850" s="515">
        <v>49068</v>
      </c>
      <c r="B7850" s="515" t="s">
        <v>1062</v>
      </c>
      <c r="C7850" s="52">
        <v>199901.424556463</v>
      </c>
      <c r="D7850" s="56">
        <v>5.5985635212201373E-2</v>
      </c>
      <c r="E7850" s="224" t="s">
        <v>2</v>
      </c>
      <c r="F7850" s="515" t="s">
        <v>9060</v>
      </c>
      <c r="G7850" s="52">
        <v>185088.59650935899</v>
      </c>
      <c r="H7850" s="56">
        <v>6.8105566245073718E-2</v>
      </c>
      <c r="I7850" s="224" t="s">
        <v>2</v>
      </c>
    </row>
    <row r="7851" spans="1:9" x14ac:dyDescent="0.25">
      <c r="A7851" s="515">
        <v>35180</v>
      </c>
      <c r="B7851" s="515" t="s">
        <v>640</v>
      </c>
      <c r="C7851" s="52">
        <v>224009.737330181</v>
      </c>
      <c r="D7851" s="56">
        <v>0.11238863700402564</v>
      </c>
      <c r="E7851" s="224" t="s">
        <v>2</v>
      </c>
      <c r="F7851" s="515" t="s">
        <v>9061</v>
      </c>
      <c r="G7851" s="52">
        <v>590541.93283975299</v>
      </c>
      <c r="H7851" s="56">
        <v>4.5168888391838163E-2</v>
      </c>
      <c r="I7851" s="224" t="s">
        <v>2</v>
      </c>
    </row>
    <row r="7852" spans="1:9" x14ac:dyDescent="0.25">
      <c r="A7852" s="515">
        <v>62522</v>
      </c>
      <c r="B7852" s="515" t="s">
        <v>540</v>
      </c>
      <c r="C7852" s="52">
        <v>67681.670650995395</v>
      </c>
      <c r="D7852" s="56">
        <v>1.925896586383833E-2</v>
      </c>
      <c r="E7852" s="224" t="s">
        <v>2</v>
      </c>
      <c r="F7852" s="515" t="s">
        <v>9062</v>
      </c>
      <c r="G7852" s="52">
        <v>210458.86022299301</v>
      </c>
      <c r="H7852" s="56">
        <v>3.8101953123609762E-2</v>
      </c>
      <c r="I7852" s="224" t="s">
        <v>2</v>
      </c>
    </row>
    <row r="7853" spans="1:9" x14ac:dyDescent="0.25">
      <c r="A7853" s="515">
        <v>7022</v>
      </c>
      <c r="B7853" s="515" t="s">
        <v>324</v>
      </c>
      <c r="C7853" s="52">
        <v>522974.05729767802</v>
      </c>
      <c r="D7853" s="56">
        <v>2.0632412739958694E-2</v>
      </c>
      <c r="E7853" s="224" t="s">
        <v>2</v>
      </c>
      <c r="F7853" s="515" t="s">
        <v>9063</v>
      </c>
      <c r="G7853" s="52">
        <v>185002.568825583</v>
      </c>
      <c r="H7853" s="56">
        <v>4.65602425164355E-2</v>
      </c>
      <c r="I7853" s="224" t="s">
        <v>2</v>
      </c>
    </row>
    <row r="7854" spans="1:9" x14ac:dyDescent="0.25">
      <c r="A7854" s="515">
        <v>43023</v>
      </c>
      <c r="B7854" s="515" t="s">
        <v>345</v>
      </c>
      <c r="C7854" s="52">
        <v>451407.88143951399</v>
      </c>
      <c r="D7854" s="56">
        <v>9.7735204215757071E-2</v>
      </c>
      <c r="E7854" s="224" t="s">
        <v>2</v>
      </c>
      <c r="F7854" s="515" t="s">
        <v>9064</v>
      </c>
      <c r="G7854" s="52">
        <v>442173.09494213702</v>
      </c>
      <c r="H7854" s="56">
        <v>9.3158862274536583E-2</v>
      </c>
      <c r="I7854" s="224" t="s">
        <v>2</v>
      </c>
    </row>
    <row r="7855" spans="1:9" x14ac:dyDescent="0.25">
      <c r="A7855" s="515">
        <v>78261</v>
      </c>
      <c r="B7855" s="515" t="s">
        <v>717</v>
      </c>
      <c r="C7855" s="52">
        <v>441283.34880625602</v>
      </c>
      <c r="D7855" s="56">
        <v>7.1496615191979709E-2</v>
      </c>
      <c r="E7855" s="224">
        <v>1712.49404761904</v>
      </c>
      <c r="F7855" s="515" t="s">
        <v>9065</v>
      </c>
      <c r="G7855" s="52">
        <v>172742.33585613899</v>
      </c>
      <c r="H7855" s="56">
        <v>8.8437205527087975E-2</v>
      </c>
      <c r="I7855" s="224" t="s">
        <v>2</v>
      </c>
    </row>
    <row r="7856" spans="1:9" x14ac:dyDescent="0.25">
      <c r="A7856" s="515">
        <v>37083</v>
      </c>
      <c r="B7856" s="515" t="s">
        <v>684</v>
      </c>
      <c r="C7856" s="52">
        <v>224164.09567218801</v>
      </c>
      <c r="D7856" s="56">
        <v>6.6687509773075485E-2</v>
      </c>
      <c r="E7856" s="224" t="s">
        <v>2</v>
      </c>
      <c r="F7856" s="515" t="s">
        <v>9066</v>
      </c>
      <c r="G7856" s="52">
        <v>195279.552992799</v>
      </c>
      <c r="H7856" s="56">
        <v>9.2649081442298734E-2</v>
      </c>
      <c r="I7856" s="224" t="s">
        <v>2</v>
      </c>
    </row>
    <row r="7857" spans="1:9" x14ac:dyDescent="0.25">
      <c r="A7857" s="515">
        <v>75418</v>
      </c>
      <c r="B7857" s="515" t="s">
        <v>298</v>
      </c>
      <c r="C7857" s="52">
        <v>200323.95049876301</v>
      </c>
      <c r="D7857" s="56">
        <v>9.3520015909356657E-2</v>
      </c>
      <c r="E7857" s="224" t="s">
        <v>2</v>
      </c>
      <c r="F7857" s="515" t="s">
        <v>9067</v>
      </c>
      <c r="G7857" s="52">
        <v>90372.074178903902</v>
      </c>
      <c r="H7857" s="56">
        <v>9.6476662290196524E-2</v>
      </c>
      <c r="I7857" s="224" t="s">
        <v>2</v>
      </c>
    </row>
    <row r="7858" spans="1:9" x14ac:dyDescent="0.25">
      <c r="A7858" s="515">
        <v>19096</v>
      </c>
      <c r="B7858" s="515" t="s">
        <v>294</v>
      </c>
      <c r="C7858" s="52">
        <v>663245.90736762201</v>
      </c>
      <c r="D7858" s="56">
        <v>9.5293224751129932E-2</v>
      </c>
      <c r="E7858" s="224">
        <v>2659.9722222222199</v>
      </c>
      <c r="F7858" s="515" t="s">
        <v>9068</v>
      </c>
      <c r="G7858" s="52">
        <v>81564.449761124401</v>
      </c>
      <c r="H7858" s="56">
        <v>0.16225587629259139</v>
      </c>
      <c r="I7858" s="224" t="s">
        <v>2</v>
      </c>
    </row>
    <row r="7859" spans="1:9" x14ac:dyDescent="0.25">
      <c r="A7859" s="515">
        <v>21231</v>
      </c>
      <c r="B7859" s="515" t="s">
        <v>582</v>
      </c>
      <c r="C7859" s="52">
        <v>278228.83495014999</v>
      </c>
      <c r="D7859" s="56">
        <v>3.8439428055774209E-2</v>
      </c>
      <c r="E7859" s="224">
        <v>2149.23529411764</v>
      </c>
      <c r="F7859" s="515" t="s">
        <v>9069</v>
      </c>
      <c r="G7859" s="52">
        <v>94686.532835167905</v>
      </c>
      <c r="H7859" s="56">
        <v>-4.2024447114911948E-2</v>
      </c>
      <c r="I7859" s="224" t="s">
        <v>2</v>
      </c>
    </row>
    <row r="7860" spans="1:9" x14ac:dyDescent="0.25">
      <c r="A7860" s="515">
        <v>7882</v>
      </c>
      <c r="B7860" s="515" t="s">
        <v>327</v>
      </c>
      <c r="C7860" s="52">
        <v>333346.50175811298</v>
      </c>
      <c r="D7860" s="56">
        <v>6.7536865031542798E-2</v>
      </c>
      <c r="E7860" s="224" t="s">
        <v>2</v>
      </c>
      <c r="F7860" s="515" t="s">
        <v>9070</v>
      </c>
      <c r="G7860" s="52">
        <v>261520.64272998099</v>
      </c>
      <c r="H7860" s="56">
        <v>0.18817690264003634</v>
      </c>
      <c r="I7860" s="224" t="s">
        <v>2</v>
      </c>
    </row>
    <row r="7861" spans="1:9" x14ac:dyDescent="0.25">
      <c r="A7861" s="515">
        <v>59937</v>
      </c>
      <c r="B7861" s="515" t="s">
        <v>459</v>
      </c>
      <c r="C7861" s="52">
        <v>857678.24977278395</v>
      </c>
      <c r="D7861" s="56">
        <v>0.11844590497406539</v>
      </c>
      <c r="E7861" s="224">
        <v>2665</v>
      </c>
      <c r="F7861" s="515" t="s">
        <v>9071</v>
      </c>
      <c r="G7861" s="52">
        <v>261592.100547404</v>
      </c>
      <c r="H7861" s="56">
        <v>0.11994984554906532</v>
      </c>
      <c r="I7861" s="224" t="s">
        <v>2</v>
      </c>
    </row>
    <row r="7862" spans="1:9" x14ac:dyDescent="0.25">
      <c r="A7862" s="515">
        <v>32095</v>
      </c>
      <c r="B7862" s="515" t="s">
        <v>1158</v>
      </c>
      <c r="C7862" s="52">
        <v>546334.97805393301</v>
      </c>
      <c r="D7862" s="56">
        <v>0.12878575077830709</v>
      </c>
      <c r="E7862" s="224">
        <v>2629.25</v>
      </c>
      <c r="F7862" s="515" t="s">
        <v>9072</v>
      </c>
      <c r="G7862" s="52">
        <v>298182.57067202998</v>
      </c>
      <c r="H7862" s="56">
        <v>5.6473855009015562E-2</v>
      </c>
      <c r="I7862" s="224" t="s">
        <v>2</v>
      </c>
    </row>
    <row r="7863" spans="1:9" x14ac:dyDescent="0.25">
      <c r="A7863" s="515">
        <v>36571</v>
      </c>
      <c r="B7863" s="515" t="s">
        <v>815</v>
      </c>
      <c r="C7863" s="52">
        <v>209950.25517788599</v>
      </c>
      <c r="D7863" s="56">
        <v>7.4499828798128068E-2</v>
      </c>
      <c r="E7863" s="224" t="s">
        <v>2</v>
      </c>
      <c r="F7863" s="515" t="s">
        <v>9073</v>
      </c>
      <c r="G7863" s="52">
        <v>93311.019691003996</v>
      </c>
      <c r="H7863" s="56">
        <v>7.5966213743944661E-2</v>
      </c>
      <c r="I7863" s="224" t="s">
        <v>2</v>
      </c>
    </row>
    <row r="7864" spans="1:9" x14ac:dyDescent="0.25">
      <c r="A7864" s="515">
        <v>49047</v>
      </c>
      <c r="B7864" s="515" t="s">
        <v>1002</v>
      </c>
      <c r="C7864" s="52">
        <v>168129.10941072</v>
      </c>
      <c r="D7864" s="56">
        <v>5.0448217852180607E-2</v>
      </c>
      <c r="E7864" s="224" t="s">
        <v>2</v>
      </c>
      <c r="F7864" s="515" t="s">
        <v>9074</v>
      </c>
      <c r="G7864" s="52">
        <v>354916.96369637101</v>
      </c>
      <c r="H7864" s="56">
        <v>3.2394593234904033E-2</v>
      </c>
      <c r="I7864" s="224" t="s">
        <v>2</v>
      </c>
    </row>
    <row r="7865" spans="1:9" x14ac:dyDescent="0.25">
      <c r="A7865" s="515">
        <v>32459</v>
      </c>
      <c r="B7865" s="515" t="s">
        <v>1078</v>
      </c>
      <c r="C7865" s="52">
        <v>932161.45845461404</v>
      </c>
      <c r="D7865" s="56">
        <v>0.12501224325292723</v>
      </c>
      <c r="E7865" s="224">
        <v>1784.23376623376</v>
      </c>
      <c r="F7865" s="515" t="s">
        <v>9075</v>
      </c>
      <c r="G7865" s="52">
        <v>168606.67773180301</v>
      </c>
      <c r="H7865" s="56">
        <v>-8.0914154259932106E-3</v>
      </c>
      <c r="I7865" s="224" t="s">
        <v>2</v>
      </c>
    </row>
    <row r="7866" spans="1:9" x14ac:dyDescent="0.25">
      <c r="A7866" s="515">
        <v>35040</v>
      </c>
      <c r="B7866" s="515" t="s">
        <v>640</v>
      </c>
      <c r="C7866" s="52">
        <v>237589.937131218</v>
      </c>
      <c r="D7866" s="56">
        <v>9.4718906982933948E-2</v>
      </c>
      <c r="E7866" s="224">
        <v>1533.8333333333301</v>
      </c>
      <c r="F7866" s="515" t="s">
        <v>9076</v>
      </c>
      <c r="G7866" s="52">
        <v>375781.83528268099</v>
      </c>
      <c r="H7866" s="56">
        <v>3.9815595864150552E-2</v>
      </c>
      <c r="I7866" s="224" t="s">
        <v>2</v>
      </c>
    </row>
    <row r="7867" spans="1:9" x14ac:dyDescent="0.25">
      <c r="A7867" s="515">
        <v>53963</v>
      </c>
      <c r="B7867" s="515" t="s">
        <v>987</v>
      </c>
      <c r="C7867" s="52">
        <v>191895.115963733</v>
      </c>
      <c r="D7867" s="56">
        <v>6.3009067599159418E-2</v>
      </c>
      <c r="E7867" s="224" t="s">
        <v>2</v>
      </c>
      <c r="F7867" s="515" t="s">
        <v>9077</v>
      </c>
      <c r="G7867" s="52">
        <v>78772.415555555999</v>
      </c>
      <c r="H7867" s="56">
        <v>6.2868255343951518E-2</v>
      </c>
      <c r="I7867" s="224" t="s">
        <v>2</v>
      </c>
    </row>
    <row r="7868" spans="1:9" x14ac:dyDescent="0.25">
      <c r="A7868" s="515">
        <v>75686</v>
      </c>
      <c r="B7868" s="515" t="s">
        <v>438</v>
      </c>
      <c r="C7868" s="52">
        <v>188278.77032677701</v>
      </c>
      <c r="D7868" s="56">
        <v>2.8877454768615599E-2</v>
      </c>
      <c r="E7868" s="224" t="s">
        <v>2</v>
      </c>
      <c r="F7868" s="515" t="s">
        <v>9078</v>
      </c>
      <c r="G7868" s="52">
        <v>54594.411466279198</v>
      </c>
      <c r="H7868" s="56">
        <v>0.30774575288764194</v>
      </c>
      <c r="I7868" s="224" t="s">
        <v>2</v>
      </c>
    </row>
    <row r="7869" spans="1:9" x14ac:dyDescent="0.25">
      <c r="A7869" s="515">
        <v>46113</v>
      </c>
      <c r="B7869" s="515" t="s">
        <v>403</v>
      </c>
      <c r="C7869" s="52">
        <v>252405.152664339</v>
      </c>
      <c r="D7869" s="56">
        <v>8.3572496533056539E-2</v>
      </c>
      <c r="E7869" s="224">
        <v>1820.93333333333</v>
      </c>
      <c r="F7869" s="515" t="s">
        <v>9079</v>
      </c>
      <c r="G7869" s="52">
        <v>197622.94930614799</v>
      </c>
      <c r="H7869" s="56">
        <v>5.8477216510609442E-2</v>
      </c>
      <c r="I7869" s="224" t="s">
        <v>2</v>
      </c>
    </row>
    <row r="7870" spans="1:9" x14ac:dyDescent="0.25">
      <c r="A7870" s="515">
        <v>64117</v>
      </c>
      <c r="B7870" s="515" t="s">
        <v>455</v>
      </c>
      <c r="C7870" s="52">
        <v>183643.6016118</v>
      </c>
      <c r="D7870" s="56">
        <v>0.10592309411016922</v>
      </c>
      <c r="E7870" s="224">
        <v>1266.3333333333301</v>
      </c>
      <c r="F7870" s="515" t="s">
        <v>9080</v>
      </c>
      <c r="G7870" s="52">
        <v>296645.35567679099</v>
      </c>
      <c r="H7870" s="56">
        <v>6.5482984344986117E-2</v>
      </c>
      <c r="I7870" s="224" t="s">
        <v>2</v>
      </c>
    </row>
    <row r="7871" spans="1:9" x14ac:dyDescent="0.25">
      <c r="A7871" s="515">
        <v>3064</v>
      </c>
      <c r="B7871" s="515" t="s">
        <v>996</v>
      </c>
      <c r="C7871" s="52">
        <v>428053.35288170702</v>
      </c>
      <c r="D7871" s="56">
        <v>6.6908371823110088E-2</v>
      </c>
      <c r="E7871" s="224" t="s">
        <v>2</v>
      </c>
      <c r="F7871" s="515" t="s">
        <v>9081</v>
      </c>
      <c r="G7871" s="52">
        <v>183709.892145555</v>
      </c>
      <c r="H7871" s="56">
        <v>9.3576209098230834E-2</v>
      </c>
      <c r="I7871" s="224" t="s">
        <v>2</v>
      </c>
    </row>
    <row r="7872" spans="1:9" x14ac:dyDescent="0.25">
      <c r="A7872" s="515">
        <v>35816</v>
      </c>
      <c r="B7872" s="515" t="s">
        <v>997</v>
      </c>
      <c r="C7872" s="52">
        <v>156655.87906378199</v>
      </c>
      <c r="D7872" s="56">
        <v>8.338251676585659E-2</v>
      </c>
      <c r="E7872" s="224">
        <v>1133.3333333333301</v>
      </c>
      <c r="F7872" s="515" t="s">
        <v>9082</v>
      </c>
      <c r="G7872" s="52">
        <v>421278.83099411102</v>
      </c>
      <c r="H7872" s="56">
        <v>5.005700940236546E-2</v>
      </c>
      <c r="I7872" s="224" t="s">
        <v>2</v>
      </c>
    </row>
    <row r="7873" spans="1:9" x14ac:dyDescent="0.25">
      <c r="A7873" s="515">
        <v>29369</v>
      </c>
      <c r="B7873" s="515" t="s">
        <v>447</v>
      </c>
      <c r="C7873" s="52">
        <v>277121.73993221897</v>
      </c>
      <c r="D7873" s="56">
        <v>9.1821038624191692E-2</v>
      </c>
      <c r="E7873" s="224" t="s">
        <v>2</v>
      </c>
      <c r="F7873" s="515" t="s">
        <v>9083</v>
      </c>
      <c r="G7873" s="52"/>
      <c r="H7873" s="56">
        <v>0</v>
      </c>
      <c r="I7873" s="224" t="s">
        <v>2</v>
      </c>
    </row>
    <row r="7874" spans="1:9" x14ac:dyDescent="0.25">
      <c r="A7874" s="515">
        <v>27525</v>
      </c>
      <c r="B7874" s="515" t="s">
        <v>484</v>
      </c>
      <c r="C7874" s="52">
        <v>322277.05212099402</v>
      </c>
      <c r="D7874" s="56">
        <v>0.1321581906840644</v>
      </c>
      <c r="E7874" s="224" t="s">
        <v>2</v>
      </c>
      <c r="F7874" s="515" t="s">
        <v>9084</v>
      </c>
      <c r="G7874" s="52">
        <v>143176.343853028</v>
      </c>
      <c r="H7874" s="56">
        <v>0.16416448217763899</v>
      </c>
      <c r="I7874" s="224" t="s">
        <v>2</v>
      </c>
    </row>
    <row r="7875" spans="1:9" x14ac:dyDescent="0.25">
      <c r="A7875" s="515">
        <v>93723</v>
      </c>
      <c r="B7875" s="515" t="s">
        <v>541</v>
      </c>
      <c r="C7875" s="52">
        <v>481287.045996984</v>
      </c>
      <c r="D7875" s="56">
        <v>4.6801497721937736E-2</v>
      </c>
      <c r="E7875" s="224" t="s">
        <v>2</v>
      </c>
      <c r="F7875" s="515" t="s">
        <v>9085</v>
      </c>
      <c r="G7875" s="52">
        <v>319941.92577813199</v>
      </c>
      <c r="H7875" s="56">
        <v>0.15035933849545602</v>
      </c>
      <c r="I7875" s="224" t="s">
        <v>2</v>
      </c>
    </row>
    <row r="7876" spans="1:9" x14ac:dyDescent="0.25">
      <c r="A7876" s="515">
        <v>18337</v>
      </c>
      <c r="B7876" s="515" t="s">
        <v>324</v>
      </c>
      <c r="C7876" s="52">
        <v>303614.81450024998</v>
      </c>
      <c r="D7876" s="56">
        <v>7.3053278380035544E-2</v>
      </c>
      <c r="E7876" s="224" t="s">
        <v>2</v>
      </c>
      <c r="F7876" s="515" t="s">
        <v>9086</v>
      </c>
      <c r="G7876" s="52">
        <v>755325.535869568</v>
      </c>
      <c r="H7876" s="56">
        <v>3.1720103198221744E-2</v>
      </c>
      <c r="I7876" s="224" t="s">
        <v>2</v>
      </c>
    </row>
    <row r="7877" spans="1:9" x14ac:dyDescent="0.25">
      <c r="A7877" s="515">
        <v>68132</v>
      </c>
      <c r="B7877" s="515" t="s">
        <v>367</v>
      </c>
      <c r="C7877" s="52">
        <v>312072.60933754902</v>
      </c>
      <c r="D7877" s="56">
        <v>6.9886509259601673E-2</v>
      </c>
      <c r="E7877" s="224">
        <v>1225.44444444444</v>
      </c>
      <c r="F7877" s="515" t="s">
        <v>9087</v>
      </c>
      <c r="G7877" s="52">
        <v>186184.13898305001</v>
      </c>
      <c r="H7877" s="56">
        <v>0</v>
      </c>
      <c r="I7877" s="224" t="s">
        <v>2</v>
      </c>
    </row>
    <row r="7878" spans="1:9" x14ac:dyDescent="0.25">
      <c r="A7878" s="515">
        <v>2458</v>
      </c>
      <c r="B7878" s="515" t="s">
        <v>534</v>
      </c>
      <c r="C7878" s="52">
        <v>1076846.3315775199</v>
      </c>
      <c r="D7878" s="56">
        <v>2.1628768890098477E-2</v>
      </c>
      <c r="E7878" s="224">
        <v>2437.2222222222199</v>
      </c>
      <c r="F7878" s="515" t="s">
        <v>9088</v>
      </c>
      <c r="G7878" s="52">
        <v>197072.398642894</v>
      </c>
      <c r="H7878" s="56">
        <v>-4.8052531068594811E-3</v>
      </c>
      <c r="I7878" s="224" t="s">
        <v>2</v>
      </c>
    </row>
    <row r="7879" spans="1:9" x14ac:dyDescent="0.25">
      <c r="A7879" s="515">
        <v>29180</v>
      </c>
      <c r="B7879" s="515" t="s">
        <v>762</v>
      </c>
      <c r="C7879" s="52"/>
      <c r="D7879" s="56">
        <v>0</v>
      </c>
      <c r="E7879" s="224" t="s">
        <v>2</v>
      </c>
      <c r="F7879" s="515" t="s">
        <v>9089</v>
      </c>
      <c r="G7879" s="52">
        <v>277300.93355304701</v>
      </c>
      <c r="H7879" s="56">
        <v>5.419151641670987E-2</v>
      </c>
      <c r="I7879" s="224" t="s">
        <v>2</v>
      </c>
    </row>
    <row r="7880" spans="1:9" x14ac:dyDescent="0.25">
      <c r="A7880" s="515">
        <v>60026</v>
      </c>
      <c r="B7880" s="515" t="s">
        <v>394</v>
      </c>
      <c r="C7880" s="52">
        <v>610545.79136450705</v>
      </c>
      <c r="D7880" s="56">
        <v>2.2602481051556992E-2</v>
      </c>
      <c r="E7880" s="224" t="s">
        <v>2</v>
      </c>
      <c r="F7880" s="515" t="s">
        <v>9090</v>
      </c>
      <c r="G7880" s="52">
        <v>145468.067991666</v>
      </c>
      <c r="H7880" s="56">
        <v>6.4207141997248335E-2</v>
      </c>
      <c r="I7880" s="224" t="s">
        <v>2</v>
      </c>
    </row>
    <row r="7881" spans="1:9" x14ac:dyDescent="0.25">
      <c r="A7881" s="515">
        <v>30830</v>
      </c>
      <c r="B7881" s="515" t="s">
        <v>888</v>
      </c>
      <c r="C7881" s="52">
        <v>145396.441495284</v>
      </c>
      <c r="D7881" s="56">
        <v>9.3414044457781606E-2</v>
      </c>
      <c r="E7881" s="224" t="s">
        <v>2</v>
      </c>
      <c r="F7881" s="515" t="s">
        <v>9091</v>
      </c>
      <c r="G7881" s="52">
        <v>177874.867231638</v>
      </c>
      <c r="H7881" s="56">
        <v>0</v>
      </c>
      <c r="I7881" s="224" t="s">
        <v>2</v>
      </c>
    </row>
    <row r="7882" spans="1:9" x14ac:dyDescent="0.25">
      <c r="A7882" s="515">
        <v>38103</v>
      </c>
      <c r="B7882" s="515" t="s">
        <v>951</v>
      </c>
      <c r="C7882" s="52">
        <v>355555.68886478897</v>
      </c>
      <c r="D7882" s="56">
        <v>4.0926187672474107E-2</v>
      </c>
      <c r="E7882" s="224">
        <v>1486.0462962962899</v>
      </c>
      <c r="F7882" s="515" t="s">
        <v>9092</v>
      </c>
      <c r="G7882" s="52">
        <v>357921.43789516599</v>
      </c>
      <c r="H7882" s="56">
        <v>7.3566143676481871E-2</v>
      </c>
      <c r="I7882" s="224" t="s">
        <v>2</v>
      </c>
    </row>
    <row r="7883" spans="1:9" x14ac:dyDescent="0.25">
      <c r="A7883" s="515">
        <v>81623</v>
      </c>
      <c r="B7883" s="515" t="s">
        <v>725</v>
      </c>
      <c r="C7883" s="52">
        <v>1073909.95478894</v>
      </c>
      <c r="D7883" s="56">
        <v>0.10841096300498271</v>
      </c>
      <c r="E7883" s="224" t="s">
        <v>2</v>
      </c>
      <c r="F7883" s="515" t="s">
        <v>9093</v>
      </c>
      <c r="G7883" s="52">
        <v>142968.088274368</v>
      </c>
      <c r="H7883" s="56">
        <v>0.11533388898518965</v>
      </c>
      <c r="I7883" s="224" t="s">
        <v>2</v>
      </c>
    </row>
    <row r="7884" spans="1:9" x14ac:dyDescent="0.25">
      <c r="A7884" s="515">
        <v>38668</v>
      </c>
      <c r="B7884" s="515" t="s">
        <v>951</v>
      </c>
      <c r="C7884" s="52">
        <v>205705.414813251</v>
      </c>
      <c r="D7884" s="56">
        <v>9.7734609665490274E-2</v>
      </c>
      <c r="E7884" s="224" t="s">
        <v>2</v>
      </c>
      <c r="F7884" s="515" t="s">
        <v>9094</v>
      </c>
      <c r="G7884" s="52">
        <v>284728.60436699301</v>
      </c>
      <c r="H7884" s="56">
        <v>0.13282162804519529</v>
      </c>
      <c r="I7884" s="224" t="s">
        <v>2</v>
      </c>
    </row>
    <row r="7885" spans="1:9" x14ac:dyDescent="0.25">
      <c r="A7885" s="515">
        <v>35757</v>
      </c>
      <c r="B7885" s="515" t="s">
        <v>997</v>
      </c>
      <c r="C7885" s="52">
        <v>322920.453760651</v>
      </c>
      <c r="D7885" s="56">
        <v>6.1931217343427158E-2</v>
      </c>
      <c r="E7885" s="224">
        <v>1627.93333333333</v>
      </c>
      <c r="F7885" s="515" t="s">
        <v>9095</v>
      </c>
      <c r="G7885" s="52">
        <v>155284.24647981799</v>
      </c>
      <c r="H7885" s="56">
        <v>0.12622210704303724</v>
      </c>
      <c r="I7885" s="224" t="s">
        <v>2</v>
      </c>
    </row>
    <row r="7886" spans="1:9" x14ac:dyDescent="0.25">
      <c r="A7886" s="515">
        <v>33765</v>
      </c>
      <c r="B7886" s="515" t="s">
        <v>461</v>
      </c>
      <c r="C7886" s="52">
        <v>339032.568729361</v>
      </c>
      <c r="D7886" s="56">
        <v>9.7042557543155841E-2</v>
      </c>
      <c r="E7886" s="224">
        <v>1918.7777777777701</v>
      </c>
      <c r="F7886" s="515" t="s">
        <v>9096</v>
      </c>
      <c r="G7886" s="52">
        <v>209498.24868740299</v>
      </c>
      <c r="H7886" s="56">
        <v>9.2069924729160701E-2</v>
      </c>
      <c r="I7886" s="224" t="s">
        <v>2</v>
      </c>
    </row>
    <row r="7887" spans="1:9" x14ac:dyDescent="0.25">
      <c r="A7887" s="515">
        <v>19056</v>
      </c>
      <c r="B7887" s="515" t="s">
        <v>294</v>
      </c>
      <c r="C7887" s="52">
        <v>371693.54438613902</v>
      </c>
      <c r="D7887" s="56">
        <v>7.1040449466695826E-2</v>
      </c>
      <c r="E7887" s="224" t="s">
        <v>2</v>
      </c>
      <c r="F7887" s="515" t="s">
        <v>9097</v>
      </c>
      <c r="G7887" s="52">
        <v>472121.24245438899</v>
      </c>
      <c r="H7887" s="56">
        <v>0.11787953389125334</v>
      </c>
      <c r="I7887" s="224" t="s">
        <v>2</v>
      </c>
    </row>
    <row r="7888" spans="1:9" x14ac:dyDescent="0.25">
      <c r="A7888" s="515">
        <v>13215</v>
      </c>
      <c r="B7888" s="515" t="s">
        <v>361</v>
      </c>
      <c r="C7888" s="52">
        <v>272987.28719277901</v>
      </c>
      <c r="D7888" s="56">
        <v>6.819678623185961E-2</v>
      </c>
      <c r="E7888" s="224">
        <v>1364.1666666666599</v>
      </c>
      <c r="F7888" s="515" t="s">
        <v>9098</v>
      </c>
      <c r="G7888" s="52">
        <v>73917.302228526998</v>
      </c>
      <c r="H7888" s="56">
        <v>-1.8706890431616486E-2</v>
      </c>
      <c r="I7888" s="224" t="s">
        <v>2</v>
      </c>
    </row>
    <row r="7889" spans="1:9" x14ac:dyDescent="0.25">
      <c r="A7889" s="515">
        <v>39339</v>
      </c>
      <c r="C7889" s="52">
        <v>129305.171124249</v>
      </c>
      <c r="D7889" s="56">
        <v>2.1926114841475056E-2</v>
      </c>
      <c r="E7889" s="224" t="s">
        <v>2</v>
      </c>
      <c r="F7889" s="515" t="s">
        <v>9099</v>
      </c>
      <c r="G7889" s="52">
        <v>148239.014698794</v>
      </c>
      <c r="H7889" s="56">
        <v>0.16465393445014342</v>
      </c>
      <c r="I7889" s="224" t="s">
        <v>2</v>
      </c>
    </row>
    <row r="7890" spans="1:9" x14ac:dyDescent="0.25">
      <c r="A7890" s="515">
        <v>40175</v>
      </c>
      <c r="B7890" s="515" t="s">
        <v>671</v>
      </c>
      <c r="C7890" s="52">
        <v>227022.586640778</v>
      </c>
      <c r="D7890" s="56">
        <v>0.10862761737415666</v>
      </c>
      <c r="E7890" s="224" t="s">
        <v>2</v>
      </c>
      <c r="F7890" s="515" t="s">
        <v>9100</v>
      </c>
      <c r="G7890" s="52">
        <v>146434.03042040201</v>
      </c>
      <c r="H7890" s="56">
        <v>1.3577870351172232E-2</v>
      </c>
      <c r="I7890" s="224" t="s">
        <v>2</v>
      </c>
    </row>
    <row r="7891" spans="1:9" x14ac:dyDescent="0.25">
      <c r="A7891" s="515">
        <v>46975</v>
      </c>
      <c r="C7891" s="52">
        <v>168997.53905319201</v>
      </c>
      <c r="D7891" s="56">
        <v>4.7756002975070634E-2</v>
      </c>
      <c r="E7891" s="224" t="s">
        <v>2</v>
      </c>
      <c r="F7891" s="515" t="s">
        <v>9101</v>
      </c>
      <c r="G7891" s="52">
        <v>136529.63419410901</v>
      </c>
      <c r="H7891" s="56">
        <v>0.16098242356302975</v>
      </c>
      <c r="I7891" s="224" t="s">
        <v>2</v>
      </c>
    </row>
    <row r="7892" spans="1:9" x14ac:dyDescent="0.25">
      <c r="A7892" s="515">
        <v>76301</v>
      </c>
      <c r="B7892" s="515" t="s">
        <v>328</v>
      </c>
      <c r="C7892" s="52">
        <v>70741.060176894694</v>
      </c>
      <c r="D7892" s="56">
        <v>0.12916898567691884</v>
      </c>
      <c r="E7892" s="224">
        <v>1036.5</v>
      </c>
      <c r="F7892" s="515" t="s">
        <v>9102</v>
      </c>
      <c r="G7892" s="52">
        <v>210394.16396814201</v>
      </c>
      <c r="H7892" s="56">
        <v>5.1014255494868627E-2</v>
      </c>
      <c r="I7892" s="224" t="s">
        <v>2</v>
      </c>
    </row>
    <row r="7893" spans="1:9" x14ac:dyDescent="0.25">
      <c r="A7893" s="515">
        <v>97459</v>
      </c>
      <c r="B7893" s="515" t="s">
        <v>868</v>
      </c>
      <c r="C7893" s="52">
        <v>345260.29949166701</v>
      </c>
      <c r="D7893" s="56">
        <v>6.3168501977404784E-2</v>
      </c>
      <c r="E7893" s="224" t="s">
        <v>2</v>
      </c>
      <c r="F7893" s="515" t="s">
        <v>9103</v>
      </c>
      <c r="G7893" s="52">
        <v>432452.292119844</v>
      </c>
      <c r="H7893" s="56">
        <v>3.1617492355317627E-2</v>
      </c>
      <c r="I7893" s="224" t="s">
        <v>2</v>
      </c>
    </row>
    <row r="7894" spans="1:9" x14ac:dyDescent="0.25">
      <c r="A7894" s="515">
        <v>31632</v>
      </c>
      <c r="B7894" s="515" t="s">
        <v>505</v>
      </c>
      <c r="C7894" s="52">
        <v>246533.496673835</v>
      </c>
      <c r="D7894" s="56">
        <v>7.3975349655135816E-2</v>
      </c>
      <c r="E7894" s="224" t="s">
        <v>2</v>
      </c>
      <c r="F7894" s="515" t="s">
        <v>9104</v>
      </c>
      <c r="G7894" s="52">
        <v>156982.579247168</v>
      </c>
      <c r="H7894" s="56">
        <v>7.5309612609491219E-2</v>
      </c>
      <c r="I7894" s="224" t="s">
        <v>2</v>
      </c>
    </row>
    <row r="7895" spans="1:9" x14ac:dyDescent="0.25">
      <c r="A7895" s="515">
        <v>91105</v>
      </c>
      <c r="B7895" s="515" t="s">
        <v>375</v>
      </c>
      <c r="C7895" s="52">
        <v>1506765.5642717101</v>
      </c>
      <c r="D7895" s="56">
        <v>4.976676978080765E-3</v>
      </c>
      <c r="E7895" s="224">
        <v>4222.5555555555502</v>
      </c>
      <c r="F7895" s="515" t="s">
        <v>9105</v>
      </c>
      <c r="G7895" s="52">
        <v>645682.37275109196</v>
      </c>
      <c r="H7895" s="56">
        <v>4.4109348816493477E-2</v>
      </c>
      <c r="I7895" s="224" t="s">
        <v>2</v>
      </c>
    </row>
    <row r="7896" spans="1:9" x14ac:dyDescent="0.25">
      <c r="A7896" s="515">
        <v>32931</v>
      </c>
      <c r="B7896" s="515" t="s">
        <v>1133</v>
      </c>
      <c r="C7896" s="52">
        <v>487094.02518651099</v>
      </c>
      <c r="D7896" s="56">
        <v>0.13057547897452818</v>
      </c>
      <c r="E7896" s="224">
        <v>2762.4242424242402</v>
      </c>
      <c r="F7896" s="515" t="s">
        <v>9106</v>
      </c>
      <c r="G7896" s="52">
        <v>379159.962210909</v>
      </c>
      <c r="H7896" s="56">
        <v>8.0924618863137621E-2</v>
      </c>
      <c r="I7896" s="224" t="s">
        <v>2</v>
      </c>
    </row>
    <row r="7897" spans="1:9" x14ac:dyDescent="0.25">
      <c r="A7897" s="515">
        <v>29693</v>
      </c>
      <c r="B7897" s="515" t="s">
        <v>804</v>
      </c>
      <c r="C7897" s="52">
        <v>189783.36063380199</v>
      </c>
      <c r="D7897" s="56">
        <v>0.14170567941689122</v>
      </c>
      <c r="E7897" s="224" t="s">
        <v>2</v>
      </c>
      <c r="F7897" s="515" t="s">
        <v>9107</v>
      </c>
      <c r="G7897" s="52">
        <v>144549.79022284801</v>
      </c>
      <c r="H7897" s="56">
        <v>5.0476921463656635E-2</v>
      </c>
      <c r="I7897" s="224" t="s">
        <v>2</v>
      </c>
    </row>
    <row r="7898" spans="1:9" x14ac:dyDescent="0.25">
      <c r="A7898" s="515">
        <v>89143</v>
      </c>
      <c r="B7898" s="515" t="s">
        <v>323</v>
      </c>
      <c r="C7898" s="52">
        <v>417152.119290439</v>
      </c>
      <c r="D7898" s="56">
        <v>2.7754938807048997E-2</v>
      </c>
      <c r="E7898" s="224">
        <v>2116.63888888888</v>
      </c>
      <c r="F7898" s="515" t="s">
        <v>9108</v>
      </c>
      <c r="G7898" s="52">
        <v>367518.18609159399</v>
      </c>
      <c r="H7898" s="56">
        <v>6.5944337963873292E-2</v>
      </c>
      <c r="I7898" s="224">
        <v>1820</v>
      </c>
    </row>
    <row r="7899" spans="1:9" x14ac:dyDescent="0.25">
      <c r="A7899" s="515">
        <v>44321</v>
      </c>
      <c r="B7899" s="515" t="s">
        <v>1000</v>
      </c>
      <c r="C7899" s="52">
        <v>310579.42991316202</v>
      </c>
      <c r="D7899" s="56">
        <v>4.9639258225537539E-2</v>
      </c>
      <c r="E7899" s="224" t="s">
        <v>2</v>
      </c>
      <c r="F7899" s="515" t="s">
        <v>9109</v>
      </c>
      <c r="G7899" s="52">
        <v>146292.075319064</v>
      </c>
      <c r="H7899" s="56">
        <v>0.1841285071743419</v>
      </c>
      <c r="I7899" s="224" t="s">
        <v>2</v>
      </c>
    </row>
    <row r="7900" spans="1:9" x14ac:dyDescent="0.25">
      <c r="A7900" s="515">
        <v>86047</v>
      </c>
      <c r="B7900" s="515" t="s">
        <v>533</v>
      </c>
      <c r="C7900" s="52">
        <v>163453.87964562199</v>
      </c>
      <c r="D7900" s="56">
        <v>0.11382487584859553</v>
      </c>
      <c r="E7900" s="224" t="s">
        <v>2</v>
      </c>
      <c r="F7900" s="515" t="s">
        <v>9110</v>
      </c>
      <c r="G7900" s="52">
        <v>143433.53073113001</v>
      </c>
      <c r="H7900" s="56">
        <v>0.10567776377334921</v>
      </c>
      <c r="I7900" s="224" t="s">
        <v>2</v>
      </c>
    </row>
    <row r="7901" spans="1:9" x14ac:dyDescent="0.25">
      <c r="A7901" s="515">
        <v>49660</v>
      </c>
      <c r="C7901" s="52">
        <v>200703.638842883</v>
      </c>
      <c r="D7901" s="56">
        <v>5.0174558280468698E-2</v>
      </c>
      <c r="E7901" s="224" t="s">
        <v>2</v>
      </c>
      <c r="F7901" s="515" t="s">
        <v>9111</v>
      </c>
      <c r="G7901" s="52">
        <v>143303.79194881499</v>
      </c>
      <c r="H7901" s="56">
        <v>0.15882961684736246</v>
      </c>
      <c r="I7901" s="224" t="s">
        <v>2</v>
      </c>
    </row>
    <row r="7902" spans="1:9" x14ac:dyDescent="0.25">
      <c r="A7902" s="515">
        <v>90716</v>
      </c>
      <c r="B7902" s="515" t="s">
        <v>375</v>
      </c>
      <c r="C7902" s="52">
        <v>549011.48704275698</v>
      </c>
      <c r="D7902" s="56">
        <v>8.5723719030038628E-2</v>
      </c>
      <c r="E7902" s="224" t="s">
        <v>2</v>
      </c>
      <c r="F7902" s="515" t="s">
        <v>9112</v>
      </c>
      <c r="G7902" s="52">
        <v>142164.55367981401</v>
      </c>
      <c r="H7902" s="56">
        <v>9.5397933473662794E-2</v>
      </c>
      <c r="I7902" s="224" t="s">
        <v>2</v>
      </c>
    </row>
    <row r="7903" spans="1:9" x14ac:dyDescent="0.25">
      <c r="A7903" s="515">
        <v>95326</v>
      </c>
      <c r="B7903" s="515" t="s">
        <v>797</v>
      </c>
      <c r="C7903" s="52">
        <v>502033.58837240998</v>
      </c>
      <c r="D7903" s="56">
        <v>4.8256077363186066E-2</v>
      </c>
      <c r="E7903" s="224" t="s">
        <v>2</v>
      </c>
      <c r="F7903" s="515" t="s">
        <v>9113</v>
      </c>
      <c r="G7903" s="52">
        <v>215743.91232002701</v>
      </c>
      <c r="H7903" s="56">
        <v>9.617954506364039E-2</v>
      </c>
      <c r="I7903" s="224" t="s">
        <v>2</v>
      </c>
    </row>
    <row r="7904" spans="1:9" x14ac:dyDescent="0.25">
      <c r="A7904" s="515">
        <v>68503</v>
      </c>
      <c r="B7904" s="515" t="s">
        <v>486</v>
      </c>
      <c r="C7904" s="52">
        <v>170239.32301155099</v>
      </c>
      <c r="D7904" s="56">
        <v>8.4209306208788109E-2</v>
      </c>
      <c r="E7904" s="224">
        <v>1060.87301587301</v>
      </c>
      <c r="F7904" s="515" t="s">
        <v>9114</v>
      </c>
      <c r="G7904" s="52">
        <v>1422087.50783816</v>
      </c>
      <c r="H7904" s="56">
        <v>1.7557865523809491E-2</v>
      </c>
      <c r="I7904" s="224">
        <v>4850</v>
      </c>
    </row>
    <row r="7905" spans="1:9" x14ac:dyDescent="0.25">
      <c r="A7905" s="515">
        <v>28315</v>
      </c>
      <c r="B7905" s="515" t="s">
        <v>1090</v>
      </c>
      <c r="C7905" s="52">
        <v>302703.25466811698</v>
      </c>
      <c r="D7905" s="56">
        <v>0.16403436582036657</v>
      </c>
      <c r="E7905" s="224" t="s">
        <v>2</v>
      </c>
      <c r="F7905" s="515" t="s">
        <v>9115</v>
      </c>
      <c r="G7905" s="52">
        <v>176632.18114863799</v>
      </c>
      <c r="H7905" s="56">
        <v>7.9342525406372502E-2</v>
      </c>
      <c r="I7905" s="224" t="s">
        <v>2</v>
      </c>
    </row>
    <row r="7906" spans="1:9" x14ac:dyDescent="0.25">
      <c r="A7906" s="515">
        <v>44141</v>
      </c>
      <c r="B7906" s="515" t="s">
        <v>520</v>
      </c>
      <c r="C7906" s="52">
        <v>353248.73552394798</v>
      </c>
      <c r="D7906" s="56">
        <v>5.3704416562578558E-2</v>
      </c>
      <c r="E7906" s="224" t="s">
        <v>2</v>
      </c>
      <c r="F7906" s="515" t="s">
        <v>9116</v>
      </c>
      <c r="G7906" s="52">
        <v>357058.30581045401</v>
      </c>
      <c r="H7906" s="56">
        <v>0.11457028273692754</v>
      </c>
      <c r="I7906" s="224" t="s">
        <v>2</v>
      </c>
    </row>
    <row r="7907" spans="1:9" x14ac:dyDescent="0.25">
      <c r="A7907" s="515">
        <v>28021</v>
      </c>
      <c r="B7907" s="515" t="s">
        <v>360</v>
      </c>
      <c r="C7907" s="52">
        <v>221701.33984559699</v>
      </c>
      <c r="D7907" s="56">
        <v>0.15089615486367136</v>
      </c>
      <c r="E7907" s="224" t="s">
        <v>2</v>
      </c>
      <c r="F7907" s="515" t="s">
        <v>9117</v>
      </c>
      <c r="G7907" s="52">
        <v>1091135.1890052699</v>
      </c>
      <c r="H7907" s="56">
        <v>8.5938690735376647E-2</v>
      </c>
      <c r="I7907" s="224" t="s">
        <v>2</v>
      </c>
    </row>
    <row r="7908" spans="1:9" x14ac:dyDescent="0.25">
      <c r="A7908" s="515">
        <v>38120</v>
      </c>
      <c r="B7908" s="515" t="s">
        <v>951</v>
      </c>
      <c r="C7908" s="52">
        <v>409811.41819990601</v>
      </c>
      <c r="D7908" s="56">
        <v>4.6348449369728928E-2</v>
      </c>
      <c r="E7908" s="224" t="s">
        <v>2</v>
      </c>
      <c r="F7908" s="515" t="s">
        <v>9118</v>
      </c>
      <c r="G7908" s="52">
        <v>260323.91525972699</v>
      </c>
      <c r="H7908" s="56">
        <v>8.0564154611479158E-2</v>
      </c>
      <c r="I7908" s="224" t="s">
        <v>2</v>
      </c>
    </row>
    <row r="7909" spans="1:9" x14ac:dyDescent="0.25">
      <c r="A7909" s="515">
        <v>77801</v>
      </c>
      <c r="B7909" s="515" t="s">
        <v>346</v>
      </c>
      <c r="C7909" s="52">
        <v>206709.919147418</v>
      </c>
      <c r="D7909" s="56">
        <v>8.6335185792424204E-2</v>
      </c>
      <c r="E7909" s="224">
        <v>2260.2083333333298</v>
      </c>
      <c r="F7909" s="515" t="s">
        <v>9119</v>
      </c>
      <c r="G7909" s="52">
        <v>74218.435464028007</v>
      </c>
      <c r="H7909" s="56">
        <v>8.0548010192144068E-2</v>
      </c>
      <c r="I7909" s="224" t="s">
        <v>2</v>
      </c>
    </row>
    <row r="7910" spans="1:9" x14ac:dyDescent="0.25">
      <c r="A7910" s="515">
        <v>1778</v>
      </c>
      <c r="B7910" s="515" t="s">
        <v>534</v>
      </c>
      <c r="C7910" s="52">
        <v>944213.92339639401</v>
      </c>
      <c r="D7910" s="56">
        <v>6.3021553848579798E-2</v>
      </c>
      <c r="E7910" s="224" t="s">
        <v>2</v>
      </c>
      <c r="F7910" s="515" t="s">
        <v>9120</v>
      </c>
      <c r="G7910" s="52">
        <v>109689.031220601</v>
      </c>
      <c r="H7910" s="56">
        <v>6.4186425411528386E-2</v>
      </c>
      <c r="I7910" s="224" t="s">
        <v>2</v>
      </c>
    </row>
    <row r="7911" spans="1:9" x14ac:dyDescent="0.25">
      <c r="A7911" s="515">
        <v>10941</v>
      </c>
      <c r="B7911" s="515" t="s">
        <v>529</v>
      </c>
      <c r="C7911" s="52">
        <v>371568.56113348802</v>
      </c>
      <c r="D7911" s="56">
        <v>9.9602087427921246E-2</v>
      </c>
      <c r="E7911" s="224">
        <v>1981.6666666666599</v>
      </c>
      <c r="F7911" s="515" t="s">
        <v>9121</v>
      </c>
      <c r="G7911" s="52">
        <v>315497.23093984398</v>
      </c>
      <c r="H7911" s="56">
        <v>6.3151824433644546E-2</v>
      </c>
      <c r="I7911" s="224" t="s">
        <v>2</v>
      </c>
    </row>
    <row r="7912" spans="1:9" x14ac:dyDescent="0.25">
      <c r="A7912" s="515">
        <v>15229</v>
      </c>
      <c r="B7912" s="515" t="s">
        <v>297</v>
      </c>
      <c r="C7912" s="52">
        <v>217246.483287982</v>
      </c>
      <c r="D7912" s="56">
        <v>2.9439374908719805E-2</v>
      </c>
      <c r="E7912" s="224">
        <v>1295</v>
      </c>
      <c r="F7912" s="515" t="s">
        <v>9122</v>
      </c>
      <c r="G7912" s="52">
        <v>236913.68403636699</v>
      </c>
      <c r="H7912" s="56">
        <v>6.1682141231845254E-2</v>
      </c>
      <c r="I7912" s="224" t="s">
        <v>2</v>
      </c>
    </row>
    <row r="7913" spans="1:9" x14ac:dyDescent="0.25">
      <c r="A7913" s="515">
        <v>43545</v>
      </c>
      <c r="C7913" s="52">
        <v>167405.562328717</v>
      </c>
      <c r="D7913" s="56">
        <v>2.9655844431634031E-2</v>
      </c>
      <c r="E7913" s="224" t="s">
        <v>2</v>
      </c>
      <c r="F7913" s="515" t="s">
        <v>9123</v>
      </c>
      <c r="G7913" s="52">
        <v>265208.79097533302</v>
      </c>
      <c r="H7913" s="56">
        <v>0.1348516111679568</v>
      </c>
      <c r="I7913" s="224" t="s">
        <v>2</v>
      </c>
    </row>
    <row r="7914" spans="1:9" x14ac:dyDescent="0.25">
      <c r="A7914" s="515">
        <v>46040</v>
      </c>
      <c r="B7914" s="515" t="s">
        <v>403</v>
      </c>
      <c r="C7914" s="52">
        <v>426438.45278787799</v>
      </c>
      <c r="D7914" s="56">
        <v>6.2413049892553224E-2</v>
      </c>
      <c r="E7914" s="224" t="s">
        <v>2</v>
      </c>
      <c r="F7914" s="515" t="s">
        <v>9124</v>
      </c>
      <c r="G7914" s="52">
        <v>310966.32032152102</v>
      </c>
      <c r="H7914" s="56">
        <v>5.5912912499428043E-2</v>
      </c>
      <c r="I7914" s="224" t="s">
        <v>2</v>
      </c>
    </row>
    <row r="7915" spans="1:9" x14ac:dyDescent="0.25">
      <c r="A7915" s="515">
        <v>56003</v>
      </c>
      <c r="B7915" s="515" t="s">
        <v>542</v>
      </c>
      <c r="C7915" s="52">
        <v>271824.04145938798</v>
      </c>
      <c r="D7915" s="56">
        <v>3.9841809989699419E-2</v>
      </c>
      <c r="E7915" s="224" t="s">
        <v>2</v>
      </c>
      <c r="F7915" s="515" t="s">
        <v>9125</v>
      </c>
      <c r="G7915" s="52">
        <v>228545.10168558001</v>
      </c>
      <c r="H7915" s="56">
        <v>6.5243461386513726E-2</v>
      </c>
      <c r="I7915" s="224" t="s">
        <v>2</v>
      </c>
    </row>
    <row r="7916" spans="1:9" x14ac:dyDescent="0.25">
      <c r="A7916" s="515">
        <v>92603</v>
      </c>
      <c r="B7916" s="515" t="s">
        <v>375</v>
      </c>
      <c r="C7916" s="52">
        <v>1710133.0022693099</v>
      </c>
      <c r="D7916" s="56">
        <v>0.11800751808792122</v>
      </c>
      <c r="E7916" s="224">
        <v>3328.11904761904</v>
      </c>
      <c r="F7916" s="515" t="s">
        <v>9126</v>
      </c>
      <c r="G7916" s="52">
        <v>163198.21127041799</v>
      </c>
      <c r="H7916" s="56">
        <v>3.8248219489141685E-2</v>
      </c>
      <c r="I7916" s="224" t="s">
        <v>2</v>
      </c>
    </row>
    <row r="7917" spans="1:9" x14ac:dyDescent="0.25">
      <c r="A7917" s="515">
        <v>68310</v>
      </c>
      <c r="B7917" s="515" t="s">
        <v>745</v>
      </c>
      <c r="C7917" s="52">
        <v>148962.385074752</v>
      </c>
      <c r="D7917" s="56">
        <v>9.140561008851171E-2</v>
      </c>
      <c r="E7917" s="224" t="s">
        <v>2</v>
      </c>
      <c r="F7917" s="515" t="s">
        <v>9127</v>
      </c>
      <c r="G7917" s="52">
        <v>142222.88904427999</v>
      </c>
      <c r="H7917" s="56">
        <v>0.11960487384592623</v>
      </c>
      <c r="I7917" s="224" t="s">
        <v>2</v>
      </c>
    </row>
    <row r="7918" spans="1:9" x14ac:dyDescent="0.25">
      <c r="A7918" s="515">
        <v>47960</v>
      </c>
      <c r="C7918" s="52">
        <v>193504.68612831901</v>
      </c>
      <c r="D7918" s="56">
        <v>4.2361662208606772E-2</v>
      </c>
      <c r="E7918" s="224" t="s">
        <v>2</v>
      </c>
      <c r="F7918" s="515" t="s">
        <v>9128</v>
      </c>
      <c r="G7918" s="52">
        <v>543250.83451055596</v>
      </c>
      <c r="H7918" s="56">
        <v>8.8807785756368843E-2</v>
      </c>
      <c r="I7918" s="224" t="s">
        <v>2</v>
      </c>
    </row>
    <row r="7919" spans="1:9" x14ac:dyDescent="0.25">
      <c r="A7919" s="515">
        <v>81507</v>
      </c>
      <c r="B7919" s="515" t="s">
        <v>619</v>
      </c>
      <c r="C7919" s="52">
        <v>530695.76723536302</v>
      </c>
      <c r="D7919" s="56">
        <v>2.706548770204505E-2</v>
      </c>
      <c r="E7919" s="224">
        <v>1850</v>
      </c>
      <c r="F7919" s="515" t="s">
        <v>9129</v>
      </c>
      <c r="G7919" s="52">
        <v>833196.43985560397</v>
      </c>
      <c r="H7919" s="56">
        <v>7.6714231069630962E-2</v>
      </c>
      <c r="I7919" s="224" t="s">
        <v>2</v>
      </c>
    </row>
    <row r="7920" spans="1:9" x14ac:dyDescent="0.25">
      <c r="A7920" s="515">
        <v>11702</v>
      </c>
      <c r="B7920" s="515" t="s">
        <v>324</v>
      </c>
      <c r="C7920" s="52">
        <v>603226.68468006095</v>
      </c>
      <c r="D7920" s="56">
        <v>1.8223110492133873E-2</v>
      </c>
      <c r="E7920" s="224" t="s">
        <v>2</v>
      </c>
      <c r="F7920" s="515" t="s">
        <v>9130</v>
      </c>
      <c r="G7920" s="52">
        <v>577559.09004545806</v>
      </c>
      <c r="H7920" s="56">
        <v>7.2950424943606554E-2</v>
      </c>
      <c r="I7920" s="224" t="s">
        <v>2</v>
      </c>
    </row>
    <row r="7921" spans="1:9" x14ac:dyDescent="0.25">
      <c r="A7921" s="515">
        <v>64057</v>
      </c>
      <c r="B7921" s="515" t="s">
        <v>455</v>
      </c>
      <c r="C7921" s="52">
        <v>263761.82655119803</v>
      </c>
      <c r="D7921" s="56">
        <v>7.9125546773380004E-2</v>
      </c>
      <c r="E7921" s="224">
        <v>1332.6666666666599</v>
      </c>
      <c r="F7921" s="515" t="s">
        <v>9131</v>
      </c>
      <c r="G7921" s="52">
        <v>342209.375826245</v>
      </c>
      <c r="H7921" s="56">
        <v>0.10930918961673006</v>
      </c>
      <c r="I7921" s="224" t="s">
        <v>2</v>
      </c>
    </row>
    <row r="7922" spans="1:9" x14ac:dyDescent="0.25">
      <c r="A7922" s="515">
        <v>36541</v>
      </c>
      <c r="B7922" s="515" t="s">
        <v>815</v>
      </c>
      <c r="C7922" s="52">
        <v>191767.253058665</v>
      </c>
      <c r="D7922" s="56">
        <v>7.9481131717527548E-2</v>
      </c>
      <c r="E7922" s="224" t="s">
        <v>2</v>
      </c>
      <c r="F7922" s="515" t="s">
        <v>9132</v>
      </c>
      <c r="G7922" s="52">
        <v>159218.61607255001</v>
      </c>
      <c r="H7922" s="56">
        <v>0.14575361688875285</v>
      </c>
      <c r="I7922" s="224" t="s">
        <v>2</v>
      </c>
    </row>
    <row r="7923" spans="1:9" x14ac:dyDescent="0.25">
      <c r="A7923" s="515">
        <v>44907</v>
      </c>
      <c r="B7923" s="515" t="s">
        <v>1140</v>
      </c>
      <c r="C7923" s="52">
        <v>139722.46627388001</v>
      </c>
      <c r="D7923" s="56">
        <v>8.435586790425223E-2</v>
      </c>
      <c r="E7923" s="224" t="s">
        <v>2</v>
      </c>
      <c r="F7923" s="515" t="s">
        <v>9133</v>
      </c>
      <c r="G7923" s="52">
        <v>331507.41047500999</v>
      </c>
      <c r="H7923" s="56">
        <v>5.5097461384234533E-2</v>
      </c>
      <c r="I7923" s="224" t="s">
        <v>2</v>
      </c>
    </row>
    <row r="7924" spans="1:9" x14ac:dyDescent="0.25">
      <c r="A7924" s="515">
        <v>30204</v>
      </c>
      <c r="B7924" s="515" t="s">
        <v>957</v>
      </c>
      <c r="C7924" s="52">
        <v>207013.88436045701</v>
      </c>
      <c r="D7924" s="56">
        <v>0.16038811059051852</v>
      </c>
      <c r="E7924" s="224" t="s">
        <v>2</v>
      </c>
      <c r="F7924" s="515" t="s">
        <v>9134</v>
      </c>
      <c r="G7924" s="52">
        <v>89557.947178037502</v>
      </c>
      <c r="H7924" s="56">
        <v>9.665272211740171E-2</v>
      </c>
      <c r="I7924" s="224" t="s">
        <v>2</v>
      </c>
    </row>
    <row r="7925" spans="1:9" x14ac:dyDescent="0.25">
      <c r="A7925" s="515">
        <v>60033</v>
      </c>
      <c r="B7925" s="515" t="s">
        <v>394</v>
      </c>
      <c r="C7925" s="52">
        <v>203108.861168406</v>
      </c>
      <c r="D7925" s="56">
        <v>4.2688656609971003E-2</v>
      </c>
      <c r="E7925" s="224" t="s">
        <v>2</v>
      </c>
      <c r="F7925" s="515" t="s">
        <v>9135</v>
      </c>
      <c r="G7925" s="52">
        <v>281317.689050238</v>
      </c>
      <c r="H7925" s="56">
        <v>-8.3421691582239257E-4</v>
      </c>
      <c r="I7925" s="224" t="s">
        <v>2</v>
      </c>
    </row>
    <row r="7926" spans="1:9" x14ac:dyDescent="0.25">
      <c r="A7926" s="515">
        <v>95130</v>
      </c>
      <c r="B7926" s="515" t="s">
        <v>850</v>
      </c>
      <c r="C7926" s="52">
        <v>1702188.45967379</v>
      </c>
      <c r="D7926" s="56">
        <v>4.9354220918356825E-2</v>
      </c>
      <c r="E7926" s="224">
        <v>3614.1666666666601</v>
      </c>
      <c r="F7926" s="515" t="s">
        <v>9136</v>
      </c>
      <c r="G7926" s="52">
        <v>122701.210624795</v>
      </c>
      <c r="H7926" s="56">
        <v>2.1010556276625455E-2</v>
      </c>
      <c r="I7926" s="224" t="s">
        <v>2</v>
      </c>
    </row>
    <row r="7927" spans="1:9" x14ac:dyDescent="0.25">
      <c r="A7927" s="515">
        <v>73106</v>
      </c>
      <c r="B7927" s="515" t="s">
        <v>385</v>
      </c>
      <c r="C7927" s="52">
        <v>200262.935272025</v>
      </c>
      <c r="D7927" s="56">
        <v>0.11863437021616281</v>
      </c>
      <c r="E7927" s="224">
        <v>1153.3291666666601</v>
      </c>
      <c r="F7927" s="515" t="s">
        <v>9137</v>
      </c>
      <c r="G7927" s="52">
        <v>227543.19057229499</v>
      </c>
      <c r="H7927" s="56">
        <v>0.11504232225469001</v>
      </c>
      <c r="I7927" s="224" t="s">
        <v>2</v>
      </c>
    </row>
    <row r="7928" spans="1:9" x14ac:dyDescent="0.25">
      <c r="A7928" s="515">
        <v>22302</v>
      </c>
      <c r="B7928" s="515" t="s">
        <v>321</v>
      </c>
      <c r="C7928" s="52">
        <v>429148.901946634</v>
      </c>
      <c r="D7928" s="56">
        <v>-3.6116220209146996E-2</v>
      </c>
      <c r="E7928" s="224">
        <v>2175.8127450980301</v>
      </c>
      <c r="F7928" s="515" t="s">
        <v>9138</v>
      </c>
      <c r="G7928" s="52">
        <v>137447.20822073001</v>
      </c>
      <c r="H7928" s="56">
        <v>0.10219801062638013</v>
      </c>
      <c r="I7928" s="224" t="s">
        <v>2</v>
      </c>
    </row>
    <row r="7929" spans="1:9" x14ac:dyDescent="0.25">
      <c r="A7929" s="515">
        <v>92014</v>
      </c>
      <c r="B7929" s="515" t="s">
        <v>396</v>
      </c>
      <c r="C7929" s="52">
        <v>2396571.1701450502</v>
      </c>
      <c r="D7929" s="56">
        <v>7.3251651026545822E-2</v>
      </c>
      <c r="E7929" s="224">
        <v>5569.7619047619</v>
      </c>
      <c r="F7929" s="515" t="s">
        <v>9139</v>
      </c>
      <c r="G7929" s="52">
        <v>301467.37361013901</v>
      </c>
      <c r="H7929" s="56">
        <v>9.5572221099354433E-3</v>
      </c>
      <c r="I7929" s="224" t="s">
        <v>2</v>
      </c>
    </row>
    <row r="7930" spans="1:9" x14ac:dyDescent="0.25">
      <c r="A7930" s="515">
        <v>55077</v>
      </c>
      <c r="B7930" s="515" t="s">
        <v>532</v>
      </c>
      <c r="C7930" s="52">
        <v>514878.94412892999</v>
      </c>
      <c r="D7930" s="56">
        <v>4.5601059514687591E-2</v>
      </c>
      <c r="E7930" s="224">
        <v>1632.1666666666599</v>
      </c>
      <c r="F7930" s="515" t="s">
        <v>9140</v>
      </c>
      <c r="G7930" s="52">
        <v>229513.66501644699</v>
      </c>
      <c r="H7930" s="56">
        <v>6.4581848195760461E-2</v>
      </c>
      <c r="I7930" s="224" t="s">
        <v>2</v>
      </c>
    </row>
    <row r="7931" spans="1:9" x14ac:dyDescent="0.25">
      <c r="A7931" s="515">
        <v>70130</v>
      </c>
      <c r="B7931" s="515" t="s">
        <v>777</v>
      </c>
      <c r="C7931" s="52">
        <v>389350.592614653</v>
      </c>
      <c r="D7931" s="56">
        <v>-2.8104611256968007E-2</v>
      </c>
      <c r="E7931" s="224">
        <v>1799.0842490842399</v>
      </c>
      <c r="F7931" s="515" t="s">
        <v>9141</v>
      </c>
      <c r="G7931" s="52">
        <v>223143.61575932201</v>
      </c>
      <c r="H7931" s="56">
        <v>9.463414054624858E-2</v>
      </c>
      <c r="I7931" s="224" t="s">
        <v>2</v>
      </c>
    </row>
    <row r="7932" spans="1:9" x14ac:dyDescent="0.25">
      <c r="A7932" s="515">
        <v>60555</v>
      </c>
      <c r="B7932" s="515" t="s">
        <v>394</v>
      </c>
      <c r="C7932" s="52">
        <v>274763.42644888599</v>
      </c>
      <c r="D7932" s="56">
        <v>4.6232328518069368E-2</v>
      </c>
      <c r="E7932" s="224">
        <v>1971.6666666666599</v>
      </c>
      <c r="F7932" s="515" t="s">
        <v>9142</v>
      </c>
      <c r="G7932" s="52">
        <v>134462.576258557</v>
      </c>
      <c r="H7932" s="56">
        <v>3.9229361806030524E-2</v>
      </c>
      <c r="I7932" s="224" t="s">
        <v>2</v>
      </c>
    </row>
    <row r="7933" spans="1:9" x14ac:dyDescent="0.25">
      <c r="A7933" s="515">
        <v>48059</v>
      </c>
      <c r="B7933" s="515" t="s">
        <v>685</v>
      </c>
      <c r="C7933" s="52">
        <v>227001.86919257799</v>
      </c>
      <c r="D7933" s="56">
        <v>6.2772770092257346E-2</v>
      </c>
      <c r="E7933" s="224" t="s">
        <v>2</v>
      </c>
      <c r="F7933" s="515" t="s">
        <v>9143</v>
      </c>
      <c r="G7933" s="52">
        <v>228603.63825297699</v>
      </c>
      <c r="H7933" s="56">
        <v>0.14694809260993863</v>
      </c>
      <c r="I7933" s="224" t="s">
        <v>2</v>
      </c>
    </row>
    <row r="7934" spans="1:9" x14ac:dyDescent="0.25">
      <c r="A7934" s="515">
        <v>80246</v>
      </c>
      <c r="B7934" s="515" t="s">
        <v>401</v>
      </c>
      <c r="C7934" s="52">
        <v>580324.51718651201</v>
      </c>
      <c r="D7934" s="56">
        <v>3.1705907519578851E-2</v>
      </c>
      <c r="E7934" s="224">
        <v>1617.7172494172401</v>
      </c>
      <c r="F7934" s="515" t="s">
        <v>9144</v>
      </c>
      <c r="G7934" s="52">
        <v>186346.76683087001</v>
      </c>
      <c r="H7934" s="56">
        <v>0</v>
      </c>
      <c r="I7934" s="224" t="s">
        <v>2</v>
      </c>
    </row>
    <row r="7935" spans="1:9" x14ac:dyDescent="0.25">
      <c r="A7935" s="515">
        <v>3045</v>
      </c>
      <c r="B7935" s="515" t="s">
        <v>996</v>
      </c>
      <c r="C7935" s="52">
        <v>427128.84412359999</v>
      </c>
      <c r="D7935" s="56">
        <v>9.7644445560108553E-2</v>
      </c>
      <c r="E7935" s="224" t="s">
        <v>2</v>
      </c>
      <c r="F7935" s="515" t="s">
        <v>9145</v>
      </c>
      <c r="G7935" s="52">
        <v>194622.23482215399</v>
      </c>
      <c r="H7935" s="56">
        <v>7.4814649999384419E-2</v>
      </c>
      <c r="I7935" s="224" t="s">
        <v>2</v>
      </c>
    </row>
    <row r="7936" spans="1:9" x14ac:dyDescent="0.25">
      <c r="A7936" s="515">
        <v>71295</v>
      </c>
      <c r="C7936" s="52">
        <v>92119.922336253294</v>
      </c>
      <c r="D7936" s="56">
        <v>2.4644857170790752E-2</v>
      </c>
      <c r="E7936" s="224" t="s">
        <v>2</v>
      </c>
      <c r="F7936" s="515" t="s">
        <v>9146</v>
      </c>
      <c r="G7936" s="52">
        <v>2272702.5908713099</v>
      </c>
      <c r="H7936" s="56">
        <v>8.1435513536195048E-2</v>
      </c>
      <c r="I7936" s="224" t="s">
        <v>2</v>
      </c>
    </row>
    <row r="7937" spans="1:9" x14ac:dyDescent="0.25">
      <c r="A7937" s="515">
        <v>31533</v>
      </c>
      <c r="B7937" s="515" t="s">
        <v>917</v>
      </c>
      <c r="C7937" s="52">
        <v>111768.99497525299</v>
      </c>
      <c r="D7937" s="56">
        <v>9.412220595304388E-2</v>
      </c>
      <c r="E7937" s="224" t="s">
        <v>2</v>
      </c>
      <c r="F7937" s="515" t="s">
        <v>9147</v>
      </c>
      <c r="G7937" s="52">
        <v>345796.28378842497</v>
      </c>
      <c r="H7937" s="56">
        <v>2.9719345660396929E-2</v>
      </c>
      <c r="I7937" s="224" t="s">
        <v>2</v>
      </c>
    </row>
    <row r="7938" spans="1:9" x14ac:dyDescent="0.25">
      <c r="A7938" s="515">
        <v>36027</v>
      </c>
      <c r="B7938" s="515" t="s">
        <v>1059</v>
      </c>
      <c r="C7938" s="52">
        <v>153748.12425343599</v>
      </c>
      <c r="D7938" s="56">
        <v>3.184939164587932E-2</v>
      </c>
      <c r="E7938" s="224" t="s">
        <v>2</v>
      </c>
      <c r="F7938" s="515" t="s">
        <v>2470</v>
      </c>
      <c r="G7938" s="52">
        <v>182064.41330684599</v>
      </c>
      <c r="H7938" s="56">
        <v>6.7271463847422525E-2</v>
      </c>
      <c r="I7938" s="224">
        <v>1554.5833333333301</v>
      </c>
    </row>
    <row r="7939" spans="1:9" x14ac:dyDescent="0.25">
      <c r="A7939" s="515">
        <v>45403</v>
      </c>
      <c r="B7939" s="515" t="s">
        <v>340</v>
      </c>
      <c r="C7939" s="52">
        <v>79825.879993643</v>
      </c>
      <c r="D7939" s="56">
        <v>0.23873699345196644</v>
      </c>
      <c r="E7939" s="224">
        <v>912.77777777777703</v>
      </c>
      <c r="F7939" s="515" t="s">
        <v>9148</v>
      </c>
      <c r="G7939" s="52">
        <v>332985.54750494403</v>
      </c>
      <c r="H7939" s="56">
        <v>5.7173382988446757E-2</v>
      </c>
      <c r="I7939" s="224" t="s">
        <v>2</v>
      </c>
    </row>
    <row r="7940" spans="1:9" x14ac:dyDescent="0.25">
      <c r="A7940" s="515">
        <v>68131</v>
      </c>
      <c r="B7940" s="515" t="s">
        <v>367</v>
      </c>
      <c r="C7940" s="52">
        <v>196195.034933674</v>
      </c>
      <c r="D7940" s="56">
        <v>0.13270249085474523</v>
      </c>
      <c r="E7940" s="224">
        <v>1270.94444444444</v>
      </c>
      <c r="F7940" s="515" t="s">
        <v>9149</v>
      </c>
      <c r="G7940" s="52">
        <v>144011.35572525201</v>
      </c>
      <c r="H7940" s="56">
        <v>2.1771477681414901E-2</v>
      </c>
      <c r="I7940" s="224" t="s">
        <v>2</v>
      </c>
    </row>
    <row r="7941" spans="1:9" x14ac:dyDescent="0.25">
      <c r="A7941" s="515">
        <v>59840</v>
      </c>
      <c r="C7941" s="52">
        <v>472790.43887948402</v>
      </c>
      <c r="D7941" s="56">
        <v>3.0076035695369367E-2</v>
      </c>
      <c r="E7941" s="224" t="s">
        <v>2</v>
      </c>
      <c r="F7941" s="515" t="s">
        <v>9150</v>
      </c>
      <c r="G7941" s="52">
        <v>162758.30027868401</v>
      </c>
      <c r="H7941" s="56">
        <v>4.1275531218614478E-2</v>
      </c>
      <c r="I7941" s="224" t="s">
        <v>2</v>
      </c>
    </row>
    <row r="7942" spans="1:9" x14ac:dyDescent="0.25">
      <c r="A7942" s="515">
        <v>48623</v>
      </c>
      <c r="B7942" s="515" t="s">
        <v>904</v>
      </c>
      <c r="C7942" s="52">
        <v>237213.80546270701</v>
      </c>
      <c r="D7942" s="56">
        <v>0.10539716662780856</v>
      </c>
      <c r="E7942" s="224" t="s">
        <v>2</v>
      </c>
      <c r="F7942" s="515" t="s">
        <v>9151</v>
      </c>
      <c r="G7942" s="52">
        <v>124623.976142449</v>
      </c>
      <c r="H7942" s="56">
        <v>-6.615619550914012E-2</v>
      </c>
      <c r="I7942" s="224" t="s">
        <v>2</v>
      </c>
    </row>
    <row r="7943" spans="1:9" x14ac:dyDescent="0.25">
      <c r="A7943" s="515">
        <v>70525</v>
      </c>
      <c r="B7943" s="515" t="s">
        <v>1004</v>
      </c>
      <c r="C7943" s="52">
        <v>112608.50236332</v>
      </c>
      <c r="D7943" s="56">
        <v>2.9812582060936756E-2</v>
      </c>
      <c r="E7943" s="224" t="s">
        <v>2</v>
      </c>
      <c r="F7943" s="515" t="s">
        <v>9152</v>
      </c>
      <c r="G7943" s="52">
        <v>274065.14172610902</v>
      </c>
      <c r="H7943" s="56">
        <v>9.1470985041687783E-2</v>
      </c>
      <c r="I7943" s="224" t="s">
        <v>2</v>
      </c>
    </row>
    <row r="7944" spans="1:9" x14ac:dyDescent="0.25">
      <c r="A7944" s="515">
        <v>1730</v>
      </c>
      <c r="B7944" s="515" t="s">
        <v>534</v>
      </c>
      <c r="C7944" s="52">
        <v>872564.14966845198</v>
      </c>
      <c r="D7944" s="56">
        <v>5.9111275559687905E-2</v>
      </c>
      <c r="E7944" s="224">
        <v>2800.88888888888</v>
      </c>
      <c r="F7944" s="515" t="s">
        <v>9153</v>
      </c>
      <c r="G7944" s="52">
        <v>84203.908707041293</v>
      </c>
      <c r="H7944" s="56">
        <v>0.11811064883770971</v>
      </c>
      <c r="I7944" s="224" t="s">
        <v>2</v>
      </c>
    </row>
    <row r="7945" spans="1:9" x14ac:dyDescent="0.25">
      <c r="A7945" s="515">
        <v>49721</v>
      </c>
      <c r="C7945" s="52">
        <v>141272.190875042</v>
      </c>
      <c r="D7945" s="56">
        <v>3.5948959447573876E-2</v>
      </c>
      <c r="E7945" s="224" t="s">
        <v>2</v>
      </c>
      <c r="F7945" s="515" t="s">
        <v>9154</v>
      </c>
      <c r="G7945" s="52">
        <v>183030.92533653401</v>
      </c>
      <c r="H7945" s="56">
        <v>0.15137050081912798</v>
      </c>
      <c r="I7945" s="224" t="s">
        <v>2</v>
      </c>
    </row>
    <row r="7946" spans="1:9" x14ac:dyDescent="0.25">
      <c r="A7946" s="515">
        <v>16686</v>
      </c>
      <c r="B7946" s="515" t="s">
        <v>1086</v>
      </c>
      <c r="C7946" s="52">
        <v>158879.51293161901</v>
      </c>
      <c r="D7946" s="56">
        <v>-5.8424411817072806E-3</v>
      </c>
      <c r="E7946" s="224" t="s">
        <v>2</v>
      </c>
      <c r="F7946" s="515" t="s">
        <v>9155</v>
      </c>
      <c r="G7946" s="52">
        <v>186976.23887091599</v>
      </c>
      <c r="H7946" s="56">
        <v>5.0579686606692993E-2</v>
      </c>
      <c r="I7946" s="224" t="s">
        <v>2</v>
      </c>
    </row>
    <row r="7947" spans="1:9" x14ac:dyDescent="0.25">
      <c r="A7947" s="515">
        <v>72364</v>
      </c>
      <c r="B7947" s="515" t="s">
        <v>951</v>
      </c>
      <c r="C7947" s="52">
        <v>198477.10019027101</v>
      </c>
      <c r="D7947" s="56">
        <v>8.8496194532418471E-2</v>
      </c>
      <c r="E7947" s="224" t="s">
        <v>2</v>
      </c>
      <c r="F7947" s="515" t="s">
        <v>9156</v>
      </c>
      <c r="G7947" s="52">
        <v>217070.866128264</v>
      </c>
      <c r="H7947" s="56">
        <v>7.1294712005454883E-2</v>
      </c>
      <c r="I7947" s="224" t="s">
        <v>2</v>
      </c>
    </row>
    <row r="7948" spans="1:9" x14ac:dyDescent="0.25">
      <c r="A7948" s="515">
        <v>38703</v>
      </c>
      <c r="B7948" s="515" t="s">
        <v>1204</v>
      </c>
      <c r="C7948" s="52">
        <v>62578.104878402199</v>
      </c>
      <c r="D7948" s="56">
        <v>-0.22104289982798458</v>
      </c>
      <c r="E7948" s="224" t="s">
        <v>2</v>
      </c>
      <c r="F7948" s="515" t="s">
        <v>9157</v>
      </c>
      <c r="G7948" s="52">
        <v>254237.19805720399</v>
      </c>
      <c r="H7948" s="56">
        <v>0.26993427112582813</v>
      </c>
      <c r="I7948" s="224" t="s">
        <v>2</v>
      </c>
    </row>
    <row r="7949" spans="1:9" x14ac:dyDescent="0.25">
      <c r="A7949" s="515">
        <v>64079</v>
      </c>
      <c r="B7949" s="515" t="s">
        <v>455</v>
      </c>
      <c r="C7949" s="52">
        <v>331379.77920322301</v>
      </c>
      <c r="D7949" s="56">
        <v>5.8117695674021218E-2</v>
      </c>
      <c r="E7949" s="224" t="s">
        <v>2</v>
      </c>
      <c r="F7949" s="515" t="s">
        <v>9158</v>
      </c>
      <c r="G7949" s="52">
        <v>476102.92840111302</v>
      </c>
      <c r="H7949" s="56">
        <v>4.7133801559549292E-2</v>
      </c>
      <c r="I7949" s="224" t="s">
        <v>2</v>
      </c>
    </row>
    <row r="7950" spans="1:9" x14ac:dyDescent="0.25">
      <c r="A7950" s="515">
        <v>79849</v>
      </c>
      <c r="B7950" s="515" t="s">
        <v>1119</v>
      </c>
      <c r="C7950" s="52">
        <v>136532.13420951401</v>
      </c>
      <c r="D7950" s="56">
        <v>0.14498188446700036</v>
      </c>
      <c r="E7950" s="224" t="s">
        <v>2</v>
      </c>
      <c r="F7950" s="515" t="s">
        <v>9159</v>
      </c>
      <c r="G7950" s="52">
        <v>183635.082613968</v>
      </c>
      <c r="H7950" s="56">
        <v>0.10276548483272699</v>
      </c>
      <c r="I7950" s="224" t="s">
        <v>2</v>
      </c>
    </row>
    <row r="7951" spans="1:9" x14ac:dyDescent="0.25">
      <c r="A7951" s="515">
        <v>23509</v>
      </c>
      <c r="B7951" s="515" t="s">
        <v>301</v>
      </c>
      <c r="C7951" s="52">
        <v>239017.796101841</v>
      </c>
      <c r="D7951" s="56">
        <v>5.6795922807758206E-2</v>
      </c>
      <c r="E7951" s="224">
        <v>1494.1666666666599</v>
      </c>
      <c r="F7951" s="515" t="s">
        <v>9160</v>
      </c>
      <c r="G7951" s="52">
        <v>131731.61958912999</v>
      </c>
      <c r="H7951" s="56">
        <v>6.4509480254044224E-2</v>
      </c>
      <c r="I7951" s="224" t="s">
        <v>2</v>
      </c>
    </row>
    <row r="7952" spans="1:9" x14ac:dyDescent="0.25">
      <c r="A7952" s="515">
        <v>64082</v>
      </c>
      <c r="B7952" s="515" t="s">
        <v>455</v>
      </c>
      <c r="C7952" s="52">
        <v>418371.77972233703</v>
      </c>
      <c r="D7952" s="56">
        <v>5.7542857846619694E-2</v>
      </c>
      <c r="E7952" s="224" t="s">
        <v>2</v>
      </c>
      <c r="F7952" s="515" t="s">
        <v>9161</v>
      </c>
      <c r="G7952" s="52">
        <v>463873.05197023298</v>
      </c>
      <c r="H7952" s="56">
        <v>3.2215965459337047E-2</v>
      </c>
      <c r="I7952" s="224" t="s">
        <v>2</v>
      </c>
    </row>
    <row r="7953" spans="1:9" x14ac:dyDescent="0.25">
      <c r="A7953" s="515">
        <v>60458</v>
      </c>
      <c r="B7953" s="515" t="s">
        <v>394</v>
      </c>
      <c r="C7953" s="52">
        <v>247920.68947460601</v>
      </c>
      <c r="D7953" s="56">
        <v>4.4416160384629325E-2</v>
      </c>
      <c r="E7953" s="224">
        <v>1382.3333333333301</v>
      </c>
      <c r="F7953" s="515" t="s">
        <v>9162</v>
      </c>
      <c r="G7953" s="52">
        <v>270459.05236715398</v>
      </c>
      <c r="H7953" s="56">
        <v>4.2062619520196423E-2</v>
      </c>
      <c r="I7953" s="224" t="s">
        <v>2</v>
      </c>
    </row>
    <row r="7954" spans="1:9" x14ac:dyDescent="0.25">
      <c r="A7954" s="515">
        <v>44420</v>
      </c>
      <c r="B7954" s="515" t="s">
        <v>397</v>
      </c>
      <c r="C7954" s="52">
        <v>117389.874350852</v>
      </c>
      <c r="D7954" s="56">
        <v>0.11489942534485745</v>
      </c>
      <c r="E7954" s="224" t="s">
        <v>2</v>
      </c>
      <c r="F7954" s="515" t="s">
        <v>9163</v>
      </c>
      <c r="G7954" s="52">
        <v>219273.27422123501</v>
      </c>
      <c r="H7954" s="56">
        <v>1.9858440039713092E-2</v>
      </c>
      <c r="I7954" s="224" t="s">
        <v>2</v>
      </c>
    </row>
    <row r="7955" spans="1:9" x14ac:dyDescent="0.25">
      <c r="A7955" s="515">
        <v>1569</v>
      </c>
      <c r="B7955" s="515" t="s">
        <v>751</v>
      </c>
      <c r="C7955" s="52">
        <v>440247.380616632</v>
      </c>
      <c r="D7955" s="56">
        <v>7.9279934093142143E-2</v>
      </c>
      <c r="E7955" s="224" t="s">
        <v>2</v>
      </c>
      <c r="F7955" s="515" t="s">
        <v>9164</v>
      </c>
      <c r="G7955" s="52">
        <v>143400.78954950199</v>
      </c>
      <c r="H7955" s="56">
        <v>-4.6050527262284514E-2</v>
      </c>
      <c r="I7955" s="224" t="s">
        <v>2</v>
      </c>
    </row>
    <row r="7956" spans="1:9" x14ac:dyDescent="0.25">
      <c r="A7956" s="515">
        <v>93622</v>
      </c>
      <c r="B7956" s="515" t="s">
        <v>541</v>
      </c>
      <c r="C7956" s="52">
        <v>287270.05491685797</v>
      </c>
      <c r="D7956" s="56">
        <v>8.8229100957844114E-2</v>
      </c>
      <c r="E7956" s="224" t="s">
        <v>2</v>
      </c>
      <c r="F7956" s="515" t="s">
        <v>9165</v>
      </c>
      <c r="G7956" s="52">
        <v>404658.385628669</v>
      </c>
      <c r="H7956" s="56">
        <v>4.5588657838132582E-2</v>
      </c>
      <c r="I7956" s="224" t="s">
        <v>2</v>
      </c>
    </row>
    <row r="7957" spans="1:9" x14ac:dyDescent="0.25">
      <c r="A7957" s="515">
        <v>44041</v>
      </c>
      <c r="B7957" s="515" t="s">
        <v>592</v>
      </c>
      <c r="C7957" s="52">
        <v>175221.09985344901</v>
      </c>
      <c r="D7957" s="56">
        <v>9.8129947901881912E-2</v>
      </c>
      <c r="E7957" s="224" t="s">
        <v>2</v>
      </c>
      <c r="F7957" s="515" t="s">
        <v>9166</v>
      </c>
      <c r="G7957" s="52">
        <v>200303.77842120701</v>
      </c>
      <c r="H7957" s="56">
        <v>8.626611046362033E-2</v>
      </c>
      <c r="I7957" s="224" t="s">
        <v>2</v>
      </c>
    </row>
    <row r="7958" spans="1:9" x14ac:dyDescent="0.25">
      <c r="A7958" s="515">
        <v>49090</v>
      </c>
      <c r="C7958" s="52">
        <v>285179.820378959</v>
      </c>
      <c r="D7958" s="56">
        <v>8.9794313477546586E-2</v>
      </c>
      <c r="E7958" s="224" t="s">
        <v>2</v>
      </c>
      <c r="F7958" s="515" t="s">
        <v>9167</v>
      </c>
      <c r="G7958" s="52">
        <v>383005.88835313998</v>
      </c>
      <c r="H7958" s="56">
        <v>6.7906236978649753E-2</v>
      </c>
      <c r="I7958" s="224" t="s">
        <v>2</v>
      </c>
    </row>
    <row r="7959" spans="1:9" x14ac:dyDescent="0.25">
      <c r="A7959" s="515">
        <v>60542</v>
      </c>
      <c r="B7959" s="515" t="s">
        <v>394</v>
      </c>
      <c r="C7959" s="52">
        <v>315533.90510720498</v>
      </c>
      <c r="D7959" s="56">
        <v>5.6311336973584467E-2</v>
      </c>
      <c r="E7959" s="224" t="s">
        <v>2</v>
      </c>
      <c r="F7959" s="515" t="s">
        <v>9168</v>
      </c>
      <c r="G7959" s="52">
        <v>407289.695329935</v>
      </c>
      <c r="H7959" s="56">
        <v>7.124724129857482E-2</v>
      </c>
      <c r="I7959" s="224" t="s">
        <v>2</v>
      </c>
    </row>
    <row r="7960" spans="1:9" x14ac:dyDescent="0.25">
      <c r="A7960" s="515">
        <v>6903</v>
      </c>
      <c r="B7960" s="515" t="s">
        <v>1173</v>
      </c>
      <c r="C7960" s="52">
        <v>860420.77811569802</v>
      </c>
      <c r="D7960" s="56">
        <v>7.4596414272060915E-2</v>
      </c>
      <c r="E7960" s="224" t="s">
        <v>2</v>
      </c>
      <c r="F7960" s="515" t="s">
        <v>9169</v>
      </c>
      <c r="G7960" s="52">
        <v>117994.664007538</v>
      </c>
      <c r="H7960" s="56">
        <v>-5.9149306113011405E-2</v>
      </c>
      <c r="I7960" s="224" t="s">
        <v>2</v>
      </c>
    </row>
    <row r="7961" spans="1:9" x14ac:dyDescent="0.25">
      <c r="A7961" s="515">
        <v>97386</v>
      </c>
      <c r="B7961" s="515" t="s">
        <v>591</v>
      </c>
      <c r="C7961" s="52">
        <v>332299.00444318802</v>
      </c>
      <c r="D7961" s="56">
        <v>3.427752838301977E-2</v>
      </c>
      <c r="E7961" s="224" t="s">
        <v>2</v>
      </c>
      <c r="F7961" s="515" t="s">
        <v>586</v>
      </c>
      <c r="G7961" s="52">
        <v>124335.09751432099</v>
      </c>
      <c r="H7961" s="56">
        <v>5.5994477060169356E-2</v>
      </c>
      <c r="I7961" s="224" t="s">
        <v>2</v>
      </c>
    </row>
    <row r="7962" spans="1:9" x14ac:dyDescent="0.25">
      <c r="A7962" s="515">
        <v>35121</v>
      </c>
      <c r="B7962" s="515" t="s">
        <v>640</v>
      </c>
      <c r="C7962" s="52">
        <v>201923.307524754</v>
      </c>
      <c r="D7962" s="56">
        <v>8.1800248009081145E-2</v>
      </c>
      <c r="E7962" s="224" t="s">
        <v>2</v>
      </c>
      <c r="F7962" s="515" t="s">
        <v>9170</v>
      </c>
      <c r="G7962" s="52">
        <v>72226.317751474999</v>
      </c>
      <c r="H7962" s="56">
        <v>-3.1182995396863714E-2</v>
      </c>
      <c r="I7962" s="224" t="s">
        <v>2</v>
      </c>
    </row>
    <row r="7963" spans="1:9" x14ac:dyDescent="0.25">
      <c r="A7963" s="515">
        <v>19425</v>
      </c>
      <c r="B7963" s="515" t="s">
        <v>294</v>
      </c>
      <c r="C7963" s="52">
        <v>640329.38214441296</v>
      </c>
      <c r="D7963" s="56">
        <v>8.84198413948976E-2</v>
      </c>
      <c r="E7963" s="224" t="s">
        <v>2</v>
      </c>
      <c r="F7963" s="515" t="s">
        <v>9171</v>
      </c>
      <c r="G7963" s="52">
        <v>248528.627575939</v>
      </c>
      <c r="H7963" s="56">
        <v>0.14602747602190838</v>
      </c>
      <c r="I7963" s="224" t="s">
        <v>2</v>
      </c>
    </row>
    <row r="7964" spans="1:9" x14ac:dyDescent="0.25">
      <c r="A7964" s="515">
        <v>7663</v>
      </c>
      <c r="B7964" s="515" t="s">
        <v>324</v>
      </c>
      <c r="C7964" s="52">
        <v>509483.97356939298</v>
      </c>
      <c r="D7964" s="56">
        <v>2.1404527097895375E-2</v>
      </c>
      <c r="E7964" s="224" t="s">
        <v>2</v>
      </c>
      <c r="F7964" s="515" t="s">
        <v>9172</v>
      </c>
      <c r="G7964" s="52">
        <v>430126.75179404003</v>
      </c>
      <c r="H7964" s="56">
        <v>5.1976755825823048E-2</v>
      </c>
      <c r="I7964" s="224" t="s">
        <v>2</v>
      </c>
    </row>
    <row r="7965" spans="1:9" x14ac:dyDescent="0.25">
      <c r="A7965" s="515">
        <v>1118</v>
      </c>
      <c r="B7965" s="515" t="s">
        <v>575</v>
      </c>
      <c r="C7965" s="52">
        <v>268190.86853763403</v>
      </c>
      <c r="D7965" s="56">
        <v>6.5348293147986972E-2</v>
      </c>
      <c r="E7965" s="224" t="s">
        <v>2</v>
      </c>
      <c r="F7965" s="515" t="s">
        <v>9173</v>
      </c>
      <c r="G7965" s="52">
        <v>55431.592592592497</v>
      </c>
      <c r="H7965" s="56">
        <v>0</v>
      </c>
      <c r="I7965" s="224" t="s">
        <v>2</v>
      </c>
    </row>
    <row r="7966" spans="1:9" x14ac:dyDescent="0.25">
      <c r="A7966" s="515">
        <v>49345</v>
      </c>
      <c r="B7966" s="515" t="s">
        <v>631</v>
      </c>
      <c r="C7966" s="52">
        <v>276965.50320643501</v>
      </c>
      <c r="D7966" s="56">
        <v>4.6280239525236862E-2</v>
      </c>
      <c r="E7966" s="224" t="s">
        <v>2</v>
      </c>
      <c r="F7966" s="515" t="s">
        <v>9174</v>
      </c>
      <c r="G7966" s="52">
        <v>189379.25107369901</v>
      </c>
      <c r="H7966" s="56">
        <v>0.11008225653573461</v>
      </c>
      <c r="I7966" s="224" t="s">
        <v>2</v>
      </c>
    </row>
    <row r="7967" spans="1:9" x14ac:dyDescent="0.25">
      <c r="A7967" s="515">
        <v>70452</v>
      </c>
      <c r="B7967" s="515" t="s">
        <v>777</v>
      </c>
      <c r="C7967" s="52">
        <v>199668.39161555399</v>
      </c>
      <c r="D7967" s="56">
        <v>-8.5127340406396983E-4</v>
      </c>
      <c r="E7967" s="224" t="s">
        <v>2</v>
      </c>
      <c r="F7967" s="515" t="s">
        <v>9175</v>
      </c>
      <c r="G7967" s="52">
        <v>323234.81256666401</v>
      </c>
      <c r="H7967" s="56">
        <v>7.5810245877426574E-2</v>
      </c>
      <c r="I7967" s="224" t="s">
        <v>2</v>
      </c>
    </row>
    <row r="7968" spans="1:9" x14ac:dyDescent="0.25">
      <c r="A7968" s="515">
        <v>28134</v>
      </c>
      <c r="B7968" s="515" t="s">
        <v>360</v>
      </c>
      <c r="C7968" s="52">
        <v>371366.47807462001</v>
      </c>
      <c r="D7968" s="56">
        <v>6.392751849935055E-2</v>
      </c>
      <c r="E7968" s="224">
        <v>2619.9305555555502</v>
      </c>
      <c r="F7968" s="515" t="s">
        <v>9176</v>
      </c>
      <c r="G7968" s="52">
        <v>178266.245923287</v>
      </c>
      <c r="H7968" s="56">
        <v>9.1028775511371493E-2</v>
      </c>
      <c r="I7968" s="224" t="s">
        <v>2</v>
      </c>
    </row>
    <row r="7969" spans="1:9" x14ac:dyDescent="0.25">
      <c r="A7969" s="515">
        <v>56082</v>
      </c>
      <c r="B7969" s="515" t="s">
        <v>542</v>
      </c>
      <c r="C7969" s="52">
        <v>255958.315265457</v>
      </c>
      <c r="D7969" s="56">
        <v>3.6968455882607297E-2</v>
      </c>
      <c r="E7969" s="224" t="s">
        <v>2</v>
      </c>
      <c r="F7969" s="515" t="s">
        <v>9177</v>
      </c>
      <c r="G7969" s="52">
        <v>395139.40326282498</v>
      </c>
      <c r="H7969" s="56">
        <v>6.1291005540761251E-2</v>
      </c>
      <c r="I7969" s="224" t="s">
        <v>2</v>
      </c>
    </row>
    <row r="7970" spans="1:9" x14ac:dyDescent="0.25">
      <c r="A7970" s="515">
        <v>48225</v>
      </c>
      <c r="B7970" s="515" t="s">
        <v>685</v>
      </c>
      <c r="C7970" s="52">
        <v>141653.403746948</v>
      </c>
      <c r="D7970" s="56">
        <v>7.3212637818903262E-2</v>
      </c>
      <c r="E7970" s="224">
        <v>1268.4722222222199</v>
      </c>
      <c r="F7970" s="515" t="s">
        <v>9178</v>
      </c>
      <c r="G7970" s="52">
        <v>172096.267821171</v>
      </c>
      <c r="H7970" s="56">
        <v>0.11033590238330719</v>
      </c>
      <c r="I7970" s="224" t="s">
        <v>2</v>
      </c>
    </row>
    <row r="7971" spans="1:9" x14ac:dyDescent="0.25">
      <c r="A7971" s="515">
        <v>77625</v>
      </c>
      <c r="B7971" s="515" t="s">
        <v>492</v>
      </c>
      <c r="C7971" s="52">
        <v>181863.10148847499</v>
      </c>
      <c r="D7971" s="56">
        <v>-9.73809550616179E-3</v>
      </c>
      <c r="E7971" s="224" t="s">
        <v>2</v>
      </c>
      <c r="F7971" s="515" t="s">
        <v>9179</v>
      </c>
      <c r="G7971" s="52">
        <v>272497.02628389403</v>
      </c>
      <c r="H7971" s="56">
        <v>3.4307935862710894E-2</v>
      </c>
      <c r="I7971" s="224" t="s">
        <v>2</v>
      </c>
    </row>
    <row r="7972" spans="1:9" x14ac:dyDescent="0.25">
      <c r="A7972" s="515">
        <v>72921</v>
      </c>
      <c r="B7972" s="515" t="s">
        <v>326</v>
      </c>
      <c r="C7972" s="52">
        <v>201438.49258213301</v>
      </c>
      <c r="D7972" s="56">
        <v>5.511876418661258E-2</v>
      </c>
      <c r="E7972" s="224" t="s">
        <v>2</v>
      </c>
      <c r="F7972" s="515" t="s">
        <v>9180</v>
      </c>
      <c r="G7972" s="52">
        <v>203868.373810622</v>
      </c>
      <c r="H7972" s="56">
        <v>9.6359072709500837E-2</v>
      </c>
      <c r="I7972" s="224" t="s">
        <v>2</v>
      </c>
    </row>
    <row r="7973" spans="1:9" x14ac:dyDescent="0.25">
      <c r="A7973" s="515">
        <v>1510</v>
      </c>
      <c r="B7973" s="515" t="s">
        <v>751</v>
      </c>
      <c r="C7973" s="52">
        <v>376963.54189192102</v>
      </c>
      <c r="D7973" s="56">
        <v>6.4368359202607431E-2</v>
      </c>
      <c r="E7973" s="224">
        <v>2000</v>
      </c>
      <c r="F7973" s="515" t="s">
        <v>9181</v>
      </c>
      <c r="G7973" s="52">
        <v>256464.859691508</v>
      </c>
      <c r="H7973" s="56">
        <v>6.3028055138756506E-2</v>
      </c>
      <c r="I7973" s="224" t="s">
        <v>2</v>
      </c>
    </row>
    <row r="7974" spans="1:9" x14ac:dyDescent="0.25">
      <c r="A7974" s="515">
        <v>6477</v>
      </c>
      <c r="B7974" s="515" t="s">
        <v>1172</v>
      </c>
      <c r="C7974" s="52">
        <v>500925.52360756299</v>
      </c>
      <c r="D7974" s="56">
        <v>7.7089609675190546E-2</v>
      </c>
      <c r="E7974" s="224" t="s">
        <v>2</v>
      </c>
      <c r="F7974" s="515" t="s">
        <v>9182</v>
      </c>
      <c r="G7974" s="52">
        <v>796356.00166142103</v>
      </c>
      <c r="H7974" s="56">
        <v>2.076172192704084E-2</v>
      </c>
      <c r="I7974" s="224" t="s">
        <v>2</v>
      </c>
    </row>
    <row r="7975" spans="1:9" x14ac:dyDescent="0.25">
      <c r="A7975" s="515">
        <v>1835</v>
      </c>
      <c r="B7975" s="515" t="s">
        <v>534</v>
      </c>
      <c r="C7975" s="52">
        <v>462747.70266633801</v>
      </c>
      <c r="D7975" s="56">
        <v>6.2658633617047849E-2</v>
      </c>
      <c r="E7975" s="224" t="s">
        <v>2</v>
      </c>
      <c r="F7975" s="515" t="s">
        <v>9183</v>
      </c>
      <c r="G7975" s="52">
        <v>1414488.3065994701</v>
      </c>
      <c r="H7975" s="56">
        <v>0.1836105845920554</v>
      </c>
      <c r="I7975" s="224" t="s">
        <v>2</v>
      </c>
    </row>
    <row r="7976" spans="1:9" x14ac:dyDescent="0.25">
      <c r="A7976" s="515">
        <v>86005</v>
      </c>
      <c r="B7976" s="515" t="s">
        <v>600</v>
      </c>
      <c r="C7976" s="52">
        <v>660944.49244483898</v>
      </c>
      <c r="D7976" s="56">
        <v>8.294912904455469E-2</v>
      </c>
      <c r="E7976" s="224" t="s">
        <v>2</v>
      </c>
      <c r="F7976" s="515" t="s">
        <v>9184</v>
      </c>
      <c r="G7976" s="52">
        <v>251093.72633114699</v>
      </c>
      <c r="H7976" s="56">
        <v>7.7111337713858905E-2</v>
      </c>
      <c r="I7976" s="224" t="s">
        <v>2</v>
      </c>
    </row>
    <row r="7977" spans="1:9" x14ac:dyDescent="0.25">
      <c r="A7977" s="515">
        <v>52002</v>
      </c>
      <c r="B7977" s="515" t="s">
        <v>478</v>
      </c>
      <c r="C7977" s="52">
        <v>281338.48601054098</v>
      </c>
      <c r="D7977" s="56">
        <v>6.1026760576353874E-2</v>
      </c>
      <c r="E7977" s="224" t="s">
        <v>2</v>
      </c>
      <c r="F7977" s="515" t="s">
        <v>9185</v>
      </c>
      <c r="G7977" s="52">
        <v>104771.485292703</v>
      </c>
      <c r="H7977" s="56">
        <v>5.460588521011598E-2</v>
      </c>
      <c r="I7977" s="224" t="s">
        <v>2</v>
      </c>
    </row>
    <row r="7978" spans="1:9" x14ac:dyDescent="0.25">
      <c r="A7978" s="515">
        <v>97141</v>
      </c>
      <c r="C7978" s="52">
        <v>416965.40503935702</v>
      </c>
      <c r="D7978" s="56">
        <v>2.6833850795661012E-2</v>
      </c>
      <c r="E7978" s="224" t="s">
        <v>2</v>
      </c>
      <c r="F7978" s="515" t="s">
        <v>9186</v>
      </c>
      <c r="G7978" s="52">
        <v>167841.31219250301</v>
      </c>
      <c r="H7978" s="56">
        <v>4.0220964304514752E-2</v>
      </c>
      <c r="I7978" s="224" t="s">
        <v>2</v>
      </c>
    </row>
    <row r="7979" spans="1:9" x14ac:dyDescent="0.25">
      <c r="A7979" s="515">
        <v>34474</v>
      </c>
      <c r="B7979" s="515" t="s">
        <v>475</v>
      </c>
      <c r="C7979" s="52">
        <v>298644.15095628798</v>
      </c>
      <c r="D7979" s="56">
        <v>0.13655072372158741</v>
      </c>
      <c r="E7979" s="224">
        <v>1676.80591168091</v>
      </c>
      <c r="F7979" s="515" t="s">
        <v>9187</v>
      </c>
      <c r="G7979" s="52">
        <v>279598.19380711397</v>
      </c>
      <c r="H7979" s="56">
        <v>1.8575452307232652E-2</v>
      </c>
      <c r="I7979" s="224" t="s">
        <v>2</v>
      </c>
    </row>
    <row r="7980" spans="1:9" x14ac:dyDescent="0.25">
      <c r="A7980" s="515">
        <v>67010</v>
      </c>
      <c r="B7980" s="515" t="s">
        <v>485</v>
      </c>
      <c r="C7980" s="52">
        <v>190830.96032610099</v>
      </c>
      <c r="D7980" s="56">
        <v>9.1272810768772666E-2</v>
      </c>
      <c r="E7980" s="224" t="s">
        <v>2</v>
      </c>
      <c r="F7980" s="515" t="s">
        <v>9188</v>
      </c>
      <c r="G7980" s="52">
        <v>160376.97406180599</v>
      </c>
      <c r="H7980" s="56">
        <v>7.4222261970787878E-2</v>
      </c>
      <c r="I7980" s="224" t="s">
        <v>2</v>
      </c>
    </row>
    <row r="7981" spans="1:9" x14ac:dyDescent="0.25">
      <c r="A7981" s="515">
        <v>6416</v>
      </c>
      <c r="B7981" s="515" t="s">
        <v>894</v>
      </c>
      <c r="C7981" s="52">
        <v>300025.824794557</v>
      </c>
      <c r="D7981" s="56">
        <v>8.4605063911444026E-2</v>
      </c>
      <c r="E7981" s="224" t="s">
        <v>2</v>
      </c>
      <c r="F7981" s="515" t="s">
        <v>9189</v>
      </c>
      <c r="G7981" s="52">
        <v>202254.27644714201</v>
      </c>
      <c r="H7981" s="56">
        <v>8.5225883411323991E-2</v>
      </c>
      <c r="I7981" s="224" t="s">
        <v>2</v>
      </c>
    </row>
    <row r="7982" spans="1:9" x14ac:dyDescent="0.25">
      <c r="A7982" s="515">
        <v>73142</v>
      </c>
      <c r="B7982" s="515" t="s">
        <v>385</v>
      </c>
      <c r="C7982" s="52">
        <v>330078.62198282097</v>
      </c>
      <c r="D7982" s="56">
        <v>7.5881328189253056E-2</v>
      </c>
      <c r="E7982" s="224">
        <v>1152.375</v>
      </c>
      <c r="F7982" s="515" t="s">
        <v>9190</v>
      </c>
      <c r="G7982" s="52">
        <v>185250.265370126</v>
      </c>
      <c r="H7982" s="56">
        <v>0.11333248940414178</v>
      </c>
      <c r="I7982" s="224" t="s">
        <v>2</v>
      </c>
    </row>
    <row r="7983" spans="1:9" x14ac:dyDescent="0.25">
      <c r="A7983" s="515">
        <v>37406</v>
      </c>
      <c r="B7983" s="515" t="s">
        <v>622</v>
      </c>
      <c r="C7983" s="52">
        <v>136084.77183484801</v>
      </c>
      <c r="D7983" s="56">
        <v>9.573005991375623E-2</v>
      </c>
      <c r="E7983" s="224" t="s">
        <v>2</v>
      </c>
      <c r="F7983" s="515" t="s">
        <v>9191</v>
      </c>
      <c r="G7983" s="52">
        <v>92144.648172931906</v>
      </c>
      <c r="H7983" s="56">
        <v>0</v>
      </c>
      <c r="I7983" s="224" t="s">
        <v>2</v>
      </c>
    </row>
    <row r="7984" spans="1:9" x14ac:dyDescent="0.25">
      <c r="A7984" s="515">
        <v>30517</v>
      </c>
      <c r="B7984" s="515" t="s">
        <v>957</v>
      </c>
      <c r="C7984" s="52">
        <v>426520.28208358202</v>
      </c>
      <c r="D7984" s="56">
        <v>0.10758807876479511</v>
      </c>
      <c r="E7984" s="224">
        <v>2319.9166666666601</v>
      </c>
      <c r="F7984" s="515" t="s">
        <v>9192</v>
      </c>
      <c r="G7984" s="52">
        <v>821799.59139606403</v>
      </c>
      <c r="H7984" s="56">
        <v>6.6805234699952948E-2</v>
      </c>
      <c r="I7984" s="224" t="s">
        <v>2</v>
      </c>
    </row>
    <row r="7985" spans="1:9" x14ac:dyDescent="0.25">
      <c r="A7985" s="515">
        <v>53085</v>
      </c>
      <c r="B7985" s="515" t="s">
        <v>1063</v>
      </c>
      <c r="C7985" s="52">
        <v>234188.18638852701</v>
      </c>
      <c r="D7985" s="56">
        <v>6.8100470409856631E-2</v>
      </c>
      <c r="E7985" s="224" t="s">
        <v>2</v>
      </c>
      <c r="F7985" s="515" t="s">
        <v>9193</v>
      </c>
      <c r="G7985" s="52">
        <v>448594.408528928</v>
      </c>
      <c r="H7985" s="56">
        <v>3.062984070354291E-2</v>
      </c>
      <c r="I7985" s="224" t="s">
        <v>2</v>
      </c>
    </row>
    <row r="7986" spans="1:9" x14ac:dyDescent="0.25">
      <c r="A7986" s="515">
        <v>49224</v>
      </c>
      <c r="B7986" s="515" t="s">
        <v>1062</v>
      </c>
      <c r="C7986" s="52">
        <v>115663.900961356</v>
      </c>
      <c r="D7986" s="56">
        <v>4.2826622004990988E-2</v>
      </c>
      <c r="E7986" s="224" t="s">
        <v>2</v>
      </c>
      <c r="F7986" s="515" t="s">
        <v>9194</v>
      </c>
      <c r="G7986" s="52">
        <v>139921.154845682</v>
      </c>
      <c r="H7986" s="56">
        <v>8.0220816117131222E-2</v>
      </c>
      <c r="I7986" s="224" t="s">
        <v>2</v>
      </c>
    </row>
    <row r="7987" spans="1:9" x14ac:dyDescent="0.25">
      <c r="A7987" s="515">
        <v>41164</v>
      </c>
      <c r="B7987" s="515" t="s">
        <v>602</v>
      </c>
      <c r="C7987" s="52">
        <v>103833.57934448399</v>
      </c>
      <c r="D7987" s="56">
        <v>0.18684827753452374</v>
      </c>
      <c r="E7987" s="224" t="s">
        <v>2</v>
      </c>
      <c r="F7987" s="515" t="s">
        <v>9195</v>
      </c>
      <c r="G7987" s="52">
        <v>224809.97932362501</v>
      </c>
      <c r="H7987" s="56">
        <v>8.4321696545594127E-2</v>
      </c>
      <c r="I7987" s="224" t="s">
        <v>2</v>
      </c>
    </row>
    <row r="7988" spans="1:9" x14ac:dyDescent="0.25">
      <c r="A7988" s="515">
        <v>15234</v>
      </c>
      <c r="B7988" s="515" t="s">
        <v>297</v>
      </c>
      <c r="C7988" s="52">
        <v>191444.743129193</v>
      </c>
      <c r="D7988" s="56">
        <v>5.3627819301956911E-2</v>
      </c>
      <c r="E7988" s="224">
        <v>1237.5</v>
      </c>
      <c r="F7988" s="515" t="s">
        <v>9196</v>
      </c>
      <c r="G7988" s="52">
        <v>178834.94693719299</v>
      </c>
      <c r="H7988" s="56">
        <v>4.4733054626306681E-2</v>
      </c>
      <c r="I7988" s="224" t="s">
        <v>2</v>
      </c>
    </row>
    <row r="7989" spans="1:9" x14ac:dyDescent="0.25">
      <c r="A7989" s="515">
        <v>77808</v>
      </c>
      <c r="B7989" s="515" t="s">
        <v>346</v>
      </c>
      <c r="C7989" s="52">
        <v>378285.823523506</v>
      </c>
      <c r="D7989" s="56">
        <v>5.7895208928445997E-2</v>
      </c>
      <c r="E7989" s="224" t="s">
        <v>2</v>
      </c>
      <c r="F7989" s="515" t="s">
        <v>9197</v>
      </c>
      <c r="G7989" s="52">
        <v>246640.33532059999</v>
      </c>
      <c r="H7989" s="56">
        <v>0.14776341833251611</v>
      </c>
      <c r="I7989" s="224" t="s">
        <v>2</v>
      </c>
    </row>
    <row r="7990" spans="1:9" x14ac:dyDescent="0.25">
      <c r="A7990" s="515">
        <v>97408</v>
      </c>
      <c r="B7990" s="515" t="s">
        <v>801</v>
      </c>
      <c r="C7990" s="52">
        <v>582344.63054960896</v>
      </c>
      <c r="D7990" s="56">
        <v>4.4204213571274263E-2</v>
      </c>
      <c r="E7990" s="224">
        <v>1923.26388888888</v>
      </c>
      <c r="F7990" s="515" t="s">
        <v>9198</v>
      </c>
      <c r="G7990" s="52">
        <v>540265.74366842594</v>
      </c>
      <c r="H7990" s="56">
        <v>5.868597595576755E-2</v>
      </c>
      <c r="I7990" s="224" t="s">
        <v>2</v>
      </c>
    </row>
    <row r="7991" spans="1:9" x14ac:dyDescent="0.25">
      <c r="A7991" s="515">
        <v>32903</v>
      </c>
      <c r="B7991" s="515" t="s">
        <v>1133</v>
      </c>
      <c r="C7991" s="52">
        <v>573361.26086725004</v>
      </c>
      <c r="D7991" s="56">
        <v>0.11404470658611007</v>
      </c>
      <c r="E7991" s="224">
        <v>2482.5</v>
      </c>
      <c r="F7991" s="515" t="s">
        <v>9199</v>
      </c>
      <c r="G7991" s="52">
        <v>161920.13141990799</v>
      </c>
      <c r="H7991" s="56">
        <v>0.1020375552136622</v>
      </c>
      <c r="I7991" s="224" t="s">
        <v>2</v>
      </c>
    </row>
    <row r="7992" spans="1:9" x14ac:dyDescent="0.25">
      <c r="A7992" s="515">
        <v>32534</v>
      </c>
      <c r="B7992" s="515" t="s">
        <v>1131</v>
      </c>
      <c r="C7992" s="52">
        <v>223957.696704053</v>
      </c>
      <c r="D7992" s="56">
        <v>0.10380546445536139</v>
      </c>
      <c r="E7992" s="224">
        <v>1532.8928571428501</v>
      </c>
      <c r="F7992" s="515" t="s">
        <v>9200</v>
      </c>
      <c r="G7992" s="52">
        <v>279999.03630696301</v>
      </c>
      <c r="H7992" s="56">
        <v>5.5236647897484593E-2</v>
      </c>
      <c r="I7992" s="224" t="s">
        <v>2</v>
      </c>
    </row>
    <row r="7993" spans="1:9" x14ac:dyDescent="0.25">
      <c r="A7993" s="515">
        <v>56345</v>
      </c>
      <c r="C7993" s="52">
        <v>223269.67278402601</v>
      </c>
      <c r="D7993" s="56">
        <v>0.11129501386780263</v>
      </c>
      <c r="E7993" s="224" t="s">
        <v>2</v>
      </c>
      <c r="F7993" s="515" t="s">
        <v>9201</v>
      </c>
      <c r="G7993" s="52">
        <v>258046.61883506001</v>
      </c>
      <c r="H7993" s="56">
        <v>2.3434432078337349E-2</v>
      </c>
      <c r="I7993" s="224" t="s">
        <v>2</v>
      </c>
    </row>
    <row r="7994" spans="1:9" x14ac:dyDescent="0.25">
      <c r="A7994" s="515">
        <v>11798</v>
      </c>
      <c r="B7994" s="515" t="s">
        <v>324</v>
      </c>
      <c r="C7994" s="52">
        <v>438541.22476538602</v>
      </c>
      <c r="D7994" s="56">
        <v>5.8983246039012359E-2</v>
      </c>
      <c r="E7994" s="224" t="s">
        <v>2</v>
      </c>
      <c r="F7994" s="515" t="s">
        <v>9202</v>
      </c>
      <c r="G7994" s="52">
        <v>332425.21129397902</v>
      </c>
      <c r="H7994" s="56">
        <v>5.5248166362430365E-2</v>
      </c>
      <c r="I7994" s="224" t="s">
        <v>2</v>
      </c>
    </row>
    <row r="7995" spans="1:9" x14ac:dyDescent="0.25">
      <c r="A7995" s="515">
        <v>98948</v>
      </c>
      <c r="B7995" s="515" t="s">
        <v>948</v>
      </c>
      <c r="C7995" s="52">
        <v>238770.00175446601</v>
      </c>
      <c r="D7995" s="56">
        <v>6.9589136787485475E-2</v>
      </c>
      <c r="E7995" s="224" t="s">
        <v>2</v>
      </c>
      <c r="F7995" s="515" t="s">
        <v>9203</v>
      </c>
      <c r="G7995" s="52">
        <v>181067.305983867</v>
      </c>
      <c r="H7995" s="56">
        <v>0.1144294374347779</v>
      </c>
      <c r="I7995" s="224" t="s">
        <v>2</v>
      </c>
    </row>
    <row r="7996" spans="1:9" x14ac:dyDescent="0.25">
      <c r="A7996" s="515">
        <v>66002</v>
      </c>
      <c r="B7996" s="515" t="s">
        <v>682</v>
      </c>
      <c r="C7996" s="52">
        <v>127002.70575927899</v>
      </c>
      <c r="D7996" s="56">
        <v>0.14873415854779676</v>
      </c>
      <c r="E7996" s="224" t="s">
        <v>2</v>
      </c>
      <c r="F7996" s="515" t="s">
        <v>9204</v>
      </c>
      <c r="G7996" s="52">
        <v>151657.024657648</v>
      </c>
      <c r="H7996" s="56">
        <v>8.2102505158695438E-2</v>
      </c>
      <c r="I7996" s="224" t="s">
        <v>2</v>
      </c>
    </row>
    <row r="7997" spans="1:9" x14ac:dyDescent="0.25">
      <c r="A7997" s="515">
        <v>7078</v>
      </c>
      <c r="B7997" s="515" t="s">
        <v>324</v>
      </c>
      <c r="C7997" s="52">
        <v>1711859.0817614</v>
      </c>
      <c r="D7997" s="56">
        <v>8.0396594781598607E-2</v>
      </c>
      <c r="E7997" s="224">
        <v>4064</v>
      </c>
      <c r="F7997" s="515" t="s">
        <v>9205</v>
      </c>
      <c r="G7997" s="52">
        <v>179548.762396017</v>
      </c>
      <c r="H7997" s="56">
        <v>3.6568582573053058E-3</v>
      </c>
      <c r="I7997" s="224" t="s">
        <v>2</v>
      </c>
    </row>
    <row r="7998" spans="1:9" x14ac:dyDescent="0.25">
      <c r="A7998" s="515">
        <v>99669</v>
      </c>
      <c r="C7998" s="52">
        <v>323966.39916816301</v>
      </c>
      <c r="D7998" s="56">
        <v>2.0932940974747166E-2</v>
      </c>
      <c r="E7998" s="224" t="s">
        <v>2</v>
      </c>
      <c r="F7998" s="515" t="s">
        <v>9206</v>
      </c>
      <c r="G7998" s="52">
        <v>150326.208595153</v>
      </c>
      <c r="H7998" s="56">
        <v>0.1126371835757382</v>
      </c>
      <c r="I7998" s="224" t="s">
        <v>2</v>
      </c>
    </row>
    <row r="7999" spans="1:9" x14ac:dyDescent="0.25">
      <c r="A7999" s="515">
        <v>44119</v>
      </c>
      <c r="B7999" s="515" t="s">
        <v>520</v>
      </c>
      <c r="C7999" s="52">
        <v>117624.645720919</v>
      </c>
      <c r="D7999" s="56">
        <v>8.6814433258427484E-2</v>
      </c>
      <c r="E7999" s="224" t="s">
        <v>2</v>
      </c>
      <c r="F7999" s="515" t="s">
        <v>9207</v>
      </c>
      <c r="G7999" s="52">
        <v>208487.83721217999</v>
      </c>
      <c r="H7999" s="56">
        <v>6.99348517307401E-2</v>
      </c>
      <c r="I7999" s="224" t="s">
        <v>2</v>
      </c>
    </row>
    <row r="8000" spans="1:9" x14ac:dyDescent="0.25">
      <c r="A8000" s="515">
        <v>48034</v>
      </c>
      <c r="B8000" s="515" t="s">
        <v>685</v>
      </c>
      <c r="C8000" s="52">
        <v>240530.18122144599</v>
      </c>
      <c r="D8000" s="56">
        <v>3.3966699153631034E-2</v>
      </c>
      <c r="E8000" s="224" t="s">
        <v>2</v>
      </c>
      <c r="F8000" s="515" t="s">
        <v>9208</v>
      </c>
      <c r="G8000" s="52">
        <v>231359.32681017599</v>
      </c>
      <c r="H8000" s="56">
        <v>0</v>
      </c>
      <c r="I8000" s="224" t="s">
        <v>2</v>
      </c>
    </row>
    <row r="8001" spans="1:9" x14ac:dyDescent="0.25">
      <c r="A8001" s="515">
        <v>2882</v>
      </c>
      <c r="B8001" s="515" t="s">
        <v>513</v>
      </c>
      <c r="C8001" s="52">
        <v>698116.15931464697</v>
      </c>
      <c r="D8001" s="56">
        <v>9.7653437206070337E-2</v>
      </c>
      <c r="E8001" s="224">
        <v>2741.6666666666601</v>
      </c>
      <c r="F8001" s="515" t="s">
        <v>9209</v>
      </c>
      <c r="G8001" s="52">
        <v>483666.42103818298</v>
      </c>
      <c r="H8001" s="56">
        <v>6.6554384189320068E-2</v>
      </c>
      <c r="I8001" s="224" t="s">
        <v>2</v>
      </c>
    </row>
    <row r="8002" spans="1:9" x14ac:dyDescent="0.25">
      <c r="A8002" s="515">
        <v>7086</v>
      </c>
      <c r="B8002" s="515" t="s">
        <v>324</v>
      </c>
      <c r="C8002" s="52">
        <v>802487.591801523</v>
      </c>
      <c r="D8002" s="56">
        <v>8.0389322764075084E-3</v>
      </c>
      <c r="E8002" s="224">
        <v>3571.1612685559999</v>
      </c>
      <c r="F8002" s="515" t="s">
        <v>9210</v>
      </c>
      <c r="G8002" s="52">
        <v>329213.66698935698</v>
      </c>
      <c r="H8002" s="56">
        <v>9.248297663715023E-2</v>
      </c>
      <c r="I8002" s="224" t="s">
        <v>2</v>
      </c>
    </row>
    <row r="8003" spans="1:9" x14ac:dyDescent="0.25">
      <c r="A8003" s="515">
        <v>85387</v>
      </c>
      <c r="B8003" s="515" t="s">
        <v>563</v>
      </c>
      <c r="C8003" s="52">
        <v>480215.53581089101</v>
      </c>
      <c r="D8003" s="56">
        <v>5.2443951408619759E-2</v>
      </c>
      <c r="E8003" s="224">
        <v>2199.6666666666601</v>
      </c>
      <c r="F8003" s="515" t="s">
        <v>9211</v>
      </c>
      <c r="G8003" s="52">
        <v>120716.38141982901</v>
      </c>
      <c r="H8003" s="56">
        <v>9.2989278727515584E-2</v>
      </c>
      <c r="I8003" s="224" t="s">
        <v>2</v>
      </c>
    </row>
    <row r="8004" spans="1:9" x14ac:dyDescent="0.25">
      <c r="A8004" s="515">
        <v>12308</v>
      </c>
      <c r="B8004" s="515" t="s">
        <v>609</v>
      </c>
      <c r="C8004" s="52">
        <v>195781.706592826</v>
      </c>
      <c r="D8004" s="56">
        <v>9.0637157786184544E-2</v>
      </c>
      <c r="E8004" s="224">
        <v>1137.5</v>
      </c>
      <c r="F8004" s="515" t="s">
        <v>9212</v>
      </c>
      <c r="G8004" s="52">
        <v>383872.832247557</v>
      </c>
      <c r="H8004" s="56">
        <v>0</v>
      </c>
      <c r="I8004" s="224" t="s">
        <v>2</v>
      </c>
    </row>
    <row r="8005" spans="1:9" x14ac:dyDescent="0.25">
      <c r="A8005" s="515">
        <v>15226</v>
      </c>
      <c r="B8005" s="515" t="s">
        <v>297</v>
      </c>
      <c r="C8005" s="52">
        <v>175248.48975000199</v>
      </c>
      <c r="D8005" s="56">
        <v>3.8577291130398088E-2</v>
      </c>
      <c r="E8005" s="224">
        <v>1098.5</v>
      </c>
      <c r="F8005" s="515" t="s">
        <v>9213</v>
      </c>
      <c r="G8005" s="52">
        <v>190369.89406845899</v>
      </c>
      <c r="H8005" s="56">
        <v>1.8492851937728608E-2</v>
      </c>
      <c r="I8005" s="224" t="s">
        <v>2</v>
      </c>
    </row>
    <row r="8006" spans="1:9" x14ac:dyDescent="0.25">
      <c r="A8006" s="515">
        <v>82930</v>
      </c>
      <c r="B8006" s="515" t="s">
        <v>887</v>
      </c>
      <c r="C8006" s="52">
        <v>277199.34141934698</v>
      </c>
      <c r="D8006" s="56">
        <v>0.1231851853331631</v>
      </c>
      <c r="E8006" s="224" t="s">
        <v>2</v>
      </c>
      <c r="F8006" s="515" t="s">
        <v>9214</v>
      </c>
      <c r="G8006" s="52">
        <v>221489.31039184201</v>
      </c>
      <c r="H8006" s="56">
        <v>9.8227442961841133E-2</v>
      </c>
      <c r="I8006" s="224" t="s">
        <v>2</v>
      </c>
    </row>
    <row r="8007" spans="1:9" x14ac:dyDescent="0.25">
      <c r="A8007" s="515">
        <v>18444</v>
      </c>
      <c r="B8007" s="515" t="s">
        <v>512</v>
      </c>
      <c r="C8007" s="52">
        <v>248942.67834883399</v>
      </c>
      <c r="D8007" s="56">
        <v>3.2849831598242472E-2</v>
      </c>
      <c r="E8007" s="224" t="s">
        <v>2</v>
      </c>
      <c r="F8007" s="515" t="s">
        <v>9215</v>
      </c>
      <c r="G8007" s="52">
        <v>446102.69945018197</v>
      </c>
      <c r="H8007" s="56">
        <v>0.10946893639991084</v>
      </c>
      <c r="I8007" s="224" t="s">
        <v>2</v>
      </c>
    </row>
    <row r="8008" spans="1:9" x14ac:dyDescent="0.25">
      <c r="A8008" s="515">
        <v>13219</v>
      </c>
      <c r="B8008" s="515" t="s">
        <v>361</v>
      </c>
      <c r="C8008" s="52">
        <v>189565.911021395</v>
      </c>
      <c r="D8008" s="56">
        <v>8.7727896761365207E-2</v>
      </c>
      <c r="E8008" s="224" t="s">
        <v>2</v>
      </c>
      <c r="F8008" s="515" t="s">
        <v>9216</v>
      </c>
      <c r="G8008" s="52">
        <v>170831.76398902599</v>
      </c>
      <c r="H8008" s="56">
        <v>8.9722799678083456E-2</v>
      </c>
      <c r="I8008" s="224" t="s">
        <v>2</v>
      </c>
    </row>
    <row r="8009" spans="1:9" x14ac:dyDescent="0.25">
      <c r="A8009" s="515">
        <v>4605</v>
      </c>
      <c r="C8009" s="52">
        <v>302302.880262213</v>
      </c>
      <c r="D8009" s="56">
        <v>0.10504910576074528</v>
      </c>
      <c r="E8009" s="224" t="s">
        <v>2</v>
      </c>
      <c r="F8009" s="515" t="s">
        <v>9217</v>
      </c>
      <c r="G8009" s="52">
        <v>170104.88008794299</v>
      </c>
      <c r="H8009" s="56">
        <v>4.20686036944945E-2</v>
      </c>
      <c r="I8009" s="224" t="s">
        <v>2</v>
      </c>
    </row>
    <row r="8010" spans="1:9" x14ac:dyDescent="0.25">
      <c r="A8010" s="515">
        <v>87544</v>
      </c>
      <c r="B8010" s="515" t="s">
        <v>1187</v>
      </c>
      <c r="C8010" s="52">
        <v>466413.36095327401</v>
      </c>
      <c r="D8010" s="56">
        <v>5.2539709297984356E-2</v>
      </c>
      <c r="E8010" s="224" t="s">
        <v>2</v>
      </c>
      <c r="F8010" s="515" t="s">
        <v>9218</v>
      </c>
      <c r="G8010" s="52">
        <v>326620.30515118502</v>
      </c>
      <c r="H8010" s="56">
        <v>4.6483731939661529E-2</v>
      </c>
      <c r="I8010" s="224">
        <v>1432.5</v>
      </c>
    </row>
    <row r="8011" spans="1:9" x14ac:dyDescent="0.25">
      <c r="A8011" s="515">
        <v>72936</v>
      </c>
      <c r="B8011" s="515" t="s">
        <v>326</v>
      </c>
      <c r="C8011" s="52">
        <v>190355.70232762099</v>
      </c>
      <c r="D8011" s="56">
        <v>5.4046270824994441E-2</v>
      </c>
      <c r="E8011" s="224" t="s">
        <v>2</v>
      </c>
      <c r="F8011" s="515" t="s">
        <v>9219</v>
      </c>
      <c r="G8011" s="52">
        <v>356486.78633838199</v>
      </c>
      <c r="H8011" s="56">
        <v>0.12244028190428662</v>
      </c>
      <c r="I8011" s="224" t="s">
        <v>2</v>
      </c>
    </row>
    <row r="8012" spans="1:9" x14ac:dyDescent="0.25">
      <c r="A8012" s="515">
        <v>11949</v>
      </c>
      <c r="B8012" s="515" t="s">
        <v>324</v>
      </c>
      <c r="C8012" s="52">
        <v>550884.663927936</v>
      </c>
      <c r="D8012" s="56">
        <v>5.8057345412297456E-2</v>
      </c>
      <c r="E8012" s="224" t="s">
        <v>2</v>
      </c>
      <c r="F8012" s="515" t="s">
        <v>9220</v>
      </c>
      <c r="G8012" s="52">
        <v>391595.485027118</v>
      </c>
      <c r="H8012" s="56">
        <v>4.9634219132446922E-2</v>
      </c>
      <c r="I8012" s="224" t="s">
        <v>2</v>
      </c>
    </row>
    <row r="8013" spans="1:9" x14ac:dyDescent="0.25">
      <c r="A8013" s="515">
        <v>11742</v>
      </c>
      <c r="B8013" s="515" t="s">
        <v>324</v>
      </c>
      <c r="C8013" s="52">
        <v>512247.07729820401</v>
      </c>
      <c r="D8013" s="56">
        <v>4.5170552613201034E-3</v>
      </c>
      <c r="E8013" s="224" t="s">
        <v>2</v>
      </c>
      <c r="F8013" s="515" t="s">
        <v>9221</v>
      </c>
      <c r="G8013" s="52">
        <v>111757.70571941799</v>
      </c>
      <c r="H8013" s="56">
        <v>3.2854487948143593E-2</v>
      </c>
      <c r="I8013" s="224" t="s">
        <v>2</v>
      </c>
    </row>
    <row r="8014" spans="1:9" x14ac:dyDescent="0.25">
      <c r="A8014" s="515">
        <v>2356</v>
      </c>
      <c r="B8014" s="515" t="s">
        <v>513</v>
      </c>
      <c r="C8014" s="52">
        <v>640694.81083460699</v>
      </c>
      <c r="D8014" s="56">
        <v>8.2103523301266926E-2</v>
      </c>
      <c r="E8014" s="224" t="s">
        <v>2</v>
      </c>
      <c r="F8014" s="515" t="s">
        <v>9222</v>
      </c>
      <c r="G8014" s="52">
        <v>378989.00384221599</v>
      </c>
      <c r="H8014" s="56">
        <v>0.10818646878761899</v>
      </c>
      <c r="I8014" s="224" t="s">
        <v>2</v>
      </c>
    </row>
    <row r="8015" spans="1:9" x14ac:dyDescent="0.25">
      <c r="A8015" s="515">
        <v>27892</v>
      </c>
      <c r="C8015" s="52">
        <v>107477.269374198</v>
      </c>
      <c r="D8015" s="56">
        <v>5.4981390107433296E-2</v>
      </c>
      <c r="E8015" s="224" t="s">
        <v>2</v>
      </c>
      <c r="F8015" s="515" t="s">
        <v>9223</v>
      </c>
      <c r="G8015" s="52">
        <v>148544.054443473</v>
      </c>
      <c r="H8015" s="56">
        <v>4.4020819486509578E-2</v>
      </c>
      <c r="I8015" s="224" t="s">
        <v>2</v>
      </c>
    </row>
    <row r="8016" spans="1:9" x14ac:dyDescent="0.25">
      <c r="A8016" s="515">
        <v>74429</v>
      </c>
      <c r="B8016" s="515" t="s">
        <v>348</v>
      </c>
      <c r="C8016" s="52">
        <v>224812.51711840299</v>
      </c>
      <c r="D8016" s="56">
        <v>6.3426619428483003E-2</v>
      </c>
      <c r="E8016" s="224" t="s">
        <v>2</v>
      </c>
      <c r="F8016" s="515" t="s">
        <v>9224</v>
      </c>
      <c r="G8016" s="52">
        <v>870765.60112359503</v>
      </c>
      <c r="H8016" s="56">
        <v>0</v>
      </c>
      <c r="I8016" s="224" t="s">
        <v>2</v>
      </c>
    </row>
    <row r="8017" spans="1:9" x14ac:dyDescent="0.25">
      <c r="A8017" s="515">
        <v>30337</v>
      </c>
      <c r="B8017" s="515" t="s">
        <v>957</v>
      </c>
      <c r="C8017" s="52">
        <v>304245.88519418798</v>
      </c>
      <c r="D8017" s="56">
        <v>8.1698292888761667E-2</v>
      </c>
      <c r="E8017" s="224">
        <v>1482.5</v>
      </c>
      <c r="F8017" s="515" t="s">
        <v>9225</v>
      </c>
      <c r="G8017" s="52">
        <v>362467.34390650998</v>
      </c>
      <c r="H8017" s="56">
        <v>0</v>
      </c>
      <c r="I8017" s="224" t="s">
        <v>2</v>
      </c>
    </row>
    <row r="8018" spans="1:9" x14ac:dyDescent="0.25">
      <c r="A8018" s="515">
        <v>3076</v>
      </c>
      <c r="B8018" s="515" t="s">
        <v>996</v>
      </c>
      <c r="C8018" s="52">
        <v>558862.45565102797</v>
      </c>
      <c r="D8018" s="56">
        <v>4.9194720287539469E-2</v>
      </c>
      <c r="E8018" s="224" t="s">
        <v>2</v>
      </c>
      <c r="F8018" s="515" t="s">
        <v>9226</v>
      </c>
      <c r="G8018" s="52">
        <v>144353.46697594001</v>
      </c>
      <c r="H8018" s="56">
        <v>0.1283560198415227</v>
      </c>
      <c r="I8018" s="224" t="s">
        <v>2</v>
      </c>
    </row>
    <row r="8019" spans="1:9" x14ac:dyDescent="0.25">
      <c r="A8019" s="515">
        <v>34669</v>
      </c>
      <c r="B8019" s="515" t="s">
        <v>461</v>
      </c>
      <c r="C8019" s="52">
        <v>312941.46264092601</v>
      </c>
      <c r="D8019" s="56">
        <v>0.10029740304700376</v>
      </c>
      <c r="E8019" s="224">
        <v>1895</v>
      </c>
      <c r="F8019" s="515" t="s">
        <v>9227</v>
      </c>
      <c r="G8019" s="52">
        <v>266144.09983678401</v>
      </c>
      <c r="H8019" s="56">
        <v>9.2863053703017923E-2</v>
      </c>
      <c r="I8019" s="224" t="s">
        <v>2</v>
      </c>
    </row>
    <row r="8020" spans="1:9" x14ac:dyDescent="0.25">
      <c r="A8020" s="515">
        <v>39828</v>
      </c>
      <c r="C8020" s="52">
        <v>136577.54538848699</v>
      </c>
      <c r="D8020" s="56">
        <v>8.0083321400876178E-2</v>
      </c>
      <c r="E8020" s="224" t="s">
        <v>2</v>
      </c>
      <c r="F8020" s="515" t="s">
        <v>9228</v>
      </c>
      <c r="G8020" s="52">
        <v>282256.935242815</v>
      </c>
      <c r="H8020" s="56">
        <v>6.2744529459476117E-2</v>
      </c>
      <c r="I8020" s="224" t="s">
        <v>2</v>
      </c>
    </row>
    <row r="8021" spans="1:9" x14ac:dyDescent="0.25">
      <c r="A8021" s="515">
        <v>59044</v>
      </c>
      <c r="B8021" s="515" t="s">
        <v>637</v>
      </c>
      <c r="C8021" s="52">
        <v>352560.521776582</v>
      </c>
      <c r="D8021" s="56">
        <v>6.0866662488817717E-2</v>
      </c>
      <c r="E8021" s="224" t="s">
        <v>2</v>
      </c>
      <c r="F8021" s="515" t="s">
        <v>9229</v>
      </c>
      <c r="G8021" s="52">
        <v>245941.325663264</v>
      </c>
      <c r="H8021" s="56">
        <v>9.2449821101089333E-2</v>
      </c>
      <c r="I8021" s="224" t="s">
        <v>2</v>
      </c>
    </row>
    <row r="8022" spans="1:9" x14ac:dyDescent="0.25">
      <c r="A8022" s="515">
        <v>47807</v>
      </c>
      <c r="B8022" s="515" t="s">
        <v>318</v>
      </c>
      <c r="C8022" s="52">
        <v>59145.179127041301</v>
      </c>
      <c r="D8022" s="56">
        <v>5.5389421577513927E-2</v>
      </c>
      <c r="E8022" s="224" t="s">
        <v>2</v>
      </c>
      <c r="F8022" s="515" t="s">
        <v>9230</v>
      </c>
      <c r="G8022" s="52">
        <v>172425.62571852101</v>
      </c>
      <c r="H8022" s="56">
        <v>4.3049602947476832E-2</v>
      </c>
      <c r="I8022" s="224" t="s">
        <v>2</v>
      </c>
    </row>
    <row r="8023" spans="1:9" x14ac:dyDescent="0.25">
      <c r="A8023" s="515">
        <v>32254</v>
      </c>
      <c r="B8023" s="515" t="s">
        <v>1158</v>
      </c>
      <c r="C8023" s="52">
        <v>133881.06190324901</v>
      </c>
      <c r="D8023" s="56">
        <v>0.27561838605556699</v>
      </c>
      <c r="E8023" s="224">
        <v>1300.2658730158701</v>
      </c>
      <c r="F8023" s="515" t="s">
        <v>9231</v>
      </c>
      <c r="G8023" s="52">
        <v>154995.47806170199</v>
      </c>
      <c r="H8023" s="56">
        <v>4.0083301884674016E-2</v>
      </c>
      <c r="I8023" s="224" t="s">
        <v>2</v>
      </c>
    </row>
    <row r="8024" spans="1:9" x14ac:dyDescent="0.25">
      <c r="A8024" s="515">
        <v>31047</v>
      </c>
      <c r="B8024" s="515" t="s">
        <v>1067</v>
      </c>
      <c r="C8024" s="52">
        <v>313514.87443053798</v>
      </c>
      <c r="D8024" s="56">
        <v>0.11039246677905332</v>
      </c>
      <c r="E8024" s="224" t="s">
        <v>2</v>
      </c>
      <c r="F8024" s="515" t="s">
        <v>9232</v>
      </c>
      <c r="G8024" s="52">
        <v>206383.834641975</v>
      </c>
      <c r="H8024" s="56">
        <v>0.11888924685601558</v>
      </c>
      <c r="I8024" s="224" t="s">
        <v>2</v>
      </c>
    </row>
    <row r="8025" spans="1:9" x14ac:dyDescent="0.25">
      <c r="A8025" s="515">
        <v>39563</v>
      </c>
      <c r="B8025" s="515" t="s">
        <v>963</v>
      </c>
      <c r="C8025" s="52">
        <v>72038.113789770505</v>
      </c>
      <c r="D8025" s="56">
        <v>-1.6053399077321256E-2</v>
      </c>
      <c r="E8025" s="224" t="s">
        <v>2</v>
      </c>
      <c r="F8025" s="515" t="s">
        <v>9233</v>
      </c>
      <c r="G8025" s="52">
        <v>108825.676619579</v>
      </c>
      <c r="H8025" s="56">
        <v>0.15374647954623757</v>
      </c>
      <c r="I8025" s="224" t="s">
        <v>2</v>
      </c>
    </row>
    <row r="8026" spans="1:9" x14ac:dyDescent="0.25">
      <c r="A8026" s="515">
        <v>34461</v>
      </c>
      <c r="B8026" s="515" t="s">
        <v>1193</v>
      </c>
      <c r="C8026" s="52">
        <v>318860.008658798</v>
      </c>
      <c r="D8026" s="56">
        <v>0.1222169578890472</v>
      </c>
      <c r="E8026" s="224" t="s">
        <v>2</v>
      </c>
      <c r="F8026" s="515" t="s">
        <v>9234</v>
      </c>
      <c r="G8026" s="52">
        <v>109413.431883446</v>
      </c>
      <c r="H8026" s="56">
        <v>5.4764686636006941E-2</v>
      </c>
      <c r="I8026" s="224" t="s">
        <v>2</v>
      </c>
    </row>
    <row r="8027" spans="1:9" x14ac:dyDescent="0.25">
      <c r="A8027" s="515">
        <v>67002</v>
      </c>
      <c r="B8027" s="515" t="s">
        <v>485</v>
      </c>
      <c r="C8027" s="52">
        <v>299472.27676806803</v>
      </c>
      <c r="D8027" s="56">
        <v>7.8996591232106075E-2</v>
      </c>
      <c r="E8027" s="224">
        <v>1658.3333333333301</v>
      </c>
      <c r="F8027" s="515" t="s">
        <v>9235</v>
      </c>
      <c r="G8027" s="52">
        <v>290212.86462693801</v>
      </c>
      <c r="H8027" s="56">
        <v>0.12980154919135456</v>
      </c>
      <c r="I8027" s="224" t="s">
        <v>2</v>
      </c>
    </row>
    <row r="8028" spans="1:9" x14ac:dyDescent="0.25">
      <c r="A8028" s="515">
        <v>43125</v>
      </c>
      <c r="B8028" s="515" t="s">
        <v>345</v>
      </c>
      <c r="C8028" s="52">
        <v>245972.686100614</v>
      </c>
      <c r="D8028" s="56">
        <v>0.10950880097146441</v>
      </c>
      <c r="E8028" s="224">
        <v>1287.6666666666599</v>
      </c>
      <c r="F8028" s="515" t="s">
        <v>9236</v>
      </c>
      <c r="G8028" s="52">
        <v>1302196.9346966101</v>
      </c>
      <c r="H8028" s="56">
        <v>4.4273631905434457E-2</v>
      </c>
      <c r="I8028" s="224" t="s">
        <v>2</v>
      </c>
    </row>
    <row r="8029" spans="1:9" x14ac:dyDescent="0.25">
      <c r="A8029" s="515">
        <v>78121</v>
      </c>
      <c r="B8029" s="515" t="s">
        <v>717</v>
      </c>
      <c r="C8029" s="52">
        <v>479119.01966140303</v>
      </c>
      <c r="D8029" s="56">
        <v>7.8492348741892509E-2</v>
      </c>
      <c r="E8029" s="224" t="s">
        <v>2</v>
      </c>
      <c r="F8029" s="515" t="s">
        <v>9237</v>
      </c>
      <c r="G8029" s="52">
        <v>267289.30445974501</v>
      </c>
      <c r="H8029" s="56">
        <v>0.1226708240448305</v>
      </c>
      <c r="I8029" s="224" t="s">
        <v>2</v>
      </c>
    </row>
    <row r="8030" spans="1:9" x14ac:dyDescent="0.25">
      <c r="A8030" s="515">
        <v>93514</v>
      </c>
      <c r="C8030" s="52">
        <v>514076.58897581598</v>
      </c>
      <c r="D8030" s="56">
        <v>5.9423768460158545E-2</v>
      </c>
      <c r="E8030" s="224" t="s">
        <v>2</v>
      </c>
      <c r="F8030" s="515" t="s">
        <v>9238</v>
      </c>
      <c r="G8030" s="52">
        <v>301851.67075462599</v>
      </c>
      <c r="H8030" s="56">
        <v>3.0811176815220317E-2</v>
      </c>
      <c r="I8030" s="224" t="s">
        <v>2</v>
      </c>
    </row>
    <row r="8031" spans="1:9" x14ac:dyDescent="0.25">
      <c r="A8031" s="515">
        <v>33149</v>
      </c>
      <c r="B8031" s="515" t="s">
        <v>831</v>
      </c>
      <c r="C8031" s="52">
        <v>1478395.2796618999</v>
      </c>
      <c r="D8031" s="56">
        <v>0.19424051021000702</v>
      </c>
      <c r="E8031" s="224">
        <v>7332.9761904761899</v>
      </c>
      <c r="F8031" s="515" t="s">
        <v>9239</v>
      </c>
      <c r="G8031" s="52">
        <v>187425.841254378</v>
      </c>
      <c r="H8031" s="56">
        <v>0.10629490469436402</v>
      </c>
      <c r="I8031" s="224" t="s">
        <v>2</v>
      </c>
    </row>
    <row r="8032" spans="1:9" x14ac:dyDescent="0.25">
      <c r="A8032" s="515">
        <v>73644</v>
      </c>
      <c r="B8032" s="515" t="s">
        <v>924</v>
      </c>
      <c r="C8032" s="52">
        <v>144383.88788623799</v>
      </c>
      <c r="D8032" s="56">
        <v>5.7283407426092559E-2</v>
      </c>
      <c r="E8032" s="224" t="s">
        <v>2</v>
      </c>
      <c r="F8032" s="515" t="s">
        <v>9240</v>
      </c>
      <c r="G8032" s="52">
        <v>165013.60964672099</v>
      </c>
      <c r="H8032" s="56">
        <v>0.13559088046528348</v>
      </c>
      <c r="I8032" s="224" t="s">
        <v>2</v>
      </c>
    </row>
    <row r="8033" spans="1:9" x14ac:dyDescent="0.25">
      <c r="A8033" s="515">
        <v>91377</v>
      </c>
      <c r="B8033" s="515" t="s">
        <v>1021</v>
      </c>
      <c r="C8033" s="52">
        <v>1009045.58801738</v>
      </c>
      <c r="D8033" s="56">
        <v>4.6827100069536359E-2</v>
      </c>
      <c r="E8033" s="224">
        <v>2930.5952380952299</v>
      </c>
      <c r="F8033" s="515" t="s">
        <v>9241</v>
      </c>
      <c r="G8033" s="52">
        <v>419487.308703341</v>
      </c>
      <c r="H8033" s="56">
        <v>5.7474434591302297E-2</v>
      </c>
      <c r="I8033" s="224" t="s">
        <v>2</v>
      </c>
    </row>
    <row r="8034" spans="1:9" x14ac:dyDescent="0.25">
      <c r="A8034" s="515">
        <v>8030</v>
      </c>
      <c r="B8034" s="515" t="s">
        <v>294</v>
      </c>
      <c r="C8034" s="52">
        <v>179099.621364839</v>
      </c>
      <c r="D8034" s="56">
        <v>0.12086111541676034</v>
      </c>
      <c r="E8034" s="224" t="s">
        <v>2</v>
      </c>
      <c r="F8034" s="515" t="s">
        <v>9242</v>
      </c>
      <c r="G8034" s="52">
        <v>176764.71761583199</v>
      </c>
      <c r="H8034" s="56">
        <v>3.3442294386702646E-2</v>
      </c>
      <c r="I8034" s="224" t="s">
        <v>2</v>
      </c>
    </row>
    <row r="8035" spans="1:9" x14ac:dyDescent="0.25">
      <c r="A8035" s="515">
        <v>23661</v>
      </c>
      <c r="B8035" s="515" t="s">
        <v>301</v>
      </c>
      <c r="C8035" s="52">
        <v>210103.220699525</v>
      </c>
      <c r="D8035" s="56">
        <v>0.1264721182405103</v>
      </c>
      <c r="E8035" s="224" t="s">
        <v>2</v>
      </c>
      <c r="F8035" s="515" t="s">
        <v>9243</v>
      </c>
      <c r="G8035" s="52">
        <v>219719.520445014</v>
      </c>
      <c r="H8035" s="56">
        <v>4.8170326379507668E-2</v>
      </c>
      <c r="I8035" s="224" t="s">
        <v>2</v>
      </c>
    </row>
    <row r="8036" spans="1:9" x14ac:dyDescent="0.25">
      <c r="A8036" s="515">
        <v>16830</v>
      </c>
      <c r="B8036" s="515" t="s">
        <v>876</v>
      </c>
      <c r="C8036" s="52">
        <v>101641.65335953201</v>
      </c>
      <c r="D8036" s="56">
        <v>-3.5412147253709843E-2</v>
      </c>
      <c r="E8036" s="224" t="s">
        <v>2</v>
      </c>
      <c r="F8036" s="515" t="s">
        <v>9244</v>
      </c>
      <c r="G8036" s="52">
        <v>270091.21604006499</v>
      </c>
      <c r="H8036" s="56">
        <v>0.16240636505799488</v>
      </c>
      <c r="I8036" s="224" t="s">
        <v>2</v>
      </c>
    </row>
    <row r="8037" spans="1:9" x14ac:dyDescent="0.25">
      <c r="A8037" s="515">
        <v>99901</v>
      </c>
      <c r="B8037" s="515" t="s">
        <v>1203</v>
      </c>
      <c r="C8037" s="52">
        <v>380477.00657912</v>
      </c>
      <c r="D8037" s="56">
        <v>5.0909117671482484E-2</v>
      </c>
      <c r="E8037" s="224" t="s">
        <v>2</v>
      </c>
      <c r="F8037" s="515" t="s">
        <v>9245</v>
      </c>
      <c r="G8037" s="52">
        <v>356129.65891813498</v>
      </c>
      <c r="H8037" s="56">
        <v>8.7042509182964342E-2</v>
      </c>
      <c r="I8037" s="224" t="s">
        <v>2</v>
      </c>
    </row>
    <row r="8038" spans="1:9" x14ac:dyDescent="0.25">
      <c r="A8038" s="515">
        <v>78374</v>
      </c>
      <c r="B8038" s="515" t="s">
        <v>415</v>
      </c>
      <c r="C8038" s="52">
        <v>250523.686556014</v>
      </c>
      <c r="D8038" s="56">
        <v>6.9008364340929593E-2</v>
      </c>
      <c r="E8038" s="224">
        <v>1531.6666666666599</v>
      </c>
      <c r="F8038" s="515" t="s">
        <v>9246</v>
      </c>
      <c r="G8038" s="52">
        <v>302547.89720366203</v>
      </c>
      <c r="H8038" s="56">
        <v>0.49574430732920777</v>
      </c>
      <c r="I8038" s="224" t="s">
        <v>2</v>
      </c>
    </row>
    <row r="8039" spans="1:9" x14ac:dyDescent="0.25">
      <c r="A8039" s="515">
        <v>91381</v>
      </c>
      <c r="B8039" s="515" t="s">
        <v>375</v>
      </c>
      <c r="C8039" s="52">
        <v>995937.92898400396</v>
      </c>
      <c r="D8039" s="56">
        <v>5.888385526805958E-2</v>
      </c>
      <c r="E8039" s="224">
        <v>3023.7999999999902</v>
      </c>
      <c r="F8039" s="515" t="s">
        <v>9247</v>
      </c>
      <c r="G8039" s="52">
        <v>169162.77908854501</v>
      </c>
      <c r="H8039" s="56">
        <v>8.4569112074202674E-2</v>
      </c>
      <c r="I8039" s="224" t="s">
        <v>2</v>
      </c>
    </row>
    <row r="8040" spans="1:9" x14ac:dyDescent="0.25">
      <c r="A8040" s="515">
        <v>71104</v>
      </c>
      <c r="B8040" s="515" t="s">
        <v>739</v>
      </c>
      <c r="C8040" s="52">
        <v>118769.731933303</v>
      </c>
      <c r="D8040" s="56">
        <v>4.6941923932245798E-2</v>
      </c>
      <c r="E8040" s="224">
        <v>822.22222222222194</v>
      </c>
      <c r="F8040" s="515" t="s">
        <v>9248</v>
      </c>
      <c r="G8040" s="52">
        <v>232572.809831561</v>
      </c>
      <c r="H8040" s="56">
        <v>5.9020372641333261E-3</v>
      </c>
      <c r="I8040" s="224" t="s">
        <v>2</v>
      </c>
    </row>
    <row r="8041" spans="1:9" x14ac:dyDescent="0.25">
      <c r="A8041" s="515">
        <v>70538</v>
      </c>
      <c r="B8041" s="515" t="s">
        <v>1184</v>
      </c>
      <c r="C8041" s="52">
        <v>81909.810087942795</v>
      </c>
      <c r="D8041" s="56">
        <v>6.1247363972459799E-2</v>
      </c>
      <c r="E8041" s="224" t="s">
        <v>2</v>
      </c>
      <c r="F8041" s="515" t="s">
        <v>9249</v>
      </c>
      <c r="G8041" s="52">
        <v>335166.814517138</v>
      </c>
      <c r="H8041" s="56">
        <v>8.2775021143287483E-2</v>
      </c>
      <c r="I8041" s="224" t="s">
        <v>2</v>
      </c>
    </row>
    <row r="8042" spans="1:9" x14ac:dyDescent="0.25">
      <c r="A8042" s="515">
        <v>94517</v>
      </c>
      <c r="B8042" s="515" t="s">
        <v>593</v>
      </c>
      <c r="C8042" s="52">
        <v>1023196.23121588</v>
      </c>
      <c r="D8042" s="56">
        <v>6.0378857837092579E-3</v>
      </c>
      <c r="E8042" s="224" t="s">
        <v>2</v>
      </c>
      <c r="F8042" s="515" t="s">
        <v>9250</v>
      </c>
      <c r="G8042" s="52">
        <v>159961.97906876801</v>
      </c>
      <c r="H8042" s="56">
        <v>0.11871165581567869</v>
      </c>
      <c r="I8042" s="224" t="s">
        <v>2</v>
      </c>
    </row>
    <row r="8043" spans="1:9" x14ac:dyDescent="0.25">
      <c r="A8043" s="515">
        <v>3743</v>
      </c>
      <c r="B8043" s="515" t="s">
        <v>420</v>
      </c>
      <c r="C8043" s="52">
        <v>220308.161139876</v>
      </c>
      <c r="D8043" s="56">
        <v>0.18226591005169077</v>
      </c>
      <c r="E8043" s="224">
        <v>1442.5</v>
      </c>
      <c r="F8043" s="515" t="s">
        <v>9251</v>
      </c>
      <c r="G8043" s="52">
        <v>235673.95370512101</v>
      </c>
      <c r="H8043" s="56">
        <v>7.9659122121462048E-2</v>
      </c>
      <c r="I8043" s="224" t="s">
        <v>2</v>
      </c>
    </row>
    <row r="8044" spans="1:9" x14ac:dyDescent="0.25">
      <c r="A8044" s="515">
        <v>45106</v>
      </c>
      <c r="B8044" s="515" t="s">
        <v>344</v>
      </c>
      <c r="C8044" s="52">
        <v>210110.67155630101</v>
      </c>
      <c r="D8044" s="56">
        <v>8.9017462702516148E-2</v>
      </c>
      <c r="E8044" s="224" t="s">
        <v>2</v>
      </c>
      <c r="F8044" s="515" t="s">
        <v>9252</v>
      </c>
      <c r="G8044" s="52">
        <v>206388.337384946</v>
      </c>
      <c r="H8044" s="56">
        <v>9.7794201905500255E-2</v>
      </c>
      <c r="I8044" s="224" t="s">
        <v>2</v>
      </c>
    </row>
    <row r="8045" spans="1:9" x14ac:dyDescent="0.25">
      <c r="A8045" s="515">
        <v>14619</v>
      </c>
      <c r="B8045" s="515" t="s">
        <v>337</v>
      </c>
      <c r="C8045" s="52">
        <v>127682.97086754</v>
      </c>
      <c r="D8045" s="56">
        <v>5.3153319997381966E-2</v>
      </c>
      <c r="E8045" s="224">
        <v>1270.8333333333301</v>
      </c>
      <c r="F8045" s="515" t="s">
        <v>9253</v>
      </c>
      <c r="G8045" s="52">
        <v>172930.635316698</v>
      </c>
      <c r="H8045" s="56">
        <v>0</v>
      </c>
      <c r="I8045" s="224" t="s">
        <v>2</v>
      </c>
    </row>
    <row r="8046" spans="1:9" x14ac:dyDescent="0.25">
      <c r="A8046" s="515">
        <v>97448</v>
      </c>
      <c r="B8046" s="515" t="s">
        <v>801</v>
      </c>
      <c r="C8046" s="52">
        <v>462895.42236927198</v>
      </c>
      <c r="D8046" s="56">
        <v>4.2357638148549259E-2</v>
      </c>
      <c r="E8046" s="224" t="s">
        <v>2</v>
      </c>
      <c r="F8046" s="515" t="s">
        <v>9254</v>
      </c>
      <c r="G8046" s="52">
        <v>218828.36359559599</v>
      </c>
      <c r="H8046" s="56">
        <v>0.14118214345855043</v>
      </c>
      <c r="I8046" s="224" t="s">
        <v>2</v>
      </c>
    </row>
    <row r="8047" spans="1:9" x14ac:dyDescent="0.25">
      <c r="A8047" s="515">
        <v>71601</v>
      </c>
      <c r="B8047" s="515" t="s">
        <v>872</v>
      </c>
      <c r="C8047" s="52">
        <v>45889.483598115199</v>
      </c>
      <c r="D8047" s="56">
        <v>3.5307641074505861E-2</v>
      </c>
      <c r="E8047" s="224" t="s">
        <v>2</v>
      </c>
      <c r="F8047" s="515" t="s">
        <v>9255</v>
      </c>
      <c r="G8047" s="52">
        <v>224932.98781251299</v>
      </c>
      <c r="H8047" s="56">
        <v>7.4869785110764267E-2</v>
      </c>
      <c r="I8047" s="224" t="s">
        <v>2</v>
      </c>
    </row>
    <row r="8048" spans="1:9" x14ac:dyDescent="0.25">
      <c r="A8048" s="515">
        <v>52556</v>
      </c>
      <c r="B8048" s="515" t="s">
        <v>810</v>
      </c>
      <c r="C8048" s="52">
        <v>157592.27351838001</v>
      </c>
      <c r="D8048" s="56">
        <v>9.6413416759036322E-2</v>
      </c>
      <c r="E8048" s="224" t="s">
        <v>2</v>
      </c>
      <c r="F8048" s="515" t="s">
        <v>9256</v>
      </c>
      <c r="G8048" s="52">
        <v>393148.789869286</v>
      </c>
      <c r="H8048" s="56">
        <v>1.4415516455351038E-2</v>
      </c>
      <c r="I8048" s="224" t="s">
        <v>2</v>
      </c>
    </row>
    <row r="8049" spans="1:9" x14ac:dyDescent="0.25">
      <c r="A8049" s="515">
        <v>36054</v>
      </c>
      <c r="B8049" s="515" t="s">
        <v>806</v>
      </c>
      <c r="C8049" s="52">
        <v>182802.63400265001</v>
      </c>
      <c r="D8049" s="56">
        <v>8.0650536866838624E-2</v>
      </c>
      <c r="E8049" s="224">
        <v>1235.8333333333301</v>
      </c>
      <c r="F8049" s="515" t="s">
        <v>9257</v>
      </c>
      <c r="G8049" s="52">
        <v>205728.50971809</v>
      </c>
      <c r="H8049" s="56">
        <v>1.6554033978014401E-2</v>
      </c>
      <c r="I8049" s="224" t="s">
        <v>2</v>
      </c>
    </row>
    <row r="8050" spans="1:9" x14ac:dyDescent="0.25">
      <c r="A8050" s="515">
        <v>53074</v>
      </c>
      <c r="B8050" s="515" t="s">
        <v>950</v>
      </c>
      <c r="C8050" s="52">
        <v>282887.82905665401</v>
      </c>
      <c r="D8050" s="56">
        <v>1.8829484062535297E-2</v>
      </c>
      <c r="E8050" s="224" t="s">
        <v>2</v>
      </c>
      <c r="F8050" s="515" t="s">
        <v>9258</v>
      </c>
      <c r="G8050" s="52">
        <v>211995.06965324801</v>
      </c>
      <c r="H8050" s="56">
        <v>8.2043746457894889E-2</v>
      </c>
      <c r="I8050" s="224" t="s">
        <v>2</v>
      </c>
    </row>
    <row r="8051" spans="1:9" x14ac:dyDescent="0.25">
      <c r="A8051" s="515">
        <v>44667</v>
      </c>
      <c r="B8051" s="515" t="s">
        <v>1136</v>
      </c>
      <c r="C8051" s="52">
        <v>309068.83361632499</v>
      </c>
      <c r="D8051" s="56">
        <v>0.30270424101390525</v>
      </c>
      <c r="E8051" s="224" t="s">
        <v>2</v>
      </c>
      <c r="F8051" s="515" t="s">
        <v>9259</v>
      </c>
      <c r="G8051" s="52">
        <v>246309.06066665999</v>
      </c>
      <c r="H8051" s="56">
        <v>0.12293340333704306</v>
      </c>
      <c r="I8051" s="224" t="s">
        <v>2</v>
      </c>
    </row>
    <row r="8052" spans="1:9" x14ac:dyDescent="0.25">
      <c r="A8052" s="515">
        <v>60503</v>
      </c>
      <c r="B8052" s="515" t="s">
        <v>394</v>
      </c>
      <c r="C8052" s="52">
        <v>332808.51808668999</v>
      </c>
      <c r="D8052" s="56">
        <v>5.9864582020964834E-2</v>
      </c>
      <c r="E8052" s="224" t="s">
        <v>2</v>
      </c>
      <c r="F8052" s="515" t="s">
        <v>9260</v>
      </c>
      <c r="G8052" s="52">
        <v>144592.91385948801</v>
      </c>
      <c r="H8052" s="56">
        <v>0.12117024344452054</v>
      </c>
      <c r="I8052" s="224" t="s">
        <v>2</v>
      </c>
    </row>
    <row r="8053" spans="1:9" x14ac:dyDescent="0.25">
      <c r="A8053" s="515">
        <v>41094</v>
      </c>
      <c r="B8053" s="515" t="s">
        <v>344</v>
      </c>
      <c r="C8053" s="52">
        <v>288712.17470424302</v>
      </c>
      <c r="D8053" s="56">
        <v>8.5644369284055943E-2</v>
      </c>
      <c r="E8053" s="224" t="s">
        <v>2</v>
      </c>
      <c r="F8053" s="515" t="s">
        <v>9261</v>
      </c>
      <c r="G8053" s="52">
        <v>87291.231463618402</v>
      </c>
      <c r="H8053" s="56">
        <v>2.1380614798659136E-3</v>
      </c>
      <c r="I8053" s="224" t="s">
        <v>2</v>
      </c>
    </row>
    <row r="8054" spans="1:9" x14ac:dyDescent="0.25">
      <c r="A8054" s="515">
        <v>53959</v>
      </c>
      <c r="B8054" s="515" t="s">
        <v>916</v>
      </c>
      <c r="C8054" s="52">
        <v>235957.14380802601</v>
      </c>
      <c r="D8054" s="56">
        <v>6.1493134235759493E-2</v>
      </c>
      <c r="E8054" s="224" t="s">
        <v>2</v>
      </c>
      <c r="F8054" s="515" t="s">
        <v>9262</v>
      </c>
      <c r="G8054" s="52">
        <v>260441.330960441</v>
      </c>
      <c r="H8054" s="56">
        <v>9.5876392630030935E-2</v>
      </c>
      <c r="I8054" s="224" t="s">
        <v>2</v>
      </c>
    </row>
    <row r="8055" spans="1:9" x14ac:dyDescent="0.25">
      <c r="A8055" s="515">
        <v>70422</v>
      </c>
      <c r="B8055" s="515" t="s">
        <v>814</v>
      </c>
      <c r="C8055" s="52">
        <v>127821.935367251</v>
      </c>
      <c r="D8055" s="56">
        <v>-3.3177556759604918E-2</v>
      </c>
      <c r="E8055" s="224" t="s">
        <v>2</v>
      </c>
      <c r="F8055" s="515" t="s">
        <v>9263</v>
      </c>
      <c r="G8055" s="52">
        <v>210797.89826425401</v>
      </c>
      <c r="H8055" s="56">
        <v>3.978598381480894E-2</v>
      </c>
      <c r="I8055" s="224" t="s">
        <v>2</v>
      </c>
    </row>
    <row r="8056" spans="1:9" x14ac:dyDescent="0.25">
      <c r="A8056" s="515">
        <v>41056</v>
      </c>
      <c r="B8056" s="515" t="s">
        <v>967</v>
      </c>
      <c r="C8056" s="52">
        <v>129127.901663731</v>
      </c>
      <c r="D8056" s="56">
        <v>0.13267218186670879</v>
      </c>
      <c r="E8056" s="224" t="s">
        <v>2</v>
      </c>
      <c r="F8056" s="515" t="s">
        <v>9264</v>
      </c>
      <c r="G8056" s="52">
        <v>650027.90861669602</v>
      </c>
      <c r="H8056" s="56">
        <v>3.2859967523404525E-2</v>
      </c>
      <c r="I8056" s="224" t="s">
        <v>2</v>
      </c>
    </row>
    <row r="8057" spans="1:9" x14ac:dyDescent="0.25">
      <c r="A8057" s="515">
        <v>14411</v>
      </c>
      <c r="B8057" s="515" t="s">
        <v>337</v>
      </c>
      <c r="C8057" s="52">
        <v>148365.357105281</v>
      </c>
      <c r="D8057" s="56">
        <v>0.11194040061685624</v>
      </c>
      <c r="E8057" s="224" t="s">
        <v>2</v>
      </c>
      <c r="F8057" s="515" t="s">
        <v>9265</v>
      </c>
      <c r="G8057" s="52">
        <v>819611.59913959599</v>
      </c>
      <c r="H8057" s="56">
        <v>6.3254029873559978E-2</v>
      </c>
      <c r="I8057" s="224" t="s">
        <v>2</v>
      </c>
    </row>
    <row r="8058" spans="1:9" x14ac:dyDescent="0.25">
      <c r="A8058" s="515">
        <v>18512</v>
      </c>
      <c r="B8058" s="515" t="s">
        <v>512</v>
      </c>
      <c r="C8058" s="52">
        <v>167093.21143660299</v>
      </c>
      <c r="D8058" s="56">
        <v>5.5759280517013045E-2</v>
      </c>
      <c r="E8058" s="224" t="s">
        <v>2</v>
      </c>
      <c r="F8058" s="515" t="s">
        <v>9266</v>
      </c>
      <c r="G8058" s="52">
        <v>305554.13209119701</v>
      </c>
      <c r="H8058" s="56">
        <v>5.0541292032679867E-2</v>
      </c>
      <c r="I8058" s="224" t="s">
        <v>2</v>
      </c>
    </row>
    <row r="8059" spans="1:9" x14ac:dyDescent="0.25">
      <c r="A8059" s="515">
        <v>19153</v>
      </c>
      <c r="B8059" s="515" t="s">
        <v>294</v>
      </c>
      <c r="C8059" s="52">
        <v>204847.73470805999</v>
      </c>
      <c r="D8059" s="56">
        <v>0.11762277519816126</v>
      </c>
      <c r="E8059" s="224" t="s">
        <v>2</v>
      </c>
      <c r="F8059" s="515" t="s">
        <v>9267</v>
      </c>
      <c r="G8059" s="52">
        <v>109778.79255763</v>
      </c>
      <c r="H8059" s="56">
        <v>1.6365969711094327E-2</v>
      </c>
      <c r="I8059" s="224" t="s">
        <v>2</v>
      </c>
    </row>
    <row r="8060" spans="1:9" x14ac:dyDescent="0.25">
      <c r="A8060" s="515">
        <v>98951</v>
      </c>
      <c r="B8060" s="515" t="s">
        <v>948</v>
      </c>
      <c r="C8060" s="52">
        <v>244305.643989584</v>
      </c>
      <c r="D8060" s="56">
        <v>4.8584694487207654E-2</v>
      </c>
      <c r="E8060" s="224" t="s">
        <v>2</v>
      </c>
      <c r="F8060" s="515" t="s">
        <v>9268</v>
      </c>
      <c r="G8060" s="52">
        <v>839862.40688814502</v>
      </c>
      <c r="H8060" s="56">
        <v>-1.2799885760852447E-2</v>
      </c>
      <c r="I8060" s="224" t="s">
        <v>2</v>
      </c>
    </row>
    <row r="8061" spans="1:9" x14ac:dyDescent="0.25">
      <c r="A8061" s="515">
        <v>75633</v>
      </c>
      <c r="C8061" s="52">
        <v>169855.90948877699</v>
      </c>
      <c r="D8061" s="56">
        <v>3.0402903105366957E-2</v>
      </c>
      <c r="E8061" s="224" t="s">
        <v>2</v>
      </c>
      <c r="F8061" s="515" t="s">
        <v>9269</v>
      </c>
      <c r="G8061" s="52">
        <v>142793.14358756901</v>
      </c>
      <c r="H8061" s="56">
        <v>1.3021435286061488E-2</v>
      </c>
      <c r="I8061" s="224" t="s">
        <v>2</v>
      </c>
    </row>
    <row r="8062" spans="1:9" x14ac:dyDescent="0.25">
      <c r="A8062" s="515">
        <v>37166</v>
      </c>
      <c r="C8062" s="52">
        <v>241849.34684677</v>
      </c>
      <c r="D8062" s="56">
        <v>9.4419590660874492E-2</v>
      </c>
      <c r="E8062" s="224" t="s">
        <v>2</v>
      </c>
      <c r="F8062" s="515" t="s">
        <v>9270</v>
      </c>
      <c r="G8062" s="52">
        <v>289921.27849957399</v>
      </c>
      <c r="H8062" s="56">
        <v>0.13783894212088313</v>
      </c>
      <c r="I8062" s="224" t="s">
        <v>2</v>
      </c>
    </row>
    <row r="8063" spans="1:9" x14ac:dyDescent="0.25">
      <c r="A8063" s="515">
        <v>76022</v>
      </c>
      <c r="B8063" s="515" t="s">
        <v>458</v>
      </c>
      <c r="C8063" s="52">
        <v>301569.56972270698</v>
      </c>
      <c r="D8063" s="56">
        <v>7.8757733886898676E-2</v>
      </c>
      <c r="E8063" s="224">
        <v>1469.75</v>
      </c>
      <c r="F8063" s="515" t="s">
        <v>9271</v>
      </c>
      <c r="G8063" s="52">
        <v>203594.54608681099</v>
      </c>
      <c r="H8063" s="56">
        <v>0.13140366548217378</v>
      </c>
      <c r="I8063" s="224" t="s">
        <v>2</v>
      </c>
    </row>
    <row r="8064" spans="1:9" x14ac:dyDescent="0.25">
      <c r="A8064" s="515">
        <v>1119</v>
      </c>
      <c r="B8064" s="515" t="s">
        <v>575</v>
      </c>
      <c r="C8064" s="52">
        <v>256133.70018915599</v>
      </c>
      <c r="D8064" s="56">
        <v>7.1536942211184326E-2</v>
      </c>
      <c r="E8064" s="224" t="s">
        <v>2</v>
      </c>
      <c r="F8064" s="515" t="s">
        <v>9272</v>
      </c>
      <c r="G8064" s="52">
        <v>201489.31270947499</v>
      </c>
      <c r="H8064" s="56">
        <v>6.0424204003348581E-2</v>
      </c>
      <c r="I8064" s="224" t="s">
        <v>2</v>
      </c>
    </row>
    <row r="8065" spans="1:9" x14ac:dyDescent="0.25">
      <c r="A8065" s="515">
        <v>48462</v>
      </c>
      <c r="B8065" s="515" t="s">
        <v>685</v>
      </c>
      <c r="C8065" s="52">
        <v>332313.920163439</v>
      </c>
      <c r="D8065" s="56">
        <v>3.0301002109435232E-2</v>
      </c>
      <c r="E8065" s="224" t="s">
        <v>2</v>
      </c>
      <c r="F8065" s="515" t="s">
        <v>9273</v>
      </c>
      <c r="G8065" s="52">
        <v>90226.700972499704</v>
      </c>
      <c r="H8065" s="56">
        <v>-0.28099170057666384</v>
      </c>
      <c r="I8065" s="224" t="s">
        <v>2</v>
      </c>
    </row>
    <row r="8066" spans="1:9" x14ac:dyDescent="0.25">
      <c r="A8066" s="515">
        <v>78730</v>
      </c>
      <c r="B8066" s="515" t="s">
        <v>380</v>
      </c>
      <c r="C8066" s="52">
        <v>1141333.35438165</v>
      </c>
      <c r="D8066" s="56">
        <v>4.0926255490846358E-2</v>
      </c>
      <c r="E8066" s="224">
        <v>1634.2916666666599</v>
      </c>
      <c r="F8066" s="515" t="s">
        <v>9274</v>
      </c>
      <c r="G8066" s="52">
        <v>158863.98101625199</v>
      </c>
      <c r="H8066" s="56">
        <v>8.1295184379888266E-2</v>
      </c>
      <c r="I8066" s="224" t="s">
        <v>2</v>
      </c>
    </row>
    <row r="8067" spans="1:9" x14ac:dyDescent="0.25">
      <c r="A8067" s="515">
        <v>24301</v>
      </c>
      <c r="B8067" s="515" t="s">
        <v>597</v>
      </c>
      <c r="C8067" s="52">
        <v>131333.61970859801</v>
      </c>
      <c r="D8067" s="56">
        <v>1.9828823281480296E-2</v>
      </c>
      <c r="E8067" s="224" t="s">
        <v>2</v>
      </c>
      <c r="F8067" s="515" t="s">
        <v>9275</v>
      </c>
      <c r="G8067" s="52">
        <v>362544.169769459</v>
      </c>
      <c r="H8067" s="56">
        <v>7.461321147981792E-2</v>
      </c>
      <c r="I8067" s="224" t="s">
        <v>2</v>
      </c>
    </row>
    <row r="8068" spans="1:9" x14ac:dyDescent="0.25">
      <c r="A8068" s="515">
        <v>11953</v>
      </c>
      <c r="B8068" s="515" t="s">
        <v>324</v>
      </c>
      <c r="C8068" s="52">
        <v>400990.32096279901</v>
      </c>
      <c r="D8068" s="56">
        <v>6.2081352240583101E-2</v>
      </c>
      <c r="E8068" s="224" t="s">
        <v>2</v>
      </c>
      <c r="F8068" s="515" t="s">
        <v>9276</v>
      </c>
      <c r="G8068" s="52">
        <v>194394.75514119401</v>
      </c>
      <c r="H8068" s="56">
        <v>7.3061763978782127E-2</v>
      </c>
      <c r="I8068" s="224" t="s">
        <v>2</v>
      </c>
    </row>
    <row r="8069" spans="1:9" x14ac:dyDescent="0.25">
      <c r="A8069" s="515">
        <v>35077</v>
      </c>
      <c r="B8069" s="515" t="s">
        <v>1110</v>
      </c>
      <c r="C8069" s="52">
        <v>185215.00497985899</v>
      </c>
      <c r="D8069" s="56">
        <v>7.9571463062543979E-2</v>
      </c>
      <c r="E8069" s="224" t="s">
        <v>2</v>
      </c>
      <c r="F8069" s="515" t="s">
        <v>9277</v>
      </c>
      <c r="G8069" s="52">
        <v>176017.82083826701</v>
      </c>
      <c r="H8069" s="56">
        <v>9.1403818231904119E-2</v>
      </c>
      <c r="I8069" s="224" t="s">
        <v>2</v>
      </c>
    </row>
    <row r="8070" spans="1:9" x14ac:dyDescent="0.25">
      <c r="A8070" s="515">
        <v>60041</v>
      </c>
      <c r="B8070" s="515" t="s">
        <v>394</v>
      </c>
      <c r="C8070" s="52">
        <v>236716.709860976</v>
      </c>
      <c r="D8070" s="56">
        <v>5.6079140507655834E-2</v>
      </c>
      <c r="E8070" s="224" t="s">
        <v>2</v>
      </c>
      <c r="F8070" s="515" t="s">
        <v>9278</v>
      </c>
      <c r="G8070" s="52">
        <v>463216.47577400698</v>
      </c>
      <c r="H8070" s="56">
        <v>0.11251083024153687</v>
      </c>
      <c r="I8070" s="224" t="s">
        <v>2</v>
      </c>
    </row>
    <row r="8071" spans="1:9" x14ac:dyDescent="0.25">
      <c r="A8071" s="515">
        <v>37188</v>
      </c>
      <c r="B8071" s="515" t="s">
        <v>684</v>
      </c>
      <c r="C8071" s="52">
        <v>370514.90320839197</v>
      </c>
      <c r="D8071" s="56">
        <v>6.1216809722963297E-2</v>
      </c>
      <c r="E8071" s="224">
        <v>1747.6666666666599</v>
      </c>
      <c r="F8071" s="515" t="s">
        <v>9279</v>
      </c>
      <c r="G8071" s="52">
        <v>444720.91262685601</v>
      </c>
      <c r="H8071" s="56">
        <v>2.68414443947739E-2</v>
      </c>
      <c r="I8071" s="224" t="s">
        <v>2</v>
      </c>
    </row>
    <row r="8072" spans="1:9" x14ac:dyDescent="0.25">
      <c r="A8072" s="515">
        <v>8846</v>
      </c>
      <c r="B8072" s="515" t="s">
        <v>324</v>
      </c>
      <c r="C8072" s="52">
        <v>394884.01616234903</v>
      </c>
      <c r="D8072" s="56">
        <v>9.0674861109984323E-3</v>
      </c>
      <c r="E8072" s="224" t="s">
        <v>2</v>
      </c>
      <c r="F8072" s="515" t="s">
        <v>9280</v>
      </c>
      <c r="G8072" s="52">
        <v>292311.36882181099</v>
      </c>
      <c r="H8072" s="56">
        <v>6.3501862098710046E-2</v>
      </c>
      <c r="I8072" s="224" t="s">
        <v>2</v>
      </c>
    </row>
    <row r="8073" spans="1:9" x14ac:dyDescent="0.25">
      <c r="A8073" s="515">
        <v>52101</v>
      </c>
      <c r="C8073" s="52">
        <v>254939.53665982999</v>
      </c>
      <c r="D8073" s="56">
        <v>8.6310263097200163E-2</v>
      </c>
      <c r="E8073" s="224" t="s">
        <v>2</v>
      </c>
      <c r="F8073" s="515" t="s">
        <v>9281</v>
      </c>
      <c r="G8073" s="52">
        <v>340961.63781702198</v>
      </c>
      <c r="H8073" s="56">
        <v>4.2587854392064063E-2</v>
      </c>
      <c r="I8073" s="224" t="s">
        <v>2</v>
      </c>
    </row>
    <row r="8074" spans="1:9" x14ac:dyDescent="0.25">
      <c r="A8074" s="515">
        <v>54143</v>
      </c>
      <c r="B8074" s="515" t="s">
        <v>923</v>
      </c>
      <c r="C8074" s="52">
        <v>148006.53863153901</v>
      </c>
      <c r="D8074" s="56">
        <v>8.1305693243780855E-2</v>
      </c>
      <c r="E8074" s="224" t="s">
        <v>2</v>
      </c>
      <c r="F8074" s="515" t="s">
        <v>9282</v>
      </c>
      <c r="G8074" s="52">
        <v>364147.36514587398</v>
      </c>
      <c r="H8074" s="56">
        <v>1.058141498211918E-2</v>
      </c>
      <c r="I8074" s="224" t="s">
        <v>2</v>
      </c>
    </row>
    <row r="8075" spans="1:9" x14ac:dyDescent="0.25">
      <c r="A8075" s="515">
        <v>80513</v>
      </c>
      <c r="B8075" s="515" t="s">
        <v>738</v>
      </c>
      <c r="C8075" s="52">
        <v>591467.99629153102</v>
      </c>
      <c r="D8075" s="56">
        <v>5.8615348824583725E-2</v>
      </c>
      <c r="E8075" s="224">
        <v>2300</v>
      </c>
      <c r="F8075" s="515" t="s">
        <v>9283</v>
      </c>
      <c r="G8075" s="52">
        <v>167558.07972957799</v>
      </c>
      <c r="H8075" s="56">
        <v>0.18423620227427787</v>
      </c>
      <c r="I8075" s="224" t="s">
        <v>2</v>
      </c>
    </row>
    <row r="8076" spans="1:9" x14ac:dyDescent="0.25">
      <c r="A8076" s="515">
        <v>48625</v>
      </c>
      <c r="C8076" s="52">
        <v>90596.110560820205</v>
      </c>
      <c r="D8076" s="56">
        <v>0.12600574851652338</v>
      </c>
      <c r="E8076" s="224" t="s">
        <v>2</v>
      </c>
      <c r="F8076" s="515" t="s">
        <v>9284</v>
      </c>
      <c r="G8076" s="52">
        <v>471212.41171354603</v>
      </c>
      <c r="H8076" s="56">
        <v>4.0414441493297475E-2</v>
      </c>
      <c r="I8076" s="224" t="s">
        <v>2</v>
      </c>
    </row>
    <row r="8077" spans="1:9" x14ac:dyDescent="0.25">
      <c r="A8077" s="515">
        <v>87015</v>
      </c>
      <c r="B8077" s="515" t="s">
        <v>926</v>
      </c>
      <c r="C8077" s="52">
        <v>321064.88350147498</v>
      </c>
      <c r="D8077" s="56">
        <v>6.5885632563432633E-2</v>
      </c>
      <c r="E8077" s="224" t="s">
        <v>2</v>
      </c>
      <c r="F8077" s="515" t="s">
        <v>9285</v>
      </c>
      <c r="G8077" s="52">
        <v>270588.44539909402</v>
      </c>
      <c r="H8077" s="56">
        <v>0.13744260685170376</v>
      </c>
      <c r="I8077" s="224" t="s">
        <v>2</v>
      </c>
    </row>
    <row r="8078" spans="1:9" x14ac:dyDescent="0.25">
      <c r="A8078" s="515">
        <v>36272</v>
      </c>
      <c r="B8078" s="515" t="s">
        <v>927</v>
      </c>
      <c r="C8078" s="52">
        <v>121130.041057336</v>
      </c>
      <c r="D8078" s="56">
        <v>5.1866117243081086E-2</v>
      </c>
      <c r="E8078" s="224" t="s">
        <v>2</v>
      </c>
      <c r="F8078" s="515" t="s">
        <v>9286</v>
      </c>
      <c r="G8078" s="52">
        <v>165819.082335805</v>
      </c>
      <c r="H8078" s="56">
        <v>1.5524235030449961E-2</v>
      </c>
      <c r="I8078" s="224" t="s">
        <v>2</v>
      </c>
    </row>
    <row r="8079" spans="1:9" x14ac:dyDescent="0.25">
      <c r="A8079" s="515">
        <v>21901</v>
      </c>
      <c r="B8079" s="515" t="s">
        <v>294</v>
      </c>
      <c r="C8079" s="52">
        <v>323763.81265696802</v>
      </c>
      <c r="D8079" s="56">
        <v>3.4468443057537899E-2</v>
      </c>
      <c r="E8079" s="224">
        <v>1721.0873015873001</v>
      </c>
      <c r="F8079" s="515" t="s">
        <v>9287</v>
      </c>
      <c r="G8079" s="52">
        <v>123385.08902016</v>
      </c>
      <c r="H8079" s="56">
        <v>-5.1517852352105792E-2</v>
      </c>
      <c r="I8079" s="224" t="s">
        <v>2</v>
      </c>
    </row>
    <row r="8080" spans="1:9" x14ac:dyDescent="0.25">
      <c r="A8080" s="515">
        <v>80125</v>
      </c>
      <c r="B8080" s="515" t="s">
        <v>401</v>
      </c>
      <c r="C8080" s="52">
        <v>751959.113188299</v>
      </c>
      <c r="D8080" s="56">
        <v>1.2556732442623493E-2</v>
      </c>
      <c r="E8080" s="224">
        <v>2795</v>
      </c>
      <c r="F8080" s="515" t="s">
        <v>9288</v>
      </c>
      <c r="G8080" s="52">
        <v>1091396.3837909601</v>
      </c>
      <c r="H8080" s="56">
        <v>0.15608231012589591</v>
      </c>
      <c r="I8080" s="224" t="s">
        <v>2</v>
      </c>
    </row>
    <row r="8081" spans="1:9" x14ac:dyDescent="0.25">
      <c r="A8081" s="515">
        <v>21550</v>
      </c>
      <c r="C8081" s="52">
        <v>251222.548540566</v>
      </c>
      <c r="D8081" s="56">
        <v>4.9292342973108562E-2</v>
      </c>
      <c r="E8081" s="224" t="s">
        <v>2</v>
      </c>
      <c r="F8081" s="515" t="s">
        <v>9289</v>
      </c>
      <c r="G8081" s="52"/>
      <c r="H8081" s="56">
        <v>0</v>
      </c>
      <c r="I8081" s="224" t="s">
        <v>2</v>
      </c>
    </row>
    <row r="8082" spans="1:9" x14ac:dyDescent="0.25">
      <c r="A8082" s="515">
        <v>6517</v>
      </c>
      <c r="B8082" s="515" t="s">
        <v>1172</v>
      </c>
      <c r="C8082" s="52">
        <v>297866.57025095698</v>
      </c>
      <c r="D8082" s="56">
        <v>8.824693177449125E-2</v>
      </c>
      <c r="E8082" s="224" t="s">
        <v>2</v>
      </c>
      <c r="F8082" s="515" t="s">
        <v>9290</v>
      </c>
      <c r="G8082" s="52">
        <v>208202.350755491</v>
      </c>
      <c r="H8082" s="56">
        <v>0.10204094173597889</v>
      </c>
      <c r="I8082" s="224" t="s">
        <v>2</v>
      </c>
    </row>
    <row r="8083" spans="1:9" x14ac:dyDescent="0.25">
      <c r="A8083" s="515">
        <v>43326</v>
      </c>
      <c r="C8083" s="52">
        <v>141508.825906171</v>
      </c>
      <c r="D8083" s="56">
        <v>8.6841405014161627E-2</v>
      </c>
      <c r="E8083" s="224" t="s">
        <v>2</v>
      </c>
      <c r="F8083" s="515" t="s">
        <v>9291</v>
      </c>
      <c r="G8083" s="52">
        <v>111045.312288356</v>
      </c>
      <c r="H8083" s="56">
        <v>3.7389346937511812E-3</v>
      </c>
      <c r="I8083" s="224" t="s">
        <v>2</v>
      </c>
    </row>
    <row r="8084" spans="1:9" x14ac:dyDescent="0.25">
      <c r="A8084" s="515">
        <v>23663</v>
      </c>
      <c r="B8084" s="515" t="s">
        <v>301</v>
      </c>
      <c r="C8084" s="52">
        <v>196503.77769504499</v>
      </c>
      <c r="D8084" s="56">
        <v>0.10662589173524632</v>
      </c>
      <c r="E8084" s="224" t="s">
        <v>2</v>
      </c>
      <c r="F8084" s="515" t="s">
        <v>9292</v>
      </c>
      <c r="G8084" s="52">
        <v>109291.047923903</v>
      </c>
      <c r="H8084" s="56">
        <v>4.8005201106017747E-2</v>
      </c>
      <c r="I8084" s="224" t="s">
        <v>2</v>
      </c>
    </row>
    <row r="8085" spans="1:9" x14ac:dyDescent="0.25">
      <c r="A8085" s="515">
        <v>73942</v>
      </c>
      <c r="B8085" s="515" t="s">
        <v>1005</v>
      </c>
      <c r="C8085" s="52">
        <v>146544.39241146401</v>
      </c>
      <c r="D8085" s="56">
        <v>8.8440361652965288E-2</v>
      </c>
      <c r="E8085" s="224" t="s">
        <v>2</v>
      </c>
      <c r="F8085" s="515" t="s">
        <v>9293</v>
      </c>
      <c r="G8085" s="52">
        <v>242142.05240518</v>
      </c>
      <c r="H8085" s="56">
        <v>0.12573738127672066</v>
      </c>
      <c r="I8085" s="224" t="s">
        <v>2</v>
      </c>
    </row>
    <row r="8086" spans="1:9" x14ac:dyDescent="0.25">
      <c r="A8086" s="515">
        <v>2532</v>
      </c>
      <c r="B8086" s="515" t="s">
        <v>427</v>
      </c>
      <c r="C8086" s="52">
        <v>493451.010771217</v>
      </c>
      <c r="D8086" s="56">
        <v>9.0195402040228204E-2</v>
      </c>
      <c r="E8086" s="224" t="s">
        <v>2</v>
      </c>
      <c r="F8086" s="515" t="s">
        <v>9294</v>
      </c>
      <c r="G8086" s="52">
        <v>253593.09876477899</v>
      </c>
      <c r="H8086" s="56">
        <v>7.0531203725973948E-2</v>
      </c>
      <c r="I8086" s="224" t="s">
        <v>2</v>
      </c>
    </row>
    <row r="8087" spans="1:9" x14ac:dyDescent="0.25">
      <c r="A8087" s="515">
        <v>86322</v>
      </c>
      <c r="B8087" s="515" t="s">
        <v>332</v>
      </c>
      <c r="C8087" s="52">
        <v>387540.07954998402</v>
      </c>
      <c r="D8087" s="56">
        <v>3.4185643964737986E-2</v>
      </c>
      <c r="E8087" s="224" t="s">
        <v>2</v>
      </c>
      <c r="F8087" s="515" t="s">
        <v>9295</v>
      </c>
      <c r="G8087" s="52">
        <v>179154.12199561199</v>
      </c>
      <c r="H8087" s="56">
        <v>0.12719624403228705</v>
      </c>
      <c r="I8087" s="224" t="s">
        <v>2</v>
      </c>
    </row>
    <row r="8088" spans="1:9" x14ac:dyDescent="0.25">
      <c r="A8088" s="515">
        <v>73096</v>
      </c>
      <c r="B8088" s="515" t="s">
        <v>860</v>
      </c>
      <c r="C8088" s="52">
        <v>192106.95708118199</v>
      </c>
      <c r="D8088" s="56">
        <v>6.4833055928240874E-2</v>
      </c>
      <c r="E8088" s="224" t="s">
        <v>2</v>
      </c>
      <c r="F8088" s="515" t="s">
        <v>9296</v>
      </c>
      <c r="G8088" s="52">
        <v>67613.309217372298</v>
      </c>
      <c r="H8088" s="56">
        <v>6.1406959620169552E-2</v>
      </c>
      <c r="I8088" s="224" t="s">
        <v>2</v>
      </c>
    </row>
    <row r="8089" spans="1:9" x14ac:dyDescent="0.25">
      <c r="A8089" s="515">
        <v>87501</v>
      </c>
      <c r="B8089" s="515" t="s">
        <v>926</v>
      </c>
      <c r="C8089" s="52">
        <v>665359.16747260594</v>
      </c>
      <c r="D8089" s="56">
        <v>4.9632772234158906E-2</v>
      </c>
      <c r="E8089" s="224">
        <v>2338.88888888888</v>
      </c>
      <c r="F8089" s="515" t="s">
        <v>9297</v>
      </c>
      <c r="G8089" s="52">
        <v>148430.00081732101</v>
      </c>
      <c r="H8089" s="56">
        <v>6.3681899553723789E-2</v>
      </c>
      <c r="I8089" s="224" t="s">
        <v>2</v>
      </c>
    </row>
    <row r="8090" spans="1:9" x14ac:dyDescent="0.25">
      <c r="A8090" s="515">
        <v>85658</v>
      </c>
      <c r="B8090" s="515" t="s">
        <v>368</v>
      </c>
      <c r="C8090" s="52">
        <v>510187.409238972</v>
      </c>
      <c r="D8090" s="56">
        <v>8.1696293597566513E-2</v>
      </c>
      <c r="E8090" s="224" t="s">
        <v>2</v>
      </c>
      <c r="F8090" s="515" t="s">
        <v>9298</v>
      </c>
      <c r="G8090" s="52">
        <v>560369.75118245103</v>
      </c>
      <c r="H8090" s="56">
        <v>6.385881064540895E-2</v>
      </c>
      <c r="I8090" s="224" t="s">
        <v>2</v>
      </c>
    </row>
    <row r="8091" spans="1:9" x14ac:dyDescent="0.25">
      <c r="A8091" s="515">
        <v>75935</v>
      </c>
      <c r="C8091" s="52">
        <v>141851.051623482</v>
      </c>
      <c r="D8091" s="56">
        <v>-6.2283255193656573E-2</v>
      </c>
      <c r="E8091" s="224" t="s">
        <v>2</v>
      </c>
      <c r="F8091" s="515" t="s">
        <v>9299</v>
      </c>
      <c r="G8091" s="52">
        <v>585215.70498867903</v>
      </c>
      <c r="H8091" s="56">
        <v>5.3797085530063009E-2</v>
      </c>
      <c r="I8091" s="224" t="s">
        <v>2</v>
      </c>
    </row>
    <row r="8092" spans="1:9" x14ac:dyDescent="0.25">
      <c r="A8092" s="515">
        <v>31032</v>
      </c>
      <c r="B8092" s="515" t="s">
        <v>995</v>
      </c>
      <c r="C8092" s="52">
        <v>231001.712217202</v>
      </c>
      <c r="D8092" s="56">
        <v>8.541519651632376E-2</v>
      </c>
      <c r="E8092" s="224" t="s">
        <v>2</v>
      </c>
      <c r="F8092" s="515" t="s">
        <v>9300</v>
      </c>
      <c r="G8092" s="52">
        <v>362865.43548825203</v>
      </c>
      <c r="H8092" s="56">
        <v>5.1978612036003048E-2</v>
      </c>
      <c r="I8092" s="224">
        <v>1751.0238095238001</v>
      </c>
    </row>
    <row r="8093" spans="1:9" x14ac:dyDescent="0.25">
      <c r="A8093" s="515">
        <v>14063</v>
      </c>
      <c r="B8093" s="515" t="s">
        <v>560</v>
      </c>
      <c r="C8093" s="52">
        <v>183309.89272569801</v>
      </c>
      <c r="D8093" s="56">
        <v>0.10465070724265499</v>
      </c>
      <c r="E8093" s="224" t="s">
        <v>2</v>
      </c>
      <c r="F8093" s="515" t="s">
        <v>9301</v>
      </c>
      <c r="G8093" s="52">
        <v>338731.35770756099</v>
      </c>
      <c r="H8093" s="56">
        <v>-5.7054794754660736E-5</v>
      </c>
      <c r="I8093" s="224" t="s">
        <v>2</v>
      </c>
    </row>
    <row r="8094" spans="1:9" x14ac:dyDescent="0.25">
      <c r="A8094" s="515">
        <v>15218</v>
      </c>
      <c r="B8094" s="515" t="s">
        <v>297</v>
      </c>
      <c r="C8094" s="52">
        <v>189698.26266530901</v>
      </c>
      <c r="D8094" s="56">
        <v>5.8692691642280734E-2</v>
      </c>
      <c r="E8094" s="224">
        <v>1101.44444444444</v>
      </c>
      <c r="F8094" s="515" t="s">
        <v>9302</v>
      </c>
      <c r="G8094" s="52">
        <v>135327.331249059</v>
      </c>
      <c r="H8094" s="56">
        <v>6.6685117321744355E-2</v>
      </c>
      <c r="I8094" s="224" t="s">
        <v>2</v>
      </c>
    </row>
    <row r="8095" spans="1:9" x14ac:dyDescent="0.25">
      <c r="A8095" s="515">
        <v>65020</v>
      </c>
      <c r="C8095" s="52">
        <v>260619.48218204101</v>
      </c>
      <c r="D8095" s="56">
        <v>-1.3130337811327459E-2</v>
      </c>
      <c r="E8095" s="224" t="s">
        <v>2</v>
      </c>
      <c r="F8095" s="515" t="s">
        <v>9303</v>
      </c>
      <c r="G8095" s="52">
        <v>276611.253227184</v>
      </c>
      <c r="H8095" s="56">
        <v>9.9430323065079318E-2</v>
      </c>
      <c r="I8095" s="224" t="s">
        <v>2</v>
      </c>
    </row>
    <row r="8096" spans="1:9" x14ac:dyDescent="0.25">
      <c r="A8096" s="515">
        <v>7524</v>
      </c>
      <c r="B8096" s="515" t="s">
        <v>324</v>
      </c>
      <c r="C8096" s="52">
        <v>395205.78753192001</v>
      </c>
      <c r="D8096" s="56">
        <v>7.3334735823685909E-2</v>
      </c>
      <c r="E8096" s="224" t="s">
        <v>2</v>
      </c>
      <c r="F8096" s="515" t="s">
        <v>9304</v>
      </c>
      <c r="G8096" s="52">
        <v>359531.89907247701</v>
      </c>
      <c r="H8096" s="56">
        <v>7.8940644118395298E-2</v>
      </c>
      <c r="I8096" s="224">
        <v>2084.7222222222199</v>
      </c>
    </row>
    <row r="8097" spans="1:9" x14ac:dyDescent="0.25">
      <c r="A8097" s="515">
        <v>14527</v>
      </c>
      <c r="B8097" s="515" t="s">
        <v>337</v>
      </c>
      <c r="C8097" s="52">
        <v>255653.49525779599</v>
      </c>
      <c r="D8097" s="56">
        <v>9.4548389494295434E-2</v>
      </c>
      <c r="E8097" s="224" t="s">
        <v>2</v>
      </c>
      <c r="F8097" s="515" t="s">
        <v>9305</v>
      </c>
      <c r="G8097" s="52">
        <v>215208.66345861799</v>
      </c>
      <c r="H8097" s="56">
        <v>7.587326934902977E-2</v>
      </c>
      <c r="I8097" s="224" t="s">
        <v>2</v>
      </c>
    </row>
    <row r="8098" spans="1:9" x14ac:dyDescent="0.25">
      <c r="A8098" s="515">
        <v>50211</v>
      </c>
      <c r="B8098" s="515" t="s">
        <v>295</v>
      </c>
      <c r="C8098" s="52">
        <v>309404.247058179</v>
      </c>
      <c r="D8098" s="56">
        <v>7.5927827822821106E-2</v>
      </c>
      <c r="E8098" s="224" t="s">
        <v>2</v>
      </c>
      <c r="F8098" s="515" t="s">
        <v>9306</v>
      </c>
      <c r="G8098" s="52">
        <v>205731.6406596</v>
      </c>
      <c r="H8098" s="56">
        <v>0.13988454706826933</v>
      </c>
      <c r="I8098" s="224" t="s">
        <v>2</v>
      </c>
    </row>
    <row r="8099" spans="1:9" x14ac:dyDescent="0.25">
      <c r="A8099" s="515">
        <v>29560</v>
      </c>
      <c r="B8099" s="515" t="s">
        <v>1039</v>
      </c>
      <c r="C8099" s="52">
        <v>108471.25216044</v>
      </c>
      <c r="D8099" s="56">
        <v>0.1426913671730661</v>
      </c>
      <c r="E8099" s="224" t="s">
        <v>2</v>
      </c>
      <c r="F8099" s="515" t="s">
        <v>9307</v>
      </c>
      <c r="G8099" s="52">
        <v>163067.41536455901</v>
      </c>
      <c r="H8099" s="56">
        <v>4.3160283747154325E-2</v>
      </c>
      <c r="I8099" s="224" t="s">
        <v>2</v>
      </c>
    </row>
    <row r="8100" spans="1:9" x14ac:dyDescent="0.25">
      <c r="A8100" s="515">
        <v>16146</v>
      </c>
      <c r="B8100" s="515" t="s">
        <v>397</v>
      </c>
      <c r="C8100" s="52">
        <v>59022.033873943597</v>
      </c>
      <c r="D8100" s="56">
        <v>-2.026992439663641E-3</v>
      </c>
      <c r="E8100" s="224" t="s">
        <v>2</v>
      </c>
      <c r="F8100" s="515" t="s">
        <v>9308</v>
      </c>
      <c r="G8100" s="52">
        <v>91499.897245719098</v>
      </c>
      <c r="H8100" s="56">
        <v>1.5994002253821117E-2</v>
      </c>
      <c r="I8100" s="224" t="s">
        <v>2</v>
      </c>
    </row>
    <row r="8101" spans="1:9" x14ac:dyDescent="0.25">
      <c r="A8101" s="515">
        <v>12528</v>
      </c>
      <c r="B8101" s="515" t="s">
        <v>307</v>
      </c>
      <c r="C8101" s="52">
        <v>358210.11581195</v>
      </c>
      <c r="D8101" s="56">
        <v>0.11245455879775294</v>
      </c>
      <c r="E8101" s="224" t="s">
        <v>2</v>
      </c>
      <c r="F8101" s="515" t="s">
        <v>9309</v>
      </c>
      <c r="G8101" s="52">
        <v>227359.179498999</v>
      </c>
      <c r="H8101" s="56">
        <v>0.1286713386968083</v>
      </c>
      <c r="I8101" s="224" t="s">
        <v>2</v>
      </c>
    </row>
    <row r="8102" spans="1:9" x14ac:dyDescent="0.25">
      <c r="A8102" s="515">
        <v>39437</v>
      </c>
      <c r="B8102" s="515" t="s">
        <v>793</v>
      </c>
      <c r="C8102" s="52">
        <v>163047.66808323801</v>
      </c>
      <c r="D8102" s="56">
        <v>3.2959630507271567E-3</v>
      </c>
      <c r="E8102" s="224" t="s">
        <v>2</v>
      </c>
      <c r="F8102" s="515" t="s">
        <v>9310</v>
      </c>
      <c r="G8102" s="52">
        <v>540291.58827365399</v>
      </c>
      <c r="H8102" s="56">
        <v>1.9485048471961669E-2</v>
      </c>
      <c r="I8102" s="224" t="s">
        <v>2</v>
      </c>
    </row>
    <row r="8103" spans="1:9" x14ac:dyDescent="0.25">
      <c r="A8103" s="515">
        <v>53129</v>
      </c>
      <c r="B8103" s="515" t="s">
        <v>950</v>
      </c>
      <c r="C8103" s="52">
        <v>306369.651551619</v>
      </c>
      <c r="D8103" s="56">
        <v>5.8071509703094625E-2</v>
      </c>
      <c r="E8103" s="224" t="s">
        <v>2</v>
      </c>
      <c r="F8103" s="515" t="s">
        <v>9311</v>
      </c>
      <c r="G8103" s="52">
        <v>143351.448540418</v>
      </c>
      <c r="H8103" s="56">
        <v>4.3959082401766963E-2</v>
      </c>
      <c r="I8103" s="224" t="s">
        <v>2</v>
      </c>
    </row>
    <row r="8104" spans="1:9" x14ac:dyDescent="0.25">
      <c r="A8104" s="515">
        <v>71115</v>
      </c>
      <c r="B8104" s="515" t="s">
        <v>739</v>
      </c>
      <c r="C8104" s="52">
        <v>229373.331878975</v>
      </c>
      <c r="D8104" s="56">
        <v>1.6894608253023476E-2</v>
      </c>
      <c r="E8104" s="224">
        <v>1417.6666666666599</v>
      </c>
      <c r="F8104" s="515" t="s">
        <v>9312</v>
      </c>
      <c r="G8104" s="52">
        <v>108995.362239772</v>
      </c>
      <c r="H8104" s="56">
        <v>0.14915130372023108</v>
      </c>
      <c r="I8104" s="224" t="s">
        <v>2</v>
      </c>
    </row>
    <row r="8105" spans="1:9" x14ac:dyDescent="0.25">
      <c r="A8105" s="515">
        <v>45002</v>
      </c>
      <c r="B8105" s="515" t="s">
        <v>344</v>
      </c>
      <c r="C8105" s="52">
        <v>300716.59579501802</v>
      </c>
      <c r="D8105" s="56">
        <v>8.2857285799324734E-2</v>
      </c>
      <c r="E8105" s="224" t="s">
        <v>2</v>
      </c>
      <c r="F8105" s="515" t="s">
        <v>9313</v>
      </c>
      <c r="G8105" s="52">
        <v>483848.56536012102</v>
      </c>
      <c r="H8105" s="56">
        <v>0.13532347565386768</v>
      </c>
      <c r="I8105" s="224" t="s">
        <v>2</v>
      </c>
    </row>
    <row r="8106" spans="1:9" x14ac:dyDescent="0.25">
      <c r="A8106" s="515">
        <v>60415</v>
      </c>
      <c r="B8106" s="515" t="s">
        <v>394</v>
      </c>
      <c r="C8106" s="52">
        <v>196226.948879759</v>
      </c>
      <c r="D8106" s="56">
        <v>3.1749071377839999E-2</v>
      </c>
      <c r="E8106" s="224" t="s">
        <v>2</v>
      </c>
      <c r="F8106" s="515" t="s">
        <v>9314</v>
      </c>
      <c r="G8106" s="52">
        <v>183254.74547922099</v>
      </c>
      <c r="H8106" s="56">
        <v>6.9170615535088936E-2</v>
      </c>
      <c r="I8106" s="224" t="s">
        <v>2</v>
      </c>
    </row>
    <row r="8107" spans="1:9" x14ac:dyDescent="0.25">
      <c r="A8107" s="515">
        <v>42211</v>
      </c>
      <c r="B8107" s="515" t="s">
        <v>651</v>
      </c>
      <c r="C8107" s="52">
        <v>105978.314792113</v>
      </c>
      <c r="D8107" s="56">
        <v>0.23751244413873426</v>
      </c>
      <c r="E8107" s="224" t="s">
        <v>2</v>
      </c>
      <c r="F8107" s="515" t="s">
        <v>9315</v>
      </c>
      <c r="G8107" s="52">
        <v>127543.361870073</v>
      </c>
      <c r="H8107" s="56">
        <v>1.3158748898667196E-2</v>
      </c>
      <c r="I8107" s="224" t="s">
        <v>2</v>
      </c>
    </row>
    <row r="8108" spans="1:9" x14ac:dyDescent="0.25">
      <c r="A8108" s="515">
        <v>76085</v>
      </c>
      <c r="B8108" s="515" t="s">
        <v>458</v>
      </c>
      <c r="C8108" s="52">
        <v>406512.31375947502</v>
      </c>
      <c r="D8108" s="56">
        <v>6.417355153575624E-2</v>
      </c>
      <c r="E8108" s="224" t="s">
        <v>2</v>
      </c>
      <c r="F8108" s="515" t="s">
        <v>9316</v>
      </c>
      <c r="G8108" s="52">
        <v>1129213.77032191</v>
      </c>
      <c r="H8108" s="56">
        <v>8.0235041563072901E-2</v>
      </c>
      <c r="I8108" s="224" t="s">
        <v>2</v>
      </c>
    </row>
    <row r="8109" spans="1:9" x14ac:dyDescent="0.25">
      <c r="A8109" s="515">
        <v>30317</v>
      </c>
      <c r="B8109" s="515" t="s">
        <v>957</v>
      </c>
      <c r="C8109" s="52">
        <v>505461.78685643699</v>
      </c>
      <c r="D8109" s="56">
        <v>3.7420080455853676E-2</v>
      </c>
      <c r="E8109" s="224">
        <v>2405.125</v>
      </c>
      <c r="F8109" s="515" t="s">
        <v>9317</v>
      </c>
      <c r="G8109" s="52">
        <v>368507.44790958602</v>
      </c>
      <c r="H8109" s="56">
        <v>0.10457782229730543</v>
      </c>
      <c r="I8109" s="224" t="s">
        <v>2</v>
      </c>
    </row>
    <row r="8110" spans="1:9" x14ac:dyDescent="0.25">
      <c r="A8110" s="515">
        <v>81650</v>
      </c>
      <c r="B8110" s="515" t="s">
        <v>725</v>
      </c>
      <c r="C8110" s="52">
        <v>415261.21045209799</v>
      </c>
      <c r="D8110" s="56">
        <v>6.6797764596136802E-2</v>
      </c>
      <c r="E8110" s="224" t="s">
        <v>2</v>
      </c>
      <c r="F8110" s="515" t="s">
        <v>9318</v>
      </c>
      <c r="G8110" s="52">
        <v>294150.88976203901</v>
      </c>
      <c r="H8110" s="56">
        <v>6.184532177630693E-2</v>
      </c>
      <c r="I8110" s="224" t="s">
        <v>2</v>
      </c>
    </row>
    <row r="8111" spans="1:9" x14ac:dyDescent="0.25">
      <c r="A8111" s="515">
        <v>75757</v>
      </c>
      <c r="B8111" s="515" t="s">
        <v>1157</v>
      </c>
      <c r="C8111" s="52">
        <v>347274.97098322702</v>
      </c>
      <c r="D8111" s="56">
        <v>0.10505372751370845</v>
      </c>
      <c r="E8111" s="224" t="s">
        <v>2</v>
      </c>
      <c r="F8111" s="515" t="s">
        <v>9319</v>
      </c>
      <c r="G8111" s="52">
        <v>334487.63106883498</v>
      </c>
      <c r="H8111" s="56">
        <v>9.343336151633333E-2</v>
      </c>
      <c r="I8111" s="224" t="s">
        <v>2</v>
      </c>
    </row>
    <row r="8112" spans="1:9" x14ac:dyDescent="0.25">
      <c r="A8112" s="515">
        <v>74003</v>
      </c>
      <c r="B8112" s="515" t="s">
        <v>1106</v>
      </c>
      <c r="C8112" s="52">
        <v>87999.683749599193</v>
      </c>
      <c r="D8112" s="56">
        <v>0.1184801243917226</v>
      </c>
      <c r="E8112" s="224" t="s">
        <v>2</v>
      </c>
      <c r="F8112" s="515" t="s">
        <v>9320</v>
      </c>
      <c r="G8112" s="52">
        <v>167360.348760016</v>
      </c>
      <c r="H8112" s="56">
        <v>3.7097766198184175E-2</v>
      </c>
      <c r="I8112" s="224" t="s">
        <v>2</v>
      </c>
    </row>
    <row r="8113" spans="1:9" x14ac:dyDescent="0.25">
      <c r="A8113" s="515">
        <v>3106</v>
      </c>
      <c r="B8113" s="515" t="s">
        <v>981</v>
      </c>
      <c r="C8113" s="52">
        <v>436857.956788162</v>
      </c>
      <c r="D8113" s="56">
        <v>0.13251350619331442</v>
      </c>
      <c r="E8113" s="224">
        <v>2220</v>
      </c>
      <c r="F8113" s="515" t="s">
        <v>9321</v>
      </c>
      <c r="G8113" s="52">
        <v>357626.15251598699</v>
      </c>
      <c r="H8113" s="56">
        <v>0.14014420256565691</v>
      </c>
      <c r="I8113" s="224" t="s">
        <v>2</v>
      </c>
    </row>
    <row r="8114" spans="1:9" x14ac:dyDescent="0.25">
      <c r="A8114" s="515">
        <v>7204</v>
      </c>
      <c r="B8114" s="515" t="s">
        <v>324</v>
      </c>
      <c r="C8114" s="52">
        <v>424937.01141693903</v>
      </c>
      <c r="D8114" s="56">
        <v>6.3872213822738E-2</v>
      </c>
      <c r="E8114" s="224" t="s">
        <v>2</v>
      </c>
      <c r="F8114" s="515" t="s">
        <v>9322</v>
      </c>
      <c r="G8114" s="52">
        <v>118478.789264853</v>
      </c>
      <c r="H8114" s="56">
        <v>0.13964321639488064</v>
      </c>
      <c r="I8114" s="224" t="s">
        <v>2</v>
      </c>
    </row>
    <row r="8115" spans="1:9" x14ac:dyDescent="0.25">
      <c r="A8115" s="515">
        <v>14610</v>
      </c>
      <c r="B8115" s="515" t="s">
        <v>337</v>
      </c>
      <c r="C8115" s="52">
        <v>254726.895116489</v>
      </c>
      <c r="D8115" s="56">
        <v>6.5950508853809223E-2</v>
      </c>
      <c r="E8115" s="224" t="s">
        <v>2</v>
      </c>
      <c r="F8115" s="515" t="s">
        <v>9323</v>
      </c>
      <c r="G8115" s="52">
        <v>179695.38006905501</v>
      </c>
      <c r="H8115" s="56">
        <v>0.12135277798817908</v>
      </c>
      <c r="I8115" s="224" t="s">
        <v>2</v>
      </c>
    </row>
    <row r="8116" spans="1:9" x14ac:dyDescent="0.25">
      <c r="A8116" s="515">
        <v>19055</v>
      </c>
      <c r="B8116" s="515" t="s">
        <v>294</v>
      </c>
      <c r="C8116" s="52">
        <v>302578.69788685802</v>
      </c>
      <c r="D8116" s="56">
        <v>6.3620328017326769E-2</v>
      </c>
      <c r="E8116" s="224" t="s">
        <v>2</v>
      </c>
      <c r="F8116" s="515" t="s">
        <v>9324</v>
      </c>
      <c r="G8116" s="52">
        <v>138443.49682525799</v>
      </c>
      <c r="H8116" s="56">
        <v>9.7080589608990658E-2</v>
      </c>
      <c r="I8116" s="224" t="s">
        <v>2</v>
      </c>
    </row>
    <row r="8117" spans="1:9" x14ac:dyDescent="0.25">
      <c r="A8117" s="515">
        <v>45807</v>
      </c>
      <c r="B8117" s="515" t="s">
        <v>299</v>
      </c>
      <c r="C8117" s="52">
        <v>210358.46575320099</v>
      </c>
      <c r="D8117" s="56">
        <v>9.2427161646683215E-2</v>
      </c>
      <c r="E8117" s="224" t="s">
        <v>2</v>
      </c>
      <c r="F8117" s="515" t="s">
        <v>9325</v>
      </c>
      <c r="G8117" s="52">
        <v>340417.34316894901</v>
      </c>
      <c r="H8117" s="56">
        <v>0.10888859201170779</v>
      </c>
      <c r="I8117" s="224" t="s">
        <v>2</v>
      </c>
    </row>
    <row r="8118" spans="1:9" x14ac:dyDescent="0.25">
      <c r="A8118" s="515">
        <v>77030</v>
      </c>
      <c r="B8118" s="515" t="s">
        <v>314</v>
      </c>
      <c r="C8118" s="52">
        <v>449667.61724211602</v>
      </c>
      <c r="D8118" s="56">
        <v>-1.8947920059341847E-3</v>
      </c>
      <c r="E8118" s="224">
        <v>1714.5629370629299</v>
      </c>
      <c r="F8118" s="515" t="s">
        <v>9326</v>
      </c>
      <c r="G8118" s="52">
        <v>302345.15272708097</v>
      </c>
      <c r="H8118" s="56">
        <v>8.0152561980957854E-2</v>
      </c>
      <c r="I8118" s="224" t="s">
        <v>2</v>
      </c>
    </row>
    <row r="8119" spans="1:9" x14ac:dyDescent="0.25">
      <c r="A8119" s="515">
        <v>52003</v>
      </c>
      <c r="B8119" s="515" t="s">
        <v>478</v>
      </c>
      <c r="C8119" s="52">
        <v>279432.79715919698</v>
      </c>
      <c r="D8119" s="56">
        <v>7.2767669966280063E-2</v>
      </c>
      <c r="E8119" s="224" t="s">
        <v>2</v>
      </c>
      <c r="F8119" s="515" t="s">
        <v>9327</v>
      </c>
      <c r="G8119" s="52">
        <v>442168.84945284401</v>
      </c>
      <c r="H8119" s="56">
        <v>0.10583551740010336</v>
      </c>
      <c r="I8119" s="224" t="s">
        <v>2</v>
      </c>
    </row>
    <row r="8120" spans="1:9" x14ac:dyDescent="0.25">
      <c r="A8120" s="515">
        <v>45068</v>
      </c>
      <c r="B8120" s="515" t="s">
        <v>344</v>
      </c>
      <c r="C8120" s="52">
        <v>361997.48738017899</v>
      </c>
      <c r="D8120" s="56">
        <v>8.8777024815080235E-2</v>
      </c>
      <c r="E8120" s="224" t="s">
        <v>2</v>
      </c>
      <c r="F8120" s="515" t="s">
        <v>9328</v>
      </c>
      <c r="G8120" s="52">
        <v>125136.106112939</v>
      </c>
      <c r="H8120" s="56">
        <v>9.2332955788186483E-2</v>
      </c>
      <c r="I8120" s="224" t="s">
        <v>2</v>
      </c>
    </row>
    <row r="8121" spans="1:9" x14ac:dyDescent="0.25">
      <c r="A8121" s="515">
        <v>13032</v>
      </c>
      <c r="B8121" s="515" t="s">
        <v>361</v>
      </c>
      <c r="C8121" s="52">
        <v>171719.060610285</v>
      </c>
      <c r="D8121" s="56">
        <v>8.882168366219409E-2</v>
      </c>
      <c r="E8121" s="224" t="s">
        <v>2</v>
      </c>
      <c r="F8121" s="515" t="s">
        <v>9329</v>
      </c>
      <c r="G8121" s="52">
        <v>174102.50535268401</v>
      </c>
      <c r="H8121" s="56">
        <v>6.092961948746424E-2</v>
      </c>
      <c r="I8121" s="224" t="s">
        <v>2</v>
      </c>
    </row>
    <row r="8122" spans="1:9" x14ac:dyDescent="0.25">
      <c r="A8122" s="515">
        <v>36567</v>
      </c>
      <c r="B8122" s="515" t="s">
        <v>488</v>
      </c>
      <c r="C8122" s="52">
        <v>248353.96385194999</v>
      </c>
      <c r="D8122" s="56">
        <v>7.9589507714250135E-2</v>
      </c>
      <c r="E8122" s="224" t="s">
        <v>2</v>
      </c>
      <c r="F8122" s="515" t="s">
        <v>9330</v>
      </c>
      <c r="G8122" s="52">
        <v>128823.98522905</v>
      </c>
      <c r="H8122" s="56">
        <v>5.0491739074075427E-2</v>
      </c>
      <c r="I8122" s="224" t="s">
        <v>2</v>
      </c>
    </row>
    <row r="8123" spans="1:9" x14ac:dyDescent="0.25">
      <c r="A8123" s="515">
        <v>7020</v>
      </c>
      <c r="B8123" s="515" t="s">
        <v>324</v>
      </c>
      <c r="C8123" s="52">
        <v>619934.38482323405</v>
      </c>
      <c r="D8123" s="56">
        <v>1.9819265716366729E-2</v>
      </c>
      <c r="E8123" s="224">
        <v>3623.7666666666601</v>
      </c>
      <c r="F8123" s="515" t="s">
        <v>9331</v>
      </c>
      <c r="G8123" s="52">
        <v>145030.616210287</v>
      </c>
      <c r="H8123" s="56">
        <v>5.4184563404779257E-2</v>
      </c>
      <c r="I8123" s="224" t="s">
        <v>2</v>
      </c>
    </row>
    <row r="8124" spans="1:9" x14ac:dyDescent="0.25">
      <c r="A8124" s="515">
        <v>29902</v>
      </c>
      <c r="B8124" s="515" t="s">
        <v>734</v>
      </c>
      <c r="C8124" s="52">
        <v>342040.99934598</v>
      </c>
      <c r="D8124" s="56">
        <v>0.14784786462157123</v>
      </c>
      <c r="E8124" s="224">
        <v>1933.75</v>
      </c>
      <c r="F8124" s="515" t="s">
        <v>9332</v>
      </c>
      <c r="G8124" s="52">
        <v>301259.15306044801</v>
      </c>
      <c r="H8124" s="56">
        <v>8.4779029573668244E-2</v>
      </c>
      <c r="I8124" s="224" t="s">
        <v>2</v>
      </c>
    </row>
    <row r="8125" spans="1:9" x14ac:dyDescent="0.25">
      <c r="A8125" s="515">
        <v>27524</v>
      </c>
      <c r="B8125" s="515" t="s">
        <v>484</v>
      </c>
      <c r="C8125" s="52">
        <v>256850.35462793001</v>
      </c>
      <c r="D8125" s="56">
        <v>0.18288465478607693</v>
      </c>
      <c r="E8125" s="224" t="s">
        <v>2</v>
      </c>
      <c r="F8125" s="515" t="s">
        <v>9333</v>
      </c>
      <c r="G8125" s="52">
        <v>176033.591727825</v>
      </c>
      <c r="H8125" s="56">
        <v>4.7031461627622589E-2</v>
      </c>
      <c r="I8125" s="224" t="s">
        <v>2</v>
      </c>
    </row>
    <row r="8126" spans="1:9" x14ac:dyDescent="0.25">
      <c r="A8126" s="515">
        <v>1507</v>
      </c>
      <c r="B8126" s="515" t="s">
        <v>751</v>
      </c>
      <c r="C8126" s="52">
        <v>418438.90876431798</v>
      </c>
      <c r="D8126" s="56">
        <v>8.2649225971663187E-2</v>
      </c>
      <c r="E8126" s="224" t="s">
        <v>2</v>
      </c>
      <c r="F8126" s="515" t="s">
        <v>9334</v>
      </c>
      <c r="G8126" s="52">
        <v>194680.573212182</v>
      </c>
      <c r="H8126" s="56">
        <v>8.686227769978451E-2</v>
      </c>
      <c r="I8126" s="224" t="s">
        <v>2</v>
      </c>
    </row>
    <row r="8127" spans="1:9" x14ac:dyDescent="0.25">
      <c r="A8127" s="515">
        <v>32317</v>
      </c>
      <c r="B8127" s="515" t="s">
        <v>335</v>
      </c>
      <c r="C8127" s="52">
        <v>370369.36268098099</v>
      </c>
      <c r="D8127" s="56">
        <v>6.6819585848097898E-2</v>
      </c>
      <c r="E8127" s="224" t="s">
        <v>2</v>
      </c>
      <c r="F8127" s="515" t="s">
        <v>9335</v>
      </c>
      <c r="G8127" s="52">
        <v>181819.70968649699</v>
      </c>
      <c r="H8127" s="56">
        <v>7.1111339239823088E-2</v>
      </c>
      <c r="I8127" s="224" t="s">
        <v>2</v>
      </c>
    </row>
    <row r="8128" spans="1:9" x14ac:dyDescent="0.25">
      <c r="A8128" s="515">
        <v>1527</v>
      </c>
      <c r="B8128" s="515" t="s">
        <v>751</v>
      </c>
      <c r="C8128" s="52">
        <v>423046.57618565898</v>
      </c>
      <c r="D8128" s="56">
        <v>0.10278673403316745</v>
      </c>
      <c r="E8128" s="224" t="s">
        <v>2</v>
      </c>
      <c r="F8128" s="515" t="s">
        <v>9336</v>
      </c>
      <c r="G8128" s="52">
        <v>442625.81132467301</v>
      </c>
      <c r="H8128" s="56">
        <v>1.4573322509617851E-2</v>
      </c>
      <c r="I8128" s="224" t="s">
        <v>2</v>
      </c>
    </row>
    <row r="8129" spans="1:9" x14ac:dyDescent="0.25">
      <c r="A8129" s="515">
        <v>36617</v>
      </c>
      <c r="B8129" s="515" t="s">
        <v>815</v>
      </c>
      <c r="C8129" s="52">
        <v>48169.427499299498</v>
      </c>
      <c r="D8129" s="56">
        <v>2.6850749231792499E-2</v>
      </c>
      <c r="E8129" s="224" t="s">
        <v>2</v>
      </c>
      <c r="F8129" s="515" t="s">
        <v>9337</v>
      </c>
      <c r="G8129" s="52">
        <v>400416.59520542802</v>
      </c>
      <c r="H8129" s="56">
        <v>2.6391024974816504E-2</v>
      </c>
      <c r="I8129" s="224" t="s">
        <v>2</v>
      </c>
    </row>
    <row r="8130" spans="1:9" x14ac:dyDescent="0.25">
      <c r="A8130" s="515">
        <v>28016</v>
      </c>
      <c r="B8130" s="515" t="s">
        <v>360</v>
      </c>
      <c r="C8130" s="52">
        <v>214111.033505261</v>
      </c>
      <c r="D8130" s="56">
        <v>0.16914007429767211</v>
      </c>
      <c r="E8130" s="224" t="s">
        <v>2</v>
      </c>
      <c r="F8130" s="515" t="s">
        <v>9338</v>
      </c>
      <c r="G8130" s="52">
        <v>96806.4002412345</v>
      </c>
      <c r="H8130" s="56">
        <v>0.11488665961199823</v>
      </c>
      <c r="I8130" s="224" t="s">
        <v>2</v>
      </c>
    </row>
    <row r="8131" spans="1:9" x14ac:dyDescent="0.25">
      <c r="A8131" s="515">
        <v>70814</v>
      </c>
      <c r="B8131" s="515" t="s">
        <v>610</v>
      </c>
      <c r="C8131" s="52">
        <v>189822.71351211899</v>
      </c>
      <c r="D8131" s="56">
        <v>3.1744288916300809E-2</v>
      </c>
      <c r="E8131" s="224" t="s">
        <v>2</v>
      </c>
      <c r="F8131" s="515" t="s">
        <v>9339</v>
      </c>
      <c r="G8131" s="52">
        <v>412359.97542935301</v>
      </c>
      <c r="H8131" s="56">
        <v>0.12124974039544789</v>
      </c>
      <c r="I8131" s="224" t="s">
        <v>2</v>
      </c>
    </row>
    <row r="8132" spans="1:9" x14ac:dyDescent="0.25">
      <c r="A8132" s="515">
        <v>45152</v>
      </c>
      <c r="B8132" s="515" t="s">
        <v>344</v>
      </c>
      <c r="C8132" s="52">
        <v>332736.70005880098</v>
      </c>
      <c r="D8132" s="56">
        <v>7.7569292139091778E-2</v>
      </c>
      <c r="E8132" s="224" t="s">
        <v>2</v>
      </c>
      <c r="F8132" s="515" t="s">
        <v>9340</v>
      </c>
      <c r="G8132" s="52">
        <v>135349.88696817501</v>
      </c>
      <c r="H8132" s="56">
        <v>0.11397297125673765</v>
      </c>
      <c r="I8132" s="224" t="s">
        <v>2</v>
      </c>
    </row>
    <row r="8133" spans="1:9" x14ac:dyDescent="0.25">
      <c r="A8133" s="515">
        <v>93433</v>
      </c>
      <c r="B8133" s="515" t="s">
        <v>959</v>
      </c>
      <c r="C8133" s="52">
        <v>681619.68953502201</v>
      </c>
      <c r="D8133" s="56">
        <v>3.3627488532037619E-2</v>
      </c>
      <c r="E8133" s="224" t="s">
        <v>2</v>
      </c>
      <c r="F8133" s="515" t="s">
        <v>9341</v>
      </c>
      <c r="G8133" s="52">
        <v>201912.13265274101</v>
      </c>
      <c r="H8133" s="56">
        <v>9.2513396252853111E-2</v>
      </c>
      <c r="I8133" s="224" t="s">
        <v>2</v>
      </c>
    </row>
    <row r="8134" spans="1:9" x14ac:dyDescent="0.25">
      <c r="A8134" s="515">
        <v>80863</v>
      </c>
      <c r="B8134" s="515" t="s">
        <v>701</v>
      </c>
      <c r="C8134" s="52">
        <v>531361.07131655305</v>
      </c>
      <c r="D8134" s="56">
        <v>2.4392617459213457E-2</v>
      </c>
      <c r="E8134" s="224" t="s">
        <v>2</v>
      </c>
      <c r="F8134" s="515" t="s">
        <v>9342</v>
      </c>
      <c r="G8134" s="52">
        <v>118452.472427008</v>
      </c>
      <c r="H8134" s="56">
        <v>9.7031953993885589E-2</v>
      </c>
      <c r="I8134" s="224" t="s">
        <v>2</v>
      </c>
    </row>
    <row r="8135" spans="1:9" x14ac:dyDescent="0.25">
      <c r="A8135" s="515">
        <v>7062</v>
      </c>
      <c r="B8135" s="515" t="s">
        <v>324</v>
      </c>
      <c r="C8135" s="52">
        <v>381319.30846721597</v>
      </c>
      <c r="D8135" s="56">
        <v>7.016247094072818E-2</v>
      </c>
      <c r="E8135" s="224" t="s">
        <v>2</v>
      </c>
      <c r="F8135" s="515" t="s">
        <v>9343</v>
      </c>
      <c r="G8135" s="52">
        <v>134827.797633201</v>
      </c>
      <c r="H8135" s="56">
        <v>1.8049609203694274E-2</v>
      </c>
      <c r="I8135" s="224" t="s">
        <v>2</v>
      </c>
    </row>
    <row r="8136" spans="1:9" x14ac:dyDescent="0.25">
      <c r="A8136" s="515">
        <v>6608</v>
      </c>
      <c r="B8136" s="515" t="s">
        <v>1173</v>
      </c>
      <c r="C8136" s="52">
        <v>230894.48889622701</v>
      </c>
      <c r="D8136" s="56">
        <v>0.16020803515680629</v>
      </c>
      <c r="E8136" s="224" t="s">
        <v>2</v>
      </c>
      <c r="F8136" s="515" t="s">
        <v>9344</v>
      </c>
      <c r="G8136" s="52">
        <v>657213.883480513</v>
      </c>
      <c r="H8136" s="56">
        <v>0.12986237586172947</v>
      </c>
      <c r="I8136" s="224" t="s">
        <v>2</v>
      </c>
    </row>
    <row r="8137" spans="1:9" x14ac:dyDescent="0.25">
      <c r="A8137" s="515">
        <v>93543</v>
      </c>
      <c r="B8137" s="515" t="s">
        <v>375</v>
      </c>
      <c r="C8137" s="52">
        <v>409724.36645215098</v>
      </c>
      <c r="D8137" s="56">
        <v>3.9951642994269655E-2</v>
      </c>
      <c r="E8137" s="224" t="s">
        <v>2</v>
      </c>
      <c r="F8137" s="515" t="s">
        <v>9345</v>
      </c>
      <c r="G8137" s="52">
        <v>225354.92625473399</v>
      </c>
      <c r="H8137" s="56">
        <v>9.689726555682722E-2</v>
      </c>
      <c r="I8137" s="224" t="s">
        <v>2</v>
      </c>
    </row>
    <row r="8138" spans="1:9" x14ac:dyDescent="0.25">
      <c r="A8138" s="515">
        <v>90305</v>
      </c>
      <c r="B8138" s="515" t="s">
        <v>375</v>
      </c>
      <c r="C8138" s="52">
        <v>778096.48776247306</v>
      </c>
      <c r="D8138" s="56">
        <v>3.2176926553197559E-2</v>
      </c>
      <c r="E8138" s="224">
        <v>2578.1111111111099</v>
      </c>
      <c r="F8138" s="515" t="s">
        <v>9346</v>
      </c>
      <c r="G8138" s="52">
        <v>154212.52204116201</v>
      </c>
      <c r="H8138" s="56">
        <v>6.9646195414141493E-2</v>
      </c>
      <c r="I8138" s="224" t="s">
        <v>2</v>
      </c>
    </row>
    <row r="8139" spans="1:9" x14ac:dyDescent="0.25">
      <c r="A8139" s="515">
        <v>49333</v>
      </c>
      <c r="C8139" s="52">
        <v>302251.53357765899</v>
      </c>
      <c r="D8139" s="56">
        <v>6.0711755743626118E-2</v>
      </c>
      <c r="E8139" s="224" t="s">
        <v>2</v>
      </c>
      <c r="F8139" s="515" t="s">
        <v>9347</v>
      </c>
      <c r="G8139" s="52">
        <v>256797.12193732301</v>
      </c>
      <c r="H8139" s="56">
        <v>5.0686520935979765E-2</v>
      </c>
      <c r="I8139" s="224" t="s">
        <v>2</v>
      </c>
    </row>
    <row r="8140" spans="1:9" x14ac:dyDescent="0.25">
      <c r="A8140" s="515">
        <v>30401</v>
      </c>
      <c r="C8140" s="52">
        <v>100766.048886075</v>
      </c>
      <c r="D8140" s="56">
        <v>0.18411366557465395</v>
      </c>
      <c r="E8140" s="224" t="s">
        <v>2</v>
      </c>
      <c r="F8140" s="515" t="s">
        <v>9348</v>
      </c>
      <c r="G8140" s="52">
        <v>154036.134754272</v>
      </c>
      <c r="H8140" s="56">
        <v>-4.5338077402829656E-2</v>
      </c>
      <c r="I8140" s="224" t="s">
        <v>2</v>
      </c>
    </row>
    <row r="8141" spans="1:9" x14ac:dyDescent="0.25">
      <c r="A8141" s="515">
        <v>35217</v>
      </c>
      <c r="B8141" s="515" t="s">
        <v>640</v>
      </c>
      <c r="C8141" s="52">
        <v>74957.768615479203</v>
      </c>
      <c r="D8141" s="56">
        <v>0.11781561409715847</v>
      </c>
      <c r="E8141" s="224">
        <v>931.66666666666595</v>
      </c>
      <c r="F8141" s="515" t="s">
        <v>9349</v>
      </c>
      <c r="G8141" s="52">
        <v>236736.24697993699</v>
      </c>
      <c r="H8141" s="56">
        <v>8.6212487510812605E-2</v>
      </c>
      <c r="I8141" s="224" t="s">
        <v>2</v>
      </c>
    </row>
    <row r="8142" spans="1:9" x14ac:dyDescent="0.25">
      <c r="A8142" s="515">
        <v>68133</v>
      </c>
      <c r="B8142" s="515" t="s">
        <v>367</v>
      </c>
      <c r="C8142" s="52">
        <v>374827.72464127099</v>
      </c>
      <c r="D8142" s="56">
        <v>5.5427884171589614E-2</v>
      </c>
      <c r="E8142" s="224" t="s">
        <v>2</v>
      </c>
      <c r="F8142" s="515" t="s">
        <v>9350</v>
      </c>
      <c r="G8142" s="52">
        <v>210307.28600764301</v>
      </c>
      <c r="H8142" s="56">
        <v>5.4469573664433078E-2</v>
      </c>
      <c r="I8142" s="224" t="s">
        <v>2</v>
      </c>
    </row>
    <row r="8143" spans="1:9" x14ac:dyDescent="0.25">
      <c r="A8143" s="515">
        <v>61764</v>
      </c>
      <c r="B8143" s="515" t="s">
        <v>678</v>
      </c>
      <c r="C8143" s="52">
        <v>124770.337803738</v>
      </c>
      <c r="D8143" s="56">
        <v>6.5330819829327633E-2</v>
      </c>
      <c r="E8143" s="224" t="s">
        <v>2</v>
      </c>
      <c r="F8143" s="515" t="s">
        <v>9351</v>
      </c>
      <c r="G8143" s="52">
        <v>136306.230956065</v>
      </c>
      <c r="H8143" s="56">
        <v>0.219304827165481</v>
      </c>
      <c r="I8143" s="224" t="s">
        <v>2</v>
      </c>
    </row>
    <row r="8144" spans="1:9" x14ac:dyDescent="0.25">
      <c r="A8144" s="515">
        <v>33815</v>
      </c>
      <c r="B8144" s="515" t="s">
        <v>359</v>
      </c>
      <c r="C8144" s="52">
        <v>181653.03345460599</v>
      </c>
      <c r="D8144" s="56">
        <v>0.24898056795143311</v>
      </c>
      <c r="E8144" s="224">
        <v>1248.6111111111099</v>
      </c>
      <c r="F8144" s="515" t="s">
        <v>9352</v>
      </c>
      <c r="G8144" s="52">
        <v>100712.060185989</v>
      </c>
      <c r="H8144" s="56">
        <v>5.8572807739648874E-2</v>
      </c>
      <c r="I8144" s="224" t="s">
        <v>2</v>
      </c>
    </row>
    <row r="8145" spans="1:9" x14ac:dyDescent="0.25">
      <c r="A8145" s="515">
        <v>2482</v>
      </c>
      <c r="B8145" s="515" t="s">
        <v>534</v>
      </c>
      <c r="C8145" s="52">
        <v>1433682.01404411</v>
      </c>
      <c r="D8145" s="56">
        <v>5.0428333183700658E-2</v>
      </c>
      <c r="E8145" s="224" t="s">
        <v>2</v>
      </c>
      <c r="F8145" s="515" t="s">
        <v>9353</v>
      </c>
      <c r="G8145" s="52">
        <v>102543.70933044401</v>
      </c>
      <c r="H8145" s="56">
        <v>6.3874782686996034E-2</v>
      </c>
      <c r="I8145" s="224" t="s">
        <v>2</v>
      </c>
    </row>
    <row r="8146" spans="1:9" x14ac:dyDescent="0.25">
      <c r="A8146" s="515">
        <v>59401</v>
      </c>
      <c r="B8146" s="515" t="s">
        <v>373</v>
      </c>
      <c r="C8146" s="52">
        <v>237313.27141518099</v>
      </c>
      <c r="D8146" s="56">
        <v>8.7483188087453367E-2</v>
      </c>
      <c r="E8146" s="224">
        <v>916.72222222222194</v>
      </c>
      <c r="F8146" s="515" t="s">
        <v>9354</v>
      </c>
      <c r="G8146" s="52">
        <v>289006.557135557</v>
      </c>
      <c r="H8146" s="56">
        <v>0.12849452166501096</v>
      </c>
      <c r="I8146" s="224" t="s">
        <v>2</v>
      </c>
    </row>
    <row r="8147" spans="1:9" x14ac:dyDescent="0.25">
      <c r="A8147" s="515">
        <v>45309</v>
      </c>
      <c r="B8147" s="515" t="s">
        <v>340</v>
      </c>
      <c r="C8147" s="52">
        <v>211963.848287197</v>
      </c>
      <c r="D8147" s="56">
        <v>0.10484011572050762</v>
      </c>
      <c r="E8147" s="224" t="s">
        <v>2</v>
      </c>
      <c r="F8147" s="515" t="s">
        <v>9355</v>
      </c>
      <c r="G8147" s="52">
        <v>134909.10708131199</v>
      </c>
      <c r="H8147" s="56">
        <v>0.15642716575220511</v>
      </c>
      <c r="I8147" s="224" t="s">
        <v>2</v>
      </c>
    </row>
    <row r="8148" spans="1:9" x14ac:dyDescent="0.25">
      <c r="A8148" s="515">
        <v>37760</v>
      </c>
      <c r="B8148" s="515" t="s">
        <v>786</v>
      </c>
      <c r="C8148" s="52">
        <v>241019.42366430201</v>
      </c>
      <c r="D8148" s="56">
        <v>5.4398197488664826E-2</v>
      </c>
      <c r="E8148" s="224" t="s">
        <v>2</v>
      </c>
      <c r="F8148" s="515" t="s">
        <v>9356</v>
      </c>
      <c r="G8148" s="52">
        <v>418944.55706545</v>
      </c>
      <c r="H8148" s="56">
        <v>8.5164172354538867E-2</v>
      </c>
      <c r="I8148" s="224" t="s">
        <v>2</v>
      </c>
    </row>
    <row r="8149" spans="1:9" x14ac:dyDescent="0.25">
      <c r="A8149" s="515">
        <v>30110</v>
      </c>
      <c r="B8149" s="515" t="s">
        <v>957</v>
      </c>
      <c r="C8149" s="52">
        <v>243044.79582224501</v>
      </c>
      <c r="D8149" s="56">
        <v>0.10528406441452118</v>
      </c>
      <c r="E8149" s="224" t="s">
        <v>2</v>
      </c>
      <c r="F8149" s="515" t="s">
        <v>9357</v>
      </c>
      <c r="G8149" s="52">
        <v>320012.29294023803</v>
      </c>
      <c r="H8149" s="56">
        <v>7.1431930345454808E-2</v>
      </c>
      <c r="I8149" s="224" t="s">
        <v>2</v>
      </c>
    </row>
    <row r="8150" spans="1:9" x14ac:dyDescent="0.25">
      <c r="A8150" s="515">
        <v>43567</v>
      </c>
      <c r="B8150" s="515" t="s">
        <v>300</v>
      </c>
      <c r="C8150" s="52">
        <v>188814.28288455799</v>
      </c>
      <c r="D8150" s="56">
        <v>8.777723723559118E-2</v>
      </c>
      <c r="E8150" s="224" t="s">
        <v>2</v>
      </c>
      <c r="F8150" s="515" t="s">
        <v>9358</v>
      </c>
      <c r="G8150" s="52">
        <v>224296.06250688501</v>
      </c>
      <c r="H8150" s="56">
        <v>0.12016181142603638</v>
      </c>
      <c r="I8150" s="224" t="s">
        <v>2</v>
      </c>
    </row>
    <row r="8151" spans="1:9" x14ac:dyDescent="0.25">
      <c r="A8151" s="515">
        <v>75791</v>
      </c>
      <c r="B8151" s="515" t="s">
        <v>1157</v>
      </c>
      <c r="C8151" s="52">
        <v>263215.50092344702</v>
      </c>
      <c r="D8151" s="56">
        <v>7.7757338906954063E-2</v>
      </c>
      <c r="E8151" s="224" t="s">
        <v>2</v>
      </c>
      <c r="F8151" s="515" t="s">
        <v>9359</v>
      </c>
      <c r="G8151" s="52">
        <v>232969.12577951199</v>
      </c>
      <c r="H8151" s="56">
        <v>7.4859071613694386E-2</v>
      </c>
      <c r="I8151" s="224" t="s">
        <v>2</v>
      </c>
    </row>
    <row r="8152" spans="1:9" x14ac:dyDescent="0.25">
      <c r="A8152" s="515">
        <v>97089</v>
      </c>
      <c r="B8152" s="515" t="s">
        <v>659</v>
      </c>
      <c r="C8152" s="52">
        <v>625753.76276348298</v>
      </c>
      <c r="D8152" s="56">
        <v>2.6652881572023324E-2</v>
      </c>
      <c r="E8152" s="224" t="s">
        <v>2</v>
      </c>
      <c r="F8152" s="515" t="s">
        <v>9360</v>
      </c>
      <c r="G8152" s="52">
        <v>230148.935543278</v>
      </c>
      <c r="H8152" s="56">
        <v>0</v>
      </c>
      <c r="I8152" s="224" t="s">
        <v>2</v>
      </c>
    </row>
    <row r="8153" spans="1:9" x14ac:dyDescent="0.25">
      <c r="A8153" s="515">
        <v>45434</v>
      </c>
      <c r="B8153" s="515" t="s">
        <v>340</v>
      </c>
      <c r="C8153" s="52">
        <v>310339.31841765798</v>
      </c>
      <c r="D8153" s="56">
        <v>5.5606993992451573E-2</v>
      </c>
      <c r="E8153" s="224" t="s">
        <v>2</v>
      </c>
      <c r="F8153" s="515" t="s">
        <v>9361</v>
      </c>
      <c r="G8153" s="52">
        <v>628910.47280408896</v>
      </c>
      <c r="H8153" s="56">
        <v>4.7439165682618002E-2</v>
      </c>
      <c r="I8153" s="224" t="s">
        <v>2</v>
      </c>
    </row>
    <row r="8154" spans="1:9" x14ac:dyDescent="0.25">
      <c r="A8154" s="515">
        <v>98057</v>
      </c>
      <c r="B8154" s="515" t="s">
        <v>384</v>
      </c>
      <c r="C8154" s="52">
        <v>550118.551705144</v>
      </c>
      <c r="D8154" s="56">
        <v>-1.9003251343140059E-3</v>
      </c>
      <c r="E8154" s="224">
        <v>2194.6712962962902</v>
      </c>
      <c r="F8154" s="515" t="s">
        <v>9362</v>
      </c>
      <c r="G8154" s="52">
        <v>232442.849634518</v>
      </c>
      <c r="H8154" s="56">
        <v>8.5759977826914302E-2</v>
      </c>
      <c r="I8154" s="224" t="s">
        <v>2</v>
      </c>
    </row>
    <row r="8155" spans="1:9" x14ac:dyDescent="0.25">
      <c r="A8155" s="515">
        <v>73118</v>
      </c>
      <c r="B8155" s="515" t="s">
        <v>385</v>
      </c>
      <c r="C8155" s="52">
        <v>216585.43341301699</v>
      </c>
      <c r="D8155" s="56">
        <v>8.9178880201448249E-2</v>
      </c>
      <c r="E8155" s="224">
        <v>1271.3412698412701</v>
      </c>
      <c r="F8155" s="515" t="s">
        <v>9363</v>
      </c>
      <c r="G8155" s="52">
        <v>168434.749481406</v>
      </c>
      <c r="H8155" s="56">
        <v>6.8829835870044584E-2</v>
      </c>
      <c r="I8155" s="224" t="s">
        <v>2</v>
      </c>
    </row>
    <row r="8156" spans="1:9" x14ac:dyDescent="0.25">
      <c r="A8156" s="515">
        <v>78861</v>
      </c>
      <c r="B8156" s="515" t="s">
        <v>717</v>
      </c>
      <c r="C8156" s="52">
        <v>250864.969956819</v>
      </c>
      <c r="D8156" s="56">
        <v>-1.8963153725764278E-2</v>
      </c>
      <c r="E8156" s="224" t="s">
        <v>2</v>
      </c>
      <c r="F8156" s="515" t="s">
        <v>9364</v>
      </c>
      <c r="G8156" s="52">
        <v>253427.228961574</v>
      </c>
      <c r="H8156" s="56">
        <v>7.9560877265459393E-2</v>
      </c>
      <c r="I8156" s="224" t="s">
        <v>2</v>
      </c>
    </row>
    <row r="8157" spans="1:9" x14ac:dyDescent="0.25">
      <c r="A8157" s="515">
        <v>27863</v>
      </c>
      <c r="B8157" s="515" t="s">
        <v>1178</v>
      </c>
      <c r="C8157" s="52">
        <v>200780.98722983099</v>
      </c>
      <c r="D8157" s="56">
        <v>0.13653304449834236</v>
      </c>
      <c r="E8157" s="224" t="s">
        <v>2</v>
      </c>
      <c r="F8157" s="515" t="s">
        <v>9365</v>
      </c>
      <c r="G8157" s="52">
        <v>85015.772752675097</v>
      </c>
      <c r="H8157" s="56">
        <v>0.18038026505608851</v>
      </c>
      <c r="I8157" s="224" t="s">
        <v>2</v>
      </c>
    </row>
    <row r="8158" spans="1:9" x14ac:dyDescent="0.25">
      <c r="A8158" s="515">
        <v>46615</v>
      </c>
      <c r="B8158" s="515" t="s">
        <v>1002</v>
      </c>
      <c r="C8158" s="52">
        <v>144385.240148924</v>
      </c>
      <c r="D8158" s="56">
        <v>0.10382550890423241</v>
      </c>
      <c r="E8158" s="224" t="s">
        <v>2</v>
      </c>
      <c r="F8158" s="515" t="s">
        <v>9366</v>
      </c>
      <c r="G8158" s="52">
        <v>843693.03692281002</v>
      </c>
      <c r="H8158" s="56">
        <v>6.6766775574273587E-2</v>
      </c>
      <c r="I8158" s="224" t="s">
        <v>2</v>
      </c>
    </row>
    <row r="8159" spans="1:9" x14ac:dyDescent="0.25">
      <c r="A8159" s="515">
        <v>55445</v>
      </c>
      <c r="B8159" s="515" t="s">
        <v>532</v>
      </c>
      <c r="C8159" s="52">
        <v>326696.50785043801</v>
      </c>
      <c r="D8159" s="56">
        <v>2.6639654486514161E-2</v>
      </c>
      <c r="E8159" s="224" t="s">
        <v>2</v>
      </c>
      <c r="F8159" s="515" t="s">
        <v>9367</v>
      </c>
      <c r="G8159" s="52">
        <v>305573.79547597998</v>
      </c>
      <c r="H8159" s="56">
        <v>4.017931181354735E-2</v>
      </c>
      <c r="I8159" s="224" t="s">
        <v>2</v>
      </c>
    </row>
    <row r="8160" spans="1:9" x14ac:dyDescent="0.25">
      <c r="A8160" s="515">
        <v>37663</v>
      </c>
      <c r="B8160" s="515" t="s">
        <v>902</v>
      </c>
      <c r="C8160" s="52">
        <v>262096.918238146</v>
      </c>
      <c r="D8160" s="56">
        <v>8.5671209525959649E-2</v>
      </c>
      <c r="E8160" s="224" t="s">
        <v>2</v>
      </c>
      <c r="F8160" s="515" t="s">
        <v>9368</v>
      </c>
      <c r="G8160" s="52">
        <v>138976.16569325299</v>
      </c>
      <c r="H8160" s="56">
        <v>0.1260798138332396</v>
      </c>
      <c r="I8160" s="224" t="s">
        <v>2</v>
      </c>
    </row>
    <row r="8161" spans="1:9" x14ac:dyDescent="0.25">
      <c r="A8161" s="515">
        <v>26241</v>
      </c>
      <c r="B8161" s="515" t="s">
        <v>586</v>
      </c>
      <c r="C8161" s="52">
        <v>139089.98892559099</v>
      </c>
      <c r="D8161" s="56">
        <v>6.6796082403585283E-2</v>
      </c>
      <c r="E8161" s="224" t="s">
        <v>2</v>
      </c>
      <c r="F8161" s="515" t="s">
        <v>9369</v>
      </c>
      <c r="G8161" s="52">
        <v>237308.37952542899</v>
      </c>
      <c r="H8161" s="56">
        <v>5.5334639551412504E-2</v>
      </c>
      <c r="I8161" s="224" t="s">
        <v>2</v>
      </c>
    </row>
    <row r="8162" spans="1:9" x14ac:dyDescent="0.25">
      <c r="A8162" s="515">
        <v>77474</v>
      </c>
      <c r="B8162" s="515" t="s">
        <v>314</v>
      </c>
      <c r="C8162" s="52">
        <v>312930.13569319597</v>
      </c>
      <c r="D8162" s="56">
        <v>3.9560128934913764E-2</v>
      </c>
      <c r="E8162" s="224">
        <v>1547.5</v>
      </c>
      <c r="F8162" s="515" t="s">
        <v>9370</v>
      </c>
      <c r="G8162" s="52">
        <v>240034.29323971699</v>
      </c>
      <c r="H8162" s="56">
        <v>5.910784285055995E-2</v>
      </c>
      <c r="I8162" s="224" t="s">
        <v>2</v>
      </c>
    </row>
    <row r="8163" spans="1:9" x14ac:dyDescent="0.25">
      <c r="A8163" s="515">
        <v>35904</v>
      </c>
      <c r="B8163" s="515" t="s">
        <v>978</v>
      </c>
      <c r="C8163" s="52">
        <v>84640.832555001398</v>
      </c>
      <c r="D8163" s="56">
        <v>8.8148364402697882E-2</v>
      </c>
      <c r="E8163" s="224" t="s">
        <v>2</v>
      </c>
      <c r="F8163" s="515" t="s">
        <v>9371</v>
      </c>
      <c r="G8163" s="52">
        <v>204766.77996935</v>
      </c>
      <c r="H8163" s="56">
        <v>0.1255207546327762</v>
      </c>
      <c r="I8163" s="224" t="s">
        <v>2</v>
      </c>
    </row>
    <row r="8164" spans="1:9" x14ac:dyDescent="0.25">
      <c r="A8164" s="515">
        <v>50111</v>
      </c>
      <c r="B8164" s="515" t="s">
        <v>295</v>
      </c>
      <c r="C8164" s="52">
        <v>314847.75330378901</v>
      </c>
      <c r="D8164" s="56">
        <v>5.5506063622551054E-2</v>
      </c>
      <c r="E8164" s="224" t="s">
        <v>2</v>
      </c>
      <c r="F8164" s="515" t="s">
        <v>9372</v>
      </c>
      <c r="G8164" s="52">
        <v>358101.23617396603</v>
      </c>
      <c r="H8164" s="56">
        <v>9.0290315136840424E-2</v>
      </c>
      <c r="I8164" s="224" t="s">
        <v>2</v>
      </c>
    </row>
    <row r="8165" spans="1:9" x14ac:dyDescent="0.25">
      <c r="A8165" s="515">
        <v>33778</v>
      </c>
      <c r="B8165" s="515" t="s">
        <v>461</v>
      </c>
      <c r="C8165" s="52">
        <v>343749.316548904</v>
      </c>
      <c r="D8165" s="56">
        <v>0.10082186769213231</v>
      </c>
      <c r="E8165" s="224">
        <v>2362.3611111111099</v>
      </c>
      <c r="F8165" s="515" t="s">
        <v>9373</v>
      </c>
      <c r="G8165" s="52">
        <v>302119.61189358297</v>
      </c>
      <c r="H8165" s="56">
        <v>0</v>
      </c>
      <c r="I8165" s="224" t="s">
        <v>2</v>
      </c>
    </row>
    <row r="8166" spans="1:9" x14ac:dyDescent="0.25">
      <c r="A8166" s="515">
        <v>26726</v>
      </c>
      <c r="B8166" s="515" t="s">
        <v>362</v>
      </c>
      <c r="C8166" s="52">
        <v>149516.536564426</v>
      </c>
      <c r="D8166" s="56">
        <v>0.10393165289559951</v>
      </c>
      <c r="E8166" s="224" t="s">
        <v>2</v>
      </c>
      <c r="F8166" s="515" t="s">
        <v>9374</v>
      </c>
      <c r="G8166" s="52">
        <v>169417.39090504099</v>
      </c>
      <c r="H8166" s="56">
        <v>3.3984867876642934E-2</v>
      </c>
      <c r="I8166" s="224" t="s">
        <v>2</v>
      </c>
    </row>
    <row r="8167" spans="1:9" x14ac:dyDescent="0.25">
      <c r="A8167" s="515">
        <v>7044</v>
      </c>
      <c r="B8167" s="515" t="s">
        <v>324</v>
      </c>
      <c r="C8167" s="52">
        <v>574273.54846638604</v>
      </c>
      <c r="D8167" s="56">
        <v>5.668719663599537E-2</v>
      </c>
      <c r="E8167" s="224">
        <v>3219.5</v>
      </c>
      <c r="F8167" s="515" t="s">
        <v>9375</v>
      </c>
      <c r="G8167" s="52">
        <v>213281.89856539399</v>
      </c>
      <c r="H8167" s="56">
        <v>7.0104182741161203E-2</v>
      </c>
      <c r="I8167" s="224" t="s">
        <v>2</v>
      </c>
    </row>
    <row r="8168" spans="1:9" x14ac:dyDescent="0.25">
      <c r="A8168" s="515">
        <v>34432</v>
      </c>
      <c r="B8168" s="515" t="s">
        <v>475</v>
      </c>
      <c r="C8168" s="52">
        <v>299354.770194148</v>
      </c>
      <c r="D8168" s="56">
        <v>0.12085394676725293</v>
      </c>
      <c r="E8168" s="224" t="s">
        <v>2</v>
      </c>
      <c r="F8168" s="515" t="s">
        <v>9376</v>
      </c>
      <c r="G8168" s="52">
        <v>191539.44066093501</v>
      </c>
      <c r="H8168" s="56">
        <v>0.11565259915915754</v>
      </c>
      <c r="I8168" s="224" t="s">
        <v>2</v>
      </c>
    </row>
    <row r="8169" spans="1:9" x14ac:dyDescent="0.25">
      <c r="A8169" s="515">
        <v>39701</v>
      </c>
      <c r="B8169" s="515" t="s">
        <v>1040</v>
      </c>
      <c r="C8169" s="52">
        <v>84638.246759833899</v>
      </c>
      <c r="D8169" s="56">
        <v>-0.16909564521744794</v>
      </c>
      <c r="E8169" s="224" t="s">
        <v>2</v>
      </c>
      <c r="F8169" s="515" t="s">
        <v>9377</v>
      </c>
      <c r="G8169" s="52">
        <v>371452.94740910502</v>
      </c>
      <c r="H8169" s="56">
        <v>4.5960133921869616E-2</v>
      </c>
      <c r="I8169" s="224" t="s">
        <v>2</v>
      </c>
    </row>
    <row r="8170" spans="1:9" x14ac:dyDescent="0.25">
      <c r="A8170" s="515">
        <v>61071</v>
      </c>
      <c r="B8170" s="515" t="s">
        <v>756</v>
      </c>
      <c r="C8170" s="52">
        <v>92454.9344737543</v>
      </c>
      <c r="D8170" s="56">
        <v>7.8973098373268588E-2</v>
      </c>
      <c r="E8170" s="224" t="s">
        <v>2</v>
      </c>
      <c r="F8170" s="515" t="s">
        <v>9378</v>
      </c>
      <c r="G8170" s="52">
        <v>197856.830342895</v>
      </c>
      <c r="H8170" s="56">
        <v>2.689767723564981E-2</v>
      </c>
      <c r="I8170" s="224" t="s">
        <v>2</v>
      </c>
    </row>
    <row r="8171" spans="1:9" x14ac:dyDescent="0.25">
      <c r="A8171" s="515">
        <v>20186</v>
      </c>
      <c r="B8171" s="515" t="s">
        <v>321</v>
      </c>
      <c r="C8171" s="52">
        <v>529727.57311255904</v>
      </c>
      <c r="D8171" s="56">
        <v>5.6760201146162863E-2</v>
      </c>
      <c r="E8171" s="224">
        <v>1800</v>
      </c>
      <c r="F8171" s="515" t="s">
        <v>9379</v>
      </c>
      <c r="G8171" s="52">
        <v>273756.62842902599</v>
      </c>
      <c r="H8171" s="56">
        <v>0.11290548800288208</v>
      </c>
      <c r="I8171" s="224" t="s">
        <v>2</v>
      </c>
    </row>
    <row r="8172" spans="1:9" x14ac:dyDescent="0.25">
      <c r="A8172" s="515">
        <v>31523</v>
      </c>
      <c r="B8172" s="515" t="s">
        <v>871</v>
      </c>
      <c r="C8172" s="52">
        <v>291238.95994761703</v>
      </c>
      <c r="D8172" s="56">
        <v>0.1266814768206726</v>
      </c>
      <c r="E8172" s="224" t="s">
        <v>2</v>
      </c>
      <c r="F8172" s="515" t="s">
        <v>9380</v>
      </c>
      <c r="G8172" s="52">
        <v>395134.64834499499</v>
      </c>
      <c r="H8172" s="56">
        <v>8.0967368251367786E-2</v>
      </c>
      <c r="I8172" s="224" t="s">
        <v>2</v>
      </c>
    </row>
    <row r="8173" spans="1:9" x14ac:dyDescent="0.25">
      <c r="A8173" s="515">
        <v>2141</v>
      </c>
      <c r="B8173" s="515" t="s">
        <v>534</v>
      </c>
      <c r="C8173" s="52">
        <v>788310.07019193599</v>
      </c>
      <c r="D8173" s="56">
        <v>-3.0979642541678187E-2</v>
      </c>
      <c r="E8173" s="224">
        <v>3263.9496753246699</v>
      </c>
      <c r="F8173" s="515" t="s">
        <v>9381</v>
      </c>
      <c r="G8173" s="52">
        <v>194078.66512456801</v>
      </c>
      <c r="H8173" s="56">
        <v>5.3068945954203507E-2</v>
      </c>
      <c r="I8173" s="224" t="s">
        <v>2</v>
      </c>
    </row>
    <row r="8174" spans="1:9" x14ac:dyDescent="0.25">
      <c r="A8174" s="515">
        <v>46163</v>
      </c>
      <c r="B8174" s="515" t="s">
        <v>403</v>
      </c>
      <c r="C8174" s="52">
        <v>332208.09174364002</v>
      </c>
      <c r="D8174" s="56">
        <v>6.6457672572713011E-2</v>
      </c>
      <c r="E8174" s="224" t="s">
        <v>2</v>
      </c>
      <c r="F8174" s="515" t="s">
        <v>9382</v>
      </c>
      <c r="G8174" s="52">
        <v>130501.15266917201</v>
      </c>
      <c r="H8174" s="56">
        <v>8.8587143196629164E-2</v>
      </c>
      <c r="I8174" s="224" t="s">
        <v>2</v>
      </c>
    </row>
    <row r="8175" spans="1:9" x14ac:dyDescent="0.25">
      <c r="A8175" s="515">
        <v>1938</v>
      </c>
      <c r="B8175" s="515" t="s">
        <v>534</v>
      </c>
      <c r="C8175" s="52">
        <v>695188.927508828</v>
      </c>
      <c r="D8175" s="56">
        <v>5.8339191900866297E-2</v>
      </c>
      <c r="E8175" s="224" t="s">
        <v>2</v>
      </c>
      <c r="F8175" s="515" t="s">
        <v>9383</v>
      </c>
      <c r="G8175" s="52">
        <v>171168.67223387401</v>
      </c>
      <c r="H8175" s="56">
        <v>0.15508407143994751</v>
      </c>
      <c r="I8175" s="224" t="s">
        <v>2</v>
      </c>
    </row>
    <row r="8176" spans="1:9" x14ac:dyDescent="0.25">
      <c r="A8176" s="515">
        <v>44721</v>
      </c>
      <c r="B8176" s="515" t="s">
        <v>863</v>
      </c>
      <c r="C8176" s="52">
        <v>242309.53845535801</v>
      </c>
      <c r="D8176" s="56">
        <v>6.2928149014486595E-2</v>
      </c>
      <c r="E8176" s="224" t="s">
        <v>2</v>
      </c>
      <c r="F8176" s="515" t="s">
        <v>9384</v>
      </c>
      <c r="G8176" s="52">
        <v>189954.77037037001</v>
      </c>
      <c r="H8176" s="56">
        <v>0</v>
      </c>
      <c r="I8176" s="224" t="s">
        <v>2</v>
      </c>
    </row>
    <row r="8177" spans="1:9" x14ac:dyDescent="0.25">
      <c r="A8177" s="515">
        <v>27214</v>
      </c>
      <c r="B8177" s="515" t="s">
        <v>1148</v>
      </c>
      <c r="C8177" s="52">
        <v>264120.871184227</v>
      </c>
      <c r="D8177" s="56">
        <v>7.7967761352501996E-2</v>
      </c>
      <c r="E8177" s="224">
        <v>1797</v>
      </c>
      <c r="F8177" s="515" t="s">
        <v>9385</v>
      </c>
      <c r="G8177" s="52">
        <v>253430.430663715</v>
      </c>
      <c r="H8177" s="56">
        <v>6.060858353128102E-2</v>
      </c>
      <c r="I8177" s="224" t="s">
        <v>2</v>
      </c>
    </row>
    <row r="8178" spans="1:9" x14ac:dyDescent="0.25">
      <c r="A8178" s="515">
        <v>44875</v>
      </c>
      <c r="B8178" s="515" t="s">
        <v>1140</v>
      </c>
      <c r="C8178" s="52">
        <v>148158.05069972601</v>
      </c>
      <c r="D8178" s="56">
        <v>6.2830218379165123E-2</v>
      </c>
      <c r="E8178" s="224" t="s">
        <v>2</v>
      </c>
      <c r="F8178" s="515" t="s">
        <v>9386</v>
      </c>
      <c r="G8178" s="52">
        <v>72302.179461355205</v>
      </c>
      <c r="H8178" s="56">
        <v>-0.18672911587749086</v>
      </c>
      <c r="I8178" s="224" t="s">
        <v>2</v>
      </c>
    </row>
    <row r="8179" spans="1:9" x14ac:dyDescent="0.25">
      <c r="A8179" s="515">
        <v>85735</v>
      </c>
      <c r="B8179" s="515" t="s">
        <v>368</v>
      </c>
      <c r="C8179" s="52">
        <v>313793.97547722701</v>
      </c>
      <c r="D8179" s="56">
        <v>6.3514890869736634E-2</v>
      </c>
      <c r="E8179" s="224" t="s">
        <v>2</v>
      </c>
      <c r="F8179" s="515" t="s">
        <v>9387</v>
      </c>
      <c r="G8179" s="52">
        <v>273595.99167480902</v>
      </c>
      <c r="H8179" s="56">
        <v>0.1175675552211785</v>
      </c>
      <c r="I8179" s="224" t="s">
        <v>2</v>
      </c>
    </row>
    <row r="8180" spans="1:9" x14ac:dyDescent="0.25">
      <c r="A8180" s="515">
        <v>10528</v>
      </c>
      <c r="B8180" s="515" t="s">
        <v>324</v>
      </c>
      <c r="C8180" s="52">
        <v>1169347.93613549</v>
      </c>
      <c r="D8180" s="56">
        <v>9.5754714847246833E-2</v>
      </c>
      <c r="E8180" s="224">
        <v>3425</v>
      </c>
      <c r="F8180" s="515" t="s">
        <v>9388</v>
      </c>
      <c r="G8180" s="52">
        <v>189184.277303626</v>
      </c>
      <c r="H8180" s="56">
        <v>4.5305749576945664E-2</v>
      </c>
      <c r="I8180" s="224" t="s">
        <v>2</v>
      </c>
    </row>
    <row r="8181" spans="1:9" x14ac:dyDescent="0.25">
      <c r="A8181" s="515">
        <v>63134</v>
      </c>
      <c r="B8181" s="515" t="s">
        <v>498</v>
      </c>
      <c r="C8181" s="52">
        <v>96892.410401294896</v>
      </c>
      <c r="D8181" s="56">
        <v>0.18449686560938683</v>
      </c>
      <c r="E8181" s="224">
        <v>985.83333333333303</v>
      </c>
      <c r="F8181" s="515" t="s">
        <v>9389</v>
      </c>
      <c r="G8181" s="52">
        <v>520523.90163114597</v>
      </c>
      <c r="H8181" s="56">
        <v>5.3120991780991757E-2</v>
      </c>
      <c r="I8181" s="224" t="s">
        <v>2</v>
      </c>
    </row>
    <row r="8182" spans="1:9" x14ac:dyDescent="0.25">
      <c r="A8182" s="515">
        <v>32413</v>
      </c>
      <c r="B8182" s="515" t="s">
        <v>1160</v>
      </c>
      <c r="C8182" s="52">
        <v>472656.71400787198</v>
      </c>
      <c r="D8182" s="56">
        <v>0.15544748251179516</v>
      </c>
      <c r="E8182" s="224">
        <v>1875.69166666666</v>
      </c>
      <c r="F8182" s="515" t="s">
        <v>9390</v>
      </c>
      <c r="G8182" s="52">
        <v>718414.66390466702</v>
      </c>
      <c r="H8182" s="56">
        <v>9.7106991344946242E-2</v>
      </c>
      <c r="I8182" s="224" t="s">
        <v>2</v>
      </c>
    </row>
    <row r="8183" spans="1:9" x14ac:dyDescent="0.25">
      <c r="A8183" s="515">
        <v>99114</v>
      </c>
      <c r="B8183" s="515" t="s">
        <v>820</v>
      </c>
      <c r="C8183" s="52">
        <v>310323.53644179902</v>
      </c>
      <c r="D8183" s="56">
        <v>7.4172959640898095E-2</v>
      </c>
      <c r="E8183" s="224" t="s">
        <v>2</v>
      </c>
      <c r="F8183" s="515" t="s">
        <v>9391</v>
      </c>
      <c r="G8183" s="52">
        <v>242529.15932127801</v>
      </c>
      <c r="H8183" s="56">
        <v>0.25288118529535636</v>
      </c>
      <c r="I8183" s="224" t="s">
        <v>2</v>
      </c>
    </row>
    <row r="8184" spans="1:9" x14ac:dyDescent="0.25">
      <c r="A8184" s="515">
        <v>14222</v>
      </c>
      <c r="B8184" s="515" t="s">
        <v>336</v>
      </c>
      <c r="C8184" s="52">
        <v>486105.35523431899</v>
      </c>
      <c r="D8184" s="56">
        <v>3.8783731178510278E-2</v>
      </c>
      <c r="E8184" s="224">
        <v>1306.9047619047601</v>
      </c>
      <c r="F8184" s="515" t="s">
        <v>9392</v>
      </c>
      <c r="G8184" s="52">
        <v>212694.94526394899</v>
      </c>
      <c r="H8184" s="56">
        <v>0.10702496631687161</v>
      </c>
      <c r="I8184" s="224" t="s">
        <v>2</v>
      </c>
    </row>
    <row r="8185" spans="1:9" x14ac:dyDescent="0.25">
      <c r="A8185" s="515">
        <v>32425</v>
      </c>
      <c r="C8185" s="52">
        <v>166798.56488696</v>
      </c>
      <c r="D8185" s="56">
        <v>6.1613156933030266E-2</v>
      </c>
      <c r="E8185" s="224" t="s">
        <v>2</v>
      </c>
      <c r="F8185" s="515" t="s">
        <v>9393</v>
      </c>
      <c r="G8185" s="52">
        <v>296293.10687309701</v>
      </c>
      <c r="H8185" s="56">
        <v>5.4361433323281243E-2</v>
      </c>
      <c r="I8185" s="224" t="s">
        <v>2</v>
      </c>
    </row>
    <row r="8186" spans="1:9" x14ac:dyDescent="0.25">
      <c r="A8186" s="515">
        <v>63132</v>
      </c>
      <c r="B8186" s="515" t="s">
        <v>498</v>
      </c>
      <c r="C8186" s="52">
        <v>304541.96783504699</v>
      </c>
      <c r="D8186" s="56">
        <v>9.9910491725167458E-2</v>
      </c>
      <c r="E8186" s="224">
        <v>1274.69523809523</v>
      </c>
      <c r="F8186" s="515" t="s">
        <v>9394</v>
      </c>
      <c r="G8186" s="52">
        <v>640007.10731678701</v>
      </c>
      <c r="H8186" s="56">
        <v>4.314254975237819E-2</v>
      </c>
      <c r="I8186" s="224" t="s">
        <v>2</v>
      </c>
    </row>
    <row r="8187" spans="1:9" x14ac:dyDescent="0.25">
      <c r="A8187" s="515">
        <v>98363</v>
      </c>
      <c r="B8187" s="515" t="s">
        <v>781</v>
      </c>
      <c r="C8187" s="52">
        <v>401770.31625754299</v>
      </c>
      <c r="D8187" s="56">
        <v>4.1284382695113871E-2</v>
      </c>
      <c r="E8187" s="224" t="s">
        <v>2</v>
      </c>
      <c r="F8187" s="515" t="s">
        <v>9395</v>
      </c>
      <c r="G8187" s="52">
        <v>197756.110146019</v>
      </c>
      <c r="H8187" s="56">
        <v>4.2640747020551532E-2</v>
      </c>
      <c r="I8187" s="224" t="s">
        <v>2</v>
      </c>
    </row>
    <row r="8188" spans="1:9" x14ac:dyDescent="0.25">
      <c r="A8188" s="515">
        <v>74948</v>
      </c>
      <c r="B8188" s="515" t="s">
        <v>326</v>
      </c>
      <c r="C8188" s="52">
        <v>149004.96674627301</v>
      </c>
      <c r="D8188" s="56">
        <v>0.13902307376147835</v>
      </c>
      <c r="E8188" s="224" t="s">
        <v>2</v>
      </c>
      <c r="F8188" s="515" t="s">
        <v>9396</v>
      </c>
      <c r="G8188" s="52">
        <v>357717.63510058698</v>
      </c>
      <c r="H8188" s="56">
        <v>3.1534198785709955E-2</v>
      </c>
      <c r="I8188" s="224" t="s">
        <v>2</v>
      </c>
    </row>
    <row r="8189" spans="1:9" x14ac:dyDescent="0.25">
      <c r="A8189" s="515">
        <v>95030</v>
      </c>
      <c r="B8189" s="515" t="s">
        <v>850</v>
      </c>
      <c r="C8189" s="52">
        <v>3092284.7197576198</v>
      </c>
      <c r="D8189" s="56">
        <v>4.1332879136143891E-2</v>
      </c>
      <c r="E8189" s="224">
        <v>3523.63888888888</v>
      </c>
      <c r="F8189" s="515" t="s">
        <v>9397</v>
      </c>
      <c r="G8189" s="52">
        <v>500189.91247691301</v>
      </c>
      <c r="H8189" s="56">
        <v>5.6668292721890785E-2</v>
      </c>
      <c r="I8189" s="224" t="s">
        <v>2</v>
      </c>
    </row>
    <row r="8190" spans="1:9" x14ac:dyDescent="0.25">
      <c r="A8190" s="515">
        <v>17362</v>
      </c>
      <c r="B8190" s="515" t="s">
        <v>509</v>
      </c>
      <c r="C8190" s="52">
        <v>269547.68519378401</v>
      </c>
      <c r="D8190" s="56">
        <v>8.8956777205639201E-2</v>
      </c>
      <c r="E8190" s="224" t="s">
        <v>2</v>
      </c>
      <c r="F8190" s="515" t="s">
        <v>9398</v>
      </c>
      <c r="G8190" s="52">
        <v>265417.34242610203</v>
      </c>
      <c r="H8190" s="56">
        <v>9.0628253413166993E-2</v>
      </c>
      <c r="I8190" s="224" t="s">
        <v>2</v>
      </c>
    </row>
    <row r="8191" spans="1:9" x14ac:dyDescent="0.25">
      <c r="A8191" s="515">
        <v>28748</v>
      </c>
      <c r="B8191" s="515" t="s">
        <v>668</v>
      </c>
      <c r="C8191" s="52">
        <v>387907.69465343503</v>
      </c>
      <c r="D8191" s="56">
        <v>0.13530202634768415</v>
      </c>
      <c r="E8191" s="224" t="s">
        <v>2</v>
      </c>
      <c r="F8191" s="515" t="s">
        <v>9399</v>
      </c>
      <c r="G8191" s="52">
        <v>202270.425941878</v>
      </c>
      <c r="H8191" s="56">
        <v>0.14386630395581537</v>
      </c>
      <c r="I8191" s="224" t="s">
        <v>2</v>
      </c>
    </row>
    <row r="8192" spans="1:9" x14ac:dyDescent="0.25">
      <c r="A8192" s="515">
        <v>78612</v>
      </c>
      <c r="B8192" s="515" t="s">
        <v>380</v>
      </c>
      <c r="C8192" s="52">
        <v>411779.67392345</v>
      </c>
      <c r="D8192" s="56">
        <v>9.8134889606030423E-2</v>
      </c>
      <c r="E8192" s="224" t="s">
        <v>2</v>
      </c>
      <c r="F8192" s="515" t="s">
        <v>9400</v>
      </c>
      <c r="G8192" s="52">
        <v>88772.4613249018</v>
      </c>
      <c r="H8192" s="56">
        <v>6.5538313632350881E-2</v>
      </c>
      <c r="I8192" s="224" t="s">
        <v>2</v>
      </c>
    </row>
    <row r="8193" spans="1:9" x14ac:dyDescent="0.25">
      <c r="A8193" s="515">
        <v>72830</v>
      </c>
      <c r="C8193" s="52">
        <v>148533.404784824</v>
      </c>
      <c r="D8193" s="56">
        <v>3.4238223422356009E-2</v>
      </c>
      <c r="E8193" s="224" t="s">
        <v>2</v>
      </c>
      <c r="F8193" s="515" t="s">
        <v>9401</v>
      </c>
      <c r="G8193" s="52">
        <v>456881.09511636698</v>
      </c>
      <c r="H8193" s="56">
        <v>1.9255081712340302E-2</v>
      </c>
      <c r="I8193" s="224" t="s">
        <v>2</v>
      </c>
    </row>
    <row r="8194" spans="1:9" x14ac:dyDescent="0.25">
      <c r="A8194" s="515">
        <v>41143</v>
      </c>
      <c r="B8194" s="515" t="s">
        <v>602</v>
      </c>
      <c r="C8194" s="52">
        <v>131406.12472574101</v>
      </c>
      <c r="D8194" s="56">
        <v>9.4759748468003974E-2</v>
      </c>
      <c r="E8194" s="224" t="s">
        <v>2</v>
      </c>
      <c r="F8194" s="515" t="s">
        <v>9402</v>
      </c>
      <c r="G8194" s="52">
        <v>195523.078196555</v>
      </c>
      <c r="H8194" s="56">
        <v>9.1298055742566678E-2</v>
      </c>
      <c r="I8194" s="224" t="s">
        <v>2</v>
      </c>
    </row>
    <row r="8195" spans="1:9" x14ac:dyDescent="0.25">
      <c r="A8195" s="515">
        <v>46403</v>
      </c>
      <c r="B8195" s="515" t="s">
        <v>394</v>
      </c>
      <c r="C8195" s="52">
        <v>133163.15878331399</v>
      </c>
      <c r="D8195" s="56">
        <v>0.14586450689206959</v>
      </c>
      <c r="E8195" s="224" t="s">
        <v>2</v>
      </c>
      <c r="F8195" s="515" t="s">
        <v>9403</v>
      </c>
      <c r="G8195" s="52">
        <v>169435.68060455701</v>
      </c>
      <c r="H8195" s="56">
        <v>-3.7654545222058244E-2</v>
      </c>
      <c r="I8195" s="224" t="s">
        <v>2</v>
      </c>
    </row>
    <row r="8196" spans="1:9" x14ac:dyDescent="0.25">
      <c r="A8196" s="515">
        <v>48604</v>
      </c>
      <c r="B8196" s="515" t="s">
        <v>904</v>
      </c>
      <c r="C8196" s="52">
        <v>112590.913711973</v>
      </c>
      <c r="D8196" s="56">
        <v>0.15235813695764971</v>
      </c>
      <c r="E8196" s="224" t="s">
        <v>2</v>
      </c>
      <c r="F8196" s="515" t="s">
        <v>9404</v>
      </c>
      <c r="G8196" s="52">
        <v>128102.057340414</v>
      </c>
      <c r="H8196" s="56">
        <v>6.449297610482306E-2</v>
      </c>
      <c r="I8196" s="224" t="s">
        <v>2</v>
      </c>
    </row>
    <row r="8197" spans="1:9" x14ac:dyDescent="0.25">
      <c r="A8197" s="515">
        <v>95540</v>
      </c>
      <c r="B8197" s="515" t="s">
        <v>352</v>
      </c>
      <c r="C8197" s="52">
        <v>391042.93197680899</v>
      </c>
      <c r="D8197" s="56">
        <v>3.0482207183643042E-3</v>
      </c>
      <c r="E8197" s="224" t="s">
        <v>2</v>
      </c>
      <c r="F8197" s="515" t="s">
        <v>9405</v>
      </c>
      <c r="G8197" s="52">
        <v>285104.08110172697</v>
      </c>
      <c r="H8197" s="56">
        <v>6.4551462846494545E-2</v>
      </c>
      <c r="I8197" s="224" t="s">
        <v>2</v>
      </c>
    </row>
    <row r="8198" spans="1:9" x14ac:dyDescent="0.25">
      <c r="A8198" s="515">
        <v>75244</v>
      </c>
      <c r="B8198" s="515" t="s">
        <v>458</v>
      </c>
      <c r="C8198" s="52">
        <v>608182.52916705504</v>
      </c>
      <c r="D8198" s="56">
        <v>8.3550926459345712E-2</v>
      </c>
      <c r="E8198" s="224">
        <v>1961.2021292547599</v>
      </c>
      <c r="F8198" s="515" t="s">
        <v>9406</v>
      </c>
      <c r="G8198" s="52">
        <v>565593.86368672899</v>
      </c>
      <c r="H8198" s="56">
        <v>4.6826182074171538E-2</v>
      </c>
      <c r="I8198" s="224" t="s">
        <v>2</v>
      </c>
    </row>
    <row r="8199" spans="1:9" x14ac:dyDescent="0.25">
      <c r="A8199" s="515">
        <v>39367</v>
      </c>
      <c r="C8199" s="52">
        <v>138978.46581172399</v>
      </c>
      <c r="D8199" s="56">
        <v>-7.4232044350815395E-3</v>
      </c>
      <c r="E8199" s="224" t="s">
        <v>2</v>
      </c>
      <c r="F8199" s="515" t="s">
        <v>9407</v>
      </c>
      <c r="G8199" s="52">
        <v>297667.86277776898</v>
      </c>
      <c r="H8199" s="56">
        <v>3.6911935961731514E-2</v>
      </c>
      <c r="I8199" s="224" t="s">
        <v>2</v>
      </c>
    </row>
    <row r="8200" spans="1:9" x14ac:dyDescent="0.25">
      <c r="A8200" s="515">
        <v>2053</v>
      </c>
      <c r="B8200" s="515" t="s">
        <v>534</v>
      </c>
      <c r="C8200" s="52">
        <v>585025.24113290897</v>
      </c>
      <c r="D8200" s="56">
        <v>6.8997975419151161E-2</v>
      </c>
      <c r="E8200" s="224" t="s">
        <v>2</v>
      </c>
      <c r="F8200" s="515" t="s">
        <v>9408</v>
      </c>
      <c r="G8200" s="52">
        <v>745290.78970041696</v>
      </c>
      <c r="H8200" s="56">
        <v>0.13063092410969335</v>
      </c>
      <c r="I8200" s="224" t="s">
        <v>2</v>
      </c>
    </row>
    <row r="8201" spans="1:9" x14ac:dyDescent="0.25">
      <c r="A8201" s="515">
        <v>30620</v>
      </c>
      <c r="B8201" s="515" t="s">
        <v>957</v>
      </c>
      <c r="C8201" s="52">
        <v>334099.45661890402</v>
      </c>
      <c r="D8201" s="56">
        <v>9.346117814132017E-2</v>
      </c>
      <c r="E8201" s="224">
        <v>2143</v>
      </c>
      <c r="F8201" s="515" t="s">
        <v>9409</v>
      </c>
      <c r="G8201" s="52">
        <v>391674.112996415</v>
      </c>
      <c r="H8201" s="56">
        <v>5.3339614179128074E-2</v>
      </c>
      <c r="I8201" s="224" t="s">
        <v>2</v>
      </c>
    </row>
    <row r="8202" spans="1:9" x14ac:dyDescent="0.25">
      <c r="A8202" s="515">
        <v>29520</v>
      </c>
      <c r="C8202" s="52">
        <v>133725.56250104</v>
      </c>
      <c r="D8202" s="56">
        <v>7.8852578880102622E-2</v>
      </c>
      <c r="E8202" s="224" t="s">
        <v>2</v>
      </c>
      <c r="F8202" s="515" t="s">
        <v>9410</v>
      </c>
      <c r="G8202" s="52">
        <v>266353.94602793898</v>
      </c>
      <c r="H8202" s="56">
        <v>8.8431562655708576E-2</v>
      </c>
      <c r="I8202" s="224" t="s">
        <v>2</v>
      </c>
    </row>
    <row r="8203" spans="1:9" x14ac:dyDescent="0.25">
      <c r="A8203" s="515">
        <v>94507</v>
      </c>
      <c r="B8203" s="515" t="s">
        <v>593</v>
      </c>
      <c r="C8203" s="52">
        <v>2330176.0421428001</v>
      </c>
      <c r="D8203" s="56">
        <v>3.7771932431187677E-2</v>
      </c>
      <c r="E8203" s="224" t="s">
        <v>2</v>
      </c>
      <c r="F8203" s="515" t="s">
        <v>9411</v>
      </c>
      <c r="G8203" s="52">
        <v>241139.842159552</v>
      </c>
      <c r="H8203" s="56">
        <v>8.7521113644200108E-2</v>
      </c>
      <c r="I8203" s="224" t="s">
        <v>2</v>
      </c>
    </row>
    <row r="8204" spans="1:9" x14ac:dyDescent="0.25">
      <c r="A8204" s="515">
        <v>49348</v>
      </c>
      <c r="B8204" s="515" t="s">
        <v>856</v>
      </c>
      <c r="C8204" s="52">
        <v>283713.01043354598</v>
      </c>
      <c r="D8204" s="56">
        <v>6.1087995896769408E-2</v>
      </c>
      <c r="E8204" s="224" t="s">
        <v>2</v>
      </c>
      <c r="F8204" s="515" t="s">
        <v>9412</v>
      </c>
      <c r="G8204" s="52">
        <v>151750.56519196101</v>
      </c>
      <c r="H8204" s="56">
        <v>-1.8568956329997714E-2</v>
      </c>
      <c r="I8204" s="224" t="s">
        <v>2</v>
      </c>
    </row>
    <row r="8205" spans="1:9" x14ac:dyDescent="0.25">
      <c r="A8205" s="515">
        <v>29669</v>
      </c>
      <c r="B8205" s="515" t="s">
        <v>613</v>
      </c>
      <c r="C8205" s="52">
        <v>209622.3677041</v>
      </c>
      <c r="D8205" s="56">
        <v>0.1474087122241054</v>
      </c>
      <c r="E8205" s="224" t="s">
        <v>2</v>
      </c>
      <c r="F8205" s="515" t="s">
        <v>9413</v>
      </c>
      <c r="G8205" s="52">
        <v>101669.522311571</v>
      </c>
      <c r="H8205" s="56">
        <v>0.15866532531001998</v>
      </c>
      <c r="I8205" s="224" t="s">
        <v>2</v>
      </c>
    </row>
    <row r="8206" spans="1:9" x14ac:dyDescent="0.25">
      <c r="A8206" s="515">
        <v>15061</v>
      </c>
      <c r="B8206" s="515" t="s">
        <v>297</v>
      </c>
      <c r="C8206" s="52">
        <v>177512.281607774</v>
      </c>
      <c r="D8206" s="56">
        <v>3.5884080171962658E-2</v>
      </c>
      <c r="E8206" s="224" t="s">
        <v>2</v>
      </c>
      <c r="F8206" s="515" t="s">
        <v>9414</v>
      </c>
      <c r="G8206" s="52">
        <v>132721.440232322</v>
      </c>
      <c r="H8206" s="56">
        <v>-3.300307779003811E-2</v>
      </c>
      <c r="I8206" s="224" t="s">
        <v>2</v>
      </c>
    </row>
    <row r="8207" spans="1:9" x14ac:dyDescent="0.25">
      <c r="A8207" s="515">
        <v>60526</v>
      </c>
      <c r="B8207" s="515" t="s">
        <v>394</v>
      </c>
      <c r="C8207" s="52">
        <v>381889.75922556297</v>
      </c>
      <c r="D8207" s="56">
        <v>2.8042985444482853E-2</v>
      </c>
      <c r="E8207" s="224" t="s">
        <v>2</v>
      </c>
      <c r="F8207" s="515" t="s">
        <v>9415</v>
      </c>
      <c r="G8207" s="52">
        <v>244792.430171505</v>
      </c>
      <c r="H8207" s="56">
        <v>0.10582103790429523</v>
      </c>
      <c r="I8207" s="224" t="s">
        <v>2</v>
      </c>
    </row>
    <row r="8208" spans="1:9" x14ac:dyDescent="0.25">
      <c r="A8208" s="515">
        <v>36064</v>
      </c>
      <c r="B8208" s="515" t="s">
        <v>806</v>
      </c>
      <c r="C8208" s="52">
        <v>381824.74470352201</v>
      </c>
      <c r="D8208" s="56">
        <v>5.3707896140980711E-2</v>
      </c>
      <c r="E8208" s="224">
        <v>1561.94444444444</v>
      </c>
      <c r="F8208" s="515" t="s">
        <v>9416</v>
      </c>
      <c r="G8208" s="52">
        <v>88546.212512293903</v>
      </c>
      <c r="H8208" s="56">
        <v>1.7730344179331683E-2</v>
      </c>
      <c r="I8208" s="224" t="s">
        <v>2</v>
      </c>
    </row>
    <row r="8209" spans="1:9" x14ac:dyDescent="0.25">
      <c r="A8209" s="515">
        <v>91978</v>
      </c>
      <c r="B8209" s="515" t="s">
        <v>396</v>
      </c>
      <c r="C8209" s="52">
        <v>726928.17669022502</v>
      </c>
      <c r="D8209" s="56">
        <v>4.6625029940850389E-2</v>
      </c>
      <c r="E8209" s="224" t="s">
        <v>2</v>
      </c>
      <c r="F8209" s="515" t="s">
        <v>9417</v>
      </c>
      <c r="G8209" s="52">
        <v>270978.51178638899</v>
      </c>
      <c r="H8209" s="56">
        <v>0.10986005022411434</v>
      </c>
      <c r="I8209" s="224" t="s">
        <v>2</v>
      </c>
    </row>
    <row r="8210" spans="1:9" x14ac:dyDescent="0.25">
      <c r="A8210" s="515">
        <v>33873</v>
      </c>
      <c r="B8210" s="515" t="s">
        <v>1139</v>
      </c>
      <c r="C8210" s="52">
        <v>186611.38443772201</v>
      </c>
      <c r="D8210" s="56">
        <v>0.13287419003670026</v>
      </c>
      <c r="E8210" s="224" t="s">
        <v>2</v>
      </c>
      <c r="F8210" s="515" t="s">
        <v>9418</v>
      </c>
      <c r="G8210" s="52">
        <v>1092715.3495798099</v>
      </c>
      <c r="H8210" s="56">
        <v>0.12342763312586315</v>
      </c>
      <c r="I8210" s="224" t="s">
        <v>2</v>
      </c>
    </row>
    <row r="8211" spans="1:9" x14ac:dyDescent="0.25">
      <c r="A8211" s="515">
        <v>48173</v>
      </c>
      <c r="B8211" s="515" t="s">
        <v>685</v>
      </c>
      <c r="C8211" s="52">
        <v>233680.23522676999</v>
      </c>
      <c r="D8211" s="56">
        <v>2.7640279139547776E-2</v>
      </c>
      <c r="E8211" s="224" t="s">
        <v>2</v>
      </c>
      <c r="F8211" s="515" t="s">
        <v>9419</v>
      </c>
      <c r="G8211" s="52">
        <v>230777.11777872799</v>
      </c>
      <c r="H8211" s="56">
        <v>6.7873244127565235E-2</v>
      </c>
      <c r="I8211" s="224" t="s">
        <v>2</v>
      </c>
    </row>
    <row r="8212" spans="1:9" x14ac:dyDescent="0.25">
      <c r="A8212" s="515">
        <v>34236</v>
      </c>
      <c r="B8212" s="515" t="s">
        <v>466</v>
      </c>
      <c r="C8212" s="52">
        <v>1057307.2890161599</v>
      </c>
      <c r="D8212" s="56">
        <v>0.21876753630036735</v>
      </c>
      <c r="E8212" s="224">
        <v>3108.9027777777701</v>
      </c>
      <c r="F8212" s="515" t="s">
        <v>9420</v>
      </c>
      <c r="G8212" s="52">
        <v>671959.14044898702</v>
      </c>
      <c r="H8212" s="56">
        <v>8.5713577273493199E-2</v>
      </c>
      <c r="I8212" s="224" t="s">
        <v>2</v>
      </c>
    </row>
    <row r="8213" spans="1:9" x14ac:dyDescent="0.25">
      <c r="A8213" s="515">
        <v>19971</v>
      </c>
      <c r="B8213" s="515" t="s">
        <v>552</v>
      </c>
      <c r="C8213" s="52">
        <v>714051.47155372705</v>
      </c>
      <c r="D8213" s="56">
        <v>7.2259392369339967E-2</v>
      </c>
      <c r="E8213" s="224" t="s">
        <v>2</v>
      </c>
      <c r="F8213" s="515" t="s">
        <v>9421</v>
      </c>
      <c r="G8213" s="52">
        <v>172049.31761164599</v>
      </c>
      <c r="H8213" s="56">
        <v>0.11652997065628681</v>
      </c>
      <c r="I8213" s="224" t="s">
        <v>2</v>
      </c>
    </row>
    <row r="8214" spans="1:9" x14ac:dyDescent="0.25">
      <c r="A8214" s="515">
        <v>12549</v>
      </c>
      <c r="B8214" s="515" t="s">
        <v>529</v>
      </c>
      <c r="C8214" s="52">
        <v>409206.78026295698</v>
      </c>
      <c r="D8214" s="56">
        <v>7.9884156756759542E-2</v>
      </c>
      <c r="E8214" s="224" t="s">
        <v>2</v>
      </c>
      <c r="F8214" s="515" t="s">
        <v>9422</v>
      </c>
      <c r="G8214" s="52">
        <v>201305.92449355399</v>
      </c>
      <c r="H8214" s="56">
        <v>0</v>
      </c>
      <c r="I8214" s="224" t="s">
        <v>2</v>
      </c>
    </row>
    <row r="8215" spans="1:9" x14ac:dyDescent="0.25">
      <c r="A8215" s="515">
        <v>63080</v>
      </c>
      <c r="B8215" s="515" t="s">
        <v>498</v>
      </c>
      <c r="C8215" s="52">
        <v>162982.216793486</v>
      </c>
      <c r="D8215" s="56">
        <v>6.7460241149475533E-2</v>
      </c>
      <c r="E8215" s="224" t="s">
        <v>2</v>
      </c>
      <c r="F8215" s="515" t="s">
        <v>9423</v>
      </c>
      <c r="G8215" s="52">
        <v>464961.49821645702</v>
      </c>
      <c r="H8215" s="56">
        <v>4.6616632985395576E-2</v>
      </c>
      <c r="I8215" s="224" t="s">
        <v>2</v>
      </c>
    </row>
    <row r="8216" spans="1:9" x14ac:dyDescent="0.25">
      <c r="A8216" s="515">
        <v>34604</v>
      </c>
      <c r="B8216" s="515" t="s">
        <v>461</v>
      </c>
      <c r="C8216" s="52">
        <v>334965.50172188802</v>
      </c>
      <c r="D8216" s="56">
        <v>0.13887536047044713</v>
      </c>
      <c r="E8216" s="224">
        <v>2115</v>
      </c>
      <c r="F8216" s="515" t="s">
        <v>9424</v>
      </c>
      <c r="G8216" s="52">
        <v>669009.79116511205</v>
      </c>
      <c r="H8216" s="56">
        <v>4.8646918690624132E-2</v>
      </c>
      <c r="I8216" s="224" t="s">
        <v>2</v>
      </c>
    </row>
    <row r="8217" spans="1:9" x14ac:dyDescent="0.25">
      <c r="A8217" s="515">
        <v>92567</v>
      </c>
      <c r="B8217" s="515" t="s">
        <v>599</v>
      </c>
      <c r="C8217" s="52">
        <v>505530.386623525</v>
      </c>
      <c r="D8217" s="56">
        <v>4.9991645460618662E-2</v>
      </c>
      <c r="E8217" s="224" t="s">
        <v>2</v>
      </c>
      <c r="F8217" s="515" t="s">
        <v>9425</v>
      </c>
      <c r="G8217" s="52">
        <v>554881.20225586602</v>
      </c>
      <c r="H8217" s="56">
        <v>0.14145101488498849</v>
      </c>
      <c r="I8217" s="224" t="s">
        <v>2</v>
      </c>
    </row>
    <row r="8218" spans="1:9" x14ac:dyDescent="0.25">
      <c r="A8218" s="515">
        <v>38012</v>
      </c>
      <c r="B8218" s="515" t="s">
        <v>1070</v>
      </c>
      <c r="C8218" s="52">
        <v>122017.417654259</v>
      </c>
      <c r="D8218" s="56">
        <v>3.4749712257393817E-2</v>
      </c>
      <c r="E8218" s="224" t="s">
        <v>2</v>
      </c>
      <c r="F8218" s="515" t="s">
        <v>9426</v>
      </c>
      <c r="G8218" s="52">
        <v>526568.07498998696</v>
      </c>
      <c r="H8218" s="56">
        <v>9.1236654438097628E-2</v>
      </c>
      <c r="I8218" s="224" t="s">
        <v>2</v>
      </c>
    </row>
    <row r="8219" spans="1:9" x14ac:dyDescent="0.25">
      <c r="A8219" s="515">
        <v>75103</v>
      </c>
      <c r="C8219" s="52">
        <v>280222.61660170002</v>
      </c>
      <c r="D8219" s="56">
        <v>2.5676486616760492E-2</v>
      </c>
      <c r="E8219" s="224" t="s">
        <v>2</v>
      </c>
      <c r="F8219" s="515" t="s">
        <v>9427</v>
      </c>
      <c r="G8219" s="52">
        <v>639839.48797087802</v>
      </c>
      <c r="H8219" s="56">
        <v>0.17594945603782128</v>
      </c>
      <c r="I8219" s="224" t="s">
        <v>2</v>
      </c>
    </row>
    <row r="8220" spans="1:9" x14ac:dyDescent="0.25">
      <c r="A8220" s="515">
        <v>73108</v>
      </c>
      <c r="B8220" s="515" t="s">
        <v>385</v>
      </c>
      <c r="C8220" s="52">
        <v>75001.063914522107</v>
      </c>
      <c r="D8220" s="56">
        <v>0.21597905103195161</v>
      </c>
      <c r="E8220" s="224" t="s">
        <v>2</v>
      </c>
      <c r="F8220" s="515" t="s">
        <v>9428</v>
      </c>
      <c r="G8220" s="52">
        <v>271440.67790490802</v>
      </c>
      <c r="H8220" s="56">
        <v>2.6892108558486574E-2</v>
      </c>
      <c r="I8220" s="224" t="s">
        <v>2</v>
      </c>
    </row>
    <row r="8221" spans="1:9" x14ac:dyDescent="0.25">
      <c r="A8221" s="515">
        <v>85602</v>
      </c>
      <c r="B8221" s="515" t="s">
        <v>374</v>
      </c>
      <c r="C8221" s="52">
        <v>222264.46415830299</v>
      </c>
      <c r="D8221" s="56">
        <v>0.11047135549212378</v>
      </c>
      <c r="E8221" s="224" t="s">
        <v>2</v>
      </c>
      <c r="F8221" s="515" t="s">
        <v>9429</v>
      </c>
      <c r="G8221" s="52">
        <v>212390.01236076601</v>
      </c>
      <c r="H8221" s="56">
        <v>4.9304979778835835E-2</v>
      </c>
      <c r="I8221" s="224" t="s">
        <v>2</v>
      </c>
    </row>
    <row r="8222" spans="1:9" x14ac:dyDescent="0.25">
      <c r="A8222" s="515">
        <v>97113</v>
      </c>
      <c r="B8222" s="515" t="s">
        <v>659</v>
      </c>
      <c r="C8222" s="52">
        <v>458023.65559370001</v>
      </c>
      <c r="D8222" s="56">
        <v>4.7389730685783414E-2</v>
      </c>
      <c r="E8222" s="224" t="s">
        <v>2</v>
      </c>
      <c r="F8222" s="515" t="s">
        <v>9430</v>
      </c>
      <c r="G8222" s="52">
        <v>218791.33482575999</v>
      </c>
      <c r="H8222" s="56">
        <v>8.8255080018711116E-2</v>
      </c>
      <c r="I8222" s="224" t="s">
        <v>2</v>
      </c>
    </row>
    <row r="8223" spans="1:9" x14ac:dyDescent="0.25">
      <c r="A8223" s="515">
        <v>64735</v>
      </c>
      <c r="C8223" s="52">
        <v>184228.89848786901</v>
      </c>
      <c r="D8223" s="56">
        <v>9.5768805906743082E-2</v>
      </c>
      <c r="E8223" s="224" t="s">
        <v>2</v>
      </c>
      <c r="F8223" s="515" t="s">
        <v>9431</v>
      </c>
      <c r="G8223" s="52">
        <v>297990.62996824901</v>
      </c>
      <c r="H8223" s="56">
        <v>6.2559874059794379E-2</v>
      </c>
      <c r="I8223" s="224" t="s">
        <v>2</v>
      </c>
    </row>
    <row r="8224" spans="1:9" x14ac:dyDescent="0.25">
      <c r="A8224" s="515">
        <v>29061</v>
      </c>
      <c r="B8224" s="515" t="s">
        <v>762</v>
      </c>
      <c r="C8224" s="52">
        <v>188339.45728604001</v>
      </c>
      <c r="D8224" s="56">
        <v>0.17999511930889239</v>
      </c>
      <c r="E8224" s="224" t="s">
        <v>2</v>
      </c>
      <c r="F8224" s="515" t="s">
        <v>9432</v>
      </c>
      <c r="G8224" s="52">
        <v>938459.84436973801</v>
      </c>
      <c r="H8224" s="56">
        <v>0.15701098901876934</v>
      </c>
      <c r="I8224" s="224">
        <v>6550</v>
      </c>
    </row>
    <row r="8225" spans="1:9" x14ac:dyDescent="0.25">
      <c r="A8225" s="515">
        <v>18407</v>
      </c>
      <c r="B8225" s="515" t="s">
        <v>512</v>
      </c>
      <c r="C8225" s="52">
        <v>131052.17770108501</v>
      </c>
      <c r="D8225" s="56">
        <v>6.2284629045290793E-2</v>
      </c>
      <c r="E8225" s="224" t="s">
        <v>2</v>
      </c>
      <c r="F8225" s="515" t="s">
        <v>9433</v>
      </c>
      <c r="G8225" s="52">
        <v>508559.57700078102</v>
      </c>
      <c r="H8225" s="56">
        <v>0.11403452986894889</v>
      </c>
      <c r="I8225" s="224" t="s">
        <v>2</v>
      </c>
    </row>
    <row r="8226" spans="1:9" x14ac:dyDescent="0.25">
      <c r="A8226" s="515">
        <v>60428</v>
      </c>
      <c r="B8226" s="515" t="s">
        <v>394</v>
      </c>
      <c r="C8226" s="52">
        <v>129155.215061975</v>
      </c>
      <c r="D8226" s="56">
        <v>0.14256198232304718</v>
      </c>
      <c r="E8226" s="224" t="s">
        <v>2</v>
      </c>
      <c r="F8226" s="515" t="s">
        <v>9434</v>
      </c>
      <c r="G8226" s="52">
        <v>127555.337240657</v>
      </c>
      <c r="H8226" s="56">
        <v>4.8311687691992275E-2</v>
      </c>
      <c r="I8226" s="224" t="s">
        <v>2</v>
      </c>
    </row>
    <row r="8227" spans="1:9" x14ac:dyDescent="0.25">
      <c r="A8227" s="515">
        <v>75462</v>
      </c>
      <c r="B8227" s="515" t="s">
        <v>921</v>
      </c>
      <c r="C8227" s="52">
        <v>251102.128276798</v>
      </c>
      <c r="D8227" s="56">
        <v>5.4376067325419643E-2</v>
      </c>
      <c r="E8227" s="224" t="s">
        <v>2</v>
      </c>
      <c r="F8227" s="515" t="s">
        <v>9435</v>
      </c>
      <c r="G8227" s="52">
        <v>170422.78747206301</v>
      </c>
      <c r="H8227" s="56">
        <v>0.12604186554306113</v>
      </c>
      <c r="I8227" s="224" t="s">
        <v>2</v>
      </c>
    </row>
    <row r="8228" spans="1:9" x14ac:dyDescent="0.25">
      <c r="A8228" s="515">
        <v>14843</v>
      </c>
      <c r="B8228" s="515" t="s">
        <v>585</v>
      </c>
      <c r="C8228" s="52">
        <v>107741.699082473</v>
      </c>
      <c r="D8228" s="56">
        <v>0.11854428264534592</v>
      </c>
      <c r="E8228" s="224" t="s">
        <v>2</v>
      </c>
      <c r="F8228" s="515" t="s">
        <v>9436</v>
      </c>
      <c r="G8228" s="52">
        <v>604522.13501671096</v>
      </c>
      <c r="H8228" s="56">
        <v>3.2299024465800262E-2</v>
      </c>
      <c r="I8228" s="224" t="s">
        <v>2</v>
      </c>
    </row>
    <row r="8229" spans="1:9" x14ac:dyDescent="0.25">
      <c r="A8229" s="515">
        <v>15214</v>
      </c>
      <c r="B8229" s="515" t="s">
        <v>297</v>
      </c>
      <c r="C8229" s="52">
        <v>154933.12057285299</v>
      </c>
      <c r="D8229" s="56">
        <v>4.5024151156037903E-2</v>
      </c>
      <c r="E8229" s="224" t="s">
        <v>2</v>
      </c>
      <c r="F8229" s="515" t="s">
        <v>9437</v>
      </c>
      <c r="G8229" s="52">
        <v>178314.24201045401</v>
      </c>
      <c r="H8229" s="56">
        <v>3.1897119247624797E-2</v>
      </c>
      <c r="I8229" s="224" t="s">
        <v>2</v>
      </c>
    </row>
    <row r="8230" spans="1:9" x14ac:dyDescent="0.25">
      <c r="A8230" s="515">
        <v>86336</v>
      </c>
      <c r="B8230" s="515" t="s">
        <v>332</v>
      </c>
      <c r="C8230" s="52">
        <v>941077.10663948697</v>
      </c>
      <c r="D8230" s="56">
        <v>9.6308650988400718E-2</v>
      </c>
      <c r="E8230" s="224">
        <v>2810.8333333333298</v>
      </c>
      <c r="F8230" s="515" t="s">
        <v>9438</v>
      </c>
      <c r="G8230" s="52">
        <v>888843.81090382498</v>
      </c>
      <c r="H8230" s="56">
        <v>2.1455396943644945E-2</v>
      </c>
      <c r="I8230" s="224" t="s">
        <v>2</v>
      </c>
    </row>
    <row r="8231" spans="1:9" x14ac:dyDescent="0.25">
      <c r="A8231" s="515">
        <v>99037</v>
      </c>
      <c r="B8231" s="515" t="s">
        <v>820</v>
      </c>
      <c r="C8231" s="52">
        <v>469567.10655400198</v>
      </c>
      <c r="D8231" s="56">
        <v>3.2052973856263246E-2</v>
      </c>
      <c r="E8231" s="224">
        <v>1519.7777777777701</v>
      </c>
      <c r="F8231" s="515" t="s">
        <v>9439</v>
      </c>
      <c r="G8231" s="52">
        <v>113974.39340894901</v>
      </c>
      <c r="H8231" s="56">
        <v>3.1162839880933699E-2</v>
      </c>
      <c r="I8231" s="224" t="s">
        <v>2</v>
      </c>
    </row>
    <row r="8232" spans="1:9" x14ac:dyDescent="0.25">
      <c r="A8232" s="515">
        <v>33716</v>
      </c>
      <c r="B8232" s="515" t="s">
        <v>461</v>
      </c>
      <c r="C8232" s="52">
        <v>211132.27757922199</v>
      </c>
      <c r="D8232" s="56">
        <v>0.11507013868604786</v>
      </c>
      <c r="E8232" s="224">
        <v>1855.5298786181099</v>
      </c>
      <c r="F8232" s="515" t="s">
        <v>9440</v>
      </c>
      <c r="G8232" s="52">
        <v>687594.58217968</v>
      </c>
      <c r="H8232" s="56">
        <v>0.10910111069962992</v>
      </c>
      <c r="I8232" s="224">
        <v>2700.5555555555502</v>
      </c>
    </row>
    <row r="8233" spans="1:9" x14ac:dyDescent="0.25">
      <c r="A8233" s="515">
        <v>43074</v>
      </c>
      <c r="B8233" s="515" t="s">
        <v>345</v>
      </c>
      <c r="C8233" s="52">
        <v>401421.90172317799</v>
      </c>
      <c r="D8233" s="56">
        <v>0.12039516855289183</v>
      </c>
      <c r="E8233" s="224" t="s">
        <v>2</v>
      </c>
      <c r="F8233" s="515" t="s">
        <v>9441</v>
      </c>
      <c r="G8233" s="52">
        <v>276463.506488966</v>
      </c>
      <c r="H8233" s="56">
        <v>4.8481329869642396E-2</v>
      </c>
      <c r="I8233" s="224" t="s">
        <v>2</v>
      </c>
    </row>
    <row r="8234" spans="1:9" x14ac:dyDescent="0.25">
      <c r="A8234" s="515">
        <v>91108</v>
      </c>
      <c r="B8234" s="515" t="s">
        <v>375</v>
      </c>
      <c r="C8234" s="52">
        <v>2284430.0839612498</v>
      </c>
      <c r="D8234" s="56">
        <v>4.5294016853178649E-4</v>
      </c>
      <c r="E8234" s="224" t="s">
        <v>2</v>
      </c>
      <c r="F8234" s="515" t="s">
        <v>9442</v>
      </c>
      <c r="G8234" s="52">
        <v>242012.85516349901</v>
      </c>
      <c r="H8234" s="56">
        <v>9.0703761120936255E-2</v>
      </c>
      <c r="I8234" s="224" t="s">
        <v>2</v>
      </c>
    </row>
    <row r="8235" spans="1:9" x14ac:dyDescent="0.25">
      <c r="A8235" s="515">
        <v>96790</v>
      </c>
      <c r="B8235" s="515" t="s">
        <v>400</v>
      </c>
      <c r="C8235" s="52">
        <v>1294318.11461236</v>
      </c>
      <c r="D8235" s="56">
        <v>0.14616692965188136</v>
      </c>
      <c r="E8235" s="224" t="s">
        <v>2</v>
      </c>
      <c r="F8235" s="515" t="s">
        <v>9443</v>
      </c>
      <c r="G8235" s="52">
        <v>141146.49355556699</v>
      </c>
      <c r="H8235" s="56">
        <v>0.16559082289668248</v>
      </c>
      <c r="I8235" s="224" t="s">
        <v>2</v>
      </c>
    </row>
    <row r="8236" spans="1:9" x14ac:dyDescent="0.25">
      <c r="A8236" s="515">
        <v>55436</v>
      </c>
      <c r="B8236" s="515" t="s">
        <v>532</v>
      </c>
      <c r="C8236" s="52">
        <v>570950.03923503798</v>
      </c>
      <c r="D8236" s="56">
        <v>4.1434611057463627E-2</v>
      </c>
      <c r="E8236" s="224">
        <v>1891.875</v>
      </c>
      <c r="F8236" s="515" t="s">
        <v>9444</v>
      </c>
      <c r="G8236" s="52">
        <v>203925.685826492</v>
      </c>
      <c r="H8236" s="56">
        <v>8.2781222268706295E-2</v>
      </c>
      <c r="I8236" s="224" t="s">
        <v>2</v>
      </c>
    </row>
    <row r="8237" spans="1:9" x14ac:dyDescent="0.25">
      <c r="A8237" s="515">
        <v>63044</v>
      </c>
      <c r="B8237" s="515" t="s">
        <v>498</v>
      </c>
      <c r="C8237" s="52">
        <v>240175.242845103</v>
      </c>
      <c r="D8237" s="56">
        <v>9.4858033278045789E-2</v>
      </c>
      <c r="E8237" s="224" t="s">
        <v>2</v>
      </c>
      <c r="F8237" s="515" t="s">
        <v>9445</v>
      </c>
      <c r="G8237" s="52">
        <v>235430.33133466999</v>
      </c>
      <c r="H8237" s="56">
        <v>0.10196356191156498</v>
      </c>
      <c r="I8237" s="224" t="s">
        <v>2</v>
      </c>
    </row>
    <row r="8238" spans="1:9" x14ac:dyDescent="0.25">
      <c r="A8238" s="515">
        <v>33812</v>
      </c>
      <c r="B8238" s="515" t="s">
        <v>359</v>
      </c>
      <c r="C8238" s="52">
        <v>359882.783476312</v>
      </c>
      <c r="D8238" s="56">
        <v>9.1308924459565538E-2</v>
      </c>
      <c r="E8238" s="224">
        <v>2096.4444444444398</v>
      </c>
      <c r="F8238" s="515" t="s">
        <v>9446</v>
      </c>
      <c r="G8238" s="52">
        <v>222527.130806648</v>
      </c>
      <c r="H8238" s="56">
        <v>7.4908173974362072E-2</v>
      </c>
      <c r="I8238" s="224" t="s">
        <v>2</v>
      </c>
    </row>
    <row r="8239" spans="1:9" x14ac:dyDescent="0.25">
      <c r="A8239" s="515">
        <v>28377</v>
      </c>
      <c r="B8239" s="515" t="s">
        <v>1161</v>
      </c>
      <c r="C8239" s="52">
        <v>76446.308996607593</v>
      </c>
      <c r="D8239" s="56">
        <v>0.19794534333593244</v>
      </c>
      <c r="E8239" s="224" t="s">
        <v>2</v>
      </c>
      <c r="F8239" s="515" t="s">
        <v>9447</v>
      </c>
      <c r="G8239" s="52">
        <v>130218.298539736</v>
      </c>
      <c r="H8239" s="56">
        <v>0.14337857096227138</v>
      </c>
      <c r="I8239" s="224" t="s">
        <v>2</v>
      </c>
    </row>
    <row r="8240" spans="1:9" x14ac:dyDescent="0.25">
      <c r="A8240" s="515">
        <v>11730</v>
      </c>
      <c r="B8240" s="515" t="s">
        <v>324</v>
      </c>
      <c r="C8240" s="52">
        <v>561084.54739038798</v>
      </c>
      <c r="D8240" s="56">
        <v>2.2300666816835228E-2</v>
      </c>
      <c r="E8240" s="224" t="s">
        <v>2</v>
      </c>
      <c r="F8240" s="515" t="s">
        <v>9448</v>
      </c>
      <c r="G8240" s="52">
        <v>162150.28494508599</v>
      </c>
      <c r="H8240" s="56">
        <v>0.10274549808193605</v>
      </c>
      <c r="I8240" s="224" t="s">
        <v>2</v>
      </c>
    </row>
    <row r="8241" spans="1:9" x14ac:dyDescent="0.25">
      <c r="A8241" s="515">
        <v>95360</v>
      </c>
      <c r="B8241" s="515" t="s">
        <v>797</v>
      </c>
      <c r="C8241" s="52">
        <v>402387.90070789598</v>
      </c>
      <c r="D8241" s="56">
        <v>3.2876289242287415E-2</v>
      </c>
      <c r="E8241" s="224" t="s">
        <v>2</v>
      </c>
      <c r="F8241" s="515" t="s">
        <v>9449</v>
      </c>
      <c r="G8241" s="52">
        <v>197457.82960952999</v>
      </c>
      <c r="H8241" s="56">
        <v>9.3562787470330824E-2</v>
      </c>
      <c r="I8241" s="224" t="s">
        <v>2</v>
      </c>
    </row>
    <row r="8242" spans="1:9" x14ac:dyDescent="0.25">
      <c r="A8242" s="515">
        <v>12771</v>
      </c>
      <c r="B8242" s="515" t="s">
        <v>529</v>
      </c>
      <c r="C8242" s="52">
        <v>254852.616848278</v>
      </c>
      <c r="D8242" s="56">
        <v>0.13025520509783506</v>
      </c>
      <c r="E8242" s="224" t="s">
        <v>2</v>
      </c>
      <c r="F8242" s="515" t="s">
        <v>9450</v>
      </c>
      <c r="G8242" s="52">
        <v>59316.545495736798</v>
      </c>
      <c r="H8242" s="56">
        <v>6.5259487080513517E-2</v>
      </c>
      <c r="I8242" s="224" t="s">
        <v>2</v>
      </c>
    </row>
    <row r="8243" spans="1:9" x14ac:dyDescent="0.25">
      <c r="A8243" s="515">
        <v>35650</v>
      </c>
      <c r="B8243" s="515" t="s">
        <v>1007</v>
      </c>
      <c r="C8243" s="52">
        <v>188693.339147566</v>
      </c>
      <c r="D8243" s="56">
        <v>5.2569938630285772E-2</v>
      </c>
      <c r="E8243" s="224" t="s">
        <v>2</v>
      </c>
      <c r="F8243" s="515" t="s">
        <v>9451</v>
      </c>
      <c r="G8243" s="52">
        <v>205924.31803576599</v>
      </c>
      <c r="H8243" s="56">
        <v>0.16027277097185486</v>
      </c>
      <c r="I8243" s="224">
        <v>1378.3333333333301</v>
      </c>
    </row>
    <row r="8244" spans="1:9" x14ac:dyDescent="0.25">
      <c r="A8244" s="515">
        <v>60192</v>
      </c>
      <c r="B8244" s="515" t="s">
        <v>394</v>
      </c>
      <c r="C8244" s="52">
        <v>391637.95178427501</v>
      </c>
      <c r="D8244" s="56">
        <v>4.2477319417334694E-2</v>
      </c>
      <c r="E8244" s="224" t="s">
        <v>2</v>
      </c>
      <c r="F8244" s="515" t="s">
        <v>9452</v>
      </c>
      <c r="G8244" s="52">
        <v>214722.80698808699</v>
      </c>
      <c r="H8244" s="56">
        <v>0.12255797684944361</v>
      </c>
      <c r="I8244" s="224" t="s">
        <v>2</v>
      </c>
    </row>
    <row r="8245" spans="1:9" x14ac:dyDescent="0.25">
      <c r="A8245" s="515">
        <v>27510</v>
      </c>
      <c r="B8245" s="515" t="s">
        <v>467</v>
      </c>
      <c r="C8245" s="52">
        <v>391298.75413233403</v>
      </c>
      <c r="D8245" s="56">
        <v>0.10077832026260536</v>
      </c>
      <c r="E8245" s="224">
        <v>1630.4666666666601</v>
      </c>
      <c r="F8245" s="515" t="s">
        <v>9453</v>
      </c>
      <c r="G8245" s="52">
        <v>163202.830640106</v>
      </c>
      <c r="H8245" s="56">
        <v>7.6075661419928456E-2</v>
      </c>
      <c r="I8245" s="224" t="s">
        <v>2</v>
      </c>
    </row>
    <row r="8246" spans="1:9" x14ac:dyDescent="0.25">
      <c r="A8246" s="515">
        <v>32054</v>
      </c>
      <c r="C8246" s="52">
        <v>240537.51390206401</v>
      </c>
      <c r="D8246" s="56">
        <v>0.19371804009703364</v>
      </c>
      <c r="E8246" s="224" t="s">
        <v>2</v>
      </c>
      <c r="F8246" s="515" t="s">
        <v>9454</v>
      </c>
      <c r="G8246" s="52">
        <v>174156.017641657</v>
      </c>
      <c r="H8246" s="56">
        <v>-9.4091376639876656E-2</v>
      </c>
      <c r="I8246" s="224" t="s">
        <v>2</v>
      </c>
    </row>
    <row r="8247" spans="1:9" x14ac:dyDescent="0.25">
      <c r="A8247" s="515">
        <v>45229</v>
      </c>
      <c r="B8247" s="515" t="s">
        <v>344</v>
      </c>
      <c r="C8247" s="52">
        <v>211943.969512426</v>
      </c>
      <c r="D8247" s="56">
        <v>5.3480655915966603E-2</v>
      </c>
      <c r="E8247" s="224">
        <v>1418.05555555555</v>
      </c>
      <c r="F8247" s="515" t="s">
        <v>9455</v>
      </c>
      <c r="G8247" s="52">
        <v>107799.56242667099</v>
      </c>
      <c r="H8247" s="56">
        <v>0.13636225422522646</v>
      </c>
      <c r="I8247" s="224" t="s">
        <v>2</v>
      </c>
    </row>
    <row r="8248" spans="1:9" x14ac:dyDescent="0.25">
      <c r="A8248" s="515">
        <v>80018</v>
      </c>
      <c r="B8248" s="515" t="s">
        <v>401</v>
      </c>
      <c r="C8248" s="52">
        <v>558984.649342597</v>
      </c>
      <c r="D8248" s="56">
        <v>3.4033394962703988E-2</v>
      </c>
      <c r="E8248" s="224" t="s">
        <v>2</v>
      </c>
      <c r="F8248" s="515" t="s">
        <v>9456</v>
      </c>
      <c r="G8248" s="52">
        <v>287782.36458452698</v>
      </c>
      <c r="H8248" s="56">
        <v>4.763308265648835E-2</v>
      </c>
      <c r="I8248" s="224" t="s">
        <v>2</v>
      </c>
    </row>
    <row r="8249" spans="1:9" x14ac:dyDescent="0.25">
      <c r="A8249" s="515">
        <v>85305</v>
      </c>
      <c r="B8249" s="515" t="s">
        <v>563</v>
      </c>
      <c r="C8249" s="52">
        <v>442865.557350307</v>
      </c>
      <c r="D8249" s="56">
        <v>4.4564043048749828E-2</v>
      </c>
      <c r="E8249" s="224">
        <v>1861.3425925925901</v>
      </c>
      <c r="F8249" s="515" t="s">
        <v>9457</v>
      </c>
      <c r="G8249" s="52">
        <v>159648.78454167701</v>
      </c>
      <c r="H8249" s="56">
        <v>7.3151210871598538E-2</v>
      </c>
      <c r="I8249" s="224" t="s">
        <v>2</v>
      </c>
    </row>
    <row r="8250" spans="1:9" x14ac:dyDescent="0.25">
      <c r="A8250" s="515">
        <v>95252</v>
      </c>
      <c r="C8250" s="52">
        <v>454937.48139862798</v>
      </c>
      <c r="D8250" s="56">
        <v>-7.2256964310474783E-3</v>
      </c>
      <c r="E8250" s="224" t="s">
        <v>2</v>
      </c>
      <c r="F8250" s="515" t="s">
        <v>9458</v>
      </c>
      <c r="G8250" s="52">
        <v>344814.29777988599</v>
      </c>
      <c r="H8250" s="56">
        <v>8.8232802120296341E-2</v>
      </c>
      <c r="I8250" s="224" t="s">
        <v>2</v>
      </c>
    </row>
    <row r="8251" spans="1:9" x14ac:dyDescent="0.25">
      <c r="A8251" s="515">
        <v>31820</v>
      </c>
      <c r="B8251" s="515" t="s">
        <v>778</v>
      </c>
      <c r="C8251" s="52">
        <v>337671.33126893698</v>
      </c>
      <c r="D8251" s="56">
        <v>5.6174826680747997E-2</v>
      </c>
      <c r="E8251" s="224" t="s">
        <v>2</v>
      </c>
      <c r="F8251" s="515" t="s">
        <v>9459</v>
      </c>
      <c r="G8251" s="52">
        <v>111581.671429161</v>
      </c>
      <c r="H8251" s="56">
        <v>0.1267584940754497</v>
      </c>
      <c r="I8251" s="224" t="s">
        <v>2</v>
      </c>
    </row>
    <row r="8252" spans="1:9" x14ac:dyDescent="0.25">
      <c r="A8252" s="515">
        <v>84501</v>
      </c>
      <c r="B8252" s="515" t="s">
        <v>1202</v>
      </c>
      <c r="C8252" s="52">
        <v>259532.56479927601</v>
      </c>
      <c r="D8252" s="56">
        <v>0.10273285284877727</v>
      </c>
      <c r="E8252" s="224" t="s">
        <v>2</v>
      </c>
      <c r="F8252" s="515" t="s">
        <v>9460</v>
      </c>
      <c r="G8252" s="52">
        <v>303524.07966645702</v>
      </c>
      <c r="H8252" s="56">
        <v>0.11359875060586777</v>
      </c>
      <c r="I8252" s="224" t="s">
        <v>2</v>
      </c>
    </row>
    <row r="8253" spans="1:9" x14ac:dyDescent="0.25">
      <c r="A8253" s="515">
        <v>95315</v>
      </c>
      <c r="B8253" s="515" t="s">
        <v>594</v>
      </c>
      <c r="C8253" s="52">
        <v>372871.35406395601</v>
      </c>
      <c r="D8253" s="56">
        <v>2.5391328942455247E-2</v>
      </c>
      <c r="E8253" s="224" t="s">
        <v>2</v>
      </c>
      <c r="F8253" s="515" t="s">
        <v>9461</v>
      </c>
      <c r="G8253" s="52">
        <v>177219.47975717901</v>
      </c>
      <c r="H8253" s="56">
        <v>4.2642155378232627E-2</v>
      </c>
      <c r="I8253" s="224" t="s">
        <v>2</v>
      </c>
    </row>
    <row r="8254" spans="1:9" x14ac:dyDescent="0.25">
      <c r="A8254" s="515">
        <v>24426</v>
      </c>
      <c r="C8254" s="52">
        <v>127043.48076977801</v>
      </c>
      <c r="D8254" s="56">
        <v>9.3677765041459068E-2</v>
      </c>
      <c r="E8254" s="224" t="s">
        <v>2</v>
      </c>
      <c r="F8254" s="515" t="s">
        <v>9462</v>
      </c>
      <c r="G8254" s="52">
        <v>244263.56076534899</v>
      </c>
      <c r="H8254" s="56">
        <v>0.10715489819287782</v>
      </c>
      <c r="I8254" s="224" t="s">
        <v>2</v>
      </c>
    </row>
    <row r="8255" spans="1:9" x14ac:dyDescent="0.25">
      <c r="A8255" s="515">
        <v>74960</v>
      </c>
      <c r="C8255" s="52">
        <v>135396.681502508</v>
      </c>
      <c r="D8255" s="56">
        <v>0.16926031627990881</v>
      </c>
      <c r="E8255" s="224" t="s">
        <v>2</v>
      </c>
      <c r="F8255" s="515" t="s">
        <v>9463</v>
      </c>
      <c r="G8255" s="52">
        <v>351613.41416008503</v>
      </c>
      <c r="H8255" s="56">
        <v>7.2009737239387778E-2</v>
      </c>
      <c r="I8255" s="224" t="s">
        <v>2</v>
      </c>
    </row>
    <row r="8256" spans="1:9" x14ac:dyDescent="0.25">
      <c r="A8256" s="515">
        <v>18080</v>
      </c>
      <c r="B8256" s="515" t="s">
        <v>327</v>
      </c>
      <c r="C8256" s="52">
        <v>269134.01738880097</v>
      </c>
      <c r="D8256" s="56">
        <v>8.6967805072909785E-2</v>
      </c>
      <c r="E8256" s="224" t="s">
        <v>2</v>
      </c>
      <c r="F8256" s="515" t="s">
        <v>9464</v>
      </c>
      <c r="G8256" s="52">
        <v>175855.612750117</v>
      </c>
      <c r="H8256" s="56">
        <v>6.6384078935431745E-2</v>
      </c>
      <c r="I8256" s="224" t="s">
        <v>2</v>
      </c>
    </row>
    <row r="8257" spans="1:9" x14ac:dyDescent="0.25">
      <c r="A8257" s="515">
        <v>34103</v>
      </c>
      <c r="B8257" s="515" t="s">
        <v>365</v>
      </c>
      <c r="C8257" s="52">
        <v>1178994.7785324</v>
      </c>
      <c r="D8257" s="56">
        <v>0.22800456316880566</v>
      </c>
      <c r="E8257" s="224">
        <v>5120</v>
      </c>
      <c r="F8257" s="515" t="s">
        <v>9465</v>
      </c>
      <c r="G8257" s="52">
        <v>1068422.92033767</v>
      </c>
      <c r="H8257" s="56">
        <v>0.13355944432278849</v>
      </c>
      <c r="I8257" s="224" t="s">
        <v>2</v>
      </c>
    </row>
    <row r="8258" spans="1:9" x14ac:dyDescent="0.25">
      <c r="A8258" s="515">
        <v>73089</v>
      </c>
      <c r="B8258" s="515" t="s">
        <v>385</v>
      </c>
      <c r="C8258" s="52">
        <v>284778.02939664602</v>
      </c>
      <c r="D8258" s="56">
        <v>8.0457041147114924E-2</v>
      </c>
      <c r="E8258" s="224" t="s">
        <v>2</v>
      </c>
      <c r="F8258" s="515" t="s">
        <v>9466</v>
      </c>
      <c r="G8258" s="52">
        <v>263378.80759345298</v>
      </c>
      <c r="H8258" s="56">
        <v>2.8428561635571101E-2</v>
      </c>
      <c r="I8258" s="224" t="s">
        <v>2</v>
      </c>
    </row>
    <row r="8259" spans="1:9" x14ac:dyDescent="0.25">
      <c r="A8259" s="515">
        <v>33403</v>
      </c>
      <c r="B8259" s="515" t="s">
        <v>831</v>
      </c>
      <c r="C8259" s="52">
        <v>345050.64027319598</v>
      </c>
      <c r="D8259" s="56">
        <v>0.11540997383987914</v>
      </c>
      <c r="E8259" s="224">
        <v>2180.625</v>
      </c>
      <c r="F8259" s="515" t="s">
        <v>9467</v>
      </c>
      <c r="G8259" s="52">
        <v>184350.33254491299</v>
      </c>
      <c r="H8259" s="56">
        <v>8.5044327693936869E-2</v>
      </c>
      <c r="I8259" s="224" t="s">
        <v>2</v>
      </c>
    </row>
    <row r="8260" spans="1:9" x14ac:dyDescent="0.25">
      <c r="A8260" s="515">
        <v>46259</v>
      </c>
      <c r="B8260" s="515" t="s">
        <v>403</v>
      </c>
      <c r="C8260" s="52">
        <v>337466.12625081901</v>
      </c>
      <c r="D8260" s="56">
        <v>6.8062596349816026E-2</v>
      </c>
      <c r="E8260" s="224">
        <v>1685</v>
      </c>
      <c r="F8260" s="515" t="s">
        <v>9468</v>
      </c>
      <c r="G8260" s="52">
        <v>184671.277932798</v>
      </c>
      <c r="H8260" s="56">
        <v>4.1298132201020923E-2</v>
      </c>
      <c r="I8260" s="224" t="s">
        <v>2</v>
      </c>
    </row>
    <row r="8261" spans="1:9" x14ac:dyDescent="0.25">
      <c r="A8261" s="515">
        <v>63390</v>
      </c>
      <c r="B8261" s="515" t="s">
        <v>498</v>
      </c>
      <c r="C8261" s="52">
        <v>285398.737855491</v>
      </c>
      <c r="D8261" s="56">
        <v>7.2091647999915187E-2</v>
      </c>
      <c r="E8261" s="224" t="s">
        <v>2</v>
      </c>
      <c r="F8261" s="515" t="s">
        <v>9469</v>
      </c>
      <c r="G8261" s="52">
        <v>101865.02336819201</v>
      </c>
      <c r="H8261" s="56">
        <v>1.5596393139912844E-2</v>
      </c>
      <c r="I8261" s="224" t="s">
        <v>2</v>
      </c>
    </row>
    <row r="8262" spans="1:9" x14ac:dyDescent="0.25">
      <c r="A8262" s="515">
        <v>99201</v>
      </c>
      <c r="B8262" s="515" t="s">
        <v>820</v>
      </c>
      <c r="C8262" s="52">
        <v>324013.772802867</v>
      </c>
      <c r="D8262" s="56">
        <v>2.5641047747106138E-2</v>
      </c>
      <c r="E8262" s="224">
        <v>1182.7857142857099</v>
      </c>
      <c r="F8262" s="515" t="s">
        <v>9470</v>
      </c>
      <c r="G8262" s="52">
        <v>142216.69829378399</v>
      </c>
      <c r="H8262" s="56">
        <v>7.2616188319060984E-2</v>
      </c>
      <c r="I8262" s="224" t="s">
        <v>2</v>
      </c>
    </row>
    <row r="8263" spans="1:9" x14ac:dyDescent="0.25">
      <c r="A8263" s="515">
        <v>31501</v>
      </c>
      <c r="B8263" s="515" t="s">
        <v>824</v>
      </c>
      <c r="C8263" s="52">
        <v>105214.354647931</v>
      </c>
      <c r="D8263" s="56">
        <v>0.15544041605612957</v>
      </c>
      <c r="E8263" s="224" t="s">
        <v>2</v>
      </c>
      <c r="F8263" s="515" t="s">
        <v>9471</v>
      </c>
      <c r="G8263" s="52">
        <v>448336.77581862803</v>
      </c>
      <c r="H8263" s="56">
        <v>6.3500821504072588E-2</v>
      </c>
      <c r="I8263" s="224" t="s">
        <v>2</v>
      </c>
    </row>
    <row r="8264" spans="1:9" x14ac:dyDescent="0.25">
      <c r="A8264" s="515">
        <v>33315</v>
      </c>
      <c r="B8264" s="515" t="s">
        <v>831</v>
      </c>
      <c r="C8264" s="52">
        <v>490059.52523709298</v>
      </c>
      <c r="D8264" s="56">
        <v>0.15004526007362681</v>
      </c>
      <c r="E8264" s="224">
        <v>2470.75396825396</v>
      </c>
      <c r="F8264" s="515" t="s">
        <v>9472</v>
      </c>
      <c r="G8264" s="52">
        <v>275534.61048237002</v>
      </c>
      <c r="H8264" s="56">
        <v>5.5710680763109331E-2</v>
      </c>
      <c r="I8264" s="224" t="s">
        <v>2</v>
      </c>
    </row>
    <row r="8265" spans="1:9" x14ac:dyDescent="0.25">
      <c r="A8265" s="515">
        <v>35051</v>
      </c>
      <c r="B8265" s="515" t="s">
        <v>640</v>
      </c>
      <c r="C8265" s="52">
        <v>260012.369424929</v>
      </c>
      <c r="D8265" s="56">
        <v>5.3348969885497852E-2</v>
      </c>
      <c r="E8265" s="224" t="s">
        <v>2</v>
      </c>
      <c r="F8265" s="515" t="s">
        <v>9473</v>
      </c>
      <c r="G8265" s="52">
        <v>277534.07464746397</v>
      </c>
      <c r="H8265" s="56">
        <v>7.9458896996027942E-2</v>
      </c>
      <c r="I8265" s="224">
        <v>1703.88888888888</v>
      </c>
    </row>
    <row r="8266" spans="1:9" x14ac:dyDescent="0.25">
      <c r="A8266" s="515">
        <v>2364</v>
      </c>
      <c r="B8266" s="515" t="s">
        <v>534</v>
      </c>
      <c r="C8266" s="52">
        <v>563672.12432943995</v>
      </c>
      <c r="D8266" s="56">
        <v>5.1851710334354997E-2</v>
      </c>
      <c r="E8266" s="224" t="s">
        <v>2</v>
      </c>
      <c r="F8266" s="515" t="s">
        <v>9474</v>
      </c>
      <c r="G8266" s="52">
        <v>172101.033291673</v>
      </c>
      <c r="H8266" s="56">
        <v>7.9663471378534204E-2</v>
      </c>
      <c r="I8266" s="224" t="s">
        <v>2</v>
      </c>
    </row>
    <row r="8267" spans="1:9" x14ac:dyDescent="0.25">
      <c r="A8267" s="515">
        <v>80640</v>
      </c>
      <c r="B8267" s="515" t="s">
        <v>401</v>
      </c>
      <c r="C8267" s="52">
        <v>513131.38173561101</v>
      </c>
      <c r="D8267" s="56">
        <v>2.7038783273673782E-2</v>
      </c>
      <c r="E8267" s="224" t="s">
        <v>2</v>
      </c>
      <c r="F8267" s="515" t="s">
        <v>9475</v>
      </c>
      <c r="G8267" s="52">
        <v>259996.00505469</v>
      </c>
      <c r="H8267" s="56">
        <v>7.9648313112457625E-2</v>
      </c>
      <c r="I8267" s="224" t="s">
        <v>2</v>
      </c>
    </row>
    <row r="8268" spans="1:9" x14ac:dyDescent="0.25">
      <c r="A8268" s="515">
        <v>78204</v>
      </c>
      <c r="B8268" s="515" t="s">
        <v>717</v>
      </c>
      <c r="C8268" s="52">
        <v>177284.89383374801</v>
      </c>
      <c r="D8268" s="56">
        <v>4.8779557214517648E-2</v>
      </c>
      <c r="E8268" s="224">
        <v>1497.43981481481</v>
      </c>
      <c r="F8268" s="515" t="s">
        <v>9476</v>
      </c>
      <c r="G8268" s="52">
        <v>410806.74469664798</v>
      </c>
      <c r="H8268" s="56">
        <v>8.8673353060710058E-2</v>
      </c>
      <c r="I8268" s="224" t="s">
        <v>2</v>
      </c>
    </row>
    <row r="8269" spans="1:9" x14ac:dyDescent="0.25">
      <c r="A8269" s="515">
        <v>79331</v>
      </c>
      <c r="B8269" s="515" t="s">
        <v>1201</v>
      </c>
      <c r="C8269" s="52">
        <v>83678.914855221301</v>
      </c>
      <c r="D8269" s="56">
        <v>-6.7039110153259043E-2</v>
      </c>
      <c r="E8269" s="224" t="s">
        <v>2</v>
      </c>
      <c r="F8269" s="515" t="s">
        <v>9477</v>
      </c>
      <c r="G8269" s="52">
        <v>441506.30783762602</v>
      </c>
      <c r="H8269" s="56">
        <v>5.4618457979462964E-2</v>
      </c>
      <c r="I8269" s="224" t="s">
        <v>2</v>
      </c>
    </row>
    <row r="8270" spans="1:9" x14ac:dyDescent="0.25">
      <c r="A8270" s="515">
        <v>28801</v>
      </c>
      <c r="B8270" s="515" t="s">
        <v>668</v>
      </c>
      <c r="C8270" s="52">
        <v>528642.35270105803</v>
      </c>
      <c r="D8270" s="56">
        <v>0.11573229838020671</v>
      </c>
      <c r="E8270" s="224">
        <v>1794.5833333333301</v>
      </c>
      <c r="F8270" s="515" t="s">
        <v>9478</v>
      </c>
      <c r="G8270" s="52">
        <v>368782.84080431401</v>
      </c>
      <c r="H8270" s="56">
        <v>4.6499940865652754E-2</v>
      </c>
      <c r="I8270" s="224" t="s">
        <v>2</v>
      </c>
    </row>
    <row r="8271" spans="1:9" x14ac:dyDescent="0.25">
      <c r="A8271" s="515">
        <v>50219</v>
      </c>
      <c r="B8271" s="515" t="s">
        <v>625</v>
      </c>
      <c r="C8271" s="52">
        <v>283023.34431070398</v>
      </c>
      <c r="D8271" s="56">
        <v>7.4449278071483924E-2</v>
      </c>
      <c r="E8271" s="224" t="s">
        <v>2</v>
      </c>
      <c r="F8271" s="515" t="s">
        <v>9479</v>
      </c>
      <c r="G8271" s="52">
        <v>189950.28037110801</v>
      </c>
      <c r="H8271" s="56">
        <v>6.0956076678510565E-2</v>
      </c>
      <c r="I8271" s="224" t="s">
        <v>2</v>
      </c>
    </row>
    <row r="8272" spans="1:9" x14ac:dyDescent="0.25">
      <c r="A8272" s="515">
        <v>53549</v>
      </c>
      <c r="B8272" s="515" t="s">
        <v>1085</v>
      </c>
      <c r="C8272" s="52">
        <v>249681.61669968301</v>
      </c>
      <c r="D8272" s="56">
        <v>3.0636530447450162E-2</v>
      </c>
      <c r="E8272" s="224" t="s">
        <v>2</v>
      </c>
      <c r="F8272" s="515" t="s">
        <v>9480</v>
      </c>
      <c r="G8272" s="52">
        <v>311355.67403095699</v>
      </c>
      <c r="H8272" s="56">
        <v>6.9046768039333073E-2</v>
      </c>
      <c r="I8272" s="224" t="s">
        <v>2</v>
      </c>
    </row>
    <row r="8273" spans="1:9" x14ac:dyDescent="0.25">
      <c r="A8273" s="515">
        <v>11753</v>
      </c>
      <c r="B8273" s="515" t="s">
        <v>324</v>
      </c>
      <c r="C8273" s="52">
        <v>1017066.6552020001</v>
      </c>
      <c r="D8273" s="56">
        <v>6.8730757452675081E-2</v>
      </c>
      <c r="E8273" s="224" t="s">
        <v>2</v>
      </c>
      <c r="F8273" s="515" t="s">
        <v>9481</v>
      </c>
      <c r="G8273" s="52">
        <v>320153.39634069201</v>
      </c>
      <c r="H8273" s="56">
        <v>8.7657238288779679E-2</v>
      </c>
      <c r="I8273" s="224" t="s">
        <v>2</v>
      </c>
    </row>
    <row r="8274" spans="1:9" x14ac:dyDescent="0.25">
      <c r="A8274" s="515">
        <v>19734</v>
      </c>
      <c r="B8274" s="515" t="s">
        <v>294</v>
      </c>
      <c r="C8274" s="52">
        <v>415811.773813851</v>
      </c>
      <c r="D8274" s="56">
        <v>8.8240928491909412E-2</v>
      </c>
      <c r="E8274" s="224" t="s">
        <v>2</v>
      </c>
      <c r="F8274" s="515" t="s">
        <v>9482</v>
      </c>
      <c r="G8274" s="52">
        <v>382998.56168650597</v>
      </c>
      <c r="H8274" s="56">
        <v>0.11649637031998419</v>
      </c>
      <c r="I8274" s="224" t="s">
        <v>2</v>
      </c>
    </row>
    <row r="8275" spans="1:9" x14ac:dyDescent="0.25">
      <c r="A8275" s="515">
        <v>18202</v>
      </c>
      <c r="B8275" s="515" t="s">
        <v>512</v>
      </c>
      <c r="C8275" s="52">
        <v>205575.86501988501</v>
      </c>
      <c r="D8275" s="56">
        <v>6.5397599697495895E-2</v>
      </c>
      <c r="E8275" s="224" t="s">
        <v>2</v>
      </c>
      <c r="F8275" s="515" t="s">
        <v>9483</v>
      </c>
      <c r="G8275" s="52">
        <v>534109.53914677899</v>
      </c>
      <c r="H8275" s="56">
        <v>0.12519426213927567</v>
      </c>
      <c r="I8275" s="224" t="s">
        <v>2</v>
      </c>
    </row>
    <row r="8276" spans="1:9" x14ac:dyDescent="0.25">
      <c r="A8276" s="515">
        <v>22301</v>
      </c>
      <c r="B8276" s="515" t="s">
        <v>321</v>
      </c>
      <c r="C8276" s="52">
        <v>930944.85641984001</v>
      </c>
      <c r="D8276" s="56">
        <v>4.2141298726420397E-2</v>
      </c>
      <c r="E8276" s="224">
        <v>2414.9064814814801</v>
      </c>
      <c r="F8276" s="515" t="s">
        <v>9484</v>
      </c>
      <c r="G8276" s="52">
        <v>580806.39843945601</v>
      </c>
      <c r="H8276" s="56">
        <v>8.2576687770313226E-2</v>
      </c>
      <c r="I8276" s="224" t="s">
        <v>2</v>
      </c>
    </row>
    <row r="8277" spans="1:9" x14ac:dyDescent="0.25">
      <c r="A8277" s="515">
        <v>48189</v>
      </c>
      <c r="B8277" s="515" t="s">
        <v>783</v>
      </c>
      <c r="C8277" s="52">
        <v>315990.49878645502</v>
      </c>
      <c r="D8277" s="56">
        <v>8.1725557389768944E-2</v>
      </c>
      <c r="E8277" s="224" t="s">
        <v>2</v>
      </c>
      <c r="F8277" s="515" t="s">
        <v>9485</v>
      </c>
      <c r="G8277" s="52">
        <v>1799699.6419691499</v>
      </c>
      <c r="H8277" s="56">
        <v>0.16846531051828945</v>
      </c>
      <c r="I8277" s="224" t="s">
        <v>2</v>
      </c>
    </row>
    <row r="8278" spans="1:9" x14ac:dyDescent="0.25">
      <c r="A8278" s="515">
        <v>98019</v>
      </c>
      <c r="B8278" s="515" t="s">
        <v>384</v>
      </c>
      <c r="C8278" s="52">
        <v>873905.58248626394</v>
      </c>
      <c r="D8278" s="56">
        <v>3.9216738753988713E-2</v>
      </c>
      <c r="E8278" s="224" t="s">
        <v>2</v>
      </c>
      <c r="F8278" s="515" t="s">
        <v>9486</v>
      </c>
      <c r="G8278" s="52">
        <v>100536.102684941</v>
      </c>
      <c r="H8278" s="56">
        <v>0.19382285575369412</v>
      </c>
      <c r="I8278" s="224" t="s">
        <v>2</v>
      </c>
    </row>
    <row r="8279" spans="1:9" x14ac:dyDescent="0.25">
      <c r="A8279" s="515">
        <v>67301</v>
      </c>
      <c r="B8279" s="515" t="s">
        <v>377</v>
      </c>
      <c r="C8279" s="52">
        <v>88367.238102445597</v>
      </c>
      <c r="D8279" s="56">
        <v>6.3453656450184998E-2</v>
      </c>
      <c r="E8279" s="224" t="s">
        <v>2</v>
      </c>
      <c r="F8279" s="515" t="s">
        <v>9487</v>
      </c>
      <c r="G8279" s="52">
        <v>304686.543262152</v>
      </c>
      <c r="H8279" s="56">
        <v>6.0605071630450362E-2</v>
      </c>
      <c r="I8279" s="224" t="s">
        <v>2</v>
      </c>
    </row>
    <row r="8280" spans="1:9" x14ac:dyDescent="0.25">
      <c r="A8280" s="515">
        <v>93241</v>
      </c>
      <c r="B8280" s="515" t="s">
        <v>419</v>
      </c>
      <c r="C8280" s="52">
        <v>207622.82935772001</v>
      </c>
      <c r="D8280" s="56">
        <v>0.1360548378588492</v>
      </c>
      <c r="E8280" s="224" t="s">
        <v>2</v>
      </c>
      <c r="F8280" s="515" t="s">
        <v>9488</v>
      </c>
      <c r="G8280" s="52">
        <v>123517.096018973</v>
      </c>
      <c r="H8280" s="56">
        <v>-2.9346032528687522E-2</v>
      </c>
      <c r="I8280" s="224" t="s">
        <v>2</v>
      </c>
    </row>
    <row r="8281" spans="1:9" x14ac:dyDescent="0.25">
      <c r="A8281" s="515">
        <v>20851</v>
      </c>
      <c r="B8281" s="515" t="s">
        <v>321</v>
      </c>
      <c r="C8281" s="52">
        <v>477018.53694696299</v>
      </c>
      <c r="D8281" s="56">
        <v>4.3800777844275419E-2</v>
      </c>
      <c r="E8281" s="224" t="s">
        <v>2</v>
      </c>
      <c r="F8281" s="515" t="s">
        <v>9489</v>
      </c>
      <c r="G8281" s="52">
        <v>500385.793822331</v>
      </c>
      <c r="H8281" s="56">
        <v>8.9615820428036674E-2</v>
      </c>
      <c r="I8281" s="224" t="s">
        <v>2</v>
      </c>
    </row>
    <row r="8282" spans="1:9" x14ac:dyDescent="0.25">
      <c r="A8282" s="515">
        <v>1940</v>
      </c>
      <c r="B8282" s="515" t="s">
        <v>534</v>
      </c>
      <c r="C8282" s="52">
        <v>898566.85358377604</v>
      </c>
      <c r="D8282" s="56">
        <v>8.0854365022551611E-2</v>
      </c>
      <c r="E8282" s="224" t="s">
        <v>2</v>
      </c>
      <c r="F8282" s="515" t="s">
        <v>9490</v>
      </c>
      <c r="G8282" s="52">
        <v>287221.673442406</v>
      </c>
      <c r="H8282" s="56">
        <v>0.10707099365672308</v>
      </c>
      <c r="I8282" s="224" t="s">
        <v>2</v>
      </c>
    </row>
    <row r="8283" spans="1:9" x14ac:dyDescent="0.25">
      <c r="A8283" s="515">
        <v>39573</v>
      </c>
      <c r="B8283" s="515" t="s">
        <v>963</v>
      </c>
      <c r="C8283" s="52">
        <v>188520.212171633</v>
      </c>
      <c r="D8283" s="56">
        <v>5.7828107072852207E-2</v>
      </c>
      <c r="E8283" s="224" t="s">
        <v>2</v>
      </c>
      <c r="F8283" s="515" t="s">
        <v>9491</v>
      </c>
      <c r="G8283" s="52">
        <v>160279.28105803</v>
      </c>
      <c r="H8283" s="56">
        <v>0.19608892055243407</v>
      </c>
      <c r="I8283" s="224" t="s">
        <v>2</v>
      </c>
    </row>
    <row r="8284" spans="1:9" x14ac:dyDescent="0.25">
      <c r="A8284" s="515">
        <v>29620</v>
      </c>
      <c r="C8284" s="52">
        <v>175317.226483495</v>
      </c>
      <c r="D8284" s="56">
        <v>0.1126755252091559</v>
      </c>
      <c r="E8284" s="224" t="s">
        <v>2</v>
      </c>
      <c r="F8284" s="515" t="s">
        <v>9492</v>
      </c>
      <c r="G8284" s="52">
        <v>228799.165133823</v>
      </c>
      <c r="H8284" s="56">
        <v>4.3883333662318898E-2</v>
      </c>
      <c r="I8284" s="224" t="s">
        <v>2</v>
      </c>
    </row>
    <row r="8285" spans="1:9" x14ac:dyDescent="0.25">
      <c r="A8285" s="515">
        <v>61443</v>
      </c>
      <c r="B8285" s="515" t="s">
        <v>439</v>
      </c>
      <c r="C8285" s="52">
        <v>57533.416944585697</v>
      </c>
      <c r="D8285" s="56">
        <v>1.7796661472291583E-2</v>
      </c>
      <c r="E8285" s="224" t="s">
        <v>2</v>
      </c>
      <c r="F8285" s="515" t="s">
        <v>9493</v>
      </c>
      <c r="G8285" s="52">
        <v>303042.94309796899</v>
      </c>
      <c r="H8285" s="56">
        <v>4.2822665154063896E-2</v>
      </c>
      <c r="I8285" s="224" t="s">
        <v>2</v>
      </c>
    </row>
    <row r="8286" spans="1:9" x14ac:dyDescent="0.25">
      <c r="A8286" s="515">
        <v>63841</v>
      </c>
      <c r="C8286" s="52">
        <v>136789.38890042101</v>
      </c>
      <c r="D8286" s="56">
        <v>2.9637378442983781E-2</v>
      </c>
      <c r="E8286" s="224" t="s">
        <v>2</v>
      </c>
      <c r="F8286" s="515" t="s">
        <v>9494</v>
      </c>
      <c r="G8286" s="52">
        <v>64596.484122107002</v>
      </c>
      <c r="H8286" s="56">
        <v>3.9322428282340061E-2</v>
      </c>
      <c r="I8286" s="224" t="s">
        <v>2</v>
      </c>
    </row>
    <row r="8287" spans="1:9" x14ac:dyDescent="0.25">
      <c r="A8287" s="515">
        <v>80107</v>
      </c>
      <c r="B8287" s="515" t="s">
        <v>401</v>
      </c>
      <c r="C8287" s="52">
        <v>678797.12141190004</v>
      </c>
      <c r="D8287" s="56">
        <v>2.3877412014525604E-2</v>
      </c>
      <c r="E8287" s="224" t="s">
        <v>2</v>
      </c>
      <c r="F8287" s="515" t="s">
        <v>9495</v>
      </c>
      <c r="G8287" s="52">
        <v>222727.95079535499</v>
      </c>
      <c r="H8287" s="56">
        <v>0.12975907981738016</v>
      </c>
      <c r="I8287" s="224" t="s">
        <v>2</v>
      </c>
    </row>
    <row r="8288" spans="1:9" x14ac:dyDescent="0.25">
      <c r="A8288" s="515">
        <v>10924</v>
      </c>
      <c r="B8288" s="515" t="s">
        <v>529</v>
      </c>
      <c r="C8288" s="52">
        <v>464038.58232532098</v>
      </c>
      <c r="D8288" s="56">
        <v>7.522804588696215E-2</v>
      </c>
      <c r="E8288" s="224" t="s">
        <v>2</v>
      </c>
      <c r="F8288" s="515" t="s">
        <v>9496</v>
      </c>
      <c r="G8288" s="52">
        <v>180541.408484026</v>
      </c>
      <c r="H8288" s="56">
        <v>9.2343093302860446E-2</v>
      </c>
      <c r="I8288" s="224" t="s">
        <v>2</v>
      </c>
    </row>
    <row r="8289" spans="1:9" x14ac:dyDescent="0.25">
      <c r="A8289" s="515">
        <v>66226</v>
      </c>
      <c r="B8289" s="515" t="s">
        <v>455</v>
      </c>
      <c r="C8289" s="52">
        <v>419544.18163543299</v>
      </c>
      <c r="D8289" s="56">
        <v>6.4950725833310477E-2</v>
      </c>
      <c r="E8289" s="224">
        <v>2145.5</v>
      </c>
      <c r="F8289" s="515" t="s">
        <v>9497</v>
      </c>
      <c r="G8289" s="52">
        <v>143257.988556261</v>
      </c>
      <c r="H8289" s="56">
        <v>0.18863612143757158</v>
      </c>
      <c r="I8289" s="224" t="s">
        <v>2</v>
      </c>
    </row>
    <row r="8290" spans="1:9" x14ac:dyDescent="0.25">
      <c r="A8290" s="515">
        <v>21128</v>
      </c>
      <c r="B8290" s="515" t="s">
        <v>582</v>
      </c>
      <c r="C8290" s="52">
        <v>399843.027394292</v>
      </c>
      <c r="D8290" s="56">
        <v>2.6128364798107009E-2</v>
      </c>
      <c r="E8290" s="224" t="s">
        <v>2</v>
      </c>
      <c r="F8290" s="515" t="s">
        <v>9498</v>
      </c>
      <c r="G8290" s="52">
        <v>409750.21845290501</v>
      </c>
      <c r="H8290" s="56">
        <v>0.10772519509904981</v>
      </c>
      <c r="I8290" s="224" t="s">
        <v>2</v>
      </c>
    </row>
    <row r="8291" spans="1:9" x14ac:dyDescent="0.25">
      <c r="A8291" s="515">
        <v>77336</v>
      </c>
      <c r="B8291" s="515" t="s">
        <v>314</v>
      </c>
      <c r="C8291" s="52">
        <v>283182.83366774302</v>
      </c>
      <c r="D8291" s="56">
        <v>8.8100392632590646E-2</v>
      </c>
      <c r="E8291" s="224">
        <v>1459.6666666666599</v>
      </c>
      <c r="F8291" s="515" t="s">
        <v>9499</v>
      </c>
      <c r="G8291" s="52">
        <v>139219.920681872</v>
      </c>
      <c r="H8291" s="56">
        <v>0.22962525120787367</v>
      </c>
      <c r="I8291" s="224" t="s">
        <v>2</v>
      </c>
    </row>
    <row r="8292" spans="1:9" x14ac:dyDescent="0.25">
      <c r="A8292" s="515">
        <v>98104</v>
      </c>
      <c r="B8292" s="515" t="s">
        <v>384</v>
      </c>
      <c r="C8292" s="52">
        <v>576750.11909489206</v>
      </c>
      <c r="D8292" s="56">
        <v>-1.8056313859629813E-2</v>
      </c>
      <c r="E8292" s="224">
        <v>1914.06359447004</v>
      </c>
      <c r="F8292" s="515" t="s">
        <v>9500</v>
      </c>
      <c r="G8292" s="52">
        <v>221605.94994388099</v>
      </c>
      <c r="H8292" s="56">
        <v>0.15721237574830871</v>
      </c>
      <c r="I8292" s="224" t="s">
        <v>2</v>
      </c>
    </row>
    <row r="8293" spans="1:9" x14ac:dyDescent="0.25">
      <c r="A8293" s="515">
        <v>95490</v>
      </c>
      <c r="B8293" s="515" t="s">
        <v>644</v>
      </c>
      <c r="C8293" s="52">
        <v>345254.94320105202</v>
      </c>
      <c r="D8293" s="56">
        <v>-8.7676278656029311E-2</v>
      </c>
      <c r="E8293" s="224" t="s">
        <v>2</v>
      </c>
      <c r="F8293" s="515" t="s">
        <v>9501</v>
      </c>
      <c r="G8293" s="52">
        <v>137987.280657311</v>
      </c>
      <c r="H8293" s="56">
        <v>6.0229501405040249E-2</v>
      </c>
      <c r="I8293" s="224" t="s">
        <v>2</v>
      </c>
    </row>
    <row r="8294" spans="1:9" x14ac:dyDescent="0.25">
      <c r="A8294" s="515">
        <v>38821</v>
      </c>
      <c r="C8294" s="52">
        <v>129723.39588722899</v>
      </c>
      <c r="D8294" s="56">
        <v>1.1828497874452174E-2</v>
      </c>
      <c r="E8294" s="224" t="s">
        <v>2</v>
      </c>
      <c r="F8294" s="515" t="s">
        <v>9502</v>
      </c>
      <c r="G8294" s="52">
        <v>112787.541920612</v>
      </c>
      <c r="H8294" s="56">
        <v>0.14541377392014737</v>
      </c>
      <c r="I8294" s="224" t="s">
        <v>2</v>
      </c>
    </row>
    <row r="8295" spans="1:9" x14ac:dyDescent="0.25">
      <c r="A8295" s="515">
        <v>85355</v>
      </c>
      <c r="B8295" s="515" t="s">
        <v>563</v>
      </c>
      <c r="C8295" s="52">
        <v>515492.31277955201</v>
      </c>
      <c r="D8295" s="56">
        <v>4.508251257111625E-2</v>
      </c>
      <c r="E8295" s="224">
        <v>2000</v>
      </c>
      <c r="F8295" s="515" t="s">
        <v>9503</v>
      </c>
      <c r="G8295" s="52">
        <v>257594.978453997</v>
      </c>
      <c r="H8295" s="56">
        <v>0.1148039051274653</v>
      </c>
      <c r="I8295" s="224" t="s">
        <v>2</v>
      </c>
    </row>
    <row r="8296" spans="1:9" x14ac:dyDescent="0.25">
      <c r="A8296" s="515">
        <v>6478</v>
      </c>
      <c r="B8296" s="515" t="s">
        <v>1172</v>
      </c>
      <c r="C8296" s="52">
        <v>464550.003457402</v>
      </c>
      <c r="D8296" s="56">
        <v>0.10862689992547969</v>
      </c>
      <c r="E8296" s="224" t="s">
        <v>2</v>
      </c>
      <c r="F8296" s="515" t="s">
        <v>9504</v>
      </c>
      <c r="G8296" s="52">
        <v>445798.558557563</v>
      </c>
      <c r="H8296" s="56">
        <v>5.6643837462499971E-2</v>
      </c>
      <c r="I8296" s="224" t="s">
        <v>2</v>
      </c>
    </row>
    <row r="8297" spans="1:9" x14ac:dyDescent="0.25">
      <c r="A8297" s="515">
        <v>95817</v>
      </c>
      <c r="B8297" s="515" t="s">
        <v>355</v>
      </c>
      <c r="C8297" s="52">
        <v>462394.02207975701</v>
      </c>
      <c r="D8297" s="56">
        <v>-6.6126108426827245E-3</v>
      </c>
      <c r="E8297" s="224">
        <v>2012.36666666666</v>
      </c>
      <c r="F8297" s="515" t="s">
        <v>9505</v>
      </c>
      <c r="G8297" s="52">
        <v>211852.952307589</v>
      </c>
      <c r="H8297" s="56">
        <v>6.3863493514770206E-2</v>
      </c>
      <c r="I8297" s="224" t="s">
        <v>2</v>
      </c>
    </row>
    <row r="8298" spans="1:9" x14ac:dyDescent="0.25">
      <c r="A8298" s="515">
        <v>43558</v>
      </c>
      <c r="B8298" s="515" t="s">
        <v>300</v>
      </c>
      <c r="C8298" s="52">
        <v>207927.10642457</v>
      </c>
      <c r="D8298" s="56">
        <v>7.1391873308403797E-2</v>
      </c>
      <c r="E8298" s="224" t="s">
        <v>2</v>
      </c>
      <c r="F8298" s="515" t="s">
        <v>9506</v>
      </c>
      <c r="G8298" s="52">
        <v>297549.08999822999</v>
      </c>
      <c r="H8298" s="56">
        <v>0.10490954711912501</v>
      </c>
      <c r="I8298" s="224" t="s">
        <v>2</v>
      </c>
    </row>
    <row r="8299" spans="1:9" x14ac:dyDescent="0.25">
      <c r="A8299" s="515">
        <v>20037</v>
      </c>
      <c r="B8299" s="515" t="s">
        <v>321</v>
      </c>
      <c r="C8299" s="52">
        <v>564590.48880803597</v>
      </c>
      <c r="D8299" s="56">
        <v>-8.7066727540904387E-2</v>
      </c>
      <c r="E8299" s="224">
        <v>2937.21336553945</v>
      </c>
      <c r="F8299" s="515" t="s">
        <v>9507</v>
      </c>
      <c r="G8299" s="52">
        <v>190330.469899869</v>
      </c>
      <c r="H8299" s="56">
        <v>6.0683281145699368E-2</v>
      </c>
      <c r="I8299" s="224" t="s">
        <v>2</v>
      </c>
    </row>
    <row r="8300" spans="1:9" x14ac:dyDescent="0.25">
      <c r="A8300" s="515">
        <v>27522</v>
      </c>
      <c r="B8300" s="515" t="s">
        <v>467</v>
      </c>
      <c r="C8300" s="52">
        <v>314951.18106189999</v>
      </c>
      <c r="D8300" s="56">
        <v>0.11085426032234326</v>
      </c>
      <c r="E8300" s="224" t="s">
        <v>2</v>
      </c>
      <c r="F8300" s="515" t="s">
        <v>9508</v>
      </c>
      <c r="G8300" s="52">
        <v>359259.51880017697</v>
      </c>
      <c r="H8300" s="56">
        <v>9.4683384844312796E-2</v>
      </c>
      <c r="I8300" s="224" t="s">
        <v>2</v>
      </c>
    </row>
    <row r="8301" spans="1:9" x14ac:dyDescent="0.25">
      <c r="A8301" s="515">
        <v>59501</v>
      </c>
      <c r="C8301" s="52">
        <v>249027.01225474101</v>
      </c>
      <c r="D8301" s="56">
        <v>5.8224515118547628E-3</v>
      </c>
      <c r="E8301" s="224" t="s">
        <v>2</v>
      </c>
      <c r="F8301" s="515" t="s">
        <v>9509</v>
      </c>
      <c r="G8301" s="52">
        <v>280275.75659600098</v>
      </c>
      <c r="H8301" s="56">
        <v>9.8442678359863756E-2</v>
      </c>
      <c r="I8301" s="224" t="s">
        <v>2</v>
      </c>
    </row>
    <row r="8302" spans="1:9" x14ac:dyDescent="0.25">
      <c r="A8302" s="515">
        <v>74128</v>
      </c>
      <c r="B8302" s="515" t="s">
        <v>348</v>
      </c>
      <c r="C8302" s="52">
        <v>135282.04704811299</v>
      </c>
      <c r="D8302" s="56">
        <v>9.6605465748115113E-2</v>
      </c>
      <c r="E8302" s="224">
        <v>1161.25</v>
      </c>
      <c r="F8302" s="515" t="s">
        <v>9510</v>
      </c>
      <c r="G8302" s="52">
        <v>132324.80166054901</v>
      </c>
      <c r="H8302" s="56">
        <v>7.0497935149790025E-2</v>
      </c>
      <c r="I8302" s="224" t="s">
        <v>2</v>
      </c>
    </row>
    <row r="8303" spans="1:9" x14ac:dyDescent="0.25">
      <c r="A8303" s="515">
        <v>15201</v>
      </c>
      <c r="B8303" s="515" t="s">
        <v>297</v>
      </c>
      <c r="C8303" s="52">
        <v>253312.78337444199</v>
      </c>
      <c r="D8303" s="56">
        <v>4.2334072204967904E-2</v>
      </c>
      <c r="E8303" s="224">
        <v>1710.59057971014</v>
      </c>
      <c r="F8303" s="515" t="s">
        <v>9511</v>
      </c>
      <c r="G8303" s="52">
        <v>115606.749105155</v>
      </c>
      <c r="H8303" s="56">
        <v>0</v>
      </c>
      <c r="I8303" s="224" t="s">
        <v>2</v>
      </c>
    </row>
    <row r="8304" spans="1:9" x14ac:dyDescent="0.25">
      <c r="A8304" s="515">
        <v>50323</v>
      </c>
      <c r="B8304" s="515" t="s">
        <v>295</v>
      </c>
      <c r="C8304" s="52">
        <v>430989.66809638398</v>
      </c>
      <c r="D8304" s="56">
        <v>6.352252812023787E-2</v>
      </c>
      <c r="E8304" s="224" t="s">
        <v>2</v>
      </c>
      <c r="F8304" s="515" t="s">
        <v>9512</v>
      </c>
      <c r="G8304" s="52">
        <v>759269.825872179</v>
      </c>
      <c r="H8304" s="56">
        <v>0.12094984850347075</v>
      </c>
      <c r="I8304" s="224">
        <v>15633.333333333299</v>
      </c>
    </row>
    <row r="8305" spans="1:9" x14ac:dyDescent="0.25">
      <c r="A8305" s="515">
        <v>98848</v>
      </c>
      <c r="B8305" s="515" t="s">
        <v>666</v>
      </c>
      <c r="C8305" s="52">
        <v>394994.32875436399</v>
      </c>
      <c r="D8305" s="56">
        <v>6.937635679623351E-2</v>
      </c>
      <c r="E8305" s="224" t="s">
        <v>2</v>
      </c>
      <c r="F8305" s="515" t="s">
        <v>9513</v>
      </c>
      <c r="G8305" s="52">
        <v>223436.46010317799</v>
      </c>
      <c r="H8305" s="56">
        <v>0.10640465389764117</v>
      </c>
      <c r="I8305" s="224" t="s">
        <v>2</v>
      </c>
    </row>
    <row r="8306" spans="1:9" x14ac:dyDescent="0.25">
      <c r="A8306" s="515">
        <v>84066</v>
      </c>
      <c r="C8306" s="52">
        <v>296728.48698528</v>
      </c>
      <c r="D8306" s="56">
        <v>8.2999683815185715E-2</v>
      </c>
      <c r="E8306" s="224" t="s">
        <v>2</v>
      </c>
      <c r="F8306" s="515" t="s">
        <v>9514</v>
      </c>
      <c r="G8306" s="52">
        <v>177807.07686991</v>
      </c>
      <c r="H8306" s="56">
        <v>6.6062537312114741E-2</v>
      </c>
      <c r="I8306" s="224" t="s">
        <v>2</v>
      </c>
    </row>
    <row r="8307" spans="1:9" x14ac:dyDescent="0.25">
      <c r="A8307" s="515">
        <v>25302</v>
      </c>
      <c r="B8307" s="515" t="s">
        <v>322</v>
      </c>
      <c r="C8307" s="52">
        <v>102991.13224760001</v>
      </c>
      <c r="D8307" s="56">
        <v>9.7608705035872503E-2</v>
      </c>
      <c r="E8307" s="224">
        <v>775</v>
      </c>
      <c r="F8307" s="515" t="s">
        <v>9515</v>
      </c>
      <c r="G8307" s="52">
        <v>279612.45511929598</v>
      </c>
      <c r="H8307" s="56">
        <v>0.10191254751666519</v>
      </c>
      <c r="I8307" s="224" t="s">
        <v>2</v>
      </c>
    </row>
    <row r="8308" spans="1:9" x14ac:dyDescent="0.25">
      <c r="A8308" s="515">
        <v>39470</v>
      </c>
      <c r="B8308" s="515" t="s">
        <v>1200</v>
      </c>
      <c r="C8308" s="52">
        <v>182145.00224367899</v>
      </c>
      <c r="D8308" s="56">
        <v>3.9647945558842518E-2</v>
      </c>
      <c r="E8308" s="224" t="s">
        <v>2</v>
      </c>
      <c r="F8308" s="515" t="s">
        <v>9516</v>
      </c>
      <c r="G8308" s="52">
        <v>206955.01255166699</v>
      </c>
      <c r="H8308" s="56">
        <v>4.8169548052453888E-2</v>
      </c>
      <c r="I8308" s="224" t="s">
        <v>2</v>
      </c>
    </row>
    <row r="8309" spans="1:9" x14ac:dyDescent="0.25">
      <c r="A8309" s="515">
        <v>60554</v>
      </c>
      <c r="B8309" s="515" t="s">
        <v>394</v>
      </c>
      <c r="C8309" s="52">
        <v>365068.18092387001</v>
      </c>
      <c r="D8309" s="56">
        <v>7.636373298661997E-2</v>
      </c>
      <c r="E8309" s="224" t="s">
        <v>2</v>
      </c>
      <c r="F8309" s="515" t="s">
        <v>9517</v>
      </c>
      <c r="G8309" s="52">
        <v>457700.03312597302</v>
      </c>
      <c r="H8309" s="56">
        <v>8.3749678827867297E-2</v>
      </c>
      <c r="I8309" s="224" t="s">
        <v>2</v>
      </c>
    </row>
    <row r="8310" spans="1:9" x14ac:dyDescent="0.25">
      <c r="A8310" s="515">
        <v>21666</v>
      </c>
      <c r="B8310" s="515" t="s">
        <v>582</v>
      </c>
      <c r="C8310" s="52">
        <v>466124.22884706</v>
      </c>
      <c r="D8310" s="56">
        <v>4.0385473731445513E-2</v>
      </c>
      <c r="E8310" s="224" t="s">
        <v>2</v>
      </c>
      <c r="F8310" s="515" t="s">
        <v>9518</v>
      </c>
      <c r="G8310" s="52">
        <v>149358.95698405901</v>
      </c>
      <c r="H8310" s="56">
        <v>0.11414608815884733</v>
      </c>
      <c r="I8310" s="224" t="s">
        <v>2</v>
      </c>
    </row>
    <row r="8311" spans="1:9" x14ac:dyDescent="0.25">
      <c r="A8311" s="515">
        <v>48118</v>
      </c>
      <c r="B8311" s="515" t="s">
        <v>783</v>
      </c>
      <c r="C8311" s="52">
        <v>336342.20432155102</v>
      </c>
      <c r="D8311" s="56">
        <v>5.0919552208275883E-2</v>
      </c>
      <c r="E8311" s="224" t="s">
        <v>2</v>
      </c>
      <c r="F8311" s="515" t="s">
        <v>9519</v>
      </c>
      <c r="G8311" s="52">
        <v>147446.89612315901</v>
      </c>
      <c r="H8311" s="56">
        <v>3.2988842261242338E-2</v>
      </c>
      <c r="I8311" s="224" t="s">
        <v>2</v>
      </c>
    </row>
    <row r="8312" spans="1:9" x14ac:dyDescent="0.25">
      <c r="A8312" s="515">
        <v>43608</v>
      </c>
      <c r="B8312" s="515" t="s">
        <v>300</v>
      </c>
      <c r="C8312" s="52">
        <v>35318.413826733398</v>
      </c>
      <c r="D8312" s="56">
        <v>8.874925756892954E-2</v>
      </c>
      <c r="E8312" s="224">
        <v>925</v>
      </c>
      <c r="F8312" s="515" t="s">
        <v>1071</v>
      </c>
      <c r="G8312" s="52">
        <v>162106.09165708499</v>
      </c>
      <c r="H8312" s="56">
        <v>4.9097654579538151E-2</v>
      </c>
      <c r="I8312" s="224" t="s">
        <v>2</v>
      </c>
    </row>
    <row r="8313" spans="1:9" x14ac:dyDescent="0.25">
      <c r="A8313" s="515">
        <v>14210</v>
      </c>
      <c r="B8313" s="515" t="s">
        <v>336</v>
      </c>
      <c r="C8313" s="52">
        <v>154571.732173628</v>
      </c>
      <c r="D8313" s="56">
        <v>0.12397552538124569</v>
      </c>
      <c r="E8313" s="224">
        <v>1183.3333333333301</v>
      </c>
      <c r="F8313" s="515" t="s">
        <v>9520</v>
      </c>
      <c r="G8313" s="52">
        <v>224839.39429748501</v>
      </c>
      <c r="H8313" s="56">
        <v>8.9211054734273487E-2</v>
      </c>
      <c r="I8313" s="224" t="s">
        <v>2</v>
      </c>
    </row>
    <row r="8314" spans="1:9" x14ac:dyDescent="0.25">
      <c r="A8314" s="515">
        <v>25425</v>
      </c>
      <c r="B8314" s="515" t="s">
        <v>321</v>
      </c>
      <c r="C8314" s="52">
        <v>324729.19943777</v>
      </c>
      <c r="D8314" s="56">
        <v>7.9221883832007317E-2</v>
      </c>
      <c r="E8314" s="224" t="s">
        <v>2</v>
      </c>
      <c r="F8314" s="515" t="s">
        <v>9521</v>
      </c>
      <c r="G8314" s="52">
        <v>309413.92933601601</v>
      </c>
      <c r="H8314" s="56">
        <v>4.0159370880041935E-2</v>
      </c>
      <c r="I8314" s="224" t="s">
        <v>2</v>
      </c>
    </row>
    <row r="8315" spans="1:9" x14ac:dyDescent="0.25">
      <c r="A8315" s="515">
        <v>98077</v>
      </c>
      <c r="B8315" s="515" t="s">
        <v>384</v>
      </c>
      <c r="C8315" s="52">
        <v>1320605.3265943199</v>
      </c>
      <c r="D8315" s="56">
        <v>1.6258633216798636E-2</v>
      </c>
      <c r="E8315" s="224" t="s">
        <v>2</v>
      </c>
      <c r="F8315" s="515" t="s">
        <v>9522</v>
      </c>
      <c r="G8315" s="52">
        <v>202800.34533671901</v>
      </c>
      <c r="H8315" s="56">
        <v>7.5265232010223462E-2</v>
      </c>
      <c r="I8315" s="224" t="s">
        <v>2</v>
      </c>
    </row>
    <row r="8316" spans="1:9" x14ac:dyDescent="0.25">
      <c r="A8316" s="515">
        <v>10307</v>
      </c>
      <c r="B8316" s="515" t="s">
        <v>324</v>
      </c>
      <c r="C8316" s="52">
        <v>714523.33553097805</v>
      </c>
      <c r="D8316" s="56">
        <v>5.8140874595955301E-2</v>
      </c>
      <c r="E8316" s="224" t="s">
        <v>2</v>
      </c>
      <c r="F8316" s="515" t="s">
        <v>9523</v>
      </c>
      <c r="G8316" s="52">
        <v>387503.147117296</v>
      </c>
      <c r="H8316" s="56">
        <v>0</v>
      </c>
      <c r="I8316" s="224" t="s">
        <v>2</v>
      </c>
    </row>
    <row r="8317" spans="1:9" x14ac:dyDescent="0.25">
      <c r="A8317" s="515">
        <v>40210</v>
      </c>
      <c r="B8317" s="515" t="s">
        <v>479</v>
      </c>
      <c r="C8317" s="52">
        <v>66738.329852827999</v>
      </c>
      <c r="D8317" s="56">
        <v>0.11467147964577237</v>
      </c>
      <c r="E8317" s="224">
        <v>954.80555555555497</v>
      </c>
      <c r="F8317" s="515" t="s">
        <v>9524</v>
      </c>
      <c r="G8317" s="52">
        <v>218992.43016124901</v>
      </c>
      <c r="H8317" s="56">
        <v>0.10417422119167245</v>
      </c>
      <c r="I8317" s="224" t="s">
        <v>2</v>
      </c>
    </row>
    <row r="8318" spans="1:9" x14ac:dyDescent="0.25">
      <c r="A8318" s="515">
        <v>89508</v>
      </c>
      <c r="B8318" s="515" t="s">
        <v>581</v>
      </c>
      <c r="C8318" s="52">
        <v>441690.59333745303</v>
      </c>
      <c r="D8318" s="56">
        <v>1.0710978436015511E-2</v>
      </c>
      <c r="E8318" s="224" t="s">
        <v>2</v>
      </c>
      <c r="F8318" s="515" t="s">
        <v>9525</v>
      </c>
      <c r="G8318" s="52">
        <v>127425.28853544799</v>
      </c>
      <c r="H8318" s="56">
        <v>4.3606594947408255E-2</v>
      </c>
      <c r="I8318" s="224" t="s">
        <v>2</v>
      </c>
    </row>
    <row r="8319" spans="1:9" x14ac:dyDescent="0.25">
      <c r="A8319" s="515">
        <v>1331</v>
      </c>
      <c r="B8319" s="515" t="s">
        <v>751</v>
      </c>
      <c r="C8319" s="52">
        <v>281292.65425842698</v>
      </c>
      <c r="D8319" s="56">
        <v>9.3684796563601139E-2</v>
      </c>
      <c r="E8319" s="224" t="s">
        <v>2</v>
      </c>
      <c r="F8319" s="515" t="s">
        <v>9526</v>
      </c>
      <c r="G8319" s="52">
        <v>116782.645723911</v>
      </c>
      <c r="H8319" s="56">
        <v>0.24443004095083137</v>
      </c>
      <c r="I8319" s="224" t="s">
        <v>2</v>
      </c>
    </row>
    <row r="8320" spans="1:9" x14ac:dyDescent="0.25">
      <c r="A8320" s="515">
        <v>35057</v>
      </c>
      <c r="B8320" s="515" t="s">
        <v>1110</v>
      </c>
      <c r="C8320" s="52">
        <v>234622.94187818401</v>
      </c>
      <c r="D8320" s="56">
        <v>8.4238948571067812E-2</v>
      </c>
      <c r="E8320" s="224" t="s">
        <v>2</v>
      </c>
      <c r="F8320" s="515" t="s">
        <v>9527</v>
      </c>
      <c r="G8320" s="52">
        <v>151836.02686383799</v>
      </c>
      <c r="H8320" s="56">
        <v>5.5920662242149956E-2</v>
      </c>
      <c r="I8320" s="224" t="s">
        <v>2</v>
      </c>
    </row>
    <row r="8321" spans="1:9" x14ac:dyDescent="0.25">
      <c r="A8321" s="515">
        <v>93301</v>
      </c>
      <c r="B8321" s="515" t="s">
        <v>419</v>
      </c>
      <c r="C8321" s="52">
        <v>288894.70153714297</v>
      </c>
      <c r="D8321" s="56">
        <v>7.6010739204117342E-2</v>
      </c>
      <c r="E8321" s="224">
        <v>1262.5</v>
      </c>
      <c r="F8321" s="515" t="s">
        <v>9528</v>
      </c>
      <c r="G8321" s="52">
        <v>247423.78701248701</v>
      </c>
      <c r="H8321" s="56">
        <v>0.16610518845804553</v>
      </c>
      <c r="I8321" s="224" t="s">
        <v>2</v>
      </c>
    </row>
    <row r="8322" spans="1:9" x14ac:dyDescent="0.25">
      <c r="A8322" s="515">
        <v>10604</v>
      </c>
      <c r="B8322" s="515" t="s">
        <v>324</v>
      </c>
      <c r="C8322" s="52">
        <v>772572.09620204603</v>
      </c>
      <c r="D8322" s="56">
        <v>6.1010775650113307E-2</v>
      </c>
      <c r="E8322" s="224">
        <v>3775.25</v>
      </c>
      <c r="F8322" s="515" t="s">
        <v>9529</v>
      </c>
      <c r="G8322" s="52">
        <v>93503.153948252497</v>
      </c>
      <c r="H8322" s="56">
        <v>4.7972538298878785E-2</v>
      </c>
      <c r="I8322" s="224" t="s">
        <v>2</v>
      </c>
    </row>
    <row r="8323" spans="1:9" x14ac:dyDescent="0.25">
      <c r="A8323" s="515">
        <v>28206</v>
      </c>
      <c r="B8323" s="515" t="s">
        <v>360</v>
      </c>
      <c r="C8323" s="52">
        <v>298544.63848486298</v>
      </c>
      <c r="D8323" s="56">
        <v>0.13330866894801849</v>
      </c>
      <c r="E8323" s="224">
        <v>1637.3150183150101</v>
      </c>
      <c r="F8323" s="515" t="s">
        <v>9530</v>
      </c>
      <c r="G8323" s="52">
        <v>249301.87569976901</v>
      </c>
      <c r="H8323" s="56">
        <v>3.7868045883573037E-2</v>
      </c>
      <c r="I8323" s="224" t="s">
        <v>2</v>
      </c>
    </row>
    <row r="8324" spans="1:9" x14ac:dyDescent="0.25">
      <c r="A8324" s="515">
        <v>7102</v>
      </c>
      <c r="B8324" s="515" t="s">
        <v>324</v>
      </c>
      <c r="C8324" s="52">
        <v>375802.797829205</v>
      </c>
      <c r="D8324" s="56">
        <v>3.6428231278103178E-2</v>
      </c>
      <c r="E8324" s="224">
        <v>2548.8571428571399</v>
      </c>
      <c r="F8324" s="515" t="s">
        <v>9531</v>
      </c>
      <c r="G8324" s="52">
        <v>426055.216997115</v>
      </c>
      <c r="H8324" s="56">
        <v>-4.587452713404257E-4</v>
      </c>
      <c r="I8324" s="224" t="s">
        <v>2</v>
      </c>
    </row>
    <row r="8325" spans="1:9" x14ac:dyDescent="0.25">
      <c r="A8325" s="515">
        <v>76450</v>
      </c>
      <c r="C8325" s="52">
        <v>181322.837135337</v>
      </c>
      <c r="D8325" s="56">
        <v>7.7582955052923383E-2</v>
      </c>
      <c r="E8325" s="224" t="s">
        <v>2</v>
      </c>
      <c r="F8325" s="515" t="s">
        <v>9532</v>
      </c>
      <c r="G8325" s="52">
        <v>143764.41164080301</v>
      </c>
      <c r="H8325" s="56">
        <v>3.0219914548821936E-2</v>
      </c>
      <c r="I8325" s="224" t="s">
        <v>2</v>
      </c>
    </row>
    <row r="8326" spans="1:9" x14ac:dyDescent="0.25">
      <c r="A8326" s="515">
        <v>23150</v>
      </c>
      <c r="B8326" s="515" t="s">
        <v>667</v>
      </c>
      <c r="C8326" s="52">
        <v>283321.79596441903</v>
      </c>
      <c r="D8326" s="56">
        <v>0.16893873134556939</v>
      </c>
      <c r="E8326" s="224" t="s">
        <v>2</v>
      </c>
      <c r="F8326" s="515" t="s">
        <v>9533</v>
      </c>
      <c r="G8326" s="52">
        <v>71788.886657074399</v>
      </c>
      <c r="H8326" s="56">
        <v>-1.8480109510136795E-2</v>
      </c>
      <c r="I8326" s="224" t="s">
        <v>2</v>
      </c>
    </row>
    <row r="8327" spans="1:9" x14ac:dyDescent="0.25">
      <c r="A8327" s="515">
        <v>82520</v>
      </c>
      <c r="B8327" s="515" t="s">
        <v>308</v>
      </c>
      <c r="C8327" s="52">
        <v>345198.74754245399</v>
      </c>
      <c r="D8327" s="56">
        <v>8.1793768944985509E-2</v>
      </c>
      <c r="E8327" s="224" t="s">
        <v>2</v>
      </c>
      <c r="F8327" s="515" t="s">
        <v>9534</v>
      </c>
      <c r="G8327" s="52">
        <v>743007.90042586997</v>
      </c>
      <c r="H8327" s="56">
        <v>6.9555631116192923E-2</v>
      </c>
      <c r="I8327" s="224" t="s">
        <v>2</v>
      </c>
    </row>
    <row r="8328" spans="1:9" x14ac:dyDescent="0.25">
      <c r="A8328" s="515">
        <v>44811</v>
      </c>
      <c r="B8328" s="515" t="s">
        <v>1050</v>
      </c>
      <c r="C8328" s="52">
        <v>150543.24084981199</v>
      </c>
      <c r="D8328" s="56">
        <v>6.493464192959382E-2</v>
      </c>
      <c r="E8328" s="224" t="s">
        <v>2</v>
      </c>
      <c r="F8328" s="515" t="s">
        <v>9535</v>
      </c>
      <c r="G8328" s="52">
        <v>82560.840351335093</v>
      </c>
      <c r="H8328" s="56">
        <v>0.22083840911963146</v>
      </c>
      <c r="I8328" s="224" t="s">
        <v>2</v>
      </c>
    </row>
    <row r="8329" spans="1:9" x14ac:dyDescent="0.25">
      <c r="A8329" s="515">
        <v>68138</v>
      </c>
      <c r="B8329" s="515" t="s">
        <v>367</v>
      </c>
      <c r="C8329" s="52">
        <v>249418.75613868001</v>
      </c>
      <c r="D8329" s="56">
        <v>5.8095587957923724E-2</v>
      </c>
      <c r="E8329" s="224">
        <v>1800</v>
      </c>
      <c r="F8329" s="515" t="s">
        <v>9536</v>
      </c>
      <c r="G8329" s="52">
        <v>153314.230591767</v>
      </c>
      <c r="H8329" s="56">
        <v>0.18537431330492446</v>
      </c>
      <c r="I8329" s="224" t="s">
        <v>2</v>
      </c>
    </row>
    <row r="8330" spans="1:9" x14ac:dyDescent="0.25">
      <c r="A8330" s="515">
        <v>22308</v>
      </c>
      <c r="B8330" s="515" t="s">
        <v>321</v>
      </c>
      <c r="C8330" s="52">
        <v>854886.80169509095</v>
      </c>
      <c r="D8330" s="56">
        <v>4.2577177084946245E-2</v>
      </c>
      <c r="E8330" s="224" t="s">
        <v>2</v>
      </c>
      <c r="F8330" s="515" t="s">
        <v>9537</v>
      </c>
      <c r="G8330" s="52">
        <v>173537.380946308</v>
      </c>
      <c r="H8330" s="56">
        <v>9.3456359955946491E-2</v>
      </c>
      <c r="I8330" s="224" t="s">
        <v>2</v>
      </c>
    </row>
    <row r="8331" spans="1:9" x14ac:dyDescent="0.25">
      <c r="A8331" s="515">
        <v>35645</v>
      </c>
      <c r="B8331" s="515" t="s">
        <v>1100</v>
      </c>
      <c r="C8331" s="52">
        <v>245533.48949650701</v>
      </c>
      <c r="D8331" s="56">
        <v>0.14115353005699594</v>
      </c>
      <c r="E8331" s="224" t="s">
        <v>2</v>
      </c>
      <c r="F8331" s="515" t="s">
        <v>9538</v>
      </c>
      <c r="G8331" s="52">
        <v>174610.369768248</v>
      </c>
      <c r="H8331" s="56">
        <v>7.2759200174544097E-2</v>
      </c>
      <c r="I8331" s="224" t="s">
        <v>2</v>
      </c>
    </row>
    <row r="8332" spans="1:9" x14ac:dyDescent="0.25">
      <c r="A8332" s="515">
        <v>94108</v>
      </c>
      <c r="B8332" s="515" t="s">
        <v>593</v>
      </c>
      <c r="C8332" s="52">
        <v>958094.62003075401</v>
      </c>
      <c r="D8332" s="56">
        <v>-0.13512302354339675</v>
      </c>
      <c r="E8332" s="224">
        <v>2829.2207792207701</v>
      </c>
      <c r="F8332" s="515" t="s">
        <v>9539</v>
      </c>
      <c r="G8332" s="52">
        <v>113061.474168609</v>
      </c>
      <c r="H8332" s="56">
        <v>9.0649839512379329E-2</v>
      </c>
      <c r="I8332" s="224" t="s">
        <v>2</v>
      </c>
    </row>
    <row r="8333" spans="1:9" x14ac:dyDescent="0.25">
      <c r="A8333" s="515">
        <v>60119</v>
      </c>
      <c r="B8333" s="515" t="s">
        <v>394</v>
      </c>
      <c r="C8333" s="52">
        <v>378180.95275945001</v>
      </c>
      <c r="D8333" s="56">
        <v>6.7778641908120246E-2</v>
      </c>
      <c r="E8333" s="224" t="s">
        <v>2</v>
      </c>
      <c r="F8333" s="515" t="s">
        <v>9540</v>
      </c>
      <c r="G8333" s="52">
        <v>590191.77794809802</v>
      </c>
      <c r="H8333" s="56">
        <v>1.7981462059817429E-2</v>
      </c>
      <c r="I8333" s="224" t="s">
        <v>2</v>
      </c>
    </row>
    <row r="8334" spans="1:9" x14ac:dyDescent="0.25">
      <c r="A8334" s="515">
        <v>66071</v>
      </c>
      <c r="B8334" s="515" t="s">
        <v>455</v>
      </c>
      <c r="C8334" s="52">
        <v>307091.33172636101</v>
      </c>
      <c r="D8334" s="56">
        <v>7.9095435260211885E-2</v>
      </c>
      <c r="E8334" s="224" t="s">
        <v>2</v>
      </c>
      <c r="F8334" s="515" t="s">
        <v>9541</v>
      </c>
      <c r="G8334" s="52">
        <v>362715.70661896199</v>
      </c>
      <c r="H8334" s="56">
        <v>0</v>
      </c>
      <c r="I8334" s="224" t="s">
        <v>2</v>
      </c>
    </row>
    <row r="8335" spans="1:9" x14ac:dyDescent="0.25">
      <c r="A8335" s="515">
        <v>25504</v>
      </c>
      <c r="B8335" s="515" t="s">
        <v>602</v>
      </c>
      <c r="C8335" s="52">
        <v>164084.18678625501</v>
      </c>
      <c r="D8335" s="56">
        <v>6.2414389347884763E-2</v>
      </c>
      <c r="E8335" s="224" t="s">
        <v>2</v>
      </c>
      <c r="F8335" s="515" t="s">
        <v>9542</v>
      </c>
      <c r="G8335" s="52">
        <v>385550.259426862</v>
      </c>
      <c r="H8335" s="56">
        <v>0.12810276465789106</v>
      </c>
      <c r="I8335" s="224" t="s">
        <v>2</v>
      </c>
    </row>
    <row r="8336" spans="1:9" x14ac:dyDescent="0.25">
      <c r="A8336" s="515">
        <v>39540</v>
      </c>
      <c r="B8336" s="515" t="s">
        <v>963</v>
      </c>
      <c r="C8336" s="52">
        <v>193926.316306005</v>
      </c>
      <c r="D8336" s="56">
        <v>7.4333239536741952E-2</v>
      </c>
      <c r="E8336" s="224" t="s">
        <v>2</v>
      </c>
      <c r="F8336" s="515" t="s">
        <v>9543</v>
      </c>
      <c r="G8336" s="52">
        <v>307253.21728600602</v>
      </c>
      <c r="H8336" s="56">
        <v>9.7021359682998423E-2</v>
      </c>
      <c r="I8336" s="224" t="s">
        <v>2</v>
      </c>
    </row>
    <row r="8337" spans="1:9" x14ac:dyDescent="0.25">
      <c r="A8337" s="515">
        <v>89460</v>
      </c>
      <c r="B8337" s="515" t="s">
        <v>823</v>
      </c>
      <c r="C8337" s="52">
        <v>505760.28332349297</v>
      </c>
      <c r="D8337" s="56">
        <v>3.6174427114866368E-3</v>
      </c>
      <c r="E8337" s="224" t="s">
        <v>2</v>
      </c>
      <c r="F8337" s="515" t="s">
        <v>9544</v>
      </c>
      <c r="G8337" s="52">
        <v>219152.505682916</v>
      </c>
      <c r="H8337" s="56">
        <v>8.5829856151980397E-2</v>
      </c>
      <c r="I8337" s="224" t="s">
        <v>2</v>
      </c>
    </row>
    <row r="8338" spans="1:9" x14ac:dyDescent="0.25">
      <c r="A8338" s="515">
        <v>32563</v>
      </c>
      <c r="B8338" s="515" t="s">
        <v>1131</v>
      </c>
      <c r="C8338" s="52">
        <v>393133.60279852798</v>
      </c>
      <c r="D8338" s="56">
        <v>8.682698895253399E-2</v>
      </c>
      <c r="E8338" s="224">
        <v>2142.8611111111099</v>
      </c>
      <c r="F8338" s="515" t="s">
        <v>9545</v>
      </c>
      <c r="G8338" s="52">
        <v>73014.413466309794</v>
      </c>
      <c r="H8338" s="56">
        <v>2.3427097840019149E-2</v>
      </c>
      <c r="I8338" s="224" t="s">
        <v>2</v>
      </c>
    </row>
    <row r="8339" spans="1:9" x14ac:dyDescent="0.25">
      <c r="A8339" s="515">
        <v>21620</v>
      </c>
      <c r="C8339" s="52">
        <v>314117.78412589501</v>
      </c>
      <c r="D8339" s="56">
        <v>4.0052807309584271E-2</v>
      </c>
      <c r="E8339" s="224" t="s">
        <v>2</v>
      </c>
      <c r="F8339" s="515" t="s">
        <v>9546</v>
      </c>
      <c r="G8339" s="52">
        <v>220948.67623109001</v>
      </c>
      <c r="H8339" s="56">
        <v>5.6023985870136656E-2</v>
      </c>
      <c r="I8339" s="224" t="s">
        <v>2</v>
      </c>
    </row>
    <row r="8340" spans="1:9" x14ac:dyDescent="0.25">
      <c r="A8340" s="515">
        <v>7436</v>
      </c>
      <c r="B8340" s="515" t="s">
        <v>324</v>
      </c>
      <c r="C8340" s="52">
        <v>570713.04956669395</v>
      </c>
      <c r="D8340" s="56">
        <v>4.0283140748215811E-2</v>
      </c>
      <c r="E8340" s="224" t="s">
        <v>2</v>
      </c>
      <c r="F8340" s="515" t="s">
        <v>9547</v>
      </c>
      <c r="G8340" s="52">
        <v>250405.28010570799</v>
      </c>
      <c r="H8340" s="56">
        <v>9.0627050372835652E-2</v>
      </c>
      <c r="I8340" s="224" t="s">
        <v>2</v>
      </c>
    </row>
    <row r="8341" spans="1:9" x14ac:dyDescent="0.25">
      <c r="A8341" s="515">
        <v>15613</v>
      </c>
      <c r="B8341" s="515" t="s">
        <v>297</v>
      </c>
      <c r="C8341" s="52">
        <v>157412.13649501401</v>
      </c>
      <c r="D8341" s="56">
        <v>2.8677252319473226E-2</v>
      </c>
      <c r="E8341" s="224" t="s">
        <v>2</v>
      </c>
      <c r="F8341" s="515" t="s">
        <v>9548</v>
      </c>
      <c r="G8341" s="52">
        <v>560450.87803062797</v>
      </c>
      <c r="H8341" s="56">
        <v>7.2057385798788938E-3</v>
      </c>
      <c r="I8341" s="224" t="s">
        <v>2</v>
      </c>
    </row>
    <row r="8342" spans="1:9" x14ac:dyDescent="0.25">
      <c r="A8342" s="515">
        <v>61605</v>
      </c>
      <c r="B8342" s="515" t="s">
        <v>303</v>
      </c>
      <c r="C8342" s="52">
        <v>27935.564664619698</v>
      </c>
      <c r="D8342" s="56">
        <v>0.18980497000596505</v>
      </c>
      <c r="E8342" s="224" t="s">
        <v>2</v>
      </c>
      <c r="F8342" s="515" t="s">
        <v>9549</v>
      </c>
      <c r="G8342" s="52">
        <v>127823.69109988199</v>
      </c>
      <c r="H8342" s="56">
        <v>5.0642719046602325E-3</v>
      </c>
      <c r="I8342" s="224" t="s">
        <v>2</v>
      </c>
    </row>
    <row r="8343" spans="1:9" x14ac:dyDescent="0.25">
      <c r="A8343" s="515">
        <v>48381</v>
      </c>
      <c r="B8343" s="515" t="s">
        <v>685</v>
      </c>
      <c r="C8343" s="52">
        <v>387827.20219227899</v>
      </c>
      <c r="D8343" s="56">
        <v>2.590610882236713E-2</v>
      </c>
      <c r="E8343" s="224" t="s">
        <v>2</v>
      </c>
      <c r="F8343" s="515" t="s">
        <v>9550</v>
      </c>
      <c r="G8343" s="52">
        <v>210518.56352248701</v>
      </c>
      <c r="H8343" s="56">
        <v>4.3936255913947023E-2</v>
      </c>
      <c r="I8343" s="224" t="s">
        <v>2</v>
      </c>
    </row>
    <row r="8344" spans="1:9" x14ac:dyDescent="0.25">
      <c r="A8344" s="515">
        <v>87104</v>
      </c>
      <c r="B8344" s="515" t="s">
        <v>406</v>
      </c>
      <c r="C8344" s="52">
        <v>313750.26912113302</v>
      </c>
      <c r="D8344" s="56">
        <v>7.3296350246149916E-2</v>
      </c>
      <c r="E8344" s="224" t="s">
        <v>2</v>
      </c>
      <c r="F8344" s="515" t="s">
        <v>9551</v>
      </c>
      <c r="G8344" s="52">
        <v>305589.409130238</v>
      </c>
      <c r="H8344" s="56">
        <v>7.8207769181164663E-2</v>
      </c>
      <c r="I8344" s="224" t="s">
        <v>2</v>
      </c>
    </row>
    <row r="8345" spans="1:9" x14ac:dyDescent="0.25">
      <c r="A8345" s="515">
        <v>36037</v>
      </c>
      <c r="C8345" s="52">
        <v>99348.129676505094</v>
      </c>
      <c r="D8345" s="56">
        <v>-1.5868969091294646E-2</v>
      </c>
      <c r="E8345" s="224" t="s">
        <v>2</v>
      </c>
      <c r="F8345" s="515" t="s">
        <v>9552</v>
      </c>
      <c r="G8345" s="52">
        <v>87974.043097974805</v>
      </c>
      <c r="H8345" s="56">
        <v>7.6653165379483343E-2</v>
      </c>
      <c r="I8345" s="224" t="s">
        <v>2</v>
      </c>
    </row>
    <row r="8346" spans="1:9" x14ac:dyDescent="0.25">
      <c r="A8346" s="515">
        <v>90212</v>
      </c>
      <c r="B8346" s="515" t="s">
        <v>375</v>
      </c>
      <c r="C8346" s="52">
        <v>2330891.7429622398</v>
      </c>
      <c r="D8346" s="56">
        <v>-0.10701501121996582</v>
      </c>
      <c r="E8346" s="224">
        <v>3608.75396825396</v>
      </c>
      <c r="F8346" s="515" t="s">
        <v>9553</v>
      </c>
      <c r="G8346" s="52">
        <v>166851.707220893</v>
      </c>
      <c r="H8346" s="56">
        <v>5.8862488241018189E-2</v>
      </c>
      <c r="I8346" s="224" t="s">
        <v>2</v>
      </c>
    </row>
    <row r="8347" spans="1:9" x14ac:dyDescent="0.25">
      <c r="A8347" s="515">
        <v>30523</v>
      </c>
      <c r="B8347" s="515" t="s">
        <v>1188</v>
      </c>
      <c r="C8347" s="52">
        <v>304547.95120643498</v>
      </c>
      <c r="D8347" s="56">
        <v>9.2642697357243814E-2</v>
      </c>
      <c r="E8347" s="224" t="s">
        <v>2</v>
      </c>
      <c r="F8347" s="515" t="s">
        <v>9554</v>
      </c>
      <c r="G8347" s="52">
        <v>491870.57398481102</v>
      </c>
      <c r="H8347" s="56">
        <v>0.10367604969258884</v>
      </c>
      <c r="I8347" s="224" t="s">
        <v>2</v>
      </c>
    </row>
    <row r="8348" spans="1:9" x14ac:dyDescent="0.25">
      <c r="A8348" s="515">
        <v>70583</v>
      </c>
      <c r="B8348" s="515" t="s">
        <v>1004</v>
      </c>
      <c r="C8348" s="52">
        <v>173502.070054176</v>
      </c>
      <c r="D8348" s="56">
        <v>4.5085948923328803E-2</v>
      </c>
      <c r="E8348" s="224" t="s">
        <v>2</v>
      </c>
      <c r="F8348" s="515" t="s">
        <v>9555</v>
      </c>
      <c r="G8348" s="52">
        <v>586620.17943076498</v>
      </c>
      <c r="H8348" s="56">
        <v>0.14988655526060654</v>
      </c>
      <c r="I8348" s="224" t="s">
        <v>2</v>
      </c>
    </row>
    <row r="8349" spans="1:9" x14ac:dyDescent="0.25">
      <c r="A8349" s="515">
        <v>29829</v>
      </c>
      <c r="B8349" s="515" t="s">
        <v>888</v>
      </c>
      <c r="C8349" s="52">
        <v>223087.808819261</v>
      </c>
      <c r="D8349" s="56">
        <v>6.3125611347462571E-2</v>
      </c>
      <c r="E8349" s="224" t="s">
        <v>2</v>
      </c>
      <c r="F8349" s="515" t="s">
        <v>9556</v>
      </c>
      <c r="G8349" s="52">
        <v>140952.120347966</v>
      </c>
      <c r="H8349" s="56">
        <v>5.9437476123380392E-2</v>
      </c>
      <c r="I8349" s="224" t="s">
        <v>2</v>
      </c>
    </row>
    <row r="8350" spans="1:9" x14ac:dyDescent="0.25">
      <c r="A8350" s="515">
        <v>77002</v>
      </c>
      <c r="B8350" s="515" t="s">
        <v>314</v>
      </c>
      <c r="C8350" s="52">
        <v>273582.74600195797</v>
      </c>
      <c r="D8350" s="56">
        <v>-1.9164009208359631E-2</v>
      </c>
      <c r="E8350" s="224">
        <v>1848.54415954415</v>
      </c>
      <c r="F8350" s="515" t="s">
        <v>9557</v>
      </c>
      <c r="G8350" s="52">
        <v>489363.51143563801</v>
      </c>
      <c r="H8350" s="56">
        <v>7.1354573520683501E-2</v>
      </c>
      <c r="I8350" s="224" t="s">
        <v>2</v>
      </c>
    </row>
    <row r="8351" spans="1:9" x14ac:dyDescent="0.25">
      <c r="A8351" s="515">
        <v>23851</v>
      </c>
      <c r="B8351" s="515" t="s">
        <v>301</v>
      </c>
      <c r="C8351" s="52">
        <v>209463.22969155101</v>
      </c>
      <c r="D8351" s="56">
        <v>4.0011391514566924E-2</v>
      </c>
      <c r="E8351" s="224" t="s">
        <v>2</v>
      </c>
      <c r="F8351" s="515" t="s">
        <v>9558</v>
      </c>
      <c r="G8351" s="52">
        <v>87072.286566346898</v>
      </c>
      <c r="H8351" s="56">
        <v>-4.3180568003380944E-2</v>
      </c>
      <c r="I8351" s="224" t="s">
        <v>2</v>
      </c>
    </row>
    <row r="8352" spans="1:9" x14ac:dyDescent="0.25">
      <c r="A8352" s="515">
        <v>6424</v>
      </c>
      <c r="B8352" s="515" t="s">
        <v>894</v>
      </c>
      <c r="C8352" s="52">
        <v>330912.89771228598</v>
      </c>
      <c r="D8352" s="56">
        <v>8.3004117496230823E-2</v>
      </c>
      <c r="E8352" s="224" t="s">
        <v>2</v>
      </c>
      <c r="F8352" s="515" t="s">
        <v>9559</v>
      </c>
      <c r="G8352" s="52">
        <v>80271.283130438402</v>
      </c>
      <c r="H8352" s="56">
        <v>-4.7994246456048564E-2</v>
      </c>
      <c r="I8352" s="224" t="s">
        <v>2</v>
      </c>
    </row>
    <row r="8353" spans="1:9" x14ac:dyDescent="0.25">
      <c r="A8353" s="515">
        <v>83350</v>
      </c>
      <c r="B8353" s="515" t="s">
        <v>719</v>
      </c>
      <c r="C8353" s="52">
        <v>268343.42378328502</v>
      </c>
      <c r="D8353" s="56">
        <v>7.3698212165936902E-2</v>
      </c>
      <c r="E8353" s="224" t="s">
        <v>2</v>
      </c>
      <c r="F8353" s="515" t="s">
        <v>9560</v>
      </c>
      <c r="G8353" s="52">
        <v>259378.56820538599</v>
      </c>
      <c r="H8353" s="56">
        <v>0.17762419708534793</v>
      </c>
      <c r="I8353" s="224" t="s">
        <v>2</v>
      </c>
    </row>
    <row r="8354" spans="1:9" x14ac:dyDescent="0.25">
      <c r="A8354" s="515">
        <v>35565</v>
      </c>
      <c r="C8354" s="52">
        <v>107692.12503813001</v>
      </c>
      <c r="D8354" s="56">
        <v>8.9388846091863206E-2</v>
      </c>
      <c r="E8354" s="224" t="s">
        <v>2</v>
      </c>
      <c r="F8354" s="515" t="s">
        <v>9561</v>
      </c>
      <c r="G8354" s="52">
        <v>359264.41265450697</v>
      </c>
      <c r="H8354" s="56">
        <v>3.1097614358808177E-2</v>
      </c>
      <c r="I8354" s="224" t="s">
        <v>2</v>
      </c>
    </row>
    <row r="8355" spans="1:9" x14ac:dyDescent="0.25">
      <c r="A8355" s="515">
        <v>25411</v>
      </c>
      <c r="B8355" s="515" t="s">
        <v>654</v>
      </c>
      <c r="C8355" s="52">
        <v>255134.80945138101</v>
      </c>
      <c r="D8355" s="56">
        <v>0.12807775073726596</v>
      </c>
      <c r="E8355" s="224" t="s">
        <v>2</v>
      </c>
      <c r="F8355" s="515" t="s">
        <v>9562</v>
      </c>
      <c r="G8355" s="52">
        <v>149004.27344796399</v>
      </c>
      <c r="H8355" s="56">
        <v>0.12618880515314271</v>
      </c>
      <c r="I8355" s="224" t="s">
        <v>2</v>
      </c>
    </row>
    <row r="8356" spans="1:9" x14ac:dyDescent="0.25">
      <c r="A8356" s="515">
        <v>60130</v>
      </c>
      <c r="B8356" s="515" t="s">
        <v>394</v>
      </c>
      <c r="C8356" s="52">
        <v>235952.23100108301</v>
      </c>
      <c r="D8356" s="56">
        <v>-2.9352961135655931E-3</v>
      </c>
      <c r="E8356" s="224">
        <v>1358.3333333333301</v>
      </c>
      <c r="F8356" s="515" t="s">
        <v>9563</v>
      </c>
      <c r="G8356" s="52">
        <v>140253.613941277</v>
      </c>
      <c r="H8356" s="56">
        <v>8.402256151448502E-2</v>
      </c>
      <c r="I8356" s="224" t="s">
        <v>2</v>
      </c>
    </row>
    <row r="8357" spans="1:9" x14ac:dyDescent="0.25">
      <c r="A8357" s="515">
        <v>15243</v>
      </c>
      <c r="B8357" s="515" t="s">
        <v>297</v>
      </c>
      <c r="C8357" s="52">
        <v>289267.06856034999</v>
      </c>
      <c r="D8357" s="56">
        <v>3.25710223068695E-2</v>
      </c>
      <c r="E8357" s="224" t="s">
        <v>2</v>
      </c>
      <c r="F8357" s="515" t="s">
        <v>9564</v>
      </c>
      <c r="G8357" s="52">
        <v>217542.728564869</v>
      </c>
      <c r="H8357" s="56">
        <v>0.1166065588597355</v>
      </c>
      <c r="I8357" s="224" t="s">
        <v>2</v>
      </c>
    </row>
    <row r="8358" spans="1:9" x14ac:dyDescent="0.25">
      <c r="A8358" s="515">
        <v>97210</v>
      </c>
      <c r="B8358" s="515" t="s">
        <v>659</v>
      </c>
      <c r="C8358" s="52">
        <v>780825.89027331804</v>
      </c>
      <c r="D8358" s="56">
        <v>-2.9181158482063298E-2</v>
      </c>
      <c r="E8358" s="224">
        <v>1647.4990253411299</v>
      </c>
      <c r="F8358" s="515" t="s">
        <v>9565</v>
      </c>
      <c r="G8358" s="52">
        <v>172649.82660402</v>
      </c>
      <c r="H8358" s="56">
        <v>7.8496039543019827E-2</v>
      </c>
      <c r="I8358" s="224" t="s">
        <v>2</v>
      </c>
    </row>
    <row r="8359" spans="1:9" x14ac:dyDescent="0.25">
      <c r="A8359" s="515">
        <v>18509</v>
      </c>
      <c r="B8359" s="515" t="s">
        <v>512</v>
      </c>
      <c r="C8359" s="52">
        <v>167550.26781424001</v>
      </c>
      <c r="D8359" s="56">
        <v>7.2166734017872006E-2</v>
      </c>
      <c r="E8359" s="224">
        <v>1258.3333333333301</v>
      </c>
      <c r="F8359" s="515" t="s">
        <v>9566</v>
      </c>
      <c r="G8359" s="52">
        <v>958033.47356830398</v>
      </c>
      <c r="H8359" s="56">
        <v>7.3952554972620085E-2</v>
      </c>
      <c r="I8359" s="224" t="s">
        <v>2</v>
      </c>
    </row>
    <row r="8360" spans="1:9" x14ac:dyDescent="0.25">
      <c r="A8360" s="515">
        <v>33332</v>
      </c>
      <c r="B8360" s="515" t="s">
        <v>831</v>
      </c>
      <c r="C8360" s="52">
        <v>866169.23607349303</v>
      </c>
      <c r="D8360" s="56">
        <v>0.16399102849264144</v>
      </c>
      <c r="E8360" s="224">
        <v>5950</v>
      </c>
      <c r="F8360" s="515" t="s">
        <v>9567</v>
      </c>
      <c r="G8360" s="52">
        <v>209739.6123136</v>
      </c>
      <c r="H8360" s="56">
        <v>-5.9861515764115199E-2</v>
      </c>
      <c r="I8360" s="224" t="s">
        <v>2</v>
      </c>
    </row>
    <row r="8361" spans="1:9" x14ac:dyDescent="0.25">
      <c r="A8361" s="515">
        <v>44054</v>
      </c>
      <c r="B8361" s="515" t="s">
        <v>520</v>
      </c>
      <c r="C8361" s="52">
        <v>185650.49473020699</v>
      </c>
      <c r="D8361" s="56">
        <v>7.0987552075857982E-2</v>
      </c>
      <c r="E8361" s="224" t="s">
        <v>2</v>
      </c>
      <c r="F8361" s="515" t="s">
        <v>9568</v>
      </c>
      <c r="G8361" s="52">
        <v>232376.039281012</v>
      </c>
      <c r="H8361" s="56">
        <v>1.5587421243588058E-2</v>
      </c>
      <c r="I8361" s="224" t="s">
        <v>2</v>
      </c>
    </row>
    <row r="8362" spans="1:9" x14ac:dyDescent="0.25">
      <c r="A8362" s="515">
        <v>35951</v>
      </c>
      <c r="B8362" s="515" t="s">
        <v>1182</v>
      </c>
      <c r="C8362" s="52">
        <v>174052.132874873</v>
      </c>
      <c r="D8362" s="56">
        <v>0.10751045520037636</v>
      </c>
      <c r="E8362" s="224" t="s">
        <v>2</v>
      </c>
      <c r="F8362" s="515" t="s">
        <v>9569</v>
      </c>
      <c r="G8362" s="52">
        <v>69732.432847376695</v>
      </c>
      <c r="H8362" s="56">
        <v>0.19398031185874007</v>
      </c>
      <c r="I8362" s="224" t="s">
        <v>2</v>
      </c>
    </row>
    <row r="8363" spans="1:9" x14ac:dyDescent="0.25">
      <c r="A8363" s="515">
        <v>57107</v>
      </c>
      <c r="B8363" s="515" t="s">
        <v>579</v>
      </c>
      <c r="C8363" s="52">
        <v>300266.36847736698</v>
      </c>
      <c r="D8363" s="56">
        <v>6.4798419309937405E-2</v>
      </c>
      <c r="E8363" s="224">
        <v>1153</v>
      </c>
      <c r="F8363" s="515" t="s">
        <v>9570</v>
      </c>
      <c r="G8363" s="52">
        <v>482474.234894494</v>
      </c>
      <c r="H8363" s="56">
        <v>7.1636215831213837E-2</v>
      </c>
      <c r="I8363" s="224" t="s">
        <v>2</v>
      </c>
    </row>
    <row r="8364" spans="1:9" x14ac:dyDescent="0.25">
      <c r="A8364" s="515">
        <v>33567</v>
      </c>
      <c r="B8364" s="515" t="s">
        <v>461</v>
      </c>
      <c r="C8364" s="52">
        <v>363355.504538187</v>
      </c>
      <c r="D8364" s="56">
        <v>0.11386948067804425</v>
      </c>
      <c r="E8364" s="224" t="s">
        <v>2</v>
      </c>
      <c r="F8364" s="515" t="s">
        <v>9571</v>
      </c>
      <c r="G8364" s="52">
        <v>646833.79047366197</v>
      </c>
      <c r="H8364" s="56">
        <v>5.6388941750006985E-2</v>
      </c>
      <c r="I8364" s="224" t="s">
        <v>2</v>
      </c>
    </row>
    <row r="8365" spans="1:9" x14ac:dyDescent="0.25">
      <c r="A8365" s="515">
        <v>66103</v>
      </c>
      <c r="B8365" s="515" t="s">
        <v>455</v>
      </c>
      <c r="C8365" s="52">
        <v>174452.25107287199</v>
      </c>
      <c r="D8365" s="56">
        <v>0.11113140044971453</v>
      </c>
      <c r="E8365" s="224">
        <v>1142.99444444444</v>
      </c>
      <c r="F8365" s="515" t="s">
        <v>9572</v>
      </c>
      <c r="G8365" s="52">
        <v>180690.08258918699</v>
      </c>
      <c r="H8365" s="56">
        <v>9.5025073053325235E-2</v>
      </c>
      <c r="I8365" s="224" t="s">
        <v>2</v>
      </c>
    </row>
    <row r="8366" spans="1:9" x14ac:dyDescent="0.25">
      <c r="A8366" s="515">
        <v>39571</v>
      </c>
      <c r="B8366" s="515" t="s">
        <v>963</v>
      </c>
      <c r="C8366" s="52">
        <v>272475.731065311</v>
      </c>
      <c r="D8366" s="56">
        <v>2.8476781179252238E-2</v>
      </c>
      <c r="E8366" s="224" t="s">
        <v>2</v>
      </c>
      <c r="F8366" s="515" t="s">
        <v>9573</v>
      </c>
      <c r="G8366" s="52">
        <v>267073.15856643399</v>
      </c>
      <c r="H8366" s="56">
        <v>0.12208454279571324</v>
      </c>
      <c r="I8366" s="224" t="s">
        <v>2</v>
      </c>
    </row>
    <row r="8367" spans="1:9" x14ac:dyDescent="0.25">
      <c r="A8367" s="515">
        <v>97739</v>
      </c>
      <c r="B8367" s="515" t="s">
        <v>1190</v>
      </c>
      <c r="C8367" s="52">
        <v>380804.609485291</v>
      </c>
      <c r="D8367" s="56">
        <v>2.3355602164202231E-2</v>
      </c>
      <c r="E8367" s="224" t="s">
        <v>2</v>
      </c>
      <c r="F8367" s="515" t="s">
        <v>9574</v>
      </c>
      <c r="G8367" s="52">
        <v>487324.165826665</v>
      </c>
      <c r="H8367" s="56">
        <v>7.4739262068130835E-2</v>
      </c>
      <c r="I8367" s="224" t="s">
        <v>2</v>
      </c>
    </row>
    <row r="8368" spans="1:9" x14ac:dyDescent="0.25">
      <c r="A8368" s="515">
        <v>50677</v>
      </c>
      <c r="B8368" s="515" t="s">
        <v>315</v>
      </c>
      <c r="C8368" s="52">
        <v>223497.25720934701</v>
      </c>
      <c r="D8368" s="56">
        <v>8.8439915432956942E-2</v>
      </c>
      <c r="E8368" s="224" t="s">
        <v>2</v>
      </c>
      <c r="F8368" s="515" t="s">
        <v>9575</v>
      </c>
      <c r="G8368" s="52">
        <v>437105.88232948899</v>
      </c>
      <c r="H8368" s="56">
        <v>6.578067212461701E-2</v>
      </c>
      <c r="I8368" s="224" t="s">
        <v>2</v>
      </c>
    </row>
    <row r="8369" spans="1:9" x14ac:dyDescent="0.25">
      <c r="A8369" s="515">
        <v>95320</v>
      </c>
      <c r="B8369" s="515" t="s">
        <v>852</v>
      </c>
      <c r="C8369" s="52">
        <v>538951.49280970299</v>
      </c>
      <c r="D8369" s="56">
        <v>-2.0159851656553665E-2</v>
      </c>
      <c r="E8369" s="224" t="s">
        <v>2</v>
      </c>
      <c r="F8369" s="515" t="s">
        <v>9576</v>
      </c>
      <c r="G8369" s="52">
        <v>597098.30252455501</v>
      </c>
      <c r="H8369" s="56">
        <v>4.9499144753758016E-2</v>
      </c>
      <c r="I8369" s="224">
        <v>1900</v>
      </c>
    </row>
    <row r="8370" spans="1:9" x14ac:dyDescent="0.25">
      <c r="A8370" s="515">
        <v>97439</v>
      </c>
      <c r="B8370" s="515" t="s">
        <v>801</v>
      </c>
      <c r="C8370" s="52">
        <v>440266.27776585298</v>
      </c>
      <c r="D8370" s="56">
        <v>6.2450895347732231E-2</v>
      </c>
      <c r="E8370" s="224" t="s">
        <v>2</v>
      </c>
      <c r="F8370" s="515" t="s">
        <v>9577</v>
      </c>
      <c r="G8370" s="52">
        <v>322001.79066518397</v>
      </c>
      <c r="H8370" s="56">
        <v>-1.2266051222084172E-2</v>
      </c>
      <c r="I8370" s="224" t="s">
        <v>2</v>
      </c>
    </row>
    <row r="8371" spans="1:9" x14ac:dyDescent="0.25">
      <c r="A8371" s="515">
        <v>55056</v>
      </c>
      <c r="B8371" s="515" t="s">
        <v>532</v>
      </c>
      <c r="C8371" s="52">
        <v>320946.49470720597</v>
      </c>
      <c r="D8371" s="56">
        <v>4.0595878698041349E-2</v>
      </c>
      <c r="E8371" s="224" t="s">
        <v>2</v>
      </c>
      <c r="F8371" s="515" t="s">
        <v>9578</v>
      </c>
      <c r="G8371" s="52">
        <v>276236.20939856698</v>
      </c>
      <c r="H8371" s="56">
        <v>6.6243337952190562E-2</v>
      </c>
      <c r="I8371" s="224" t="s">
        <v>2</v>
      </c>
    </row>
    <row r="8372" spans="1:9" x14ac:dyDescent="0.25">
      <c r="A8372" s="515">
        <v>77510</v>
      </c>
      <c r="B8372" s="515" t="s">
        <v>314</v>
      </c>
      <c r="C8372" s="52">
        <v>289003.32144218398</v>
      </c>
      <c r="D8372" s="56">
        <v>3.2547124339466736E-2</v>
      </c>
      <c r="E8372" s="224" t="s">
        <v>2</v>
      </c>
      <c r="F8372" s="515" t="s">
        <v>9579</v>
      </c>
      <c r="G8372" s="52">
        <v>1806182.90926171</v>
      </c>
      <c r="H8372" s="56">
        <v>9.9628373790722424E-2</v>
      </c>
      <c r="I8372" s="224">
        <v>32674.95</v>
      </c>
    </row>
    <row r="8373" spans="1:9" x14ac:dyDescent="0.25">
      <c r="A8373" s="515">
        <v>45680</v>
      </c>
      <c r="B8373" s="515" t="s">
        <v>602</v>
      </c>
      <c r="C8373" s="52">
        <v>132290.90491478299</v>
      </c>
      <c r="D8373" s="56">
        <v>7.0951876068367503E-2</v>
      </c>
      <c r="E8373" s="224" t="s">
        <v>2</v>
      </c>
      <c r="F8373" s="515" t="s">
        <v>9580</v>
      </c>
      <c r="G8373" s="52">
        <v>158491.05664338701</v>
      </c>
      <c r="H8373" s="56">
        <v>7.8936492466492314E-2</v>
      </c>
      <c r="I8373" s="224" t="s">
        <v>2</v>
      </c>
    </row>
    <row r="8374" spans="1:9" x14ac:dyDescent="0.25">
      <c r="A8374" s="515">
        <v>27822</v>
      </c>
      <c r="B8374" s="515" t="s">
        <v>780</v>
      </c>
      <c r="C8374" s="52">
        <v>192050.82959931</v>
      </c>
      <c r="D8374" s="56">
        <v>0.20704537445164395</v>
      </c>
      <c r="E8374" s="224" t="s">
        <v>2</v>
      </c>
      <c r="F8374" s="515" t="s">
        <v>9581</v>
      </c>
      <c r="G8374" s="52">
        <v>122784.23706784799</v>
      </c>
      <c r="H8374" s="56">
        <v>0.14226269556847707</v>
      </c>
      <c r="I8374" s="224" t="s">
        <v>2</v>
      </c>
    </row>
    <row r="8375" spans="1:9" x14ac:dyDescent="0.25">
      <c r="A8375" s="515">
        <v>94920</v>
      </c>
      <c r="B8375" s="515" t="s">
        <v>593</v>
      </c>
      <c r="C8375" s="52">
        <v>2902576.2325927299</v>
      </c>
      <c r="D8375" s="56">
        <v>2.8384211009222705E-2</v>
      </c>
      <c r="E8375" s="224">
        <v>4719.1666666666597</v>
      </c>
      <c r="F8375" s="515" t="s">
        <v>9582</v>
      </c>
      <c r="G8375" s="52">
        <v>220618.42106778</v>
      </c>
      <c r="H8375" s="56">
        <v>0.25575590729137626</v>
      </c>
      <c r="I8375" s="224" t="s">
        <v>2</v>
      </c>
    </row>
    <row r="8376" spans="1:9" x14ac:dyDescent="0.25">
      <c r="A8376" s="515">
        <v>19962</v>
      </c>
      <c r="B8376" s="515" t="s">
        <v>410</v>
      </c>
      <c r="C8376" s="52">
        <v>382185.34711009997</v>
      </c>
      <c r="D8376" s="56">
        <v>6.529266175629031E-2</v>
      </c>
      <c r="E8376" s="224" t="s">
        <v>2</v>
      </c>
      <c r="F8376" s="515" t="s">
        <v>9583</v>
      </c>
      <c r="G8376" s="52">
        <v>302743.97988254699</v>
      </c>
      <c r="H8376" s="56">
        <v>0.11426358731633407</v>
      </c>
      <c r="I8376" s="224" t="s">
        <v>2</v>
      </c>
    </row>
    <row r="8377" spans="1:9" x14ac:dyDescent="0.25">
      <c r="A8377" s="515">
        <v>14513</v>
      </c>
      <c r="B8377" s="515" t="s">
        <v>337</v>
      </c>
      <c r="C8377" s="52">
        <v>150467.18335303199</v>
      </c>
      <c r="D8377" s="56">
        <v>6.8019947584901541E-2</v>
      </c>
      <c r="E8377" s="224" t="s">
        <v>2</v>
      </c>
      <c r="F8377" s="515" t="s">
        <v>9584</v>
      </c>
      <c r="G8377" s="52">
        <v>230606.07894284301</v>
      </c>
      <c r="H8377" s="56">
        <v>5.7213365951655396E-2</v>
      </c>
      <c r="I8377" s="224" t="s">
        <v>2</v>
      </c>
    </row>
    <row r="8378" spans="1:9" x14ac:dyDescent="0.25">
      <c r="A8378" s="515">
        <v>79772</v>
      </c>
      <c r="B8378" s="515" t="s">
        <v>1199</v>
      </c>
      <c r="C8378" s="52">
        <v>142660.24228737</v>
      </c>
      <c r="D8378" s="56">
        <v>-0.22572892920484025</v>
      </c>
      <c r="E8378" s="224" t="s">
        <v>2</v>
      </c>
      <c r="F8378" s="515" t="s">
        <v>9585</v>
      </c>
      <c r="G8378" s="52">
        <v>176932.71928827799</v>
      </c>
      <c r="H8378" s="56">
        <v>-4.065601157952866E-2</v>
      </c>
      <c r="I8378" s="224" t="s">
        <v>2</v>
      </c>
    </row>
    <row r="8379" spans="1:9" x14ac:dyDescent="0.25">
      <c r="A8379" s="515">
        <v>60558</v>
      </c>
      <c r="B8379" s="515" t="s">
        <v>394</v>
      </c>
      <c r="C8379" s="52">
        <v>643866.34786928399</v>
      </c>
      <c r="D8379" s="56">
        <v>5.8598831775851325E-2</v>
      </c>
      <c r="E8379" s="224" t="s">
        <v>2</v>
      </c>
      <c r="F8379" s="515" t="s">
        <v>9586</v>
      </c>
      <c r="G8379" s="52">
        <v>85471.569291451495</v>
      </c>
      <c r="H8379" s="56">
        <v>0.19108777748873385</v>
      </c>
      <c r="I8379" s="224" t="s">
        <v>2</v>
      </c>
    </row>
    <row r="8380" spans="1:9" x14ac:dyDescent="0.25">
      <c r="A8380" s="515">
        <v>35504</v>
      </c>
      <c r="B8380" s="515" t="s">
        <v>1087</v>
      </c>
      <c r="C8380" s="52">
        <v>253901.61992729999</v>
      </c>
      <c r="D8380" s="56">
        <v>7.6333612874801754E-2</v>
      </c>
      <c r="E8380" s="224" t="s">
        <v>2</v>
      </c>
      <c r="F8380" s="515" t="s">
        <v>9587</v>
      </c>
      <c r="G8380" s="52">
        <v>367791.81924694299</v>
      </c>
      <c r="H8380" s="56">
        <v>3.8448936019333884E-3</v>
      </c>
      <c r="I8380" s="224" t="s">
        <v>2</v>
      </c>
    </row>
    <row r="8381" spans="1:9" x14ac:dyDescent="0.25">
      <c r="A8381" s="515">
        <v>63051</v>
      </c>
      <c r="B8381" s="515" t="s">
        <v>498</v>
      </c>
      <c r="C8381" s="52">
        <v>222460.872276621</v>
      </c>
      <c r="D8381" s="56">
        <v>5.476513727143905E-2</v>
      </c>
      <c r="E8381" s="224" t="s">
        <v>2</v>
      </c>
      <c r="F8381" s="515" t="s">
        <v>9588</v>
      </c>
      <c r="G8381" s="52">
        <v>141347.61909748201</v>
      </c>
      <c r="H8381" s="56">
        <v>0.10879466717940409</v>
      </c>
      <c r="I8381" s="224" t="s">
        <v>2</v>
      </c>
    </row>
    <row r="8382" spans="1:9" x14ac:dyDescent="0.25">
      <c r="A8382" s="515">
        <v>46107</v>
      </c>
      <c r="B8382" s="515" t="s">
        <v>403</v>
      </c>
      <c r="C8382" s="52">
        <v>178745.27724046601</v>
      </c>
      <c r="D8382" s="56">
        <v>9.397372832380918E-2</v>
      </c>
      <c r="E8382" s="224">
        <v>1100</v>
      </c>
      <c r="F8382" s="515" t="s">
        <v>9589</v>
      </c>
      <c r="G8382" s="52">
        <v>154994.824899164</v>
      </c>
      <c r="H8382" s="56">
        <v>4.1464749543829948E-2</v>
      </c>
      <c r="I8382" s="224" t="s">
        <v>2</v>
      </c>
    </row>
    <row r="8383" spans="1:9" x14ac:dyDescent="0.25">
      <c r="A8383" s="515">
        <v>54482</v>
      </c>
      <c r="B8383" s="515" t="s">
        <v>1095</v>
      </c>
      <c r="C8383" s="52">
        <v>292071.05075112899</v>
      </c>
      <c r="D8383" s="56">
        <v>6.1167881200817252E-2</v>
      </c>
      <c r="E8383" s="224" t="s">
        <v>2</v>
      </c>
      <c r="F8383" s="515" t="s">
        <v>9590</v>
      </c>
      <c r="G8383" s="52">
        <v>513380.10529178398</v>
      </c>
      <c r="H8383" s="56">
        <v>0.10666101725374987</v>
      </c>
      <c r="I8383" s="224" t="s">
        <v>2</v>
      </c>
    </row>
    <row r="8384" spans="1:9" x14ac:dyDescent="0.25">
      <c r="A8384" s="515">
        <v>66219</v>
      </c>
      <c r="B8384" s="515" t="s">
        <v>455</v>
      </c>
      <c r="C8384" s="52">
        <v>397043.383603564</v>
      </c>
      <c r="D8384" s="56">
        <v>4.51248561130086E-2</v>
      </c>
      <c r="E8384" s="224">
        <v>1624.36706349206</v>
      </c>
      <c r="F8384" s="515" t="s">
        <v>9591</v>
      </c>
      <c r="G8384" s="52">
        <v>264905.65004062903</v>
      </c>
      <c r="H8384" s="56">
        <v>8.9064190710679461E-2</v>
      </c>
      <c r="I8384" s="224" t="s">
        <v>2</v>
      </c>
    </row>
    <row r="8385" spans="1:9" x14ac:dyDescent="0.25">
      <c r="A8385" s="515">
        <v>2114</v>
      </c>
      <c r="B8385" s="515" t="s">
        <v>534</v>
      </c>
      <c r="C8385" s="52">
        <v>687097.53185102495</v>
      </c>
      <c r="D8385" s="56">
        <v>-3.9089013826148572E-2</v>
      </c>
      <c r="E8385" s="224">
        <v>3229.7092851879102</v>
      </c>
      <c r="F8385" s="515" t="s">
        <v>9592</v>
      </c>
      <c r="G8385" s="52">
        <v>396769.81564340403</v>
      </c>
      <c r="H8385" s="56">
        <v>0.12933909075554667</v>
      </c>
      <c r="I8385" s="224" t="s">
        <v>2</v>
      </c>
    </row>
    <row r="8386" spans="1:9" x14ac:dyDescent="0.25">
      <c r="A8386" s="515">
        <v>17003</v>
      </c>
      <c r="B8386" s="515" t="s">
        <v>562</v>
      </c>
      <c r="C8386" s="52">
        <v>301162.04036757699</v>
      </c>
      <c r="D8386" s="56">
        <v>0.11008148625678688</v>
      </c>
      <c r="E8386" s="224" t="s">
        <v>2</v>
      </c>
      <c r="F8386" s="515" t="s">
        <v>9593</v>
      </c>
      <c r="G8386" s="52">
        <v>137984.30437313</v>
      </c>
      <c r="H8386" s="56">
        <v>6.7770717092461616E-2</v>
      </c>
      <c r="I8386" s="224" t="s">
        <v>2</v>
      </c>
    </row>
    <row r="8387" spans="1:9" x14ac:dyDescent="0.25">
      <c r="A8387" s="515">
        <v>84315</v>
      </c>
      <c r="B8387" s="515" t="s">
        <v>628</v>
      </c>
      <c r="C8387" s="52">
        <v>576994.32147654402</v>
      </c>
      <c r="D8387" s="56">
        <v>2.4915846283053621E-2</v>
      </c>
      <c r="E8387" s="224" t="s">
        <v>2</v>
      </c>
      <c r="F8387" s="515" t="s">
        <v>9594</v>
      </c>
      <c r="G8387" s="52">
        <v>240402.01934847201</v>
      </c>
      <c r="H8387" s="56">
        <v>0.12586875229601246</v>
      </c>
      <c r="I8387" s="224" t="s">
        <v>2</v>
      </c>
    </row>
    <row r="8388" spans="1:9" x14ac:dyDescent="0.25">
      <c r="A8388" s="515">
        <v>35475</v>
      </c>
      <c r="B8388" s="515" t="s">
        <v>841</v>
      </c>
      <c r="C8388" s="52">
        <v>298888.28050057602</v>
      </c>
      <c r="D8388" s="56">
        <v>7.2869460635260674E-2</v>
      </c>
      <c r="E8388" s="224" t="s">
        <v>2</v>
      </c>
      <c r="F8388" s="515" t="s">
        <v>9595</v>
      </c>
      <c r="G8388" s="52">
        <v>192719.15923845899</v>
      </c>
      <c r="H8388" s="56">
        <v>0.10619771795088696</v>
      </c>
      <c r="I8388" s="224" t="s">
        <v>2</v>
      </c>
    </row>
    <row r="8389" spans="1:9" x14ac:dyDescent="0.25">
      <c r="A8389" s="515">
        <v>2052</v>
      </c>
      <c r="B8389" s="515" t="s">
        <v>534</v>
      </c>
      <c r="C8389" s="52">
        <v>875711.85204926401</v>
      </c>
      <c r="D8389" s="56">
        <v>4.4192336940042175E-2</v>
      </c>
      <c r="E8389" s="224" t="s">
        <v>2</v>
      </c>
      <c r="F8389" s="515" t="s">
        <v>9596</v>
      </c>
      <c r="G8389" s="52">
        <v>297112.363105928</v>
      </c>
      <c r="H8389" s="56">
        <v>6.4029071601339832E-2</v>
      </c>
      <c r="I8389" s="224" t="s">
        <v>2</v>
      </c>
    </row>
    <row r="8390" spans="1:9" x14ac:dyDescent="0.25">
      <c r="A8390" s="515">
        <v>73122</v>
      </c>
      <c r="B8390" s="515" t="s">
        <v>385</v>
      </c>
      <c r="C8390" s="52">
        <v>172943.93795957399</v>
      </c>
      <c r="D8390" s="56">
        <v>0.12811881171751996</v>
      </c>
      <c r="E8390" s="224" t="s">
        <v>2</v>
      </c>
      <c r="F8390" s="515" t="s">
        <v>9597</v>
      </c>
      <c r="G8390" s="52">
        <v>177815.234042553</v>
      </c>
      <c r="H8390" s="56">
        <v>0</v>
      </c>
      <c r="I8390" s="224" t="s">
        <v>2</v>
      </c>
    </row>
    <row r="8391" spans="1:9" x14ac:dyDescent="0.25">
      <c r="A8391" s="515">
        <v>47371</v>
      </c>
      <c r="C8391" s="52">
        <v>133045.19534441299</v>
      </c>
      <c r="D8391" s="56">
        <v>7.8344851732621068E-2</v>
      </c>
      <c r="E8391" s="224" t="s">
        <v>2</v>
      </c>
      <c r="F8391" s="515" t="s">
        <v>9598</v>
      </c>
      <c r="G8391" s="52">
        <v>282922.65074981702</v>
      </c>
      <c r="H8391" s="56">
        <v>9.0421918918797528E-2</v>
      </c>
      <c r="I8391" s="224" t="s">
        <v>2</v>
      </c>
    </row>
    <row r="8392" spans="1:9" x14ac:dyDescent="0.25">
      <c r="A8392" s="515">
        <v>32951</v>
      </c>
      <c r="B8392" s="515" t="s">
        <v>1133</v>
      </c>
      <c r="C8392" s="52">
        <v>595266.532060956</v>
      </c>
      <c r="D8392" s="56">
        <v>0.12525509132997262</v>
      </c>
      <c r="E8392" s="224" t="s">
        <v>2</v>
      </c>
      <c r="F8392" s="515" t="s">
        <v>9599</v>
      </c>
      <c r="G8392" s="52">
        <v>400826.65900550003</v>
      </c>
      <c r="H8392" s="56">
        <v>3.3079053839994092E-2</v>
      </c>
      <c r="I8392" s="224" t="s">
        <v>2</v>
      </c>
    </row>
    <row r="8393" spans="1:9" x14ac:dyDescent="0.25">
      <c r="A8393" s="515">
        <v>54961</v>
      </c>
      <c r="C8393" s="52">
        <v>208647.33033960601</v>
      </c>
      <c r="D8393" s="56">
        <v>6.5676051859301088E-2</v>
      </c>
      <c r="E8393" s="224" t="s">
        <v>2</v>
      </c>
      <c r="F8393" s="515" t="s">
        <v>9600</v>
      </c>
      <c r="G8393" s="52">
        <v>785141.73007024301</v>
      </c>
      <c r="H8393" s="56">
        <v>5.2476310966075357E-2</v>
      </c>
      <c r="I8393" s="224" t="s">
        <v>2</v>
      </c>
    </row>
    <row r="8394" spans="1:9" x14ac:dyDescent="0.25">
      <c r="A8394" s="515">
        <v>86413</v>
      </c>
      <c r="B8394" s="515" t="s">
        <v>453</v>
      </c>
      <c r="C8394" s="52">
        <v>228354.49717240801</v>
      </c>
      <c r="D8394" s="56">
        <v>5.3759689035423046E-2</v>
      </c>
      <c r="E8394" s="224" t="s">
        <v>2</v>
      </c>
      <c r="F8394" s="515" t="s">
        <v>9601</v>
      </c>
      <c r="G8394" s="52">
        <v>134876.290319691</v>
      </c>
      <c r="H8394" s="56">
        <v>1.8629557409663943E-2</v>
      </c>
      <c r="I8394" s="224" t="s">
        <v>2</v>
      </c>
    </row>
    <row r="8395" spans="1:9" x14ac:dyDescent="0.25">
      <c r="A8395" s="515">
        <v>8318</v>
      </c>
      <c r="B8395" s="515" t="s">
        <v>294</v>
      </c>
      <c r="C8395" s="52">
        <v>285276.10979124502</v>
      </c>
      <c r="D8395" s="56">
        <v>4.0605299154475735E-2</v>
      </c>
      <c r="E8395" s="224" t="s">
        <v>2</v>
      </c>
      <c r="F8395" s="515" t="s">
        <v>9602</v>
      </c>
      <c r="G8395" s="52">
        <v>149795.51448041099</v>
      </c>
      <c r="H8395" s="56">
        <v>0.11117479148738324</v>
      </c>
      <c r="I8395" s="224" t="s">
        <v>2</v>
      </c>
    </row>
    <row r="8396" spans="1:9" x14ac:dyDescent="0.25">
      <c r="A8396" s="515">
        <v>10918</v>
      </c>
      <c r="B8396" s="515" t="s">
        <v>529</v>
      </c>
      <c r="C8396" s="52">
        <v>440013.87317814102</v>
      </c>
      <c r="D8396" s="56">
        <v>8.7895628150968089E-2</v>
      </c>
      <c r="E8396" s="224" t="s">
        <v>2</v>
      </c>
      <c r="F8396" s="515" t="s">
        <v>9603</v>
      </c>
      <c r="G8396" s="52">
        <v>220738.91000457201</v>
      </c>
      <c r="H8396" s="56">
        <v>4.9379553199263418E-2</v>
      </c>
      <c r="I8396" s="224" t="s">
        <v>2</v>
      </c>
    </row>
    <row r="8397" spans="1:9" x14ac:dyDescent="0.25">
      <c r="A8397" s="515">
        <v>66101</v>
      </c>
      <c r="B8397" s="515" t="s">
        <v>455</v>
      </c>
      <c r="C8397" s="52">
        <v>111235.669705558</v>
      </c>
      <c r="D8397" s="56">
        <v>0.30675756570498663</v>
      </c>
      <c r="E8397" s="224">
        <v>1235</v>
      </c>
      <c r="F8397" s="515" t="s">
        <v>9604</v>
      </c>
      <c r="G8397" s="52">
        <v>205364.68286278201</v>
      </c>
      <c r="H8397" s="56">
        <v>-4.3696448620854124E-2</v>
      </c>
      <c r="I8397" s="224" t="s">
        <v>2</v>
      </c>
    </row>
    <row r="8398" spans="1:9" x14ac:dyDescent="0.25">
      <c r="A8398" s="515">
        <v>95391</v>
      </c>
      <c r="B8398" s="515" t="s">
        <v>593</v>
      </c>
      <c r="C8398" s="52">
        <v>949250.62876167498</v>
      </c>
      <c r="D8398" s="56">
        <v>4.2015591073804072E-2</v>
      </c>
      <c r="E8398" s="224">
        <v>2968.9186507936502</v>
      </c>
      <c r="F8398" s="515" t="s">
        <v>9605</v>
      </c>
      <c r="G8398" s="52">
        <v>355031.32720298698</v>
      </c>
      <c r="H8398" s="56">
        <v>0.1039722733382334</v>
      </c>
      <c r="I8398" s="224" t="s">
        <v>2</v>
      </c>
    </row>
    <row r="8399" spans="1:9" x14ac:dyDescent="0.25">
      <c r="A8399" s="515">
        <v>71302</v>
      </c>
      <c r="B8399" s="515" t="s">
        <v>968</v>
      </c>
      <c r="C8399" s="52">
        <v>65244.6455770721</v>
      </c>
      <c r="D8399" s="56">
        <v>0.12539706590070543</v>
      </c>
      <c r="E8399" s="224" t="s">
        <v>2</v>
      </c>
      <c r="F8399" s="515" t="s">
        <v>9606</v>
      </c>
      <c r="G8399" s="52">
        <v>280623.519965176</v>
      </c>
      <c r="H8399" s="56">
        <v>1.3671947349633081E-2</v>
      </c>
      <c r="I8399" s="224" t="s">
        <v>2</v>
      </c>
    </row>
    <row r="8400" spans="1:9" x14ac:dyDescent="0.25">
      <c r="A8400" s="515">
        <v>11576</v>
      </c>
      <c r="B8400" s="515" t="s">
        <v>324</v>
      </c>
      <c r="C8400" s="52">
        <v>1341060.3128994801</v>
      </c>
      <c r="D8400" s="56">
        <v>7.0589769725163495E-2</v>
      </c>
      <c r="E8400" s="224" t="s">
        <v>2</v>
      </c>
      <c r="F8400" s="515" t="s">
        <v>9607</v>
      </c>
      <c r="G8400" s="52">
        <v>87828.126774747594</v>
      </c>
      <c r="H8400" s="56">
        <v>-2.404267013557548E-2</v>
      </c>
      <c r="I8400" s="224" t="s">
        <v>2</v>
      </c>
    </row>
    <row r="8401" spans="1:9" x14ac:dyDescent="0.25">
      <c r="A8401" s="515">
        <v>64429</v>
      </c>
      <c r="B8401" s="515" t="s">
        <v>371</v>
      </c>
      <c r="C8401" s="52">
        <v>201316.951869699</v>
      </c>
      <c r="D8401" s="56">
        <v>7.5226491883842006E-2</v>
      </c>
      <c r="E8401" s="224" t="s">
        <v>2</v>
      </c>
      <c r="F8401" s="515" t="s">
        <v>9608</v>
      </c>
      <c r="G8401" s="52">
        <v>184355.203808808</v>
      </c>
      <c r="H8401" s="56">
        <v>-4.6617209667339024E-2</v>
      </c>
      <c r="I8401" s="224" t="s">
        <v>2</v>
      </c>
    </row>
    <row r="8402" spans="1:9" x14ac:dyDescent="0.25">
      <c r="A8402" s="515">
        <v>22835</v>
      </c>
      <c r="C8402" s="52">
        <v>265450.046547773</v>
      </c>
      <c r="D8402" s="56">
        <v>9.5422013910256315E-2</v>
      </c>
      <c r="E8402" s="224" t="s">
        <v>2</v>
      </c>
      <c r="F8402" s="515" t="s">
        <v>9609</v>
      </c>
      <c r="G8402" s="52">
        <v>353077.14346011</v>
      </c>
      <c r="H8402" s="56">
        <v>9.2300989790037417E-3</v>
      </c>
      <c r="I8402" s="224" t="s">
        <v>2</v>
      </c>
    </row>
    <row r="8403" spans="1:9" x14ac:dyDescent="0.25">
      <c r="A8403" s="515">
        <v>96749</v>
      </c>
      <c r="B8403" s="515" t="s">
        <v>399</v>
      </c>
      <c r="C8403" s="52">
        <v>435188.76967048203</v>
      </c>
      <c r="D8403" s="56">
        <v>0.16837842097419656</v>
      </c>
      <c r="E8403" s="224" t="s">
        <v>2</v>
      </c>
      <c r="F8403" s="515" t="s">
        <v>9610</v>
      </c>
      <c r="G8403" s="52">
        <v>239895.33377196401</v>
      </c>
      <c r="H8403" s="56">
        <v>5.9794261631425899E-2</v>
      </c>
      <c r="I8403" s="224" t="s">
        <v>2</v>
      </c>
    </row>
    <row r="8404" spans="1:9" x14ac:dyDescent="0.25">
      <c r="A8404" s="515">
        <v>13207</v>
      </c>
      <c r="B8404" s="515" t="s">
        <v>361</v>
      </c>
      <c r="C8404" s="52">
        <v>128523.48190340601</v>
      </c>
      <c r="D8404" s="56">
        <v>6.6714813092786943E-2</v>
      </c>
      <c r="E8404" s="224" t="s">
        <v>2</v>
      </c>
      <c r="F8404" s="515" t="s">
        <v>9611</v>
      </c>
      <c r="G8404" s="52">
        <v>380219.15334853</v>
      </c>
      <c r="H8404" s="56">
        <v>9.5147056729527502E-2</v>
      </c>
      <c r="I8404" s="224" t="s">
        <v>2</v>
      </c>
    </row>
    <row r="8405" spans="1:9" x14ac:dyDescent="0.25">
      <c r="A8405" s="515">
        <v>27055</v>
      </c>
      <c r="B8405" s="515" t="s">
        <v>735</v>
      </c>
      <c r="C8405" s="52">
        <v>207058.35819953299</v>
      </c>
      <c r="D8405" s="56">
        <v>0.16177483655520047</v>
      </c>
      <c r="E8405" s="224" t="s">
        <v>2</v>
      </c>
      <c r="F8405" s="515" t="s">
        <v>9612</v>
      </c>
      <c r="G8405" s="52">
        <v>209199.35599713901</v>
      </c>
      <c r="H8405" s="56">
        <v>1.2622996080395627E-2</v>
      </c>
      <c r="I8405" s="224" t="s">
        <v>2</v>
      </c>
    </row>
    <row r="8406" spans="1:9" x14ac:dyDescent="0.25">
      <c r="A8406" s="515">
        <v>98390</v>
      </c>
      <c r="B8406" s="515" t="s">
        <v>384</v>
      </c>
      <c r="C8406" s="52">
        <v>524336.43603738502</v>
      </c>
      <c r="D8406" s="56">
        <v>8.0077752477391538E-3</v>
      </c>
      <c r="E8406" s="224">
        <v>1853.82222222222</v>
      </c>
      <c r="F8406" s="515" t="s">
        <v>9613</v>
      </c>
      <c r="G8406" s="52">
        <v>309760.35041802702</v>
      </c>
      <c r="H8406" s="56">
        <v>8.7751641315206255E-2</v>
      </c>
      <c r="I8406" s="224" t="s">
        <v>2</v>
      </c>
    </row>
    <row r="8407" spans="1:9" x14ac:dyDescent="0.25">
      <c r="A8407" s="515">
        <v>10930</v>
      </c>
      <c r="B8407" s="515" t="s">
        <v>529</v>
      </c>
      <c r="C8407" s="52">
        <v>458337.90457440302</v>
      </c>
      <c r="D8407" s="56">
        <v>7.9953919754052985E-2</v>
      </c>
      <c r="E8407" s="224" t="s">
        <v>2</v>
      </c>
      <c r="F8407" s="515" t="s">
        <v>9614</v>
      </c>
      <c r="G8407" s="52">
        <v>980669.80394175497</v>
      </c>
      <c r="H8407" s="56">
        <v>6.0775146130329222E-2</v>
      </c>
      <c r="I8407" s="224" t="s">
        <v>2</v>
      </c>
    </row>
    <row r="8408" spans="1:9" x14ac:dyDescent="0.25">
      <c r="A8408" s="515">
        <v>8107</v>
      </c>
      <c r="B8408" s="515" t="s">
        <v>294</v>
      </c>
      <c r="C8408" s="52">
        <v>259612.03511258401</v>
      </c>
      <c r="D8408" s="56">
        <v>9.2219538470979523E-2</v>
      </c>
      <c r="E8408" s="224">
        <v>1550</v>
      </c>
      <c r="F8408" s="515" t="s">
        <v>9615</v>
      </c>
      <c r="G8408" s="52">
        <v>353334.77542824799</v>
      </c>
      <c r="H8408" s="56">
        <v>6.732259689571006E-2</v>
      </c>
      <c r="I8408" s="224" t="s">
        <v>2</v>
      </c>
    </row>
    <row r="8409" spans="1:9" x14ac:dyDescent="0.25">
      <c r="A8409" s="515">
        <v>78252</v>
      </c>
      <c r="B8409" s="515" t="s">
        <v>717</v>
      </c>
      <c r="C8409" s="52">
        <v>263227.317473937</v>
      </c>
      <c r="D8409" s="56">
        <v>6.0911421662238729E-2</v>
      </c>
      <c r="E8409" s="224">
        <v>1725.5333333333299</v>
      </c>
      <c r="F8409" s="515" t="s">
        <v>9616</v>
      </c>
      <c r="G8409" s="52">
        <v>189570.63571709301</v>
      </c>
      <c r="H8409" s="56">
        <v>1.908687193507054E-2</v>
      </c>
      <c r="I8409" s="224" t="s">
        <v>2</v>
      </c>
    </row>
    <row r="8410" spans="1:9" x14ac:dyDescent="0.25">
      <c r="A8410" s="515">
        <v>33872</v>
      </c>
      <c r="B8410" s="515" t="s">
        <v>1099</v>
      </c>
      <c r="C8410" s="52">
        <v>243170.15942522799</v>
      </c>
      <c r="D8410" s="56">
        <v>0.13790528806900271</v>
      </c>
      <c r="E8410" s="224" t="s">
        <v>2</v>
      </c>
      <c r="F8410" s="515" t="s">
        <v>9617</v>
      </c>
      <c r="G8410" s="52">
        <v>280910.78328315302</v>
      </c>
      <c r="H8410" s="56">
        <v>6.5890764790803705E-2</v>
      </c>
      <c r="I8410" s="224" t="s">
        <v>2</v>
      </c>
    </row>
    <row r="8411" spans="1:9" x14ac:dyDescent="0.25">
      <c r="A8411" s="515">
        <v>45506</v>
      </c>
      <c r="B8411" s="515" t="s">
        <v>398</v>
      </c>
      <c r="C8411" s="52">
        <v>83045.113873080598</v>
      </c>
      <c r="D8411" s="56">
        <v>0.21222087670785036</v>
      </c>
      <c r="E8411" s="224" t="s">
        <v>2</v>
      </c>
      <c r="F8411" s="515" t="s">
        <v>9618</v>
      </c>
      <c r="G8411" s="52">
        <v>221043.06790962099</v>
      </c>
      <c r="H8411" s="56">
        <v>0.17001076610139995</v>
      </c>
      <c r="I8411" s="224" t="s">
        <v>2</v>
      </c>
    </row>
    <row r="8412" spans="1:9" x14ac:dyDescent="0.25">
      <c r="A8412" s="515">
        <v>32736</v>
      </c>
      <c r="B8412" s="515" t="s">
        <v>517</v>
      </c>
      <c r="C8412" s="52">
        <v>437307.189485854</v>
      </c>
      <c r="D8412" s="56">
        <v>0.11039662369504603</v>
      </c>
      <c r="E8412" s="224" t="s">
        <v>2</v>
      </c>
      <c r="F8412" s="515" t="s">
        <v>9619</v>
      </c>
      <c r="G8412" s="52">
        <v>417402.48661937198</v>
      </c>
      <c r="H8412" s="56">
        <v>8.0839182936122148E-2</v>
      </c>
      <c r="I8412" s="224">
        <v>2143.3333333333298</v>
      </c>
    </row>
    <row r="8413" spans="1:9" x14ac:dyDescent="0.25">
      <c r="A8413" s="515">
        <v>6076</v>
      </c>
      <c r="B8413" s="515" t="s">
        <v>894</v>
      </c>
      <c r="C8413" s="52">
        <v>269961.194544047</v>
      </c>
      <c r="D8413" s="56">
        <v>0.10442263828222732</v>
      </c>
      <c r="E8413" s="224" t="s">
        <v>2</v>
      </c>
      <c r="F8413" s="515" t="s">
        <v>9620</v>
      </c>
      <c r="G8413" s="52">
        <v>117155.977795115</v>
      </c>
      <c r="H8413" s="56">
        <v>-7.5362987259873036E-3</v>
      </c>
      <c r="I8413" s="224" t="s">
        <v>2</v>
      </c>
    </row>
    <row r="8414" spans="1:9" x14ac:dyDescent="0.25">
      <c r="A8414" s="515">
        <v>65560</v>
      </c>
      <c r="C8414" s="52">
        <v>156100.54744046499</v>
      </c>
      <c r="D8414" s="56">
        <v>0.11772562076701619</v>
      </c>
      <c r="E8414" s="224" t="s">
        <v>2</v>
      </c>
      <c r="F8414" s="515" t="s">
        <v>9621</v>
      </c>
      <c r="G8414" s="52">
        <v>122388.30537400801</v>
      </c>
      <c r="H8414" s="56">
        <v>0.19374186172025948</v>
      </c>
      <c r="I8414" s="224" t="s">
        <v>2</v>
      </c>
    </row>
    <row r="8415" spans="1:9" x14ac:dyDescent="0.25">
      <c r="A8415" s="515">
        <v>47119</v>
      </c>
      <c r="B8415" s="515" t="s">
        <v>479</v>
      </c>
      <c r="C8415" s="52">
        <v>352606.97342120297</v>
      </c>
      <c r="D8415" s="56">
        <v>6.1613423063897658E-2</v>
      </c>
      <c r="E8415" s="224" t="s">
        <v>2</v>
      </c>
      <c r="F8415" s="515" t="s">
        <v>9622</v>
      </c>
      <c r="G8415" s="52">
        <v>284836.95134701702</v>
      </c>
      <c r="H8415" s="56">
        <v>6.0631882293233373E-2</v>
      </c>
      <c r="I8415" s="224" t="s">
        <v>2</v>
      </c>
    </row>
    <row r="8416" spans="1:9" x14ac:dyDescent="0.25">
      <c r="A8416" s="515">
        <v>12095</v>
      </c>
      <c r="B8416" s="515" t="s">
        <v>744</v>
      </c>
      <c r="C8416" s="52">
        <v>163695.684110937</v>
      </c>
      <c r="D8416" s="56">
        <v>9.1316397846222627E-2</v>
      </c>
      <c r="E8416" s="224" t="s">
        <v>2</v>
      </c>
      <c r="F8416" s="515" t="s">
        <v>9623</v>
      </c>
      <c r="G8416" s="52">
        <v>236361.064517019</v>
      </c>
      <c r="H8416" s="56">
        <v>0.12819898599511265</v>
      </c>
      <c r="I8416" s="224" t="s">
        <v>2</v>
      </c>
    </row>
    <row r="8417" spans="1:9" x14ac:dyDescent="0.25">
      <c r="A8417" s="515">
        <v>8069</v>
      </c>
      <c r="B8417" s="515" t="s">
        <v>294</v>
      </c>
      <c r="C8417" s="52">
        <v>179097.18515013799</v>
      </c>
      <c r="D8417" s="56">
        <v>8.6792890270828843E-2</v>
      </c>
      <c r="E8417" s="224" t="s">
        <v>2</v>
      </c>
      <c r="F8417" s="515" t="s">
        <v>9624</v>
      </c>
      <c r="G8417" s="52">
        <v>162295.794007741</v>
      </c>
      <c r="H8417" s="56">
        <v>3.8079573398547999E-2</v>
      </c>
      <c r="I8417" s="224" t="s">
        <v>2</v>
      </c>
    </row>
    <row r="8418" spans="1:9" x14ac:dyDescent="0.25">
      <c r="A8418" s="515">
        <v>70775</v>
      </c>
      <c r="B8418" s="515" t="s">
        <v>610</v>
      </c>
      <c r="C8418" s="52">
        <v>300161.91287629202</v>
      </c>
      <c r="D8418" s="56">
        <v>8.0547884322195049E-2</v>
      </c>
      <c r="E8418" s="224" t="s">
        <v>2</v>
      </c>
      <c r="F8418" s="515" t="s">
        <v>9625</v>
      </c>
      <c r="G8418" s="52">
        <v>438803.85005511699</v>
      </c>
      <c r="H8418" s="56">
        <v>5.6138042358805408E-2</v>
      </c>
      <c r="I8418" s="224" t="s">
        <v>2</v>
      </c>
    </row>
    <row r="8419" spans="1:9" x14ac:dyDescent="0.25">
      <c r="A8419" s="515">
        <v>38672</v>
      </c>
      <c r="B8419" s="515" t="s">
        <v>951</v>
      </c>
      <c r="C8419" s="52">
        <v>325083.85799295898</v>
      </c>
      <c r="D8419" s="56">
        <v>4.6647319762163734E-2</v>
      </c>
      <c r="E8419" s="224">
        <v>2178.3333333333298</v>
      </c>
      <c r="F8419" s="515" t="s">
        <v>9626</v>
      </c>
      <c r="G8419" s="52">
        <v>157709.878168692</v>
      </c>
      <c r="H8419" s="56">
        <v>7.1346556423796309E-2</v>
      </c>
      <c r="I8419" s="224" t="s">
        <v>2</v>
      </c>
    </row>
    <row r="8420" spans="1:9" x14ac:dyDescent="0.25">
      <c r="A8420" s="515">
        <v>19003</v>
      </c>
      <c r="B8420" s="515" t="s">
        <v>294</v>
      </c>
      <c r="C8420" s="52">
        <v>424712.06341027201</v>
      </c>
      <c r="D8420" s="56">
        <v>5.0848485805807836E-2</v>
      </c>
      <c r="E8420" s="224">
        <v>2471.1999999999998</v>
      </c>
      <c r="F8420" s="515" t="s">
        <v>9627</v>
      </c>
      <c r="G8420" s="52">
        <v>250514.23719977599</v>
      </c>
      <c r="H8420" s="56">
        <v>5.5436193404416349E-2</v>
      </c>
      <c r="I8420" s="224" t="s">
        <v>2</v>
      </c>
    </row>
    <row r="8421" spans="1:9" x14ac:dyDescent="0.25">
      <c r="A8421" s="515">
        <v>29626</v>
      </c>
      <c r="B8421" s="515" t="s">
        <v>613</v>
      </c>
      <c r="C8421" s="52">
        <v>227142.927872345</v>
      </c>
      <c r="D8421" s="56">
        <v>0.11006857169076581</v>
      </c>
      <c r="E8421" s="224" t="s">
        <v>2</v>
      </c>
      <c r="F8421" s="515" t="s">
        <v>9628</v>
      </c>
      <c r="G8421" s="52">
        <v>480981.190528306</v>
      </c>
      <c r="H8421" s="56">
        <v>6.6825724446388041E-2</v>
      </c>
      <c r="I8421" s="224" t="s">
        <v>2</v>
      </c>
    </row>
    <row r="8422" spans="1:9" x14ac:dyDescent="0.25">
      <c r="A8422" s="515">
        <v>44432</v>
      </c>
      <c r="B8422" s="515" t="s">
        <v>627</v>
      </c>
      <c r="C8422" s="52">
        <v>132222.31186325301</v>
      </c>
      <c r="D8422" s="56">
        <v>0.10475908836628306</v>
      </c>
      <c r="E8422" s="224" t="s">
        <v>2</v>
      </c>
      <c r="F8422" s="515" t="s">
        <v>9629</v>
      </c>
      <c r="G8422" s="52">
        <v>274246.60034389998</v>
      </c>
      <c r="H8422" s="56">
        <v>4.9264369080680583E-2</v>
      </c>
      <c r="I8422" s="224" t="s">
        <v>2</v>
      </c>
    </row>
    <row r="8423" spans="1:9" x14ac:dyDescent="0.25">
      <c r="A8423" s="515">
        <v>19390</v>
      </c>
      <c r="B8423" s="515" t="s">
        <v>294</v>
      </c>
      <c r="C8423" s="52">
        <v>401368.74238517298</v>
      </c>
      <c r="D8423" s="56">
        <v>9.1830529648752379E-2</v>
      </c>
      <c r="E8423" s="224" t="s">
        <v>2</v>
      </c>
      <c r="F8423" s="515" t="s">
        <v>9630</v>
      </c>
      <c r="G8423" s="52">
        <v>114779.333744932</v>
      </c>
      <c r="H8423" s="56">
        <v>8.4320517849337973E-2</v>
      </c>
      <c r="I8423" s="224" t="s">
        <v>2</v>
      </c>
    </row>
    <row r="8424" spans="1:9" x14ac:dyDescent="0.25">
      <c r="A8424" s="515">
        <v>37618</v>
      </c>
      <c r="B8424" s="515" t="s">
        <v>902</v>
      </c>
      <c r="C8424" s="52">
        <v>220350.44296829199</v>
      </c>
      <c r="D8424" s="56">
        <v>8.2142599940681016E-2</v>
      </c>
      <c r="E8424" s="224" t="s">
        <v>2</v>
      </c>
      <c r="F8424" s="515" t="s">
        <v>9631</v>
      </c>
      <c r="G8424" s="52">
        <v>514025.218374455</v>
      </c>
      <c r="H8424" s="56">
        <v>8.4952977090373083E-2</v>
      </c>
      <c r="I8424" s="224" t="s">
        <v>2</v>
      </c>
    </row>
    <row r="8425" spans="1:9" x14ac:dyDescent="0.25">
      <c r="A8425" s="515">
        <v>7974</v>
      </c>
      <c r="B8425" s="515" t="s">
        <v>324</v>
      </c>
      <c r="C8425" s="52">
        <v>740418.49172474397</v>
      </c>
      <c r="D8425" s="56">
        <v>6.2408101939717721E-2</v>
      </c>
      <c r="E8425" s="224" t="s">
        <v>2</v>
      </c>
      <c r="F8425" s="515" t="s">
        <v>9632</v>
      </c>
      <c r="G8425" s="52">
        <v>237303.37713557901</v>
      </c>
      <c r="H8425" s="56">
        <v>0.10826589892087006</v>
      </c>
      <c r="I8425" s="224" t="s">
        <v>2</v>
      </c>
    </row>
    <row r="8426" spans="1:9" x14ac:dyDescent="0.25">
      <c r="A8426" s="515">
        <v>43031</v>
      </c>
      <c r="B8426" s="515" t="s">
        <v>345</v>
      </c>
      <c r="C8426" s="52">
        <v>371138.49456078903</v>
      </c>
      <c r="D8426" s="56">
        <v>0.12702303499662221</v>
      </c>
      <c r="E8426" s="224" t="s">
        <v>2</v>
      </c>
      <c r="F8426" s="515" t="s">
        <v>9633</v>
      </c>
      <c r="G8426" s="52">
        <v>254368.29362039501</v>
      </c>
      <c r="H8426" s="56">
        <v>6.4692237950085316E-2</v>
      </c>
      <c r="I8426" s="224" t="s">
        <v>2</v>
      </c>
    </row>
    <row r="8427" spans="1:9" x14ac:dyDescent="0.25">
      <c r="A8427" s="515">
        <v>38651</v>
      </c>
      <c r="B8427" s="515" t="s">
        <v>951</v>
      </c>
      <c r="C8427" s="52">
        <v>327601.29663827497</v>
      </c>
      <c r="D8427" s="56">
        <v>6.1752826204584346E-2</v>
      </c>
      <c r="E8427" s="224" t="s">
        <v>2</v>
      </c>
      <c r="F8427" s="515" t="s">
        <v>9634</v>
      </c>
      <c r="G8427" s="52">
        <v>339308.34643306403</v>
      </c>
      <c r="H8427" s="56">
        <v>8.9358171110626092E-2</v>
      </c>
      <c r="I8427" s="224" t="s">
        <v>2</v>
      </c>
    </row>
    <row r="8428" spans="1:9" x14ac:dyDescent="0.25">
      <c r="A8428" s="515">
        <v>38340</v>
      </c>
      <c r="B8428" s="515" t="s">
        <v>691</v>
      </c>
      <c r="C8428" s="52">
        <v>141215.64714841501</v>
      </c>
      <c r="D8428" s="56">
        <v>6.0731764790087135E-2</v>
      </c>
      <c r="E8428" s="224" t="s">
        <v>2</v>
      </c>
      <c r="F8428" s="515" t="s">
        <v>9635</v>
      </c>
      <c r="G8428" s="52">
        <v>94043.755412894694</v>
      </c>
      <c r="H8428" s="56">
        <v>8.8968775740840098E-2</v>
      </c>
      <c r="I8428" s="224" t="s">
        <v>2</v>
      </c>
    </row>
    <row r="8429" spans="1:9" x14ac:dyDescent="0.25">
      <c r="A8429" s="515">
        <v>55442</v>
      </c>
      <c r="B8429" s="515" t="s">
        <v>532</v>
      </c>
      <c r="C8429" s="52">
        <v>424691.592945565</v>
      </c>
      <c r="D8429" s="56">
        <v>3.0893864529238351E-2</v>
      </c>
      <c r="E8429" s="224" t="s">
        <v>2</v>
      </c>
      <c r="F8429" s="515" t="s">
        <v>9636</v>
      </c>
      <c r="G8429" s="52">
        <v>171299.98308790699</v>
      </c>
      <c r="H8429" s="56">
        <v>4.4639842431276777E-2</v>
      </c>
      <c r="I8429" s="224" t="s">
        <v>2</v>
      </c>
    </row>
    <row r="8430" spans="1:9" x14ac:dyDescent="0.25">
      <c r="A8430" s="515">
        <v>33019</v>
      </c>
      <c r="B8430" s="515" t="s">
        <v>831</v>
      </c>
      <c r="C8430" s="52">
        <v>539731.77530332201</v>
      </c>
      <c r="D8430" s="56">
        <v>0.13102792862384935</v>
      </c>
      <c r="E8430" s="224">
        <v>3955</v>
      </c>
      <c r="F8430" s="515" t="s">
        <v>9637</v>
      </c>
      <c r="G8430" s="52">
        <v>94934.360243885603</v>
      </c>
      <c r="H8430" s="56">
        <v>0.11195325180067499</v>
      </c>
      <c r="I8430" s="224" t="s">
        <v>2</v>
      </c>
    </row>
    <row r="8431" spans="1:9" x14ac:dyDescent="0.25">
      <c r="A8431" s="515">
        <v>99503</v>
      </c>
      <c r="B8431" s="515" t="s">
        <v>405</v>
      </c>
      <c r="C8431" s="52">
        <v>278336.20532920799</v>
      </c>
      <c r="D8431" s="56">
        <v>9.2082497724634508E-3</v>
      </c>
      <c r="E8431" s="224">
        <v>1400.75</v>
      </c>
      <c r="F8431" s="515" t="s">
        <v>9638</v>
      </c>
      <c r="G8431" s="52">
        <v>404012.77726660698</v>
      </c>
      <c r="H8431" s="56">
        <v>4.3500855360694021E-2</v>
      </c>
      <c r="I8431" s="224" t="s">
        <v>2</v>
      </c>
    </row>
    <row r="8432" spans="1:9" x14ac:dyDescent="0.25">
      <c r="A8432" s="515">
        <v>29161</v>
      </c>
      <c r="B8432" s="515" t="s">
        <v>1039</v>
      </c>
      <c r="C8432" s="52">
        <v>137609.53626056999</v>
      </c>
      <c r="D8432" s="56">
        <v>0.10569334942459793</v>
      </c>
      <c r="E8432" s="224" t="s">
        <v>2</v>
      </c>
      <c r="F8432" s="515" t="s">
        <v>9639</v>
      </c>
      <c r="G8432" s="52">
        <v>74713.8798815724</v>
      </c>
      <c r="H8432" s="56">
        <v>5.3279639558459241E-2</v>
      </c>
      <c r="I8432" s="224" t="s">
        <v>2</v>
      </c>
    </row>
    <row r="8433" spans="1:9" x14ac:dyDescent="0.25">
      <c r="A8433" s="515">
        <v>29492</v>
      </c>
      <c r="B8433" s="515" t="s">
        <v>1009</v>
      </c>
      <c r="C8433" s="52">
        <v>742002.16276992497</v>
      </c>
      <c r="D8433" s="56">
        <v>0.15819728239045511</v>
      </c>
      <c r="E8433" s="224">
        <v>2076.5018939393899</v>
      </c>
      <c r="F8433" s="515" t="s">
        <v>9640</v>
      </c>
      <c r="G8433" s="52">
        <v>100659.41579334</v>
      </c>
      <c r="H8433" s="56">
        <v>5.2503523062137191E-3</v>
      </c>
      <c r="I8433" s="224" t="s">
        <v>2</v>
      </c>
    </row>
    <row r="8434" spans="1:9" x14ac:dyDescent="0.25">
      <c r="A8434" s="515">
        <v>71269</v>
      </c>
      <c r="C8434" s="52">
        <v>120033.96836768799</v>
      </c>
      <c r="D8434" s="56">
        <v>1.3596793411883391E-2</v>
      </c>
      <c r="E8434" s="224" t="s">
        <v>2</v>
      </c>
      <c r="F8434" s="515" t="s">
        <v>9641</v>
      </c>
      <c r="G8434" s="52">
        <v>138899.591492331</v>
      </c>
      <c r="H8434" s="56">
        <v>7.2091959094933225E-2</v>
      </c>
      <c r="I8434" s="224" t="s">
        <v>2</v>
      </c>
    </row>
    <row r="8435" spans="1:9" x14ac:dyDescent="0.25">
      <c r="A8435" s="515">
        <v>88063</v>
      </c>
      <c r="B8435" s="515" t="s">
        <v>317</v>
      </c>
      <c r="C8435" s="52">
        <v>184052.830642994</v>
      </c>
      <c r="D8435" s="56">
        <v>0.18747734165996624</v>
      </c>
      <c r="E8435" s="224" t="s">
        <v>2</v>
      </c>
      <c r="F8435" s="515" t="s">
        <v>9642</v>
      </c>
      <c r="G8435" s="52">
        <v>160975.260885433</v>
      </c>
      <c r="H8435" s="56">
        <v>6.0748738006623913E-2</v>
      </c>
      <c r="I8435" s="224" t="s">
        <v>2</v>
      </c>
    </row>
    <row r="8436" spans="1:9" x14ac:dyDescent="0.25">
      <c r="A8436" s="515">
        <v>6812</v>
      </c>
      <c r="B8436" s="515" t="s">
        <v>1173</v>
      </c>
      <c r="C8436" s="52">
        <v>480311.37801935099</v>
      </c>
      <c r="D8436" s="56">
        <v>7.7057839901281275E-2</v>
      </c>
      <c r="E8436" s="224" t="s">
        <v>2</v>
      </c>
      <c r="F8436" s="515" t="s">
        <v>9643</v>
      </c>
      <c r="G8436" s="52">
        <v>181309.26222272101</v>
      </c>
      <c r="H8436" s="56">
        <v>7.0070098682081056E-2</v>
      </c>
      <c r="I8436" s="224" t="s">
        <v>2</v>
      </c>
    </row>
    <row r="8437" spans="1:9" x14ac:dyDescent="0.25">
      <c r="A8437" s="515">
        <v>70346</v>
      </c>
      <c r="B8437" s="515" t="s">
        <v>610</v>
      </c>
      <c r="C8437" s="52">
        <v>142465.80121046599</v>
      </c>
      <c r="D8437" s="56">
        <v>0.10682140962193384</v>
      </c>
      <c r="E8437" s="224" t="s">
        <v>2</v>
      </c>
      <c r="F8437" s="515" t="s">
        <v>9644</v>
      </c>
      <c r="G8437" s="52">
        <v>596451.69814399397</v>
      </c>
      <c r="H8437" s="56">
        <v>2.7333463035030481E-2</v>
      </c>
      <c r="I8437" s="224" t="s">
        <v>2</v>
      </c>
    </row>
    <row r="8438" spans="1:9" x14ac:dyDescent="0.25">
      <c r="A8438" s="515">
        <v>12839</v>
      </c>
      <c r="B8438" s="515" t="s">
        <v>422</v>
      </c>
      <c r="C8438" s="52">
        <v>192141.08087438901</v>
      </c>
      <c r="D8438" s="56">
        <v>7.2282335533776901E-2</v>
      </c>
      <c r="E8438" s="224" t="s">
        <v>2</v>
      </c>
      <c r="F8438" s="515" t="s">
        <v>9645</v>
      </c>
      <c r="G8438" s="52">
        <v>345690.44965992402</v>
      </c>
      <c r="H8438" s="56">
        <v>5.961472550988365E-2</v>
      </c>
      <c r="I8438" s="224" t="s">
        <v>2</v>
      </c>
    </row>
    <row r="8439" spans="1:9" x14ac:dyDescent="0.25">
      <c r="A8439" s="515">
        <v>46373</v>
      </c>
      <c r="B8439" s="515" t="s">
        <v>394</v>
      </c>
      <c r="C8439" s="52">
        <v>417095.89932294498</v>
      </c>
      <c r="D8439" s="56">
        <v>3.2222400260081108E-2</v>
      </c>
      <c r="E8439" s="224" t="s">
        <v>2</v>
      </c>
      <c r="F8439" s="515" t="s">
        <v>9646</v>
      </c>
      <c r="G8439" s="52">
        <v>113431.26504425499</v>
      </c>
      <c r="H8439" s="56">
        <v>0.11115906022569799</v>
      </c>
      <c r="I8439" s="224" t="s">
        <v>2</v>
      </c>
    </row>
    <row r="8440" spans="1:9" x14ac:dyDescent="0.25">
      <c r="A8440" s="515">
        <v>15215</v>
      </c>
      <c r="B8440" s="515" t="s">
        <v>297</v>
      </c>
      <c r="C8440" s="52">
        <v>289952.39502329298</v>
      </c>
      <c r="D8440" s="56">
        <v>5.8678933349938706E-2</v>
      </c>
      <c r="E8440" s="224">
        <v>1200</v>
      </c>
      <c r="F8440" s="515" t="s">
        <v>9647</v>
      </c>
      <c r="G8440" s="52">
        <v>251620.56616751</v>
      </c>
      <c r="H8440" s="56">
        <v>7.4067511306322178E-2</v>
      </c>
      <c r="I8440" s="224">
        <v>1215</v>
      </c>
    </row>
    <row r="8441" spans="1:9" x14ac:dyDescent="0.25">
      <c r="A8441" s="515">
        <v>17740</v>
      </c>
      <c r="B8441" s="515" t="s">
        <v>296</v>
      </c>
      <c r="C8441" s="52">
        <v>177605.137168774</v>
      </c>
      <c r="D8441" s="56">
        <v>5.8020088243732316E-2</v>
      </c>
      <c r="E8441" s="224" t="s">
        <v>2</v>
      </c>
      <c r="F8441" s="515" t="s">
        <v>9648</v>
      </c>
      <c r="G8441" s="52">
        <v>384685.45752193598</v>
      </c>
      <c r="H8441" s="56">
        <v>-1.3925572250480236E-2</v>
      </c>
      <c r="I8441" s="224" t="s">
        <v>2</v>
      </c>
    </row>
    <row r="8442" spans="1:9" x14ac:dyDescent="0.25">
      <c r="A8442" s="515">
        <v>66111</v>
      </c>
      <c r="B8442" s="515" t="s">
        <v>455</v>
      </c>
      <c r="C8442" s="52">
        <v>213181.37013204501</v>
      </c>
      <c r="D8442" s="56">
        <v>0.10373945196389306</v>
      </c>
      <c r="E8442" s="224" t="s">
        <v>2</v>
      </c>
      <c r="F8442" s="515" t="s">
        <v>9649</v>
      </c>
      <c r="G8442" s="52">
        <v>171954.957178841</v>
      </c>
      <c r="H8442" s="56">
        <v>0</v>
      </c>
      <c r="I8442" s="224" t="s">
        <v>2</v>
      </c>
    </row>
    <row r="8443" spans="1:9" x14ac:dyDescent="0.25">
      <c r="A8443" s="515">
        <v>37341</v>
      </c>
      <c r="B8443" s="515" t="s">
        <v>622</v>
      </c>
      <c r="C8443" s="52">
        <v>286972.27692075999</v>
      </c>
      <c r="D8443" s="56">
        <v>6.5326106667173187E-2</v>
      </c>
      <c r="E8443" s="224" t="s">
        <v>2</v>
      </c>
      <c r="F8443" s="515" t="s">
        <v>9650</v>
      </c>
      <c r="G8443" s="52">
        <v>171089.50454448999</v>
      </c>
      <c r="H8443" s="56">
        <v>8.2746063077434082E-2</v>
      </c>
      <c r="I8443" s="224" t="s">
        <v>2</v>
      </c>
    </row>
    <row r="8444" spans="1:9" x14ac:dyDescent="0.25">
      <c r="A8444" s="515">
        <v>67219</v>
      </c>
      <c r="B8444" s="515" t="s">
        <v>485</v>
      </c>
      <c r="C8444" s="52">
        <v>151624.71953260299</v>
      </c>
      <c r="D8444" s="56">
        <v>0.1030675697217896</v>
      </c>
      <c r="E8444" s="224" t="s">
        <v>2</v>
      </c>
      <c r="F8444" s="515" t="s">
        <v>9651</v>
      </c>
      <c r="G8444" s="52">
        <v>136729.138445463</v>
      </c>
      <c r="H8444" s="56">
        <v>9.0643281853192825E-3</v>
      </c>
      <c r="I8444" s="224" t="s">
        <v>2</v>
      </c>
    </row>
    <row r="8445" spans="1:9" x14ac:dyDescent="0.25">
      <c r="A8445" s="515">
        <v>64157</v>
      </c>
      <c r="B8445" s="515" t="s">
        <v>455</v>
      </c>
      <c r="C8445" s="52">
        <v>388464.19183212903</v>
      </c>
      <c r="D8445" s="56">
        <v>8.1387552226004203E-2</v>
      </c>
      <c r="E8445" s="224" t="s">
        <v>2</v>
      </c>
      <c r="F8445" s="515" t="s">
        <v>9652</v>
      </c>
      <c r="G8445" s="52">
        <v>341662.14686186903</v>
      </c>
      <c r="H8445" s="56">
        <v>9.4733100038088158E-2</v>
      </c>
      <c r="I8445" s="224" t="s">
        <v>2</v>
      </c>
    </row>
    <row r="8446" spans="1:9" x14ac:dyDescent="0.25">
      <c r="A8446" s="515">
        <v>68522</v>
      </c>
      <c r="B8446" s="515" t="s">
        <v>486</v>
      </c>
      <c r="C8446" s="52">
        <v>244349.09164072899</v>
      </c>
      <c r="D8446" s="56">
        <v>5.7021809182856327E-2</v>
      </c>
      <c r="E8446" s="224">
        <v>1372</v>
      </c>
      <c r="F8446" s="515" t="s">
        <v>9653</v>
      </c>
      <c r="G8446" s="52">
        <v>290295.32905395102</v>
      </c>
      <c r="H8446" s="56">
        <v>8.2712629776587027E-2</v>
      </c>
      <c r="I8446" s="224" t="s">
        <v>2</v>
      </c>
    </row>
    <row r="8447" spans="1:9" x14ac:dyDescent="0.25">
      <c r="A8447" s="515">
        <v>77484</v>
      </c>
      <c r="B8447" s="515" t="s">
        <v>314</v>
      </c>
      <c r="C8447" s="52">
        <v>348338.50461452099</v>
      </c>
      <c r="D8447" s="56">
        <v>5.5492142841925968E-2</v>
      </c>
      <c r="E8447" s="224">
        <v>1507</v>
      </c>
      <c r="F8447" s="515" t="s">
        <v>9654</v>
      </c>
      <c r="G8447" s="52">
        <v>350329.10536708502</v>
      </c>
      <c r="H8447" s="56">
        <v>0.1558347784146486</v>
      </c>
      <c r="I8447" s="224" t="s">
        <v>2</v>
      </c>
    </row>
    <row r="8448" spans="1:9" x14ac:dyDescent="0.25">
      <c r="A8448" s="515">
        <v>21788</v>
      </c>
      <c r="B8448" s="515" t="s">
        <v>321</v>
      </c>
      <c r="C8448" s="52">
        <v>334048.05124629202</v>
      </c>
      <c r="D8448" s="56">
        <v>3.9596051648180836E-2</v>
      </c>
      <c r="E8448" s="224" t="s">
        <v>2</v>
      </c>
      <c r="F8448" s="515" t="s">
        <v>9655</v>
      </c>
      <c r="G8448" s="52">
        <v>214176.79369867599</v>
      </c>
      <c r="H8448" s="56">
        <v>8.9540473470016993E-2</v>
      </c>
      <c r="I8448" s="224" t="s">
        <v>2</v>
      </c>
    </row>
    <row r="8449" spans="1:9" x14ac:dyDescent="0.25">
      <c r="A8449" s="515">
        <v>47805</v>
      </c>
      <c r="B8449" s="515" t="s">
        <v>318</v>
      </c>
      <c r="C8449" s="52">
        <v>156457.62979202901</v>
      </c>
      <c r="D8449" s="56">
        <v>5.4535749547594069E-2</v>
      </c>
      <c r="E8449" s="224" t="s">
        <v>2</v>
      </c>
      <c r="F8449" s="515" t="s">
        <v>9656</v>
      </c>
      <c r="G8449" s="52">
        <v>119101.82774069101</v>
      </c>
      <c r="H8449" s="56">
        <v>-3.2997222816036072E-2</v>
      </c>
      <c r="I8449" s="224" t="s">
        <v>2</v>
      </c>
    </row>
    <row r="8450" spans="1:9" x14ac:dyDescent="0.25">
      <c r="A8450" s="515">
        <v>75167</v>
      </c>
      <c r="B8450" s="515" t="s">
        <v>458</v>
      </c>
      <c r="C8450" s="52">
        <v>438722.59294743702</v>
      </c>
      <c r="D8450" s="56">
        <v>8.5431298994524243E-2</v>
      </c>
      <c r="E8450" s="224" t="s">
        <v>2</v>
      </c>
      <c r="F8450" s="515" t="s">
        <v>9657</v>
      </c>
      <c r="G8450" s="52">
        <v>356581.53791333199</v>
      </c>
      <c r="H8450" s="56">
        <v>4.7747855431050999E-2</v>
      </c>
      <c r="I8450" s="224" t="s">
        <v>2</v>
      </c>
    </row>
    <row r="8451" spans="1:9" x14ac:dyDescent="0.25">
      <c r="A8451" s="515">
        <v>18508</v>
      </c>
      <c r="B8451" s="515" t="s">
        <v>512</v>
      </c>
      <c r="C8451" s="52">
        <v>112239.02724891</v>
      </c>
      <c r="D8451" s="56">
        <v>0.10691391022420298</v>
      </c>
      <c r="E8451" s="224">
        <v>1451.1111111111099</v>
      </c>
      <c r="F8451" s="515" t="s">
        <v>9658</v>
      </c>
      <c r="G8451" s="52">
        <v>70100.547340433797</v>
      </c>
      <c r="H8451" s="56">
        <v>9.2633371016302132E-2</v>
      </c>
      <c r="I8451" s="224" t="s">
        <v>2</v>
      </c>
    </row>
    <row r="8452" spans="1:9" x14ac:dyDescent="0.25">
      <c r="A8452" s="515">
        <v>32784</v>
      </c>
      <c r="B8452" s="515" t="s">
        <v>517</v>
      </c>
      <c r="C8452" s="52">
        <v>265486.74295274698</v>
      </c>
      <c r="D8452" s="56">
        <v>0.15351602509411358</v>
      </c>
      <c r="E8452" s="224" t="s">
        <v>2</v>
      </c>
      <c r="F8452" s="515" t="s">
        <v>9659</v>
      </c>
      <c r="G8452" s="52">
        <v>200457.59313778</v>
      </c>
      <c r="H8452" s="56">
        <v>4.1544879592786445E-2</v>
      </c>
      <c r="I8452" s="224" t="s">
        <v>2</v>
      </c>
    </row>
    <row r="8453" spans="1:9" x14ac:dyDescent="0.25">
      <c r="A8453" s="515">
        <v>65605</v>
      </c>
      <c r="C8453" s="52">
        <v>147263.57127527299</v>
      </c>
      <c r="D8453" s="56">
        <v>0.14890608304824871</v>
      </c>
      <c r="E8453" s="224" t="s">
        <v>2</v>
      </c>
      <c r="F8453" s="515" t="s">
        <v>9660</v>
      </c>
      <c r="G8453" s="52">
        <v>206003.09773618699</v>
      </c>
      <c r="H8453" s="56">
        <v>7.9460232054233679E-2</v>
      </c>
      <c r="I8453" s="224">
        <v>1047</v>
      </c>
    </row>
    <row r="8454" spans="1:9" x14ac:dyDescent="0.25">
      <c r="A8454" s="515">
        <v>7063</v>
      </c>
      <c r="B8454" s="515" t="s">
        <v>324</v>
      </c>
      <c r="C8454" s="52">
        <v>381336.94240777701</v>
      </c>
      <c r="D8454" s="56">
        <v>8.3066969338352559E-2</v>
      </c>
      <c r="E8454" s="224" t="s">
        <v>2</v>
      </c>
      <c r="F8454" s="515" t="s">
        <v>9661</v>
      </c>
      <c r="G8454" s="52">
        <v>140949.40444591001</v>
      </c>
      <c r="H8454" s="56">
        <v>7.5596992311832992E-2</v>
      </c>
      <c r="I8454" s="224" t="s">
        <v>2</v>
      </c>
    </row>
    <row r="8455" spans="1:9" x14ac:dyDescent="0.25">
      <c r="A8455" s="515">
        <v>46303</v>
      </c>
      <c r="B8455" s="515" t="s">
        <v>394</v>
      </c>
      <c r="C8455" s="52">
        <v>283945.34749528999</v>
      </c>
      <c r="D8455" s="56">
        <v>5.6642052996536345E-2</v>
      </c>
      <c r="E8455" s="224" t="s">
        <v>2</v>
      </c>
      <c r="F8455" s="515" t="s">
        <v>9662</v>
      </c>
      <c r="G8455" s="52">
        <v>109573.57499762</v>
      </c>
      <c r="H8455" s="56">
        <v>-5.7543919571057733E-3</v>
      </c>
      <c r="I8455" s="224" t="s">
        <v>2</v>
      </c>
    </row>
    <row r="8456" spans="1:9" x14ac:dyDescent="0.25">
      <c r="A8456" s="515">
        <v>45249</v>
      </c>
      <c r="B8456" s="515" t="s">
        <v>344</v>
      </c>
      <c r="C8456" s="52">
        <v>464988.843386252</v>
      </c>
      <c r="D8456" s="56">
        <v>5.2255093210206202E-2</v>
      </c>
      <c r="E8456" s="224">
        <v>1658.25</v>
      </c>
      <c r="F8456" s="515" t="s">
        <v>9663</v>
      </c>
      <c r="G8456" s="52">
        <v>126931.98245219899</v>
      </c>
      <c r="H8456" s="56">
        <v>5.2752671604170513E-2</v>
      </c>
      <c r="I8456" s="224" t="s">
        <v>2</v>
      </c>
    </row>
    <row r="8457" spans="1:9" x14ac:dyDescent="0.25">
      <c r="A8457" s="515">
        <v>43205</v>
      </c>
      <c r="B8457" s="515" t="s">
        <v>345</v>
      </c>
      <c r="C8457" s="52">
        <v>253237.791841417</v>
      </c>
      <c r="D8457" s="56">
        <v>7.3032461489938499E-2</v>
      </c>
      <c r="E8457" s="224">
        <v>1489.1666666666599</v>
      </c>
      <c r="F8457" s="515" t="s">
        <v>9664</v>
      </c>
      <c r="G8457" s="52">
        <v>619681.94403459795</v>
      </c>
      <c r="H8457" s="56">
        <v>8.6152321755274597E-2</v>
      </c>
      <c r="I8457" s="224" t="s">
        <v>2</v>
      </c>
    </row>
    <row r="8458" spans="1:9" x14ac:dyDescent="0.25">
      <c r="A8458" s="515">
        <v>45223</v>
      </c>
      <c r="B8458" s="515" t="s">
        <v>344</v>
      </c>
      <c r="C8458" s="52">
        <v>190859.04521287701</v>
      </c>
      <c r="D8458" s="56">
        <v>5.0054670002775012E-2</v>
      </c>
      <c r="E8458" s="224">
        <v>1050</v>
      </c>
      <c r="F8458" s="515" t="s">
        <v>9665</v>
      </c>
      <c r="G8458" s="52">
        <v>260832.57317276299</v>
      </c>
      <c r="H8458" s="56">
        <v>8.984336928320899E-2</v>
      </c>
      <c r="I8458" s="224" t="s">
        <v>2</v>
      </c>
    </row>
    <row r="8459" spans="1:9" x14ac:dyDescent="0.25">
      <c r="A8459" s="515">
        <v>7012</v>
      </c>
      <c r="B8459" s="515" t="s">
        <v>324</v>
      </c>
      <c r="C8459" s="52">
        <v>491519.22762457997</v>
      </c>
      <c r="D8459" s="56">
        <v>5.6156897064460573E-2</v>
      </c>
      <c r="E8459" s="224" t="s">
        <v>2</v>
      </c>
      <c r="F8459" s="515" t="s">
        <v>9666</v>
      </c>
      <c r="G8459" s="52">
        <v>199724.15454545399</v>
      </c>
      <c r="H8459" s="56">
        <v>0</v>
      </c>
      <c r="I8459" s="224" t="s">
        <v>2</v>
      </c>
    </row>
    <row r="8460" spans="1:9" x14ac:dyDescent="0.25">
      <c r="A8460" s="515">
        <v>14301</v>
      </c>
      <c r="B8460" s="515" t="s">
        <v>336</v>
      </c>
      <c r="C8460" s="52">
        <v>90174.653496141298</v>
      </c>
      <c r="D8460" s="56">
        <v>0.11198996126259847</v>
      </c>
      <c r="E8460" s="224">
        <v>886.33333333333303</v>
      </c>
      <c r="F8460" s="515" t="s">
        <v>9667</v>
      </c>
      <c r="G8460" s="52">
        <v>284281.40313492197</v>
      </c>
      <c r="H8460" s="56">
        <v>-5.3055048453081295E-2</v>
      </c>
      <c r="I8460" s="224" t="s">
        <v>2</v>
      </c>
    </row>
    <row r="8461" spans="1:9" x14ac:dyDescent="0.25">
      <c r="A8461" s="515">
        <v>12566</v>
      </c>
      <c r="B8461" s="515" t="s">
        <v>307</v>
      </c>
      <c r="C8461" s="52">
        <v>360793.55634341802</v>
      </c>
      <c r="D8461" s="56">
        <v>0.10220644614935986</v>
      </c>
      <c r="E8461" s="224" t="s">
        <v>2</v>
      </c>
      <c r="F8461" s="515" t="s">
        <v>9668</v>
      </c>
      <c r="G8461" s="52">
        <v>546591.97442698199</v>
      </c>
      <c r="H8461" s="56">
        <v>9.6967455421690996E-2</v>
      </c>
      <c r="I8461" s="224" t="s">
        <v>2</v>
      </c>
    </row>
    <row r="8462" spans="1:9" x14ac:dyDescent="0.25">
      <c r="A8462" s="515">
        <v>32908</v>
      </c>
      <c r="B8462" s="515" t="s">
        <v>1133</v>
      </c>
      <c r="C8462" s="52">
        <v>316247.68110377999</v>
      </c>
      <c r="D8462" s="56">
        <v>9.2229401538212671E-2</v>
      </c>
      <c r="E8462" s="224">
        <v>2100</v>
      </c>
      <c r="F8462" s="515" t="s">
        <v>9669</v>
      </c>
      <c r="G8462" s="52">
        <v>54041.828588725002</v>
      </c>
      <c r="H8462" s="56">
        <v>0.21375730206485224</v>
      </c>
      <c r="I8462" s="224" t="s">
        <v>2</v>
      </c>
    </row>
    <row r="8463" spans="1:9" x14ac:dyDescent="0.25">
      <c r="A8463" s="515">
        <v>8260</v>
      </c>
      <c r="B8463" s="515" t="s">
        <v>653</v>
      </c>
      <c r="C8463" s="52">
        <v>493706.47615703702</v>
      </c>
      <c r="D8463" s="56">
        <v>8.5706101341818483E-2</v>
      </c>
      <c r="E8463" s="224" t="s">
        <v>2</v>
      </c>
      <c r="F8463" s="515" t="s">
        <v>9670</v>
      </c>
      <c r="G8463" s="52">
        <v>317538.22521730699</v>
      </c>
      <c r="H8463" s="56">
        <v>6.5239970816604445E-2</v>
      </c>
      <c r="I8463" s="224" t="s">
        <v>2</v>
      </c>
    </row>
    <row r="8464" spans="1:9" x14ac:dyDescent="0.25">
      <c r="A8464" s="515">
        <v>90040</v>
      </c>
      <c r="B8464" s="515" t="s">
        <v>375</v>
      </c>
      <c r="C8464" s="52">
        <v>602349.38436380401</v>
      </c>
      <c r="D8464" s="56">
        <v>7.39251676441154E-2</v>
      </c>
      <c r="E8464" s="224" t="s">
        <v>2</v>
      </c>
      <c r="F8464" s="515" t="s">
        <v>9671</v>
      </c>
      <c r="G8464" s="52">
        <v>234959.69903894601</v>
      </c>
      <c r="H8464" s="56">
        <v>2.4555997690300074E-2</v>
      </c>
      <c r="I8464" s="224" t="s">
        <v>2</v>
      </c>
    </row>
    <row r="8465" spans="1:9" x14ac:dyDescent="0.25">
      <c r="A8465" s="515">
        <v>33980</v>
      </c>
      <c r="B8465" s="515" t="s">
        <v>1030</v>
      </c>
      <c r="C8465" s="52">
        <v>308943.37876721402</v>
      </c>
      <c r="D8465" s="56">
        <v>0.13623788792438399</v>
      </c>
      <c r="E8465" s="224">
        <v>2500</v>
      </c>
      <c r="F8465" s="515" t="s">
        <v>9672</v>
      </c>
      <c r="G8465" s="52">
        <v>191683.71657329801</v>
      </c>
      <c r="H8465" s="56">
        <v>9.2452971498159564E-2</v>
      </c>
      <c r="I8465" s="224" t="s">
        <v>2</v>
      </c>
    </row>
    <row r="8466" spans="1:9" x14ac:dyDescent="0.25">
      <c r="A8466" s="515">
        <v>7660</v>
      </c>
      <c r="B8466" s="515" t="s">
        <v>324</v>
      </c>
      <c r="C8466" s="52">
        <v>464644.57093580399</v>
      </c>
      <c r="D8466" s="56">
        <v>2.9506969524978756E-2</v>
      </c>
      <c r="E8466" s="224" t="s">
        <v>2</v>
      </c>
      <c r="F8466" s="515" t="s">
        <v>9673</v>
      </c>
      <c r="G8466" s="52">
        <v>622661.88586504699</v>
      </c>
      <c r="H8466" s="56">
        <v>8.7112038773192874E-2</v>
      </c>
      <c r="I8466" s="224">
        <v>2670</v>
      </c>
    </row>
    <row r="8467" spans="1:9" x14ac:dyDescent="0.25">
      <c r="A8467" s="515">
        <v>19344</v>
      </c>
      <c r="B8467" s="515" t="s">
        <v>294</v>
      </c>
      <c r="C8467" s="52">
        <v>365043.78800023597</v>
      </c>
      <c r="D8467" s="56">
        <v>8.6074945387869292E-2</v>
      </c>
      <c r="E8467" s="224" t="s">
        <v>2</v>
      </c>
      <c r="F8467" s="515" t="s">
        <v>9674</v>
      </c>
      <c r="G8467" s="52">
        <v>228125.06008052299</v>
      </c>
      <c r="H8467" s="56">
        <v>0.10883227985529337</v>
      </c>
      <c r="I8467" s="224" t="s">
        <v>2</v>
      </c>
    </row>
    <row r="8468" spans="1:9" x14ac:dyDescent="0.25">
      <c r="A8468" s="515">
        <v>37404</v>
      </c>
      <c r="B8468" s="515" t="s">
        <v>622</v>
      </c>
      <c r="C8468" s="52">
        <v>189405.469778247</v>
      </c>
      <c r="D8468" s="56">
        <v>0.10144080823330522</v>
      </c>
      <c r="E8468" s="224">
        <v>1445.2777777777701</v>
      </c>
      <c r="F8468" s="515" t="s">
        <v>9675</v>
      </c>
      <c r="G8468" s="52">
        <v>395302.32797951199</v>
      </c>
      <c r="H8468" s="56">
        <v>0.12055415983790385</v>
      </c>
      <c r="I8468" s="224" t="s">
        <v>2</v>
      </c>
    </row>
    <row r="8469" spans="1:9" x14ac:dyDescent="0.25">
      <c r="A8469" s="515">
        <v>76088</v>
      </c>
      <c r="B8469" s="515" t="s">
        <v>458</v>
      </c>
      <c r="C8469" s="52">
        <v>431244.00711806002</v>
      </c>
      <c r="D8469" s="56">
        <v>4.6067155960148494E-2</v>
      </c>
      <c r="E8469" s="224" t="s">
        <v>2</v>
      </c>
      <c r="F8469" s="515" t="s">
        <v>9676</v>
      </c>
      <c r="G8469" s="52">
        <v>135048.812934974</v>
      </c>
      <c r="H8469" s="56">
        <v>8.4972182521673836E-2</v>
      </c>
      <c r="I8469" s="224" t="s">
        <v>2</v>
      </c>
    </row>
    <row r="8470" spans="1:9" x14ac:dyDescent="0.25">
      <c r="A8470" s="515">
        <v>50327</v>
      </c>
      <c r="B8470" s="515" t="s">
        <v>295</v>
      </c>
      <c r="C8470" s="52">
        <v>287985.45447695901</v>
      </c>
      <c r="D8470" s="56">
        <v>4.6513488508076288E-2</v>
      </c>
      <c r="E8470" s="224" t="s">
        <v>2</v>
      </c>
      <c r="F8470" s="515" t="s">
        <v>9677</v>
      </c>
      <c r="G8470" s="52">
        <v>237580.80522908599</v>
      </c>
      <c r="H8470" s="56">
        <v>3.9615757878616945E-2</v>
      </c>
      <c r="I8470" s="224" t="s">
        <v>2</v>
      </c>
    </row>
    <row r="8471" spans="1:9" x14ac:dyDescent="0.25">
      <c r="A8471" s="515">
        <v>45415</v>
      </c>
      <c r="B8471" s="515" t="s">
        <v>340</v>
      </c>
      <c r="C8471" s="52">
        <v>183299.09497286499</v>
      </c>
      <c r="D8471" s="56">
        <v>7.3274452267801493E-2</v>
      </c>
      <c r="E8471" s="224" t="s">
        <v>2</v>
      </c>
      <c r="F8471" s="515" t="s">
        <v>9678</v>
      </c>
      <c r="G8471" s="52">
        <v>189989.829365315</v>
      </c>
      <c r="H8471" s="56">
        <v>8.6105222891667221E-2</v>
      </c>
      <c r="I8471" s="224" t="s">
        <v>2</v>
      </c>
    </row>
    <row r="8472" spans="1:9" x14ac:dyDescent="0.25">
      <c r="A8472" s="515">
        <v>77562</v>
      </c>
      <c r="B8472" s="515" t="s">
        <v>314</v>
      </c>
      <c r="C8472" s="52">
        <v>215850.00032858399</v>
      </c>
      <c r="D8472" s="56">
        <v>0.11413080821481782</v>
      </c>
      <c r="E8472" s="224" t="s">
        <v>2</v>
      </c>
      <c r="F8472" s="515" t="s">
        <v>9679</v>
      </c>
      <c r="G8472" s="52">
        <v>182566.580723313</v>
      </c>
      <c r="H8472" s="56">
        <v>6.2625587007517775E-2</v>
      </c>
      <c r="I8472" s="224" t="s">
        <v>2</v>
      </c>
    </row>
    <row r="8473" spans="1:9" x14ac:dyDescent="0.25">
      <c r="A8473" s="515">
        <v>95954</v>
      </c>
      <c r="B8473" s="515" t="s">
        <v>580</v>
      </c>
      <c r="C8473" s="52">
        <v>271186.60191237001</v>
      </c>
      <c r="D8473" s="56">
        <v>5.0712314462725665E-3</v>
      </c>
      <c r="E8473" s="224" t="s">
        <v>2</v>
      </c>
      <c r="F8473" s="515" t="s">
        <v>9680</v>
      </c>
      <c r="G8473" s="52">
        <v>163091.745227526</v>
      </c>
      <c r="H8473" s="56">
        <v>0.1122358623160519</v>
      </c>
      <c r="I8473" s="224" t="s">
        <v>2</v>
      </c>
    </row>
    <row r="8474" spans="1:9" x14ac:dyDescent="0.25">
      <c r="A8474" s="515">
        <v>36078</v>
      </c>
      <c r="B8474" s="515" t="s">
        <v>806</v>
      </c>
      <c r="C8474" s="52">
        <v>154494.432433526</v>
      </c>
      <c r="D8474" s="56">
        <v>7.1327752060672142E-2</v>
      </c>
      <c r="E8474" s="224" t="s">
        <v>2</v>
      </c>
      <c r="F8474" s="515" t="s">
        <v>9681</v>
      </c>
      <c r="G8474" s="52">
        <v>311221.62709389499</v>
      </c>
      <c r="H8474" s="56">
        <v>4.7956653976295005E-2</v>
      </c>
      <c r="I8474" s="224" t="s">
        <v>2</v>
      </c>
    </row>
    <row r="8475" spans="1:9" x14ac:dyDescent="0.25">
      <c r="A8475" s="515">
        <v>64501</v>
      </c>
      <c r="B8475" s="515" t="s">
        <v>371</v>
      </c>
      <c r="C8475" s="52">
        <v>86358.229837048406</v>
      </c>
      <c r="D8475" s="56">
        <v>7.5732760839174296E-2</v>
      </c>
      <c r="E8475" s="224" t="s">
        <v>2</v>
      </c>
      <c r="F8475" s="515" t="s">
        <v>9682</v>
      </c>
      <c r="G8475" s="52">
        <v>423114.27146884799</v>
      </c>
      <c r="H8475" s="56">
        <v>3.6516044121021524E-2</v>
      </c>
      <c r="I8475" s="224" t="s">
        <v>2</v>
      </c>
    </row>
    <row r="8476" spans="1:9" x14ac:dyDescent="0.25">
      <c r="A8476" s="515">
        <v>55040</v>
      </c>
      <c r="B8476" s="515" t="s">
        <v>532</v>
      </c>
      <c r="C8476" s="52">
        <v>300756.65554020501</v>
      </c>
      <c r="D8476" s="56">
        <v>4.37755472273842E-2</v>
      </c>
      <c r="E8476" s="224" t="s">
        <v>2</v>
      </c>
      <c r="F8476" s="515" t="s">
        <v>9683</v>
      </c>
      <c r="G8476" s="52">
        <v>38365.5493736153</v>
      </c>
      <c r="H8476" s="56">
        <v>0.16740504990019234</v>
      </c>
      <c r="I8476" s="224" t="s">
        <v>2</v>
      </c>
    </row>
    <row r="8477" spans="1:9" x14ac:dyDescent="0.25">
      <c r="A8477" s="515">
        <v>16428</v>
      </c>
      <c r="B8477" s="515" t="s">
        <v>753</v>
      </c>
      <c r="C8477" s="52">
        <v>210115.65881308401</v>
      </c>
      <c r="D8477" s="56">
        <v>8.2363282019254275E-2</v>
      </c>
      <c r="E8477" s="224" t="s">
        <v>2</v>
      </c>
      <c r="F8477" s="515" t="s">
        <v>9684</v>
      </c>
      <c r="G8477" s="52">
        <v>342764.78657433297</v>
      </c>
      <c r="H8477" s="56">
        <v>1.3761153558479112E-2</v>
      </c>
      <c r="I8477" s="224" t="s">
        <v>2</v>
      </c>
    </row>
    <row r="8478" spans="1:9" x14ac:dyDescent="0.25">
      <c r="A8478" s="515">
        <v>28584</v>
      </c>
      <c r="B8478" s="515" t="s">
        <v>641</v>
      </c>
      <c r="C8478" s="52">
        <v>355091.98580882902</v>
      </c>
      <c r="D8478" s="56">
        <v>0.13377075741629399</v>
      </c>
      <c r="E8478" s="224">
        <v>1550</v>
      </c>
      <c r="F8478" s="515" t="s">
        <v>9685</v>
      </c>
      <c r="G8478" s="52">
        <v>836235.97155694803</v>
      </c>
      <c r="H8478" s="56">
        <v>1.762985662898503E-2</v>
      </c>
      <c r="I8478" s="224" t="s">
        <v>2</v>
      </c>
    </row>
    <row r="8479" spans="1:9" x14ac:dyDescent="0.25">
      <c r="A8479" s="515">
        <v>46761</v>
      </c>
      <c r="C8479" s="52">
        <v>240804.361605112</v>
      </c>
      <c r="D8479" s="56">
        <v>5.4015045266591309E-2</v>
      </c>
      <c r="E8479" s="224" t="s">
        <v>2</v>
      </c>
      <c r="F8479" s="515" t="s">
        <v>9686</v>
      </c>
      <c r="G8479" s="52">
        <v>229416.31942803599</v>
      </c>
      <c r="H8479" s="56">
        <v>6.8560577181616469E-2</v>
      </c>
      <c r="I8479" s="224" t="s">
        <v>2</v>
      </c>
    </row>
    <row r="8480" spans="1:9" x14ac:dyDescent="0.25">
      <c r="A8480" s="515">
        <v>43064</v>
      </c>
      <c r="B8480" s="515" t="s">
        <v>345</v>
      </c>
      <c r="C8480" s="52">
        <v>457321.05576211697</v>
      </c>
      <c r="D8480" s="56">
        <v>0.10385194701403461</v>
      </c>
      <c r="E8480" s="224" t="s">
        <v>2</v>
      </c>
      <c r="F8480" s="515" t="s">
        <v>9687</v>
      </c>
      <c r="G8480" s="52">
        <v>186304.00776963501</v>
      </c>
      <c r="H8480" s="56">
        <v>5.3326957744012998E-2</v>
      </c>
      <c r="I8480" s="224" t="s">
        <v>2</v>
      </c>
    </row>
    <row r="8481" spans="1:9" x14ac:dyDescent="0.25">
      <c r="A8481" s="515">
        <v>21769</v>
      </c>
      <c r="B8481" s="515" t="s">
        <v>321</v>
      </c>
      <c r="C8481" s="52">
        <v>492570.25440956402</v>
      </c>
      <c r="D8481" s="56">
        <v>4.4203484735841229E-2</v>
      </c>
      <c r="E8481" s="224" t="s">
        <v>2</v>
      </c>
      <c r="F8481" s="515" t="s">
        <v>9688</v>
      </c>
      <c r="G8481" s="52">
        <v>166893.70959889999</v>
      </c>
      <c r="H8481" s="56">
        <v>-6.6992583806087233E-2</v>
      </c>
      <c r="I8481" s="224" t="s">
        <v>2</v>
      </c>
    </row>
    <row r="8482" spans="1:9" x14ac:dyDescent="0.25">
      <c r="A8482" s="515">
        <v>18431</v>
      </c>
      <c r="C8482" s="52">
        <v>245307.76938271199</v>
      </c>
      <c r="D8482" s="56">
        <v>5.8239415534551919E-2</v>
      </c>
      <c r="E8482" s="224" t="s">
        <v>2</v>
      </c>
      <c r="F8482" s="515" t="s">
        <v>9689</v>
      </c>
      <c r="G8482" s="52">
        <v>247449.703824233</v>
      </c>
      <c r="H8482" s="56">
        <v>6.0325194584694E-2</v>
      </c>
      <c r="I8482" s="224" t="s">
        <v>2</v>
      </c>
    </row>
    <row r="8483" spans="1:9" x14ac:dyDescent="0.25">
      <c r="A8483" s="515">
        <v>11545</v>
      </c>
      <c r="B8483" s="515" t="s">
        <v>324</v>
      </c>
      <c r="C8483" s="52">
        <v>1226484.2137621799</v>
      </c>
      <c r="D8483" s="56">
        <v>6.8225478752373614E-2</v>
      </c>
      <c r="E8483" s="224" t="s">
        <v>2</v>
      </c>
      <c r="F8483" s="515" t="s">
        <v>9690</v>
      </c>
      <c r="G8483" s="52">
        <v>255815.554297786</v>
      </c>
      <c r="H8483" s="56">
        <v>7.6035768028352019E-2</v>
      </c>
      <c r="I8483" s="224" t="s">
        <v>2</v>
      </c>
    </row>
    <row r="8484" spans="1:9" x14ac:dyDescent="0.25">
      <c r="A8484" s="515">
        <v>90293</v>
      </c>
      <c r="B8484" s="515" t="s">
        <v>375</v>
      </c>
      <c r="C8484" s="52">
        <v>896973.71084180404</v>
      </c>
      <c r="D8484" s="56">
        <v>-4.5088544877227132E-2</v>
      </c>
      <c r="E8484" s="224">
        <v>3343.6587301587301</v>
      </c>
      <c r="F8484" s="515" t="s">
        <v>9691</v>
      </c>
      <c r="G8484" s="52">
        <v>51035.515338110497</v>
      </c>
      <c r="H8484" s="56">
        <v>-0.15265374679250476</v>
      </c>
      <c r="I8484" s="224" t="s">
        <v>2</v>
      </c>
    </row>
    <row r="8485" spans="1:9" x14ac:dyDescent="0.25">
      <c r="A8485" s="515">
        <v>30642</v>
      </c>
      <c r="C8485" s="52">
        <v>612851.53268258099</v>
      </c>
      <c r="D8485" s="56">
        <v>6.8887842287462309E-2</v>
      </c>
      <c r="E8485" s="224" t="s">
        <v>2</v>
      </c>
      <c r="F8485" s="515" t="s">
        <v>9692</v>
      </c>
      <c r="G8485" s="52">
        <v>431729.77974254102</v>
      </c>
      <c r="H8485" s="56">
        <v>2.7542250418850885E-2</v>
      </c>
      <c r="I8485" s="224" t="s">
        <v>2</v>
      </c>
    </row>
    <row r="8486" spans="1:9" x14ac:dyDescent="0.25">
      <c r="A8486" s="515">
        <v>17754</v>
      </c>
      <c r="B8486" s="515" t="s">
        <v>296</v>
      </c>
      <c r="C8486" s="52">
        <v>240137.42398647001</v>
      </c>
      <c r="D8486" s="56">
        <v>7.0189087800964944E-2</v>
      </c>
      <c r="E8486" s="224" t="s">
        <v>2</v>
      </c>
      <c r="F8486" s="515" t="s">
        <v>9693</v>
      </c>
      <c r="G8486" s="52">
        <v>152394.52324224601</v>
      </c>
      <c r="H8486" s="56">
        <v>9.9518009375222719E-2</v>
      </c>
      <c r="I8486" s="224" t="s">
        <v>2</v>
      </c>
    </row>
    <row r="8487" spans="1:9" x14ac:dyDescent="0.25">
      <c r="A8487" s="515">
        <v>86426</v>
      </c>
      <c r="B8487" s="515" t="s">
        <v>453</v>
      </c>
      <c r="C8487" s="52">
        <v>319236.25516065903</v>
      </c>
      <c r="D8487" s="56">
        <v>4.7301416088770053E-2</v>
      </c>
      <c r="E8487" s="224" t="s">
        <v>2</v>
      </c>
      <c r="F8487" s="515" t="s">
        <v>9694</v>
      </c>
      <c r="G8487" s="52">
        <v>283837.34298771899</v>
      </c>
      <c r="H8487" s="56">
        <v>8.9284434290592615E-2</v>
      </c>
      <c r="I8487" s="224" t="s">
        <v>2</v>
      </c>
    </row>
    <row r="8488" spans="1:9" x14ac:dyDescent="0.25">
      <c r="A8488" s="515">
        <v>11778</v>
      </c>
      <c r="B8488" s="515" t="s">
        <v>324</v>
      </c>
      <c r="C8488" s="52">
        <v>427086.27940796298</v>
      </c>
      <c r="D8488" s="56">
        <v>2.7542587297186834E-2</v>
      </c>
      <c r="E8488" s="224" t="s">
        <v>2</v>
      </c>
      <c r="F8488" s="515" t="s">
        <v>9695</v>
      </c>
      <c r="G8488" s="52">
        <v>126790.386314127</v>
      </c>
      <c r="H8488" s="56">
        <v>0.15697884180586144</v>
      </c>
      <c r="I8488" s="224" t="s">
        <v>2</v>
      </c>
    </row>
    <row r="8489" spans="1:9" x14ac:dyDescent="0.25">
      <c r="A8489" s="515">
        <v>22209</v>
      </c>
      <c r="B8489" s="515" t="s">
        <v>321</v>
      </c>
      <c r="C8489" s="52">
        <v>652607.05172556604</v>
      </c>
      <c r="D8489" s="56">
        <v>-5.051618005080654E-2</v>
      </c>
      <c r="E8489" s="224">
        <v>2481.2841269841201</v>
      </c>
      <c r="F8489" s="515" t="s">
        <v>9696</v>
      </c>
      <c r="G8489" s="52">
        <v>142691.39438310399</v>
      </c>
      <c r="H8489" s="56">
        <v>0.19020290006280799</v>
      </c>
      <c r="I8489" s="224" t="s">
        <v>2</v>
      </c>
    </row>
    <row r="8490" spans="1:9" x14ac:dyDescent="0.25">
      <c r="A8490" s="515">
        <v>23847</v>
      </c>
      <c r="C8490" s="52">
        <v>116296.27425394001</v>
      </c>
      <c r="D8490" s="56">
        <v>0.15050534773661145</v>
      </c>
      <c r="E8490" s="224" t="s">
        <v>2</v>
      </c>
      <c r="F8490" s="515" t="s">
        <v>9697</v>
      </c>
      <c r="G8490" s="52">
        <v>199865.391835355</v>
      </c>
      <c r="H8490" s="56">
        <v>1.2957921877247655E-2</v>
      </c>
      <c r="I8490" s="224" t="s">
        <v>2</v>
      </c>
    </row>
    <row r="8491" spans="1:9" x14ac:dyDescent="0.25">
      <c r="A8491" s="515">
        <v>39705</v>
      </c>
      <c r="B8491" s="515" t="s">
        <v>1040</v>
      </c>
      <c r="C8491" s="52">
        <v>195962.57300462201</v>
      </c>
      <c r="D8491" s="56">
        <v>7.40212517961817E-3</v>
      </c>
      <c r="E8491" s="224" t="s">
        <v>2</v>
      </c>
      <c r="F8491" s="515" t="s">
        <v>9698</v>
      </c>
      <c r="G8491" s="52">
        <v>588321.23307790002</v>
      </c>
      <c r="H8491" s="56">
        <v>1.998623475676703E-2</v>
      </c>
      <c r="I8491" s="224" t="s">
        <v>2</v>
      </c>
    </row>
    <row r="8492" spans="1:9" x14ac:dyDescent="0.25">
      <c r="A8492" s="515">
        <v>50588</v>
      </c>
      <c r="B8492" s="515" t="s">
        <v>723</v>
      </c>
      <c r="C8492" s="52">
        <v>172738.855083617</v>
      </c>
      <c r="D8492" s="56">
        <v>9.0287237124878225E-2</v>
      </c>
      <c r="E8492" s="224" t="s">
        <v>2</v>
      </c>
      <c r="F8492" s="515" t="s">
        <v>9699</v>
      </c>
      <c r="G8492" s="52">
        <v>507627.92955484899</v>
      </c>
      <c r="H8492" s="56">
        <v>8.4020061653413358E-2</v>
      </c>
      <c r="I8492" s="224" t="s">
        <v>2</v>
      </c>
    </row>
    <row r="8493" spans="1:9" x14ac:dyDescent="0.25">
      <c r="A8493" s="515">
        <v>68512</v>
      </c>
      <c r="B8493" s="515" t="s">
        <v>486</v>
      </c>
      <c r="C8493" s="52">
        <v>312195.20735739102</v>
      </c>
      <c r="D8493" s="56">
        <v>5.1994285845946536E-2</v>
      </c>
      <c r="E8493" s="224">
        <v>1192.1666666666599</v>
      </c>
      <c r="F8493" s="515" t="s">
        <v>9700</v>
      </c>
      <c r="G8493" s="52">
        <v>388346.65275413299</v>
      </c>
      <c r="H8493" s="56">
        <v>8.5937924538524821E-2</v>
      </c>
      <c r="I8493" s="224" t="s">
        <v>2</v>
      </c>
    </row>
    <row r="8494" spans="1:9" x14ac:dyDescent="0.25">
      <c r="A8494" s="515">
        <v>64075</v>
      </c>
      <c r="B8494" s="515" t="s">
        <v>455</v>
      </c>
      <c r="C8494" s="52">
        <v>273094.02605276601</v>
      </c>
      <c r="D8494" s="56">
        <v>8.1706349962062261E-2</v>
      </c>
      <c r="E8494" s="224" t="s">
        <v>2</v>
      </c>
      <c r="F8494" s="515" t="s">
        <v>9701</v>
      </c>
      <c r="G8494" s="52">
        <v>532967.14159832394</v>
      </c>
      <c r="H8494" s="56">
        <v>3.2390815805549956E-2</v>
      </c>
      <c r="I8494" s="224" t="s">
        <v>2</v>
      </c>
    </row>
    <row r="8495" spans="1:9" x14ac:dyDescent="0.25">
      <c r="A8495" s="515">
        <v>2465</v>
      </c>
      <c r="B8495" s="515" t="s">
        <v>534</v>
      </c>
      <c r="C8495" s="52">
        <v>1132706.6167629899</v>
      </c>
      <c r="D8495" s="56">
        <v>5.2630353536661706E-2</v>
      </c>
      <c r="E8495" s="224" t="s">
        <v>2</v>
      </c>
      <c r="F8495" s="515" t="s">
        <v>9702</v>
      </c>
      <c r="G8495" s="52">
        <v>280619.12961955799</v>
      </c>
      <c r="H8495" s="56">
        <v>0.22160680720993292</v>
      </c>
      <c r="I8495" s="224" t="s">
        <v>2</v>
      </c>
    </row>
    <row r="8496" spans="1:9" x14ac:dyDescent="0.25">
      <c r="A8496" s="515">
        <v>13421</v>
      </c>
      <c r="B8496" s="515" t="s">
        <v>361</v>
      </c>
      <c r="C8496" s="52">
        <v>160323.823816583</v>
      </c>
      <c r="D8496" s="56">
        <v>7.767773975230971E-2</v>
      </c>
      <c r="E8496" s="224" t="s">
        <v>2</v>
      </c>
      <c r="F8496" s="515" t="s">
        <v>9703</v>
      </c>
      <c r="G8496" s="52">
        <v>212169.691647542</v>
      </c>
      <c r="H8496" s="56">
        <v>0.14747735814358359</v>
      </c>
      <c r="I8496" s="224" t="s">
        <v>2</v>
      </c>
    </row>
    <row r="8497" spans="1:9" x14ac:dyDescent="0.25">
      <c r="A8497" s="515">
        <v>40484</v>
      </c>
      <c r="B8497" s="515" t="s">
        <v>1015</v>
      </c>
      <c r="C8497" s="52">
        <v>170064.33474817799</v>
      </c>
      <c r="D8497" s="56">
        <v>0.12002034297140846</v>
      </c>
      <c r="E8497" s="224" t="s">
        <v>2</v>
      </c>
      <c r="F8497" s="515" t="s">
        <v>9704</v>
      </c>
      <c r="G8497" s="52">
        <v>160541.591511565</v>
      </c>
      <c r="H8497" s="56">
        <v>6.4175061150590337E-2</v>
      </c>
      <c r="I8497" s="224" t="s">
        <v>2</v>
      </c>
    </row>
    <row r="8498" spans="1:9" x14ac:dyDescent="0.25">
      <c r="A8498" s="515">
        <v>70754</v>
      </c>
      <c r="B8498" s="515" t="s">
        <v>610</v>
      </c>
      <c r="C8498" s="52">
        <v>210919.14908544099</v>
      </c>
      <c r="D8498" s="56">
        <v>2.3272158240842777E-2</v>
      </c>
      <c r="E8498" s="224" t="s">
        <v>2</v>
      </c>
      <c r="F8498" s="515" t="s">
        <v>9705</v>
      </c>
      <c r="G8498" s="52">
        <v>123159.741409159</v>
      </c>
      <c r="H8498" s="56">
        <v>0.13651209566951444</v>
      </c>
      <c r="I8498" s="224" t="s">
        <v>2</v>
      </c>
    </row>
    <row r="8499" spans="1:9" x14ac:dyDescent="0.25">
      <c r="A8499" s="515">
        <v>74953</v>
      </c>
      <c r="C8499" s="52">
        <v>150330.43348619001</v>
      </c>
      <c r="D8499" s="56">
        <v>0.11719788091748794</v>
      </c>
      <c r="E8499" s="224" t="s">
        <v>2</v>
      </c>
      <c r="F8499" s="515" t="s">
        <v>9706</v>
      </c>
      <c r="G8499" s="52">
        <v>97863.5851421486</v>
      </c>
      <c r="H8499" s="56">
        <v>-1.6343574002621205E-2</v>
      </c>
      <c r="I8499" s="224" t="s">
        <v>2</v>
      </c>
    </row>
    <row r="8500" spans="1:9" x14ac:dyDescent="0.25">
      <c r="A8500" s="515">
        <v>52641</v>
      </c>
      <c r="C8500" s="52">
        <v>159903.42950465501</v>
      </c>
      <c r="D8500" s="56">
        <v>6.8117828287497836E-2</v>
      </c>
      <c r="E8500" s="224" t="s">
        <v>2</v>
      </c>
      <c r="F8500" s="515" t="s">
        <v>9707</v>
      </c>
      <c r="G8500" s="52">
        <v>205010.39851440501</v>
      </c>
      <c r="H8500" s="56">
        <v>0</v>
      </c>
      <c r="I8500" s="224" t="s">
        <v>2</v>
      </c>
    </row>
    <row r="8501" spans="1:9" x14ac:dyDescent="0.25">
      <c r="A8501" s="515">
        <v>98660</v>
      </c>
      <c r="B8501" s="515" t="s">
        <v>659</v>
      </c>
      <c r="C8501" s="52">
        <v>438391.48303119303</v>
      </c>
      <c r="D8501" s="56">
        <v>4.5982157333119889E-2</v>
      </c>
      <c r="E8501" s="224">
        <v>2048.3333333333298</v>
      </c>
      <c r="F8501" s="515" t="s">
        <v>9708</v>
      </c>
      <c r="G8501" s="52">
        <v>203147.71293328001</v>
      </c>
      <c r="H8501" s="56">
        <v>8.7291402000707452E-2</v>
      </c>
      <c r="I8501" s="224" t="s">
        <v>2</v>
      </c>
    </row>
    <row r="8502" spans="1:9" x14ac:dyDescent="0.25">
      <c r="A8502" s="515">
        <v>30650</v>
      </c>
      <c r="B8502" s="515" t="s">
        <v>957</v>
      </c>
      <c r="C8502" s="52">
        <v>363244.540980477</v>
      </c>
      <c r="D8502" s="56">
        <v>7.5431105460235612E-2</v>
      </c>
      <c r="E8502" s="224" t="s">
        <v>2</v>
      </c>
      <c r="F8502" s="515" t="s">
        <v>9709</v>
      </c>
      <c r="G8502" s="52">
        <v>129194.36031790001</v>
      </c>
      <c r="H8502" s="56">
        <v>-0.1232580677764453</v>
      </c>
      <c r="I8502" s="224" t="s">
        <v>2</v>
      </c>
    </row>
    <row r="8503" spans="1:9" x14ac:dyDescent="0.25">
      <c r="A8503" s="515">
        <v>77094</v>
      </c>
      <c r="B8503" s="515" t="s">
        <v>314</v>
      </c>
      <c r="C8503" s="52">
        <v>499381.24537098198</v>
      </c>
      <c r="D8503" s="56">
        <v>6.5778513538054501E-2</v>
      </c>
      <c r="E8503" s="224">
        <v>1904.6666666666599</v>
      </c>
      <c r="F8503" s="515" t="s">
        <v>9710</v>
      </c>
      <c r="G8503" s="52">
        <v>705698.64909094095</v>
      </c>
      <c r="H8503" s="56">
        <v>-3.4345374568733877E-2</v>
      </c>
      <c r="I8503" s="224" t="s">
        <v>2</v>
      </c>
    </row>
    <row r="8504" spans="1:9" x14ac:dyDescent="0.25">
      <c r="A8504" s="515">
        <v>44718</v>
      </c>
      <c r="B8504" s="515" t="s">
        <v>863</v>
      </c>
      <c r="C8504" s="52">
        <v>306739.16542151599</v>
      </c>
      <c r="D8504" s="56">
        <v>8.3788621087430556E-2</v>
      </c>
      <c r="E8504" s="224" t="s">
        <v>2</v>
      </c>
      <c r="F8504" s="515" t="s">
        <v>9711</v>
      </c>
      <c r="G8504" s="52">
        <v>168124.99796747899</v>
      </c>
      <c r="H8504" s="56">
        <v>0</v>
      </c>
      <c r="I8504" s="224" t="s">
        <v>2</v>
      </c>
    </row>
    <row r="8505" spans="1:9" x14ac:dyDescent="0.25">
      <c r="A8505" s="515">
        <v>6238</v>
      </c>
      <c r="B8505" s="515" t="s">
        <v>894</v>
      </c>
      <c r="C8505" s="52">
        <v>301705.305578386</v>
      </c>
      <c r="D8505" s="56">
        <v>8.4863399745198284E-2</v>
      </c>
      <c r="E8505" s="224" t="s">
        <v>2</v>
      </c>
      <c r="F8505" s="515" t="s">
        <v>9712</v>
      </c>
      <c r="G8505" s="52">
        <v>117814.111554565</v>
      </c>
      <c r="H8505" s="56">
        <v>8.0526495948259696E-2</v>
      </c>
      <c r="I8505" s="224" t="s">
        <v>2</v>
      </c>
    </row>
    <row r="8506" spans="1:9" x14ac:dyDescent="0.25">
      <c r="A8506" s="515">
        <v>11598</v>
      </c>
      <c r="B8506" s="515" t="s">
        <v>324</v>
      </c>
      <c r="C8506" s="52">
        <v>1040543.05282572</v>
      </c>
      <c r="D8506" s="56">
        <v>7.2899102553027159E-2</v>
      </c>
      <c r="E8506" s="224" t="s">
        <v>2</v>
      </c>
      <c r="F8506" s="515" t="s">
        <v>9713</v>
      </c>
      <c r="G8506" s="52">
        <v>171098.61786961</v>
      </c>
      <c r="H8506" s="56">
        <v>6.5518870477842522E-2</v>
      </c>
      <c r="I8506" s="224" t="s">
        <v>2</v>
      </c>
    </row>
    <row r="8507" spans="1:9" x14ac:dyDescent="0.25">
      <c r="A8507" s="515">
        <v>6413</v>
      </c>
      <c r="B8507" s="515" t="s">
        <v>894</v>
      </c>
      <c r="C8507" s="52">
        <v>366863.80369372002</v>
      </c>
      <c r="D8507" s="56">
        <v>9.6808759308946557E-2</v>
      </c>
      <c r="E8507" s="224" t="s">
        <v>2</v>
      </c>
      <c r="F8507" s="515" t="s">
        <v>9714</v>
      </c>
      <c r="G8507" s="52">
        <v>194986.629880186</v>
      </c>
      <c r="H8507" s="56">
        <v>-4.2177980575666518E-2</v>
      </c>
      <c r="I8507" s="224" t="s">
        <v>2</v>
      </c>
    </row>
    <row r="8508" spans="1:9" x14ac:dyDescent="0.25">
      <c r="A8508" s="515">
        <v>70544</v>
      </c>
      <c r="B8508" s="515" t="s">
        <v>1004</v>
      </c>
      <c r="C8508" s="52">
        <v>95479.766530686204</v>
      </c>
      <c r="D8508" s="56">
        <v>-6.6935261774761959E-2</v>
      </c>
      <c r="E8508" s="224" t="s">
        <v>2</v>
      </c>
      <c r="F8508" s="515" t="s">
        <v>9715</v>
      </c>
      <c r="G8508" s="52">
        <v>232361.46035934001</v>
      </c>
      <c r="H8508" s="56">
        <v>2.9993247849535234E-2</v>
      </c>
      <c r="I8508" s="224" t="s">
        <v>2</v>
      </c>
    </row>
    <row r="8509" spans="1:9" x14ac:dyDescent="0.25">
      <c r="A8509" s="515">
        <v>72908</v>
      </c>
      <c r="B8509" s="515" t="s">
        <v>326</v>
      </c>
      <c r="C8509" s="52">
        <v>193029.25041808601</v>
      </c>
      <c r="D8509" s="56">
        <v>7.3331218491498679E-2</v>
      </c>
      <c r="E8509" s="224">
        <v>1300</v>
      </c>
      <c r="F8509" s="515" t="s">
        <v>9716</v>
      </c>
      <c r="G8509" s="52">
        <v>187135.60131853301</v>
      </c>
      <c r="H8509" s="56">
        <v>4.0799657091283872E-2</v>
      </c>
      <c r="I8509" s="224" t="s">
        <v>2</v>
      </c>
    </row>
    <row r="8510" spans="1:9" x14ac:dyDescent="0.25">
      <c r="A8510" s="515">
        <v>10927</v>
      </c>
      <c r="B8510" s="515" t="s">
        <v>324</v>
      </c>
      <c r="C8510" s="52">
        <v>351582.34329548699</v>
      </c>
      <c r="D8510" s="56">
        <v>8.0866700060336236E-2</v>
      </c>
      <c r="E8510" s="224">
        <v>3258.75</v>
      </c>
      <c r="F8510" s="515" t="s">
        <v>9717</v>
      </c>
      <c r="G8510" s="52">
        <v>182788.67289372301</v>
      </c>
      <c r="H8510" s="56">
        <v>6.2216377883327255E-2</v>
      </c>
      <c r="I8510" s="224" t="s">
        <v>2</v>
      </c>
    </row>
    <row r="8511" spans="1:9" x14ac:dyDescent="0.25">
      <c r="A8511" s="515">
        <v>10803</v>
      </c>
      <c r="B8511" s="515" t="s">
        <v>324</v>
      </c>
      <c r="C8511" s="52">
        <v>1066646.86317969</v>
      </c>
      <c r="D8511" s="56">
        <v>4.8017925909227523E-2</v>
      </c>
      <c r="E8511" s="224" t="s">
        <v>2</v>
      </c>
      <c r="F8511" s="515" t="s">
        <v>9718</v>
      </c>
      <c r="G8511" s="52">
        <v>92413.982270765802</v>
      </c>
      <c r="H8511" s="56">
        <v>0.11009022205739799</v>
      </c>
      <c r="I8511" s="224" t="s">
        <v>2</v>
      </c>
    </row>
    <row r="8512" spans="1:9" x14ac:dyDescent="0.25">
      <c r="A8512" s="515">
        <v>78611</v>
      </c>
      <c r="C8512" s="52">
        <v>407162.74684566801</v>
      </c>
      <c r="D8512" s="56">
        <v>0.11807441961389513</v>
      </c>
      <c r="E8512" s="224" t="s">
        <v>2</v>
      </c>
      <c r="F8512" s="515" t="s">
        <v>9719</v>
      </c>
      <c r="G8512" s="52">
        <v>63647.693944486397</v>
      </c>
      <c r="H8512" s="56">
        <v>7.4546437729134538E-2</v>
      </c>
      <c r="I8512" s="224" t="s">
        <v>2</v>
      </c>
    </row>
    <row r="8513" spans="1:9" x14ac:dyDescent="0.25">
      <c r="A8513" s="515">
        <v>8070</v>
      </c>
      <c r="B8513" s="515" t="s">
        <v>294</v>
      </c>
      <c r="C8513" s="52">
        <v>215552.737372384</v>
      </c>
      <c r="D8513" s="56">
        <v>0.10040831743926491</v>
      </c>
      <c r="E8513" s="224" t="s">
        <v>2</v>
      </c>
      <c r="F8513" s="515" t="s">
        <v>9720</v>
      </c>
      <c r="G8513" s="52">
        <v>184748.25970379601</v>
      </c>
      <c r="H8513" s="56">
        <v>0.2458064845623803</v>
      </c>
      <c r="I8513" s="224" t="s">
        <v>2</v>
      </c>
    </row>
    <row r="8514" spans="1:9" x14ac:dyDescent="0.25">
      <c r="A8514" s="515">
        <v>46394</v>
      </c>
      <c r="B8514" s="515" t="s">
        <v>394</v>
      </c>
      <c r="C8514" s="52">
        <v>182939.674380515</v>
      </c>
      <c r="D8514" s="56">
        <v>9.4780654654108662E-2</v>
      </c>
      <c r="E8514" s="224" t="s">
        <v>2</v>
      </c>
      <c r="F8514" s="515" t="s">
        <v>9721</v>
      </c>
      <c r="G8514" s="52">
        <v>502575.93595557398</v>
      </c>
      <c r="H8514" s="56">
        <v>7.6360661835707735E-2</v>
      </c>
      <c r="I8514" s="224" t="s">
        <v>2</v>
      </c>
    </row>
    <row r="8515" spans="1:9" x14ac:dyDescent="0.25">
      <c r="A8515" s="515">
        <v>11946</v>
      </c>
      <c r="B8515" s="515" t="s">
        <v>324</v>
      </c>
      <c r="C8515" s="52">
        <v>758783.59568297502</v>
      </c>
      <c r="D8515" s="56">
        <v>0.12035715229730241</v>
      </c>
      <c r="E8515" s="224">
        <v>12500</v>
      </c>
      <c r="F8515" s="515" t="s">
        <v>9722</v>
      </c>
      <c r="G8515" s="52">
        <v>613993.87964643596</v>
      </c>
      <c r="H8515" s="56">
        <v>-1.5091500783300998E-2</v>
      </c>
      <c r="I8515" s="224" t="s">
        <v>2</v>
      </c>
    </row>
    <row r="8516" spans="1:9" x14ac:dyDescent="0.25">
      <c r="A8516" s="515">
        <v>74604</v>
      </c>
      <c r="B8516" s="515" t="s">
        <v>758</v>
      </c>
      <c r="C8516" s="52">
        <v>186492.17871719299</v>
      </c>
      <c r="D8516" s="56">
        <v>6.5624685750710621E-2</v>
      </c>
      <c r="E8516" s="224" t="s">
        <v>2</v>
      </c>
      <c r="F8516" s="515" t="s">
        <v>9723</v>
      </c>
      <c r="G8516" s="52">
        <v>137867.597081888</v>
      </c>
      <c r="H8516" s="56">
        <v>0.10067645013057651</v>
      </c>
      <c r="I8516" s="224" t="s">
        <v>2</v>
      </c>
    </row>
    <row r="8517" spans="1:9" x14ac:dyDescent="0.25">
      <c r="A8517" s="515">
        <v>72396</v>
      </c>
      <c r="C8517" s="52">
        <v>134383.160860684</v>
      </c>
      <c r="D8517" s="56">
        <v>6.1672822691335248E-2</v>
      </c>
      <c r="E8517" s="224" t="s">
        <v>2</v>
      </c>
      <c r="F8517" s="515" t="s">
        <v>9724</v>
      </c>
      <c r="G8517" s="52">
        <v>295283.08263712598</v>
      </c>
      <c r="H8517" s="56">
        <v>4.7670589669388357E-2</v>
      </c>
      <c r="I8517" s="224" t="s">
        <v>2</v>
      </c>
    </row>
    <row r="8518" spans="1:9" x14ac:dyDescent="0.25">
      <c r="A8518" s="515">
        <v>91502</v>
      </c>
      <c r="B8518" s="515" t="s">
        <v>375</v>
      </c>
      <c r="C8518" s="52">
        <v>761119.76621073496</v>
      </c>
      <c r="D8518" s="56">
        <v>2.9601345573406785E-2</v>
      </c>
      <c r="E8518" s="224">
        <v>2645.4166666666601</v>
      </c>
      <c r="F8518" s="515" t="s">
        <v>9725</v>
      </c>
      <c r="G8518" s="52">
        <v>118335.77708042999</v>
      </c>
      <c r="H8518" s="56">
        <v>2.7254672646436745E-2</v>
      </c>
      <c r="I8518" s="224" t="s">
        <v>2</v>
      </c>
    </row>
    <row r="8519" spans="1:9" x14ac:dyDescent="0.25">
      <c r="A8519" s="515">
        <v>7922</v>
      </c>
      <c r="B8519" s="515" t="s">
        <v>324</v>
      </c>
      <c r="C8519" s="52">
        <v>692977.67636088096</v>
      </c>
      <c r="D8519" s="56">
        <v>5.525552656126758E-2</v>
      </c>
      <c r="E8519" s="224" t="s">
        <v>2</v>
      </c>
      <c r="F8519" s="515" t="s">
        <v>9726</v>
      </c>
      <c r="G8519" s="52">
        <v>192906.84764366501</v>
      </c>
      <c r="H8519" s="56">
        <v>3.7184864722280525E-2</v>
      </c>
      <c r="I8519" s="224" t="s">
        <v>2</v>
      </c>
    </row>
    <row r="8520" spans="1:9" x14ac:dyDescent="0.25">
      <c r="A8520" s="515">
        <v>32220</v>
      </c>
      <c r="B8520" s="515" t="s">
        <v>1158</v>
      </c>
      <c r="C8520" s="52">
        <v>290605.50621704099</v>
      </c>
      <c r="D8520" s="56">
        <v>0.13551994342272333</v>
      </c>
      <c r="E8520" s="224">
        <v>1819</v>
      </c>
      <c r="F8520" s="515" t="s">
        <v>9727</v>
      </c>
      <c r="G8520" s="52">
        <v>134274.542729657</v>
      </c>
      <c r="H8520" s="56">
        <v>6.5973342172919401E-4</v>
      </c>
      <c r="I8520" s="224" t="s">
        <v>2</v>
      </c>
    </row>
    <row r="8521" spans="1:9" x14ac:dyDescent="0.25">
      <c r="A8521" s="515">
        <v>99615</v>
      </c>
      <c r="C8521" s="52">
        <v>404844.335295278</v>
      </c>
      <c r="D8521" s="56">
        <v>3.4568710688088755E-2</v>
      </c>
      <c r="E8521" s="224" t="s">
        <v>2</v>
      </c>
      <c r="F8521" s="515" t="s">
        <v>9728</v>
      </c>
      <c r="G8521" s="52">
        <v>145867.178827125</v>
      </c>
      <c r="H8521" s="56">
        <v>5.7319544062755558E-2</v>
      </c>
      <c r="I8521" s="224" t="s">
        <v>2</v>
      </c>
    </row>
    <row r="8522" spans="1:9" x14ac:dyDescent="0.25">
      <c r="A8522" s="515">
        <v>7009</v>
      </c>
      <c r="B8522" s="515" t="s">
        <v>324</v>
      </c>
      <c r="C8522" s="52">
        <v>591227.58804788103</v>
      </c>
      <c r="D8522" s="56">
        <v>6.3523359331524698E-2</v>
      </c>
      <c r="E8522" s="224" t="s">
        <v>2</v>
      </c>
      <c r="F8522" s="515" t="s">
        <v>9729</v>
      </c>
      <c r="G8522" s="52">
        <v>144658.53977983</v>
      </c>
      <c r="H8522" s="56">
        <v>0.16942527925666109</v>
      </c>
      <c r="I8522" s="224" t="s">
        <v>2</v>
      </c>
    </row>
    <row r="8523" spans="1:9" x14ac:dyDescent="0.25">
      <c r="A8523" s="515">
        <v>46814</v>
      </c>
      <c r="B8523" s="515" t="s">
        <v>1031</v>
      </c>
      <c r="C8523" s="52">
        <v>415577.64978386002</v>
      </c>
      <c r="D8523" s="56">
        <v>4.0327338722315358E-2</v>
      </c>
      <c r="E8523" s="224" t="s">
        <v>2</v>
      </c>
      <c r="F8523" s="515" t="s">
        <v>9730</v>
      </c>
      <c r="G8523" s="52">
        <v>124123.361387864</v>
      </c>
      <c r="H8523" s="56">
        <v>-3.012306660180404E-3</v>
      </c>
      <c r="I8523" s="224" t="s">
        <v>2</v>
      </c>
    </row>
    <row r="8524" spans="1:9" x14ac:dyDescent="0.25">
      <c r="A8524" s="515">
        <v>72012</v>
      </c>
      <c r="B8524" s="515" t="s">
        <v>414</v>
      </c>
      <c r="C8524" s="52">
        <v>173170.229930181</v>
      </c>
      <c r="D8524" s="56">
        <v>8.3569277517146351E-2</v>
      </c>
      <c r="E8524" s="224" t="s">
        <v>2</v>
      </c>
      <c r="F8524" s="515" t="s">
        <v>9731</v>
      </c>
      <c r="G8524" s="52">
        <v>251765.34704645301</v>
      </c>
      <c r="H8524" s="56">
        <v>0.10942033644978891</v>
      </c>
      <c r="I8524" s="224" t="s">
        <v>2</v>
      </c>
    </row>
    <row r="8525" spans="1:9" x14ac:dyDescent="0.25">
      <c r="A8525" s="515">
        <v>45377</v>
      </c>
      <c r="B8525" s="515" t="s">
        <v>340</v>
      </c>
      <c r="C8525" s="52">
        <v>198607.74754975099</v>
      </c>
      <c r="D8525" s="56">
        <v>8.4832843094383256E-2</v>
      </c>
      <c r="E8525" s="224">
        <v>872.5</v>
      </c>
      <c r="F8525" s="515" t="s">
        <v>9732</v>
      </c>
      <c r="G8525" s="52">
        <v>180982.39318181801</v>
      </c>
      <c r="H8525" s="56">
        <v>0</v>
      </c>
      <c r="I8525" s="224" t="s">
        <v>2</v>
      </c>
    </row>
    <row r="8526" spans="1:9" x14ac:dyDescent="0.25">
      <c r="A8526" s="515">
        <v>80007</v>
      </c>
      <c r="B8526" s="515" t="s">
        <v>401</v>
      </c>
      <c r="C8526" s="52">
        <v>850451.79476416402</v>
      </c>
      <c r="D8526" s="56">
        <v>2.3061925707763584E-2</v>
      </c>
      <c r="E8526" s="224" t="s">
        <v>2</v>
      </c>
      <c r="F8526" s="515" t="s">
        <v>9733</v>
      </c>
      <c r="G8526" s="52">
        <v>133783.73095922999</v>
      </c>
      <c r="H8526" s="56">
        <v>0.16243382298944567</v>
      </c>
      <c r="I8526" s="224" t="s">
        <v>2</v>
      </c>
    </row>
    <row r="8527" spans="1:9" x14ac:dyDescent="0.25">
      <c r="A8527" s="515">
        <v>81147</v>
      </c>
      <c r="C8527" s="52">
        <v>529518.85880096501</v>
      </c>
      <c r="D8527" s="56">
        <v>9.9081997168521299E-2</v>
      </c>
      <c r="E8527" s="224" t="s">
        <v>2</v>
      </c>
      <c r="F8527" s="515" t="s">
        <v>9734</v>
      </c>
      <c r="G8527" s="52">
        <v>195246.29378902999</v>
      </c>
      <c r="H8527" s="56">
        <v>0.15748466047558068</v>
      </c>
      <c r="I8527" s="224" t="s">
        <v>2</v>
      </c>
    </row>
    <row r="8528" spans="1:9" x14ac:dyDescent="0.25">
      <c r="A8528" s="515">
        <v>61944</v>
      </c>
      <c r="C8528" s="52">
        <v>67589.696507514207</v>
      </c>
      <c r="D8528" s="56">
        <v>1.0864913021963655E-2</v>
      </c>
      <c r="E8528" s="224" t="s">
        <v>2</v>
      </c>
      <c r="F8528" s="515" t="s">
        <v>9735</v>
      </c>
      <c r="G8528" s="52">
        <v>537579.67033994896</v>
      </c>
      <c r="H8528" s="56">
        <v>4.7408710967566256E-2</v>
      </c>
      <c r="I8528" s="224" t="s">
        <v>2</v>
      </c>
    </row>
    <row r="8529" spans="1:9" x14ac:dyDescent="0.25">
      <c r="A8529" s="515">
        <v>44904</v>
      </c>
      <c r="B8529" s="515" t="s">
        <v>1140</v>
      </c>
      <c r="C8529" s="52">
        <v>219299.83015801301</v>
      </c>
      <c r="D8529" s="56">
        <v>5.9412564683337131E-2</v>
      </c>
      <c r="E8529" s="224" t="s">
        <v>2</v>
      </c>
      <c r="F8529" s="515" t="s">
        <v>9736</v>
      </c>
      <c r="G8529" s="52">
        <v>725921.73601953196</v>
      </c>
      <c r="H8529" s="56">
        <v>5.2666041119160456E-2</v>
      </c>
      <c r="I8529" s="224" t="s">
        <v>2</v>
      </c>
    </row>
    <row r="8530" spans="1:9" x14ac:dyDescent="0.25">
      <c r="A8530" s="515">
        <v>18634</v>
      </c>
      <c r="B8530" s="515" t="s">
        <v>512</v>
      </c>
      <c r="C8530" s="52">
        <v>110235.100614879</v>
      </c>
      <c r="D8530" s="56">
        <v>0.10570378937626758</v>
      </c>
      <c r="E8530" s="224" t="s">
        <v>2</v>
      </c>
      <c r="F8530" s="515" t="s">
        <v>9737</v>
      </c>
      <c r="G8530" s="52">
        <v>266220.85935613501</v>
      </c>
      <c r="H8530" s="56">
        <v>7.5337274542735505E-2</v>
      </c>
      <c r="I8530" s="224" t="s">
        <v>2</v>
      </c>
    </row>
    <row r="8531" spans="1:9" x14ac:dyDescent="0.25">
      <c r="A8531" s="515">
        <v>28384</v>
      </c>
      <c r="B8531" s="515" t="s">
        <v>1161</v>
      </c>
      <c r="C8531" s="52">
        <v>111485.252188486</v>
      </c>
      <c r="D8531" s="56">
        <v>0.13621957861344541</v>
      </c>
      <c r="E8531" s="224" t="s">
        <v>2</v>
      </c>
      <c r="F8531" s="515" t="s">
        <v>9738</v>
      </c>
      <c r="G8531" s="52">
        <v>134598.85531842901</v>
      </c>
      <c r="H8531" s="56">
        <v>2.3067043852811098E-2</v>
      </c>
      <c r="I8531" s="224" t="s">
        <v>2</v>
      </c>
    </row>
    <row r="8532" spans="1:9" x14ac:dyDescent="0.25">
      <c r="A8532" s="515">
        <v>72103</v>
      </c>
      <c r="B8532" s="515" t="s">
        <v>393</v>
      </c>
      <c r="C8532" s="52">
        <v>151788.973206956</v>
      </c>
      <c r="D8532" s="56">
        <v>5.9343814989447262E-2</v>
      </c>
      <c r="E8532" s="224" t="s">
        <v>2</v>
      </c>
      <c r="F8532" s="515" t="s">
        <v>9739</v>
      </c>
      <c r="G8532" s="52">
        <v>177482.42237887299</v>
      </c>
      <c r="H8532" s="56">
        <v>7.146380123831092E-2</v>
      </c>
      <c r="I8532" s="224" t="s">
        <v>2</v>
      </c>
    </row>
    <row r="8533" spans="1:9" x14ac:dyDescent="0.25">
      <c r="A8533" s="515">
        <v>97741</v>
      </c>
      <c r="C8533" s="52">
        <v>338024.909282398</v>
      </c>
      <c r="D8533" s="56">
        <v>4.4619691651705845E-2</v>
      </c>
      <c r="E8533" s="224" t="s">
        <v>2</v>
      </c>
      <c r="F8533" s="515" t="s">
        <v>9740</v>
      </c>
      <c r="G8533" s="52">
        <v>154609.996156668</v>
      </c>
      <c r="H8533" s="56">
        <v>-5.9287817918586058E-3</v>
      </c>
      <c r="I8533" s="224" t="s">
        <v>2</v>
      </c>
    </row>
    <row r="8534" spans="1:9" x14ac:dyDescent="0.25">
      <c r="A8534" s="515">
        <v>92657</v>
      </c>
      <c r="B8534" s="515" t="s">
        <v>375</v>
      </c>
      <c r="C8534" s="52">
        <v>3860036.8959826902</v>
      </c>
      <c r="D8534" s="56">
        <v>0.1255723438639865</v>
      </c>
      <c r="E8534" s="224">
        <v>4395.5555555555502</v>
      </c>
      <c r="F8534" s="515" t="s">
        <v>9741</v>
      </c>
      <c r="G8534" s="52">
        <v>98101.801821310495</v>
      </c>
      <c r="H8534" s="56">
        <v>0.12017165378169875</v>
      </c>
      <c r="I8534" s="224" t="s">
        <v>2</v>
      </c>
    </row>
    <row r="8535" spans="1:9" x14ac:dyDescent="0.25">
      <c r="A8535" s="515">
        <v>35954</v>
      </c>
      <c r="B8535" s="515" t="s">
        <v>978</v>
      </c>
      <c r="C8535" s="52">
        <v>115039.136256292</v>
      </c>
      <c r="D8535" s="56">
        <v>3.0265286858474443E-2</v>
      </c>
      <c r="E8535" s="224" t="s">
        <v>2</v>
      </c>
      <c r="F8535" s="515" t="s">
        <v>9742</v>
      </c>
      <c r="G8535" s="52">
        <v>127642.183830772</v>
      </c>
      <c r="H8535" s="56">
        <v>3.4877298880839992E-2</v>
      </c>
      <c r="I8535" s="224" t="s">
        <v>2</v>
      </c>
    </row>
    <row r="8536" spans="1:9" x14ac:dyDescent="0.25">
      <c r="A8536" s="515">
        <v>66205</v>
      </c>
      <c r="B8536" s="515" t="s">
        <v>455</v>
      </c>
      <c r="C8536" s="52">
        <v>324294.76898307301</v>
      </c>
      <c r="D8536" s="56">
        <v>4.0522769594210084E-2</v>
      </c>
      <c r="E8536" s="224">
        <v>1875.8333333333301</v>
      </c>
      <c r="F8536" s="515" t="s">
        <v>9743</v>
      </c>
      <c r="G8536" s="52">
        <v>79617.443804883194</v>
      </c>
      <c r="H8536" s="56">
        <v>-0.24595397146265005</v>
      </c>
      <c r="I8536" s="224" t="s">
        <v>2</v>
      </c>
    </row>
    <row r="8537" spans="1:9" x14ac:dyDescent="0.25">
      <c r="A8537" s="515">
        <v>6096</v>
      </c>
      <c r="B8537" s="515" t="s">
        <v>894</v>
      </c>
      <c r="C8537" s="52">
        <v>252106.24405719701</v>
      </c>
      <c r="D8537" s="56">
        <v>8.0534130604977938E-2</v>
      </c>
      <c r="E8537" s="224" t="s">
        <v>2</v>
      </c>
      <c r="F8537" s="515" t="s">
        <v>9744</v>
      </c>
      <c r="G8537" s="52">
        <v>209200.47559595201</v>
      </c>
      <c r="H8537" s="56">
        <v>0.10992816122378959</v>
      </c>
      <c r="I8537" s="224" t="s">
        <v>2</v>
      </c>
    </row>
    <row r="8538" spans="1:9" x14ac:dyDescent="0.25">
      <c r="A8538" s="515">
        <v>37772</v>
      </c>
      <c r="B8538" s="515" t="s">
        <v>907</v>
      </c>
      <c r="C8538" s="52">
        <v>415438.96140925802</v>
      </c>
      <c r="D8538" s="56">
        <v>0.10881570198869682</v>
      </c>
      <c r="E8538" s="224" t="s">
        <v>2</v>
      </c>
      <c r="F8538" s="515" t="s">
        <v>9745</v>
      </c>
      <c r="G8538" s="52">
        <v>361930.13118858502</v>
      </c>
      <c r="H8538" s="56">
        <v>0.10015924134234698</v>
      </c>
      <c r="I8538" s="224" t="s">
        <v>2</v>
      </c>
    </row>
    <row r="8539" spans="1:9" x14ac:dyDescent="0.25">
      <c r="A8539" s="515">
        <v>15238</v>
      </c>
      <c r="B8539" s="515" t="s">
        <v>297</v>
      </c>
      <c r="C8539" s="52">
        <v>452455.59419260098</v>
      </c>
      <c r="D8539" s="56">
        <v>7.0620766099438528E-2</v>
      </c>
      <c r="E8539" s="224">
        <v>1827.3333333333301</v>
      </c>
      <c r="F8539" s="515" t="s">
        <v>9746</v>
      </c>
      <c r="G8539" s="52">
        <v>281831.26155527501</v>
      </c>
      <c r="H8539" s="56">
        <v>8.6327240457705748E-2</v>
      </c>
      <c r="I8539" s="224" t="s">
        <v>2</v>
      </c>
    </row>
    <row r="8540" spans="1:9" x14ac:dyDescent="0.25">
      <c r="A8540" s="515">
        <v>67147</v>
      </c>
      <c r="B8540" s="515" t="s">
        <v>485</v>
      </c>
      <c r="C8540" s="52">
        <v>247599.220740085</v>
      </c>
      <c r="D8540" s="56">
        <v>8.0142931347606E-2</v>
      </c>
      <c r="E8540" s="224" t="s">
        <v>2</v>
      </c>
      <c r="F8540" s="515" t="s">
        <v>9747</v>
      </c>
      <c r="G8540" s="52">
        <v>444897.017705534</v>
      </c>
      <c r="H8540" s="56">
        <v>6.9802183234413964E-2</v>
      </c>
      <c r="I8540" s="224" t="s">
        <v>2</v>
      </c>
    </row>
    <row r="8541" spans="1:9" x14ac:dyDescent="0.25">
      <c r="A8541" s="515">
        <v>20872</v>
      </c>
      <c r="B8541" s="515" t="s">
        <v>321</v>
      </c>
      <c r="C8541" s="52">
        <v>485032.02772285597</v>
      </c>
      <c r="D8541" s="56">
        <v>3.5248793682738748E-2</v>
      </c>
      <c r="E8541" s="224" t="s">
        <v>2</v>
      </c>
      <c r="F8541" s="515" t="s">
        <v>9748</v>
      </c>
      <c r="G8541" s="52">
        <v>291838.75770083303</v>
      </c>
      <c r="H8541" s="56">
        <v>9.3273863719001218E-2</v>
      </c>
      <c r="I8541" s="224" t="s">
        <v>2</v>
      </c>
    </row>
    <row r="8542" spans="1:9" x14ac:dyDescent="0.25">
      <c r="A8542" s="515">
        <v>76309</v>
      </c>
      <c r="B8542" s="515" t="s">
        <v>328</v>
      </c>
      <c r="C8542" s="52">
        <v>114250.65549203999</v>
      </c>
      <c r="D8542" s="56">
        <v>6.3131812959043215E-2</v>
      </c>
      <c r="E8542" s="224">
        <v>1005.41666666666</v>
      </c>
      <c r="F8542" s="515" t="s">
        <v>9749</v>
      </c>
      <c r="G8542" s="52">
        <v>145167.00440026799</v>
      </c>
      <c r="H8542" s="56">
        <v>0.17145222021552597</v>
      </c>
      <c r="I8542" s="224" t="s">
        <v>2</v>
      </c>
    </row>
    <row r="8543" spans="1:9" x14ac:dyDescent="0.25">
      <c r="A8543" s="515">
        <v>97221</v>
      </c>
      <c r="B8543" s="515" t="s">
        <v>659</v>
      </c>
      <c r="C8543" s="52">
        <v>744059.89884448599</v>
      </c>
      <c r="D8543" s="56">
        <v>1.5322538168229647E-2</v>
      </c>
      <c r="E8543" s="224">
        <v>1757.5</v>
      </c>
      <c r="F8543" s="515" t="s">
        <v>9750</v>
      </c>
      <c r="G8543" s="52">
        <v>435636.52174723399</v>
      </c>
      <c r="H8543" s="56">
        <v>6.5694316168540851E-2</v>
      </c>
      <c r="I8543" s="224" t="s">
        <v>2</v>
      </c>
    </row>
    <row r="8544" spans="1:9" x14ac:dyDescent="0.25">
      <c r="A8544" s="515">
        <v>63383</v>
      </c>
      <c r="B8544" s="515" t="s">
        <v>498</v>
      </c>
      <c r="C8544" s="52">
        <v>230349.21647289101</v>
      </c>
      <c r="D8544" s="56">
        <v>4.6806001967379642E-2</v>
      </c>
      <c r="E8544" s="224" t="s">
        <v>2</v>
      </c>
      <c r="F8544" s="515" t="s">
        <v>9751</v>
      </c>
      <c r="G8544" s="52">
        <v>204723.187238549</v>
      </c>
      <c r="H8544" s="56">
        <v>6.1754200552372733E-2</v>
      </c>
      <c r="I8544" s="224" t="s">
        <v>2</v>
      </c>
    </row>
    <row r="8545" spans="1:9" x14ac:dyDescent="0.25">
      <c r="A8545" s="515">
        <v>54409</v>
      </c>
      <c r="C8545" s="52">
        <v>127019.51795372</v>
      </c>
      <c r="D8545" s="56">
        <v>7.7739369553825322E-2</v>
      </c>
      <c r="E8545" s="224" t="s">
        <v>2</v>
      </c>
      <c r="F8545" s="515" t="s">
        <v>9752</v>
      </c>
      <c r="G8545" s="52">
        <v>319130.91376714199</v>
      </c>
      <c r="H8545" s="56">
        <v>8.420768874106975E-2</v>
      </c>
      <c r="I8545" s="224" t="s">
        <v>2</v>
      </c>
    </row>
    <row r="8546" spans="1:9" x14ac:dyDescent="0.25">
      <c r="A8546" s="515">
        <v>19036</v>
      </c>
      <c r="B8546" s="515" t="s">
        <v>294</v>
      </c>
      <c r="C8546" s="52">
        <v>211616.53181533801</v>
      </c>
      <c r="D8546" s="56">
        <v>9.9129146718861874E-2</v>
      </c>
      <c r="E8546" s="224" t="s">
        <v>2</v>
      </c>
      <c r="F8546" s="515" t="s">
        <v>9753</v>
      </c>
      <c r="G8546" s="52">
        <v>297875.09186326299</v>
      </c>
      <c r="H8546" s="56">
        <v>8.5189351518018111E-2</v>
      </c>
      <c r="I8546" s="224" t="s">
        <v>2</v>
      </c>
    </row>
    <row r="8547" spans="1:9" x14ac:dyDescent="0.25">
      <c r="A8547" s="515">
        <v>44614</v>
      </c>
      <c r="B8547" s="515" t="s">
        <v>863</v>
      </c>
      <c r="C8547" s="52">
        <v>226912.38167012</v>
      </c>
      <c r="D8547" s="56">
        <v>3.4124997115740338E-2</v>
      </c>
      <c r="E8547" s="224" t="s">
        <v>2</v>
      </c>
      <c r="F8547" s="515" t="s">
        <v>9754</v>
      </c>
      <c r="G8547" s="52">
        <v>229353.077928905</v>
      </c>
      <c r="H8547" s="56">
        <v>7.6876553380002474E-2</v>
      </c>
      <c r="I8547" s="224" t="s">
        <v>2</v>
      </c>
    </row>
    <row r="8548" spans="1:9" x14ac:dyDescent="0.25">
      <c r="A8548" s="515">
        <v>10570</v>
      </c>
      <c r="B8548" s="515" t="s">
        <v>324</v>
      </c>
      <c r="C8548" s="52">
        <v>806245.88942011795</v>
      </c>
      <c r="D8548" s="56">
        <v>6.7024816696070438E-2</v>
      </c>
      <c r="E8548" s="224" t="s">
        <v>2</v>
      </c>
      <c r="F8548" s="515" t="s">
        <v>9755</v>
      </c>
      <c r="G8548" s="52">
        <v>341764.06534892798</v>
      </c>
      <c r="H8548" s="56">
        <v>7.1393607595713171E-2</v>
      </c>
      <c r="I8548" s="224" t="s">
        <v>2</v>
      </c>
    </row>
    <row r="8549" spans="1:9" x14ac:dyDescent="0.25">
      <c r="A8549" s="515">
        <v>11961</v>
      </c>
      <c r="B8549" s="515" t="s">
        <v>324</v>
      </c>
      <c r="C8549" s="52">
        <v>408567.32088538201</v>
      </c>
      <c r="D8549" s="56">
        <v>6.6834974750112616E-2</v>
      </c>
      <c r="E8549" s="224" t="s">
        <v>2</v>
      </c>
      <c r="F8549" s="515" t="s">
        <v>9756</v>
      </c>
      <c r="G8549" s="52">
        <v>150938.13180769401</v>
      </c>
      <c r="H8549" s="56">
        <v>2.0204743097335911E-2</v>
      </c>
      <c r="I8549" s="224" t="s">
        <v>2</v>
      </c>
    </row>
    <row r="8550" spans="1:9" x14ac:dyDescent="0.25">
      <c r="A8550" s="515">
        <v>89815</v>
      </c>
      <c r="B8550" s="515" t="s">
        <v>737</v>
      </c>
      <c r="C8550" s="52">
        <v>342086.74646066799</v>
      </c>
      <c r="D8550" s="56">
        <v>3.4234992547182944E-2</v>
      </c>
      <c r="E8550" s="224" t="s">
        <v>2</v>
      </c>
      <c r="F8550" s="515" t="s">
        <v>9757</v>
      </c>
      <c r="G8550" s="52">
        <v>637017.99413294403</v>
      </c>
      <c r="H8550" s="56">
        <v>5.787414165434223E-2</v>
      </c>
      <c r="I8550" s="224" t="s">
        <v>2</v>
      </c>
    </row>
    <row r="8551" spans="1:9" x14ac:dyDescent="0.25">
      <c r="A8551" s="515">
        <v>11755</v>
      </c>
      <c r="B8551" s="515" t="s">
        <v>324</v>
      </c>
      <c r="C8551" s="52">
        <v>564016.18160647899</v>
      </c>
      <c r="D8551" s="56">
        <v>4.4732181297926318E-2</v>
      </c>
      <c r="E8551" s="224" t="s">
        <v>2</v>
      </c>
      <c r="F8551" s="515" t="s">
        <v>9758</v>
      </c>
      <c r="G8551" s="52">
        <v>215251.05970046899</v>
      </c>
      <c r="H8551" s="56">
        <v>8.1681650394003866E-2</v>
      </c>
      <c r="I8551" s="224" t="s">
        <v>2</v>
      </c>
    </row>
    <row r="8552" spans="1:9" x14ac:dyDescent="0.25">
      <c r="A8552" s="515">
        <v>18705</v>
      </c>
      <c r="B8552" s="515" t="s">
        <v>512</v>
      </c>
      <c r="C8552" s="52">
        <v>131959.392538891</v>
      </c>
      <c r="D8552" s="56">
        <v>8.8499414644362159E-2</v>
      </c>
      <c r="E8552" s="224" t="s">
        <v>2</v>
      </c>
      <c r="F8552" s="515" t="s">
        <v>9759</v>
      </c>
      <c r="G8552" s="52">
        <v>1245632.2300589301</v>
      </c>
      <c r="H8552" s="56">
        <v>5.8337242657700038E-2</v>
      </c>
      <c r="I8552" s="224" t="s">
        <v>2</v>
      </c>
    </row>
    <row r="8553" spans="1:9" x14ac:dyDescent="0.25">
      <c r="A8553" s="515">
        <v>77591</v>
      </c>
      <c r="B8553" s="515" t="s">
        <v>314</v>
      </c>
      <c r="C8553" s="52">
        <v>216175.85419770001</v>
      </c>
      <c r="D8553" s="56">
        <v>5.8394415103966542E-2</v>
      </c>
      <c r="E8553" s="224">
        <v>1407</v>
      </c>
      <c r="F8553" s="515" t="s">
        <v>9760</v>
      </c>
      <c r="G8553" s="52">
        <v>96264.123987025407</v>
      </c>
      <c r="H8553" s="56">
        <v>0.11663266585850217</v>
      </c>
      <c r="I8553" s="224" t="s">
        <v>2</v>
      </c>
    </row>
    <row r="8554" spans="1:9" x14ac:dyDescent="0.25">
      <c r="A8554" s="515">
        <v>7828</v>
      </c>
      <c r="B8554" s="515" t="s">
        <v>324</v>
      </c>
      <c r="C8554" s="52">
        <v>436812.26676421898</v>
      </c>
      <c r="D8554" s="56">
        <v>8.023868085743327E-2</v>
      </c>
      <c r="E8554" s="224" t="s">
        <v>2</v>
      </c>
      <c r="F8554" s="515" t="s">
        <v>9761</v>
      </c>
      <c r="G8554" s="52">
        <v>98875.198277697695</v>
      </c>
      <c r="H8554" s="56">
        <v>0.11690120474451607</v>
      </c>
      <c r="I8554" s="224" t="s">
        <v>2</v>
      </c>
    </row>
    <row r="8555" spans="1:9" x14ac:dyDescent="0.25">
      <c r="A8555" s="515">
        <v>48801</v>
      </c>
      <c r="B8555" s="515" t="s">
        <v>1019</v>
      </c>
      <c r="C8555" s="52">
        <v>129030.250521147</v>
      </c>
      <c r="D8555" s="56">
        <v>2.1454719534083927E-2</v>
      </c>
      <c r="E8555" s="224" t="s">
        <v>2</v>
      </c>
      <c r="F8555" s="515" t="s">
        <v>9762</v>
      </c>
      <c r="G8555" s="52">
        <v>120690.28863066599</v>
      </c>
      <c r="H8555" s="56">
        <v>8.6285836634255111E-2</v>
      </c>
      <c r="I8555" s="224" t="s">
        <v>2</v>
      </c>
    </row>
    <row r="8556" spans="1:9" x14ac:dyDescent="0.25">
      <c r="A8556" s="515">
        <v>72714</v>
      </c>
      <c r="B8556" s="515" t="s">
        <v>675</v>
      </c>
      <c r="C8556" s="52">
        <v>311875.618293181</v>
      </c>
      <c r="D8556" s="56">
        <v>0.14546062080919347</v>
      </c>
      <c r="E8556" s="224">
        <v>1925</v>
      </c>
      <c r="F8556" s="515" t="s">
        <v>9763</v>
      </c>
      <c r="G8556" s="52">
        <v>190003.355277945</v>
      </c>
      <c r="H8556" s="56">
        <v>7.2365213803405257E-2</v>
      </c>
      <c r="I8556" s="224" t="s">
        <v>2</v>
      </c>
    </row>
    <row r="8557" spans="1:9" x14ac:dyDescent="0.25">
      <c r="A8557" s="515">
        <v>78076</v>
      </c>
      <c r="B8557" s="515" t="s">
        <v>953</v>
      </c>
      <c r="C8557" s="52">
        <v>100195.125977495</v>
      </c>
      <c r="D8557" s="56">
        <v>-3.1145262359827237E-2</v>
      </c>
      <c r="E8557" s="224" t="s">
        <v>2</v>
      </c>
      <c r="F8557" s="515" t="s">
        <v>9764</v>
      </c>
      <c r="G8557" s="52">
        <v>248559.08187872099</v>
      </c>
      <c r="H8557" s="56">
        <v>4.1867707225349098E-2</v>
      </c>
      <c r="I8557" s="224" t="s">
        <v>2</v>
      </c>
    </row>
    <row r="8558" spans="1:9" x14ac:dyDescent="0.25">
      <c r="A8558" s="515">
        <v>78721</v>
      </c>
      <c r="B8558" s="515" t="s">
        <v>380</v>
      </c>
      <c r="C8558" s="52">
        <v>484703.34691427799</v>
      </c>
      <c r="D8558" s="56">
        <v>5.1087629424869961E-2</v>
      </c>
      <c r="E8558" s="224">
        <v>1964.6111111111099</v>
      </c>
      <c r="F8558" s="515" t="s">
        <v>9765</v>
      </c>
      <c r="G8558" s="52">
        <v>185156.976474811</v>
      </c>
      <c r="H8558" s="56">
        <v>6.7955446577866434E-3</v>
      </c>
      <c r="I8558" s="224" t="s">
        <v>2</v>
      </c>
    </row>
    <row r="8559" spans="1:9" x14ac:dyDescent="0.25">
      <c r="A8559" s="515">
        <v>27023</v>
      </c>
      <c r="B8559" s="515" t="s">
        <v>735</v>
      </c>
      <c r="C8559" s="52">
        <v>329959.23707256501</v>
      </c>
      <c r="D8559" s="56">
        <v>0.10391611277250697</v>
      </c>
      <c r="E8559" s="224" t="s">
        <v>2</v>
      </c>
      <c r="F8559" s="515" t="s">
        <v>9766</v>
      </c>
      <c r="G8559" s="52">
        <v>154382.130556388</v>
      </c>
      <c r="H8559" s="56">
        <v>0.10270699263614125</v>
      </c>
      <c r="I8559" s="224" t="s">
        <v>2</v>
      </c>
    </row>
    <row r="8560" spans="1:9" x14ac:dyDescent="0.25">
      <c r="A8560" s="515">
        <v>75647</v>
      </c>
      <c r="B8560" s="515" t="s">
        <v>319</v>
      </c>
      <c r="C8560" s="52">
        <v>193525.52516495201</v>
      </c>
      <c r="D8560" s="56">
        <v>9.9714721162543471E-2</v>
      </c>
      <c r="E8560" s="224" t="s">
        <v>2</v>
      </c>
      <c r="F8560" s="515" t="s">
        <v>9767</v>
      </c>
      <c r="G8560" s="52">
        <v>139875.91677668199</v>
      </c>
      <c r="H8560" s="56">
        <v>0.13474400147330212</v>
      </c>
      <c r="I8560" s="224" t="s">
        <v>2</v>
      </c>
    </row>
    <row r="8561" spans="1:9" x14ac:dyDescent="0.25">
      <c r="A8561" s="515">
        <v>36610</v>
      </c>
      <c r="B8561" s="515" t="s">
        <v>815</v>
      </c>
      <c r="C8561" s="52">
        <v>25418.5655809376</v>
      </c>
      <c r="D8561" s="56">
        <v>-1.2599197118847586E-3</v>
      </c>
      <c r="E8561" s="224" t="s">
        <v>2</v>
      </c>
      <c r="F8561" s="515" t="s">
        <v>9768</v>
      </c>
      <c r="G8561" s="52">
        <v>250262.35132724</v>
      </c>
      <c r="H8561" s="56">
        <v>4.4996817263182311E-2</v>
      </c>
      <c r="I8561" s="224" t="s">
        <v>2</v>
      </c>
    </row>
    <row r="8562" spans="1:9" x14ac:dyDescent="0.25">
      <c r="A8562" s="515">
        <v>24354</v>
      </c>
      <c r="C8562" s="52">
        <v>135542.382446676</v>
      </c>
      <c r="D8562" s="56">
        <v>0.10066578836228247</v>
      </c>
      <c r="E8562" s="224" t="s">
        <v>2</v>
      </c>
      <c r="F8562" s="515" t="s">
        <v>9769</v>
      </c>
      <c r="G8562" s="52">
        <v>94540.662199708502</v>
      </c>
      <c r="H8562" s="56">
        <v>3.0974311327508983E-2</v>
      </c>
      <c r="I8562" s="224" t="s">
        <v>2</v>
      </c>
    </row>
    <row r="8563" spans="1:9" x14ac:dyDescent="0.25">
      <c r="A8563" s="515">
        <v>81620</v>
      </c>
      <c r="B8563" s="515" t="s">
        <v>903</v>
      </c>
      <c r="C8563" s="52">
        <v>1113965.2183978499</v>
      </c>
      <c r="D8563" s="56">
        <v>0.17488391717053037</v>
      </c>
      <c r="E8563" s="224" t="s">
        <v>2</v>
      </c>
      <c r="F8563" s="515" t="s">
        <v>9770</v>
      </c>
      <c r="G8563" s="52">
        <v>348963.41007788101</v>
      </c>
      <c r="H8563" s="56">
        <v>8.8088469485988516E-2</v>
      </c>
      <c r="I8563" s="224" t="s">
        <v>2</v>
      </c>
    </row>
    <row r="8564" spans="1:9" x14ac:dyDescent="0.25">
      <c r="A8564" s="515">
        <v>7043</v>
      </c>
      <c r="B8564" s="515" t="s">
        <v>324</v>
      </c>
      <c r="C8564" s="52">
        <v>1024297.50557914</v>
      </c>
      <c r="D8564" s="56">
        <v>8.6661024603548395E-2</v>
      </c>
      <c r="E8564" s="224" t="s">
        <v>2</v>
      </c>
      <c r="F8564" s="515" t="s">
        <v>9771</v>
      </c>
      <c r="G8564" s="52">
        <v>353548.72773398599</v>
      </c>
      <c r="H8564" s="56">
        <v>2.0779734054661842E-2</v>
      </c>
      <c r="I8564" s="224" t="s">
        <v>2</v>
      </c>
    </row>
    <row r="8565" spans="1:9" x14ac:dyDescent="0.25">
      <c r="A8565" s="515">
        <v>81625</v>
      </c>
      <c r="B8565" s="515" t="s">
        <v>576</v>
      </c>
      <c r="C8565" s="52">
        <v>269330.09107601503</v>
      </c>
      <c r="D8565" s="56">
        <v>0.12089357502154237</v>
      </c>
      <c r="E8565" s="224" t="s">
        <v>2</v>
      </c>
      <c r="F8565" s="515" t="s">
        <v>9772</v>
      </c>
      <c r="G8565" s="52">
        <v>251081.80793650699</v>
      </c>
      <c r="H8565" s="56">
        <v>0</v>
      </c>
      <c r="I8565" s="224" t="s">
        <v>2</v>
      </c>
    </row>
    <row r="8566" spans="1:9" x14ac:dyDescent="0.25">
      <c r="A8566" s="515">
        <v>21029</v>
      </c>
      <c r="B8566" s="515" t="s">
        <v>582</v>
      </c>
      <c r="C8566" s="52">
        <v>910121.25295980799</v>
      </c>
      <c r="D8566" s="56">
        <v>4.2743060499071922E-2</v>
      </c>
      <c r="E8566" s="224" t="s">
        <v>2</v>
      </c>
      <c r="F8566" s="515" t="s">
        <v>9773</v>
      </c>
      <c r="G8566" s="52">
        <v>167243.35014096601</v>
      </c>
      <c r="H8566" s="56">
        <v>0.12655247296693511</v>
      </c>
      <c r="I8566" s="224" t="s">
        <v>2</v>
      </c>
    </row>
    <row r="8567" spans="1:9" x14ac:dyDescent="0.25">
      <c r="A8567" s="515">
        <v>10044</v>
      </c>
      <c r="B8567" s="515" t="s">
        <v>324</v>
      </c>
      <c r="C8567" s="52">
        <v>897089.36757847504</v>
      </c>
      <c r="D8567" s="56">
        <v>1.1605196374975226E-2</v>
      </c>
      <c r="E8567" s="224">
        <v>4104.1888888888798</v>
      </c>
      <c r="F8567" s="515" t="s">
        <v>9774</v>
      </c>
      <c r="G8567" s="52">
        <v>318863.24603440898</v>
      </c>
      <c r="H8567" s="56">
        <v>6.5252656277275389E-2</v>
      </c>
      <c r="I8567" s="224" t="s">
        <v>2</v>
      </c>
    </row>
    <row r="8568" spans="1:9" x14ac:dyDescent="0.25">
      <c r="A8568" s="515">
        <v>51031</v>
      </c>
      <c r="C8568" s="52">
        <v>228371.89981502201</v>
      </c>
      <c r="D8568" s="56">
        <v>8.8009839167996165E-2</v>
      </c>
      <c r="E8568" s="224" t="s">
        <v>2</v>
      </c>
      <c r="F8568" s="515" t="s">
        <v>9775</v>
      </c>
      <c r="G8568" s="52">
        <v>89584.033430388896</v>
      </c>
      <c r="H8568" s="56">
        <v>0.10613048801688602</v>
      </c>
      <c r="I8568" s="224" t="s">
        <v>2</v>
      </c>
    </row>
    <row r="8569" spans="1:9" x14ac:dyDescent="0.25">
      <c r="A8569" s="515">
        <v>11693</v>
      </c>
      <c r="B8569" s="515" t="s">
        <v>324</v>
      </c>
      <c r="C8569" s="52">
        <v>365898.32643794903</v>
      </c>
      <c r="D8569" s="56">
        <v>-0.1666145644142849</v>
      </c>
      <c r="E8569" s="224" t="s">
        <v>2</v>
      </c>
      <c r="F8569" s="515" t="s">
        <v>9776</v>
      </c>
      <c r="G8569" s="52">
        <v>179036.702710435</v>
      </c>
      <c r="H8569" s="56">
        <v>-6.924591741215326E-3</v>
      </c>
      <c r="I8569" s="224" t="s">
        <v>2</v>
      </c>
    </row>
    <row r="8570" spans="1:9" x14ac:dyDescent="0.25">
      <c r="A8570" s="515">
        <v>12586</v>
      </c>
      <c r="B8570" s="515" t="s">
        <v>529</v>
      </c>
      <c r="C8570" s="52">
        <v>344830.55310575501</v>
      </c>
      <c r="D8570" s="56">
        <v>7.292958474930214E-2</v>
      </c>
      <c r="E8570" s="224" t="s">
        <v>2</v>
      </c>
      <c r="F8570" s="515" t="s">
        <v>9777</v>
      </c>
      <c r="G8570" s="52">
        <v>309839.349467055</v>
      </c>
      <c r="H8570" s="56">
        <v>2.6511983867775462E-2</v>
      </c>
      <c r="I8570" s="224" t="s">
        <v>2</v>
      </c>
    </row>
    <row r="8571" spans="1:9" x14ac:dyDescent="0.25">
      <c r="A8571" s="515">
        <v>14519</v>
      </c>
      <c r="B8571" s="515" t="s">
        <v>337</v>
      </c>
      <c r="C8571" s="52">
        <v>261263.866827833</v>
      </c>
      <c r="D8571" s="56">
        <v>0.11970303268727937</v>
      </c>
      <c r="E8571" s="224" t="s">
        <v>2</v>
      </c>
      <c r="F8571" s="515" t="s">
        <v>9778</v>
      </c>
      <c r="G8571" s="52">
        <v>98496.746798969398</v>
      </c>
      <c r="H8571" s="56">
        <v>-6.2115500391031496E-2</v>
      </c>
      <c r="I8571" s="224" t="s">
        <v>2</v>
      </c>
    </row>
    <row r="8572" spans="1:9" x14ac:dyDescent="0.25">
      <c r="A8572" s="515">
        <v>45648</v>
      </c>
      <c r="B8572" s="515" t="s">
        <v>772</v>
      </c>
      <c r="C8572" s="52">
        <v>135414.23756816599</v>
      </c>
      <c r="D8572" s="56">
        <v>4.8818293161018385E-2</v>
      </c>
      <c r="E8572" s="224" t="s">
        <v>2</v>
      </c>
      <c r="F8572" s="515" t="s">
        <v>9779</v>
      </c>
      <c r="G8572" s="52">
        <v>187349.263488133</v>
      </c>
      <c r="H8572" s="56">
        <v>9.4448441927326293E-2</v>
      </c>
      <c r="I8572" s="224" t="s">
        <v>2</v>
      </c>
    </row>
    <row r="8573" spans="1:9" x14ac:dyDescent="0.25">
      <c r="A8573" s="515">
        <v>8736</v>
      </c>
      <c r="B8573" s="515" t="s">
        <v>324</v>
      </c>
      <c r="C8573" s="52">
        <v>895779.61249977897</v>
      </c>
      <c r="D8573" s="56">
        <v>7.9414402872384257E-2</v>
      </c>
      <c r="E8573" s="224" t="s">
        <v>2</v>
      </c>
      <c r="F8573" s="515" t="s">
        <v>9780</v>
      </c>
      <c r="G8573" s="52">
        <v>186199.27636400799</v>
      </c>
      <c r="H8573" s="56">
        <v>0.10470646396013418</v>
      </c>
      <c r="I8573" s="224" t="s">
        <v>2</v>
      </c>
    </row>
    <row r="8574" spans="1:9" x14ac:dyDescent="0.25">
      <c r="A8574" s="515">
        <v>92408</v>
      </c>
      <c r="B8574" s="515" t="s">
        <v>599</v>
      </c>
      <c r="C8574" s="52">
        <v>419810.77385915699</v>
      </c>
      <c r="D8574" s="56">
        <v>8.0262387408209138E-2</v>
      </c>
      <c r="E8574" s="224" t="s">
        <v>2</v>
      </c>
      <c r="F8574" s="515" t="s">
        <v>9781</v>
      </c>
      <c r="G8574" s="52">
        <v>224525.97484574499</v>
      </c>
      <c r="H8574" s="56">
        <v>5.6827127315965766E-2</v>
      </c>
      <c r="I8574" s="224" t="s">
        <v>2</v>
      </c>
    </row>
    <row r="8575" spans="1:9" x14ac:dyDescent="0.25">
      <c r="A8575" s="515">
        <v>28638</v>
      </c>
      <c r="B8575" s="515" t="s">
        <v>638</v>
      </c>
      <c r="C8575" s="52">
        <v>215095.63778875899</v>
      </c>
      <c r="D8575" s="56">
        <v>0.19689074933642969</v>
      </c>
      <c r="E8575" s="224" t="s">
        <v>2</v>
      </c>
      <c r="F8575" s="515" t="s">
        <v>9782</v>
      </c>
      <c r="G8575" s="52">
        <v>609046.13446104398</v>
      </c>
      <c r="H8575" s="56">
        <v>3.3436661173459711E-2</v>
      </c>
      <c r="I8575" s="224" t="s">
        <v>2</v>
      </c>
    </row>
    <row r="8576" spans="1:9" x14ac:dyDescent="0.25">
      <c r="A8576" s="515">
        <v>35750</v>
      </c>
      <c r="B8576" s="515" t="s">
        <v>997</v>
      </c>
      <c r="C8576" s="52">
        <v>219973.226696942</v>
      </c>
      <c r="D8576" s="56">
        <v>8.1226619649835963E-2</v>
      </c>
      <c r="E8576" s="224">
        <v>1417.5</v>
      </c>
      <c r="F8576" s="515" t="s">
        <v>9783</v>
      </c>
      <c r="G8576" s="52">
        <v>437139.12880588602</v>
      </c>
      <c r="H8576" s="56">
        <v>5.9971210905413748E-2</v>
      </c>
      <c r="I8576" s="224" t="s">
        <v>2</v>
      </c>
    </row>
    <row r="8577" spans="1:9" x14ac:dyDescent="0.25">
      <c r="A8577" s="515">
        <v>74868</v>
      </c>
      <c r="C8577" s="52">
        <v>98911.357652312596</v>
      </c>
      <c r="D8577" s="56">
        <v>0.14503187994097569</v>
      </c>
      <c r="E8577" s="224" t="s">
        <v>2</v>
      </c>
      <c r="F8577" s="515" t="s">
        <v>9784</v>
      </c>
      <c r="G8577" s="52">
        <v>315662.31872234598</v>
      </c>
      <c r="H8577" s="56">
        <v>0.46120377200188206</v>
      </c>
      <c r="I8577" s="224" t="s">
        <v>2</v>
      </c>
    </row>
    <row r="8578" spans="1:9" x14ac:dyDescent="0.25">
      <c r="A8578" s="515">
        <v>3275</v>
      </c>
      <c r="B8578" s="515" t="s">
        <v>981</v>
      </c>
      <c r="C8578" s="52">
        <v>363355.36530632601</v>
      </c>
      <c r="D8578" s="56">
        <v>0.10357152860696854</v>
      </c>
      <c r="E8578" s="224" t="s">
        <v>2</v>
      </c>
      <c r="F8578" s="515" t="s">
        <v>9785</v>
      </c>
      <c r="G8578" s="52">
        <v>324910.13533043303</v>
      </c>
      <c r="H8578" s="56">
        <v>9.7635896953411974E-2</v>
      </c>
      <c r="I8578" s="224" t="s">
        <v>2</v>
      </c>
    </row>
    <row r="8579" spans="1:9" x14ac:dyDescent="0.25">
      <c r="A8579" s="515">
        <v>23662</v>
      </c>
      <c r="B8579" s="515" t="s">
        <v>301</v>
      </c>
      <c r="C8579" s="52">
        <v>395133.34984202101</v>
      </c>
      <c r="D8579" s="56">
        <v>5.1368137319471617E-2</v>
      </c>
      <c r="E8579" s="224" t="s">
        <v>2</v>
      </c>
      <c r="F8579" s="515" t="s">
        <v>9786</v>
      </c>
      <c r="G8579" s="52">
        <v>295040.585267252</v>
      </c>
      <c r="H8579" s="56">
        <v>4.1313608399679153E-2</v>
      </c>
      <c r="I8579" s="224" t="s">
        <v>2</v>
      </c>
    </row>
    <row r="8580" spans="1:9" x14ac:dyDescent="0.25">
      <c r="A8580" s="515">
        <v>67060</v>
      </c>
      <c r="B8580" s="515" t="s">
        <v>485</v>
      </c>
      <c r="C8580" s="52">
        <v>186998.62005028399</v>
      </c>
      <c r="D8580" s="56">
        <v>8.9139291656876035E-2</v>
      </c>
      <c r="E8580" s="224" t="s">
        <v>2</v>
      </c>
      <c r="F8580" s="515" t="s">
        <v>9787</v>
      </c>
      <c r="G8580" s="52">
        <v>483617.50491287501</v>
      </c>
      <c r="H8580" s="56">
        <v>-2.4574216172440249E-2</v>
      </c>
      <c r="I8580" s="224" t="s">
        <v>2</v>
      </c>
    </row>
    <row r="8581" spans="1:9" x14ac:dyDescent="0.25">
      <c r="A8581" s="515">
        <v>42642</v>
      </c>
      <c r="C8581" s="52">
        <v>136370.37484196399</v>
      </c>
      <c r="D8581" s="56">
        <v>0.23870660087809104</v>
      </c>
      <c r="E8581" s="224" t="s">
        <v>2</v>
      </c>
      <c r="F8581" s="515" t="s">
        <v>9788</v>
      </c>
      <c r="G8581" s="52">
        <v>217909.905491627</v>
      </c>
      <c r="H8581" s="56">
        <v>6.5679380808484664E-2</v>
      </c>
      <c r="I8581" s="224" t="s">
        <v>2</v>
      </c>
    </row>
    <row r="8582" spans="1:9" x14ac:dyDescent="0.25">
      <c r="A8582" s="515">
        <v>85307</v>
      </c>
      <c r="B8582" s="515" t="s">
        <v>563</v>
      </c>
      <c r="C8582" s="52">
        <v>383484.61908788601</v>
      </c>
      <c r="D8582" s="56">
        <v>5.7061717381798417E-2</v>
      </c>
      <c r="E8582" s="224">
        <v>1807.2666666666601</v>
      </c>
      <c r="F8582" s="515" t="s">
        <v>9789</v>
      </c>
      <c r="G8582" s="52">
        <v>461633.57650138898</v>
      </c>
      <c r="H8582" s="56">
        <v>9.3579988659634211E-2</v>
      </c>
      <c r="I8582" s="224" t="s">
        <v>2</v>
      </c>
    </row>
    <row r="8583" spans="1:9" x14ac:dyDescent="0.25">
      <c r="A8583" s="515">
        <v>68850</v>
      </c>
      <c r="B8583" s="515" t="s">
        <v>680</v>
      </c>
      <c r="C8583" s="52">
        <v>157941.18983006899</v>
      </c>
      <c r="D8583" s="56">
        <v>7.2251372329763336E-2</v>
      </c>
      <c r="E8583" s="224" t="s">
        <v>2</v>
      </c>
      <c r="F8583" s="515" t="s">
        <v>9790</v>
      </c>
      <c r="G8583" s="52">
        <v>273866.78759456403</v>
      </c>
      <c r="H8583" s="56">
        <v>6.6728619074434434E-2</v>
      </c>
      <c r="I8583" s="224" t="s">
        <v>2</v>
      </c>
    </row>
    <row r="8584" spans="1:9" x14ac:dyDescent="0.25">
      <c r="A8584" s="515">
        <v>52632</v>
      </c>
      <c r="B8584" s="515" t="s">
        <v>496</v>
      </c>
      <c r="C8584" s="52">
        <v>82203.624843083293</v>
      </c>
      <c r="D8584" s="56">
        <v>6.9756382642645443E-2</v>
      </c>
      <c r="E8584" s="224" t="s">
        <v>2</v>
      </c>
      <c r="F8584" s="515" t="s">
        <v>9791</v>
      </c>
      <c r="G8584" s="52">
        <v>188057.24453830099</v>
      </c>
      <c r="H8584" s="56">
        <v>0.1014380386880102</v>
      </c>
      <c r="I8584" s="224" t="s">
        <v>2</v>
      </c>
    </row>
    <row r="8585" spans="1:9" x14ac:dyDescent="0.25">
      <c r="A8585" s="515">
        <v>18353</v>
      </c>
      <c r="B8585" s="515" t="s">
        <v>338</v>
      </c>
      <c r="C8585" s="52">
        <v>302814.74274451798</v>
      </c>
      <c r="D8585" s="56">
        <v>9.3675422009666623E-2</v>
      </c>
      <c r="E8585" s="224" t="s">
        <v>2</v>
      </c>
      <c r="F8585" s="515" t="s">
        <v>9792</v>
      </c>
      <c r="G8585" s="52">
        <v>504129.029801442</v>
      </c>
      <c r="H8585" s="56">
        <v>-2.5549713005091332E-2</v>
      </c>
      <c r="I8585" s="224" t="s">
        <v>2</v>
      </c>
    </row>
    <row r="8586" spans="1:9" x14ac:dyDescent="0.25">
      <c r="A8586" s="515">
        <v>67337</v>
      </c>
      <c r="B8586" s="515" t="s">
        <v>377</v>
      </c>
      <c r="C8586" s="52">
        <v>66119.055923750595</v>
      </c>
      <c r="D8586" s="56">
        <v>7.8308651728672879E-2</v>
      </c>
      <c r="E8586" s="224" t="s">
        <v>2</v>
      </c>
      <c r="F8586" s="515" t="s">
        <v>9793</v>
      </c>
      <c r="G8586" s="52">
        <v>79843.285031442196</v>
      </c>
      <c r="H8586" s="56">
        <v>8.4064925823470055E-2</v>
      </c>
      <c r="I8586" s="224" t="s">
        <v>2</v>
      </c>
    </row>
    <row r="8587" spans="1:9" x14ac:dyDescent="0.25">
      <c r="A8587" s="515">
        <v>32656</v>
      </c>
      <c r="B8587" s="515" t="s">
        <v>1158</v>
      </c>
      <c r="C8587" s="52">
        <v>255402.186795355</v>
      </c>
      <c r="D8587" s="56">
        <v>0.15771856395389502</v>
      </c>
      <c r="E8587" s="224" t="s">
        <v>2</v>
      </c>
      <c r="F8587" s="515" t="s">
        <v>9794</v>
      </c>
      <c r="G8587" s="52">
        <v>66706.600292870702</v>
      </c>
      <c r="H8587" s="56">
        <v>-3.8885786796104965E-2</v>
      </c>
      <c r="I8587" s="224" t="s">
        <v>2</v>
      </c>
    </row>
    <row r="8588" spans="1:9" x14ac:dyDescent="0.25">
      <c r="A8588" s="515">
        <v>32569</v>
      </c>
      <c r="B8588" s="515" t="s">
        <v>1078</v>
      </c>
      <c r="C8588" s="52">
        <v>312835.622013107</v>
      </c>
      <c r="D8588" s="56">
        <v>0.10447146573373596</v>
      </c>
      <c r="E8588" s="224">
        <v>1938</v>
      </c>
      <c r="F8588" s="515" t="s">
        <v>9795</v>
      </c>
      <c r="G8588" s="52">
        <v>192861.25646376301</v>
      </c>
      <c r="H8588" s="56">
        <v>8.415989437295758E-2</v>
      </c>
      <c r="I8588" s="224" t="s">
        <v>2</v>
      </c>
    </row>
    <row r="8589" spans="1:9" x14ac:dyDescent="0.25">
      <c r="A8589" s="515">
        <v>72150</v>
      </c>
      <c r="B8589" s="515" t="s">
        <v>393</v>
      </c>
      <c r="C8589" s="52">
        <v>174887.08218489401</v>
      </c>
      <c r="D8589" s="56">
        <v>2.3523720286770546E-2</v>
      </c>
      <c r="E8589" s="224" t="s">
        <v>2</v>
      </c>
      <c r="F8589" s="515" t="s">
        <v>9796</v>
      </c>
      <c r="G8589" s="52">
        <v>261128.69730271501</v>
      </c>
      <c r="H8589" s="56">
        <v>4.7730598108174545E-2</v>
      </c>
      <c r="I8589" s="224" t="s">
        <v>2</v>
      </c>
    </row>
    <row r="8590" spans="1:9" x14ac:dyDescent="0.25">
      <c r="A8590" s="515">
        <v>40217</v>
      </c>
      <c r="B8590" s="515" t="s">
        <v>479</v>
      </c>
      <c r="C8590" s="52">
        <v>212836.79645554599</v>
      </c>
      <c r="D8590" s="56">
        <v>7.2330529521068554E-2</v>
      </c>
      <c r="E8590" s="224">
        <v>1395.4166666666599</v>
      </c>
      <c r="F8590" s="515" t="s">
        <v>9797</v>
      </c>
      <c r="G8590" s="52">
        <v>213743.45715303699</v>
      </c>
      <c r="H8590" s="56">
        <v>0.17069683774507971</v>
      </c>
      <c r="I8590" s="224" t="s">
        <v>2</v>
      </c>
    </row>
    <row r="8591" spans="1:9" x14ac:dyDescent="0.25">
      <c r="A8591" s="515">
        <v>53098</v>
      </c>
      <c r="B8591" s="515" t="s">
        <v>955</v>
      </c>
      <c r="C8591" s="52">
        <v>245945.29523543199</v>
      </c>
      <c r="D8591" s="56">
        <v>3.8150454995296512E-2</v>
      </c>
      <c r="E8591" s="224" t="s">
        <v>2</v>
      </c>
      <c r="F8591" s="515" t="s">
        <v>9798</v>
      </c>
      <c r="G8591" s="52">
        <v>162498.95546155699</v>
      </c>
      <c r="H8591" s="56">
        <v>7.3258342591841788E-2</v>
      </c>
      <c r="I8591" s="224" t="s">
        <v>2</v>
      </c>
    </row>
    <row r="8592" spans="1:9" x14ac:dyDescent="0.25">
      <c r="A8592" s="515">
        <v>40033</v>
      </c>
      <c r="C8592" s="52">
        <v>176620.90092542401</v>
      </c>
      <c r="D8592" s="56">
        <v>0.13284686310544455</v>
      </c>
      <c r="E8592" s="224" t="s">
        <v>2</v>
      </c>
      <c r="F8592" s="515" t="s">
        <v>9799</v>
      </c>
      <c r="G8592" s="52">
        <v>128439.806759435</v>
      </c>
      <c r="H8592" s="56">
        <v>7.225667514959086E-2</v>
      </c>
      <c r="I8592" s="224" t="s">
        <v>2</v>
      </c>
    </row>
    <row r="8593" spans="1:9" x14ac:dyDescent="0.25">
      <c r="A8593" s="515">
        <v>20678</v>
      </c>
      <c r="B8593" s="515" t="s">
        <v>321</v>
      </c>
      <c r="C8593" s="52">
        <v>423081.73767086701</v>
      </c>
      <c r="D8593" s="56">
        <v>2.2670466782278683E-2</v>
      </c>
      <c r="E8593" s="224" t="s">
        <v>2</v>
      </c>
      <c r="F8593" s="515" t="s">
        <v>432</v>
      </c>
      <c r="G8593" s="52">
        <v>162498.781347376</v>
      </c>
      <c r="H8593" s="56">
        <v>4.2856892124590241E-2</v>
      </c>
      <c r="I8593" s="224" t="s">
        <v>2</v>
      </c>
    </row>
    <row r="8594" spans="1:9" x14ac:dyDescent="0.25">
      <c r="A8594" s="515">
        <v>28697</v>
      </c>
      <c r="B8594" s="515" t="s">
        <v>1018</v>
      </c>
      <c r="C8594" s="52">
        <v>243364.79116431301</v>
      </c>
      <c r="D8594" s="56">
        <v>0.13563675409507622</v>
      </c>
      <c r="E8594" s="224" t="s">
        <v>2</v>
      </c>
      <c r="F8594" s="515" t="s">
        <v>9800</v>
      </c>
      <c r="G8594" s="52">
        <v>291777.55390934099</v>
      </c>
      <c r="H8594" s="56">
        <v>2.7171811879194274E-2</v>
      </c>
      <c r="I8594" s="224" t="s">
        <v>2</v>
      </c>
    </row>
    <row r="8595" spans="1:9" x14ac:dyDescent="0.25">
      <c r="A8595" s="515">
        <v>37924</v>
      </c>
      <c r="B8595" s="515" t="s">
        <v>907</v>
      </c>
      <c r="C8595" s="52">
        <v>278552.56642435997</v>
      </c>
      <c r="D8595" s="56">
        <v>0.14301135964976378</v>
      </c>
      <c r="E8595" s="224" t="s">
        <v>2</v>
      </c>
      <c r="F8595" s="515" t="s">
        <v>9801</v>
      </c>
      <c r="G8595" s="52">
        <v>133318.017941825</v>
      </c>
      <c r="H8595" s="56">
        <v>1.3970951623606167E-2</v>
      </c>
      <c r="I8595" s="224" t="s">
        <v>2</v>
      </c>
    </row>
    <row r="8596" spans="1:9" x14ac:dyDescent="0.25">
      <c r="A8596" s="515">
        <v>15066</v>
      </c>
      <c r="B8596" s="515" t="s">
        <v>297</v>
      </c>
      <c r="C8596" s="52">
        <v>131161.07443258699</v>
      </c>
      <c r="D8596" s="56">
        <v>4.2257091362346941E-2</v>
      </c>
      <c r="E8596" s="224" t="s">
        <v>2</v>
      </c>
      <c r="F8596" s="515" t="s">
        <v>9802</v>
      </c>
      <c r="G8596" s="52">
        <v>143036.44707398501</v>
      </c>
      <c r="H8596" s="56">
        <v>3.6198790396457722E-2</v>
      </c>
      <c r="I8596" s="224" t="s">
        <v>2</v>
      </c>
    </row>
    <row r="8597" spans="1:9" x14ac:dyDescent="0.25">
      <c r="A8597" s="515">
        <v>18643</v>
      </c>
      <c r="B8597" s="515" t="s">
        <v>512</v>
      </c>
      <c r="C8597" s="52">
        <v>169296.10390500701</v>
      </c>
      <c r="D8597" s="56">
        <v>6.684625679721494E-2</v>
      </c>
      <c r="E8597" s="224" t="s">
        <v>2</v>
      </c>
      <c r="F8597" s="515" t="s">
        <v>9803</v>
      </c>
      <c r="G8597" s="52">
        <v>108003.875814349</v>
      </c>
      <c r="H8597" s="56">
        <v>-4.3387053890659909E-2</v>
      </c>
      <c r="I8597" s="224" t="s">
        <v>2</v>
      </c>
    </row>
    <row r="8598" spans="1:9" x14ac:dyDescent="0.25">
      <c r="A8598" s="515">
        <v>10530</v>
      </c>
      <c r="B8598" s="515" t="s">
        <v>324</v>
      </c>
      <c r="C8598" s="52">
        <v>644834.20393794496</v>
      </c>
      <c r="D8598" s="56">
        <v>-2.7591218392098108E-3</v>
      </c>
      <c r="E8598" s="224" t="s">
        <v>2</v>
      </c>
      <c r="F8598" s="515" t="s">
        <v>9804</v>
      </c>
      <c r="G8598" s="52">
        <v>134927.309210965</v>
      </c>
      <c r="H8598" s="56">
        <v>6.1879994994494203E-2</v>
      </c>
      <c r="I8598" s="224" t="s">
        <v>2</v>
      </c>
    </row>
    <row r="8599" spans="1:9" x14ac:dyDescent="0.25">
      <c r="A8599" s="515">
        <v>85118</v>
      </c>
      <c r="B8599" s="515" t="s">
        <v>563</v>
      </c>
      <c r="C8599" s="52">
        <v>479726.46191509097</v>
      </c>
      <c r="D8599" s="56">
        <v>4.2342256280623491E-2</v>
      </c>
      <c r="E8599" s="224" t="s">
        <v>2</v>
      </c>
      <c r="F8599" s="515" t="s">
        <v>9805</v>
      </c>
      <c r="G8599" s="52">
        <v>785376.68017499603</v>
      </c>
      <c r="H8599" s="56">
        <v>0.15240518256932112</v>
      </c>
      <c r="I8599" s="224" t="s">
        <v>2</v>
      </c>
    </row>
    <row r="8600" spans="1:9" x14ac:dyDescent="0.25">
      <c r="A8600" s="515">
        <v>64772</v>
      </c>
      <c r="C8600" s="52">
        <v>133999.09109285701</v>
      </c>
      <c r="D8600" s="56">
        <v>9.3439449119181436E-2</v>
      </c>
      <c r="E8600" s="224" t="s">
        <v>2</v>
      </c>
      <c r="F8600" s="515" t="s">
        <v>9806</v>
      </c>
      <c r="G8600" s="52">
        <v>285602.18113781698</v>
      </c>
      <c r="H8600" s="56">
        <v>0.12141240440711279</v>
      </c>
      <c r="I8600" s="224" t="s">
        <v>2</v>
      </c>
    </row>
    <row r="8601" spans="1:9" x14ac:dyDescent="0.25">
      <c r="A8601" s="515">
        <v>13815</v>
      </c>
      <c r="C8601" s="52">
        <v>136209.80158016999</v>
      </c>
      <c r="D8601" s="56">
        <v>9.2344329010285095E-2</v>
      </c>
      <c r="E8601" s="224" t="s">
        <v>2</v>
      </c>
      <c r="F8601" s="515" t="s">
        <v>9807</v>
      </c>
      <c r="G8601" s="52">
        <v>787827.78865035798</v>
      </c>
      <c r="H8601" s="56">
        <v>8.4255903651235156E-2</v>
      </c>
      <c r="I8601" s="224" t="s">
        <v>2</v>
      </c>
    </row>
    <row r="8602" spans="1:9" x14ac:dyDescent="0.25">
      <c r="A8602" s="515">
        <v>50314</v>
      </c>
      <c r="B8602" s="515" t="s">
        <v>295</v>
      </c>
      <c r="C8602" s="52">
        <v>131318.19982785801</v>
      </c>
      <c r="D8602" s="56">
        <v>0.10727275976201503</v>
      </c>
      <c r="E8602" s="224" t="s">
        <v>2</v>
      </c>
      <c r="F8602" s="515" t="s">
        <v>9808</v>
      </c>
      <c r="G8602" s="52">
        <v>172608.94679645999</v>
      </c>
      <c r="H8602" s="56">
        <v>8.5325365021780716E-2</v>
      </c>
      <c r="I8602" s="224" t="s">
        <v>2</v>
      </c>
    </row>
    <row r="8603" spans="1:9" x14ac:dyDescent="0.25">
      <c r="A8603" s="515">
        <v>66214</v>
      </c>
      <c r="B8603" s="515" t="s">
        <v>455</v>
      </c>
      <c r="C8603" s="52">
        <v>328051.54060854501</v>
      </c>
      <c r="D8603" s="56">
        <v>6.2518454944538282E-2</v>
      </c>
      <c r="E8603" s="224">
        <v>1268.125</v>
      </c>
      <c r="F8603" s="515" t="s">
        <v>9809</v>
      </c>
      <c r="G8603" s="52">
        <v>159078.87780072799</v>
      </c>
      <c r="H8603" s="56">
        <v>0.13912691008213893</v>
      </c>
      <c r="I8603" s="224" t="s">
        <v>2</v>
      </c>
    </row>
    <row r="8604" spans="1:9" x14ac:dyDescent="0.25">
      <c r="A8604" s="515">
        <v>24592</v>
      </c>
      <c r="C8604" s="52">
        <v>122824.37062630001</v>
      </c>
      <c r="D8604" s="56">
        <v>0.15326456644872397</v>
      </c>
      <c r="E8604" s="224" t="s">
        <v>2</v>
      </c>
      <c r="F8604" s="515" t="s">
        <v>9810</v>
      </c>
      <c r="G8604" s="52">
        <v>549107.14373166801</v>
      </c>
      <c r="H8604" s="56">
        <v>4.7547021931111072E-2</v>
      </c>
      <c r="I8604" s="224" t="s">
        <v>2</v>
      </c>
    </row>
    <row r="8605" spans="1:9" x14ac:dyDescent="0.25">
      <c r="A8605" s="515">
        <v>78726</v>
      </c>
      <c r="B8605" s="515" t="s">
        <v>380</v>
      </c>
      <c r="C8605" s="52">
        <v>748213.700968466</v>
      </c>
      <c r="D8605" s="56">
        <v>6.071943530295465E-2</v>
      </c>
      <c r="E8605" s="224">
        <v>1628.2335685227499</v>
      </c>
      <c r="F8605" s="515" t="s">
        <v>9811</v>
      </c>
      <c r="G8605" s="52">
        <v>921199.64683722996</v>
      </c>
      <c r="H8605" s="56">
        <v>8.3647383021534266E-2</v>
      </c>
      <c r="I8605" s="224" t="s">
        <v>2</v>
      </c>
    </row>
    <row r="8606" spans="1:9" x14ac:dyDescent="0.25">
      <c r="A8606" s="515">
        <v>49849</v>
      </c>
      <c r="B8606" s="515" t="s">
        <v>440</v>
      </c>
      <c r="C8606" s="52">
        <v>142857.24106907399</v>
      </c>
      <c r="D8606" s="56">
        <v>0.13078798340147593</v>
      </c>
      <c r="E8606" s="224" t="s">
        <v>2</v>
      </c>
      <c r="F8606" s="515" t="s">
        <v>9812</v>
      </c>
      <c r="G8606" s="52">
        <v>260603.994688709</v>
      </c>
      <c r="H8606" s="56">
        <v>0.10456059535501874</v>
      </c>
      <c r="I8606" s="224" t="s">
        <v>2</v>
      </c>
    </row>
    <row r="8607" spans="1:9" x14ac:dyDescent="0.25">
      <c r="A8607" s="515">
        <v>2921</v>
      </c>
      <c r="B8607" s="515" t="s">
        <v>513</v>
      </c>
      <c r="C8607" s="52">
        <v>524739.98891478998</v>
      </c>
      <c r="D8607" s="56">
        <v>7.2223507588272673E-2</v>
      </c>
      <c r="E8607" s="224" t="s">
        <v>2</v>
      </c>
      <c r="F8607" s="515" t="s">
        <v>9813</v>
      </c>
      <c r="G8607" s="52">
        <v>239306.57641230599</v>
      </c>
      <c r="H8607" s="56">
        <v>4.7927430678335971E-2</v>
      </c>
      <c r="I8607" s="224" t="s">
        <v>2</v>
      </c>
    </row>
    <row r="8608" spans="1:9" x14ac:dyDescent="0.25">
      <c r="A8608" s="515">
        <v>53715</v>
      </c>
      <c r="B8608" s="515" t="s">
        <v>727</v>
      </c>
      <c r="C8608" s="52">
        <v>387512.06503090699</v>
      </c>
      <c r="D8608" s="56">
        <v>1.7616726437504567E-2</v>
      </c>
      <c r="E8608" s="224" t="s">
        <v>2</v>
      </c>
      <c r="F8608" s="515" t="s">
        <v>9814</v>
      </c>
      <c r="G8608" s="52">
        <v>280660.29551731702</v>
      </c>
      <c r="H8608" s="56">
        <v>0.13705471327315064</v>
      </c>
      <c r="I8608" s="224" t="s">
        <v>2</v>
      </c>
    </row>
    <row r="8609" spans="1:9" x14ac:dyDescent="0.25">
      <c r="A8609" s="515">
        <v>18428</v>
      </c>
      <c r="B8609" s="515" t="s">
        <v>324</v>
      </c>
      <c r="C8609" s="52">
        <v>277469.15656852297</v>
      </c>
      <c r="D8609" s="56">
        <v>8.2431727417483766E-2</v>
      </c>
      <c r="E8609" s="224" t="s">
        <v>2</v>
      </c>
      <c r="F8609" s="515" t="s">
        <v>9815</v>
      </c>
      <c r="G8609" s="52">
        <v>102732.721451487</v>
      </c>
      <c r="H8609" s="56">
        <v>2.7502002704823638E-2</v>
      </c>
      <c r="I8609" s="224" t="s">
        <v>2</v>
      </c>
    </row>
    <row r="8610" spans="1:9" x14ac:dyDescent="0.25">
      <c r="A8610" s="515">
        <v>30467</v>
      </c>
      <c r="C8610" s="52">
        <v>135746.81991703101</v>
      </c>
      <c r="D8610" s="56">
        <v>8.2503469389197726E-2</v>
      </c>
      <c r="E8610" s="224" t="s">
        <v>2</v>
      </c>
      <c r="F8610" s="515" t="s">
        <v>9816</v>
      </c>
      <c r="G8610" s="52">
        <v>160559.61053789899</v>
      </c>
      <c r="H8610" s="56">
        <v>-3.8315028034517752E-3</v>
      </c>
      <c r="I8610" s="224" t="s">
        <v>2</v>
      </c>
    </row>
    <row r="8611" spans="1:9" x14ac:dyDescent="0.25">
      <c r="A8611" s="515">
        <v>38556</v>
      </c>
      <c r="C8611" s="52">
        <v>173772.761011931</v>
      </c>
      <c r="D8611" s="56">
        <v>7.4820513884434003E-2</v>
      </c>
      <c r="E8611" s="224" t="s">
        <v>2</v>
      </c>
      <c r="F8611" s="515" t="s">
        <v>9817</v>
      </c>
      <c r="G8611" s="52">
        <v>143091.384573141</v>
      </c>
      <c r="H8611" s="56">
        <v>0.1913389972414232</v>
      </c>
      <c r="I8611" s="224" t="s">
        <v>2</v>
      </c>
    </row>
    <row r="8612" spans="1:9" x14ac:dyDescent="0.25">
      <c r="A8612" s="515">
        <v>49412</v>
      </c>
      <c r="C8612" s="52">
        <v>203000.46779608901</v>
      </c>
      <c r="D8612" s="56">
        <v>5.8017169191191875E-2</v>
      </c>
      <c r="E8612" s="224" t="s">
        <v>2</v>
      </c>
      <c r="F8612" s="515" t="s">
        <v>9818</v>
      </c>
      <c r="G8612" s="52">
        <v>276980.524818626</v>
      </c>
      <c r="H8612" s="56">
        <v>4.9727871625773454E-2</v>
      </c>
      <c r="I8612" s="224" t="s">
        <v>2</v>
      </c>
    </row>
    <row r="8613" spans="1:9" x14ac:dyDescent="0.25">
      <c r="A8613" s="515">
        <v>94904</v>
      </c>
      <c r="B8613" s="515" t="s">
        <v>593</v>
      </c>
      <c r="C8613" s="52">
        <v>2051083.4746973501</v>
      </c>
      <c r="D8613" s="56">
        <v>7.204339835187203E-3</v>
      </c>
      <c r="E8613" s="224">
        <v>4600</v>
      </c>
      <c r="F8613" s="515" t="s">
        <v>9819</v>
      </c>
      <c r="G8613" s="52">
        <v>366182.340522983</v>
      </c>
      <c r="H8613" s="56">
        <v>9.4998718969166479E-2</v>
      </c>
      <c r="I8613" s="224" t="s">
        <v>2</v>
      </c>
    </row>
    <row r="8614" spans="1:9" x14ac:dyDescent="0.25">
      <c r="A8614" s="515">
        <v>46582</v>
      </c>
      <c r="B8614" s="515" t="s">
        <v>1127</v>
      </c>
      <c r="C8614" s="52">
        <v>267833.21090785501</v>
      </c>
      <c r="D8614" s="56">
        <v>8.9493571219177989E-2</v>
      </c>
      <c r="E8614" s="224" t="s">
        <v>2</v>
      </c>
      <c r="F8614" s="515" t="s">
        <v>9820</v>
      </c>
      <c r="G8614" s="52">
        <v>253356.895927523</v>
      </c>
      <c r="H8614" s="56">
        <v>8.9849638761542769E-2</v>
      </c>
      <c r="I8614" s="224" t="s">
        <v>2</v>
      </c>
    </row>
    <row r="8615" spans="1:9" x14ac:dyDescent="0.25">
      <c r="A8615" s="515">
        <v>27932</v>
      </c>
      <c r="C8615" s="52">
        <v>181016.32824064299</v>
      </c>
      <c r="D8615" s="56">
        <v>0.1824231201550961</v>
      </c>
      <c r="E8615" s="224" t="s">
        <v>2</v>
      </c>
      <c r="F8615" s="515" t="s">
        <v>9821</v>
      </c>
      <c r="G8615" s="52">
        <v>277216.19166815298</v>
      </c>
      <c r="H8615" s="56">
        <v>6.270917355151262E-2</v>
      </c>
      <c r="I8615" s="224" t="s">
        <v>2</v>
      </c>
    </row>
    <row r="8616" spans="1:9" x14ac:dyDescent="0.25">
      <c r="A8616" s="515">
        <v>77068</v>
      </c>
      <c r="B8616" s="515" t="s">
        <v>314</v>
      </c>
      <c r="C8616" s="52">
        <v>309564.56572553999</v>
      </c>
      <c r="D8616" s="56">
        <v>8.2748268006384754E-2</v>
      </c>
      <c r="E8616" s="224" t="s">
        <v>2</v>
      </c>
      <c r="F8616" s="515" t="s">
        <v>9822</v>
      </c>
      <c r="G8616" s="52">
        <v>149197.47979945401</v>
      </c>
      <c r="H8616" s="56">
        <v>0.10064056966163749</v>
      </c>
      <c r="I8616" s="224" t="s">
        <v>2</v>
      </c>
    </row>
    <row r="8617" spans="1:9" x14ac:dyDescent="0.25">
      <c r="A8617" s="515">
        <v>30436</v>
      </c>
      <c r="B8617" s="515" t="s">
        <v>1134</v>
      </c>
      <c r="C8617" s="52">
        <v>116621.253648012</v>
      </c>
      <c r="D8617" s="56">
        <v>3.1713023707876718E-3</v>
      </c>
      <c r="E8617" s="224" t="s">
        <v>2</v>
      </c>
      <c r="F8617" s="515" t="s">
        <v>9823</v>
      </c>
      <c r="G8617" s="52">
        <v>192461.451203959</v>
      </c>
      <c r="H8617" s="56">
        <v>5.0084491468283171E-2</v>
      </c>
      <c r="I8617" s="224" t="s">
        <v>2</v>
      </c>
    </row>
    <row r="8618" spans="1:9" x14ac:dyDescent="0.25">
      <c r="A8618" s="515">
        <v>72455</v>
      </c>
      <c r="C8618" s="52">
        <v>120124.494060185</v>
      </c>
      <c r="D8618" s="56">
        <v>3.3569088548483048E-2</v>
      </c>
      <c r="E8618" s="224" t="s">
        <v>2</v>
      </c>
      <c r="F8618" s="515" t="s">
        <v>9824</v>
      </c>
      <c r="G8618" s="52">
        <v>249907.80287590699</v>
      </c>
      <c r="H8618" s="56">
        <v>-5.3310844449238483E-2</v>
      </c>
      <c r="I8618" s="224" t="s">
        <v>2</v>
      </c>
    </row>
    <row r="8619" spans="1:9" x14ac:dyDescent="0.25">
      <c r="A8619" s="515">
        <v>35111</v>
      </c>
      <c r="B8619" s="515" t="s">
        <v>841</v>
      </c>
      <c r="C8619" s="52">
        <v>280298.29712097399</v>
      </c>
      <c r="D8619" s="56">
        <v>8.4569352667084555E-2</v>
      </c>
      <c r="E8619" s="224">
        <v>1613.75</v>
      </c>
      <c r="F8619" s="515" t="s">
        <v>9825</v>
      </c>
      <c r="G8619" s="52">
        <v>184820.42067736099</v>
      </c>
      <c r="H8619" s="56">
        <v>0</v>
      </c>
      <c r="I8619" s="224" t="s">
        <v>2</v>
      </c>
    </row>
    <row r="8620" spans="1:9" x14ac:dyDescent="0.25">
      <c r="A8620" s="515">
        <v>29697</v>
      </c>
      <c r="B8620" s="515" t="s">
        <v>613</v>
      </c>
      <c r="C8620" s="52">
        <v>227571.26635497299</v>
      </c>
      <c r="D8620" s="56">
        <v>0.11752926389349976</v>
      </c>
      <c r="E8620" s="224" t="s">
        <v>2</v>
      </c>
      <c r="F8620" s="515" t="s">
        <v>9826</v>
      </c>
      <c r="G8620" s="52">
        <v>257037.571593406</v>
      </c>
      <c r="H8620" s="56">
        <v>7.7445487401058763E-2</v>
      </c>
      <c r="I8620" s="224" t="s">
        <v>2</v>
      </c>
    </row>
    <row r="8621" spans="1:9" x14ac:dyDescent="0.25">
      <c r="A8621" s="515">
        <v>92625</v>
      </c>
      <c r="B8621" s="515" t="s">
        <v>375</v>
      </c>
      <c r="C8621" s="52">
        <v>3236159.3534641098</v>
      </c>
      <c r="D8621" s="56">
        <v>5.142393969839406E-2</v>
      </c>
      <c r="E8621" s="224">
        <v>7991.25</v>
      </c>
      <c r="F8621" s="515" t="s">
        <v>9827</v>
      </c>
      <c r="G8621" s="52">
        <v>453908.66376421897</v>
      </c>
      <c r="H8621" s="56">
        <v>4.2602715884661295E-2</v>
      </c>
      <c r="I8621" s="224" t="s">
        <v>2</v>
      </c>
    </row>
    <row r="8622" spans="1:9" x14ac:dyDescent="0.25">
      <c r="A8622" s="515">
        <v>44074</v>
      </c>
      <c r="B8622" s="515" t="s">
        <v>520</v>
      </c>
      <c r="C8622" s="52">
        <v>224856.77503967099</v>
      </c>
      <c r="D8622" s="56">
        <v>9.6266057455122844E-2</v>
      </c>
      <c r="E8622" s="224" t="s">
        <v>2</v>
      </c>
      <c r="F8622" s="515" t="s">
        <v>9828</v>
      </c>
      <c r="G8622" s="52">
        <v>171158.60786258799</v>
      </c>
      <c r="H8622" s="56">
        <v>9.5518217424221244E-2</v>
      </c>
      <c r="I8622" s="224" t="s">
        <v>2</v>
      </c>
    </row>
    <row r="8623" spans="1:9" x14ac:dyDescent="0.25">
      <c r="A8623" s="515">
        <v>1879</v>
      </c>
      <c r="B8623" s="515" t="s">
        <v>534</v>
      </c>
      <c r="C8623" s="52">
        <v>537808.78113992105</v>
      </c>
      <c r="D8623" s="56">
        <v>8.0819164440585012E-2</v>
      </c>
      <c r="E8623" s="224" t="s">
        <v>2</v>
      </c>
      <c r="F8623" s="515" t="s">
        <v>9829</v>
      </c>
      <c r="G8623" s="52">
        <v>378276.17509584897</v>
      </c>
      <c r="H8623" s="56">
        <v>8.0776489550504565E-2</v>
      </c>
      <c r="I8623" s="224" t="s">
        <v>2</v>
      </c>
    </row>
    <row r="8624" spans="1:9" x14ac:dyDescent="0.25">
      <c r="A8624" s="515">
        <v>62946</v>
      </c>
      <c r="C8624" s="52">
        <v>60633.6542786227</v>
      </c>
      <c r="D8624" s="56">
        <v>0.10088748962973289</v>
      </c>
      <c r="E8624" s="224" t="s">
        <v>2</v>
      </c>
      <c r="F8624" s="515" t="s">
        <v>9830</v>
      </c>
      <c r="G8624" s="52">
        <v>237268.24298976999</v>
      </c>
      <c r="H8624" s="56">
        <v>0</v>
      </c>
      <c r="I8624" s="224" t="s">
        <v>2</v>
      </c>
    </row>
    <row r="8625" spans="1:9" x14ac:dyDescent="0.25">
      <c r="A8625" s="515">
        <v>68147</v>
      </c>
      <c r="B8625" s="515" t="s">
        <v>367</v>
      </c>
      <c r="C8625" s="52">
        <v>210214.11991525799</v>
      </c>
      <c r="D8625" s="56">
        <v>8.7357800303612787E-2</v>
      </c>
      <c r="E8625" s="224" t="s">
        <v>2</v>
      </c>
      <c r="F8625" s="515" t="s">
        <v>9831</v>
      </c>
      <c r="G8625" s="52">
        <v>620608.02604246105</v>
      </c>
      <c r="H8625" s="56">
        <v>-4.1725115671821723E-2</v>
      </c>
      <c r="I8625" s="224" t="s">
        <v>2</v>
      </c>
    </row>
    <row r="8626" spans="1:9" x14ac:dyDescent="0.25">
      <c r="A8626" s="515">
        <v>28372</v>
      </c>
      <c r="B8626" s="515" t="s">
        <v>1161</v>
      </c>
      <c r="C8626" s="52">
        <v>133783.06092906601</v>
      </c>
      <c r="D8626" s="56">
        <v>0.19807310941629022</v>
      </c>
      <c r="E8626" s="224" t="s">
        <v>2</v>
      </c>
      <c r="F8626" s="515" t="s">
        <v>9832</v>
      </c>
      <c r="G8626" s="52">
        <v>344650.03084156697</v>
      </c>
      <c r="H8626" s="56">
        <v>7.8501238988033822E-2</v>
      </c>
      <c r="I8626" s="224" t="s">
        <v>2</v>
      </c>
    </row>
    <row r="8627" spans="1:9" x14ac:dyDescent="0.25">
      <c r="A8627" s="515">
        <v>77651</v>
      </c>
      <c r="B8627" s="515" t="s">
        <v>492</v>
      </c>
      <c r="C8627" s="52">
        <v>209623.081052019</v>
      </c>
      <c r="D8627" s="56">
        <v>2.3405181654166766E-2</v>
      </c>
      <c r="E8627" s="224">
        <v>1595</v>
      </c>
      <c r="F8627" s="515" t="s">
        <v>9833</v>
      </c>
      <c r="G8627" s="52">
        <v>291570.681826555</v>
      </c>
      <c r="H8627" s="56">
        <v>6.9563517772815275E-2</v>
      </c>
      <c r="I8627" s="224" t="s">
        <v>2</v>
      </c>
    </row>
    <row r="8628" spans="1:9" x14ac:dyDescent="0.25">
      <c r="A8628" s="515">
        <v>18510</v>
      </c>
      <c r="B8628" s="515" t="s">
        <v>512</v>
      </c>
      <c r="C8628" s="52">
        <v>151412.104841639</v>
      </c>
      <c r="D8628" s="56">
        <v>0.11620568392107906</v>
      </c>
      <c r="E8628" s="224">
        <v>1100</v>
      </c>
      <c r="F8628" s="515" t="s">
        <v>9834</v>
      </c>
      <c r="G8628" s="52">
        <v>388334.73901204002</v>
      </c>
      <c r="H8628" s="56">
        <v>6.4166060593288429E-2</v>
      </c>
      <c r="I8628" s="224" t="s">
        <v>2</v>
      </c>
    </row>
    <row r="8629" spans="1:9" x14ac:dyDescent="0.25">
      <c r="A8629" s="515">
        <v>6385</v>
      </c>
      <c r="B8629" s="515" t="s">
        <v>1091</v>
      </c>
      <c r="C8629" s="52">
        <v>333958.29802264197</v>
      </c>
      <c r="D8629" s="56">
        <v>8.6667015965678662E-2</v>
      </c>
      <c r="E8629" s="224">
        <v>1534.5</v>
      </c>
      <c r="F8629" s="515" t="s">
        <v>9835</v>
      </c>
      <c r="G8629" s="52">
        <v>92546.285174252203</v>
      </c>
      <c r="H8629" s="56">
        <v>-2.2465769277318823E-3</v>
      </c>
      <c r="I8629" s="224" t="s">
        <v>2</v>
      </c>
    </row>
    <row r="8630" spans="1:9" x14ac:dyDescent="0.25">
      <c r="A8630" s="515">
        <v>36527</v>
      </c>
      <c r="B8630" s="515" t="s">
        <v>488</v>
      </c>
      <c r="C8630" s="52">
        <v>369112.23400066397</v>
      </c>
      <c r="D8630" s="56">
        <v>8.7170752369070403E-2</v>
      </c>
      <c r="E8630" s="224">
        <v>1523.9666666666601</v>
      </c>
      <c r="F8630" s="515" t="s">
        <v>9836</v>
      </c>
      <c r="G8630" s="52">
        <v>267817.98968604498</v>
      </c>
      <c r="H8630" s="56">
        <v>5.6438759434875384E-2</v>
      </c>
      <c r="I8630" s="224" t="s">
        <v>2</v>
      </c>
    </row>
    <row r="8631" spans="1:9" x14ac:dyDescent="0.25">
      <c r="A8631" s="515">
        <v>98101</v>
      </c>
      <c r="B8631" s="515" t="s">
        <v>384</v>
      </c>
      <c r="C8631" s="52">
        <v>596949.41878585401</v>
      </c>
      <c r="D8631" s="56">
        <v>-1.0243585560262799E-2</v>
      </c>
      <c r="E8631" s="224">
        <v>2620.0442675775998</v>
      </c>
      <c r="F8631" s="515" t="s">
        <v>9837</v>
      </c>
      <c r="G8631" s="52">
        <v>178074.83346043501</v>
      </c>
      <c r="H8631" s="56">
        <v>0.13720185561508444</v>
      </c>
      <c r="I8631" s="224" t="s">
        <v>2</v>
      </c>
    </row>
    <row r="8632" spans="1:9" x14ac:dyDescent="0.25">
      <c r="A8632" s="515">
        <v>73025</v>
      </c>
      <c r="B8632" s="515" t="s">
        <v>385</v>
      </c>
      <c r="C8632" s="52">
        <v>437713.09257853002</v>
      </c>
      <c r="D8632" s="56">
        <v>8.7002159673412405E-2</v>
      </c>
      <c r="E8632" s="224" t="s">
        <v>2</v>
      </c>
      <c r="F8632" s="515" t="s">
        <v>9838</v>
      </c>
      <c r="G8632" s="52">
        <v>158684.55714139401</v>
      </c>
      <c r="H8632" s="56">
        <v>8.0364354465268073E-2</v>
      </c>
      <c r="I8632" s="224" t="s">
        <v>2</v>
      </c>
    </row>
    <row r="8633" spans="1:9" x14ac:dyDescent="0.25">
      <c r="A8633" s="515">
        <v>47586</v>
      </c>
      <c r="C8633" s="52">
        <v>152412.14618951501</v>
      </c>
      <c r="D8633" s="56">
        <v>8.0116117808248399E-2</v>
      </c>
      <c r="E8633" s="224" t="s">
        <v>2</v>
      </c>
      <c r="F8633" s="515" t="s">
        <v>9839</v>
      </c>
      <c r="G8633" s="52">
        <v>182546.72726995201</v>
      </c>
      <c r="H8633" s="56">
        <v>0.10343436453970575</v>
      </c>
      <c r="I8633" s="224" t="s">
        <v>2</v>
      </c>
    </row>
    <row r="8634" spans="1:9" x14ac:dyDescent="0.25">
      <c r="A8634" s="515">
        <v>64113</v>
      </c>
      <c r="B8634" s="515" t="s">
        <v>455</v>
      </c>
      <c r="C8634" s="52">
        <v>486635.95705140301</v>
      </c>
      <c r="D8634" s="56">
        <v>4.0083581438267693E-2</v>
      </c>
      <c r="E8634" s="224" t="s">
        <v>2</v>
      </c>
      <c r="F8634" s="515" t="s">
        <v>9840</v>
      </c>
      <c r="G8634" s="52">
        <v>265284.77900011803</v>
      </c>
      <c r="H8634" s="56">
        <v>5.0456711265203312E-2</v>
      </c>
      <c r="I8634" s="224" t="s">
        <v>2</v>
      </c>
    </row>
    <row r="8635" spans="1:9" x14ac:dyDescent="0.25">
      <c r="A8635" s="515">
        <v>90755</v>
      </c>
      <c r="B8635" s="515" t="s">
        <v>375</v>
      </c>
      <c r="C8635" s="52">
        <v>675555.09931353503</v>
      </c>
      <c r="D8635" s="56">
        <v>1.6730555636014492E-2</v>
      </c>
      <c r="E8635" s="224">
        <v>2615.2777777777701</v>
      </c>
      <c r="F8635" s="515" t="s">
        <v>9841</v>
      </c>
      <c r="G8635" s="52">
        <v>127580.504508463</v>
      </c>
      <c r="H8635" s="56">
        <v>0.12492733373735312</v>
      </c>
      <c r="I8635" s="224" t="s">
        <v>2</v>
      </c>
    </row>
    <row r="8636" spans="1:9" x14ac:dyDescent="0.25">
      <c r="A8636" s="515">
        <v>39667</v>
      </c>
      <c r="C8636" s="52">
        <v>127721.951360412</v>
      </c>
      <c r="D8636" s="56">
        <v>-2.5927656831633537E-2</v>
      </c>
      <c r="E8636" s="224" t="s">
        <v>2</v>
      </c>
      <c r="F8636" s="515" t="s">
        <v>9842</v>
      </c>
      <c r="G8636" s="52">
        <v>289513.436056445</v>
      </c>
      <c r="H8636" s="56">
        <v>0.10488907960075181</v>
      </c>
      <c r="I8636" s="224" t="s">
        <v>2</v>
      </c>
    </row>
    <row r="8637" spans="1:9" x14ac:dyDescent="0.25">
      <c r="A8637" s="515">
        <v>56093</v>
      </c>
      <c r="C8637" s="52">
        <v>210203.79595260799</v>
      </c>
      <c r="D8637" s="56">
        <v>2.7348003661276366E-2</v>
      </c>
      <c r="E8637" s="224" t="s">
        <v>2</v>
      </c>
      <c r="F8637" s="515" t="s">
        <v>9843</v>
      </c>
      <c r="G8637" s="52">
        <v>106630.58623073</v>
      </c>
      <c r="H8637" s="56">
        <v>7.2468297219657779E-2</v>
      </c>
      <c r="I8637" s="224" t="s">
        <v>2</v>
      </c>
    </row>
    <row r="8638" spans="1:9" x14ac:dyDescent="0.25">
      <c r="A8638" s="515">
        <v>46310</v>
      </c>
      <c r="B8638" s="515" t="s">
        <v>394</v>
      </c>
      <c r="C8638" s="52">
        <v>253040.654406382</v>
      </c>
      <c r="D8638" s="56">
        <v>6.0962392560326879E-2</v>
      </c>
      <c r="E8638" s="224" t="s">
        <v>2</v>
      </c>
      <c r="F8638" s="515" t="s">
        <v>9844</v>
      </c>
      <c r="G8638" s="52">
        <v>342560.02548175701</v>
      </c>
      <c r="H8638" s="56">
        <v>5.0036798642250524E-2</v>
      </c>
      <c r="I8638" s="224" t="s">
        <v>2</v>
      </c>
    </row>
    <row r="8639" spans="1:9" x14ac:dyDescent="0.25">
      <c r="A8639" s="515">
        <v>78248</v>
      </c>
      <c r="B8639" s="515" t="s">
        <v>717</v>
      </c>
      <c r="C8639" s="52">
        <v>477791.59702917503</v>
      </c>
      <c r="D8639" s="56">
        <v>5.7222010863529349E-2</v>
      </c>
      <c r="E8639" s="224">
        <v>1315.2</v>
      </c>
      <c r="F8639" s="515" t="s">
        <v>9845</v>
      </c>
      <c r="G8639" s="52">
        <v>306922.12411053898</v>
      </c>
      <c r="H8639" s="56">
        <v>0.16149468945754772</v>
      </c>
      <c r="I8639" s="224" t="s">
        <v>2</v>
      </c>
    </row>
    <row r="8640" spans="1:9" x14ac:dyDescent="0.25">
      <c r="A8640" s="515">
        <v>2493</v>
      </c>
      <c r="B8640" s="515" t="s">
        <v>534</v>
      </c>
      <c r="C8640" s="52">
        <v>1887571.4738672699</v>
      </c>
      <c r="D8640" s="56">
        <v>0.11384365910842539</v>
      </c>
      <c r="E8640" s="224" t="s">
        <v>2</v>
      </c>
      <c r="F8640" s="515" t="s">
        <v>9846</v>
      </c>
      <c r="G8640" s="52">
        <v>159271.33246251199</v>
      </c>
      <c r="H8640" s="56">
        <v>2.4663765967325332E-2</v>
      </c>
      <c r="I8640" s="224" t="s">
        <v>2</v>
      </c>
    </row>
    <row r="8641" spans="1:9" x14ac:dyDescent="0.25">
      <c r="A8641" s="515">
        <v>10980</v>
      </c>
      <c r="B8641" s="515" t="s">
        <v>324</v>
      </c>
      <c r="C8641" s="52">
        <v>518541.36431057501</v>
      </c>
      <c r="D8641" s="56">
        <v>8.589418396976381E-2</v>
      </c>
      <c r="E8641" s="224" t="s">
        <v>2</v>
      </c>
      <c r="F8641" s="515" t="s">
        <v>9847</v>
      </c>
      <c r="G8641" s="52">
        <v>147230.865674862</v>
      </c>
      <c r="H8641" s="56">
        <v>0.10416815880546833</v>
      </c>
      <c r="I8641" s="224" t="s">
        <v>2</v>
      </c>
    </row>
    <row r="8642" spans="1:9" x14ac:dyDescent="0.25">
      <c r="A8642" s="515">
        <v>13209</v>
      </c>
      <c r="B8642" s="515" t="s">
        <v>361</v>
      </c>
      <c r="C8642" s="52">
        <v>170617.483323722</v>
      </c>
      <c r="D8642" s="56">
        <v>9.9960666202105475E-2</v>
      </c>
      <c r="E8642" s="224" t="s">
        <v>2</v>
      </c>
      <c r="F8642" s="515" t="s">
        <v>9848</v>
      </c>
      <c r="G8642" s="52">
        <v>89743.809142838407</v>
      </c>
      <c r="H8642" s="56">
        <v>8.0017505799568095E-2</v>
      </c>
      <c r="I8642" s="224" t="s">
        <v>2</v>
      </c>
    </row>
    <row r="8643" spans="1:9" x14ac:dyDescent="0.25">
      <c r="A8643" s="515">
        <v>60712</v>
      </c>
      <c r="B8643" s="515" t="s">
        <v>394</v>
      </c>
      <c r="C8643" s="52">
        <v>432604.00564229803</v>
      </c>
      <c r="D8643" s="56">
        <v>3.7312522329553462E-2</v>
      </c>
      <c r="E8643" s="224" t="s">
        <v>2</v>
      </c>
      <c r="F8643" s="515" t="s">
        <v>9849</v>
      </c>
      <c r="G8643" s="52">
        <v>194628.51116877201</v>
      </c>
      <c r="H8643" s="56">
        <v>0.11157230402162165</v>
      </c>
      <c r="I8643" s="224" t="s">
        <v>2</v>
      </c>
    </row>
    <row r="8644" spans="1:9" x14ac:dyDescent="0.25">
      <c r="A8644" s="515">
        <v>33477</v>
      </c>
      <c r="B8644" s="515" t="s">
        <v>831</v>
      </c>
      <c r="C8644" s="52">
        <v>698148.55726364395</v>
      </c>
      <c r="D8644" s="56">
        <v>0.13494411559261063</v>
      </c>
      <c r="E8644" s="224">
        <v>5079.8701298701299</v>
      </c>
      <c r="F8644" s="515" t="s">
        <v>9850</v>
      </c>
      <c r="G8644" s="52">
        <v>455887.24778345902</v>
      </c>
      <c r="H8644" s="56">
        <v>3.4607905681488763E-2</v>
      </c>
      <c r="I8644" s="224" t="s">
        <v>2</v>
      </c>
    </row>
    <row r="8645" spans="1:9" x14ac:dyDescent="0.25">
      <c r="A8645" s="515">
        <v>19106</v>
      </c>
      <c r="B8645" s="515" t="s">
        <v>294</v>
      </c>
      <c r="C8645" s="52">
        <v>409032.733730893</v>
      </c>
      <c r="D8645" s="56">
        <v>-2.8192806738311461E-2</v>
      </c>
      <c r="E8645" s="224">
        <v>2121.9</v>
      </c>
      <c r="F8645" s="515" t="s">
        <v>9851</v>
      </c>
      <c r="G8645" s="52">
        <v>284261.517776352</v>
      </c>
      <c r="H8645" s="56">
        <v>9.5934250392824175E-2</v>
      </c>
      <c r="I8645" s="224" t="s">
        <v>2</v>
      </c>
    </row>
    <row r="8646" spans="1:9" x14ac:dyDescent="0.25">
      <c r="A8646" s="515">
        <v>40906</v>
      </c>
      <c r="B8646" s="515" t="s">
        <v>633</v>
      </c>
      <c r="C8646" s="52">
        <v>136936.31857049899</v>
      </c>
      <c r="D8646" s="56">
        <v>0.18398412524690677</v>
      </c>
      <c r="E8646" s="224" t="s">
        <v>2</v>
      </c>
      <c r="F8646" s="515" t="s">
        <v>9852</v>
      </c>
      <c r="G8646" s="52">
        <v>153330.413954569</v>
      </c>
      <c r="H8646" s="56">
        <v>5.9062714678400137E-2</v>
      </c>
      <c r="I8646" s="224" t="s">
        <v>2</v>
      </c>
    </row>
    <row r="8647" spans="1:9" x14ac:dyDescent="0.25">
      <c r="A8647" s="515">
        <v>37777</v>
      </c>
      <c r="B8647" s="515" t="s">
        <v>907</v>
      </c>
      <c r="C8647" s="52">
        <v>382119.83599699597</v>
      </c>
      <c r="D8647" s="56">
        <v>7.914376118790889E-2</v>
      </c>
      <c r="E8647" s="224" t="s">
        <v>2</v>
      </c>
      <c r="F8647" s="515" t="s">
        <v>9853</v>
      </c>
      <c r="G8647" s="52">
        <v>338428.90554943099</v>
      </c>
      <c r="H8647" s="56">
        <v>4.4472210756715203E-2</v>
      </c>
      <c r="I8647" s="224" t="s">
        <v>2</v>
      </c>
    </row>
    <row r="8648" spans="1:9" x14ac:dyDescent="0.25">
      <c r="A8648" s="515">
        <v>22044</v>
      </c>
      <c r="B8648" s="515" t="s">
        <v>321</v>
      </c>
      <c r="C8648" s="52">
        <v>508429.23742654599</v>
      </c>
      <c r="D8648" s="56">
        <v>4.2157190985472874E-2</v>
      </c>
      <c r="E8648" s="224">
        <v>1811.125</v>
      </c>
      <c r="F8648" s="515" t="s">
        <v>9854</v>
      </c>
      <c r="G8648" s="52">
        <v>510995.622356579</v>
      </c>
      <c r="H8648" s="56">
        <v>-2.671301638850964E-2</v>
      </c>
      <c r="I8648" s="224" t="s">
        <v>2</v>
      </c>
    </row>
    <row r="8649" spans="1:9" x14ac:dyDescent="0.25">
      <c r="A8649" s="515">
        <v>32344</v>
      </c>
      <c r="B8649" s="515" t="s">
        <v>335</v>
      </c>
      <c r="C8649" s="52">
        <v>264473.99084102199</v>
      </c>
      <c r="D8649" s="56">
        <v>0.12242982798233365</v>
      </c>
      <c r="E8649" s="224" t="s">
        <v>2</v>
      </c>
      <c r="F8649" s="515" t="s">
        <v>9855</v>
      </c>
      <c r="G8649" s="52">
        <v>174974.66657406499</v>
      </c>
      <c r="H8649" s="56">
        <v>8.1811666824224014E-2</v>
      </c>
      <c r="I8649" s="224" t="s">
        <v>2</v>
      </c>
    </row>
    <row r="8650" spans="1:9" x14ac:dyDescent="0.25">
      <c r="A8650" s="515">
        <v>56701</v>
      </c>
      <c r="C8650" s="52">
        <v>174947.11852287999</v>
      </c>
      <c r="D8650" s="56">
        <v>7.0638971298282163E-3</v>
      </c>
      <c r="E8650" s="224" t="s">
        <v>2</v>
      </c>
      <c r="F8650" s="515" t="s">
        <v>9856</v>
      </c>
      <c r="G8650" s="52">
        <v>115448.621823928</v>
      </c>
      <c r="H8650" s="56">
        <v>0.15832221671754276</v>
      </c>
      <c r="I8650" s="224" t="s">
        <v>2</v>
      </c>
    </row>
    <row r="8651" spans="1:9" x14ac:dyDescent="0.25">
      <c r="A8651" s="515">
        <v>98446</v>
      </c>
      <c r="B8651" s="515" t="s">
        <v>384</v>
      </c>
      <c r="C8651" s="52">
        <v>501608.67177140102</v>
      </c>
      <c r="D8651" s="56">
        <v>1.6848225579361043E-2</v>
      </c>
      <c r="E8651" s="224">
        <v>2040.1</v>
      </c>
      <c r="F8651" s="515" t="s">
        <v>9857</v>
      </c>
      <c r="G8651" s="52">
        <v>232437.30819512499</v>
      </c>
      <c r="H8651" s="56">
        <v>9.7402723026656604E-2</v>
      </c>
      <c r="I8651" s="224" t="s">
        <v>2</v>
      </c>
    </row>
    <row r="8652" spans="1:9" x14ac:dyDescent="0.25">
      <c r="A8652" s="515">
        <v>38358</v>
      </c>
      <c r="B8652" s="515" t="s">
        <v>691</v>
      </c>
      <c r="C8652" s="52">
        <v>148674.94844358999</v>
      </c>
      <c r="D8652" s="56">
        <v>4.9146520417771559E-2</v>
      </c>
      <c r="E8652" s="224" t="s">
        <v>2</v>
      </c>
      <c r="F8652" s="515" t="s">
        <v>9858</v>
      </c>
      <c r="G8652" s="52">
        <v>134641.81777752601</v>
      </c>
      <c r="H8652" s="56">
        <v>0.12272809931533822</v>
      </c>
      <c r="I8652" s="224" t="s">
        <v>2</v>
      </c>
    </row>
    <row r="8653" spans="1:9" x14ac:dyDescent="0.25">
      <c r="A8653" s="515">
        <v>78264</v>
      </c>
      <c r="B8653" s="515" t="s">
        <v>717</v>
      </c>
      <c r="C8653" s="52">
        <v>218497.40689932299</v>
      </c>
      <c r="D8653" s="56">
        <v>6.1815681420211675E-2</v>
      </c>
      <c r="E8653" s="224" t="s">
        <v>2</v>
      </c>
      <c r="F8653" s="515" t="s">
        <v>9859</v>
      </c>
      <c r="G8653" s="52">
        <v>173055.968197879</v>
      </c>
      <c r="H8653" s="56">
        <v>0</v>
      </c>
      <c r="I8653" s="224" t="s">
        <v>2</v>
      </c>
    </row>
    <row r="8654" spans="1:9" x14ac:dyDescent="0.25">
      <c r="A8654" s="515">
        <v>97403</v>
      </c>
      <c r="B8654" s="515" t="s">
        <v>801</v>
      </c>
      <c r="C8654" s="52">
        <v>581772.40838958998</v>
      </c>
      <c r="D8654" s="56">
        <v>5.1633737815402619E-2</v>
      </c>
      <c r="E8654" s="224">
        <v>2156.6666666666601</v>
      </c>
      <c r="F8654" s="515" t="s">
        <v>9860</v>
      </c>
      <c r="G8654" s="52">
        <v>217499.631888398</v>
      </c>
      <c r="H8654" s="56">
        <v>0.15439735857512685</v>
      </c>
      <c r="I8654" s="224" t="s">
        <v>2</v>
      </c>
    </row>
    <row r="8655" spans="1:9" x14ac:dyDescent="0.25">
      <c r="A8655" s="515">
        <v>15668</v>
      </c>
      <c r="B8655" s="515" t="s">
        <v>297</v>
      </c>
      <c r="C8655" s="52">
        <v>320937.03941470798</v>
      </c>
      <c r="D8655" s="56">
        <v>4.2028160690775675E-2</v>
      </c>
      <c r="E8655" s="224" t="s">
        <v>2</v>
      </c>
      <c r="F8655" s="515" t="s">
        <v>9861</v>
      </c>
      <c r="G8655" s="52">
        <v>444851.39676223201</v>
      </c>
      <c r="H8655" s="56">
        <v>0.13444424046992931</v>
      </c>
      <c r="I8655" s="224" t="s">
        <v>2</v>
      </c>
    </row>
    <row r="8656" spans="1:9" x14ac:dyDescent="0.25">
      <c r="A8656" s="515">
        <v>60442</v>
      </c>
      <c r="B8656" s="515" t="s">
        <v>394</v>
      </c>
      <c r="C8656" s="52">
        <v>331710.118201014</v>
      </c>
      <c r="D8656" s="56">
        <v>5.1582647778524553E-2</v>
      </c>
      <c r="E8656" s="224" t="s">
        <v>2</v>
      </c>
      <c r="F8656" s="515" t="s">
        <v>9862</v>
      </c>
      <c r="G8656" s="52">
        <v>322016.67443024402</v>
      </c>
      <c r="H8656" s="56">
        <v>7.2393131722145815E-2</v>
      </c>
      <c r="I8656" s="224" t="s">
        <v>2</v>
      </c>
    </row>
    <row r="8657" spans="1:9" x14ac:dyDescent="0.25">
      <c r="A8657" s="515">
        <v>48360</v>
      </c>
      <c r="B8657" s="515" t="s">
        <v>685</v>
      </c>
      <c r="C8657" s="52">
        <v>367578.37112200703</v>
      </c>
      <c r="D8657" s="56">
        <v>4.5528357738278881E-2</v>
      </c>
      <c r="E8657" s="224" t="s">
        <v>2</v>
      </c>
      <c r="F8657" s="515" t="s">
        <v>9863</v>
      </c>
      <c r="G8657" s="52">
        <v>94996.899790061507</v>
      </c>
      <c r="H8657" s="56">
        <v>3.2873059281753714E-2</v>
      </c>
      <c r="I8657" s="224" t="s">
        <v>2</v>
      </c>
    </row>
    <row r="8658" spans="1:9" x14ac:dyDescent="0.25">
      <c r="A8658" s="515">
        <v>31302</v>
      </c>
      <c r="B8658" s="515" t="s">
        <v>351</v>
      </c>
      <c r="C8658" s="52">
        <v>247628.51434122899</v>
      </c>
      <c r="D8658" s="56">
        <v>0.16186226084760788</v>
      </c>
      <c r="E8658" s="224" t="s">
        <v>2</v>
      </c>
      <c r="F8658" s="515" t="s">
        <v>9864</v>
      </c>
      <c r="G8658" s="52">
        <v>271885.48250576202</v>
      </c>
      <c r="H8658" s="56">
        <v>0.1075063036255399</v>
      </c>
      <c r="I8658" s="224" t="s">
        <v>2</v>
      </c>
    </row>
    <row r="8659" spans="1:9" x14ac:dyDescent="0.25">
      <c r="A8659" s="515">
        <v>93204</v>
      </c>
      <c r="B8659" s="515" t="s">
        <v>942</v>
      </c>
      <c r="C8659" s="52">
        <v>205413.77727173999</v>
      </c>
      <c r="D8659" s="56">
        <v>9.7850662358824184E-2</v>
      </c>
      <c r="E8659" s="224" t="s">
        <v>2</v>
      </c>
      <c r="F8659" s="515" t="s">
        <v>9865</v>
      </c>
      <c r="G8659" s="52">
        <v>117816.34450196401</v>
      </c>
      <c r="H8659" s="56">
        <v>0.14673479029278275</v>
      </c>
      <c r="I8659" s="224" t="s">
        <v>2</v>
      </c>
    </row>
    <row r="8660" spans="1:9" x14ac:dyDescent="0.25">
      <c r="A8660" s="515">
        <v>46540</v>
      </c>
      <c r="B8660" s="515" t="s">
        <v>1170</v>
      </c>
      <c r="C8660" s="52">
        <v>320082.13188392099</v>
      </c>
      <c r="D8660" s="56">
        <v>6.3042941541258085E-2</v>
      </c>
      <c r="E8660" s="224" t="s">
        <v>2</v>
      </c>
      <c r="F8660" s="515" t="s">
        <v>9866</v>
      </c>
      <c r="G8660" s="52">
        <v>424915.03214254801</v>
      </c>
      <c r="H8660" s="56">
        <v>0.12704673997012117</v>
      </c>
      <c r="I8660" s="224" t="s">
        <v>2</v>
      </c>
    </row>
    <row r="8661" spans="1:9" x14ac:dyDescent="0.25">
      <c r="A8661" s="515">
        <v>98065</v>
      </c>
      <c r="B8661" s="515" t="s">
        <v>384</v>
      </c>
      <c r="C8661" s="52">
        <v>973585.28773390304</v>
      </c>
      <c r="D8661" s="56">
        <v>1.2449200125388433E-3</v>
      </c>
      <c r="E8661" s="224" t="s">
        <v>2</v>
      </c>
      <c r="F8661" s="515" t="s">
        <v>9867</v>
      </c>
      <c r="G8661" s="52">
        <v>47399.060263785803</v>
      </c>
      <c r="H8661" s="56">
        <v>0.17878608366316623</v>
      </c>
      <c r="I8661" s="224" t="s">
        <v>2</v>
      </c>
    </row>
    <row r="8662" spans="1:9" x14ac:dyDescent="0.25">
      <c r="A8662" s="515">
        <v>34479</v>
      </c>
      <c r="B8662" s="515" t="s">
        <v>475</v>
      </c>
      <c r="C8662" s="52">
        <v>229975.19422271501</v>
      </c>
      <c r="D8662" s="56">
        <v>0.17985373477721878</v>
      </c>
      <c r="E8662" s="224" t="s">
        <v>2</v>
      </c>
      <c r="F8662" s="515" t="s">
        <v>9868</v>
      </c>
      <c r="G8662" s="52">
        <v>90587.164747617004</v>
      </c>
      <c r="H8662" s="56">
        <v>-6.370759243066812E-2</v>
      </c>
      <c r="I8662" s="224" t="s">
        <v>2</v>
      </c>
    </row>
    <row r="8663" spans="1:9" x14ac:dyDescent="0.25">
      <c r="A8663" s="515">
        <v>61072</v>
      </c>
      <c r="B8663" s="515" t="s">
        <v>1104</v>
      </c>
      <c r="C8663" s="52">
        <v>228465.29783574899</v>
      </c>
      <c r="D8663" s="56">
        <v>7.3365134593758763E-2</v>
      </c>
      <c r="E8663" s="224" t="s">
        <v>2</v>
      </c>
      <c r="F8663" s="515" t="s">
        <v>9869</v>
      </c>
      <c r="G8663" s="52">
        <v>465217.60085786798</v>
      </c>
      <c r="H8663" s="56">
        <v>4.6266241323344365E-2</v>
      </c>
      <c r="I8663" s="224" t="s">
        <v>2</v>
      </c>
    </row>
    <row r="8664" spans="1:9" x14ac:dyDescent="0.25">
      <c r="A8664" s="515">
        <v>92075</v>
      </c>
      <c r="B8664" s="515" t="s">
        <v>396</v>
      </c>
      <c r="C8664" s="52">
        <v>1844671.18666169</v>
      </c>
      <c r="D8664" s="56">
        <v>6.5686047266430125E-2</v>
      </c>
      <c r="E8664" s="224">
        <v>4447.75555555555</v>
      </c>
      <c r="F8664" s="515" t="s">
        <v>9870</v>
      </c>
      <c r="G8664" s="52">
        <v>128776.154870566</v>
      </c>
      <c r="H8664" s="56">
        <v>-2.3010790602685492E-2</v>
      </c>
      <c r="I8664" s="224" t="s">
        <v>2</v>
      </c>
    </row>
    <row r="8665" spans="1:9" x14ac:dyDescent="0.25">
      <c r="A8665" s="515">
        <v>94707</v>
      </c>
      <c r="B8665" s="515" t="s">
        <v>593</v>
      </c>
      <c r="C8665" s="52">
        <v>1611054.5471397201</v>
      </c>
      <c r="D8665" s="56">
        <v>1.6562733101900026E-2</v>
      </c>
      <c r="E8665" s="224" t="s">
        <v>2</v>
      </c>
      <c r="F8665" s="515" t="s">
        <v>9871</v>
      </c>
      <c r="G8665" s="52">
        <v>366525.37041715102</v>
      </c>
      <c r="H8665" s="56">
        <v>0.12641556074130092</v>
      </c>
      <c r="I8665" s="224" t="s">
        <v>2</v>
      </c>
    </row>
    <row r="8666" spans="1:9" x14ac:dyDescent="0.25">
      <c r="A8666" s="515">
        <v>94709</v>
      </c>
      <c r="B8666" s="515" t="s">
        <v>593</v>
      </c>
      <c r="C8666" s="52">
        <v>1236655.77011882</v>
      </c>
      <c r="D8666" s="56">
        <v>-4.0769392228269238E-2</v>
      </c>
      <c r="E8666" s="224">
        <v>2831.4285714285702</v>
      </c>
      <c r="F8666" s="515" t="s">
        <v>9872</v>
      </c>
      <c r="G8666" s="52">
        <v>235074.64083667001</v>
      </c>
      <c r="H8666" s="56">
        <v>0.12468332781424962</v>
      </c>
      <c r="I8666" s="224" t="s">
        <v>2</v>
      </c>
    </row>
    <row r="8667" spans="1:9" x14ac:dyDescent="0.25">
      <c r="A8667" s="515">
        <v>32754</v>
      </c>
      <c r="B8667" s="515" t="s">
        <v>1133</v>
      </c>
      <c r="C8667" s="52">
        <v>352842.004782426</v>
      </c>
      <c r="D8667" s="56">
        <v>0.1415148116037965</v>
      </c>
      <c r="E8667" s="224" t="s">
        <v>2</v>
      </c>
      <c r="F8667" s="515" t="s">
        <v>9873</v>
      </c>
      <c r="G8667" s="52">
        <v>164464.38974581801</v>
      </c>
      <c r="H8667" s="56">
        <v>0.14341857356093618</v>
      </c>
      <c r="I8667" s="224" t="s">
        <v>2</v>
      </c>
    </row>
    <row r="8668" spans="1:9" x14ac:dyDescent="0.25">
      <c r="A8668" s="515">
        <v>39482</v>
      </c>
      <c r="B8668" s="515" t="s">
        <v>1074</v>
      </c>
      <c r="C8668" s="52">
        <v>214650.11091234401</v>
      </c>
      <c r="D8668" s="56">
        <v>2.2660307952441549E-3</v>
      </c>
      <c r="E8668" s="224" t="s">
        <v>2</v>
      </c>
      <c r="F8668" s="515" t="s">
        <v>9874</v>
      </c>
      <c r="G8668" s="52">
        <v>352165.15043292299</v>
      </c>
      <c r="H8668" s="56">
        <v>5.3983991174018767E-2</v>
      </c>
      <c r="I8668" s="224">
        <v>2062.5</v>
      </c>
    </row>
    <row r="8669" spans="1:9" x14ac:dyDescent="0.25">
      <c r="A8669" s="515">
        <v>74301</v>
      </c>
      <c r="C8669" s="52">
        <v>139925.520388025</v>
      </c>
      <c r="D8669" s="56">
        <v>0.14082864502973994</v>
      </c>
      <c r="E8669" s="224" t="s">
        <v>2</v>
      </c>
      <c r="F8669" s="515" t="s">
        <v>9875</v>
      </c>
      <c r="G8669" s="52">
        <v>233897.20529205399</v>
      </c>
      <c r="H8669" s="56">
        <v>0.11401164461485193</v>
      </c>
      <c r="I8669" s="224" t="s">
        <v>2</v>
      </c>
    </row>
    <row r="8670" spans="1:9" x14ac:dyDescent="0.25">
      <c r="A8670" s="515">
        <v>51301</v>
      </c>
      <c r="B8670" s="515" t="s">
        <v>426</v>
      </c>
      <c r="C8670" s="52">
        <v>167305.16163946499</v>
      </c>
      <c r="D8670" s="56">
        <v>6.1752878710209798E-2</v>
      </c>
      <c r="E8670" s="224" t="s">
        <v>2</v>
      </c>
      <c r="F8670" s="515" t="s">
        <v>9876</v>
      </c>
      <c r="G8670" s="52">
        <v>307205.73164126999</v>
      </c>
      <c r="H8670" s="56">
        <v>6.5881670212794702E-2</v>
      </c>
      <c r="I8670" s="224" t="s">
        <v>2</v>
      </c>
    </row>
    <row r="8671" spans="1:9" x14ac:dyDescent="0.25">
      <c r="A8671" s="515">
        <v>47670</v>
      </c>
      <c r="C8671" s="52">
        <v>145386.24888227999</v>
      </c>
      <c r="D8671" s="56">
        <v>5.9188250730431907E-2</v>
      </c>
      <c r="E8671" s="224" t="s">
        <v>2</v>
      </c>
      <c r="F8671" s="515" t="s">
        <v>9877</v>
      </c>
      <c r="G8671" s="52">
        <v>326653.576045316</v>
      </c>
      <c r="H8671" s="56">
        <v>0.10626393701501784</v>
      </c>
      <c r="I8671" s="224" t="s">
        <v>2</v>
      </c>
    </row>
    <row r="8672" spans="1:9" x14ac:dyDescent="0.25">
      <c r="A8672" s="515">
        <v>48079</v>
      </c>
      <c r="B8672" s="515" t="s">
        <v>685</v>
      </c>
      <c r="C8672" s="52">
        <v>265685.46319574199</v>
      </c>
      <c r="D8672" s="56">
        <v>5.8290204681622181E-2</v>
      </c>
      <c r="E8672" s="224" t="s">
        <v>2</v>
      </c>
      <c r="F8672" s="515" t="s">
        <v>9878</v>
      </c>
      <c r="G8672" s="52">
        <v>266412.02938102902</v>
      </c>
      <c r="H8672" s="56">
        <v>5.2323285291452977E-2</v>
      </c>
      <c r="I8672" s="224" t="s">
        <v>2</v>
      </c>
    </row>
    <row r="8673" spans="1:9" x14ac:dyDescent="0.25">
      <c r="A8673" s="515">
        <v>35146</v>
      </c>
      <c r="B8673" s="515" t="s">
        <v>640</v>
      </c>
      <c r="C8673" s="52">
        <v>308737.24392732198</v>
      </c>
      <c r="D8673" s="56">
        <v>9.464346925376893E-2</v>
      </c>
      <c r="E8673" s="224" t="s">
        <v>2</v>
      </c>
      <c r="F8673" s="515" t="s">
        <v>9879</v>
      </c>
      <c r="G8673" s="52">
        <v>49541.399021795303</v>
      </c>
      <c r="H8673" s="56">
        <v>0.21366756371632381</v>
      </c>
      <c r="I8673" s="224" t="s">
        <v>2</v>
      </c>
    </row>
    <row r="8674" spans="1:9" x14ac:dyDescent="0.25">
      <c r="A8674" s="515">
        <v>94065</v>
      </c>
      <c r="B8674" s="515" t="s">
        <v>593</v>
      </c>
      <c r="C8674" s="52">
        <v>1643573.4687035801</v>
      </c>
      <c r="D8674" s="56">
        <v>-5.9848815035617023E-2</v>
      </c>
      <c r="E8674" s="224">
        <v>3334.37037037037</v>
      </c>
      <c r="F8674" s="515" t="s">
        <v>9880</v>
      </c>
      <c r="G8674" s="52">
        <v>901880.28849736904</v>
      </c>
      <c r="H8674" s="56">
        <v>0.1137973520112671</v>
      </c>
      <c r="I8674" s="224" t="s">
        <v>2</v>
      </c>
    </row>
    <row r="8675" spans="1:9" x14ac:dyDescent="0.25">
      <c r="A8675" s="515">
        <v>75644</v>
      </c>
      <c r="B8675" s="515" t="s">
        <v>319</v>
      </c>
      <c r="C8675" s="52">
        <v>194626.232879335</v>
      </c>
      <c r="D8675" s="56">
        <v>0.10203299800976112</v>
      </c>
      <c r="E8675" s="224" t="s">
        <v>2</v>
      </c>
      <c r="F8675" s="515" t="s">
        <v>9881</v>
      </c>
      <c r="G8675" s="52">
        <v>84544.189786082599</v>
      </c>
      <c r="H8675" s="56">
        <v>0.20707749353618782</v>
      </c>
      <c r="I8675" s="224" t="s">
        <v>2</v>
      </c>
    </row>
    <row r="8676" spans="1:9" x14ac:dyDescent="0.25">
      <c r="A8676" s="515">
        <v>61548</v>
      </c>
      <c r="B8676" s="515" t="s">
        <v>303</v>
      </c>
      <c r="C8676" s="52">
        <v>230203.89597707501</v>
      </c>
      <c r="D8676" s="56">
        <v>5.9207431705740006E-2</v>
      </c>
      <c r="E8676" s="224" t="s">
        <v>2</v>
      </c>
      <c r="F8676" s="515" t="s">
        <v>9882</v>
      </c>
      <c r="G8676" s="52">
        <v>407715.42908732803</v>
      </c>
      <c r="H8676" s="56">
        <v>8.2327532004262002E-2</v>
      </c>
      <c r="I8676" s="224" t="s">
        <v>2</v>
      </c>
    </row>
    <row r="8677" spans="1:9" x14ac:dyDescent="0.25">
      <c r="A8677" s="515">
        <v>81008</v>
      </c>
      <c r="B8677" s="515" t="s">
        <v>1003</v>
      </c>
      <c r="C8677" s="52">
        <v>316594.16492970899</v>
      </c>
      <c r="D8677" s="56">
        <v>4.187011437034216E-2</v>
      </c>
      <c r="E8677" s="224">
        <v>1725</v>
      </c>
      <c r="F8677" s="515" t="s">
        <v>9883</v>
      </c>
      <c r="G8677" s="52">
        <v>373122.76612270001</v>
      </c>
      <c r="H8677" s="56">
        <v>0.10662755247666762</v>
      </c>
      <c r="I8677" s="224" t="s">
        <v>2</v>
      </c>
    </row>
    <row r="8678" spans="1:9" x14ac:dyDescent="0.25">
      <c r="A8678" s="515">
        <v>11764</v>
      </c>
      <c r="B8678" s="515" t="s">
        <v>324</v>
      </c>
      <c r="C8678" s="52">
        <v>569659.045246555</v>
      </c>
      <c r="D8678" s="56">
        <v>3.2792088555220651E-2</v>
      </c>
      <c r="E8678" s="224" t="s">
        <v>2</v>
      </c>
      <c r="F8678" s="515" t="s">
        <v>9884</v>
      </c>
      <c r="G8678" s="52">
        <v>45273.531172069801</v>
      </c>
      <c r="H8678" s="56">
        <v>0</v>
      </c>
      <c r="I8678" s="224" t="s">
        <v>2</v>
      </c>
    </row>
    <row r="8679" spans="1:9" x14ac:dyDescent="0.25">
      <c r="A8679" s="515">
        <v>2769</v>
      </c>
      <c r="B8679" s="515" t="s">
        <v>513</v>
      </c>
      <c r="C8679" s="52">
        <v>546078.38697713905</v>
      </c>
      <c r="D8679" s="56">
        <v>8.55495465367868E-2</v>
      </c>
      <c r="E8679" s="224" t="s">
        <v>2</v>
      </c>
      <c r="F8679" s="515" t="s">
        <v>9885</v>
      </c>
      <c r="G8679" s="52">
        <v>565341.661714038</v>
      </c>
      <c r="H8679" s="56">
        <v>0.22446531390836788</v>
      </c>
      <c r="I8679" s="224">
        <v>3500</v>
      </c>
    </row>
    <row r="8680" spans="1:9" x14ac:dyDescent="0.25">
      <c r="A8680" s="515">
        <v>6418</v>
      </c>
      <c r="B8680" s="515" t="s">
        <v>1172</v>
      </c>
      <c r="C8680" s="52">
        <v>274617.90240508399</v>
      </c>
      <c r="D8680" s="56">
        <v>9.0148685352558711E-2</v>
      </c>
      <c r="E8680" s="224" t="s">
        <v>2</v>
      </c>
      <c r="F8680" s="515" t="s">
        <v>9886</v>
      </c>
      <c r="G8680" s="52">
        <v>86828.573907615399</v>
      </c>
      <c r="H8680" s="56">
        <v>0.26369378427240908</v>
      </c>
      <c r="I8680" s="224" t="s">
        <v>2</v>
      </c>
    </row>
    <row r="8681" spans="1:9" x14ac:dyDescent="0.25">
      <c r="A8681" s="515">
        <v>71047</v>
      </c>
      <c r="B8681" s="515" t="s">
        <v>739</v>
      </c>
      <c r="C8681" s="52">
        <v>180513.24686966601</v>
      </c>
      <c r="D8681" s="56">
        <v>4.3549012491859315E-2</v>
      </c>
      <c r="E8681" s="224" t="s">
        <v>2</v>
      </c>
      <c r="F8681" s="515" t="s">
        <v>9887</v>
      </c>
      <c r="G8681" s="52">
        <v>205806.067791963</v>
      </c>
      <c r="H8681" s="56">
        <v>8.0503977227435186E-2</v>
      </c>
      <c r="I8681" s="224" t="s">
        <v>2</v>
      </c>
    </row>
    <row r="8682" spans="1:9" x14ac:dyDescent="0.25">
      <c r="A8682" s="515">
        <v>45885</v>
      </c>
      <c r="B8682" s="515" t="s">
        <v>480</v>
      </c>
      <c r="C8682" s="52">
        <v>159695.186367805</v>
      </c>
      <c r="D8682" s="56">
        <v>7.8268060785681923E-2</v>
      </c>
      <c r="E8682" s="224" t="s">
        <v>2</v>
      </c>
      <c r="F8682" s="515" t="s">
        <v>9888</v>
      </c>
      <c r="G8682" s="52">
        <v>369048.64358841802</v>
      </c>
      <c r="H8682" s="56">
        <v>9.7429089722301451E-2</v>
      </c>
      <c r="I8682" s="224" t="s">
        <v>2</v>
      </c>
    </row>
    <row r="8683" spans="1:9" x14ac:dyDescent="0.25">
      <c r="A8683" s="515">
        <v>97862</v>
      </c>
      <c r="B8683" s="515" t="s">
        <v>733</v>
      </c>
      <c r="C8683" s="52">
        <v>268171.82705188403</v>
      </c>
      <c r="D8683" s="56">
        <v>7.3966746167353825E-2</v>
      </c>
      <c r="E8683" s="224" t="s">
        <v>2</v>
      </c>
      <c r="F8683" s="515" t="s">
        <v>9889</v>
      </c>
      <c r="G8683" s="52">
        <v>215472.037899663</v>
      </c>
      <c r="H8683" s="56">
        <v>0.10645455326192019</v>
      </c>
      <c r="I8683" s="224" t="s">
        <v>2</v>
      </c>
    </row>
    <row r="8684" spans="1:9" x14ac:dyDescent="0.25">
      <c r="A8684" s="515">
        <v>17566</v>
      </c>
      <c r="B8684" s="515" t="s">
        <v>537</v>
      </c>
      <c r="C8684" s="52">
        <v>340927.53385857999</v>
      </c>
      <c r="D8684" s="56">
        <v>8.423938577024212E-2</v>
      </c>
      <c r="E8684" s="224" t="s">
        <v>2</v>
      </c>
      <c r="F8684" s="515" t="s">
        <v>9890</v>
      </c>
      <c r="G8684" s="52">
        <v>347773.23507373699</v>
      </c>
      <c r="H8684" s="56">
        <v>6.1700093612228606E-2</v>
      </c>
      <c r="I8684" s="224" t="s">
        <v>2</v>
      </c>
    </row>
    <row r="8685" spans="1:9" x14ac:dyDescent="0.25">
      <c r="A8685" s="515">
        <v>60176</v>
      </c>
      <c r="B8685" s="515" t="s">
        <v>394</v>
      </c>
      <c r="C8685" s="52">
        <v>255350.426559685</v>
      </c>
      <c r="D8685" s="56">
        <v>3.5285009832908207E-2</v>
      </c>
      <c r="E8685" s="224" t="s">
        <v>2</v>
      </c>
      <c r="F8685" s="515" t="s">
        <v>9891</v>
      </c>
      <c r="G8685" s="52">
        <v>235545.29929889401</v>
      </c>
      <c r="H8685" s="56">
        <v>0.13922514046990903</v>
      </c>
      <c r="I8685" s="224" t="s">
        <v>2</v>
      </c>
    </row>
    <row r="8686" spans="1:9" x14ac:dyDescent="0.25">
      <c r="A8686" s="515">
        <v>77836</v>
      </c>
      <c r="B8686" s="515" t="s">
        <v>346</v>
      </c>
      <c r="C8686" s="52">
        <v>248460.563275566</v>
      </c>
      <c r="D8686" s="56">
        <v>-3.9139702073204052E-2</v>
      </c>
      <c r="E8686" s="224" t="s">
        <v>2</v>
      </c>
      <c r="F8686" s="515" t="s">
        <v>9892</v>
      </c>
      <c r="G8686" s="52">
        <v>91400.913904517001</v>
      </c>
      <c r="H8686" s="56">
        <v>2.1809838417166012E-2</v>
      </c>
      <c r="I8686" s="224" t="s">
        <v>2</v>
      </c>
    </row>
    <row r="8687" spans="1:9" x14ac:dyDescent="0.25">
      <c r="A8687" s="515">
        <v>67357</v>
      </c>
      <c r="B8687" s="515" t="s">
        <v>656</v>
      </c>
      <c r="C8687" s="52">
        <v>66139.739189318905</v>
      </c>
      <c r="D8687" s="56">
        <v>0.11820614929474632</v>
      </c>
      <c r="E8687" s="224" t="s">
        <v>2</v>
      </c>
      <c r="F8687" s="515" t="s">
        <v>9893</v>
      </c>
      <c r="G8687" s="52">
        <v>138706.10544948399</v>
      </c>
      <c r="H8687" s="56">
        <v>7.6286637824492173E-2</v>
      </c>
      <c r="I8687" s="224" t="s">
        <v>2</v>
      </c>
    </row>
    <row r="8688" spans="1:9" x14ac:dyDescent="0.25">
      <c r="A8688" s="515">
        <v>20636</v>
      </c>
      <c r="B8688" s="515" t="s">
        <v>779</v>
      </c>
      <c r="C8688" s="52">
        <v>432219.24948565901</v>
      </c>
      <c r="D8688" s="56">
        <v>1.5851511149869442E-2</v>
      </c>
      <c r="E8688" s="224" t="s">
        <v>2</v>
      </c>
      <c r="F8688" s="515" t="s">
        <v>9894</v>
      </c>
      <c r="G8688" s="52">
        <v>73205.794706877394</v>
      </c>
      <c r="H8688" s="56">
        <v>6.5454644706629386E-2</v>
      </c>
      <c r="I8688" s="224" t="s">
        <v>2</v>
      </c>
    </row>
    <row r="8689" spans="1:9" x14ac:dyDescent="0.25">
      <c r="A8689" s="515">
        <v>17222</v>
      </c>
      <c r="B8689" s="515" t="s">
        <v>372</v>
      </c>
      <c r="C8689" s="52">
        <v>238272.509738869</v>
      </c>
      <c r="D8689" s="56">
        <v>6.226236849869287E-2</v>
      </c>
      <c r="E8689" s="224" t="s">
        <v>2</v>
      </c>
      <c r="F8689" s="515" t="s">
        <v>9895</v>
      </c>
      <c r="G8689" s="52">
        <v>887748.005305039</v>
      </c>
      <c r="H8689" s="56">
        <v>0</v>
      </c>
      <c r="I8689" s="224" t="s">
        <v>2</v>
      </c>
    </row>
    <row r="8690" spans="1:9" x14ac:dyDescent="0.25">
      <c r="A8690" s="515">
        <v>5468</v>
      </c>
      <c r="B8690" s="515" t="s">
        <v>441</v>
      </c>
      <c r="C8690" s="52">
        <v>360490.00030038803</v>
      </c>
      <c r="D8690" s="56">
        <v>6.1267911859183406E-2</v>
      </c>
      <c r="E8690" s="224" t="s">
        <v>2</v>
      </c>
      <c r="F8690" s="515" t="s">
        <v>9896</v>
      </c>
      <c r="G8690" s="52">
        <v>208936.82048303701</v>
      </c>
      <c r="H8690" s="56">
        <v>9.0008817280740089E-2</v>
      </c>
      <c r="I8690" s="224">
        <v>1263.5</v>
      </c>
    </row>
    <row r="8691" spans="1:9" x14ac:dyDescent="0.25">
      <c r="A8691" s="515">
        <v>97056</v>
      </c>
      <c r="B8691" s="515" t="s">
        <v>659</v>
      </c>
      <c r="C8691" s="52">
        <v>470856.730757404</v>
      </c>
      <c r="D8691" s="56">
        <v>2.772629269655873E-2</v>
      </c>
      <c r="E8691" s="224" t="s">
        <v>2</v>
      </c>
      <c r="F8691" s="515" t="s">
        <v>9897</v>
      </c>
      <c r="G8691" s="52">
        <v>281640.90122707898</v>
      </c>
      <c r="H8691" s="56">
        <v>4.2877605171365456E-2</v>
      </c>
      <c r="I8691" s="224" t="s">
        <v>2</v>
      </c>
    </row>
    <row r="8692" spans="1:9" x14ac:dyDescent="0.25">
      <c r="A8692" s="515">
        <v>15857</v>
      </c>
      <c r="B8692" s="515" t="s">
        <v>954</v>
      </c>
      <c r="C8692" s="52">
        <v>129048.750207358</v>
      </c>
      <c r="D8692" s="56">
        <v>4.9910062099966838E-2</v>
      </c>
      <c r="E8692" s="224" t="s">
        <v>2</v>
      </c>
      <c r="F8692" s="515" t="s">
        <v>9898</v>
      </c>
      <c r="G8692" s="52">
        <v>103926.08520936299</v>
      </c>
      <c r="H8692" s="56">
        <v>0.28454565682908745</v>
      </c>
      <c r="I8692" s="224" t="s">
        <v>2</v>
      </c>
    </row>
    <row r="8693" spans="1:9" x14ac:dyDescent="0.25">
      <c r="A8693" s="515">
        <v>18436</v>
      </c>
      <c r="C8693" s="52">
        <v>267078.103192262</v>
      </c>
      <c r="D8693" s="56">
        <v>7.7554782839648756E-2</v>
      </c>
      <c r="E8693" s="224" t="s">
        <v>2</v>
      </c>
      <c r="F8693" s="515" t="s">
        <v>9899</v>
      </c>
      <c r="G8693" s="52">
        <v>214840.35299455599</v>
      </c>
      <c r="H8693" s="56">
        <v>0.10031357842249419</v>
      </c>
      <c r="I8693" s="224" t="s">
        <v>2</v>
      </c>
    </row>
    <row r="8694" spans="1:9" x14ac:dyDescent="0.25">
      <c r="A8694" s="515">
        <v>60410</v>
      </c>
      <c r="B8694" s="515" t="s">
        <v>394</v>
      </c>
      <c r="C8694" s="52">
        <v>308980.29163826298</v>
      </c>
      <c r="D8694" s="56">
        <v>6.2436835338271365E-2</v>
      </c>
      <c r="E8694" s="224" t="s">
        <v>2</v>
      </c>
      <c r="F8694" s="515" t="s">
        <v>9900</v>
      </c>
      <c r="G8694" s="52">
        <v>140951.65400038299</v>
      </c>
      <c r="H8694" s="56">
        <v>5.7595629672640453E-2</v>
      </c>
      <c r="I8694" s="224" t="s">
        <v>2</v>
      </c>
    </row>
    <row r="8695" spans="1:9" x14ac:dyDescent="0.25">
      <c r="A8695" s="515">
        <v>16137</v>
      </c>
      <c r="B8695" s="515" t="s">
        <v>397</v>
      </c>
      <c r="C8695" s="52">
        <v>177305.92194028199</v>
      </c>
      <c r="D8695" s="56">
        <v>-2.4456299644817426E-2</v>
      </c>
      <c r="E8695" s="224" t="s">
        <v>2</v>
      </c>
      <c r="F8695" s="515" t="s">
        <v>9901</v>
      </c>
      <c r="G8695" s="52">
        <v>502327.01158364402</v>
      </c>
      <c r="H8695" s="56">
        <v>5.778500260595517E-2</v>
      </c>
      <c r="I8695" s="224" t="s">
        <v>2</v>
      </c>
    </row>
    <row r="8696" spans="1:9" x14ac:dyDescent="0.25">
      <c r="A8696" s="515">
        <v>72212</v>
      </c>
      <c r="B8696" s="515" t="s">
        <v>393</v>
      </c>
      <c r="C8696" s="52">
        <v>341735.72635337099</v>
      </c>
      <c r="D8696" s="56">
        <v>7.0016034119665421E-2</v>
      </c>
      <c r="E8696" s="224">
        <v>1391.6666666666599</v>
      </c>
      <c r="F8696" s="515" t="s">
        <v>9902</v>
      </c>
      <c r="G8696" s="52">
        <v>362079.83088158799</v>
      </c>
      <c r="H8696" s="56">
        <v>0.11529457268083343</v>
      </c>
      <c r="I8696" s="224" t="s">
        <v>2</v>
      </c>
    </row>
    <row r="8697" spans="1:9" x14ac:dyDescent="0.25">
      <c r="A8697" s="515">
        <v>28103</v>
      </c>
      <c r="B8697" s="515" t="s">
        <v>360</v>
      </c>
      <c r="C8697" s="52">
        <v>257528.88847599301</v>
      </c>
      <c r="D8697" s="56">
        <v>0.10361051849803475</v>
      </c>
      <c r="E8697" s="224" t="s">
        <v>2</v>
      </c>
      <c r="F8697" s="515" t="s">
        <v>9903</v>
      </c>
      <c r="G8697" s="52">
        <v>105325.411926841</v>
      </c>
      <c r="H8697" s="56">
        <v>0.11744161241690503</v>
      </c>
      <c r="I8697" s="224" t="s">
        <v>2</v>
      </c>
    </row>
    <row r="8698" spans="1:9" x14ac:dyDescent="0.25">
      <c r="A8698" s="515">
        <v>93730</v>
      </c>
      <c r="B8698" s="515" t="s">
        <v>541</v>
      </c>
      <c r="C8698" s="52">
        <v>613595.56173700595</v>
      </c>
      <c r="D8698" s="56">
        <v>3.795451643381146E-2</v>
      </c>
      <c r="E8698" s="224">
        <v>2596.6666666666601</v>
      </c>
      <c r="F8698" s="515" t="s">
        <v>9904</v>
      </c>
      <c r="G8698" s="52">
        <v>286784.45968220901</v>
      </c>
      <c r="H8698" s="56">
        <v>7.477538783630075E-2</v>
      </c>
      <c r="I8698" s="224" t="s">
        <v>2</v>
      </c>
    </row>
    <row r="8699" spans="1:9" x14ac:dyDescent="0.25">
      <c r="A8699" s="515">
        <v>36111</v>
      </c>
      <c r="B8699" s="515" t="s">
        <v>806</v>
      </c>
      <c r="C8699" s="52">
        <v>145412.10687240001</v>
      </c>
      <c r="D8699" s="56">
        <v>6.6289562504738914E-2</v>
      </c>
      <c r="E8699" s="224">
        <v>1088.1111111111099</v>
      </c>
      <c r="F8699" s="515" t="s">
        <v>9905</v>
      </c>
      <c r="G8699" s="52">
        <v>438849.18496664998</v>
      </c>
      <c r="H8699" s="56">
        <v>7.5631429037598313E-2</v>
      </c>
      <c r="I8699" s="224" t="s">
        <v>2</v>
      </c>
    </row>
    <row r="8700" spans="1:9" x14ac:dyDescent="0.25">
      <c r="A8700" s="515">
        <v>15209</v>
      </c>
      <c r="B8700" s="515" t="s">
        <v>297</v>
      </c>
      <c r="C8700" s="52">
        <v>214446.47316381201</v>
      </c>
      <c r="D8700" s="56">
        <v>7.411107245234265E-2</v>
      </c>
      <c r="E8700" s="224">
        <v>1025</v>
      </c>
      <c r="F8700" s="515" t="s">
        <v>9906</v>
      </c>
      <c r="G8700" s="52">
        <v>87878.975967039907</v>
      </c>
      <c r="H8700" s="56">
        <v>0.35392427566474916</v>
      </c>
      <c r="I8700" s="224" t="s">
        <v>2</v>
      </c>
    </row>
    <row r="8701" spans="1:9" x14ac:dyDescent="0.25">
      <c r="A8701" s="515">
        <v>33966</v>
      </c>
      <c r="B8701" s="515" t="s">
        <v>661</v>
      </c>
      <c r="C8701" s="52">
        <v>378822.17702739098</v>
      </c>
      <c r="D8701" s="56">
        <v>0.12674373734032224</v>
      </c>
      <c r="E8701" s="224">
        <v>2267.6952380952298</v>
      </c>
      <c r="F8701" s="515" t="s">
        <v>9907</v>
      </c>
      <c r="G8701" s="52">
        <v>252334.46791439899</v>
      </c>
      <c r="H8701" s="56">
        <v>0.10969352955717677</v>
      </c>
      <c r="I8701" s="224" t="s">
        <v>2</v>
      </c>
    </row>
    <row r="8702" spans="1:9" x14ac:dyDescent="0.25">
      <c r="A8702" s="515">
        <v>19540</v>
      </c>
      <c r="B8702" s="515" t="s">
        <v>569</v>
      </c>
      <c r="C8702" s="52">
        <v>311852.76734578499</v>
      </c>
      <c r="D8702" s="56">
        <v>0.11383017492739654</v>
      </c>
      <c r="E8702" s="224" t="s">
        <v>2</v>
      </c>
      <c r="F8702" s="515" t="s">
        <v>9908</v>
      </c>
      <c r="G8702" s="52">
        <v>112103.675392552</v>
      </c>
      <c r="H8702" s="56">
        <v>0.17350593283100674</v>
      </c>
      <c r="I8702" s="224" t="s">
        <v>2</v>
      </c>
    </row>
    <row r="8703" spans="1:9" x14ac:dyDescent="0.25">
      <c r="A8703" s="515">
        <v>6110</v>
      </c>
      <c r="B8703" s="515" t="s">
        <v>894</v>
      </c>
      <c r="C8703" s="52">
        <v>277892.069416354</v>
      </c>
      <c r="D8703" s="56">
        <v>0.12587771226054414</v>
      </c>
      <c r="E8703" s="224" t="s">
        <v>2</v>
      </c>
      <c r="F8703" s="515" t="s">
        <v>9909</v>
      </c>
      <c r="G8703" s="52">
        <v>117079.407069889</v>
      </c>
      <c r="H8703" s="56">
        <v>6.9693302445135219E-2</v>
      </c>
      <c r="I8703" s="224" t="s">
        <v>2</v>
      </c>
    </row>
    <row r="8704" spans="1:9" x14ac:dyDescent="0.25">
      <c r="A8704" s="515">
        <v>37721</v>
      </c>
      <c r="B8704" s="515" t="s">
        <v>907</v>
      </c>
      <c r="C8704" s="52">
        <v>270458.265817862</v>
      </c>
      <c r="D8704" s="56">
        <v>0.14381319386078309</v>
      </c>
      <c r="E8704" s="224" t="s">
        <v>2</v>
      </c>
      <c r="F8704" s="515" t="s">
        <v>9910</v>
      </c>
      <c r="G8704" s="52">
        <v>333933.13686882198</v>
      </c>
      <c r="H8704" s="56">
        <v>6.1035365490474502E-2</v>
      </c>
      <c r="I8704" s="224" t="s">
        <v>2</v>
      </c>
    </row>
    <row r="8705" spans="1:9" x14ac:dyDescent="0.25">
      <c r="A8705" s="515">
        <v>24055</v>
      </c>
      <c r="B8705" s="515" t="s">
        <v>1114</v>
      </c>
      <c r="C8705" s="52">
        <v>102033.80245677401</v>
      </c>
      <c r="D8705" s="56">
        <v>0.13044214157617343</v>
      </c>
      <c r="E8705" s="224" t="s">
        <v>2</v>
      </c>
      <c r="F8705" s="515" t="s">
        <v>9911</v>
      </c>
      <c r="G8705" s="52">
        <v>162580.72624637</v>
      </c>
      <c r="H8705" s="56">
        <v>7.7154868293301329E-2</v>
      </c>
      <c r="I8705" s="224" t="s">
        <v>2</v>
      </c>
    </row>
    <row r="8706" spans="1:9" x14ac:dyDescent="0.25">
      <c r="A8706" s="515">
        <v>56071</v>
      </c>
      <c r="B8706" s="515" t="s">
        <v>532</v>
      </c>
      <c r="C8706" s="52">
        <v>377722.95714362699</v>
      </c>
      <c r="D8706" s="56">
        <v>6.1585585666432387E-2</v>
      </c>
      <c r="E8706" s="224" t="s">
        <v>2</v>
      </c>
      <c r="F8706" s="515" t="s">
        <v>9912</v>
      </c>
      <c r="G8706" s="52">
        <v>172985.12904712401</v>
      </c>
      <c r="H8706" s="56">
        <v>8.868573676282758E-2</v>
      </c>
      <c r="I8706" s="224" t="s">
        <v>2</v>
      </c>
    </row>
    <row r="8707" spans="1:9" x14ac:dyDescent="0.25">
      <c r="A8707" s="515">
        <v>98580</v>
      </c>
      <c r="B8707" s="515" t="s">
        <v>384</v>
      </c>
      <c r="C8707" s="52">
        <v>557719.14233274094</v>
      </c>
      <c r="D8707" s="56">
        <v>9.1562509626629419E-3</v>
      </c>
      <c r="E8707" s="224" t="s">
        <v>2</v>
      </c>
      <c r="F8707" s="515" t="s">
        <v>9913</v>
      </c>
      <c r="G8707" s="52">
        <v>198403.20855847801</v>
      </c>
      <c r="H8707" s="56">
        <v>0.22327828983925185</v>
      </c>
      <c r="I8707" s="224" t="s">
        <v>2</v>
      </c>
    </row>
    <row r="8708" spans="1:9" x14ac:dyDescent="0.25">
      <c r="A8708" s="515">
        <v>95453</v>
      </c>
      <c r="B8708" s="515" t="s">
        <v>363</v>
      </c>
      <c r="C8708" s="52">
        <v>366268.53447982902</v>
      </c>
      <c r="D8708" s="56">
        <v>-1.5003797200349748E-2</v>
      </c>
      <c r="E8708" s="224" t="s">
        <v>2</v>
      </c>
      <c r="F8708" s="515" t="s">
        <v>9914</v>
      </c>
      <c r="G8708" s="52">
        <v>150703.50105700199</v>
      </c>
      <c r="H8708" s="56">
        <v>3.4668185039661736E-2</v>
      </c>
      <c r="I8708" s="224" t="s">
        <v>2</v>
      </c>
    </row>
    <row r="8709" spans="1:9" x14ac:dyDescent="0.25">
      <c r="A8709" s="515">
        <v>22172</v>
      </c>
      <c r="B8709" s="515" t="s">
        <v>321</v>
      </c>
      <c r="C8709" s="52">
        <v>473181.28035605297</v>
      </c>
      <c r="D8709" s="56">
        <v>2.5040059446091192E-2</v>
      </c>
      <c r="E8709" s="224" t="s">
        <v>2</v>
      </c>
      <c r="F8709" s="515" t="s">
        <v>9915</v>
      </c>
      <c r="G8709" s="52">
        <v>210834.22938229999</v>
      </c>
      <c r="H8709" s="56">
        <v>7.2868739951705286E-2</v>
      </c>
      <c r="I8709" s="224" t="s">
        <v>2</v>
      </c>
    </row>
    <row r="8710" spans="1:9" x14ac:dyDescent="0.25">
      <c r="A8710" s="515">
        <v>1463</v>
      </c>
      <c r="B8710" s="515" t="s">
        <v>534</v>
      </c>
      <c r="C8710" s="52">
        <v>486218.34190634999</v>
      </c>
      <c r="D8710" s="56">
        <v>6.068062074987756E-2</v>
      </c>
      <c r="E8710" s="224" t="s">
        <v>2</v>
      </c>
      <c r="F8710" s="515" t="s">
        <v>9916</v>
      </c>
      <c r="G8710" s="52">
        <v>484837.66777594801</v>
      </c>
      <c r="H8710" s="56">
        <v>1.7752561255773441E-2</v>
      </c>
      <c r="I8710" s="224" t="s">
        <v>2</v>
      </c>
    </row>
    <row r="8711" spans="1:9" x14ac:dyDescent="0.25">
      <c r="A8711" s="515">
        <v>7513</v>
      </c>
      <c r="B8711" s="515" t="s">
        <v>324</v>
      </c>
      <c r="C8711" s="52">
        <v>453969.88415299403</v>
      </c>
      <c r="D8711" s="56">
        <v>8.0780665188260964E-2</v>
      </c>
      <c r="E8711" s="224" t="s">
        <v>2</v>
      </c>
      <c r="F8711" s="515" t="s">
        <v>9917</v>
      </c>
      <c r="G8711" s="52">
        <v>287577.736819232</v>
      </c>
      <c r="H8711" s="56">
        <v>9.3925258944780265E-2</v>
      </c>
      <c r="I8711" s="224" t="s">
        <v>2</v>
      </c>
    </row>
    <row r="8712" spans="1:9" x14ac:dyDescent="0.25">
      <c r="A8712" s="515">
        <v>27040</v>
      </c>
      <c r="B8712" s="515" t="s">
        <v>735</v>
      </c>
      <c r="C8712" s="52">
        <v>294162.59078929498</v>
      </c>
      <c r="D8712" s="56">
        <v>0.10833906739921143</v>
      </c>
      <c r="E8712" s="224" t="s">
        <v>2</v>
      </c>
      <c r="F8712" s="515" t="s">
        <v>9918</v>
      </c>
      <c r="G8712" s="52">
        <v>443359.50390541699</v>
      </c>
      <c r="H8712" s="56">
        <v>-3.3543191657218058E-2</v>
      </c>
      <c r="I8712" s="224" t="s">
        <v>2</v>
      </c>
    </row>
    <row r="8713" spans="1:9" x14ac:dyDescent="0.25">
      <c r="A8713" s="515">
        <v>30513</v>
      </c>
      <c r="C8713" s="52">
        <v>462107.32664164098</v>
      </c>
      <c r="D8713" s="56">
        <v>4.5769646345454044E-2</v>
      </c>
      <c r="E8713" s="224" t="s">
        <v>2</v>
      </c>
      <c r="F8713" s="515" t="s">
        <v>9919</v>
      </c>
      <c r="G8713" s="52">
        <v>60639.919028082899</v>
      </c>
      <c r="H8713" s="56">
        <v>7.8666327081833909E-2</v>
      </c>
      <c r="I8713" s="224" t="s">
        <v>2</v>
      </c>
    </row>
    <row r="8714" spans="1:9" x14ac:dyDescent="0.25">
      <c r="A8714" s="515">
        <v>51401</v>
      </c>
      <c r="B8714" s="515" t="s">
        <v>436</v>
      </c>
      <c r="C8714" s="52">
        <v>190713.90360721</v>
      </c>
      <c r="D8714" s="56">
        <v>8.5543592196456561E-2</v>
      </c>
      <c r="E8714" s="224" t="s">
        <v>2</v>
      </c>
      <c r="F8714" s="515" t="s">
        <v>9920</v>
      </c>
      <c r="G8714" s="52">
        <v>214713.44033534799</v>
      </c>
      <c r="H8714" s="56">
        <v>9.7844682846428374E-2</v>
      </c>
      <c r="I8714" s="224" t="s">
        <v>2</v>
      </c>
    </row>
    <row r="8715" spans="1:9" x14ac:dyDescent="0.25">
      <c r="A8715" s="515">
        <v>95605</v>
      </c>
      <c r="B8715" s="515" t="s">
        <v>355</v>
      </c>
      <c r="C8715" s="52">
        <v>384127.18161566602</v>
      </c>
      <c r="D8715" s="56">
        <v>3.9784326824425065E-2</v>
      </c>
      <c r="E8715" s="224">
        <v>2130.9444444444398</v>
      </c>
      <c r="F8715" s="515" t="s">
        <v>9921</v>
      </c>
      <c r="G8715" s="52">
        <v>450208.90906153701</v>
      </c>
      <c r="H8715" s="56">
        <v>4.4189631249568109E-2</v>
      </c>
      <c r="I8715" s="224" t="s">
        <v>2</v>
      </c>
    </row>
    <row r="8716" spans="1:9" x14ac:dyDescent="0.25">
      <c r="A8716" s="515">
        <v>8502</v>
      </c>
      <c r="B8716" s="515" t="s">
        <v>324</v>
      </c>
      <c r="C8716" s="52">
        <v>807347.95064652595</v>
      </c>
      <c r="D8716" s="56">
        <v>8.6081423319807268E-2</v>
      </c>
      <c r="E8716" s="224" t="s">
        <v>2</v>
      </c>
      <c r="F8716" s="515" t="s">
        <v>9922</v>
      </c>
      <c r="G8716" s="52">
        <v>356171.327791458</v>
      </c>
      <c r="H8716" s="56">
        <v>5.6017364702653255E-2</v>
      </c>
      <c r="I8716" s="224" t="s">
        <v>2</v>
      </c>
    </row>
    <row r="8717" spans="1:9" x14ac:dyDescent="0.25">
      <c r="A8717" s="515">
        <v>90402</v>
      </c>
      <c r="B8717" s="515" t="s">
        <v>375</v>
      </c>
      <c r="C8717" s="52">
        <v>4177465.05866411</v>
      </c>
      <c r="D8717" s="56">
        <v>4.0385938389235723E-2</v>
      </c>
      <c r="E8717" s="224">
        <v>10060.1388888888</v>
      </c>
      <c r="F8717" s="515" t="s">
        <v>9923</v>
      </c>
      <c r="G8717" s="52">
        <v>227263.33185021899</v>
      </c>
      <c r="H8717" s="56">
        <v>0.11658612039904567</v>
      </c>
      <c r="I8717" s="224" t="s">
        <v>2</v>
      </c>
    </row>
    <row r="8718" spans="1:9" x14ac:dyDescent="0.25">
      <c r="A8718" s="515">
        <v>20194</v>
      </c>
      <c r="B8718" s="515" t="s">
        <v>321</v>
      </c>
      <c r="C8718" s="52">
        <v>682613.45869358396</v>
      </c>
      <c r="D8718" s="56">
        <v>2.2427907794515829E-2</v>
      </c>
      <c r="E8718" s="224">
        <v>2066.5833333333298</v>
      </c>
      <c r="F8718" s="515" t="s">
        <v>9924</v>
      </c>
      <c r="G8718" s="52">
        <v>167583.72336717701</v>
      </c>
      <c r="H8718" s="56">
        <v>4.2506133613048572E-2</v>
      </c>
      <c r="I8718" s="224" t="s">
        <v>2</v>
      </c>
    </row>
    <row r="8719" spans="1:9" x14ac:dyDescent="0.25">
      <c r="A8719" s="515">
        <v>78266</v>
      </c>
      <c r="B8719" s="515" t="s">
        <v>717</v>
      </c>
      <c r="C8719" s="52">
        <v>620253.20042819704</v>
      </c>
      <c r="D8719" s="56">
        <v>6.7232209080947833E-2</v>
      </c>
      <c r="E8719" s="224" t="s">
        <v>2</v>
      </c>
      <c r="F8719" s="515" t="s">
        <v>9925</v>
      </c>
      <c r="G8719" s="52">
        <v>95336.661798791305</v>
      </c>
      <c r="H8719" s="56">
        <v>4.5837334273848042E-2</v>
      </c>
      <c r="I8719" s="224" t="s">
        <v>2</v>
      </c>
    </row>
    <row r="8720" spans="1:9" x14ac:dyDescent="0.25">
      <c r="A8720" s="515">
        <v>20841</v>
      </c>
      <c r="B8720" s="515" t="s">
        <v>321</v>
      </c>
      <c r="C8720" s="52">
        <v>758482.60052772705</v>
      </c>
      <c r="D8720" s="56">
        <v>3.2180363819551049E-2</v>
      </c>
      <c r="E8720" s="224" t="s">
        <v>2</v>
      </c>
      <c r="F8720" s="515" t="s">
        <v>9926</v>
      </c>
      <c r="G8720" s="52">
        <v>322589.35156232299</v>
      </c>
      <c r="H8720" s="56">
        <v>2.6117087055411121E-2</v>
      </c>
      <c r="I8720" s="224" t="s">
        <v>2</v>
      </c>
    </row>
    <row r="8721" spans="1:9" x14ac:dyDescent="0.25">
      <c r="A8721" s="515">
        <v>19060</v>
      </c>
      <c r="B8721" s="515" t="s">
        <v>294</v>
      </c>
      <c r="C8721" s="52">
        <v>589403.17241030803</v>
      </c>
      <c r="D8721" s="56">
        <v>8.2731883922138261E-2</v>
      </c>
      <c r="E8721" s="224" t="s">
        <v>2</v>
      </c>
      <c r="F8721" s="515" t="s">
        <v>9927</v>
      </c>
      <c r="G8721" s="52">
        <v>273567.37875105499</v>
      </c>
      <c r="H8721" s="56">
        <v>6.7476731051798425E-2</v>
      </c>
      <c r="I8721" s="224" t="s">
        <v>2</v>
      </c>
    </row>
    <row r="8722" spans="1:9" x14ac:dyDescent="0.25">
      <c r="A8722" s="515">
        <v>32693</v>
      </c>
      <c r="B8722" s="515" t="s">
        <v>577</v>
      </c>
      <c r="C8722" s="52">
        <v>245522.34464485801</v>
      </c>
      <c r="D8722" s="56">
        <v>0.12425000420832215</v>
      </c>
      <c r="E8722" s="224" t="s">
        <v>2</v>
      </c>
      <c r="F8722" s="515" t="s">
        <v>9928</v>
      </c>
      <c r="G8722" s="52">
        <v>363669.69418891898</v>
      </c>
      <c r="H8722" s="56">
        <v>0.14161475209141136</v>
      </c>
      <c r="I8722" s="224" t="s">
        <v>2</v>
      </c>
    </row>
    <row r="8723" spans="1:9" x14ac:dyDescent="0.25">
      <c r="A8723" s="515">
        <v>75570</v>
      </c>
      <c r="B8723" s="515" t="s">
        <v>390</v>
      </c>
      <c r="C8723" s="52">
        <v>134999.463838122</v>
      </c>
      <c r="D8723" s="56">
        <v>4.4065345142207231E-2</v>
      </c>
      <c r="E8723" s="224" t="s">
        <v>2</v>
      </c>
      <c r="F8723" s="515" t="s">
        <v>9929</v>
      </c>
      <c r="G8723" s="52">
        <v>315963.347526906</v>
      </c>
      <c r="H8723" s="56">
        <v>7.1976501431755088E-2</v>
      </c>
      <c r="I8723" s="224" t="s">
        <v>2</v>
      </c>
    </row>
    <row r="8724" spans="1:9" x14ac:dyDescent="0.25">
      <c r="A8724" s="515">
        <v>60548</v>
      </c>
      <c r="B8724" s="515" t="s">
        <v>394</v>
      </c>
      <c r="C8724" s="52">
        <v>253953.220993795</v>
      </c>
      <c r="D8724" s="56">
        <v>5.1685369205160321E-2</v>
      </c>
      <c r="E8724" s="224" t="s">
        <v>2</v>
      </c>
      <c r="F8724" s="515" t="s">
        <v>9930</v>
      </c>
      <c r="G8724" s="52">
        <v>103622.26314934</v>
      </c>
      <c r="H8724" s="56">
        <v>0.1554634865136455</v>
      </c>
      <c r="I8724" s="224">
        <v>1295</v>
      </c>
    </row>
    <row r="8725" spans="1:9" x14ac:dyDescent="0.25">
      <c r="A8725" s="515">
        <v>7604</v>
      </c>
      <c r="B8725" s="515" t="s">
        <v>324</v>
      </c>
      <c r="C8725" s="52">
        <v>552648.049470442</v>
      </c>
      <c r="D8725" s="56">
        <v>3.0006479420570623E-2</v>
      </c>
      <c r="E8725" s="224" t="s">
        <v>2</v>
      </c>
      <c r="F8725" s="515" t="s">
        <v>9931</v>
      </c>
      <c r="G8725" s="52">
        <v>214733.792427529</v>
      </c>
      <c r="H8725" s="56">
        <v>7.7432941775378086E-2</v>
      </c>
      <c r="I8725" s="224" t="s">
        <v>2</v>
      </c>
    </row>
    <row r="8726" spans="1:9" x14ac:dyDescent="0.25">
      <c r="A8726" s="515">
        <v>59047</v>
      </c>
      <c r="C8726" s="52">
        <v>501519.333469762</v>
      </c>
      <c r="D8726" s="56">
        <v>7.2727632201876918E-2</v>
      </c>
      <c r="E8726" s="224" t="s">
        <v>2</v>
      </c>
      <c r="F8726" s="515" t="s">
        <v>9932</v>
      </c>
      <c r="G8726" s="52">
        <v>451368.451490584</v>
      </c>
      <c r="H8726" s="56">
        <v>6.3442080269142855E-3</v>
      </c>
      <c r="I8726" s="224" t="s">
        <v>2</v>
      </c>
    </row>
    <row r="8727" spans="1:9" x14ac:dyDescent="0.25">
      <c r="A8727" s="515">
        <v>73111</v>
      </c>
      <c r="B8727" s="515" t="s">
        <v>385</v>
      </c>
      <c r="C8727" s="52">
        <v>91819.661282803499</v>
      </c>
      <c r="D8727" s="56">
        <v>0.22806798045060431</v>
      </c>
      <c r="E8727" s="224">
        <v>942.22222222222194</v>
      </c>
      <c r="F8727" s="515" t="s">
        <v>9933</v>
      </c>
      <c r="G8727" s="52">
        <v>169585.415395199</v>
      </c>
      <c r="H8727" s="56">
        <v>0.14197766289477259</v>
      </c>
      <c r="I8727" s="224" t="s">
        <v>2</v>
      </c>
    </row>
    <row r="8728" spans="1:9" x14ac:dyDescent="0.25">
      <c r="A8728" s="515">
        <v>28753</v>
      </c>
      <c r="B8728" s="515" t="s">
        <v>668</v>
      </c>
      <c r="C8728" s="52">
        <v>318043.10357051803</v>
      </c>
      <c r="D8728" s="56">
        <v>0.12021106274044061</v>
      </c>
      <c r="E8728" s="224" t="s">
        <v>2</v>
      </c>
      <c r="F8728" s="515" t="s">
        <v>9934</v>
      </c>
      <c r="G8728" s="52">
        <v>140080.43241945299</v>
      </c>
      <c r="H8728" s="56">
        <v>-6.6183912233467701E-2</v>
      </c>
      <c r="I8728" s="224" t="s">
        <v>2</v>
      </c>
    </row>
    <row r="8729" spans="1:9" x14ac:dyDescent="0.25">
      <c r="A8729" s="515">
        <v>62918</v>
      </c>
      <c r="B8729" s="515" t="s">
        <v>471</v>
      </c>
      <c r="C8729" s="52">
        <v>158065.794148955</v>
      </c>
      <c r="D8729" s="56">
        <v>3.5950379554030236E-2</v>
      </c>
      <c r="E8729" s="224" t="s">
        <v>2</v>
      </c>
      <c r="F8729" s="515" t="s">
        <v>9935</v>
      </c>
      <c r="G8729" s="52">
        <v>291474.38416417001</v>
      </c>
      <c r="H8729" s="56">
        <v>0.1172214237458214</v>
      </c>
      <c r="I8729" s="224" t="s">
        <v>2</v>
      </c>
    </row>
    <row r="8730" spans="1:9" x14ac:dyDescent="0.25">
      <c r="A8730" s="515">
        <v>12701</v>
      </c>
      <c r="C8730" s="52">
        <v>205827.39820521401</v>
      </c>
      <c r="D8730" s="56">
        <v>0.16566290934797631</v>
      </c>
      <c r="E8730" s="224" t="s">
        <v>2</v>
      </c>
      <c r="F8730" s="515" t="s">
        <v>9936</v>
      </c>
      <c r="G8730" s="52">
        <v>402461.86411072302</v>
      </c>
      <c r="H8730" s="56">
        <v>-1.9993399596525699E-2</v>
      </c>
      <c r="I8730" s="224" t="s">
        <v>2</v>
      </c>
    </row>
    <row r="8731" spans="1:9" x14ac:dyDescent="0.25">
      <c r="A8731" s="515">
        <v>53558</v>
      </c>
      <c r="B8731" s="515" t="s">
        <v>727</v>
      </c>
      <c r="C8731" s="52">
        <v>396592.372802386</v>
      </c>
      <c r="D8731" s="56">
        <v>4.5865107964139437E-2</v>
      </c>
      <c r="E8731" s="224">
        <v>1230</v>
      </c>
      <c r="F8731" s="515" t="s">
        <v>9937</v>
      </c>
      <c r="G8731" s="52">
        <v>178115.91272558999</v>
      </c>
      <c r="H8731" s="56">
        <v>2.7465666488560715E-3</v>
      </c>
      <c r="I8731" s="224" t="s">
        <v>2</v>
      </c>
    </row>
    <row r="8732" spans="1:9" x14ac:dyDescent="0.25">
      <c r="A8732" s="515">
        <v>36703</v>
      </c>
      <c r="B8732" s="515" t="s">
        <v>483</v>
      </c>
      <c r="C8732" s="52">
        <v>39560.4003665782</v>
      </c>
      <c r="D8732" s="56">
        <v>1.1875681772203099E-2</v>
      </c>
      <c r="E8732" s="224" t="s">
        <v>2</v>
      </c>
      <c r="F8732" s="515" t="s">
        <v>9938</v>
      </c>
      <c r="G8732" s="52">
        <v>165432.63729396899</v>
      </c>
      <c r="H8732" s="56">
        <v>1.531314564612272E-2</v>
      </c>
      <c r="I8732" s="224" t="s">
        <v>2</v>
      </c>
    </row>
    <row r="8733" spans="1:9" x14ac:dyDescent="0.25">
      <c r="A8733" s="515">
        <v>79556</v>
      </c>
      <c r="B8733" s="515" t="s">
        <v>765</v>
      </c>
      <c r="C8733" s="52">
        <v>84693.397528107598</v>
      </c>
      <c r="D8733" s="56">
        <v>1.0124805971938178E-2</v>
      </c>
      <c r="E8733" s="224" t="s">
        <v>2</v>
      </c>
      <c r="F8733" s="515" t="s">
        <v>9939</v>
      </c>
      <c r="G8733" s="52">
        <v>258274.04947970901</v>
      </c>
      <c r="H8733" s="56">
        <v>5.7360952711458003E-2</v>
      </c>
      <c r="I8733" s="224" t="s">
        <v>2</v>
      </c>
    </row>
    <row r="8734" spans="1:9" x14ac:dyDescent="0.25">
      <c r="A8734" s="515">
        <v>87004</v>
      </c>
      <c r="B8734" s="515" t="s">
        <v>406</v>
      </c>
      <c r="C8734" s="52">
        <v>279627.820027493</v>
      </c>
      <c r="D8734" s="56">
        <v>6.8415773452245018E-2</v>
      </c>
      <c r="E8734" s="224">
        <v>1450</v>
      </c>
      <c r="F8734" s="515" t="s">
        <v>9940</v>
      </c>
      <c r="G8734" s="52">
        <v>112344.433796061</v>
      </c>
      <c r="H8734" s="56">
        <v>5.2470954632624973E-2</v>
      </c>
      <c r="I8734" s="224" t="s">
        <v>2</v>
      </c>
    </row>
    <row r="8735" spans="1:9" x14ac:dyDescent="0.25">
      <c r="A8735" s="515">
        <v>73045</v>
      </c>
      <c r="B8735" s="515" t="s">
        <v>385</v>
      </c>
      <c r="C8735" s="52">
        <v>215584.54729185099</v>
      </c>
      <c r="D8735" s="56">
        <v>0.11751657862981917</v>
      </c>
      <c r="E8735" s="224" t="s">
        <v>2</v>
      </c>
      <c r="F8735" s="515" t="s">
        <v>9941</v>
      </c>
      <c r="G8735" s="52">
        <v>284573.79096288601</v>
      </c>
      <c r="H8735" s="56">
        <v>7.0674281820883741E-2</v>
      </c>
      <c r="I8735" s="224" t="s">
        <v>2</v>
      </c>
    </row>
    <row r="8736" spans="1:9" x14ac:dyDescent="0.25">
      <c r="A8736" s="515">
        <v>78163</v>
      </c>
      <c r="B8736" s="515" t="s">
        <v>717</v>
      </c>
      <c r="C8736" s="52">
        <v>479888.49294271099</v>
      </c>
      <c r="D8736" s="56">
        <v>7.0738063066384735E-2</v>
      </c>
      <c r="E8736" s="224" t="s">
        <v>2</v>
      </c>
      <c r="F8736" s="515" t="s">
        <v>9942</v>
      </c>
      <c r="G8736" s="52">
        <v>158279.59185756301</v>
      </c>
      <c r="H8736" s="56">
        <v>2.3404847225670922E-2</v>
      </c>
      <c r="I8736" s="224" t="s">
        <v>2</v>
      </c>
    </row>
    <row r="8737" spans="1:9" x14ac:dyDescent="0.25">
      <c r="A8737" s="515">
        <v>17847</v>
      </c>
      <c r="B8737" s="515" t="s">
        <v>939</v>
      </c>
      <c r="C8737" s="52">
        <v>178797.05678465299</v>
      </c>
      <c r="D8737" s="56">
        <v>2.9286876261108954E-2</v>
      </c>
      <c r="E8737" s="224" t="s">
        <v>2</v>
      </c>
      <c r="F8737" s="515" t="s">
        <v>9943</v>
      </c>
      <c r="G8737" s="52">
        <v>209665.07970984199</v>
      </c>
      <c r="H8737" s="56">
        <v>7.92726475188648E-2</v>
      </c>
      <c r="I8737" s="224" t="s">
        <v>2</v>
      </c>
    </row>
    <row r="8738" spans="1:9" x14ac:dyDescent="0.25">
      <c r="A8738" s="515">
        <v>95948</v>
      </c>
      <c r="B8738" s="515" t="s">
        <v>580</v>
      </c>
      <c r="C8738" s="52">
        <v>333131.195009608</v>
      </c>
      <c r="D8738" s="56">
        <v>3.5544067950634417E-2</v>
      </c>
      <c r="E8738" s="224" t="s">
        <v>2</v>
      </c>
      <c r="F8738" s="515" t="s">
        <v>9944</v>
      </c>
      <c r="G8738" s="52">
        <v>191595.942941883</v>
      </c>
      <c r="H8738" s="56">
        <v>7.1150429529687545E-2</v>
      </c>
      <c r="I8738" s="224" t="s">
        <v>2</v>
      </c>
    </row>
    <row r="8739" spans="1:9" x14ac:dyDescent="0.25">
      <c r="A8739" s="515">
        <v>40336</v>
      </c>
      <c r="B8739" s="515" t="s">
        <v>1129</v>
      </c>
      <c r="C8739" s="52">
        <v>95723.289212094707</v>
      </c>
      <c r="D8739" s="56">
        <v>0.1935369360080085</v>
      </c>
      <c r="E8739" s="224" t="s">
        <v>2</v>
      </c>
      <c r="F8739" s="515" t="s">
        <v>9945</v>
      </c>
      <c r="G8739" s="52">
        <v>105297.199358789</v>
      </c>
      <c r="H8739" s="56">
        <v>0.34754100818575251</v>
      </c>
      <c r="I8739" s="224" t="s">
        <v>2</v>
      </c>
    </row>
    <row r="8740" spans="1:9" x14ac:dyDescent="0.25">
      <c r="A8740" s="515">
        <v>39090</v>
      </c>
      <c r="C8740" s="52">
        <v>105420.570382513</v>
      </c>
      <c r="D8740" s="56">
        <v>2.4790475403850952E-2</v>
      </c>
      <c r="E8740" s="224" t="s">
        <v>2</v>
      </c>
      <c r="F8740" s="515" t="s">
        <v>9946</v>
      </c>
      <c r="G8740" s="52">
        <v>130362.823256975</v>
      </c>
      <c r="H8740" s="56">
        <v>0.13125985385562811</v>
      </c>
      <c r="I8740" s="224" t="s">
        <v>2</v>
      </c>
    </row>
    <row r="8741" spans="1:9" x14ac:dyDescent="0.25">
      <c r="A8741" s="515">
        <v>38572</v>
      </c>
      <c r="B8741" s="515" t="s">
        <v>1025</v>
      </c>
      <c r="C8741" s="52">
        <v>237305.89829845401</v>
      </c>
      <c r="D8741" s="56">
        <v>8.4679824305271365E-2</v>
      </c>
      <c r="E8741" s="224" t="s">
        <v>2</v>
      </c>
      <c r="F8741" s="515" t="s">
        <v>9947</v>
      </c>
      <c r="G8741" s="52">
        <v>162374.05054551401</v>
      </c>
      <c r="H8741" s="56">
        <v>3.9445252337732196E-2</v>
      </c>
      <c r="I8741" s="224" t="s">
        <v>2</v>
      </c>
    </row>
    <row r="8742" spans="1:9" x14ac:dyDescent="0.25">
      <c r="A8742" s="515">
        <v>32222</v>
      </c>
      <c r="B8742" s="515" t="s">
        <v>1158</v>
      </c>
      <c r="C8742" s="52">
        <v>338176.44875235402</v>
      </c>
      <c r="D8742" s="56">
        <v>0.11026479910220101</v>
      </c>
      <c r="E8742" s="224">
        <v>1868.2031746031701</v>
      </c>
      <c r="F8742" s="515" t="s">
        <v>9948</v>
      </c>
      <c r="G8742" s="52">
        <v>229444.05365392199</v>
      </c>
      <c r="H8742" s="56">
        <v>4.8420736037817033E-2</v>
      </c>
      <c r="I8742" s="224" t="s">
        <v>2</v>
      </c>
    </row>
    <row r="8743" spans="1:9" x14ac:dyDescent="0.25">
      <c r="A8743" s="515">
        <v>78016</v>
      </c>
      <c r="B8743" s="515" t="s">
        <v>717</v>
      </c>
      <c r="C8743" s="52">
        <v>229442.593282972</v>
      </c>
      <c r="D8743" s="56">
        <v>1.7195137503260013E-2</v>
      </c>
      <c r="E8743" s="224" t="s">
        <v>2</v>
      </c>
      <c r="F8743" s="515" t="s">
        <v>9949</v>
      </c>
      <c r="G8743" s="52">
        <v>216038.93998295401</v>
      </c>
      <c r="H8743" s="56">
        <v>0.1074527074921072</v>
      </c>
      <c r="I8743" s="224" t="s">
        <v>2</v>
      </c>
    </row>
    <row r="8744" spans="1:9" x14ac:dyDescent="0.25">
      <c r="A8744" s="515">
        <v>17350</v>
      </c>
      <c r="B8744" s="515" t="s">
        <v>457</v>
      </c>
      <c r="C8744" s="52">
        <v>254834.824388999</v>
      </c>
      <c r="D8744" s="56">
        <v>7.536660406327772E-2</v>
      </c>
      <c r="E8744" s="224" t="s">
        <v>2</v>
      </c>
      <c r="F8744" s="515" t="s">
        <v>9950</v>
      </c>
      <c r="G8744" s="52">
        <v>429160.60812360101</v>
      </c>
      <c r="H8744" s="56">
        <v>1.9797550579994105E-3</v>
      </c>
      <c r="I8744" s="224" t="s">
        <v>2</v>
      </c>
    </row>
    <row r="8745" spans="1:9" x14ac:dyDescent="0.25">
      <c r="A8745" s="515">
        <v>77372</v>
      </c>
      <c r="B8745" s="515" t="s">
        <v>314</v>
      </c>
      <c r="C8745" s="52">
        <v>234356.99787716701</v>
      </c>
      <c r="D8745" s="56">
        <v>6.8554002510997372E-2</v>
      </c>
      <c r="E8745" s="224" t="s">
        <v>2</v>
      </c>
      <c r="F8745" s="515" t="s">
        <v>9951</v>
      </c>
      <c r="G8745" s="52">
        <v>224575.228537216</v>
      </c>
      <c r="H8745" s="56">
        <v>7.8226046185066081E-2</v>
      </c>
      <c r="I8745" s="224" t="s">
        <v>2</v>
      </c>
    </row>
    <row r="8746" spans="1:9" x14ac:dyDescent="0.25">
      <c r="A8746" s="515">
        <v>28202</v>
      </c>
      <c r="B8746" s="515" t="s">
        <v>360</v>
      </c>
      <c r="C8746" s="52">
        <v>410100.263561306</v>
      </c>
      <c r="D8746" s="56">
        <v>1.9744277383402387E-2</v>
      </c>
      <c r="E8746" s="224">
        <v>1930.13292847503</v>
      </c>
      <c r="F8746" s="515" t="s">
        <v>9952</v>
      </c>
      <c r="G8746" s="52">
        <v>176985.250817319</v>
      </c>
      <c r="H8746" s="56">
        <v>4.893588830892627E-2</v>
      </c>
      <c r="I8746" s="224" t="s">
        <v>2</v>
      </c>
    </row>
    <row r="8747" spans="1:9" x14ac:dyDescent="0.25">
      <c r="A8747" s="515">
        <v>60501</v>
      </c>
      <c r="B8747" s="515" t="s">
        <v>394</v>
      </c>
      <c r="C8747" s="52">
        <v>224342.667651166</v>
      </c>
      <c r="D8747" s="56">
        <v>5.8167819659022457E-2</v>
      </c>
      <c r="E8747" s="224" t="s">
        <v>2</v>
      </c>
      <c r="F8747" s="515" t="s">
        <v>9953</v>
      </c>
      <c r="G8747" s="52">
        <v>155541.09293182599</v>
      </c>
      <c r="H8747" s="56">
        <v>0.11005730399478411</v>
      </c>
      <c r="I8747" s="224" t="s">
        <v>2</v>
      </c>
    </row>
    <row r="8748" spans="1:9" x14ac:dyDescent="0.25">
      <c r="A8748" s="515">
        <v>81505</v>
      </c>
      <c r="B8748" s="515" t="s">
        <v>619</v>
      </c>
      <c r="C8748" s="52">
        <v>434866.86732155399</v>
      </c>
      <c r="D8748" s="56">
        <v>3.9919487341381871E-2</v>
      </c>
      <c r="E8748" s="224" t="s">
        <v>2</v>
      </c>
      <c r="F8748" s="515" t="s">
        <v>9954</v>
      </c>
      <c r="G8748" s="52">
        <v>301715.47683162201</v>
      </c>
      <c r="H8748" s="56">
        <v>1.5309789657272189E-2</v>
      </c>
      <c r="I8748" s="224" t="s">
        <v>2</v>
      </c>
    </row>
    <row r="8749" spans="1:9" x14ac:dyDescent="0.25">
      <c r="A8749" s="515">
        <v>76054</v>
      </c>
      <c r="B8749" s="515" t="s">
        <v>458</v>
      </c>
      <c r="C8749" s="52">
        <v>396832.21339659498</v>
      </c>
      <c r="D8749" s="56">
        <v>6.6169107027684013E-2</v>
      </c>
      <c r="E8749" s="224">
        <v>2450</v>
      </c>
      <c r="F8749" s="515" t="s">
        <v>9955</v>
      </c>
      <c r="G8749" s="52">
        <v>704070.77707023895</v>
      </c>
      <c r="H8749" s="56">
        <v>5.2153560233419764E-2</v>
      </c>
      <c r="I8749" s="224" t="s">
        <v>2</v>
      </c>
    </row>
    <row r="8750" spans="1:9" x14ac:dyDescent="0.25">
      <c r="A8750" s="515">
        <v>14608</v>
      </c>
      <c r="B8750" s="515" t="s">
        <v>337</v>
      </c>
      <c r="C8750" s="52">
        <v>80112.007299475896</v>
      </c>
      <c r="D8750" s="56">
        <v>6.1936807858873746E-2</v>
      </c>
      <c r="E8750" s="224">
        <v>1053.75</v>
      </c>
      <c r="F8750" s="515" t="s">
        <v>9956</v>
      </c>
      <c r="G8750" s="52">
        <v>238682.51495943399</v>
      </c>
      <c r="H8750" s="56">
        <v>0.1030698700618871</v>
      </c>
      <c r="I8750" s="224" t="s">
        <v>2</v>
      </c>
    </row>
    <row r="8751" spans="1:9" x14ac:dyDescent="0.25">
      <c r="A8751" s="515">
        <v>7456</v>
      </c>
      <c r="B8751" s="515" t="s">
        <v>324</v>
      </c>
      <c r="C8751" s="52">
        <v>456041.82396503701</v>
      </c>
      <c r="D8751" s="56">
        <v>4.8885565347566273E-2</v>
      </c>
      <c r="E8751" s="224" t="s">
        <v>2</v>
      </c>
      <c r="F8751" s="515" t="s">
        <v>9957</v>
      </c>
      <c r="G8751" s="52">
        <v>283193.49243858497</v>
      </c>
      <c r="H8751" s="56">
        <v>9.4551325251591545E-2</v>
      </c>
      <c r="I8751" s="224" t="s">
        <v>2</v>
      </c>
    </row>
    <row r="8752" spans="1:9" x14ac:dyDescent="0.25">
      <c r="A8752" s="515">
        <v>70665</v>
      </c>
      <c r="B8752" s="515" t="s">
        <v>696</v>
      </c>
      <c r="C8752" s="52">
        <v>223416.78076124901</v>
      </c>
      <c r="D8752" s="56">
        <v>2.0678378062176489E-5</v>
      </c>
      <c r="E8752" s="224" t="s">
        <v>2</v>
      </c>
      <c r="F8752" s="515" t="s">
        <v>9958</v>
      </c>
      <c r="G8752" s="52">
        <v>150432.90537859601</v>
      </c>
      <c r="H8752" s="56">
        <v>2.933076198979942E-2</v>
      </c>
      <c r="I8752" s="224" t="s">
        <v>2</v>
      </c>
    </row>
    <row r="8753" spans="1:9" x14ac:dyDescent="0.25">
      <c r="A8753" s="515">
        <v>84042</v>
      </c>
      <c r="B8753" s="515" t="s">
        <v>726</v>
      </c>
      <c r="C8753" s="52">
        <v>675524.00852783001</v>
      </c>
      <c r="D8753" s="56">
        <v>2.55970945534011E-2</v>
      </c>
      <c r="E8753" s="224" t="s">
        <v>2</v>
      </c>
      <c r="F8753" s="515" t="s">
        <v>9959</v>
      </c>
      <c r="G8753" s="52">
        <v>253104.81439872101</v>
      </c>
      <c r="H8753" s="56">
        <v>6.2644605103002238E-2</v>
      </c>
      <c r="I8753" s="224" t="s">
        <v>2</v>
      </c>
    </row>
    <row r="8754" spans="1:9" x14ac:dyDescent="0.25">
      <c r="A8754" s="515">
        <v>15717</v>
      </c>
      <c r="B8754" s="515" t="s">
        <v>343</v>
      </c>
      <c r="C8754" s="52">
        <v>131227.87913132101</v>
      </c>
      <c r="D8754" s="56">
        <v>3.1021616058375976E-2</v>
      </c>
      <c r="E8754" s="224" t="s">
        <v>2</v>
      </c>
      <c r="F8754" s="515" t="s">
        <v>9960</v>
      </c>
      <c r="G8754" s="52">
        <v>284873.87232572603</v>
      </c>
      <c r="H8754" s="56">
        <v>0.10418706771884666</v>
      </c>
      <c r="I8754" s="224" t="s">
        <v>2</v>
      </c>
    </row>
    <row r="8755" spans="1:9" x14ac:dyDescent="0.25">
      <c r="A8755" s="515">
        <v>47006</v>
      </c>
      <c r="C8755" s="52">
        <v>275073.98750291899</v>
      </c>
      <c r="D8755" s="56">
        <v>4.8581410925187272E-2</v>
      </c>
      <c r="E8755" s="224" t="s">
        <v>2</v>
      </c>
      <c r="F8755" s="515" t="s">
        <v>9961</v>
      </c>
      <c r="G8755" s="52">
        <v>147149.617266282</v>
      </c>
      <c r="H8755" s="56">
        <v>1.9124003951059728E-2</v>
      </c>
      <c r="I8755" s="224" t="s">
        <v>2</v>
      </c>
    </row>
    <row r="8756" spans="1:9" x14ac:dyDescent="0.25">
      <c r="A8756" s="515">
        <v>48383</v>
      </c>
      <c r="B8756" s="515" t="s">
        <v>685</v>
      </c>
      <c r="C8756" s="52">
        <v>365631.86589040502</v>
      </c>
      <c r="D8756" s="56">
        <v>2.9966370484321915E-2</v>
      </c>
      <c r="E8756" s="224" t="s">
        <v>2</v>
      </c>
      <c r="F8756" s="515" t="s">
        <v>9962</v>
      </c>
      <c r="G8756" s="52">
        <v>119341.045322615</v>
      </c>
      <c r="H8756" s="56">
        <v>5.2297767191989641E-2</v>
      </c>
      <c r="I8756" s="224" t="s">
        <v>2</v>
      </c>
    </row>
    <row r="8757" spans="1:9" x14ac:dyDescent="0.25">
      <c r="A8757" s="515">
        <v>32348</v>
      </c>
      <c r="C8757" s="52">
        <v>163481.04105996899</v>
      </c>
      <c r="D8757" s="56">
        <v>9.1494109231691378E-2</v>
      </c>
      <c r="E8757" s="224" t="s">
        <v>2</v>
      </c>
      <c r="F8757" s="515" t="s">
        <v>9963</v>
      </c>
      <c r="G8757" s="52">
        <v>125320.86267326601</v>
      </c>
      <c r="H8757" s="56">
        <v>6.7737543420280974E-2</v>
      </c>
      <c r="I8757" s="224" t="s">
        <v>2</v>
      </c>
    </row>
    <row r="8758" spans="1:9" x14ac:dyDescent="0.25">
      <c r="A8758" s="515">
        <v>64089</v>
      </c>
      <c r="B8758" s="515" t="s">
        <v>455</v>
      </c>
      <c r="C8758" s="52">
        <v>345225.95091892203</v>
      </c>
      <c r="D8758" s="56">
        <v>9.3507775722813158E-2</v>
      </c>
      <c r="E8758" s="224" t="s">
        <v>2</v>
      </c>
      <c r="F8758" s="515" t="s">
        <v>9964</v>
      </c>
      <c r="G8758" s="52">
        <v>178697.647298875</v>
      </c>
      <c r="H8758" s="56">
        <v>0.12873284930870121</v>
      </c>
      <c r="I8758" s="224" t="s">
        <v>2</v>
      </c>
    </row>
    <row r="8759" spans="1:9" x14ac:dyDescent="0.25">
      <c r="A8759" s="515">
        <v>65619</v>
      </c>
      <c r="B8759" s="515" t="s">
        <v>603</v>
      </c>
      <c r="C8759" s="52">
        <v>268324.313296496</v>
      </c>
      <c r="D8759" s="56">
        <v>9.6921305995632118E-2</v>
      </c>
      <c r="E8759" s="224" t="s">
        <v>2</v>
      </c>
      <c r="F8759" s="515" t="s">
        <v>9965</v>
      </c>
      <c r="G8759" s="52">
        <v>169137.05819293601</v>
      </c>
      <c r="H8759" s="56">
        <v>9.1075139834577892E-2</v>
      </c>
      <c r="I8759" s="224" t="s">
        <v>2</v>
      </c>
    </row>
    <row r="8760" spans="1:9" x14ac:dyDescent="0.25">
      <c r="A8760" s="515">
        <v>36863</v>
      </c>
      <c r="B8760" s="515" t="s">
        <v>1066</v>
      </c>
      <c r="C8760" s="52">
        <v>94115.962654613802</v>
      </c>
      <c r="D8760" s="56">
        <v>-9.96973218152538E-3</v>
      </c>
      <c r="E8760" s="224" t="s">
        <v>2</v>
      </c>
      <c r="F8760" s="515" t="s">
        <v>9966</v>
      </c>
      <c r="G8760" s="52">
        <v>356757.920261605</v>
      </c>
      <c r="H8760" s="56">
        <v>0.12825264583934223</v>
      </c>
      <c r="I8760" s="224" t="s">
        <v>2</v>
      </c>
    </row>
    <row r="8761" spans="1:9" x14ac:dyDescent="0.25">
      <c r="A8761" s="515">
        <v>72543</v>
      </c>
      <c r="C8761" s="52">
        <v>215423.08757918299</v>
      </c>
      <c r="D8761" s="56">
        <v>7.9725486168371607E-2</v>
      </c>
      <c r="E8761" s="224" t="s">
        <v>2</v>
      </c>
      <c r="F8761" s="515" t="s">
        <v>9967</v>
      </c>
      <c r="G8761" s="52">
        <v>889656.37331037596</v>
      </c>
      <c r="H8761" s="56">
        <v>2.2623834590610448E-2</v>
      </c>
      <c r="I8761" s="224">
        <v>2525</v>
      </c>
    </row>
    <row r="8762" spans="1:9" x14ac:dyDescent="0.25">
      <c r="A8762" s="515">
        <v>44509</v>
      </c>
      <c r="B8762" s="515" t="s">
        <v>397</v>
      </c>
      <c r="C8762" s="52">
        <v>61912.540119425801</v>
      </c>
      <c r="D8762" s="56">
        <v>0.1742240173464743</v>
      </c>
      <c r="E8762" s="224">
        <v>925</v>
      </c>
      <c r="F8762" s="515" t="s">
        <v>9968</v>
      </c>
      <c r="G8762" s="52">
        <v>280604.285666426</v>
      </c>
      <c r="H8762" s="56">
        <v>9.1461711237235732E-2</v>
      </c>
      <c r="I8762" s="224" t="s">
        <v>2</v>
      </c>
    </row>
    <row r="8763" spans="1:9" x14ac:dyDescent="0.25">
      <c r="A8763" s="515">
        <v>62450</v>
      </c>
      <c r="C8763" s="52">
        <v>103315.28791932399</v>
      </c>
      <c r="D8763" s="56">
        <v>0.20201536528178649</v>
      </c>
      <c r="E8763" s="224" t="s">
        <v>2</v>
      </c>
      <c r="F8763" s="515" t="s">
        <v>9969</v>
      </c>
      <c r="G8763" s="52">
        <v>85301.627400707905</v>
      </c>
      <c r="H8763" s="56">
        <v>0.11175725271058358</v>
      </c>
      <c r="I8763" s="224" t="s">
        <v>2</v>
      </c>
    </row>
    <row r="8764" spans="1:9" x14ac:dyDescent="0.25">
      <c r="A8764" s="515">
        <v>40965</v>
      </c>
      <c r="B8764" s="515" t="s">
        <v>687</v>
      </c>
      <c r="C8764" s="52">
        <v>93366.686666776499</v>
      </c>
      <c r="D8764" s="56">
        <v>6.1382051915317683E-2</v>
      </c>
      <c r="E8764" s="224" t="s">
        <v>2</v>
      </c>
      <c r="F8764" s="515" t="s">
        <v>9970</v>
      </c>
      <c r="G8764" s="52">
        <v>231494.27467238999</v>
      </c>
      <c r="H8764" s="56">
        <v>4.8236825695753743E-2</v>
      </c>
      <c r="I8764" s="224">
        <v>1096.5</v>
      </c>
    </row>
    <row r="8765" spans="1:9" x14ac:dyDescent="0.25">
      <c r="A8765" s="515">
        <v>31014</v>
      </c>
      <c r="C8765" s="52">
        <v>138503.33104669899</v>
      </c>
      <c r="D8765" s="56">
        <v>0.14884722162566266</v>
      </c>
      <c r="E8765" s="224" t="s">
        <v>2</v>
      </c>
      <c r="F8765" s="515" t="s">
        <v>9971</v>
      </c>
      <c r="G8765" s="52">
        <v>454799.70850764803</v>
      </c>
      <c r="H8765" s="56">
        <v>0.17802358773562688</v>
      </c>
      <c r="I8765" s="224" t="s">
        <v>2</v>
      </c>
    </row>
    <row r="8766" spans="1:9" x14ac:dyDescent="0.25">
      <c r="A8766" s="515">
        <v>70615</v>
      </c>
      <c r="B8766" s="515" t="s">
        <v>696</v>
      </c>
      <c r="C8766" s="52">
        <v>100586.769589851</v>
      </c>
      <c r="D8766" s="56">
        <v>5.2879707802676659E-2</v>
      </c>
      <c r="E8766" s="224" t="s">
        <v>2</v>
      </c>
      <c r="F8766" s="515" t="s">
        <v>9972</v>
      </c>
      <c r="G8766" s="52">
        <v>392941.818508272</v>
      </c>
      <c r="H8766" s="56">
        <v>0.10767890403658102</v>
      </c>
      <c r="I8766" s="224" t="s">
        <v>2</v>
      </c>
    </row>
    <row r="8767" spans="1:9" x14ac:dyDescent="0.25">
      <c r="A8767" s="515">
        <v>22827</v>
      </c>
      <c r="B8767" s="515" t="s">
        <v>1026</v>
      </c>
      <c r="C8767" s="52">
        <v>253821.30163370201</v>
      </c>
      <c r="D8767" s="56">
        <v>7.5307162775667014E-2</v>
      </c>
      <c r="E8767" s="224" t="s">
        <v>2</v>
      </c>
      <c r="F8767" s="515" t="s">
        <v>9973</v>
      </c>
      <c r="G8767" s="52">
        <v>1252512.2939637899</v>
      </c>
      <c r="H8767" s="56">
        <v>7.3176702985655415E-2</v>
      </c>
      <c r="I8767" s="224" t="s">
        <v>2</v>
      </c>
    </row>
    <row r="8768" spans="1:9" x14ac:dyDescent="0.25">
      <c r="A8768" s="515">
        <v>48638</v>
      </c>
      <c r="B8768" s="515" t="s">
        <v>904</v>
      </c>
      <c r="C8768" s="52">
        <v>169758.16533256401</v>
      </c>
      <c r="D8768" s="56">
        <v>0.10081783209512442</v>
      </c>
      <c r="E8768" s="224" t="s">
        <v>2</v>
      </c>
      <c r="F8768" s="515" t="s">
        <v>9974</v>
      </c>
      <c r="G8768" s="52">
        <v>582766.57876859</v>
      </c>
      <c r="H8768" s="56">
        <v>8.2652870969609826E-2</v>
      </c>
      <c r="I8768" s="224" t="s">
        <v>2</v>
      </c>
    </row>
    <row r="8769" spans="1:9" x14ac:dyDescent="0.25">
      <c r="A8769" s="515">
        <v>98823</v>
      </c>
      <c r="B8769" s="515" t="s">
        <v>666</v>
      </c>
      <c r="C8769" s="52">
        <v>292689.838053682</v>
      </c>
      <c r="D8769" s="56">
        <v>8.0364082221280109E-2</v>
      </c>
      <c r="E8769" s="224" t="s">
        <v>2</v>
      </c>
      <c r="F8769" s="515" t="s">
        <v>9975</v>
      </c>
      <c r="G8769" s="52">
        <v>310474.46384408901</v>
      </c>
      <c r="H8769" s="56">
        <v>6.0900643014186573E-2</v>
      </c>
      <c r="I8769" s="224" t="s">
        <v>2</v>
      </c>
    </row>
    <row r="8770" spans="1:9" x14ac:dyDescent="0.25">
      <c r="A8770" s="515">
        <v>29601</v>
      </c>
      <c r="B8770" s="515" t="s">
        <v>613</v>
      </c>
      <c r="C8770" s="52">
        <v>395581.72803249699</v>
      </c>
      <c r="D8770" s="56">
        <v>4.4100882253763539E-2</v>
      </c>
      <c r="E8770" s="224">
        <v>1905.68545751634</v>
      </c>
      <c r="F8770" s="515" t="s">
        <v>9976</v>
      </c>
      <c r="G8770" s="52">
        <v>75565.807791263796</v>
      </c>
      <c r="H8770" s="56">
        <v>3.6861338703013398E-2</v>
      </c>
      <c r="I8770" s="224" t="s">
        <v>2</v>
      </c>
    </row>
    <row r="8771" spans="1:9" x14ac:dyDescent="0.25">
      <c r="A8771" s="515">
        <v>33305</v>
      </c>
      <c r="B8771" s="515" t="s">
        <v>831</v>
      </c>
      <c r="C8771" s="52">
        <v>681187.65531136096</v>
      </c>
      <c r="D8771" s="56">
        <v>0.15130743196679183</v>
      </c>
      <c r="E8771" s="224">
        <v>2669.5361111111101</v>
      </c>
      <c r="F8771" s="515" t="s">
        <v>9977</v>
      </c>
      <c r="G8771" s="52">
        <v>252469.383365802</v>
      </c>
      <c r="H8771" s="56">
        <v>4.5005498581514494E-2</v>
      </c>
      <c r="I8771" s="224" t="s">
        <v>2</v>
      </c>
    </row>
    <row r="8772" spans="1:9" x14ac:dyDescent="0.25">
      <c r="A8772" s="515">
        <v>20619</v>
      </c>
      <c r="B8772" s="515" t="s">
        <v>779</v>
      </c>
      <c r="C8772" s="52">
        <v>345236.71799879498</v>
      </c>
      <c r="D8772" s="56">
        <v>3.8495002300319298E-2</v>
      </c>
      <c r="E8772" s="224">
        <v>1904.1666666666599</v>
      </c>
      <c r="F8772" s="515" t="s">
        <v>9978</v>
      </c>
      <c r="G8772" s="52">
        <v>114595.692362798</v>
      </c>
      <c r="H8772" s="56">
        <v>1.4343324255979796E-2</v>
      </c>
      <c r="I8772" s="224" t="s">
        <v>2</v>
      </c>
    </row>
    <row r="8773" spans="1:9" x14ac:dyDescent="0.25">
      <c r="A8773" s="515">
        <v>23875</v>
      </c>
      <c r="B8773" s="515" t="s">
        <v>667</v>
      </c>
      <c r="C8773" s="52">
        <v>314542.83014073002</v>
      </c>
      <c r="D8773" s="56">
        <v>0.13360948916436416</v>
      </c>
      <c r="E8773" s="224" t="s">
        <v>2</v>
      </c>
      <c r="F8773" s="515" t="s">
        <v>9979</v>
      </c>
      <c r="G8773" s="52">
        <v>116678.38044617701</v>
      </c>
      <c r="H8773" s="56">
        <v>-5.2919845034558516E-2</v>
      </c>
      <c r="I8773" s="224" t="s">
        <v>2</v>
      </c>
    </row>
    <row r="8774" spans="1:9" x14ac:dyDescent="0.25">
      <c r="A8774" s="515">
        <v>11577</v>
      </c>
      <c r="B8774" s="515" t="s">
        <v>324</v>
      </c>
      <c r="C8774" s="52">
        <v>1065850.9643012499</v>
      </c>
      <c r="D8774" s="56">
        <v>6.4055912969353632E-2</v>
      </c>
      <c r="E8774" s="224" t="s">
        <v>2</v>
      </c>
      <c r="F8774" s="515" t="s">
        <v>9980</v>
      </c>
      <c r="G8774" s="52">
        <v>81805.960110973305</v>
      </c>
      <c r="H8774" s="56">
        <v>6.844268795899576E-2</v>
      </c>
      <c r="I8774" s="224" t="s">
        <v>2</v>
      </c>
    </row>
    <row r="8775" spans="1:9" x14ac:dyDescent="0.25">
      <c r="A8775" s="515">
        <v>91207</v>
      </c>
      <c r="B8775" s="515" t="s">
        <v>375</v>
      </c>
      <c r="C8775" s="52">
        <v>1491127.0741669</v>
      </c>
      <c r="D8775" s="56">
        <v>7.2364929415781834E-2</v>
      </c>
      <c r="E8775" s="224" t="s">
        <v>2</v>
      </c>
      <c r="F8775" s="515" t="s">
        <v>9981</v>
      </c>
      <c r="G8775" s="52">
        <v>352385.50654079102</v>
      </c>
      <c r="H8775" s="56">
        <v>4.8579853228001214E-2</v>
      </c>
      <c r="I8775" s="224" t="s">
        <v>2</v>
      </c>
    </row>
    <row r="8776" spans="1:9" x14ac:dyDescent="0.25">
      <c r="A8776" s="515">
        <v>41230</v>
      </c>
      <c r="C8776" s="52">
        <v>144476.83743377301</v>
      </c>
      <c r="D8776" s="56">
        <v>9.5596759369791492E-2</v>
      </c>
      <c r="E8776" s="224" t="s">
        <v>2</v>
      </c>
      <c r="F8776" s="515" t="s">
        <v>9982</v>
      </c>
      <c r="G8776" s="52">
        <v>472326.10159816098</v>
      </c>
      <c r="H8776" s="56">
        <v>4.049861471586081E-2</v>
      </c>
      <c r="I8776" s="224" t="s">
        <v>2</v>
      </c>
    </row>
    <row r="8777" spans="1:9" x14ac:dyDescent="0.25">
      <c r="A8777" s="515">
        <v>33875</v>
      </c>
      <c r="B8777" s="515" t="s">
        <v>1099</v>
      </c>
      <c r="C8777" s="52">
        <v>273432.58595673699</v>
      </c>
      <c r="D8777" s="56">
        <v>0.12094020508500562</v>
      </c>
      <c r="E8777" s="224" t="s">
        <v>2</v>
      </c>
      <c r="F8777" s="515" t="s">
        <v>9983</v>
      </c>
      <c r="G8777" s="52">
        <v>712068.71587175003</v>
      </c>
      <c r="H8777" s="56">
        <v>4.2615783378177077E-2</v>
      </c>
      <c r="I8777" s="224" t="s">
        <v>2</v>
      </c>
    </row>
    <row r="8778" spans="1:9" x14ac:dyDescent="0.25">
      <c r="A8778" s="515">
        <v>14810</v>
      </c>
      <c r="B8778" s="515" t="s">
        <v>585</v>
      </c>
      <c r="C8778" s="52">
        <v>139153.24333351001</v>
      </c>
      <c r="D8778" s="56">
        <v>0.1192065009130789</v>
      </c>
      <c r="E8778" s="224" t="s">
        <v>2</v>
      </c>
      <c r="F8778" s="515" t="s">
        <v>9984</v>
      </c>
      <c r="G8778" s="52">
        <v>217955.75699555699</v>
      </c>
      <c r="H8778" s="56">
        <v>7.3283556032442729E-2</v>
      </c>
      <c r="I8778" s="224" t="s">
        <v>2</v>
      </c>
    </row>
    <row r="8779" spans="1:9" x14ac:dyDescent="0.25">
      <c r="A8779" s="515">
        <v>33982</v>
      </c>
      <c r="B8779" s="515" t="s">
        <v>1030</v>
      </c>
      <c r="C8779" s="52">
        <v>415556.61716306303</v>
      </c>
      <c r="D8779" s="56">
        <v>0.14295302406589466</v>
      </c>
      <c r="E8779" s="224" t="s">
        <v>2</v>
      </c>
      <c r="F8779" s="515" t="s">
        <v>9985</v>
      </c>
      <c r="G8779" s="52">
        <v>127875.261618845</v>
      </c>
      <c r="H8779" s="56">
        <v>-2.9747631062453206E-2</v>
      </c>
      <c r="I8779" s="224" t="s">
        <v>2</v>
      </c>
    </row>
    <row r="8780" spans="1:9" x14ac:dyDescent="0.25">
      <c r="A8780" s="515">
        <v>66701</v>
      </c>
      <c r="C8780" s="52">
        <v>105887.284647522</v>
      </c>
      <c r="D8780" s="56">
        <v>0.13031604177678111</v>
      </c>
      <c r="E8780" s="224" t="s">
        <v>2</v>
      </c>
      <c r="F8780" s="515" t="s">
        <v>9986</v>
      </c>
      <c r="G8780" s="52">
        <v>450142.64910803398</v>
      </c>
      <c r="H8780" s="56">
        <v>5.2845783011186413E-2</v>
      </c>
      <c r="I8780" s="224" t="s">
        <v>2</v>
      </c>
    </row>
    <row r="8781" spans="1:9" x14ac:dyDescent="0.25">
      <c r="A8781" s="515">
        <v>12188</v>
      </c>
      <c r="B8781" s="515" t="s">
        <v>609</v>
      </c>
      <c r="C8781" s="52">
        <v>297798.44811683701</v>
      </c>
      <c r="D8781" s="56">
        <v>5.2553494969227198E-2</v>
      </c>
      <c r="E8781" s="224" t="s">
        <v>2</v>
      </c>
      <c r="F8781" s="515" t="s">
        <v>9987</v>
      </c>
      <c r="G8781" s="52">
        <v>199391.698162146</v>
      </c>
      <c r="H8781" s="56">
        <v>0.11106068557189086</v>
      </c>
      <c r="I8781" s="224" t="s">
        <v>2</v>
      </c>
    </row>
    <row r="8782" spans="1:9" x14ac:dyDescent="0.25">
      <c r="A8782" s="515">
        <v>62052</v>
      </c>
      <c r="B8782" s="515" t="s">
        <v>498</v>
      </c>
      <c r="C8782" s="52">
        <v>133425.37397142401</v>
      </c>
      <c r="D8782" s="56">
        <v>8.9198458823179658E-2</v>
      </c>
      <c r="E8782" s="224" t="s">
        <v>2</v>
      </c>
      <c r="F8782" s="515" t="s">
        <v>9988</v>
      </c>
      <c r="G8782" s="52">
        <v>579098.075247781</v>
      </c>
      <c r="H8782" s="56">
        <v>4.7998426445450701E-2</v>
      </c>
      <c r="I8782" s="224" t="s">
        <v>2</v>
      </c>
    </row>
    <row r="8783" spans="1:9" x14ac:dyDescent="0.25">
      <c r="A8783" s="515">
        <v>60012</v>
      </c>
      <c r="B8783" s="515" t="s">
        <v>394</v>
      </c>
      <c r="C8783" s="52">
        <v>387652.09583868302</v>
      </c>
      <c r="D8783" s="56">
        <v>6.7120242653614035E-2</v>
      </c>
      <c r="E8783" s="224" t="s">
        <v>2</v>
      </c>
      <c r="F8783" s="515" t="s">
        <v>9989</v>
      </c>
      <c r="G8783" s="52">
        <v>251587.94269411601</v>
      </c>
      <c r="H8783" s="56">
        <v>0.19623896797751775</v>
      </c>
      <c r="I8783" s="224" t="s">
        <v>2</v>
      </c>
    </row>
    <row r="8784" spans="1:9" x14ac:dyDescent="0.25">
      <c r="A8784" s="515">
        <v>27944</v>
      </c>
      <c r="B8784" s="515" t="s">
        <v>1017</v>
      </c>
      <c r="C8784" s="52">
        <v>245015.31529566899</v>
      </c>
      <c r="D8784" s="56">
        <v>0.14034880422880303</v>
      </c>
      <c r="E8784" s="224" t="s">
        <v>2</v>
      </c>
      <c r="F8784" s="515" t="s">
        <v>9990</v>
      </c>
      <c r="G8784" s="52">
        <v>74553.402016906504</v>
      </c>
      <c r="H8784" s="56">
        <v>0.14996184522609171</v>
      </c>
      <c r="I8784" s="224" t="s">
        <v>2</v>
      </c>
    </row>
    <row r="8785" spans="1:9" x14ac:dyDescent="0.25">
      <c r="A8785" s="515">
        <v>48017</v>
      </c>
      <c r="B8785" s="515" t="s">
        <v>685</v>
      </c>
      <c r="C8785" s="52">
        <v>247289.65802695599</v>
      </c>
      <c r="D8785" s="56">
        <v>3.3499438604291359E-2</v>
      </c>
      <c r="E8785" s="224" t="s">
        <v>2</v>
      </c>
      <c r="F8785" s="515" t="s">
        <v>9991</v>
      </c>
      <c r="G8785" s="52">
        <v>320246.09151483001</v>
      </c>
      <c r="H8785" s="56">
        <v>0.11294632565724956</v>
      </c>
      <c r="I8785" s="224" t="s">
        <v>2</v>
      </c>
    </row>
    <row r="8786" spans="1:9" x14ac:dyDescent="0.25">
      <c r="A8786" s="515">
        <v>19350</v>
      </c>
      <c r="B8786" s="515" t="s">
        <v>294</v>
      </c>
      <c r="C8786" s="52">
        <v>530678.25764039694</v>
      </c>
      <c r="D8786" s="56">
        <v>9.0571131622758788E-2</v>
      </c>
      <c r="E8786" s="224" t="s">
        <v>2</v>
      </c>
      <c r="F8786" s="515" t="s">
        <v>9992</v>
      </c>
      <c r="G8786" s="52">
        <v>202958.51200091801</v>
      </c>
      <c r="H8786" s="56">
        <v>7.9711344533250697E-2</v>
      </c>
      <c r="I8786" s="224" t="s">
        <v>2</v>
      </c>
    </row>
    <row r="8787" spans="1:9" x14ac:dyDescent="0.25">
      <c r="A8787" s="515">
        <v>62896</v>
      </c>
      <c r="C8787" s="52">
        <v>71468.148877599699</v>
      </c>
      <c r="D8787" s="56">
        <v>1.0481496268969E-2</v>
      </c>
      <c r="E8787" s="224" t="s">
        <v>2</v>
      </c>
      <c r="F8787" s="515" t="s">
        <v>9993</v>
      </c>
      <c r="G8787" s="52">
        <v>172032.16732062999</v>
      </c>
      <c r="H8787" s="56">
        <v>9.9878865153714455E-2</v>
      </c>
      <c r="I8787" s="224">
        <v>1307.0833333333301</v>
      </c>
    </row>
    <row r="8788" spans="1:9" x14ac:dyDescent="0.25">
      <c r="A8788" s="515">
        <v>13078</v>
      </c>
      <c r="B8788" s="515" t="s">
        <v>361</v>
      </c>
      <c r="C8788" s="52">
        <v>324774.097255981</v>
      </c>
      <c r="D8788" s="56">
        <v>0.11021978628447808</v>
      </c>
      <c r="E8788" s="224" t="s">
        <v>2</v>
      </c>
      <c r="F8788" s="515" t="s">
        <v>9994</v>
      </c>
      <c r="G8788" s="52">
        <v>161683.146366723</v>
      </c>
      <c r="H8788" s="56">
        <v>9.7767769559663473E-2</v>
      </c>
      <c r="I8788" s="224" t="s">
        <v>2</v>
      </c>
    </row>
    <row r="8789" spans="1:9" x14ac:dyDescent="0.25">
      <c r="A8789" s="515">
        <v>37683</v>
      </c>
      <c r="C8789" s="52">
        <v>177089.633551807</v>
      </c>
      <c r="D8789" s="56">
        <v>9.3940962165816863E-2</v>
      </c>
      <c r="E8789" s="224" t="s">
        <v>2</v>
      </c>
      <c r="F8789" s="515" t="s">
        <v>9995</v>
      </c>
      <c r="G8789" s="52">
        <v>144291.844364858</v>
      </c>
      <c r="H8789" s="56">
        <v>5.7939619810675975E-2</v>
      </c>
      <c r="I8789" s="224" t="s">
        <v>2</v>
      </c>
    </row>
    <row r="8790" spans="1:9" x14ac:dyDescent="0.25">
      <c r="A8790" s="515">
        <v>45213</v>
      </c>
      <c r="B8790" s="515" t="s">
        <v>344</v>
      </c>
      <c r="C8790" s="52">
        <v>244978.09853207201</v>
      </c>
      <c r="D8790" s="56">
        <v>4.6930182092999082E-2</v>
      </c>
      <c r="E8790" s="224">
        <v>1178.88888888888</v>
      </c>
      <c r="F8790" s="515" t="s">
        <v>9996</v>
      </c>
      <c r="G8790" s="52">
        <v>126315.613382101</v>
      </c>
      <c r="H8790" s="56">
        <v>6.8478106743800518E-2</v>
      </c>
      <c r="I8790" s="224" t="s">
        <v>2</v>
      </c>
    </row>
    <row r="8791" spans="1:9" x14ac:dyDescent="0.25">
      <c r="A8791" s="515">
        <v>95953</v>
      </c>
      <c r="B8791" s="515" t="s">
        <v>796</v>
      </c>
      <c r="C8791" s="52">
        <v>357414.280072933</v>
      </c>
      <c r="D8791" s="56">
        <v>2.8799971691236843E-2</v>
      </c>
      <c r="E8791" s="224" t="s">
        <v>2</v>
      </c>
      <c r="F8791" s="515" t="s">
        <v>9997</v>
      </c>
      <c r="G8791" s="52">
        <v>187192.628888982</v>
      </c>
      <c r="H8791" s="56">
        <v>8.664449977051264E-2</v>
      </c>
      <c r="I8791" s="224" t="s">
        <v>2</v>
      </c>
    </row>
    <row r="8792" spans="1:9" x14ac:dyDescent="0.25">
      <c r="A8792" s="515">
        <v>8863</v>
      </c>
      <c r="B8792" s="515" t="s">
        <v>324</v>
      </c>
      <c r="C8792" s="52">
        <v>407683.72004361398</v>
      </c>
      <c r="D8792" s="56">
        <v>4.7677288306658891E-2</v>
      </c>
      <c r="E8792" s="224" t="s">
        <v>2</v>
      </c>
      <c r="F8792" s="515" t="s">
        <v>9998</v>
      </c>
      <c r="G8792" s="52">
        <v>289364.17014809197</v>
      </c>
      <c r="H8792" s="56">
        <v>4.0877157470896819E-2</v>
      </c>
      <c r="I8792" s="224" t="s">
        <v>2</v>
      </c>
    </row>
    <row r="8793" spans="1:9" x14ac:dyDescent="0.25">
      <c r="A8793" s="515">
        <v>92313</v>
      </c>
      <c r="B8793" s="515" t="s">
        <v>599</v>
      </c>
      <c r="C8793" s="52">
        <v>514100.98841978901</v>
      </c>
      <c r="D8793" s="56">
        <v>5.0596130113136246E-2</v>
      </c>
      <c r="E8793" s="224" t="s">
        <v>2</v>
      </c>
      <c r="F8793" s="515" t="s">
        <v>9999</v>
      </c>
      <c r="G8793" s="52">
        <v>67879.552436411599</v>
      </c>
      <c r="H8793" s="56">
        <v>0.12392638596391686</v>
      </c>
      <c r="I8793" s="224" t="s">
        <v>2</v>
      </c>
    </row>
    <row r="8794" spans="1:9" x14ac:dyDescent="0.25">
      <c r="A8794" s="515">
        <v>14004</v>
      </c>
      <c r="B8794" s="515" t="s">
        <v>336</v>
      </c>
      <c r="C8794" s="52">
        <v>266479.96436540701</v>
      </c>
      <c r="D8794" s="56">
        <v>7.188649646864595E-2</v>
      </c>
      <c r="E8794" s="224" t="s">
        <v>2</v>
      </c>
      <c r="F8794" s="515" t="s">
        <v>10000</v>
      </c>
      <c r="G8794" s="52">
        <v>258681.74308965201</v>
      </c>
      <c r="H8794" s="56">
        <v>4.8742572427750465E-2</v>
      </c>
      <c r="I8794" s="224" t="s">
        <v>2</v>
      </c>
    </row>
    <row r="8795" spans="1:9" x14ac:dyDescent="0.25">
      <c r="A8795" s="515">
        <v>25313</v>
      </c>
      <c r="B8795" s="515" t="s">
        <v>322</v>
      </c>
      <c r="C8795" s="52">
        <v>160890.638686241</v>
      </c>
      <c r="D8795" s="56">
        <v>6.7393243337029229E-2</v>
      </c>
      <c r="E8795" s="224" t="s">
        <v>2</v>
      </c>
      <c r="F8795" s="515" t="s">
        <v>10001</v>
      </c>
      <c r="G8795" s="52">
        <v>400033.38986842602</v>
      </c>
      <c r="H8795" s="56">
        <v>9.850127519348538E-2</v>
      </c>
      <c r="I8795" s="224" t="s">
        <v>2</v>
      </c>
    </row>
    <row r="8796" spans="1:9" x14ac:dyDescent="0.25">
      <c r="A8796" s="515">
        <v>35453</v>
      </c>
      <c r="B8796" s="515" t="s">
        <v>841</v>
      </c>
      <c r="C8796" s="52">
        <v>187756.17342834099</v>
      </c>
      <c r="D8796" s="56">
        <v>6.7248101739827634E-2</v>
      </c>
      <c r="E8796" s="224" t="s">
        <v>2</v>
      </c>
      <c r="F8796" s="515" t="s">
        <v>10002</v>
      </c>
      <c r="G8796" s="52">
        <v>344922.56664780801</v>
      </c>
      <c r="H8796" s="56">
        <v>9.2485725813751238E-2</v>
      </c>
      <c r="I8796" s="224" t="s">
        <v>2</v>
      </c>
    </row>
    <row r="8797" spans="1:9" x14ac:dyDescent="0.25">
      <c r="A8797" s="515">
        <v>34222</v>
      </c>
      <c r="B8797" s="515" t="s">
        <v>466</v>
      </c>
      <c r="C8797" s="52">
        <v>419839.91808831901</v>
      </c>
      <c r="D8797" s="56">
        <v>0.11483340717197496</v>
      </c>
      <c r="E8797" s="224" t="s">
        <v>2</v>
      </c>
      <c r="F8797" s="515" t="s">
        <v>10003</v>
      </c>
      <c r="G8797" s="52">
        <v>175692.76310800499</v>
      </c>
      <c r="H8797" s="56">
        <v>7.7122348556528525E-2</v>
      </c>
      <c r="I8797" s="224" t="s">
        <v>2</v>
      </c>
    </row>
    <row r="8798" spans="1:9" x14ac:dyDescent="0.25">
      <c r="A8798" s="515">
        <v>1562</v>
      </c>
      <c r="B8798" s="515" t="s">
        <v>751</v>
      </c>
      <c r="C8798" s="52">
        <v>363722.933251624</v>
      </c>
      <c r="D8798" s="56">
        <v>8.4608268470435385E-2</v>
      </c>
      <c r="E8798" s="224" t="s">
        <v>2</v>
      </c>
      <c r="F8798" s="515" t="s">
        <v>10004</v>
      </c>
      <c r="G8798" s="52">
        <v>172942.90376870899</v>
      </c>
      <c r="H8798" s="56">
        <v>0.11241818611857871</v>
      </c>
      <c r="I8798" s="224" t="s">
        <v>2</v>
      </c>
    </row>
    <row r="8799" spans="1:9" x14ac:dyDescent="0.25">
      <c r="A8799" s="515">
        <v>2330</v>
      </c>
      <c r="B8799" s="515" t="s">
        <v>534</v>
      </c>
      <c r="C8799" s="52">
        <v>473461.53033354098</v>
      </c>
      <c r="D8799" s="56">
        <v>4.7965792540119699E-2</v>
      </c>
      <c r="E8799" s="224" t="s">
        <v>2</v>
      </c>
      <c r="F8799" s="515" t="s">
        <v>10005</v>
      </c>
      <c r="G8799" s="52">
        <v>210508.43877799399</v>
      </c>
      <c r="H8799" s="56">
        <v>6.3725664558048706E-2</v>
      </c>
      <c r="I8799" s="224" t="s">
        <v>2</v>
      </c>
    </row>
    <row r="8800" spans="1:9" x14ac:dyDescent="0.25">
      <c r="A8800" s="515">
        <v>46405</v>
      </c>
      <c r="B8800" s="515" t="s">
        <v>394</v>
      </c>
      <c r="C8800" s="52">
        <v>128875.88819846899</v>
      </c>
      <c r="D8800" s="56">
        <v>0.11290251996681562</v>
      </c>
      <c r="E8800" s="224" t="s">
        <v>2</v>
      </c>
      <c r="F8800" s="515" t="s">
        <v>10006</v>
      </c>
      <c r="G8800" s="52">
        <v>101443.671476886</v>
      </c>
      <c r="H8800" s="56">
        <v>-2.5369871291460462E-2</v>
      </c>
      <c r="I8800" s="224" t="s">
        <v>2</v>
      </c>
    </row>
    <row r="8801" spans="1:9" x14ac:dyDescent="0.25">
      <c r="A8801" s="515">
        <v>14092</v>
      </c>
      <c r="B8801" s="515" t="s">
        <v>336</v>
      </c>
      <c r="C8801" s="52">
        <v>280749.32656239002</v>
      </c>
      <c r="D8801" s="56">
        <v>5.5728006224168652E-2</v>
      </c>
      <c r="E8801" s="224" t="s">
        <v>2</v>
      </c>
      <c r="F8801" s="515" t="s">
        <v>10007</v>
      </c>
      <c r="G8801" s="52">
        <v>279293.22618107602</v>
      </c>
      <c r="H8801" s="56">
        <v>4.7832466134135505E-2</v>
      </c>
      <c r="I8801" s="224" t="s">
        <v>2</v>
      </c>
    </row>
    <row r="8802" spans="1:9" x14ac:dyDescent="0.25">
      <c r="A8802" s="515">
        <v>76384</v>
      </c>
      <c r="B8802" s="515" t="s">
        <v>1198</v>
      </c>
      <c r="C8802" s="52">
        <v>80279.369126005797</v>
      </c>
      <c r="D8802" s="56">
        <v>9.2699403339204484E-2</v>
      </c>
      <c r="E8802" s="224" t="s">
        <v>2</v>
      </c>
      <c r="F8802" s="515" t="s">
        <v>10008</v>
      </c>
      <c r="G8802" s="52">
        <v>330812.40343388001</v>
      </c>
      <c r="H8802" s="56">
        <v>2.1472548222194153E-2</v>
      </c>
      <c r="I8802" s="224" t="s">
        <v>2</v>
      </c>
    </row>
    <row r="8803" spans="1:9" x14ac:dyDescent="0.25">
      <c r="A8803" s="515">
        <v>54636</v>
      </c>
      <c r="B8803" s="515" t="s">
        <v>635</v>
      </c>
      <c r="C8803" s="52">
        <v>325681.83822084602</v>
      </c>
      <c r="D8803" s="56">
        <v>6.061197847972969E-2</v>
      </c>
      <c r="E8803" s="224" t="s">
        <v>2</v>
      </c>
      <c r="F8803" s="515" t="s">
        <v>10009</v>
      </c>
      <c r="G8803" s="52">
        <v>204429.89386630399</v>
      </c>
      <c r="H8803" s="56">
        <v>0.13912266847930768</v>
      </c>
      <c r="I8803" s="224" t="s">
        <v>2</v>
      </c>
    </row>
    <row r="8804" spans="1:9" x14ac:dyDescent="0.25">
      <c r="A8804" s="515">
        <v>48840</v>
      </c>
      <c r="B8804" s="515" t="s">
        <v>528</v>
      </c>
      <c r="C8804" s="52">
        <v>258213.674069003</v>
      </c>
      <c r="D8804" s="56">
        <v>7.0205651305655509E-2</v>
      </c>
      <c r="E8804" s="224" t="s">
        <v>2</v>
      </c>
      <c r="F8804" s="515" t="s">
        <v>10010</v>
      </c>
      <c r="G8804" s="52">
        <v>278953.953104607</v>
      </c>
      <c r="H8804" s="56">
        <v>4.4231826098726647E-2</v>
      </c>
      <c r="I8804" s="224" t="s">
        <v>2</v>
      </c>
    </row>
    <row r="8805" spans="1:9" x14ac:dyDescent="0.25">
      <c r="A8805" s="515">
        <v>71129</v>
      </c>
      <c r="B8805" s="515" t="s">
        <v>739</v>
      </c>
      <c r="C8805" s="52">
        <v>176364.724959496</v>
      </c>
      <c r="D8805" s="56">
        <v>5.1384984467135214E-2</v>
      </c>
      <c r="E8805" s="224" t="s">
        <v>2</v>
      </c>
      <c r="F8805" s="515" t="s">
        <v>10011</v>
      </c>
      <c r="G8805" s="52">
        <v>1070407.24366149</v>
      </c>
      <c r="H8805" s="56">
        <v>-1.2294612247158963E-2</v>
      </c>
      <c r="I8805" s="224" t="s">
        <v>2</v>
      </c>
    </row>
    <row r="8806" spans="1:9" x14ac:dyDescent="0.25">
      <c r="A8806" s="515">
        <v>97814</v>
      </c>
      <c r="C8806" s="52">
        <v>260483.60540400399</v>
      </c>
      <c r="D8806" s="56">
        <v>7.1961694250610816E-2</v>
      </c>
      <c r="E8806" s="224" t="s">
        <v>2</v>
      </c>
      <c r="F8806" s="515" t="s">
        <v>10012</v>
      </c>
      <c r="G8806" s="52">
        <v>183368.77078468099</v>
      </c>
      <c r="H8806" s="56">
        <v>4.3296824918307726E-2</v>
      </c>
      <c r="I8806" s="224" t="s">
        <v>2</v>
      </c>
    </row>
    <row r="8807" spans="1:9" x14ac:dyDescent="0.25">
      <c r="A8807" s="515">
        <v>33037</v>
      </c>
      <c r="B8807" s="515" t="s">
        <v>572</v>
      </c>
      <c r="C8807" s="52">
        <v>1004283.35860488</v>
      </c>
      <c r="D8807" s="56">
        <v>0.16617441584445625</v>
      </c>
      <c r="E8807" s="224">
        <v>4877.7777777777701</v>
      </c>
      <c r="F8807" s="515" t="s">
        <v>10013</v>
      </c>
      <c r="G8807" s="52">
        <v>116037.664501987</v>
      </c>
      <c r="H8807" s="56">
        <v>-3.3733035471832122E-3</v>
      </c>
      <c r="I8807" s="224" t="s">
        <v>2</v>
      </c>
    </row>
    <row r="8808" spans="1:9" x14ac:dyDescent="0.25">
      <c r="A8808" s="515">
        <v>94708</v>
      </c>
      <c r="B8808" s="515" t="s">
        <v>593</v>
      </c>
      <c r="C8808" s="52">
        <v>1543610.45859763</v>
      </c>
      <c r="D8808" s="56">
        <v>-2.8882466243061787E-4</v>
      </c>
      <c r="E8808" s="224">
        <v>4833.3333333333303</v>
      </c>
      <c r="F8808" s="515" t="s">
        <v>10014</v>
      </c>
      <c r="G8808" s="52">
        <v>128118.505285412</v>
      </c>
      <c r="H8808" s="56">
        <v>0</v>
      </c>
      <c r="I8808" s="224" t="s">
        <v>2</v>
      </c>
    </row>
    <row r="8809" spans="1:9" x14ac:dyDescent="0.25">
      <c r="A8809" s="515">
        <v>20005</v>
      </c>
      <c r="B8809" s="515" t="s">
        <v>321</v>
      </c>
      <c r="C8809" s="52">
        <v>526269.08168550301</v>
      </c>
      <c r="D8809" s="56">
        <v>-3.3267584342094772E-2</v>
      </c>
      <c r="E8809" s="224">
        <v>2436.2496296296299</v>
      </c>
      <c r="F8809" s="515" t="s">
        <v>2325</v>
      </c>
      <c r="G8809" s="52">
        <v>233489.32209537801</v>
      </c>
      <c r="H8809" s="56">
        <v>6.4631230778061682E-2</v>
      </c>
      <c r="I8809" s="224">
        <v>1209.1555555555501</v>
      </c>
    </row>
    <row r="8810" spans="1:9" x14ac:dyDescent="0.25">
      <c r="A8810" s="515">
        <v>54971</v>
      </c>
      <c r="B8810" s="515" t="s">
        <v>987</v>
      </c>
      <c r="C8810" s="52">
        <v>185817.94376597699</v>
      </c>
      <c r="D8810" s="56">
        <v>0.10495160869952816</v>
      </c>
      <c r="E8810" s="224" t="s">
        <v>2</v>
      </c>
      <c r="F8810" s="515" t="s">
        <v>10015</v>
      </c>
      <c r="G8810" s="52">
        <v>303348.02455422701</v>
      </c>
      <c r="H8810" s="56">
        <v>8.3725526568309866E-2</v>
      </c>
      <c r="I8810" s="224" t="s">
        <v>2</v>
      </c>
    </row>
    <row r="8811" spans="1:9" x14ac:dyDescent="0.25">
      <c r="A8811" s="515">
        <v>44260</v>
      </c>
      <c r="B8811" s="515" t="s">
        <v>1000</v>
      </c>
      <c r="C8811" s="52">
        <v>212447.470386528</v>
      </c>
      <c r="D8811" s="56">
        <v>8.7642020749728919E-2</v>
      </c>
      <c r="E8811" s="224" t="s">
        <v>2</v>
      </c>
      <c r="F8811" s="515" t="s">
        <v>10016</v>
      </c>
      <c r="G8811" s="52">
        <v>284540.96353234199</v>
      </c>
      <c r="H8811" s="56">
        <v>6.1734439308747634E-2</v>
      </c>
      <c r="I8811" s="224" t="s">
        <v>2</v>
      </c>
    </row>
    <row r="8812" spans="1:9" x14ac:dyDescent="0.25">
      <c r="A8812" s="515">
        <v>77954</v>
      </c>
      <c r="C8812" s="52">
        <v>177704.21382686301</v>
      </c>
      <c r="D8812" s="56">
        <v>6.1103371993063513E-3</v>
      </c>
      <c r="E8812" s="224" t="s">
        <v>2</v>
      </c>
      <c r="F8812" s="515" t="s">
        <v>10017</v>
      </c>
      <c r="G8812" s="52">
        <v>217032.51555644901</v>
      </c>
      <c r="H8812" s="56">
        <v>2.609251174761042E-2</v>
      </c>
      <c r="I8812" s="224" t="s">
        <v>2</v>
      </c>
    </row>
    <row r="8813" spans="1:9" x14ac:dyDescent="0.25">
      <c r="A8813" s="515">
        <v>13066</v>
      </c>
      <c r="B8813" s="515" t="s">
        <v>361</v>
      </c>
      <c r="C8813" s="52">
        <v>300950.90130303497</v>
      </c>
      <c r="D8813" s="56">
        <v>9.1107890806189265E-2</v>
      </c>
      <c r="E8813" s="224" t="s">
        <v>2</v>
      </c>
      <c r="F8813" s="515" t="s">
        <v>10018</v>
      </c>
      <c r="G8813" s="52">
        <v>238159.177061567</v>
      </c>
      <c r="H8813" s="56">
        <v>7.2960421045589113E-2</v>
      </c>
      <c r="I8813" s="224" t="s">
        <v>2</v>
      </c>
    </row>
    <row r="8814" spans="1:9" x14ac:dyDescent="0.25">
      <c r="A8814" s="515">
        <v>63857</v>
      </c>
      <c r="B8814" s="515" t="s">
        <v>910</v>
      </c>
      <c r="C8814" s="52">
        <v>93548.667694717195</v>
      </c>
      <c r="D8814" s="56">
        <v>4.3001604666843565E-2</v>
      </c>
      <c r="E8814" s="224" t="s">
        <v>2</v>
      </c>
      <c r="F8814" s="515" t="s">
        <v>10019</v>
      </c>
      <c r="G8814" s="52">
        <v>110722.52388358201</v>
      </c>
      <c r="H8814" s="56">
        <v>0.17895854095823982</v>
      </c>
      <c r="I8814" s="224" t="s">
        <v>2</v>
      </c>
    </row>
    <row r="8815" spans="1:9" x14ac:dyDescent="0.25">
      <c r="A8815" s="515">
        <v>98230</v>
      </c>
      <c r="B8815" s="515" t="s">
        <v>412</v>
      </c>
      <c r="C8815" s="52">
        <v>486637.73071953497</v>
      </c>
      <c r="D8815" s="56">
        <v>1.4184055074985762E-2</v>
      </c>
      <c r="E8815" s="224">
        <v>2073.75</v>
      </c>
      <c r="F8815" s="515" t="s">
        <v>10020</v>
      </c>
      <c r="G8815" s="52">
        <v>232314.19613538499</v>
      </c>
      <c r="H8815" s="56">
        <v>8.833848050416003E-2</v>
      </c>
      <c r="I8815" s="224" t="s">
        <v>2</v>
      </c>
    </row>
    <row r="8816" spans="1:9" x14ac:dyDescent="0.25">
      <c r="A8816" s="515">
        <v>41465</v>
      </c>
      <c r="C8816" s="52">
        <v>100795.11290982</v>
      </c>
      <c r="D8816" s="56">
        <v>0.10756676097614412</v>
      </c>
      <c r="E8816" s="224" t="s">
        <v>2</v>
      </c>
      <c r="F8816" s="515" t="s">
        <v>10021</v>
      </c>
      <c r="G8816" s="52">
        <v>204175.42925659401</v>
      </c>
      <c r="H8816" s="56">
        <v>0</v>
      </c>
      <c r="I8816" s="224" t="s">
        <v>2</v>
      </c>
    </row>
    <row r="8817" spans="1:9" x14ac:dyDescent="0.25">
      <c r="A8817" s="515">
        <v>12211</v>
      </c>
      <c r="B8817" s="515" t="s">
        <v>609</v>
      </c>
      <c r="C8817" s="52">
        <v>375275.20471356902</v>
      </c>
      <c r="D8817" s="56">
        <v>3.9453609026123347E-2</v>
      </c>
      <c r="E8817" s="224" t="s">
        <v>2</v>
      </c>
      <c r="F8817" s="515" t="s">
        <v>10022</v>
      </c>
      <c r="G8817" s="52">
        <v>187823.49414989</v>
      </c>
      <c r="H8817" s="56">
        <v>0.11838158515680886</v>
      </c>
      <c r="I8817" s="224" t="s">
        <v>2</v>
      </c>
    </row>
    <row r="8818" spans="1:9" x14ac:dyDescent="0.25">
      <c r="A8818" s="515">
        <v>98579</v>
      </c>
      <c r="B8818" s="515" t="s">
        <v>527</v>
      </c>
      <c r="C8818" s="52">
        <v>454995.000376257</v>
      </c>
      <c r="D8818" s="56">
        <v>2.2125827922591875E-2</v>
      </c>
      <c r="E8818" s="224" t="s">
        <v>2</v>
      </c>
      <c r="F8818" s="515" t="s">
        <v>10023</v>
      </c>
      <c r="G8818" s="52">
        <v>192974.98116985901</v>
      </c>
      <c r="H8818" s="56">
        <v>0.10223882191116353</v>
      </c>
      <c r="I8818" s="224" t="s">
        <v>2</v>
      </c>
    </row>
    <row r="8819" spans="1:9" x14ac:dyDescent="0.25">
      <c r="A8819" s="515">
        <v>63645</v>
      </c>
      <c r="C8819" s="52">
        <v>139149.51701905599</v>
      </c>
      <c r="D8819" s="56">
        <v>9.1982544283546408E-2</v>
      </c>
      <c r="E8819" s="224" t="s">
        <v>2</v>
      </c>
      <c r="F8819" s="515" t="s">
        <v>10024</v>
      </c>
      <c r="G8819" s="52">
        <v>182685.11475551399</v>
      </c>
      <c r="H8819" s="56">
        <v>8.3954524551992107E-2</v>
      </c>
      <c r="I8819" s="224" t="s">
        <v>2</v>
      </c>
    </row>
    <row r="8820" spans="1:9" x14ac:dyDescent="0.25">
      <c r="A8820" s="515">
        <v>92320</v>
      </c>
      <c r="B8820" s="515" t="s">
        <v>599</v>
      </c>
      <c r="C8820" s="52">
        <v>518958.86255822203</v>
      </c>
      <c r="D8820" s="56">
        <v>5.3377286666091144E-2</v>
      </c>
      <c r="E8820" s="224" t="s">
        <v>2</v>
      </c>
      <c r="F8820" s="515" t="s">
        <v>10025</v>
      </c>
      <c r="G8820" s="52">
        <v>230633.10826019599</v>
      </c>
      <c r="H8820" s="56">
        <v>0.10914280501838604</v>
      </c>
      <c r="I8820" s="224" t="s">
        <v>2</v>
      </c>
    </row>
    <row r="8821" spans="1:9" x14ac:dyDescent="0.25">
      <c r="A8821" s="515">
        <v>32696</v>
      </c>
      <c r="B8821" s="515" t="s">
        <v>577</v>
      </c>
      <c r="C8821" s="52">
        <v>253124.214040691</v>
      </c>
      <c r="D8821" s="56">
        <v>0.10386549156675574</v>
      </c>
      <c r="E8821" s="224" t="s">
        <v>2</v>
      </c>
      <c r="F8821" s="515" t="s">
        <v>10026</v>
      </c>
      <c r="G8821" s="52">
        <v>141175.49534601599</v>
      </c>
      <c r="H8821" s="56">
        <v>7.486987838552428E-2</v>
      </c>
      <c r="I8821" s="224" t="s">
        <v>2</v>
      </c>
    </row>
    <row r="8822" spans="1:9" x14ac:dyDescent="0.25">
      <c r="A8822" s="515">
        <v>32776</v>
      </c>
      <c r="B8822" s="515" t="s">
        <v>517</v>
      </c>
      <c r="C8822" s="52">
        <v>400338.75143304298</v>
      </c>
      <c r="D8822" s="56">
        <v>9.5142365128939824E-2</v>
      </c>
      <c r="E8822" s="224" t="s">
        <v>2</v>
      </c>
      <c r="F8822" s="515" t="s">
        <v>10027</v>
      </c>
      <c r="G8822" s="52">
        <v>97478.999074452295</v>
      </c>
      <c r="H8822" s="56">
        <v>0.20978238587101392</v>
      </c>
      <c r="I8822" s="224" t="s">
        <v>2</v>
      </c>
    </row>
    <row r="8823" spans="1:9" x14ac:dyDescent="0.25">
      <c r="A8823" s="515">
        <v>61523</v>
      </c>
      <c r="B8823" s="515" t="s">
        <v>303</v>
      </c>
      <c r="C8823" s="52">
        <v>138329.49687265899</v>
      </c>
      <c r="D8823" s="56">
        <v>4.9522514658308224E-2</v>
      </c>
      <c r="E8823" s="224" t="s">
        <v>2</v>
      </c>
      <c r="F8823" s="515" t="s">
        <v>10028</v>
      </c>
      <c r="G8823" s="52">
        <v>214827.20888754199</v>
      </c>
      <c r="H8823" s="56">
        <v>8.6086695159848514E-2</v>
      </c>
      <c r="I8823" s="224" t="s">
        <v>2</v>
      </c>
    </row>
    <row r="8824" spans="1:9" x14ac:dyDescent="0.25">
      <c r="A8824" s="515">
        <v>23120</v>
      </c>
      <c r="B8824" s="515" t="s">
        <v>667</v>
      </c>
      <c r="C8824" s="52">
        <v>509100.88711482898</v>
      </c>
      <c r="D8824" s="56">
        <v>2.3490429237750601E-2</v>
      </c>
      <c r="E8824" s="224" t="s">
        <v>2</v>
      </c>
      <c r="F8824" s="515" t="s">
        <v>10029</v>
      </c>
      <c r="G8824" s="52">
        <v>294365.24412475497</v>
      </c>
      <c r="H8824" s="56">
        <v>0.11014234219112748</v>
      </c>
      <c r="I8824" s="224" t="s">
        <v>2</v>
      </c>
    </row>
    <row r="8825" spans="1:9" x14ac:dyDescent="0.25">
      <c r="A8825" s="515">
        <v>70047</v>
      </c>
      <c r="B8825" s="515" t="s">
        <v>777</v>
      </c>
      <c r="C8825" s="52">
        <v>267219.20516532997</v>
      </c>
      <c r="D8825" s="56">
        <v>-2.2674079700032036E-2</v>
      </c>
      <c r="E8825" s="224" t="s">
        <v>2</v>
      </c>
      <c r="F8825" s="515" t="s">
        <v>10030</v>
      </c>
      <c r="G8825" s="52">
        <v>173848.60560485101</v>
      </c>
      <c r="H8825" s="56">
        <v>0.13752851838086921</v>
      </c>
      <c r="I8825" s="224" t="s">
        <v>2</v>
      </c>
    </row>
    <row r="8826" spans="1:9" x14ac:dyDescent="0.25">
      <c r="A8826" s="515">
        <v>75182</v>
      </c>
      <c r="B8826" s="515" t="s">
        <v>458</v>
      </c>
      <c r="C8826" s="52">
        <v>606928.19336988998</v>
      </c>
      <c r="D8826" s="56">
        <v>9.5502290690225172E-2</v>
      </c>
      <c r="E8826" s="224" t="s">
        <v>2</v>
      </c>
      <c r="F8826" s="515" t="s">
        <v>10031</v>
      </c>
      <c r="G8826" s="52">
        <v>926453.97889903502</v>
      </c>
      <c r="H8826" s="56">
        <v>0.10362831491367229</v>
      </c>
      <c r="I8826" s="224" t="s">
        <v>2</v>
      </c>
    </row>
    <row r="8827" spans="1:9" x14ac:dyDescent="0.25">
      <c r="A8827" s="515">
        <v>48609</v>
      </c>
      <c r="B8827" s="515" t="s">
        <v>904</v>
      </c>
      <c r="C8827" s="52">
        <v>179559.760601519</v>
      </c>
      <c r="D8827" s="56">
        <v>0.11878602572095047</v>
      </c>
      <c r="E8827" s="224" t="s">
        <v>2</v>
      </c>
      <c r="F8827" s="515" t="s">
        <v>10032</v>
      </c>
      <c r="G8827" s="52">
        <v>62615.315576020002</v>
      </c>
      <c r="H8827" s="56">
        <v>-2.3462559824297204E-2</v>
      </c>
      <c r="I8827" s="224" t="s">
        <v>2</v>
      </c>
    </row>
    <row r="8828" spans="1:9" x14ac:dyDescent="0.25">
      <c r="A8828" s="515">
        <v>6078</v>
      </c>
      <c r="B8828" s="515" t="s">
        <v>894</v>
      </c>
      <c r="C8828" s="52">
        <v>388498.94049423601</v>
      </c>
      <c r="D8828" s="56">
        <v>7.5665875939651475E-2</v>
      </c>
      <c r="E8828" s="224" t="s">
        <v>2</v>
      </c>
      <c r="F8828" s="515" t="s">
        <v>10033</v>
      </c>
      <c r="G8828" s="52">
        <v>450388.47637073399</v>
      </c>
      <c r="H8828" s="56">
        <v>7.8200885977874279E-2</v>
      </c>
      <c r="I8828" s="224" t="s">
        <v>2</v>
      </c>
    </row>
    <row r="8829" spans="1:9" x14ac:dyDescent="0.25">
      <c r="A8829" s="515">
        <v>17756</v>
      </c>
      <c r="B8829" s="515" t="s">
        <v>296</v>
      </c>
      <c r="C8829" s="52">
        <v>222821.43852946299</v>
      </c>
      <c r="D8829" s="56">
        <v>6.0293766293211731E-2</v>
      </c>
      <c r="E8829" s="224" t="s">
        <v>2</v>
      </c>
      <c r="F8829" s="515" t="s">
        <v>10034</v>
      </c>
      <c r="G8829" s="52">
        <v>188413.11641138699</v>
      </c>
      <c r="H8829" s="56">
        <v>4.8513218213754941E-2</v>
      </c>
      <c r="I8829" s="224" t="s">
        <v>2</v>
      </c>
    </row>
    <row r="8830" spans="1:9" x14ac:dyDescent="0.25">
      <c r="A8830" s="515">
        <v>68048</v>
      </c>
      <c r="B8830" s="515" t="s">
        <v>367</v>
      </c>
      <c r="C8830" s="52">
        <v>267848.87511749601</v>
      </c>
      <c r="D8830" s="56">
        <v>8.2324070229978771E-2</v>
      </c>
      <c r="E8830" s="224" t="s">
        <v>2</v>
      </c>
      <c r="F8830" s="515" t="s">
        <v>10035</v>
      </c>
      <c r="G8830" s="52">
        <v>144551.04349342501</v>
      </c>
      <c r="H8830" s="56">
        <v>6.8213178164000299E-2</v>
      </c>
      <c r="I8830" s="224" t="s">
        <v>2</v>
      </c>
    </row>
    <row r="8831" spans="1:9" x14ac:dyDescent="0.25">
      <c r="A8831" s="515">
        <v>46561</v>
      </c>
      <c r="B8831" s="515" t="s">
        <v>1002</v>
      </c>
      <c r="C8831" s="52">
        <v>246324.13738415201</v>
      </c>
      <c r="D8831" s="56">
        <v>6.2935163102716588E-2</v>
      </c>
      <c r="E8831" s="224" t="s">
        <v>2</v>
      </c>
      <c r="F8831" s="515" t="s">
        <v>10036</v>
      </c>
      <c r="G8831" s="52">
        <v>353264.69700476498</v>
      </c>
      <c r="H8831" s="56">
        <v>5.0498436913695786E-2</v>
      </c>
      <c r="I8831" s="224" t="s">
        <v>2</v>
      </c>
    </row>
    <row r="8832" spans="1:9" x14ac:dyDescent="0.25">
      <c r="A8832" s="515">
        <v>34731</v>
      </c>
      <c r="B8832" s="515" t="s">
        <v>517</v>
      </c>
      <c r="C8832" s="52">
        <v>286266.45485622599</v>
      </c>
      <c r="D8832" s="56">
        <v>0.14680643753605957</v>
      </c>
      <c r="E8832" s="224" t="s">
        <v>2</v>
      </c>
      <c r="F8832" s="515" t="s">
        <v>10037</v>
      </c>
      <c r="G8832" s="52">
        <v>367948.041379439</v>
      </c>
      <c r="H8832" s="56">
        <v>0.11464256444394993</v>
      </c>
      <c r="I8832" s="224" t="s">
        <v>2</v>
      </c>
    </row>
    <row r="8833" spans="1:9" x14ac:dyDescent="0.25">
      <c r="A8833" s="515">
        <v>19086</v>
      </c>
      <c r="B8833" s="515" t="s">
        <v>294</v>
      </c>
      <c r="C8833" s="52">
        <v>431256.37804452801</v>
      </c>
      <c r="D8833" s="56">
        <v>8.303621540463263E-2</v>
      </c>
      <c r="E8833" s="224" t="s">
        <v>2</v>
      </c>
      <c r="F8833" s="515" t="s">
        <v>10038</v>
      </c>
      <c r="G8833" s="52">
        <v>232666.60479685001</v>
      </c>
      <c r="H8833" s="56">
        <v>0.10531190853339936</v>
      </c>
      <c r="I8833" s="224" t="s">
        <v>2</v>
      </c>
    </row>
    <row r="8834" spans="1:9" x14ac:dyDescent="0.25">
      <c r="A8834" s="515">
        <v>97027</v>
      </c>
      <c r="B8834" s="515" t="s">
        <v>659</v>
      </c>
      <c r="C8834" s="52">
        <v>486364.50905859697</v>
      </c>
      <c r="D8834" s="56">
        <v>1.6138859038131621E-2</v>
      </c>
      <c r="E8834" s="224">
        <v>1828.75</v>
      </c>
      <c r="F8834" s="515" t="s">
        <v>10039</v>
      </c>
      <c r="G8834" s="52">
        <v>118342.808617824</v>
      </c>
      <c r="H8834" s="56">
        <v>0.17769742962625332</v>
      </c>
      <c r="I8834" s="224" t="s">
        <v>2</v>
      </c>
    </row>
    <row r="8835" spans="1:9" x14ac:dyDescent="0.25">
      <c r="A8835" s="515">
        <v>14625</v>
      </c>
      <c r="B8835" s="515" t="s">
        <v>337</v>
      </c>
      <c r="C8835" s="52">
        <v>282124.057961135</v>
      </c>
      <c r="D8835" s="56">
        <v>4.5337440004443376E-2</v>
      </c>
      <c r="E8835" s="224" t="s">
        <v>2</v>
      </c>
      <c r="F8835" s="515" t="s">
        <v>10040</v>
      </c>
      <c r="G8835" s="52">
        <v>571990.11237913906</v>
      </c>
      <c r="H8835" s="56">
        <v>5.8212550007202678E-2</v>
      </c>
      <c r="I8835" s="224" t="s">
        <v>2</v>
      </c>
    </row>
    <row r="8836" spans="1:9" x14ac:dyDescent="0.25">
      <c r="A8836" s="515">
        <v>26105</v>
      </c>
      <c r="B8836" s="515" t="s">
        <v>956</v>
      </c>
      <c r="C8836" s="52">
        <v>168789.448030245</v>
      </c>
      <c r="D8836" s="56">
        <v>6.9052228796579795E-2</v>
      </c>
      <c r="E8836" s="224">
        <v>1159</v>
      </c>
      <c r="F8836" s="515" t="s">
        <v>10041</v>
      </c>
      <c r="G8836" s="52">
        <v>458172.406233694</v>
      </c>
      <c r="H8836" s="56">
        <v>8.2001885812913608E-2</v>
      </c>
      <c r="I8836" s="224" t="s">
        <v>2</v>
      </c>
    </row>
    <row r="8837" spans="1:9" x14ac:dyDescent="0.25">
      <c r="A8837" s="515">
        <v>70129</v>
      </c>
      <c r="B8837" s="515" t="s">
        <v>777</v>
      </c>
      <c r="C8837" s="52">
        <v>163839.73941863401</v>
      </c>
      <c r="D8837" s="56">
        <v>3.4531012871800777E-2</v>
      </c>
      <c r="E8837" s="224" t="s">
        <v>2</v>
      </c>
      <c r="F8837" s="515" t="s">
        <v>10042</v>
      </c>
      <c r="G8837" s="52">
        <v>436727.32518163999</v>
      </c>
      <c r="H8837" s="56">
        <v>3.6778390853446474E-2</v>
      </c>
      <c r="I8837" s="224" t="s">
        <v>2</v>
      </c>
    </row>
    <row r="8838" spans="1:9" x14ac:dyDescent="0.25">
      <c r="A8838" s="515">
        <v>81403</v>
      </c>
      <c r="B8838" s="515" t="s">
        <v>677</v>
      </c>
      <c r="C8838" s="52">
        <v>524347.31423058303</v>
      </c>
      <c r="D8838" s="56">
        <v>8.3934818764521552E-2</v>
      </c>
      <c r="E8838" s="224" t="s">
        <v>2</v>
      </c>
      <c r="F8838" s="515" t="s">
        <v>10043</v>
      </c>
      <c r="G8838" s="52">
        <v>271092.073177265</v>
      </c>
      <c r="H8838" s="56">
        <v>9.6955982366010593E-2</v>
      </c>
      <c r="I8838" s="224" t="s">
        <v>2</v>
      </c>
    </row>
    <row r="8839" spans="1:9" x14ac:dyDescent="0.25">
      <c r="A8839" s="515">
        <v>10514</v>
      </c>
      <c r="B8839" s="515" t="s">
        <v>324</v>
      </c>
      <c r="C8839" s="52">
        <v>1164918.14518892</v>
      </c>
      <c r="D8839" s="56">
        <v>8.7674081651940114E-2</v>
      </c>
      <c r="E8839" s="224" t="s">
        <v>2</v>
      </c>
      <c r="F8839" s="515" t="s">
        <v>10044</v>
      </c>
      <c r="G8839" s="52">
        <v>209611.708439173</v>
      </c>
      <c r="H8839" s="56">
        <v>1.7047282321937723E-2</v>
      </c>
      <c r="I8839" s="224" t="s">
        <v>2</v>
      </c>
    </row>
    <row r="8840" spans="1:9" x14ac:dyDescent="0.25">
      <c r="A8840" s="515">
        <v>2093</v>
      </c>
      <c r="B8840" s="515" t="s">
        <v>534</v>
      </c>
      <c r="C8840" s="52">
        <v>611014.32670492504</v>
      </c>
      <c r="D8840" s="56">
        <v>5.5776354604061162E-2</v>
      </c>
      <c r="E8840" s="224" t="s">
        <v>2</v>
      </c>
      <c r="F8840" s="515" t="s">
        <v>10045</v>
      </c>
      <c r="G8840" s="52">
        <v>262765.01137485699</v>
      </c>
      <c r="H8840" s="56">
        <v>8.0607332519419109E-2</v>
      </c>
      <c r="I8840" s="224" t="s">
        <v>2</v>
      </c>
    </row>
    <row r="8841" spans="1:9" x14ac:dyDescent="0.25">
      <c r="A8841" s="515">
        <v>24202</v>
      </c>
      <c r="B8841" s="515" t="s">
        <v>902</v>
      </c>
      <c r="C8841" s="52">
        <v>206297.195327983</v>
      </c>
      <c r="D8841" s="56">
        <v>0.10985575537680985</v>
      </c>
      <c r="E8841" s="224" t="s">
        <v>2</v>
      </c>
      <c r="F8841" s="515" t="s">
        <v>10046</v>
      </c>
      <c r="G8841" s="52">
        <v>306999.07237039303</v>
      </c>
      <c r="H8841" s="56">
        <v>0.19686873450383999</v>
      </c>
      <c r="I8841" s="224" t="s">
        <v>2</v>
      </c>
    </row>
    <row r="8842" spans="1:9" x14ac:dyDescent="0.25">
      <c r="A8842" s="515">
        <v>3878</v>
      </c>
      <c r="B8842" s="515" t="s">
        <v>534</v>
      </c>
      <c r="C8842" s="52">
        <v>350546.54107504699</v>
      </c>
      <c r="D8842" s="56">
        <v>0.10882122808296396</v>
      </c>
      <c r="E8842" s="224" t="s">
        <v>2</v>
      </c>
      <c r="F8842" s="515" t="s">
        <v>10047</v>
      </c>
      <c r="G8842" s="52">
        <v>156517.92830987499</v>
      </c>
      <c r="H8842" s="56">
        <v>7.166348928596622E-2</v>
      </c>
      <c r="I8842" s="224" t="s">
        <v>2</v>
      </c>
    </row>
    <row r="8843" spans="1:9" x14ac:dyDescent="0.25">
      <c r="A8843" s="515">
        <v>37650</v>
      </c>
      <c r="B8843" s="515" t="s">
        <v>988</v>
      </c>
      <c r="C8843" s="52">
        <v>163068.17225425199</v>
      </c>
      <c r="D8843" s="56">
        <v>5.1398380472289187E-2</v>
      </c>
      <c r="E8843" s="224" t="s">
        <v>2</v>
      </c>
      <c r="F8843" s="515" t="s">
        <v>10048</v>
      </c>
      <c r="G8843" s="52">
        <v>490887.62942436599</v>
      </c>
      <c r="H8843" s="56">
        <v>2.8711857354867702E-2</v>
      </c>
      <c r="I8843" s="224" t="s">
        <v>2</v>
      </c>
    </row>
    <row r="8844" spans="1:9" x14ac:dyDescent="0.25">
      <c r="A8844" s="515">
        <v>14605</v>
      </c>
      <c r="B8844" s="515" t="s">
        <v>337</v>
      </c>
      <c r="C8844" s="52">
        <v>64676.043376302303</v>
      </c>
      <c r="D8844" s="56">
        <v>8.539011521946821E-2</v>
      </c>
      <c r="E8844" s="224" t="s">
        <v>2</v>
      </c>
      <c r="F8844" s="515" t="s">
        <v>10049</v>
      </c>
      <c r="G8844" s="52">
        <v>120019.14360773499</v>
      </c>
      <c r="H8844" s="56">
        <v>-5.3757890934714128E-2</v>
      </c>
      <c r="I8844" s="224" t="s">
        <v>2</v>
      </c>
    </row>
    <row r="8845" spans="1:9" x14ac:dyDescent="0.25">
      <c r="A8845" s="515">
        <v>18960</v>
      </c>
      <c r="B8845" s="515" t="s">
        <v>294</v>
      </c>
      <c r="C8845" s="52">
        <v>380360.583099348</v>
      </c>
      <c r="D8845" s="56">
        <v>9.2744131284200046E-2</v>
      </c>
      <c r="E8845" s="224" t="s">
        <v>2</v>
      </c>
      <c r="F8845" s="515" t="s">
        <v>10050</v>
      </c>
      <c r="G8845" s="52">
        <v>136789.42814966501</v>
      </c>
      <c r="H8845" s="56">
        <v>6.5039306435139263E-2</v>
      </c>
      <c r="I8845" s="224" t="s">
        <v>2</v>
      </c>
    </row>
    <row r="8846" spans="1:9" x14ac:dyDescent="0.25">
      <c r="A8846" s="515">
        <v>25309</v>
      </c>
      <c r="B8846" s="515" t="s">
        <v>322</v>
      </c>
      <c r="C8846" s="52">
        <v>152668.99999146501</v>
      </c>
      <c r="D8846" s="56">
        <v>6.0760975296388187E-2</v>
      </c>
      <c r="E8846" s="224" t="s">
        <v>2</v>
      </c>
      <c r="F8846" s="515" t="s">
        <v>10051</v>
      </c>
      <c r="G8846" s="52">
        <v>216068.264690273</v>
      </c>
      <c r="H8846" s="56">
        <v>2.1738245325886817E-2</v>
      </c>
      <c r="I8846" s="224" t="s">
        <v>2</v>
      </c>
    </row>
    <row r="8847" spans="1:9" x14ac:dyDescent="0.25">
      <c r="A8847" s="515">
        <v>97351</v>
      </c>
      <c r="B8847" s="515" t="s">
        <v>416</v>
      </c>
      <c r="C8847" s="52">
        <v>380214.42654314399</v>
      </c>
      <c r="D8847" s="56">
        <v>4.9334398653012458E-2</v>
      </c>
      <c r="E8847" s="224" t="s">
        <v>2</v>
      </c>
      <c r="F8847" s="515" t="s">
        <v>10052</v>
      </c>
      <c r="G8847" s="52">
        <v>739359.62333869596</v>
      </c>
      <c r="H8847" s="56">
        <v>4.0226407000537576E-2</v>
      </c>
      <c r="I8847" s="224" t="s">
        <v>2</v>
      </c>
    </row>
    <row r="8848" spans="1:9" x14ac:dyDescent="0.25">
      <c r="A8848" s="515">
        <v>15232</v>
      </c>
      <c r="B8848" s="515" t="s">
        <v>297</v>
      </c>
      <c r="C8848" s="52">
        <v>430916.388154026</v>
      </c>
      <c r="D8848" s="56">
        <v>1.1641989173125528E-2</v>
      </c>
      <c r="E8848" s="224">
        <v>1523.9973684210499</v>
      </c>
      <c r="F8848" s="515" t="s">
        <v>10053</v>
      </c>
      <c r="G8848" s="52">
        <v>358340.20288044401</v>
      </c>
      <c r="H8848" s="56">
        <v>5.2832321581702008E-2</v>
      </c>
      <c r="I8848" s="224" t="s">
        <v>2</v>
      </c>
    </row>
    <row r="8849" spans="1:9" x14ac:dyDescent="0.25">
      <c r="A8849" s="515">
        <v>2056</v>
      </c>
      <c r="B8849" s="515" t="s">
        <v>534</v>
      </c>
      <c r="C8849" s="52">
        <v>681659.41428619903</v>
      </c>
      <c r="D8849" s="56">
        <v>4.6001991622708266E-2</v>
      </c>
      <c r="E8849" s="224" t="s">
        <v>2</v>
      </c>
      <c r="F8849" s="515" t="s">
        <v>10054</v>
      </c>
      <c r="G8849" s="52">
        <v>400239.69765991298</v>
      </c>
      <c r="H8849" s="56">
        <v>7.716373947582926E-2</v>
      </c>
      <c r="I8849" s="224" t="s">
        <v>2</v>
      </c>
    </row>
    <row r="8850" spans="1:9" x14ac:dyDescent="0.25">
      <c r="A8850" s="515">
        <v>57069</v>
      </c>
      <c r="B8850" s="515" t="s">
        <v>913</v>
      </c>
      <c r="C8850" s="52">
        <v>231183.68719237001</v>
      </c>
      <c r="D8850" s="56">
        <v>8.6518446061278051E-2</v>
      </c>
      <c r="E8850" s="224">
        <v>1250</v>
      </c>
      <c r="F8850" s="515" t="s">
        <v>10055</v>
      </c>
      <c r="G8850" s="52">
        <v>117144.73838562801</v>
      </c>
      <c r="H8850" s="56">
        <v>0.13946689290660091</v>
      </c>
      <c r="I8850" s="224" t="s">
        <v>2</v>
      </c>
    </row>
    <row r="8851" spans="1:9" x14ac:dyDescent="0.25">
      <c r="A8851" s="515">
        <v>10553</v>
      </c>
      <c r="B8851" s="515" t="s">
        <v>324</v>
      </c>
      <c r="C8851" s="52">
        <v>494691.15595189499</v>
      </c>
      <c r="D8851" s="56">
        <v>8.2677341490099263E-4</v>
      </c>
      <c r="E8851" s="224" t="s">
        <v>2</v>
      </c>
      <c r="F8851" s="515" t="s">
        <v>10056</v>
      </c>
      <c r="G8851" s="52">
        <v>146730.633702716</v>
      </c>
      <c r="H8851" s="56">
        <v>4.9665810480142333E-2</v>
      </c>
      <c r="I8851" s="224" t="s">
        <v>2</v>
      </c>
    </row>
    <row r="8852" spans="1:9" x14ac:dyDescent="0.25">
      <c r="A8852" s="515">
        <v>24084</v>
      </c>
      <c r="B8852" s="515" t="s">
        <v>597</v>
      </c>
      <c r="C8852" s="52">
        <v>194699.594689655</v>
      </c>
      <c r="D8852" s="56">
        <v>2.8018513568524951E-2</v>
      </c>
      <c r="E8852" s="224" t="s">
        <v>2</v>
      </c>
      <c r="F8852" s="515" t="s">
        <v>10057</v>
      </c>
      <c r="G8852" s="52">
        <v>588455.64088397694</v>
      </c>
      <c r="H8852" s="56">
        <v>0</v>
      </c>
      <c r="I8852" s="224" t="s">
        <v>2</v>
      </c>
    </row>
    <row r="8853" spans="1:9" x14ac:dyDescent="0.25">
      <c r="A8853" s="515">
        <v>33190</v>
      </c>
      <c r="B8853" s="515" t="s">
        <v>831</v>
      </c>
      <c r="C8853" s="52">
        <v>412178.89001874003</v>
      </c>
      <c r="D8853" s="56">
        <v>0.1422435164700136</v>
      </c>
      <c r="E8853" s="224">
        <v>2674.6666666666601</v>
      </c>
      <c r="F8853" s="515" t="s">
        <v>10058</v>
      </c>
      <c r="G8853" s="52">
        <v>451283.91309429402</v>
      </c>
      <c r="H8853" s="56">
        <v>7.6202277500052968E-3</v>
      </c>
      <c r="I8853" s="224" t="s">
        <v>2</v>
      </c>
    </row>
    <row r="8854" spans="1:9" x14ac:dyDescent="0.25">
      <c r="A8854" s="515">
        <v>7452</v>
      </c>
      <c r="B8854" s="515" t="s">
        <v>324</v>
      </c>
      <c r="C8854" s="52">
        <v>762769.17887297797</v>
      </c>
      <c r="D8854" s="56">
        <v>1.5341065380813108E-2</v>
      </c>
      <c r="E8854" s="224" t="s">
        <v>2</v>
      </c>
      <c r="F8854" s="515" t="s">
        <v>10059</v>
      </c>
      <c r="G8854" s="52">
        <v>293412.57518573903</v>
      </c>
      <c r="H8854" s="56">
        <v>3.5470953406842268E-2</v>
      </c>
      <c r="I8854" s="224" t="s">
        <v>2</v>
      </c>
    </row>
    <row r="8855" spans="1:9" x14ac:dyDescent="0.25">
      <c r="A8855" s="515">
        <v>74023</v>
      </c>
      <c r="B8855" s="515" t="s">
        <v>969</v>
      </c>
      <c r="C8855" s="52">
        <v>112397.64247203</v>
      </c>
      <c r="D8855" s="56">
        <v>5.3387269877442661E-2</v>
      </c>
      <c r="E8855" s="224" t="s">
        <v>2</v>
      </c>
      <c r="F8855" s="515" t="s">
        <v>10060</v>
      </c>
      <c r="G8855" s="52">
        <v>161985.64628144499</v>
      </c>
      <c r="H8855" s="56">
        <v>-0.12193963941377484</v>
      </c>
      <c r="I8855" s="224" t="s">
        <v>2</v>
      </c>
    </row>
    <row r="8856" spans="1:9" x14ac:dyDescent="0.25">
      <c r="A8856" s="515">
        <v>30666</v>
      </c>
      <c r="B8856" s="515" t="s">
        <v>957</v>
      </c>
      <c r="C8856" s="52">
        <v>346630.95369844401</v>
      </c>
      <c r="D8856" s="56">
        <v>9.3146567279268094E-2</v>
      </c>
      <c r="E8856" s="224" t="s">
        <v>2</v>
      </c>
      <c r="F8856" s="515" t="s">
        <v>10061</v>
      </c>
      <c r="G8856" s="52">
        <v>169575.66598538801</v>
      </c>
      <c r="H8856" s="56">
        <v>0.14117619347713667</v>
      </c>
      <c r="I8856" s="224" t="s">
        <v>2</v>
      </c>
    </row>
    <row r="8857" spans="1:9" x14ac:dyDescent="0.25">
      <c r="A8857" s="515">
        <v>14219</v>
      </c>
      <c r="B8857" s="515" t="s">
        <v>336</v>
      </c>
      <c r="C8857" s="52">
        <v>207232.323306415</v>
      </c>
      <c r="D8857" s="56">
        <v>6.912292766417602E-2</v>
      </c>
      <c r="E8857" s="224" t="s">
        <v>2</v>
      </c>
      <c r="F8857" s="515" t="s">
        <v>10062</v>
      </c>
      <c r="G8857" s="52">
        <v>151999.68677331199</v>
      </c>
      <c r="H8857" s="56">
        <v>0.10944517548845403</v>
      </c>
      <c r="I8857" s="224" t="s">
        <v>2</v>
      </c>
    </row>
    <row r="8858" spans="1:9" x14ac:dyDescent="0.25">
      <c r="A8858" s="515">
        <v>44090</v>
      </c>
      <c r="B8858" s="515" t="s">
        <v>520</v>
      </c>
      <c r="C8858" s="52">
        <v>237334.74679805699</v>
      </c>
      <c r="D8858" s="56">
        <v>8.8810520517248429E-2</v>
      </c>
      <c r="E8858" s="224" t="s">
        <v>2</v>
      </c>
      <c r="F8858" s="515" t="s">
        <v>10063</v>
      </c>
      <c r="G8858" s="52">
        <v>325634.60368478799</v>
      </c>
      <c r="H8858" s="56">
        <v>4.3357388297856486E-2</v>
      </c>
      <c r="I8858" s="224" t="s">
        <v>2</v>
      </c>
    </row>
    <row r="8859" spans="1:9" x14ac:dyDescent="0.25">
      <c r="A8859" s="515">
        <v>38866</v>
      </c>
      <c r="B8859" s="515" t="s">
        <v>1010</v>
      </c>
      <c r="C8859" s="52">
        <v>210985.80822380801</v>
      </c>
      <c r="D8859" s="56">
        <v>4.0762742716490934E-2</v>
      </c>
      <c r="E8859" s="224" t="s">
        <v>2</v>
      </c>
      <c r="F8859" s="515" t="s">
        <v>10064</v>
      </c>
      <c r="G8859" s="52">
        <v>2281562.6264796099</v>
      </c>
      <c r="H8859" s="56">
        <v>3.791723185113554E-2</v>
      </c>
      <c r="I8859" s="224" t="s">
        <v>2</v>
      </c>
    </row>
    <row r="8860" spans="1:9" x14ac:dyDescent="0.25">
      <c r="A8860" s="515">
        <v>28580</v>
      </c>
      <c r="C8860" s="52">
        <v>151908.05631069801</v>
      </c>
      <c r="D8860" s="56">
        <v>0.12760388393860522</v>
      </c>
      <c r="E8860" s="224" t="s">
        <v>2</v>
      </c>
      <c r="F8860" s="515" t="s">
        <v>10065</v>
      </c>
      <c r="G8860" s="52">
        <v>187174.82780157501</v>
      </c>
      <c r="H8860" s="56">
        <v>0.14100022259118863</v>
      </c>
      <c r="I8860" s="224" t="s">
        <v>2</v>
      </c>
    </row>
    <row r="8861" spans="1:9" x14ac:dyDescent="0.25">
      <c r="A8861" s="515">
        <v>34102</v>
      </c>
      <c r="B8861" s="515" t="s">
        <v>365</v>
      </c>
      <c r="C8861" s="52">
        <v>1295542.9903993199</v>
      </c>
      <c r="D8861" s="56">
        <v>0.19280679866778913</v>
      </c>
      <c r="E8861" s="224">
        <v>8785.7142857142808</v>
      </c>
      <c r="F8861" s="515" t="s">
        <v>10066</v>
      </c>
      <c r="G8861" s="52">
        <v>735635.39165620296</v>
      </c>
      <c r="H8861" s="56">
        <v>1.8803370817221329E-2</v>
      </c>
      <c r="I8861" s="224" t="s">
        <v>2</v>
      </c>
    </row>
    <row r="8862" spans="1:9" x14ac:dyDescent="0.25">
      <c r="A8862" s="515">
        <v>32801</v>
      </c>
      <c r="B8862" s="515" t="s">
        <v>517</v>
      </c>
      <c r="C8862" s="52">
        <v>372253.760505035</v>
      </c>
      <c r="D8862" s="56">
        <v>0.109081424890342</v>
      </c>
      <c r="E8862" s="224">
        <v>1977.4239855072401</v>
      </c>
      <c r="F8862" s="515" t="s">
        <v>10067</v>
      </c>
      <c r="G8862" s="52">
        <v>172571.19053902599</v>
      </c>
      <c r="H8862" s="56">
        <v>2.6286894199473745E-2</v>
      </c>
      <c r="I8862" s="224" t="s">
        <v>2</v>
      </c>
    </row>
    <row r="8863" spans="1:9" x14ac:dyDescent="0.25">
      <c r="A8863" s="515">
        <v>32446</v>
      </c>
      <c r="C8863" s="52">
        <v>204853.297848583</v>
      </c>
      <c r="D8863" s="56">
        <v>0.12641524153824826</v>
      </c>
      <c r="E8863" s="224">
        <v>825</v>
      </c>
      <c r="F8863" s="515" t="s">
        <v>10068</v>
      </c>
      <c r="G8863" s="52">
        <v>211669.550856182</v>
      </c>
      <c r="H8863" s="56">
        <v>4.9330032712557412E-2</v>
      </c>
      <c r="I8863" s="224" t="s">
        <v>2</v>
      </c>
    </row>
    <row r="8864" spans="1:9" x14ac:dyDescent="0.25">
      <c r="A8864" s="515">
        <v>99019</v>
      </c>
      <c r="B8864" s="515" t="s">
        <v>820</v>
      </c>
      <c r="C8864" s="52">
        <v>567225.37569104705</v>
      </c>
      <c r="D8864" s="56">
        <v>3.4966933833209535E-2</v>
      </c>
      <c r="E8864" s="224">
        <v>1536.3333333333301</v>
      </c>
      <c r="F8864" s="515" t="s">
        <v>10069</v>
      </c>
      <c r="G8864" s="52">
        <v>152738.08909657199</v>
      </c>
      <c r="H8864" s="56">
        <v>9.4795330797999011E-2</v>
      </c>
      <c r="I8864" s="224" t="s">
        <v>2</v>
      </c>
    </row>
    <row r="8865" spans="1:9" x14ac:dyDescent="0.25">
      <c r="A8865" s="515">
        <v>35223</v>
      </c>
      <c r="B8865" s="515" t="s">
        <v>640</v>
      </c>
      <c r="C8865" s="52">
        <v>712199.67694116395</v>
      </c>
      <c r="D8865" s="56">
        <v>7.3955236166024993E-2</v>
      </c>
      <c r="E8865" s="224" t="s">
        <v>2</v>
      </c>
      <c r="F8865" s="515" t="s">
        <v>10070</v>
      </c>
      <c r="G8865" s="52">
        <v>201569.96410342399</v>
      </c>
      <c r="H8865" s="56">
        <v>3.8524428259464713E-2</v>
      </c>
      <c r="I8865" s="224" t="s">
        <v>2</v>
      </c>
    </row>
    <row r="8866" spans="1:9" x14ac:dyDescent="0.25">
      <c r="A8866" s="515">
        <v>96708</v>
      </c>
      <c r="B8866" s="515" t="s">
        <v>400</v>
      </c>
      <c r="C8866" s="52">
        <v>1240037.47790947</v>
      </c>
      <c r="D8866" s="56">
        <v>0.18254979200799665</v>
      </c>
      <c r="E8866" s="224" t="s">
        <v>2</v>
      </c>
      <c r="F8866" s="515" t="s">
        <v>10071</v>
      </c>
      <c r="G8866" s="52">
        <v>103646.303098501</v>
      </c>
      <c r="H8866" s="56">
        <v>-1.2212238023231681E-2</v>
      </c>
      <c r="I8866" s="224" t="s">
        <v>2</v>
      </c>
    </row>
    <row r="8867" spans="1:9" x14ac:dyDescent="0.25">
      <c r="A8867" s="515">
        <v>44905</v>
      </c>
      <c r="B8867" s="515" t="s">
        <v>1140</v>
      </c>
      <c r="C8867" s="52">
        <v>121434.560354413</v>
      </c>
      <c r="D8867" s="56">
        <v>7.6510583230484305E-2</v>
      </c>
      <c r="E8867" s="224" t="s">
        <v>2</v>
      </c>
      <c r="F8867" s="515" t="s">
        <v>10072</v>
      </c>
      <c r="G8867" s="52">
        <v>369341.09695325402</v>
      </c>
      <c r="H8867" s="56">
        <v>0.12519105194025457</v>
      </c>
      <c r="I8867" s="224" t="s">
        <v>2</v>
      </c>
    </row>
    <row r="8868" spans="1:9" x14ac:dyDescent="0.25">
      <c r="A8868" s="515">
        <v>29556</v>
      </c>
      <c r="C8868" s="52">
        <v>97685.607888725703</v>
      </c>
      <c r="D8868" s="56">
        <v>0.1145821030428596</v>
      </c>
      <c r="E8868" s="224" t="s">
        <v>2</v>
      </c>
      <c r="F8868" s="515" t="s">
        <v>10073</v>
      </c>
      <c r="G8868" s="52">
        <v>158457.72946606099</v>
      </c>
      <c r="H8868" s="56">
        <v>7.6873090636695021E-2</v>
      </c>
      <c r="I8868" s="224" t="s">
        <v>2</v>
      </c>
    </row>
    <row r="8869" spans="1:9" x14ac:dyDescent="0.25">
      <c r="A8869" s="515">
        <v>60152</v>
      </c>
      <c r="B8869" s="515" t="s">
        <v>394</v>
      </c>
      <c r="C8869" s="52">
        <v>276301.09885350702</v>
      </c>
      <c r="D8869" s="56">
        <v>8.5239843149849087E-2</v>
      </c>
      <c r="E8869" s="224" t="s">
        <v>2</v>
      </c>
      <c r="F8869" s="515" t="s">
        <v>10074</v>
      </c>
      <c r="G8869" s="52">
        <v>234508.149633992</v>
      </c>
      <c r="H8869" s="56">
        <v>4.0057530556344381E-2</v>
      </c>
      <c r="I8869" s="224" t="s">
        <v>2</v>
      </c>
    </row>
    <row r="8870" spans="1:9" x14ac:dyDescent="0.25">
      <c r="A8870" s="515">
        <v>68008</v>
      </c>
      <c r="B8870" s="515" t="s">
        <v>367</v>
      </c>
      <c r="C8870" s="52">
        <v>297689.85519263102</v>
      </c>
      <c r="D8870" s="56">
        <v>7.780798212925942E-2</v>
      </c>
      <c r="E8870" s="224" t="s">
        <v>2</v>
      </c>
      <c r="F8870" s="515" t="s">
        <v>10075</v>
      </c>
      <c r="G8870" s="52">
        <v>263538.59500777902</v>
      </c>
      <c r="H8870" s="56">
        <v>7.1253818395006496E-2</v>
      </c>
      <c r="I8870" s="224">
        <v>1314</v>
      </c>
    </row>
    <row r="8871" spans="1:9" x14ac:dyDescent="0.25">
      <c r="A8871" s="515">
        <v>13041</v>
      </c>
      <c r="B8871" s="515" t="s">
        <v>361</v>
      </c>
      <c r="C8871" s="52">
        <v>220454.42245391099</v>
      </c>
      <c r="D8871" s="56">
        <v>7.2558705127142242E-2</v>
      </c>
      <c r="E8871" s="224" t="s">
        <v>2</v>
      </c>
      <c r="F8871" s="515" t="s">
        <v>10076</v>
      </c>
      <c r="G8871" s="52">
        <v>458029.59541083302</v>
      </c>
      <c r="H8871" s="56">
        <v>1.8934016065827286E-2</v>
      </c>
      <c r="I8871" s="224" t="s">
        <v>2</v>
      </c>
    </row>
    <row r="8872" spans="1:9" x14ac:dyDescent="0.25">
      <c r="A8872" s="515">
        <v>75065</v>
      </c>
      <c r="B8872" s="515" t="s">
        <v>458</v>
      </c>
      <c r="C8872" s="52">
        <v>383187.59033432201</v>
      </c>
      <c r="D8872" s="56">
        <v>7.5468688669486944E-2</v>
      </c>
      <c r="E8872" s="224" t="s">
        <v>2</v>
      </c>
      <c r="F8872" s="515" t="s">
        <v>10077</v>
      </c>
      <c r="G8872" s="52">
        <v>115428.209401019</v>
      </c>
      <c r="H8872" s="56">
        <v>0.11679699798446712</v>
      </c>
      <c r="I8872" s="224" t="s">
        <v>2</v>
      </c>
    </row>
    <row r="8873" spans="1:9" x14ac:dyDescent="0.25">
      <c r="A8873" s="515">
        <v>24219</v>
      </c>
      <c r="B8873" s="515" t="s">
        <v>1150</v>
      </c>
      <c r="C8873" s="52">
        <v>110665.998800676</v>
      </c>
      <c r="D8873" s="56">
        <v>9.5441507805712852E-2</v>
      </c>
      <c r="E8873" s="224" t="s">
        <v>2</v>
      </c>
      <c r="F8873" s="515" t="s">
        <v>10078</v>
      </c>
      <c r="G8873" s="52">
        <v>217619.437053995</v>
      </c>
      <c r="H8873" s="56">
        <v>3.6393725418999726E-2</v>
      </c>
      <c r="I8873" s="224" t="s">
        <v>2</v>
      </c>
    </row>
    <row r="8874" spans="1:9" x14ac:dyDescent="0.25">
      <c r="A8874" s="515">
        <v>53563</v>
      </c>
      <c r="B8874" s="515" t="s">
        <v>379</v>
      </c>
      <c r="C8874" s="52">
        <v>290176.39970081398</v>
      </c>
      <c r="D8874" s="56">
        <v>6.9673570132115351E-2</v>
      </c>
      <c r="E8874" s="224" t="s">
        <v>2</v>
      </c>
      <c r="F8874" s="515" t="s">
        <v>10079</v>
      </c>
      <c r="G8874" s="52">
        <v>250813.48823900701</v>
      </c>
      <c r="H8874" s="56">
        <v>6.7589338756587042E-2</v>
      </c>
      <c r="I8874" s="224" t="s">
        <v>2</v>
      </c>
    </row>
    <row r="8875" spans="1:9" x14ac:dyDescent="0.25">
      <c r="A8875" s="515">
        <v>15656</v>
      </c>
      <c r="B8875" s="515" t="s">
        <v>297</v>
      </c>
      <c r="C8875" s="52">
        <v>143380.49970588001</v>
      </c>
      <c r="D8875" s="56">
        <v>4.3239552402155539E-2</v>
      </c>
      <c r="E8875" s="224" t="s">
        <v>2</v>
      </c>
      <c r="F8875" s="515" t="s">
        <v>10080</v>
      </c>
      <c r="G8875" s="52">
        <v>571729.59993480099</v>
      </c>
      <c r="H8875" s="56">
        <v>4.8044478622648705E-2</v>
      </c>
      <c r="I8875" s="224" t="s">
        <v>2</v>
      </c>
    </row>
    <row r="8876" spans="1:9" x14ac:dyDescent="0.25">
      <c r="A8876" s="515">
        <v>90013</v>
      </c>
      <c r="B8876" s="515" t="s">
        <v>375</v>
      </c>
      <c r="C8876" s="52">
        <v>625856.53036849503</v>
      </c>
      <c r="D8876" s="56">
        <v>-6.0373643641775949E-2</v>
      </c>
      <c r="E8876" s="224">
        <v>2723.3487558766101</v>
      </c>
      <c r="F8876" s="515" t="s">
        <v>10081</v>
      </c>
      <c r="G8876" s="52">
        <v>228921.46756268901</v>
      </c>
      <c r="H8876" s="56">
        <v>0.12189321142354498</v>
      </c>
      <c r="I8876" s="224" t="s">
        <v>2</v>
      </c>
    </row>
    <row r="8877" spans="1:9" x14ac:dyDescent="0.25">
      <c r="A8877" s="515">
        <v>34987</v>
      </c>
      <c r="B8877" s="515" t="s">
        <v>1180</v>
      </c>
      <c r="C8877" s="52">
        <v>471306.47791149199</v>
      </c>
      <c r="D8877" s="56">
        <v>0.14018791762340652</v>
      </c>
      <c r="E8877" s="224" t="s">
        <v>2</v>
      </c>
      <c r="F8877" s="515" t="s">
        <v>10082</v>
      </c>
      <c r="G8877" s="52">
        <v>202788.169691927</v>
      </c>
      <c r="H8877" s="56">
        <v>6.840891690899166E-2</v>
      </c>
      <c r="I8877" s="224" t="s">
        <v>2</v>
      </c>
    </row>
    <row r="8878" spans="1:9" x14ac:dyDescent="0.25">
      <c r="A8878" s="515">
        <v>19030</v>
      </c>
      <c r="B8878" s="515" t="s">
        <v>294</v>
      </c>
      <c r="C8878" s="52">
        <v>354285.48452780599</v>
      </c>
      <c r="D8878" s="56">
        <v>6.329039020914029E-2</v>
      </c>
      <c r="E8878" s="224" t="s">
        <v>2</v>
      </c>
      <c r="F8878" s="515" t="s">
        <v>10083</v>
      </c>
      <c r="G8878" s="52">
        <v>164530.76121981701</v>
      </c>
      <c r="H8878" s="56">
        <v>8.1965309886792501E-2</v>
      </c>
      <c r="I8878" s="224" t="s">
        <v>2</v>
      </c>
    </row>
    <row r="8879" spans="1:9" x14ac:dyDescent="0.25">
      <c r="A8879" s="515">
        <v>2744</v>
      </c>
      <c r="B8879" s="515" t="s">
        <v>513</v>
      </c>
      <c r="C8879" s="52">
        <v>361396.20615758299</v>
      </c>
      <c r="D8879" s="56">
        <v>8.5933622574137378E-2</v>
      </c>
      <c r="E8879" s="224" t="s">
        <v>2</v>
      </c>
      <c r="F8879" s="515" t="s">
        <v>10084</v>
      </c>
      <c r="G8879" s="52">
        <v>228513.42004973299</v>
      </c>
      <c r="H8879" s="56">
        <v>0.11406420878028486</v>
      </c>
      <c r="I8879" s="224" t="s">
        <v>2</v>
      </c>
    </row>
    <row r="8880" spans="1:9" x14ac:dyDescent="0.25">
      <c r="A8880" s="515">
        <v>95640</v>
      </c>
      <c r="C8880" s="52">
        <v>437814.47948176297</v>
      </c>
      <c r="D8880" s="56">
        <v>7.6218294445016256E-5</v>
      </c>
      <c r="E8880" s="224" t="s">
        <v>2</v>
      </c>
      <c r="F8880" s="515" t="s">
        <v>10085</v>
      </c>
      <c r="G8880" s="52">
        <v>315239.025797938</v>
      </c>
      <c r="H8880" s="56">
        <v>-1.5714007251388148E-2</v>
      </c>
      <c r="I8880" s="224" t="s">
        <v>2</v>
      </c>
    </row>
    <row r="8881" spans="1:9" x14ac:dyDescent="0.25">
      <c r="A8881" s="515">
        <v>15906</v>
      </c>
      <c r="B8881" s="515" t="s">
        <v>828</v>
      </c>
      <c r="C8881" s="52">
        <v>44245.276707970399</v>
      </c>
      <c r="D8881" s="56">
        <v>6.8429075091564123E-2</v>
      </c>
      <c r="E8881" s="224" t="s">
        <v>2</v>
      </c>
      <c r="F8881" s="515" t="s">
        <v>10086</v>
      </c>
      <c r="G8881" s="52">
        <v>191700.17223337901</v>
      </c>
      <c r="H8881" s="56">
        <v>0.14671088138720317</v>
      </c>
      <c r="I8881" s="224" t="s">
        <v>2</v>
      </c>
    </row>
    <row r="8882" spans="1:9" x14ac:dyDescent="0.25">
      <c r="A8882" s="515">
        <v>72227</v>
      </c>
      <c r="B8882" s="515" t="s">
        <v>393</v>
      </c>
      <c r="C8882" s="52">
        <v>248937.67657662099</v>
      </c>
      <c r="D8882" s="56">
        <v>7.0806560396023094E-2</v>
      </c>
      <c r="E8882" s="224">
        <v>963.83333333333303</v>
      </c>
      <c r="F8882" s="515" t="s">
        <v>10087</v>
      </c>
      <c r="G8882" s="52">
        <v>125998.96811212901</v>
      </c>
      <c r="H8882" s="56">
        <v>2.8344453134785428E-2</v>
      </c>
      <c r="I8882" s="224" t="s">
        <v>2</v>
      </c>
    </row>
    <row r="8883" spans="1:9" x14ac:dyDescent="0.25">
      <c r="A8883" s="515">
        <v>29672</v>
      </c>
      <c r="B8883" s="515" t="s">
        <v>804</v>
      </c>
      <c r="C8883" s="52">
        <v>470168.05160416302</v>
      </c>
      <c r="D8883" s="56">
        <v>0.11613410122576044</v>
      </c>
      <c r="E8883" s="224" t="s">
        <v>2</v>
      </c>
      <c r="F8883" s="515" t="s">
        <v>10088</v>
      </c>
      <c r="G8883" s="52">
        <v>131356.12985459101</v>
      </c>
      <c r="H8883" s="56">
        <v>0.10328029278048206</v>
      </c>
      <c r="I8883" s="224" t="s">
        <v>2</v>
      </c>
    </row>
    <row r="8884" spans="1:9" x14ac:dyDescent="0.25">
      <c r="A8884" s="515">
        <v>56031</v>
      </c>
      <c r="B8884" s="515" t="s">
        <v>608</v>
      </c>
      <c r="C8884" s="52">
        <v>162646.647740252</v>
      </c>
      <c r="D8884" s="56">
        <v>6.4871302489948657E-2</v>
      </c>
      <c r="E8884" s="224" t="s">
        <v>2</v>
      </c>
      <c r="F8884" s="515" t="s">
        <v>10089</v>
      </c>
      <c r="G8884" s="52">
        <v>180676.43085005501</v>
      </c>
      <c r="H8884" s="56">
        <v>6.9130161964132089E-2</v>
      </c>
      <c r="I8884" s="224" t="s">
        <v>2</v>
      </c>
    </row>
    <row r="8885" spans="1:9" x14ac:dyDescent="0.25">
      <c r="A8885" s="515">
        <v>1030</v>
      </c>
      <c r="B8885" s="515" t="s">
        <v>575</v>
      </c>
      <c r="C8885" s="52">
        <v>329127.13731362298</v>
      </c>
      <c r="D8885" s="56">
        <v>7.3300635406017819E-2</v>
      </c>
      <c r="E8885" s="224" t="s">
        <v>2</v>
      </c>
      <c r="F8885" s="515" t="s">
        <v>10090</v>
      </c>
      <c r="G8885" s="52">
        <v>159991.59125788001</v>
      </c>
      <c r="H8885" s="56">
        <v>7.0788938138796872E-2</v>
      </c>
      <c r="I8885" s="224" t="s">
        <v>2</v>
      </c>
    </row>
    <row r="8886" spans="1:9" x14ac:dyDescent="0.25">
      <c r="A8886" s="515">
        <v>36874</v>
      </c>
      <c r="B8886" s="515" t="s">
        <v>1159</v>
      </c>
      <c r="C8886" s="52">
        <v>262329.73833819601</v>
      </c>
      <c r="D8886" s="56">
        <v>4.5658663858404398E-2</v>
      </c>
      <c r="E8886" s="224" t="s">
        <v>2</v>
      </c>
      <c r="F8886" s="515" t="s">
        <v>10091</v>
      </c>
      <c r="G8886" s="52">
        <v>191638.08037859399</v>
      </c>
      <c r="H8886" s="56">
        <v>7.3032002018654632E-2</v>
      </c>
      <c r="I8886" s="224" t="s">
        <v>2</v>
      </c>
    </row>
    <row r="8887" spans="1:9" x14ac:dyDescent="0.25">
      <c r="A8887" s="515">
        <v>84029</v>
      </c>
      <c r="B8887" s="515" t="s">
        <v>617</v>
      </c>
      <c r="C8887" s="52">
        <v>490291.13774208003</v>
      </c>
      <c r="D8887" s="56">
        <v>1.6481675246062005E-2</v>
      </c>
      <c r="E8887" s="224" t="s">
        <v>2</v>
      </c>
      <c r="F8887" s="515" t="s">
        <v>10092</v>
      </c>
      <c r="G8887" s="52">
        <v>225698.83235375199</v>
      </c>
      <c r="H8887" s="56">
        <v>0.15650346612864499</v>
      </c>
      <c r="I8887" s="224" t="s">
        <v>2</v>
      </c>
    </row>
    <row r="8888" spans="1:9" x14ac:dyDescent="0.25">
      <c r="A8888" s="515">
        <v>35128</v>
      </c>
      <c r="B8888" s="515" t="s">
        <v>640</v>
      </c>
      <c r="C8888" s="52">
        <v>289582.171413548</v>
      </c>
      <c r="D8888" s="56">
        <v>5.3081830919491535E-2</v>
      </c>
      <c r="E8888" s="224" t="s">
        <v>2</v>
      </c>
      <c r="F8888" s="515" t="s">
        <v>10093</v>
      </c>
      <c r="G8888" s="52">
        <v>136239.13911919601</v>
      </c>
      <c r="H8888" s="56">
        <v>4.1114924543483963E-2</v>
      </c>
      <c r="I8888" s="224" t="s">
        <v>2</v>
      </c>
    </row>
    <row r="8889" spans="1:9" x14ac:dyDescent="0.25">
      <c r="A8889" s="515">
        <v>19129</v>
      </c>
      <c r="B8889" s="515" t="s">
        <v>294</v>
      </c>
      <c r="C8889" s="52">
        <v>291157.70211286098</v>
      </c>
      <c r="D8889" s="56">
        <v>5.899918871916341E-2</v>
      </c>
      <c r="E8889" s="224">
        <v>1719.2</v>
      </c>
      <c r="F8889" s="515" t="s">
        <v>10094</v>
      </c>
      <c r="G8889" s="52">
        <v>157564.88675894999</v>
      </c>
      <c r="H8889" s="56">
        <v>0.16310688770612164</v>
      </c>
      <c r="I8889" s="224" t="s">
        <v>2</v>
      </c>
    </row>
    <row r="8890" spans="1:9" x14ac:dyDescent="0.25">
      <c r="A8890" s="515">
        <v>44839</v>
      </c>
      <c r="B8890" s="515" t="s">
        <v>712</v>
      </c>
      <c r="C8890" s="52">
        <v>252049.72185782899</v>
      </c>
      <c r="D8890" s="56">
        <v>9.5120106281127437E-2</v>
      </c>
      <c r="E8890" s="224" t="s">
        <v>2</v>
      </c>
      <c r="F8890" s="515" t="s">
        <v>10095</v>
      </c>
      <c r="G8890" s="52">
        <v>479384.21639701299</v>
      </c>
      <c r="H8890" s="56">
        <v>6.8464420437424123E-2</v>
      </c>
      <c r="I8890" s="224" t="s">
        <v>2</v>
      </c>
    </row>
    <row r="8891" spans="1:9" x14ac:dyDescent="0.25">
      <c r="A8891" s="515">
        <v>76354</v>
      </c>
      <c r="B8891" s="515" t="s">
        <v>328</v>
      </c>
      <c r="C8891" s="52">
        <v>150644.410877188</v>
      </c>
      <c r="D8891" s="56">
        <v>7.0910060883049589E-2</v>
      </c>
      <c r="E8891" s="224" t="s">
        <v>2</v>
      </c>
      <c r="F8891" s="515" t="s">
        <v>10096</v>
      </c>
      <c r="G8891" s="52">
        <v>528694.11066635</v>
      </c>
      <c r="H8891" s="56">
        <v>0.11529414727608445</v>
      </c>
      <c r="I8891" s="224" t="s">
        <v>2</v>
      </c>
    </row>
    <row r="8892" spans="1:9" x14ac:dyDescent="0.25">
      <c r="A8892" s="515">
        <v>28345</v>
      </c>
      <c r="B8892" s="515" t="s">
        <v>535</v>
      </c>
      <c r="C8892" s="52">
        <v>100338.14583461601</v>
      </c>
      <c r="D8892" s="56">
        <v>0.16863475877257703</v>
      </c>
      <c r="E8892" s="224" t="s">
        <v>2</v>
      </c>
      <c r="F8892" s="515" t="s">
        <v>10097</v>
      </c>
      <c r="G8892" s="52">
        <v>1328078.9430219301</v>
      </c>
      <c r="H8892" s="56">
        <v>2.220709319966967E-2</v>
      </c>
      <c r="I8892" s="224" t="s">
        <v>2</v>
      </c>
    </row>
    <row r="8893" spans="1:9" x14ac:dyDescent="0.25">
      <c r="A8893" s="515">
        <v>27910</v>
      </c>
      <c r="C8893" s="52">
        <v>86042.703760213</v>
      </c>
      <c r="D8893" s="56">
        <v>5.2783227205219323E-2</v>
      </c>
      <c r="E8893" s="224" t="s">
        <v>2</v>
      </c>
      <c r="F8893" s="515" t="s">
        <v>10098</v>
      </c>
      <c r="G8893" s="52">
        <v>192870.31317996301</v>
      </c>
      <c r="H8893" s="56">
        <v>7.033331106922161E-2</v>
      </c>
      <c r="I8893" s="224" t="s">
        <v>2</v>
      </c>
    </row>
    <row r="8894" spans="1:9" x14ac:dyDescent="0.25">
      <c r="A8894" s="515">
        <v>64137</v>
      </c>
      <c r="B8894" s="515" t="s">
        <v>455</v>
      </c>
      <c r="C8894" s="52">
        <v>194906.41819540499</v>
      </c>
      <c r="D8894" s="56">
        <v>6.295988376098928E-2</v>
      </c>
      <c r="E8894" s="224">
        <v>1116.6365079365</v>
      </c>
      <c r="F8894" s="515" t="s">
        <v>10099</v>
      </c>
      <c r="G8894" s="52">
        <v>1273188.0136676601</v>
      </c>
      <c r="H8894" s="56">
        <v>8.9769298400616107E-2</v>
      </c>
      <c r="I8894" s="224" t="s">
        <v>2</v>
      </c>
    </row>
    <row r="8895" spans="1:9" x14ac:dyDescent="0.25">
      <c r="A8895" s="515">
        <v>29670</v>
      </c>
      <c r="B8895" s="515" t="s">
        <v>613</v>
      </c>
      <c r="C8895" s="52">
        <v>246837.77534622699</v>
      </c>
      <c r="D8895" s="56">
        <v>0.1128834878392402</v>
      </c>
      <c r="E8895" s="224" t="s">
        <v>2</v>
      </c>
      <c r="F8895" s="515" t="s">
        <v>10100</v>
      </c>
      <c r="G8895" s="52">
        <v>257482.56054419099</v>
      </c>
      <c r="H8895" s="56">
        <v>0.10984909150546829</v>
      </c>
      <c r="I8895" s="224" t="s">
        <v>2</v>
      </c>
    </row>
    <row r="8896" spans="1:9" x14ac:dyDescent="0.25">
      <c r="A8896" s="515">
        <v>16412</v>
      </c>
      <c r="B8896" s="515" t="s">
        <v>753</v>
      </c>
      <c r="C8896" s="52">
        <v>231412.263926738</v>
      </c>
      <c r="D8896" s="56">
        <v>5.5277698149405953E-2</v>
      </c>
      <c r="E8896" s="224" t="s">
        <v>2</v>
      </c>
      <c r="F8896" s="515" t="s">
        <v>10101</v>
      </c>
      <c r="G8896" s="52">
        <v>137334.22258647601</v>
      </c>
      <c r="H8896" s="56">
        <v>1.1734786185291803E-2</v>
      </c>
      <c r="I8896" s="224" t="s">
        <v>2</v>
      </c>
    </row>
    <row r="8897" spans="1:9" x14ac:dyDescent="0.25">
      <c r="A8897" s="515">
        <v>88081</v>
      </c>
      <c r="B8897" s="515" t="s">
        <v>317</v>
      </c>
      <c r="C8897" s="52">
        <v>174019.33815947399</v>
      </c>
      <c r="D8897" s="56">
        <v>7.9399429861036139E-2</v>
      </c>
      <c r="E8897" s="224" t="s">
        <v>2</v>
      </c>
      <c r="F8897" s="515" t="s">
        <v>10102</v>
      </c>
      <c r="G8897" s="52">
        <v>167644.62509046099</v>
      </c>
      <c r="H8897" s="56">
        <v>7.6862808387075307E-2</v>
      </c>
      <c r="I8897" s="224" t="s">
        <v>2</v>
      </c>
    </row>
    <row r="8898" spans="1:9" x14ac:dyDescent="0.25">
      <c r="A8898" s="515">
        <v>79124</v>
      </c>
      <c r="B8898" s="515" t="s">
        <v>869</v>
      </c>
      <c r="C8898" s="52">
        <v>354044.48344908998</v>
      </c>
      <c r="D8898" s="56">
        <v>7.6248767929467318E-2</v>
      </c>
      <c r="E8898" s="224" t="s">
        <v>2</v>
      </c>
      <c r="F8898" s="515" t="s">
        <v>10103</v>
      </c>
      <c r="G8898" s="52">
        <v>230143.50878986699</v>
      </c>
      <c r="H8898" s="56">
        <v>0.14754462621317033</v>
      </c>
      <c r="I8898" s="224" t="s">
        <v>2</v>
      </c>
    </row>
    <row r="8899" spans="1:9" x14ac:dyDescent="0.25">
      <c r="A8899" s="515">
        <v>32709</v>
      </c>
      <c r="B8899" s="515" t="s">
        <v>517</v>
      </c>
      <c r="C8899" s="52">
        <v>397495.94215865602</v>
      </c>
      <c r="D8899" s="56">
        <v>0.15166338146139713</v>
      </c>
      <c r="E8899" s="224" t="s">
        <v>2</v>
      </c>
      <c r="F8899" s="515" t="s">
        <v>10104</v>
      </c>
      <c r="G8899" s="52">
        <v>109436.135735936</v>
      </c>
      <c r="H8899" s="56">
        <v>9.3947414452829212E-2</v>
      </c>
      <c r="I8899" s="224" t="s">
        <v>2</v>
      </c>
    </row>
    <row r="8900" spans="1:9" x14ac:dyDescent="0.25">
      <c r="A8900" s="515">
        <v>34288</v>
      </c>
      <c r="B8900" s="515" t="s">
        <v>466</v>
      </c>
      <c r="C8900" s="52">
        <v>379361.85588005697</v>
      </c>
      <c r="D8900" s="56">
        <v>0.10204506443282017</v>
      </c>
      <c r="E8900" s="224" t="s">
        <v>2</v>
      </c>
      <c r="F8900" s="515" t="s">
        <v>10105</v>
      </c>
      <c r="G8900" s="52">
        <v>440748.872484961</v>
      </c>
      <c r="H8900" s="56">
        <v>3.165299181537614E-2</v>
      </c>
      <c r="I8900" s="224" t="s">
        <v>2</v>
      </c>
    </row>
    <row r="8901" spans="1:9" x14ac:dyDescent="0.25">
      <c r="A8901" s="515">
        <v>30290</v>
      </c>
      <c r="B8901" s="515" t="s">
        <v>957</v>
      </c>
      <c r="C8901" s="52">
        <v>462807.115337272</v>
      </c>
      <c r="D8901" s="56">
        <v>6.6989881297755488E-2</v>
      </c>
      <c r="E8901" s="224" t="s">
        <v>2</v>
      </c>
      <c r="F8901" s="515" t="s">
        <v>10106</v>
      </c>
      <c r="G8901" s="52">
        <v>226653.30556575899</v>
      </c>
      <c r="H8901" s="56">
        <v>0.10024156536391658</v>
      </c>
      <c r="I8901" s="224" t="s">
        <v>2</v>
      </c>
    </row>
    <row r="8902" spans="1:9" x14ac:dyDescent="0.25">
      <c r="A8902" s="515">
        <v>37854</v>
      </c>
      <c r="B8902" s="515" t="s">
        <v>907</v>
      </c>
      <c r="C8902" s="52">
        <v>182299.15155734599</v>
      </c>
      <c r="D8902" s="56">
        <v>8.3259512366080562E-2</v>
      </c>
      <c r="E8902" s="224" t="s">
        <v>2</v>
      </c>
      <c r="F8902" s="515" t="s">
        <v>10107</v>
      </c>
      <c r="G8902" s="52">
        <v>256165.26011616801</v>
      </c>
      <c r="H8902" s="56">
        <v>8.5483530241119168E-2</v>
      </c>
      <c r="I8902" s="224" t="s">
        <v>2</v>
      </c>
    </row>
    <row r="8903" spans="1:9" x14ac:dyDescent="0.25">
      <c r="A8903" s="515">
        <v>30184</v>
      </c>
      <c r="B8903" s="515" t="s">
        <v>957</v>
      </c>
      <c r="C8903" s="52">
        <v>347293.652216335</v>
      </c>
      <c r="D8903" s="56">
        <v>0.10337368618203248</v>
      </c>
      <c r="E8903" s="224" t="s">
        <v>2</v>
      </c>
      <c r="F8903" s="515" t="s">
        <v>10108</v>
      </c>
      <c r="G8903" s="52">
        <v>68242.046490167093</v>
      </c>
      <c r="H8903" s="56">
        <v>-8.5691471816766965E-2</v>
      </c>
      <c r="I8903" s="224" t="s">
        <v>2</v>
      </c>
    </row>
    <row r="8904" spans="1:9" x14ac:dyDescent="0.25">
      <c r="A8904" s="515">
        <v>32110</v>
      </c>
      <c r="B8904" s="515" t="s">
        <v>974</v>
      </c>
      <c r="C8904" s="52">
        <v>273328.154619671</v>
      </c>
      <c r="D8904" s="56">
        <v>8.0330340500978703E-2</v>
      </c>
      <c r="E8904" s="224" t="s">
        <v>2</v>
      </c>
      <c r="F8904" s="515" t="s">
        <v>10109</v>
      </c>
      <c r="G8904" s="52">
        <v>494227.93497118901</v>
      </c>
      <c r="H8904" s="56">
        <v>0.12810294266506031</v>
      </c>
      <c r="I8904" s="224" t="s">
        <v>2</v>
      </c>
    </row>
    <row r="8905" spans="1:9" x14ac:dyDescent="0.25">
      <c r="A8905" s="515">
        <v>33841</v>
      </c>
      <c r="B8905" s="515" t="s">
        <v>359</v>
      </c>
      <c r="C8905" s="52">
        <v>209283.28205796299</v>
      </c>
      <c r="D8905" s="56">
        <v>0.17795278162461073</v>
      </c>
      <c r="E8905" s="224" t="s">
        <v>2</v>
      </c>
      <c r="F8905" s="515" t="s">
        <v>10110</v>
      </c>
      <c r="G8905" s="52">
        <v>286796.19081046397</v>
      </c>
      <c r="H8905" s="56">
        <v>6.5490458824589967E-2</v>
      </c>
      <c r="I8905" s="224" t="s">
        <v>2</v>
      </c>
    </row>
    <row r="8906" spans="1:9" x14ac:dyDescent="0.25">
      <c r="A8906" s="515">
        <v>8629</v>
      </c>
      <c r="B8906" s="515" t="s">
        <v>938</v>
      </c>
      <c r="C8906" s="52">
        <v>179688.69181364099</v>
      </c>
      <c r="D8906" s="56">
        <v>0.12138653211441496</v>
      </c>
      <c r="E8906" s="224" t="s">
        <v>2</v>
      </c>
      <c r="F8906" s="515" t="s">
        <v>10111</v>
      </c>
      <c r="G8906" s="52">
        <v>154094.046018402</v>
      </c>
      <c r="H8906" s="56">
        <v>4.8456088241197549E-2</v>
      </c>
      <c r="I8906" s="224" t="s">
        <v>2</v>
      </c>
    </row>
    <row r="8907" spans="1:9" x14ac:dyDescent="0.25">
      <c r="A8907" s="515">
        <v>79022</v>
      </c>
      <c r="C8907" s="52">
        <v>160227.387759898</v>
      </c>
      <c r="D8907" s="56">
        <v>-5.358003660991967E-3</v>
      </c>
      <c r="E8907" s="224" t="s">
        <v>2</v>
      </c>
      <c r="F8907" s="515" t="s">
        <v>10112</v>
      </c>
      <c r="G8907" s="52">
        <v>103365.099688042</v>
      </c>
      <c r="H8907" s="56">
        <v>0.14504342218124019</v>
      </c>
      <c r="I8907" s="224" t="s">
        <v>2</v>
      </c>
    </row>
    <row r="8908" spans="1:9" x14ac:dyDescent="0.25">
      <c r="A8908" s="515">
        <v>89441</v>
      </c>
      <c r="B8908" s="515" t="s">
        <v>581</v>
      </c>
      <c r="C8908" s="52">
        <v>616206.70889975701</v>
      </c>
      <c r="D8908" s="56">
        <v>1.0843516321119217E-2</v>
      </c>
      <c r="E8908" s="224" t="s">
        <v>2</v>
      </c>
      <c r="F8908" s="515" t="s">
        <v>10113</v>
      </c>
      <c r="G8908" s="52">
        <v>1351576.7224586001</v>
      </c>
      <c r="H8908" s="56">
        <v>0.26062107588163147</v>
      </c>
      <c r="I8908" s="224" t="s">
        <v>2</v>
      </c>
    </row>
    <row r="8909" spans="1:9" x14ac:dyDescent="0.25">
      <c r="A8909" s="515">
        <v>68112</v>
      </c>
      <c r="B8909" s="515" t="s">
        <v>367</v>
      </c>
      <c r="C8909" s="52">
        <v>162780.41240028801</v>
      </c>
      <c r="D8909" s="56">
        <v>8.4164124307983895E-2</v>
      </c>
      <c r="E8909" s="224" t="s">
        <v>2</v>
      </c>
      <c r="F8909" s="515" t="s">
        <v>10114</v>
      </c>
      <c r="G8909" s="52">
        <v>718974.05014843505</v>
      </c>
      <c r="H8909" s="56">
        <v>0.10565864806706751</v>
      </c>
      <c r="I8909" s="224" t="s">
        <v>2</v>
      </c>
    </row>
    <row r="8910" spans="1:9" x14ac:dyDescent="0.25">
      <c r="A8910" s="515">
        <v>76306</v>
      </c>
      <c r="B8910" s="515" t="s">
        <v>328</v>
      </c>
      <c r="C8910" s="52">
        <v>118016.34381654501</v>
      </c>
      <c r="D8910" s="56">
        <v>0.10223499239201833</v>
      </c>
      <c r="E8910" s="224">
        <v>1500</v>
      </c>
      <c r="F8910" s="515" t="s">
        <v>10115</v>
      </c>
      <c r="G8910" s="52">
        <v>149138.06558853699</v>
      </c>
      <c r="H8910" s="56">
        <v>5.655791512758674E-2</v>
      </c>
      <c r="I8910" s="224" t="s">
        <v>2</v>
      </c>
    </row>
    <row r="8911" spans="1:9" x14ac:dyDescent="0.25">
      <c r="A8911" s="515">
        <v>73068</v>
      </c>
      <c r="B8911" s="515" t="s">
        <v>385</v>
      </c>
      <c r="C8911" s="52">
        <v>175385.75690633801</v>
      </c>
      <c r="D8911" s="56">
        <v>0.10853558269014496</v>
      </c>
      <c r="E8911" s="224" t="s">
        <v>2</v>
      </c>
      <c r="F8911" s="515" t="s">
        <v>10116</v>
      </c>
      <c r="G8911" s="52">
        <v>259999.11851699301</v>
      </c>
      <c r="H8911" s="56">
        <v>8.1180650173344804E-2</v>
      </c>
      <c r="I8911" s="224" t="s">
        <v>2</v>
      </c>
    </row>
    <row r="8912" spans="1:9" x14ac:dyDescent="0.25">
      <c r="A8912" s="515">
        <v>22968</v>
      </c>
      <c r="B8912" s="515" t="s">
        <v>630</v>
      </c>
      <c r="C8912" s="52">
        <v>331157.89009090298</v>
      </c>
      <c r="D8912" s="56">
        <v>6.8741148600332855E-2</v>
      </c>
      <c r="E8912" s="224" t="s">
        <v>2</v>
      </c>
      <c r="F8912" s="515" t="s">
        <v>10117</v>
      </c>
      <c r="G8912" s="52">
        <v>337673.07961489301</v>
      </c>
      <c r="H8912" s="56">
        <v>9.1059509527139093E-2</v>
      </c>
      <c r="I8912" s="224" t="s">
        <v>2</v>
      </c>
    </row>
    <row r="8913" spans="1:9" x14ac:dyDescent="0.25">
      <c r="A8913" s="515">
        <v>21774</v>
      </c>
      <c r="B8913" s="515" t="s">
        <v>321</v>
      </c>
      <c r="C8913" s="52">
        <v>534845.953738429</v>
      </c>
      <c r="D8913" s="56">
        <v>5.8250781782397752E-2</v>
      </c>
      <c r="E8913" s="224" t="s">
        <v>2</v>
      </c>
      <c r="F8913" s="515" t="s">
        <v>10118</v>
      </c>
      <c r="G8913" s="52">
        <v>381469.07953866699</v>
      </c>
      <c r="H8913" s="56">
        <v>6.6131051330051205E-2</v>
      </c>
      <c r="I8913" s="224" t="s">
        <v>2</v>
      </c>
    </row>
    <row r="8914" spans="1:9" x14ac:dyDescent="0.25">
      <c r="A8914" s="515">
        <v>20024</v>
      </c>
      <c r="B8914" s="515" t="s">
        <v>321</v>
      </c>
      <c r="C8914" s="52">
        <v>465675.48184113199</v>
      </c>
      <c r="D8914" s="56">
        <v>-7.5660798885303568E-2</v>
      </c>
      <c r="E8914" s="224">
        <v>2489.5881226053598</v>
      </c>
      <c r="F8914" s="515" t="s">
        <v>10119</v>
      </c>
      <c r="G8914" s="52">
        <v>83302.199344115099</v>
      </c>
      <c r="H8914" s="56">
        <v>7.243237166049793E-2</v>
      </c>
      <c r="I8914" s="224" t="s">
        <v>2</v>
      </c>
    </row>
    <row r="8915" spans="1:9" x14ac:dyDescent="0.25">
      <c r="A8915" s="515">
        <v>17340</v>
      </c>
      <c r="B8915" s="515" t="s">
        <v>457</v>
      </c>
      <c r="C8915" s="52">
        <v>285928.69507623801</v>
      </c>
      <c r="D8915" s="56">
        <v>6.2357641208329491E-2</v>
      </c>
      <c r="E8915" s="224" t="s">
        <v>2</v>
      </c>
      <c r="F8915" s="515" t="s">
        <v>10120</v>
      </c>
      <c r="G8915" s="52">
        <v>177220.509474408</v>
      </c>
      <c r="H8915" s="56">
        <v>6.7149549196141523E-2</v>
      </c>
      <c r="I8915" s="224" t="s">
        <v>2</v>
      </c>
    </row>
    <row r="8916" spans="1:9" x14ac:dyDescent="0.25">
      <c r="A8916" s="515">
        <v>48215</v>
      </c>
      <c r="B8916" s="515" t="s">
        <v>685</v>
      </c>
      <c r="C8916" s="52">
        <v>80399.179475540397</v>
      </c>
      <c r="D8916" s="56">
        <v>8.3398689898365966E-3</v>
      </c>
      <c r="E8916" s="224">
        <v>1325</v>
      </c>
      <c r="F8916" s="515" t="s">
        <v>10121</v>
      </c>
      <c r="G8916" s="52">
        <v>170858.22300393099</v>
      </c>
      <c r="H8916" s="56">
        <v>0.11355352954890872</v>
      </c>
      <c r="I8916" s="224" t="s">
        <v>2</v>
      </c>
    </row>
    <row r="8917" spans="1:9" x14ac:dyDescent="0.25">
      <c r="A8917" s="515">
        <v>60422</v>
      </c>
      <c r="B8917" s="515" t="s">
        <v>394</v>
      </c>
      <c r="C8917" s="52">
        <v>304463.20983306499</v>
      </c>
      <c r="D8917" s="56">
        <v>7.1056053244128003E-2</v>
      </c>
      <c r="E8917" s="224" t="s">
        <v>2</v>
      </c>
      <c r="F8917" s="515" t="s">
        <v>10122</v>
      </c>
      <c r="G8917" s="52">
        <v>57849.826776208</v>
      </c>
      <c r="H8917" s="56">
        <v>7.7890586922718066E-2</v>
      </c>
      <c r="I8917" s="224" t="s">
        <v>2</v>
      </c>
    </row>
    <row r="8918" spans="1:9" x14ac:dyDescent="0.25">
      <c r="A8918" s="515">
        <v>55387</v>
      </c>
      <c r="B8918" s="515" t="s">
        <v>532</v>
      </c>
      <c r="C8918" s="52">
        <v>413381.87876549701</v>
      </c>
      <c r="D8918" s="56">
        <v>4.0580699697643274E-2</v>
      </c>
      <c r="E8918" s="224" t="s">
        <v>2</v>
      </c>
      <c r="F8918" s="515" t="s">
        <v>10123</v>
      </c>
      <c r="G8918" s="52">
        <v>225833.066719756</v>
      </c>
      <c r="H8918" s="56">
        <v>9.7169236754636137E-2</v>
      </c>
      <c r="I8918" s="224" t="s">
        <v>2</v>
      </c>
    </row>
    <row r="8919" spans="1:9" x14ac:dyDescent="0.25">
      <c r="A8919" s="515">
        <v>98674</v>
      </c>
      <c r="B8919" s="515" t="s">
        <v>807</v>
      </c>
      <c r="C8919" s="52">
        <v>518092.53321449697</v>
      </c>
      <c r="D8919" s="56">
        <v>4.5972528781783012E-2</v>
      </c>
      <c r="E8919" s="224" t="s">
        <v>2</v>
      </c>
      <c r="F8919" s="515" t="s">
        <v>10124</v>
      </c>
      <c r="G8919" s="52">
        <v>500090.74392919999</v>
      </c>
      <c r="H8919" s="56">
        <v>8.2469369162597422E-2</v>
      </c>
      <c r="I8919" s="224" t="s">
        <v>2</v>
      </c>
    </row>
    <row r="8920" spans="1:9" x14ac:dyDescent="0.25">
      <c r="A8920" s="515">
        <v>91914</v>
      </c>
      <c r="B8920" s="515" t="s">
        <v>396</v>
      </c>
      <c r="C8920" s="52">
        <v>1018131.02793793</v>
      </c>
      <c r="D8920" s="56">
        <v>1.1577365013645848E-2</v>
      </c>
      <c r="E8920" s="224" t="s">
        <v>2</v>
      </c>
      <c r="F8920" s="515" t="s">
        <v>10125</v>
      </c>
      <c r="G8920" s="52">
        <v>304176.53296697501</v>
      </c>
      <c r="H8920" s="56">
        <v>7.5861638837602302E-2</v>
      </c>
      <c r="I8920" s="224" t="s">
        <v>2</v>
      </c>
    </row>
    <row r="8921" spans="1:9" x14ac:dyDescent="0.25">
      <c r="A8921" s="515">
        <v>37179</v>
      </c>
      <c r="B8921" s="515" t="s">
        <v>684</v>
      </c>
      <c r="C8921" s="52">
        <v>645643.11425605603</v>
      </c>
      <c r="D8921" s="56">
        <v>0.12292642651704543</v>
      </c>
      <c r="E8921" s="224">
        <v>2465.8333333333298</v>
      </c>
      <c r="F8921" s="515" t="s">
        <v>10126</v>
      </c>
      <c r="G8921" s="52">
        <v>310359.37149674498</v>
      </c>
      <c r="H8921" s="56">
        <v>0.19994255104775421</v>
      </c>
      <c r="I8921" s="224" t="s">
        <v>2</v>
      </c>
    </row>
    <row r="8922" spans="1:9" x14ac:dyDescent="0.25">
      <c r="A8922" s="515">
        <v>54843</v>
      </c>
      <c r="C8922" s="52">
        <v>322479.68871143099</v>
      </c>
      <c r="D8922" s="56">
        <v>9.1035149957198719E-2</v>
      </c>
      <c r="E8922" s="224" t="s">
        <v>2</v>
      </c>
      <c r="F8922" s="515" t="s">
        <v>10127</v>
      </c>
      <c r="G8922" s="52">
        <v>93187.127534138795</v>
      </c>
      <c r="H8922" s="56">
        <v>7.359204733985035E-2</v>
      </c>
      <c r="I8922" s="224" t="s">
        <v>2</v>
      </c>
    </row>
    <row r="8923" spans="1:9" x14ac:dyDescent="0.25">
      <c r="A8923" s="515">
        <v>93647</v>
      </c>
      <c r="B8923" s="515" t="s">
        <v>358</v>
      </c>
      <c r="C8923" s="52">
        <v>252883.01460614399</v>
      </c>
      <c r="D8923" s="56">
        <v>8.6372996838357557E-2</v>
      </c>
      <c r="E8923" s="224" t="s">
        <v>2</v>
      </c>
      <c r="F8923" s="515" t="s">
        <v>10128</v>
      </c>
      <c r="G8923" s="52">
        <v>247229.01319664301</v>
      </c>
      <c r="H8923" s="56">
        <v>6.7017626872197714E-2</v>
      </c>
      <c r="I8923" s="224" t="s">
        <v>2</v>
      </c>
    </row>
    <row r="8924" spans="1:9" x14ac:dyDescent="0.25">
      <c r="A8924" s="515">
        <v>1571</v>
      </c>
      <c r="B8924" s="515" t="s">
        <v>751</v>
      </c>
      <c r="C8924" s="52">
        <v>375903.22545706399</v>
      </c>
      <c r="D8924" s="56">
        <v>7.1084981110040954E-2</v>
      </c>
      <c r="E8924" s="224" t="s">
        <v>2</v>
      </c>
      <c r="F8924" s="515" t="s">
        <v>10129</v>
      </c>
      <c r="G8924" s="52">
        <v>586837.10321419698</v>
      </c>
      <c r="H8924" s="56">
        <v>5.2883212820455501E-2</v>
      </c>
      <c r="I8924" s="224" t="s">
        <v>2</v>
      </c>
    </row>
    <row r="8925" spans="1:9" x14ac:dyDescent="0.25">
      <c r="A8925" s="515">
        <v>50138</v>
      </c>
      <c r="B8925" s="515" t="s">
        <v>625</v>
      </c>
      <c r="C8925" s="52">
        <v>170985.58515852899</v>
      </c>
      <c r="D8925" s="56">
        <v>8.1656641091078883E-2</v>
      </c>
      <c r="E8925" s="224" t="s">
        <v>2</v>
      </c>
      <c r="F8925" s="515" t="s">
        <v>10130</v>
      </c>
      <c r="G8925" s="52">
        <v>935663.50436637702</v>
      </c>
      <c r="H8925" s="56">
        <v>9.3731226501676479E-2</v>
      </c>
      <c r="I8925" s="224" t="s">
        <v>2</v>
      </c>
    </row>
    <row r="8926" spans="1:9" x14ac:dyDescent="0.25">
      <c r="A8926" s="515">
        <v>18014</v>
      </c>
      <c r="B8926" s="515" t="s">
        <v>327</v>
      </c>
      <c r="C8926" s="52">
        <v>306862.91703296098</v>
      </c>
      <c r="D8926" s="56">
        <v>0.12441301756537405</v>
      </c>
      <c r="E8926" s="224" t="s">
        <v>2</v>
      </c>
      <c r="F8926" s="515" t="s">
        <v>10131</v>
      </c>
      <c r="G8926" s="52">
        <v>388570.39095600799</v>
      </c>
      <c r="H8926" s="56">
        <v>0.10254488885499544</v>
      </c>
      <c r="I8926" s="224" t="s">
        <v>2</v>
      </c>
    </row>
    <row r="8927" spans="1:9" x14ac:dyDescent="0.25">
      <c r="A8927" s="515">
        <v>49097</v>
      </c>
      <c r="B8927" s="515" t="s">
        <v>1037</v>
      </c>
      <c r="C8927" s="52">
        <v>234058.61824729599</v>
      </c>
      <c r="D8927" s="56">
        <v>6.3798370054821349E-2</v>
      </c>
      <c r="E8927" s="224" t="s">
        <v>2</v>
      </c>
      <c r="F8927" s="515" t="s">
        <v>10132</v>
      </c>
      <c r="G8927" s="52">
        <v>190384.64564663</v>
      </c>
      <c r="H8927" s="56">
        <v>0.14024160772649208</v>
      </c>
      <c r="I8927" s="224" t="s">
        <v>2</v>
      </c>
    </row>
    <row r="8928" spans="1:9" x14ac:dyDescent="0.25">
      <c r="A8928" s="515">
        <v>30427</v>
      </c>
      <c r="C8928" s="52">
        <v>152261.21434090499</v>
      </c>
      <c r="D8928" s="56">
        <v>5.5469977562957816E-2</v>
      </c>
      <c r="E8928" s="224" t="s">
        <v>2</v>
      </c>
      <c r="F8928" s="515" t="s">
        <v>10133</v>
      </c>
      <c r="G8928" s="52">
        <v>190105.35349991999</v>
      </c>
      <c r="H8928" s="56">
        <v>8.9079068712749468E-2</v>
      </c>
      <c r="I8928" s="224" t="s">
        <v>2</v>
      </c>
    </row>
    <row r="8929" spans="1:9" x14ac:dyDescent="0.25">
      <c r="A8929" s="515">
        <v>79316</v>
      </c>
      <c r="C8929" s="52">
        <v>97403.942949497199</v>
      </c>
      <c r="D8929" s="56">
        <v>-4.610308512953961E-2</v>
      </c>
      <c r="E8929" s="224" t="s">
        <v>2</v>
      </c>
      <c r="F8929" s="515" t="s">
        <v>10134</v>
      </c>
      <c r="G8929" s="52">
        <v>309842.61114377598</v>
      </c>
      <c r="H8929" s="56">
        <v>8.1883975250871308E-2</v>
      </c>
      <c r="I8929" s="224" t="s">
        <v>2</v>
      </c>
    </row>
    <row r="8930" spans="1:9" x14ac:dyDescent="0.25">
      <c r="A8930" s="515">
        <v>45209</v>
      </c>
      <c r="B8930" s="515" t="s">
        <v>344</v>
      </c>
      <c r="C8930" s="52">
        <v>334265.32041084801</v>
      </c>
      <c r="D8930" s="56">
        <v>4.3905289170664996E-2</v>
      </c>
      <c r="E8930" s="224">
        <v>1438.00793650793</v>
      </c>
      <c r="F8930" s="515" t="s">
        <v>10135</v>
      </c>
      <c r="G8930" s="52">
        <v>113881.842206417</v>
      </c>
      <c r="H8930" s="56">
        <v>8.165070803635846E-2</v>
      </c>
      <c r="I8930" s="224" t="s">
        <v>2</v>
      </c>
    </row>
    <row r="8931" spans="1:9" x14ac:dyDescent="0.25">
      <c r="A8931" s="515">
        <v>39232</v>
      </c>
      <c r="B8931" s="515" t="s">
        <v>851</v>
      </c>
      <c r="C8931" s="52">
        <v>294271.55706164602</v>
      </c>
      <c r="D8931" s="56">
        <v>6.1923474977790285E-2</v>
      </c>
      <c r="E8931" s="224">
        <v>1472.6666666666599</v>
      </c>
      <c r="F8931" s="515" t="s">
        <v>10136</v>
      </c>
      <c r="G8931" s="52">
        <v>285451.14967088401</v>
      </c>
      <c r="H8931" s="56">
        <v>9.7404009061024519E-2</v>
      </c>
      <c r="I8931" s="224" t="s">
        <v>2</v>
      </c>
    </row>
    <row r="8932" spans="1:9" x14ac:dyDescent="0.25">
      <c r="A8932" s="515">
        <v>25428</v>
      </c>
      <c r="B8932" s="515" t="s">
        <v>654</v>
      </c>
      <c r="C8932" s="52">
        <v>268960.461480873</v>
      </c>
      <c r="D8932" s="56">
        <v>7.0613472666365223E-2</v>
      </c>
      <c r="E8932" s="224" t="s">
        <v>2</v>
      </c>
      <c r="F8932" s="515" t="s">
        <v>10137</v>
      </c>
      <c r="G8932" s="52">
        <v>100649.099960746</v>
      </c>
      <c r="H8932" s="56">
        <v>4.3603335479541934E-2</v>
      </c>
      <c r="I8932" s="224" t="s">
        <v>2</v>
      </c>
    </row>
    <row r="8933" spans="1:9" x14ac:dyDescent="0.25">
      <c r="A8933" s="515">
        <v>95832</v>
      </c>
      <c r="B8933" s="515" t="s">
        <v>355</v>
      </c>
      <c r="C8933" s="52">
        <v>369718.34848218202</v>
      </c>
      <c r="D8933" s="56">
        <v>1.2740864847954276E-2</v>
      </c>
      <c r="E8933" s="224" t="s">
        <v>2</v>
      </c>
      <c r="F8933" s="515" t="s">
        <v>10138</v>
      </c>
      <c r="G8933" s="52">
        <v>255797.02383085401</v>
      </c>
      <c r="H8933" s="56">
        <v>5.0652017094962996E-2</v>
      </c>
      <c r="I8933" s="224" t="s">
        <v>2</v>
      </c>
    </row>
    <row r="8934" spans="1:9" x14ac:dyDescent="0.25">
      <c r="A8934" s="515">
        <v>89410</v>
      </c>
      <c r="B8934" s="515" t="s">
        <v>823</v>
      </c>
      <c r="C8934" s="52">
        <v>556213.86438956298</v>
      </c>
      <c r="D8934" s="56">
        <v>1.243281057999779E-2</v>
      </c>
      <c r="E8934" s="224" t="s">
        <v>2</v>
      </c>
      <c r="F8934" s="515" t="s">
        <v>10139</v>
      </c>
      <c r="G8934" s="52">
        <v>222423.04212374499</v>
      </c>
      <c r="H8934" s="56">
        <v>7.290595243334623E-2</v>
      </c>
      <c r="I8934" s="224" t="s">
        <v>2</v>
      </c>
    </row>
    <row r="8935" spans="1:9" x14ac:dyDescent="0.25">
      <c r="A8935" s="515">
        <v>19943</v>
      </c>
      <c r="B8935" s="515" t="s">
        <v>410</v>
      </c>
      <c r="C8935" s="52">
        <v>335368.179574585</v>
      </c>
      <c r="D8935" s="56">
        <v>8.9974923260031495E-2</v>
      </c>
      <c r="E8935" s="224" t="s">
        <v>2</v>
      </c>
      <c r="F8935" s="515" t="s">
        <v>10140</v>
      </c>
      <c r="G8935" s="52">
        <v>492042.83884297498</v>
      </c>
      <c r="H8935" s="56">
        <v>0</v>
      </c>
      <c r="I8935" s="224" t="s">
        <v>2</v>
      </c>
    </row>
    <row r="8936" spans="1:9" x14ac:dyDescent="0.25">
      <c r="A8936" s="515">
        <v>61254</v>
      </c>
      <c r="B8936" s="515" t="s">
        <v>439</v>
      </c>
      <c r="C8936" s="52">
        <v>196311.253652507</v>
      </c>
      <c r="D8936" s="56">
        <v>9.005790130934746E-2</v>
      </c>
      <c r="E8936" s="224" t="s">
        <v>2</v>
      </c>
      <c r="F8936" s="515" t="s">
        <v>10141</v>
      </c>
      <c r="G8936" s="52">
        <v>577742.16657926096</v>
      </c>
      <c r="H8936" s="56">
        <v>6.3028440231232413E-3</v>
      </c>
      <c r="I8936" s="224">
        <v>1996.5</v>
      </c>
    </row>
    <row r="8937" spans="1:9" x14ac:dyDescent="0.25">
      <c r="A8937" s="515">
        <v>46327</v>
      </c>
      <c r="B8937" s="515" t="s">
        <v>394</v>
      </c>
      <c r="C8937" s="52">
        <v>135121.88745775999</v>
      </c>
      <c r="D8937" s="56">
        <v>0.12178164779077903</v>
      </c>
      <c r="E8937" s="224" t="s">
        <v>2</v>
      </c>
      <c r="F8937" s="515" t="s">
        <v>10142</v>
      </c>
      <c r="G8937" s="52">
        <v>523774.01864876703</v>
      </c>
      <c r="H8937" s="56">
        <v>6.4284255125910725E-2</v>
      </c>
      <c r="I8937" s="224" t="s">
        <v>2</v>
      </c>
    </row>
    <row r="8938" spans="1:9" x14ac:dyDescent="0.25">
      <c r="A8938" s="515">
        <v>63670</v>
      </c>
      <c r="C8938" s="52">
        <v>191575.001403623</v>
      </c>
      <c r="D8938" s="56">
        <v>7.8115862918173837E-2</v>
      </c>
      <c r="E8938" s="224" t="s">
        <v>2</v>
      </c>
      <c r="F8938" s="515" t="s">
        <v>10143</v>
      </c>
      <c r="G8938" s="52">
        <v>416128.70768797101</v>
      </c>
      <c r="H8938" s="56">
        <v>6.4433859510151806E-2</v>
      </c>
      <c r="I8938" s="224" t="s">
        <v>2</v>
      </c>
    </row>
    <row r="8939" spans="1:9" x14ac:dyDescent="0.25">
      <c r="A8939" s="515">
        <v>65708</v>
      </c>
      <c r="C8939" s="52">
        <v>171722.92338360101</v>
      </c>
      <c r="D8939" s="56">
        <v>9.3070419683841193E-2</v>
      </c>
      <c r="E8939" s="224" t="s">
        <v>2</v>
      </c>
      <c r="F8939" s="515" t="s">
        <v>10144</v>
      </c>
      <c r="G8939" s="52">
        <v>195335.03811479101</v>
      </c>
      <c r="H8939" s="56">
        <v>0.108527351080626</v>
      </c>
      <c r="I8939" s="224" t="s">
        <v>2</v>
      </c>
    </row>
    <row r="8940" spans="1:9" x14ac:dyDescent="0.25">
      <c r="A8940" s="515">
        <v>11766</v>
      </c>
      <c r="B8940" s="515" t="s">
        <v>324</v>
      </c>
      <c r="C8940" s="52">
        <v>604885.337982164</v>
      </c>
      <c r="D8940" s="56">
        <v>3.9430404811824749E-2</v>
      </c>
      <c r="E8940" s="224" t="s">
        <v>2</v>
      </c>
      <c r="F8940" s="515" t="s">
        <v>10145</v>
      </c>
      <c r="G8940" s="52">
        <v>200109.27785615501</v>
      </c>
      <c r="H8940" s="56">
        <v>8.870638563821269E-2</v>
      </c>
      <c r="I8940" s="224" t="s">
        <v>2</v>
      </c>
    </row>
    <row r="8941" spans="1:9" x14ac:dyDescent="0.25">
      <c r="A8941" s="515">
        <v>19526</v>
      </c>
      <c r="B8941" s="515" t="s">
        <v>569</v>
      </c>
      <c r="C8941" s="52">
        <v>240729.07921193499</v>
      </c>
      <c r="D8941" s="56">
        <v>0.13724272369385168</v>
      </c>
      <c r="E8941" s="224" t="s">
        <v>2</v>
      </c>
      <c r="F8941" s="515" t="s">
        <v>10146</v>
      </c>
      <c r="G8941" s="52">
        <v>557907.41808795405</v>
      </c>
      <c r="H8941" s="56">
        <v>2.7722576274186127E-2</v>
      </c>
      <c r="I8941" s="224" t="s">
        <v>2</v>
      </c>
    </row>
    <row r="8942" spans="1:9" x14ac:dyDescent="0.25">
      <c r="A8942" s="515">
        <v>97361</v>
      </c>
      <c r="B8942" s="515" t="s">
        <v>416</v>
      </c>
      <c r="C8942" s="52">
        <v>425078.90464719699</v>
      </c>
      <c r="D8942" s="56">
        <v>4.6024142995143263E-2</v>
      </c>
      <c r="E8942" s="224" t="s">
        <v>2</v>
      </c>
      <c r="F8942" s="515" t="s">
        <v>10147</v>
      </c>
      <c r="G8942" s="52">
        <v>379396.99101233098</v>
      </c>
      <c r="H8942" s="56">
        <v>4.1510592852337234E-2</v>
      </c>
      <c r="I8942" s="224" t="s">
        <v>2</v>
      </c>
    </row>
    <row r="8943" spans="1:9" x14ac:dyDescent="0.25">
      <c r="A8943" s="515">
        <v>8534</v>
      </c>
      <c r="B8943" s="515" t="s">
        <v>938</v>
      </c>
      <c r="C8943" s="52">
        <v>559123.05146616697</v>
      </c>
      <c r="D8943" s="56">
        <v>8.3189272630474292E-2</v>
      </c>
      <c r="E8943" s="224" t="s">
        <v>2</v>
      </c>
      <c r="F8943" s="515" t="s">
        <v>10148</v>
      </c>
      <c r="G8943" s="52">
        <v>326950.26571038598</v>
      </c>
      <c r="H8943" s="56">
        <v>2.7223773671149122E-2</v>
      </c>
      <c r="I8943" s="224" t="s">
        <v>2</v>
      </c>
    </row>
    <row r="8944" spans="1:9" x14ac:dyDescent="0.25">
      <c r="A8944" s="515">
        <v>98328</v>
      </c>
      <c r="B8944" s="515" t="s">
        <v>384</v>
      </c>
      <c r="C8944" s="52">
        <v>509980.84682729997</v>
      </c>
      <c r="D8944" s="56">
        <v>3.0718140013728957E-2</v>
      </c>
      <c r="E8944" s="224" t="s">
        <v>2</v>
      </c>
      <c r="F8944" s="515" t="s">
        <v>10149</v>
      </c>
      <c r="G8944" s="52">
        <v>254885.48362178</v>
      </c>
      <c r="H8944" s="56">
        <v>1.3201357804268846E-2</v>
      </c>
      <c r="I8944" s="224" t="s">
        <v>2</v>
      </c>
    </row>
    <row r="8945" spans="1:9" x14ac:dyDescent="0.25">
      <c r="A8945" s="515">
        <v>85123</v>
      </c>
      <c r="B8945" s="515" t="s">
        <v>563</v>
      </c>
      <c r="C8945" s="52">
        <v>266359.18323392101</v>
      </c>
      <c r="D8945" s="56">
        <v>4.3140534416507753E-2</v>
      </c>
      <c r="E8945" s="224">
        <v>1498.5</v>
      </c>
      <c r="F8945" s="515" t="s">
        <v>10150</v>
      </c>
      <c r="G8945" s="52">
        <v>482249.71805519599</v>
      </c>
      <c r="H8945" s="56">
        <v>0.1308480166263408</v>
      </c>
      <c r="I8945" s="224" t="s">
        <v>2</v>
      </c>
    </row>
    <row r="8946" spans="1:9" x14ac:dyDescent="0.25">
      <c r="A8946" s="515">
        <v>74010</v>
      </c>
      <c r="B8946" s="515" t="s">
        <v>348</v>
      </c>
      <c r="C8946" s="52">
        <v>145308.490111144</v>
      </c>
      <c r="D8946" s="56">
        <v>-1.1226660429527493E-2</v>
      </c>
      <c r="E8946" s="224" t="s">
        <v>2</v>
      </c>
      <c r="F8946" s="515" t="s">
        <v>10151</v>
      </c>
      <c r="G8946" s="52">
        <v>140708.63909584301</v>
      </c>
      <c r="H8946" s="56">
        <v>0.1854562792310393</v>
      </c>
      <c r="I8946" s="224" t="s">
        <v>2</v>
      </c>
    </row>
    <row r="8947" spans="1:9" x14ac:dyDescent="0.25">
      <c r="A8947" s="515">
        <v>4345</v>
      </c>
      <c r="B8947" s="515" t="s">
        <v>848</v>
      </c>
      <c r="C8947" s="52">
        <v>266650.45161248097</v>
      </c>
      <c r="D8947" s="56">
        <v>6.7390476022664389E-2</v>
      </c>
      <c r="E8947" s="224" t="s">
        <v>2</v>
      </c>
      <c r="F8947" s="515" t="s">
        <v>10152</v>
      </c>
      <c r="G8947" s="52">
        <v>227581.61584115401</v>
      </c>
      <c r="H8947" s="56">
        <v>8.1010683700691588E-2</v>
      </c>
      <c r="I8947" s="224" t="s">
        <v>2</v>
      </c>
    </row>
    <row r="8948" spans="1:9" x14ac:dyDescent="0.25">
      <c r="A8948" s="515">
        <v>54806</v>
      </c>
      <c r="C8948" s="52">
        <v>154648.64484380401</v>
      </c>
      <c r="D8948" s="56">
        <v>7.9150926208310241E-2</v>
      </c>
      <c r="E8948" s="224" t="s">
        <v>2</v>
      </c>
      <c r="F8948" s="515" t="s">
        <v>10153</v>
      </c>
      <c r="G8948" s="52">
        <v>255567.94179575</v>
      </c>
      <c r="H8948" s="56">
        <v>6.691723718570225E-2</v>
      </c>
      <c r="I8948" s="224" t="s">
        <v>2</v>
      </c>
    </row>
    <row r="8949" spans="1:9" x14ac:dyDescent="0.25">
      <c r="A8949" s="515">
        <v>30230</v>
      </c>
      <c r="B8949" s="515" t="s">
        <v>1066</v>
      </c>
      <c r="C8949" s="52">
        <v>180723.18412063899</v>
      </c>
      <c r="D8949" s="56">
        <v>0.15230907725432399</v>
      </c>
      <c r="E8949" s="224" t="s">
        <v>2</v>
      </c>
      <c r="F8949" s="515" t="s">
        <v>10154</v>
      </c>
      <c r="G8949" s="52">
        <v>148459.499825548</v>
      </c>
      <c r="H8949" s="56">
        <v>0.21522507789263284</v>
      </c>
      <c r="I8949" s="224" t="s">
        <v>2</v>
      </c>
    </row>
    <row r="8950" spans="1:9" x14ac:dyDescent="0.25">
      <c r="A8950" s="515">
        <v>48166</v>
      </c>
      <c r="B8950" s="515" t="s">
        <v>1033</v>
      </c>
      <c r="C8950" s="52">
        <v>205431.91108685799</v>
      </c>
      <c r="D8950" s="56">
        <v>5.8429140557519202E-2</v>
      </c>
      <c r="E8950" s="224">
        <v>1114.2777777777701</v>
      </c>
      <c r="F8950" s="515" t="s">
        <v>10155</v>
      </c>
      <c r="G8950" s="52">
        <v>473261.347655294</v>
      </c>
      <c r="H8950" s="56">
        <v>5.164616892498277E-2</v>
      </c>
      <c r="I8950" s="224">
        <v>2495</v>
      </c>
    </row>
    <row r="8951" spans="1:9" x14ac:dyDescent="0.25">
      <c r="A8951" s="515">
        <v>75979</v>
      </c>
      <c r="C8951" s="52">
        <v>134533.70905693001</v>
      </c>
      <c r="D8951" s="56">
        <v>1.1100097243599158E-2</v>
      </c>
      <c r="E8951" s="224" t="s">
        <v>2</v>
      </c>
      <c r="F8951" s="515" t="s">
        <v>10156</v>
      </c>
      <c r="G8951" s="52">
        <v>313974.6958094</v>
      </c>
      <c r="H8951" s="56">
        <v>0.1458675073019193</v>
      </c>
      <c r="I8951" s="224" t="s">
        <v>2</v>
      </c>
    </row>
    <row r="8952" spans="1:9" x14ac:dyDescent="0.25">
      <c r="A8952" s="515">
        <v>15522</v>
      </c>
      <c r="C8952" s="52">
        <v>196043.14004504099</v>
      </c>
      <c r="D8952" s="56">
        <v>1.8554541569993553E-2</v>
      </c>
      <c r="E8952" s="224" t="s">
        <v>2</v>
      </c>
      <c r="F8952" s="515" t="s">
        <v>10157</v>
      </c>
      <c r="G8952" s="52">
        <v>291761.528560968</v>
      </c>
      <c r="H8952" s="56">
        <v>0.16980654975515247</v>
      </c>
      <c r="I8952" s="224" t="s">
        <v>2</v>
      </c>
    </row>
    <row r="8953" spans="1:9" x14ac:dyDescent="0.25">
      <c r="A8953" s="515">
        <v>79382</v>
      </c>
      <c r="B8953" s="515" t="s">
        <v>354</v>
      </c>
      <c r="C8953" s="52">
        <v>271441.04581873299</v>
      </c>
      <c r="D8953" s="56">
        <v>8.1764029861392626E-2</v>
      </c>
      <c r="E8953" s="224">
        <v>1200</v>
      </c>
      <c r="F8953" s="515" t="s">
        <v>10158</v>
      </c>
      <c r="G8953" s="52">
        <v>921668.68907136295</v>
      </c>
      <c r="H8953" s="56">
        <v>3.4256695604614616E-3</v>
      </c>
      <c r="I8953" s="224" t="s">
        <v>2</v>
      </c>
    </row>
    <row r="8954" spans="1:9" x14ac:dyDescent="0.25">
      <c r="A8954" s="515">
        <v>93505</v>
      </c>
      <c r="B8954" s="515" t="s">
        <v>419</v>
      </c>
      <c r="C8954" s="52">
        <v>259093.39569461701</v>
      </c>
      <c r="D8954" s="56">
        <v>6.4816454105573337E-2</v>
      </c>
      <c r="E8954" s="224" t="s">
        <v>2</v>
      </c>
      <c r="F8954" s="515" t="s">
        <v>10159</v>
      </c>
      <c r="G8954" s="52">
        <v>293602.02327584702</v>
      </c>
      <c r="H8954" s="56">
        <v>2.3317853128983441E-2</v>
      </c>
      <c r="I8954" s="224" t="s">
        <v>2</v>
      </c>
    </row>
    <row r="8955" spans="1:9" x14ac:dyDescent="0.25">
      <c r="A8955" s="515">
        <v>49337</v>
      </c>
      <c r="C8955" s="52">
        <v>211839.91310630299</v>
      </c>
      <c r="D8955" s="56">
        <v>5.3231278978462034E-2</v>
      </c>
      <c r="E8955" s="224" t="s">
        <v>2</v>
      </c>
      <c r="F8955" s="515" t="s">
        <v>10160</v>
      </c>
      <c r="G8955" s="52">
        <v>236073.85039593201</v>
      </c>
      <c r="H8955" s="56">
        <v>0.12077971927810371</v>
      </c>
      <c r="I8955" s="224" t="s">
        <v>2</v>
      </c>
    </row>
    <row r="8956" spans="1:9" x14ac:dyDescent="0.25">
      <c r="A8956" s="515">
        <v>45404</v>
      </c>
      <c r="B8956" s="515" t="s">
        <v>340</v>
      </c>
      <c r="C8956" s="52">
        <v>76296.487194900401</v>
      </c>
      <c r="D8956" s="56">
        <v>0.18203350925658865</v>
      </c>
      <c r="E8956" s="224" t="s">
        <v>2</v>
      </c>
      <c r="F8956" s="515" t="s">
        <v>10161</v>
      </c>
      <c r="G8956" s="52">
        <v>205358.952840254</v>
      </c>
      <c r="H8956" s="56">
        <v>0.12551961703026543</v>
      </c>
      <c r="I8956" s="224" t="s">
        <v>2</v>
      </c>
    </row>
    <row r="8957" spans="1:9" x14ac:dyDescent="0.25">
      <c r="A8957" s="515">
        <v>98424</v>
      </c>
      <c r="B8957" s="515" t="s">
        <v>384</v>
      </c>
      <c r="C8957" s="52">
        <v>516083.32656257902</v>
      </c>
      <c r="D8957" s="56">
        <v>-2.8917892385530468E-3</v>
      </c>
      <c r="E8957" s="224">
        <v>2000.4722222222199</v>
      </c>
      <c r="F8957" s="515" t="s">
        <v>10162</v>
      </c>
      <c r="G8957" s="52">
        <v>116359.133286695</v>
      </c>
      <c r="H8957" s="56">
        <v>0.1067337755689361</v>
      </c>
      <c r="I8957" s="224" t="s">
        <v>2</v>
      </c>
    </row>
    <row r="8958" spans="1:9" x14ac:dyDescent="0.25">
      <c r="A8958" s="515">
        <v>74728</v>
      </c>
      <c r="C8958" s="52">
        <v>217927.64556985101</v>
      </c>
      <c r="D8958" s="56">
        <v>0.15591196504488514</v>
      </c>
      <c r="E8958" s="224" t="s">
        <v>2</v>
      </c>
      <c r="F8958" s="515" t="s">
        <v>10163</v>
      </c>
      <c r="G8958" s="52">
        <v>326772.97316345799</v>
      </c>
      <c r="H8958" s="56">
        <v>0.10787341103780081</v>
      </c>
      <c r="I8958" s="224" t="s">
        <v>2</v>
      </c>
    </row>
    <row r="8959" spans="1:9" x14ac:dyDescent="0.25">
      <c r="A8959" s="515">
        <v>48895</v>
      </c>
      <c r="B8959" s="515" t="s">
        <v>528</v>
      </c>
      <c r="C8959" s="52">
        <v>275975.01428042498</v>
      </c>
      <c r="D8959" s="56">
        <v>9.6569775009086298E-2</v>
      </c>
      <c r="E8959" s="224" t="s">
        <v>2</v>
      </c>
      <c r="F8959" s="515" t="s">
        <v>10164</v>
      </c>
      <c r="G8959" s="52">
        <v>1037702.77590214</v>
      </c>
      <c r="H8959" s="56">
        <v>6.3436032951512095E-2</v>
      </c>
      <c r="I8959" s="224" t="s">
        <v>2</v>
      </c>
    </row>
    <row r="8960" spans="1:9" x14ac:dyDescent="0.25">
      <c r="A8960" s="515">
        <v>64128</v>
      </c>
      <c r="B8960" s="515" t="s">
        <v>455</v>
      </c>
      <c r="C8960" s="52">
        <v>84915.200595653907</v>
      </c>
      <c r="D8960" s="56">
        <v>0.26162914988267516</v>
      </c>
      <c r="E8960" s="224">
        <v>1203</v>
      </c>
      <c r="F8960" s="515" t="s">
        <v>10165</v>
      </c>
      <c r="G8960" s="52">
        <v>92583.263558487102</v>
      </c>
      <c r="H8960" s="56">
        <v>6.7994715945652595E-2</v>
      </c>
      <c r="I8960" s="224" t="s">
        <v>2</v>
      </c>
    </row>
    <row r="8961" spans="1:9" x14ac:dyDescent="0.25">
      <c r="A8961" s="515">
        <v>2896</v>
      </c>
      <c r="B8961" s="515" t="s">
        <v>513</v>
      </c>
      <c r="C8961" s="52">
        <v>429326.30930764799</v>
      </c>
      <c r="D8961" s="56">
        <v>8.1118414970106439E-2</v>
      </c>
      <c r="E8961" s="224" t="s">
        <v>2</v>
      </c>
      <c r="F8961" s="515" t="s">
        <v>10166</v>
      </c>
      <c r="G8961" s="52">
        <v>118911.435590265</v>
      </c>
      <c r="H8961" s="56">
        <v>1.9727373351003524E-3</v>
      </c>
      <c r="I8961" s="224" t="s">
        <v>2</v>
      </c>
    </row>
    <row r="8962" spans="1:9" x14ac:dyDescent="0.25">
      <c r="A8962" s="515">
        <v>8824</v>
      </c>
      <c r="B8962" s="515" t="s">
        <v>324</v>
      </c>
      <c r="C8962" s="52">
        <v>565039.97478215804</v>
      </c>
      <c r="D8962" s="56">
        <v>6.6709736906943887E-2</v>
      </c>
      <c r="E8962" s="224" t="s">
        <v>2</v>
      </c>
      <c r="F8962" s="515" t="s">
        <v>10167</v>
      </c>
      <c r="G8962" s="52">
        <v>99869.197660957201</v>
      </c>
      <c r="H8962" s="56">
        <v>0.17036771632376138</v>
      </c>
      <c r="I8962" s="224" t="s">
        <v>2</v>
      </c>
    </row>
    <row r="8963" spans="1:9" x14ac:dyDescent="0.25">
      <c r="A8963" s="515">
        <v>70812</v>
      </c>
      <c r="B8963" s="515" t="s">
        <v>610</v>
      </c>
      <c r="C8963" s="52">
        <v>110484.46283817101</v>
      </c>
      <c r="D8963" s="56">
        <v>1.1469060909083747E-2</v>
      </c>
      <c r="E8963" s="224" t="s">
        <v>2</v>
      </c>
      <c r="F8963" s="515" t="s">
        <v>10168</v>
      </c>
      <c r="G8963" s="52">
        <v>228477.088345895</v>
      </c>
      <c r="H8963" s="56">
        <v>7.8200786485718224E-2</v>
      </c>
      <c r="I8963" s="224" t="s">
        <v>2</v>
      </c>
    </row>
    <row r="8964" spans="1:9" x14ac:dyDescent="0.25">
      <c r="A8964" s="515">
        <v>34240</v>
      </c>
      <c r="B8964" s="515" t="s">
        <v>466</v>
      </c>
      <c r="C8964" s="52">
        <v>727854.59466033999</v>
      </c>
      <c r="D8964" s="56">
        <v>0.16487691321110806</v>
      </c>
      <c r="E8964" s="224">
        <v>2420.3333333333298</v>
      </c>
      <c r="F8964" s="515" t="s">
        <v>10169</v>
      </c>
      <c r="G8964" s="52">
        <v>348234.47872827703</v>
      </c>
      <c r="H8964" s="56">
        <v>5.3265562721179646E-2</v>
      </c>
      <c r="I8964" s="224" t="s">
        <v>2</v>
      </c>
    </row>
    <row r="8965" spans="1:9" x14ac:dyDescent="0.25">
      <c r="A8965" s="515">
        <v>7661</v>
      </c>
      <c r="B8965" s="515" t="s">
        <v>324</v>
      </c>
      <c r="C8965" s="52">
        <v>619718.34255982703</v>
      </c>
      <c r="D8965" s="56">
        <v>4.0269066188590968E-2</v>
      </c>
      <c r="E8965" s="224" t="s">
        <v>2</v>
      </c>
      <c r="F8965" s="515" t="s">
        <v>10170</v>
      </c>
      <c r="G8965" s="52">
        <v>190062.79858791301</v>
      </c>
      <c r="H8965" s="56">
        <v>3.7737021332359309E-2</v>
      </c>
      <c r="I8965" s="224" t="s">
        <v>2</v>
      </c>
    </row>
    <row r="8966" spans="1:9" x14ac:dyDescent="0.25">
      <c r="A8966" s="515">
        <v>25071</v>
      </c>
      <c r="B8966" s="515" t="s">
        <v>322</v>
      </c>
      <c r="C8966" s="52">
        <v>158446.005204858</v>
      </c>
      <c r="D8966" s="56">
        <v>8.559759403458797E-2</v>
      </c>
      <c r="E8966" s="224" t="s">
        <v>2</v>
      </c>
      <c r="F8966" s="515" t="s">
        <v>10171</v>
      </c>
      <c r="G8966" s="52">
        <v>145537.50660296899</v>
      </c>
      <c r="H8966" s="56">
        <v>8.0994113037928278E-2</v>
      </c>
      <c r="I8966" s="224" t="s">
        <v>2</v>
      </c>
    </row>
    <row r="8967" spans="1:9" x14ac:dyDescent="0.25">
      <c r="A8967" s="515">
        <v>28650</v>
      </c>
      <c r="B8967" s="515" t="s">
        <v>638</v>
      </c>
      <c r="C8967" s="52">
        <v>247928.531363805</v>
      </c>
      <c r="D8967" s="56">
        <v>0.16752035202865567</v>
      </c>
      <c r="E8967" s="224" t="s">
        <v>2</v>
      </c>
      <c r="F8967" s="515" t="s">
        <v>10172</v>
      </c>
      <c r="G8967" s="52">
        <v>439628.492135067</v>
      </c>
      <c r="H8967" s="56">
        <v>4.2358796006070433E-2</v>
      </c>
      <c r="I8967" s="224" t="s">
        <v>2</v>
      </c>
    </row>
    <row r="8968" spans="1:9" x14ac:dyDescent="0.25">
      <c r="A8968" s="515">
        <v>33316</v>
      </c>
      <c r="B8968" s="515" t="s">
        <v>831</v>
      </c>
      <c r="C8968" s="52">
        <v>733682.59276746796</v>
      </c>
      <c r="D8968" s="56">
        <v>0.13346948587739835</v>
      </c>
      <c r="E8968" s="224">
        <v>2854.1826953003401</v>
      </c>
      <c r="F8968" s="515" t="s">
        <v>10173</v>
      </c>
      <c r="G8968" s="52">
        <v>384116.45972208399</v>
      </c>
      <c r="H8968" s="56">
        <v>1.0449144622975595E-3</v>
      </c>
      <c r="I8968" s="224" t="s">
        <v>2</v>
      </c>
    </row>
    <row r="8969" spans="1:9" x14ac:dyDescent="0.25">
      <c r="A8969" s="515">
        <v>50112</v>
      </c>
      <c r="C8969" s="52">
        <v>196556.40271398501</v>
      </c>
      <c r="D8969" s="56">
        <v>8.1683484992862432E-2</v>
      </c>
      <c r="E8969" s="224" t="s">
        <v>2</v>
      </c>
      <c r="F8969" s="515" t="s">
        <v>10174</v>
      </c>
      <c r="G8969" s="52">
        <v>274571.76212219801</v>
      </c>
      <c r="H8969" s="56">
        <v>8.023079575720117E-2</v>
      </c>
      <c r="I8969" s="224" t="s">
        <v>2</v>
      </c>
    </row>
    <row r="8970" spans="1:9" x14ac:dyDescent="0.25">
      <c r="A8970" s="515">
        <v>2347</v>
      </c>
      <c r="B8970" s="515" t="s">
        <v>534</v>
      </c>
      <c r="C8970" s="52">
        <v>533071.96207939996</v>
      </c>
      <c r="D8970" s="56">
        <v>6.4856199913478726E-2</v>
      </c>
      <c r="E8970" s="224" t="s">
        <v>2</v>
      </c>
      <c r="F8970" s="515" t="s">
        <v>10175</v>
      </c>
      <c r="G8970" s="52">
        <v>228750.09616280501</v>
      </c>
      <c r="H8970" s="56">
        <v>3.9267312188719018E-2</v>
      </c>
      <c r="I8970" s="224" t="s">
        <v>2</v>
      </c>
    </row>
    <row r="8971" spans="1:9" x14ac:dyDescent="0.25">
      <c r="A8971" s="515">
        <v>13619</v>
      </c>
      <c r="B8971" s="515" t="s">
        <v>431</v>
      </c>
      <c r="C8971" s="52">
        <v>169627.922792917</v>
      </c>
      <c r="D8971" s="56">
        <v>0.10030555049193468</v>
      </c>
      <c r="E8971" s="224" t="s">
        <v>2</v>
      </c>
      <c r="F8971" s="515" t="s">
        <v>10176</v>
      </c>
      <c r="G8971" s="52">
        <v>405180.71553197497</v>
      </c>
      <c r="H8971" s="56">
        <v>9.2887005282524998E-2</v>
      </c>
      <c r="I8971" s="224" t="s">
        <v>2</v>
      </c>
    </row>
    <row r="8972" spans="1:9" x14ac:dyDescent="0.25">
      <c r="A8972" s="515">
        <v>83712</v>
      </c>
      <c r="B8972" s="515" t="s">
        <v>500</v>
      </c>
      <c r="C8972" s="52">
        <v>717705.45131566096</v>
      </c>
      <c r="D8972" s="56">
        <v>-1.88414772908762E-2</v>
      </c>
      <c r="E8972" s="224" t="s">
        <v>2</v>
      </c>
      <c r="F8972" s="515" t="s">
        <v>10177</v>
      </c>
      <c r="G8972" s="52">
        <v>105861.383857357</v>
      </c>
      <c r="H8972" s="56">
        <v>6.2071257128158704E-2</v>
      </c>
      <c r="I8972" s="224" t="s">
        <v>2</v>
      </c>
    </row>
    <row r="8973" spans="1:9" x14ac:dyDescent="0.25">
      <c r="A8973" s="515">
        <v>34452</v>
      </c>
      <c r="B8973" s="515" t="s">
        <v>1193</v>
      </c>
      <c r="C8973" s="52">
        <v>231182.562335661</v>
      </c>
      <c r="D8973" s="56">
        <v>0.1357513473959894</v>
      </c>
      <c r="E8973" s="224" t="s">
        <v>2</v>
      </c>
      <c r="F8973" s="515" t="s">
        <v>10178</v>
      </c>
      <c r="G8973" s="52">
        <v>477342.11508212</v>
      </c>
      <c r="H8973" s="56">
        <v>2.0212414914235179E-4</v>
      </c>
      <c r="I8973" s="224" t="s">
        <v>2</v>
      </c>
    </row>
    <row r="8974" spans="1:9" x14ac:dyDescent="0.25">
      <c r="A8974" s="515">
        <v>98528</v>
      </c>
      <c r="B8974" s="515" t="s">
        <v>839</v>
      </c>
      <c r="C8974" s="52">
        <v>474363.49919723399</v>
      </c>
      <c r="D8974" s="56">
        <v>3.7172567894456936E-2</v>
      </c>
      <c r="E8974" s="224" t="s">
        <v>2</v>
      </c>
      <c r="F8974" s="515" t="s">
        <v>10179</v>
      </c>
      <c r="G8974" s="52">
        <v>613214.30826424703</v>
      </c>
      <c r="H8974" s="56">
        <v>3.4929051790745076E-2</v>
      </c>
      <c r="I8974" s="224" t="s">
        <v>2</v>
      </c>
    </row>
    <row r="8975" spans="1:9" x14ac:dyDescent="0.25">
      <c r="A8975" s="515">
        <v>5602</v>
      </c>
      <c r="B8975" s="515" t="s">
        <v>945</v>
      </c>
      <c r="C8975" s="52">
        <v>358694.22565117897</v>
      </c>
      <c r="D8975" s="56">
        <v>7.6893899463003748E-2</v>
      </c>
      <c r="E8975" s="224" t="s">
        <v>2</v>
      </c>
      <c r="F8975" s="515" t="s">
        <v>10180</v>
      </c>
      <c r="G8975" s="52">
        <v>121711.897352602</v>
      </c>
      <c r="H8975" s="56">
        <v>6.6155003910114543E-2</v>
      </c>
      <c r="I8975" s="224" t="s">
        <v>2</v>
      </c>
    </row>
    <row r="8976" spans="1:9" x14ac:dyDescent="0.25">
      <c r="A8976" s="515">
        <v>37062</v>
      </c>
      <c r="B8976" s="515" t="s">
        <v>684</v>
      </c>
      <c r="C8976" s="52">
        <v>439923.86162006302</v>
      </c>
      <c r="D8976" s="56">
        <v>0.11144939430956827</v>
      </c>
      <c r="E8976" s="224" t="s">
        <v>2</v>
      </c>
      <c r="F8976" s="515" t="s">
        <v>10181</v>
      </c>
      <c r="G8976" s="52">
        <v>195537.24385608401</v>
      </c>
      <c r="H8976" s="56">
        <v>6.1001476753944454E-2</v>
      </c>
      <c r="I8976" s="224" t="s">
        <v>2</v>
      </c>
    </row>
    <row r="8977" spans="1:9" x14ac:dyDescent="0.25">
      <c r="A8977" s="515">
        <v>14201</v>
      </c>
      <c r="B8977" s="515" t="s">
        <v>336</v>
      </c>
      <c r="C8977" s="52">
        <v>294305.115651261</v>
      </c>
      <c r="D8977" s="56">
        <v>2.3147325519953934E-2</v>
      </c>
      <c r="E8977" s="224">
        <v>1269.1666666666599</v>
      </c>
      <c r="F8977" s="515" t="s">
        <v>10182</v>
      </c>
      <c r="G8977" s="52">
        <v>589889.18659483199</v>
      </c>
      <c r="H8977" s="56">
        <v>0.13685216830127117</v>
      </c>
      <c r="I8977" s="224" t="s">
        <v>2</v>
      </c>
    </row>
    <row r="8978" spans="1:9" x14ac:dyDescent="0.25">
      <c r="A8978" s="515">
        <v>15065</v>
      </c>
      <c r="B8978" s="515" t="s">
        <v>297</v>
      </c>
      <c r="C8978" s="52">
        <v>147200.34358374399</v>
      </c>
      <c r="D8978" s="56">
        <v>7.207237626221065E-2</v>
      </c>
      <c r="E8978" s="224" t="s">
        <v>2</v>
      </c>
      <c r="F8978" s="515" t="s">
        <v>10183</v>
      </c>
      <c r="G8978" s="52">
        <v>184678.04612828299</v>
      </c>
      <c r="H8978" s="56">
        <v>6.7835751668926969E-2</v>
      </c>
      <c r="I8978" s="224" t="s">
        <v>2</v>
      </c>
    </row>
    <row r="8979" spans="1:9" x14ac:dyDescent="0.25">
      <c r="A8979" s="515">
        <v>2903</v>
      </c>
      <c r="B8979" s="515" t="s">
        <v>513</v>
      </c>
      <c r="C8979" s="52">
        <v>375626.40725250199</v>
      </c>
      <c r="D8979" s="56">
        <v>2.9875824661095386E-2</v>
      </c>
      <c r="E8979" s="224">
        <v>2204.4666666666599</v>
      </c>
      <c r="F8979" s="515" t="s">
        <v>10184</v>
      </c>
      <c r="G8979" s="52">
        <v>350459.27112233499</v>
      </c>
      <c r="H8979" s="56">
        <v>8.5389539369172943E-2</v>
      </c>
      <c r="I8979" s="224" t="s">
        <v>2</v>
      </c>
    </row>
    <row r="8980" spans="1:9" x14ac:dyDescent="0.25">
      <c r="A8980" s="515">
        <v>17241</v>
      </c>
      <c r="B8980" s="515" t="s">
        <v>428</v>
      </c>
      <c r="C8980" s="52">
        <v>269043.726083658</v>
      </c>
      <c r="D8980" s="56">
        <v>0.10043904856618152</v>
      </c>
      <c r="E8980" s="224" t="s">
        <v>2</v>
      </c>
      <c r="F8980" s="515" t="s">
        <v>10185</v>
      </c>
      <c r="G8980" s="52">
        <v>96540.918643256096</v>
      </c>
      <c r="H8980" s="56">
        <v>2.6714715635061604E-2</v>
      </c>
      <c r="I8980" s="224" t="s">
        <v>2</v>
      </c>
    </row>
    <row r="8981" spans="1:9" x14ac:dyDescent="0.25">
      <c r="A8981" s="515">
        <v>13827</v>
      </c>
      <c r="B8981" s="515" t="s">
        <v>840</v>
      </c>
      <c r="C8981" s="52">
        <v>166544.934584859</v>
      </c>
      <c r="D8981" s="56">
        <v>7.0821368844158655E-2</v>
      </c>
      <c r="E8981" s="224" t="s">
        <v>2</v>
      </c>
      <c r="F8981" s="515" t="s">
        <v>10186</v>
      </c>
      <c r="G8981" s="52">
        <v>177791.88571931401</v>
      </c>
      <c r="H8981" s="56">
        <v>0.12053208250319827</v>
      </c>
      <c r="I8981" s="224" t="s">
        <v>2</v>
      </c>
    </row>
    <row r="8982" spans="1:9" x14ac:dyDescent="0.25">
      <c r="A8982" s="515">
        <v>12019</v>
      </c>
      <c r="B8982" s="515" t="s">
        <v>609</v>
      </c>
      <c r="C8982" s="52">
        <v>382699.40130186698</v>
      </c>
      <c r="D8982" s="56">
        <v>7.837961050149865E-2</v>
      </c>
      <c r="E8982" s="224" t="s">
        <v>2</v>
      </c>
      <c r="F8982" s="515" t="s">
        <v>10187</v>
      </c>
      <c r="G8982" s="52">
        <v>201624.003993277</v>
      </c>
      <c r="H8982" s="56">
        <v>7.9136839082721136E-2</v>
      </c>
      <c r="I8982" s="224" t="s">
        <v>2</v>
      </c>
    </row>
    <row r="8983" spans="1:9" x14ac:dyDescent="0.25">
      <c r="A8983" s="515">
        <v>83644</v>
      </c>
      <c r="B8983" s="515" t="s">
        <v>500</v>
      </c>
      <c r="C8983" s="52">
        <v>447042.16119862202</v>
      </c>
      <c r="D8983" s="56">
        <v>-2.3375162831243197E-2</v>
      </c>
      <c r="E8983" s="224" t="s">
        <v>2</v>
      </c>
      <c r="F8983" s="515" t="s">
        <v>10188</v>
      </c>
      <c r="G8983" s="52">
        <v>115508.097570859</v>
      </c>
      <c r="H8983" s="56">
        <v>-1.0797323177588278E-2</v>
      </c>
      <c r="I8983" s="224" t="s">
        <v>2</v>
      </c>
    </row>
    <row r="8984" spans="1:9" x14ac:dyDescent="0.25">
      <c r="A8984" s="515">
        <v>29472</v>
      </c>
      <c r="B8984" s="515" t="s">
        <v>1009</v>
      </c>
      <c r="C8984" s="52">
        <v>326609.60596556199</v>
      </c>
      <c r="D8984" s="56">
        <v>0.12511937123276773</v>
      </c>
      <c r="E8984" s="224" t="s">
        <v>2</v>
      </c>
      <c r="F8984" s="515" t="s">
        <v>10189</v>
      </c>
      <c r="G8984" s="52">
        <v>90447.796658422594</v>
      </c>
      <c r="H8984" s="56">
        <v>5.8465381687089084E-2</v>
      </c>
      <c r="I8984" s="224" t="s">
        <v>2</v>
      </c>
    </row>
    <row r="8985" spans="1:9" x14ac:dyDescent="0.25">
      <c r="A8985" s="515">
        <v>29033</v>
      </c>
      <c r="B8985" s="515" t="s">
        <v>762</v>
      </c>
      <c r="C8985" s="52">
        <v>177474.78199893399</v>
      </c>
      <c r="D8985" s="56">
        <v>0.16857120996547809</v>
      </c>
      <c r="E8985" s="224">
        <v>1227.5</v>
      </c>
      <c r="F8985" s="515" t="s">
        <v>10190</v>
      </c>
      <c r="G8985" s="52">
        <v>294550.939404306</v>
      </c>
      <c r="H8985" s="56">
        <v>7.931297449122951E-2</v>
      </c>
      <c r="I8985" s="224" t="s">
        <v>2</v>
      </c>
    </row>
    <row r="8986" spans="1:9" x14ac:dyDescent="0.25">
      <c r="A8986" s="515">
        <v>45015</v>
      </c>
      <c r="B8986" s="515" t="s">
        <v>344</v>
      </c>
      <c r="C8986" s="52">
        <v>139784.23326445301</v>
      </c>
      <c r="D8986" s="56">
        <v>9.0669838616802736E-2</v>
      </c>
      <c r="E8986" s="224" t="s">
        <v>2</v>
      </c>
      <c r="F8986" s="515" t="s">
        <v>10191</v>
      </c>
      <c r="G8986" s="52">
        <v>710928.49526807095</v>
      </c>
      <c r="H8986" s="56">
        <v>5.789011666051206E-2</v>
      </c>
      <c r="I8986" s="224" t="s">
        <v>2</v>
      </c>
    </row>
    <row r="8987" spans="1:9" x14ac:dyDescent="0.25">
      <c r="A8987" s="515">
        <v>76643</v>
      </c>
      <c r="B8987" s="515" t="s">
        <v>1057</v>
      </c>
      <c r="C8987" s="52">
        <v>288018.41884435102</v>
      </c>
      <c r="D8987" s="56">
        <v>8.1031921165603857E-2</v>
      </c>
      <c r="E8987" s="224" t="s">
        <v>2</v>
      </c>
      <c r="F8987" s="515" t="s">
        <v>10192</v>
      </c>
      <c r="G8987" s="52">
        <v>195452.72514804901</v>
      </c>
      <c r="H8987" s="56">
        <v>0.11687514674973483</v>
      </c>
      <c r="I8987" s="224" t="s">
        <v>2</v>
      </c>
    </row>
    <row r="8988" spans="1:9" x14ac:dyDescent="0.25">
      <c r="A8988" s="515">
        <v>20781</v>
      </c>
      <c r="B8988" s="515" t="s">
        <v>321</v>
      </c>
      <c r="C8988" s="52">
        <v>418005.74836445198</v>
      </c>
      <c r="D8988" s="56">
        <v>1.6714371540035834E-2</v>
      </c>
      <c r="E8988" s="224" t="s">
        <v>2</v>
      </c>
      <c r="F8988" s="515" t="s">
        <v>10193</v>
      </c>
      <c r="G8988" s="52">
        <v>235347.12409152699</v>
      </c>
      <c r="H8988" s="56">
        <v>5.6903992406319701E-2</v>
      </c>
      <c r="I8988" s="224" t="s">
        <v>2</v>
      </c>
    </row>
    <row r="8989" spans="1:9" x14ac:dyDescent="0.25">
      <c r="A8989" s="515">
        <v>79735</v>
      </c>
      <c r="C8989" s="52">
        <v>139414.283440523</v>
      </c>
      <c r="D8989" s="56">
        <v>-9.6142661683760372E-2</v>
      </c>
      <c r="E8989" s="224" t="s">
        <v>2</v>
      </c>
      <c r="F8989" s="515" t="s">
        <v>10194</v>
      </c>
      <c r="G8989" s="52">
        <v>788651.55902158795</v>
      </c>
      <c r="H8989" s="56">
        <v>8.6690774644962817E-2</v>
      </c>
      <c r="I8989" s="224" t="s">
        <v>2</v>
      </c>
    </row>
    <row r="8990" spans="1:9" x14ac:dyDescent="0.25">
      <c r="A8990" s="515">
        <v>65233</v>
      </c>
      <c r="B8990" s="515" t="s">
        <v>785</v>
      </c>
      <c r="C8990" s="52">
        <v>187630.57764519399</v>
      </c>
      <c r="D8990" s="56">
        <v>0.11223020931231162</v>
      </c>
      <c r="E8990" s="224" t="s">
        <v>2</v>
      </c>
      <c r="F8990" s="515" t="s">
        <v>10195</v>
      </c>
      <c r="G8990" s="52">
        <v>108173.71233969599</v>
      </c>
      <c r="H8990" s="56">
        <v>0.15055730851662055</v>
      </c>
      <c r="I8990" s="224" t="s">
        <v>2</v>
      </c>
    </row>
    <row r="8991" spans="1:9" x14ac:dyDescent="0.25">
      <c r="A8991" s="515">
        <v>97503</v>
      </c>
      <c r="B8991" s="515" t="s">
        <v>775</v>
      </c>
      <c r="C8991" s="52">
        <v>327616.30149511999</v>
      </c>
      <c r="D8991" s="56">
        <v>1.9438354446563978E-2</v>
      </c>
      <c r="E8991" s="224" t="s">
        <v>2</v>
      </c>
      <c r="F8991" s="515" t="s">
        <v>10196</v>
      </c>
      <c r="G8991" s="52">
        <v>348647.13395260001</v>
      </c>
      <c r="H8991" s="56">
        <v>6.3541173955914618E-2</v>
      </c>
      <c r="I8991" s="224" t="s">
        <v>2</v>
      </c>
    </row>
    <row r="8992" spans="1:9" x14ac:dyDescent="0.25">
      <c r="A8992" s="515">
        <v>32063</v>
      </c>
      <c r="B8992" s="515" t="s">
        <v>1158</v>
      </c>
      <c r="C8992" s="52">
        <v>286053.063863107</v>
      </c>
      <c r="D8992" s="56">
        <v>7.7768861230444936E-2</v>
      </c>
      <c r="E8992" s="224" t="s">
        <v>2</v>
      </c>
      <c r="F8992" s="515" t="s">
        <v>10197</v>
      </c>
      <c r="G8992" s="52">
        <v>299925.55969653901</v>
      </c>
      <c r="H8992" s="56">
        <v>0.16042749848786658</v>
      </c>
      <c r="I8992" s="224" t="s">
        <v>2</v>
      </c>
    </row>
    <row r="8993" spans="1:9" x14ac:dyDescent="0.25">
      <c r="A8993" s="515">
        <v>7885</v>
      </c>
      <c r="B8993" s="515" t="s">
        <v>324</v>
      </c>
      <c r="C8993" s="52">
        <v>382407.751881523</v>
      </c>
      <c r="D8993" s="56">
        <v>4.8522624263275291E-2</v>
      </c>
      <c r="E8993" s="224" t="s">
        <v>2</v>
      </c>
      <c r="F8993" s="515" t="s">
        <v>10198</v>
      </c>
      <c r="G8993" s="52">
        <v>526776.92598099296</v>
      </c>
      <c r="H8993" s="56">
        <v>0.10022957948812504</v>
      </c>
      <c r="I8993" s="224" t="s">
        <v>2</v>
      </c>
    </row>
    <row r="8994" spans="1:9" x14ac:dyDescent="0.25">
      <c r="A8994" s="515">
        <v>35761</v>
      </c>
      <c r="B8994" s="515" t="s">
        <v>997</v>
      </c>
      <c r="C8994" s="52">
        <v>252469.37259744701</v>
      </c>
      <c r="D8994" s="56">
        <v>9.8746023027014421E-2</v>
      </c>
      <c r="E8994" s="224">
        <v>1650</v>
      </c>
      <c r="F8994" s="515" t="s">
        <v>10199</v>
      </c>
      <c r="G8994" s="52">
        <v>186847.76392350299</v>
      </c>
      <c r="H8994" s="56">
        <v>5.4569383187066535E-2</v>
      </c>
      <c r="I8994" s="224" t="s">
        <v>2</v>
      </c>
    </row>
    <row r="8995" spans="1:9" x14ac:dyDescent="0.25">
      <c r="A8995" s="515">
        <v>77807</v>
      </c>
      <c r="B8995" s="515" t="s">
        <v>346</v>
      </c>
      <c r="C8995" s="52">
        <v>279668.67324400798</v>
      </c>
      <c r="D8995" s="56">
        <v>5.861256868731822E-2</v>
      </c>
      <c r="E8995" s="224" t="s">
        <v>2</v>
      </c>
      <c r="F8995" s="515" t="s">
        <v>10200</v>
      </c>
      <c r="G8995" s="52">
        <v>586929.66568369395</v>
      </c>
      <c r="H8995" s="56">
        <v>0.14259739252106932</v>
      </c>
      <c r="I8995" s="224" t="s">
        <v>2</v>
      </c>
    </row>
    <row r="8996" spans="1:9" x14ac:dyDescent="0.25">
      <c r="A8996" s="515">
        <v>44026</v>
      </c>
      <c r="B8996" s="515" t="s">
        <v>520</v>
      </c>
      <c r="C8996" s="52">
        <v>316376.35714504903</v>
      </c>
      <c r="D8996" s="56">
        <v>6.5248426161246917E-2</v>
      </c>
      <c r="E8996" s="224" t="s">
        <v>2</v>
      </c>
      <c r="F8996" s="515" t="s">
        <v>10201</v>
      </c>
      <c r="G8996" s="52">
        <v>246477.560023973</v>
      </c>
      <c r="H8996" s="56">
        <v>8.8712455821063921E-2</v>
      </c>
      <c r="I8996" s="224" t="s">
        <v>2</v>
      </c>
    </row>
    <row r="8997" spans="1:9" x14ac:dyDescent="0.25">
      <c r="A8997" s="515">
        <v>45157</v>
      </c>
      <c r="B8997" s="515" t="s">
        <v>344</v>
      </c>
      <c r="C8997" s="52">
        <v>240605.42125781099</v>
      </c>
      <c r="D8997" s="56">
        <v>6.8304237583913588E-2</v>
      </c>
      <c r="E8997" s="224" t="s">
        <v>2</v>
      </c>
      <c r="F8997" s="515" t="s">
        <v>10202</v>
      </c>
      <c r="G8997" s="52">
        <v>341308.02889963001</v>
      </c>
      <c r="H8997" s="56">
        <v>9.3132609928510954E-2</v>
      </c>
      <c r="I8997" s="224" t="s">
        <v>2</v>
      </c>
    </row>
    <row r="8998" spans="1:9" x14ac:dyDescent="0.25">
      <c r="A8998" s="515">
        <v>15963</v>
      </c>
      <c r="B8998" s="515" t="s">
        <v>828</v>
      </c>
      <c r="C8998" s="52">
        <v>104435.86173397</v>
      </c>
      <c r="D8998" s="56">
        <v>6.0392671466110076E-2</v>
      </c>
      <c r="E8998" s="224" t="s">
        <v>2</v>
      </c>
      <c r="F8998" s="515" t="s">
        <v>10203</v>
      </c>
      <c r="G8998" s="52">
        <v>84296.419991632501</v>
      </c>
      <c r="H8998" s="56">
        <v>1.1232470182870755E-2</v>
      </c>
      <c r="I8998" s="224" t="s">
        <v>2</v>
      </c>
    </row>
    <row r="8999" spans="1:9" x14ac:dyDescent="0.25">
      <c r="A8999" s="515">
        <v>62948</v>
      </c>
      <c r="B8999" s="515" t="s">
        <v>471</v>
      </c>
      <c r="C8999" s="52">
        <v>88117.015848346404</v>
      </c>
      <c r="D8999" s="56">
        <v>2.1059348189240979E-2</v>
      </c>
      <c r="E8999" s="224" t="s">
        <v>2</v>
      </c>
      <c r="F8999" s="515" t="s">
        <v>10204</v>
      </c>
      <c r="G8999" s="52">
        <v>811169.46549395495</v>
      </c>
      <c r="H8999" s="56">
        <v>0.16452086032503474</v>
      </c>
      <c r="I8999" s="224" t="s">
        <v>2</v>
      </c>
    </row>
    <row r="9000" spans="1:9" x14ac:dyDescent="0.25">
      <c r="A9000" s="515">
        <v>64154</v>
      </c>
      <c r="B9000" s="515" t="s">
        <v>455</v>
      </c>
      <c r="C9000" s="52">
        <v>381921.69241862599</v>
      </c>
      <c r="D9000" s="56">
        <v>3.6045352104075022E-2</v>
      </c>
      <c r="E9000" s="224">
        <v>1198.30555555555</v>
      </c>
      <c r="F9000" s="515" t="s">
        <v>10205</v>
      </c>
      <c r="G9000" s="52">
        <v>241729.40525069</v>
      </c>
      <c r="H9000" s="56">
        <v>8.2241247661182584E-2</v>
      </c>
      <c r="I9000" s="224" t="s">
        <v>2</v>
      </c>
    </row>
    <row r="9001" spans="1:9" x14ac:dyDescent="0.25">
      <c r="A9001" s="515">
        <v>4043</v>
      </c>
      <c r="B9001" s="515" t="s">
        <v>570</v>
      </c>
      <c r="C9001" s="52">
        <v>536329.73099427705</v>
      </c>
      <c r="D9001" s="56">
        <v>7.8639267342842031E-2</v>
      </c>
      <c r="E9001" s="224" t="s">
        <v>2</v>
      </c>
      <c r="F9001" s="515" t="s">
        <v>10206</v>
      </c>
      <c r="G9001" s="52">
        <v>159466.69815322501</v>
      </c>
      <c r="H9001" s="56">
        <v>0.1463639378395189</v>
      </c>
      <c r="I9001" s="224" t="s">
        <v>2</v>
      </c>
    </row>
    <row r="9002" spans="1:9" x14ac:dyDescent="0.25">
      <c r="A9002" s="515">
        <v>36877</v>
      </c>
      <c r="B9002" s="515" t="s">
        <v>1159</v>
      </c>
      <c r="C9002" s="52">
        <v>228347.974444308</v>
      </c>
      <c r="D9002" s="56">
        <v>6.0725952464384218E-2</v>
      </c>
      <c r="E9002" s="224" t="s">
        <v>2</v>
      </c>
      <c r="F9002" s="515" t="s">
        <v>10207</v>
      </c>
      <c r="G9002" s="52">
        <v>576759.87959770404</v>
      </c>
      <c r="H9002" s="56">
        <v>6.5246692819642044E-2</v>
      </c>
      <c r="I9002" s="224" t="s">
        <v>2</v>
      </c>
    </row>
    <row r="9003" spans="1:9" x14ac:dyDescent="0.25">
      <c r="A9003" s="515">
        <v>53534</v>
      </c>
      <c r="B9003" s="515" t="s">
        <v>379</v>
      </c>
      <c r="C9003" s="52">
        <v>264184.52665389201</v>
      </c>
      <c r="D9003" s="56">
        <v>5.7076389761123066E-2</v>
      </c>
      <c r="E9003" s="224">
        <v>875</v>
      </c>
      <c r="F9003" s="515" t="s">
        <v>10208</v>
      </c>
      <c r="G9003" s="52">
        <v>224916.42717702099</v>
      </c>
      <c r="H9003" s="56">
        <v>5.1749463536355816E-2</v>
      </c>
      <c r="I9003" s="224" t="s">
        <v>2</v>
      </c>
    </row>
    <row r="9004" spans="1:9" x14ac:dyDescent="0.25">
      <c r="A9004" s="515">
        <v>7458</v>
      </c>
      <c r="B9004" s="515" t="s">
        <v>324</v>
      </c>
      <c r="C9004" s="52">
        <v>1211384.70518755</v>
      </c>
      <c r="D9004" s="56">
        <v>8.7422026936841882E-2</v>
      </c>
      <c r="E9004" s="224" t="s">
        <v>2</v>
      </c>
      <c r="F9004" s="515" t="s">
        <v>10209</v>
      </c>
      <c r="G9004" s="52">
        <v>199323.02071522601</v>
      </c>
      <c r="H9004" s="56">
        <v>0.10431744621979328</v>
      </c>
      <c r="I9004" s="224" t="s">
        <v>2</v>
      </c>
    </row>
    <row r="9005" spans="1:9" x14ac:dyDescent="0.25">
      <c r="A9005" s="515">
        <v>93442</v>
      </c>
      <c r="B9005" s="515" t="s">
        <v>959</v>
      </c>
      <c r="C9005" s="52">
        <v>879498.63573945803</v>
      </c>
      <c r="D9005" s="56">
        <v>3.1139736616204134E-2</v>
      </c>
      <c r="E9005" s="224" t="s">
        <v>2</v>
      </c>
      <c r="F9005" s="515" t="s">
        <v>10210</v>
      </c>
      <c r="G9005" s="52">
        <v>179763.02187627499</v>
      </c>
      <c r="H9005" s="56">
        <v>0.15680156067397158</v>
      </c>
      <c r="I9005" s="224" t="s">
        <v>2</v>
      </c>
    </row>
    <row r="9006" spans="1:9" x14ac:dyDescent="0.25">
      <c r="A9006" s="515">
        <v>38843</v>
      </c>
      <c r="B9006" s="515" t="s">
        <v>1010</v>
      </c>
      <c r="C9006" s="52">
        <v>130374.037936288</v>
      </c>
      <c r="D9006" s="56">
        <v>-3.0772612358711416E-2</v>
      </c>
      <c r="E9006" s="224" t="s">
        <v>2</v>
      </c>
      <c r="F9006" s="515" t="s">
        <v>10211</v>
      </c>
      <c r="G9006" s="52">
        <v>171179.04582882801</v>
      </c>
      <c r="H9006" s="56">
        <v>4.7294046023700069E-2</v>
      </c>
      <c r="I9006" s="224" t="s">
        <v>2</v>
      </c>
    </row>
    <row r="9007" spans="1:9" x14ac:dyDescent="0.25">
      <c r="A9007" s="515">
        <v>24121</v>
      </c>
      <c r="B9007" s="515" t="s">
        <v>705</v>
      </c>
      <c r="C9007" s="52">
        <v>469869.20901301201</v>
      </c>
      <c r="D9007" s="56">
        <v>6.9396931227888689E-2</v>
      </c>
      <c r="E9007" s="224" t="s">
        <v>2</v>
      </c>
      <c r="F9007" s="515" t="s">
        <v>10212</v>
      </c>
      <c r="G9007" s="52">
        <v>151688.53374751</v>
      </c>
      <c r="H9007" s="56">
        <v>6.7804883817131775E-2</v>
      </c>
      <c r="I9007" s="224" t="s">
        <v>2</v>
      </c>
    </row>
    <row r="9008" spans="1:9" x14ac:dyDescent="0.25">
      <c r="A9008" s="515">
        <v>36551</v>
      </c>
      <c r="B9008" s="515" t="s">
        <v>488</v>
      </c>
      <c r="C9008" s="52">
        <v>267202.42218655598</v>
      </c>
      <c r="D9008" s="56">
        <v>9.9027144177564405E-2</v>
      </c>
      <c r="E9008" s="224" t="s">
        <v>2</v>
      </c>
      <c r="F9008" s="515" t="s">
        <v>10213</v>
      </c>
      <c r="G9008" s="52">
        <v>246396.06551482101</v>
      </c>
      <c r="H9008" s="56">
        <v>0.1235938468929542</v>
      </c>
      <c r="I9008" s="224" t="s">
        <v>2</v>
      </c>
    </row>
    <row r="9009" spans="1:9" x14ac:dyDescent="0.25">
      <c r="A9009" s="515">
        <v>8805</v>
      </c>
      <c r="B9009" s="515" t="s">
        <v>324</v>
      </c>
      <c r="C9009" s="52">
        <v>412261.54795006302</v>
      </c>
      <c r="D9009" s="56">
        <v>6.668104869696001E-2</v>
      </c>
      <c r="E9009" s="224" t="s">
        <v>2</v>
      </c>
      <c r="F9009" s="515" t="s">
        <v>10214</v>
      </c>
      <c r="G9009" s="52">
        <v>138575.897240469</v>
      </c>
      <c r="H9009" s="56">
        <v>9.9543745179675874E-2</v>
      </c>
      <c r="I9009" s="224" t="s">
        <v>2</v>
      </c>
    </row>
    <row r="9010" spans="1:9" x14ac:dyDescent="0.25">
      <c r="A9010" s="515">
        <v>1105</v>
      </c>
      <c r="B9010" s="515" t="s">
        <v>575</v>
      </c>
      <c r="C9010" s="52">
        <v>196453.88199138801</v>
      </c>
      <c r="D9010" s="56">
        <v>0.11566300646316563</v>
      </c>
      <c r="E9010" s="224" t="s">
        <v>2</v>
      </c>
      <c r="F9010" s="515" t="s">
        <v>10215</v>
      </c>
      <c r="G9010" s="52">
        <v>131508.13076138301</v>
      </c>
      <c r="H9010" s="56">
        <v>-3.6947161843288237E-2</v>
      </c>
      <c r="I9010" s="224" t="s">
        <v>2</v>
      </c>
    </row>
    <row r="9011" spans="1:9" x14ac:dyDescent="0.25">
      <c r="A9011" s="515">
        <v>28457</v>
      </c>
      <c r="B9011" s="515" t="s">
        <v>1038</v>
      </c>
      <c r="C9011" s="52">
        <v>312533.376231145</v>
      </c>
      <c r="D9011" s="56">
        <v>0.12432396710258081</v>
      </c>
      <c r="E9011" s="224" t="s">
        <v>2</v>
      </c>
      <c r="F9011" s="515" t="s">
        <v>10216</v>
      </c>
      <c r="G9011" s="52">
        <v>169005.76781040101</v>
      </c>
      <c r="H9011" s="56">
        <v>0.12416608820585263</v>
      </c>
      <c r="I9011" s="224" t="s">
        <v>2</v>
      </c>
    </row>
    <row r="9012" spans="1:9" x14ac:dyDescent="0.25">
      <c r="A9012" s="515">
        <v>68122</v>
      </c>
      <c r="B9012" s="515" t="s">
        <v>367</v>
      </c>
      <c r="C9012" s="52">
        <v>252720.806161043</v>
      </c>
      <c r="D9012" s="56">
        <v>5.9969060045135372E-2</v>
      </c>
      <c r="E9012" s="224" t="s">
        <v>2</v>
      </c>
      <c r="F9012" s="515" t="s">
        <v>10217</v>
      </c>
      <c r="G9012" s="52">
        <v>315607.91373203398</v>
      </c>
      <c r="H9012" s="56">
        <v>9.8560022461606847E-2</v>
      </c>
      <c r="I9012" s="224" t="s">
        <v>2</v>
      </c>
    </row>
    <row r="9013" spans="1:9" x14ac:dyDescent="0.25">
      <c r="A9013" s="515">
        <v>14622</v>
      </c>
      <c r="B9013" s="515" t="s">
        <v>337</v>
      </c>
      <c r="C9013" s="52">
        <v>176662.104627311</v>
      </c>
      <c r="D9013" s="56">
        <v>5.517880053542875E-2</v>
      </c>
      <c r="E9013" s="224" t="s">
        <v>2</v>
      </c>
      <c r="F9013" s="515" t="s">
        <v>10218</v>
      </c>
      <c r="G9013" s="52">
        <v>181576.47787939999</v>
      </c>
      <c r="H9013" s="56">
        <v>0.11208626792080419</v>
      </c>
      <c r="I9013" s="224" t="s">
        <v>2</v>
      </c>
    </row>
    <row r="9014" spans="1:9" x14ac:dyDescent="0.25">
      <c r="A9014" s="515">
        <v>21047</v>
      </c>
      <c r="B9014" s="515" t="s">
        <v>582</v>
      </c>
      <c r="C9014" s="52">
        <v>494650.96640611102</v>
      </c>
      <c r="D9014" s="56">
        <v>2.7789786758938166E-2</v>
      </c>
      <c r="E9014" s="224" t="s">
        <v>2</v>
      </c>
      <c r="F9014" s="515" t="s">
        <v>10219</v>
      </c>
      <c r="G9014" s="52">
        <v>146054.974985056</v>
      </c>
      <c r="H9014" s="56">
        <v>5.6094413844808746E-2</v>
      </c>
      <c r="I9014" s="224" t="s">
        <v>2</v>
      </c>
    </row>
    <row r="9015" spans="1:9" x14ac:dyDescent="0.25">
      <c r="A9015" s="515">
        <v>1462</v>
      </c>
      <c r="B9015" s="515" t="s">
        <v>751</v>
      </c>
      <c r="C9015" s="52">
        <v>447748.85104428901</v>
      </c>
      <c r="D9015" s="56">
        <v>8.4828442336281798E-2</v>
      </c>
      <c r="E9015" s="224" t="s">
        <v>2</v>
      </c>
      <c r="F9015" s="515" t="s">
        <v>10220</v>
      </c>
      <c r="G9015" s="52">
        <v>147389.511198138</v>
      </c>
      <c r="H9015" s="56">
        <v>7.3855230133083843E-2</v>
      </c>
      <c r="I9015" s="224" t="s">
        <v>2</v>
      </c>
    </row>
    <row r="9016" spans="1:9" x14ac:dyDescent="0.25">
      <c r="A9016" s="515">
        <v>52627</v>
      </c>
      <c r="B9016" s="515" t="s">
        <v>496</v>
      </c>
      <c r="C9016" s="52">
        <v>100738.242742296</v>
      </c>
      <c r="D9016" s="56">
        <v>4.820527767775535E-2</v>
      </c>
      <c r="E9016" s="224" t="s">
        <v>2</v>
      </c>
      <c r="F9016" s="515" t="s">
        <v>10221</v>
      </c>
      <c r="G9016" s="52">
        <v>93440.427178267695</v>
      </c>
      <c r="H9016" s="56">
        <v>2.1547303158519281E-2</v>
      </c>
      <c r="I9016" s="224" t="s">
        <v>2</v>
      </c>
    </row>
    <row r="9017" spans="1:9" x14ac:dyDescent="0.25">
      <c r="A9017" s="515">
        <v>1540</v>
      </c>
      <c r="B9017" s="515" t="s">
        <v>751</v>
      </c>
      <c r="C9017" s="52">
        <v>355925.37156502</v>
      </c>
      <c r="D9017" s="56">
        <v>7.1992735304297034E-2</v>
      </c>
      <c r="E9017" s="224" t="s">
        <v>2</v>
      </c>
      <c r="F9017" s="515" t="s">
        <v>10222</v>
      </c>
      <c r="G9017" s="52">
        <v>260312.88578628999</v>
      </c>
      <c r="H9017" s="56">
        <v>3.9577075692272277E-2</v>
      </c>
      <c r="I9017" s="224" t="s">
        <v>2</v>
      </c>
    </row>
    <row r="9018" spans="1:9" x14ac:dyDescent="0.25">
      <c r="A9018" s="515">
        <v>23072</v>
      </c>
      <c r="B9018" s="515" t="s">
        <v>301</v>
      </c>
      <c r="C9018" s="52">
        <v>305056.36504634301</v>
      </c>
      <c r="D9018" s="56">
        <v>8.1986811729869324E-2</v>
      </c>
      <c r="E9018" s="224" t="s">
        <v>2</v>
      </c>
      <c r="F9018" s="515" t="s">
        <v>10223</v>
      </c>
      <c r="G9018" s="52">
        <v>243708.61687622499</v>
      </c>
      <c r="H9018" s="56">
        <v>6.8838246531069083E-2</v>
      </c>
      <c r="I9018" s="224" t="s">
        <v>2</v>
      </c>
    </row>
    <row r="9019" spans="1:9" x14ac:dyDescent="0.25">
      <c r="A9019" s="515">
        <v>61356</v>
      </c>
      <c r="B9019" s="515" t="s">
        <v>556</v>
      </c>
      <c r="C9019" s="52">
        <v>137918.055451847</v>
      </c>
      <c r="D9019" s="56">
        <v>4.1734265303229316E-2</v>
      </c>
      <c r="E9019" s="224" t="s">
        <v>2</v>
      </c>
      <c r="F9019" s="515" t="s">
        <v>10224</v>
      </c>
      <c r="G9019" s="52">
        <v>186861.26078069399</v>
      </c>
      <c r="H9019" s="56">
        <v>4.5671504890723691E-2</v>
      </c>
      <c r="I9019" s="224" t="s">
        <v>2</v>
      </c>
    </row>
    <row r="9020" spans="1:9" x14ac:dyDescent="0.25">
      <c r="A9020" s="515">
        <v>77612</v>
      </c>
      <c r="C9020" s="52">
        <v>194971.32462508301</v>
      </c>
      <c r="D9020" s="56">
        <v>-2.7330756807061624E-2</v>
      </c>
      <c r="E9020" s="224" t="s">
        <v>2</v>
      </c>
      <c r="F9020" s="515" t="s">
        <v>10225</v>
      </c>
      <c r="G9020" s="52">
        <v>223111.668330396</v>
      </c>
      <c r="H9020" s="56">
        <v>0.12666981944662178</v>
      </c>
      <c r="I9020" s="224" t="s">
        <v>2</v>
      </c>
    </row>
    <row r="9021" spans="1:9" x14ac:dyDescent="0.25">
      <c r="A9021" s="515">
        <v>27301</v>
      </c>
      <c r="B9021" s="515" t="s">
        <v>1148</v>
      </c>
      <c r="C9021" s="52">
        <v>254096.84537058201</v>
      </c>
      <c r="D9021" s="56">
        <v>0.12225250941670736</v>
      </c>
      <c r="E9021" s="224" t="s">
        <v>2</v>
      </c>
      <c r="F9021" s="515" t="s">
        <v>10226</v>
      </c>
      <c r="G9021" s="52">
        <v>316290.02160878602</v>
      </c>
      <c r="H9021" s="56">
        <v>0.13143432216256146</v>
      </c>
      <c r="I9021" s="224" t="s">
        <v>2</v>
      </c>
    </row>
    <row r="9022" spans="1:9" x14ac:dyDescent="0.25">
      <c r="A9022" s="515">
        <v>31636</v>
      </c>
      <c r="B9022" s="515" t="s">
        <v>505</v>
      </c>
      <c r="C9022" s="52">
        <v>217140.95698956199</v>
      </c>
      <c r="D9022" s="56">
        <v>8.4986756180742834E-2</v>
      </c>
      <c r="E9022" s="224" t="s">
        <v>2</v>
      </c>
      <c r="F9022" s="515" t="s">
        <v>10227</v>
      </c>
      <c r="G9022" s="52">
        <v>145318.17243137001</v>
      </c>
      <c r="H9022" s="56">
        <v>1.2818816991261005E-3</v>
      </c>
      <c r="I9022" s="224" t="s">
        <v>2</v>
      </c>
    </row>
    <row r="9023" spans="1:9" x14ac:dyDescent="0.25">
      <c r="A9023" s="515">
        <v>66112</v>
      </c>
      <c r="B9023" s="515" t="s">
        <v>455</v>
      </c>
      <c r="C9023" s="52">
        <v>200935.889611778</v>
      </c>
      <c r="D9023" s="56">
        <v>9.2435385300522477E-2</v>
      </c>
      <c r="E9023" s="224">
        <v>881.16666666666595</v>
      </c>
      <c r="F9023" s="515" t="s">
        <v>10228</v>
      </c>
      <c r="G9023" s="52">
        <v>231321.29465159099</v>
      </c>
      <c r="H9023" s="56">
        <v>6.8164864725382926E-2</v>
      </c>
      <c r="I9023" s="224" t="s">
        <v>2</v>
      </c>
    </row>
    <row r="9024" spans="1:9" x14ac:dyDescent="0.25">
      <c r="A9024" s="515">
        <v>46550</v>
      </c>
      <c r="B9024" s="515" t="s">
        <v>1170</v>
      </c>
      <c r="C9024" s="52">
        <v>242388.53964134201</v>
      </c>
      <c r="D9024" s="56">
        <v>7.5673031360272702E-2</v>
      </c>
      <c r="E9024" s="224" t="s">
        <v>2</v>
      </c>
      <c r="F9024" s="515" t="s">
        <v>10229</v>
      </c>
      <c r="G9024" s="52">
        <v>209398.408223159</v>
      </c>
      <c r="H9024" s="56">
        <v>7.2036553718343749E-2</v>
      </c>
      <c r="I9024" s="224" t="s">
        <v>2</v>
      </c>
    </row>
    <row r="9025" spans="1:9" x14ac:dyDescent="0.25">
      <c r="A9025" s="515">
        <v>28723</v>
      </c>
      <c r="B9025" s="515" t="s">
        <v>487</v>
      </c>
      <c r="C9025" s="52">
        <v>378991.91794240399</v>
      </c>
      <c r="D9025" s="56">
        <v>0.13325860251553046</v>
      </c>
      <c r="E9025" s="224" t="s">
        <v>2</v>
      </c>
      <c r="F9025" s="515" t="s">
        <v>10230</v>
      </c>
      <c r="G9025" s="52">
        <v>112593.298530475</v>
      </c>
      <c r="H9025" s="56">
        <v>6.7925975352221127E-2</v>
      </c>
      <c r="I9025" s="224" t="s">
        <v>2</v>
      </c>
    </row>
    <row r="9026" spans="1:9" x14ac:dyDescent="0.25">
      <c r="A9026" s="515">
        <v>10536</v>
      </c>
      <c r="B9026" s="515" t="s">
        <v>324</v>
      </c>
      <c r="C9026" s="52">
        <v>887364.63323154196</v>
      </c>
      <c r="D9026" s="56">
        <v>7.1721722195498036E-2</v>
      </c>
      <c r="E9026" s="224" t="s">
        <v>2</v>
      </c>
      <c r="F9026" s="515" t="s">
        <v>10231</v>
      </c>
      <c r="G9026" s="52">
        <v>282512.94336072297</v>
      </c>
      <c r="H9026" s="56">
        <v>0.12170171015760924</v>
      </c>
      <c r="I9026" s="224" t="s">
        <v>2</v>
      </c>
    </row>
    <row r="9027" spans="1:9" x14ac:dyDescent="0.25">
      <c r="A9027" s="515">
        <v>31036</v>
      </c>
      <c r="C9027" s="52">
        <v>142982.138377289</v>
      </c>
      <c r="D9027" s="56">
        <v>0.15891875649594922</v>
      </c>
      <c r="E9027" s="224" t="s">
        <v>2</v>
      </c>
      <c r="F9027" s="515" t="s">
        <v>10232</v>
      </c>
      <c r="G9027" s="52">
        <v>360067.23226153897</v>
      </c>
      <c r="H9027" s="56">
        <v>7.7306673549598956E-2</v>
      </c>
      <c r="I9027" s="224" t="s">
        <v>2</v>
      </c>
    </row>
    <row r="9028" spans="1:9" x14ac:dyDescent="0.25">
      <c r="A9028" s="515">
        <v>8322</v>
      </c>
      <c r="B9028" s="515" t="s">
        <v>294</v>
      </c>
      <c r="C9028" s="52">
        <v>287482.86582665402</v>
      </c>
      <c r="D9028" s="56">
        <v>6.2059797605022067E-2</v>
      </c>
      <c r="E9028" s="224" t="s">
        <v>2</v>
      </c>
      <c r="F9028" s="515" t="s">
        <v>10233</v>
      </c>
      <c r="G9028" s="52">
        <v>189030.02275954501</v>
      </c>
      <c r="H9028" s="56">
        <v>6.6065766646825619E-2</v>
      </c>
      <c r="I9028" s="224" t="s">
        <v>2</v>
      </c>
    </row>
    <row r="9029" spans="1:9" x14ac:dyDescent="0.25">
      <c r="A9029" s="515">
        <v>15063</v>
      </c>
      <c r="B9029" s="515" t="s">
        <v>297</v>
      </c>
      <c r="C9029" s="52">
        <v>144733.552451305</v>
      </c>
      <c r="D9029" s="56">
        <v>7.0767030551321108E-2</v>
      </c>
      <c r="E9029" s="224" t="s">
        <v>2</v>
      </c>
      <c r="F9029" s="515" t="s">
        <v>10234</v>
      </c>
      <c r="G9029" s="52">
        <v>574461.19258835004</v>
      </c>
      <c r="H9029" s="56">
        <v>6.3877489654184633E-2</v>
      </c>
      <c r="I9029" s="224" t="s">
        <v>2</v>
      </c>
    </row>
    <row r="9030" spans="1:9" x14ac:dyDescent="0.25">
      <c r="A9030" s="515">
        <v>98368</v>
      </c>
      <c r="C9030" s="52">
        <v>592376.41683575301</v>
      </c>
      <c r="D9030" s="56">
        <v>3.84922011233194E-2</v>
      </c>
      <c r="E9030" s="224" t="s">
        <v>2</v>
      </c>
      <c r="F9030" s="515" t="s">
        <v>10235</v>
      </c>
      <c r="G9030" s="52">
        <v>283136.66257750301</v>
      </c>
      <c r="H9030" s="56">
        <v>4.7510924447688264E-2</v>
      </c>
      <c r="I9030" s="224" t="s">
        <v>2</v>
      </c>
    </row>
    <row r="9031" spans="1:9" x14ac:dyDescent="0.25">
      <c r="A9031" s="515">
        <v>61462</v>
      </c>
      <c r="C9031" s="52">
        <v>82783.351354420898</v>
      </c>
      <c r="D9031" s="56">
        <v>3.1295629772559667E-2</v>
      </c>
      <c r="E9031" s="224" t="s">
        <v>2</v>
      </c>
      <c r="F9031" s="515" t="s">
        <v>10236</v>
      </c>
      <c r="G9031" s="52">
        <v>136167.913134715</v>
      </c>
      <c r="H9031" s="56">
        <v>9.9391110113483533E-2</v>
      </c>
      <c r="I9031" s="224" t="s">
        <v>2</v>
      </c>
    </row>
    <row r="9032" spans="1:9" x14ac:dyDescent="0.25">
      <c r="A9032" s="515">
        <v>7057</v>
      </c>
      <c r="B9032" s="515" t="s">
        <v>324</v>
      </c>
      <c r="C9032" s="52">
        <v>502313.63383304101</v>
      </c>
      <c r="D9032" s="56">
        <v>2.5095919488038347E-2</v>
      </c>
      <c r="E9032" s="224" t="s">
        <v>2</v>
      </c>
      <c r="F9032" s="515" t="s">
        <v>10237</v>
      </c>
      <c r="G9032" s="52">
        <v>190153.219502547</v>
      </c>
      <c r="H9032" s="56">
        <v>0.10534549453665512</v>
      </c>
      <c r="I9032" s="224" t="s">
        <v>2</v>
      </c>
    </row>
    <row r="9033" spans="1:9" x14ac:dyDescent="0.25">
      <c r="A9033" s="515">
        <v>37327</v>
      </c>
      <c r="B9033" s="515" t="s">
        <v>622</v>
      </c>
      <c r="C9033" s="52">
        <v>193237.538545863</v>
      </c>
      <c r="D9033" s="56">
        <v>7.1581533293281846E-2</v>
      </c>
      <c r="E9033" s="224" t="s">
        <v>2</v>
      </c>
      <c r="F9033" s="515" t="s">
        <v>10238</v>
      </c>
      <c r="G9033" s="52">
        <v>703796.70848495199</v>
      </c>
      <c r="H9033" s="56">
        <v>0.10797089042122129</v>
      </c>
      <c r="I9033" s="224" t="s">
        <v>2</v>
      </c>
    </row>
    <row r="9034" spans="1:9" x14ac:dyDescent="0.25">
      <c r="A9034" s="515">
        <v>70121</v>
      </c>
      <c r="B9034" s="515" t="s">
        <v>777</v>
      </c>
      <c r="C9034" s="52">
        <v>238068.229751543</v>
      </c>
      <c r="D9034" s="56">
        <v>-3.9809039816077252E-2</v>
      </c>
      <c r="E9034" s="224">
        <v>1633.3333333333301</v>
      </c>
      <c r="F9034" s="515" t="s">
        <v>10239</v>
      </c>
      <c r="G9034" s="52">
        <v>234553.56633520799</v>
      </c>
      <c r="H9034" s="56">
        <v>9.261535708202108E-2</v>
      </c>
      <c r="I9034" s="224" t="s">
        <v>2</v>
      </c>
    </row>
    <row r="9035" spans="1:9" x14ac:dyDescent="0.25">
      <c r="A9035" s="515">
        <v>63124</v>
      </c>
      <c r="B9035" s="515" t="s">
        <v>498</v>
      </c>
      <c r="C9035" s="52">
        <v>970958.06100013095</v>
      </c>
      <c r="D9035" s="56">
        <v>7.0505628617565791E-2</v>
      </c>
      <c r="E9035" s="224" t="s">
        <v>2</v>
      </c>
      <c r="F9035" s="515" t="s">
        <v>10240</v>
      </c>
      <c r="G9035" s="52">
        <v>3733807.5017752801</v>
      </c>
      <c r="H9035" s="56">
        <v>-6.6243532712725109E-3</v>
      </c>
      <c r="I9035" s="224" t="s">
        <v>2</v>
      </c>
    </row>
    <row r="9036" spans="1:9" x14ac:dyDescent="0.25">
      <c r="A9036" s="515">
        <v>72086</v>
      </c>
      <c r="B9036" s="515" t="s">
        <v>393</v>
      </c>
      <c r="C9036" s="52">
        <v>154813.00683544899</v>
      </c>
      <c r="D9036" s="56">
        <v>8.4147972925327399E-2</v>
      </c>
      <c r="E9036" s="224" t="s">
        <v>2</v>
      </c>
      <c r="F9036" s="515" t="s">
        <v>10241</v>
      </c>
      <c r="G9036" s="52">
        <v>331039.25073426799</v>
      </c>
      <c r="H9036" s="56">
        <v>8.3335797596428299E-2</v>
      </c>
      <c r="I9036" s="224" t="s">
        <v>2</v>
      </c>
    </row>
    <row r="9037" spans="1:9" x14ac:dyDescent="0.25">
      <c r="A9037" s="515">
        <v>45875</v>
      </c>
      <c r="C9037" s="52">
        <v>232190.86232107499</v>
      </c>
      <c r="D9037" s="56">
        <v>6.3698413528359532E-2</v>
      </c>
      <c r="E9037" s="224" t="s">
        <v>2</v>
      </c>
      <c r="F9037" s="515" t="s">
        <v>10242</v>
      </c>
      <c r="G9037" s="52">
        <v>572220.90283279901</v>
      </c>
      <c r="H9037" s="56">
        <v>7.8092144877484768E-2</v>
      </c>
      <c r="I9037" s="224" t="s">
        <v>2</v>
      </c>
    </row>
    <row r="9038" spans="1:9" x14ac:dyDescent="0.25">
      <c r="A9038" s="515">
        <v>14586</v>
      </c>
      <c r="B9038" s="515" t="s">
        <v>337</v>
      </c>
      <c r="C9038" s="52">
        <v>272125.51827373699</v>
      </c>
      <c r="D9038" s="56">
        <v>5.8130511137410738E-2</v>
      </c>
      <c r="E9038" s="224">
        <v>1847.5</v>
      </c>
      <c r="F9038" s="515" t="s">
        <v>10243</v>
      </c>
      <c r="G9038" s="52">
        <v>216346.05374856599</v>
      </c>
      <c r="H9038" s="56">
        <v>9.0421327799794532E-2</v>
      </c>
      <c r="I9038" s="224" t="s">
        <v>2</v>
      </c>
    </row>
    <row r="9039" spans="1:9" x14ac:dyDescent="0.25">
      <c r="A9039" s="515">
        <v>8609</v>
      </c>
      <c r="B9039" s="515" t="s">
        <v>938</v>
      </c>
      <c r="C9039" s="52">
        <v>120024.039467358</v>
      </c>
      <c r="D9039" s="56">
        <v>0.17002124352456277</v>
      </c>
      <c r="E9039" s="224" t="s">
        <v>2</v>
      </c>
      <c r="F9039" s="515" t="s">
        <v>10244</v>
      </c>
      <c r="G9039" s="52">
        <v>764681.88672399998</v>
      </c>
      <c r="H9039" s="56">
        <v>0.1338679717104693</v>
      </c>
      <c r="I9039" s="224" t="s">
        <v>2</v>
      </c>
    </row>
    <row r="9040" spans="1:9" x14ac:dyDescent="0.25">
      <c r="A9040" s="515">
        <v>82935</v>
      </c>
      <c r="B9040" s="515" t="s">
        <v>646</v>
      </c>
      <c r="C9040" s="52">
        <v>253182.48763506801</v>
      </c>
      <c r="D9040" s="56">
        <v>4.8663903520150091E-2</v>
      </c>
      <c r="E9040" s="224" t="s">
        <v>2</v>
      </c>
      <c r="F9040" s="515" t="s">
        <v>10245</v>
      </c>
      <c r="G9040" s="52">
        <v>81600.309554140098</v>
      </c>
      <c r="H9040" s="56">
        <v>0</v>
      </c>
      <c r="I9040" s="224" t="s">
        <v>2</v>
      </c>
    </row>
    <row r="9041" spans="1:9" x14ac:dyDescent="0.25">
      <c r="A9041" s="515">
        <v>33592</v>
      </c>
      <c r="B9041" s="515" t="s">
        <v>461</v>
      </c>
      <c r="C9041" s="52">
        <v>380529.77795741399</v>
      </c>
      <c r="D9041" s="56">
        <v>0.14189816543645564</v>
      </c>
      <c r="E9041" s="224" t="s">
        <v>2</v>
      </c>
      <c r="F9041" s="515" t="s">
        <v>10246</v>
      </c>
      <c r="G9041" s="52">
        <v>265442.49407708802</v>
      </c>
      <c r="H9041" s="56">
        <v>7.4040693473444691E-2</v>
      </c>
      <c r="I9041" s="224" t="s">
        <v>2</v>
      </c>
    </row>
    <row r="9042" spans="1:9" x14ac:dyDescent="0.25">
      <c r="A9042" s="515">
        <v>62294</v>
      </c>
      <c r="B9042" s="515" t="s">
        <v>498</v>
      </c>
      <c r="C9042" s="52">
        <v>264591.273008316</v>
      </c>
      <c r="D9042" s="56">
        <v>6.4080096115787327E-2</v>
      </c>
      <c r="E9042" s="224" t="s">
        <v>2</v>
      </c>
      <c r="F9042" s="515" t="s">
        <v>10247</v>
      </c>
      <c r="G9042" s="52">
        <v>188139.97332347801</v>
      </c>
      <c r="H9042" s="56">
        <v>6.6107916908955219E-2</v>
      </c>
      <c r="I9042" s="224" t="s">
        <v>2</v>
      </c>
    </row>
    <row r="9043" spans="1:9" x14ac:dyDescent="0.25">
      <c r="A9043" s="515">
        <v>10018</v>
      </c>
      <c r="B9043" s="515" t="s">
        <v>324</v>
      </c>
      <c r="C9043" s="52">
        <v>1316877.18274592</v>
      </c>
      <c r="D9043" s="56">
        <v>-7.506878836127158E-2</v>
      </c>
      <c r="E9043" s="224">
        <v>4248.2831390831298</v>
      </c>
      <c r="F9043" s="515" t="s">
        <v>10248</v>
      </c>
      <c r="G9043" s="52">
        <v>510929.53120921599</v>
      </c>
      <c r="H9043" s="56">
        <v>8.3620442936063508E-2</v>
      </c>
      <c r="I9043" s="224" t="s">
        <v>2</v>
      </c>
    </row>
    <row r="9044" spans="1:9" x14ac:dyDescent="0.25">
      <c r="A9044" s="515">
        <v>45107</v>
      </c>
      <c r="B9044" s="515" t="s">
        <v>489</v>
      </c>
      <c r="C9044" s="52">
        <v>212101.146097366</v>
      </c>
      <c r="D9044" s="56">
        <v>6.9516730678498465E-2</v>
      </c>
      <c r="E9044" s="224" t="s">
        <v>2</v>
      </c>
      <c r="F9044" s="515" t="s">
        <v>10249</v>
      </c>
      <c r="G9044" s="52">
        <v>334952.66674535302</v>
      </c>
      <c r="H9044" s="56">
        <v>6.1595196603073402E-2</v>
      </c>
      <c r="I9044" s="224" t="s">
        <v>2</v>
      </c>
    </row>
    <row r="9045" spans="1:9" x14ac:dyDescent="0.25">
      <c r="A9045" s="515">
        <v>17103</v>
      </c>
      <c r="B9045" s="515" t="s">
        <v>428</v>
      </c>
      <c r="C9045" s="52">
        <v>97290.354550049204</v>
      </c>
      <c r="D9045" s="56">
        <v>0.22665750816609817</v>
      </c>
      <c r="E9045" s="224" t="s">
        <v>2</v>
      </c>
      <c r="F9045" s="515" t="s">
        <v>10250</v>
      </c>
      <c r="G9045" s="52">
        <v>194655.13143141699</v>
      </c>
      <c r="H9045" s="56">
        <v>0.15680365479851527</v>
      </c>
      <c r="I9045" s="224" t="s">
        <v>2</v>
      </c>
    </row>
    <row r="9046" spans="1:9" x14ac:dyDescent="0.25">
      <c r="A9046" s="515">
        <v>30268</v>
      </c>
      <c r="B9046" s="515" t="s">
        <v>957</v>
      </c>
      <c r="C9046" s="52">
        <v>307783.61214266001</v>
      </c>
      <c r="D9046" s="56">
        <v>0.12605394427840358</v>
      </c>
      <c r="E9046" s="224" t="s">
        <v>2</v>
      </c>
      <c r="F9046" s="515" t="s">
        <v>10251</v>
      </c>
      <c r="G9046" s="52">
        <v>308830.08808189601</v>
      </c>
      <c r="H9046" s="56">
        <v>3.3625687831309481E-2</v>
      </c>
      <c r="I9046" s="224" t="s">
        <v>2</v>
      </c>
    </row>
    <row r="9047" spans="1:9" x14ac:dyDescent="0.25">
      <c r="A9047" s="515">
        <v>66610</v>
      </c>
      <c r="B9047" s="515" t="s">
        <v>549</v>
      </c>
      <c r="C9047" s="52">
        <v>337042.33537125302</v>
      </c>
      <c r="D9047" s="56">
        <v>7.1846266416262475E-2</v>
      </c>
      <c r="E9047" s="224" t="s">
        <v>2</v>
      </c>
      <c r="F9047" s="515" t="s">
        <v>10252</v>
      </c>
      <c r="G9047" s="52">
        <v>744295.29950291</v>
      </c>
      <c r="H9047" s="56">
        <v>0.12822151075095767</v>
      </c>
      <c r="I9047" s="224" t="s">
        <v>2</v>
      </c>
    </row>
    <row r="9048" spans="1:9" x14ac:dyDescent="0.25">
      <c r="A9048" s="515">
        <v>1450</v>
      </c>
      <c r="B9048" s="515" t="s">
        <v>534</v>
      </c>
      <c r="C9048" s="52">
        <v>658764.13539350103</v>
      </c>
      <c r="D9048" s="56">
        <v>6.6680283465794896E-2</v>
      </c>
      <c r="E9048" s="224" t="s">
        <v>2</v>
      </c>
      <c r="F9048" s="515" t="s">
        <v>10253</v>
      </c>
      <c r="G9048" s="52">
        <v>142568.77675742999</v>
      </c>
      <c r="H9048" s="56">
        <v>-6.4898496610659009E-2</v>
      </c>
      <c r="I9048" s="224" t="s">
        <v>2</v>
      </c>
    </row>
    <row r="9049" spans="1:9" x14ac:dyDescent="0.25">
      <c r="A9049" s="515">
        <v>32618</v>
      </c>
      <c r="B9049" s="515" t="s">
        <v>577</v>
      </c>
      <c r="C9049" s="52">
        <v>268461.31008562498</v>
      </c>
      <c r="D9049" s="56">
        <v>0.11353825685908819</v>
      </c>
      <c r="E9049" s="224" t="s">
        <v>2</v>
      </c>
      <c r="F9049" s="515" t="s">
        <v>10254</v>
      </c>
      <c r="G9049" s="52">
        <v>333315.49313037202</v>
      </c>
      <c r="H9049" s="56">
        <v>4.5960505371165958E-2</v>
      </c>
      <c r="I9049" s="224" t="s">
        <v>2</v>
      </c>
    </row>
    <row r="9050" spans="1:9" x14ac:dyDescent="0.25">
      <c r="A9050" s="515">
        <v>78387</v>
      </c>
      <c r="B9050" s="515" t="s">
        <v>415</v>
      </c>
      <c r="C9050" s="52">
        <v>139087.79131515801</v>
      </c>
      <c r="D9050" s="56">
        <v>-8.0610825919117074E-4</v>
      </c>
      <c r="E9050" s="224" t="s">
        <v>2</v>
      </c>
      <c r="F9050" s="515" t="s">
        <v>10255</v>
      </c>
      <c r="G9050" s="52">
        <v>181214.14898190499</v>
      </c>
      <c r="H9050" s="56">
        <v>8.7978145420671894E-2</v>
      </c>
      <c r="I9050" s="224" t="s">
        <v>2</v>
      </c>
    </row>
    <row r="9051" spans="1:9" x14ac:dyDescent="0.25">
      <c r="A9051" s="515">
        <v>44481</v>
      </c>
      <c r="B9051" s="515" t="s">
        <v>397</v>
      </c>
      <c r="C9051" s="52">
        <v>188581.29261182799</v>
      </c>
      <c r="D9051" s="56">
        <v>6.258513149007576E-2</v>
      </c>
      <c r="E9051" s="224" t="s">
        <v>2</v>
      </c>
      <c r="F9051" s="515" t="s">
        <v>10256</v>
      </c>
      <c r="G9051" s="52">
        <v>334945.552563651</v>
      </c>
      <c r="H9051" s="56">
        <v>7.2507568352560531E-2</v>
      </c>
      <c r="I9051" s="224" t="s">
        <v>2</v>
      </c>
    </row>
    <row r="9052" spans="1:9" x14ac:dyDescent="0.25">
      <c r="A9052" s="515">
        <v>33194</v>
      </c>
      <c r="B9052" s="515" t="s">
        <v>831</v>
      </c>
      <c r="C9052" s="52">
        <v>532710.89967250801</v>
      </c>
      <c r="D9052" s="56">
        <v>9.7261877211618636E-2</v>
      </c>
      <c r="E9052" s="224" t="s">
        <v>2</v>
      </c>
      <c r="F9052" s="515" t="s">
        <v>10257</v>
      </c>
      <c r="G9052" s="52">
        <v>228450.97728659899</v>
      </c>
      <c r="H9052" s="56">
        <v>0.1237449336254134</v>
      </c>
      <c r="I9052" s="224" t="s">
        <v>2</v>
      </c>
    </row>
    <row r="9053" spans="1:9" x14ac:dyDescent="0.25">
      <c r="A9053" s="515">
        <v>98148</v>
      </c>
      <c r="B9053" s="515" t="s">
        <v>384</v>
      </c>
      <c r="C9053" s="52">
        <v>564090.36957055295</v>
      </c>
      <c r="D9053" s="56">
        <v>2.1644217660192325E-2</v>
      </c>
      <c r="E9053" s="224">
        <v>1781</v>
      </c>
      <c r="F9053" s="515" t="s">
        <v>10258</v>
      </c>
      <c r="G9053" s="52">
        <v>237020.30872227799</v>
      </c>
      <c r="H9053" s="56">
        <v>1.406764334802698E-2</v>
      </c>
      <c r="I9053" s="224" t="s">
        <v>2</v>
      </c>
    </row>
    <row r="9054" spans="1:9" x14ac:dyDescent="0.25">
      <c r="A9054" s="515">
        <v>30417</v>
      </c>
      <c r="C9054" s="52">
        <v>127987.475235701</v>
      </c>
      <c r="D9054" s="56">
        <v>7.8957082519814176E-2</v>
      </c>
      <c r="E9054" s="224" t="s">
        <v>2</v>
      </c>
      <c r="F9054" s="515" t="s">
        <v>10259</v>
      </c>
      <c r="G9054" s="52">
        <v>345290.01657292998</v>
      </c>
      <c r="H9054" s="56">
        <v>5.458776676794682E-2</v>
      </c>
      <c r="I9054" s="224" t="s">
        <v>2</v>
      </c>
    </row>
    <row r="9055" spans="1:9" x14ac:dyDescent="0.25">
      <c r="A9055" s="515">
        <v>46341</v>
      </c>
      <c r="B9055" s="515" t="s">
        <v>394</v>
      </c>
      <c r="C9055" s="52">
        <v>272660.774035479</v>
      </c>
      <c r="D9055" s="56">
        <v>7.1415196200315875E-2</v>
      </c>
      <c r="E9055" s="224" t="s">
        <v>2</v>
      </c>
      <c r="F9055" s="515" t="s">
        <v>10260</v>
      </c>
      <c r="G9055" s="52">
        <v>631755.43449989206</v>
      </c>
      <c r="H9055" s="56">
        <v>3.8979244926066671E-2</v>
      </c>
      <c r="I9055" s="224" t="s">
        <v>2</v>
      </c>
    </row>
    <row r="9056" spans="1:9" x14ac:dyDescent="0.25">
      <c r="A9056" s="515">
        <v>19118</v>
      </c>
      <c r="B9056" s="515" t="s">
        <v>294</v>
      </c>
      <c r="C9056" s="52">
        <v>690895.10046786699</v>
      </c>
      <c r="D9056" s="56">
        <v>4.9212110644393174E-2</v>
      </c>
      <c r="E9056" s="224">
        <v>1669.25</v>
      </c>
      <c r="F9056" s="515" t="s">
        <v>10261</v>
      </c>
      <c r="G9056" s="52">
        <v>204629.539338309</v>
      </c>
      <c r="H9056" s="56">
        <v>0.14352939421983071</v>
      </c>
      <c r="I9056" s="224" t="s">
        <v>2</v>
      </c>
    </row>
    <row r="9057" spans="1:9" x14ac:dyDescent="0.25">
      <c r="A9057" s="515">
        <v>96019</v>
      </c>
      <c r="B9057" s="515" t="s">
        <v>514</v>
      </c>
      <c r="C9057" s="52">
        <v>281975.67200906499</v>
      </c>
      <c r="D9057" s="56">
        <v>2.5811424507793269E-2</v>
      </c>
      <c r="E9057" s="224" t="s">
        <v>2</v>
      </c>
      <c r="F9057" s="515" t="s">
        <v>10262</v>
      </c>
      <c r="G9057" s="52">
        <v>67770.433987701399</v>
      </c>
      <c r="H9057" s="56">
        <v>0.1150279859304268</v>
      </c>
      <c r="I9057" s="224" t="s">
        <v>2</v>
      </c>
    </row>
    <row r="9058" spans="1:9" x14ac:dyDescent="0.25">
      <c r="A9058" s="515">
        <v>67230</v>
      </c>
      <c r="B9058" s="515" t="s">
        <v>485</v>
      </c>
      <c r="C9058" s="52">
        <v>413777.45199079398</v>
      </c>
      <c r="D9058" s="56">
        <v>5.5531363821914731E-2</v>
      </c>
      <c r="E9058" s="224" t="s">
        <v>2</v>
      </c>
      <c r="F9058" s="515" t="s">
        <v>10263</v>
      </c>
      <c r="G9058" s="52">
        <v>538026.709078755</v>
      </c>
      <c r="H9058" s="56">
        <v>6.0151362271773166E-2</v>
      </c>
      <c r="I9058" s="224" t="s">
        <v>2</v>
      </c>
    </row>
    <row r="9059" spans="1:9" x14ac:dyDescent="0.25">
      <c r="A9059" s="515">
        <v>56374</v>
      </c>
      <c r="B9059" s="515" t="s">
        <v>418</v>
      </c>
      <c r="C9059" s="52">
        <v>284978.17250134901</v>
      </c>
      <c r="D9059" s="56">
        <v>2.803700149840288E-2</v>
      </c>
      <c r="E9059" s="224" t="s">
        <v>2</v>
      </c>
      <c r="F9059" s="515" t="s">
        <v>10264</v>
      </c>
      <c r="G9059" s="52">
        <v>348719.46702831198</v>
      </c>
      <c r="H9059" s="56">
        <v>8.210297369815156E-2</v>
      </c>
      <c r="I9059" s="224" t="s">
        <v>2</v>
      </c>
    </row>
    <row r="9060" spans="1:9" x14ac:dyDescent="0.25">
      <c r="A9060" s="515">
        <v>32179</v>
      </c>
      <c r="B9060" s="515" t="s">
        <v>475</v>
      </c>
      <c r="C9060" s="52">
        <v>233586.75056448401</v>
      </c>
      <c r="D9060" s="56">
        <v>0.20819653305762731</v>
      </c>
      <c r="E9060" s="224" t="s">
        <v>2</v>
      </c>
      <c r="F9060" s="515" t="s">
        <v>10265</v>
      </c>
      <c r="G9060" s="52">
        <v>103690.26393957601</v>
      </c>
      <c r="H9060" s="56">
        <v>4.9658491797432307E-2</v>
      </c>
      <c r="I9060" s="224" t="s">
        <v>2</v>
      </c>
    </row>
    <row r="9061" spans="1:9" x14ac:dyDescent="0.25">
      <c r="A9061" s="515">
        <v>46055</v>
      </c>
      <c r="B9061" s="515" t="s">
        <v>403</v>
      </c>
      <c r="C9061" s="52">
        <v>362657.32221302699</v>
      </c>
      <c r="D9061" s="56">
        <v>5.2043095153165013E-2</v>
      </c>
      <c r="E9061" s="224">
        <v>2067.5</v>
      </c>
      <c r="F9061" s="515" t="s">
        <v>10266</v>
      </c>
      <c r="G9061" s="52">
        <v>182365.18340677299</v>
      </c>
      <c r="H9061" s="56">
        <v>0.10268333308428115</v>
      </c>
      <c r="I9061" s="224" t="s">
        <v>2</v>
      </c>
    </row>
    <row r="9062" spans="1:9" x14ac:dyDescent="0.25">
      <c r="A9062" s="515">
        <v>38201</v>
      </c>
      <c r="C9062" s="52">
        <v>144266.82464167799</v>
      </c>
      <c r="D9062" s="56">
        <v>5.1992336119638105E-2</v>
      </c>
      <c r="E9062" s="224" t="s">
        <v>2</v>
      </c>
      <c r="F9062" s="515" t="s">
        <v>10267</v>
      </c>
      <c r="G9062" s="52">
        <v>80726.979136672395</v>
      </c>
      <c r="H9062" s="56">
        <v>0.166311127990173</v>
      </c>
      <c r="I9062" s="224" t="s">
        <v>2</v>
      </c>
    </row>
    <row r="9063" spans="1:9" x14ac:dyDescent="0.25">
      <c r="A9063" s="515">
        <v>30607</v>
      </c>
      <c r="B9063" s="515" t="s">
        <v>991</v>
      </c>
      <c r="C9063" s="52">
        <v>264479.747796782</v>
      </c>
      <c r="D9063" s="56">
        <v>9.8971800413294661E-2</v>
      </c>
      <c r="E9063" s="224" t="s">
        <v>2</v>
      </c>
      <c r="F9063" s="515" t="s">
        <v>10268</v>
      </c>
      <c r="G9063" s="52">
        <v>241142.06520172401</v>
      </c>
      <c r="H9063" s="56">
        <v>8.7933325491604583E-2</v>
      </c>
      <c r="I9063" s="224" t="s">
        <v>2</v>
      </c>
    </row>
    <row r="9064" spans="1:9" x14ac:dyDescent="0.25">
      <c r="A9064" s="515">
        <v>98550</v>
      </c>
      <c r="B9064" s="515" t="s">
        <v>683</v>
      </c>
      <c r="C9064" s="52">
        <v>229964.063117021</v>
      </c>
      <c r="D9064" s="56">
        <v>6.1078859872984254E-2</v>
      </c>
      <c r="E9064" s="224" t="s">
        <v>2</v>
      </c>
      <c r="F9064" s="515" t="s">
        <v>10269</v>
      </c>
      <c r="G9064" s="52">
        <v>121029.73707518</v>
      </c>
      <c r="H9064" s="56">
        <v>1.8532640285131397E-2</v>
      </c>
      <c r="I9064" s="224" t="s">
        <v>2</v>
      </c>
    </row>
    <row r="9065" spans="1:9" x14ac:dyDescent="0.25">
      <c r="A9065" s="515">
        <v>22657</v>
      </c>
      <c r="C9065" s="52">
        <v>294856.669296343</v>
      </c>
      <c r="D9065" s="56">
        <v>9.8580606334613921E-2</v>
      </c>
      <c r="E9065" s="224" t="s">
        <v>2</v>
      </c>
      <c r="F9065" s="515" t="s">
        <v>10270</v>
      </c>
      <c r="G9065" s="52">
        <v>140066.255584225</v>
      </c>
      <c r="H9065" s="56">
        <v>-3.39007545975984E-2</v>
      </c>
      <c r="I9065" s="224" t="s">
        <v>2</v>
      </c>
    </row>
    <row r="9066" spans="1:9" x14ac:dyDescent="0.25">
      <c r="A9066" s="515">
        <v>78629</v>
      </c>
      <c r="C9066" s="52">
        <v>198103.79660742101</v>
      </c>
      <c r="D9066" s="56">
        <v>3.648805682406861E-2</v>
      </c>
      <c r="E9066" s="224" t="s">
        <v>2</v>
      </c>
      <c r="F9066" s="515" t="s">
        <v>10271</v>
      </c>
      <c r="G9066" s="52">
        <v>173328.98223006399</v>
      </c>
      <c r="H9066" s="56">
        <v>0.1317711503691959</v>
      </c>
      <c r="I9066" s="224" t="s">
        <v>2</v>
      </c>
    </row>
    <row r="9067" spans="1:9" x14ac:dyDescent="0.25">
      <c r="A9067" s="515">
        <v>64156</v>
      </c>
      <c r="B9067" s="515" t="s">
        <v>455</v>
      </c>
      <c r="C9067" s="52">
        <v>412266.89876145299</v>
      </c>
      <c r="D9067" s="56">
        <v>6.1887358590872063E-2</v>
      </c>
      <c r="E9067" s="224" t="s">
        <v>2</v>
      </c>
      <c r="F9067" s="515" t="s">
        <v>10272</v>
      </c>
      <c r="G9067" s="52">
        <v>173384.738569287</v>
      </c>
      <c r="H9067" s="56">
        <v>9.7126308019590143E-2</v>
      </c>
      <c r="I9067" s="224" t="s">
        <v>2</v>
      </c>
    </row>
    <row r="9068" spans="1:9" x14ac:dyDescent="0.25">
      <c r="A9068" s="515">
        <v>92007</v>
      </c>
      <c r="B9068" s="515" t="s">
        <v>396</v>
      </c>
      <c r="C9068" s="52">
        <v>1706881.7870982001</v>
      </c>
      <c r="D9068" s="56">
        <v>5.2801568556762164E-2</v>
      </c>
      <c r="E9068" s="224">
        <v>4297.0833333333303</v>
      </c>
      <c r="F9068" s="515" t="s">
        <v>10273</v>
      </c>
      <c r="G9068" s="52">
        <v>293367.12821151898</v>
      </c>
      <c r="H9068" s="56">
        <v>2.2486428138178815E-2</v>
      </c>
      <c r="I9068" s="224" t="s">
        <v>2</v>
      </c>
    </row>
    <row r="9069" spans="1:9" x14ac:dyDescent="0.25">
      <c r="A9069" s="515">
        <v>65026</v>
      </c>
      <c r="C9069" s="52">
        <v>182981.95901818</v>
      </c>
      <c r="D9069" s="56">
        <v>4.8689134590171816E-2</v>
      </c>
      <c r="E9069" s="224" t="s">
        <v>2</v>
      </c>
      <c r="F9069" s="515" t="s">
        <v>10274</v>
      </c>
      <c r="G9069" s="52">
        <v>35926.651733247199</v>
      </c>
      <c r="H9069" s="56">
        <v>-5.081809257700768E-2</v>
      </c>
      <c r="I9069" s="224" t="s">
        <v>2</v>
      </c>
    </row>
    <row r="9070" spans="1:9" x14ac:dyDescent="0.25">
      <c r="A9070" s="515">
        <v>66720</v>
      </c>
      <c r="C9070" s="52">
        <v>80122.698893486202</v>
      </c>
      <c r="D9070" s="56">
        <v>3.3171944230772049E-2</v>
      </c>
      <c r="E9070" s="224" t="s">
        <v>2</v>
      </c>
      <c r="F9070" s="515" t="s">
        <v>10275</v>
      </c>
      <c r="G9070" s="52">
        <v>268435.99392225</v>
      </c>
      <c r="H9070" s="56">
        <v>1.6514940869893097E-2</v>
      </c>
      <c r="I9070" s="224" t="s">
        <v>2</v>
      </c>
    </row>
    <row r="9071" spans="1:9" x14ac:dyDescent="0.25">
      <c r="A9071" s="515">
        <v>90010</v>
      </c>
      <c r="B9071" s="515" t="s">
        <v>375</v>
      </c>
      <c r="C9071" s="52">
        <v>961283.59929115698</v>
      </c>
      <c r="D9071" s="56">
        <v>3.0262734886332306E-2</v>
      </c>
      <c r="E9071" s="224">
        <v>2675.3439393939302</v>
      </c>
      <c r="F9071" s="515" t="s">
        <v>10276</v>
      </c>
      <c r="G9071" s="52">
        <v>344075.28811458801</v>
      </c>
      <c r="H9071" s="56">
        <v>5.6362568425278009E-2</v>
      </c>
      <c r="I9071" s="224" t="s">
        <v>2</v>
      </c>
    </row>
    <row r="9072" spans="1:9" x14ac:dyDescent="0.25">
      <c r="A9072" s="515">
        <v>35768</v>
      </c>
      <c r="B9072" s="515" t="s">
        <v>748</v>
      </c>
      <c r="C9072" s="52">
        <v>141798.153829616</v>
      </c>
      <c r="D9072" s="56">
        <v>0.10365191414905045</v>
      </c>
      <c r="E9072" s="224" t="s">
        <v>2</v>
      </c>
      <c r="F9072" s="515" t="s">
        <v>10277</v>
      </c>
      <c r="G9072" s="52">
        <v>858797.75896227895</v>
      </c>
      <c r="H9072" s="56">
        <v>-2.2695171332730787E-2</v>
      </c>
      <c r="I9072" s="224" t="s">
        <v>2</v>
      </c>
    </row>
    <row r="9073" spans="1:9" x14ac:dyDescent="0.25">
      <c r="A9073" s="515">
        <v>28170</v>
      </c>
      <c r="B9073" s="515" t="s">
        <v>360</v>
      </c>
      <c r="C9073" s="52">
        <v>103832.00887240699</v>
      </c>
      <c r="D9073" s="56">
        <v>0.29107343616996412</v>
      </c>
      <c r="E9073" s="224" t="s">
        <v>2</v>
      </c>
      <c r="F9073" s="515" t="s">
        <v>10278</v>
      </c>
      <c r="G9073" s="52">
        <v>157250.99731308801</v>
      </c>
      <c r="H9073" s="56">
        <v>0.10151442237024219</v>
      </c>
      <c r="I9073" s="224" t="s">
        <v>2</v>
      </c>
    </row>
    <row r="9074" spans="1:9" x14ac:dyDescent="0.25">
      <c r="A9074" s="515">
        <v>75654</v>
      </c>
      <c r="B9074" s="515" t="s">
        <v>319</v>
      </c>
      <c r="C9074" s="52">
        <v>187067.27058622701</v>
      </c>
      <c r="D9074" s="56">
        <v>0.10327519467328486</v>
      </c>
      <c r="E9074" s="224" t="s">
        <v>2</v>
      </c>
      <c r="F9074" s="515" t="s">
        <v>8268</v>
      </c>
      <c r="G9074" s="52">
        <v>296044.62855542399</v>
      </c>
      <c r="H9074" s="56">
        <v>8.4242815534894919E-2</v>
      </c>
      <c r="I9074" s="224" t="s">
        <v>2</v>
      </c>
    </row>
    <row r="9075" spans="1:9" x14ac:dyDescent="0.25">
      <c r="A9075" s="515">
        <v>78390</v>
      </c>
      <c r="B9075" s="515" t="s">
        <v>415</v>
      </c>
      <c r="C9075" s="52">
        <v>117365.442298882</v>
      </c>
      <c r="D9075" s="56">
        <v>-5.0300121490417321E-2</v>
      </c>
      <c r="E9075" s="224" t="s">
        <v>2</v>
      </c>
      <c r="F9075" s="515" t="s">
        <v>10279</v>
      </c>
      <c r="G9075" s="52">
        <v>85843.392535952604</v>
      </c>
      <c r="H9075" s="56">
        <v>4.9308149627918685E-2</v>
      </c>
      <c r="I9075" s="224" t="s">
        <v>2</v>
      </c>
    </row>
    <row r="9076" spans="1:9" x14ac:dyDescent="0.25">
      <c r="A9076" s="515">
        <v>29172</v>
      </c>
      <c r="B9076" s="515" t="s">
        <v>762</v>
      </c>
      <c r="C9076" s="52">
        <v>175842.19620747201</v>
      </c>
      <c r="D9076" s="56">
        <v>0.192175161355781</v>
      </c>
      <c r="E9076" s="224" t="s">
        <v>2</v>
      </c>
      <c r="F9076" s="515" t="s">
        <v>10280</v>
      </c>
      <c r="G9076" s="52">
        <v>66692.987742387297</v>
      </c>
      <c r="H9076" s="56">
        <v>6.284985932613181E-2</v>
      </c>
      <c r="I9076" s="224" t="s">
        <v>2</v>
      </c>
    </row>
    <row r="9077" spans="1:9" x14ac:dyDescent="0.25">
      <c r="A9077" s="515">
        <v>13165</v>
      </c>
      <c r="B9077" s="515" t="s">
        <v>1032</v>
      </c>
      <c r="C9077" s="52">
        <v>148421.64755151799</v>
      </c>
      <c r="D9077" s="56">
        <v>8.3357205973094303E-2</v>
      </c>
      <c r="E9077" s="224" t="s">
        <v>2</v>
      </c>
      <c r="F9077" s="515" t="s">
        <v>10281</v>
      </c>
      <c r="G9077" s="52">
        <v>353598.68292337802</v>
      </c>
      <c r="H9077" s="56">
        <v>4.361684563149637E-2</v>
      </c>
      <c r="I9077" s="224" t="s">
        <v>2</v>
      </c>
    </row>
    <row r="9078" spans="1:9" x14ac:dyDescent="0.25">
      <c r="A9078" s="515">
        <v>97415</v>
      </c>
      <c r="B9078" s="515" t="s">
        <v>614</v>
      </c>
      <c r="C9078" s="52">
        <v>467519.11075532797</v>
      </c>
      <c r="D9078" s="56">
        <v>4.2352034181527248E-2</v>
      </c>
      <c r="E9078" s="224" t="s">
        <v>2</v>
      </c>
      <c r="F9078" s="515" t="s">
        <v>10282</v>
      </c>
      <c r="G9078" s="52">
        <v>200127.28961713801</v>
      </c>
      <c r="H9078" s="56">
        <v>9.3282528883175897E-2</v>
      </c>
      <c r="I9078" s="224" t="s">
        <v>2</v>
      </c>
    </row>
    <row r="9079" spans="1:9" x14ac:dyDescent="0.25">
      <c r="A9079" s="515">
        <v>98329</v>
      </c>
      <c r="B9079" s="515" t="s">
        <v>384</v>
      </c>
      <c r="C9079" s="52">
        <v>529911.38564123202</v>
      </c>
      <c r="D9079" s="56">
        <v>2.5349018427690339E-2</v>
      </c>
      <c r="E9079" s="224" t="s">
        <v>2</v>
      </c>
      <c r="F9079" s="515" t="s">
        <v>10283</v>
      </c>
      <c r="G9079" s="52">
        <v>167432.308836571</v>
      </c>
      <c r="H9079" s="56">
        <v>0.10291992444663413</v>
      </c>
      <c r="I9079" s="224" t="s">
        <v>2</v>
      </c>
    </row>
    <row r="9080" spans="1:9" x14ac:dyDescent="0.25">
      <c r="A9080" s="515">
        <v>76302</v>
      </c>
      <c r="B9080" s="515" t="s">
        <v>328</v>
      </c>
      <c r="C9080" s="52">
        <v>164537.53121945899</v>
      </c>
      <c r="D9080" s="56">
        <v>8.5491143762170485E-2</v>
      </c>
      <c r="E9080" s="224" t="s">
        <v>2</v>
      </c>
      <c r="F9080" s="515" t="s">
        <v>10284</v>
      </c>
      <c r="G9080" s="52">
        <v>168079.70731377901</v>
      </c>
      <c r="H9080" s="56">
        <v>5.6383706191225381E-2</v>
      </c>
      <c r="I9080" s="224" t="s">
        <v>2</v>
      </c>
    </row>
    <row r="9081" spans="1:9" x14ac:dyDescent="0.25">
      <c r="A9081" s="515">
        <v>28516</v>
      </c>
      <c r="B9081" s="515" t="s">
        <v>641</v>
      </c>
      <c r="C9081" s="52">
        <v>350335.80175386701</v>
      </c>
      <c r="D9081" s="56">
        <v>0.12520292349728612</v>
      </c>
      <c r="E9081" s="224" t="s">
        <v>2</v>
      </c>
      <c r="F9081" s="515" t="s">
        <v>10285</v>
      </c>
      <c r="G9081" s="52">
        <v>327625.21473527898</v>
      </c>
      <c r="H9081" s="56">
        <v>5.3203685994965333E-2</v>
      </c>
      <c r="I9081" s="224" t="s">
        <v>2</v>
      </c>
    </row>
    <row r="9082" spans="1:9" x14ac:dyDescent="0.25">
      <c r="A9082" s="515">
        <v>36110</v>
      </c>
      <c r="B9082" s="515" t="s">
        <v>806</v>
      </c>
      <c r="C9082" s="52">
        <v>43878.6767361194</v>
      </c>
      <c r="D9082" s="56">
        <v>0.18539069596832966</v>
      </c>
      <c r="E9082" s="224" t="s">
        <v>2</v>
      </c>
      <c r="F9082" s="515" t="s">
        <v>10286</v>
      </c>
      <c r="G9082" s="52">
        <v>238462.77413315</v>
      </c>
      <c r="H9082" s="56">
        <v>5.9181467393691602E-2</v>
      </c>
      <c r="I9082" s="224" t="s">
        <v>2</v>
      </c>
    </row>
    <row r="9083" spans="1:9" x14ac:dyDescent="0.25">
      <c r="A9083" s="515">
        <v>43338</v>
      </c>
      <c r="B9083" s="515" t="s">
        <v>345</v>
      </c>
      <c r="C9083" s="52">
        <v>222380.77899331201</v>
      </c>
      <c r="D9083" s="56">
        <v>3.1249338917589565E-2</v>
      </c>
      <c r="E9083" s="224" t="s">
        <v>2</v>
      </c>
      <c r="F9083" s="515" t="s">
        <v>10287</v>
      </c>
      <c r="G9083" s="52">
        <v>214345.130765129</v>
      </c>
      <c r="H9083" s="56">
        <v>8.8316593810317007E-2</v>
      </c>
      <c r="I9083" s="224" t="s">
        <v>2</v>
      </c>
    </row>
    <row r="9084" spans="1:9" x14ac:dyDescent="0.25">
      <c r="A9084" s="515">
        <v>33449</v>
      </c>
      <c r="B9084" s="515" t="s">
        <v>831</v>
      </c>
      <c r="C9084" s="52">
        <v>725318.99148983799</v>
      </c>
      <c r="D9084" s="56">
        <v>0.17965391221296931</v>
      </c>
      <c r="E9084" s="224" t="s">
        <v>2</v>
      </c>
      <c r="F9084" s="515" t="s">
        <v>10288</v>
      </c>
      <c r="G9084" s="52">
        <v>120677.97388986</v>
      </c>
      <c r="H9084" s="56">
        <v>4.4075105971566556E-3</v>
      </c>
      <c r="I9084" s="224" t="s">
        <v>2</v>
      </c>
    </row>
    <row r="9085" spans="1:9" x14ac:dyDescent="0.25">
      <c r="A9085" s="515">
        <v>17551</v>
      </c>
      <c r="B9085" s="515" t="s">
        <v>537</v>
      </c>
      <c r="C9085" s="52">
        <v>288153.60250590101</v>
      </c>
      <c r="D9085" s="56">
        <v>8.6640507503668321E-2</v>
      </c>
      <c r="E9085" s="224" t="s">
        <v>2</v>
      </c>
      <c r="F9085" s="515" t="s">
        <v>10289</v>
      </c>
      <c r="G9085" s="52">
        <v>108335.207040824</v>
      </c>
      <c r="H9085" s="56">
        <v>0.205627098495307</v>
      </c>
      <c r="I9085" s="224" t="s">
        <v>2</v>
      </c>
    </row>
    <row r="9086" spans="1:9" x14ac:dyDescent="0.25">
      <c r="A9086" s="515">
        <v>36206</v>
      </c>
      <c r="B9086" s="515" t="s">
        <v>927</v>
      </c>
      <c r="C9086" s="52">
        <v>128351.994331771</v>
      </c>
      <c r="D9086" s="56">
        <v>6.5697558448119142E-2</v>
      </c>
      <c r="E9086" s="224" t="s">
        <v>2</v>
      </c>
      <c r="F9086" s="515" t="s">
        <v>10290</v>
      </c>
      <c r="G9086" s="52">
        <v>94597.251882816694</v>
      </c>
      <c r="H9086" s="56">
        <v>0.23292093292570207</v>
      </c>
      <c r="I9086" s="224" t="s">
        <v>2</v>
      </c>
    </row>
    <row r="9087" spans="1:9" x14ac:dyDescent="0.25">
      <c r="A9087" s="515">
        <v>8031</v>
      </c>
      <c r="B9087" s="515" t="s">
        <v>294</v>
      </c>
      <c r="C9087" s="52">
        <v>236901.37788168201</v>
      </c>
      <c r="D9087" s="56">
        <v>8.1250888292169837E-2</v>
      </c>
      <c r="E9087" s="224">
        <v>1605</v>
      </c>
      <c r="F9087" s="515" t="s">
        <v>10291</v>
      </c>
      <c r="G9087" s="52">
        <v>209749.00236643301</v>
      </c>
      <c r="H9087" s="56">
        <v>5.677392431784644E-2</v>
      </c>
      <c r="I9087" s="224" t="s">
        <v>2</v>
      </c>
    </row>
    <row r="9088" spans="1:9" x14ac:dyDescent="0.25">
      <c r="A9088" s="515">
        <v>6382</v>
      </c>
      <c r="B9088" s="515" t="s">
        <v>1091</v>
      </c>
      <c r="C9088" s="52">
        <v>261455.87651641801</v>
      </c>
      <c r="D9088" s="56">
        <v>8.1825178243610783E-2</v>
      </c>
      <c r="E9088" s="224" t="s">
        <v>2</v>
      </c>
      <c r="F9088" s="515" t="s">
        <v>10292</v>
      </c>
      <c r="G9088" s="52">
        <v>196059.600189349</v>
      </c>
      <c r="H9088" s="56">
        <v>0.12645012097738781</v>
      </c>
      <c r="I9088" s="224" t="s">
        <v>2</v>
      </c>
    </row>
    <row r="9089" spans="1:9" x14ac:dyDescent="0.25">
      <c r="A9089" s="515">
        <v>40108</v>
      </c>
      <c r="B9089" s="515" t="s">
        <v>671</v>
      </c>
      <c r="C9089" s="52">
        <v>257272.16325240501</v>
      </c>
      <c r="D9089" s="56">
        <v>9.4403705227490142E-2</v>
      </c>
      <c r="E9089" s="224" t="s">
        <v>2</v>
      </c>
      <c r="F9089" s="515" t="s">
        <v>10293</v>
      </c>
      <c r="G9089" s="52">
        <v>208367.48093141001</v>
      </c>
      <c r="H9089" s="56">
        <v>0.11381429900099178</v>
      </c>
      <c r="I9089" s="224" t="s">
        <v>2</v>
      </c>
    </row>
    <row r="9090" spans="1:9" x14ac:dyDescent="0.25">
      <c r="A9090" s="515">
        <v>36544</v>
      </c>
      <c r="B9090" s="515" t="s">
        <v>815</v>
      </c>
      <c r="C9090" s="52">
        <v>172095.66993547301</v>
      </c>
      <c r="D9090" s="56">
        <v>8.9748747236581647E-2</v>
      </c>
      <c r="E9090" s="224" t="s">
        <v>2</v>
      </c>
      <c r="F9090" s="515" t="s">
        <v>10294</v>
      </c>
      <c r="G9090" s="52">
        <v>166648.73425808299</v>
      </c>
      <c r="H9090" s="56">
        <v>0.13815411287996632</v>
      </c>
      <c r="I9090" s="224" t="s">
        <v>2</v>
      </c>
    </row>
    <row r="9091" spans="1:9" x14ac:dyDescent="0.25">
      <c r="A9091" s="515">
        <v>89423</v>
      </c>
      <c r="B9091" s="515" t="s">
        <v>823</v>
      </c>
      <c r="C9091" s="52">
        <v>654708.96166143997</v>
      </c>
      <c r="D9091" s="56">
        <v>1.1197855555833301E-2</v>
      </c>
      <c r="E9091" s="224" t="s">
        <v>2</v>
      </c>
      <c r="F9091" s="515" t="s">
        <v>10295</v>
      </c>
      <c r="G9091" s="52">
        <v>311659.11622974603</v>
      </c>
      <c r="H9091" s="56">
        <v>9.144919688073766E-2</v>
      </c>
      <c r="I9091" s="224" t="s">
        <v>2</v>
      </c>
    </row>
    <row r="9092" spans="1:9" x14ac:dyDescent="0.25">
      <c r="A9092" s="515">
        <v>78336</v>
      </c>
      <c r="B9092" s="515" t="s">
        <v>415</v>
      </c>
      <c r="C9092" s="52">
        <v>208204.41134067299</v>
      </c>
      <c r="D9092" s="56">
        <v>4.0983212256632616E-2</v>
      </c>
      <c r="E9092" s="224" t="s">
        <v>2</v>
      </c>
      <c r="F9092" s="515" t="s">
        <v>10296</v>
      </c>
      <c r="G9092" s="52">
        <v>98052.543107429403</v>
      </c>
      <c r="H9092" s="56">
        <v>8.1081435892344469E-2</v>
      </c>
      <c r="I9092" s="224" t="s">
        <v>2</v>
      </c>
    </row>
    <row r="9093" spans="1:9" x14ac:dyDescent="0.25">
      <c r="A9093" s="515">
        <v>83661</v>
      </c>
      <c r="B9093" s="515" t="s">
        <v>825</v>
      </c>
      <c r="C9093" s="52">
        <v>311987.41536097601</v>
      </c>
      <c r="D9093" s="56">
        <v>2.1242941213791937E-2</v>
      </c>
      <c r="E9093" s="224" t="s">
        <v>2</v>
      </c>
      <c r="F9093" s="515" t="s">
        <v>10297</v>
      </c>
      <c r="G9093" s="52">
        <v>127574.906896285</v>
      </c>
      <c r="H9093" s="56">
        <v>7.2386219271183327E-2</v>
      </c>
      <c r="I9093" s="224" t="s">
        <v>2</v>
      </c>
    </row>
    <row r="9094" spans="1:9" x14ac:dyDescent="0.25">
      <c r="A9094" s="515">
        <v>48723</v>
      </c>
      <c r="C9094" s="52">
        <v>141534.48743284401</v>
      </c>
      <c r="D9094" s="56">
        <v>5.2955095203242687E-2</v>
      </c>
      <c r="E9094" s="224" t="s">
        <v>2</v>
      </c>
      <c r="F9094" s="515" t="s">
        <v>10298</v>
      </c>
      <c r="G9094" s="52">
        <v>155914.63725203299</v>
      </c>
      <c r="H9094" s="56">
        <v>5.890664802503446E-2</v>
      </c>
      <c r="I9094" s="224" t="s">
        <v>2</v>
      </c>
    </row>
    <row r="9095" spans="1:9" x14ac:dyDescent="0.25">
      <c r="A9095" s="515">
        <v>75785</v>
      </c>
      <c r="B9095" s="515" t="s">
        <v>605</v>
      </c>
      <c r="C9095" s="52">
        <v>169381.89995927899</v>
      </c>
      <c r="D9095" s="56">
        <v>2.6928063849801575E-2</v>
      </c>
      <c r="E9095" s="224" t="s">
        <v>2</v>
      </c>
      <c r="F9095" s="515" t="s">
        <v>10299</v>
      </c>
      <c r="G9095" s="52">
        <v>251458.366473448</v>
      </c>
      <c r="H9095" s="56">
        <v>3.9688173590737771E-2</v>
      </c>
      <c r="I9095" s="224" t="s">
        <v>2</v>
      </c>
    </row>
    <row r="9096" spans="1:9" x14ac:dyDescent="0.25">
      <c r="A9096" s="515">
        <v>33897</v>
      </c>
      <c r="B9096" s="515" t="s">
        <v>359</v>
      </c>
      <c r="C9096" s="52">
        <v>368011.576135916</v>
      </c>
      <c r="D9096" s="56">
        <v>0.10654485454474137</v>
      </c>
      <c r="E9096" s="224">
        <v>2094.4768518518499</v>
      </c>
      <c r="F9096" s="515" t="s">
        <v>932</v>
      </c>
      <c r="G9096" s="52">
        <v>274265.17539169098</v>
      </c>
      <c r="H9096" s="56">
        <v>8.5866893717064671E-2</v>
      </c>
      <c r="I9096" s="224" t="s">
        <v>2</v>
      </c>
    </row>
    <row r="9097" spans="1:9" x14ac:dyDescent="0.25">
      <c r="A9097" s="515">
        <v>49127</v>
      </c>
      <c r="B9097" s="515" t="s">
        <v>698</v>
      </c>
      <c r="C9097" s="52">
        <v>275166.06873185799</v>
      </c>
      <c r="D9097" s="56">
        <v>9.429502245699177E-2</v>
      </c>
      <c r="E9097" s="224" t="s">
        <v>2</v>
      </c>
      <c r="F9097" s="515" t="s">
        <v>10300</v>
      </c>
      <c r="G9097" s="52">
        <v>251007.75838196601</v>
      </c>
      <c r="H9097" s="56">
        <v>0.10493633963588349</v>
      </c>
      <c r="I9097" s="224" t="s">
        <v>2</v>
      </c>
    </row>
    <row r="9098" spans="1:9" x14ac:dyDescent="0.25">
      <c r="A9098" s="515">
        <v>32643</v>
      </c>
      <c r="B9098" s="515" t="s">
        <v>577</v>
      </c>
      <c r="C9098" s="52">
        <v>294940.41516357602</v>
      </c>
      <c r="D9098" s="56">
        <v>0.11740449130675182</v>
      </c>
      <c r="E9098" s="224" t="s">
        <v>2</v>
      </c>
      <c r="F9098" s="515" t="s">
        <v>3769</v>
      </c>
      <c r="G9098" s="52">
        <v>663229.87850693404</v>
      </c>
      <c r="H9098" s="56">
        <v>0.13109241305791192</v>
      </c>
      <c r="I9098" s="224" t="s">
        <v>2</v>
      </c>
    </row>
    <row r="9099" spans="1:9" x14ac:dyDescent="0.25">
      <c r="A9099" s="515">
        <v>49858</v>
      </c>
      <c r="B9099" s="515" t="s">
        <v>923</v>
      </c>
      <c r="C9099" s="52">
        <v>128832.899639493</v>
      </c>
      <c r="D9099" s="56">
        <v>1.71842639646832E-2</v>
      </c>
      <c r="E9099" s="224" t="s">
        <v>2</v>
      </c>
      <c r="F9099" s="515" t="s">
        <v>10301</v>
      </c>
      <c r="G9099" s="52">
        <v>162511.205058981</v>
      </c>
      <c r="H9099" s="56">
        <v>2.1226531734526419E-2</v>
      </c>
      <c r="I9099" s="224" t="s">
        <v>2</v>
      </c>
    </row>
    <row r="9100" spans="1:9" x14ac:dyDescent="0.25">
      <c r="A9100" s="515">
        <v>75835</v>
      </c>
      <c r="C9100" s="52">
        <v>136145.288875003</v>
      </c>
      <c r="D9100" s="56">
        <v>-2.4303371206124223E-3</v>
      </c>
      <c r="E9100" s="224" t="s">
        <v>2</v>
      </c>
      <c r="F9100" s="515" t="s">
        <v>10302</v>
      </c>
      <c r="G9100" s="52">
        <v>206738.91377392699</v>
      </c>
      <c r="H9100" s="56">
        <v>7.0115272352734584E-2</v>
      </c>
      <c r="I9100" s="224" t="s">
        <v>2</v>
      </c>
    </row>
    <row r="9101" spans="1:9" x14ac:dyDescent="0.25">
      <c r="A9101" s="515">
        <v>3031</v>
      </c>
      <c r="B9101" s="515" t="s">
        <v>996</v>
      </c>
      <c r="C9101" s="52">
        <v>552188.49426071404</v>
      </c>
      <c r="D9101" s="56">
        <v>8.3108051373362107E-2</v>
      </c>
      <c r="E9101" s="224" t="s">
        <v>2</v>
      </c>
      <c r="F9101" s="515" t="s">
        <v>10303</v>
      </c>
      <c r="G9101" s="52">
        <v>309034.550449715</v>
      </c>
      <c r="H9101" s="56">
        <v>3.9002666103786672E-2</v>
      </c>
      <c r="I9101" s="224" t="s">
        <v>2</v>
      </c>
    </row>
    <row r="9102" spans="1:9" x14ac:dyDescent="0.25">
      <c r="A9102" s="515">
        <v>75704</v>
      </c>
      <c r="B9102" s="515" t="s">
        <v>1157</v>
      </c>
      <c r="C9102" s="52">
        <v>222666.63326700401</v>
      </c>
      <c r="D9102" s="56">
        <v>0.11197098575521383</v>
      </c>
      <c r="E9102" s="224" t="s">
        <v>2</v>
      </c>
      <c r="F9102" s="515" t="s">
        <v>10304</v>
      </c>
      <c r="G9102" s="52">
        <v>243830.27381809801</v>
      </c>
      <c r="H9102" s="56">
        <v>9.6030121382433123E-2</v>
      </c>
      <c r="I9102" s="224" t="s">
        <v>2</v>
      </c>
    </row>
    <row r="9103" spans="1:9" x14ac:dyDescent="0.25">
      <c r="A9103" s="515">
        <v>7643</v>
      </c>
      <c r="B9103" s="515" t="s">
        <v>324</v>
      </c>
      <c r="C9103" s="52">
        <v>455142.415052753</v>
      </c>
      <c r="D9103" s="56">
        <v>6.2715570679750865E-2</v>
      </c>
      <c r="E9103" s="224" t="s">
        <v>2</v>
      </c>
      <c r="F9103" s="515" t="s">
        <v>10305</v>
      </c>
      <c r="G9103" s="52">
        <v>453081.20350732701</v>
      </c>
      <c r="H9103" s="56">
        <v>3.4820972971638373E-2</v>
      </c>
      <c r="I9103" s="224" t="s">
        <v>2</v>
      </c>
    </row>
    <row r="9104" spans="1:9" x14ac:dyDescent="0.25">
      <c r="A9104" s="515">
        <v>46173</v>
      </c>
      <c r="C9104" s="52">
        <v>163807.966907255</v>
      </c>
      <c r="D9104" s="56">
        <v>7.6312179674304884E-2</v>
      </c>
      <c r="E9104" s="224" t="s">
        <v>2</v>
      </c>
      <c r="F9104" s="515" t="s">
        <v>10306</v>
      </c>
      <c r="G9104" s="52">
        <v>103229.402203858</v>
      </c>
      <c r="H9104" s="56">
        <v>5.0066851929224512E-2</v>
      </c>
      <c r="I9104" s="224" t="s">
        <v>2</v>
      </c>
    </row>
    <row r="9105" spans="1:9" x14ac:dyDescent="0.25">
      <c r="A9105" s="515">
        <v>19952</v>
      </c>
      <c r="B9105" s="515" t="s">
        <v>410</v>
      </c>
      <c r="C9105" s="52">
        <v>289884.23484888399</v>
      </c>
      <c r="D9105" s="56">
        <v>0.11060408825301489</v>
      </c>
      <c r="E9105" s="224" t="s">
        <v>2</v>
      </c>
      <c r="F9105" s="515" t="s">
        <v>10307</v>
      </c>
      <c r="G9105" s="52">
        <v>267468.529518547</v>
      </c>
      <c r="H9105" s="56">
        <v>9.2437397939548305E-2</v>
      </c>
      <c r="I9105" s="224" t="s">
        <v>2</v>
      </c>
    </row>
    <row r="9106" spans="1:9" x14ac:dyDescent="0.25">
      <c r="A9106" s="515">
        <v>48001</v>
      </c>
      <c r="B9106" s="515" t="s">
        <v>685</v>
      </c>
      <c r="C9106" s="52">
        <v>223909.90317927799</v>
      </c>
      <c r="D9106" s="56">
        <v>5.9016607999982845E-2</v>
      </c>
      <c r="E9106" s="224" t="s">
        <v>2</v>
      </c>
      <c r="F9106" s="515" t="s">
        <v>10308</v>
      </c>
      <c r="G9106" s="52">
        <v>148115.05495278101</v>
      </c>
      <c r="H9106" s="56">
        <v>7.4678725257716877E-2</v>
      </c>
      <c r="I9106" s="224" t="s">
        <v>2</v>
      </c>
    </row>
    <row r="9107" spans="1:9" x14ac:dyDescent="0.25">
      <c r="A9107" s="515">
        <v>29662</v>
      </c>
      <c r="B9107" s="515" t="s">
        <v>613</v>
      </c>
      <c r="C9107" s="52">
        <v>265737.19517072302</v>
      </c>
      <c r="D9107" s="56">
        <v>0.12755228175268338</v>
      </c>
      <c r="E9107" s="224">
        <v>1567.13888888888</v>
      </c>
      <c r="F9107" s="515" t="s">
        <v>10309</v>
      </c>
      <c r="G9107" s="52">
        <v>271535.37315209903</v>
      </c>
      <c r="H9107" s="56">
        <v>5.9683243635424536E-2</v>
      </c>
      <c r="I9107" s="224" t="s">
        <v>2</v>
      </c>
    </row>
    <row r="9108" spans="1:9" x14ac:dyDescent="0.25">
      <c r="A9108" s="515">
        <v>78733</v>
      </c>
      <c r="B9108" s="515" t="s">
        <v>380</v>
      </c>
      <c r="C9108" s="52">
        <v>1165693.92594475</v>
      </c>
      <c r="D9108" s="56">
        <v>3.5188294358448294E-2</v>
      </c>
      <c r="E9108" s="224">
        <v>2832.5</v>
      </c>
      <c r="F9108" s="515" t="s">
        <v>10310</v>
      </c>
      <c r="G9108" s="52">
        <v>841623.66164033895</v>
      </c>
      <c r="H9108" s="56">
        <v>-3.7951313005659709E-2</v>
      </c>
      <c r="I9108" s="224" t="s">
        <v>2</v>
      </c>
    </row>
    <row r="9109" spans="1:9" x14ac:dyDescent="0.25">
      <c r="A9109" s="515">
        <v>19475</v>
      </c>
      <c r="B9109" s="515" t="s">
        <v>294</v>
      </c>
      <c r="C9109" s="52">
        <v>403308.74167289003</v>
      </c>
      <c r="D9109" s="56">
        <v>8.4192485508364098E-2</v>
      </c>
      <c r="E9109" s="224">
        <v>1325</v>
      </c>
      <c r="F9109" s="515" t="s">
        <v>10311</v>
      </c>
      <c r="G9109" s="52">
        <v>266983.84262784402</v>
      </c>
      <c r="H9109" s="56">
        <v>5.5398434210546396E-2</v>
      </c>
      <c r="I9109" s="224" t="s">
        <v>2</v>
      </c>
    </row>
    <row r="9110" spans="1:9" x14ac:dyDescent="0.25">
      <c r="A9110" s="515">
        <v>2554</v>
      </c>
      <c r="C9110" s="52">
        <v>2513759.7869194699</v>
      </c>
      <c r="D9110" s="56">
        <v>8.2969265807376277E-2</v>
      </c>
      <c r="E9110" s="224" t="s">
        <v>2</v>
      </c>
      <c r="F9110" s="515" t="s">
        <v>10312</v>
      </c>
      <c r="G9110" s="52">
        <v>178372.08343462701</v>
      </c>
      <c r="H9110" s="56">
        <v>3.8180321255663646E-2</v>
      </c>
      <c r="I9110" s="224" t="s">
        <v>2</v>
      </c>
    </row>
    <row r="9111" spans="1:9" x14ac:dyDescent="0.25">
      <c r="A9111" s="515">
        <v>77306</v>
      </c>
      <c r="B9111" s="515" t="s">
        <v>314</v>
      </c>
      <c r="C9111" s="52">
        <v>237124.177012684</v>
      </c>
      <c r="D9111" s="56">
        <v>6.80137639786422E-2</v>
      </c>
      <c r="E9111" s="224" t="s">
        <v>2</v>
      </c>
      <c r="F9111" s="515" t="s">
        <v>10313</v>
      </c>
      <c r="G9111" s="52">
        <v>546314.10494775895</v>
      </c>
      <c r="H9111" s="56">
        <v>5.2154185455732333E-2</v>
      </c>
      <c r="I9111" s="224" t="s">
        <v>2</v>
      </c>
    </row>
    <row r="9112" spans="1:9" x14ac:dyDescent="0.25">
      <c r="A9112" s="515">
        <v>38068</v>
      </c>
      <c r="B9112" s="515" t="s">
        <v>951</v>
      </c>
      <c r="C9112" s="52">
        <v>235833.03533396599</v>
      </c>
      <c r="D9112" s="56">
        <v>6.2777676587326081E-2</v>
      </c>
      <c r="E9112" s="224" t="s">
        <v>2</v>
      </c>
      <c r="F9112" s="515" t="s">
        <v>10314</v>
      </c>
      <c r="G9112" s="52">
        <v>514705.66295685899</v>
      </c>
      <c r="H9112" s="56">
        <v>3.6538897099121635E-2</v>
      </c>
      <c r="I9112" s="224" t="s">
        <v>2</v>
      </c>
    </row>
    <row r="9113" spans="1:9" x14ac:dyDescent="0.25">
      <c r="A9113" s="515">
        <v>76367</v>
      </c>
      <c r="B9113" s="515" t="s">
        <v>328</v>
      </c>
      <c r="C9113" s="52">
        <v>155657.99250061001</v>
      </c>
      <c r="D9113" s="56">
        <v>7.9232967670740617E-2</v>
      </c>
      <c r="E9113" s="224" t="s">
        <v>2</v>
      </c>
      <c r="F9113" s="515" t="s">
        <v>10315</v>
      </c>
      <c r="G9113" s="52">
        <v>321867.53159258497</v>
      </c>
      <c r="H9113" s="56">
        <v>9.7501888293960462E-2</v>
      </c>
      <c r="I9113" s="224" t="s">
        <v>2</v>
      </c>
    </row>
    <row r="9114" spans="1:9" x14ac:dyDescent="0.25">
      <c r="A9114" s="515">
        <v>7442</v>
      </c>
      <c r="B9114" s="515" t="s">
        <v>324</v>
      </c>
      <c r="C9114" s="52">
        <v>412735.78708200401</v>
      </c>
      <c r="D9114" s="56">
        <v>4.3677589164443163E-2</v>
      </c>
      <c r="E9114" s="224" t="s">
        <v>2</v>
      </c>
      <c r="F9114" s="515" t="s">
        <v>10316</v>
      </c>
      <c r="G9114" s="52">
        <v>143320.325116978</v>
      </c>
      <c r="H9114" s="56">
        <v>8.7884346122195825E-2</v>
      </c>
      <c r="I9114" s="224" t="s">
        <v>2</v>
      </c>
    </row>
    <row r="9115" spans="1:9" x14ac:dyDescent="0.25">
      <c r="A9115" s="515">
        <v>1082</v>
      </c>
      <c r="B9115" s="515" t="s">
        <v>575</v>
      </c>
      <c r="C9115" s="52">
        <v>286100.12354900897</v>
      </c>
      <c r="D9115" s="56">
        <v>7.7436286688317146E-2</v>
      </c>
      <c r="E9115" s="224" t="s">
        <v>2</v>
      </c>
      <c r="F9115" s="515" t="s">
        <v>10317</v>
      </c>
      <c r="G9115" s="52">
        <v>345192.63307801401</v>
      </c>
      <c r="H9115" s="56">
        <v>0.14501143635198577</v>
      </c>
      <c r="I9115" s="224" t="s">
        <v>2</v>
      </c>
    </row>
    <row r="9116" spans="1:9" x14ac:dyDescent="0.25">
      <c r="A9116" s="515">
        <v>4105</v>
      </c>
      <c r="B9116" s="515" t="s">
        <v>570</v>
      </c>
      <c r="C9116" s="52">
        <v>715503.66766633303</v>
      </c>
      <c r="D9116" s="56">
        <v>7.080998574735628E-2</v>
      </c>
      <c r="E9116" s="224" t="s">
        <v>2</v>
      </c>
      <c r="F9116" s="515" t="s">
        <v>10318</v>
      </c>
      <c r="G9116" s="52">
        <v>471228.85251725197</v>
      </c>
      <c r="H9116" s="56">
        <v>3.8628611182267771E-2</v>
      </c>
      <c r="I9116" s="224" t="s">
        <v>2</v>
      </c>
    </row>
    <row r="9117" spans="1:9" x14ac:dyDescent="0.25">
      <c r="A9117" s="515">
        <v>62812</v>
      </c>
      <c r="C9117" s="52">
        <v>87609.429566871797</v>
      </c>
      <c r="D9117" s="56">
        <v>7.9699047460133954E-2</v>
      </c>
      <c r="E9117" s="224" t="s">
        <v>2</v>
      </c>
      <c r="F9117" s="515" t="s">
        <v>10319</v>
      </c>
      <c r="G9117" s="52">
        <v>74874.377154163696</v>
      </c>
      <c r="H9117" s="56">
        <v>0.11608262117144268</v>
      </c>
      <c r="I9117" s="224" t="s">
        <v>2</v>
      </c>
    </row>
    <row r="9118" spans="1:9" x14ac:dyDescent="0.25">
      <c r="A9118" s="515">
        <v>61607</v>
      </c>
      <c r="B9118" s="515" t="s">
        <v>303</v>
      </c>
      <c r="C9118" s="52">
        <v>131729.73287035301</v>
      </c>
      <c r="D9118" s="56">
        <v>7.0799915945667119E-2</v>
      </c>
      <c r="E9118" s="224" t="s">
        <v>2</v>
      </c>
      <c r="F9118" s="515" t="s">
        <v>10320</v>
      </c>
      <c r="G9118" s="52">
        <v>302742.11341721099</v>
      </c>
      <c r="H9118" s="56">
        <v>8.6857676873291295E-2</v>
      </c>
      <c r="I9118" s="224" t="s">
        <v>2</v>
      </c>
    </row>
    <row r="9119" spans="1:9" x14ac:dyDescent="0.25">
      <c r="A9119" s="515">
        <v>2748</v>
      </c>
      <c r="B9119" s="515" t="s">
        <v>513</v>
      </c>
      <c r="C9119" s="52">
        <v>570554.14449795196</v>
      </c>
      <c r="D9119" s="56">
        <v>8.6564125954447527E-2</v>
      </c>
      <c r="E9119" s="224" t="s">
        <v>2</v>
      </c>
      <c r="F9119" s="515" t="s">
        <v>10321</v>
      </c>
      <c r="G9119" s="52">
        <v>117040.5095747</v>
      </c>
      <c r="H9119" s="56">
        <v>6.6901874313731582E-2</v>
      </c>
      <c r="I9119" s="224" t="s">
        <v>2</v>
      </c>
    </row>
    <row r="9120" spans="1:9" x14ac:dyDescent="0.25">
      <c r="A9120" s="515">
        <v>48809</v>
      </c>
      <c r="B9120" s="515" t="s">
        <v>631</v>
      </c>
      <c r="C9120" s="52">
        <v>204194.320382178</v>
      </c>
      <c r="D9120" s="56">
        <v>7.8807783806252543E-2</v>
      </c>
      <c r="E9120" s="224" t="s">
        <v>2</v>
      </c>
      <c r="F9120" s="515" t="s">
        <v>10322</v>
      </c>
      <c r="G9120" s="52">
        <v>52067.679097959597</v>
      </c>
      <c r="H9120" s="56">
        <v>0.32299254238382852</v>
      </c>
      <c r="I9120" s="224" t="s">
        <v>2</v>
      </c>
    </row>
    <row r="9121" spans="1:9" x14ac:dyDescent="0.25">
      <c r="A9121" s="515">
        <v>70445</v>
      </c>
      <c r="B9121" s="515" t="s">
        <v>777</v>
      </c>
      <c r="C9121" s="52">
        <v>192864.87742075301</v>
      </c>
      <c r="D9121" s="56">
        <v>4.5326080415603133E-2</v>
      </c>
      <c r="E9121" s="224" t="s">
        <v>2</v>
      </c>
      <c r="F9121" s="515" t="s">
        <v>10323</v>
      </c>
      <c r="G9121" s="52">
        <v>119975.87245213</v>
      </c>
      <c r="H9121" s="56">
        <v>1.3558343315791404E-2</v>
      </c>
      <c r="I9121" s="224" t="s">
        <v>2</v>
      </c>
    </row>
    <row r="9122" spans="1:9" x14ac:dyDescent="0.25">
      <c r="A9122" s="515">
        <v>47978</v>
      </c>
      <c r="B9122" s="515" t="s">
        <v>394</v>
      </c>
      <c r="C9122" s="52">
        <v>194532.75140705501</v>
      </c>
      <c r="D9122" s="56">
        <v>7.246840476188933E-2</v>
      </c>
      <c r="E9122" s="224" t="s">
        <v>2</v>
      </c>
      <c r="F9122" s="515" t="s">
        <v>10324</v>
      </c>
      <c r="G9122" s="52">
        <v>884560.205864007</v>
      </c>
      <c r="H9122" s="56">
        <v>6.8542311588202842E-2</v>
      </c>
      <c r="I9122" s="224" t="s">
        <v>2</v>
      </c>
    </row>
    <row r="9123" spans="1:9" x14ac:dyDescent="0.25">
      <c r="A9123" s="515">
        <v>55409</v>
      </c>
      <c r="B9123" s="515" t="s">
        <v>532</v>
      </c>
      <c r="C9123" s="52">
        <v>325399.49870387599</v>
      </c>
      <c r="D9123" s="56">
        <v>5.4532631725199175E-3</v>
      </c>
      <c r="E9123" s="224">
        <v>1630</v>
      </c>
      <c r="F9123" s="515" t="s">
        <v>10325</v>
      </c>
      <c r="G9123" s="52">
        <v>68389.981496672102</v>
      </c>
      <c r="H9123" s="56">
        <v>0.11094233883275406</v>
      </c>
      <c r="I9123" s="224" t="s">
        <v>2</v>
      </c>
    </row>
    <row r="9124" spans="1:9" x14ac:dyDescent="0.25">
      <c r="A9124" s="515">
        <v>85266</v>
      </c>
      <c r="B9124" s="515" t="s">
        <v>563</v>
      </c>
      <c r="C9124" s="52">
        <v>1152394.95329072</v>
      </c>
      <c r="D9124" s="56">
        <v>8.7849139035138121E-2</v>
      </c>
      <c r="E9124" s="224">
        <v>4300</v>
      </c>
      <c r="F9124" s="515" t="s">
        <v>10326</v>
      </c>
      <c r="G9124" s="52">
        <v>468922.57692293997</v>
      </c>
      <c r="H9124" s="56">
        <v>0.10226284040413726</v>
      </c>
      <c r="I9124" s="224" t="s">
        <v>2</v>
      </c>
    </row>
    <row r="9125" spans="1:9" x14ac:dyDescent="0.25">
      <c r="A9125" s="515">
        <v>39114</v>
      </c>
      <c r="B9125" s="515" t="s">
        <v>851</v>
      </c>
      <c r="C9125" s="52">
        <v>130041.24084434401</v>
      </c>
      <c r="D9125" s="56">
        <v>-2.9089631050015035E-2</v>
      </c>
      <c r="E9125" s="224" t="s">
        <v>2</v>
      </c>
      <c r="F9125" s="515" t="s">
        <v>10327</v>
      </c>
      <c r="G9125" s="52">
        <v>102328.326380254</v>
      </c>
      <c r="H9125" s="56">
        <v>-5.6277365731426651E-2</v>
      </c>
      <c r="I9125" s="224" t="s">
        <v>2</v>
      </c>
    </row>
    <row r="9126" spans="1:9" x14ac:dyDescent="0.25">
      <c r="A9126" s="515">
        <v>66606</v>
      </c>
      <c r="B9126" s="515" t="s">
        <v>549</v>
      </c>
      <c r="C9126" s="52">
        <v>118589.43399232801</v>
      </c>
      <c r="D9126" s="56">
        <v>9.003135411666173E-2</v>
      </c>
      <c r="E9126" s="224" t="s">
        <v>2</v>
      </c>
      <c r="F9126" s="515" t="s">
        <v>10328</v>
      </c>
      <c r="G9126" s="52">
        <v>141351.81092767901</v>
      </c>
      <c r="H9126" s="56">
        <v>3.3506235690425677E-2</v>
      </c>
      <c r="I9126" s="224" t="s">
        <v>2</v>
      </c>
    </row>
    <row r="9127" spans="1:9" x14ac:dyDescent="0.25">
      <c r="A9127" s="515">
        <v>59301</v>
      </c>
      <c r="C9127" s="52">
        <v>253227.71191820499</v>
      </c>
      <c r="D9127" s="56">
        <v>6.8527921490113011E-2</v>
      </c>
      <c r="E9127" s="224" t="s">
        <v>2</v>
      </c>
      <c r="F9127" s="515" t="s">
        <v>10329</v>
      </c>
      <c r="G9127" s="52">
        <v>240187.073248039</v>
      </c>
      <c r="H9127" s="56">
        <v>9.8077161481659444E-2</v>
      </c>
      <c r="I9127" s="224" t="s">
        <v>2</v>
      </c>
    </row>
    <row r="9128" spans="1:9" x14ac:dyDescent="0.25">
      <c r="A9128" s="515">
        <v>49103</v>
      </c>
      <c r="B9128" s="515" t="s">
        <v>698</v>
      </c>
      <c r="C9128" s="52">
        <v>237886.424944709</v>
      </c>
      <c r="D9128" s="56">
        <v>5.8519990828340258E-2</v>
      </c>
      <c r="E9128" s="224" t="s">
        <v>2</v>
      </c>
      <c r="F9128" s="515" t="s">
        <v>10330</v>
      </c>
      <c r="G9128" s="52">
        <v>392554.64399311499</v>
      </c>
      <c r="H9128" s="56">
        <v>6.6562980522235804E-2</v>
      </c>
      <c r="I9128" s="224" t="s">
        <v>2</v>
      </c>
    </row>
    <row r="9129" spans="1:9" x14ac:dyDescent="0.25">
      <c r="A9129" s="515">
        <v>6239</v>
      </c>
      <c r="B9129" s="515" t="s">
        <v>751</v>
      </c>
      <c r="C9129" s="52">
        <v>277876.50026038103</v>
      </c>
      <c r="D9129" s="56">
        <v>7.6235567687832378E-2</v>
      </c>
      <c r="E9129" s="224" t="s">
        <v>2</v>
      </c>
      <c r="F9129" s="515" t="s">
        <v>10331</v>
      </c>
      <c r="G9129" s="52">
        <v>369490.56217079802</v>
      </c>
      <c r="H9129" s="56">
        <v>5.4996581406009035E-2</v>
      </c>
      <c r="I9129" s="224" t="s">
        <v>2</v>
      </c>
    </row>
    <row r="9130" spans="1:9" x14ac:dyDescent="0.25">
      <c r="A9130" s="515">
        <v>30531</v>
      </c>
      <c r="B9130" s="515" t="s">
        <v>1188</v>
      </c>
      <c r="C9130" s="52">
        <v>223384.66379720299</v>
      </c>
      <c r="D9130" s="56">
        <v>0.1383967782782386</v>
      </c>
      <c r="E9130" s="224" t="s">
        <v>2</v>
      </c>
      <c r="F9130" s="515" t="s">
        <v>10332</v>
      </c>
      <c r="G9130" s="52">
        <v>157204.95629888601</v>
      </c>
      <c r="H9130" s="56">
        <v>7.4581600177427793E-2</v>
      </c>
      <c r="I9130" s="224" t="s">
        <v>2</v>
      </c>
    </row>
    <row r="9131" spans="1:9" x14ac:dyDescent="0.25">
      <c r="A9131" s="515">
        <v>46001</v>
      </c>
      <c r="B9131" s="515" t="s">
        <v>403</v>
      </c>
      <c r="C9131" s="52">
        <v>155794.936986619</v>
      </c>
      <c r="D9131" s="56">
        <v>8.6862570179900511E-2</v>
      </c>
      <c r="E9131" s="224" t="s">
        <v>2</v>
      </c>
      <c r="F9131" s="515" t="s">
        <v>10333</v>
      </c>
      <c r="G9131" s="52">
        <v>425334.65925097099</v>
      </c>
      <c r="H9131" s="56">
        <v>4.1316105378711603E-2</v>
      </c>
      <c r="I9131" s="224" t="s">
        <v>2</v>
      </c>
    </row>
    <row r="9132" spans="1:9" x14ac:dyDescent="0.25">
      <c r="A9132" s="515">
        <v>70647</v>
      </c>
      <c r="B9132" s="515" t="s">
        <v>696</v>
      </c>
      <c r="C9132" s="52">
        <v>210063.17750330199</v>
      </c>
      <c r="D9132" s="56">
        <v>1.0891503412445505E-2</v>
      </c>
      <c r="E9132" s="224" t="s">
        <v>2</v>
      </c>
      <c r="F9132" s="515" t="s">
        <v>10334</v>
      </c>
      <c r="G9132" s="52">
        <v>162890.75495988</v>
      </c>
      <c r="H9132" s="56">
        <v>0.12847160707400546</v>
      </c>
      <c r="I9132" s="224" t="s">
        <v>2</v>
      </c>
    </row>
    <row r="9133" spans="1:9" x14ac:dyDescent="0.25">
      <c r="A9133" s="515">
        <v>24521</v>
      </c>
      <c r="B9133" s="515" t="s">
        <v>705</v>
      </c>
      <c r="C9133" s="52">
        <v>247435.71140791499</v>
      </c>
      <c r="D9133" s="56">
        <v>0.15410451996238148</v>
      </c>
      <c r="E9133" s="224" t="s">
        <v>2</v>
      </c>
      <c r="F9133" s="515" t="s">
        <v>10335</v>
      </c>
      <c r="G9133" s="52">
        <v>215064.65573708399</v>
      </c>
      <c r="H9133" s="56">
        <v>0.12557816256136367</v>
      </c>
      <c r="I9133" s="224" t="s">
        <v>2</v>
      </c>
    </row>
    <row r="9134" spans="1:9" x14ac:dyDescent="0.25">
      <c r="A9134" s="515">
        <v>87402</v>
      </c>
      <c r="B9134" s="515" t="s">
        <v>893</v>
      </c>
      <c r="C9134" s="52">
        <v>254131.23779981001</v>
      </c>
      <c r="D9134" s="56">
        <v>8.8049917144302214E-2</v>
      </c>
      <c r="E9134" s="224">
        <v>1700</v>
      </c>
      <c r="F9134" s="515" t="s">
        <v>10336</v>
      </c>
      <c r="G9134" s="52">
        <v>111419.59845255299</v>
      </c>
      <c r="H9134" s="56">
        <v>1.1822855369046724E-2</v>
      </c>
      <c r="I9134" s="224" t="s">
        <v>2</v>
      </c>
    </row>
    <row r="9135" spans="1:9" x14ac:dyDescent="0.25">
      <c r="A9135" s="515">
        <v>81226</v>
      </c>
      <c r="B9135" s="515" t="s">
        <v>925</v>
      </c>
      <c r="C9135" s="52">
        <v>274340.62049425702</v>
      </c>
      <c r="D9135" s="56">
        <v>5.9590976606981372E-2</v>
      </c>
      <c r="E9135" s="224" t="s">
        <v>2</v>
      </c>
      <c r="F9135" s="515" t="s">
        <v>10337</v>
      </c>
      <c r="G9135" s="52">
        <v>159101.60958006501</v>
      </c>
      <c r="H9135" s="56">
        <v>3.2280953064511557E-2</v>
      </c>
      <c r="I9135" s="224" t="s">
        <v>2</v>
      </c>
    </row>
    <row r="9136" spans="1:9" x14ac:dyDescent="0.25">
      <c r="A9136" s="515">
        <v>70116</v>
      </c>
      <c r="B9136" s="515" t="s">
        <v>777</v>
      </c>
      <c r="C9136" s="52">
        <v>318221.14821469702</v>
      </c>
      <c r="D9136" s="56">
        <v>-1.0425898513580218E-2</v>
      </c>
      <c r="E9136" s="224">
        <v>1702.5297619047601</v>
      </c>
      <c r="F9136" s="515" t="s">
        <v>10338</v>
      </c>
      <c r="G9136" s="52">
        <v>116621.358734426</v>
      </c>
      <c r="H9136" s="56">
        <v>6.0278658396770581E-2</v>
      </c>
      <c r="I9136" s="224" t="s">
        <v>2</v>
      </c>
    </row>
    <row r="9137" spans="1:9" x14ac:dyDescent="0.25">
      <c r="A9137" s="515">
        <v>17972</v>
      </c>
      <c r="B9137" s="515" t="s">
        <v>994</v>
      </c>
      <c r="C9137" s="52">
        <v>180683.360461629</v>
      </c>
      <c r="D9137" s="56">
        <v>8.5949190426833674E-2</v>
      </c>
      <c r="E9137" s="224" t="s">
        <v>2</v>
      </c>
      <c r="F9137" s="515" t="s">
        <v>10339</v>
      </c>
      <c r="G9137" s="52">
        <v>97209.399042351302</v>
      </c>
      <c r="H9137" s="56">
        <v>6.1523144579075408E-2</v>
      </c>
      <c r="I9137" s="224" t="s">
        <v>2</v>
      </c>
    </row>
    <row r="9138" spans="1:9" x14ac:dyDescent="0.25">
      <c r="A9138" s="515">
        <v>54451</v>
      </c>
      <c r="C9138" s="52">
        <v>189377.27248639299</v>
      </c>
      <c r="D9138" s="56">
        <v>0.17467123894029354</v>
      </c>
      <c r="E9138" s="224" t="s">
        <v>2</v>
      </c>
      <c r="F9138" s="515" t="s">
        <v>10340</v>
      </c>
      <c r="G9138" s="52">
        <v>730195.923118609</v>
      </c>
      <c r="H9138" s="56">
        <v>7.5408715773233992E-2</v>
      </c>
      <c r="I9138" s="224" t="s">
        <v>2</v>
      </c>
    </row>
    <row r="9139" spans="1:9" x14ac:dyDescent="0.25">
      <c r="A9139" s="515">
        <v>72207</v>
      </c>
      <c r="B9139" s="515" t="s">
        <v>393</v>
      </c>
      <c r="C9139" s="52">
        <v>366620.33552714501</v>
      </c>
      <c r="D9139" s="56">
        <v>4.3690438264383416E-2</v>
      </c>
      <c r="E9139" s="224">
        <v>1277.2222222222199</v>
      </c>
      <c r="F9139" s="515" t="s">
        <v>10341</v>
      </c>
      <c r="G9139" s="52">
        <v>149320.65500483799</v>
      </c>
      <c r="H9139" s="56">
        <v>8.5689126661871381E-2</v>
      </c>
      <c r="I9139" s="224" t="s">
        <v>2</v>
      </c>
    </row>
    <row r="9140" spans="1:9" x14ac:dyDescent="0.25">
      <c r="A9140" s="515">
        <v>13617</v>
      </c>
      <c r="B9140" s="515" t="s">
        <v>511</v>
      </c>
      <c r="C9140" s="52">
        <v>167300.53888816899</v>
      </c>
      <c r="D9140" s="56">
        <v>6.9781450000063888E-2</v>
      </c>
      <c r="E9140" s="224" t="s">
        <v>2</v>
      </c>
      <c r="F9140" s="515" t="s">
        <v>10342</v>
      </c>
      <c r="G9140" s="52">
        <v>198300.90322037501</v>
      </c>
      <c r="H9140" s="56">
        <v>0.20081267594494184</v>
      </c>
      <c r="I9140" s="224" t="s">
        <v>2</v>
      </c>
    </row>
    <row r="9141" spans="1:9" x14ac:dyDescent="0.25">
      <c r="A9141" s="515">
        <v>29574</v>
      </c>
      <c r="C9141" s="52">
        <v>73192.944382912407</v>
      </c>
      <c r="D9141" s="56">
        <v>3.0211474192456927E-2</v>
      </c>
      <c r="E9141" s="224" t="s">
        <v>2</v>
      </c>
      <c r="F9141" s="515" t="s">
        <v>10343</v>
      </c>
      <c r="G9141" s="52">
        <v>115698.302420222</v>
      </c>
      <c r="H9141" s="56">
        <v>7.7592511858701863E-2</v>
      </c>
      <c r="I9141" s="224" t="s">
        <v>2</v>
      </c>
    </row>
    <row r="9142" spans="1:9" x14ac:dyDescent="0.25">
      <c r="A9142" s="515">
        <v>78408</v>
      </c>
      <c r="B9142" s="515" t="s">
        <v>415</v>
      </c>
      <c r="C9142" s="52">
        <v>95323.854553250305</v>
      </c>
      <c r="D9142" s="56">
        <v>-6.0078312302325576E-2</v>
      </c>
      <c r="E9142" s="224" t="s">
        <v>2</v>
      </c>
      <c r="F9142" s="515" t="s">
        <v>10344</v>
      </c>
      <c r="G9142" s="52">
        <v>586148.61466842005</v>
      </c>
      <c r="H9142" s="56">
        <v>5.6704294702897569E-2</v>
      </c>
      <c r="I9142" s="224" t="s">
        <v>2</v>
      </c>
    </row>
    <row r="9143" spans="1:9" x14ac:dyDescent="0.25">
      <c r="A9143" s="515">
        <v>77563</v>
      </c>
      <c r="B9143" s="515" t="s">
        <v>314</v>
      </c>
      <c r="C9143" s="52">
        <v>240098.135203268</v>
      </c>
      <c r="D9143" s="56">
        <v>2.9107722462650806E-2</v>
      </c>
      <c r="E9143" s="224" t="s">
        <v>2</v>
      </c>
      <c r="F9143" s="515" t="s">
        <v>10345</v>
      </c>
      <c r="G9143" s="52">
        <v>89830.9998015249</v>
      </c>
      <c r="H9143" s="56">
        <v>6.0719353935749204E-2</v>
      </c>
      <c r="I9143" s="224" t="s">
        <v>2</v>
      </c>
    </row>
    <row r="9144" spans="1:9" x14ac:dyDescent="0.25">
      <c r="A9144" s="515">
        <v>18031</v>
      </c>
      <c r="B9144" s="515" t="s">
        <v>327</v>
      </c>
      <c r="C9144" s="52">
        <v>403055.666861973</v>
      </c>
      <c r="D9144" s="56">
        <v>7.1505567236671216E-2</v>
      </c>
      <c r="E9144" s="224">
        <v>1893.75</v>
      </c>
      <c r="F9144" s="515" t="s">
        <v>10346</v>
      </c>
      <c r="G9144" s="52">
        <v>328150.55030415498</v>
      </c>
      <c r="H9144" s="56">
        <v>0.15032532610040086</v>
      </c>
      <c r="I9144" s="224" t="s">
        <v>2</v>
      </c>
    </row>
    <row r="9145" spans="1:9" x14ac:dyDescent="0.25">
      <c r="A9145" s="515">
        <v>75494</v>
      </c>
      <c r="C9145" s="52">
        <v>221885.73473010201</v>
      </c>
      <c r="D9145" s="56">
        <v>1.4579840009136454E-2</v>
      </c>
      <c r="E9145" s="224" t="s">
        <v>2</v>
      </c>
      <c r="F9145" s="515" t="s">
        <v>10347</v>
      </c>
      <c r="G9145" s="52">
        <v>242535.62217111501</v>
      </c>
      <c r="H9145" s="56">
        <v>5.4722893781893142E-2</v>
      </c>
      <c r="I9145" s="224" t="s">
        <v>2</v>
      </c>
    </row>
    <row r="9146" spans="1:9" x14ac:dyDescent="0.25">
      <c r="A9146" s="515">
        <v>4530</v>
      </c>
      <c r="B9146" s="515" t="s">
        <v>570</v>
      </c>
      <c r="C9146" s="52">
        <v>334548.43799641402</v>
      </c>
      <c r="D9146" s="56">
        <v>8.3698260048729628E-2</v>
      </c>
      <c r="E9146" s="224" t="s">
        <v>2</v>
      </c>
      <c r="F9146" s="515" t="s">
        <v>10348</v>
      </c>
      <c r="G9146" s="52">
        <v>131596.938043995</v>
      </c>
      <c r="H9146" s="56">
        <v>0.11792892224609156</v>
      </c>
      <c r="I9146" s="224" t="s">
        <v>2</v>
      </c>
    </row>
    <row r="9147" spans="1:9" x14ac:dyDescent="0.25">
      <c r="A9147" s="515">
        <v>18071</v>
      </c>
      <c r="B9147" s="515" t="s">
        <v>327</v>
      </c>
      <c r="C9147" s="52">
        <v>220963.46715379501</v>
      </c>
      <c r="D9147" s="56">
        <v>0.10791537016433669</v>
      </c>
      <c r="E9147" s="224" t="s">
        <v>2</v>
      </c>
      <c r="F9147" s="515" t="s">
        <v>10349</v>
      </c>
      <c r="G9147" s="52">
        <v>401966.16908602102</v>
      </c>
      <c r="H9147" s="56">
        <v>4.2870467814725838E-2</v>
      </c>
      <c r="I9147" s="224" t="s">
        <v>2</v>
      </c>
    </row>
    <row r="9148" spans="1:9" x14ac:dyDescent="0.25">
      <c r="A9148" s="515">
        <v>59870</v>
      </c>
      <c r="C9148" s="52">
        <v>537888.798425455</v>
      </c>
      <c r="D9148" s="56">
        <v>3.371877995534886E-2</v>
      </c>
      <c r="E9148" s="224" t="s">
        <v>2</v>
      </c>
      <c r="F9148" s="515" t="s">
        <v>10350</v>
      </c>
      <c r="G9148" s="52">
        <v>185058.80569782099</v>
      </c>
      <c r="H9148" s="56">
        <v>0.13223021464984175</v>
      </c>
      <c r="I9148" s="224" t="s">
        <v>2</v>
      </c>
    </row>
    <row r="9149" spans="1:9" x14ac:dyDescent="0.25">
      <c r="A9149" s="515">
        <v>42445</v>
      </c>
      <c r="C9149" s="52">
        <v>106806.798930933</v>
      </c>
      <c r="D9149" s="56">
        <v>0.11925668551081148</v>
      </c>
      <c r="E9149" s="224" t="s">
        <v>2</v>
      </c>
      <c r="F9149" s="515" t="s">
        <v>10351</v>
      </c>
      <c r="G9149" s="52">
        <v>85331.524179016196</v>
      </c>
      <c r="H9149" s="56">
        <v>9.7968629177660693E-2</v>
      </c>
      <c r="I9149" s="224" t="s">
        <v>2</v>
      </c>
    </row>
    <row r="9150" spans="1:9" x14ac:dyDescent="0.25">
      <c r="A9150" s="515">
        <v>63113</v>
      </c>
      <c r="B9150" s="515" t="s">
        <v>498</v>
      </c>
      <c r="C9150" s="52">
        <v>50461.694547538202</v>
      </c>
      <c r="D9150" s="56">
        <v>-4.8499572349446601E-2</v>
      </c>
      <c r="E9150" s="224" t="s">
        <v>2</v>
      </c>
      <c r="F9150" s="515" t="s">
        <v>10352</v>
      </c>
      <c r="G9150" s="52">
        <v>122167.860517921</v>
      </c>
      <c r="H9150" s="56">
        <v>2.8808353469787235E-2</v>
      </c>
      <c r="I9150" s="224" t="s">
        <v>2</v>
      </c>
    </row>
    <row r="9151" spans="1:9" x14ac:dyDescent="0.25">
      <c r="A9151" s="515">
        <v>61354</v>
      </c>
      <c r="B9151" s="515" t="s">
        <v>556</v>
      </c>
      <c r="C9151" s="52">
        <v>133317.75774057701</v>
      </c>
      <c r="D9151" s="56">
        <v>-1.8058626381727912E-3</v>
      </c>
      <c r="E9151" s="224" t="s">
        <v>2</v>
      </c>
      <c r="F9151" s="515" t="s">
        <v>10353</v>
      </c>
      <c r="G9151" s="52">
        <v>445250.87044534402</v>
      </c>
      <c r="H9151" s="56">
        <v>0</v>
      </c>
      <c r="I9151" s="224" t="s">
        <v>2</v>
      </c>
    </row>
    <row r="9152" spans="1:9" x14ac:dyDescent="0.25">
      <c r="A9152" s="515">
        <v>35212</v>
      </c>
      <c r="B9152" s="515" t="s">
        <v>640</v>
      </c>
      <c r="C9152" s="52">
        <v>108020.997030371</v>
      </c>
      <c r="D9152" s="56">
        <v>0.15871514578427029</v>
      </c>
      <c r="E9152" s="224">
        <v>981.25</v>
      </c>
      <c r="F9152" s="515" t="s">
        <v>10354</v>
      </c>
      <c r="G9152" s="52">
        <v>105767.637598099</v>
      </c>
      <c r="H9152" s="56">
        <v>9.0959709126680527E-2</v>
      </c>
      <c r="I9152" s="224" t="s">
        <v>2</v>
      </c>
    </row>
    <row r="9153" spans="1:9" x14ac:dyDescent="0.25">
      <c r="A9153" s="515">
        <v>21853</v>
      </c>
      <c r="B9153" s="515" t="s">
        <v>552</v>
      </c>
      <c r="C9153" s="52">
        <v>181506.81863607801</v>
      </c>
      <c r="D9153" s="56">
        <v>7.9004517860891119E-2</v>
      </c>
      <c r="E9153" s="224" t="s">
        <v>2</v>
      </c>
      <c r="F9153" s="515" t="s">
        <v>10355</v>
      </c>
      <c r="G9153" s="52">
        <v>188805.34048128899</v>
      </c>
      <c r="H9153" s="56">
        <v>8.6256783774781701E-2</v>
      </c>
      <c r="I9153" s="224" t="s">
        <v>2</v>
      </c>
    </row>
    <row r="9154" spans="1:9" x14ac:dyDescent="0.25">
      <c r="A9154" s="515">
        <v>10522</v>
      </c>
      <c r="B9154" s="515" t="s">
        <v>324</v>
      </c>
      <c r="C9154" s="52">
        <v>801304.16495022399</v>
      </c>
      <c r="D9154" s="56">
        <v>1.6004594645189399E-2</v>
      </c>
      <c r="E9154" s="224">
        <v>3240</v>
      </c>
      <c r="F9154" s="515" t="s">
        <v>10356</v>
      </c>
      <c r="G9154" s="52">
        <v>406199.91048636002</v>
      </c>
      <c r="H9154" s="56">
        <v>6.3683523446981305E-2</v>
      </c>
      <c r="I9154" s="224" t="s">
        <v>2</v>
      </c>
    </row>
    <row r="9155" spans="1:9" x14ac:dyDescent="0.25">
      <c r="A9155" s="515">
        <v>65583</v>
      </c>
      <c r="B9155" s="515" t="s">
        <v>1055</v>
      </c>
      <c r="C9155" s="52">
        <v>203625.60902376199</v>
      </c>
      <c r="D9155" s="56">
        <v>6.5724494019566287E-2</v>
      </c>
      <c r="E9155" s="224" t="s">
        <v>2</v>
      </c>
      <c r="F9155" s="515" t="s">
        <v>10357</v>
      </c>
      <c r="G9155" s="52">
        <v>173068.227651725</v>
      </c>
      <c r="H9155" s="56">
        <v>8.3745545649057507E-2</v>
      </c>
      <c r="I9155" s="224" t="s">
        <v>2</v>
      </c>
    </row>
    <row r="9156" spans="1:9" x14ac:dyDescent="0.25">
      <c r="A9156" s="515">
        <v>74873</v>
      </c>
      <c r="B9156" s="515" t="s">
        <v>989</v>
      </c>
      <c r="C9156" s="52">
        <v>135972.34653173899</v>
      </c>
      <c r="D9156" s="56">
        <v>0.10530794365382481</v>
      </c>
      <c r="E9156" s="224" t="s">
        <v>2</v>
      </c>
      <c r="F9156" s="515" t="s">
        <v>10358</v>
      </c>
      <c r="G9156" s="52">
        <v>124387.516720545</v>
      </c>
      <c r="H9156" s="56">
        <v>-4.6509422177012675E-3</v>
      </c>
      <c r="I9156" s="224" t="s">
        <v>2</v>
      </c>
    </row>
    <row r="9157" spans="1:9" x14ac:dyDescent="0.25">
      <c r="A9157" s="515">
        <v>7734</v>
      </c>
      <c r="B9157" s="515" t="s">
        <v>324</v>
      </c>
      <c r="C9157" s="52">
        <v>331148.63529946702</v>
      </c>
      <c r="D9157" s="56">
        <v>0.11349625441604191</v>
      </c>
      <c r="E9157" s="224">
        <v>2450</v>
      </c>
      <c r="F9157" s="515" t="s">
        <v>10359</v>
      </c>
      <c r="G9157" s="52">
        <v>119585.74135119301</v>
      </c>
      <c r="H9157" s="56">
        <v>4.7744872570590714E-2</v>
      </c>
      <c r="I9157" s="224" t="s">
        <v>2</v>
      </c>
    </row>
    <row r="9158" spans="1:9" x14ac:dyDescent="0.25">
      <c r="A9158" s="515">
        <v>2061</v>
      </c>
      <c r="B9158" s="515" t="s">
        <v>534</v>
      </c>
      <c r="C9158" s="52">
        <v>836897.265015946</v>
      </c>
      <c r="D9158" s="56">
        <v>4.8211576756864681E-2</v>
      </c>
      <c r="E9158" s="224" t="s">
        <v>2</v>
      </c>
      <c r="F9158" s="515" t="s">
        <v>10360</v>
      </c>
      <c r="G9158" s="52">
        <v>266559.16297036299</v>
      </c>
      <c r="H9158" s="56">
        <v>9.3671557273415501E-2</v>
      </c>
      <c r="I9158" s="224" t="s">
        <v>2</v>
      </c>
    </row>
    <row r="9159" spans="1:9" x14ac:dyDescent="0.25">
      <c r="A9159" s="515">
        <v>8722</v>
      </c>
      <c r="B9159" s="515" t="s">
        <v>324</v>
      </c>
      <c r="C9159" s="52">
        <v>366304.28106272698</v>
      </c>
      <c r="D9159" s="56">
        <v>7.6191354161478445E-2</v>
      </c>
      <c r="E9159" s="224" t="s">
        <v>2</v>
      </c>
      <c r="F9159" s="515" t="s">
        <v>10361</v>
      </c>
      <c r="G9159" s="52">
        <v>146059.74982892899</v>
      </c>
      <c r="H9159" s="56">
        <v>4.35757208510371E-2</v>
      </c>
      <c r="I9159" s="224" t="s">
        <v>2</v>
      </c>
    </row>
    <row r="9160" spans="1:9" x14ac:dyDescent="0.25">
      <c r="A9160" s="515">
        <v>45694</v>
      </c>
      <c r="B9160" s="515" t="s">
        <v>772</v>
      </c>
      <c r="C9160" s="52">
        <v>158062.97666477799</v>
      </c>
      <c r="D9160" s="56">
        <v>4.5382103419865483E-2</v>
      </c>
      <c r="E9160" s="224" t="s">
        <v>2</v>
      </c>
      <c r="F9160" s="515" t="s">
        <v>10362</v>
      </c>
      <c r="G9160" s="52">
        <v>646098.06920737994</v>
      </c>
      <c r="H9160" s="56">
        <v>3.4484416013836401E-2</v>
      </c>
      <c r="I9160" s="224" t="s">
        <v>2</v>
      </c>
    </row>
    <row r="9161" spans="1:9" x14ac:dyDescent="0.25">
      <c r="A9161" s="515">
        <v>10601</v>
      </c>
      <c r="B9161" s="515" t="s">
        <v>324</v>
      </c>
      <c r="C9161" s="52">
        <v>438086.38640363701</v>
      </c>
      <c r="D9161" s="56">
        <v>-0.10975306087522378</v>
      </c>
      <c r="E9161" s="224">
        <v>3083.9166666666601</v>
      </c>
      <c r="F9161" s="515" t="s">
        <v>10363</v>
      </c>
      <c r="G9161" s="52">
        <v>120292.096099551</v>
      </c>
      <c r="H9161" s="56">
        <v>0.13409172530040042</v>
      </c>
      <c r="I9161" s="224" t="s">
        <v>2</v>
      </c>
    </row>
    <row r="9162" spans="1:9" x14ac:dyDescent="0.25">
      <c r="A9162" s="515">
        <v>48065</v>
      </c>
      <c r="B9162" s="515" t="s">
        <v>685</v>
      </c>
      <c r="C9162" s="52">
        <v>358632.05736680998</v>
      </c>
      <c r="D9162" s="56">
        <v>6.1532001065335358E-2</v>
      </c>
      <c r="E9162" s="224" t="s">
        <v>2</v>
      </c>
      <c r="F9162" s="515" t="s">
        <v>10364</v>
      </c>
      <c r="G9162" s="52">
        <v>151980.23103544</v>
      </c>
      <c r="H9162" s="56">
        <v>0.16230707329694993</v>
      </c>
      <c r="I9162" s="224" t="s">
        <v>2</v>
      </c>
    </row>
    <row r="9163" spans="1:9" x14ac:dyDescent="0.25">
      <c r="A9163" s="515">
        <v>46036</v>
      </c>
      <c r="B9163" s="515" t="s">
        <v>403</v>
      </c>
      <c r="C9163" s="52">
        <v>120183.22782797299</v>
      </c>
      <c r="D9163" s="56">
        <v>9.1941431515382296E-2</v>
      </c>
      <c r="E9163" s="224" t="s">
        <v>2</v>
      </c>
      <c r="F9163" s="515" t="s">
        <v>10365</v>
      </c>
      <c r="G9163" s="52">
        <v>586450.818653806</v>
      </c>
      <c r="H9163" s="56">
        <v>0.11878717161648142</v>
      </c>
      <c r="I9163" s="224" t="s">
        <v>2</v>
      </c>
    </row>
    <row r="9164" spans="1:9" x14ac:dyDescent="0.25">
      <c r="A9164" s="515">
        <v>75551</v>
      </c>
      <c r="C9164" s="52">
        <v>143566.251350712</v>
      </c>
      <c r="D9164" s="56">
        <v>-1.1067492432313487E-2</v>
      </c>
      <c r="E9164" s="224" t="s">
        <v>2</v>
      </c>
      <c r="F9164" s="515" t="s">
        <v>10366</v>
      </c>
      <c r="G9164" s="52">
        <v>222140.28305785099</v>
      </c>
      <c r="H9164" s="56">
        <v>0</v>
      </c>
      <c r="I9164" s="224" t="s">
        <v>2</v>
      </c>
    </row>
    <row r="9165" spans="1:9" x14ac:dyDescent="0.25">
      <c r="A9165" s="515">
        <v>57785</v>
      </c>
      <c r="B9165" s="515" t="s">
        <v>854</v>
      </c>
      <c r="C9165" s="52">
        <v>322550.22497843701</v>
      </c>
      <c r="D9165" s="56">
        <v>0.11883387002771942</v>
      </c>
      <c r="E9165" s="224" t="s">
        <v>2</v>
      </c>
      <c r="F9165" s="515" t="s">
        <v>10367</v>
      </c>
      <c r="G9165" s="52">
        <v>227173.780026491</v>
      </c>
      <c r="H9165" s="56">
        <v>1.2723281897053398E-2</v>
      </c>
      <c r="I9165" s="224" t="s">
        <v>2</v>
      </c>
    </row>
    <row r="9166" spans="1:9" x14ac:dyDescent="0.25">
      <c r="A9166" s="515">
        <v>80230</v>
      </c>
      <c r="B9166" s="515" t="s">
        <v>401</v>
      </c>
      <c r="C9166" s="52">
        <v>773843.83549213095</v>
      </c>
      <c r="D9166" s="56">
        <v>6.856782612049464E-2</v>
      </c>
      <c r="E9166" s="224">
        <v>2114.4583333333298</v>
      </c>
      <c r="F9166" s="515" t="s">
        <v>10368</v>
      </c>
      <c r="G9166" s="52">
        <v>276834.470944773</v>
      </c>
      <c r="H9166" s="56">
        <v>9.2888557607289937E-2</v>
      </c>
      <c r="I9166" s="224" t="s">
        <v>2</v>
      </c>
    </row>
    <row r="9167" spans="1:9" x14ac:dyDescent="0.25">
      <c r="A9167" s="515">
        <v>44662</v>
      </c>
      <c r="B9167" s="515" t="s">
        <v>863</v>
      </c>
      <c r="C9167" s="52">
        <v>189185.10068991099</v>
      </c>
      <c r="D9167" s="56">
        <v>8.8762840896967066E-2</v>
      </c>
      <c r="E9167" s="224" t="s">
        <v>2</v>
      </c>
      <c r="F9167" s="515" t="s">
        <v>10369</v>
      </c>
      <c r="G9167" s="52">
        <v>347152.205790281</v>
      </c>
      <c r="H9167" s="56">
        <v>8.8094499063103862E-2</v>
      </c>
      <c r="I9167" s="224" t="s">
        <v>2</v>
      </c>
    </row>
    <row r="9168" spans="1:9" x14ac:dyDescent="0.25">
      <c r="A9168" s="515">
        <v>46802</v>
      </c>
      <c r="B9168" s="515" t="s">
        <v>1031</v>
      </c>
      <c r="C9168" s="52">
        <v>96095.466525279902</v>
      </c>
      <c r="D9168" s="56">
        <v>9.3524135127723618E-2</v>
      </c>
      <c r="E9168" s="224">
        <v>892.944444444444</v>
      </c>
      <c r="F9168" s="515" t="s">
        <v>10370</v>
      </c>
      <c r="G9168" s="52">
        <v>140079.177872206</v>
      </c>
      <c r="H9168" s="56">
        <v>9.519794932297572E-2</v>
      </c>
      <c r="I9168" s="224" t="s">
        <v>2</v>
      </c>
    </row>
    <row r="9169" spans="1:9" x14ac:dyDescent="0.25">
      <c r="A9169" s="515">
        <v>14425</v>
      </c>
      <c r="B9169" s="515" t="s">
        <v>337</v>
      </c>
      <c r="C9169" s="52">
        <v>253097.578446965</v>
      </c>
      <c r="D9169" s="56">
        <v>9.8996661867392768E-2</v>
      </c>
      <c r="E9169" s="224">
        <v>1878.3333333333301</v>
      </c>
      <c r="F9169" s="515" t="s">
        <v>10371</v>
      </c>
      <c r="G9169" s="52">
        <v>123310.17639475501</v>
      </c>
      <c r="H9169" s="56">
        <v>0.18913387990751926</v>
      </c>
      <c r="I9169" s="224" t="s">
        <v>2</v>
      </c>
    </row>
    <row r="9170" spans="1:9" x14ac:dyDescent="0.25">
      <c r="A9170" s="515">
        <v>7932</v>
      </c>
      <c r="B9170" s="515" t="s">
        <v>324</v>
      </c>
      <c r="C9170" s="52">
        <v>762488.58129486104</v>
      </c>
      <c r="D9170" s="56">
        <v>4.6317801586961901E-2</v>
      </c>
      <c r="E9170" s="224">
        <v>3482.1666666666601</v>
      </c>
      <c r="F9170" s="515" t="s">
        <v>10372</v>
      </c>
      <c r="G9170" s="52">
        <v>209758.379631466</v>
      </c>
      <c r="H9170" s="56">
        <v>6.0202464157365528E-2</v>
      </c>
      <c r="I9170" s="224" t="s">
        <v>2</v>
      </c>
    </row>
    <row r="9171" spans="1:9" x14ac:dyDescent="0.25">
      <c r="A9171" s="515">
        <v>31788</v>
      </c>
      <c r="B9171" s="515" t="s">
        <v>392</v>
      </c>
      <c r="C9171" s="52">
        <v>135584.36744289001</v>
      </c>
      <c r="D9171" s="56">
        <v>5.7141528422829449E-3</v>
      </c>
      <c r="E9171" s="224" t="s">
        <v>2</v>
      </c>
      <c r="F9171" s="515" t="s">
        <v>10373</v>
      </c>
      <c r="G9171" s="52">
        <v>319665.84132936801</v>
      </c>
      <c r="H9171" s="56">
        <v>6.1583772524035137E-2</v>
      </c>
      <c r="I9171" s="224" t="s">
        <v>2</v>
      </c>
    </row>
    <row r="9172" spans="1:9" x14ac:dyDescent="0.25">
      <c r="A9172" s="515">
        <v>64601</v>
      </c>
      <c r="C9172" s="52">
        <v>138475.94464512399</v>
      </c>
      <c r="D9172" s="56">
        <v>5.8938513403066051E-2</v>
      </c>
      <c r="E9172" s="224" t="s">
        <v>2</v>
      </c>
      <c r="F9172" s="515" t="s">
        <v>10374</v>
      </c>
      <c r="G9172" s="52">
        <v>276620.88794769801</v>
      </c>
      <c r="H9172" s="56">
        <v>5.5413559185714091E-2</v>
      </c>
      <c r="I9172" s="224" t="s">
        <v>2</v>
      </c>
    </row>
    <row r="9173" spans="1:9" x14ac:dyDescent="0.25">
      <c r="A9173" s="515">
        <v>53717</v>
      </c>
      <c r="B9173" s="515" t="s">
        <v>727</v>
      </c>
      <c r="C9173" s="52">
        <v>420755.55484247801</v>
      </c>
      <c r="D9173" s="56">
        <v>4.1696563054797568E-2</v>
      </c>
      <c r="E9173" s="224" t="s">
        <v>2</v>
      </c>
      <c r="F9173" s="515" t="s">
        <v>10375</v>
      </c>
      <c r="G9173" s="52">
        <v>158913.20128898299</v>
      </c>
      <c r="H9173" s="56">
        <v>9.2306037385040812E-2</v>
      </c>
      <c r="I9173" s="224" t="s">
        <v>2</v>
      </c>
    </row>
    <row r="9174" spans="1:9" x14ac:dyDescent="0.25">
      <c r="A9174" s="515">
        <v>61853</v>
      </c>
      <c r="B9174" s="515" t="s">
        <v>417</v>
      </c>
      <c r="C9174" s="52">
        <v>285033.96438253799</v>
      </c>
      <c r="D9174" s="56">
        <v>5.2282749998107711E-2</v>
      </c>
      <c r="E9174" s="224" t="s">
        <v>2</v>
      </c>
      <c r="F9174" s="515" t="s">
        <v>10376</v>
      </c>
      <c r="G9174" s="52">
        <v>409481.65774728201</v>
      </c>
      <c r="H9174" s="56">
        <v>7.9574417559826749E-2</v>
      </c>
      <c r="I9174" s="224" t="s">
        <v>2</v>
      </c>
    </row>
    <row r="9175" spans="1:9" x14ac:dyDescent="0.25">
      <c r="A9175" s="515">
        <v>6071</v>
      </c>
      <c r="B9175" s="515" t="s">
        <v>894</v>
      </c>
      <c r="C9175" s="52">
        <v>382418.20977507299</v>
      </c>
      <c r="D9175" s="56">
        <v>7.5341163513965026E-2</v>
      </c>
      <c r="E9175" s="224" t="s">
        <v>2</v>
      </c>
      <c r="F9175" s="515" t="s">
        <v>10377</v>
      </c>
      <c r="G9175" s="52">
        <v>445980.65381724102</v>
      </c>
      <c r="H9175" s="56">
        <v>9.1972195023072537E-2</v>
      </c>
      <c r="I9175" s="224" t="s">
        <v>2</v>
      </c>
    </row>
    <row r="9176" spans="1:9" x14ac:dyDescent="0.25">
      <c r="A9176" s="515">
        <v>7444</v>
      </c>
      <c r="B9176" s="515" t="s">
        <v>324</v>
      </c>
      <c r="C9176" s="52">
        <v>559114.65845612099</v>
      </c>
      <c r="D9176" s="56">
        <v>4.4280714552569614E-2</v>
      </c>
      <c r="E9176" s="224" t="s">
        <v>2</v>
      </c>
      <c r="F9176" s="515" t="s">
        <v>10378</v>
      </c>
      <c r="G9176" s="52">
        <v>156212.44961553899</v>
      </c>
      <c r="H9176" s="56">
        <v>3.4081270754618129E-2</v>
      </c>
      <c r="I9176" s="224" t="s">
        <v>2</v>
      </c>
    </row>
    <row r="9177" spans="1:9" x14ac:dyDescent="0.25">
      <c r="A9177" s="515">
        <v>27948</v>
      </c>
      <c r="B9177" s="515" t="s">
        <v>407</v>
      </c>
      <c r="C9177" s="52">
        <v>464350.368477482</v>
      </c>
      <c r="D9177" s="56">
        <v>0.12669894498615261</v>
      </c>
      <c r="E9177" s="224" t="s">
        <v>2</v>
      </c>
      <c r="F9177" s="515" t="s">
        <v>10379</v>
      </c>
      <c r="G9177" s="52">
        <v>158641.076618928</v>
      </c>
      <c r="H9177" s="56">
        <v>5.2696178377124578E-2</v>
      </c>
      <c r="I9177" s="224" t="s">
        <v>2</v>
      </c>
    </row>
    <row r="9178" spans="1:9" x14ac:dyDescent="0.25">
      <c r="A9178" s="515">
        <v>1862</v>
      </c>
      <c r="B9178" s="515" t="s">
        <v>534</v>
      </c>
      <c r="C9178" s="52">
        <v>580479.41335830698</v>
      </c>
      <c r="D9178" s="56">
        <v>6.4359288076343335E-2</v>
      </c>
      <c r="E9178" s="224" t="s">
        <v>2</v>
      </c>
      <c r="F9178" s="515" t="s">
        <v>10380</v>
      </c>
      <c r="G9178" s="52">
        <v>549970.39213479403</v>
      </c>
      <c r="H9178" s="56">
        <v>5.0940915549844278E-2</v>
      </c>
      <c r="I9178" s="224" t="s">
        <v>2</v>
      </c>
    </row>
    <row r="9179" spans="1:9" x14ac:dyDescent="0.25">
      <c r="A9179" s="515">
        <v>75862</v>
      </c>
      <c r="C9179" s="52">
        <v>158178.432944853</v>
      </c>
      <c r="D9179" s="56">
        <v>2.2473712122274159E-2</v>
      </c>
      <c r="E9179" s="224" t="s">
        <v>2</v>
      </c>
      <c r="F9179" s="515" t="s">
        <v>10381</v>
      </c>
      <c r="G9179" s="52">
        <v>186651.760163214</v>
      </c>
      <c r="H9179" s="56">
        <v>0.11528871337465024</v>
      </c>
      <c r="I9179" s="224" t="s">
        <v>2</v>
      </c>
    </row>
    <row r="9180" spans="1:9" x14ac:dyDescent="0.25">
      <c r="A9180" s="515">
        <v>64503</v>
      </c>
      <c r="B9180" s="515" t="s">
        <v>371</v>
      </c>
      <c r="C9180" s="52">
        <v>126349.40951724901</v>
      </c>
      <c r="D9180" s="56">
        <v>5.6406415140016201E-2</v>
      </c>
      <c r="E9180" s="224" t="s">
        <v>2</v>
      </c>
      <c r="F9180" s="515" t="s">
        <v>10382</v>
      </c>
      <c r="G9180" s="52">
        <v>156378.14710915901</v>
      </c>
      <c r="H9180" s="56">
        <v>3.9122827520450487E-2</v>
      </c>
      <c r="I9180" s="224" t="s">
        <v>2</v>
      </c>
    </row>
    <row r="9181" spans="1:9" x14ac:dyDescent="0.25">
      <c r="A9181" s="515">
        <v>66206</v>
      </c>
      <c r="B9181" s="515" t="s">
        <v>455</v>
      </c>
      <c r="C9181" s="52">
        <v>591758.87360945402</v>
      </c>
      <c r="D9181" s="56">
        <v>6.9367434559614749E-2</v>
      </c>
      <c r="E9181" s="224" t="s">
        <v>2</v>
      </c>
      <c r="F9181" s="515" t="s">
        <v>10383</v>
      </c>
      <c r="G9181" s="52">
        <v>265313.21294849901</v>
      </c>
      <c r="H9181" s="56">
        <v>6.200923162607086E-2</v>
      </c>
      <c r="I9181" s="224" t="s">
        <v>2</v>
      </c>
    </row>
    <row r="9182" spans="1:9" x14ac:dyDescent="0.25">
      <c r="A9182" s="515">
        <v>49230</v>
      </c>
      <c r="B9182" s="515" t="s">
        <v>1125</v>
      </c>
      <c r="C9182" s="52">
        <v>238970.89759886</v>
      </c>
      <c r="D9182" s="56">
        <v>6.4013256081137587E-2</v>
      </c>
      <c r="E9182" s="224" t="s">
        <v>2</v>
      </c>
      <c r="F9182" s="515" t="s">
        <v>10384</v>
      </c>
      <c r="G9182" s="52">
        <v>149641.73399250401</v>
      </c>
      <c r="H9182" s="56">
        <v>0.11448742693235128</v>
      </c>
      <c r="I9182" s="224" t="s">
        <v>2</v>
      </c>
    </row>
    <row r="9183" spans="1:9" x14ac:dyDescent="0.25">
      <c r="A9183" s="515">
        <v>80424</v>
      </c>
      <c r="B9183" s="515" t="s">
        <v>1169</v>
      </c>
      <c r="C9183" s="52">
        <v>1091070.4606240599</v>
      </c>
      <c r="D9183" s="56">
        <v>8.886575758990015E-4</v>
      </c>
      <c r="E9183" s="224" t="s">
        <v>2</v>
      </c>
      <c r="F9183" s="515" t="s">
        <v>10385</v>
      </c>
      <c r="G9183" s="52">
        <v>172354.57975866899</v>
      </c>
      <c r="H9183" s="56">
        <v>3.6026357182975345E-2</v>
      </c>
      <c r="I9183" s="224" t="s">
        <v>2</v>
      </c>
    </row>
    <row r="9184" spans="1:9" x14ac:dyDescent="0.25">
      <c r="A9184" s="515">
        <v>15632</v>
      </c>
      <c r="B9184" s="515" t="s">
        <v>297</v>
      </c>
      <c r="C9184" s="52">
        <v>268626.784184494</v>
      </c>
      <c r="D9184" s="56">
        <v>2.4386354476363423E-2</v>
      </c>
      <c r="E9184" s="224">
        <v>1762.5</v>
      </c>
      <c r="F9184" s="515" t="s">
        <v>10386</v>
      </c>
      <c r="G9184" s="52">
        <v>910524.28889207402</v>
      </c>
      <c r="H9184" s="56">
        <v>6.494597124950216E-2</v>
      </c>
      <c r="I9184" s="224" t="s">
        <v>2</v>
      </c>
    </row>
    <row r="9185" spans="1:9" x14ac:dyDescent="0.25">
      <c r="A9185" s="515">
        <v>95119</v>
      </c>
      <c r="B9185" s="515" t="s">
        <v>850</v>
      </c>
      <c r="C9185" s="52">
        <v>1243575.5277181601</v>
      </c>
      <c r="D9185" s="56">
        <v>3.7821899250176871E-2</v>
      </c>
      <c r="E9185" s="224" t="s">
        <v>2</v>
      </c>
      <c r="F9185" s="515" t="s">
        <v>10387</v>
      </c>
      <c r="G9185" s="52">
        <v>202496.793479121</v>
      </c>
      <c r="H9185" s="56">
        <v>0.10262844788758266</v>
      </c>
      <c r="I9185" s="224" t="s">
        <v>2</v>
      </c>
    </row>
    <row r="9186" spans="1:9" x14ac:dyDescent="0.25">
      <c r="A9186" s="515">
        <v>37367</v>
      </c>
      <c r="C9186" s="52">
        <v>186696.34851704701</v>
      </c>
      <c r="D9186" s="56">
        <v>8.5042614341475295E-2</v>
      </c>
      <c r="E9186" s="224" t="s">
        <v>2</v>
      </c>
      <c r="F9186" s="515" t="s">
        <v>10388</v>
      </c>
      <c r="G9186" s="52">
        <v>195256.69335964901</v>
      </c>
      <c r="H9186" s="56">
        <v>3.6654822820390912E-2</v>
      </c>
      <c r="I9186" s="224" t="s">
        <v>2</v>
      </c>
    </row>
    <row r="9187" spans="1:9" x14ac:dyDescent="0.25">
      <c r="A9187" s="515">
        <v>39666</v>
      </c>
      <c r="B9187" s="515" t="s">
        <v>1194</v>
      </c>
      <c r="C9187" s="52">
        <v>154455.90615489101</v>
      </c>
      <c r="D9187" s="56">
        <v>-4.4615541593803966E-2</v>
      </c>
      <c r="E9187" s="224" t="s">
        <v>2</v>
      </c>
      <c r="F9187" s="515" t="s">
        <v>10389</v>
      </c>
      <c r="G9187" s="52">
        <v>114730.98961510901</v>
      </c>
      <c r="H9187" s="56">
        <v>0.11569491699759131</v>
      </c>
      <c r="I9187" s="224" t="s">
        <v>2</v>
      </c>
    </row>
    <row r="9188" spans="1:9" x14ac:dyDescent="0.25">
      <c r="A9188" s="515">
        <v>57005</v>
      </c>
      <c r="B9188" s="515" t="s">
        <v>579</v>
      </c>
      <c r="C9188" s="52">
        <v>348329.55565040401</v>
      </c>
      <c r="D9188" s="56">
        <v>4.9488881409982852E-2</v>
      </c>
      <c r="E9188" s="224" t="s">
        <v>2</v>
      </c>
      <c r="F9188" s="515" t="s">
        <v>10390</v>
      </c>
      <c r="G9188" s="52">
        <v>349952.18210435897</v>
      </c>
      <c r="H9188" s="56">
        <v>9.6364672795549014E-2</v>
      </c>
      <c r="I9188" s="224" t="s">
        <v>2</v>
      </c>
    </row>
    <row r="9189" spans="1:9" x14ac:dyDescent="0.25">
      <c r="A9189" s="515">
        <v>21048</v>
      </c>
      <c r="B9189" s="515" t="s">
        <v>582</v>
      </c>
      <c r="C9189" s="52">
        <v>459963.10352234798</v>
      </c>
      <c r="D9189" s="56">
        <v>1.8053408725371343E-2</v>
      </c>
      <c r="E9189" s="224" t="s">
        <v>2</v>
      </c>
      <c r="F9189" s="515" t="s">
        <v>10391</v>
      </c>
      <c r="G9189" s="52">
        <v>448408.35549132898</v>
      </c>
      <c r="H9189" s="56">
        <v>0</v>
      </c>
      <c r="I9189" s="224" t="s">
        <v>2</v>
      </c>
    </row>
    <row r="9190" spans="1:9" x14ac:dyDescent="0.25">
      <c r="A9190" s="515">
        <v>8512</v>
      </c>
      <c r="B9190" s="515" t="s">
        <v>324</v>
      </c>
      <c r="C9190" s="52">
        <v>613501.99178829102</v>
      </c>
      <c r="D9190" s="56">
        <v>7.7279228145469156E-2</v>
      </c>
      <c r="E9190" s="224" t="s">
        <v>2</v>
      </c>
      <c r="F9190" s="515" t="s">
        <v>10392</v>
      </c>
      <c r="G9190" s="52">
        <v>154422.28040046501</v>
      </c>
      <c r="H9190" s="56">
        <v>0.10729840005436625</v>
      </c>
      <c r="I9190" s="224" t="s">
        <v>2</v>
      </c>
    </row>
    <row r="9191" spans="1:9" x14ac:dyDescent="0.25">
      <c r="A9191" s="515">
        <v>8010</v>
      </c>
      <c r="B9191" s="515" t="s">
        <v>294</v>
      </c>
      <c r="C9191" s="52">
        <v>249408.111550734</v>
      </c>
      <c r="D9191" s="56">
        <v>8.6920210343703258E-2</v>
      </c>
      <c r="E9191" s="224" t="s">
        <v>2</v>
      </c>
      <c r="F9191" s="515" t="s">
        <v>10393</v>
      </c>
      <c r="G9191" s="52">
        <v>281849.282485042</v>
      </c>
      <c r="H9191" s="56">
        <v>9.1048523387563321E-2</v>
      </c>
      <c r="I9191" s="224" t="s">
        <v>2</v>
      </c>
    </row>
    <row r="9192" spans="1:9" x14ac:dyDescent="0.25">
      <c r="A9192" s="515">
        <v>16635</v>
      </c>
      <c r="B9192" s="515" t="s">
        <v>1086</v>
      </c>
      <c r="C9192" s="52">
        <v>206940.842834893</v>
      </c>
      <c r="D9192" s="56">
        <v>2.6076324309631544E-2</v>
      </c>
      <c r="E9192" s="224" t="s">
        <v>2</v>
      </c>
      <c r="F9192" s="515" t="s">
        <v>10394</v>
      </c>
      <c r="G9192" s="52">
        <v>69446.917866052405</v>
      </c>
      <c r="H9192" s="56">
        <v>0.11247703629710148</v>
      </c>
      <c r="I9192" s="224" t="s">
        <v>2</v>
      </c>
    </row>
    <row r="9193" spans="1:9" x14ac:dyDescent="0.25">
      <c r="A9193" s="515">
        <v>76426</v>
      </c>
      <c r="B9193" s="515" t="s">
        <v>458</v>
      </c>
      <c r="C9193" s="52">
        <v>268498.35998567101</v>
      </c>
      <c r="D9193" s="56">
        <v>8.7552196416136249E-2</v>
      </c>
      <c r="E9193" s="224" t="s">
        <v>2</v>
      </c>
      <c r="F9193" s="515" t="s">
        <v>10395</v>
      </c>
      <c r="G9193" s="52">
        <v>1111563.2662893401</v>
      </c>
      <c r="H9193" s="56">
        <v>-5.7902948451008594E-2</v>
      </c>
      <c r="I9193" s="224" t="s">
        <v>2</v>
      </c>
    </row>
    <row r="9194" spans="1:9" x14ac:dyDescent="0.25">
      <c r="A9194" s="515">
        <v>39730</v>
      </c>
      <c r="C9194" s="52">
        <v>109357.116851333</v>
      </c>
      <c r="D9194" s="56">
        <v>-3.7212646231167025E-2</v>
      </c>
      <c r="E9194" s="224" t="s">
        <v>2</v>
      </c>
      <c r="F9194" s="515" t="s">
        <v>10396</v>
      </c>
      <c r="G9194" s="52">
        <v>185683.09277442799</v>
      </c>
      <c r="H9194" s="56">
        <v>6.7786382460501893E-2</v>
      </c>
      <c r="I9194" s="224" t="s">
        <v>2</v>
      </c>
    </row>
    <row r="9195" spans="1:9" x14ac:dyDescent="0.25">
      <c r="A9195" s="515">
        <v>19933</v>
      </c>
      <c r="B9195" s="515" t="s">
        <v>552</v>
      </c>
      <c r="C9195" s="52">
        <v>295325.806449586</v>
      </c>
      <c r="D9195" s="56">
        <v>5.6944099316877606E-2</v>
      </c>
      <c r="E9195" s="224" t="s">
        <v>2</v>
      </c>
      <c r="F9195" s="515" t="s">
        <v>10397</v>
      </c>
      <c r="G9195" s="52">
        <v>154615.819989777</v>
      </c>
      <c r="H9195" s="56">
        <v>5.0852839667512056E-2</v>
      </c>
      <c r="I9195" s="224" t="s">
        <v>2</v>
      </c>
    </row>
    <row r="9196" spans="1:9" x14ac:dyDescent="0.25">
      <c r="A9196" s="515">
        <v>7417</v>
      </c>
      <c r="B9196" s="515" t="s">
        <v>324</v>
      </c>
      <c r="C9196" s="52">
        <v>1208691.11507847</v>
      </c>
      <c r="D9196" s="56">
        <v>9.5718854608282944E-2</v>
      </c>
      <c r="E9196" s="224" t="s">
        <v>2</v>
      </c>
      <c r="F9196" s="515" t="s">
        <v>10398</v>
      </c>
      <c r="G9196" s="52">
        <v>107808.657506417</v>
      </c>
      <c r="H9196" s="56">
        <v>-8.12209902941715E-2</v>
      </c>
      <c r="I9196" s="224" t="s">
        <v>2</v>
      </c>
    </row>
    <row r="9197" spans="1:9" x14ac:dyDescent="0.25">
      <c r="A9197" s="515">
        <v>94931</v>
      </c>
      <c r="B9197" s="515" t="s">
        <v>331</v>
      </c>
      <c r="C9197" s="52">
        <v>682914.71615156799</v>
      </c>
      <c r="D9197" s="56">
        <v>1.635246765795139E-2</v>
      </c>
      <c r="E9197" s="224" t="s">
        <v>2</v>
      </c>
      <c r="F9197" s="515" t="s">
        <v>10399</v>
      </c>
      <c r="G9197" s="52">
        <v>80913.596250261195</v>
      </c>
      <c r="H9197" s="56">
        <v>0.19169433099795904</v>
      </c>
      <c r="I9197" s="224" t="s">
        <v>2</v>
      </c>
    </row>
    <row r="9198" spans="1:9" x14ac:dyDescent="0.25">
      <c r="A9198" s="515">
        <v>78645</v>
      </c>
      <c r="B9198" s="515" t="s">
        <v>380</v>
      </c>
      <c r="C9198" s="52">
        <v>468018.28273241501</v>
      </c>
      <c r="D9198" s="56">
        <v>4.9494962220181155E-2</v>
      </c>
      <c r="E9198" s="224">
        <v>2136.25</v>
      </c>
      <c r="F9198" s="515" t="s">
        <v>10400</v>
      </c>
      <c r="G9198" s="52">
        <v>296273.68400310801</v>
      </c>
      <c r="H9198" s="56">
        <v>-2.7957633448780429E-2</v>
      </c>
      <c r="I9198" s="224" t="s">
        <v>2</v>
      </c>
    </row>
    <row r="9199" spans="1:9" x14ac:dyDescent="0.25">
      <c r="A9199" s="515">
        <v>91024</v>
      </c>
      <c r="B9199" s="515" t="s">
        <v>375</v>
      </c>
      <c r="C9199" s="52">
        <v>1283379.02065528</v>
      </c>
      <c r="D9199" s="56">
        <v>7.1248579444973051E-2</v>
      </c>
      <c r="E9199" s="224">
        <v>2785</v>
      </c>
      <c r="F9199" s="515" t="s">
        <v>10401</v>
      </c>
      <c r="G9199" s="52">
        <v>516381.77833606303</v>
      </c>
      <c r="H9199" s="56">
        <v>0.11417467761968522</v>
      </c>
      <c r="I9199" s="224" t="s">
        <v>2</v>
      </c>
    </row>
    <row r="9200" spans="1:9" x14ac:dyDescent="0.25">
      <c r="A9200" s="515">
        <v>30054</v>
      </c>
      <c r="B9200" s="515" t="s">
        <v>957</v>
      </c>
      <c r="C9200" s="52">
        <v>304733.01005632401</v>
      </c>
      <c r="D9200" s="56">
        <v>6.4445177313487173E-2</v>
      </c>
      <c r="E9200" s="224" t="s">
        <v>2</v>
      </c>
      <c r="F9200" s="515" t="s">
        <v>10402</v>
      </c>
      <c r="G9200" s="52">
        <v>403368.934686033</v>
      </c>
      <c r="H9200" s="56">
        <v>4.6753581928295013E-2</v>
      </c>
      <c r="I9200" s="224" t="s">
        <v>2</v>
      </c>
    </row>
    <row r="9201" spans="1:9" x14ac:dyDescent="0.25">
      <c r="A9201" s="515">
        <v>16407</v>
      </c>
      <c r="B9201" s="515" t="s">
        <v>753</v>
      </c>
      <c r="C9201" s="52">
        <v>124176.972401893</v>
      </c>
      <c r="D9201" s="56">
        <v>7.6956138195449442E-2</v>
      </c>
      <c r="E9201" s="224" t="s">
        <v>2</v>
      </c>
      <c r="F9201" s="515" t="s">
        <v>10403</v>
      </c>
      <c r="G9201" s="52">
        <v>392347.16034129699</v>
      </c>
      <c r="H9201" s="56">
        <v>-3.2655912380735751E-2</v>
      </c>
      <c r="I9201" s="224" t="s">
        <v>2</v>
      </c>
    </row>
    <row r="9202" spans="1:9" x14ac:dyDescent="0.25">
      <c r="A9202" s="515">
        <v>39059</v>
      </c>
      <c r="B9202" s="515" t="s">
        <v>851</v>
      </c>
      <c r="C9202" s="52">
        <v>111078.72994590399</v>
      </c>
      <c r="D9202" s="56">
        <v>3.5242625564200756E-3</v>
      </c>
      <c r="E9202" s="224" t="s">
        <v>2</v>
      </c>
      <c r="F9202" s="515" t="s">
        <v>10404</v>
      </c>
      <c r="G9202" s="52">
        <v>242052.60631111401</v>
      </c>
      <c r="H9202" s="56">
        <v>7.7989665267360397E-2</v>
      </c>
      <c r="I9202" s="224" t="s">
        <v>2</v>
      </c>
    </row>
    <row r="9203" spans="1:9" x14ac:dyDescent="0.25">
      <c r="A9203" s="515">
        <v>62010</v>
      </c>
      <c r="B9203" s="515" t="s">
        <v>498</v>
      </c>
      <c r="C9203" s="52">
        <v>164852.59061562701</v>
      </c>
      <c r="D9203" s="56">
        <v>7.6898318734476848E-2</v>
      </c>
      <c r="E9203" s="224" t="s">
        <v>2</v>
      </c>
      <c r="F9203" s="515" t="s">
        <v>10405</v>
      </c>
      <c r="G9203" s="52">
        <v>223270.01306170801</v>
      </c>
      <c r="H9203" s="56">
        <v>5.2834485744393901E-2</v>
      </c>
      <c r="I9203" s="224" t="s">
        <v>2</v>
      </c>
    </row>
    <row r="9204" spans="1:9" x14ac:dyDescent="0.25">
      <c r="A9204" s="515">
        <v>66618</v>
      </c>
      <c r="B9204" s="515" t="s">
        <v>549</v>
      </c>
      <c r="C9204" s="52">
        <v>261725.838550716</v>
      </c>
      <c r="D9204" s="56">
        <v>7.1113703636720413E-2</v>
      </c>
      <c r="E9204" s="224" t="s">
        <v>2</v>
      </c>
      <c r="F9204" s="515" t="s">
        <v>10406</v>
      </c>
      <c r="G9204" s="52">
        <v>211012.810764758</v>
      </c>
      <c r="H9204" s="56">
        <v>0.10662800520533013</v>
      </c>
      <c r="I9204" s="224" t="s">
        <v>2</v>
      </c>
    </row>
    <row r="9205" spans="1:9" x14ac:dyDescent="0.25">
      <c r="A9205" s="515">
        <v>1607</v>
      </c>
      <c r="B9205" s="515" t="s">
        <v>751</v>
      </c>
      <c r="C9205" s="52">
        <v>333578.60324291198</v>
      </c>
      <c r="D9205" s="56">
        <v>6.0667362643823185E-2</v>
      </c>
      <c r="E9205" s="224" t="s">
        <v>2</v>
      </c>
      <c r="F9205" s="515" t="s">
        <v>10407</v>
      </c>
      <c r="G9205" s="52">
        <v>218223.70786942099</v>
      </c>
      <c r="H9205" s="56">
        <v>3.7952191553724993E-2</v>
      </c>
      <c r="I9205" s="224" t="s">
        <v>2</v>
      </c>
    </row>
    <row r="9206" spans="1:9" x14ac:dyDescent="0.25">
      <c r="A9206" s="515">
        <v>50226</v>
      </c>
      <c r="B9206" s="515" t="s">
        <v>295</v>
      </c>
      <c r="C9206" s="52">
        <v>361112.75526493299</v>
      </c>
      <c r="D9206" s="56">
        <v>5.351833763392954E-2</v>
      </c>
      <c r="E9206" s="224" t="s">
        <v>2</v>
      </c>
      <c r="F9206" s="515" t="s">
        <v>10408</v>
      </c>
      <c r="G9206" s="52">
        <v>138072.88908858801</v>
      </c>
      <c r="H9206" s="56">
        <v>5.9712264565397626E-2</v>
      </c>
      <c r="I9206" s="224" t="s">
        <v>2</v>
      </c>
    </row>
    <row r="9207" spans="1:9" x14ac:dyDescent="0.25">
      <c r="A9207" s="515">
        <v>8079</v>
      </c>
      <c r="B9207" s="515" t="s">
        <v>294</v>
      </c>
      <c r="C9207" s="52">
        <v>174754.29022699801</v>
      </c>
      <c r="D9207" s="56">
        <v>8.1472888993119982E-2</v>
      </c>
      <c r="E9207" s="224" t="s">
        <v>2</v>
      </c>
      <c r="F9207" s="515" t="s">
        <v>10409</v>
      </c>
      <c r="G9207" s="52">
        <v>302390.79760670499</v>
      </c>
      <c r="H9207" s="56">
        <v>6.8442770878188383E-2</v>
      </c>
      <c r="I9207" s="224" t="s">
        <v>2</v>
      </c>
    </row>
    <row r="9208" spans="1:9" x14ac:dyDescent="0.25">
      <c r="A9208" s="515">
        <v>60471</v>
      </c>
      <c r="B9208" s="515" t="s">
        <v>394</v>
      </c>
      <c r="C9208" s="52">
        <v>194661.23222103901</v>
      </c>
      <c r="D9208" s="56">
        <v>5.7829469987142487E-2</v>
      </c>
      <c r="E9208" s="224">
        <v>1786.3333333333301</v>
      </c>
      <c r="F9208" s="515" t="s">
        <v>10410</v>
      </c>
      <c r="G9208" s="52">
        <v>405442.30549922999</v>
      </c>
      <c r="H9208" s="56">
        <v>8.0808377806222284E-2</v>
      </c>
      <c r="I9208" s="224" t="s">
        <v>2</v>
      </c>
    </row>
    <row r="9209" spans="1:9" x14ac:dyDescent="0.25">
      <c r="A9209" s="515">
        <v>91935</v>
      </c>
      <c r="B9209" s="515" t="s">
        <v>396</v>
      </c>
      <c r="C9209" s="52">
        <v>878316.94608451403</v>
      </c>
      <c r="D9209" s="56">
        <v>3.9807953908094065E-2</v>
      </c>
      <c r="E9209" s="224" t="s">
        <v>2</v>
      </c>
      <c r="F9209" s="515" t="s">
        <v>10411</v>
      </c>
      <c r="G9209" s="52">
        <v>301245.722615848</v>
      </c>
      <c r="H9209" s="56">
        <v>6.9844575998892836E-2</v>
      </c>
      <c r="I9209" s="224" t="s">
        <v>2</v>
      </c>
    </row>
    <row r="9210" spans="1:9" x14ac:dyDescent="0.25">
      <c r="A9210" s="515">
        <v>70548</v>
      </c>
      <c r="B9210" s="515" t="s">
        <v>1004</v>
      </c>
      <c r="C9210" s="52">
        <v>125210.82930071199</v>
      </c>
      <c r="D9210" s="56">
        <v>1.901025597644054E-2</v>
      </c>
      <c r="E9210" s="224" t="s">
        <v>2</v>
      </c>
      <c r="F9210" s="515" t="s">
        <v>10412</v>
      </c>
      <c r="G9210" s="52">
        <v>331688.31454170903</v>
      </c>
      <c r="H9210" s="56">
        <v>8.8600815596409907E-2</v>
      </c>
      <c r="I9210" s="224" t="s">
        <v>2</v>
      </c>
    </row>
    <row r="9211" spans="1:9" x14ac:dyDescent="0.25">
      <c r="A9211" s="515">
        <v>74104</v>
      </c>
      <c r="B9211" s="515" t="s">
        <v>348</v>
      </c>
      <c r="C9211" s="52">
        <v>222308.25236649299</v>
      </c>
      <c r="D9211" s="56">
        <v>0.112029642539703</v>
      </c>
      <c r="E9211" s="224">
        <v>1215.2222222222199</v>
      </c>
      <c r="F9211" s="515" t="s">
        <v>10413</v>
      </c>
      <c r="G9211" s="52">
        <v>245026.016404897</v>
      </c>
      <c r="H9211" s="56">
        <v>0.19935929581885545</v>
      </c>
      <c r="I9211" s="224" t="s">
        <v>2</v>
      </c>
    </row>
    <row r="9212" spans="1:9" x14ac:dyDescent="0.25">
      <c r="A9212" s="515">
        <v>21793</v>
      </c>
      <c r="B9212" s="515" t="s">
        <v>321</v>
      </c>
      <c r="C9212" s="52">
        <v>398834.78884930798</v>
      </c>
      <c r="D9212" s="56">
        <v>3.8737276568460592E-2</v>
      </c>
      <c r="E9212" s="224" t="s">
        <v>2</v>
      </c>
      <c r="F9212" s="515" t="s">
        <v>10414</v>
      </c>
      <c r="G9212" s="52">
        <v>60697.8336761924</v>
      </c>
      <c r="H9212" s="56">
        <v>0.2645885953628474</v>
      </c>
      <c r="I9212" s="224" t="s">
        <v>2</v>
      </c>
    </row>
    <row r="9213" spans="1:9" x14ac:dyDescent="0.25">
      <c r="A9213" s="515">
        <v>66611</v>
      </c>
      <c r="B9213" s="515" t="s">
        <v>549</v>
      </c>
      <c r="C9213" s="52">
        <v>130428.15027005</v>
      </c>
      <c r="D9213" s="56">
        <v>0.10125682446086115</v>
      </c>
      <c r="E9213" s="224">
        <v>901.875</v>
      </c>
      <c r="F9213" s="515" t="s">
        <v>10415</v>
      </c>
      <c r="G9213" s="52">
        <v>281222.02673058398</v>
      </c>
      <c r="H9213" s="56">
        <v>7.7283073726454848E-2</v>
      </c>
      <c r="I9213" s="224" t="s">
        <v>2</v>
      </c>
    </row>
    <row r="9214" spans="1:9" x14ac:dyDescent="0.25">
      <c r="A9214" s="515">
        <v>53572</v>
      </c>
      <c r="B9214" s="515" t="s">
        <v>727</v>
      </c>
      <c r="C9214" s="52">
        <v>385835.68280676502</v>
      </c>
      <c r="D9214" s="56">
        <v>4.4871335195090255E-2</v>
      </c>
      <c r="E9214" s="224" t="s">
        <v>2</v>
      </c>
      <c r="F9214" s="515" t="s">
        <v>10416</v>
      </c>
      <c r="G9214" s="52">
        <v>380496.633674582</v>
      </c>
      <c r="H9214" s="56">
        <v>2.0348107735195731E-2</v>
      </c>
      <c r="I9214" s="224" t="s">
        <v>2</v>
      </c>
    </row>
    <row r="9215" spans="1:9" x14ac:dyDescent="0.25">
      <c r="A9215" s="515">
        <v>39819</v>
      </c>
      <c r="B9215" s="515" t="s">
        <v>1049</v>
      </c>
      <c r="C9215" s="52">
        <v>156783.68453067401</v>
      </c>
      <c r="D9215" s="56">
        <v>0.1058309493978653</v>
      </c>
      <c r="E9215" s="224" t="s">
        <v>2</v>
      </c>
      <c r="F9215" s="515" t="s">
        <v>10417</v>
      </c>
      <c r="G9215" s="52">
        <v>634811.57676362304</v>
      </c>
      <c r="H9215" s="56">
        <v>4.3946837538489499E-2</v>
      </c>
      <c r="I9215" s="224" t="s">
        <v>2</v>
      </c>
    </row>
    <row r="9216" spans="1:9" x14ac:dyDescent="0.25">
      <c r="A9216" s="515">
        <v>38004</v>
      </c>
      <c r="B9216" s="515" t="s">
        <v>951</v>
      </c>
      <c r="C9216" s="52">
        <v>316836.51629607502</v>
      </c>
      <c r="D9216" s="56">
        <v>7.1602335245878973E-2</v>
      </c>
      <c r="E9216" s="224" t="s">
        <v>2</v>
      </c>
      <c r="F9216" s="515" t="s">
        <v>10418</v>
      </c>
      <c r="G9216" s="52">
        <v>250135.58853026599</v>
      </c>
      <c r="H9216" s="56">
        <v>0.12775579877882284</v>
      </c>
      <c r="I9216" s="224" t="s">
        <v>2</v>
      </c>
    </row>
    <row r="9217" spans="1:9" x14ac:dyDescent="0.25">
      <c r="A9217" s="515">
        <v>32333</v>
      </c>
      <c r="B9217" s="515" t="s">
        <v>335</v>
      </c>
      <c r="C9217" s="52">
        <v>243016.53551541199</v>
      </c>
      <c r="D9217" s="56">
        <v>0.13127586649878101</v>
      </c>
      <c r="E9217" s="224" t="s">
        <v>2</v>
      </c>
      <c r="F9217" s="515" t="s">
        <v>10419</v>
      </c>
      <c r="G9217" s="52">
        <v>255893.19102452899</v>
      </c>
      <c r="H9217" s="56">
        <v>6.3320541437530006E-2</v>
      </c>
      <c r="I9217" s="224" t="s">
        <v>2</v>
      </c>
    </row>
    <row r="9218" spans="1:9" x14ac:dyDescent="0.25">
      <c r="A9218" s="515">
        <v>55352</v>
      </c>
      <c r="B9218" s="515" t="s">
        <v>532</v>
      </c>
      <c r="C9218" s="52">
        <v>404855.56054621103</v>
      </c>
      <c r="D9218" s="56">
        <v>3.3544690393453244E-2</v>
      </c>
      <c r="E9218" s="224" t="s">
        <v>2</v>
      </c>
      <c r="F9218" s="515" t="s">
        <v>10420</v>
      </c>
      <c r="G9218" s="52">
        <v>208970.278216957</v>
      </c>
      <c r="H9218" s="56">
        <v>0.11366815976490675</v>
      </c>
      <c r="I9218" s="224" t="s">
        <v>2</v>
      </c>
    </row>
    <row r="9219" spans="1:9" x14ac:dyDescent="0.25">
      <c r="A9219" s="515">
        <v>8244</v>
      </c>
      <c r="B9219" s="515" t="s">
        <v>800</v>
      </c>
      <c r="C9219" s="52">
        <v>318790.20425545401</v>
      </c>
      <c r="D9219" s="56">
        <v>9.7832230046459898E-2</v>
      </c>
      <c r="E9219" s="224">
        <v>1510</v>
      </c>
      <c r="F9219" s="515" t="s">
        <v>10421</v>
      </c>
      <c r="G9219" s="52">
        <v>176935.443162084</v>
      </c>
      <c r="H9219" s="56">
        <v>3.3619072796962482E-2</v>
      </c>
      <c r="I9219" s="224" t="s">
        <v>2</v>
      </c>
    </row>
    <row r="9220" spans="1:9" x14ac:dyDescent="0.25">
      <c r="A9220" s="515">
        <v>49696</v>
      </c>
      <c r="B9220" s="515" t="s">
        <v>366</v>
      </c>
      <c r="C9220" s="52">
        <v>370755.19809058303</v>
      </c>
      <c r="D9220" s="56">
        <v>0.10622899014443547</v>
      </c>
      <c r="E9220" s="224" t="s">
        <v>2</v>
      </c>
      <c r="F9220" s="515" t="s">
        <v>10422</v>
      </c>
      <c r="G9220" s="52">
        <v>296666.70738183003</v>
      </c>
      <c r="H9220" s="56">
        <v>9.5097568790474277E-2</v>
      </c>
      <c r="I9220" s="224" t="s">
        <v>2</v>
      </c>
    </row>
    <row r="9221" spans="1:9" x14ac:dyDescent="0.25">
      <c r="A9221" s="515">
        <v>27958</v>
      </c>
      <c r="B9221" s="515" t="s">
        <v>301</v>
      </c>
      <c r="C9221" s="52">
        <v>445089.77963777701</v>
      </c>
      <c r="D9221" s="56">
        <v>9.6690105417068226E-2</v>
      </c>
      <c r="E9221" s="224" t="s">
        <v>2</v>
      </c>
      <c r="F9221" s="515" t="s">
        <v>10423</v>
      </c>
      <c r="G9221" s="52">
        <v>166223.477101717</v>
      </c>
      <c r="H9221" s="56">
        <v>4.4327161915046431E-2</v>
      </c>
      <c r="I9221" s="224" t="s">
        <v>2</v>
      </c>
    </row>
    <row r="9222" spans="1:9" x14ac:dyDescent="0.25">
      <c r="A9222" s="515">
        <v>38751</v>
      </c>
      <c r="B9222" s="515" t="s">
        <v>976</v>
      </c>
      <c r="C9222" s="52">
        <v>90197.460334611998</v>
      </c>
      <c r="D9222" s="56">
        <v>-7.482993024759553E-2</v>
      </c>
      <c r="E9222" s="224" t="s">
        <v>2</v>
      </c>
      <c r="F9222" s="515" t="s">
        <v>10424</v>
      </c>
      <c r="G9222" s="52">
        <v>345831.060260422</v>
      </c>
      <c r="H9222" s="56">
        <v>7.3263321159578371E-2</v>
      </c>
      <c r="I9222" s="224" t="s">
        <v>2</v>
      </c>
    </row>
    <row r="9223" spans="1:9" x14ac:dyDescent="0.25">
      <c r="A9223" s="515">
        <v>7657</v>
      </c>
      <c r="B9223" s="515" t="s">
        <v>324</v>
      </c>
      <c r="C9223" s="52">
        <v>619631.05055346596</v>
      </c>
      <c r="D9223" s="56">
        <v>4.6069612119651229E-2</v>
      </c>
      <c r="E9223" s="224" t="s">
        <v>2</v>
      </c>
      <c r="F9223" s="515" t="s">
        <v>10425</v>
      </c>
      <c r="G9223" s="52">
        <v>138106.53200655401</v>
      </c>
      <c r="H9223" s="56">
        <v>9.6606635569587276E-2</v>
      </c>
      <c r="I9223" s="224" t="s">
        <v>2</v>
      </c>
    </row>
    <row r="9224" spans="1:9" x14ac:dyDescent="0.25">
      <c r="A9224" s="515">
        <v>94965</v>
      </c>
      <c r="B9224" s="515" t="s">
        <v>593</v>
      </c>
      <c r="C9224" s="52">
        <v>1345722.0885403899</v>
      </c>
      <c r="D9224" s="56">
        <v>-1.5011730448805428E-2</v>
      </c>
      <c r="E9224" s="224">
        <v>3629.1666666666601</v>
      </c>
      <c r="F9224" s="515" t="s">
        <v>10426</v>
      </c>
      <c r="G9224" s="52">
        <v>405935.97888596798</v>
      </c>
      <c r="H9224" s="56">
        <v>9.6557703389747604E-2</v>
      </c>
      <c r="I9224" s="224" t="s">
        <v>2</v>
      </c>
    </row>
    <row r="9225" spans="1:9" x14ac:dyDescent="0.25">
      <c r="A9225" s="515">
        <v>19081</v>
      </c>
      <c r="B9225" s="515" t="s">
        <v>294</v>
      </c>
      <c r="C9225" s="52">
        <v>391666.52987506398</v>
      </c>
      <c r="D9225" s="56">
        <v>8.8438309472729973E-2</v>
      </c>
      <c r="E9225" s="224" t="s">
        <v>2</v>
      </c>
      <c r="F9225" s="515" t="s">
        <v>10427</v>
      </c>
      <c r="G9225" s="52">
        <v>296422.66543913702</v>
      </c>
      <c r="H9225" s="56">
        <v>3.3096642197887632E-2</v>
      </c>
      <c r="I9225" s="224" t="s">
        <v>2</v>
      </c>
    </row>
    <row r="9226" spans="1:9" x14ac:dyDescent="0.25">
      <c r="A9226" s="515">
        <v>75645</v>
      </c>
      <c r="B9226" s="515" t="s">
        <v>319</v>
      </c>
      <c r="C9226" s="52">
        <v>254861.97166273501</v>
      </c>
      <c r="D9226" s="56">
        <v>0.11493447351704425</v>
      </c>
      <c r="E9226" s="224" t="s">
        <v>2</v>
      </c>
      <c r="F9226" s="515" t="s">
        <v>10428</v>
      </c>
      <c r="G9226" s="52">
        <v>292753.77701221098</v>
      </c>
      <c r="H9226" s="56">
        <v>4.5111240402904255E-2</v>
      </c>
      <c r="I9226" s="224" t="s">
        <v>2</v>
      </c>
    </row>
    <row r="9227" spans="1:9" x14ac:dyDescent="0.25">
      <c r="A9227" s="515">
        <v>7821</v>
      </c>
      <c r="B9227" s="515" t="s">
        <v>324</v>
      </c>
      <c r="C9227" s="52">
        <v>405830.60091495799</v>
      </c>
      <c r="D9227" s="56">
        <v>4.9536971192763138E-2</v>
      </c>
      <c r="E9227" s="224" t="s">
        <v>2</v>
      </c>
      <c r="F9227" s="515" t="s">
        <v>10429</v>
      </c>
      <c r="G9227" s="52">
        <v>199535.46047660199</v>
      </c>
      <c r="H9227" s="56">
        <v>7.7877616260503976E-2</v>
      </c>
      <c r="I9227" s="224" t="s">
        <v>2</v>
      </c>
    </row>
    <row r="9228" spans="1:9" x14ac:dyDescent="0.25">
      <c r="A9228" s="515">
        <v>33843</v>
      </c>
      <c r="B9228" s="515" t="s">
        <v>359</v>
      </c>
      <c r="C9228" s="52">
        <v>191938.53264063099</v>
      </c>
      <c r="D9228" s="56">
        <v>0.1948199918100865</v>
      </c>
      <c r="E9228" s="224" t="s">
        <v>2</v>
      </c>
      <c r="F9228" s="515" t="s">
        <v>10430</v>
      </c>
      <c r="G9228" s="52">
        <v>253007.688072766</v>
      </c>
      <c r="H9228" s="56">
        <v>6.3927921999241327E-2</v>
      </c>
      <c r="I9228" s="224" t="s">
        <v>2</v>
      </c>
    </row>
    <row r="9229" spans="1:9" x14ac:dyDescent="0.25">
      <c r="A9229" s="515">
        <v>21911</v>
      </c>
      <c r="B9229" s="515" t="s">
        <v>294</v>
      </c>
      <c r="C9229" s="52">
        <v>325032.43789583398</v>
      </c>
      <c r="D9229" s="56">
        <v>1.9669204319934703E-2</v>
      </c>
      <c r="E9229" s="224" t="s">
        <v>2</v>
      </c>
      <c r="F9229" s="515" t="s">
        <v>10431</v>
      </c>
      <c r="G9229" s="52">
        <v>478619.74172721402</v>
      </c>
      <c r="H9229" s="56">
        <v>8.6737139711746278E-2</v>
      </c>
      <c r="I9229" s="224" t="s">
        <v>2</v>
      </c>
    </row>
    <row r="9230" spans="1:9" x14ac:dyDescent="0.25">
      <c r="A9230" s="515">
        <v>46617</v>
      </c>
      <c r="B9230" s="515" t="s">
        <v>1002</v>
      </c>
      <c r="C9230" s="52">
        <v>234192.64293159201</v>
      </c>
      <c r="D9230" s="56">
        <v>8.5329760289327872E-2</v>
      </c>
      <c r="E9230" s="224">
        <v>1507</v>
      </c>
      <c r="F9230" s="515" t="s">
        <v>10432</v>
      </c>
      <c r="G9230" s="52">
        <v>111580.19455118199</v>
      </c>
      <c r="H9230" s="56">
        <v>0.13598063070184294</v>
      </c>
      <c r="I9230" s="224" t="s">
        <v>2</v>
      </c>
    </row>
    <row r="9231" spans="1:9" x14ac:dyDescent="0.25">
      <c r="A9231" s="515">
        <v>8048</v>
      </c>
      <c r="B9231" s="515" t="s">
        <v>294</v>
      </c>
      <c r="C9231" s="52">
        <v>397504.89073138998</v>
      </c>
      <c r="D9231" s="56">
        <v>8.0761086905308546E-2</v>
      </c>
      <c r="E9231" s="224">
        <v>1710</v>
      </c>
      <c r="F9231" s="515" t="s">
        <v>10433</v>
      </c>
      <c r="G9231" s="52">
        <v>301602.840166507</v>
      </c>
      <c r="H9231" s="56">
        <v>5.7823964375470049E-2</v>
      </c>
      <c r="I9231" s="224" t="s">
        <v>2</v>
      </c>
    </row>
    <row r="9232" spans="1:9" x14ac:dyDescent="0.25">
      <c r="A9232" s="515">
        <v>34690</v>
      </c>
      <c r="B9232" s="515" t="s">
        <v>461</v>
      </c>
      <c r="C9232" s="52">
        <v>221839.67320903501</v>
      </c>
      <c r="D9232" s="56">
        <v>0.13654275857383436</v>
      </c>
      <c r="E9232" s="224">
        <v>1712.3611111111099</v>
      </c>
      <c r="F9232" s="515" t="s">
        <v>10434</v>
      </c>
      <c r="G9232" s="52">
        <v>121520.81209840599</v>
      </c>
      <c r="H9232" s="56">
        <v>2.594096526303023E-3</v>
      </c>
      <c r="I9232" s="224" t="s">
        <v>2</v>
      </c>
    </row>
    <row r="9233" spans="1:9" x14ac:dyDescent="0.25">
      <c r="A9233" s="515">
        <v>77708</v>
      </c>
      <c r="B9233" s="515" t="s">
        <v>492</v>
      </c>
      <c r="C9233" s="52">
        <v>145000.69896377801</v>
      </c>
      <c r="D9233" s="56">
        <v>3.7257815755291412E-2</v>
      </c>
      <c r="E9233" s="224" t="s">
        <v>2</v>
      </c>
      <c r="F9233" s="515" t="s">
        <v>10435</v>
      </c>
      <c r="G9233" s="52">
        <v>134535.75541486699</v>
      </c>
      <c r="H9233" s="56">
        <v>3.3768706193471267E-3</v>
      </c>
      <c r="I9233" s="224" t="s">
        <v>2</v>
      </c>
    </row>
    <row r="9234" spans="1:9" x14ac:dyDescent="0.25">
      <c r="A9234" s="515">
        <v>59860</v>
      </c>
      <c r="C9234" s="52">
        <v>515993.18349899002</v>
      </c>
      <c r="D9234" s="56">
        <v>9.408945666130776E-2</v>
      </c>
      <c r="E9234" s="224" t="s">
        <v>2</v>
      </c>
      <c r="F9234" s="515" t="s">
        <v>10436</v>
      </c>
      <c r="G9234" s="52">
        <v>139058.111891351</v>
      </c>
      <c r="H9234" s="56">
        <v>7.5580578778613294E-2</v>
      </c>
      <c r="I9234" s="224" t="s">
        <v>2</v>
      </c>
    </row>
    <row r="9235" spans="1:9" x14ac:dyDescent="0.25">
      <c r="A9235" s="515">
        <v>45402</v>
      </c>
      <c r="B9235" s="515" t="s">
        <v>340</v>
      </c>
      <c r="C9235" s="52">
        <v>60009.069745595698</v>
      </c>
      <c r="D9235" s="56">
        <v>0.22388678908637993</v>
      </c>
      <c r="E9235" s="224">
        <v>1226</v>
      </c>
      <c r="F9235" s="515" t="s">
        <v>10437</v>
      </c>
      <c r="G9235" s="52">
        <v>590523.59712209401</v>
      </c>
      <c r="H9235" s="56">
        <v>6.6185113029222252E-3</v>
      </c>
      <c r="I9235" s="224" t="s">
        <v>2</v>
      </c>
    </row>
    <row r="9236" spans="1:9" x14ac:dyDescent="0.25">
      <c r="A9236" s="515">
        <v>16354</v>
      </c>
      <c r="B9236" s="515" t="s">
        <v>1042</v>
      </c>
      <c r="C9236" s="52">
        <v>93621.532453619904</v>
      </c>
      <c r="D9236" s="56">
        <v>9.7039262712729946E-2</v>
      </c>
      <c r="E9236" s="224" t="s">
        <v>2</v>
      </c>
      <c r="F9236" s="515" t="s">
        <v>10438</v>
      </c>
      <c r="G9236" s="52">
        <v>323114.054708988</v>
      </c>
      <c r="H9236" s="56">
        <v>4.4357854410317442E-2</v>
      </c>
      <c r="I9236" s="224" t="s">
        <v>2</v>
      </c>
    </row>
    <row r="9237" spans="1:9" x14ac:dyDescent="0.25">
      <c r="A9237" s="515">
        <v>78202</v>
      </c>
      <c r="B9237" s="515" t="s">
        <v>717</v>
      </c>
      <c r="C9237" s="52">
        <v>178390.15956063001</v>
      </c>
      <c r="D9237" s="56">
        <v>0.10128556263169194</v>
      </c>
      <c r="E9237" s="224">
        <v>1435.0777777777701</v>
      </c>
      <c r="F9237" s="515" t="s">
        <v>10439</v>
      </c>
      <c r="G9237" s="52">
        <v>170360.09722222199</v>
      </c>
      <c r="H9237" s="56">
        <v>0</v>
      </c>
      <c r="I9237" s="224" t="s">
        <v>2</v>
      </c>
    </row>
    <row r="9238" spans="1:9" x14ac:dyDescent="0.25">
      <c r="A9238" s="515">
        <v>36274</v>
      </c>
      <c r="C9238" s="52">
        <v>116726.704863341</v>
      </c>
      <c r="D9238" s="56">
        <v>-1.8707508516632491E-2</v>
      </c>
      <c r="E9238" s="224" t="s">
        <v>2</v>
      </c>
      <c r="F9238" s="515" t="s">
        <v>10440</v>
      </c>
      <c r="G9238" s="52">
        <v>110494.785895586</v>
      </c>
      <c r="H9238" s="56">
        <v>0.12453706576651465</v>
      </c>
      <c r="I9238" s="224" t="s">
        <v>2</v>
      </c>
    </row>
    <row r="9239" spans="1:9" x14ac:dyDescent="0.25">
      <c r="A9239" s="515">
        <v>97365</v>
      </c>
      <c r="B9239" s="515" t="s">
        <v>618</v>
      </c>
      <c r="C9239" s="52">
        <v>454960.00559918297</v>
      </c>
      <c r="D9239" s="56">
        <v>3.0597133210029142E-2</v>
      </c>
      <c r="E9239" s="224" t="s">
        <v>2</v>
      </c>
      <c r="F9239" s="515" t="s">
        <v>10441</v>
      </c>
      <c r="G9239" s="52">
        <v>256715.17628107799</v>
      </c>
      <c r="H9239" s="56">
        <v>7.4136734515302505E-2</v>
      </c>
      <c r="I9239" s="224" t="s">
        <v>2</v>
      </c>
    </row>
    <row r="9240" spans="1:9" x14ac:dyDescent="0.25">
      <c r="A9240" s="515">
        <v>18657</v>
      </c>
      <c r="B9240" s="515" t="s">
        <v>512</v>
      </c>
      <c r="C9240" s="52">
        <v>196502.891081362</v>
      </c>
      <c r="D9240" s="56">
        <v>1.8228151557890045E-3</v>
      </c>
      <c r="E9240" s="224" t="s">
        <v>2</v>
      </c>
      <c r="F9240" s="515" t="s">
        <v>10442</v>
      </c>
      <c r="G9240" s="52">
        <v>197859.07395664899</v>
      </c>
      <c r="H9240" s="56">
        <v>0.12078861283653322</v>
      </c>
      <c r="I9240" s="224" t="s">
        <v>2</v>
      </c>
    </row>
    <row r="9241" spans="1:9" x14ac:dyDescent="0.25">
      <c r="A9241" s="515">
        <v>26354</v>
      </c>
      <c r="B9241" s="515" t="s">
        <v>347</v>
      </c>
      <c r="C9241" s="52">
        <v>138168.75553923001</v>
      </c>
      <c r="D9241" s="56">
        <v>8.2525353438024848E-2</v>
      </c>
      <c r="E9241" s="224" t="s">
        <v>2</v>
      </c>
      <c r="F9241" s="515" t="s">
        <v>10443</v>
      </c>
      <c r="G9241" s="52">
        <v>113372.75919426</v>
      </c>
      <c r="H9241" s="56">
        <v>0.2717842050874209</v>
      </c>
      <c r="I9241" s="224" t="s">
        <v>2</v>
      </c>
    </row>
    <row r="9242" spans="1:9" x14ac:dyDescent="0.25">
      <c r="A9242" s="515">
        <v>94925</v>
      </c>
      <c r="B9242" s="515" t="s">
        <v>593</v>
      </c>
      <c r="C9242" s="52">
        <v>1649698.2629416201</v>
      </c>
      <c r="D9242" s="56">
        <v>5.0378196902324417E-2</v>
      </c>
      <c r="E9242" s="224">
        <v>5039.6000000000004</v>
      </c>
      <c r="F9242" s="515" t="s">
        <v>10444</v>
      </c>
      <c r="G9242" s="52">
        <v>466566.18750002701</v>
      </c>
      <c r="H9242" s="56">
        <v>8.0099236554593778E-2</v>
      </c>
      <c r="I9242" s="224">
        <v>2300</v>
      </c>
    </row>
    <row r="9243" spans="1:9" x14ac:dyDescent="0.25">
      <c r="A9243" s="515">
        <v>29510</v>
      </c>
      <c r="B9243" s="515" t="s">
        <v>1197</v>
      </c>
      <c r="C9243" s="52">
        <v>128689.36961293699</v>
      </c>
      <c r="D9243" s="56">
        <v>0.10633576838145545</v>
      </c>
      <c r="E9243" s="224" t="s">
        <v>2</v>
      </c>
      <c r="F9243" s="515" t="s">
        <v>10445</v>
      </c>
      <c r="G9243" s="52">
        <v>125057.640782783</v>
      </c>
      <c r="H9243" s="56">
        <v>0.23527069493549557</v>
      </c>
      <c r="I9243" s="224" t="s">
        <v>2</v>
      </c>
    </row>
    <row r="9244" spans="1:9" x14ac:dyDescent="0.25">
      <c r="A9244" s="515">
        <v>41129</v>
      </c>
      <c r="B9244" s="515" t="s">
        <v>602</v>
      </c>
      <c r="C9244" s="52">
        <v>136865.22322319099</v>
      </c>
      <c r="D9244" s="56">
        <v>0.17181320978572145</v>
      </c>
      <c r="E9244" s="224" t="s">
        <v>2</v>
      </c>
      <c r="F9244" s="515" t="s">
        <v>10446</v>
      </c>
      <c r="G9244" s="52">
        <v>188607.26455765899</v>
      </c>
      <c r="H9244" s="56">
        <v>0.1561437442323074</v>
      </c>
      <c r="I9244" s="224" t="s">
        <v>2</v>
      </c>
    </row>
    <row r="9245" spans="1:9" x14ac:dyDescent="0.25">
      <c r="A9245" s="515">
        <v>77565</v>
      </c>
      <c r="B9245" s="515" t="s">
        <v>314</v>
      </c>
      <c r="C9245" s="52">
        <v>374344.88675936899</v>
      </c>
      <c r="D9245" s="56">
        <v>4.5808876166622395E-2</v>
      </c>
      <c r="E9245" s="224">
        <v>1454.75555555555</v>
      </c>
      <c r="F9245" s="515" t="s">
        <v>10447</v>
      </c>
      <c r="G9245" s="52">
        <v>701770.36968251597</v>
      </c>
      <c r="H9245" s="56">
        <v>5.087843602446393E-2</v>
      </c>
      <c r="I9245" s="224" t="s">
        <v>2</v>
      </c>
    </row>
    <row r="9246" spans="1:9" x14ac:dyDescent="0.25">
      <c r="A9246" s="515">
        <v>27828</v>
      </c>
      <c r="B9246" s="515" t="s">
        <v>1101</v>
      </c>
      <c r="C9246" s="52">
        <v>177358.24169174</v>
      </c>
      <c r="D9246" s="56">
        <v>0.16485772796721307</v>
      </c>
      <c r="E9246" s="224" t="s">
        <v>2</v>
      </c>
      <c r="F9246" s="515" t="s">
        <v>10448</v>
      </c>
      <c r="G9246" s="52">
        <v>159981.62376595399</v>
      </c>
      <c r="H9246" s="56">
        <v>7.4672745040746877E-2</v>
      </c>
      <c r="I9246" s="224" t="s">
        <v>2</v>
      </c>
    </row>
    <row r="9247" spans="1:9" x14ac:dyDescent="0.25">
      <c r="A9247" s="515">
        <v>17319</v>
      </c>
      <c r="B9247" s="515" t="s">
        <v>509</v>
      </c>
      <c r="C9247" s="52">
        <v>256512.43389746701</v>
      </c>
      <c r="D9247" s="56">
        <v>9.1894234122183144E-2</v>
      </c>
      <c r="E9247" s="224" t="s">
        <v>2</v>
      </c>
      <c r="F9247" s="515" t="s">
        <v>10449</v>
      </c>
      <c r="G9247" s="52">
        <v>99487.188390662806</v>
      </c>
      <c r="H9247" s="56">
        <v>4.955684741384174E-2</v>
      </c>
      <c r="I9247" s="224" t="s">
        <v>2</v>
      </c>
    </row>
    <row r="9248" spans="1:9" x14ac:dyDescent="0.25">
      <c r="A9248" s="515">
        <v>28621</v>
      </c>
      <c r="B9248" s="515" t="s">
        <v>1046</v>
      </c>
      <c r="C9248" s="52">
        <v>184728.95857101501</v>
      </c>
      <c r="D9248" s="56">
        <v>0.11421987314449145</v>
      </c>
      <c r="E9248" s="224" t="s">
        <v>2</v>
      </c>
      <c r="F9248" s="515" t="s">
        <v>10450</v>
      </c>
      <c r="G9248" s="52">
        <v>175680.564903697</v>
      </c>
      <c r="H9248" s="56">
        <v>0.14644164711335766</v>
      </c>
      <c r="I9248" s="224" t="s">
        <v>2</v>
      </c>
    </row>
    <row r="9249" spans="1:9" x14ac:dyDescent="0.25">
      <c r="A9249" s="515">
        <v>7512</v>
      </c>
      <c r="B9249" s="515" t="s">
        <v>324</v>
      </c>
      <c r="C9249" s="52">
        <v>513259.01462891698</v>
      </c>
      <c r="D9249" s="56">
        <v>4.266921476018478E-2</v>
      </c>
      <c r="E9249" s="224" t="s">
        <v>2</v>
      </c>
      <c r="F9249" s="515" t="s">
        <v>10451</v>
      </c>
      <c r="G9249" s="52">
        <v>191019.00637897299</v>
      </c>
      <c r="H9249" s="56">
        <v>4.3093983632458477E-2</v>
      </c>
      <c r="I9249" s="224" t="s">
        <v>2</v>
      </c>
    </row>
    <row r="9250" spans="1:9" x14ac:dyDescent="0.25">
      <c r="A9250" s="515">
        <v>82435</v>
      </c>
      <c r="C9250" s="52">
        <v>359019.30697406502</v>
      </c>
      <c r="D9250" s="56">
        <v>8.1357317121004191E-2</v>
      </c>
      <c r="E9250" s="224" t="s">
        <v>2</v>
      </c>
      <c r="F9250" s="515" t="s">
        <v>10452</v>
      </c>
      <c r="G9250" s="52">
        <v>236271.75332601601</v>
      </c>
      <c r="H9250" s="56">
        <v>6.320763205598226E-2</v>
      </c>
      <c r="I9250" s="224" t="s">
        <v>2</v>
      </c>
    </row>
    <row r="9251" spans="1:9" x14ac:dyDescent="0.25">
      <c r="A9251" s="515">
        <v>84337</v>
      </c>
      <c r="B9251" s="515" t="s">
        <v>628</v>
      </c>
      <c r="C9251" s="52">
        <v>398959.36484264297</v>
      </c>
      <c r="D9251" s="56">
        <v>3.7232518951664233E-2</v>
      </c>
      <c r="E9251" s="224" t="s">
        <v>2</v>
      </c>
      <c r="F9251" s="515" t="s">
        <v>10453</v>
      </c>
      <c r="G9251" s="52">
        <v>510122.28227309702</v>
      </c>
      <c r="H9251" s="56">
        <v>3.2158180363616493E-2</v>
      </c>
      <c r="I9251" s="224" t="s">
        <v>2</v>
      </c>
    </row>
    <row r="9252" spans="1:9" x14ac:dyDescent="0.25">
      <c r="A9252" s="515">
        <v>41144</v>
      </c>
      <c r="B9252" s="515" t="s">
        <v>602</v>
      </c>
      <c r="C9252" s="52">
        <v>110868.276754331</v>
      </c>
      <c r="D9252" s="56">
        <v>8.0441692143283242E-2</v>
      </c>
      <c r="E9252" s="224" t="s">
        <v>2</v>
      </c>
      <c r="F9252" s="515" t="s">
        <v>10454</v>
      </c>
      <c r="G9252" s="52">
        <v>184681.04283521601</v>
      </c>
      <c r="H9252" s="56">
        <v>7.138127460493604E-2</v>
      </c>
      <c r="I9252" s="224" t="s">
        <v>2</v>
      </c>
    </row>
    <row r="9253" spans="1:9" x14ac:dyDescent="0.25">
      <c r="A9253" s="515">
        <v>62960</v>
      </c>
      <c r="B9253" s="515" t="s">
        <v>846</v>
      </c>
      <c r="C9253" s="52">
        <v>83720.925034789398</v>
      </c>
      <c r="D9253" s="56">
        <v>3.7058209817900763E-2</v>
      </c>
      <c r="E9253" s="224" t="s">
        <v>2</v>
      </c>
      <c r="F9253" s="515" t="s">
        <v>10455</v>
      </c>
      <c r="G9253" s="52">
        <v>270751.03380927001</v>
      </c>
      <c r="H9253" s="56">
        <v>7.4877325044296519E-2</v>
      </c>
      <c r="I9253" s="224" t="s">
        <v>2</v>
      </c>
    </row>
    <row r="9254" spans="1:9" x14ac:dyDescent="0.25">
      <c r="A9254" s="515">
        <v>76657</v>
      </c>
      <c r="B9254" s="515" t="s">
        <v>1057</v>
      </c>
      <c r="C9254" s="52">
        <v>315237.10679047997</v>
      </c>
      <c r="D9254" s="56">
        <v>7.8620864401079835E-2</v>
      </c>
      <c r="E9254" s="224" t="s">
        <v>2</v>
      </c>
      <c r="F9254" s="515" t="s">
        <v>10456</v>
      </c>
      <c r="G9254" s="52">
        <v>341407.45545852999</v>
      </c>
      <c r="H9254" s="56">
        <v>0.11128777235565854</v>
      </c>
      <c r="I9254" s="224" t="s">
        <v>2</v>
      </c>
    </row>
    <row r="9255" spans="1:9" x14ac:dyDescent="0.25">
      <c r="A9255" s="515">
        <v>85344</v>
      </c>
      <c r="C9255" s="52">
        <v>369656.41984771902</v>
      </c>
      <c r="D9255" s="56">
        <v>5.6369843456499993E-2</v>
      </c>
      <c r="E9255" s="224" t="s">
        <v>2</v>
      </c>
      <c r="F9255" s="515" t="s">
        <v>10457</v>
      </c>
      <c r="G9255" s="52">
        <v>159796.55372504701</v>
      </c>
      <c r="H9255" s="56">
        <v>0.20111410013164885</v>
      </c>
      <c r="I9255" s="224" t="s">
        <v>2</v>
      </c>
    </row>
    <row r="9256" spans="1:9" x14ac:dyDescent="0.25">
      <c r="A9256" s="515">
        <v>44114</v>
      </c>
      <c r="B9256" s="515" t="s">
        <v>520</v>
      </c>
      <c r="C9256" s="52">
        <v>196702.15646312301</v>
      </c>
      <c r="D9256" s="56">
        <v>0.10545560777092626</v>
      </c>
      <c r="E9256" s="224" t="s">
        <v>2</v>
      </c>
      <c r="F9256" s="515" t="s">
        <v>10458</v>
      </c>
      <c r="G9256" s="52">
        <v>110364.70157267799</v>
      </c>
      <c r="H9256" s="56">
        <v>6.0687415464086431E-2</v>
      </c>
      <c r="I9256" s="224" t="s">
        <v>2</v>
      </c>
    </row>
    <row r="9257" spans="1:9" x14ac:dyDescent="0.25">
      <c r="A9257" s="515">
        <v>66086</v>
      </c>
      <c r="B9257" s="515" t="s">
        <v>455</v>
      </c>
      <c r="C9257" s="52">
        <v>320517.13017964503</v>
      </c>
      <c r="D9257" s="56">
        <v>8.1074750580556076E-2</v>
      </c>
      <c r="E9257" s="224" t="s">
        <v>2</v>
      </c>
      <c r="F9257" s="515" t="s">
        <v>10459</v>
      </c>
      <c r="G9257" s="52">
        <v>771067.30452666001</v>
      </c>
      <c r="H9257" s="56">
        <v>5.2838642540697957E-2</v>
      </c>
      <c r="I9257" s="224" t="s">
        <v>2</v>
      </c>
    </row>
    <row r="9258" spans="1:9" x14ac:dyDescent="0.25">
      <c r="A9258" s="515">
        <v>49457</v>
      </c>
      <c r="B9258" s="515" t="s">
        <v>943</v>
      </c>
      <c r="C9258" s="52">
        <v>221797.59847459701</v>
      </c>
      <c r="D9258" s="56">
        <v>6.5143127596291414E-2</v>
      </c>
      <c r="E9258" s="224" t="s">
        <v>2</v>
      </c>
      <c r="F9258" s="515" t="s">
        <v>10460</v>
      </c>
      <c r="G9258" s="52">
        <v>255721.90152019201</v>
      </c>
      <c r="H9258" s="56">
        <v>5.6166710103504221E-2</v>
      </c>
      <c r="I9258" s="224" t="s">
        <v>2</v>
      </c>
    </row>
    <row r="9259" spans="1:9" x14ac:dyDescent="0.25">
      <c r="A9259" s="515">
        <v>75054</v>
      </c>
      <c r="B9259" s="515" t="s">
        <v>458</v>
      </c>
      <c r="C9259" s="52">
        <v>498893.82859521802</v>
      </c>
      <c r="D9259" s="56">
        <v>5.4700471274823838E-2</v>
      </c>
      <c r="E9259" s="224">
        <v>2663.3333333333298</v>
      </c>
      <c r="F9259" s="515" t="s">
        <v>10461</v>
      </c>
      <c r="G9259" s="52">
        <v>224940.20150002401</v>
      </c>
      <c r="H9259" s="56">
        <v>4.0298714474368343E-2</v>
      </c>
      <c r="I9259" s="224" t="s">
        <v>2</v>
      </c>
    </row>
    <row r="9260" spans="1:9" x14ac:dyDescent="0.25">
      <c r="A9260" s="515">
        <v>75428</v>
      </c>
      <c r="B9260" s="515" t="s">
        <v>458</v>
      </c>
      <c r="C9260" s="52">
        <v>192475.34914855199</v>
      </c>
      <c r="D9260" s="56">
        <v>8.0795011299242464E-2</v>
      </c>
      <c r="E9260" s="224" t="s">
        <v>2</v>
      </c>
      <c r="F9260" s="515" t="s">
        <v>10462</v>
      </c>
      <c r="G9260" s="52">
        <v>108888.125431241</v>
      </c>
      <c r="H9260" s="56">
        <v>1.2015806202972172E-2</v>
      </c>
      <c r="I9260" s="224" t="s">
        <v>2</v>
      </c>
    </row>
    <row r="9261" spans="1:9" x14ac:dyDescent="0.25">
      <c r="A9261" s="515">
        <v>55454</v>
      </c>
      <c r="B9261" s="515" t="s">
        <v>532</v>
      </c>
      <c r="C9261" s="52">
        <v>169513.45424022901</v>
      </c>
      <c r="D9261" s="56">
        <v>7.0774650049840182E-4</v>
      </c>
      <c r="E9261" s="224" t="s">
        <v>2</v>
      </c>
      <c r="F9261" s="515" t="s">
        <v>10463</v>
      </c>
      <c r="G9261" s="52">
        <v>271538.809111004</v>
      </c>
      <c r="H9261" s="56">
        <v>8.3906066171821281E-2</v>
      </c>
      <c r="I9261" s="224" t="s">
        <v>2</v>
      </c>
    </row>
    <row r="9262" spans="1:9" x14ac:dyDescent="0.25">
      <c r="A9262" s="515">
        <v>29691</v>
      </c>
      <c r="B9262" s="515" t="s">
        <v>804</v>
      </c>
      <c r="C9262" s="52">
        <v>195988.204850176</v>
      </c>
      <c r="D9262" s="56">
        <v>0.16520778462154381</v>
      </c>
      <c r="E9262" s="224" t="s">
        <v>2</v>
      </c>
      <c r="F9262" s="515" t="s">
        <v>10464</v>
      </c>
      <c r="G9262" s="52">
        <v>256605.152039293</v>
      </c>
      <c r="H9262" s="56">
        <v>7.270216483930185E-2</v>
      </c>
      <c r="I9262" s="224" t="s">
        <v>2</v>
      </c>
    </row>
    <row r="9263" spans="1:9" x14ac:dyDescent="0.25">
      <c r="A9263" s="515">
        <v>2375</v>
      </c>
      <c r="B9263" s="515" t="s">
        <v>513</v>
      </c>
      <c r="C9263" s="52">
        <v>519776.87338846899</v>
      </c>
      <c r="D9263" s="56">
        <v>9.1163390840878614E-2</v>
      </c>
      <c r="E9263" s="224" t="s">
        <v>2</v>
      </c>
      <c r="F9263" s="515" t="s">
        <v>10465</v>
      </c>
      <c r="G9263" s="52">
        <v>184663.480874022</v>
      </c>
      <c r="H9263" s="56">
        <v>3.6527053657460146E-2</v>
      </c>
      <c r="I9263" s="224" t="s">
        <v>2</v>
      </c>
    </row>
    <row r="9264" spans="1:9" x14ac:dyDescent="0.25">
      <c r="A9264" s="515">
        <v>29010</v>
      </c>
      <c r="C9264" s="52">
        <v>110591.51304145</v>
      </c>
      <c r="D9264" s="56">
        <v>-6.7129263068050086E-3</v>
      </c>
      <c r="E9264" s="224" t="s">
        <v>2</v>
      </c>
      <c r="F9264" s="515" t="s">
        <v>10466</v>
      </c>
      <c r="G9264" s="52">
        <v>162556.45386332899</v>
      </c>
      <c r="H9264" s="56">
        <v>0.14477932630354448</v>
      </c>
      <c r="I9264" s="224" t="s">
        <v>2</v>
      </c>
    </row>
    <row r="9265" spans="1:9" x14ac:dyDescent="0.25">
      <c r="A9265" s="515">
        <v>37840</v>
      </c>
      <c r="B9265" s="515" t="s">
        <v>907</v>
      </c>
      <c r="C9265" s="52">
        <v>191711.29261396301</v>
      </c>
      <c r="D9265" s="56">
        <v>9.9849933464046456E-2</v>
      </c>
      <c r="E9265" s="224" t="s">
        <v>2</v>
      </c>
      <c r="F9265" s="515" t="s">
        <v>10467</v>
      </c>
      <c r="G9265" s="52">
        <v>275659.730590133</v>
      </c>
      <c r="H9265" s="56">
        <v>5.6409498699712297E-2</v>
      </c>
      <c r="I9265" s="224" t="s">
        <v>2</v>
      </c>
    </row>
    <row r="9266" spans="1:9" x14ac:dyDescent="0.25">
      <c r="A9266" s="515">
        <v>99320</v>
      </c>
      <c r="B9266" s="515" t="s">
        <v>1068</v>
      </c>
      <c r="C9266" s="52">
        <v>371574.36755394301</v>
      </c>
      <c r="D9266" s="56">
        <v>6.5175260994852643E-2</v>
      </c>
      <c r="E9266" s="224" t="s">
        <v>2</v>
      </c>
      <c r="F9266" s="515" t="s">
        <v>10468</v>
      </c>
      <c r="G9266" s="52">
        <v>61676.3719667849</v>
      </c>
      <c r="H9266" s="56">
        <v>0.12644552647016949</v>
      </c>
      <c r="I9266" s="224" t="s">
        <v>2</v>
      </c>
    </row>
    <row r="9267" spans="1:9" x14ac:dyDescent="0.25">
      <c r="A9267" s="515">
        <v>39170</v>
      </c>
      <c r="B9267" s="515" t="s">
        <v>851</v>
      </c>
      <c r="C9267" s="52">
        <v>220109.65942592599</v>
      </c>
      <c r="D9267" s="56">
        <v>6.6861651064453548E-2</v>
      </c>
      <c r="E9267" s="224" t="s">
        <v>2</v>
      </c>
      <c r="F9267" s="515" t="s">
        <v>10469</v>
      </c>
      <c r="G9267" s="52">
        <v>212981.13116314801</v>
      </c>
      <c r="H9267" s="56">
        <v>7.4520771710197414E-2</v>
      </c>
      <c r="I9267" s="224" t="s">
        <v>2</v>
      </c>
    </row>
    <row r="9268" spans="1:9" x14ac:dyDescent="0.25">
      <c r="A9268" s="515">
        <v>72112</v>
      </c>
      <c r="C9268" s="52">
        <v>75279.668151090897</v>
      </c>
      <c r="D9268" s="56">
        <v>-1.830608553869241E-2</v>
      </c>
      <c r="E9268" s="224" t="s">
        <v>2</v>
      </c>
      <c r="F9268" s="515" t="s">
        <v>10470</v>
      </c>
      <c r="G9268" s="52">
        <v>137023.262179893</v>
      </c>
      <c r="H9268" s="56">
        <v>4.2172135506385829E-2</v>
      </c>
      <c r="I9268" s="224" t="s">
        <v>2</v>
      </c>
    </row>
    <row r="9269" spans="1:9" x14ac:dyDescent="0.25">
      <c r="A9269" s="515">
        <v>73051</v>
      </c>
      <c r="B9269" s="515" t="s">
        <v>385</v>
      </c>
      <c r="C9269" s="52">
        <v>161674.51057358601</v>
      </c>
      <c r="D9269" s="56">
        <v>7.0142953142591002E-2</v>
      </c>
      <c r="E9269" s="224" t="s">
        <v>2</v>
      </c>
      <c r="F9269" s="515" t="s">
        <v>10471</v>
      </c>
      <c r="G9269" s="52">
        <v>273224.26175337302</v>
      </c>
      <c r="H9269" s="56">
        <v>5.4630699840928144E-2</v>
      </c>
      <c r="I9269" s="224" t="s">
        <v>2</v>
      </c>
    </row>
    <row r="9270" spans="1:9" x14ac:dyDescent="0.25">
      <c r="A9270" s="515">
        <v>7722</v>
      </c>
      <c r="B9270" s="515" t="s">
        <v>324</v>
      </c>
      <c r="C9270" s="52">
        <v>984033.59589712205</v>
      </c>
      <c r="D9270" s="56">
        <v>8.4608684810629817E-2</v>
      </c>
      <c r="E9270" s="224" t="s">
        <v>2</v>
      </c>
      <c r="F9270" s="515" t="s">
        <v>10472</v>
      </c>
      <c r="G9270" s="52">
        <v>230946.53154299699</v>
      </c>
      <c r="H9270" s="56">
        <v>8.8005897088066526E-2</v>
      </c>
      <c r="I9270" s="224" t="s">
        <v>2</v>
      </c>
    </row>
    <row r="9271" spans="1:9" x14ac:dyDescent="0.25">
      <c r="A9271" s="515">
        <v>33931</v>
      </c>
      <c r="B9271" s="515" t="s">
        <v>661</v>
      </c>
      <c r="C9271" s="52">
        <v>660850.02143429604</v>
      </c>
      <c r="D9271" s="56">
        <v>0.13057825207536611</v>
      </c>
      <c r="E9271" s="224" t="s">
        <v>2</v>
      </c>
      <c r="F9271" s="515" t="s">
        <v>10473</v>
      </c>
      <c r="G9271" s="52">
        <v>101542.585109662</v>
      </c>
      <c r="H9271" s="56">
        <v>2.1758191632973569E-2</v>
      </c>
      <c r="I9271" s="224" t="s">
        <v>2</v>
      </c>
    </row>
    <row r="9272" spans="1:9" x14ac:dyDescent="0.25">
      <c r="A9272" s="515">
        <v>36093</v>
      </c>
      <c r="B9272" s="515" t="s">
        <v>806</v>
      </c>
      <c r="C9272" s="52">
        <v>288216.00838622602</v>
      </c>
      <c r="D9272" s="56">
        <v>6.9412699165339112E-2</v>
      </c>
      <c r="E9272" s="224" t="s">
        <v>2</v>
      </c>
      <c r="F9272" s="515" t="s">
        <v>10474</v>
      </c>
      <c r="G9272" s="52">
        <v>111841.16829831</v>
      </c>
      <c r="H9272" s="56">
        <v>7.528322875666979E-2</v>
      </c>
      <c r="I9272" s="224" t="s">
        <v>2</v>
      </c>
    </row>
    <row r="9273" spans="1:9" x14ac:dyDescent="0.25">
      <c r="A9273" s="515">
        <v>82240</v>
      </c>
      <c r="C9273" s="52">
        <v>209326.83178709599</v>
      </c>
      <c r="D9273" s="56">
        <v>9.3176875592800884E-2</v>
      </c>
      <c r="E9273" s="224" t="s">
        <v>2</v>
      </c>
      <c r="F9273" s="515" t="s">
        <v>10475</v>
      </c>
      <c r="G9273" s="52">
        <v>109399.733126117</v>
      </c>
      <c r="H9273" s="56">
        <v>-9.5019601993488259E-2</v>
      </c>
      <c r="I9273" s="224" t="s">
        <v>2</v>
      </c>
    </row>
    <row r="9274" spans="1:9" x14ac:dyDescent="0.25">
      <c r="A9274" s="515">
        <v>81006</v>
      </c>
      <c r="B9274" s="515" t="s">
        <v>1003</v>
      </c>
      <c r="C9274" s="52">
        <v>324203.67815386603</v>
      </c>
      <c r="D9274" s="56">
        <v>4.1928003073284509E-2</v>
      </c>
      <c r="E9274" s="224" t="s">
        <v>2</v>
      </c>
      <c r="F9274" s="515" t="s">
        <v>10476</v>
      </c>
      <c r="G9274" s="52">
        <v>437882.29780338297</v>
      </c>
      <c r="H9274" s="56">
        <v>5.2242796930827583E-2</v>
      </c>
      <c r="I9274" s="224" t="s">
        <v>2</v>
      </c>
    </row>
    <row r="9275" spans="1:9" x14ac:dyDescent="0.25">
      <c r="A9275" s="515">
        <v>15207</v>
      </c>
      <c r="B9275" s="515" t="s">
        <v>297</v>
      </c>
      <c r="C9275" s="52">
        <v>134230.89871099201</v>
      </c>
      <c r="D9275" s="56">
        <v>0.10912772362102349</v>
      </c>
      <c r="E9275" s="224">
        <v>1129.2916666666599</v>
      </c>
      <c r="F9275" s="515" t="s">
        <v>10477</v>
      </c>
      <c r="G9275" s="52">
        <v>856862.27563838696</v>
      </c>
      <c r="H9275" s="56">
        <v>5.083488606714457E-2</v>
      </c>
      <c r="I9275" s="224" t="s">
        <v>2</v>
      </c>
    </row>
    <row r="9276" spans="1:9" x14ac:dyDescent="0.25">
      <c r="A9276" s="515">
        <v>27298</v>
      </c>
      <c r="B9276" s="515" t="s">
        <v>1148</v>
      </c>
      <c r="C9276" s="52">
        <v>215608.78491919799</v>
      </c>
      <c r="D9276" s="56">
        <v>0.12551679255526269</v>
      </c>
      <c r="E9276" s="224" t="s">
        <v>2</v>
      </c>
      <c r="F9276" s="515" t="s">
        <v>10478</v>
      </c>
      <c r="G9276" s="52">
        <v>171701.29926774901</v>
      </c>
      <c r="H9276" s="56">
        <v>-5.6221026085793088E-2</v>
      </c>
      <c r="I9276" s="224" t="s">
        <v>2</v>
      </c>
    </row>
    <row r="9277" spans="1:9" x14ac:dyDescent="0.25">
      <c r="A9277" s="515">
        <v>74126</v>
      </c>
      <c r="B9277" s="515" t="s">
        <v>348</v>
      </c>
      <c r="C9277" s="52">
        <v>65742.720053469006</v>
      </c>
      <c r="D9277" s="56">
        <v>0.11604586002288253</v>
      </c>
      <c r="E9277" s="224">
        <v>936.11111111111097</v>
      </c>
      <c r="F9277" s="515" t="s">
        <v>10479</v>
      </c>
      <c r="G9277" s="52">
        <v>111447.96952908501</v>
      </c>
      <c r="H9277" s="56">
        <v>0</v>
      </c>
      <c r="I9277" s="224" t="s">
        <v>2</v>
      </c>
    </row>
    <row r="9278" spans="1:9" x14ac:dyDescent="0.25">
      <c r="A9278" s="515">
        <v>15902</v>
      </c>
      <c r="B9278" s="515" t="s">
        <v>828</v>
      </c>
      <c r="C9278" s="52">
        <v>50004.839363455401</v>
      </c>
      <c r="D9278" s="56">
        <v>5.9059688319196654E-2</v>
      </c>
      <c r="E9278" s="224" t="s">
        <v>2</v>
      </c>
      <c r="F9278" s="515" t="s">
        <v>10480</v>
      </c>
      <c r="G9278" s="52">
        <v>156193.57169222599</v>
      </c>
      <c r="H9278" s="56">
        <v>6.9013573293762676E-2</v>
      </c>
      <c r="I9278" s="224" t="s">
        <v>2</v>
      </c>
    </row>
    <row r="9279" spans="1:9" x14ac:dyDescent="0.25">
      <c r="A9279" s="515">
        <v>63012</v>
      </c>
      <c r="B9279" s="515" t="s">
        <v>498</v>
      </c>
      <c r="C9279" s="52">
        <v>228461.778757458</v>
      </c>
      <c r="D9279" s="56">
        <v>3.4564117483594108E-2</v>
      </c>
      <c r="E9279" s="224" t="s">
        <v>2</v>
      </c>
      <c r="F9279" s="515" t="s">
        <v>10481</v>
      </c>
      <c r="G9279" s="52">
        <v>323618.52463382698</v>
      </c>
      <c r="H9279" s="56">
        <v>7.8341242994017776E-2</v>
      </c>
      <c r="I9279" s="224" t="s">
        <v>2</v>
      </c>
    </row>
    <row r="9280" spans="1:9" x14ac:dyDescent="0.25">
      <c r="A9280" s="515">
        <v>41035</v>
      </c>
      <c r="B9280" s="515" t="s">
        <v>344</v>
      </c>
      <c r="C9280" s="52">
        <v>220798.193558573</v>
      </c>
      <c r="D9280" s="56">
        <v>8.2012508563077027E-2</v>
      </c>
      <c r="E9280" s="224" t="s">
        <v>2</v>
      </c>
      <c r="F9280" s="515" t="s">
        <v>10482</v>
      </c>
      <c r="G9280" s="52">
        <v>268909.74643392599</v>
      </c>
      <c r="H9280" s="56">
        <v>7.4226586698899547E-2</v>
      </c>
      <c r="I9280" s="224" t="s">
        <v>2</v>
      </c>
    </row>
    <row r="9281" spans="1:9" x14ac:dyDescent="0.25">
      <c r="A9281" s="515">
        <v>68007</v>
      </c>
      <c r="B9281" s="515" t="s">
        <v>367</v>
      </c>
      <c r="C9281" s="52">
        <v>388793.39091577602</v>
      </c>
      <c r="D9281" s="56">
        <v>7.3752387204521416E-2</v>
      </c>
      <c r="E9281" s="224" t="s">
        <v>2</v>
      </c>
      <c r="F9281" s="515" t="s">
        <v>10483</v>
      </c>
      <c r="G9281" s="52">
        <v>408083.79009130399</v>
      </c>
      <c r="H9281" s="56">
        <v>4.5752394660153343E-2</v>
      </c>
      <c r="I9281" s="224" t="s">
        <v>2</v>
      </c>
    </row>
    <row r="9282" spans="1:9" x14ac:dyDescent="0.25">
      <c r="A9282" s="515">
        <v>18073</v>
      </c>
      <c r="B9282" s="515" t="s">
        <v>294</v>
      </c>
      <c r="C9282" s="52">
        <v>357792.66255469498</v>
      </c>
      <c r="D9282" s="56">
        <v>9.0699344461854028E-2</v>
      </c>
      <c r="E9282" s="224" t="s">
        <v>2</v>
      </c>
      <c r="F9282" s="515" t="s">
        <v>10484</v>
      </c>
      <c r="G9282" s="52">
        <v>276339.94521527702</v>
      </c>
      <c r="H9282" s="56">
        <v>0.10683194726156732</v>
      </c>
      <c r="I9282" s="224" t="s">
        <v>2</v>
      </c>
    </row>
    <row r="9283" spans="1:9" x14ac:dyDescent="0.25">
      <c r="A9283" s="515">
        <v>39272</v>
      </c>
      <c r="B9283" s="515" t="s">
        <v>851</v>
      </c>
      <c r="C9283" s="52">
        <v>188807.295867315</v>
      </c>
      <c r="D9283" s="56">
        <v>8.7886874553845279E-2</v>
      </c>
      <c r="E9283" s="224" t="s">
        <v>2</v>
      </c>
      <c r="F9283" s="515" t="s">
        <v>10485</v>
      </c>
      <c r="G9283" s="52">
        <v>387450.03116766701</v>
      </c>
      <c r="H9283" s="56">
        <v>8.4537743271413626E-2</v>
      </c>
      <c r="I9283" s="224" t="s">
        <v>2</v>
      </c>
    </row>
    <row r="9284" spans="1:9" x14ac:dyDescent="0.25">
      <c r="A9284" s="515">
        <v>93109</v>
      </c>
      <c r="B9284" s="515" t="s">
        <v>847</v>
      </c>
      <c r="C9284" s="52">
        <v>1941297.2679812999</v>
      </c>
      <c r="D9284" s="56">
        <v>9.2025016539429599E-2</v>
      </c>
      <c r="E9284" s="224">
        <v>4325</v>
      </c>
      <c r="F9284" s="515" t="s">
        <v>10486</v>
      </c>
      <c r="G9284" s="52">
        <v>316554.17439272901</v>
      </c>
      <c r="H9284" s="56">
        <v>5.9051959992122406E-2</v>
      </c>
      <c r="I9284" s="224" t="s">
        <v>2</v>
      </c>
    </row>
    <row r="9285" spans="1:9" x14ac:dyDescent="0.25">
      <c r="A9285" s="515">
        <v>25312</v>
      </c>
      <c r="B9285" s="515" t="s">
        <v>322</v>
      </c>
      <c r="C9285" s="52">
        <v>145586.969485498</v>
      </c>
      <c r="D9285" s="56">
        <v>6.8838564960825743E-2</v>
      </c>
      <c r="E9285" s="224" t="s">
        <v>2</v>
      </c>
      <c r="F9285" s="515" t="s">
        <v>10487</v>
      </c>
      <c r="G9285" s="52">
        <v>167094.51671078999</v>
      </c>
      <c r="H9285" s="56">
        <v>6.996764592210733E-2</v>
      </c>
      <c r="I9285" s="224" t="s">
        <v>2</v>
      </c>
    </row>
    <row r="9286" spans="1:9" x14ac:dyDescent="0.25">
      <c r="A9286" s="515">
        <v>43953</v>
      </c>
      <c r="B9286" s="515" t="s">
        <v>389</v>
      </c>
      <c r="C9286" s="52">
        <v>151523.99200070201</v>
      </c>
      <c r="D9286" s="56">
        <v>5.0318171236751662E-2</v>
      </c>
      <c r="E9286" s="224" t="s">
        <v>2</v>
      </c>
      <c r="F9286" s="515" t="s">
        <v>10488</v>
      </c>
      <c r="G9286" s="52">
        <v>212634.61234757199</v>
      </c>
      <c r="H9286" s="56">
        <v>4.195060562727139E-2</v>
      </c>
      <c r="I9286" s="224" t="s">
        <v>2</v>
      </c>
    </row>
    <row r="9287" spans="1:9" x14ac:dyDescent="0.25">
      <c r="A9287" s="515">
        <v>21787</v>
      </c>
      <c r="B9287" s="515" t="s">
        <v>582</v>
      </c>
      <c r="C9287" s="52">
        <v>340009.86326401902</v>
      </c>
      <c r="D9287" s="56">
        <v>3.5075949299322416E-2</v>
      </c>
      <c r="E9287" s="224" t="s">
        <v>2</v>
      </c>
      <c r="F9287" s="515" t="s">
        <v>10489</v>
      </c>
      <c r="G9287" s="52">
        <v>252211.11286284201</v>
      </c>
      <c r="H9287" s="56">
        <v>3.1239385727548093E-2</v>
      </c>
      <c r="I9287" s="224" t="s">
        <v>2</v>
      </c>
    </row>
    <row r="9288" spans="1:9" x14ac:dyDescent="0.25">
      <c r="A9288" s="515">
        <v>1062</v>
      </c>
      <c r="B9288" s="515" t="s">
        <v>575</v>
      </c>
      <c r="C9288" s="52">
        <v>394525.05315887398</v>
      </c>
      <c r="D9288" s="56">
        <v>9.4339805128996354E-2</v>
      </c>
      <c r="E9288" s="224" t="s">
        <v>2</v>
      </c>
      <c r="F9288" s="515" t="s">
        <v>10490</v>
      </c>
      <c r="G9288" s="52">
        <v>88282.311213947003</v>
      </c>
      <c r="H9288" s="56">
        <v>0.11031013742168558</v>
      </c>
      <c r="I9288" s="224" t="s">
        <v>2</v>
      </c>
    </row>
    <row r="9289" spans="1:9" x14ac:dyDescent="0.25">
      <c r="A9289" s="515">
        <v>37879</v>
      </c>
      <c r="C9289" s="52">
        <v>159032.43252452</v>
      </c>
      <c r="D9289" s="56">
        <v>6.3630778422168618E-2</v>
      </c>
      <c r="E9289" s="224" t="s">
        <v>2</v>
      </c>
      <c r="F9289" s="515" t="s">
        <v>10491</v>
      </c>
      <c r="G9289" s="52">
        <v>176606.77153385701</v>
      </c>
      <c r="H9289" s="56">
        <v>4.2269412099639657E-2</v>
      </c>
      <c r="I9289" s="224" t="s">
        <v>2</v>
      </c>
    </row>
    <row r="9290" spans="1:9" x14ac:dyDescent="0.25">
      <c r="A9290" s="515">
        <v>1754</v>
      </c>
      <c r="B9290" s="515" t="s">
        <v>534</v>
      </c>
      <c r="C9290" s="52">
        <v>505080.25178215402</v>
      </c>
      <c r="D9290" s="56">
        <v>6.1288821186414738E-2</v>
      </c>
      <c r="E9290" s="224">
        <v>2815</v>
      </c>
      <c r="F9290" s="515" t="s">
        <v>10492</v>
      </c>
      <c r="G9290" s="52">
        <v>81646.167677461504</v>
      </c>
      <c r="H9290" s="56">
        <v>-0.12423700997946878</v>
      </c>
      <c r="I9290" s="224" t="s">
        <v>2</v>
      </c>
    </row>
    <row r="9291" spans="1:9" x14ac:dyDescent="0.25">
      <c r="A9291" s="515">
        <v>99611</v>
      </c>
      <c r="C9291" s="52">
        <v>292301.07577528298</v>
      </c>
      <c r="D9291" s="56">
        <v>2.7048070429891612E-2</v>
      </c>
      <c r="E9291" s="224" t="s">
        <v>2</v>
      </c>
      <c r="F9291" s="515" t="s">
        <v>10493</v>
      </c>
      <c r="G9291" s="52">
        <v>345107.50975182001</v>
      </c>
      <c r="H9291" s="56">
        <v>8.9568781644965317E-2</v>
      </c>
      <c r="I9291" s="224" t="s">
        <v>2</v>
      </c>
    </row>
    <row r="9292" spans="1:9" x14ac:dyDescent="0.25">
      <c r="A9292" s="515">
        <v>60481</v>
      </c>
      <c r="B9292" s="515" t="s">
        <v>394</v>
      </c>
      <c r="C9292" s="52">
        <v>211889.16419666799</v>
      </c>
      <c r="D9292" s="56">
        <v>8.4500841874012245E-2</v>
      </c>
      <c r="E9292" s="224" t="s">
        <v>2</v>
      </c>
      <c r="F9292" s="515" t="s">
        <v>10494</v>
      </c>
      <c r="G9292" s="52">
        <v>129660.55653710201</v>
      </c>
      <c r="H9292" s="56">
        <v>0</v>
      </c>
      <c r="I9292" s="224" t="s">
        <v>2</v>
      </c>
    </row>
    <row r="9293" spans="1:9" x14ac:dyDescent="0.25">
      <c r="A9293" s="515">
        <v>98252</v>
      </c>
      <c r="B9293" s="515" t="s">
        <v>384</v>
      </c>
      <c r="C9293" s="52">
        <v>518109.519848408</v>
      </c>
      <c r="D9293" s="56">
        <v>1.377300016879943E-2</v>
      </c>
      <c r="E9293" s="224" t="s">
        <v>2</v>
      </c>
      <c r="F9293" s="515" t="s">
        <v>10495</v>
      </c>
      <c r="G9293" s="52">
        <v>88485.640511882099</v>
      </c>
      <c r="H9293" s="56">
        <v>0.15580234361206594</v>
      </c>
      <c r="I9293" s="224" t="s">
        <v>2</v>
      </c>
    </row>
    <row r="9294" spans="1:9" x14ac:dyDescent="0.25">
      <c r="A9294" s="515">
        <v>31408</v>
      </c>
      <c r="B9294" s="515" t="s">
        <v>351</v>
      </c>
      <c r="C9294" s="52">
        <v>180045.23166591499</v>
      </c>
      <c r="D9294" s="56">
        <v>0.19404781578073466</v>
      </c>
      <c r="E9294" s="224" t="s">
        <v>2</v>
      </c>
      <c r="F9294" s="515" t="s">
        <v>10496</v>
      </c>
      <c r="G9294" s="52">
        <v>121643.373943403</v>
      </c>
      <c r="H9294" s="56">
        <v>2.968103450387035E-2</v>
      </c>
      <c r="I9294" s="224" t="s">
        <v>2</v>
      </c>
    </row>
    <row r="9295" spans="1:9" x14ac:dyDescent="0.25">
      <c r="A9295" s="515">
        <v>45122</v>
      </c>
      <c r="B9295" s="515" t="s">
        <v>344</v>
      </c>
      <c r="C9295" s="52">
        <v>223239.71247187801</v>
      </c>
      <c r="D9295" s="56">
        <v>6.8094312602638582E-2</v>
      </c>
      <c r="E9295" s="224" t="s">
        <v>2</v>
      </c>
      <c r="F9295" s="515" t="s">
        <v>10497</v>
      </c>
      <c r="G9295" s="52">
        <v>153648.53344949201</v>
      </c>
      <c r="H9295" s="56">
        <v>0.10609550091006632</v>
      </c>
      <c r="I9295" s="224" t="s">
        <v>2</v>
      </c>
    </row>
    <row r="9296" spans="1:9" x14ac:dyDescent="0.25">
      <c r="A9296" s="515">
        <v>17963</v>
      </c>
      <c r="B9296" s="515" t="s">
        <v>994</v>
      </c>
      <c r="C9296" s="52">
        <v>187977.15389829199</v>
      </c>
      <c r="D9296" s="56">
        <v>8.7575114758409331E-2</v>
      </c>
      <c r="E9296" s="224" t="s">
        <v>2</v>
      </c>
      <c r="F9296" s="515" t="s">
        <v>10498</v>
      </c>
      <c r="G9296" s="52">
        <v>291711.64496142702</v>
      </c>
      <c r="H9296" s="56">
        <v>7.20076225272933E-2</v>
      </c>
      <c r="I9296" s="224" t="s">
        <v>2</v>
      </c>
    </row>
    <row r="9297" spans="1:9" x14ac:dyDescent="0.25">
      <c r="A9297" s="515">
        <v>7843</v>
      </c>
      <c r="B9297" s="515" t="s">
        <v>324</v>
      </c>
      <c r="C9297" s="52">
        <v>337519.45657897898</v>
      </c>
      <c r="D9297" s="56">
        <v>4.8053343713511554E-2</v>
      </c>
      <c r="E9297" s="224" t="s">
        <v>2</v>
      </c>
      <c r="F9297" s="515" t="s">
        <v>10499</v>
      </c>
      <c r="G9297" s="52">
        <v>285066.202132979</v>
      </c>
      <c r="H9297" s="56">
        <v>7.2093228863556874E-2</v>
      </c>
      <c r="I9297" s="224" t="s">
        <v>2</v>
      </c>
    </row>
    <row r="9298" spans="1:9" x14ac:dyDescent="0.25">
      <c r="A9298" s="515">
        <v>7438</v>
      </c>
      <c r="B9298" s="515" t="s">
        <v>324</v>
      </c>
      <c r="C9298" s="52">
        <v>416388.55825371901</v>
      </c>
      <c r="D9298" s="56">
        <v>4.0125357706880617E-2</v>
      </c>
      <c r="E9298" s="224" t="s">
        <v>2</v>
      </c>
      <c r="F9298" s="515" t="s">
        <v>10500</v>
      </c>
      <c r="G9298" s="52">
        <v>167501.175439935</v>
      </c>
      <c r="H9298" s="56">
        <v>0.17759856040260677</v>
      </c>
      <c r="I9298" s="224" t="s">
        <v>2</v>
      </c>
    </row>
    <row r="9299" spans="1:9" x14ac:dyDescent="0.25">
      <c r="A9299" s="515">
        <v>15005</v>
      </c>
      <c r="B9299" s="515" t="s">
        <v>297</v>
      </c>
      <c r="C9299" s="52">
        <v>212755.51238458601</v>
      </c>
      <c r="D9299" s="56">
        <v>4.1641240625272614E-2</v>
      </c>
      <c r="E9299" s="224" t="s">
        <v>2</v>
      </c>
      <c r="F9299" s="515" t="s">
        <v>10501</v>
      </c>
      <c r="G9299" s="52">
        <v>206218.62567279299</v>
      </c>
      <c r="H9299" s="56">
        <v>2.6068297568383667E-2</v>
      </c>
      <c r="I9299" s="224" t="s">
        <v>2</v>
      </c>
    </row>
    <row r="9300" spans="1:9" x14ac:dyDescent="0.25">
      <c r="A9300" s="515">
        <v>11740</v>
      </c>
      <c r="B9300" s="515" t="s">
        <v>324</v>
      </c>
      <c r="C9300" s="52">
        <v>687465.12955823797</v>
      </c>
      <c r="D9300" s="56">
        <v>7.2478992946516871E-3</v>
      </c>
      <c r="E9300" s="224" t="s">
        <v>2</v>
      </c>
      <c r="F9300" s="515" t="s">
        <v>10502</v>
      </c>
      <c r="G9300" s="52">
        <v>374720.990942567</v>
      </c>
      <c r="H9300" s="56">
        <v>3.598396740274331E-2</v>
      </c>
      <c r="I9300" s="224" t="s">
        <v>2</v>
      </c>
    </row>
    <row r="9301" spans="1:9" x14ac:dyDescent="0.25">
      <c r="A9301" s="515">
        <v>14502</v>
      </c>
      <c r="B9301" s="515" t="s">
        <v>337</v>
      </c>
      <c r="C9301" s="52">
        <v>248438.619083748</v>
      </c>
      <c r="D9301" s="56">
        <v>7.1262540127098747E-2</v>
      </c>
      <c r="E9301" s="224" t="s">
        <v>2</v>
      </c>
      <c r="F9301" s="515" t="s">
        <v>10503</v>
      </c>
      <c r="G9301" s="52">
        <v>159289.13672218501</v>
      </c>
      <c r="H9301" s="56">
        <v>0.18437348076817742</v>
      </c>
      <c r="I9301" s="224" t="s">
        <v>2</v>
      </c>
    </row>
    <row r="9302" spans="1:9" x14ac:dyDescent="0.25">
      <c r="A9302" s="515">
        <v>17844</v>
      </c>
      <c r="B9302" s="515" t="s">
        <v>794</v>
      </c>
      <c r="C9302" s="52">
        <v>231227.15167477299</v>
      </c>
      <c r="D9302" s="56">
        <v>7.6035227737775601E-2</v>
      </c>
      <c r="E9302" s="224" t="s">
        <v>2</v>
      </c>
      <c r="F9302" s="515" t="s">
        <v>10504</v>
      </c>
      <c r="G9302" s="52">
        <v>87695.147832366099</v>
      </c>
      <c r="H9302" s="56">
        <v>7.8264051751558428E-2</v>
      </c>
      <c r="I9302" s="224" t="s">
        <v>2</v>
      </c>
    </row>
    <row r="9303" spans="1:9" x14ac:dyDescent="0.25">
      <c r="A9303" s="515">
        <v>32640</v>
      </c>
      <c r="B9303" s="515" t="s">
        <v>577</v>
      </c>
      <c r="C9303" s="52">
        <v>192670.157171258</v>
      </c>
      <c r="D9303" s="56">
        <v>0.11113297346073438</v>
      </c>
      <c r="E9303" s="224" t="s">
        <v>2</v>
      </c>
      <c r="F9303" s="515" t="s">
        <v>10505</v>
      </c>
      <c r="G9303" s="52">
        <v>237416.00905501199</v>
      </c>
      <c r="H9303" s="56">
        <v>9.3278230515931565E-2</v>
      </c>
      <c r="I9303" s="224" t="s">
        <v>2</v>
      </c>
    </row>
    <row r="9304" spans="1:9" x14ac:dyDescent="0.25">
      <c r="A9304" s="515">
        <v>71635</v>
      </c>
      <c r="C9304" s="52">
        <v>72101.635026813703</v>
      </c>
      <c r="D9304" s="56">
        <v>4.3023680979215016E-3</v>
      </c>
      <c r="E9304" s="224" t="s">
        <v>2</v>
      </c>
      <c r="F9304" s="515" t="s">
        <v>10506</v>
      </c>
      <c r="G9304" s="52">
        <v>67057.199595290105</v>
      </c>
      <c r="H9304" s="56">
        <v>8.763577169802611E-2</v>
      </c>
      <c r="I9304" s="224" t="s">
        <v>2</v>
      </c>
    </row>
    <row r="9305" spans="1:9" x14ac:dyDescent="0.25">
      <c r="A9305" s="515">
        <v>18252</v>
      </c>
      <c r="B9305" s="515" t="s">
        <v>994</v>
      </c>
      <c r="C9305" s="52">
        <v>104495.21386746</v>
      </c>
      <c r="D9305" s="56">
        <v>0.10147542973520714</v>
      </c>
      <c r="E9305" s="224" t="s">
        <v>2</v>
      </c>
      <c r="F9305" s="515" t="s">
        <v>10507</v>
      </c>
      <c r="G9305" s="52">
        <v>151485.50614857499</v>
      </c>
      <c r="H9305" s="56">
        <v>6.7586902092433856E-2</v>
      </c>
      <c r="I9305" s="224" t="s">
        <v>2</v>
      </c>
    </row>
    <row r="9306" spans="1:9" x14ac:dyDescent="0.25">
      <c r="A9306" s="515">
        <v>41653</v>
      </c>
      <c r="C9306" s="52">
        <v>108529.28404546301</v>
      </c>
      <c r="D9306" s="56">
        <v>0.10951143673434004</v>
      </c>
      <c r="E9306" s="224" t="s">
        <v>2</v>
      </c>
      <c r="F9306" s="515" t="s">
        <v>10508</v>
      </c>
      <c r="G9306" s="52">
        <v>147199.21518668401</v>
      </c>
      <c r="H9306" s="56">
        <v>0.10273571843581306</v>
      </c>
      <c r="I9306" s="224" t="s">
        <v>2</v>
      </c>
    </row>
    <row r="9307" spans="1:9" x14ac:dyDescent="0.25">
      <c r="A9307" s="515">
        <v>21090</v>
      </c>
      <c r="B9307" s="515" t="s">
        <v>582</v>
      </c>
      <c r="C9307" s="52">
        <v>379916.716745627</v>
      </c>
      <c r="D9307" s="56">
        <v>3.6187640231265292E-2</v>
      </c>
      <c r="E9307" s="224">
        <v>1680.6666666666599</v>
      </c>
      <c r="F9307" s="515" t="s">
        <v>10509</v>
      </c>
      <c r="G9307" s="52">
        <v>200827.34888287901</v>
      </c>
      <c r="H9307" s="56">
        <v>7.6526349752698494E-2</v>
      </c>
      <c r="I9307" s="224" t="s">
        <v>2</v>
      </c>
    </row>
    <row r="9308" spans="1:9" x14ac:dyDescent="0.25">
      <c r="A9308" s="515">
        <v>20640</v>
      </c>
      <c r="B9308" s="515" t="s">
        <v>321</v>
      </c>
      <c r="C9308" s="52">
        <v>293424.70488141</v>
      </c>
      <c r="D9308" s="56">
        <v>2.6069869725730187E-2</v>
      </c>
      <c r="E9308" s="224" t="s">
        <v>2</v>
      </c>
      <c r="F9308" s="515" t="s">
        <v>10510</v>
      </c>
      <c r="G9308" s="52">
        <v>295512.50978201401</v>
      </c>
      <c r="H9308" s="56">
        <v>9.3780986765049076E-2</v>
      </c>
      <c r="I9308" s="224" t="s">
        <v>2</v>
      </c>
    </row>
    <row r="9309" spans="1:9" x14ac:dyDescent="0.25">
      <c r="A9309" s="515">
        <v>70633</v>
      </c>
      <c r="B9309" s="515" t="s">
        <v>696</v>
      </c>
      <c r="C9309" s="52">
        <v>111983.53724802499</v>
      </c>
      <c r="D9309" s="56">
        <v>-1.3856488992193801E-2</v>
      </c>
      <c r="E9309" s="224" t="s">
        <v>2</v>
      </c>
      <c r="F9309" s="515" t="s">
        <v>900</v>
      </c>
      <c r="G9309" s="52">
        <v>179316.884695332</v>
      </c>
      <c r="H9309" s="56">
        <v>0.10608787749004596</v>
      </c>
      <c r="I9309" s="224">
        <v>1000</v>
      </c>
    </row>
    <row r="9310" spans="1:9" x14ac:dyDescent="0.25">
      <c r="A9310" s="515">
        <v>69341</v>
      </c>
      <c r="B9310" s="515" t="s">
        <v>966</v>
      </c>
      <c r="C9310" s="52">
        <v>169075.27239720899</v>
      </c>
      <c r="D9310" s="56">
        <v>0.10156502554146449</v>
      </c>
      <c r="E9310" s="224" t="s">
        <v>2</v>
      </c>
      <c r="F9310" s="515" t="s">
        <v>10511</v>
      </c>
      <c r="G9310" s="52">
        <v>212635.005263261</v>
      </c>
      <c r="H9310" s="56">
        <v>2.9525292671211113E-2</v>
      </c>
      <c r="I9310" s="224" t="s">
        <v>2</v>
      </c>
    </row>
    <row r="9311" spans="1:9" x14ac:dyDescent="0.25">
      <c r="A9311" s="515">
        <v>16511</v>
      </c>
      <c r="B9311" s="515" t="s">
        <v>753</v>
      </c>
      <c r="C9311" s="52">
        <v>152796.921560405</v>
      </c>
      <c r="D9311" s="56">
        <v>9.6676134408316725E-2</v>
      </c>
      <c r="E9311" s="224" t="s">
        <v>2</v>
      </c>
      <c r="F9311" s="515" t="s">
        <v>10512</v>
      </c>
      <c r="G9311" s="52">
        <v>823369.58155101899</v>
      </c>
      <c r="H9311" s="56">
        <v>6.3751301596206275E-2</v>
      </c>
      <c r="I9311" s="224" t="s">
        <v>2</v>
      </c>
    </row>
    <row r="9312" spans="1:9" x14ac:dyDescent="0.25">
      <c r="A9312" s="515">
        <v>76273</v>
      </c>
      <c r="B9312" s="515" t="s">
        <v>553</v>
      </c>
      <c r="C9312" s="52">
        <v>293114.456959592</v>
      </c>
      <c r="D9312" s="56">
        <v>8.3870115822438224E-2</v>
      </c>
      <c r="E9312" s="224" t="s">
        <v>2</v>
      </c>
      <c r="F9312" s="515" t="s">
        <v>10513</v>
      </c>
      <c r="G9312" s="52">
        <v>153052.21717208601</v>
      </c>
      <c r="H9312" s="56">
        <v>3.5213214345694015E-2</v>
      </c>
      <c r="I9312" s="224" t="s">
        <v>2</v>
      </c>
    </row>
    <row r="9313" spans="1:9" x14ac:dyDescent="0.25">
      <c r="A9313" s="515">
        <v>29702</v>
      </c>
      <c r="B9313" s="515" t="s">
        <v>1191</v>
      </c>
      <c r="C9313" s="52">
        <v>115371.52018772801</v>
      </c>
      <c r="D9313" s="56">
        <v>5.2050893574824689E-2</v>
      </c>
      <c r="E9313" s="224" t="s">
        <v>2</v>
      </c>
      <c r="F9313" s="515" t="s">
        <v>10514</v>
      </c>
      <c r="G9313" s="52">
        <v>338644.252529405</v>
      </c>
      <c r="H9313" s="56">
        <v>0.11799867362285846</v>
      </c>
      <c r="I9313" s="224" t="s">
        <v>2</v>
      </c>
    </row>
    <row r="9314" spans="1:9" x14ac:dyDescent="0.25">
      <c r="A9314" s="515">
        <v>97138</v>
      </c>
      <c r="B9314" s="515" t="s">
        <v>742</v>
      </c>
      <c r="C9314" s="52">
        <v>482221.09290665598</v>
      </c>
      <c r="D9314" s="56">
        <v>8.4024966625993402E-2</v>
      </c>
      <c r="E9314" s="224" t="s">
        <v>2</v>
      </c>
      <c r="F9314" s="515" t="s">
        <v>10515</v>
      </c>
      <c r="G9314" s="52">
        <v>131977.40145081401</v>
      </c>
      <c r="H9314" s="56">
        <v>0.10161267255808994</v>
      </c>
      <c r="I9314" s="224" t="s">
        <v>2</v>
      </c>
    </row>
    <row r="9315" spans="1:9" x14ac:dyDescent="0.25">
      <c r="A9315" s="515">
        <v>44056</v>
      </c>
      <c r="B9315" s="515" t="s">
        <v>1000</v>
      </c>
      <c r="C9315" s="52">
        <v>291176.56529226701</v>
      </c>
      <c r="D9315" s="56">
        <v>6.2345897142870955E-2</v>
      </c>
      <c r="E9315" s="224" t="s">
        <v>2</v>
      </c>
      <c r="F9315" s="515" t="s">
        <v>10516</v>
      </c>
      <c r="G9315" s="52">
        <v>108474.844508931</v>
      </c>
      <c r="H9315" s="56">
        <v>0</v>
      </c>
      <c r="I9315" s="224" t="s">
        <v>2</v>
      </c>
    </row>
    <row r="9316" spans="1:9" x14ac:dyDescent="0.25">
      <c r="A9316" s="515">
        <v>15203</v>
      </c>
      <c r="B9316" s="515" t="s">
        <v>297</v>
      </c>
      <c r="C9316" s="52">
        <v>216758.36234217801</v>
      </c>
      <c r="D9316" s="56">
        <v>3.6607913654411316E-2</v>
      </c>
      <c r="E9316" s="224">
        <v>1749.6093837535</v>
      </c>
      <c r="F9316" s="515" t="s">
        <v>10517</v>
      </c>
      <c r="G9316" s="52">
        <v>90963.832620628105</v>
      </c>
      <c r="H9316" s="56">
        <v>0.15390636797540236</v>
      </c>
      <c r="I9316" s="224" t="s">
        <v>2</v>
      </c>
    </row>
    <row r="9317" spans="1:9" x14ac:dyDescent="0.25">
      <c r="A9317" s="515">
        <v>2341</v>
      </c>
      <c r="B9317" s="515" t="s">
        <v>534</v>
      </c>
      <c r="C9317" s="52">
        <v>509554.60465736501</v>
      </c>
      <c r="D9317" s="56">
        <v>5.6649754707112671E-2</v>
      </c>
      <c r="E9317" s="224" t="s">
        <v>2</v>
      </c>
      <c r="F9317" s="515" t="s">
        <v>10518</v>
      </c>
      <c r="G9317" s="52">
        <v>271892.71322695102</v>
      </c>
      <c r="H9317" s="56">
        <v>9.6827059744822933E-2</v>
      </c>
      <c r="I9317" s="224" t="s">
        <v>2</v>
      </c>
    </row>
    <row r="9318" spans="1:9" x14ac:dyDescent="0.25">
      <c r="A9318" s="515">
        <v>48732</v>
      </c>
      <c r="B9318" s="515" t="s">
        <v>1022</v>
      </c>
      <c r="C9318" s="52">
        <v>157979.82206432399</v>
      </c>
      <c r="D9318" s="56">
        <v>3.3700514104663695E-2</v>
      </c>
      <c r="E9318" s="224" t="s">
        <v>2</v>
      </c>
      <c r="F9318" s="515" t="s">
        <v>10519</v>
      </c>
      <c r="G9318" s="52">
        <v>117322.026654612</v>
      </c>
      <c r="H9318" s="56">
        <v>0.18640127988158392</v>
      </c>
      <c r="I9318" s="224" t="s">
        <v>2</v>
      </c>
    </row>
    <row r="9319" spans="1:9" x14ac:dyDescent="0.25">
      <c r="A9319" s="515">
        <v>8004</v>
      </c>
      <c r="B9319" s="515" t="s">
        <v>294</v>
      </c>
      <c r="C9319" s="52">
        <v>268115.918141859</v>
      </c>
      <c r="D9319" s="56">
        <v>6.9279765555122969E-2</v>
      </c>
      <c r="E9319" s="224" t="s">
        <v>2</v>
      </c>
      <c r="F9319" s="515" t="s">
        <v>10520</v>
      </c>
      <c r="G9319" s="52">
        <v>991156.05210046005</v>
      </c>
      <c r="H9319" s="56">
        <v>6.0377368942494562E-2</v>
      </c>
      <c r="I9319" s="224" t="s">
        <v>2</v>
      </c>
    </row>
    <row r="9320" spans="1:9" x14ac:dyDescent="0.25">
      <c r="A9320" s="515">
        <v>25311</v>
      </c>
      <c r="B9320" s="515" t="s">
        <v>322</v>
      </c>
      <c r="C9320" s="52">
        <v>136042.88483549899</v>
      </c>
      <c r="D9320" s="56">
        <v>7.4837508705319189E-2</v>
      </c>
      <c r="E9320" s="224" t="s">
        <v>2</v>
      </c>
      <c r="F9320" s="515" t="s">
        <v>10521</v>
      </c>
      <c r="G9320" s="52">
        <v>91330.540764199701</v>
      </c>
      <c r="H9320" s="56">
        <v>6.8975971643597436E-2</v>
      </c>
      <c r="I9320" s="224" t="s">
        <v>2</v>
      </c>
    </row>
    <row r="9321" spans="1:9" x14ac:dyDescent="0.25">
      <c r="A9321" s="515">
        <v>28467</v>
      </c>
      <c r="B9321" s="515" t="s">
        <v>703</v>
      </c>
      <c r="C9321" s="52">
        <v>319761.643938186</v>
      </c>
      <c r="D9321" s="56">
        <v>0.1101045535492739</v>
      </c>
      <c r="E9321" s="224" t="s">
        <v>2</v>
      </c>
      <c r="F9321" s="515" t="s">
        <v>10522</v>
      </c>
      <c r="G9321" s="52">
        <v>258809.27931856399</v>
      </c>
      <c r="H9321" s="56">
        <v>4.5086390705424632E-2</v>
      </c>
      <c r="I9321" s="224" t="s">
        <v>2</v>
      </c>
    </row>
    <row r="9322" spans="1:9" x14ac:dyDescent="0.25">
      <c r="A9322" s="515">
        <v>46613</v>
      </c>
      <c r="B9322" s="515" t="s">
        <v>1002</v>
      </c>
      <c r="C9322" s="52">
        <v>84932.966355414595</v>
      </c>
      <c r="D9322" s="56">
        <v>0.2266595375729562</v>
      </c>
      <c r="E9322" s="224" t="s">
        <v>2</v>
      </c>
      <c r="F9322" s="515" t="s">
        <v>10523</v>
      </c>
      <c r="G9322" s="52">
        <v>654040.99752772099</v>
      </c>
      <c r="H9322" s="56">
        <v>0.11318751022512752</v>
      </c>
      <c r="I9322" s="224" t="s">
        <v>2</v>
      </c>
    </row>
    <row r="9323" spans="1:9" x14ac:dyDescent="0.25">
      <c r="A9323" s="515">
        <v>19078</v>
      </c>
      <c r="B9323" s="515" t="s">
        <v>294</v>
      </c>
      <c r="C9323" s="52">
        <v>266110.50235522602</v>
      </c>
      <c r="D9323" s="56">
        <v>9.1378583329147431E-2</v>
      </c>
      <c r="E9323" s="224" t="s">
        <v>2</v>
      </c>
      <c r="F9323" s="515" t="s">
        <v>10524</v>
      </c>
      <c r="G9323" s="52">
        <v>287783.11289411702</v>
      </c>
      <c r="H9323" s="56">
        <v>0.14727300345032598</v>
      </c>
      <c r="I9323" s="224" t="s">
        <v>2</v>
      </c>
    </row>
    <row r="9324" spans="1:9" x14ac:dyDescent="0.25">
      <c r="A9324" s="515">
        <v>79404</v>
      </c>
      <c r="B9324" s="515" t="s">
        <v>354</v>
      </c>
      <c r="C9324" s="52">
        <v>90295.342408435099</v>
      </c>
      <c r="D9324" s="56">
        <v>0.17780550110502383</v>
      </c>
      <c r="E9324" s="224" t="s">
        <v>2</v>
      </c>
      <c r="F9324" s="515" t="s">
        <v>10525</v>
      </c>
      <c r="G9324" s="52">
        <v>157666.60689673101</v>
      </c>
      <c r="H9324" s="56">
        <v>2.1640744287456789E-3</v>
      </c>
      <c r="I9324" s="224" t="s">
        <v>2</v>
      </c>
    </row>
    <row r="9325" spans="1:9" x14ac:dyDescent="0.25">
      <c r="A9325" s="515">
        <v>33513</v>
      </c>
      <c r="B9325" s="515" t="s">
        <v>558</v>
      </c>
      <c r="C9325" s="52">
        <v>270812.35663204303</v>
      </c>
      <c r="D9325" s="56">
        <v>9.4993374235133335E-2</v>
      </c>
      <c r="E9325" s="224" t="s">
        <v>2</v>
      </c>
      <c r="F9325" s="515" t="s">
        <v>10526</v>
      </c>
      <c r="G9325" s="52">
        <v>239113.82519803901</v>
      </c>
      <c r="H9325" s="56">
        <v>4.9662203860740092E-2</v>
      </c>
      <c r="I9325" s="224" t="s">
        <v>2</v>
      </c>
    </row>
    <row r="9326" spans="1:9" x14ac:dyDescent="0.25">
      <c r="A9326" s="515">
        <v>23075</v>
      </c>
      <c r="B9326" s="515" t="s">
        <v>667</v>
      </c>
      <c r="C9326" s="52">
        <v>246619.187007361</v>
      </c>
      <c r="D9326" s="56">
        <v>0.23521898454392912</v>
      </c>
      <c r="E9326" s="224" t="s">
        <v>2</v>
      </c>
      <c r="F9326" s="515" t="s">
        <v>10527</v>
      </c>
      <c r="G9326" s="52">
        <v>116645.344279549</v>
      </c>
      <c r="H9326" s="56">
        <v>7.6832210552002525E-2</v>
      </c>
      <c r="I9326" s="224" t="s">
        <v>2</v>
      </c>
    </row>
    <row r="9327" spans="1:9" x14ac:dyDescent="0.25">
      <c r="A9327" s="515">
        <v>64504</v>
      </c>
      <c r="B9327" s="515" t="s">
        <v>371</v>
      </c>
      <c r="C9327" s="52">
        <v>88337.655449603597</v>
      </c>
      <c r="D9327" s="56">
        <v>4.8631902203274277E-2</v>
      </c>
      <c r="E9327" s="224" t="s">
        <v>2</v>
      </c>
      <c r="F9327" s="515" t="s">
        <v>10528</v>
      </c>
      <c r="G9327" s="52">
        <v>143541.07664846201</v>
      </c>
      <c r="H9327" s="56">
        <v>0.17270351456709199</v>
      </c>
      <c r="I9327" s="224" t="s">
        <v>2</v>
      </c>
    </row>
    <row r="9328" spans="1:9" x14ac:dyDescent="0.25">
      <c r="A9328" s="515">
        <v>46534</v>
      </c>
      <c r="C9328" s="52">
        <v>175566.79333525099</v>
      </c>
      <c r="D9328" s="56">
        <v>9.5199983210757441E-2</v>
      </c>
      <c r="E9328" s="224" t="s">
        <v>2</v>
      </c>
      <c r="F9328" s="515" t="s">
        <v>10529</v>
      </c>
      <c r="G9328" s="52">
        <v>136527.17040331301</v>
      </c>
      <c r="H9328" s="56">
        <v>0.10701893889041991</v>
      </c>
      <c r="I9328" s="224" t="s">
        <v>2</v>
      </c>
    </row>
    <row r="9329" spans="1:9" x14ac:dyDescent="0.25">
      <c r="A9329" s="515">
        <v>15037</v>
      </c>
      <c r="B9329" s="515" t="s">
        <v>297</v>
      </c>
      <c r="C9329" s="52">
        <v>169364.48787796099</v>
      </c>
      <c r="D9329" s="56">
        <v>8.0999513835189094E-2</v>
      </c>
      <c r="E9329" s="224" t="s">
        <v>2</v>
      </c>
      <c r="F9329" s="515" t="s">
        <v>10530</v>
      </c>
      <c r="G9329" s="52">
        <v>425495.79200614302</v>
      </c>
      <c r="H9329" s="56">
        <v>6.5675171291805182E-2</v>
      </c>
      <c r="I9329" s="224" t="s">
        <v>2</v>
      </c>
    </row>
    <row r="9330" spans="1:9" x14ac:dyDescent="0.25">
      <c r="A9330" s="515">
        <v>15129</v>
      </c>
      <c r="B9330" s="515" t="s">
        <v>297</v>
      </c>
      <c r="C9330" s="52">
        <v>240276.58117541901</v>
      </c>
      <c r="D9330" s="56">
        <v>7.9808875238099528E-2</v>
      </c>
      <c r="E9330" s="224">
        <v>1191.6666666666599</v>
      </c>
      <c r="F9330" s="515" t="s">
        <v>10531</v>
      </c>
      <c r="G9330" s="52">
        <v>151349.521353491</v>
      </c>
      <c r="H9330" s="56">
        <v>0.11388952829521125</v>
      </c>
      <c r="I9330" s="224" t="s">
        <v>2</v>
      </c>
    </row>
    <row r="9331" spans="1:9" x14ac:dyDescent="0.25">
      <c r="A9331" s="515">
        <v>28333</v>
      </c>
      <c r="B9331" s="515" t="s">
        <v>1178</v>
      </c>
      <c r="C9331" s="52">
        <v>99827.926974113798</v>
      </c>
      <c r="D9331" s="56">
        <v>0.19319700422512534</v>
      </c>
      <c r="E9331" s="224" t="s">
        <v>2</v>
      </c>
      <c r="F9331" s="515" t="s">
        <v>10532</v>
      </c>
      <c r="G9331" s="52">
        <v>290978.46479717101</v>
      </c>
      <c r="H9331" s="56">
        <v>2.2743028522434258E-2</v>
      </c>
      <c r="I9331" s="224" t="s">
        <v>2</v>
      </c>
    </row>
    <row r="9332" spans="1:9" x14ac:dyDescent="0.25">
      <c r="A9332" s="515">
        <v>54162</v>
      </c>
      <c r="B9332" s="515" t="s">
        <v>897</v>
      </c>
      <c r="C9332" s="52">
        <v>285217.138209956</v>
      </c>
      <c r="D9332" s="56">
        <v>6.090934688650311E-2</v>
      </c>
      <c r="E9332" s="224" t="s">
        <v>2</v>
      </c>
      <c r="F9332" s="515" t="s">
        <v>10533</v>
      </c>
      <c r="G9332" s="52">
        <v>190980.716046449</v>
      </c>
      <c r="H9332" s="56">
        <v>5.73537978185047E-2</v>
      </c>
      <c r="I9332" s="224" t="s">
        <v>2</v>
      </c>
    </row>
    <row r="9333" spans="1:9" x14ac:dyDescent="0.25">
      <c r="A9333" s="515">
        <v>47460</v>
      </c>
      <c r="B9333" s="515" t="s">
        <v>554</v>
      </c>
      <c r="C9333" s="52">
        <v>209450.83859769499</v>
      </c>
      <c r="D9333" s="56">
        <v>8.2932722722991362E-2</v>
      </c>
      <c r="E9333" s="224" t="s">
        <v>2</v>
      </c>
      <c r="F9333" s="515" t="s">
        <v>10534</v>
      </c>
      <c r="G9333" s="52">
        <v>103197.906494781</v>
      </c>
      <c r="H9333" s="56">
        <v>9.1855060033356223E-2</v>
      </c>
      <c r="I9333" s="224" t="s">
        <v>2</v>
      </c>
    </row>
    <row r="9334" spans="1:9" x14ac:dyDescent="0.25">
      <c r="A9334" s="515">
        <v>1475</v>
      </c>
      <c r="B9334" s="515" t="s">
        <v>751</v>
      </c>
      <c r="C9334" s="52">
        <v>320719.44828101702</v>
      </c>
      <c r="D9334" s="56">
        <v>9.2858361650838772E-2</v>
      </c>
      <c r="E9334" s="224" t="s">
        <v>2</v>
      </c>
      <c r="F9334" s="515" t="s">
        <v>10535</v>
      </c>
      <c r="G9334" s="52">
        <v>436385.14644466102</v>
      </c>
      <c r="H9334" s="56">
        <v>9.5008056026231316E-2</v>
      </c>
      <c r="I9334" s="224" t="s">
        <v>2</v>
      </c>
    </row>
    <row r="9335" spans="1:9" x14ac:dyDescent="0.25">
      <c r="A9335" s="515">
        <v>97426</v>
      </c>
      <c r="B9335" s="515" t="s">
        <v>801</v>
      </c>
      <c r="C9335" s="52">
        <v>436494.61806857702</v>
      </c>
      <c r="D9335" s="56">
        <v>3.2376590309332119E-2</v>
      </c>
      <c r="E9335" s="224" t="s">
        <v>2</v>
      </c>
      <c r="F9335" s="515" t="s">
        <v>10536</v>
      </c>
      <c r="G9335" s="52">
        <v>245740.77276164401</v>
      </c>
      <c r="H9335" s="56">
        <v>8.4626720824187054E-2</v>
      </c>
      <c r="I9335" s="224" t="s">
        <v>2</v>
      </c>
    </row>
    <row r="9336" spans="1:9" x14ac:dyDescent="0.25">
      <c r="A9336" s="515">
        <v>73026</v>
      </c>
      <c r="B9336" s="515" t="s">
        <v>385</v>
      </c>
      <c r="C9336" s="52">
        <v>277455.34967051097</v>
      </c>
      <c r="D9336" s="56">
        <v>0.10482292361350344</v>
      </c>
      <c r="E9336" s="224" t="s">
        <v>2</v>
      </c>
      <c r="F9336" s="515" t="s">
        <v>10537</v>
      </c>
      <c r="G9336" s="52">
        <v>49418.3367879367</v>
      </c>
      <c r="H9336" s="56">
        <v>9.8861720308092482E-2</v>
      </c>
      <c r="I9336" s="224" t="s">
        <v>2</v>
      </c>
    </row>
    <row r="9337" spans="1:9" x14ac:dyDescent="0.25">
      <c r="A9337" s="515">
        <v>56470</v>
      </c>
      <c r="C9337" s="52">
        <v>268060.144110844</v>
      </c>
      <c r="D9337" s="56">
        <v>9.3855793610737398E-2</v>
      </c>
      <c r="E9337" s="224" t="s">
        <v>2</v>
      </c>
      <c r="F9337" s="515" t="s">
        <v>10538</v>
      </c>
      <c r="G9337" s="52">
        <v>429446.06364016799</v>
      </c>
      <c r="H9337" s="56">
        <v>0.17905377085510196</v>
      </c>
      <c r="I9337" s="224" t="s">
        <v>2</v>
      </c>
    </row>
    <row r="9338" spans="1:9" x14ac:dyDescent="0.25">
      <c r="A9338" s="515">
        <v>31791</v>
      </c>
      <c r="B9338" s="515" t="s">
        <v>746</v>
      </c>
      <c r="C9338" s="52">
        <v>128552.329153641</v>
      </c>
      <c r="D9338" s="56">
        <v>5.2948658678362112E-2</v>
      </c>
      <c r="E9338" s="224" t="s">
        <v>2</v>
      </c>
      <c r="F9338" s="515" t="s">
        <v>10539</v>
      </c>
      <c r="G9338" s="52">
        <v>87411.709006419696</v>
      </c>
      <c r="H9338" s="56">
        <v>1.9598375231980974E-2</v>
      </c>
      <c r="I9338" s="224" t="s">
        <v>2</v>
      </c>
    </row>
    <row r="9339" spans="1:9" x14ac:dyDescent="0.25">
      <c r="A9339" s="515">
        <v>32234</v>
      </c>
      <c r="B9339" s="515" t="s">
        <v>1158</v>
      </c>
      <c r="C9339" s="52">
        <v>308149.43999815499</v>
      </c>
      <c r="D9339" s="56">
        <v>0.17212804388973652</v>
      </c>
      <c r="E9339" s="224" t="s">
        <v>2</v>
      </c>
      <c r="F9339" s="515" t="s">
        <v>10540</v>
      </c>
      <c r="G9339" s="52">
        <v>159714.51884539801</v>
      </c>
      <c r="H9339" s="56">
        <v>0.12534942009504671</v>
      </c>
      <c r="I9339" s="224" t="s">
        <v>2</v>
      </c>
    </row>
    <row r="9340" spans="1:9" x14ac:dyDescent="0.25">
      <c r="A9340" s="515">
        <v>74015</v>
      </c>
      <c r="B9340" s="515" t="s">
        <v>348</v>
      </c>
      <c r="C9340" s="52">
        <v>234852.852840443</v>
      </c>
      <c r="D9340" s="56">
        <v>9.1393633231931865E-2</v>
      </c>
      <c r="E9340" s="224" t="s">
        <v>2</v>
      </c>
      <c r="F9340" s="515" t="s">
        <v>10541</v>
      </c>
      <c r="G9340" s="52">
        <v>219170.97800527999</v>
      </c>
      <c r="H9340" s="56">
        <v>5.1953054801224495E-2</v>
      </c>
      <c r="I9340" s="224" t="s">
        <v>2</v>
      </c>
    </row>
    <row r="9341" spans="1:9" x14ac:dyDescent="0.25">
      <c r="A9341" s="515">
        <v>38663</v>
      </c>
      <c r="C9341" s="52">
        <v>117033.02737832699</v>
      </c>
      <c r="D9341" s="56">
        <v>3.7313335052364401E-2</v>
      </c>
      <c r="E9341" s="224" t="s">
        <v>2</v>
      </c>
      <c r="F9341" s="515" t="s">
        <v>10542</v>
      </c>
      <c r="G9341" s="52">
        <v>136338.558682512</v>
      </c>
      <c r="H9341" s="56">
        <v>0.12674252976932404</v>
      </c>
      <c r="I9341" s="224" t="s">
        <v>2</v>
      </c>
    </row>
    <row r="9342" spans="1:9" x14ac:dyDescent="0.25">
      <c r="A9342" s="515">
        <v>55011</v>
      </c>
      <c r="B9342" s="515" t="s">
        <v>532</v>
      </c>
      <c r="C9342" s="52">
        <v>386216.31438025599</v>
      </c>
      <c r="D9342" s="56">
        <v>3.7041204482187298E-2</v>
      </c>
      <c r="E9342" s="224" t="s">
        <v>2</v>
      </c>
      <c r="F9342" s="515" t="s">
        <v>10543</v>
      </c>
      <c r="G9342" s="52">
        <v>309979.07201036997</v>
      </c>
      <c r="H9342" s="56">
        <v>6.012742095772637E-3</v>
      </c>
      <c r="I9342" s="224" t="s">
        <v>2</v>
      </c>
    </row>
    <row r="9343" spans="1:9" x14ac:dyDescent="0.25">
      <c r="A9343" s="515">
        <v>19611</v>
      </c>
      <c r="B9343" s="515" t="s">
        <v>569</v>
      </c>
      <c r="C9343" s="52">
        <v>183992.45089487499</v>
      </c>
      <c r="D9343" s="56">
        <v>0.14001605811930765</v>
      </c>
      <c r="E9343" s="224" t="s">
        <v>2</v>
      </c>
      <c r="F9343" s="515" t="s">
        <v>10544</v>
      </c>
      <c r="G9343" s="52">
        <v>191045.50393940901</v>
      </c>
      <c r="H9343" s="56">
        <v>8.8587097544690407E-2</v>
      </c>
      <c r="I9343" s="224" t="s">
        <v>2</v>
      </c>
    </row>
    <row r="9344" spans="1:9" x14ac:dyDescent="0.25">
      <c r="A9344" s="515">
        <v>28166</v>
      </c>
      <c r="B9344" s="515" t="s">
        <v>360</v>
      </c>
      <c r="C9344" s="52">
        <v>399398.28624417598</v>
      </c>
      <c r="D9344" s="56">
        <v>0.10525807248595287</v>
      </c>
      <c r="E9344" s="224" t="s">
        <v>2</v>
      </c>
      <c r="F9344" s="515" t="s">
        <v>10545</v>
      </c>
      <c r="G9344" s="52">
        <v>284890.60710912</v>
      </c>
      <c r="H9344" s="56">
        <v>5.6545261444021062E-2</v>
      </c>
      <c r="I9344" s="224" t="s">
        <v>2</v>
      </c>
    </row>
    <row r="9345" spans="1:9" x14ac:dyDescent="0.25">
      <c r="A9345" s="515">
        <v>81230</v>
      </c>
      <c r="C9345" s="52">
        <v>516427.21262354602</v>
      </c>
      <c r="D9345" s="56">
        <v>4.0925656949514236E-2</v>
      </c>
      <c r="E9345" s="224" t="s">
        <v>2</v>
      </c>
      <c r="F9345" s="515" t="s">
        <v>10546</v>
      </c>
      <c r="G9345" s="52">
        <v>236369.85346600501</v>
      </c>
      <c r="H9345" s="56">
        <v>0.10793308518076682</v>
      </c>
      <c r="I9345" s="224" t="s">
        <v>2</v>
      </c>
    </row>
    <row r="9346" spans="1:9" x14ac:dyDescent="0.25">
      <c r="A9346" s="515">
        <v>29645</v>
      </c>
      <c r="B9346" s="515" t="s">
        <v>613</v>
      </c>
      <c r="C9346" s="52">
        <v>120529.267590024</v>
      </c>
      <c r="D9346" s="56">
        <v>0.20787492126361662</v>
      </c>
      <c r="E9346" s="224" t="s">
        <v>2</v>
      </c>
      <c r="F9346" s="515" t="s">
        <v>10547</v>
      </c>
      <c r="G9346" s="52">
        <v>380062.919344038</v>
      </c>
      <c r="H9346" s="56">
        <v>5.7118260833535141E-2</v>
      </c>
      <c r="I9346" s="224" t="s">
        <v>2</v>
      </c>
    </row>
    <row r="9347" spans="1:9" x14ac:dyDescent="0.25">
      <c r="A9347" s="515">
        <v>29138</v>
      </c>
      <c r="B9347" s="515" t="s">
        <v>762</v>
      </c>
      <c r="C9347" s="52">
        <v>128210.75803313999</v>
      </c>
      <c r="D9347" s="56">
        <v>8.3371263644928931E-2</v>
      </c>
      <c r="E9347" s="224" t="s">
        <v>2</v>
      </c>
      <c r="F9347" s="515" t="s">
        <v>10548</v>
      </c>
      <c r="G9347" s="52">
        <v>481225.01651956502</v>
      </c>
      <c r="H9347" s="56">
        <v>8.62901380508867E-2</v>
      </c>
      <c r="I9347" s="224" t="s">
        <v>2</v>
      </c>
    </row>
    <row r="9348" spans="1:9" x14ac:dyDescent="0.25">
      <c r="A9348" s="515">
        <v>18055</v>
      </c>
      <c r="B9348" s="515" t="s">
        <v>327</v>
      </c>
      <c r="C9348" s="52">
        <v>300295.58935099898</v>
      </c>
      <c r="D9348" s="56">
        <v>8.8416153535331762E-2</v>
      </c>
      <c r="E9348" s="224" t="s">
        <v>2</v>
      </c>
      <c r="F9348" s="515" t="s">
        <v>10549</v>
      </c>
      <c r="G9348" s="52">
        <v>374044.557356467</v>
      </c>
      <c r="H9348" s="56">
        <v>6.5277029054163688E-2</v>
      </c>
      <c r="I9348" s="224" t="s">
        <v>2</v>
      </c>
    </row>
    <row r="9349" spans="1:9" x14ac:dyDescent="0.25">
      <c r="A9349" s="515">
        <v>47804</v>
      </c>
      <c r="B9349" s="515" t="s">
        <v>318</v>
      </c>
      <c r="C9349" s="52">
        <v>83002.097975766796</v>
      </c>
      <c r="D9349" s="56">
        <v>6.1717991304064732E-2</v>
      </c>
      <c r="E9349" s="224" t="s">
        <v>2</v>
      </c>
      <c r="F9349" s="515" t="s">
        <v>10550</v>
      </c>
      <c r="G9349" s="52">
        <v>195604.12956293099</v>
      </c>
      <c r="H9349" s="56">
        <v>0.1202322494640219</v>
      </c>
      <c r="I9349" s="224" t="s">
        <v>2</v>
      </c>
    </row>
    <row r="9350" spans="1:9" x14ac:dyDescent="0.25">
      <c r="A9350" s="515">
        <v>3909</v>
      </c>
      <c r="B9350" s="515" t="s">
        <v>570</v>
      </c>
      <c r="C9350" s="52">
        <v>620004.30580919597</v>
      </c>
      <c r="D9350" s="56">
        <v>9.1657189723860069E-2</v>
      </c>
      <c r="E9350" s="224" t="s">
        <v>2</v>
      </c>
      <c r="F9350" s="515" t="s">
        <v>10551</v>
      </c>
      <c r="G9350" s="52">
        <v>341717.95679244498</v>
      </c>
      <c r="H9350" s="56">
        <v>9.1583468475749191E-2</v>
      </c>
      <c r="I9350" s="224" t="s">
        <v>2</v>
      </c>
    </row>
    <row r="9351" spans="1:9" x14ac:dyDescent="0.25">
      <c r="A9351" s="515">
        <v>77441</v>
      </c>
      <c r="B9351" s="515" t="s">
        <v>314</v>
      </c>
      <c r="C9351" s="52">
        <v>569465.61403844703</v>
      </c>
      <c r="D9351" s="56">
        <v>7.1699730888398303E-2</v>
      </c>
      <c r="E9351" s="224">
        <v>2875</v>
      </c>
      <c r="F9351" s="515" t="s">
        <v>10552</v>
      </c>
      <c r="G9351" s="52">
        <v>164650.37739028499</v>
      </c>
      <c r="H9351" s="56">
        <v>-6.5707566406955228E-2</v>
      </c>
      <c r="I9351" s="224" t="s">
        <v>2</v>
      </c>
    </row>
    <row r="9352" spans="1:9" x14ac:dyDescent="0.25">
      <c r="A9352" s="515">
        <v>17313</v>
      </c>
      <c r="B9352" s="515" t="s">
        <v>509</v>
      </c>
      <c r="C9352" s="52">
        <v>231999.28578840001</v>
      </c>
      <c r="D9352" s="56">
        <v>9.3876473694741211E-2</v>
      </c>
      <c r="E9352" s="224" t="s">
        <v>2</v>
      </c>
      <c r="F9352" s="515" t="s">
        <v>10553</v>
      </c>
      <c r="G9352" s="52">
        <v>229135.27610058399</v>
      </c>
      <c r="H9352" s="56">
        <v>9.8424127647806253E-2</v>
      </c>
      <c r="I9352" s="224" t="s">
        <v>2</v>
      </c>
    </row>
    <row r="9353" spans="1:9" x14ac:dyDescent="0.25">
      <c r="A9353" s="515">
        <v>38618</v>
      </c>
      <c r="B9353" s="515" t="s">
        <v>951</v>
      </c>
      <c r="C9353" s="52">
        <v>181988.68583025501</v>
      </c>
      <c r="D9353" s="56">
        <v>7.3974405290275644E-2</v>
      </c>
      <c r="E9353" s="224" t="s">
        <v>2</v>
      </c>
      <c r="F9353" s="515" t="s">
        <v>10554</v>
      </c>
      <c r="G9353" s="52">
        <v>255666.14930347001</v>
      </c>
      <c r="H9353" s="56">
        <v>6.3521783898076445E-2</v>
      </c>
      <c r="I9353" s="224" t="s">
        <v>2</v>
      </c>
    </row>
    <row r="9354" spans="1:9" x14ac:dyDescent="0.25">
      <c r="A9354" s="515">
        <v>95814</v>
      </c>
      <c r="B9354" s="515" t="s">
        <v>355</v>
      </c>
      <c r="C9354" s="52">
        <v>598196.98863999394</v>
      </c>
      <c r="D9354" s="56">
        <v>-3.7273792835603448E-2</v>
      </c>
      <c r="E9354" s="224">
        <v>1986.15333333333</v>
      </c>
      <c r="F9354" s="515" t="s">
        <v>10555</v>
      </c>
      <c r="G9354" s="52">
        <v>180458.07765031399</v>
      </c>
      <c r="H9354" s="56">
        <v>6.1950270525585174E-2</v>
      </c>
      <c r="I9354" s="224" t="s">
        <v>2</v>
      </c>
    </row>
    <row r="9355" spans="1:9" x14ac:dyDescent="0.25">
      <c r="A9355" s="515">
        <v>40513</v>
      </c>
      <c r="B9355" s="515" t="s">
        <v>515</v>
      </c>
      <c r="C9355" s="52">
        <v>482881.93808934698</v>
      </c>
      <c r="D9355" s="56">
        <v>7.2680593838643323E-2</v>
      </c>
      <c r="E9355" s="224" t="s">
        <v>2</v>
      </c>
      <c r="F9355" s="515" t="s">
        <v>10556</v>
      </c>
      <c r="G9355" s="52">
        <v>290836.01308076998</v>
      </c>
      <c r="H9355" s="56">
        <v>2.3409118010931922E-2</v>
      </c>
      <c r="I9355" s="224" t="s">
        <v>2</v>
      </c>
    </row>
    <row r="9356" spans="1:9" x14ac:dyDescent="0.25">
      <c r="A9356" s="515">
        <v>7035</v>
      </c>
      <c r="B9356" s="515" t="s">
        <v>324</v>
      </c>
      <c r="C9356" s="52">
        <v>426209.85906488</v>
      </c>
      <c r="D9356" s="56">
        <v>4.9994090968170257E-2</v>
      </c>
      <c r="E9356" s="224" t="s">
        <v>2</v>
      </c>
      <c r="F9356" s="515" t="s">
        <v>10557</v>
      </c>
      <c r="G9356" s="52">
        <v>174344.75818935901</v>
      </c>
      <c r="H9356" s="56">
        <v>8.4156277786113079E-2</v>
      </c>
      <c r="I9356" s="224" t="s">
        <v>2</v>
      </c>
    </row>
    <row r="9357" spans="1:9" x14ac:dyDescent="0.25">
      <c r="A9357" s="515">
        <v>32340</v>
      </c>
      <c r="C9357" s="52">
        <v>161316.51558878299</v>
      </c>
      <c r="D9357" s="56">
        <v>0.12522841399411372</v>
      </c>
      <c r="E9357" s="224" t="s">
        <v>2</v>
      </c>
      <c r="F9357" s="515" t="s">
        <v>10558</v>
      </c>
      <c r="G9357" s="52">
        <v>540307.52764360595</v>
      </c>
      <c r="H9357" s="56">
        <v>-4.4134890298633649E-3</v>
      </c>
      <c r="I9357" s="224" t="s">
        <v>2</v>
      </c>
    </row>
    <row r="9358" spans="1:9" x14ac:dyDescent="0.25">
      <c r="A9358" s="515">
        <v>34996</v>
      </c>
      <c r="B9358" s="515" t="s">
        <v>1180</v>
      </c>
      <c r="C9358" s="52">
        <v>454620.41210707201</v>
      </c>
      <c r="D9358" s="56">
        <v>9.895580942789399E-2</v>
      </c>
      <c r="E9358" s="224">
        <v>3044.4444444444398</v>
      </c>
      <c r="F9358" s="515" t="s">
        <v>10559</v>
      </c>
      <c r="G9358" s="52">
        <v>278727.99846966198</v>
      </c>
      <c r="H9358" s="56">
        <v>4.9406776721917421E-2</v>
      </c>
      <c r="I9358" s="224" t="s">
        <v>2</v>
      </c>
    </row>
    <row r="9359" spans="1:9" x14ac:dyDescent="0.25">
      <c r="A9359" s="515">
        <v>60143</v>
      </c>
      <c r="B9359" s="515" t="s">
        <v>394</v>
      </c>
      <c r="C9359" s="52">
        <v>355025.46301560698</v>
      </c>
      <c r="D9359" s="56">
        <v>4.2969771175594001E-2</v>
      </c>
      <c r="E9359" s="224" t="s">
        <v>2</v>
      </c>
      <c r="F9359" s="515" t="s">
        <v>10560</v>
      </c>
      <c r="G9359" s="52">
        <v>189301.63758662599</v>
      </c>
      <c r="H9359" s="56">
        <v>0.10660715174358641</v>
      </c>
      <c r="I9359" s="224" t="s">
        <v>2</v>
      </c>
    </row>
    <row r="9360" spans="1:9" x14ac:dyDescent="0.25">
      <c r="A9360" s="515">
        <v>76645</v>
      </c>
      <c r="C9360" s="52">
        <v>162811.558888233</v>
      </c>
      <c r="D9360" s="56">
        <v>6.7965883971433966E-2</v>
      </c>
      <c r="E9360" s="224" t="s">
        <v>2</v>
      </c>
      <c r="F9360" s="515" t="s">
        <v>10561</v>
      </c>
      <c r="G9360" s="52">
        <v>387776.66218508902</v>
      </c>
      <c r="H9360" s="56">
        <v>0.12539613252350035</v>
      </c>
      <c r="I9360" s="224" t="s">
        <v>2</v>
      </c>
    </row>
    <row r="9361" spans="1:9" x14ac:dyDescent="0.25">
      <c r="A9361" s="515">
        <v>48359</v>
      </c>
      <c r="B9361" s="515" t="s">
        <v>685</v>
      </c>
      <c r="C9361" s="52">
        <v>337670.99365123</v>
      </c>
      <c r="D9361" s="56">
        <v>3.3201250316224333E-2</v>
      </c>
      <c r="E9361" s="224" t="s">
        <v>2</v>
      </c>
      <c r="F9361" s="515" t="s">
        <v>10562</v>
      </c>
      <c r="G9361" s="52">
        <v>126042.484243881</v>
      </c>
      <c r="H9361" s="56">
        <v>8.7420207147650517E-2</v>
      </c>
      <c r="I9361" s="224" t="s">
        <v>2</v>
      </c>
    </row>
    <row r="9362" spans="1:9" x14ac:dyDescent="0.25">
      <c r="A9362" s="515">
        <v>2343</v>
      </c>
      <c r="B9362" s="515" t="s">
        <v>534</v>
      </c>
      <c r="C9362" s="52">
        <v>461891.75168203103</v>
      </c>
      <c r="D9362" s="56">
        <v>4.4498649580216154E-2</v>
      </c>
      <c r="E9362" s="224" t="s">
        <v>2</v>
      </c>
      <c r="F9362" s="515" t="s">
        <v>10563</v>
      </c>
      <c r="G9362" s="52">
        <v>200268.71340881099</v>
      </c>
      <c r="H9362" s="56">
        <v>4.9716708189771537E-2</v>
      </c>
      <c r="I9362" s="224" t="s">
        <v>2</v>
      </c>
    </row>
    <row r="9363" spans="1:9" x14ac:dyDescent="0.25">
      <c r="A9363" s="515">
        <v>95073</v>
      </c>
      <c r="B9363" s="515" t="s">
        <v>596</v>
      </c>
      <c r="C9363" s="52">
        <v>1214110.07565714</v>
      </c>
      <c r="D9363" s="56">
        <v>3.6921119205957878E-2</v>
      </c>
      <c r="E9363" s="224" t="s">
        <v>2</v>
      </c>
      <c r="F9363" s="515" t="s">
        <v>10564</v>
      </c>
      <c r="G9363" s="52">
        <v>360759.50925454102</v>
      </c>
      <c r="H9363" s="56">
        <v>4.2973501043933486E-2</v>
      </c>
      <c r="I9363" s="224" t="s">
        <v>2</v>
      </c>
    </row>
    <row r="9364" spans="1:9" x14ac:dyDescent="0.25">
      <c r="A9364" s="515">
        <v>60418</v>
      </c>
      <c r="B9364" s="515" t="s">
        <v>394</v>
      </c>
      <c r="C9364" s="52">
        <v>172094.457796523</v>
      </c>
      <c r="D9364" s="56">
        <v>6.9390745171662507E-3</v>
      </c>
      <c r="E9364" s="224" t="s">
        <v>2</v>
      </c>
      <c r="F9364" s="515" t="s">
        <v>10565</v>
      </c>
      <c r="G9364" s="52">
        <v>334485.480553167</v>
      </c>
      <c r="H9364" s="56">
        <v>7.9917179507915811E-2</v>
      </c>
      <c r="I9364" s="224" t="s">
        <v>2</v>
      </c>
    </row>
    <row r="9365" spans="1:9" x14ac:dyDescent="0.25">
      <c r="A9365" s="515">
        <v>63077</v>
      </c>
      <c r="B9365" s="515" t="s">
        <v>498</v>
      </c>
      <c r="C9365" s="52">
        <v>171282.98084277901</v>
      </c>
      <c r="D9365" s="56">
        <v>7.6534181638212628E-2</v>
      </c>
      <c r="E9365" s="224" t="s">
        <v>2</v>
      </c>
      <c r="F9365" s="515" t="s">
        <v>10566</v>
      </c>
      <c r="G9365" s="52">
        <v>97400.9766035746</v>
      </c>
      <c r="H9365" s="56">
        <v>0.14575509999553218</v>
      </c>
      <c r="I9365" s="224" t="s">
        <v>2</v>
      </c>
    </row>
    <row r="9366" spans="1:9" x14ac:dyDescent="0.25">
      <c r="A9366" s="515">
        <v>81506</v>
      </c>
      <c r="B9366" s="515" t="s">
        <v>619</v>
      </c>
      <c r="C9366" s="52">
        <v>436533.04450675199</v>
      </c>
      <c r="D9366" s="56">
        <v>3.0890927491318946E-2</v>
      </c>
      <c r="E9366" s="224" t="s">
        <v>2</v>
      </c>
      <c r="F9366" s="515" t="s">
        <v>10567</v>
      </c>
      <c r="G9366" s="52">
        <v>246614.491949027</v>
      </c>
      <c r="H9366" s="56">
        <v>2.4598702868129606E-2</v>
      </c>
      <c r="I9366" s="224" t="s">
        <v>2</v>
      </c>
    </row>
    <row r="9367" spans="1:9" x14ac:dyDescent="0.25">
      <c r="A9367" s="515">
        <v>31535</v>
      </c>
      <c r="B9367" s="515" t="s">
        <v>917</v>
      </c>
      <c r="C9367" s="52">
        <v>166214.922938073</v>
      </c>
      <c r="D9367" s="56">
        <v>9.0712224203496089E-2</v>
      </c>
      <c r="E9367" s="224" t="s">
        <v>2</v>
      </c>
      <c r="F9367" s="515" t="s">
        <v>10568</v>
      </c>
      <c r="G9367" s="52">
        <v>326604.59577478003</v>
      </c>
      <c r="H9367" s="56">
        <v>8.5612833431756075E-2</v>
      </c>
      <c r="I9367" s="224" t="s">
        <v>2</v>
      </c>
    </row>
    <row r="9368" spans="1:9" x14ac:dyDescent="0.25">
      <c r="A9368" s="515">
        <v>85378</v>
      </c>
      <c r="B9368" s="515" t="s">
        <v>563</v>
      </c>
      <c r="C9368" s="52">
        <v>344770.61252350401</v>
      </c>
      <c r="D9368" s="56">
        <v>3.8984290020230794E-2</v>
      </c>
      <c r="E9368" s="224">
        <v>1870</v>
      </c>
      <c r="F9368" s="515" t="s">
        <v>10569</v>
      </c>
      <c r="G9368" s="52">
        <v>92464.020660784707</v>
      </c>
      <c r="H9368" s="56">
        <v>-2.9118011751102124E-2</v>
      </c>
      <c r="I9368" s="224" t="s">
        <v>2</v>
      </c>
    </row>
    <row r="9369" spans="1:9" x14ac:dyDescent="0.25">
      <c r="A9369" s="515">
        <v>70734</v>
      </c>
      <c r="B9369" s="515" t="s">
        <v>610</v>
      </c>
      <c r="C9369" s="52">
        <v>328292.54102967598</v>
      </c>
      <c r="D9369" s="56">
        <v>4.4338732811741707E-2</v>
      </c>
      <c r="E9369" s="224" t="s">
        <v>2</v>
      </c>
      <c r="F9369" s="515" t="s">
        <v>10570</v>
      </c>
      <c r="G9369" s="52">
        <v>204292.63858528901</v>
      </c>
      <c r="H9369" s="56">
        <v>6.2587532915553162E-2</v>
      </c>
      <c r="I9369" s="224" t="s">
        <v>2</v>
      </c>
    </row>
    <row r="9370" spans="1:9" x14ac:dyDescent="0.25">
      <c r="A9370" s="515">
        <v>17702</v>
      </c>
      <c r="B9370" s="515" t="s">
        <v>296</v>
      </c>
      <c r="C9370" s="52">
        <v>180342.61463663599</v>
      </c>
      <c r="D9370" s="56">
        <v>7.4198726111918523E-2</v>
      </c>
      <c r="E9370" s="224" t="s">
        <v>2</v>
      </c>
      <c r="F9370" s="515" t="s">
        <v>10571</v>
      </c>
      <c r="G9370" s="52">
        <v>62328.698744769797</v>
      </c>
      <c r="H9370" s="56">
        <v>0</v>
      </c>
      <c r="I9370" s="224" t="s">
        <v>2</v>
      </c>
    </row>
    <row r="9371" spans="1:9" x14ac:dyDescent="0.25">
      <c r="A9371" s="515">
        <v>32501</v>
      </c>
      <c r="B9371" s="515" t="s">
        <v>1131</v>
      </c>
      <c r="C9371" s="52">
        <v>234442.85780413501</v>
      </c>
      <c r="D9371" s="56">
        <v>0.14139281216801838</v>
      </c>
      <c r="E9371" s="224">
        <v>1585.8333333333301</v>
      </c>
      <c r="F9371" s="515" t="s">
        <v>10572</v>
      </c>
      <c r="G9371" s="52">
        <v>340213.48784449801</v>
      </c>
      <c r="H9371" s="56">
        <v>9.6805638595565638E-2</v>
      </c>
      <c r="I9371" s="224" t="s">
        <v>2</v>
      </c>
    </row>
    <row r="9372" spans="1:9" x14ac:dyDescent="0.25">
      <c r="A9372" s="515">
        <v>65584</v>
      </c>
      <c r="B9372" s="515" t="s">
        <v>1055</v>
      </c>
      <c r="C9372" s="52">
        <v>194533.96596746001</v>
      </c>
      <c r="D9372" s="56">
        <v>6.5065983601924393E-2</v>
      </c>
      <c r="E9372" s="224" t="s">
        <v>2</v>
      </c>
      <c r="F9372" s="515" t="s">
        <v>10573</v>
      </c>
      <c r="G9372" s="52">
        <v>165200.853749631</v>
      </c>
      <c r="H9372" s="56">
        <v>6.0689016947929636E-2</v>
      </c>
      <c r="I9372" s="224" t="s">
        <v>2</v>
      </c>
    </row>
    <row r="9373" spans="1:9" x14ac:dyDescent="0.25">
      <c r="A9373" s="515">
        <v>61080</v>
      </c>
      <c r="B9373" s="515" t="s">
        <v>1104</v>
      </c>
      <c r="C9373" s="52">
        <v>181166.29035001501</v>
      </c>
      <c r="D9373" s="56">
        <v>8.9749391407140375E-2</v>
      </c>
      <c r="E9373" s="224" t="s">
        <v>2</v>
      </c>
      <c r="F9373" s="515" t="s">
        <v>10574</v>
      </c>
      <c r="G9373" s="52">
        <v>360263.940243155</v>
      </c>
      <c r="H9373" s="56">
        <v>8.4722328521711701E-2</v>
      </c>
      <c r="I9373" s="224" t="s">
        <v>2</v>
      </c>
    </row>
    <row r="9374" spans="1:9" x14ac:dyDescent="0.25">
      <c r="A9374" s="515">
        <v>76667</v>
      </c>
      <c r="C9374" s="52">
        <v>116985.136164621</v>
      </c>
      <c r="D9374" s="56">
        <v>0.11748693774866413</v>
      </c>
      <c r="E9374" s="224" t="s">
        <v>2</v>
      </c>
      <c r="F9374" s="515" t="s">
        <v>10575</v>
      </c>
      <c r="G9374" s="52">
        <v>600891.25234568596</v>
      </c>
      <c r="H9374" s="56">
        <v>4.3647818178657247E-2</v>
      </c>
      <c r="I9374" s="224" t="s">
        <v>2</v>
      </c>
    </row>
    <row r="9375" spans="1:9" x14ac:dyDescent="0.25">
      <c r="A9375" s="515">
        <v>97457</v>
      </c>
      <c r="B9375" s="515" t="s">
        <v>449</v>
      </c>
      <c r="C9375" s="52">
        <v>277655.26805224299</v>
      </c>
      <c r="D9375" s="56">
        <v>6.4031673296793615E-2</v>
      </c>
      <c r="E9375" s="224" t="s">
        <v>2</v>
      </c>
      <c r="F9375" s="515" t="s">
        <v>10576</v>
      </c>
      <c r="G9375" s="52">
        <v>114967.42960288801</v>
      </c>
      <c r="H9375" s="56">
        <v>0</v>
      </c>
      <c r="I9375" s="224" t="s">
        <v>2</v>
      </c>
    </row>
    <row r="9376" spans="1:9" x14ac:dyDescent="0.25">
      <c r="A9376" s="515">
        <v>19317</v>
      </c>
      <c r="B9376" s="515" t="s">
        <v>294</v>
      </c>
      <c r="C9376" s="52">
        <v>602737.294099794</v>
      </c>
      <c r="D9376" s="56">
        <v>9.0256268339872978E-2</v>
      </c>
      <c r="E9376" s="224" t="s">
        <v>2</v>
      </c>
      <c r="F9376" s="515" t="s">
        <v>10577</v>
      </c>
      <c r="G9376" s="52">
        <v>186277.94607327</v>
      </c>
      <c r="H9376" s="56">
        <v>0.10217361269602172</v>
      </c>
      <c r="I9376" s="224" t="s">
        <v>2</v>
      </c>
    </row>
    <row r="9377" spans="1:9" x14ac:dyDescent="0.25">
      <c r="A9377" s="515">
        <v>35555</v>
      </c>
      <c r="C9377" s="52">
        <v>110003.456093405</v>
      </c>
      <c r="D9377" s="56">
        <v>5.1022500113008767E-2</v>
      </c>
      <c r="E9377" s="224" t="s">
        <v>2</v>
      </c>
      <c r="F9377" s="515" t="s">
        <v>10578</v>
      </c>
      <c r="G9377" s="52">
        <v>159019.77671136599</v>
      </c>
      <c r="H9377" s="56">
        <v>0.13690595751482584</v>
      </c>
      <c r="I9377" s="224" t="s">
        <v>2</v>
      </c>
    </row>
    <row r="9378" spans="1:9" x14ac:dyDescent="0.25">
      <c r="A9378" s="515">
        <v>35501</v>
      </c>
      <c r="B9378" s="515" t="s">
        <v>1087</v>
      </c>
      <c r="C9378" s="52">
        <v>161701.43200564699</v>
      </c>
      <c r="D9378" s="56">
        <v>7.8691941654957451E-2</v>
      </c>
      <c r="E9378" s="224" t="s">
        <v>2</v>
      </c>
      <c r="F9378" s="515" t="s">
        <v>10579</v>
      </c>
      <c r="G9378" s="52">
        <v>272435.04102404101</v>
      </c>
      <c r="H9378" s="56">
        <v>8.0342846463072479E-2</v>
      </c>
      <c r="I9378" s="224" t="s">
        <v>2</v>
      </c>
    </row>
    <row r="9379" spans="1:9" x14ac:dyDescent="0.25">
      <c r="A9379" s="515">
        <v>28337</v>
      </c>
      <c r="C9379" s="52">
        <v>123649.01467916901</v>
      </c>
      <c r="D9379" s="56">
        <v>4.5510532792485826E-2</v>
      </c>
      <c r="E9379" s="224" t="s">
        <v>2</v>
      </c>
      <c r="F9379" s="515" t="s">
        <v>10580</v>
      </c>
      <c r="G9379" s="52">
        <v>426426.52284931397</v>
      </c>
      <c r="H9379" s="56">
        <v>3.8610488222584526E-2</v>
      </c>
      <c r="I9379" s="224" t="s">
        <v>2</v>
      </c>
    </row>
    <row r="9380" spans="1:9" x14ac:dyDescent="0.25">
      <c r="A9380" s="515">
        <v>49801</v>
      </c>
      <c r="B9380" s="515" t="s">
        <v>990</v>
      </c>
      <c r="C9380" s="52">
        <v>140228.730002753</v>
      </c>
      <c r="D9380" s="56">
        <v>7.8423404720225118E-2</v>
      </c>
      <c r="E9380" s="224" t="s">
        <v>2</v>
      </c>
      <c r="F9380" s="515" t="s">
        <v>10581</v>
      </c>
      <c r="G9380" s="52">
        <v>201478.13152902099</v>
      </c>
      <c r="H9380" s="56">
        <v>0.14348291245773348</v>
      </c>
      <c r="I9380" s="224" t="s">
        <v>2</v>
      </c>
    </row>
    <row r="9381" spans="1:9" x14ac:dyDescent="0.25">
      <c r="A9381" s="515">
        <v>80603</v>
      </c>
      <c r="B9381" s="515" t="s">
        <v>382</v>
      </c>
      <c r="C9381" s="52">
        <v>500796.18057956803</v>
      </c>
      <c r="D9381" s="56">
        <v>5.5915331626542166E-3</v>
      </c>
      <c r="E9381" s="224" t="s">
        <v>2</v>
      </c>
      <c r="F9381" s="515" t="s">
        <v>10582</v>
      </c>
      <c r="G9381" s="52">
        <v>79243.127002380294</v>
      </c>
      <c r="H9381" s="56">
        <v>0</v>
      </c>
      <c r="I9381" s="224" t="s">
        <v>2</v>
      </c>
    </row>
    <row r="9382" spans="1:9" x14ac:dyDescent="0.25">
      <c r="A9382" s="515">
        <v>6098</v>
      </c>
      <c r="B9382" s="515" t="s">
        <v>559</v>
      </c>
      <c r="C9382" s="52">
        <v>246437.37175185099</v>
      </c>
      <c r="D9382" s="56">
        <v>0.11751820299424275</v>
      </c>
      <c r="E9382" s="224" t="s">
        <v>2</v>
      </c>
      <c r="F9382" s="515" t="s">
        <v>10583</v>
      </c>
      <c r="G9382" s="52">
        <v>256447.52817493599</v>
      </c>
      <c r="H9382" s="56">
        <v>0</v>
      </c>
      <c r="I9382" s="224" t="s">
        <v>2</v>
      </c>
    </row>
    <row r="9383" spans="1:9" x14ac:dyDescent="0.25">
      <c r="A9383" s="515">
        <v>16441</v>
      </c>
      <c r="B9383" s="515" t="s">
        <v>753</v>
      </c>
      <c r="C9383" s="52">
        <v>244917.29591345301</v>
      </c>
      <c r="D9383" s="56">
        <v>6.3323268970579452E-2</v>
      </c>
      <c r="E9383" s="224" t="s">
        <v>2</v>
      </c>
      <c r="F9383" s="515" t="s">
        <v>10584</v>
      </c>
      <c r="G9383" s="52">
        <v>145473.040072242</v>
      </c>
      <c r="H9383" s="56">
        <v>0.10924815716252968</v>
      </c>
      <c r="I9383" s="224" t="s">
        <v>2</v>
      </c>
    </row>
    <row r="9384" spans="1:9" x14ac:dyDescent="0.25">
      <c r="A9384" s="515">
        <v>71463</v>
      </c>
      <c r="C9384" s="52">
        <v>69295.066865216606</v>
      </c>
      <c r="D9384" s="56">
        <v>6.5480548631310391E-3</v>
      </c>
      <c r="E9384" s="224" t="s">
        <v>2</v>
      </c>
      <c r="F9384" s="515" t="s">
        <v>10585</v>
      </c>
      <c r="G9384" s="52">
        <v>272657.37079489703</v>
      </c>
      <c r="H9384" s="56">
        <v>0.10339269560423872</v>
      </c>
      <c r="I9384" s="224" t="s">
        <v>2</v>
      </c>
    </row>
    <row r="9385" spans="1:9" x14ac:dyDescent="0.25">
      <c r="A9385" s="515">
        <v>2743</v>
      </c>
      <c r="B9385" s="515" t="s">
        <v>513</v>
      </c>
      <c r="C9385" s="52">
        <v>427963.62457155797</v>
      </c>
      <c r="D9385" s="56">
        <v>5.6633231104809237E-2</v>
      </c>
      <c r="E9385" s="224" t="s">
        <v>2</v>
      </c>
      <c r="F9385" s="515" t="s">
        <v>10586</v>
      </c>
      <c r="G9385" s="52">
        <v>315407.792041237</v>
      </c>
      <c r="H9385" s="56">
        <v>3.5513983185087979E-2</v>
      </c>
      <c r="I9385" s="224" t="s">
        <v>2</v>
      </c>
    </row>
    <row r="9386" spans="1:9" x14ac:dyDescent="0.25">
      <c r="A9386" s="515">
        <v>6482</v>
      </c>
      <c r="B9386" s="515" t="s">
        <v>1173</v>
      </c>
      <c r="C9386" s="52">
        <v>496455.84975252597</v>
      </c>
      <c r="D9386" s="56">
        <v>8.7518269855561256E-2</v>
      </c>
      <c r="E9386" s="224" t="s">
        <v>2</v>
      </c>
      <c r="F9386" s="515" t="s">
        <v>10587</v>
      </c>
      <c r="G9386" s="52">
        <v>197679.662379218</v>
      </c>
      <c r="H9386" s="56">
        <v>3.141316788093243E-2</v>
      </c>
      <c r="I9386" s="224" t="s">
        <v>2</v>
      </c>
    </row>
    <row r="9387" spans="1:9" x14ac:dyDescent="0.25">
      <c r="A9387" s="515">
        <v>66085</v>
      </c>
      <c r="B9387" s="515" t="s">
        <v>455</v>
      </c>
      <c r="C9387" s="52">
        <v>563085.25201333698</v>
      </c>
      <c r="D9387" s="56">
        <v>7.3188540547533376E-2</v>
      </c>
      <c r="E9387" s="224" t="s">
        <v>2</v>
      </c>
      <c r="F9387" s="515" t="s">
        <v>10588</v>
      </c>
      <c r="G9387" s="52">
        <v>181919.97737559499</v>
      </c>
      <c r="H9387" s="56">
        <v>8.8550536020210222E-2</v>
      </c>
      <c r="I9387" s="224" t="s">
        <v>2</v>
      </c>
    </row>
    <row r="9388" spans="1:9" x14ac:dyDescent="0.25">
      <c r="A9388" s="515">
        <v>15224</v>
      </c>
      <c r="B9388" s="515" t="s">
        <v>297</v>
      </c>
      <c r="C9388" s="52">
        <v>231413.313635514</v>
      </c>
      <c r="D9388" s="56">
        <v>8.3774929092726963E-2</v>
      </c>
      <c r="E9388" s="224">
        <v>1269.3999999999901</v>
      </c>
      <c r="F9388" s="515" t="s">
        <v>10589</v>
      </c>
      <c r="G9388" s="52">
        <v>166493.91488346999</v>
      </c>
      <c r="H9388" s="56">
        <v>6.0386594431858127E-2</v>
      </c>
      <c r="I9388" s="224" t="s">
        <v>2</v>
      </c>
    </row>
    <row r="9389" spans="1:9" x14ac:dyDescent="0.25">
      <c r="A9389" s="515">
        <v>17113</v>
      </c>
      <c r="B9389" s="515" t="s">
        <v>428</v>
      </c>
      <c r="C9389" s="52">
        <v>149387.33591937099</v>
      </c>
      <c r="D9389" s="56">
        <v>0.16170982216556154</v>
      </c>
      <c r="E9389" s="224" t="s">
        <v>2</v>
      </c>
      <c r="F9389" s="515" t="s">
        <v>10590</v>
      </c>
      <c r="G9389" s="52">
        <v>88048.471955000103</v>
      </c>
      <c r="H9389" s="56">
        <v>0.11563128437280484</v>
      </c>
      <c r="I9389" s="224" t="s">
        <v>2</v>
      </c>
    </row>
    <row r="9390" spans="1:9" x14ac:dyDescent="0.25">
      <c r="A9390" s="515">
        <v>46231</v>
      </c>
      <c r="B9390" s="515" t="s">
        <v>403</v>
      </c>
      <c r="C9390" s="52">
        <v>238760.63141596201</v>
      </c>
      <c r="D9390" s="56">
        <v>6.9638540629297363E-2</v>
      </c>
      <c r="E9390" s="224">
        <v>1906.94444444444</v>
      </c>
      <c r="F9390" s="515" t="s">
        <v>10591</v>
      </c>
      <c r="G9390" s="52">
        <v>312419.08744331502</v>
      </c>
      <c r="H9390" s="56">
        <v>8.3647720911151344E-2</v>
      </c>
      <c r="I9390" s="224" t="s">
        <v>2</v>
      </c>
    </row>
    <row r="9391" spans="1:9" x14ac:dyDescent="0.25">
      <c r="A9391" s="515">
        <v>20181</v>
      </c>
      <c r="B9391" s="515" t="s">
        <v>321</v>
      </c>
      <c r="C9391" s="52">
        <v>660102.52738847502</v>
      </c>
      <c r="D9391" s="56">
        <v>4.3124597179827924E-2</v>
      </c>
      <c r="E9391" s="224" t="s">
        <v>2</v>
      </c>
      <c r="F9391" s="515" t="s">
        <v>10592</v>
      </c>
      <c r="G9391" s="52">
        <v>211582.20288017299</v>
      </c>
      <c r="H9391" s="56">
        <v>8.0901985246889158E-2</v>
      </c>
      <c r="I9391" s="224" t="s">
        <v>2</v>
      </c>
    </row>
    <row r="9392" spans="1:9" x14ac:dyDescent="0.25">
      <c r="A9392" s="515">
        <v>46507</v>
      </c>
      <c r="B9392" s="515" t="s">
        <v>1170</v>
      </c>
      <c r="C9392" s="52">
        <v>275645.58556895802</v>
      </c>
      <c r="D9392" s="56">
        <v>6.9252577811582297E-2</v>
      </c>
      <c r="E9392" s="224" t="s">
        <v>2</v>
      </c>
      <c r="F9392" s="515" t="s">
        <v>10593</v>
      </c>
      <c r="G9392" s="52">
        <v>85974.978449339003</v>
      </c>
      <c r="H9392" s="56">
        <v>-6.9906607965452505E-2</v>
      </c>
      <c r="I9392" s="224" t="s">
        <v>2</v>
      </c>
    </row>
    <row r="9393" spans="1:9" x14ac:dyDescent="0.25">
      <c r="A9393" s="515">
        <v>5495</v>
      </c>
      <c r="B9393" s="515" t="s">
        <v>441</v>
      </c>
      <c r="C9393" s="52">
        <v>516813.70667586202</v>
      </c>
      <c r="D9393" s="56">
        <v>9.4539799800119534E-2</v>
      </c>
      <c r="E9393" s="224" t="s">
        <v>2</v>
      </c>
      <c r="F9393" s="515" t="s">
        <v>10594</v>
      </c>
      <c r="G9393" s="52">
        <v>161601.09364208599</v>
      </c>
      <c r="H9393" s="56">
        <v>5.8260086272972376E-2</v>
      </c>
      <c r="I9393" s="224" t="s">
        <v>2</v>
      </c>
    </row>
    <row r="9394" spans="1:9" x14ac:dyDescent="0.25">
      <c r="A9394" s="515">
        <v>39455</v>
      </c>
      <c r="B9394" s="515" t="s">
        <v>1074</v>
      </c>
      <c r="C9394" s="52">
        <v>143863.87080166399</v>
      </c>
      <c r="D9394" s="56">
        <v>6.1111150951555053E-3</v>
      </c>
      <c r="E9394" s="224" t="s">
        <v>2</v>
      </c>
      <c r="F9394" s="515" t="s">
        <v>10595</v>
      </c>
      <c r="G9394" s="52">
        <v>620900.17265824298</v>
      </c>
      <c r="H9394" s="56">
        <v>0.11131040933039134</v>
      </c>
      <c r="I9394" s="224" t="s">
        <v>2</v>
      </c>
    </row>
    <row r="9395" spans="1:9" x14ac:dyDescent="0.25">
      <c r="A9395" s="515">
        <v>78003</v>
      </c>
      <c r="B9395" s="515" t="s">
        <v>717</v>
      </c>
      <c r="C9395" s="52">
        <v>350887.63454187202</v>
      </c>
      <c r="D9395" s="56">
        <v>8.2029096580879091E-2</v>
      </c>
      <c r="E9395" s="224" t="s">
        <v>2</v>
      </c>
      <c r="F9395" s="515" t="s">
        <v>10596</v>
      </c>
      <c r="G9395" s="52">
        <v>176284.796268548</v>
      </c>
      <c r="H9395" s="56">
        <v>5.1949688068202812E-2</v>
      </c>
      <c r="I9395" s="224" t="s">
        <v>2</v>
      </c>
    </row>
    <row r="9396" spans="1:9" x14ac:dyDescent="0.25">
      <c r="A9396" s="515">
        <v>74437</v>
      </c>
      <c r="B9396" s="515" t="s">
        <v>348</v>
      </c>
      <c r="C9396" s="52">
        <v>89917.775135184798</v>
      </c>
      <c r="D9396" s="56">
        <v>0.14450482447591173</v>
      </c>
      <c r="E9396" s="224" t="s">
        <v>2</v>
      </c>
      <c r="F9396" s="515" t="s">
        <v>10597</v>
      </c>
      <c r="G9396" s="52">
        <v>430189.71787488402</v>
      </c>
      <c r="H9396" s="56">
        <v>6.6935721561317121E-2</v>
      </c>
      <c r="I9396" s="224" t="s">
        <v>2</v>
      </c>
    </row>
    <row r="9397" spans="1:9" x14ac:dyDescent="0.25">
      <c r="A9397" s="515">
        <v>33480</v>
      </c>
      <c r="B9397" s="515" t="s">
        <v>831</v>
      </c>
      <c r="C9397" s="52">
        <v>1232427.36894858</v>
      </c>
      <c r="D9397" s="56">
        <v>0.34134291626419422</v>
      </c>
      <c r="E9397" s="224">
        <v>5438.25</v>
      </c>
      <c r="F9397" s="515" t="s">
        <v>10598</v>
      </c>
      <c r="G9397" s="52">
        <v>236821.83956934401</v>
      </c>
      <c r="H9397" s="56">
        <v>4.9704920037383173E-2</v>
      </c>
      <c r="I9397" s="224" t="s">
        <v>2</v>
      </c>
    </row>
    <row r="9398" spans="1:9" x14ac:dyDescent="0.25">
      <c r="A9398" s="515">
        <v>72834</v>
      </c>
      <c r="B9398" s="515" t="s">
        <v>636</v>
      </c>
      <c r="C9398" s="52">
        <v>138107.04407784701</v>
      </c>
      <c r="D9398" s="56">
        <v>4.7036445705102382E-2</v>
      </c>
      <c r="E9398" s="224" t="s">
        <v>2</v>
      </c>
      <c r="F9398" s="515" t="s">
        <v>10599</v>
      </c>
      <c r="G9398" s="52">
        <v>122038.855275308</v>
      </c>
      <c r="H9398" s="56">
        <v>-4.2591434141546002E-2</v>
      </c>
      <c r="I9398" s="224" t="s">
        <v>2</v>
      </c>
    </row>
    <row r="9399" spans="1:9" x14ac:dyDescent="0.25">
      <c r="A9399" s="515">
        <v>2885</v>
      </c>
      <c r="B9399" s="515" t="s">
        <v>513</v>
      </c>
      <c r="C9399" s="52">
        <v>420149.64711718197</v>
      </c>
      <c r="D9399" s="56">
        <v>7.3750290291130297E-2</v>
      </c>
      <c r="E9399" s="224">
        <v>1850</v>
      </c>
      <c r="F9399" s="515" t="s">
        <v>10600</v>
      </c>
      <c r="G9399" s="52">
        <v>327977.66088506801</v>
      </c>
      <c r="H9399" s="56">
        <v>6.0768827539344053E-2</v>
      </c>
      <c r="I9399" s="224" t="s">
        <v>2</v>
      </c>
    </row>
    <row r="9400" spans="1:9" x14ac:dyDescent="0.25">
      <c r="A9400" s="515">
        <v>16901</v>
      </c>
      <c r="C9400" s="52">
        <v>210089.80689996699</v>
      </c>
      <c r="D9400" s="56">
        <v>9.4837037808318495E-2</v>
      </c>
      <c r="E9400" s="224" t="s">
        <v>2</v>
      </c>
      <c r="F9400" s="515" t="s">
        <v>10601</v>
      </c>
      <c r="G9400" s="52">
        <v>931434.74443237297</v>
      </c>
      <c r="H9400" s="56">
        <v>5.5985511729953169E-2</v>
      </c>
      <c r="I9400" s="224" t="s">
        <v>2</v>
      </c>
    </row>
    <row r="9401" spans="1:9" x14ac:dyDescent="0.25">
      <c r="A9401" s="515">
        <v>43103</v>
      </c>
      <c r="B9401" s="515" t="s">
        <v>345</v>
      </c>
      <c r="C9401" s="52">
        <v>297388.51273013599</v>
      </c>
      <c r="D9401" s="56">
        <v>0.10335266552493248</v>
      </c>
      <c r="E9401" s="224" t="s">
        <v>2</v>
      </c>
      <c r="F9401" s="515" t="s">
        <v>10602</v>
      </c>
      <c r="G9401" s="52">
        <v>258542.54497429499</v>
      </c>
      <c r="H9401" s="56">
        <v>5.7792945855374415E-2</v>
      </c>
      <c r="I9401" s="224" t="s">
        <v>2</v>
      </c>
    </row>
    <row r="9402" spans="1:9" x14ac:dyDescent="0.25">
      <c r="A9402" s="515">
        <v>60083</v>
      </c>
      <c r="B9402" s="515" t="s">
        <v>394</v>
      </c>
      <c r="C9402" s="52">
        <v>306885.54893561901</v>
      </c>
      <c r="D9402" s="56">
        <v>7.0818726408561711E-2</v>
      </c>
      <c r="E9402" s="224" t="s">
        <v>2</v>
      </c>
      <c r="F9402" s="515" t="s">
        <v>10603</v>
      </c>
      <c r="G9402" s="52">
        <v>265156.18654944701</v>
      </c>
      <c r="H9402" s="56">
        <v>4.4902595091511448E-3</v>
      </c>
      <c r="I9402" s="224" t="s">
        <v>2</v>
      </c>
    </row>
    <row r="9403" spans="1:9" x14ac:dyDescent="0.25">
      <c r="A9403" s="515">
        <v>14208</v>
      </c>
      <c r="B9403" s="515" t="s">
        <v>336</v>
      </c>
      <c r="C9403" s="52">
        <v>131687.90686411</v>
      </c>
      <c r="D9403" s="56">
        <v>0.17396919530052901</v>
      </c>
      <c r="E9403" s="224">
        <v>1475</v>
      </c>
      <c r="F9403" s="515" t="s">
        <v>10604</v>
      </c>
      <c r="G9403" s="52">
        <v>403720.30237175198</v>
      </c>
      <c r="H9403" s="56">
        <v>4.3592333504739851E-2</v>
      </c>
      <c r="I9403" s="224" t="s">
        <v>2</v>
      </c>
    </row>
    <row r="9404" spans="1:9" x14ac:dyDescent="0.25">
      <c r="A9404" s="515">
        <v>86327</v>
      </c>
      <c r="B9404" s="515" t="s">
        <v>332</v>
      </c>
      <c r="C9404" s="52">
        <v>435142.65920783201</v>
      </c>
      <c r="D9404" s="56">
        <v>1.2968041215480354E-2</v>
      </c>
      <c r="E9404" s="224" t="s">
        <v>2</v>
      </c>
      <c r="F9404" s="515" t="s">
        <v>10605</v>
      </c>
      <c r="G9404" s="52">
        <v>285056.26782550698</v>
      </c>
      <c r="H9404" s="56">
        <v>0.20451331349954893</v>
      </c>
      <c r="I9404" s="224" t="s">
        <v>2</v>
      </c>
    </row>
    <row r="9405" spans="1:9" x14ac:dyDescent="0.25">
      <c r="A9405" s="515">
        <v>30755</v>
      </c>
      <c r="B9405" s="515" t="s">
        <v>769</v>
      </c>
      <c r="C9405" s="52">
        <v>196386.79883446399</v>
      </c>
      <c r="D9405" s="56">
        <v>7.1046793348070472E-2</v>
      </c>
      <c r="E9405" s="224" t="s">
        <v>2</v>
      </c>
      <c r="F9405" s="515" t="s">
        <v>10606</v>
      </c>
      <c r="G9405" s="52">
        <v>734360.70129766304</v>
      </c>
      <c r="H9405" s="56">
        <v>-4.8896004602636736E-3</v>
      </c>
      <c r="I9405" s="224">
        <v>1924.7037037037001</v>
      </c>
    </row>
    <row r="9406" spans="1:9" x14ac:dyDescent="0.25">
      <c r="A9406" s="515">
        <v>46567</v>
      </c>
      <c r="B9406" s="515" t="s">
        <v>1127</v>
      </c>
      <c r="C9406" s="52">
        <v>309498.60287940199</v>
      </c>
      <c r="D9406" s="56">
        <v>8.2710201787192253E-2</v>
      </c>
      <c r="E9406" s="224" t="s">
        <v>2</v>
      </c>
      <c r="F9406" s="515" t="s">
        <v>10607</v>
      </c>
      <c r="G9406" s="52">
        <v>272208.37154769001</v>
      </c>
      <c r="H9406" s="56">
        <v>0.11661564762785843</v>
      </c>
      <c r="I9406" s="224" t="s">
        <v>2</v>
      </c>
    </row>
    <row r="9407" spans="1:9" x14ac:dyDescent="0.25">
      <c r="A9407" s="515">
        <v>18954</v>
      </c>
      <c r="B9407" s="515" t="s">
        <v>294</v>
      </c>
      <c r="C9407" s="52">
        <v>597631.800791046</v>
      </c>
      <c r="D9407" s="56">
        <v>7.7583782419447328E-2</v>
      </c>
      <c r="E9407" s="224" t="s">
        <v>2</v>
      </c>
      <c r="F9407" s="515" t="s">
        <v>10608</v>
      </c>
      <c r="G9407" s="52">
        <v>188498.887133182</v>
      </c>
      <c r="H9407" s="56">
        <v>0</v>
      </c>
      <c r="I9407" s="224" t="s">
        <v>2</v>
      </c>
    </row>
    <row r="9408" spans="1:9" x14ac:dyDescent="0.25">
      <c r="A9408" s="515">
        <v>99518</v>
      </c>
      <c r="B9408" s="515" t="s">
        <v>405</v>
      </c>
      <c r="C9408" s="52">
        <v>286768.03073666</v>
      </c>
      <c r="D9408" s="56">
        <v>3.9336192823685917E-2</v>
      </c>
      <c r="E9408" s="224" t="s">
        <v>2</v>
      </c>
      <c r="F9408" s="515" t="s">
        <v>10609</v>
      </c>
      <c r="G9408" s="52">
        <v>171574.38746312799</v>
      </c>
      <c r="H9408" s="56">
        <v>0.17503663275024223</v>
      </c>
      <c r="I9408" s="224" t="s">
        <v>2</v>
      </c>
    </row>
    <row r="9409" spans="1:9" x14ac:dyDescent="0.25">
      <c r="A9409" s="515">
        <v>49007</v>
      </c>
      <c r="B9409" s="515" t="s">
        <v>1037</v>
      </c>
      <c r="C9409" s="52">
        <v>93963.182729829205</v>
      </c>
      <c r="D9409" s="56">
        <v>0.11322837460286843</v>
      </c>
      <c r="E9409" s="224">
        <v>1434.68253968253</v>
      </c>
      <c r="F9409" s="515" t="s">
        <v>10610</v>
      </c>
      <c r="G9409" s="52">
        <v>740753.23780429095</v>
      </c>
      <c r="H9409" s="56">
        <v>8.8378560269534695E-2</v>
      </c>
      <c r="I9409" s="224" t="s">
        <v>2</v>
      </c>
    </row>
    <row r="9410" spans="1:9" x14ac:dyDescent="0.25">
      <c r="A9410" s="515">
        <v>31620</v>
      </c>
      <c r="C9410" s="52">
        <v>133342.19950986301</v>
      </c>
      <c r="D9410" s="56">
        <v>8.5238584925692321E-2</v>
      </c>
      <c r="E9410" s="224" t="s">
        <v>2</v>
      </c>
      <c r="F9410" s="515" t="s">
        <v>10611</v>
      </c>
      <c r="G9410" s="52">
        <v>139907.81681416801</v>
      </c>
      <c r="H9410" s="56">
        <v>6.4388956024553287E-2</v>
      </c>
      <c r="I9410" s="224" t="s">
        <v>2</v>
      </c>
    </row>
    <row r="9411" spans="1:9" x14ac:dyDescent="0.25">
      <c r="A9411" s="515">
        <v>14212</v>
      </c>
      <c r="B9411" s="515" t="s">
        <v>336</v>
      </c>
      <c r="C9411" s="52">
        <v>130853.603825235</v>
      </c>
      <c r="D9411" s="56">
        <v>0.17256921009978562</v>
      </c>
      <c r="E9411" s="224" t="s">
        <v>2</v>
      </c>
      <c r="F9411" s="515" t="s">
        <v>10612</v>
      </c>
      <c r="G9411" s="52">
        <v>541359.00344583101</v>
      </c>
      <c r="H9411" s="56">
        <v>1.454827928194268E-2</v>
      </c>
      <c r="I9411" s="224" t="s">
        <v>2</v>
      </c>
    </row>
    <row r="9412" spans="1:9" x14ac:dyDescent="0.25">
      <c r="A9412" s="515">
        <v>71119</v>
      </c>
      <c r="B9412" s="515" t="s">
        <v>739</v>
      </c>
      <c r="C9412" s="52">
        <v>174042.79693862301</v>
      </c>
      <c r="D9412" s="56">
        <v>5.6867703791504E-2</v>
      </c>
      <c r="E9412" s="224" t="s">
        <v>2</v>
      </c>
      <c r="F9412" s="515" t="s">
        <v>10613</v>
      </c>
      <c r="G9412" s="52">
        <v>352301.86686933698</v>
      </c>
      <c r="H9412" s="56">
        <v>7.7387436126038406E-2</v>
      </c>
      <c r="I9412" s="224" t="s">
        <v>2</v>
      </c>
    </row>
    <row r="9413" spans="1:9" x14ac:dyDescent="0.25">
      <c r="A9413" s="515">
        <v>27052</v>
      </c>
      <c r="B9413" s="515" t="s">
        <v>735</v>
      </c>
      <c r="C9413" s="52">
        <v>181908.17023019501</v>
      </c>
      <c r="D9413" s="56">
        <v>0.13608582436583616</v>
      </c>
      <c r="E9413" s="224" t="s">
        <v>2</v>
      </c>
      <c r="F9413" s="515" t="s">
        <v>10614</v>
      </c>
      <c r="G9413" s="52">
        <v>117353.916080346</v>
      </c>
      <c r="H9413" s="56">
        <v>0.13567169284603239</v>
      </c>
      <c r="I9413" s="224" t="s">
        <v>2</v>
      </c>
    </row>
    <row r="9414" spans="1:9" x14ac:dyDescent="0.25">
      <c r="A9414" s="515">
        <v>83333</v>
      </c>
      <c r="B9414" s="515" t="s">
        <v>595</v>
      </c>
      <c r="C9414" s="52">
        <v>711431.91651706095</v>
      </c>
      <c r="D9414" s="56">
        <v>3.8320968867013278E-2</v>
      </c>
      <c r="E9414" s="224" t="s">
        <v>2</v>
      </c>
      <c r="F9414" s="515" t="s">
        <v>10615</v>
      </c>
      <c r="G9414" s="52">
        <v>345795.11364851397</v>
      </c>
      <c r="H9414" s="56">
        <v>7.9084173476009073E-2</v>
      </c>
      <c r="I9414" s="224">
        <v>1700</v>
      </c>
    </row>
    <row r="9415" spans="1:9" x14ac:dyDescent="0.25">
      <c r="A9415" s="515">
        <v>35125</v>
      </c>
      <c r="B9415" s="515" t="s">
        <v>640</v>
      </c>
      <c r="C9415" s="52">
        <v>196693.75476717899</v>
      </c>
      <c r="D9415" s="56">
        <v>5.8026376067333081E-2</v>
      </c>
      <c r="E9415" s="224" t="s">
        <v>2</v>
      </c>
      <c r="F9415" s="515" t="s">
        <v>10616</v>
      </c>
      <c r="G9415" s="52">
        <v>147125.142132815</v>
      </c>
      <c r="H9415" s="56">
        <v>9.0191363276630437E-2</v>
      </c>
      <c r="I9415" s="224" t="s">
        <v>2</v>
      </c>
    </row>
    <row r="9416" spans="1:9" x14ac:dyDescent="0.25">
      <c r="A9416" s="515">
        <v>47122</v>
      </c>
      <c r="B9416" s="515" t="s">
        <v>479</v>
      </c>
      <c r="C9416" s="52">
        <v>286801.72815770801</v>
      </c>
      <c r="D9416" s="56">
        <v>5.4413517823282742E-2</v>
      </c>
      <c r="E9416" s="224" t="s">
        <v>2</v>
      </c>
      <c r="F9416" s="515" t="s">
        <v>10617</v>
      </c>
      <c r="G9416" s="52">
        <v>125783.67944527</v>
      </c>
      <c r="H9416" s="56">
        <v>4.4409169231563191E-2</v>
      </c>
      <c r="I9416" s="224" t="s">
        <v>2</v>
      </c>
    </row>
    <row r="9417" spans="1:9" x14ac:dyDescent="0.25">
      <c r="A9417" s="515">
        <v>2568</v>
      </c>
      <c r="B9417" s="515" t="s">
        <v>325</v>
      </c>
      <c r="C9417" s="52">
        <v>1180942.3201023899</v>
      </c>
      <c r="D9417" s="56">
        <v>0.13234593824460161</v>
      </c>
      <c r="E9417" s="224" t="s">
        <v>2</v>
      </c>
      <c r="F9417" s="515" t="s">
        <v>10618</v>
      </c>
      <c r="G9417" s="52">
        <v>196810.519466239</v>
      </c>
      <c r="H9417" s="56">
        <v>6.3929492225037438E-2</v>
      </c>
      <c r="I9417" s="224" t="s">
        <v>2</v>
      </c>
    </row>
    <row r="9418" spans="1:9" x14ac:dyDescent="0.25">
      <c r="A9418" s="515">
        <v>45764</v>
      </c>
      <c r="B9418" s="515" t="s">
        <v>578</v>
      </c>
      <c r="C9418" s="52">
        <v>90079.414404929601</v>
      </c>
      <c r="D9418" s="56">
        <v>0.12058718293719088</v>
      </c>
      <c r="E9418" s="224" t="s">
        <v>2</v>
      </c>
      <c r="F9418" s="515" t="s">
        <v>10619</v>
      </c>
      <c r="G9418" s="52">
        <v>189632.403639867</v>
      </c>
      <c r="H9418" s="56">
        <v>0.13044656239510732</v>
      </c>
      <c r="I9418" s="224" t="s">
        <v>2</v>
      </c>
    </row>
    <row r="9419" spans="1:9" x14ac:dyDescent="0.25">
      <c r="A9419" s="515">
        <v>70529</v>
      </c>
      <c r="B9419" s="515" t="s">
        <v>1004</v>
      </c>
      <c r="C9419" s="52">
        <v>177786.23507314301</v>
      </c>
      <c r="D9419" s="56">
        <v>1.2927678092655315E-2</v>
      </c>
      <c r="E9419" s="224" t="s">
        <v>2</v>
      </c>
      <c r="F9419" s="515" t="s">
        <v>10620</v>
      </c>
      <c r="G9419" s="52">
        <v>462408.285501256</v>
      </c>
      <c r="H9419" s="56">
        <v>5.1958974031296463E-2</v>
      </c>
      <c r="I9419" s="224" t="s">
        <v>2</v>
      </c>
    </row>
    <row r="9420" spans="1:9" x14ac:dyDescent="0.25">
      <c r="A9420" s="515">
        <v>12571</v>
      </c>
      <c r="B9420" s="515" t="s">
        <v>529</v>
      </c>
      <c r="C9420" s="52">
        <v>440089.13892166398</v>
      </c>
      <c r="D9420" s="56">
        <v>0.13096762040096821</v>
      </c>
      <c r="E9420" s="224" t="s">
        <v>2</v>
      </c>
      <c r="F9420" s="515" t="s">
        <v>10621</v>
      </c>
      <c r="G9420" s="52">
        <v>309689.43264523498</v>
      </c>
      <c r="H9420" s="56">
        <v>0.11077665507914802</v>
      </c>
      <c r="I9420" s="224" t="s">
        <v>2</v>
      </c>
    </row>
    <row r="9421" spans="1:9" x14ac:dyDescent="0.25">
      <c r="A9421" s="515">
        <v>28460</v>
      </c>
      <c r="B9421" s="515" t="s">
        <v>1153</v>
      </c>
      <c r="C9421" s="52">
        <v>370236.44433637901</v>
      </c>
      <c r="D9421" s="56">
        <v>0.15143864357450598</v>
      </c>
      <c r="E9421" s="224">
        <v>1747.2222222222199</v>
      </c>
      <c r="F9421" s="515" t="s">
        <v>10622</v>
      </c>
      <c r="G9421" s="52">
        <v>120446.55026642801</v>
      </c>
      <c r="H9421" s="56">
        <v>0.16910536394335188</v>
      </c>
      <c r="I9421" s="224" t="s">
        <v>2</v>
      </c>
    </row>
    <row r="9422" spans="1:9" x14ac:dyDescent="0.25">
      <c r="A9422" s="515">
        <v>46506</v>
      </c>
      <c r="B9422" s="515" t="s">
        <v>342</v>
      </c>
      <c r="C9422" s="52">
        <v>226583.93900523399</v>
      </c>
      <c r="D9422" s="56">
        <v>4.5731930682331411E-2</v>
      </c>
      <c r="E9422" s="224" t="s">
        <v>2</v>
      </c>
      <c r="F9422" s="515" t="s">
        <v>10623</v>
      </c>
      <c r="G9422" s="52">
        <v>105982.486406732</v>
      </c>
      <c r="H9422" s="56">
        <v>0.10192349239520583</v>
      </c>
      <c r="I9422" s="224" t="s">
        <v>2</v>
      </c>
    </row>
    <row r="9423" spans="1:9" x14ac:dyDescent="0.25">
      <c r="A9423" s="515">
        <v>4473</v>
      </c>
      <c r="B9423" s="515" t="s">
        <v>792</v>
      </c>
      <c r="C9423" s="52">
        <v>271040.49045953201</v>
      </c>
      <c r="D9423" s="56">
        <v>8.9183316868480508E-2</v>
      </c>
      <c r="E9423" s="224" t="s">
        <v>2</v>
      </c>
      <c r="F9423" s="515" t="s">
        <v>10624</v>
      </c>
      <c r="G9423" s="52">
        <v>103240.216128888</v>
      </c>
      <c r="H9423" s="56">
        <v>8.2511668983729539E-2</v>
      </c>
      <c r="I9423" s="224" t="s">
        <v>2</v>
      </c>
    </row>
    <row r="9424" spans="1:9" x14ac:dyDescent="0.25">
      <c r="A9424" s="515">
        <v>27376</v>
      </c>
      <c r="B9424" s="515" t="s">
        <v>1090</v>
      </c>
      <c r="C9424" s="52">
        <v>377145.20209782402</v>
      </c>
      <c r="D9424" s="56">
        <v>0.15082769398515106</v>
      </c>
      <c r="E9424" s="224" t="s">
        <v>2</v>
      </c>
      <c r="F9424" s="515" t="s">
        <v>10625</v>
      </c>
      <c r="G9424" s="52">
        <v>408420.58589014399</v>
      </c>
      <c r="H9424" s="56">
        <v>0.16517140493062241</v>
      </c>
      <c r="I9424" s="224" t="s">
        <v>2</v>
      </c>
    </row>
    <row r="9425" spans="1:9" x14ac:dyDescent="0.25">
      <c r="A9425" s="515">
        <v>28721</v>
      </c>
      <c r="B9425" s="515" t="s">
        <v>668</v>
      </c>
      <c r="C9425" s="52">
        <v>294034.21116656502</v>
      </c>
      <c r="D9425" s="56">
        <v>6.9026921762228258E-2</v>
      </c>
      <c r="E9425" s="224" t="s">
        <v>2</v>
      </c>
      <c r="F9425" s="515" t="s">
        <v>10626</v>
      </c>
      <c r="G9425" s="52">
        <v>293499.72996850399</v>
      </c>
      <c r="H9425" s="56">
        <v>7.289981902660321E-2</v>
      </c>
      <c r="I9425" s="224" t="s">
        <v>2</v>
      </c>
    </row>
    <row r="9426" spans="1:9" x14ac:dyDescent="0.25">
      <c r="A9426" s="515">
        <v>47446</v>
      </c>
      <c r="B9426" s="515" t="s">
        <v>881</v>
      </c>
      <c r="C9426" s="52">
        <v>157524.044809616</v>
      </c>
      <c r="D9426" s="56">
        <v>6.8575654541916747E-2</v>
      </c>
      <c r="E9426" s="224" t="s">
        <v>2</v>
      </c>
      <c r="F9426" s="515" t="s">
        <v>10627</v>
      </c>
      <c r="G9426" s="52">
        <v>478765.398050858</v>
      </c>
      <c r="H9426" s="56">
        <v>3.7558466827231858E-2</v>
      </c>
      <c r="I9426" s="224" t="s">
        <v>2</v>
      </c>
    </row>
    <row r="9427" spans="1:9" x14ac:dyDescent="0.25">
      <c r="A9427" s="515">
        <v>73078</v>
      </c>
      <c r="B9427" s="515" t="s">
        <v>385</v>
      </c>
      <c r="C9427" s="52">
        <v>297426.02531527402</v>
      </c>
      <c r="D9427" s="56">
        <v>8.4750992498582173E-2</v>
      </c>
      <c r="E9427" s="224">
        <v>1465</v>
      </c>
      <c r="F9427" s="515" t="s">
        <v>10628</v>
      </c>
      <c r="G9427" s="52">
        <v>370815.23055378499</v>
      </c>
      <c r="H9427" s="56">
        <v>6.9125790461570247E-2</v>
      </c>
      <c r="I9427" s="224" t="s">
        <v>2</v>
      </c>
    </row>
    <row r="9428" spans="1:9" x14ac:dyDescent="0.25">
      <c r="A9428" s="515">
        <v>87571</v>
      </c>
      <c r="B9428" s="515" t="s">
        <v>481</v>
      </c>
      <c r="C9428" s="52">
        <v>380272.88571382698</v>
      </c>
      <c r="D9428" s="56">
        <v>2.9206819971705086E-2</v>
      </c>
      <c r="E9428" s="224" t="s">
        <v>2</v>
      </c>
      <c r="F9428" s="515" t="s">
        <v>10629</v>
      </c>
      <c r="G9428" s="52">
        <v>96091.780586879002</v>
      </c>
      <c r="H9428" s="56">
        <v>7.8381071012689887E-2</v>
      </c>
      <c r="I9428" s="224" t="s">
        <v>2</v>
      </c>
    </row>
    <row r="9429" spans="1:9" x14ac:dyDescent="0.25">
      <c r="A9429" s="515">
        <v>22960</v>
      </c>
      <c r="C9429" s="52">
        <v>268654.15219634201</v>
      </c>
      <c r="D9429" s="56">
        <v>5.7257585322578269E-2</v>
      </c>
      <c r="E9429" s="224" t="s">
        <v>2</v>
      </c>
      <c r="F9429" s="515" t="s">
        <v>10630</v>
      </c>
      <c r="G9429" s="52">
        <v>314330.08965948102</v>
      </c>
      <c r="H9429" s="56">
        <v>4.637155812055023E-2</v>
      </c>
      <c r="I9429" s="224" t="s">
        <v>2</v>
      </c>
    </row>
    <row r="9430" spans="1:9" x14ac:dyDescent="0.25">
      <c r="A9430" s="515">
        <v>14454</v>
      </c>
      <c r="B9430" s="515" t="s">
        <v>337</v>
      </c>
      <c r="C9430" s="52">
        <v>255358.360487964</v>
      </c>
      <c r="D9430" s="56">
        <v>8.4511186504108785E-2</v>
      </c>
      <c r="E9430" s="224" t="s">
        <v>2</v>
      </c>
      <c r="F9430" s="515" t="s">
        <v>10631</v>
      </c>
      <c r="G9430" s="52">
        <v>731508.97419108497</v>
      </c>
      <c r="H9430" s="56">
        <v>6.0948645826711528E-2</v>
      </c>
      <c r="I9430" s="224" t="s">
        <v>2</v>
      </c>
    </row>
    <row r="9431" spans="1:9" x14ac:dyDescent="0.25">
      <c r="A9431" s="515">
        <v>39581</v>
      </c>
      <c r="B9431" s="515" t="s">
        <v>963</v>
      </c>
      <c r="C9431" s="52">
        <v>121183.233136985</v>
      </c>
      <c r="D9431" s="56">
        <v>7.6090861200782386E-2</v>
      </c>
      <c r="E9431" s="224" t="s">
        <v>2</v>
      </c>
      <c r="F9431" s="515" t="s">
        <v>10632</v>
      </c>
      <c r="G9431" s="52">
        <v>152678.131502695</v>
      </c>
      <c r="H9431" s="56">
        <v>4.1061367418766995E-2</v>
      </c>
      <c r="I9431" s="224" t="s">
        <v>2</v>
      </c>
    </row>
    <row r="9432" spans="1:9" x14ac:dyDescent="0.25">
      <c r="A9432" s="515">
        <v>71351</v>
      </c>
      <c r="C9432" s="52"/>
      <c r="D9432" s="56">
        <v>0</v>
      </c>
      <c r="E9432" s="224" t="s">
        <v>2</v>
      </c>
      <c r="F9432" s="515" t="s">
        <v>10633</v>
      </c>
      <c r="G9432" s="52">
        <v>111426.12707011501</v>
      </c>
      <c r="H9432" s="56">
        <v>7.825274293653843E-2</v>
      </c>
      <c r="I9432" s="224" t="s">
        <v>2</v>
      </c>
    </row>
    <row r="9433" spans="1:9" x14ac:dyDescent="0.25">
      <c r="A9433" s="515">
        <v>5408</v>
      </c>
      <c r="B9433" s="515" t="s">
        <v>441</v>
      </c>
      <c r="C9433" s="52">
        <v>413106.12697104999</v>
      </c>
      <c r="D9433" s="56">
        <v>0.11715928449187026</v>
      </c>
      <c r="E9433" s="224" t="s">
        <v>2</v>
      </c>
      <c r="F9433" s="515" t="s">
        <v>10634</v>
      </c>
      <c r="G9433" s="52">
        <v>130957.94561867201</v>
      </c>
      <c r="H9433" s="56">
        <v>9.2564567985615034E-2</v>
      </c>
      <c r="I9433" s="224" t="s">
        <v>2</v>
      </c>
    </row>
    <row r="9434" spans="1:9" x14ac:dyDescent="0.25">
      <c r="A9434" s="515">
        <v>72114</v>
      </c>
      <c r="B9434" s="515" t="s">
        <v>393</v>
      </c>
      <c r="C9434" s="52">
        <v>69199.551448437196</v>
      </c>
      <c r="D9434" s="56">
        <v>0.31667787250018054</v>
      </c>
      <c r="E9434" s="224">
        <v>776.83333333333303</v>
      </c>
      <c r="F9434" s="515" t="s">
        <v>10635</v>
      </c>
      <c r="G9434" s="52">
        <v>139353.29962808601</v>
      </c>
      <c r="H9434" s="56">
        <v>3.4483782832146988E-2</v>
      </c>
      <c r="I9434" s="224" t="s">
        <v>2</v>
      </c>
    </row>
    <row r="9435" spans="1:9" x14ac:dyDescent="0.25">
      <c r="A9435" s="515">
        <v>3077</v>
      </c>
      <c r="B9435" s="515" t="s">
        <v>534</v>
      </c>
      <c r="C9435" s="52">
        <v>390098.13147231098</v>
      </c>
      <c r="D9435" s="56">
        <v>0.11994577787766034</v>
      </c>
      <c r="E9435" s="224" t="s">
        <v>2</v>
      </c>
      <c r="F9435" s="515" t="s">
        <v>10636</v>
      </c>
      <c r="G9435" s="52">
        <v>486810.17949155398</v>
      </c>
      <c r="H9435" s="56">
        <v>4.2118121589705959E-2</v>
      </c>
      <c r="I9435" s="224" t="s">
        <v>2</v>
      </c>
    </row>
    <row r="9436" spans="1:9" x14ac:dyDescent="0.25">
      <c r="A9436" s="515">
        <v>49738</v>
      </c>
      <c r="C9436" s="52">
        <v>149220.754237955</v>
      </c>
      <c r="D9436" s="56">
        <v>8.1215132687588842E-2</v>
      </c>
      <c r="E9436" s="224" t="s">
        <v>2</v>
      </c>
      <c r="F9436" s="515" t="s">
        <v>10637</v>
      </c>
      <c r="G9436" s="52">
        <v>351897.92067931499</v>
      </c>
      <c r="H9436" s="56">
        <v>0.12886832688952787</v>
      </c>
      <c r="I9436" s="224" t="s">
        <v>2</v>
      </c>
    </row>
    <row r="9437" spans="1:9" x14ac:dyDescent="0.25">
      <c r="A9437" s="515">
        <v>64124</v>
      </c>
      <c r="B9437" s="515" t="s">
        <v>455</v>
      </c>
      <c r="C9437" s="52">
        <v>113969.806324872</v>
      </c>
      <c r="D9437" s="56">
        <v>8.6459718448171796E-2</v>
      </c>
      <c r="E9437" s="224" t="s">
        <v>2</v>
      </c>
      <c r="F9437" s="515" t="s">
        <v>10638</v>
      </c>
      <c r="G9437" s="52">
        <v>151407.51956602701</v>
      </c>
      <c r="H9437" s="56">
        <v>0.17018238740826352</v>
      </c>
      <c r="I9437" s="224" t="s">
        <v>2</v>
      </c>
    </row>
    <row r="9438" spans="1:9" x14ac:dyDescent="0.25">
      <c r="A9438" s="515">
        <v>78124</v>
      </c>
      <c r="B9438" s="515" t="s">
        <v>717</v>
      </c>
      <c r="C9438" s="52">
        <v>365403.03529695899</v>
      </c>
      <c r="D9438" s="56">
        <v>3.1277010973194887E-2</v>
      </c>
      <c r="E9438" s="224" t="s">
        <v>2</v>
      </c>
      <c r="F9438" s="515" t="s">
        <v>10639</v>
      </c>
      <c r="G9438" s="52">
        <v>155324.18205072</v>
      </c>
      <c r="H9438" s="56">
        <v>5.5630678390572064E-2</v>
      </c>
      <c r="I9438" s="224" t="s">
        <v>2</v>
      </c>
    </row>
    <row r="9439" spans="1:9" x14ac:dyDescent="0.25">
      <c r="A9439" s="515">
        <v>21617</v>
      </c>
      <c r="B9439" s="515" t="s">
        <v>582</v>
      </c>
      <c r="C9439" s="52">
        <v>447101.09827809402</v>
      </c>
      <c r="D9439" s="56">
        <v>3.7248702170033968E-2</v>
      </c>
      <c r="E9439" s="224" t="s">
        <v>2</v>
      </c>
      <c r="F9439" s="515" t="s">
        <v>10640</v>
      </c>
      <c r="G9439" s="52">
        <v>268480.12088466698</v>
      </c>
      <c r="H9439" s="56">
        <v>8.2263316484029139E-2</v>
      </c>
      <c r="I9439" s="224" t="s">
        <v>2</v>
      </c>
    </row>
    <row r="9440" spans="1:9" x14ac:dyDescent="0.25">
      <c r="A9440" s="515">
        <v>20732</v>
      </c>
      <c r="B9440" s="515" t="s">
        <v>321</v>
      </c>
      <c r="C9440" s="52">
        <v>408816.41963692597</v>
      </c>
      <c r="D9440" s="56">
        <v>2.4622930140165217E-2</v>
      </c>
      <c r="E9440" s="224" t="s">
        <v>2</v>
      </c>
      <c r="F9440" s="515" t="s">
        <v>10641</v>
      </c>
      <c r="G9440" s="52">
        <v>248792.09949909899</v>
      </c>
      <c r="H9440" s="56">
        <v>6.0878169729328357E-2</v>
      </c>
      <c r="I9440" s="224" t="s">
        <v>2</v>
      </c>
    </row>
    <row r="9441" spans="1:9" x14ac:dyDescent="0.25">
      <c r="A9441" s="515">
        <v>20736</v>
      </c>
      <c r="B9441" s="515" t="s">
        <v>321</v>
      </c>
      <c r="C9441" s="52">
        <v>548703.78079422901</v>
      </c>
      <c r="D9441" s="56">
        <v>2.6341295744537013E-2</v>
      </c>
      <c r="E9441" s="224" t="s">
        <v>2</v>
      </c>
      <c r="F9441" s="515" t="s">
        <v>10642</v>
      </c>
      <c r="G9441" s="52">
        <v>328589.48939638602</v>
      </c>
      <c r="H9441" s="56">
        <v>9.095494219899676E-2</v>
      </c>
      <c r="I9441" s="224" t="s">
        <v>2</v>
      </c>
    </row>
    <row r="9442" spans="1:9" x14ac:dyDescent="0.25">
      <c r="A9442" s="515">
        <v>19938</v>
      </c>
      <c r="B9442" s="515" t="s">
        <v>410</v>
      </c>
      <c r="C9442" s="52">
        <v>374742.45983307599</v>
      </c>
      <c r="D9442" s="56">
        <v>8.4504482016558177E-2</v>
      </c>
      <c r="E9442" s="224" t="s">
        <v>2</v>
      </c>
      <c r="F9442" s="515" t="s">
        <v>10643</v>
      </c>
      <c r="G9442" s="52">
        <v>142934.93179917001</v>
      </c>
      <c r="H9442" s="56">
        <v>4.4917894622211497E-2</v>
      </c>
      <c r="I9442" s="224" t="s">
        <v>2</v>
      </c>
    </row>
    <row r="9443" spans="1:9" x14ac:dyDescent="0.25">
      <c r="A9443" s="515">
        <v>94105</v>
      </c>
      <c r="B9443" s="515" t="s">
        <v>593</v>
      </c>
      <c r="C9443" s="52">
        <v>1074170.6852945699</v>
      </c>
      <c r="D9443" s="56">
        <v>-0.11072444091697216</v>
      </c>
      <c r="E9443" s="224">
        <v>4175.3863492063401</v>
      </c>
      <c r="F9443" s="515" t="s">
        <v>10644</v>
      </c>
      <c r="G9443" s="52">
        <v>254071.59228902499</v>
      </c>
      <c r="H9443" s="56">
        <v>5.7606676132456298E-2</v>
      </c>
      <c r="I9443" s="224" t="s">
        <v>2</v>
      </c>
    </row>
    <row r="9444" spans="1:9" x14ac:dyDescent="0.25">
      <c r="A9444" s="515">
        <v>81050</v>
      </c>
      <c r="C9444" s="52">
        <v>151046.29194076799</v>
      </c>
      <c r="D9444" s="56">
        <v>0.10460941213785503</v>
      </c>
      <c r="E9444" s="224" t="s">
        <v>2</v>
      </c>
      <c r="F9444" s="515" t="s">
        <v>10645</v>
      </c>
      <c r="G9444" s="52">
        <v>370974.52038534201</v>
      </c>
      <c r="H9444" s="56">
        <v>3.6349686929099331E-2</v>
      </c>
      <c r="I9444" s="224" t="s">
        <v>2</v>
      </c>
    </row>
    <row r="9445" spans="1:9" x14ac:dyDescent="0.25">
      <c r="A9445" s="515">
        <v>8406</v>
      </c>
      <c r="B9445" s="515" t="s">
        <v>800</v>
      </c>
      <c r="C9445" s="52">
        <v>448289.44772763998</v>
      </c>
      <c r="D9445" s="56">
        <v>0.13005347349009633</v>
      </c>
      <c r="E9445" s="224">
        <v>7519.4444444444398</v>
      </c>
      <c r="F9445" s="515" t="s">
        <v>10646</v>
      </c>
      <c r="G9445" s="52">
        <v>119519.330965021</v>
      </c>
      <c r="H9445" s="56">
        <v>5.6746434770733198E-2</v>
      </c>
      <c r="I9445" s="224" t="s">
        <v>2</v>
      </c>
    </row>
    <row r="9446" spans="1:9" x14ac:dyDescent="0.25">
      <c r="A9446" s="515">
        <v>72160</v>
      </c>
      <c r="C9446" s="52">
        <v>95385.848256138706</v>
      </c>
      <c r="D9446" s="56">
        <v>-2.6733545333024574E-2</v>
      </c>
      <c r="E9446" s="224" t="s">
        <v>2</v>
      </c>
      <c r="F9446" s="515" t="s">
        <v>10647</v>
      </c>
      <c r="G9446" s="52">
        <v>414892.83142388402</v>
      </c>
      <c r="H9446" s="56">
        <v>4.142505186697739E-2</v>
      </c>
      <c r="I9446" s="224" t="s">
        <v>2</v>
      </c>
    </row>
    <row r="9447" spans="1:9" x14ac:dyDescent="0.25">
      <c r="A9447" s="515">
        <v>75650</v>
      </c>
      <c r="B9447" s="515" t="s">
        <v>319</v>
      </c>
      <c r="C9447" s="52">
        <v>258744.40685153499</v>
      </c>
      <c r="D9447" s="56">
        <v>6.4190348344937836E-2</v>
      </c>
      <c r="E9447" s="224" t="s">
        <v>2</v>
      </c>
      <c r="F9447" s="515" t="s">
        <v>10648</v>
      </c>
      <c r="G9447" s="52">
        <v>124918.406819596</v>
      </c>
      <c r="H9447" s="56">
        <v>8.627828288933645E-2</v>
      </c>
      <c r="I9447" s="224" t="s">
        <v>2</v>
      </c>
    </row>
    <row r="9448" spans="1:9" x14ac:dyDescent="0.25">
      <c r="A9448" s="515">
        <v>35043</v>
      </c>
      <c r="B9448" s="515" t="s">
        <v>640</v>
      </c>
      <c r="C9448" s="52">
        <v>355921.24646668299</v>
      </c>
      <c r="D9448" s="56">
        <v>6.8457636134418326E-2</v>
      </c>
      <c r="E9448" s="224" t="s">
        <v>2</v>
      </c>
      <c r="F9448" s="515" t="s">
        <v>10649</v>
      </c>
      <c r="G9448" s="52">
        <v>461604.10930993501</v>
      </c>
      <c r="H9448" s="56">
        <v>6.9036321373822609E-2</v>
      </c>
      <c r="I9448" s="224" t="s">
        <v>2</v>
      </c>
    </row>
    <row r="9449" spans="1:9" x14ac:dyDescent="0.25">
      <c r="A9449" s="515">
        <v>21797</v>
      </c>
      <c r="B9449" s="515" t="s">
        <v>582</v>
      </c>
      <c r="C9449" s="52">
        <v>672282.22169981396</v>
      </c>
      <c r="D9449" s="56">
        <v>4.7448984245850465E-2</v>
      </c>
      <c r="E9449" s="224" t="s">
        <v>2</v>
      </c>
      <c r="F9449" s="515" t="s">
        <v>10650</v>
      </c>
      <c r="G9449" s="52">
        <v>213454.19813295899</v>
      </c>
      <c r="H9449" s="56">
        <v>9.6552280035241231E-2</v>
      </c>
      <c r="I9449" s="224" t="s">
        <v>2</v>
      </c>
    </row>
    <row r="9450" spans="1:9" x14ac:dyDescent="0.25">
      <c r="A9450" s="515">
        <v>39083</v>
      </c>
      <c r="B9450" s="515" t="s">
        <v>851</v>
      </c>
      <c r="C9450" s="52">
        <v>86103.623935854295</v>
      </c>
      <c r="D9450" s="56">
        <v>-2.0520919404169755E-2</v>
      </c>
      <c r="E9450" s="224" t="s">
        <v>2</v>
      </c>
      <c r="F9450" s="515" t="s">
        <v>10651</v>
      </c>
      <c r="G9450" s="52">
        <v>402374.62043229601</v>
      </c>
      <c r="H9450" s="56">
        <v>0.11591421836427916</v>
      </c>
      <c r="I9450" s="224" t="s">
        <v>2</v>
      </c>
    </row>
    <row r="9451" spans="1:9" x14ac:dyDescent="0.25">
      <c r="A9451" s="515">
        <v>79410</v>
      </c>
      <c r="B9451" s="515" t="s">
        <v>354</v>
      </c>
      <c r="C9451" s="52">
        <v>179852.06101482001</v>
      </c>
      <c r="D9451" s="56">
        <v>9.6292151473302501E-2</v>
      </c>
      <c r="E9451" s="224">
        <v>1388.5777777777701</v>
      </c>
      <c r="F9451" s="515" t="s">
        <v>10652</v>
      </c>
      <c r="G9451" s="52">
        <v>194521.604139423</v>
      </c>
      <c r="H9451" s="56">
        <v>8.1054108075719319E-2</v>
      </c>
      <c r="I9451" s="224" t="s">
        <v>2</v>
      </c>
    </row>
    <row r="9452" spans="1:9" x14ac:dyDescent="0.25">
      <c r="A9452" s="515">
        <v>6019</v>
      </c>
      <c r="B9452" s="515" t="s">
        <v>894</v>
      </c>
      <c r="C9452" s="52">
        <v>364932.199170665</v>
      </c>
      <c r="D9452" s="56">
        <v>7.5383054559157933E-2</v>
      </c>
      <c r="E9452" s="224" t="s">
        <v>2</v>
      </c>
      <c r="F9452" s="515" t="s">
        <v>10653</v>
      </c>
      <c r="G9452" s="52">
        <v>257427.47119474801</v>
      </c>
      <c r="H9452" s="56">
        <v>5.6291510797852273E-2</v>
      </c>
      <c r="I9452" s="224" t="s">
        <v>2</v>
      </c>
    </row>
    <row r="9453" spans="1:9" x14ac:dyDescent="0.25">
      <c r="A9453" s="515">
        <v>81082</v>
      </c>
      <c r="C9453" s="52">
        <v>223123.58811750199</v>
      </c>
      <c r="D9453" s="56">
        <v>0.10770605570903802</v>
      </c>
      <c r="E9453" s="224" t="s">
        <v>2</v>
      </c>
      <c r="F9453" s="515" t="s">
        <v>10654</v>
      </c>
      <c r="G9453" s="52">
        <v>232934.07968315401</v>
      </c>
      <c r="H9453" s="56">
        <v>0.11017736326536877</v>
      </c>
      <c r="I9453" s="224" t="s">
        <v>2</v>
      </c>
    </row>
    <row r="9454" spans="1:9" x14ac:dyDescent="0.25">
      <c r="A9454" s="515">
        <v>95386</v>
      </c>
      <c r="B9454" s="515" t="s">
        <v>797</v>
      </c>
      <c r="C9454" s="52">
        <v>389478.97876914003</v>
      </c>
      <c r="D9454" s="56">
        <v>5.287659491079743E-2</v>
      </c>
      <c r="E9454" s="224" t="s">
        <v>2</v>
      </c>
      <c r="F9454" s="515" t="s">
        <v>10655</v>
      </c>
      <c r="G9454" s="52">
        <v>685335.24821286998</v>
      </c>
      <c r="H9454" s="56">
        <v>6.1059003171287742E-2</v>
      </c>
      <c r="I9454" s="224" t="s">
        <v>2</v>
      </c>
    </row>
    <row r="9455" spans="1:9" x14ac:dyDescent="0.25">
      <c r="A9455" s="515">
        <v>19806</v>
      </c>
      <c r="B9455" s="515" t="s">
        <v>294</v>
      </c>
      <c r="C9455" s="52">
        <v>303370.353214406</v>
      </c>
      <c r="D9455" s="56">
        <v>5.6188004705205997E-2</v>
      </c>
      <c r="E9455" s="224">
        <v>1517.1428571428501</v>
      </c>
      <c r="F9455" s="515" t="s">
        <v>10656</v>
      </c>
      <c r="G9455" s="52">
        <v>76240.391974689395</v>
      </c>
      <c r="H9455" s="56">
        <v>0.14802827195962259</v>
      </c>
      <c r="I9455" s="224" t="s">
        <v>2</v>
      </c>
    </row>
    <row r="9456" spans="1:9" x14ac:dyDescent="0.25">
      <c r="A9456" s="515">
        <v>27608</v>
      </c>
      <c r="B9456" s="515" t="s">
        <v>484</v>
      </c>
      <c r="C9456" s="52">
        <v>855447.73044008401</v>
      </c>
      <c r="D9456" s="56">
        <v>7.4861269425307714E-2</v>
      </c>
      <c r="E9456" s="224">
        <v>2047.44444444444</v>
      </c>
      <c r="F9456" s="515" t="s">
        <v>10657</v>
      </c>
      <c r="G9456" s="52">
        <v>266437.73968253902</v>
      </c>
      <c r="H9456" s="56">
        <v>0</v>
      </c>
      <c r="I9456" s="224" t="s">
        <v>2</v>
      </c>
    </row>
    <row r="9457" spans="1:9" x14ac:dyDescent="0.25">
      <c r="A9457" s="515">
        <v>15003</v>
      </c>
      <c r="B9457" s="515" t="s">
        <v>297</v>
      </c>
      <c r="C9457" s="52">
        <v>120286.39815162199</v>
      </c>
      <c r="D9457" s="56">
        <v>8.1947507630280719E-2</v>
      </c>
      <c r="E9457" s="224" t="s">
        <v>2</v>
      </c>
      <c r="F9457" s="515" t="s">
        <v>10658</v>
      </c>
      <c r="G9457" s="52">
        <v>188205.67113976099</v>
      </c>
      <c r="H9457" s="56">
        <v>0.13168394347993237</v>
      </c>
      <c r="I9457" s="224" t="s">
        <v>2</v>
      </c>
    </row>
    <row r="9458" spans="1:9" x14ac:dyDescent="0.25">
      <c r="A9458" s="515">
        <v>35064</v>
      </c>
      <c r="B9458" s="515" t="s">
        <v>640</v>
      </c>
      <c r="C9458" s="52">
        <v>93293.844948865604</v>
      </c>
      <c r="D9458" s="56">
        <v>0.11324916210859845</v>
      </c>
      <c r="E9458" s="224">
        <v>1009.5</v>
      </c>
      <c r="F9458" s="515" t="s">
        <v>10659</v>
      </c>
      <c r="G9458" s="52">
        <v>267267.04210801102</v>
      </c>
      <c r="H9458" s="56">
        <v>0.10805278666774305</v>
      </c>
      <c r="I9458" s="224" t="s">
        <v>2</v>
      </c>
    </row>
    <row r="9459" spans="1:9" x14ac:dyDescent="0.25">
      <c r="A9459" s="515">
        <v>75762</v>
      </c>
      <c r="B9459" s="515" t="s">
        <v>1157</v>
      </c>
      <c r="C9459" s="52">
        <v>294053.77545674302</v>
      </c>
      <c r="D9459" s="56">
        <v>7.9084533808440161E-2</v>
      </c>
      <c r="E9459" s="224" t="s">
        <v>2</v>
      </c>
      <c r="F9459" s="515" t="s">
        <v>10660</v>
      </c>
      <c r="G9459" s="52">
        <v>135676.97295967001</v>
      </c>
      <c r="H9459" s="56">
        <v>0.10799850129303945</v>
      </c>
      <c r="I9459" s="224" t="s">
        <v>2</v>
      </c>
    </row>
    <row r="9460" spans="1:9" x14ac:dyDescent="0.25">
      <c r="A9460" s="515">
        <v>7936</v>
      </c>
      <c r="B9460" s="515" t="s">
        <v>324</v>
      </c>
      <c r="C9460" s="52">
        <v>649057.24359058903</v>
      </c>
      <c r="D9460" s="56">
        <v>5.289430536454115E-2</v>
      </c>
      <c r="E9460" s="224" t="s">
        <v>2</v>
      </c>
      <c r="F9460" s="515" t="s">
        <v>10661</v>
      </c>
      <c r="G9460" s="52">
        <v>283987.80931025097</v>
      </c>
      <c r="H9460" s="56">
        <v>0.10745763872187003</v>
      </c>
      <c r="I9460" s="224" t="s">
        <v>2</v>
      </c>
    </row>
    <row r="9461" spans="1:9" x14ac:dyDescent="0.25">
      <c r="A9461" s="515">
        <v>10595</v>
      </c>
      <c r="B9461" s="515" t="s">
        <v>324</v>
      </c>
      <c r="C9461" s="52">
        <v>703139.96885721805</v>
      </c>
      <c r="D9461" s="56">
        <v>7.3628338101748958E-2</v>
      </c>
      <c r="E9461" s="224" t="s">
        <v>2</v>
      </c>
      <c r="F9461" s="515" t="s">
        <v>10662</v>
      </c>
      <c r="G9461" s="52">
        <v>139244.576146893</v>
      </c>
      <c r="H9461" s="56">
        <v>1.8631869155703529E-2</v>
      </c>
      <c r="I9461" s="224" t="s">
        <v>2</v>
      </c>
    </row>
    <row r="9462" spans="1:9" x14ac:dyDescent="0.25">
      <c r="A9462" s="515">
        <v>52802</v>
      </c>
      <c r="B9462" s="515" t="s">
        <v>439</v>
      </c>
      <c r="C9462" s="52">
        <v>91402.529492953006</v>
      </c>
      <c r="D9462" s="56">
        <v>6.1369696125743563E-2</v>
      </c>
      <c r="E9462" s="224" t="s">
        <v>2</v>
      </c>
      <c r="F9462" s="515" t="s">
        <v>10663</v>
      </c>
      <c r="G9462" s="52">
        <v>213421.72114180701</v>
      </c>
      <c r="H9462" s="56">
        <v>6.3900148314052121E-2</v>
      </c>
      <c r="I9462" s="224" t="s">
        <v>2</v>
      </c>
    </row>
    <row r="9463" spans="1:9" x14ac:dyDescent="0.25">
      <c r="A9463" s="515">
        <v>45833</v>
      </c>
      <c r="B9463" s="515" t="s">
        <v>818</v>
      </c>
      <c r="C9463" s="52">
        <v>157685.422176055</v>
      </c>
      <c r="D9463" s="56">
        <v>9.0236728545423847E-2</v>
      </c>
      <c r="E9463" s="224" t="s">
        <v>2</v>
      </c>
      <c r="F9463" s="515" t="s">
        <v>10664</v>
      </c>
      <c r="G9463" s="52">
        <v>88938.727096869305</v>
      </c>
      <c r="H9463" s="56">
        <v>0</v>
      </c>
      <c r="I9463" s="224" t="s">
        <v>2</v>
      </c>
    </row>
    <row r="9464" spans="1:9" x14ac:dyDescent="0.25">
      <c r="A9464" s="515">
        <v>71852</v>
      </c>
      <c r="C9464" s="52">
        <v>129106.291593013</v>
      </c>
      <c r="D9464" s="56">
        <v>2.2833737771820444E-2</v>
      </c>
      <c r="E9464" s="224" t="s">
        <v>2</v>
      </c>
      <c r="F9464" s="515" t="s">
        <v>10665</v>
      </c>
      <c r="G9464" s="52">
        <v>253826.79976755899</v>
      </c>
      <c r="H9464" s="56">
        <v>0.11694226416054182</v>
      </c>
      <c r="I9464" s="224" t="s">
        <v>2</v>
      </c>
    </row>
    <row r="9465" spans="1:9" x14ac:dyDescent="0.25">
      <c r="A9465" s="515">
        <v>4090</v>
      </c>
      <c r="B9465" s="515" t="s">
        <v>570</v>
      </c>
      <c r="C9465" s="52">
        <v>461386.48788900801</v>
      </c>
      <c r="D9465" s="56">
        <v>0.11609484530854336</v>
      </c>
      <c r="E9465" s="224" t="s">
        <v>2</v>
      </c>
      <c r="F9465" s="515" t="s">
        <v>10666</v>
      </c>
      <c r="G9465" s="52">
        <v>101045.11453061301</v>
      </c>
      <c r="H9465" s="56">
        <v>0.10188018387986848</v>
      </c>
      <c r="I9465" s="224" t="s">
        <v>2</v>
      </c>
    </row>
    <row r="9466" spans="1:9" x14ac:dyDescent="0.25">
      <c r="A9466" s="515">
        <v>97023</v>
      </c>
      <c r="B9466" s="515" t="s">
        <v>659</v>
      </c>
      <c r="C9466" s="52">
        <v>527607.51579045504</v>
      </c>
      <c r="D9466" s="56">
        <v>3.9592090333134294E-2</v>
      </c>
      <c r="E9466" s="224" t="s">
        <v>2</v>
      </c>
      <c r="F9466" s="515" t="s">
        <v>10667</v>
      </c>
      <c r="G9466" s="52">
        <v>156822.593879038</v>
      </c>
      <c r="H9466" s="56">
        <v>1.207229056160412E-3</v>
      </c>
      <c r="I9466" s="224" t="s">
        <v>2</v>
      </c>
    </row>
    <row r="9467" spans="1:9" x14ac:dyDescent="0.25">
      <c r="A9467" s="515">
        <v>78945</v>
      </c>
      <c r="C9467" s="52">
        <v>354150.48191341199</v>
      </c>
      <c r="D9467" s="56">
        <v>6.5814765858353497E-2</v>
      </c>
      <c r="E9467" s="224" t="s">
        <v>2</v>
      </c>
      <c r="F9467" s="515" t="s">
        <v>10668</v>
      </c>
      <c r="G9467" s="52">
        <v>147281.99818618901</v>
      </c>
      <c r="H9467" s="56">
        <v>0.10740440569541905</v>
      </c>
      <c r="I9467" s="224" t="s">
        <v>2</v>
      </c>
    </row>
    <row r="9468" spans="1:9" x14ac:dyDescent="0.25">
      <c r="A9468" s="515">
        <v>35570</v>
      </c>
      <c r="C9468" s="52">
        <v>139057.80188101099</v>
      </c>
      <c r="D9468" s="56">
        <v>0.12719099765561709</v>
      </c>
      <c r="E9468" s="224" t="s">
        <v>2</v>
      </c>
      <c r="F9468" s="515" t="s">
        <v>10669</v>
      </c>
      <c r="G9468" s="52">
        <v>91441.234977184693</v>
      </c>
      <c r="H9468" s="56">
        <v>6.0633544090227406E-4</v>
      </c>
      <c r="I9468" s="224" t="s">
        <v>2</v>
      </c>
    </row>
    <row r="9469" spans="1:9" x14ac:dyDescent="0.25">
      <c r="A9469" s="515">
        <v>29812</v>
      </c>
      <c r="C9469" s="52">
        <v>127595.11512978601</v>
      </c>
      <c r="D9469" s="56">
        <v>2.7050473762284397E-2</v>
      </c>
      <c r="E9469" s="224" t="s">
        <v>2</v>
      </c>
      <c r="F9469" s="515" t="s">
        <v>10670</v>
      </c>
      <c r="G9469" s="52">
        <v>147564.780385794</v>
      </c>
      <c r="H9469" s="56">
        <v>-3.1343214498732105E-2</v>
      </c>
      <c r="I9469" s="224" t="s">
        <v>2</v>
      </c>
    </row>
    <row r="9470" spans="1:9" x14ac:dyDescent="0.25">
      <c r="A9470" s="515">
        <v>20695</v>
      </c>
      <c r="B9470" s="515" t="s">
        <v>321</v>
      </c>
      <c r="C9470" s="52">
        <v>460323.81849526998</v>
      </c>
      <c r="D9470" s="56">
        <v>2.1268171461638397E-2</v>
      </c>
      <c r="E9470" s="224" t="s">
        <v>2</v>
      </c>
      <c r="F9470" s="515" t="s">
        <v>10671</v>
      </c>
      <c r="G9470" s="52">
        <v>316053.21199661097</v>
      </c>
      <c r="H9470" s="56">
        <v>2.3434289526646043E-2</v>
      </c>
      <c r="I9470" s="224" t="s">
        <v>2</v>
      </c>
    </row>
    <row r="9471" spans="1:9" x14ac:dyDescent="0.25">
      <c r="A9471" s="515">
        <v>81122</v>
      </c>
      <c r="B9471" s="515" t="s">
        <v>1181</v>
      </c>
      <c r="C9471" s="52">
        <v>446046.62222843</v>
      </c>
      <c r="D9471" s="56">
        <v>0.10447440683847557</v>
      </c>
      <c r="E9471" s="224" t="s">
        <v>2</v>
      </c>
      <c r="F9471" s="515" t="s">
        <v>10672</v>
      </c>
      <c r="G9471" s="52">
        <v>273904.351806133</v>
      </c>
      <c r="H9471" s="56">
        <v>7.723598150643804E-2</v>
      </c>
      <c r="I9471" s="224" t="s">
        <v>2</v>
      </c>
    </row>
    <row r="9472" spans="1:9" x14ac:dyDescent="0.25">
      <c r="A9472" s="515">
        <v>7642</v>
      </c>
      <c r="B9472" s="515" t="s">
        <v>324</v>
      </c>
      <c r="C9472" s="52">
        <v>629475.99410676002</v>
      </c>
      <c r="D9472" s="56">
        <v>2.341240040403712E-2</v>
      </c>
      <c r="E9472" s="224" t="s">
        <v>2</v>
      </c>
      <c r="F9472" s="515" t="s">
        <v>10673</v>
      </c>
      <c r="G9472" s="52">
        <v>269057.30283997301</v>
      </c>
      <c r="H9472" s="56">
        <v>7.5025202922658768E-2</v>
      </c>
      <c r="I9472" s="224" t="s">
        <v>2</v>
      </c>
    </row>
    <row r="9473" spans="1:9" x14ac:dyDescent="0.25">
      <c r="A9473" s="515">
        <v>60950</v>
      </c>
      <c r="B9473" s="515" t="s">
        <v>774</v>
      </c>
      <c r="C9473" s="52">
        <v>267699.060646603</v>
      </c>
      <c r="D9473" s="56">
        <v>6.3718025856851337E-2</v>
      </c>
      <c r="E9473" s="224" t="s">
        <v>2</v>
      </c>
      <c r="F9473" s="515" t="s">
        <v>10674</v>
      </c>
      <c r="G9473" s="52">
        <v>130441.932134056</v>
      </c>
      <c r="H9473" s="56">
        <v>0.32789666274336937</v>
      </c>
      <c r="I9473" s="224" t="s">
        <v>2</v>
      </c>
    </row>
    <row r="9474" spans="1:9" x14ac:dyDescent="0.25">
      <c r="A9474" s="515">
        <v>8226</v>
      </c>
      <c r="B9474" s="515" t="s">
        <v>653</v>
      </c>
      <c r="C9474" s="52">
        <v>853159.75378191296</v>
      </c>
      <c r="D9474" s="56">
        <v>3.640538773698801E-2</v>
      </c>
      <c r="E9474" s="224" t="s">
        <v>2</v>
      </c>
      <c r="F9474" s="515" t="s">
        <v>10675</v>
      </c>
      <c r="G9474" s="52">
        <v>204567.12814353901</v>
      </c>
      <c r="H9474" s="56">
        <v>0.14412185320014662</v>
      </c>
      <c r="I9474" s="224" t="s">
        <v>2</v>
      </c>
    </row>
    <row r="9475" spans="1:9" x14ac:dyDescent="0.25">
      <c r="A9475" s="515">
        <v>32579</v>
      </c>
      <c r="B9475" s="515" t="s">
        <v>1078</v>
      </c>
      <c r="C9475" s="52">
        <v>381891.13638733397</v>
      </c>
      <c r="D9475" s="56">
        <v>6.9809822217859169E-2</v>
      </c>
      <c r="E9475" s="224">
        <v>1811.1111111111099</v>
      </c>
      <c r="F9475" s="515" t="s">
        <v>10676</v>
      </c>
      <c r="G9475" s="52">
        <v>336284.83850085997</v>
      </c>
      <c r="H9475" s="56">
        <v>8.9329373625342934E-2</v>
      </c>
      <c r="I9475" s="224" t="s">
        <v>2</v>
      </c>
    </row>
    <row r="9476" spans="1:9" x14ac:dyDescent="0.25">
      <c r="A9476" s="515">
        <v>83263</v>
      </c>
      <c r="B9476" s="515" t="s">
        <v>632</v>
      </c>
      <c r="C9476" s="52">
        <v>357939.86463501898</v>
      </c>
      <c r="D9476" s="56">
        <v>3.4838819966478113E-2</v>
      </c>
      <c r="E9476" s="224" t="s">
        <v>2</v>
      </c>
      <c r="F9476" s="515" t="s">
        <v>10677</v>
      </c>
      <c r="G9476" s="52">
        <v>169949.53370161899</v>
      </c>
      <c r="H9476" s="56">
        <v>9.3957378052327539E-2</v>
      </c>
      <c r="I9476" s="224" t="s">
        <v>2</v>
      </c>
    </row>
    <row r="9477" spans="1:9" x14ac:dyDescent="0.25">
      <c r="A9477" s="515">
        <v>48164</v>
      </c>
      <c r="B9477" s="515" t="s">
        <v>685</v>
      </c>
      <c r="C9477" s="52">
        <v>286614.79609659303</v>
      </c>
      <c r="D9477" s="56">
        <v>2.7406005338349925E-2</v>
      </c>
      <c r="E9477" s="224" t="s">
        <v>2</v>
      </c>
      <c r="F9477" s="515" t="s">
        <v>10678</v>
      </c>
      <c r="G9477" s="52">
        <v>267405.37154869799</v>
      </c>
      <c r="H9477" s="56">
        <v>7.2908895597440876E-2</v>
      </c>
      <c r="I9477" s="224" t="s">
        <v>2</v>
      </c>
    </row>
    <row r="9478" spans="1:9" x14ac:dyDescent="0.25">
      <c r="A9478" s="515">
        <v>13492</v>
      </c>
      <c r="B9478" s="515" t="s">
        <v>543</v>
      </c>
      <c r="C9478" s="52">
        <v>208885.91610911701</v>
      </c>
      <c r="D9478" s="56">
        <v>6.4225571765422762E-2</v>
      </c>
      <c r="E9478" s="224" t="s">
        <v>2</v>
      </c>
      <c r="F9478" s="515" t="s">
        <v>10679</v>
      </c>
      <c r="G9478" s="52">
        <v>250030.752643188</v>
      </c>
      <c r="H9478" s="56">
        <v>2.5869446061400122E-2</v>
      </c>
      <c r="I9478" s="224" t="s">
        <v>2</v>
      </c>
    </row>
    <row r="9479" spans="1:9" x14ac:dyDescent="0.25">
      <c r="A9479" s="515">
        <v>15071</v>
      </c>
      <c r="B9479" s="515" t="s">
        <v>297</v>
      </c>
      <c r="C9479" s="52">
        <v>271811.75835939997</v>
      </c>
      <c r="D9479" s="56">
        <v>5.3617320665907568E-2</v>
      </c>
      <c r="E9479" s="224" t="s">
        <v>2</v>
      </c>
      <c r="F9479" s="515" t="s">
        <v>10680</v>
      </c>
      <c r="G9479" s="52">
        <v>125952.32274189701</v>
      </c>
      <c r="H9479" s="56">
        <v>8.5512604863470273E-2</v>
      </c>
      <c r="I9479" s="224" t="s">
        <v>2</v>
      </c>
    </row>
    <row r="9480" spans="1:9" x14ac:dyDescent="0.25">
      <c r="A9480" s="515">
        <v>6906</v>
      </c>
      <c r="B9480" s="515" t="s">
        <v>1173</v>
      </c>
      <c r="C9480" s="52">
        <v>497027.29019835399</v>
      </c>
      <c r="D9480" s="56">
        <v>7.8759216375171581E-2</v>
      </c>
      <c r="E9480" s="224" t="s">
        <v>2</v>
      </c>
      <c r="F9480" s="515" t="s">
        <v>10681</v>
      </c>
      <c r="G9480" s="52">
        <v>333555.86702729698</v>
      </c>
      <c r="H9480" s="56">
        <v>5.9862043253271604E-3</v>
      </c>
      <c r="I9480" s="224" t="s">
        <v>2</v>
      </c>
    </row>
    <row r="9481" spans="1:9" x14ac:dyDescent="0.25">
      <c r="A9481" s="515">
        <v>63348</v>
      </c>
      <c r="B9481" s="515" t="s">
        <v>498</v>
      </c>
      <c r="C9481" s="52">
        <v>387801.40343799902</v>
      </c>
      <c r="D9481" s="56">
        <v>7.8464751004033786E-2</v>
      </c>
      <c r="E9481" s="224" t="s">
        <v>2</v>
      </c>
      <c r="F9481" s="515" t="s">
        <v>10682</v>
      </c>
      <c r="G9481" s="52">
        <v>152269.70497642501</v>
      </c>
      <c r="H9481" s="56">
        <v>5.1585735532881247E-2</v>
      </c>
      <c r="I9481" s="224" t="s">
        <v>2</v>
      </c>
    </row>
    <row r="9482" spans="1:9" x14ac:dyDescent="0.25">
      <c r="A9482" s="515">
        <v>2632</v>
      </c>
      <c r="B9482" s="515" t="s">
        <v>427</v>
      </c>
      <c r="C9482" s="52">
        <v>577350.89389150997</v>
      </c>
      <c r="D9482" s="56">
        <v>0.10373728007270409</v>
      </c>
      <c r="E9482" s="224" t="s">
        <v>2</v>
      </c>
      <c r="F9482" s="515" t="s">
        <v>10683</v>
      </c>
      <c r="G9482" s="52">
        <v>80879.359112413003</v>
      </c>
      <c r="H9482" s="56">
        <v>0.26971527512563981</v>
      </c>
      <c r="I9482" s="224" t="s">
        <v>2</v>
      </c>
    </row>
    <row r="9483" spans="1:9" x14ac:dyDescent="0.25">
      <c r="A9483" s="515">
        <v>33859</v>
      </c>
      <c r="B9483" s="515" t="s">
        <v>359</v>
      </c>
      <c r="C9483" s="52">
        <v>282725.36544012401</v>
      </c>
      <c r="D9483" s="56">
        <v>0.11248179710937412</v>
      </c>
      <c r="E9483" s="224" t="s">
        <v>2</v>
      </c>
      <c r="F9483" s="515" t="s">
        <v>10684</v>
      </c>
      <c r="G9483" s="52">
        <v>387101.91409059399</v>
      </c>
      <c r="H9483" s="56">
        <v>0.10475998074463876</v>
      </c>
      <c r="I9483" s="224" t="s">
        <v>2</v>
      </c>
    </row>
    <row r="9484" spans="1:9" x14ac:dyDescent="0.25">
      <c r="A9484" s="515">
        <v>28138</v>
      </c>
      <c r="B9484" s="515" t="s">
        <v>360</v>
      </c>
      <c r="C9484" s="52">
        <v>250301.23718048699</v>
      </c>
      <c r="D9484" s="56">
        <v>0.11724960373969957</v>
      </c>
      <c r="E9484" s="224" t="s">
        <v>2</v>
      </c>
      <c r="F9484" s="515" t="s">
        <v>10685</v>
      </c>
      <c r="G9484" s="52">
        <v>235349.95128960599</v>
      </c>
      <c r="H9484" s="56">
        <v>9.2023046253482704E-2</v>
      </c>
      <c r="I9484" s="224" t="s">
        <v>2</v>
      </c>
    </row>
    <row r="9485" spans="1:9" x14ac:dyDescent="0.25">
      <c r="A9485" s="515">
        <v>49544</v>
      </c>
      <c r="B9485" s="515" t="s">
        <v>631</v>
      </c>
      <c r="C9485" s="52">
        <v>278339.72963878</v>
      </c>
      <c r="D9485" s="56">
        <v>3.609949988937726E-2</v>
      </c>
      <c r="E9485" s="224" t="s">
        <v>2</v>
      </c>
      <c r="F9485" s="515" t="s">
        <v>10686</v>
      </c>
      <c r="G9485" s="52">
        <v>339260.90863281098</v>
      </c>
      <c r="H9485" s="56">
        <v>6.6861627777510105E-2</v>
      </c>
      <c r="I9485" s="224" t="s">
        <v>2</v>
      </c>
    </row>
    <row r="9486" spans="1:9" x14ac:dyDescent="0.25">
      <c r="A9486" s="515">
        <v>1107</v>
      </c>
      <c r="B9486" s="515" t="s">
        <v>575</v>
      </c>
      <c r="C9486" s="52">
        <v>248944.32050354601</v>
      </c>
      <c r="D9486" s="56">
        <v>6.2313153346222977E-2</v>
      </c>
      <c r="E9486" s="224" t="s">
        <v>2</v>
      </c>
      <c r="F9486" s="515" t="s">
        <v>10687</v>
      </c>
      <c r="G9486" s="52">
        <v>137965.66162149201</v>
      </c>
      <c r="H9486" s="56">
        <v>5.1877498988880756E-2</v>
      </c>
      <c r="I9486" s="224" t="s">
        <v>2</v>
      </c>
    </row>
    <row r="9487" spans="1:9" x14ac:dyDescent="0.25">
      <c r="A9487" s="515">
        <v>73116</v>
      </c>
      <c r="B9487" s="515" t="s">
        <v>385</v>
      </c>
      <c r="C9487" s="52">
        <v>288602.07518438698</v>
      </c>
      <c r="D9487" s="56">
        <v>7.3689575844355676E-2</v>
      </c>
      <c r="E9487" s="224">
        <v>1491.38888888888</v>
      </c>
      <c r="F9487" s="515" t="s">
        <v>10688</v>
      </c>
      <c r="G9487" s="52">
        <v>534338.03273146297</v>
      </c>
      <c r="H9487" s="56">
        <v>6.2153370810491937E-2</v>
      </c>
      <c r="I9487" s="224" t="s">
        <v>2</v>
      </c>
    </row>
    <row r="9488" spans="1:9" x14ac:dyDescent="0.25">
      <c r="A9488" s="515">
        <v>44471</v>
      </c>
      <c r="B9488" s="515" t="s">
        <v>397</v>
      </c>
      <c r="C9488" s="52">
        <v>105343.599262292</v>
      </c>
      <c r="D9488" s="56">
        <v>0.19381883239097644</v>
      </c>
      <c r="E9488" s="224" t="s">
        <v>2</v>
      </c>
      <c r="F9488" s="515" t="s">
        <v>10689</v>
      </c>
      <c r="G9488" s="52">
        <v>149288.799566959</v>
      </c>
      <c r="H9488" s="56">
        <v>-5.0926104769620714E-3</v>
      </c>
      <c r="I9488" s="224" t="s">
        <v>2</v>
      </c>
    </row>
    <row r="9489" spans="1:9" x14ac:dyDescent="0.25">
      <c r="A9489" s="515">
        <v>18447</v>
      </c>
      <c r="B9489" s="515" t="s">
        <v>512</v>
      </c>
      <c r="C9489" s="52">
        <v>186027.03759278901</v>
      </c>
      <c r="D9489" s="56">
        <v>4.6838320189131019E-2</v>
      </c>
      <c r="E9489" s="224" t="s">
        <v>2</v>
      </c>
      <c r="F9489" s="515" t="s">
        <v>10690</v>
      </c>
      <c r="G9489" s="52">
        <v>176095.20233542999</v>
      </c>
      <c r="H9489" s="56">
        <v>0.10320163461178908</v>
      </c>
      <c r="I9489" s="224" t="s">
        <v>2</v>
      </c>
    </row>
    <row r="9490" spans="1:9" x14ac:dyDescent="0.25">
      <c r="A9490" s="515">
        <v>31757</v>
      </c>
      <c r="B9490" s="515" t="s">
        <v>402</v>
      </c>
      <c r="C9490" s="52">
        <v>223949.010083995</v>
      </c>
      <c r="D9490" s="56">
        <v>8.3312569661650043E-2</v>
      </c>
      <c r="E9490" s="224" t="s">
        <v>2</v>
      </c>
      <c r="F9490" s="515" t="s">
        <v>10691</v>
      </c>
      <c r="G9490" s="52">
        <v>104570.58786204801</v>
      </c>
      <c r="H9490" s="56">
        <v>0</v>
      </c>
      <c r="I9490" s="224" t="s">
        <v>2</v>
      </c>
    </row>
    <row r="9491" spans="1:9" x14ac:dyDescent="0.25">
      <c r="A9491" s="515">
        <v>7504</v>
      </c>
      <c r="B9491" s="515" t="s">
        <v>324</v>
      </c>
      <c r="C9491" s="52">
        <v>449011.04932129401</v>
      </c>
      <c r="D9491" s="56">
        <v>8.370298052624614E-2</v>
      </c>
      <c r="E9491" s="224" t="s">
        <v>2</v>
      </c>
      <c r="F9491" s="515" t="s">
        <v>10692</v>
      </c>
      <c r="G9491" s="52">
        <v>177939.56799310699</v>
      </c>
      <c r="H9491" s="56">
        <v>-1.5219344492432604E-2</v>
      </c>
      <c r="I9491" s="224" t="s">
        <v>2</v>
      </c>
    </row>
    <row r="9492" spans="1:9" x14ac:dyDescent="0.25">
      <c r="A9492" s="515">
        <v>28340</v>
      </c>
      <c r="B9492" s="515" t="s">
        <v>1161</v>
      </c>
      <c r="C9492" s="52">
        <v>96210.696450528805</v>
      </c>
      <c r="D9492" s="56">
        <v>0.13959229814007998</v>
      </c>
      <c r="E9492" s="224" t="s">
        <v>2</v>
      </c>
      <c r="F9492" s="515" t="s">
        <v>10693</v>
      </c>
      <c r="G9492" s="52">
        <v>113758.033014874</v>
      </c>
      <c r="H9492" s="56">
        <v>1.0855832589767363E-2</v>
      </c>
      <c r="I9492" s="224" t="s">
        <v>2</v>
      </c>
    </row>
    <row r="9493" spans="1:9" x14ac:dyDescent="0.25">
      <c r="A9493" s="515">
        <v>25413</v>
      </c>
      <c r="B9493" s="515" t="s">
        <v>654</v>
      </c>
      <c r="C9493" s="52">
        <v>282718.15766954701</v>
      </c>
      <c r="D9493" s="56">
        <v>8.3029556720438838E-2</v>
      </c>
      <c r="E9493" s="224" t="s">
        <v>2</v>
      </c>
      <c r="F9493" s="515" t="s">
        <v>10694</v>
      </c>
      <c r="G9493" s="52">
        <v>419349.116793936</v>
      </c>
      <c r="H9493" s="56">
        <v>7.0237591581769176E-2</v>
      </c>
      <c r="I9493" s="224" t="s">
        <v>2</v>
      </c>
    </row>
    <row r="9494" spans="1:9" x14ac:dyDescent="0.25">
      <c r="A9494" s="515">
        <v>8251</v>
      </c>
      <c r="B9494" s="515" t="s">
        <v>653</v>
      </c>
      <c r="C9494" s="52">
        <v>296857.09432173398</v>
      </c>
      <c r="D9494" s="56">
        <v>8.2299042411177831E-2</v>
      </c>
      <c r="E9494" s="224" t="s">
        <v>2</v>
      </c>
      <c r="F9494" s="515" t="s">
        <v>10695</v>
      </c>
      <c r="G9494" s="52">
        <v>313332.26303473499</v>
      </c>
      <c r="H9494" s="56">
        <v>0.14104501092520708</v>
      </c>
      <c r="I9494" s="224" t="s">
        <v>2</v>
      </c>
    </row>
    <row r="9495" spans="1:9" x14ac:dyDescent="0.25">
      <c r="A9495" s="515">
        <v>3755</v>
      </c>
      <c r="B9495" s="515" t="s">
        <v>420</v>
      </c>
      <c r="C9495" s="52">
        <v>820366.69723053905</v>
      </c>
      <c r="D9495" s="56">
        <v>9.0450787650728129E-2</v>
      </c>
      <c r="E9495" s="224" t="s">
        <v>2</v>
      </c>
      <c r="F9495" s="515" t="s">
        <v>10696</v>
      </c>
      <c r="G9495" s="52">
        <v>318640.32680714299</v>
      </c>
      <c r="H9495" s="56">
        <v>6.7331080711603666E-2</v>
      </c>
      <c r="I9495" s="224" t="s">
        <v>2</v>
      </c>
    </row>
    <row r="9496" spans="1:9" x14ac:dyDescent="0.25">
      <c r="A9496" s="515">
        <v>62095</v>
      </c>
      <c r="B9496" s="515" t="s">
        <v>498</v>
      </c>
      <c r="C9496" s="52">
        <v>106552.37818650701</v>
      </c>
      <c r="D9496" s="56">
        <v>0.10923386244900894</v>
      </c>
      <c r="E9496" s="224" t="s">
        <v>2</v>
      </c>
      <c r="F9496" s="515" t="s">
        <v>10697</v>
      </c>
      <c r="G9496" s="52">
        <v>359743.17392970901</v>
      </c>
      <c r="H9496" s="56">
        <v>2.5450111841109558E-2</v>
      </c>
      <c r="I9496" s="224" t="s">
        <v>2</v>
      </c>
    </row>
    <row r="9497" spans="1:9" x14ac:dyDescent="0.25">
      <c r="A9497" s="515">
        <v>31639</v>
      </c>
      <c r="C9497" s="52">
        <v>144221.977447185</v>
      </c>
      <c r="D9497" s="56">
        <v>4.1646320644319945E-2</v>
      </c>
      <c r="E9497" s="224" t="s">
        <v>2</v>
      </c>
      <c r="F9497" s="515" t="s">
        <v>10698</v>
      </c>
      <c r="G9497" s="52">
        <v>691627.11616064701</v>
      </c>
      <c r="H9497" s="56">
        <v>2.3107533457033267E-3</v>
      </c>
      <c r="I9497" s="224" t="s">
        <v>2</v>
      </c>
    </row>
    <row r="9498" spans="1:9" x14ac:dyDescent="0.25">
      <c r="A9498" s="515">
        <v>34453</v>
      </c>
      <c r="B9498" s="515" t="s">
        <v>1193</v>
      </c>
      <c r="C9498" s="52">
        <v>239066.02948098199</v>
      </c>
      <c r="D9498" s="56">
        <v>0.15137698940576566</v>
      </c>
      <c r="E9498" s="224" t="s">
        <v>2</v>
      </c>
      <c r="F9498" s="515" t="s">
        <v>10699</v>
      </c>
      <c r="G9498" s="52">
        <v>116827.89390746001</v>
      </c>
      <c r="H9498" s="56">
        <v>0.10087708079313976</v>
      </c>
      <c r="I9498" s="224" t="s">
        <v>2</v>
      </c>
    </row>
    <row r="9499" spans="1:9" x14ac:dyDescent="0.25">
      <c r="A9499" s="515">
        <v>78061</v>
      </c>
      <c r="B9499" s="515" t="s">
        <v>1043</v>
      </c>
      <c r="C9499" s="52">
        <v>98739.401031835703</v>
      </c>
      <c r="D9499" s="56">
        <v>0</v>
      </c>
      <c r="E9499" s="224" t="s">
        <v>2</v>
      </c>
      <c r="F9499" s="515" t="s">
        <v>10700</v>
      </c>
      <c r="G9499" s="52">
        <v>343301.24117157399</v>
      </c>
      <c r="H9499" s="56">
        <v>4.0394038737042302E-2</v>
      </c>
      <c r="I9499" s="224" t="s">
        <v>2</v>
      </c>
    </row>
    <row r="9500" spans="1:9" x14ac:dyDescent="0.25">
      <c r="A9500" s="515">
        <v>27025</v>
      </c>
      <c r="B9500" s="515" t="s">
        <v>1148</v>
      </c>
      <c r="C9500" s="52">
        <v>151029.94730756999</v>
      </c>
      <c r="D9500" s="56">
        <v>6.3492922322992834E-2</v>
      </c>
      <c r="E9500" s="224" t="s">
        <v>2</v>
      </c>
      <c r="F9500" s="515" t="s">
        <v>10701</v>
      </c>
      <c r="G9500" s="52">
        <v>136681.469442795</v>
      </c>
      <c r="H9500" s="56">
        <v>8.2213025159458011E-2</v>
      </c>
      <c r="I9500" s="224" t="s">
        <v>2</v>
      </c>
    </row>
    <row r="9501" spans="1:9" x14ac:dyDescent="0.25">
      <c r="A9501" s="515">
        <v>98070</v>
      </c>
      <c r="B9501" s="515" t="s">
        <v>384</v>
      </c>
      <c r="C9501" s="52">
        <v>863269.02658938605</v>
      </c>
      <c r="D9501" s="56">
        <v>4.8954190456981128E-2</v>
      </c>
      <c r="E9501" s="224" t="s">
        <v>2</v>
      </c>
      <c r="F9501" s="515" t="s">
        <v>10702</v>
      </c>
      <c r="G9501" s="52">
        <v>667877.02592884505</v>
      </c>
      <c r="H9501" s="56">
        <v>0.12298950459705248</v>
      </c>
      <c r="I9501" s="224" t="s">
        <v>2</v>
      </c>
    </row>
    <row r="9502" spans="1:9" x14ac:dyDescent="0.25">
      <c r="A9502" s="515">
        <v>42345</v>
      </c>
      <c r="B9502" s="515" t="s">
        <v>686</v>
      </c>
      <c r="C9502" s="52">
        <v>121974.783040241</v>
      </c>
      <c r="D9502" s="56">
        <v>0.13031635078162662</v>
      </c>
      <c r="E9502" s="224" t="s">
        <v>2</v>
      </c>
      <c r="F9502" s="515" t="s">
        <v>10703</v>
      </c>
      <c r="G9502" s="52">
        <v>171011.743935309</v>
      </c>
      <c r="H9502" s="56">
        <v>0</v>
      </c>
      <c r="I9502" s="224" t="s">
        <v>2</v>
      </c>
    </row>
    <row r="9503" spans="1:9" x14ac:dyDescent="0.25">
      <c r="A9503" s="515">
        <v>14031</v>
      </c>
      <c r="B9503" s="515" t="s">
        <v>336</v>
      </c>
      <c r="C9503" s="52">
        <v>411305.59847956803</v>
      </c>
      <c r="D9503" s="56">
        <v>8.203216470999912E-2</v>
      </c>
      <c r="E9503" s="224" t="s">
        <v>2</v>
      </c>
      <c r="F9503" s="515" t="s">
        <v>10704</v>
      </c>
      <c r="G9503" s="52">
        <v>96801.577456036903</v>
      </c>
      <c r="H9503" s="56">
        <v>8.6981380428798848E-3</v>
      </c>
      <c r="I9503" s="224" t="s">
        <v>2</v>
      </c>
    </row>
    <row r="9504" spans="1:9" x14ac:dyDescent="0.25">
      <c r="A9504" s="515">
        <v>29067</v>
      </c>
      <c r="B9504" s="515" t="s">
        <v>360</v>
      </c>
      <c r="C9504" s="52">
        <v>146920.01945594701</v>
      </c>
      <c r="D9504" s="56">
        <v>8.6986481041630842E-2</v>
      </c>
      <c r="E9504" s="224" t="s">
        <v>2</v>
      </c>
      <c r="F9504" s="515" t="s">
        <v>10705</v>
      </c>
      <c r="G9504" s="52">
        <v>166907.99980086999</v>
      </c>
      <c r="H9504" s="56">
        <v>8.5421536681014598E-2</v>
      </c>
      <c r="I9504" s="224" t="s">
        <v>2</v>
      </c>
    </row>
    <row r="9505" spans="1:9" x14ac:dyDescent="0.25">
      <c r="A9505" s="515">
        <v>6883</v>
      </c>
      <c r="B9505" s="515" t="s">
        <v>1173</v>
      </c>
      <c r="C9505" s="52">
        <v>1024384.77087744</v>
      </c>
      <c r="D9505" s="56">
        <v>8.0241421039002905E-2</v>
      </c>
      <c r="E9505" s="224" t="s">
        <v>2</v>
      </c>
      <c r="F9505" s="515" t="s">
        <v>10706</v>
      </c>
      <c r="G9505" s="52">
        <v>307480.19307641097</v>
      </c>
      <c r="H9505" s="56">
        <v>4.6333708551260441E-2</v>
      </c>
      <c r="I9505" s="224" t="s">
        <v>2</v>
      </c>
    </row>
    <row r="9506" spans="1:9" x14ac:dyDescent="0.25">
      <c r="A9506" s="515">
        <v>48915</v>
      </c>
      <c r="B9506" s="515" t="s">
        <v>528</v>
      </c>
      <c r="C9506" s="52">
        <v>103201.165226542</v>
      </c>
      <c r="D9506" s="56">
        <v>6.9522703326417579E-2</v>
      </c>
      <c r="E9506" s="224" t="s">
        <v>2</v>
      </c>
      <c r="F9506" s="515" t="s">
        <v>10707</v>
      </c>
      <c r="G9506" s="52">
        <v>224326.24222071801</v>
      </c>
      <c r="H9506" s="56">
        <v>5.0629575408708438E-2</v>
      </c>
      <c r="I9506" s="224" t="s">
        <v>2</v>
      </c>
    </row>
    <row r="9507" spans="1:9" x14ac:dyDescent="0.25">
      <c r="A9507" s="515">
        <v>55424</v>
      </c>
      <c r="B9507" s="515" t="s">
        <v>532</v>
      </c>
      <c r="C9507" s="52">
        <v>888875.83915808005</v>
      </c>
      <c r="D9507" s="56">
        <v>5.2264540407395248E-2</v>
      </c>
      <c r="E9507" s="224" t="s">
        <v>2</v>
      </c>
      <c r="F9507" s="515" t="s">
        <v>10708</v>
      </c>
      <c r="G9507" s="52">
        <v>132350.78292688701</v>
      </c>
      <c r="H9507" s="56">
        <v>-3.751670221913482E-2</v>
      </c>
      <c r="I9507" s="224" t="s">
        <v>2</v>
      </c>
    </row>
    <row r="9508" spans="1:9" x14ac:dyDescent="0.25">
      <c r="A9508" s="515">
        <v>5753</v>
      </c>
      <c r="C9508" s="52">
        <v>397913.80806281598</v>
      </c>
      <c r="D9508" s="56">
        <v>3.8577890207436294E-2</v>
      </c>
      <c r="E9508" s="224" t="s">
        <v>2</v>
      </c>
      <c r="F9508" s="515" t="s">
        <v>10709</v>
      </c>
      <c r="G9508" s="52">
        <v>264257.07049214398</v>
      </c>
      <c r="H9508" s="56">
        <v>0.10078329740935861</v>
      </c>
      <c r="I9508" s="224" t="s">
        <v>2</v>
      </c>
    </row>
    <row r="9509" spans="1:9" x14ac:dyDescent="0.25">
      <c r="A9509" s="515">
        <v>49306</v>
      </c>
      <c r="B9509" s="515" t="s">
        <v>631</v>
      </c>
      <c r="C9509" s="52">
        <v>366963.15074251598</v>
      </c>
      <c r="D9509" s="56">
        <v>6.621738591693202E-2</v>
      </c>
      <c r="E9509" s="224" t="s">
        <v>2</v>
      </c>
      <c r="F9509" s="515" t="s">
        <v>10710</v>
      </c>
      <c r="G9509" s="52">
        <v>293156.49051426002</v>
      </c>
      <c r="H9509" s="56">
        <v>9.2542887325719525E-2</v>
      </c>
      <c r="I9509" s="224" t="s">
        <v>2</v>
      </c>
    </row>
    <row r="9510" spans="1:9" x14ac:dyDescent="0.25">
      <c r="A9510" s="515">
        <v>28425</v>
      </c>
      <c r="B9510" s="515" t="s">
        <v>1038</v>
      </c>
      <c r="C9510" s="52">
        <v>239630.501860655</v>
      </c>
      <c r="D9510" s="56">
        <v>0.11946404538749229</v>
      </c>
      <c r="E9510" s="224" t="s">
        <v>2</v>
      </c>
      <c r="F9510" s="515" t="s">
        <v>10711</v>
      </c>
      <c r="G9510" s="52">
        <v>142139.53145263699</v>
      </c>
      <c r="H9510" s="56">
        <v>2.8761393896179762E-2</v>
      </c>
      <c r="I9510" s="224" t="s">
        <v>2</v>
      </c>
    </row>
    <row r="9511" spans="1:9" x14ac:dyDescent="0.25">
      <c r="A9511" s="515">
        <v>14103</v>
      </c>
      <c r="B9511" s="515" t="s">
        <v>337</v>
      </c>
      <c r="C9511" s="52">
        <v>140055.19760818701</v>
      </c>
      <c r="D9511" s="56">
        <v>0.11754086479216394</v>
      </c>
      <c r="E9511" s="224" t="s">
        <v>2</v>
      </c>
      <c r="F9511" s="515" t="s">
        <v>10712</v>
      </c>
      <c r="G9511" s="52">
        <v>345519.056878932</v>
      </c>
      <c r="H9511" s="56">
        <v>9.3241049606569579E-2</v>
      </c>
      <c r="I9511" s="224" t="s">
        <v>2</v>
      </c>
    </row>
    <row r="9512" spans="1:9" x14ac:dyDescent="0.25">
      <c r="A9512" s="515">
        <v>32052</v>
      </c>
      <c r="C9512" s="52">
        <v>160699.778949709</v>
      </c>
      <c r="D9512" s="56">
        <v>0.26413320028474352</v>
      </c>
      <c r="E9512" s="224" t="s">
        <v>2</v>
      </c>
      <c r="F9512" s="515" t="s">
        <v>10713</v>
      </c>
      <c r="G9512" s="52">
        <v>399125.80004287302</v>
      </c>
      <c r="H9512" s="56">
        <v>1.3851839338216645E-2</v>
      </c>
      <c r="I9512" s="224" t="s">
        <v>2</v>
      </c>
    </row>
    <row r="9513" spans="1:9" x14ac:dyDescent="0.25">
      <c r="A9513" s="515">
        <v>70466</v>
      </c>
      <c r="B9513" s="515" t="s">
        <v>814</v>
      </c>
      <c r="C9513" s="52">
        <v>148103.51990445299</v>
      </c>
      <c r="D9513" s="56">
        <v>-2.7005031304779903E-4</v>
      </c>
      <c r="E9513" s="224" t="s">
        <v>2</v>
      </c>
      <c r="F9513" s="515" t="s">
        <v>10714</v>
      </c>
      <c r="G9513" s="52">
        <v>100981.97983163</v>
      </c>
      <c r="H9513" s="56">
        <v>-4.8968153321418767E-2</v>
      </c>
      <c r="I9513" s="224" t="s">
        <v>2</v>
      </c>
    </row>
    <row r="9514" spans="1:9" x14ac:dyDescent="0.25">
      <c r="A9514" s="515">
        <v>84111</v>
      </c>
      <c r="B9514" s="515" t="s">
        <v>617</v>
      </c>
      <c r="C9514" s="52">
        <v>421333.22281659499</v>
      </c>
      <c r="D9514" s="56">
        <v>2.9170836590742783E-2</v>
      </c>
      <c r="E9514" s="224">
        <v>1678.05555555555</v>
      </c>
      <c r="F9514" s="515" t="s">
        <v>10715</v>
      </c>
      <c r="G9514" s="52">
        <v>214716.183961492</v>
      </c>
      <c r="H9514" s="56">
        <v>-2.2983136261629074E-2</v>
      </c>
      <c r="I9514" s="224" t="s">
        <v>2</v>
      </c>
    </row>
    <row r="9515" spans="1:9" x14ac:dyDescent="0.25">
      <c r="A9515" s="515">
        <v>29541</v>
      </c>
      <c r="B9515" s="515" t="s">
        <v>1039</v>
      </c>
      <c r="C9515" s="52">
        <v>179573.76709900401</v>
      </c>
      <c r="D9515" s="56">
        <v>0.11205979189466268</v>
      </c>
      <c r="E9515" s="224" t="s">
        <v>2</v>
      </c>
      <c r="F9515" s="515" t="s">
        <v>10716</v>
      </c>
      <c r="G9515" s="52">
        <v>152975.04074070399</v>
      </c>
      <c r="H9515" s="56">
        <v>7.3856526187476887E-2</v>
      </c>
      <c r="I9515" s="224" t="s">
        <v>2</v>
      </c>
    </row>
    <row r="9516" spans="1:9" x14ac:dyDescent="0.25">
      <c r="A9516" s="515">
        <v>84004</v>
      </c>
      <c r="B9516" s="515" t="s">
        <v>726</v>
      </c>
      <c r="C9516" s="52">
        <v>1011730.70000234</v>
      </c>
      <c r="D9516" s="56">
        <v>9.5698677450258424E-3</v>
      </c>
      <c r="E9516" s="224" t="s">
        <v>2</v>
      </c>
      <c r="F9516" s="515" t="s">
        <v>10717</v>
      </c>
      <c r="G9516" s="52">
        <v>242568.33174399901</v>
      </c>
      <c r="H9516" s="56">
        <v>9.5592776250529157E-2</v>
      </c>
      <c r="I9516" s="224" t="s">
        <v>2</v>
      </c>
    </row>
    <row r="9517" spans="1:9" x14ac:dyDescent="0.25">
      <c r="A9517" s="515">
        <v>38462</v>
      </c>
      <c r="C9517" s="52">
        <v>196600.607929494</v>
      </c>
      <c r="D9517" s="56">
        <v>8.6933950148534167E-2</v>
      </c>
      <c r="E9517" s="224" t="s">
        <v>2</v>
      </c>
      <c r="F9517" s="515" t="s">
        <v>10718</v>
      </c>
      <c r="G9517" s="52">
        <v>280014.44178988499</v>
      </c>
      <c r="H9517" s="56">
        <v>0.13447862502471958</v>
      </c>
      <c r="I9517" s="224" t="s">
        <v>2</v>
      </c>
    </row>
    <row r="9518" spans="1:9" x14ac:dyDescent="0.25">
      <c r="A9518" s="515">
        <v>92610</v>
      </c>
      <c r="B9518" s="515" t="s">
        <v>375</v>
      </c>
      <c r="C9518" s="52">
        <v>1024920.8907741799</v>
      </c>
      <c r="D9518" s="56">
        <v>7.3446747661359821E-2</v>
      </c>
      <c r="E9518" s="224">
        <v>2897.7777777777701</v>
      </c>
      <c r="F9518" s="515" t="s">
        <v>10719</v>
      </c>
      <c r="G9518" s="52">
        <v>119683.838785046</v>
      </c>
      <c r="H9518" s="56">
        <v>0</v>
      </c>
      <c r="I9518" s="224" t="s">
        <v>2</v>
      </c>
    </row>
    <row r="9519" spans="1:9" x14ac:dyDescent="0.25">
      <c r="A9519" s="515">
        <v>89179</v>
      </c>
      <c r="B9519" s="515" t="s">
        <v>323</v>
      </c>
      <c r="C9519" s="52">
        <v>439173.94460000499</v>
      </c>
      <c r="D9519" s="56">
        <v>3.6882634184836435E-2</v>
      </c>
      <c r="E9519" s="224">
        <v>2142.5</v>
      </c>
      <c r="F9519" s="515" t="s">
        <v>10720</v>
      </c>
      <c r="G9519" s="52">
        <v>280477.97140901501</v>
      </c>
      <c r="H9519" s="56">
        <v>4.4059847317236417E-2</v>
      </c>
      <c r="I9519" s="224" t="s">
        <v>2</v>
      </c>
    </row>
    <row r="9520" spans="1:9" x14ac:dyDescent="0.25">
      <c r="A9520" s="515">
        <v>31064</v>
      </c>
      <c r="B9520" s="515" t="s">
        <v>957</v>
      </c>
      <c r="C9520" s="52">
        <v>246358.66277104101</v>
      </c>
      <c r="D9520" s="56">
        <v>9.1874116444032511E-2</v>
      </c>
      <c r="E9520" s="224" t="s">
        <v>2</v>
      </c>
      <c r="F9520" s="515" t="s">
        <v>10721</v>
      </c>
      <c r="G9520" s="52">
        <v>204750.819784224</v>
      </c>
      <c r="H9520" s="56">
        <v>4.7728137179190437E-2</v>
      </c>
      <c r="I9520" s="224" t="s">
        <v>2</v>
      </c>
    </row>
    <row r="9521" spans="1:9" x14ac:dyDescent="0.25">
      <c r="A9521" s="515">
        <v>81201</v>
      </c>
      <c r="C9521" s="52">
        <v>639970.85839757102</v>
      </c>
      <c r="D9521" s="56">
        <v>6.2982555679093791E-2</v>
      </c>
      <c r="E9521" s="224" t="s">
        <v>2</v>
      </c>
      <c r="F9521" s="515" t="s">
        <v>10722</v>
      </c>
      <c r="G9521" s="52">
        <v>168451.46942571501</v>
      </c>
      <c r="H9521" s="56">
        <v>5.625934197915012E-2</v>
      </c>
      <c r="I9521" s="224" t="s">
        <v>2</v>
      </c>
    </row>
    <row r="9522" spans="1:9" x14ac:dyDescent="0.25">
      <c r="A9522" s="515">
        <v>62881</v>
      </c>
      <c r="B9522" s="515" t="s">
        <v>1211</v>
      </c>
      <c r="C9522" s="52">
        <v>102408.278948552</v>
      </c>
      <c r="D9522" s="56">
        <v>6.9065249724153177E-2</v>
      </c>
      <c r="E9522" s="224" t="s">
        <v>2</v>
      </c>
      <c r="F9522" s="515" t="s">
        <v>10723</v>
      </c>
      <c r="G9522" s="52">
        <v>245068.95462950101</v>
      </c>
      <c r="H9522" s="56">
        <v>4.0183997885225135E-2</v>
      </c>
      <c r="I9522" s="224" t="s">
        <v>2</v>
      </c>
    </row>
    <row r="9523" spans="1:9" x14ac:dyDescent="0.25">
      <c r="A9523" s="515">
        <v>31537</v>
      </c>
      <c r="C9523" s="52">
        <v>159085.87296923</v>
      </c>
      <c r="D9523" s="56">
        <v>0.11798461752685903</v>
      </c>
      <c r="E9523" s="224" t="s">
        <v>2</v>
      </c>
      <c r="F9523" s="515" t="s">
        <v>10724</v>
      </c>
      <c r="G9523" s="52">
        <v>125107.869584903</v>
      </c>
      <c r="H9523" s="56">
        <v>2.6325013445559677E-3</v>
      </c>
      <c r="I9523" s="224" t="s">
        <v>2</v>
      </c>
    </row>
    <row r="9524" spans="1:9" x14ac:dyDescent="0.25">
      <c r="A9524" s="515">
        <v>60523</v>
      </c>
      <c r="B9524" s="515" t="s">
        <v>394</v>
      </c>
      <c r="C9524" s="52">
        <v>733286.84237378999</v>
      </c>
      <c r="D9524" s="56">
        <v>5.5329240265026454E-2</v>
      </c>
      <c r="E9524" s="224" t="s">
        <v>2</v>
      </c>
      <c r="F9524" s="515" t="s">
        <v>10725</v>
      </c>
      <c r="G9524" s="52">
        <v>154872.354545454</v>
      </c>
      <c r="H9524" s="56">
        <v>0</v>
      </c>
      <c r="I9524" s="224" t="s">
        <v>2</v>
      </c>
    </row>
    <row r="9525" spans="1:9" x14ac:dyDescent="0.25">
      <c r="A9525" s="515">
        <v>1460</v>
      </c>
      <c r="B9525" s="515" t="s">
        <v>534</v>
      </c>
      <c r="C9525" s="52">
        <v>648327.48468350805</v>
      </c>
      <c r="D9525" s="56">
        <v>6.0045549962648562E-2</v>
      </c>
      <c r="E9525" s="224" t="s">
        <v>2</v>
      </c>
      <c r="F9525" s="515" t="s">
        <v>10726</v>
      </c>
      <c r="G9525" s="52">
        <v>72173.906716274898</v>
      </c>
      <c r="H9525" s="56">
        <v>-2.6078462534950574E-2</v>
      </c>
      <c r="I9525" s="224" t="s">
        <v>2</v>
      </c>
    </row>
    <row r="9526" spans="1:9" x14ac:dyDescent="0.25">
      <c r="A9526" s="515">
        <v>2494</v>
      </c>
      <c r="B9526" s="515" t="s">
        <v>534</v>
      </c>
      <c r="C9526" s="52">
        <v>1071504.0743648701</v>
      </c>
      <c r="D9526" s="56">
        <v>2.3783620000571097E-2</v>
      </c>
      <c r="E9526" s="224">
        <v>3366.2777777777701</v>
      </c>
      <c r="F9526" s="515" t="s">
        <v>10727</v>
      </c>
      <c r="G9526" s="52">
        <v>260027.155378486</v>
      </c>
      <c r="H9526" s="56">
        <v>0</v>
      </c>
      <c r="I9526" s="224" t="s">
        <v>2</v>
      </c>
    </row>
    <row r="9527" spans="1:9" x14ac:dyDescent="0.25">
      <c r="A9527" s="515">
        <v>48062</v>
      </c>
      <c r="B9527" s="515" t="s">
        <v>685</v>
      </c>
      <c r="C9527" s="52">
        <v>263808.13724078197</v>
      </c>
      <c r="D9527" s="56">
        <v>4.9854952895768204E-2</v>
      </c>
      <c r="E9527" s="224" t="s">
        <v>2</v>
      </c>
      <c r="F9527" s="515" t="s">
        <v>10728</v>
      </c>
      <c r="G9527" s="52">
        <v>195902.09141826601</v>
      </c>
      <c r="H9527" s="56">
        <v>4.2904621245445258E-2</v>
      </c>
      <c r="I9527" s="224" t="s">
        <v>2</v>
      </c>
    </row>
    <row r="9528" spans="1:9" x14ac:dyDescent="0.25">
      <c r="A9528" s="515">
        <v>56431</v>
      </c>
      <c r="C9528" s="52">
        <v>268167.33650084701</v>
      </c>
      <c r="D9528" s="56">
        <v>5.9767479953960055E-2</v>
      </c>
      <c r="E9528" s="224" t="s">
        <v>2</v>
      </c>
      <c r="F9528" s="515" t="s">
        <v>10729</v>
      </c>
      <c r="G9528" s="52">
        <v>153504.449083944</v>
      </c>
      <c r="H9528" s="56">
        <v>8.8890379990358273E-2</v>
      </c>
      <c r="I9528" s="224" t="s">
        <v>2</v>
      </c>
    </row>
    <row r="9529" spans="1:9" x14ac:dyDescent="0.25">
      <c r="A9529" s="515">
        <v>25419</v>
      </c>
      <c r="B9529" s="515" t="s">
        <v>654</v>
      </c>
      <c r="C9529" s="52">
        <v>294549.89106966002</v>
      </c>
      <c r="D9529" s="56">
        <v>5.5194071600889669E-2</v>
      </c>
      <c r="E9529" s="224" t="s">
        <v>2</v>
      </c>
      <c r="F9529" s="515" t="s">
        <v>10730</v>
      </c>
      <c r="G9529" s="52">
        <v>219101.656667617</v>
      </c>
      <c r="H9529" s="56">
        <v>5.9336272557155463E-2</v>
      </c>
      <c r="I9529" s="224" t="s">
        <v>2</v>
      </c>
    </row>
    <row r="9530" spans="1:9" x14ac:dyDescent="0.25">
      <c r="A9530" s="515">
        <v>8628</v>
      </c>
      <c r="B9530" s="515" t="s">
        <v>938</v>
      </c>
      <c r="C9530" s="52">
        <v>339035.86388415698</v>
      </c>
      <c r="D9530" s="56">
        <v>6.3099228738722063E-2</v>
      </c>
      <c r="E9530" s="224" t="s">
        <v>2</v>
      </c>
      <c r="F9530" s="515" t="s">
        <v>10731</v>
      </c>
      <c r="G9530" s="52">
        <v>159050.71795444799</v>
      </c>
      <c r="H9530" s="56">
        <v>6.710248929048615E-2</v>
      </c>
      <c r="I9530" s="224" t="s">
        <v>2</v>
      </c>
    </row>
    <row r="9531" spans="1:9" x14ac:dyDescent="0.25">
      <c r="A9531" s="515">
        <v>12414</v>
      </c>
      <c r="C9531" s="52">
        <v>287716.26138083101</v>
      </c>
      <c r="D9531" s="56">
        <v>0.10666365911106487</v>
      </c>
      <c r="E9531" s="224">
        <v>1300</v>
      </c>
      <c r="F9531" s="515" t="s">
        <v>10732</v>
      </c>
      <c r="G9531" s="52">
        <v>68925.391025874007</v>
      </c>
      <c r="H9531" s="56">
        <v>0.22443900393161684</v>
      </c>
      <c r="I9531" s="224" t="s">
        <v>2</v>
      </c>
    </row>
    <row r="9532" spans="1:9" x14ac:dyDescent="0.25">
      <c r="A9532" s="515">
        <v>8835</v>
      </c>
      <c r="B9532" s="515" t="s">
        <v>324</v>
      </c>
      <c r="C9532" s="52">
        <v>373344.29163870198</v>
      </c>
      <c r="D9532" s="56">
        <v>6.9473470383413879E-2</v>
      </c>
      <c r="E9532" s="224" t="s">
        <v>2</v>
      </c>
      <c r="F9532" s="515" t="s">
        <v>10733</v>
      </c>
      <c r="G9532" s="52">
        <v>252406.20833626599</v>
      </c>
      <c r="H9532" s="56">
        <v>5.9103556907241887E-2</v>
      </c>
      <c r="I9532" s="224" t="s">
        <v>2</v>
      </c>
    </row>
    <row r="9533" spans="1:9" x14ac:dyDescent="0.25">
      <c r="A9533" s="515">
        <v>89138</v>
      </c>
      <c r="B9533" s="515" t="s">
        <v>323</v>
      </c>
      <c r="C9533" s="52">
        <v>696046.96643444896</v>
      </c>
      <c r="D9533" s="56">
        <v>2.1331641361806954E-2</v>
      </c>
      <c r="E9533" s="224">
        <v>2626.23809523809</v>
      </c>
      <c r="F9533" s="515" t="s">
        <v>10734</v>
      </c>
      <c r="G9533" s="52">
        <v>393423.04096838302</v>
      </c>
      <c r="H9533" s="56">
        <v>6.6810416325630867E-2</v>
      </c>
      <c r="I9533" s="224" t="s">
        <v>2</v>
      </c>
    </row>
    <row r="9534" spans="1:9" x14ac:dyDescent="0.25">
      <c r="A9534" s="515">
        <v>24211</v>
      </c>
      <c r="B9534" s="515" t="s">
        <v>902</v>
      </c>
      <c r="C9534" s="52">
        <v>290730.40076477802</v>
      </c>
      <c r="D9534" s="56">
        <v>8.9068213979604641E-2</v>
      </c>
      <c r="E9534" s="224" t="s">
        <v>2</v>
      </c>
      <c r="F9534" s="515" t="s">
        <v>10735</v>
      </c>
      <c r="G9534" s="52">
        <v>279923.54112030298</v>
      </c>
      <c r="H9534" s="56">
        <v>8.011113239906352E-2</v>
      </c>
      <c r="I9534" s="224" t="s">
        <v>2</v>
      </c>
    </row>
    <row r="9535" spans="1:9" x14ac:dyDescent="0.25">
      <c r="A9535" s="515">
        <v>60305</v>
      </c>
      <c r="B9535" s="515" t="s">
        <v>394</v>
      </c>
      <c r="C9535" s="52">
        <v>583621.19188412395</v>
      </c>
      <c r="D9535" s="56">
        <v>4.1893691783622219E-2</v>
      </c>
      <c r="E9535" s="224" t="s">
        <v>2</v>
      </c>
      <c r="F9535" s="515" t="s">
        <v>10736</v>
      </c>
      <c r="G9535" s="52">
        <v>374781.531422659</v>
      </c>
      <c r="H9535" s="56">
        <v>2.8250878105168381E-2</v>
      </c>
      <c r="I9535" s="224" t="s">
        <v>2</v>
      </c>
    </row>
    <row r="9536" spans="1:9" x14ac:dyDescent="0.25">
      <c r="A9536" s="515">
        <v>93614</v>
      </c>
      <c r="B9536" s="515" t="s">
        <v>681</v>
      </c>
      <c r="C9536" s="52">
        <v>395707.74370817398</v>
      </c>
      <c r="D9536" s="56">
        <v>2.1084935537519063E-2</v>
      </c>
      <c r="E9536" s="224" t="s">
        <v>2</v>
      </c>
      <c r="F9536" s="515" t="s">
        <v>10737</v>
      </c>
      <c r="G9536" s="52">
        <v>414807.93664314598</v>
      </c>
      <c r="H9536" s="56">
        <v>8.8607321862793034E-2</v>
      </c>
      <c r="I9536" s="224" t="s">
        <v>2</v>
      </c>
    </row>
    <row r="9537" spans="1:9" x14ac:dyDescent="0.25">
      <c r="A9537" s="515">
        <v>3570</v>
      </c>
      <c r="B9537" s="515" t="s">
        <v>752</v>
      </c>
      <c r="C9537" s="52">
        <v>159263.72530913301</v>
      </c>
      <c r="D9537" s="56">
        <v>0.15839270340608183</v>
      </c>
      <c r="E9537" s="224" t="s">
        <v>2</v>
      </c>
      <c r="F9537" s="515" t="s">
        <v>10738</v>
      </c>
      <c r="G9537" s="52">
        <v>186473.81408304599</v>
      </c>
      <c r="H9537" s="56">
        <v>0.13152184924455029</v>
      </c>
      <c r="I9537" s="224" t="s">
        <v>2</v>
      </c>
    </row>
    <row r="9538" spans="1:9" x14ac:dyDescent="0.25">
      <c r="A9538" s="515">
        <v>38060</v>
      </c>
      <c r="B9538" s="515" t="s">
        <v>951</v>
      </c>
      <c r="C9538" s="52">
        <v>329126.83811748301</v>
      </c>
      <c r="D9538" s="56">
        <v>8.2193023758504666E-2</v>
      </c>
      <c r="E9538" s="224">
        <v>2078.6111111111099</v>
      </c>
      <c r="F9538" s="515" t="s">
        <v>10739</v>
      </c>
      <c r="G9538" s="52">
        <v>108124.752062724</v>
      </c>
      <c r="H9538" s="56">
        <v>-4.9202697827470832E-2</v>
      </c>
      <c r="I9538" s="224" t="s">
        <v>2</v>
      </c>
    </row>
    <row r="9539" spans="1:9" x14ac:dyDescent="0.25">
      <c r="A9539" s="515">
        <v>53965</v>
      </c>
      <c r="B9539" s="515" t="s">
        <v>727</v>
      </c>
      <c r="C9539" s="52">
        <v>236915.918229509</v>
      </c>
      <c r="D9539" s="56">
        <v>7.9221298122717138E-2</v>
      </c>
      <c r="E9539" s="224" t="s">
        <v>2</v>
      </c>
      <c r="F9539" s="515" t="s">
        <v>10740</v>
      </c>
      <c r="G9539" s="52">
        <v>128772.26778141499</v>
      </c>
      <c r="H9539" s="56">
        <v>9.1445664332155285E-2</v>
      </c>
      <c r="I9539" s="224" t="s">
        <v>2</v>
      </c>
    </row>
    <row r="9540" spans="1:9" x14ac:dyDescent="0.25">
      <c r="A9540" s="515">
        <v>46803</v>
      </c>
      <c r="B9540" s="515" t="s">
        <v>1031</v>
      </c>
      <c r="C9540" s="52">
        <v>70738.915633281402</v>
      </c>
      <c r="D9540" s="56">
        <v>0.102373745902823</v>
      </c>
      <c r="E9540" s="224" t="s">
        <v>2</v>
      </c>
      <c r="F9540" s="515" t="s">
        <v>10741</v>
      </c>
      <c r="G9540" s="52">
        <v>209030.90049452201</v>
      </c>
      <c r="H9540" s="56">
        <v>9.4716921093702944E-2</v>
      </c>
      <c r="I9540" s="224" t="s">
        <v>2</v>
      </c>
    </row>
    <row r="9541" spans="1:9" x14ac:dyDescent="0.25">
      <c r="A9541" s="515">
        <v>44890</v>
      </c>
      <c r="B9541" s="515" t="s">
        <v>1050</v>
      </c>
      <c r="C9541" s="52">
        <v>133226.90219595499</v>
      </c>
      <c r="D9541" s="56">
        <v>5.2892847633798076E-2</v>
      </c>
      <c r="E9541" s="224" t="s">
        <v>2</v>
      </c>
      <c r="F9541" s="515" t="s">
        <v>10742</v>
      </c>
      <c r="G9541" s="52">
        <v>166707.692595014</v>
      </c>
      <c r="H9541" s="56">
        <v>5.6176955419996913E-2</v>
      </c>
      <c r="I9541" s="224" t="s">
        <v>2</v>
      </c>
    </row>
    <row r="9542" spans="1:9" x14ac:dyDescent="0.25">
      <c r="A9542" s="515">
        <v>30217</v>
      </c>
      <c r="B9542" s="515" t="s">
        <v>957</v>
      </c>
      <c r="C9542" s="52">
        <v>203017.649568263</v>
      </c>
      <c r="D9542" s="56">
        <v>0.13366899507734495</v>
      </c>
      <c r="E9542" s="224" t="s">
        <v>2</v>
      </c>
      <c r="F9542" s="515" t="s">
        <v>10743</v>
      </c>
      <c r="G9542" s="52">
        <v>166029.283758682</v>
      </c>
      <c r="H9542" s="56">
        <v>0.13799788477373295</v>
      </c>
      <c r="I9542" s="224" t="s">
        <v>2</v>
      </c>
    </row>
    <row r="9543" spans="1:9" x14ac:dyDescent="0.25">
      <c r="A9543" s="515">
        <v>45305</v>
      </c>
      <c r="B9543" s="515" t="s">
        <v>340</v>
      </c>
      <c r="C9543" s="52">
        <v>316071.55457259301</v>
      </c>
      <c r="D9543" s="56">
        <v>5.9937961297667007E-2</v>
      </c>
      <c r="E9543" s="224" t="s">
        <v>2</v>
      </c>
      <c r="F9543" s="515" t="s">
        <v>10744</v>
      </c>
      <c r="G9543" s="52">
        <v>819186.39356629504</v>
      </c>
      <c r="H9543" s="56">
        <v>7.2444684711289245E-2</v>
      </c>
      <c r="I9543" s="224" t="s">
        <v>2</v>
      </c>
    </row>
    <row r="9544" spans="1:9" x14ac:dyDescent="0.25">
      <c r="A9544" s="515">
        <v>95694</v>
      </c>
      <c r="B9544" s="515" t="s">
        <v>355</v>
      </c>
      <c r="C9544" s="52">
        <v>574764.53443064098</v>
      </c>
      <c r="D9544" s="56">
        <v>2.3371551415532721E-4</v>
      </c>
      <c r="E9544" s="224" t="s">
        <v>2</v>
      </c>
      <c r="F9544" s="515" t="s">
        <v>10745</v>
      </c>
      <c r="G9544" s="52">
        <v>145859.47368164599</v>
      </c>
      <c r="H9544" s="56">
        <v>1.253699665115068E-2</v>
      </c>
      <c r="I9544" s="224" t="s">
        <v>2</v>
      </c>
    </row>
    <row r="9545" spans="1:9" x14ac:dyDescent="0.25">
      <c r="A9545" s="515">
        <v>48128</v>
      </c>
      <c r="B9545" s="515" t="s">
        <v>685</v>
      </c>
      <c r="C9545" s="52">
        <v>251511.197956335</v>
      </c>
      <c r="D9545" s="56">
        <v>5.8486959097555836E-2</v>
      </c>
      <c r="E9545" s="224" t="s">
        <v>2</v>
      </c>
      <c r="F9545" s="515" t="s">
        <v>10746</v>
      </c>
      <c r="G9545" s="52">
        <v>373439.92315919901</v>
      </c>
      <c r="H9545" s="56">
        <v>4.8050666696025875E-2</v>
      </c>
      <c r="I9545" s="224" t="s">
        <v>2</v>
      </c>
    </row>
    <row r="9546" spans="1:9" x14ac:dyDescent="0.25">
      <c r="A9546" s="515">
        <v>53182</v>
      </c>
      <c r="B9546" s="515" t="s">
        <v>1151</v>
      </c>
      <c r="C9546" s="52">
        <v>303777.11905787198</v>
      </c>
      <c r="D9546" s="56">
        <v>6.4472277957879159E-2</v>
      </c>
      <c r="E9546" s="224" t="s">
        <v>2</v>
      </c>
      <c r="F9546" s="515" t="s">
        <v>10747</v>
      </c>
      <c r="G9546" s="52">
        <v>141381.75227664999</v>
      </c>
      <c r="H9546" s="56">
        <v>0.2212898795155965</v>
      </c>
      <c r="I9546" s="224" t="s">
        <v>2</v>
      </c>
    </row>
    <row r="9547" spans="1:9" x14ac:dyDescent="0.25">
      <c r="A9547" s="515">
        <v>95368</v>
      </c>
      <c r="B9547" s="515" t="s">
        <v>797</v>
      </c>
      <c r="C9547" s="52">
        <v>460529.807038258</v>
      </c>
      <c r="D9547" s="56">
        <v>2.3876990288475935E-2</v>
      </c>
      <c r="E9547" s="224" t="s">
        <v>2</v>
      </c>
      <c r="F9547" s="515" t="s">
        <v>10748</v>
      </c>
      <c r="G9547" s="52">
        <v>452081.37287311599</v>
      </c>
      <c r="H9547" s="56">
        <v>8.6675060972674287E-2</v>
      </c>
      <c r="I9547" s="224" t="s">
        <v>2</v>
      </c>
    </row>
    <row r="9548" spans="1:9" x14ac:dyDescent="0.25">
      <c r="A9548" s="515">
        <v>48122</v>
      </c>
      <c r="B9548" s="515" t="s">
        <v>685</v>
      </c>
      <c r="C9548" s="52">
        <v>116285.88490691</v>
      </c>
      <c r="D9548" s="56">
        <v>9.1878776185487315E-2</v>
      </c>
      <c r="E9548" s="224">
        <v>1425</v>
      </c>
      <c r="F9548" s="515" t="s">
        <v>10749</v>
      </c>
      <c r="G9548" s="52">
        <v>182255.57970022099</v>
      </c>
      <c r="H9548" s="56">
        <v>4.739911658027527E-2</v>
      </c>
      <c r="I9548" s="224" t="s">
        <v>2</v>
      </c>
    </row>
    <row r="9549" spans="1:9" x14ac:dyDescent="0.25">
      <c r="A9549" s="515">
        <v>10707</v>
      </c>
      <c r="B9549" s="515" t="s">
        <v>324</v>
      </c>
      <c r="C9549" s="52">
        <v>739394.31906603696</v>
      </c>
      <c r="D9549" s="56">
        <v>2.2559992012129802E-2</v>
      </c>
      <c r="E9549" s="224">
        <v>3269.6666666666601</v>
      </c>
      <c r="F9549" s="515" t="s">
        <v>10750</v>
      </c>
      <c r="G9549" s="52">
        <v>243128.55791692901</v>
      </c>
      <c r="H9549" s="56">
        <v>2.4917550578437615E-3</v>
      </c>
      <c r="I9549" s="224" t="s">
        <v>2</v>
      </c>
    </row>
    <row r="9550" spans="1:9" x14ac:dyDescent="0.25">
      <c r="A9550" s="515">
        <v>10970</v>
      </c>
      <c r="B9550" s="515" t="s">
        <v>324</v>
      </c>
      <c r="C9550" s="52">
        <v>597200.60446345096</v>
      </c>
      <c r="D9550" s="56">
        <v>0.12610582188263103</v>
      </c>
      <c r="E9550" s="224">
        <v>2891.25</v>
      </c>
      <c r="F9550" s="515" t="s">
        <v>10751</v>
      </c>
      <c r="G9550" s="52">
        <v>201128.76963838801</v>
      </c>
      <c r="H9550" s="56">
        <v>5.9993009944186486E-2</v>
      </c>
      <c r="I9550" s="224" t="s">
        <v>2</v>
      </c>
    </row>
    <row r="9551" spans="1:9" x14ac:dyDescent="0.25">
      <c r="A9551" s="515">
        <v>66012</v>
      </c>
      <c r="B9551" s="515" t="s">
        <v>455</v>
      </c>
      <c r="C9551" s="52">
        <v>288682.00781867199</v>
      </c>
      <c r="D9551" s="56">
        <v>7.5438792521542786E-2</v>
      </c>
      <c r="E9551" s="224" t="s">
        <v>2</v>
      </c>
      <c r="F9551" s="515" t="s">
        <v>10752</v>
      </c>
      <c r="G9551" s="52">
        <v>174003.47781092499</v>
      </c>
      <c r="H9551" s="56">
        <v>5.499477010876995E-2</v>
      </c>
      <c r="I9551" s="224" t="s">
        <v>2</v>
      </c>
    </row>
    <row r="9552" spans="1:9" x14ac:dyDescent="0.25">
      <c r="A9552" s="515">
        <v>17540</v>
      </c>
      <c r="B9552" s="515" t="s">
        <v>537</v>
      </c>
      <c r="C9552" s="52">
        <v>328852.73668570898</v>
      </c>
      <c r="D9552" s="56">
        <v>9.0010547895308032E-2</v>
      </c>
      <c r="E9552" s="224" t="s">
        <v>2</v>
      </c>
      <c r="F9552" s="515" t="s">
        <v>10753</v>
      </c>
      <c r="G9552" s="52">
        <v>212828.21461917899</v>
      </c>
      <c r="H9552" s="56">
        <v>8.0141723860663303E-2</v>
      </c>
      <c r="I9552" s="224" t="s">
        <v>2</v>
      </c>
    </row>
    <row r="9553" spans="1:9" x14ac:dyDescent="0.25">
      <c r="A9553" s="515">
        <v>17866</v>
      </c>
      <c r="B9553" s="515" t="s">
        <v>939</v>
      </c>
      <c r="C9553" s="52">
        <v>45948.776043900398</v>
      </c>
      <c r="D9553" s="56">
        <v>-4.5768787520020622E-2</v>
      </c>
      <c r="E9553" s="224" t="s">
        <v>2</v>
      </c>
      <c r="F9553" s="515" t="s">
        <v>10754</v>
      </c>
      <c r="G9553" s="52">
        <v>356654.33170903398</v>
      </c>
      <c r="H9553" s="56">
        <v>5.6753958735643435E-2</v>
      </c>
      <c r="I9553" s="224" t="s">
        <v>2</v>
      </c>
    </row>
    <row r="9554" spans="1:9" x14ac:dyDescent="0.25">
      <c r="A9554" s="515">
        <v>11713</v>
      </c>
      <c r="B9554" s="515" t="s">
        <v>324</v>
      </c>
      <c r="C9554" s="52">
        <v>460651.84569990699</v>
      </c>
      <c r="D9554" s="56">
        <v>1.2221575377759936E-2</v>
      </c>
      <c r="E9554" s="224" t="s">
        <v>2</v>
      </c>
      <c r="F9554" s="515" t="s">
        <v>10755</v>
      </c>
      <c r="G9554" s="52">
        <v>274379.02729415498</v>
      </c>
      <c r="H9554" s="56">
        <v>1.595707540803093E-2</v>
      </c>
      <c r="I9554" s="224" t="s">
        <v>2</v>
      </c>
    </row>
    <row r="9555" spans="1:9" x14ac:dyDescent="0.25">
      <c r="A9555" s="515">
        <v>28778</v>
      </c>
      <c r="B9555" s="515" t="s">
        <v>668</v>
      </c>
      <c r="C9555" s="52">
        <v>344568.557430093</v>
      </c>
      <c r="D9555" s="56">
        <v>0.10520832792946076</v>
      </c>
      <c r="E9555" s="224" t="s">
        <v>2</v>
      </c>
      <c r="F9555" s="515" t="s">
        <v>10756</v>
      </c>
      <c r="G9555" s="52">
        <v>466798.25665689202</v>
      </c>
      <c r="H9555" s="56">
        <v>8.4464241542177382E-2</v>
      </c>
      <c r="I9555" s="224" t="s">
        <v>2</v>
      </c>
    </row>
    <row r="9556" spans="1:9" x14ac:dyDescent="0.25">
      <c r="A9556" s="515">
        <v>11596</v>
      </c>
      <c r="B9556" s="515" t="s">
        <v>324</v>
      </c>
      <c r="C9556" s="52">
        <v>806079.12426649395</v>
      </c>
      <c r="D9556" s="56">
        <v>5.3596652439246183E-2</v>
      </c>
      <c r="E9556" s="224" t="s">
        <v>2</v>
      </c>
      <c r="F9556" s="515" t="s">
        <v>10757</v>
      </c>
      <c r="G9556" s="52">
        <v>243077.85442430599</v>
      </c>
      <c r="H9556" s="56">
        <v>8.0731845653352466E-2</v>
      </c>
      <c r="I9556" s="224" t="s">
        <v>2</v>
      </c>
    </row>
    <row r="9557" spans="1:9" x14ac:dyDescent="0.25">
      <c r="A9557" s="515">
        <v>48880</v>
      </c>
      <c r="B9557" s="515" t="s">
        <v>1019</v>
      </c>
      <c r="C9557" s="52">
        <v>124769.758942763</v>
      </c>
      <c r="D9557" s="56">
        <v>2.4000189559066097E-2</v>
      </c>
      <c r="E9557" s="224" t="s">
        <v>2</v>
      </c>
      <c r="F9557" s="515" t="s">
        <v>10758</v>
      </c>
      <c r="G9557" s="52">
        <v>152217.31266055099</v>
      </c>
      <c r="H9557" s="56">
        <v>9.2230547661854748E-2</v>
      </c>
      <c r="I9557" s="224" t="s">
        <v>2</v>
      </c>
    </row>
    <row r="9558" spans="1:9" x14ac:dyDescent="0.25">
      <c r="A9558" s="515">
        <v>17020</v>
      </c>
      <c r="B9558" s="515" t="s">
        <v>428</v>
      </c>
      <c r="C9558" s="52">
        <v>219808.632102937</v>
      </c>
      <c r="D9558" s="56">
        <v>3.5907036961967925E-2</v>
      </c>
      <c r="E9558" s="224" t="s">
        <v>2</v>
      </c>
      <c r="F9558" s="515" t="s">
        <v>10759</v>
      </c>
      <c r="G9558" s="52">
        <v>95775.856561013803</v>
      </c>
      <c r="H9558" s="56">
        <v>0.16393580840875283</v>
      </c>
      <c r="I9558" s="224" t="s">
        <v>2</v>
      </c>
    </row>
    <row r="9559" spans="1:9" x14ac:dyDescent="0.25">
      <c r="A9559" s="515">
        <v>15208</v>
      </c>
      <c r="B9559" s="515" t="s">
        <v>297</v>
      </c>
      <c r="C9559" s="52">
        <v>144303.80245271299</v>
      </c>
      <c r="D9559" s="56">
        <v>6.4942834988360232E-2</v>
      </c>
      <c r="E9559" s="224">
        <v>1369</v>
      </c>
      <c r="F9559" s="515" t="s">
        <v>10760</v>
      </c>
      <c r="G9559" s="52">
        <v>128487.29364046401</v>
      </c>
      <c r="H9559" s="56">
        <v>9.1447383381668884E-2</v>
      </c>
      <c r="I9559" s="224" t="s">
        <v>2</v>
      </c>
    </row>
    <row r="9560" spans="1:9" x14ac:dyDescent="0.25">
      <c r="A9560" s="515">
        <v>62258</v>
      </c>
      <c r="B9560" s="515" t="s">
        <v>498</v>
      </c>
      <c r="C9560" s="52">
        <v>196518.20372793599</v>
      </c>
      <c r="D9560" s="56">
        <v>7.186850630655614E-2</v>
      </c>
      <c r="E9560" s="224" t="s">
        <v>2</v>
      </c>
      <c r="F9560" s="515" t="s">
        <v>10761</v>
      </c>
      <c r="G9560" s="52">
        <v>334907.76352005301</v>
      </c>
      <c r="H9560" s="56">
        <v>7.1922204516449206E-2</v>
      </c>
      <c r="I9560" s="224" t="s">
        <v>2</v>
      </c>
    </row>
    <row r="9561" spans="1:9" x14ac:dyDescent="0.25">
      <c r="A9561" s="515">
        <v>84655</v>
      </c>
      <c r="B9561" s="515" t="s">
        <v>726</v>
      </c>
      <c r="C9561" s="52">
        <v>478214.83977362502</v>
      </c>
      <c r="D9561" s="56">
        <v>2.6928727078974816E-2</v>
      </c>
      <c r="E9561" s="224" t="s">
        <v>2</v>
      </c>
      <c r="F9561" s="515" t="s">
        <v>10762</v>
      </c>
      <c r="G9561" s="52">
        <v>263261.26634348801</v>
      </c>
      <c r="H9561" s="56">
        <v>6.4551636124213829E-2</v>
      </c>
      <c r="I9561" s="224" t="s">
        <v>2</v>
      </c>
    </row>
    <row r="9562" spans="1:9" x14ac:dyDescent="0.25">
      <c r="A9562" s="515">
        <v>78256</v>
      </c>
      <c r="B9562" s="515" t="s">
        <v>717</v>
      </c>
      <c r="C9562" s="52">
        <v>576090.77159178199</v>
      </c>
      <c r="D9562" s="56">
        <v>7.3414911735536589E-2</v>
      </c>
      <c r="E9562" s="224">
        <v>1723.36309523809</v>
      </c>
      <c r="F9562" s="515" t="s">
        <v>10763</v>
      </c>
      <c r="G9562" s="52">
        <v>158111.893143822</v>
      </c>
      <c r="H9562" s="56">
        <v>0.22556917368734475</v>
      </c>
      <c r="I9562" s="224" t="s">
        <v>2</v>
      </c>
    </row>
    <row r="9563" spans="1:9" x14ac:dyDescent="0.25">
      <c r="A9563" s="515">
        <v>70444</v>
      </c>
      <c r="B9563" s="515" t="s">
        <v>814</v>
      </c>
      <c r="C9563" s="52">
        <v>114459.881487063</v>
      </c>
      <c r="D9563" s="56">
        <v>-1.1293163782230154E-2</v>
      </c>
      <c r="E9563" s="224" t="s">
        <v>2</v>
      </c>
      <c r="F9563" s="515" t="s">
        <v>10764</v>
      </c>
      <c r="G9563" s="52">
        <v>324759.53861066699</v>
      </c>
      <c r="H9563" s="56">
        <v>5.7304760492947686E-2</v>
      </c>
      <c r="I9563" s="224" t="s">
        <v>2</v>
      </c>
    </row>
    <row r="9564" spans="1:9" x14ac:dyDescent="0.25">
      <c r="A9564" s="515">
        <v>76230</v>
      </c>
      <c r="C9564" s="52">
        <v>187262.95015063</v>
      </c>
      <c r="D9564" s="56">
        <v>7.8731782207593609E-2</v>
      </c>
      <c r="E9564" s="224" t="s">
        <v>2</v>
      </c>
      <c r="F9564" s="515" t="s">
        <v>10765</v>
      </c>
      <c r="G9564" s="52">
        <v>125118.71708921299</v>
      </c>
      <c r="H9564" s="56">
        <v>4.6638150310427728E-2</v>
      </c>
      <c r="I9564" s="224" t="s">
        <v>2</v>
      </c>
    </row>
    <row r="9565" spans="1:9" x14ac:dyDescent="0.25">
      <c r="A9565" s="515">
        <v>73601</v>
      </c>
      <c r="B9565" s="515" t="s">
        <v>860</v>
      </c>
      <c r="C9565" s="52">
        <v>95509.261615730298</v>
      </c>
      <c r="D9565" s="56">
        <v>8.9056789457542168E-2</v>
      </c>
      <c r="E9565" s="224" t="s">
        <v>2</v>
      </c>
      <c r="F9565" s="515" t="s">
        <v>10766</v>
      </c>
      <c r="G9565" s="52">
        <v>141690.717145426</v>
      </c>
      <c r="H9565" s="56">
        <v>-1.7508603671755055E-2</v>
      </c>
      <c r="I9565" s="224" t="s">
        <v>2</v>
      </c>
    </row>
    <row r="9566" spans="1:9" x14ac:dyDescent="0.25">
      <c r="A9566" s="515">
        <v>61264</v>
      </c>
      <c r="B9566" s="515" t="s">
        <v>439</v>
      </c>
      <c r="C9566" s="52">
        <v>150830.48498201001</v>
      </c>
      <c r="D9566" s="56">
        <v>1.8702776611822663E-2</v>
      </c>
      <c r="E9566" s="224" t="s">
        <v>2</v>
      </c>
      <c r="F9566" s="515" t="s">
        <v>10767</v>
      </c>
      <c r="G9566" s="52">
        <v>202742.38927155401</v>
      </c>
      <c r="H9566" s="56">
        <v>0.10412808347561155</v>
      </c>
      <c r="I9566" s="224" t="s">
        <v>2</v>
      </c>
    </row>
    <row r="9567" spans="1:9" x14ac:dyDescent="0.25">
      <c r="A9567" s="515">
        <v>22307</v>
      </c>
      <c r="B9567" s="515" t="s">
        <v>321</v>
      </c>
      <c r="C9567" s="52">
        <v>648686.055796106</v>
      </c>
      <c r="D9567" s="56">
        <v>4.7024788016070546E-2</v>
      </c>
      <c r="E9567" s="224" t="s">
        <v>2</v>
      </c>
      <c r="F9567" s="515" t="s">
        <v>10768</v>
      </c>
      <c r="G9567" s="52">
        <v>113794.311923904</v>
      </c>
      <c r="H9567" s="56">
        <v>0.16698643899817181</v>
      </c>
      <c r="I9567" s="224" t="s">
        <v>2</v>
      </c>
    </row>
    <row r="9568" spans="1:9" x14ac:dyDescent="0.25">
      <c r="A9568" s="515">
        <v>80517</v>
      </c>
      <c r="B9568" s="515" t="s">
        <v>738</v>
      </c>
      <c r="C9568" s="52">
        <v>669611.83933652297</v>
      </c>
      <c r="D9568" s="56">
        <v>8.5646250106682711E-2</v>
      </c>
      <c r="E9568" s="224" t="s">
        <v>2</v>
      </c>
      <c r="F9568" s="515" t="s">
        <v>10769</v>
      </c>
      <c r="G9568" s="52">
        <v>369284.04245909699</v>
      </c>
      <c r="H9568" s="56">
        <v>7.4481334884488354E-2</v>
      </c>
      <c r="I9568" s="224" t="s">
        <v>2</v>
      </c>
    </row>
    <row r="9569" spans="1:9" x14ac:dyDescent="0.25">
      <c r="A9569" s="515">
        <v>42330</v>
      </c>
      <c r="B9569" s="515" t="s">
        <v>686</v>
      </c>
      <c r="C9569" s="52">
        <v>99999.238529969094</v>
      </c>
      <c r="D9569" s="56">
        <v>0.15650387138015251</v>
      </c>
      <c r="E9569" s="224" t="s">
        <v>2</v>
      </c>
      <c r="F9569" s="515" t="s">
        <v>10770</v>
      </c>
      <c r="G9569" s="52">
        <v>151804.04246801301</v>
      </c>
      <c r="H9569" s="56">
        <v>4.1501229665161531E-2</v>
      </c>
      <c r="I9569" s="224" t="s">
        <v>2</v>
      </c>
    </row>
    <row r="9570" spans="1:9" x14ac:dyDescent="0.25">
      <c r="A9570" s="515">
        <v>77003</v>
      </c>
      <c r="B9570" s="515" t="s">
        <v>314</v>
      </c>
      <c r="C9570" s="52">
        <v>353869.89414043003</v>
      </c>
      <c r="D9570" s="56">
        <v>-4.2285389787946664E-3</v>
      </c>
      <c r="E9570" s="224">
        <v>1792.84766081871</v>
      </c>
      <c r="F9570" s="515" t="s">
        <v>10771</v>
      </c>
      <c r="G9570" s="52">
        <v>239057.98525463001</v>
      </c>
      <c r="H9570" s="56">
        <v>3.3948395195649968E-2</v>
      </c>
      <c r="I9570" s="224">
        <v>875</v>
      </c>
    </row>
    <row r="9571" spans="1:9" x14ac:dyDescent="0.25">
      <c r="A9571" s="515">
        <v>6355</v>
      </c>
      <c r="B9571" s="515" t="s">
        <v>1091</v>
      </c>
      <c r="C9571" s="52">
        <v>441624.94704421202</v>
      </c>
      <c r="D9571" s="56">
        <v>0.10365206101623367</v>
      </c>
      <c r="E9571" s="224">
        <v>2116.6666666666601</v>
      </c>
      <c r="F9571" s="515" t="s">
        <v>10772</v>
      </c>
      <c r="G9571" s="52">
        <v>194823.12467034301</v>
      </c>
      <c r="H9571" s="56">
        <v>8.5645854431356153E-2</v>
      </c>
      <c r="I9571" s="224" t="s">
        <v>2</v>
      </c>
    </row>
    <row r="9572" spans="1:9" x14ac:dyDescent="0.25">
      <c r="A9572" s="515">
        <v>36460</v>
      </c>
      <c r="C9572" s="52">
        <v>123645.23338575001</v>
      </c>
      <c r="D9572" s="56">
        <v>6.1354866257864037E-2</v>
      </c>
      <c r="E9572" s="224" t="s">
        <v>2</v>
      </c>
      <c r="F9572" s="515" t="s">
        <v>10773</v>
      </c>
      <c r="G9572" s="52">
        <v>201534.74312879701</v>
      </c>
      <c r="H9572" s="56">
        <v>8.9326435445539809E-2</v>
      </c>
      <c r="I9572" s="224" t="s">
        <v>2</v>
      </c>
    </row>
    <row r="9573" spans="1:9" x14ac:dyDescent="0.25">
      <c r="A9573" s="515">
        <v>39567</v>
      </c>
      <c r="B9573" s="515" t="s">
        <v>963</v>
      </c>
      <c r="C9573" s="52">
        <v>123468.144037406</v>
      </c>
      <c r="D9573" s="56">
        <v>4.5340671960980683E-2</v>
      </c>
      <c r="E9573" s="224" t="s">
        <v>2</v>
      </c>
      <c r="F9573" s="515" t="s">
        <v>10774</v>
      </c>
      <c r="G9573" s="52">
        <v>126502.016825575</v>
      </c>
      <c r="H9573" s="56">
        <v>-1.3005171306784705E-2</v>
      </c>
      <c r="I9573" s="224" t="s">
        <v>2</v>
      </c>
    </row>
    <row r="9574" spans="1:9" x14ac:dyDescent="0.25">
      <c r="A9574" s="515">
        <v>34211</v>
      </c>
      <c r="B9574" s="515" t="s">
        <v>466</v>
      </c>
      <c r="C9574" s="52">
        <v>622815.49084261397</v>
      </c>
      <c r="D9574" s="56">
        <v>0.15138820820537077</v>
      </c>
      <c r="E9574" s="224">
        <v>3062.3925925925901</v>
      </c>
      <c r="F9574" s="515" t="s">
        <v>10775</v>
      </c>
      <c r="G9574" s="52">
        <v>173067.675127305</v>
      </c>
      <c r="H9574" s="56">
        <v>5.4632180969409978E-2</v>
      </c>
      <c r="I9574" s="224" t="s">
        <v>2</v>
      </c>
    </row>
    <row r="9575" spans="1:9" x14ac:dyDescent="0.25">
      <c r="A9575" s="515">
        <v>19312</v>
      </c>
      <c r="B9575" s="515" t="s">
        <v>294</v>
      </c>
      <c r="C9575" s="52">
        <v>801917.98714582901</v>
      </c>
      <c r="D9575" s="56">
        <v>8.3701997631599509E-2</v>
      </c>
      <c r="E9575" s="224" t="s">
        <v>2</v>
      </c>
      <c r="F9575" s="515" t="s">
        <v>10776</v>
      </c>
      <c r="G9575" s="52">
        <v>215064.18508955801</v>
      </c>
      <c r="H9575" s="56">
        <v>3.1645358967198625E-2</v>
      </c>
      <c r="I9575" s="224" t="s">
        <v>2</v>
      </c>
    </row>
    <row r="9576" spans="1:9" x14ac:dyDescent="0.25">
      <c r="A9576" s="515">
        <v>72616</v>
      </c>
      <c r="C9576" s="52">
        <v>180450.19065419599</v>
      </c>
      <c r="D9576" s="56">
        <v>6.8611080148115289E-2</v>
      </c>
      <c r="E9576" s="224" t="s">
        <v>2</v>
      </c>
      <c r="F9576" s="515" t="s">
        <v>10777</v>
      </c>
      <c r="G9576" s="52">
        <v>170412.52433872601</v>
      </c>
      <c r="H9576" s="56">
        <v>5.0401738244283192E-2</v>
      </c>
      <c r="I9576" s="224" t="s">
        <v>2</v>
      </c>
    </row>
    <row r="9577" spans="1:9" x14ac:dyDescent="0.25">
      <c r="A9577" s="515">
        <v>55301</v>
      </c>
      <c r="B9577" s="515" t="s">
        <v>532</v>
      </c>
      <c r="C9577" s="52">
        <v>343199.07274269598</v>
      </c>
      <c r="D9577" s="56">
        <v>2.6180550098257926E-2</v>
      </c>
      <c r="E9577" s="224" t="s">
        <v>2</v>
      </c>
      <c r="F9577" s="515" t="s">
        <v>10778</v>
      </c>
      <c r="G9577" s="52">
        <v>121721.451715453</v>
      </c>
      <c r="H9577" s="56">
        <v>-1.0465435177636311E-2</v>
      </c>
      <c r="I9577" s="224" t="s">
        <v>2</v>
      </c>
    </row>
    <row r="9578" spans="1:9" x14ac:dyDescent="0.25">
      <c r="A9578" s="515">
        <v>76905</v>
      </c>
      <c r="B9578" s="515" t="s">
        <v>551</v>
      </c>
      <c r="C9578" s="52">
        <v>202313.46996488899</v>
      </c>
      <c r="D9578" s="56">
        <v>2.6258363966821189E-2</v>
      </c>
      <c r="E9578" s="224" t="s">
        <v>2</v>
      </c>
      <c r="F9578" s="515" t="s">
        <v>10779</v>
      </c>
      <c r="G9578" s="52">
        <v>435505.16590909002</v>
      </c>
      <c r="H9578" s="56">
        <v>0</v>
      </c>
      <c r="I9578" s="224" t="s">
        <v>2</v>
      </c>
    </row>
    <row r="9579" spans="1:9" x14ac:dyDescent="0.25">
      <c r="A9579" s="515">
        <v>30529</v>
      </c>
      <c r="B9579" s="515" t="s">
        <v>1175</v>
      </c>
      <c r="C9579" s="52">
        <v>268413.910450319</v>
      </c>
      <c r="D9579" s="56">
        <v>9.1361109022521994E-2</v>
      </c>
      <c r="E9579" s="224">
        <v>1538.6111111111099</v>
      </c>
      <c r="F9579" s="515" t="s">
        <v>10780</v>
      </c>
      <c r="G9579" s="52">
        <v>139425.97006533199</v>
      </c>
      <c r="H9579" s="56">
        <v>0.15134568719085054</v>
      </c>
      <c r="I9579" s="224" t="s">
        <v>2</v>
      </c>
    </row>
    <row r="9580" spans="1:9" x14ac:dyDescent="0.25">
      <c r="A9580" s="515">
        <v>41472</v>
      </c>
      <c r="C9580" s="52">
        <v>108904.86374518499</v>
      </c>
      <c r="D9580" s="56">
        <v>0.27429787958859853</v>
      </c>
      <c r="E9580" s="224" t="s">
        <v>2</v>
      </c>
      <c r="F9580" s="515" t="s">
        <v>10781</v>
      </c>
      <c r="G9580" s="52">
        <v>253313.83415186699</v>
      </c>
      <c r="H9580" s="56">
        <v>7.5798502356212522E-2</v>
      </c>
      <c r="I9580" s="224" t="s">
        <v>2</v>
      </c>
    </row>
    <row r="9581" spans="1:9" x14ac:dyDescent="0.25">
      <c r="A9581" s="515">
        <v>74033</v>
      </c>
      <c r="B9581" s="515" t="s">
        <v>348</v>
      </c>
      <c r="C9581" s="52">
        <v>203010.904170225</v>
      </c>
      <c r="D9581" s="56">
        <v>0.10011076998938104</v>
      </c>
      <c r="E9581" s="224">
        <v>1620</v>
      </c>
      <c r="F9581" s="515" t="s">
        <v>10782</v>
      </c>
      <c r="G9581" s="52">
        <v>150264.18442028199</v>
      </c>
      <c r="H9581" s="56">
        <v>7.5290770460417308E-2</v>
      </c>
      <c r="I9581" s="224" t="s">
        <v>2</v>
      </c>
    </row>
    <row r="9582" spans="1:9" x14ac:dyDescent="0.25">
      <c r="A9582" s="515">
        <v>28513</v>
      </c>
      <c r="B9582" s="515" t="s">
        <v>1101</v>
      </c>
      <c r="C9582" s="52">
        <v>182521.79350346801</v>
      </c>
      <c r="D9582" s="56">
        <v>0.19009063692163608</v>
      </c>
      <c r="E9582" s="224" t="s">
        <v>2</v>
      </c>
      <c r="F9582" s="515" t="s">
        <v>10783</v>
      </c>
      <c r="G9582" s="52">
        <v>109844.619171675</v>
      </c>
      <c r="H9582" s="56">
        <v>5.6772939970134891E-2</v>
      </c>
      <c r="I9582" s="224" t="s">
        <v>2</v>
      </c>
    </row>
    <row r="9583" spans="1:9" x14ac:dyDescent="0.25">
      <c r="A9583" s="515">
        <v>8093</v>
      </c>
      <c r="B9583" s="515" t="s">
        <v>294</v>
      </c>
      <c r="C9583" s="52">
        <v>211089.62415390601</v>
      </c>
      <c r="D9583" s="56">
        <v>0.12083273039059407</v>
      </c>
      <c r="E9583" s="224" t="s">
        <v>2</v>
      </c>
      <c r="F9583" s="515" t="s">
        <v>10784</v>
      </c>
      <c r="G9583" s="52">
        <v>325788.71794138598</v>
      </c>
      <c r="H9583" s="56">
        <v>0.11032732264332143</v>
      </c>
      <c r="I9583" s="224" t="s">
        <v>2</v>
      </c>
    </row>
    <row r="9584" spans="1:9" x14ac:dyDescent="0.25">
      <c r="A9584" s="515">
        <v>7045</v>
      </c>
      <c r="B9584" s="515" t="s">
        <v>324</v>
      </c>
      <c r="C9584" s="52">
        <v>648551.43490190199</v>
      </c>
      <c r="D9584" s="56">
        <v>4.1738581023838602E-2</v>
      </c>
      <c r="E9584" s="224" t="s">
        <v>2</v>
      </c>
      <c r="F9584" s="515" t="s">
        <v>10785</v>
      </c>
      <c r="G9584" s="52">
        <v>392931.97628159402</v>
      </c>
      <c r="H9584" s="56">
        <v>0.11024443164298803</v>
      </c>
      <c r="I9584" s="224" t="s">
        <v>2</v>
      </c>
    </row>
    <row r="9585" spans="1:9" x14ac:dyDescent="0.25">
      <c r="A9585" s="515">
        <v>11716</v>
      </c>
      <c r="B9585" s="515" t="s">
        <v>324</v>
      </c>
      <c r="C9585" s="52">
        <v>558805.73053591803</v>
      </c>
      <c r="D9585" s="56">
        <v>4.1874101007544941E-2</v>
      </c>
      <c r="E9585" s="224" t="s">
        <v>2</v>
      </c>
      <c r="F9585" s="515" t="s">
        <v>10786</v>
      </c>
      <c r="G9585" s="52">
        <v>104734.227734464</v>
      </c>
      <c r="H9585" s="56">
        <v>0</v>
      </c>
      <c r="I9585" s="224" t="s">
        <v>2</v>
      </c>
    </row>
    <row r="9586" spans="1:9" x14ac:dyDescent="0.25">
      <c r="A9586" s="515">
        <v>71282</v>
      </c>
      <c r="C9586" s="52">
        <v>55134.092121212103</v>
      </c>
      <c r="D9586" s="56">
        <v>0</v>
      </c>
      <c r="E9586" s="224" t="s">
        <v>2</v>
      </c>
      <c r="F9586" s="515" t="s">
        <v>10787</v>
      </c>
      <c r="G9586" s="52">
        <v>129188.93248944099</v>
      </c>
      <c r="H9586" s="56">
        <v>0.10351502762396116</v>
      </c>
      <c r="I9586" s="224" t="s">
        <v>2</v>
      </c>
    </row>
    <row r="9587" spans="1:9" x14ac:dyDescent="0.25">
      <c r="A9587" s="515">
        <v>1588</v>
      </c>
      <c r="B9587" s="515" t="s">
        <v>751</v>
      </c>
      <c r="C9587" s="52">
        <v>394481.21077363699</v>
      </c>
      <c r="D9587" s="56">
        <v>7.9760666413156808E-2</v>
      </c>
      <c r="E9587" s="224" t="s">
        <v>2</v>
      </c>
      <c r="F9587" s="515" t="s">
        <v>10788</v>
      </c>
      <c r="G9587" s="52">
        <v>292047.283234548</v>
      </c>
      <c r="H9587" s="56">
        <v>1.8182051097867316E-2</v>
      </c>
      <c r="I9587" s="224" t="s">
        <v>2</v>
      </c>
    </row>
    <row r="9588" spans="1:9" x14ac:dyDescent="0.25">
      <c r="A9588" s="515">
        <v>44444</v>
      </c>
      <c r="B9588" s="515" t="s">
        <v>397</v>
      </c>
      <c r="C9588" s="52">
        <v>139766.07336113401</v>
      </c>
      <c r="D9588" s="56">
        <v>9.2492809621424255E-2</v>
      </c>
      <c r="E9588" s="224" t="s">
        <v>2</v>
      </c>
      <c r="F9588" s="515" t="s">
        <v>10789</v>
      </c>
      <c r="G9588" s="52">
        <v>219692.89208064199</v>
      </c>
      <c r="H9588" s="56">
        <v>0.10486465595515476</v>
      </c>
      <c r="I9588" s="224" t="s">
        <v>2</v>
      </c>
    </row>
    <row r="9589" spans="1:9" x14ac:dyDescent="0.25">
      <c r="A9589" s="515">
        <v>12209</v>
      </c>
      <c r="B9589" s="515" t="s">
        <v>609</v>
      </c>
      <c r="C9589" s="52">
        <v>216646.900105012</v>
      </c>
      <c r="D9589" s="56">
        <v>4.9813226914916867E-2</v>
      </c>
      <c r="E9589" s="224" t="s">
        <v>2</v>
      </c>
      <c r="F9589" s="515" t="s">
        <v>10790</v>
      </c>
      <c r="G9589" s="52">
        <v>127299.71802451101</v>
      </c>
      <c r="H9589" s="56">
        <v>9.2079501762211441E-2</v>
      </c>
      <c r="I9589" s="224" t="s">
        <v>2</v>
      </c>
    </row>
    <row r="9590" spans="1:9" x14ac:dyDescent="0.25">
      <c r="A9590" s="515">
        <v>31082</v>
      </c>
      <c r="C9590" s="52">
        <v>111988.05721757399</v>
      </c>
      <c r="D9590" s="56">
        <v>8.2040600917944351E-2</v>
      </c>
      <c r="E9590" s="224" t="s">
        <v>2</v>
      </c>
      <c r="F9590" s="515" t="s">
        <v>10791</v>
      </c>
      <c r="G9590" s="52">
        <v>296956.24060851301</v>
      </c>
      <c r="H9590" s="56">
        <v>7.6542415363168637E-2</v>
      </c>
      <c r="I9590" s="224" t="s">
        <v>2</v>
      </c>
    </row>
    <row r="9591" spans="1:9" x14ac:dyDescent="0.25">
      <c r="A9591" s="515">
        <v>33050</v>
      </c>
      <c r="B9591" s="515" t="s">
        <v>572</v>
      </c>
      <c r="C9591" s="52">
        <v>785146.68953160103</v>
      </c>
      <c r="D9591" s="56">
        <v>0.18839917769370101</v>
      </c>
      <c r="E9591" s="224" t="s">
        <v>2</v>
      </c>
      <c r="F9591" s="515" t="s">
        <v>10792</v>
      </c>
      <c r="G9591" s="52">
        <v>357391.29070016899</v>
      </c>
      <c r="H9591" s="56">
        <v>6.2312301344213561E-2</v>
      </c>
      <c r="I9591" s="224" t="s">
        <v>2</v>
      </c>
    </row>
    <row r="9592" spans="1:9" x14ac:dyDescent="0.25">
      <c r="A9592" s="515">
        <v>80924</v>
      </c>
      <c r="B9592" s="515" t="s">
        <v>701</v>
      </c>
      <c r="C9592" s="52">
        <v>655201.77324331901</v>
      </c>
      <c r="D9592" s="56">
        <v>1.0128607790339922E-2</v>
      </c>
      <c r="E9592" s="224">
        <v>1832.43055555555</v>
      </c>
      <c r="F9592" s="515" t="s">
        <v>10793</v>
      </c>
      <c r="G9592" s="52">
        <v>165054.09279960199</v>
      </c>
      <c r="H9592" s="56">
        <v>1.2921802802839954E-2</v>
      </c>
      <c r="I9592" s="224" t="s">
        <v>2</v>
      </c>
    </row>
    <row r="9593" spans="1:9" x14ac:dyDescent="0.25">
      <c r="A9593" s="515">
        <v>14467</v>
      </c>
      <c r="B9593" s="515" t="s">
        <v>337</v>
      </c>
      <c r="C9593" s="52">
        <v>221822.48298983701</v>
      </c>
      <c r="D9593" s="56">
        <v>6.4917132413742515E-2</v>
      </c>
      <c r="E9593" s="224">
        <v>1190.4166666666599</v>
      </c>
      <c r="F9593" s="515" t="s">
        <v>10794</v>
      </c>
      <c r="G9593" s="52">
        <v>159131.052275364</v>
      </c>
      <c r="H9593" s="56">
        <v>5.9743648205341726E-2</v>
      </c>
      <c r="I9593" s="224" t="s">
        <v>2</v>
      </c>
    </row>
    <row r="9594" spans="1:9" x14ac:dyDescent="0.25">
      <c r="A9594" s="515">
        <v>67235</v>
      </c>
      <c r="B9594" s="515" t="s">
        <v>485</v>
      </c>
      <c r="C9594" s="52">
        <v>333125.26155305601</v>
      </c>
      <c r="D9594" s="56">
        <v>6.2681090359587133E-2</v>
      </c>
      <c r="E9594" s="224" t="s">
        <v>2</v>
      </c>
      <c r="F9594" s="515" t="s">
        <v>10795</v>
      </c>
      <c r="G9594" s="52">
        <v>464782.14122436597</v>
      </c>
      <c r="H9594" s="56">
        <v>0.10850266409751798</v>
      </c>
      <c r="I9594" s="224" t="s">
        <v>2</v>
      </c>
    </row>
    <row r="9595" spans="1:9" x14ac:dyDescent="0.25">
      <c r="A9595" s="515">
        <v>28731</v>
      </c>
      <c r="B9595" s="515" t="s">
        <v>668</v>
      </c>
      <c r="C9595" s="52">
        <v>439124.02007226303</v>
      </c>
      <c r="D9595" s="56">
        <v>0.10810610743113398</v>
      </c>
      <c r="E9595" s="224" t="s">
        <v>2</v>
      </c>
      <c r="F9595" s="515" t="s">
        <v>10796</v>
      </c>
      <c r="G9595" s="52">
        <v>358998.78989307297</v>
      </c>
      <c r="H9595" s="56">
        <v>0.12793210911588054</v>
      </c>
      <c r="I9595" s="224" t="s">
        <v>2</v>
      </c>
    </row>
    <row r="9596" spans="1:9" x14ac:dyDescent="0.25">
      <c r="A9596" s="515">
        <v>64123</v>
      </c>
      <c r="B9596" s="515" t="s">
        <v>455</v>
      </c>
      <c r="C9596" s="52">
        <v>118447.68733666799</v>
      </c>
      <c r="D9596" s="56">
        <v>0.10127811215848211</v>
      </c>
      <c r="E9596" s="224" t="s">
        <v>2</v>
      </c>
      <c r="F9596" s="515" t="s">
        <v>10797</v>
      </c>
      <c r="G9596" s="52">
        <v>307164.22645621101</v>
      </c>
      <c r="H9596" s="56">
        <v>6.6642354969540948E-2</v>
      </c>
      <c r="I9596" s="224" t="s">
        <v>2</v>
      </c>
    </row>
    <row r="9597" spans="1:9" x14ac:dyDescent="0.25">
      <c r="A9597" s="515">
        <v>71832</v>
      </c>
      <c r="C9597" s="52">
        <v>126943.44899924401</v>
      </c>
      <c r="D9597" s="56">
        <v>-1.6016897594830361E-2</v>
      </c>
      <c r="E9597" s="224" t="s">
        <v>2</v>
      </c>
      <c r="F9597" s="515" t="s">
        <v>10798</v>
      </c>
      <c r="G9597" s="52">
        <v>127790.318853866</v>
      </c>
      <c r="H9597" s="56">
        <v>4.3216736817819505E-2</v>
      </c>
      <c r="I9597" s="224" t="s">
        <v>2</v>
      </c>
    </row>
    <row r="9598" spans="1:9" x14ac:dyDescent="0.25">
      <c r="A9598" s="515">
        <v>18840</v>
      </c>
      <c r="B9598" s="515" t="s">
        <v>699</v>
      </c>
      <c r="C9598" s="52">
        <v>163532.45513537899</v>
      </c>
      <c r="D9598" s="56">
        <v>7.4794478898217928E-2</v>
      </c>
      <c r="E9598" s="224" t="s">
        <v>2</v>
      </c>
      <c r="F9598" s="515" t="s">
        <v>10799</v>
      </c>
      <c r="G9598" s="52">
        <v>363664.63190991897</v>
      </c>
      <c r="H9598" s="56">
        <v>2.2054338388432276E-2</v>
      </c>
      <c r="I9598" s="224" t="s">
        <v>2</v>
      </c>
    </row>
    <row r="9599" spans="1:9" x14ac:dyDescent="0.25">
      <c r="A9599" s="515">
        <v>36105</v>
      </c>
      <c r="B9599" s="515" t="s">
        <v>806</v>
      </c>
      <c r="C9599" s="52">
        <v>37687.351458898702</v>
      </c>
      <c r="D9599" s="56">
        <v>7.9107562109306251E-2</v>
      </c>
      <c r="E9599" s="224" t="s">
        <v>2</v>
      </c>
      <c r="F9599" s="515" t="s">
        <v>10800</v>
      </c>
      <c r="G9599" s="52">
        <v>227258.927107667</v>
      </c>
      <c r="H9599" s="56">
        <v>4.4783824046051218E-2</v>
      </c>
      <c r="I9599" s="224" t="s">
        <v>2</v>
      </c>
    </row>
    <row r="9600" spans="1:9" x14ac:dyDescent="0.25">
      <c r="A9600" s="515">
        <v>21713</v>
      </c>
      <c r="B9600" s="515" t="s">
        <v>654</v>
      </c>
      <c r="C9600" s="52">
        <v>354745.57150237297</v>
      </c>
      <c r="D9600" s="56">
        <v>4.3436406325950853E-2</v>
      </c>
      <c r="E9600" s="224" t="s">
        <v>2</v>
      </c>
      <c r="F9600" s="515" t="s">
        <v>10801</v>
      </c>
      <c r="G9600" s="52">
        <v>188569.822513627</v>
      </c>
      <c r="H9600" s="56">
        <v>6.5888566322883313E-2</v>
      </c>
      <c r="I9600" s="224" t="s">
        <v>2</v>
      </c>
    </row>
    <row r="9601" spans="1:9" x14ac:dyDescent="0.25">
      <c r="A9601" s="515">
        <v>93701</v>
      </c>
      <c r="B9601" s="515" t="s">
        <v>541</v>
      </c>
      <c r="C9601" s="52">
        <v>214312.90830325201</v>
      </c>
      <c r="D9601" s="56">
        <v>6.4206001455667128E-2</v>
      </c>
      <c r="E9601" s="224">
        <v>1224.1666666666599</v>
      </c>
      <c r="F9601" s="515" t="s">
        <v>10802</v>
      </c>
      <c r="G9601" s="52">
        <v>805283.883907896</v>
      </c>
      <c r="H9601" s="56">
        <v>0.10046437019036444</v>
      </c>
      <c r="I9601" s="224" t="s">
        <v>2</v>
      </c>
    </row>
    <row r="9602" spans="1:9" x14ac:dyDescent="0.25">
      <c r="A9602" s="515">
        <v>55810</v>
      </c>
      <c r="B9602" s="515" t="s">
        <v>350</v>
      </c>
      <c r="C9602" s="52">
        <v>246660.24827661199</v>
      </c>
      <c r="D9602" s="56">
        <v>4.7915898930832312E-2</v>
      </c>
      <c r="E9602" s="224" t="s">
        <v>2</v>
      </c>
      <c r="F9602" s="515" t="s">
        <v>10803</v>
      </c>
      <c r="G9602" s="52">
        <v>209039.65967365599</v>
      </c>
      <c r="H9602" s="56">
        <v>6.7208487246659024E-2</v>
      </c>
      <c r="I9602" s="224" t="s">
        <v>2</v>
      </c>
    </row>
    <row r="9603" spans="1:9" x14ac:dyDescent="0.25">
      <c r="A9603" s="515">
        <v>19311</v>
      </c>
      <c r="B9603" s="515" t="s">
        <v>294</v>
      </c>
      <c r="C9603" s="52">
        <v>523709.822780221</v>
      </c>
      <c r="D9603" s="56">
        <v>8.4865831839688405E-2</v>
      </c>
      <c r="E9603" s="224" t="s">
        <v>2</v>
      </c>
      <c r="F9603" s="515" t="s">
        <v>10804</v>
      </c>
      <c r="G9603" s="52">
        <v>525918.79117899202</v>
      </c>
      <c r="H9603" s="56">
        <v>6.0271002881571833E-2</v>
      </c>
      <c r="I9603" s="224" t="s">
        <v>2</v>
      </c>
    </row>
    <row r="9604" spans="1:9" x14ac:dyDescent="0.25">
      <c r="A9604" s="515">
        <v>43351</v>
      </c>
      <c r="C9604" s="52">
        <v>171526.694568526</v>
      </c>
      <c r="D9604" s="56">
        <v>4.9179438136812526E-2</v>
      </c>
      <c r="E9604" s="224" t="s">
        <v>2</v>
      </c>
      <c r="F9604" s="515" t="s">
        <v>10805</v>
      </c>
      <c r="G9604" s="52">
        <v>567810.48361337604</v>
      </c>
      <c r="H9604" s="56">
        <v>0.15348826630328821</v>
      </c>
      <c r="I9604" s="224" t="s">
        <v>2</v>
      </c>
    </row>
    <row r="9605" spans="1:9" x14ac:dyDescent="0.25">
      <c r="A9605" s="515">
        <v>79070</v>
      </c>
      <c r="C9605" s="52">
        <v>113405.186717604</v>
      </c>
      <c r="D9605" s="56">
        <v>-6.7490165774578295E-2</v>
      </c>
      <c r="E9605" s="224" t="s">
        <v>2</v>
      </c>
      <c r="F9605" s="515" t="s">
        <v>10806</v>
      </c>
      <c r="G9605" s="52">
        <v>375545.89767718699</v>
      </c>
      <c r="H9605" s="56">
        <v>-1.0938198925523702E-2</v>
      </c>
      <c r="I9605" s="224" t="s">
        <v>2</v>
      </c>
    </row>
    <row r="9606" spans="1:9" x14ac:dyDescent="0.25">
      <c r="A9606" s="515">
        <v>92252</v>
      </c>
      <c r="B9606" s="515" t="s">
        <v>599</v>
      </c>
      <c r="C9606" s="52">
        <v>418982.26957950601</v>
      </c>
      <c r="D9606" s="56">
        <v>8.819051622755078E-2</v>
      </c>
      <c r="E9606" s="224" t="s">
        <v>2</v>
      </c>
      <c r="F9606" s="515" t="s">
        <v>10807</v>
      </c>
      <c r="G9606" s="52">
        <v>159783.80428918899</v>
      </c>
      <c r="H9606" s="56">
        <v>1.1102815802768059E-2</v>
      </c>
      <c r="I9606" s="224" t="s">
        <v>2</v>
      </c>
    </row>
    <row r="9607" spans="1:9" x14ac:dyDescent="0.25">
      <c r="A9607" s="515">
        <v>43452</v>
      </c>
      <c r="B9607" s="515" t="s">
        <v>300</v>
      </c>
      <c r="C9607" s="52">
        <v>208251.889695777</v>
      </c>
      <c r="D9607" s="56">
        <v>7.8603204059517914E-2</v>
      </c>
      <c r="E9607" s="224" t="s">
        <v>2</v>
      </c>
      <c r="F9607" s="515" t="s">
        <v>10808</v>
      </c>
      <c r="G9607" s="52">
        <v>63774.359769825001</v>
      </c>
      <c r="H9607" s="56">
        <v>8.1943170706062232E-2</v>
      </c>
      <c r="I9607" s="224" t="s">
        <v>2</v>
      </c>
    </row>
    <row r="9608" spans="1:9" x14ac:dyDescent="0.25">
      <c r="A9608" s="515">
        <v>16507</v>
      </c>
      <c r="B9608" s="515" t="s">
        <v>753</v>
      </c>
      <c r="C9608" s="52">
        <v>70923.6042270295</v>
      </c>
      <c r="D9608" s="56">
        <v>0.1893968008499112</v>
      </c>
      <c r="E9608" s="224" t="s">
        <v>2</v>
      </c>
      <c r="F9608" s="515" t="s">
        <v>10809</v>
      </c>
      <c r="G9608" s="52">
        <v>268318.02386315499</v>
      </c>
      <c r="H9608" s="56">
        <v>0.15119883044890162</v>
      </c>
      <c r="I9608" s="224" t="s">
        <v>2</v>
      </c>
    </row>
    <row r="9609" spans="1:9" x14ac:dyDescent="0.25">
      <c r="A9609" s="515">
        <v>34614</v>
      </c>
      <c r="B9609" s="515" t="s">
        <v>461</v>
      </c>
      <c r="C9609" s="52">
        <v>340557.13252962101</v>
      </c>
      <c r="D9609" s="56">
        <v>0.11438661457618447</v>
      </c>
      <c r="E9609" s="224" t="s">
        <v>2</v>
      </c>
      <c r="F9609" s="515" t="s">
        <v>10810</v>
      </c>
      <c r="G9609" s="52">
        <v>196237.116662727</v>
      </c>
      <c r="H9609" s="56">
        <v>4.0473684052000358E-2</v>
      </c>
      <c r="I9609" s="224" t="s">
        <v>2</v>
      </c>
    </row>
    <row r="9610" spans="1:9" x14ac:dyDescent="0.25">
      <c r="A9610" s="515">
        <v>30187</v>
      </c>
      <c r="B9610" s="515" t="s">
        <v>957</v>
      </c>
      <c r="C9610" s="52">
        <v>325825.65103595401</v>
      </c>
      <c r="D9610" s="56">
        <v>9.8087388251785965E-2</v>
      </c>
      <c r="E9610" s="224" t="s">
        <v>2</v>
      </c>
      <c r="F9610" s="515" t="s">
        <v>10811</v>
      </c>
      <c r="G9610" s="52">
        <v>200337.98416705601</v>
      </c>
      <c r="H9610" s="56">
        <v>0.17706248585876147</v>
      </c>
      <c r="I9610" s="224" t="s">
        <v>2</v>
      </c>
    </row>
    <row r="9611" spans="1:9" x14ac:dyDescent="0.25">
      <c r="A9611" s="515">
        <v>65711</v>
      </c>
      <c r="C9611" s="52">
        <v>149692.73214648699</v>
      </c>
      <c r="D9611" s="56">
        <v>0.14805220203717839</v>
      </c>
      <c r="E9611" s="224" t="s">
        <v>2</v>
      </c>
      <c r="F9611" s="515" t="s">
        <v>10812</v>
      </c>
      <c r="G9611" s="52">
        <v>133814.326670248</v>
      </c>
      <c r="H9611" s="56">
        <v>9.528863102586424E-2</v>
      </c>
      <c r="I9611" s="224" t="s">
        <v>2</v>
      </c>
    </row>
    <row r="9612" spans="1:9" x14ac:dyDescent="0.25">
      <c r="A9612" s="515">
        <v>37407</v>
      </c>
      <c r="B9612" s="515" t="s">
        <v>622</v>
      </c>
      <c r="C9612" s="52">
        <v>89173.650155156298</v>
      </c>
      <c r="D9612" s="56">
        <v>7.8882430988662003E-2</v>
      </c>
      <c r="E9612" s="224" t="s">
        <v>2</v>
      </c>
      <c r="F9612" s="515" t="s">
        <v>10813</v>
      </c>
      <c r="G9612" s="52">
        <v>314457.31915653101</v>
      </c>
      <c r="H9612" s="56">
        <v>0.18548264469967896</v>
      </c>
      <c r="I9612" s="224" t="s">
        <v>2</v>
      </c>
    </row>
    <row r="9613" spans="1:9" x14ac:dyDescent="0.25">
      <c r="A9613" s="515">
        <v>68118</v>
      </c>
      <c r="B9613" s="515" t="s">
        <v>367</v>
      </c>
      <c r="C9613" s="52">
        <v>384389.76636210602</v>
      </c>
      <c r="D9613" s="56">
        <v>5.9104840839953481E-2</v>
      </c>
      <c r="E9613" s="224" t="s">
        <v>2</v>
      </c>
      <c r="F9613" s="515" t="s">
        <v>10814</v>
      </c>
      <c r="G9613" s="52">
        <v>203051.47180696001</v>
      </c>
      <c r="H9613" s="56">
        <v>2.4104822844318412E-2</v>
      </c>
      <c r="I9613" s="224" t="s">
        <v>2</v>
      </c>
    </row>
    <row r="9614" spans="1:9" x14ac:dyDescent="0.25">
      <c r="A9614" s="515">
        <v>43410</v>
      </c>
      <c r="B9614" s="515" t="s">
        <v>878</v>
      </c>
      <c r="C9614" s="52">
        <v>157272.226387918</v>
      </c>
      <c r="D9614" s="56">
        <v>5.1112296459449966E-2</v>
      </c>
      <c r="E9614" s="224" t="s">
        <v>2</v>
      </c>
      <c r="F9614" s="515" t="s">
        <v>10815</v>
      </c>
      <c r="G9614" s="52">
        <v>307584.73078723898</v>
      </c>
      <c r="H9614" s="56">
        <v>7.5980991783789129E-2</v>
      </c>
      <c r="I9614" s="224" t="s">
        <v>2</v>
      </c>
    </row>
    <row r="9615" spans="1:9" x14ac:dyDescent="0.25">
      <c r="A9615" s="515">
        <v>32827</v>
      </c>
      <c r="B9615" s="515" t="s">
        <v>517</v>
      </c>
      <c r="C9615" s="52">
        <v>596600.77393289004</v>
      </c>
      <c r="D9615" s="56">
        <v>0.12122930557880753</v>
      </c>
      <c r="E9615" s="224">
        <v>2388.3912698412601</v>
      </c>
      <c r="F9615" s="515" t="s">
        <v>10816</v>
      </c>
      <c r="G9615" s="52">
        <v>430574.42414444598</v>
      </c>
      <c r="H9615" s="56">
        <v>1.0702774622120751E-4</v>
      </c>
      <c r="I9615" s="224" t="s">
        <v>2</v>
      </c>
    </row>
    <row r="9616" spans="1:9" x14ac:dyDescent="0.25">
      <c r="A9616" s="515">
        <v>29322</v>
      </c>
      <c r="B9616" s="515" t="s">
        <v>447</v>
      </c>
      <c r="C9616" s="52">
        <v>296779.81238109001</v>
      </c>
      <c r="D9616" s="56">
        <v>0.11432724642652388</v>
      </c>
      <c r="E9616" s="224" t="s">
        <v>2</v>
      </c>
      <c r="F9616" s="515" t="s">
        <v>10817</v>
      </c>
      <c r="G9616" s="52">
        <v>672469.02210769604</v>
      </c>
      <c r="H9616" s="56">
        <v>5.489461618805655E-2</v>
      </c>
      <c r="I9616" s="224" t="s">
        <v>2</v>
      </c>
    </row>
    <row r="9617" spans="1:9" x14ac:dyDescent="0.25">
      <c r="A9617" s="515">
        <v>39154</v>
      </c>
      <c r="B9617" s="515" t="s">
        <v>851</v>
      </c>
      <c r="C9617" s="52">
        <v>213418.48433424099</v>
      </c>
      <c r="D9617" s="56">
        <v>7.2978068314740199E-2</v>
      </c>
      <c r="E9617" s="224" t="s">
        <v>2</v>
      </c>
      <c r="F9617" s="515" t="s">
        <v>10818</v>
      </c>
      <c r="G9617" s="52">
        <v>351200.62739502901</v>
      </c>
      <c r="H9617" s="56">
        <v>-4.1460405195052008E-2</v>
      </c>
      <c r="I9617" s="224" t="s">
        <v>2</v>
      </c>
    </row>
    <row r="9618" spans="1:9" x14ac:dyDescent="0.25">
      <c r="A9618" s="515">
        <v>15084</v>
      </c>
      <c r="B9618" s="515" t="s">
        <v>297</v>
      </c>
      <c r="C9618" s="52">
        <v>132531.084519792</v>
      </c>
      <c r="D9618" s="56">
        <v>6.5933958679618057E-2</v>
      </c>
      <c r="E9618" s="224" t="s">
        <v>2</v>
      </c>
      <c r="F9618" s="515" t="s">
        <v>10819</v>
      </c>
      <c r="G9618" s="52">
        <v>371344.62693623902</v>
      </c>
      <c r="H9618" s="56">
        <v>5.5641102893501528E-2</v>
      </c>
      <c r="I9618" s="224" t="s">
        <v>2</v>
      </c>
    </row>
    <row r="9619" spans="1:9" x14ac:dyDescent="0.25">
      <c r="A9619" s="515">
        <v>1772</v>
      </c>
      <c r="B9619" s="515" t="s">
        <v>751</v>
      </c>
      <c r="C9619" s="52">
        <v>836205.15428097197</v>
      </c>
      <c r="D9619" s="56">
        <v>5.9927261810515671E-2</v>
      </c>
      <c r="E9619" s="224" t="s">
        <v>2</v>
      </c>
      <c r="F9619" s="515" t="s">
        <v>10820</v>
      </c>
      <c r="G9619" s="52">
        <v>188633.83544992999</v>
      </c>
      <c r="H9619" s="56">
        <v>3.8668960367231282E-2</v>
      </c>
      <c r="I9619" s="224" t="s">
        <v>2</v>
      </c>
    </row>
    <row r="9620" spans="1:9" x14ac:dyDescent="0.25">
      <c r="A9620" s="515">
        <v>34450</v>
      </c>
      <c r="B9620" s="515" t="s">
        <v>1193</v>
      </c>
      <c r="C9620" s="52">
        <v>256251.60729018899</v>
      </c>
      <c r="D9620" s="56">
        <v>0.1539508026908496</v>
      </c>
      <c r="E9620" s="224" t="s">
        <v>2</v>
      </c>
      <c r="F9620" s="515" t="s">
        <v>10821</v>
      </c>
      <c r="G9620" s="52">
        <v>241975.497211257</v>
      </c>
      <c r="H9620" s="56">
        <v>0.11192907682283232</v>
      </c>
      <c r="I9620" s="224" t="s">
        <v>2</v>
      </c>
    </row>
    <row r="9621" spans="1:9" x14ac:dyDescent="0.25">
      <c r="A9621" s="515">
        <v>72734</v>
      </c>
      <c r="B9621" s="515" t="s">
        <v>675</v>
      </c>
      <c r="C9621" s="52">
        <v>249735.94187900599</v>
      </c>
      <c r="D9621" s="56">
        <v>0.14692743828702137</v>
      </c>
      <c r="E9621" s="224" t="s">
        <v>2</v>
      </c>
      <c r="F9621" s="515" t="s">
        <v>10822</v>
      </c>
      <c r="G9621" s="52">
        <v>406269.342191756</v>
      </c>
      <c r="H9621" s="56">
        <v>0.11665786616160843</v>
      </c>
      <c r="I9621" s="224" t="s">
        <v>2</v>
      </c>
    </row>
    <row r="9622" spans="1:9" x14ac:dyDescent="0.25">
      <c r="A9622" s="515">
        <v>2563</v>
      </c>
      <c r="B9622" s="515" t="s">
        <v>427</v>
      </c>
      <c r="C9622" s="52">
        <v>579136.52287469502</v>
      </c>
      <c r="D9622" s="56">
        <v>9.032712716812849E-2</v>
      </c>
      <c r="E9622" s="224" t="s">
        <v>2</v>
      </c>
      <c r="F9622" s="515" t="s">
        <v>10823</v>
      </c>
      <c r="G9622" s="52">
        <v>932489.55464119697</v>
      </c>
      <c r="H9622" s="56">
        <v>7.8376941989785412E-2</v>
      </c>
      <c r="I9622" s="224" t="s">
        <v>2</v>
      </c>
    </row>
    <row r="9623" spans="1:9" x14ac:dyDescent="0.25">
      <c r="A9623" s="515">
        <v>82633</v>
      </c>
      <c r="C9623" s="52">
        <v>281023.85430675402</v>
      </c>
      <c r="D9623" s="56">
        <v>5.3789263000954615E-2</v>
      </c>
      <c r="E9623" s="224" t="s">
        <v>2</v>
      </c>
      <c r="F9623" s="515" t="s">
        <v>10824</v>
      </c>
      <c r="G9623" s="52">
        <v>174731.01447687199</v>
      </c>
      <c r="H9623" s="56">
        <v>0.15353499663431772</v>
      </c>
      <c r="I9623" s="224" t="s">
        <v>2</v>
      </c>
    </row>
    <row r="9624" spans="1:9" x14ac:dyDescent="0.25">
      <c r="A9624" s="515">
        <v>44408</v>
      </c>
      <c r="B9624" s="515" t="s">
        <v>627</v>
      </c>
      <c r="C9624" s="52">
        <v>199832.600178572</v>
      </c>
      <c r="D9624" s="56">
        <v>9.7815035984907067E-2</v>
      </c>
      <c r="E9624" s="224" t="s">
        <v>2</v>
      </c>
      <c r="F9624" s="515" t="s">
        <v>10825</v>
      </c>
      <c r="G9624" s="52">
        <v>322881.54798307997</v>
      </c>
      <c r="H9624" s="56">
        <v>3.575702721536201E-2</v>
      </c>
      <c r="I9624" s="224">
        <v>1762.5</v>
      </c>
    </row>
    <row r="9625" spans="1:9" x14ac:dyDescent="0.25">
      <c r="A9625" s="515">
        <v>50644</v>
      </c>
      <c r="C9625" s="52">
        <v>175854.749559722</v>
      </c>
      <c r="D9625" s="56">
        <v>0.11733659463591073</v>
      </c>
      <c r="E9625" s="224" t="s">
        <v>2</v>
      </c>
      <c r="F9625" s="515" t="s">
        <v>10826</v>
      </c>
      <c r="G9625" s="52">
        <v>240439.25565538101</v>
      </c>
      <c r="H9625" s="56">
        <v>0.15099919102033652</v>
      </c>
      <c r="I9625" s="224" t="s">
        <v>2</v>
      </c>
    </row>
    <row r="9626" spans="1:9" x14ac:dyDescent="0.25">
      <c r="A9626" s="515">
        <v>11518</v>
      </c>
      <c r="B9626" s="515" t="s">
        <v>324</v>
      </c>
      <c r="C9626" s="52">
        <v>613712.32923154195</v>
      </c>
      <c r="D9626" s="56">
        <v>5.6109361685930226E-2</v>
      </c>
      <c r="E9626" s="224" t="s">
        <v>2</v>
      </c>
      <c r="F9626" s="515" t="s">
        <v>10827</v>
      </c>
      <c r="G9626" s="52">
        <v>86003.493350194301</v>
      </c>
      <c r="H9626" s="56">
        <v>-7.6421087892915105E-3</v>
      </c>
      <c r="I9626" s="224" t="s">
        <v>2</v>
      </c>
    </row>
    <row r="9627" spans="1:9" x14ac:dyDescent="0.25">
      <c r="A9627" s="515">
        <v>85643</v>
      </c>
      <c r="B9627" s="515" t="s">
        <v>374</v>
      </c>
      <c r="C9627" s="52">
        <v>170709.07106493501</v>
      </c>
      <c r="D9627" s="56">
        <v>9.7458959887514865E-2</v>
      </c>
      <c r="E9627" s="224" t="s">
        <v>2</v>
      </c>
      <c r="F9627" s="515" t="s">
        <v>10828</v>
      </c>
      <c r="G9627" s="52">
        <v>179065.42118038799</v>
      </c>
      <c r="H9627" s="56">
        <v>4.8933453643127652E-3</v>
      </c>
      <c r="I9627" s="224" t="s">
        <v>2</v>
      </c>
    </row>
    <row r="9628" spans="1:9" x14ac:dyDescent="0.25">
      <c r="A9628" s="515">
        <v>67052</v>
      </c>
      <c r="B9628" s="515" t="s">
        <v>485</v>
      </c>
      <c r="C9628" s="52">
        <v>282348.47474237799</v>
      </c>
      <c r="D9628" s="56">
        <v>7.7749797719405753E-2</v>
      </c>
      <c r="E9628" s="224" t="s">
        <v>2</v>
      </c>
      <c r="F9628" s="515" t="s">
        <v>10829</v>
      </c>
      <c r="G9628" s="52">
        <v>147813.06110911499</v>
      </c>
      <c r="H9628" s="56">
        <v>0.10342422075920421</v>
      </c>
      <c r="I9628" s="224" t="s">
        <v>2</v>
      </c>
    </row>
    <row r="9629" spans="1:9" x14ac:dyDescent="0.25">
      <c r="A9629" s="515">
        <v>13357</v>
      </c>
      <c r="B9629" s="515" t="s">
        <v>543</v>
      </c>
      <c r="C9629" s="52">
        <v>131723.17436732299</v>
      </c>
      <c r="D9629" s="56">
        <v>0.1710953656973267</v>
      </c>
      <c r="E9629" s="224" t="s">
        <v>2</v>
      </c>
      <c r="F9629" s="515" t="s">
        <v>10830</v>
      </c>
      <c r="G9629" s="52">
        <v>221662.886671788</v>
      </c>
      <c r="H9629" s="56">
        <v>7.2672689607570645E-2</v>
      </c>
      <c r="I9629" s="224" t="s">
        <v>2</v>
      </c>
    </row>
    <row r="9630" spans="1:9" x14ac:dyDescent="0.25">
      <c r="A9630" s="515">
        <v>98541</v>
      </c>
      <c r="B9630" s="515" t="s">
        <v>683</v>
      </c>
      <c r="C9630" s="52">
        <v>332405.71937637898</v>
      </c>
      <c r="D9630" s="56">
        <v>-4.636444967118113E-3</v>
      </c>
      <c r="E9630" s="224" t="s">
        <v>2</v>
      </c>
      <c r="F9630" s="515" t="s">
        <v>10831</v>
      </c>
      <c r="G9630" s="52">
        <v>242770.31364830901</v>
      </c>
      <c r="H9630" s="56">
        <v>5.5525887307663883E-2</v>
      </c>
      <c r="I9630" s="224" t="s">
        <v>2</v>
      </c>
    </row>
    <row r="9631" spans="1:9" x14ac:dyDescent="0.25">
      <c r="A9631" s="515">
        <v>7463</v>
      </c>
      <c r="B9631" s="515" t="s">
        <v>324</v>
      </c>
      <c r="C9631" s="52">
        <v>539961.15526020306</v>
      </c>
      <c r="D9631" s="56">
        <v>3.3023448739954317E-2</v>
      </c>
      <c r="E9631" s="224" t="s">
        <v>2</v>
      </c>
      <c r="F9631" s="515" t="s">
        <v>10832</v>
      </c>
      <c r="G9631" s="52">
        <v>238006.155036841</v>
      </c>
      <c r="H9631" s="56">
        <v>0.10838614595263013</v>
      </c>
      <c r="I9631" s="224" t="s">
        <v>2</v>
      </c>
    </row>
    <row r="9632" spans="1:9" x14ac:dyDescent="0.25">
      <c r="A9632" s="515">
        <v>74851</v>
      </c>
      <c r="B9632" s="515" t="s">
        <v>989</v>
      </c>
      <c r="C9632" s="52">
        <v>178408.254252313</v>
      </c>
      <c r="D9632" s="56">
        <v>8.5323842251783036E-2</v>
      </c>
      <c r="E9632" s="224" t="s">
        <v>2</v>
      </c>
      <c r="F9632" s="515" t="s">
        <v>10833</v>
      </c>
      <c r="G9632" s="52">
        <v>341953.57067778398</v>
      </c>
      <c r="H9632" s="56">
        <v>6.649348132859649E-2</v>
      </c>
      <c r="I9632" s="224" t="s">
        <v>2</v>
      </c>
    </row>
    <row r="9633" spans="1:9" x14ac:dyDescent="0.25">
      <c r="A9633" s="515">
        <v>49408</v>
      </c>
      <c r="B9633" s="515" t="s">
        <v>856</v>
      </c>
      <c r="C9633" s="52">
        <v>269037.06193717598</v>
      </c>
      <c r="D9633" s="56">
        <v>8.7005498194168293E-2</v>
      </c>
      <c r="E9633" s="224" t="s">
        <v>2</v>
      </c>
      <c r="F9633" s="515" t="s">
        <v>10834</v>
      </c>
      <c r="G9633" s="52">
        <v>223785.34594831101</v>
      </c>
      <c r="H9633" s="56">
        <v>0.11494839545025505</v>
      </c>
      <c r="I9633" s="224" t="s">
        <v>2</v>
      </c>
    </row>
    <row r="9634" spans="1:9" x14ac:dyDescent="0.25">
      <c r="A9634" s="515">
        <v>12061</v>
      </c>
      <c r="B9634" s="515" t="s">
        <v>609</v>
      </c>
      <c r="C9634" s="52">
        <v>333877.65274469502</v>
      </c>
      <c r="D9634" s="56">
        <v>7.3935902702711012E-2</v>
      </c>
      <c r="E9634" s="224" t="s">
        <v>2</v>
      </c>
      <c r="F9634" s="515" t="s">
        <v>10835</v>
      </c>
      <c r="G9634" s="52">
        <v>94234.273750149805</v>
      </c>
      <c r="H9634" s="56">
        <v>0.22469012182963771</v>
      </c>
      <c r="I9634" s="224" t="s">
        <v>2</v>
      </c>
    </row>
    <row r="9635" spans="1:9" x14ac:dyDescent="0.25">
      <c r="A9635" s="515">
        <v>95322</v>
      </c>
      <c r="B9635" s="515" t="s">
        <v>594</v>
      </c>
      <c r="C9635" s="52">
        <v>387628.91211509198</v>
      </c>
      <c r="D9635" s="56">
        <v>2.1577183740668717E-2</v>
      </c>
      <c r="E9635" s="224" t="s">
        <v>2</v>
      </c>
      <c r="F9635" s="515" t="s">
        <v>10836</v>
      </c>
      <c r="G9635" s="52">
        <v>184045.07246139599</v>
      </c>
      <c r="H9635" s="56">
        <v>7.7257233379846066E-2</v>
      </c>
      <c r="I9635" s="224" t="s">
        <v>2</v>
      </c>
    </row>
    <row r="9636" spans="1:9" x14ac:dyDescent="0.25">
      <c r="A9636" s="515">
        <v>55355</v>
      </c>
      <c r="C9636" s="52">
        <v>206064.46082576099</v>
      </c>
      <c r="D9636" s="56">
        <v>3.729584590913812E-2</v>
      </c>
      <c r="E9636" s="224" t="s">
        <v>2</v>
      </c>
      <c r="F9636" s="515" t="s">
        <v>10837</v>
      </c>
      <c r="G9636" s="52">
        <v>122250.286070972</v>
      </c>
      <c r="H9636" s="56">
        <v>0.12084254340364342</v>
      </c>
      <c r="I9636" s="224" t="s">
        <v>2</v>
      </c>
    </row>
    <row r="9637" spans="1:9" x14ac:dyDescent="0.25">
      <c r="A9637" s="515">
        <v>7876</v>
      </c>
      <c r="B9637" s="515" t="s">
        <v>324</v>
      </c>
      <c r="C9637" s="52">
        <v>497308.80849151302</v>
      </c>
      <c r="D9637" s="56">
        <v>3.5654668431129848E-2</v>
      </c>
      <c r="E9637" s="224" t="s">
        <v>2</v>
      </c>
      <c r="F9637" s="515" t="s">
        <v>10838</v>
      </c>
      <c r="G9637" s="52">
        <v>179160.375305975</v>
      </c>
      <c r="H9637" s="56">
        <v>5.9475822356532967E-2</v>
      </c>
      <c r="I9637" s="224" t="s">
        <v>2</v>
      </c>
    </row>
    <row r="9638" spans="1:9" x14ac:dyDescent="0.25">
      <c r="A9638" s="515">
        <v>12569</v>
      </c>
      <c r="B9638" s="515" t="s">
        <v>529</v>
      </c>
      <c r="C9638" s="52">
        <v>396291.89622074697</v>
      </c>
      <c r="D9638" s="56">
        <v>6.8473092114889653E-2</v>
      </c>
      <c r="E9638" s="224" t="s">
        <v>2</v>
      </c>
      <c r="F9638" s="515" t="s">
        <v>10839</v>
      </c>
      <c r="G9638" s="52">
        <v>219409.23041209701</v>
      </c>
      <c r="H9638" s="56">
        <v>3.8746304644456865E-2</v>
      </c>
      <c r="I9638" s="224" t="s">
        <v>2</v>
      </c>
    </row>
    <row r="9639" spans="1:9" x14ac:dyDescent="0.25">
      <c r="A9639" s="515">
        <v>51442</v>
      </c>
      <c r="C9639" s="52">
        <v>149008.520147731</v>
      </c>
      <c r="D9639" s="56">
        <v>0.13787448808065605</v>
      </c>
      <c r="E9639" s="224" t="s">
        <v>2</v>
      </c>
      <c r="F9639" s="515" t="s">
        <v>10840</v>
      </c>
      <c r="G9639" s="52">
        <v>268068.05399139802</v>
      </c>
      <c r="H9639" s="56">
        <v>4.8564007174736211E-2</v>
      </c>
      <c r="I9639" s="224" t="s">
        <v>2</v>
      </c>
    </row>
    <row r="9640" spans="1:9" x14ac:dyDescent="0.25">
      <c r="A9640" s="515">
        <v>40242</v>
      </c>
      <c r="B9640" s="515" t="s">
        <v>479</v>
      </c>
      <c r="C9640" s="52">
        <v>286953.78265258402</v>
      </c>
      <c r="D9640" s="56">
        <v>5.5986823377475355E-2</v>
      </c>
      <c r="E9640" s="224">
        <v>1163.30555555555</v>
      </c>
      <c r="F9640" s="515" t="s">
        <v>10841</v>
      </c>
      <c r="G9640" s="52">
        <v>87862.001294952104</v>
      </c>
      <c r="H9640" s="56">
        <v>0.10851191958349246</v>
      </c>
      <c r="I9640" s="224" t="s">
        <v>2</v>
      </c>
    </row>
    <row r="9641" spans="1:9" x14ac:dyDescent="0.25">
      <c r="A9641" s="515">
        <v>38320</v>
      </c>
      <c r="C9641" s="52">
        <v>155055.210850573</v>
      </c>
      <c r="D9641" s="56">
        <v>9.8302253051121488E-2</v>
      </c>
      <c r="E9641" s="224" t="s">
        <v>2</v>
      </c>
      <c r="F9641" s="515" t="s">
        <v>10842</v>
      </c>
      <c r="G9641" s="52">
        <v>246575.43190819601</v>
      </c>
      <c r="H9641" s="56">
        <v>8.9031389134376054E-2</v>
      </c>
      <c r="I9641" s="224" t="s">
        <v>2</v>
      </c>
    </row>
    <row r="9642" spans="1:9" x14ac:dyDescent="0.25">
      <c r="A9642" s="515">
        <v>37807</v>
      </c>
      <c r="B9642" s="515" t="s">
        <v>907</v>
      </c>
      <c r="C9642" s="52">
        <v>229964.09896373501</v>
      </c>
      <c r="D9642" s="56">
        <v>9.0741899987217475E-2</v>
      </c>
      <c r="E9642" s="224" t="s">
        <v>2</v>
      </c>
      <c r="F9642" s="515" t="s">
        <v>10843</v>
      </c>
      <c r="G9642" s="52">
        <v>957076.081505373</v>
      </c>
      <c r="H9642" s="56">
        <v>7.2120991334904253E-2</v>
      </c>
      <c r="I9642" s="224" t="s">
        <v>2</v>
      </c>
    </row>
    <row r="9643" spans="1:9" x14ac:dyDescent="0.25">
      <c r="A9643" s="515">
        <v>8620</v>
      </c>
      <c r="B9643" s="515" t="s">
        <v>938</v>
      </c>
      <c r="C9643" s="52">
        <v>362924.14685651701</v>
      </c>
      <c r="D9643" s="56">
        <v>7.7316528970736209E-2</v>
      </c>
      <c r="E9643" s="224" t="s">
        <v>2</v>
      </c>
      <c r="F9643" s="515" t="s">
        <v>10844</v>
      </c>
      <c r="G9643" s="52">
        <v>212891.259585867</v>
      </c>
      <c r="H9643" s="56">
        <v>5.4231103156960531E-2</v>
      </c>
      <c r="I9643" s="224" t="s">
        <v>2</v>
      </c>
    </row>
    <row r="9644" spans="1:9" x14ac:dyDescent="0.25">
      <c r="A9644" s="515">
        <v>77995</v>
      </c>
      <c r="C9644" s="52">
        <v>184168.38967034101</v>
      </c>
      <c r="D9644" s="56">
        <v>2.6882023146942376E-2</v>
      </c>
      <c r="E9644" s="224" t="s">
        <v>2</v>
      </c>
      <c r="F9644" s="515" t="s">
        <v>10845</v>
      </c>
      <c r="G9644" s="52">
        <v>294894.82357201102</v>
      </c>
      <c r="H9644" s="56">
        <v>3.1752556155534642E-2</v>
      </c>
      <c r="I9644" s="224" t="s">
        <v>2</v>
      </c>
    </row>
    <row r="9645" spans="1:9" x14ac:dyDescent="0.25">
      <c r="A9645" s="515">
        <v>55812</v>
      </c>
      <c r="B9645" s="515" t="s">
        <v>350</v>
      </c>
      <c r="C9645" s="52">
        <v>288364.18806095002</v>
      </c>
      <c r="D9645" s="56">
        <v>5.1511728438620154E-2</v>
      </c>
      <c r="E9645" s="224">
        <v>1615.9375</v>
      </c>
      <c r="F9645" s="515" t="s">
        <v>10846</v>
      </c>
      <c r="G9645" s="52">
        <v>125374.228342571</v>
      </c>
      <c r="H9645" s="56">
        <v>4.3610934060263229E-2</v>
      </c>
      <c r="I9645" s="224" t="s">
        <v>2</v>
      </c>
    </row>
    <row r="9646" spans="1:9" x14ac:dyDescent="0.25">
      <c r="A9646" s="515">
        <v>19072</v>
      </c>
      <c r="B9646" s="515" t="s">
        <v>294</v>
      </c>
      <c r="C9646" s="52">
        <v>666794.37864275498</v>
      </c>
      <c r="D9646" s="56">
        <v>9.488735009012933E-2</v>
      </c>
      <c r="E9646" s="224" t="s">
        <v>2</v>
      </c>
      <c r="F9646" s="515" t="s">
        <v>10847</v>
      </c>
      <c r="G9646" s="52">
        <v>325505.00223772199</v>
      </c>
      <c r="H9646" s="56">
        <v>1.0043852692493953E-2</v>
      </c>
      <c r="I9646" s="224" t="s">
        <v>2</v>
      </c>
    </row>
    <row r="9647" spans="1:9" x14ac:dyDescent="0.25">
      <c r="A9647" s="515">
        <v>13904</v>
      </c>
      <c r="B9647" s="515" t="s">
        <v>840</v>
      </c>
      <c r="C9647" s="52">
        <v>126061.56615524201</v>
      </c>
      <c r="D9647" s="56">
        <v>5.5841114461428809E-2</v>
      </c>
      <c r="E9647" s="224" t="s">
        <v>2</v>
      </c>
      <c r="F9647" s="515" t="s">
        <v>10848</v>
      </c>
      <c r="G9647" s="52">
        <v>334187.73223189299</v>
      </c>
      <c r="H9647" s="56">
        <v>7.4269476998137351E-2</v>
      </c>
      <c r="I9647" s="224" t="s">
        <v>2</v>
      </c>
    </row>
    <row r="9648" spans="1:9" x14ac:dyDescent="0.25">
      <c r="A9648" s="515">
        <v>60482</v>
      </c>
      <c r="B9648" s="515" t="s">
        <v>394</v>
      </c>
      <c r="C9648" s="52">
        <v>220800.79735135901</v>
      </c>
      <c r="D9648" s="56">
        <v>5.4537372139792553E-2</v>
      </c>
      <c r="E9648" s="224" t="s">
        <v>2</v>
      </c>
      <c r="F9648" s="515" t="s">
        <v>10849</v>
      </c>
      <c r="G9648" s="52">
        <v>351922.14922864502</v>
      </c>
      <c r="H9648" s="56">
        <v>5.6930301601639713E-2</v>
      </c>
      <c r="I9648" s="224" t="s">
        <v>2</v>
      </c>
    </row>
    <row r="9649" spans="1:9" x14ac:dyDescent="0.25">
      <c r="A9649" s="515">
        <v>78576</v>
      </c>
      <c r="B9649" s="515" t="s">
        <v>550</v>
      </c>
      <c r="C9649" s="52">
        <v>125344.444191893</v>
      </c>
      <c r="D9649" s="56">
        <v>0.16432016581635772</v>
      </c>
      <c r="E9649" s="224" t="s">
        <v>2</v>
      </c>
      <c r="F9649" s="515" t="s">
        <v>10850</v>
      </c>
      <c r="G9649" s="52">
        <v>188813.61870641701</v>
      </c>
      <c r="H9649" s="56">
        <v>6.5880450339038596E-2</v>
      </c>
      <c r="I9649" s="224" t="s">
        <v>2</v>
      </c>
    </row>
    <row r="9650" spans="1:9" x14ac:dyDescent="0.25">
      <c r="A9650" s="515">
        <v>53527</v>
      </c>
      <c r="B9650" s="515" t="s">
        <v>727</v>
      </c>
      <c r="C9650" s="52">
        <v>388562.49338842602</v>
      </c>
      <c r="D9650" s="56">
        <v>3.2698377294101556E-2</v>
      </c>
      <c r="E9650" s="224">
        <v>1592.5</v>
      </c>
      <c r="F9650" s="515" t="s">
        <v>10851</v>
      </c>
      <c r="G9650" s="52">
        <v>221829.64904865201</v>
      </c>
      <c r="H9650" s="56">
        <v>8.0064224670650885E-2</v>
      </c>
      <c r="I9650" s="224" t="s">
        <v>2</v>
      </c>
    </row>
    <row r="9651" spans="1:9" x14ac:dyDescent="0.25">
      <c r="A9651" s="515">
        <v>48380</v>
      </c>
      <c r="B9651" s="515" t="s">
        <v>685</v>
      </c>
      <c r="C9651" s="52">
        <v>464005.10281954898</v>
      </c>
      <c r="D9651" s="56">
        <v>5.0074426550800064E-2</v>
      </c>
      <c r="E9651" s="224" t="s">
        <v>2</v>
      </c>
      <c r="F9651" s="515" t="s">
        <v>10852</v>
      </c>
      <c r="G9651" s="52">
        <v>190286.239555426</v>
      </c>
      <c r="H9651" s="56">
        <v>6.525648437036928E-2</v>
      </c>
      <c r="I9651" s="224" t="s">
        <v>2</v>
      </c>
    </row>
    <row r="9652" spans="1:9" x14ac:dyDescent="0.25">
      <c r="A9652" s="515">
        <v>45806</v>
      </c>
      <c r="B9652" s="515" t="s">
        <v>299</v>
      </c>
      <c r="C9652" s="52">
        <v>188746.60435752201</v>
      </c>
      <c r="D9652" s="56">
        <v>8.3727097116084101E-2</v>
      </c>
      <c r="E9652" s="224" t="s">
        <v>2</v>
      </c>
      <c r="F9652" s="515" t="s">
        <v>10853</v>
      </c>
      <c r="G9652" s="52">
        <v>159545.54430379701</v>
      </c>
      <c r="H9652" s="56">
        <v>0</v>
      </c>
      <c r="I9652" s="224" t="s">
        <v>2</v>
      </c>
    </row>
    <row r="9653" spans="1:9" x14ac:dyDescent="0.25">
      <c r="A9653" s="515">
        <v>50616</v>
      </c>
      <c r="C9653" s="52">
        <v>120335.67226149399</v>
      </c>
      <c r="D9653" s="56">
        <v>3.6274210662105677E-2</v>
      </c>
      <c r="E9653" s="224" t="s">
        <v>2</v>
      </c>
      <c r="F9653" s="515" t="s">
        <v>10854</v>
      </c>
      <c r="G9653" s="52">
        <v>128876.15962441301</v>
      </c>
      <c r="H9653" s="56">
        <v>0</v>
      </c>
      <c r="I9653" s="224" t="s">
        <v>2</v>
      </c>
    </row>
    <row r="9654" spans="1:9" x14ac:dyDescent="0.25">
      <c r="A9654" s="515">
        <v>69301</v>
      </c>
      <c r="C9654" s="52">
        <v>149793.761615539</v>
      </c>
      <c r="D9654" s="56">
        <v>5.8972123979777705E-2</v>
      </c>
      <c r="E9654" s="224" t="s">
        <v>2</v>
      </c>
      <c r="F9654" s="515" t="s">
        <v>10855</v>
      </c>
      <c r="G9654" s="52">
        <v>173771.20491965901</v>
      </c>
      <c r="H9654" s="56">
        <v>3.5165062684919826E-2</v>
      </c>
      <c r="I9654" s="224" t="s">
        <v>2</v>
      </c>
    </row>
    <row r="9655" spans="1:9" x14ac:dyDescent="0.25">
      <c r="A9655" s="515">
        <v>27882</v>
      </c>
      <c r="B9655" s="515" t="s">
        <v>1152</v>
      </c>
      <c r="C9655" s="52">
        <v>187785.34045011699</v>
      </c>
      <c r="D9655" s="56">
        <v>0.20616558701905616</v>
      </c>
      <c r="E9655" s="224" t="s">
        <v>2</v>
      </c>
      <c r="F9655" s="515" t="s">
        <v>10856</v>
      </c>
      <c r="G9655" s="52">
        <v>123537.50209478701</v>
      </c>
      <c r="H9655" s="56">
        <v>9.1165865588204581E-2</v>
      </c>
      <c r="I9655" s="224" t="s">
        <v>2</v>
      </c>
    </row>
    <row r="9656" spans="1:9" x14ac:dyDescent="0.25">
      <c r="A9656" s="515">
        <v>48117</v>
      </c>
      <c r="B9656" s="515" t="s">
        <v>1033</v>
      </c>
      <c r="C9656" s="52">
        <v>266755.369684659</v>
      </c>
      <c r="D9656" s="56">
        <v>5.1804782481250491E-2</v>
      </c>
      <c r="E9656" s="224" t="s">
        <v>2</v>
      </c>
      <c r="F9656" s="515" t="s">
        <v>10857</v>
      </c>
      <c r="G9656" s="52">
        <v>290144.300046611</v>
      </c>
      <c r="H9656" s="56">
        <v>0.11788252025276029</v>
      </c>
      <c r="I9656" s="224" t="s">
        <v>2</v>
      </c>
    </row>
    <row r="9657" spans="1:9" x14ac:dyDescent="0.25">
      <c r="A9657" s="515">
        <v>85262</v>
      </c>
      <c r="B9657" s="515" t="s">
        <v>563</v>
      </c>
      <c r="C9657" s="52">
        <v>1368208.9373373401</v>
      </c>
      <c r="D9657" s="56">
        <v>9.0720020894185127E-2</v>
      </c>
      <c r="E9657" s="224" t="s">
        <v>2</v>
      </c>
      <c r="F9657" s="515" t="s">
        <v>10858</v>
      </c>
      <c r="G9657" s="52">
        <v>305377.19105997903</v>
      </c>
      <c r="H9657" s="56">
        <v>0.10038864335904607</v>
      </c>
      <c r="I9657" s="224" t="s">
        <v>2</v>
      </c>
    </row>
    <row r="9658" spans="1:9" x14ac:dyDescent="0.25">
      <c r="A9658" s="515">
        <v>58301</v>
      </c>
      <c r="C9658" s="52">
        <v>199646.598835018</v>
      </c>
      <c r="D9658" s="56">
        <v>3.7399490898754405E-2</v>
      </c>
      <c r="E9658" s="224" t="s">
        <v>2</v>
      </c>
      <c r="F9658" s="515" t="s">
        <v>10859</v>
      </c>
      <c r="G9658" s="52">
        <v>243565.67936498899</v>
      </c>
      <c r="H9658" s="56">
        <v>5.2084503617976403E-2</v>
      </c>
      <c r="I9658" s="224" t="s">
        <v>2</v>
      </c>
    </row>
    <row r="9659" spans="1:9" x14ac:dyDescent="0.25">
      <c r="A9659" s="515">
        <v>70390</v>
      </c>
      <c r="B9659" s="515" t="s">
        <v>610</v>
      </c>
      <c r="C9659" s="52">
        <v>117205.657645117</v>
      </c>
      <c r="D9659" s="56">
        <v>8.2655472437402996E-2</v>
      </c>
      <c r="E9659" s="224" t="s">
        <v>2</v>
      </c>
      <c r="F9659" s="515" t="s">
        <v>10860</v>
      </c>
      <c r="G9659" s="52">
        <v>257833.910463229</v>
      </c>
      <c r="H9659" s="56">
        <v>6.3761685325210732E-2</v>
      </c>
      <c r="I9659" s="224" t="s">
        <v>2</v>
      </c>
    </row>
    <row r="9660" spans="1:9" x14ac:dyDescent="0.25">
      <c r="A9660" s="515">
        <v>75706</v>
      </c>
      <c r="B9660" s="515" t="s">
        <v>1157</v>
      </c>
      <c r="C9660" s="52">
        <v>209579.03698390801</v>
      </c>
      <c r="D9660" s="56">
        <v>9.7954253741845382E-2</v>
      </c>
      <c r="E9660" s="224" t="s">
        <v>2</v>
      </c>
      <c r="F9660" s="515" t="s">
        <v>10861</v>
      </c>
      <c r="G9660" s="52">
        <v>208036.37821139401</v>
      </c>
      <c r="H9660" s="56">
        <v>5.6877372655233911E-2</v>
      </c>
      <c r="I9660" s="224" t="s">
        <v>2</v>
      </c>
    </row>
    <row r="9661" spans="1:9" x14ac:dyDescent="0.25">
      <c r="A9661" s="515">
        <v>45714</v>
      </c>
      <c r="B9661" s="515" t="s">
        <v>665</v>
      </c>
      <c r="C9661" s="52">
        <v>161693.94654861599</v>
      </c>
      <c r="D9661" s="56">
        <v>4.1589749530172408E-2</v>
      </c>
      <c r="E9661" s="224" t="s">
        <v>2</v>
      </c>
      <c r="F9661" s="515" t="s">
        <v>10862</v>
      </c>
      <c r="G9661" s="52">
        <v>288856.87512736302</v>
      </c>
      <c r="H9661" s="56">
        <v>2.55961867036168E-2</v>
      </c>
      <c r="I9661" s="224" t="s">
        <v>2</v>
      </c>
    </row>
    <row r="9662" spans="1:9" x14ac:dyDescent="0.25">
      <c r="A9662" s="515">
        <v>35634</v>
      </c>
      <c r="B9662" s="515" t="s">
        <v>1100</v>
      </c>
      <c r="C9662" s="52">
        <v>259677.447524583</v>
      </c>
      <c r="D9662" s="56">
        <v>8.945981766334779E-2</v>
      </c>
      <c r="E9662" s="224" t="s">
        <v>2</v>
      </c>
      <c r="F9662" s="515" t="s">
        <v>10863</v>
      </c>
      <c r="G9662" s="52">
        <v>201245.444533567</v>
      </c>
      <c r="H9662" s="56">
        <v>0.10969348654628604</v>
      </c>
      <c r="I9662" s="224" t="s">
        <v>2</v>
      </c>
    </row>
    <row r="9663" spans="1:9" x14ac:dyDescent="0.25">
      <c r="A9663" s="515">
        <v>42261</v>
      </c>
      <c r="B9663" s="515" t="s">
        <v>799</v>
      </c>
      <c r="C9663" s="52">
        <v>151467.46235021099</v>
      </c>
      <c r="D9663" s="56">
        <v>0.12194385712735197</v>
      </c>
      <c r="E9663" s="224" t="s">
        <v>2</v>
      </c>
      <c r="F9663" s="515" t="s">
        <v>10864</v>
      </c>
      <c r="G9663" s="52">
        <v>142893.57353555801</v>
      </c>
      <c r="H9663" s="56">
        <v>-2.4779546493138294E-2</v>
      </c>
      <c r="I9663" s="224" t="s">
        <v>2</v>
      </c>
    </row>
    <row r="9664" spans="1:9" x14ac:dyDescent="0.25">
      <c r="A9664" s="515">
        <v>70774</v>
      </c>
      <c r="B9664" s="515" t="s">
        <v>610</v>
      </c>
      <c r="C9664" s="52">
        <v>229260.31817386</v>
      </c>
      <c r="D9664" s="56">
        <v>5.0076451936601124E-2</v>
      </c>
      <c r="E9664" s="224" t="s">
        <v>2</v>
      </c>
      <c r="F9664" s="515" t="s">
        <v>10865</v>
      </c>
      <c r="G9664" s="52">
        <v>179327.57661735901</v>
      </c>
      <c r="H9664" s="56">
        <v>-2.4275476408125471E-3</v>
      </c>
      <c r="I9664" s="224" t="s">
        <v>2</v>
      </c>
    </row>
    <row r="9665" spans="1:9" x14ac:dyDescent="0.25">
      <c r="A9665" s="515">
        <v>19021</v>
      </c>
      <c r="B9665" s="515" t="s">
        <v>294</v>
      </c>
      <c r="C9665" s="52">
        <v>289585.42873319902</v>
      </c>
      <c r="D9665" s="56">
        <v>9.3239764006845693E-2</v>
      </c>
      <c r="E9665" s="224" t="s">
        <v>2</v>
      </c>
      <c r="F9665" s="515" t="s">
        <v>10866</v>
      </c>
      <c r="G9665" s="52">
        <v>282110.03997701401</v>
      </c>
      <c r="H9665" s="56">
        <v>0.10522597696320972</v>
      </c>
      <c r="I9665" s="224" t="s">
        <v>2</v>
      </c>
    </row>
    <row r="9666" spans="1:9" x14ac:dyDescent="0.25">
      <c r="A9666" s="515">
        <v>78616</v>
      </c>
      <c r="B9666" s="515" t="s">
        <v>380</v>
      </c>
      <c r="C9666" s="52">
        <v>358146.242794969</v>
      </c>
      <c r="D9666" s="56">
        <v>0.14775849686613307</v>
      </c>
      <c r="E9666" s="224" t="s">
        <v>2</v>
      </c>
      <c r="F9666" s="515" t="s">
        <v>10867</v>
      </c>
      <c r="G9666" s="52">
        <v>539802.411778184</v>
      </c>
      <c r="H9666" s="56">
        <v>7.2624879929662253E-2</v>
      </c>
      <c r="I9666" s="224" t="s">
        <v>2</v>
      </c>
    </row>
    <row r="9667" spans="1:9" x14ac:dyDescent="0.25">
      <c r="A9667" s="515">
        <v>28466</v>
      </c>
      <c r="C9667" s="52">
        <v>172992.513366228</v>
      </c>
      <c r="D9667" s="56">
        <v>0.2053252901203407</v>
      </c>
      <c r="E9667" s="224" t="s">
        <v>2</v>
      </c>
      <c r="F9667" s="515" t="s">
        <v>10868</v>
      </c>
      <c r="G9667" s="52">
        <v>170386.67491670101</v>
      </c>
      <c r="H9667" s="56">
        <v>-2.3805832682826916E-2</v>
      </c>
      <c r="I9667" s="224" t="s">
        <v>2</v>
      </c>
    </row>
    <row r="9668" spans="1:9" x14ac:dyDescent="0.25">
      <c r="A9668" s="515">
        <v>42602</v>
      </c>
      <c r="C9668" s="52">
        <v>130357.82838507299</v>
      </c>
      <c r="D9668" s="56">
        <v>0.1661824346856858</v>
      </c>
      <c r="E9668" s="224" t="s">
        <v>2</v>
      </c>
      <c r="F9668" s="515" t="s">
        <v>10869</v>
      </c>
      <c r="G9668" s="52">
        <v>126228.926531137</v>
      </c>
      <c r="H9668" s="56">
        <v>7.1916614770063864E-2</v>
      </c>
      <c r="I9668" s="224" t="s">
        <v>2</v>
      </c>
    </row>
    <row r="9669" spans="1:9" x14ac:dyDescent="0.25">
      <c r="A9669" s="515">
        <v>32920</v>
      </c>
      <c r="B9669" s="515" t="s">
        <v>1133</v>
      </c>
      <c r="C9669" s="52">
        <v>359838.46747782198</v>
      </c>
      <c r="D9669" s="56">
        <v>0.11258101327960245</v>
      </c>
      <c r="E9669" s="224">
        <v>2057.5925925925899</v>
      </c>
      <c r="F9669" s="515" t="s">
        <v>10870</v>
      </c>
      <c r="G9669" s="52">
        <v>132231.21727575699</v>
      </c>
      <c r="H9669" s="56">
        <v>5.3847735687388799E-2</v>
      </c>
      <c r="I9669" s="224" t="s">
        <v>2</v>
      </c>
    </row>
    <row r="9670" spans="1:9" x14ac:dyDescent="0.25">
      <c r="A9670" s="515">
        <v>93620</v>
      </c>
      <c r="B9670" s="515" t="s">
        <v>594</v>
      </c>
      <c r="C9670" s="52">
        <v>326090.17514284601</v>
      </c>
      <c r="D9670" s="56">
        <v>4.5704918918869977E-2</v>
      </c>
      <c r="E9670" s="224" t="s">
        <v>2</v>
      </c>
      <c r="F9670" s="515" t="s">
        <v>10871</v>
      </c>
      <c r="G9670" s="52">
        <v>259524.56418407001</v>
      </c>
      <c r="H9670" s="56">
        <v>9.2653862211273239E-2</v>
      </c>
      <c r="I9670" s="224" t="s">
        <v>2</v>
      </c>
    </row>
    <row r="9671" spans="1:9" x14ac:dyDescent="0.25">
      <c r="A9671" s="515">
        <v>29572</v>
      </c>
      <c r="B9671" s="515" t="s">
        <v>703</v>
      </c>
      <c r="C9671" s="52">
        <v>304522.43485798797</v>
      </c>
      <c r="D9671" s="56">
        <v>0.14583979040168762</v>
      </c>
      <c r="E9671" s="224" t="s">
        <v>2</v>
      </c>
      <c r="F9671" s="515" t="s">
        <v>10872</v>
      </c>
      <c r="G9671" s="52">
        <v>199620.656597336</v>
      </c>
      <c r="H9671" s="56">
        <v>4.4787760587572535E-2</v>
      </c>
      <c r="I9671" s="224" t="s">
        <v>2</v>
      </c>
    </row>
    <row r="9672" spans="1:9" x14ac:dyDescent="0.25">
      <c r="A9672" s="515">
        <v>35620</v>
      </c>
      <c r="B9672" s="515" t="s">
        <v>997</v>
      </c>
      <c r="C9672" s="52">
        <v>222608.92424481999</v>
      </c>
      <c r="D9672" s="56">
        <v>4.8561218313752194E-2</v>
      </c>
      <c r="E9672" s="224" t="s">
        <v>2</v>
      </c>
      <c r="F9672" s="515" t="s">
        <v>5158</v>
      </c>
      <c r="G9672" s="52">
        <v>238258.572412487</v>
      </c>
      <c r="H9672" s="56">
        <v>4.4230515531481343E-2</v>
      </c>
      <c r="I9672" s="224" t="s">
        <v>2</v>
      </c>
    </row>
    <row r="9673" spans="1:9" x14ac:dyDescent="0.25">
      <c r="A9673" s="515">
        <v>49107</v>
      </c>
      <c r="B9673" s="515" t="s">
        <v>698</v>
      </c>
      <c r="C9673" s="52">
        <v>191426.209076381</v>
      </c>
      <c r="D9673" s="56">
        <v>5.2680816356819475E-2</v>
      </c>
      <c r="E9673" s="224" t="s">
        <v>2</v>
      </c>
      <c r="F9673" s="515" t="s">
        <v>10873</v>
      </c>
      <c r="G9673" s="52">
        <v>196395.28166956999</v>
      </c>
      <c r="H9673" s="56">
        <v>0.10894716040147241</v>
      </c>
      <c r="I9673" s="224" t="s">
        <v>2</v>
      </c>
    </row>
    <row r="9674" spans="1:9" x14ac:dyDescent="0.25">
      <c r="A9674" s="515">
        <v>36587</v>
      </c>
      <c r="B9674" s="515" t="s">
        <v>815</v>
      </c>
      <c r="C9674" s="52">
        <v>190598.76214242401</v>
      </c>
      <c r="D9674" s="56">
        <v>7.0458853885626019E-2</v>
      </c>
      <c r="E9674" s="224" t="s">
        <v>2</v>
      </c>
      <c r="F9674" s="515" t="s">
        <v>10874</v>
      </c>
      <c r="G9674" s="52">
        <v>226943.45621098101</v>
      </c>
      <c r="H9674" s="56">
        <v>5.7842332771961831E-2</v>
      </c>
      <c r="I9674" s="224" t="s">
        <v>2</v>
      </c>
    </row>
    <row r="9675" spans="1:9" x14ac:dyDescent="0.25">
      <c r="A9675" s="515">
        <v>66083</v>
      </c>
      <c r="B9675" s="515" t="s">
        <v>455</v>
      </c>
      <c r="C9675" s="52">
        <v>381028.820645809</v>
      </c>
      <c r="D9675" s="56">
        <v>6.7646125177240279E-2</v>
      </c>
      <c r="E9675" s="224" t="s">
        <v>2</v>
      </c>
      <c r="F9675" s="515" t="s">
        <v>10875</v>
      </c>
      <c r="G9675" s="52"/>
      <c r="H9675" s="56">
        <v>0</v>
      </c>
      <c r="I9675" s="224" t="s">
        <v>2</v>
      </c>
    </row>
    <row r="9676" spans="1:9" x14ac:dyDescent="0.25">
      <c r="A9676" s="515">
        <v>68110</v>
      </c>
      <c r="B9676" s="515" t="s">
        <v>367</v>
      </c>
      <c r="C9676" s="52">
        <v>116693.98410426899</v>
      </c>
      <c r="D9676" s="56">
        <v>0.26089247361184326</v>
      </c>
      <c r="E9676" s="224" t="s">
        <v>2</v>
      </c>
      <c r="F9676" s="515" t="s">
        <v>10876</v>
      </c>
      <c r="G9676" s="52">
        <v>339239.68431835098</v>
      </c>
      <c r="H9676" s="56">
        <v>4.3469567038068341E-2</v>
      </c>
      <c r="I9676" s="224" t="s">
        <v>2</v>
      </c>
    </row>
    <row r="9677" spans="1:9" x14ac:dyDescent="0.25">
      <c r="A9677" s="515">
        <v>31808</v>
      </c>
      <c r="B9677" s="515" t="s">
        <v>778</v>
      </c>
      <c r="C9677" s="52">
        <v>327372.013232878</v>
      </c>
      <c r="D9677" s="56">
        <v>6.9536812838689968E-2</v>
      </c>
      <c r="E9677" s="224" t="s">
        <v>2</v>
      </c>
      <c r="F9677" s="515" t="s">
        <v>10877</v>
      </c>
      <c r="G9677" s="52">
        <v>269341.022500391</v>
      </c>
      <c r="H9677" s="56">
        <v>0.13676487517121907</v>
      </c>
      <c r="I9677" s="224" t="s">
        <v>2</v>
      </c>
    </row>
    <row r="9678" spans="1:9" x14ac:dyDescent="0.25">
      <c r="A9678" s="515">
        <v>75210</v>
      </c>
      <c r="B9678" s="515" t="s">
        <v>458</v>
      </c>
      <c r="C9678" s="52">
        <v>143060.26432868399</v>
      </c>
      <c r="D9678" s="56">
        <v>0.28603939607900769</v>
      </c>
      <c r="E9678" s="224" t="s">
        <v>2</v>
      </c>
      <c r="F9678" s="515" t="s">
        <v>10878</v>
      </c>
      <c r="G9678" s="52">
        <v>468972.14981706999</v>
      </c>
      <c r="H9678" s="56">
        <v>0.10799854014179594</v>
      </c>
      <c r="I9678" s="224" t="s">
        <v>2</v>
      </c>
    </row>
    <row r="9679" spans="1:9" x14ac:dyDescent="0.25">
      <c r="A9679" s="515">
        <v>47842</v>
      </c>
      <c r="B9679" s="515" t="s">
        <v>318</v>
      </c>
      <c r="C9679" s="52">
        <v>110667.54004608</v>
      </c>
      <c r="D9679" s="56">
        <v>4.7904400921203058E-2</v>
      </c>
      <c r="E9679" s="224" t="s">
        <v>2</v>
      </c>
      <c r="F9679" s="515" t="s">
        <v>10879</v>
      </c>
      <c r="G9679" s="52">
        <v>191024.42280757299</v>
      </c>
      <c r="H9679" s="56">
        <v>6.0519495575581034E-2</v>
      </c>
      <c r="I9679" s="224" t="s">
        <v>2</v>
      </c>
    </row>
    <row r="9680" spans="1:9" x14ac:dyDescent="0.25">
      <c r="A9680" s="515">
        <v>86040</v>
      </c>
      <c r="B9680" s="515" t="s">
        <v>600</v>
      </c>
      <c r="C9680" s="52">
        <v>349794.27371238498</v>
      </c>
      <c r="D9680" s="56">
        <v>4.0979668987495915E-2</v>
      </c>
      <c r="E9680" s="224" t="s">
        <v>2</v>
      </c>
      <c r="F9680" s="515" t="s">
        <v>10880</v>
      </c>
      <c r="G9680" s="52">
        <v>135274.36870290499</v>
      </c>
      <c r="H9680" s="56">
        <v>-5.1543871039304349E-2</v>
      </c>
      <c r="I9680" s="224" t="s">
        <v>2</v>
      </c>
    </row>
    <row r="9681" spans="1:9" x14ac:dyDescent="0.25">
      <c r="A9681" s="515">
        <v>84664</v>
      </c>
      <c r="B9681" s="515" t="s">
        <v>726</v>
      </c>
      <c r="C9681" s="52">
        <v>672578.66278098198</v>
      </c>
      <c r="D9681" s="56">
        <v>1.0342444488773778E-2</v>
      </c>
      <c r="E9681" s="224" t="s">
        <v>2</v>
      </c>
      <c r="F9681" s="515" t="s">
        <v>10881</v>
      </c>
      <c r="G9681" s="52">
        <v>569439.36876376194</v>
      </c>
      <c r="H9681" s="56">
        <v>2.3604039033838162E-2</v>
      </c>
      <c r="I9681" s="224" t="s">
        <v>2</v>
      </c>
    </row>
    <row r="9682" spans="1:9" x14ac:dyDescent="0.25">
      <c r="A9682" s="515">
        <v>1949</v>
      </c>
      <c r="B9682" s="515" t="s">
        <v>534</v>
      </c>
      <c r="C9682" s="52">
        <v>743940.43551772798</v>
      </c>
      <c r="D9682" s="56">
        <v>4.4668795275824499E-2</v>
      </c>
      <c r="E9682" s="224" t="s">
        <v>2</v>
      </c>
      <c r="F9682" s="515" t="s">
        <v>10882</v>
      </c>
      <c r="G9682" s="52">
        <v>192202.213500727</v>
      </c>
      <c r="H9682" s="56">
        <v>7.4924095502861818E-2</v>
      </c>
      <c r="I9682" s="224" t="s">
        <v>2</v>
      </c>
    </row>
    <row r="9683" spans="1:9" x14ac:dyDescent="0.25">
      <c r="A9683" s="515">
        <v>55792</v>
      </c>
      <c r="B9683" s="515" t="s">
        <v>350</v>
      </c>
      <c r="C9683" s="52">
        <v>120220.830547251</v>
      </c>
      <c r="D9683" s="56">
        <v>2.8997343164541375E-2</v>
      </c>
      <c r="E9683" s="224" t="s">
        <v>2</v>
      </c>
      <c r="F9683" s="515" t="s">
        <v>10883</v>
      </c>
      <c r="G9683" s="52">
        <v>153317.07211446101</v>
      </c>
      <c r="H9683" s="56">
        <v>0</v>
      </c>
      <c r="I9683" s="224" t="s">
        <v>2</v>
      </c>
    </row>
    <row r="9684" spans="1:9" x14ac:dyDescent="0.25">
      <c r="A9684" s="515">
        <v>31730</v>
      </c>
      <c r="C9684" s="52">
        <v>115470.46487404</v>
      </c>
      <c r="D9684" s="56">
        <v>5.5343063039400689E-2</v>
      </c>
      <c r="E9684" s="224" t="s">
        <v>2</v>
      </c>
      <c r="F9684" s="515" t="s">
        <v>10884</v>
      </c>
      <c r="G9684" s="52">
        <v>163143.23848238401</v>
      </c>
      <c r="H9684" s="56">
        <v>0</v>
      </c>
      <c r="I9684" s="224" t="s">
        <v>2</v>
      </c>
    </row>
    <row r="9685" spans="1:9" x14ac:dyDescent="0.25">
      <c r="A9685" s="515">
        <v>28168</v>
      </c>
      <c r="B9685" s="515" t="s">
        <v>638</v>
      </c>
      <c r="C9685" s="52">
        <v>247363.906157994</v>
      </c>
      <c r="D9685" s="56">
        <v>0.17158440900260341</v>
      </c>
      <c r="E9685" s="224" t="s">
        <v>2</v>
      </c>
      <c r="F9685" s="515" t="s">
        <v>10885</v>
      </c>
      <c r="G9685" s="52">
        <v>80733.808676244007</v>
      </c>
      <c r="H9685" s="56">
        <v>0.19250026508201065</v>
      </c>
      <c r="I9685" s="224" t="s">
        <v>2</v>
      </c>
    </row>
    <row r="9686" spans="1:9" x14ac:dyDescent="0.25">
      <c r="A9686" s="515">
        <v>35004</v>
      </c>
      <c r="B9686" s="515" t="s">
        <v>640</v>
      </c>
      <c r="C9686" s="52">
        <v>252401.53295057299</v>
      </c>
      <c r="D9686" s="56">
        <v>8.5172553509129806E-2</v>
      </c>
      <c r="E9686" s="224" t="s">
        <v>2</v>
      </c>
      <c r="F9686" s="515" t="s">
        <v>10886</v>
      </c>
      <c r="G9686" s="52">
        <v>76479.771428571403</v>
      </c>
      <c r="H9686" s="56">
        <v>0</v>
      </c>
      <c r="I9686" s="224" t="s">
        <v>2</v>
      </c>
    </row>
    <row r="9687" spans="1:9" x14ac:dyDescent="0.25">
      <c r="A9687" s="515">
        <v>93721</v>
      </c>
      <c r="B9687" s="515" t="s">
        <v>541</v>
      </c>
      <c r="C9687" s="52">
        <v>198856.33258132401</v>
      </c>
      <c r="D9687" s="56">
        <v>7.7438269181141814E-2</v>
      </c>
      <c r="E9687" s="224" t="s">
        <v>2</v>
      </c>
      <c r="F9687" s="515" t="s">
        <v>10887</v>
      </c>
      <c r="G9687" s="52">
        <v>192841.37334520399</v>
      </c>
      <c r="H9687" s="56">
        <v>8.8923790397435282E-2</v>
      </c>
      <c r="I9687" s="224" t="s">
        <v>2</v>
      </c>
    </row>
    <row r="9688" spans="1:9" x14ac:dyDescent="0.25">
      <c r="A9688" s="515">
        <v>95012</v>
      </c>
      <c r="B9688" s="515" t="s">
        <v>443</v>
      </c>
      <c r="C9688" s="52">
        <v>603927.23319447995</v>
      </c>
      <c r="D9688" s="56">
        <v>4.3045169336676313E-2</v>
      </c>
      <c r="E9688" s="224" t="s">
        <v>2</v>
      </c>
      <c r="F9688" s="515" t="s">
        <v>10888</v>
      </c>
      <c r="G9688" s="52">
        <v>193684.768785767</v>
      </c>
      <c r="H9688" s="56">
        <v>0.12082040272411487</v>
      </c>
      <c r="I9688" s="224" t="s">
        <v>2</v>
      </c>
    </row>
    <row r="9689" spans="1:9" x14ac:dyDescent="0.25">
      <c r="A9689" s="515">
        <v>30313</v>
      </c>
      <c r="B9689" s="515" t="s">
        <v>957</v>
      </c>
      <c r="C9689" s="52">
        <v>333946.22925071698</v>
      </c>
      <c r="D9689" s="56">
        <v>5.5864351404266377E-2</v>
      </c>
      <c r="E9689" s="224">
        <v>1907.80555555555</v>
      </c>
      <c r="F9689" s="515" t="s">
        <v>10889</v>
      </c>
      <c r="G9689" s="52">
        <v>138586.57388133899</v>
      </c>
      <c r="H9689" s="56">
        <v>9.8004560953760644E-2</v>
      </c>
      <c r="I9689" s="224" t="s">
        <v>2</v>
      </c>
    </row>
    <row r="9690" spans="1:9" x14ac:dyDescent="0.25">
      <c r="A9690" s="515">
        <v>84653</v>
      </c>
      <c r="B9690" s="515" t="s">
        <v>726</v>
      </c>
      <c r="C9690" s="52">
        <v>620542.37786635396</v>
      </c>
      <c r="D9690" s="56">
        <v>1.0977637527619806E-2</v>
      </c>
      <c r="E9690" s="224" t="s">
        <v>2</v>
      </c>
      <c r="F9690" s="515" t="s">
        <v>10890</v>
      </c>
      <c r="G9690" s="52">
        <v>190346.92395854101</v>
      </c>
      <c r="H9690" s="56">
        <v>6.2996700566953681E-2</v>
      </c>
      <c r="I9690" s="224" t="s">
        <v>2</v>
      </c>
    </row>
    <row r="9691" spans="1:9" x14ac:dyDescent="0.25">
      <c r="A9691" s="515">
        <v>3109</v>
      </c>
      <c r="B9691" s="515" t="s">
        <v>996</v>
      </c>
      <c r="C9691" s="52">
        <v>381119.13255172002</v>
      </c>
      <c r="D9691" s="56">
        <v>7.2946471152722861E-2</v>
      </c>
      <c r="E9691" s="224" t="s">
        <v>2</v>
      </c>
      <c r="F9691" s="515" t="s">
        <v>10891</v>
      </c>
      <c r="G9691" s="52">
        <v>159315.206589932</v>
      </c>
      <c r="H9691" s="56">
        <v>5.631216334925019E-2</v>
      </c>
      <c r="I9691" s="224" t="s">
        <v>2</v>
      </c>
    </row>
    <row r="9692" spans="1:9" x14ac:dyDescent="0.25">
      <c r="A9692" s="515">
        <v>60514</v>
      </c>
      <c r="B9692" s="515" t="s">
        <v>394</v>
      </c>
      <c r="C9692" s="52">
        <v>499941.86629413202</v>
      </c>
      <c r="D9692" s="56">
        <v>4.5964850946113862E-2</v>
      </c>
      <c r="E9692" s="224" t="s">
        <v>2</v>
      </c>
      <c r="F9692" s="515" t="s">
        <v>10892</v>
      </c>
      <c r="G9692" s="52">
        <v>663036.11090169603</v>
      </c>
      <c r="H9692" s="56">
        <v>3.0502422201253701E-3</v>
      </c>
      <c r="I9692" s="224" t="s">
        <v>2</v>
      </c>
    </row>
    <row r="9693" spans="1:9" x14ac:dyDescent="0.25">
      <c r="A9693" s="515">
        <v>95064</v>
      </c>
      <c r="B9693" s="515" t="s">
        <v>596</v>
      </c>
      <c r="C9693" s="52">
        <v>571959.88718648395</v>
      </c>
      <c r="D9693" s="56">
        <v>3.5069918405007186E-2</v>
      </c>
      <c r="E9693" s="224" t="s">
        <v>2</v>
      </c>
      <c r="F9693" s="515" t="s">
        <v>10893</v>
      </c>
      <c r="G9693" s="52">
        <v>3296388.6126272902</v>
      </c>
      <c r="H9693" s="56">
        <v>6.5938808699719159E-2</v>
      </c>
      <c r="I9693" s="224">
        <v>5715</v>
      </c>
    </row>
    <row r="9694" spans="1:9" x14ac:dyDescent="0.25">
      <c r="A9694" s="515">
        <v>25271</v>
      </c>
      <c r="B9694" s="515" t="s">
        <v>322</v>
      </c>
      <c r="C9694" s="52">
        <v>169467.389686429</v>
      </c>
      <c r="D9694" s="56">
        <v>7.3565079656662272E-2</v>
      </c>
      <c r="E9694" s="224" t="s">
        <v>2</v>
      </c>
      <c r="F9694" s="515" t="s">
        <v>10894</v>
      </c>
      <c r="G9694" s="52">
        <v>253436.19990458601</v>
      </c>
      <c r="H9694" s="56">
        <v>4.8578791757079687E-2</v>
      </c>
      <c r="I9694" s="224" t="s">
        <v>2</v>
      </c>
    </row>
    <row r="9695" spans="1:9" x14ac:dyDescent="0.25">
      <c r="A9695" s="515">
        <v>13323</v>
      </c>
      <c r="B9695" s="515" t="s">
        <v>543</v>
      </c>
      <c r="C9695" s="52">
        <v>249905.55637288201</v>
      </c>
      <c r="D9695" s="56">
        <v>8.9285443096583872E-2</v>
      </c>
      <c r="E9695" s="224" t="s">
        <v>2</v>
      </c>
      <c r="F9695" s="515" t="s">
        <v>10895</v>
      </c>
      <c r="G9695" s="52">
        <v>156826.16568698699</v>
      </c>
      <c r="H9695" s="56">
        <v>8.2921636882309177E-2</v>
      </c>
      <c r="I9695" s="224" t="s">
        <v>2</v>
      </c>
    </row>
    <row r="9696" spans="1:9" x14ac:dyDescent="0.25">
      <c r="A9696" s="515">
        <v>48661</v>
      </c>
      <c r="C9696" s="52">
        <v>165170.61878800401</v>
      </c>
      <c r="D9696" s="56">
        <v>8.842448441858497E-2</v>
      </c>
      <c r="E9696" s="224" t="s">
        <v>2</v>
      </c>
      <c r="F9696" s="515" t="s">
        <v>10896</v>
      </c>
      <c r="G9696" s="52">
        <v>173842.37749261799</v>
      </c>
      <c r="H9696" s="56">
        <v>4.2292298898756138E-2</v>
      </c>
      <c r="I9696" s="224" t="s">
        <v>2</v>
      </c>
    </row>
    <row r="9697" spans="1:9" x14ac:dyDescent="0.25">
      <c r="A9697" s="515">
        <v>89060</v>
      </c>
      <c r="B9697" s="515" t="s">
        <v>311</v>
      </c>
      <c r="C9697" s="52">
        <v>262694.30394516699</v>
      </c>
      <c r="D9697" s="56">
        <v>-1.162454251774254E-2</v>
      </c>
      <c r="E9697" s="224" t="s">
        <v>2</v>
      </c>
      <c r="F9697" s="515" t="s">
        <v>10897</v>
      </c>
      <c r="G9697" s="52">
        <v>402065.79529411701</v>
      </c>
      <c r="H9697" s="56">
        <v>0</v>
      </c>
      <c r="I9697" s="224" t="s">
        <v>2</v>
      </c>
    </row>
    <row r="9698" spans="1:9" x14ac:dyDescent="0.25">
      <c r="A9698" s="515">
        <v>25508</v>
      </c>
      <c r="B9698" s="515" t="s">
        <v>464</v>
      </c>
      <c r="C9698" s="52">
        <v>133859.64964532701</v>
      </c>
      <c r="D9698" s="56">
        <v>8.7096715155202203E-2</v>
      </c>
      <c r="E9698" s="224" t="s">
        <v>2</v>
      </c>
      <c r="F9698" s="515" t="s">
        <v>10898</v>
      </c>
      <c r="G9698" s="52">
        <v>177817.38758497901</v>
      </c>
      <c r="H9698" s="56">
        <v>0.10847733482880612</v>
      </c>
      <c r="I9698" s="224" t="s">
        <v>2</v>
      </c>
    </row>
    <row r="9699" spans="1:9" x14ac:dyDescent="0.25">
      <c r="A9699" s="515">
        <v>35653</v>
      </c>
      <c r="C9699" s="52">
        <v>131395.91047252799</v>
      </c>
      <c r="D9699" s="56">
        <v>9.5594983141270032E-2</v>
      </c>
      <c r="E9699" s="224" t="s">
        <v>2</v>
      </c>
      <c r="F9699" s="515" t="s">
        <v>10899</v>
      </c>
      <c r="G9699" s="52">
        <v>328013.943578123</v>
      </c>
      <c r="H9699" s="56">
        <v>4.7932836319534954E-2</v>
      </c>
      <c r="I9699" s="224" t="s">
        <v>2</v>
      </c>
    </row>
    <row r="9700" spans="1:9" x14ac:dyDescent="0.25">
      <c r="A9700" s="515">
        <v>52748</v>
      </c>
      <c r="B9700" s="515" t="s">
        <v>439</v>
      </c>
      <c r="C9700" s="52">
        <v>292312.52927836799</v>
      </c>
      <c r="D9700" s="56">
        <v>5.8159334836229273E-2</v>
      </c>
      <c r="E9700" s="224" t="s">
        <v>2</v>
      </c>
      <c r="F9700" s="515" t="s">
        <v>10900</v>
      </c>
      <c r="G9700" s="52">
        <v>215190.23143374099</v>
      </c>
      <c r="H9700" s="56">
        <v>0.10327728632129629</v>
      </c>
      <c r="I9700" s="224" t="s">
        <v>2</v>
      </c>
    </row>
    <row r="9701" spans="1:9" x14ac:dyDescent="0.25">
      <c r="A9701" s="515">
        <v>95451</v>
      </c>
      <c r="B9701" s="515" t="s">
        <v>363</v>
      </c>
      <c r="C9701" s="52">
        <v>362412.37221798598</v>
      </c>
      <c r="D9701" s="56">
        <v>5.1482362890420668E-5</v>
      </c>
      <c r="E9701" s="224" t="s">
        <v>2</v>
      </c>
      <c r="F9701" s="515" t="s">
        <v>10901</v>
      </c>
      <c r="G9701" s="52">
        <v>201718.58815925199</v>
      </c>
      <c r="H9701" s="56">
        <v>9.9622976772694299E-2</v>
      </c>
      <c r="I9701" s="224" t="s">
        <v>2</v>
      </c>
    </row>
    <row r="9702" spans="1:9" x14ac:dyDescent="0.25">
      <c r="A9702" s="515">
        <v>10007</v>
      </c>
      <c r="B9702" s="515" t="s">
        <v>324</v>
      </c>
      <c r="C9702" s="52">
        <v>2730986.5633940101</v>
      </c>
      <c r="D9702" s="56">
        <v>2.7908296965104069E-2</v>
      </c>
      <c r="E9702" s="224">
        <v>6641.9047619047597</v>
      </c>
      <c r="F9702" s="515" t="s">
        <v>10902</v>
      </c>
      <c r="G9702" s="52">
        <v>395911.20936565602</v>
      </c>
      <c r="H9702" s="56">
        <v>0.10662124872108644</v>
      </c>
      <c r="I9702" s="224" t="s">
        <v>2</v>
      </c>
    </row>
    <row r="9703" spans="1:9" x14ac:dyDescent="0.25">
      <c r="A9703" s="515">
        <v>39117</v>
      </c>
      <c r="C9703" s="52">
        <v>107932.81975441</v>
      </c>
      <c r="D9703" s="56">
        <v>-7.0731078681180851E-2</v>
      </c>
      <c r="E9703" s="224" t="s">
        <v>2</v>
      </c>
      <c r="F9703" s="515" t="s">
        <v>10903</v>
      </c>
      <c r="G9703" s="52">
        <v>176144.93213048801</v>
      </c>
      <c r="H9703" s="56">
        <v>5.4587319985406814E-2</v>
      </c>
      <c r="I9703" s="224" t="s">
        <v>2</v>
      </c>
    </row>
    <row r="9704" spans="1:9" x14ac:dyDescent="0.25">
      <c r="A9704" s="515">
        <v>79756</v>
      </c>
      <c r="C9704" s="52">
        <v>143871.610262292</v>
      </c>
      <c r="D9704" s="56">
        <v>-0.14388675534221632</v>
      </c>
      <c r="E9704" s="224" t="s">
        <v>2</v>
      </c>
      <c r="F9704" s="515" t="s">
        <v>10904</v>
      </c>
      <c r="G9704" s="52">
        <v>230093.17928753499</v>
      </c>
      <c r="H9704" s="56">
        <v>0.1127086073894413</v>
      </c>
      <c r="I9704" s="224" t="s">
        <v>2</v>
      </c>
    </row>
    <row r="9705" spans="1:9" x14ac:dyDescent="0.25">
      <c r="A9705" s="515">
        <v>98247</v>
      </c>
      <c r="B9705" s="515" t="s">
        <v>412</v>
      </c>
      <c r="C9705" s="52">
        <v>562352.54829785798</v>
      </c>
      <c r="D9705" s="56">
        <v>3.1446284744578307E-2</v>
      </c>
      <c r="E9705" s="224" t="s">
        <v>2</v>
      </c>
      <c r="F9705" s="515" t="s">
        <v>10905</v>
      </c>
      <c r="G9705" s="52">
        <v>225120.73886074501</v>
      </c>
      <c r="H9705" s="56">
        <v>8.4110075781336585E-2</v>
      </c>
      <c r="I9705" s="224" t="s">
        <v>2</v>
      </c>
    </row>
    <row r="9706" spans="1:9" x14ac:dyDescent="0.25">
      <c r="A9706" s="515">
        <v>53235</v>
      </c>
      <c r="B9706" s="515" t="s">
        <v>950</v>
      </c>
      <c r="C9706" s="52">
        <v>221855.96007408999</v>
      </c>
      <c r="D9706" s="56">
        <v>6.1197384764039679E-2</v>
      </c>
      <c r="E9706" s="224" t="s">
        <v>2</v>
      </c>
      <c r="F9706" s="515" t="s">
        <v>10906</v>
      </c>
      <c r="G9706" s="52">
        <v>147029.32612535299</v>
      </c>
      <c r="H9706" s="56">
        <v>4.2984287569209224E-2</v>
      </c>
      <c r="I9706" s="224" t="s">
        <v>2</v>
      </c>
    </row>
    <row r="9707" spans="1:9" x14ac:dyDescent="0.25">
      <c r="A9707" s="515">
        <v>55042</v>
      </c>
      <c r="B9707" s="515" t="s">
        <v>532</v>
      </c>
      <c r="C9707" s="52">
        <v>601615.600838418</v>
      </c>
      <c r="D9707" s="56">
        <v>3.8041512055031597E-2</v>
      </c>
      <c r="E9707" s="224" t="s">
        <v>2</v>
      </c>
      <c r="F9707" s="515" t="s">
        <v>10907</v>
      </c>
      <c r="G9707" s="52">
        <v>158948.21271573301</v>
      </c>
      <c r="H9707" s="56">
        <v>8.2974911151206171E-2</v>
      </c>
      <c r="I9707" s="224" t="s">
        <v>2</v>
      </c>
    </row>
    <row r="9708" spans="1:9" x14ac:dyDescent="0.25">
      <c r="A9708" s="515">
        <v>29851</v>
      </c>
      <c r="B9708" s="515" t="s">
        <v>888</v>
      </c>
      <c r="C9708" s="52">
        <v>67103.611940544302</v>
      </c>
      <c r="D9708" s="56">
        <v>-2.6906032144064207E-3</v>
      </c>
      <c r="E9708" s="224" t="s">
        <v>2</v>
      </c>
      <c r="F9708" s="515" t="s">
        <v>10908</v>
      </c>
      <c r="G9708" s="52">
        <v>129804.837628865</v>
      </c>
      <c r="H9708" s="56">
        <v>0</v>
      </c>
      <c r="I9708" s="224" t="s">
        <v>2</v>
      </c>
    </row>
    <row r="9709" spans="1:9" x14ac:dyDescent="0.25">
      <c r="A9709" s="515">
        <v>34484</v>
      </c>
      <c r="B9709" s="515" t="s">
        <v>558</v>
      </c>
      <c r="C9709" s="52">
        <v>352216.34273874603</v>
      </c>
      <c r="D9709" s="56">
        <v>0.11029774806618377</v>
      </c>
      <c r="E9709" s="224" t="s">
        <v>2</v>
      </c>
      <c r="F9709" s="515" t="s">
        <v>10909</v>
      </c>
      <c r="G9709" s="52">
        <v>473110.20524017402</v>
      </c>
      <c r="H9709" s="56">
        <v>0</v>
      </c>
      <c r="I9709" s="224" t="s">
        <v>2</v>
      </c>
    </row>
    <row r="9710" spans="1:9" x14ac:dyDescent="0.25">
      <c r="A9710" s="515">
        <v>60534</v>
      </c>
      <c r="B9710" s="515" t="s">
        <v>394</v>
      </c>
      <c r="C9710" s="52">
        <v>228807.11318793599</v>
      </c>
      <c r="D9710" s="56">
        <v>3.0668761651724309E-2</v>
      </c>
      <c r="E9710" s="224" t="s">
        <v>2</v>
      </c>
      <c r="F9710" s="515" t="s">
        <v>10910</v>
      </c>
      <c r="G9710" s="52">
        <v>497880.42502406402</v>
      </c>
      <c r="H9710" s="56">
        <v>5.5013319868961824E-2</v>
      </c>
      <c r="I9710" s="224" t="s">
        <v>2</v>
      </c>
    </row>
    <row r="9711" spans="1:9" x14ac:dyDescent="0.25">
      <c r="A9711" s="515">
        <v>63103</v>
      </c>
      <c r="B9711" s="515" t="s">
        <v>498</v>
      </c>
      <c r="C9711" s="52">
        <v>142800.02511335901</v>
      </c>
      <c r="D9711" s="56">
        <v>-1.2826381117447733E-2</v>
      </c>
      <c r="E9711" s="224">
        <v>1335.4158730158699</v>
      </c>
      <c r="F9711" s="515" t="s">
        <v>10911</v>
      </c>
      <c r="G9711" s="52">
        <v>395290.942268927</v>
      </c>
      <c r="H9711" s="56">
        <v>1.6088673938198287E-3</v>
      </c>
      <c r="I9711" s="224" t="s">
        <v>2</v>
      </c>
    </row>
    <row r="9712" spans="1:9" x14ac:dyDescent="0.25">
      <c r="A9712" s="515">
        <v>67410</v>
      </c>
      <c r="C9712" s="52">
        <v>158872.91956653199</v>
      </c>
      <c r="D9712" s="56">
        <v>6.804703817125296E-2</v>
      </c>
      <c r="E9712" s="224" t="s">
        <v>2</v>
      </c>
      <c r="F9712" s="515" t="s">
        <v>10912</v>
      </c>
      <c r="G9712" s="52">
        <v>147132.80958697601</v>
      </c>
      <c r="H9712" s="56">
        <v>2.7005088513571123E-2</v>
      </c>
      <c r="I9712" s="224" t="s">
        <v>2</v>
      </c>
    </row>
    <row r="9713" spans="1:9" x14ac:dyDescent="0.25">
      <c r="A9713" s="515">
        <v>72740</v>
      </c>
      <c r="B9713" s="515" t="s">
        <v>675</v>
      </c>
      <c r="C9713" s="52">
        <v>188578.03702847101</v>
      </c>
      <c r="D9713" s="56">
        <v>0.11357441883500721</v>
      </c>
      <c r="E9713" s="224" t="s">
        <v>2</v>
      </c>
      <c r="F9713" s="515" t="s">
        <v>10913</v>
      </c>
      <c r="G9713" s="52">
        <v>139790.99558425701</v>
      </c>
      <c r="H9713" s="56">
        <v>2.6890791038275769E-2</v>
      </c>
      <c r="I9713" s="224" t="s">
        <v>2</v>
      </c>
    </row>
    <row r="9714" spans="1:9" x14ac:dyDescent="0.25">
      <c r="A9714" s="515">
        <v>63147</v>
      </c>
      <c r="B9714" s="515" t="s">
        <v>498</v>
      </c>
      <c r="C9714" s="52">
        <v>53171.7233621259</v>
      </c>
      <c r="D9714" s="56">
        <v>3.7609734837006852E-2</v>
      </c>
      <c r="E9714" s="224" t="s">
        <v>2</v>
      </c>
      <c r="F9714" s="515" t="s">
        <v>526</v>
      </c>
      <c r="G9714" s="52">
        <v>169388.51202117599</v>
      </c>
      <c r="H9714" s="56">
        <v>6.7395692120248304E-2</v>
      </c>
      <c r="I9714" s="224" t="s">
        <v>2</v>
      </c>
    </row>
    <row r="9715" spans="1:9" x14ac:dyDescent="0.25">
      <c r="A9715" s="515">
        <v>45206</v>
      </c>
      <c r="B9715" s="515" t="s">
        <v>344</v>
      </c>
      <c r="C9715" s="52">
        <v>240337.758317748</v>
      </c>
      <c r="D9715" s="56">
        <v>1.5464186813474744E-2</v>
      </c>
      <c r="E9715" s="224">
        <v>1288.2222222222199</v>
      </c>
      <c r="F9715" s="515" t="s">
        <v>10914</v>
      </c>
      <c r="G9715" s="52">
        <v>234891.50173019699</v>
      </c>
      <c r="H9715" s="56">
        <v>0.11877758694621972</v>
      </c>
      <c r="I9715" s="224" t="s">
        <v>2</v>
      </c>
    </row>
    <row r="9716" spans="1:9" x14ac:dyDescent="0.25">
      <c r="A9716" s="515">
        <v>76305</v>
      </c>
      <c r="B9716" s="515" t="s">
        <v>328</v>
      </c>
      <c r="C9716" s="52">
        <v>181865.39312644201</v>
      </c>
      <c r="D9716" s="56">
        <v>2.2346795993981483E-2</v>
      </c>
      <c r="E9716" s="224" t="s">
        <v>2</v>
      </c>
      <c r="F9716" s="515" t="s">
        <v>10915</v>
      </c>
      <c r="G9716" s="52">
        <v>568763.97216421401</v>
      </c>
      <c r="H9716" s="56">
        <v>2.7260093053305359E-2</v>
      </c>
      <c r="I9716" s="224" t="s">
        <v>2</v>
      </c>
    </row>
    <row r="9717" spans="1:9" x14ac:dyDescent="0.25">
      <c r="A9717" s="515">
        <v>33850</v>
      </c>
      <c r="B9717" s="515" t="s">
        <v>359</v>
      </c>
      <c r="C9717" s="52">
        <v>277755.53401957999</v>
      </c>
      <c r="D9717" s="56">
        <v>0.11333075683527648</v>
      </c>
      <c r="E9717" s="224" t="s">
        <v>2</v>
      </c>
      <c r="F9717" s="515" t="s">
        <v>10916</v>
      </c>
      <c r="G9717" s="52">
        <v>132408.65224942699</v>
      </c>
      <c r="H9717" s="56">
        <v>0.12230324728487847</v>
      </c>
      <c r="I9717" s="224" t="s">
        <v>2</v>
      </c>
    </row>
    <row r="9718" spans="1:9" x14ac:dyDescent="0.25">
      <c r="A9718" s="515">
        <v>72916</v>
      </c>
      <c r="B9718" s="515" t="s">
        <v>326</v>
      </c>
      <c r="C9718" s="52">
        <v>287803.18882738601</v>
      </c>
      <c r="D9718" s="56">
        <v>5.155942010189174E-2</v>
      </c>
      <c r="E9718" s="224" t="s">
        <v>2</v>
      </c>
      <c r="F9718" s="515" t="s">
        <v>10917</v>
      </c>
      <c r="G9718" s="52">
        <v>410657.952205243</v>
      </c>
      <c r="H9718" s="56">
        <v>6.0068254719650688E-2</v>
      </c>
      <c r="I9718" s="224" t="s">
        <v>2</v>
      </c>
    </row>
    <row r="9719" spans="1:9" x14ac:dyDescent="0.25">
      <c r="A9719" s="515">
        <v>24504</v>
      </c>
      <c r="B9719" s="515" t="s">
        <v>705</v>
      </c>
      <c r="C9719" s="52">
        <v>143813.82084151899</v>
      </c>
      <c r="D9719" s="56">
        <v>0.14229055431258394</v>
      </c>
      <c r="E9719" s="224" t="s">
        <v>2</v>
      </c>
      <c r="F9719" s="515" t="s">
        <v>10918</v>
      </c>
      <c r="G9719" s="52">
        <v>299724.86113524501</v>
      </c>
      <c r="H9719" s="56">
        <v>8.7193699453355547E-2</v>
      </c>
      <c r="I9719" s="224" t="s">
        <v>2</v>
      </c>
    </row>
    <row r="9720" spans="1:9" x14ac:dyDescent="0.25">
      <c r="A9720" s="515">
        <v>55092</v>
      </c>
      <c r="B9720" s="515" t="s">
        <v>532</v>
      </c>
      <c r="C9720" s="52">
        <v>354414.42351315299</v>
      </c>
      <c r="D9720" s="56">
        <v>2.4958052061769882E-2</v>
      </c>
      <c r="E9720" s="224" t="s">
        <v>2</v>
      </c>
      <c r="F9720" s="515" t="s">
        <v>10919</v>
      </c>
      <c r="G9720" s="52">
        <v>128689.654436688</v>
      </c>
      <c r="H9720" s="56">
        <v>8.3052311152562716E-2</v>
      </c>
      <c r="I9720" s="224" t="s">
        <v>2</v>
      </c>
    </row>
    <row r="9721" spans="1:9" x14ac:dyDescent="0.25">
      <c r="A9721" s="515">
        <v>74745</v>
      </c>
      <c r="C9721" s="52">
        <v>122125.59421789501</v>
      </c>
      <c r="D9721" s="56">
        <v>0.15252672489255598</v>
      </c>
      <c r="E9721" s="224" t="s">
        <v>2</v>
      </c>
      <c r="F9721" s="515" t="s">
        <v>10920</v>
      </c>
      <c r="G9721" s="52">
        <v>247588.81113374099</v>
      </c>
      <c r="H9721" s="56">
        <v>4.9324990904593947E-2</v>
      </c>
      <c r="I9721" s="224" t="s">
        <v>2</v>
      </c>
    </row>
    <row r="9722" spans="1:9" x14ac:dyDescent="0.25">
      <c r="A9722" s="515">
        <v>23702</v>
      </c>
      <c r="B9722" s="515" t="s">
        <v>301</v>
      </c>
      <c r="C9722" s="52">
        <v>193694.16323148101</v>
      </c>
      <c r="D9722" s="56">
        <v>0.10451278998771266</v>
      </c>
      <c r="E9722" s="224">
        <v>1323.75</v>
      </c>
      <c r="F9722" s="515" t="s">
        <v>10921</v>
      </c>
      <c r="G9722" s="52">
        <v>861142.82891484001</v>
      </c>
      <c r="H9722" s="56">
        <v>0.13514091978140524</v>
      </c>
      <c r="I9722" s="224" t="s">
        <v>2</v>
      </c>
    </row>
    <row r="9723" spans="1:9" x14ac:dyDescent="0.25">
      <c r="A9723" s="515">
        <v>36421</v>
      </c>
      <c r="C9723" s="52">
        <v>178236.019716234</v>
      </c>
      <c r="D9723" s="56">
        <v>6.8034148485518007E-3</v>
      </c>
      <c r="E9723" s="224" t="s">
        <v>2</v>
      </c>
      <c r="F9723" s="515" t="s">
        <v>10922</v>
      </c>
      <c r="G9723" s="52">
        <v>127774.386750509</v>
      </c>
      <c r="H9723" s="56">
        <v>0.1001406713834935</v>
      </c>
      <c r="I9723" s="224" t="s">
        <v>2</v>
      </c>
    </row>
    <row r="9724" spans="1:9" x14ac:dyDescent="0.25">
      <c r="A9724" s="515">
        <v>35079</v>
      </c>
      <c r="B9724" s="515" t="s">
        <v>640</v>
      </c>
      <c r="C9724" s="52">
        <v>222261.211910015</v>
      </c>
      <c r="D9724" s="56">
        <v>9.7097120328167461E-2</v>
      </c>
      <c r="E9724" s="224" t="s">
        <v>2</v>
      </c>
      <c r="F9724" s="515" t="s">
        <v>10923</v>
      </c>
      <c r="G9724" s="52">
        <v>310127.68226516503</v>
      </c>
      <c r="H9724" s="56">
        <v>0.10748302807769751</v>
      </c>
      <c r="I9724" s="224" t="s">
        <v>2</v>
      </c>
    </row>
    <row r="9725" spans="1:9" x14ac:dyDescent="0.25">
      <c r="A9725" s="515">
        <v>75442</v>
      </c>
      <c r="B9725" s="515" t="s">
        <v>458</v>
      </c>
      <c r="C9725" s="52">
        <v>349826.64194370899</v>
      </c>
      <c r="D9725" s="56">
        <v>8.8546053235159031E-2</v>
      </c>
      <c r="E9725" s="224" t="s">
        <v>2</v>
      </c>
      <c r="F9725" s="515" t="s">
        <v>10924</v>
      </c>
      <c r="G9725" s="52">
        <v>151546.32518316401</v>
      </c>
      <c r="H9725" s="56">
        <v>9.1241106446448464E-2</v>
      </c>
      <c r="I9725" s="224" t="s">
        <v>2</v>
      </c>
    </row>
    <row r="9726" spans="1:9" x14ac:dyDescent="0.25">
      <c r="A9726" s="515">
        <v>73055</v>
      </c>
      <c r="B9726" s="515" t="s">
        <v>474</v>
      </c>
      <c r="C9726" s="52">
        <v>141336.11957870499</v>
      </c>
      <c r="D9726" s="56">
        <v>8.8562160890117661E-2</v>
      </c>
      <c r="E9726" s="224" t="s">
        <v>2</v>
      </c>
      <c r="F9726" s="515" t="s">
        <v>10925</v>
      </c>
      <c r="G9726" s="52">
        <v>71191.051002247201</v>
      </c>
      <c r="H9726" s="56">
        <v>-7.760152174475207E-3</v>
      </c>
      <c r="I9726" s="224" t="s">
        <v>2</v>
      </c>
    </row>
    <row r="9727" spans="1:9" x14ac:dyDescent="0.25">
      <c r="A9727" s="515">
        <v>31554</v>
      </c>
      <c r="B9727" s="515" t="s">
        <v>917</v>
      </c>
      <c r="C9727" s="52">
        <v>99262.2162465367</v>
      </c>
      <c r="D9727" s="56">
        <v>6.8865204179440004E-2</v>
      </c>
      <c r="E9727" s="224" t="s">
        <v>2</v>
      </c>
      <c r="F9727" s="515" t="s">
        <v>10926</v>
      </c>
      <c r="G9727" s="52">
        <v>334479.11831923999</v>
      </c>
      <c r="H9727" s="56">
        <v>9.9942931880548813E-2</v>
      </c>
      <c r="I9727" s="224" t="s">
        <v>2</v>
      </c>
    </row>
    <row r="9728" spans="1:9" x14ac:dyDescent="0.25">
      <c r="A9728" s="515">
        <v>70443</v>
      </c>
      <c r="B9728" s="515" t="s">
        <v>814</v>
      </c>
      <c r="C9728" s="52">
        <v>141575.97903237899</v>
      </c>
      <c r="D9728" s="56">
        <v>1.1310015491167636E-2</v>
      </c>
      <c r="E9728" s="224" t="s">
        <v>2</v>
      </c>
      <c r="F9728" s="515" t="s">
        <v>10927</v>
      </c>
      <c r="G9728" s="52">
        <v>156079.176732263</v>
      </c>
      <c r="H9728" s="56">
        <v>-1.11257161271069E-2</v>
      </c>
      <c r="I9728" s="224" t="s">
        <v>2</v>
      </c>
    </row>
    <row r="9729" spans="1:9" x14ac:dyDescent="0.25">
      <c r="A9729" s="515">
        <v>32680</v>
      </c>
      <c r="C9729" s="52">
        <v>190819.35134246899</v>
      </c>
      <c r="D9729" s="56">
        <v>6.8547310057711391E-2</v>
      </c>
      <c r="E9729" s="224" t="s">
        <v>2</v>
      </c>
      <c r="F9729" s="515" t="s">
        <v>10928</v>
      </c>
      <c r="G9729" s="52">
        <v>250917.13381224801</v>
      </c>
      <c r="H9729" s="56">
        <v>6.3534978390653404E-2</v>
      </c>
      <c r="I9729" s="224" t="s">
        <v>2</v>
      </c>
    </row>
    <row r="9730" spans="1:9" x14ac:dyDescent="0.25">
      <c r="A9730" s="515">
        <v>5819</v>
      </c>
      <c r="C9730" s="52">
        <v>226665.96219781699</v>
      </c>
      <c r="D9730" s="56">
        <v>0.11927871585452292</v>
      </c>
      <c r="E9730" s="224" t="s">
        <v>2</v>
      </c>
      <c r="F9730" s="515" t="s">
        <v>10929</v>
      </c>
      <c r="G9730" s="52">
        <v>126970.788157399</v>
      </c>
      <c r="H9730" s="56">
        <v>2.781806746083396E-2</v>
      </c>
      <c r="I9730" s="224" t="s">
        <v>2</v>
      </c>
    </row>
    <row r="9731" spans="1:9" x14ac:dyDescent="0.25">
      <c r="A9731" s="515">
        <v>66607</v>
      </c>
      <c r="B9731" s="515" t="s">
        <v>549</v>
      </c>
      <c r="C9731" s="52">
        <v>65615.243130800896</v>
      </c>
      <c r="D9731" s="56">
        <v>0.22697655792293017</v>
      </c>
      <c r="E9731" s="224" t="s">
        <v>2</v>
      </c>
      <c r="F9731" s="515" t="s">
        <v>10930</v>
      </c>
      <c r="G9731" s="52">
        <v>84012.685023088707</v>
      </c>
      <c r="H9731" s="56">
        <v>0.1963210437367307</v>
      </c>
      <c r="I9731" s="224" t="s">
        <v>2</v>
      </c>
    </row>
    <row r="9732" spans="1:9" x14ac:dyDescent="0.25">
      <c r="A9732" s="515">
        <v>72719</v>
      </c>
      <c r="B9732" s="515" t="s">
        <v>675</v>
      </c>
      <c r="C9732" s="52">
        <v>309804.85257978801</v>
      </c>
      <c r="D9732" s="56">
        <v>0.10747563063560456</v>
      </c>
      <c r="E9732" s="224">
        <v>1396.4129629629599</v>
      </c>
      <c r="F9732" s="515" t="s">
        <v>10931</v>
      </c>
      <c r="G9732" s="52">
        <v>313010.57295990398</v>
      </c>
      <c r="H9732" s="56">
        <v>8.7259420931084339E-2</v>
      </c>
      <c r="I9732" s="224" t="s">
        <v>2</v>
      </c>
    </row>
    <row r="9733" spans="1:9" x14ac:dyDescent="0.25">
      <c r="A9733" s="515">
        <v>98611</v>
      </c>
      <c r="B9733" s="515" t="s">
        <v>807</v>
      </c>
      <c r="C9733" s="52">
        <v>427168.39480266802</v>
      </c>
      <c r="D9733" s="56">
        <v>6.8734356960241563E-2</v>
      </c>
      <c r="E9733" s="224" t="s">
        <v>2</v>
      </c>
      <c r="F9733" s="515" t="s">
        <v>10932</v>
      </c>
      <c r="G9733" s="52">
        <v>105366.00681098</v>
      </c>
      <c r="H9733" s="56">
        <v>-4.0600456371996677E-2</v>
      </c>
      <c r="I9733" s="224" t="s">
        <v>2</v>
      </c>
    </row>
    <row r="9734" spans="1:9" x14ac:dyDescent="0.25">
      <c r="A9734" s="515">
        <v>47012</v>
      </c>
      <c r="B9734" s="515" t="s">
        <v>344</v>
      </c>
      <c r="C9734" s="52">
        <v>228271.474802902</v>
      </c>
      <c r="D9734" s="56">
        <v>6.2295392198073993E-2</v>
      </c>
      <c r="E9734" s="224" t="s">
        <v>2</v>
      </c>
      <c r="F9734" s="515" t="s">
        <v>10933</v>
      </c>
      <c r="G9734" s="52">
        <v>136222.324632278</v>
      </c>
      <c r="H9734" s="56">
        <v>0.1566758515839454</v>
      </c>
      <c r="I9734" s="224" t="s">
        <v>2</v>
      </c>
    </row>
    <row r="9735" spans="1:9" x14ac:dyDescent="0.25">
      <c r="A9735" s="515">
        <v>44502</v>
      </c>
      <c r="B9735" s="515" t="s">
        <v>397</v>
      </c>
      <c r="C9735" s="52">
        <v>42087.141914498097</v>
      </c>
      <c r="D9735" s="56">
        <v>0.19499643073077594</v>
      </c>
      <c r="E9735" s="224" t="s">
        <v>2</v>
      </c>
      <c r="F9735" s="515" t="s">
        <v>10934</v>
      </c>
      <c r="G9735" s="52">
        <v>80170.868716772093</v>
      </c>
      <c r="H9735" s="56">
        <v>6.6492499512284017E-2</v>
      </c>
      <c r="I9735" s="224" t="s">
        <v>2</v>
      </c>
    </row>
    <row r="9736" spans="1:9" x14ac:dyDescent="0.25">
      <c r="A9736" s="515">
        <v>70345</v>
      </c>
      <c r="B9736" s="515" t="s">
        <v>898</v>
      </c>
      <c r="C9736" s="52">
        <v>114900.377510648</v>
      </c>
      <c r="D9736" s="56">
        <v>-0.19225894185026038</v>
      </c>
      <c r="E9736" s="224" t="s">
        <v>2</v>
      </c>
      <c r="F9736" s="515" t="s">
        <v>10935</v>
      </c>
      <c r="G9736" s="52">
        <v>259679.45136711199</v>
      </c>
      <c r="H9736" s="56">
        <v>7.6232424316396596E-2</v>
      </c>
      <c r="I9736" s="224" t="s">
        <v>2</v>
      </c>
    </row>
    <row r="9737" spans="1:9" x14ac:dyDescent="0.25">
      <c r="A9737" s="515">
        <v>4976</v>
      </c>
      <c r="C9737" s="52">
        <v>195486.48152026901</v>
      </c>
      <c r="D9737" s="56">
        <v>0.14479242937853287</v>
      </c>
      <c r="E9737" s="224" t="s">
        <v>2</v>
      </c>
      <c r="F9737" s="515" t="s">
        <v>10936</v>
      </c>
      <c r="G9737" s="52">
        <v>639698.88241626695</v>
      </c>
      <c r="H9737" s="56">
        <v>2.8329204354867247E-2</v>
      </c>
      <c r="I9737" s="224" t="s">
        <v>2</v>
      </c>
    </row>
    <row r="9738" spans="1:9" x14ac:dyDescent="0.25">
      <c r="A9738" s="515">
        <v>83316</v>
      </c>
      <c r="B9738" s="515" t="s">
        <v>832</v>
      </c>
      <c r="C9738" s="52">
        <v>321863.59451723302</v>
      </c>
      <c r="D9738" s="56">
        <v>3.8043684697195872E-2</v>
      </c>
      <c r="E9738" s="224" t="s">
        <v>2</v>
      </c>
      <c r="F9738" s="515" t="s">
        <v>10937</v>
      </c>
      <c r="G9738" s="52">
        <v>910498.23707047198</v>
      </c>
      <c r="H9738" s="56">
        <v>7.4662807067804982E-2</v>
      </c>
      <c r="I9738" s="224" t="s">
        <v>2</v>
      </c>
    </row>
    <row r="9739" spans="1:9" x14ac:dyDescent="0.25">
      <c r="A9739" s="515">
        <v>27045</v>
      </c>
      <c r="B9739" s="515" t="s">
        <v>735</v>
      </c>
      <c r="C9739" s="52">
        <v>235779.38786183301</v>
      </c>
      <c r="D9739" s="56">
        <v>0.13852618217021967</v>
      </c>
      <c r="E9739" s="224" t="s">
        <v>2</v>
      </c>
      <c r="F9739" s="515" t="s">
        <v>10938</v>
      </c>
      <c r="G9739" s="52">
        <v>222753.093262807</v>
      </c>
      <c r="H9739" s="56">
        <v>9.7412196879091154E-2</v>
      </c>
      <c r="I9739" s="224" t="s">
        <v>2</v>
      </c>
    </row>
    <row r="9740" spans="1:9" x14ac:dyDescent="0.25">
      <c r="A9740" s="515">
        <v>10989</v>
      </c>
      <c r="B9740" s="515" t="s">
        <v>324</v>
      </c>
      <c r="C9740" s="52">
        <v>510130.36392214801</v>
      </c>
      <c r="D9740" s="56">
        <v>5.9246077248905571E-2</v>
      </c>
      <c r="E9740" s="224" t="s">
        <v>2</v>
      </c>
      <c r="F9740" s="515" t="s">
        <v>10939</v>
      </c>
      <c r="G9740" s="52">
        <v>117409.47832044199</v>
      </c>
      <c r="H9740" s="56">
        <v>1.7078195531434455E-3</v>
      </c>
      <c r="I9740" s="224" t="s">
        <v>2</v>
      </c>
    </row>
    <row r="9741" spans="1:9" x14ac:dyDescent="0.25">
      <c r="A9741" s="515">
        <v>35960</v>
      </c>
      <c r="C9741" s="52">
        <v>192184.32829078601</v>
      </c>
      <c r="D9741" s="56">
        <v>5.9300873698158653E-2</v>
      </c>
      <c r="E9741" s="224" t="s">
        <v>2</v>
      </c>
      <c r="F9741" s="515" t="s">
        <v>10940</v>
      </c>
      <c r="G9741" s="52">
        <v>329334.79249448102</v>
      </c>
      <c r="H9741" s="56">
        <v>0</v>
      </c>
      <c r="I9741" s="224" t="s">
        <v>2</v>
      </c>
    </row>
    <row r="9742" spans="1:9" x14ac:dyDescent="0.25">
      <c r="A9742" s="515">
        <v>79103</v>
      </c>
      <c r="B9742" s="515" t="s">
        <v>869</v>
      </c>
      <c r="C9742" s="52">
        <v>139282.242974152</v>
      </c>
      <c r="D9742" s="56">
        <v>0.10415761093298598</v>
      </c>
      <c r="E9742" s="224" t="s">
        <v>2</v>
      </c>
      <c r="F9742" s="515" t="s">
        <v>10941</v>
      </c>
      <c r="G9742" s="52">
        <v>130364.599392039</v>
      </c>
      <c r="H9742" s="56">
        <v>1.1275892231768916E-2</v>
      </c>
      <c r="I9742" s="224" t="s">
        <v>2</v>
      </c>
    </row>
    <row r="9743" spans="1:9" x14ac:dyDescent="0.25">
      <c r="A9743" s="515">
        <v>48144</v>
      </c>
      <c r="B9743" s="515" t="s">
        <v>1033</v>
      </c>
      <c r="C9743" s="52">
        <v>252451.99170005901</v>
      </c>
      <c r="D9743" s="56">
        <v>3.1327474582461018E-2</v>
      </c>
      <c r="E9743" s="224" t="s">
        <v>2</v>
      </c>
      <c r="F9743" s="515" t="s">
        <v>10942</v>
      </c>
      <c r="G9743" s="52">
        <v>237277.67732297399</v>
      </c>
      <c r="H9743" s="56">
        <v>0.12913397296653248</v>
      </c>
      <c r="I9743" s="224" t="s">
        <v>2</v>
      </c>
    </row>
    <row r="9744" spans="1:9" x14ac:dyDescent="0.25">
      <c r="A9744" s="515">
        <v>48768</v>
      </c>
      <c r="C9744" s="52">
        <v>148308.09200507199</v>
      </c>
      <c r="D9744" s="56">
        <v>4.3760074090264299E-2</v>
      </c>
      <c r="E9744" s="224" t="s">
        <v>2</v>
      </c>
      <c r="F9744" s="515" t="s">
        <v>10943</v>
      </c>
      <c r="G9744" s="52">
        <v>694230.26460622298</v>
      </c>
      <c r="H9744" s="56">
        <v>9.506647621514068E-2</v>
      </c>
      <c r="I9744" s="224" t="s">
        <v>2</v>
      </c>
    </row>
    <row r="9745" spans="1:9" x14ac:dyDescent="0.25">
      <c r="A9745" s="515">
        <v>94158</v>
      </c>
      <c r="B9745" s="515" t="s">
        <v>593</v>
      </c>
      <c r="C9745" s="52">
        <v>1227413.6852535801</v>
      </c>
      <c r="D9745" s="56">
        <v>-7.9584099311623982E-2</v>
      </c>
      <c r="E9745" s="224">
        <v>3663.5964912280701</v>
      </c>
      <c r="F9745" s="515" t="s">
        <v>10944</v>
      </c>
      <c r="G9745" s="52">
        <v>256360.18074558</v>
      </c>
      <c r="H9745" s="56">
        <v>7.7375369899320687E-2</v>
      </c>
      <c r="I9745" s="224" t="s">
        <v>2</v>
      </c>
    </row>
    <row r="9746" spans="1:9" x14ac:dyDescent="0.25">
      <c r="A9746" s="515">
        <v>28207</v>
      </c>
      <c r="B9746" s="515" t="s">
        <v>360</v>
      </c>
      <c r="C9746" s="52">
        <v>1178812.56413215</v>
      </c>
      <c r="D9746" s="56">
        <v>6.629380001085694E-2</v>
      </c>
      <c r="E9746" s="224">
        <v>1901.6666666666599</v>
      </c>
      <c r="F9746" s="515" t="s">
        <v>10945</v>
      </c>
      <c r="G9746" s="52">
        <v>75432.134007368397</v>
      </c>
      <c r="H9746" s="56">
        <v>3.0756199931593034E-3</v>
      </c>
      <c r="I9746" s="224" t="s">
        <v>2</v>
      </c>
    </row>
    <row r="9747" spans="1:9" x14ac:dyDescent="0.25">
      <c r="A9747" s="515">
        <v>45669</v>
      </c>
      <c r="B9747" s="515" t="s">
        <v>602</v>
      </c>
      <c r="C9747" s="52">
        <v>171410.67125695501</v>
      </c>
      <c r="D9747" s="56">
        <v>4.5579330549188432E-2</v>
      </c>
      <c r="E9747" s="224" t="s">
        <v>2</v>
      </c>
      <c r="F9747" s="515" t="s">
        <v>10946</v>
      </c>
      <c r="G9747" s="52">
        <v>171668.16457064101</v>
      </c>
      <c r="H9747" s="56">
        <v>3.435791032849899E-2</v>
      </c>
      <c r="I9747" s="224" t="s">
        <v>2</v>
      </c>
    </row>
    <row r="9748" spans="1:9" x14ac:dyDescent="0.25">
      <c r="A9748" s="515">
        <v>35769</v>
      </c>
      <c r="B9748" s="515" t="s">
        <v>748</v>
      </c>
      <c r="C9748" s="52">
        <v>236779.66508298501</v>
      </c>
      <c r="D9748" s="56">
        <v>0.11157760959622648</v>
      </c>
      <c r="E9748" s="224" t="s">
        <v>2</v>
      </c>
      <c r="F9748" s="515" t="s">
        <v>10947</v>
      </c>
      <c r="G9748" s="52">
        <v>352688.64331406</v>
      </c>
      <c r="H9748" s="56">
        <v>6.3398468606001165E-2</v>
      </c>
      <c r="I9748" s="224" t="s">
        <v>2</v>
      </c>
    </row>
    <row r="9749" spans="1:9" x14ac:dyDescent="0.25">
      <c r="A9749" s="515">
        <v>2857</v>
      </c>
      <c r="B9749" s="515" t="s">
        <v>513</v>
      </c>
      <c r="C9749" s="52">
        <v>440509.70613599999</v>
      </c>
      <c r="D9749" s="56">
        <v>8.7009177835879387E-2</v>
      </c>
      <c r="E9749" s="224" t="s">
        <v>2</v>
      </c>
      <c r="F9749" s="515" t="s">
        <v>10948</v>
      </c>
      <c r="G9749" s="52">
        <v>233576.998673986</v>
      </c>
      <c r="H9749" s="56">
        <v>8.0602067732043425E-2</v>
      </c>
      <c r="I9749" s="224" t="s">
        <v>2</v>
      </c>
    </row>
    <row r="9750" spans="1:9" x14ac:dyDescent="0.25">
      <c r="A9750" s="515">
        <v>48356</v>
      </c>
      <c r="B9750" s="515" t="s">
        <v>685</v>
      </c>
      <c r="C9750" s="52">
        <v>314387.16344573698</v>
      </c>
      <c r="D9750" s="56">
        <v>3.0682875102197856E-2</v>
      </c>
      <c r="E9750" s="224" t="s">
        <v>2</v>
      </c>
      <c r="F9750" s="515" t="s">
        <v>10949</v>
      </c>
      <c r="G9750" s="52">
        <v>433282.785520898</v>
      </c>
      <c r="H9750" s="56">
        <v>3.571941829856682E-2</v>
      </c>
      <c r="I9750" s="224" t="s">
        <v>2</v>
      </c>
    </row>
    <row r="9751" spans="1:9" x14ac:dyDescent="0.25">
      <c r="A9751" s="515">
        <v>36420</v>
      </c>
      <c r="C9751" s="52">
        <v>116371.159533176</v>
      </c>
      <c r="D9751" s="56">
        <v>-1.3438360815591001E-2</v>
      </c>
      <c r="E9751" s="224" t="s">
        <v>2</v>
      </c>
      <c r="F9751" s="515" t="s">
        <v>10950</v>
      </c>
      <c r="G9751" s="52">
        <v>342208.34230460098</v>
      </c>
      <c r="H9751" s="56">
        <v>7.2364537993234043E-2</v>
      </c>
      <c r="I9751" s="224" t="s">
        <v>2</v>
      </c>
    </row>
    <row r="9752" spans="1:9" x14ac:dyDescent="0.25">
      <c r="A9752" s="515">
        <v>4730</v>
      </c>
      <c r="C9752" s="52">
        <v>142260.20610362501</v>
      </c>
      <c r="D9752" s="56">
        <v>0.13733607076644913</v>
      </c>
      <c r="E9752" s="224" t="s">
        <v>2</v>
      </c>
      <c r="F9752" s="515" t="s">
        <v>10951</v>
      </c>
      <c r="G9752" s="52">
        <v>622517.543625094</v>
      </c>
      <c r="H9752" s="56">
        <v>6.1430327176493597E-2</v>
      </c>
      <c r="I9752" s="224" t="s">
        <v>2</v>
      </c>
    </row>
    <row r="9753" spans="1:9" x14ac:dyDescent="0.25">
      <c r="A9753" s="515">
        <v>96795</v>
      </c>
      <c r="B9753" s="515" t="s">
        <v>1029</v>
      </c>
      <c r="C9753" s="52">
        <v>1000323.5661535</v>
      </c>
      <c r="D9753" s="56">
        <v>0.11259660902709091</v>
      </c>
      <c r="E9753" s="224" t="s">
        <v>2</v>
      </c>
      <c r="F9753" s="515" t="s">
        <v>10952</v>
      </c>
      <c r="G9753" s="52">
        <v>422899.85555106401</v>
      </c>
      <c r="H9753" s="56">
        <v>7.4120106427918886E-2</v>
      </c>
      <c r="I9753" s="224" t="s">
        <v>2</v>
      </c>
    </row>
    <row r="9754" spans="1:9" x14ac:dyDescent="0.25">
      <c r="A9754" s="515">
        <v>70512</v>
      </c>
      <c r="B9754" s="515" t="s">
        <v>1162</v>
      </c>
      <c r="C9754" s="52">
        <v>129547.50019648801</v>
      </c>
      <c r="D9754" s="56">
        <v>-6.5160832425104924E-3</v>
      </c>
      <c r="E9754" s="224" t="s">
        <v>2</v>
      </c>
      <c r="F9754" s="515" t="s">
        <v>10953</v>
      </c>
      <c r="G9754" s="52">
        <v>114368.864772496</v>
      </c>
      <c r="H9754" s="56">
        <v>8.790720630066684E-2</v>
      </c>
      <c r="I9754" s="224" t="s">
        <v>2</v>
      </c>
    </row>
    <row r="9755" spans="1:9" x14ac:dyDescent="0.25">
      <c r="A9755" s="515">
        <v>21795</v>
      </c>
      <c r="B9755" s="515" t="s">
        <v>654</v>
      </c>
      <c r="C9755" s="52">
        <v>278658.31690099998</v>
      </c>
      <c r="D9755" s="56">
        <v>3.6804259973229558E-2</v>
      </c>
      <c r="E9755" s="224" t="s">
        <v>2</v>
      </c>
      <c r="F9755" s="515" t="s">
        <v>10954</v>
      </c>
      <c r="G9755" s="52">
        <v>69331.434938107195</v>
      </c>
      <c r="H9755" s="56">
        <v>0.25039023303696123</v>
      </c>
      <c r="I9755" s="224" t="s">
        <v>2</v>
      </c>
    </row>
    <row r="9756" spans="1:9" x14ac:dyDescent="0.25">
      <c r="A9756" s="515">
        <v>35228</v>
      </c>
      <c r="B9756" s="515" t="s">
        <v>640</v>
      </c>
      <c r="C9756" s="52">
        <v>74718.975575739401</v>
      </c>
      <c r="D9756" s="56">
        <v>0.16338582460875326</v>
      </c>
      <c r="E9756" s="224">
        <v>1031.75</v>
      </c>
      <c r="F9756" s="515" t="s">
        <v>10955</v>
      </c>
      <c r="G9756" s="52">
        <v>2545949.3892020299</v>
      </c>
      <c r="H9756" s="56">
        <v>7.0124638566446143E-2</v>
      </c>
      <c r="I9756" s="224" t="s">
        <v>2</v>
      </c>
    </row>
    <row r="9757" spans="1:9" x14ac:dyDescent="0.25">
      <c r="A9757" s="515">
        <v>29054</v>
      </c>
      <c r="B9757" s="515" t="s">
        <v>762</v>
      </c>
      <c r="C9757" s="52">
        <v>291950.58615117299</v>
      </c>
      <c r="D9757" s="56">
        <v>0.1560058105306385</v>
      </c>
      <c r="E9757" s="224" t="s">
        <v>2</v>
      </c>
      <c r="F9757" s="515" t="s">
        <v>10956</v>
      </c>
      <c r="G9757" s="52">
        <v>535237.95537906303</v>
      </c>
      <c r="H9757" s="56">
        <v>9.888688164264664E-2</v>
      </c>
      <c r="I9757" s="224" t="s">
        <v>2</v>
      </c>
    </row>
    <row r="9758" spans="1:9" x14ac:dyDescent="0.25">
      <c r="A9758" s="515">
        <v>4938</v>
      </c>
      <c r="C9758" s="52">
        <v>231692.91116627</v>
      </c>
      <c r="D9758" s="56">
        <v>0.13611785475359703</v>
      </c>
      <c r="E9758" s="224" t="s">
        <v>2</v>
      </c>
      <c r="F9758" s="515" t="s">
        <v>10957</v>
      </c>
      <c r="G9758" s="52">
        <v>179354.63323129801</v>
      </c>
      <c r="H9758" s="56">
        <v>8.4618613418487185E-2</v>
      </c>
      <c r="I9758" s="224" t="s">
        <v>2</v>
      </c>
    </row>
    <row r="9759" spans="1:9" x14ac:dyDescent="0.25">
      <c r="A9759" s="515">
        <v>7607</v>
      </c>
      <c r="B9759" s="515" t="s">
        <v>324</v>
      </c>
      <c r="C9759" s="52">
        <v>525177.72776035895</v>
      </c>
      <c r="D9759" s="56">
        <v>4.7681719394447215E-2</v>
      </c>
      <c r="E9759" s="224" t="s">
        <v>2</v>
      </c>
      <c r="F9759" s="515" t="s">
        <v>10958</v>
      </c>
      <c r="G9759" s="52">
        <v>104240.90058109201</v>
      </c>
      <c r="H9759" s="56">
        <v>5.5588542502729987E-2</v>
      </c>
      <c r="I9759" s="224" t="s">
        <v>2</v>
      </c>
    </row>
    <row r="9760" spans="1:9" x14ac:dyDescent="0.25">
      <c r="A9760" s="515">
        <v>18222</v>
      </c>
      <c r="B9760" s="515" t="s">
        <v>512</v>
      </c>
      <c r="C9760" s="52">
        <v>241706.07169388499</v>
      </c>
      <c r="D9760" s="56">
        <v>8.0930677887885827E-2</v>
      </c>
      <c r="E9760" s="224" t="s">
        <v>2</v>
      </c>
      <c r="F9760" s="515" t="s">
        <v>10959</v>
      </c>
      <c r="G9760" s="52">
        <v>140556.506038797</v>
      </c>
      <c r="H9760" s="56">
        <v>0.11645802261232537</v>
      </c>
      <c r="I9760" s="224" t="s">
        <v>2</v>
      </c>
    </row>
    <row r="9761" spans="1:9" x14ac:dyDescent="0.25">
      <c r="A9761" s="515">
        <v>29365</v>
      </c>
      <c r="B9761" s="515" t="s">
        <v>447</v>
      </c>
      <c r="C9761" s="52">
        <v>278118.76219063101</v>
      </c>
      <c r="D9761" s="56">
        <v>8.6559635338494867E-2</v>
      </c>
      <c r="E9761" s="224" t="s">
        <v>2</v>
      </c>
      <c r="F9761" s="515" t="s">
        <v>10960</v>
      </c>
      <c r="G9761" s="52">
        <v>457586.08921686298</v>
      </c>
      <c r="H9761" s="56">
        <v>3.5190722683527464E-2</v>
      </c>
      <c r="I9761" s="224" t="s">
        <v>2</v>
      </c>
    </row>
    <row r="9762" spans="1:9" x14ac:dyDescent="0.25">
      <c r="A9762" s="515">
        <v>49240</v>
      </c>
      <c r="B9762" s="515" t="s">
        <v>1125</v>
      </c>
      <c r="C9762" s="52">
        <v>296707.48922111199</v>
      </c>
      <c r="D9762" s="56">
        <v>6.2090698507529206E-2</v>
      </c>
      <c r="E9762" s="224" t="s">
        <v>2</v>
      </c>
      <c r="F9762" s="515" t="s">
        <v>10961</v>
      </c>
      <c r="G9762" s="52">
        <v>153233.80246161699</v>
      </c>
      <c r="H9762" s="56">
        <v>9.5408143945700213E-2</v>
      </c>
      <c r="I9762" s="224" t="s">
        <v>2</v>
      </c>
    </row>
    <row r="9763" spans="1:9" x14ac:dyDescent="0.25">
      <c r="A9763" s="515">
        <v>27601</v>
      </c>
      <c r="B9763" s="515" t="s">
        <v>484</v>
      </c>
      <c r="C9763" s="52">
        <v>497979.11096808698</v>
      </c>
      <c r="D9763" s="56">
        <v>8.324983258151708E-2</v>
      </c>
      <c r="E9763" s="224">
        <v>1907.20909090909</v>
      </c>
      <c r="F9763" s="515" t="s">
        <v>10962</v>
      </c>
      <c r="G9763" s="52">
        <v>190091.18841491299</v>
      </c>
      <c r="H9763" s="56">
        <v>8.1303279716165841E-2</v>
      </c>
      <c r="I9763" s="224" t="s">
        <v>2</v>
      </c>
    </row>
    <row r="9764" spans="1:9" x14ac:dyDescent="0.25">
      <c r="A9764" s="515">
        <v>83805</v>
      </c>
      <c r="C9764" s="52">
        <v>438943.33321071102</v>
      </c>
      <c r="D9764" s="56">
        <v>-3.144896076631625E-3</v>
      </c>
      <c r="E9764" s="224" t="s">
        <v>2</v>
      </c>
      <c r="F9764" s="515" t="s">
        <v>10963</v>
      </c>
      <c r="G9764" s="52">
        <v>136217.48247818</v>
      </c>
      <c r="H9764" s="56">
        <v>4.5185319696527761E-2</v>
      </c>
      <c r="I9764" s="224" t="s">
        <v>2</v>
      </c>
    </row>
    <row r="9765" spans="1:9" x14ac:dyDescent="0.25">
      <c r="A9765" s="515">
        <v>79102</v>
      </c>
      <c r="B9765" s="515" t="s">
        <v>869</v>
      </c>
      <c r="C9765" s="52">
        <v>141432.14988737801</v>
      </c>
      <c r="D9765" s="56">
        <v>9.31234340514209E-2</v>
      </c>
      <c r="E9765" s="224" t="s">
        <v>2</v>
      </c>
      <c r="F9765" s="515" t="s">
        <v>10964</v>
      </c>
      <c r="G9765" s="52">
        <v>356233.71391351701</v>
      </c>
      <c r="H9765" s="56">
        <v>5.5277165394722105E-2</v>
      </c>
      <c r="I9765" s="224" t="s">
        <v>2</v>
      </c>
    </row>
    <row r="9766" spans="1:9" x14ac:dyDescent="0.25">
      <c r="A9766" s="515">
        <v>98606</v>
      </c>
      <c r="B9766" s="515" t="s">
        <v>659</v>
      </c>
      <c r="C9766" s="52">
        <v>753317.19221409503</v>
      </c>
      <c r="D9766" s="56">
        <v>4.7645641450876956E-2</v>
      </c>
      <c r="E9766" s="224" t="s">
        <v>2</v>
      </c>
      <c r="F9766" s="515" t="s">
        <v>10965</v>
      </c>
      <c r="G9766" s="52">
        <v>118139.55145582699</v>
      </c>
      <c r="H9766" s="56">
        <v>2.5607633812026537E-2</v>
      </c>
      <c r="I9766" s="224" t="s">
        <v>2</v>
      </c>
    </row>
    <row r="9767" spans="1:9" x14ac:dyDescent="0.25">
      <c r="A9767" s="515">
        <v>95425</v>
      </c>
      <c r="B9767" s="515" t="s">
        <v>331</v>
      </c>
      <c r="C9767" s="52">
        <v>613141.97378849098</v>
      </c>
      <c r="D9767" s="56">
        <v>-1.1984341347732517E-2</v>
      </c>
      <c r="E9767" s="224" t="s">
        <v>2</v>
      </c>
      <c r="F9767" s="515" t="s">
        <v>10966</v>
      </c>
      <c r="G9767" s="52">
        <v>188940.623997794</v>
      </c>
      <c r="H9767" s="56">
        <v>4.311117435733005E-2</v>
      </c>
      <c r="I9767" s="224" t="s">
        <v>2</v>
      </c>
    </row>
    <row r="9768" spans="1:9" x14ac:dyDescent="0.25">
      <c r="A9768" s="515">
        <v>78557</v>
      </c>
      <c r="B9768" s="515" t="s">
        <v>550</v>
      </c>
      <c r="C9768" s="52">
        <v>168504.81050473999</v>
      </c>
      <c r="D9768" s="56">
        <v>0.14374539283005031</v>
      </c>
      <c r="E9768" s="224" t="s">
        <v>2</v>
      </c>
      <c r="F9768" s="515" t="s">
        <v>10967</v>
      </c>
      <c r="G9768" s="52">
        <v>330163.92250938201</v>
      </c>
      <c r="H9768" s="56">
        <v>5.6627018305980853E-2</v>
      </c>
      <c r="I9768" s="224" t="s">
        <v>2</v>
      </c>
    </row>
    <row r="9769" spans="1:9" x14ac:dyDescent="0.25">
      <c r="A9769" s="515">
        <v>46407</v>
      </c>
      <c r="B9769" s="515" t="s">
        <v>394</v>
      </c>
      <c r="C9769" s="52">
        <v>61152.530840053201</v>
      </c>
      <c r="D9769" s="56">
        <v>0.36284343646608302</v>
      </c>
      <c r="E9769" s="224" t="s">
        <v>2</v>
      </c>
      <c r="F9769" s="515" t="s">
        <v>10968</v>
      </c>
      <c r="G9769" s="52">
        <v>194316.341158328</v>
      </c>
      <c r="H9769" s="56">
        <v>9.4978181227324252E-2</v>
      </c>
      <c r="I9769" s="224" t="s">
        <v>2</v>
      </c>
    </row>
    <row r="9770" spans="1:9" x14ac:dyDescent="0.25">
      <c r="A9770" s="515">
        <v>13642</v>
      </c>
      <c r="B9770" s="515" t="s">
        <v>511</v>
      </c>
      <c r="C9770" s="52">
        <v>113753.57118287899</v>
      </c>
      <c r="D9770" s="56">
        <v>0.11063631199712978</v>
      </c>
      <c r="E9770" s="224" t="s">
        <v>2</v>
      </c>
      <c r="F9770" s="515" t="s">
        <v>10969</v>
      </c>
      <c r="G9770" s="52">
        <v>245771.85851593199</v>
      </c>
      <c r="H9770" s="56">
        <v>9.7999043847084952E-2</v>
      </c>
      <c r="I9770" s="224" t="s">
        <v>2</v>
      </c>
    </row>
    <row r="9771" spans="1:9" x14ac:dyDescent="0.25">
      <c r="A9771" s="515">
        <v>48529</v>
      </c>
      <c r="B9771" s="515" t="s">
        <v>759</v>
      </c>
      <c r="C9771" s="52">
        <v>81379.308442695299</v>
      </c>
      <c r="D9771" s="56">
        <v>7.1084258634988379E-2</v>
      </c>
      <c r="E9771" s="224" t="s">
        <v>2</v>
      </c>
      <c r="F9771" s="515" t="s">
        <v>10970</v>
      </c>
      <c r="G9771" s="52">
        <v>242160.91762746501</v>
      </c>
      <c r="H9771" s="56">
        <v>0.14350763719987078</v>
      </c>
      <c r="I9771" s="224" t="s">
        <v>2</v>
      </c>
    </row>
    <row r="9772" spans="1:9" x14ac:dyDescent="0.25">
      <c r="A9772" s="515">
        <v>76567</v>
      </c>
      <c r="C9772" s="52">
        <v>206060.2453708</v>
      </c>
      <c r="D9772" s="56">
        <v>7.8438556921901742E-2</v>
      </c>
      <c r="E9772" s="224" t="s">
        <v>2</v>
      </c>
      <c r="F9772" s="515" t="s">
        <v>10971</v>
      </c>
      <c r="G9772" s="52">
        <v>146805.316186916</v>
      </c>
      <c r="H9772" s="56">
        <v>-1.3180100179408336E-2</v>
      </c>
      <c r="I9772" s="224" t="s">
        <v>2</v>
      </c>
    </row>
    <row r="9773" spans="1:9" x14ac:dyDescent="0.25">
      <c r="A9773" s="515">
        <v>28777</v>
      </c>
      <c r="C9773" s="52">
        <v>220352.31818536299</v>
      </c>
      <c r="D9773" s="56">
        <v>0.19439346892382042</v>
      </c>
      <c r="E9773" s="224" t="s">
        <v>2</v>
      </c>
      <c r="F9773" s="515" t="s">
        <v>10972</v>
      </c>
      <c r="G9773" s="52">
        <v>151734.33207079599</v>
      </c>
      <c r="H9773" s="56">
        <v>0.13239303611399986</v>
      </c>
      <c r="I9773" s="224" t="s">
        <v>2</v>
      </c>
    </row>
    <row r="9774" spans="1:9" x14ac:dyDescent="0.25">
      <c r="A9774" s="515">
        <v>37764</v>
      </c>
      <c r="B9774" s="515" t="s">
        <v>1183</v>
      </c>
      <c r="C9774" s="52">
        <v>328463.64796269598</v>
      </c>
      <c r="D9774" s="56">
        <v>6.030689153826603E-2</v>
      </c>
      <c r="E9774" s="224" t="s">
        <v>2</v>
      </c>
      <c r="F9774" s="515" t="s">
        <v>10973</v>
      </c>
      <c r="G9774" s="52">
        <v>278208.409280925</v>
      </c>
      <c r="H9774" s="56">
        <v>0.11805220377912812</v>
      </c>
      <c r="I9774" s="224" t="s">
        <v>2</v>
      </c>
    </row>
    <row r="9775" spans="1:9" x14ac:dyDescent="0.25">
      <c r="A9775" s="515">
        <v>6712</v>
      </c>
      <c r="B9775" s="515" t="s">
        <v>1172</v>
      </c>
      <c r="C9775" s="52">
        <v>371536.65219680098</v>
      </c>
      <c r="D9775" s="56">
        <v>9.6967659152528571E-2</v>
      </c>
      <c r="E9775" s="224" t="s">
        <v>2</v>
      </c>
      <c r="F9775" s="515" t="s">
        <v>10974</v>
      </c>
      <c r="G9775" s="52">
        <v>69019.525108962407</v>
      </c>
      <c r="H9775" s="56">
        <v>0.2789979909834131</v>
      </c>
      <c r="I9775" s="224" t="s">
        <v>2</v>
      </c>
    </row>
    <row r="9776" spans="1:9" x14ac:dyDescent="0.25">
      <c r="A9776" s="515">
        <v>60081</v>
      </c>
      <c r="B9776" s="515" t="s">
        <v>394</v>
      </c>
      <c r="C9776" s="52">
        <v>328151.03171116998</v>
      </c>
      <c r="D9776" s="56">
        <v>6.109180738051171E-2</v>
      </c>
      <c r="E9776" s="224" t="s">
        <v>2</v>
      </c>
      <c r="F9776" s="515" t="s">
        <v>10975</v>
      </c>
      <c r="G9776" s="52">
        <v>599704.57653482899</v>
      </c>
      <c r="H9776" s="56">
        <v>2.1369937297876535E-2</v>
      </c>
      <c r="I9776" s="224" t="s">
        <v>2</v>
      </c>
    </row>
    <row r="9777" spans="1:9" x14ac:dyDescent="0.25">
      <c r="A9777" s="515">
        <v>64078</v>
      </c>
      <c r="B9777" s="515" t="s">
        <v>455</v>
      </c>
      <c r="C9777" s="52">
        <v>320545.757483272</v>
      </c>
      <c r="D9777" s="56">
        <v>8.048583035513579E-2</v>
      </c>
      <c r="E9777" s="224">
        <v>1708.75</v>
      </c>
      <c r="F9777" s="515" t="s">
        <v>10976</v>
      </c>
      <c r="G9777" s="52">
        <v>77094.308817067606</v>
      </c>
      <c r="H9777" s="56">
        <v>-0.19298168115985936</v>
      </c>
      <c r="I9777" s="224" t="s">
        <v>2</v>
      </c>
    </row>
    <row r="9778" spans="1:9" x14ac:dyDescent="0.25">
      <c r="A9778" s="515">
        <v>48415</v>
      </c>
      <c r="B9778" s="515" t="s">
        <v>904</v>
      </c>
      <c r="C9778" s="52">
        <v>191584.00537281399</v>
      </c>
      <c r="D9778" s="56">
        <v>0.10536384482942017</v>
      </c>
      <c r="E9778" s="224" t="s">
        <v>2</v>
      </c>
      <c r="F9778" s="515" t="s">
        <v>10977</v>
      </c>
      <c r="G9778" s="52">
        <v>157433.25653196301</v>
      </c>
      <c r="H9778" s="56">
        <v>0.10774769556671145</v>
      </c>
      <c r="I9778" s="224" t="s">
        <v>2</v>
      </c>
    </row>
    <row r="9779" spans="1:9" x14ac:dyDescent="0.25">
      <c r="A9779" s="515">
        <v>93286</v>
      </c>
      <c r="B9779" s="515" t="s">
        <v>358</v>
      </c>
      <c r="C9779" s="52">
        <v>271686.14361191803</v>
      </c>
      <c r="D9779" s="56">
        <v>6.5296480831819881E-2</v>
      </c>
      <c r="E9779" s="224" t="s">
        <v>2</v>
      </c>
      <c r="F9779" s="515" t="s">
        <v>10978</v>
      </c>
      <c r="G9779" s="52">
        <v>117234.134764167</v>
      </c>
      <c r="H9779" s="56">
        <v>6.8356503529272764E-2</v>
      </c>
      <c r="I9779" s="224" t="s">
        <v>2</v>
      </c>
    </row>
    <row r="9780" spans="1:9" x14ac:dyDescent="0.25">
      <c r="A9780" s="515">
        <v>79835</v>
      </c>
      <c r="B9780" s="515" t="s">
        <v>1119</v>
      </c>
      <c r="C9780" s="52">
        <v>165467.52863766701</v>
      </c>
      <c r="D9780" s="56">
        <v>0.14040092930558529</v>
      </c>
      <c r="E9780" s="224" t="s">
        <v>2</v>
      </c>
      <c r="F9780" s="515" t="s">
        <v>10979</v>
      </c>
      <c r="G9780" s="52">
        <v>160338.90426995701</v>
      </c>
      <c r="H9780" s="56">
        <v>8.2225076750471734E-2</v>
      </c>
      <c r="I9780" s="224" t="s">
        <v>2</v>
      </c>
    </row>
    <row r="9781" spans="1:9" x14ac:dyDescent="0.25">
      <c r="A9781" s="515">
        <v>89703</v>
      </c>
      <c r="B9781" s="515" t="s">
        <v>1196</v>
      </c>
      <c r="C9781" s="52">
        <v>557932.220910453</v>
      </c>
      <c r="D9781" s="56">
        <v>-1.0436918175756999E-2</v>
      </c>
      <c r="E9781" s="224" t="s">
        <v>2</v>
      </c>
      <c r="F9781" s="515" t="s">
        <v>10980</v>
      </c>
      <c r="G9781" s="52">
        <v>254554.888933109</v>
      </c>
      <c r="H9781" s="56">
        <v>9.9868946936803885E-2</v>
      </c>
      <c r="I9781" s="224" t="s">
        <v>2</v>
      </c>
    </row>
    <row r="9782" spans="1:9" x14ac:dyDescent="0.25">
      <c r="A9782" s="515">
        <v>24531</v>
      </c>
      <c r="B9782" s="515" t="s">
        <v>901</v>
      </c>
      <c r="C9782" s="52">
        <v>136408.055814477</v>
      </c>
      <c r="D9782" s="56">
        <v>0.12974847287346003</v>
      </c>
      <c r="E9782" s="224" t="s">
        <v>2</v>
      </c>
      <c r="F9782" s="515" t="s">
        <v>10981</v>
      </c>
      <c r="G9782" s="52">
        <v>366634.329060508</v>
      </c>
      <c r="H9782" s="56">
        <v>5.0295833834471761E-2</v>
      </c>
      <c r="I9782" s="224" t="s">
        <v>2</v>
      </c>
    </row>
    <row r="9783" spans="1:9" x14ac:dyDescent="0.25">
      <c r="A9783" s="515">
        <v>29927</v>
      </c>
      <c r="B9783" s="515" t="s">
        <v>734</v>
      </c>
      <c r="C9783" s="52">
        <v>341055.26991293603</v>
      </c>
      <c r="D9783" s="56">
        <v>0.10684634014751486</v>
      </c>
      <c r="E9783" s="224" t="s">
        <v>2</v>
      </c>
      <c r="F9783" s="515" t="s">
        <v>10982</v>
      </c>
      <c r="G9783" s="52">
        <v>233147.11165503299</v>
      </c>
      <c r="H9783" s="56">
        <v>0.13686495252722011</v>
      </c>
      <c r="I9783" s="224" t="s">
        <v>2</v>
      </c>
    </row>
    <row r="9784" spans="1:9" x14ac:dyDescent="0.25">
      <c r="A9784" s="515">
        <v>84060</v>
      </c>
      <c r="B9784" s="515" t="s">
        <v>502</v>
      </c>
      <c r="C9784" s="52">
        <v>1793191.8721906999</v>
      </c>
      <c r="D9784" s="56">
        <v>0.11395454728305478</v>
      </c>
      <c r="E9784" s="224" t="s">
        <v>2</v>
      </c>
      <c r="F9784" s="515" t="s">
        <v>10983</v>
      </c>
      <c r="G9784" s="52">
        <v>151075.05911634499</v>
      </c>
      <c r="H9784" s="56">
        <v>0.12113467250031443</v>
      </c>
      <c r="I9784" s="224" t="s">
        <v>2</v>
      </c>
    </row>
    <row r="9785" spans="1:9" x14ac:dyDescent="0.25">
      <c r="A9785" s="515">
        <v>37397</v>
      </c>
      <c r="B9785" s="515" t="s">
        <v>622</v>
      </c>
      <c r="C9785" s="52">
        <v>170915.848547642</v>
      </c>
      <c r="D9785" s="56">
        <v>0.12095124122854259</v>
      </c>
      <c r="E9785" s="224" t="s">
        <v>2</v>
      </c>
      <c r="F9785" s="515" t="s">
        <v>10984</v>
      </c>
      <c r="G9785" s="52">
        <v>270588.92255058401</v>
      </c>
      <c r="H9785" s="56">
        <v>9.4637613512152302E-2</v>
      </c>
      <c r="I9785" s="224" t="s">
        <v>2</v>
      </c>
    </row>
    <row r="9786" spans="1:9" x14ac:dyDescent="0.25">
      <c r="A9786" s="515">
        <v>98346</v>
      </c>
      <c r="B9786" s="515" t="s">
        <v>620</v>
      </c>
      <c r="C9786" s="52">
        <v>627112.14431595802</v>
      </c>
      <c r="D9786" s="56">
        <v>4.1532420377847122E-2</v>
      </c>
      <c r="E9786" s="224" t="s">
        <v>2</v>
      </c>
      <c r="F9786" s="515" t="s">
        <v>10985</v>
      </c>
      <c r="G9786" s="52">
        <v>99630.146433518705</v>
      </c>
      <c r="H9786" s="56">
        <v>0.19320154134478409</v>
      </c>
      <c r="I9786" s="224" t="s">
        <v>2</v>
      </c>
    </row>
    <row r="9787" spans="1:9" x14ac:dyDescent="0.25">
      <c r="A9787" s="515">
        <v>44657</v>
      </c>
      <c r="B9787" s="515" t="s">
        <v>627</v>
      </c>
      <c r="C9787" s="52">
        <v>157628.24873744001</v>
      </c>
      <c r="D9787" s="56">
        <v>7.3374979148219513E-2</v>
      </c>
      <c r="E9787" s="224" t="s">
        <v>2</v>
      </c>
      <c r="F9787" s="515" t="s">
        <v>10986</v>
      </c>
      <c r="G9787" s="52">
        <v>226376.121736673</v>
      </c>
      <c r="H9787" s="56">
        <v>3.0194912577260948E-2</v>
      </c>
      <c r="I9787" s="224" t="s">
        <v>2</v>
      </c>
    </row>
    <row r="9788" spans="1:9" x14ac:dyDescent="0.25">
      <c r="A9788" s="515">
        <v>28610</v>
      </c>
      <c r="B9788" s="515" t="s">
        <v>638</v>
      </c>
      <c r="C9788" s="52">
        <v>217206.95483339101</v>
      </c>
      <c r="D9788" s="56">
        <v>0.15791238843885139</v>
      </c>
      <c r="E9788" s="224" t="s">
        <v>2</v>
      </c>
      <c r="F9788" s="515" t="s">
        <v>10987</v>
      </c>
      <c r="G9788" s="52">
        <v>150666.854666214</v>
      </c>
      <c r="H9788" s="56">
        <v>2.5672274397200018E-2</v>
      </c>
      <c r="I9788" s="224" t="s">
        <v>2</v>
      </c>
    </row>
    <row r="9789" spans="1:9" x14ac:dyDescent="0.25">
      <c r="A9789" s="515">
        <v>73080</v>
      </c>
      <c r="B9789" s="515" t="s">
        <v>385</v>
      </c>
      <c r="C9789" s="52">
        <v>188898.89010295301</v>
      </c>
      <c r="D9789" s="56">
        <v>0.11657235653921931</v>
      </c>
      <c r="E9789" s="224" t="s">
        <v>2</v>
      </c>
      <c r="F9789" s="515" t="s">
        <v>10988</v>
      </c>
      <c r="G9789" s="52">
        <v>639792.36292264506</v>
      </c>
      <c r="H9789" s="56">
        <v>4.8773197285364528E-2</v>
      </c>
      <c r="I9789" s="224" t="s">
        <v>2</v>
      </c>
    </row>
    <row r="9790" spans="1:9" x14ac:dyDescent="0.25">
      <c r="A9790" s="515">
        <v>62246</v>
      </c>
      <c r="B9790" s="515" t="s">
        <v>498</v>
      </c>
      <c r="C9790" s="52">
        <v>130606.56055993499</v>
      </c>
      <c r="D9790" s="56">
        <v>9.9718041871486002E-2</v>
      </c>
      <c r="E9790" s="224" t="s">
        <v>2</v>
      </c>
      <c r="F9790" s="515" t="s">
        <v>10989</v>
      </c>
      <c r="G9790" s="52">
        <v>834082.97294852498</v>
      </c>
      <c r="H9790" s="56">
        <v>3.6876320312282898E-2</v>
      </c>
      <c r="I9790" s="224">
        <v>2000</v>
      </c>
    </row>
    <row r="9791" spans="1:9" x14ac:dyDescent="0.25">
      <c r="A9791" s="515">
        <v>52353</v>
      </c>
      <c r="B9791" s="515" t="s">
        <v>587</v>
      </c>
      <c r="C9791" s="52">
        <v>161417.236502338</v>
      </c>
      <c r="D9791" s="56">
        <v>6.9518866828197232E-2</v>
      </c>
      <c r="E9791" s="224" t="s">
        <v>2</v>
      </c>
      <c r="F9791" s="515" t="s">
        <v>10990</v>
      </c>
      <c r="G9791" s="52">
        <v>203555.51930756099</v>
      </c>
      <c r="H9791" s="56">
        <v>6.2104319630597628E-2</v>
      </c>
      <c r="I9791" s="224" t="s">
        <v>2</v>
      </c>
    </row>
    <row r="9792" spans="1:9" x14ac:dyDescent="0.25">
      <c r="A9792" s="515">
        <v>56716</v>
      </c>
      <c r="B9792" s="515" t="s">
        <v>624</v>
      </c>
      <c r="C9792" s="52">
        <v>162415.34749266799</v>
      </c>
      <c r="D9792" s="56">
        <v>5.6296557189651417E-2</v>
      </c>
      <c r="E9792" s="224" t="s">
        <v>2</v>
      </c>
      <c r="F9792" s="515" t="s">
        <v>10991</v>
      </c>
      <c r="G9792" s="52">
        <v>822395.27192955196</v>
      </c>
      <c r="H9792" s="56">
        <v>4.7020723636017357E-2</v>
      </c>
      <c r="I9792" s="224" t="s">
        <v>2</v>
      </c>
    </row>
    <row r="9793" spans="1:9" x14ac:dyDescent="0.25">
      <c r="A9793" s="515">
        <v>6013</v>
      </c>
      <c r="B9793" s="515" t="s">
        <v>894</v>
      </c>
      <c r="C9793" s="52">
        <v>406867.356392799</v>
      </c>
      <c r="D9793" s="56">
        <v>0.10358615128919556</v>
      </c>
      <c r="E9793" s="224" t="s">
        <v>2</v>
      </c>
      <c r="F9793" s="515" t="s">
        <v>10992</v>
      </c>
      <c r="G9793" s="52">
        <v>115460.320754995</v>
      </c>
      <c r="H9793" s="56">
        <v>-5.3642325569489453E-3</v>
      </c>
      <c r="I9793" s="224" t="s">
        <v>2</v>
      </c>
    </row>
    <row r="9794" spans="1:9" x14ac:dyDescent="0.25">
      <c r="A9794" s="515">
        <v>33035</v>
      </c>
      <c r="B9794" s="515" t="s">
        <v>831</v>
      </c>
      <c r="C9794" s="52">
        <v>324971.385839261</v>
      </c>
      <c r="D9794" s="56">
        <v>0.24512242819530222</v>
      </c>
      <c r="E9794" s="224">
        <v>2210.0444444444402</v>
      </c>
      <c r="F9794" s="515" t="s">
        <v>10993</v>
      </c>
      <c r="G9794" s="52">
        <v>257566.32626338699</v>
      </c>
      <c r="H9794" s="56">
        <v>4.267776802527444E-2</v>
      </c>
      <c r="I9794" s="224" t="s">
        <v>2</v>
      </c>
    </row>
    <row r="9795" spans="1:9" x14ac:dyDescent="0.25">
      <c r="A9795" s="515">
        <v>45439</v>
      </c>
      <c r="B9795" s="515" t="s">
        <v>340</v>
      </c>
      <c r="C9795" s="52">
        <v>136031.62483089301</v>
      </c>
      <c r="D9795" s="56">
        <v>6.1034652606647706E-2</v>
      </c>
      <c r="E9795" s="224">
        <v>1299</v>
      </c>
      <c r="F9795" s="515" t="s">
        <v>10994</v>
      </c>
      <c r="G9795" s="52">
        <v>419352.01107041398</v>
      </c>
      <c r="H9795" s="56">
        <v>2.890291200259186E-2</v>
      </c>
      <c r="I9795" s="224" t="s">
        <v>2</v>
      </c>
    </row>
    <row r="9796" spans="1:9" x14ac:dyDescent="0.25">
      <c r="A9796" s="515">
        <v>61301</v>
      </c>
      <c r="B9796" s="515" t="s">
        <v>556</v>
      </c>
      <c r="C9796" s="52">
        <v>103661.20602327499</v>
      </c>
      <c r="D9796" s="56">
        <v>4.3181156621817249E-2</v>
      </c>
      <c r="E9796" s="224" t="s">
        <v>2</v>
      </c>
      <c r="F9796" s="515" t="s">
        <v>10995</v>
      </c>
      <c r="G9796" s="52">
        <v>161925.115511551</v>
      </c>
      <c r="H9796" s="56">
        <v>0</v>
      </c>
      <c r="I9796" s="224" t="s">
        <v>2</v>
      </c>
    </row>
    <row r="9797" spans="1:9" x14ac:dyDescent="0.25">
      <c r="A9797" s="515">
        <v>93546</v>
      </c>
      <c r="C9797" s="52">
        <v>724022.23692167399</v>
      </c>
      <c r="D9797" s="56">
        <v>9.5890667696748033E-2</v>
      </c>
      <c r="E9797" s="224" t="s">
        <v>2</v>
      </c>
      <c r="F9797" s="515" t="s">
        <v>10996</v>
      </c>
      <c r="G9797" s="52">
        <v>254340.932062415</v>
      </c>
      <c r="H9797" s="56">
        <v>1.7739178824657635E-2</v>
      </c>
      <c r="I9797" s="224" t="s">
        <v>2</v>
      </c>
    </row>
    <row r="9798" spans="1:9" x14ac:dyDescent="0.25">
      <c r="A9798" s="515">
        <v>92676</v>
      </c>
      <c r="B9798" s="515" t="s">
        <v>375</v>
      </c>
      <c r="C9798" s="52">
        <v>838527.355444271</v>
      </c>
      <c r="D9798" s="56">
        <v>2.1169660771935578E-2</v>
      </c>
      <c r="E9798" s="224" t="s">
        <v>2</v>
      </c>
      <c r="F9798" s="515" t="s">
        <v>10997</v>
      </c>
      <c r="G9798" s="52">
        <v>307033.80973870802</v>
      </c>
      <c r="H9798" s="56">
        <v>0.1040047544162071</v>
      </c>
      <c r="I9798" s="224" t="s">
        <v>2</v>
      </c>
    </row>
    <row r="9799" spans="1:9" x14ac:dyDescent="0.25">
      <c r="A9799" s="515">
        <v>37820</v>
      </c>
      <c r="B9799" s="515" t="s">
        <v>786</v>
      </c>
      <c r="C9799" s="52">
        <v>242879.91966670501</v>
      </c>
      <c r="D9799" s="56">
        <v>5.3507424225442891E-2</v>
      </c>
      <c r="E9799" s="224" t="s">
        <v>2</v>
      </c>
      <c r="F9799" s="515" t="s">
        <v>10998</v>
      </c>
      <c r="G9799" s="52">
        <v>210828.08825222601</v>
      </c>
      <c r="H9799" s="56">
        <v>5.5487007579974053E-2</v>
      </c>
      <c r="I9799" s="224" t="s">
        <v>2</v>
      </c>
    </row>
    <row r="9800" spans="1:9" x14ac:dyDescent="0.25">
      <c r="A9800" s="515">
        <v>38058</v>
      </c>
      <c r="B9800" s="515" t="s">
        <v>951</v>
      </c>
      <c r="C9800" s="52">
        <v>245674.56711369101</v>
      </c>
      <c r="D9800" s="56">
        <v>7.1931130709859598E-2</v>
      </c>
      <c r="E9800" s="224" t="s">
        <v>2</v>
      </c>
      <c r="F9800" s="515" t="s">
        <v>10999</v>
      </c>
      <c r="G9800" s="52">
        <v>112304.38089428299</v>
      </c>
      <c r="H9800" s="56">
        <v>1.3441604953609658E-2</v>
      </c>
      <c r="I9800" s="224" t="s">
        <v>2</v>
      </c>
    </row>
    <row r="9801" spans="1:9" x14ac:dyDescent="0.25">
      <c r="A9801" s="515">
        <v>28320</v>
      </c>
      <c r="C9801" s="52">
        <v>81191.709267052996</v>
      </c>
      <c r="D9801" s="56">
        <v>1.2401040634580369E-2</v>
      </c>
      <c r="E9801" s="224" t="s">
        <v>2</v>
      </c>
      <c r="F9801" s="515" t="s">
        <v>11000</v>
      </c>
      <c r="G9801" s="52">
        <v>149059.77203575501</v>
      </c>
      <c r="H9801" s="56">
        <v>4.7136859781928525E-2</v>
      </c>
      <c r="I9801" s="224" t="s">
        <v>2</v>
      </c>
    </row>
    <row r="9802" spans="1:9" x14ac:dyDescent="0.25">
      <c r="A9802" s="515">
        <v>28383</v>
      </c>
      <c r="B9802" s="515" t="s">
        <v>1161</v>
      </c>
      <c r="C9802" s="52">
        <v>96292.945264943104</v>
      </c>
      <c r="D9802" s="56">
        <v>0.17354581590022256</v>
      </c>
      <c r="E9802" s="224" t="s">
        <v>2</v>
      </c>
      <c r="F9802" s="515" t="s">
        <v>11001</v>
      </c>
      <c r="G9802" s="52">
        <v>872274.32731997699</v>
      </c>
      <c r="H9802" s="56">
        <v>0.13095758212877104</v>
      </c>
      <c r="I9802" s="224">
        <v>6775</v>
      </c>
    </row>
    <row r="9803" spans="1:9" x14ac:dyDescent="0.25">
      <c r="A9803" s="515">
        <v>18058</v>
      </c>
      <c r="B9803" s="515" t="s">
        <v>338</v>
      </c>
      <c r="C9803" s="52">
        <v>265421.17814435199</v>
      </c>
      <c r="D9803" s="56">
        <v>0.11624921209522707</v>
      </c>
      <c r="E9803" s="224" t="s">
        <v>2</v>
      </c>
      <c r="F9803" s="515" t="s">
        <v>11002</v>
      </c>
      <c r="G9803" s="52">
        <v>250730.82312846699</v>
      </c>
      <c r="H9803" s="56">
        <v>7.2292845707709066E-2</v>
      </c>
      <c r="I9803" s="224" t="s">
        <v>2</v>
      </c>
    </row>
    <row r="9804" spans="1:9" x14ac:dyDescent="0.25">
      <c r="A9804" s="515">
        <v>15211</v>
      </c>
      <c r="B9804" s="515" t="s">
        <v>297</v>
      </c>
      <c r="C9804" s="52">
        <v>196961.246448235</v>
      </c>
      <c r="D9804" s="56">
        <v>2.8749154605542129E-2</v>
      </c>
      <c r="E9804" s="224">
        <v>1335.38961038961</v>
      </c>
      <c r="F9804" s="515" t="s">
        <v>11003</v>
      </c>
      <c r="G9804" s="52">
        <v>216725.574882477</v>
      </c>
      <c r="H9804" s="56">
        <v>7.1542987786728934E-2</v>
      </c>
      <c r="I9804" s="224" t="s">
        <v>2</v>
      </c>
    </row>
    <row r="9805" spans="1:9" x14ac:dyDescent="0.25">
      <c r="A9805" s="515">
        <v>66218</v>
      </c>
      <c r="B9805" s="515" t="s">
        <v>455</v>
      </c>
      <c r="C9805" s="52">
        <v>416298.75276639801</v>
      </c>
      <c r="D9805" s="56">
        <v>5.3634663775540124E-2</v>
      </c>
      <c r="E9805" s="224" t="s">
        <v>2</v>
      </c>
      <c r="F9805" s="515" t="s">
        <v>11004</v>
      </c>
      <c r="G9805" s="52">
        <v>180200.27381006701</v>
      </c>
      <c r="H9805" s="56">
        <v>7.7981580772799874E-2</v>
      </c>
      <c r="I9805" s="224" t="s">
        <v>2</v>
      </c>
    </row>
    <row r="9806" spans="1:9" x14ac:dyDescent="0.25">
      <c r="A9806" s="515">
        <v>53120</v>
      </c>
      <c r="B9806" s="515" t="s">
        <v>1089</v>
      </c>
      <c r="C9806" s="52">
        <v>345438.82005490398</v>
      </c>
      <c r="D9806" s="56">
        <v>6.920713346144268E-2</v>
      </c>
      <c r="E9806" s="224" t="s">
        <v>2</v>
      </c>
      <c r="F9806" s="515" t="s">
        <v>11005</v>
      </c>
      <c r="G9806" s="52">
        <v>168351.18268795201</v>
      </c>
      <c r="H9806" s="56">
        <v>7.6272470499726241E-2</v>
      </c>
      <c r="I9806" s="224" t="s">
        <v>2</v>
      </c>
    </row>
    <row r="9807" spans="1:9" x14ac:dyDescent="0.25">
      <c r="A9807" s="515">
        <v>6710</v>
      </c>
      <c r="B9807" s="515" t="s">
        <v>1172</v>
      </c>
      <c r="C9807" s="52">
        <v>235241.65224269201</v>
      </c>
      <c r="D9807" s="56">
        <v>0.11246356859966625</v>
      </c>
      <c r="E9807" s="224">
        <v>1275</v>
      </c>
      <c r="F9807" s="515" t="s">
        <v>11006</v>
      </c>
      <c r="G9807" s="52">
        <v>452271.02549111098</v>
      </c>
      <c r="H9807" s="56">
        <v>3.5042174902993301E-2</v>
      </c>
      <c r="I9807" s="224" t="s">
        <v>2</v>
      </c>
    </row>
    <row r="9808" spans="1:9" x14ac:dyDescent="0.25">
      <c r="A9808" s="515">
        <v>12572</v>
      </c>
      <c r="B9808" s="515" t="s">
        <v>529</v>
      </c>
      <c r="C9808" s="52">
        <v>550442.85692237096</v>
      </c>
      <c r="D9808" s="56">
        <v>8.4877517509401021E-2</v>
      </c>
      <c r="E9808" s="224">
        <v>2650</v>
      </c>
      <c r="F9808" s="515" t="s">
        <v>11007</v>
      </c>
      <c r="G9808" s="52">
        <v>568247.95094570902</v>
      </c>
      <c r="H9808" s="56">
        <v>6.664598339491562E-2</v>
      </c>
      <c r="I9808" s="224" t="s">
        <v>2</v>
      </c>
    </row>
    <row r="9809" spans="1:9" x14ac:dyDescent="0.25">
      <c r="A9809" s="515">
        <v>64109</v>
      </c>
      <c r="B9809" s="515" t="s">
        <v>455</v>
      </c>
      <c r="C9809" s="52">
        <v>163249.551716213</v>
      </c>
      <c r="D9809" s="56">
        <v>9.0341186116662198E-2</v>
      </c>
      <c r="E9809" s="224">
        <v>1099.0343915343899</v>
      </c>
      <c r="F9809" s="515" t="s">
        <v>11008</v>
      </c>
      <c r="G9809" s="52">
        <v>234852.093009284</v>
      </c>
      <c r="H9809" s="56">
        <v>3.9141489638814586E-2</v>
      </c>
      <c r="I9809" s="224" t="s">
        <v>2</v>
      </c>
    </row>
    <row r="9810" spans="1:9" x14ac:dyDescent="0.25">
      <c r="A9810" s="515">
        <v>19609</v>
      </c>
      <c r="B9810" s="515" t="s">
        <v>569</v>
      </c>
      <c r="C9810" s="52">
        <v>239607.34380471299</v>
      </c>
      <c r="D9810" s="56">
        <v>0.10732536122265107</v>
      </c>
      <c r="E9810" s="224" t="s">
        <v>2</v>
      </c>
      <c r="F9810" s="515" t="s">
        <v>11009</v>
      </c>
      <c r="G9810" s="52">
        <v>203832.10764872501</v>
      </c>
      <c r="H9810" s="56">
        <v>0</v>
      </c>
      <c r="I9810" s="224" t="s">
        <v>2</v>
      </c>
    </row>
    <row r="9811" spans="1:9" x14ac:dyDescent="0.25">
      <c r="A9811" s="515">
        <v>55425</v>
      </c>
      <c r="B9811" s="515" t="s">
        <v>532</v>
      </c>
      <c r="C9811" s="52">
        <v>303418.15306458803</v>
      </c>
      <c r="D9811" s="56">
        <v>8.6594529087246058E-3</v>
      </c>
      <c r="E9811" s="224">
        <v>1711.4619047619001</v>
      </c>
      <c r="F9811" s="515" t="s">
        <v>11010</v>
      </c>
      <c r="G9811" s="52">
        <v>56317.748418458097</v>
      </c>
      <c r="H9811" s="56">
        <v>-5.4320335255234733E-2</v>
      </c>
      <c r="I9811" s="224" t="s">
        <v>2</v>
      </c>
    </row>
    <row r="9812" spans="1:9" x14ac:dyDescent="0.25">
      <c r="A9812" s="515">
        <v>39817</v>
      </c>
      <c r="B9812" s="515" t="s">
        <v>1049</v>
      </c>
      <c r="C9812" s="52">
        <v>127089.840086361</v>
      </c>
      <c r="D9812" s="56">
        <v>8.0835533168245641E-2</v>
      </c>
      <c r="E9812" s="224" t="s">
        <v>2</v>
      </c>
      <c r="F9812" s="515" t="s">
        <v>11011</v>
      </c>
      <c r="G9812" s="52">
        <v>180459.287235091</v>
      </c>
      <c r="H9812" s="56">
        <v>0</v>
      </c>
      <c r="I9812" s="224" t="s">
        <v>2</v>
      </c>
    </row>
    <row r="9813" spans="1:9" x14ac:dyDescent="0.25">
      <c r="A9813" s="515">
        <v>64076</v>
      </c>
      <c r="B9813" s="515" t="s">
        <v>455</v>
      </c>
      <c r="C9813" s="52">
        <v>242015.096233741</v>
      </c>
      <c r="D9813" s="56">
        <v>8.0074200963833872E-2</v>
      </c>
      <c r="E9813" s="224" t="s">
        <v>2</v>
      </c>
      <c r="F9813" s="515" t="s">
        <v>11012</v>
      </c>
      <c r="G9813" s="52">
        <v>183535.520763657</v>
      </c>
      <c r="H9813" s="56">
        <v>0.11233839555433472</v>
      </c>
      <c r="I9813" s="224" t="s">
        <v>2</v>
      </c>
    </row>
    <row r="9814" spans="1:9" x14ac:dyDescent="0.25">
      <c r="A9814" s="515">
        <v>28657</v>
      </c>
      <c r="C9814" s="52">
        <v>219054.11185444999</v>
      </c>
      <c r="D9814" s="56">
        <v>0.1328384015241264</v>
      </c>
      <c r="E9814" s="224" t="s">
        <v>2</v>
      </c>
      <c r="F9814" s="515" t="s">
        <v>11013</v>
      </c>
      <c r="G9814" s="52">
        <v>253227.63884631099</v>
      </c>
      <c r="H9814" s="56">
        <v>9.2779702282163937E-2</v>
      </c>
      <c r="I9814" s="224" t="s">
        <v>2</v>
      </c>
    </row>
    <row r="9815" spans="1:9" x14ac:dyDescent="0.25">
      <c r="A9815" s="515">
        <v>97367</v>
      </c>
      <c r="B9815" s="515" t="s">
        <v>618</v>
      </c>
      <c r="C9815" s="52">
        <v>480219.73260671698</v>
      </c>
      <c r="D9815" s="56">
        <v>7.9074336421294841E-2</v>
      </c>
      <c r="E9815" s="224" t="s">
        <v>2</v>
      </c>
      <c r="F9815" s="515" t="s">
        <v>11014</v>
      </c>
      <c r="G9815" s="52">
        <v>410390.01396297599</v>
      </c>
      <c r="H9815" s="56">
        <v>2.4528341851222456E-2</v>
      </c>
      <c r="I9815" s="224" t="s">
        <v>2</v>
      </c>
    </row>
    <row r="9816" spans="1:9" x14ac:dyDescent="0.25">
      <c r="A9816" s="515">
        <v>60190</v>
      </c>
      <c r="B9816" s="515" t="s">
        <v>394</v>
      </c>
      <c r="C9816" s="52">
        <v>357168.15739309398</v>
      </c>
      <c r="D9816" s="56">
        <v>5.2142156193827338E-2</v>
      </c>
      <c r="E9816" s="224" t="s">
        <v>2</v>
      </c>
      <c r="F9816" s="515" t="s">
        <v>11015</v>
      </c>
      <c r="G9816" s="52">
        <v>190441.45080903001</v>
      </c>
      <c r="H9816" s="56">
        <v>5.1644103694661235E-2</v>
      </c>
      <c r="I9816" s="224" t="s">
        <v>2</v>
      </c>
    </row>
    <row r="9817" spans="1:9" x14ac:dyDescent="0.25">
      <c r="A9817" s="515">
        <v>20710</v>
      </c>
      <c r="B9817" s="515" t="s">
        <v>321</v>
      </c>
      <c r="C9817" s="52">
        <v>301944.66732729302</v>
      </c>
      <c r="D9817" s="56">
        <v>1.6390715556111345E-3</v>
      </c>
      <c r="E9817" s="224" t="s">
        <v>2</v>
      </c>
      <c r="F9817" s="515" t="s">
        <v>11016</v>
      </c>
      <c r="G9817" s="52">
        <v>149262.28016769799</v>
      </c>
      <c r="H9817" s="56">
        <v>-1.6117720415349104E-2</v>
      </c>
      <c r="I9817" s="224" t="s">
        <v>2</v>
      </c>
    </row>
    <row r="9818" spans="1:9" x14ac:dyDescent="0.25">
      <c r="A9818" s="515">
        <v>3766</v>
      </c>
      <c r="B9818" s="515" t="s">
        <v>420</v>
      </c>
      <c r="C9818" s="52">
        <v>354077.04701733502</v>
      </c>
      <c r="D9818" s="56">
        <v>9.8179459651210568E-2</v>
      </c>
      <c r="E9818" s="224" t="s">
        <v>2</v>
      </c>
      <c r="F9818" s="515" t="s">
        <v>11017</v>
      </c>
      <c r="G9818" s="52">
        <v>73701.679807500695</v>
      </c>
      <c r="H9818" s="56">
        <v>0.12484167751624491</v>
      </c>
      <c r="I9818" s="224" t="s">
        <v>2</v>
      </c>
    </row>
    <row r="9819" spans="1:9" x14ac:dyDescent="0.25">
      <c r="A9819" s="515">
        <v>44117</v>
      </c>
      <c r="B9819" s="515" t="s">
        <v>520</v>
      </c>
      <c r="C9819" s="52">
        <v>141093.79375284101</v>
      </c>
      <c r="D9819" s="56">
        <v>6.3233719690947515E-2</v>
      </c>
      <c r="E9819" s="224" t="s">
        <v>2</v>
      </c>
      <c r="F9819" s="515" t="s">
        <v>11018</v>
      </c>
      <c r="G9819" s="52">
        <v>137816.954144891</v>
      </c>
      <c r="H9819" s="56">
        <v>0.12909448463544357</v>
      </c>
      <c r="I9819" s="224" t="s">
        <v>2</v>
      </c>
    </row>
    <row r="9820" spans="1:9" x14ac:dyDescent="0.25">
      <c r="A9820" s="515">
        <v>16214</v>
      </c>
      <c r="C9820" s="52">
        <v>141949.709273496</v>
      </c>
      <c r="D9820" s="56">
        <v>3.9449406100933795E-2</v>
      </c>
      <c r="E9820" s="224" t="s">
        <v>2</v>
      </c>
      <c r="F9820" s="515" t="s">
        <v>11019</v>
      </c>
      <c r="G9820" s="52">
        <v>130503.53260978</v>
      </c>
      <c r="H9820" s="56">
        <v>2.2510194579604414E-2</v>
      </c>
      <c r="I9820" s="224" t="s">
        <v>2</v>
      </c>
    </row>
    <row r="9821" spans="1:9" x14ac:dyDescent="0.25">
      <c r="A9821" s="515">
        <v>53581</v>
      </c>
      <c r="C9821" s="52">
        <v>185290.10744774499</v>
      </c>
      <c r="D9821" s="56">
        <v>7.4704564851564903E-2</v>
      </c>
      <c r="E9821" s="224" t="s">
        <v>2</v>
      </c>
      <c r="F9821" s="515" t="s">
        <v>11020</v>
      </c>
      <c r="G9821" s="52">
        <v>291264.684853121</v>
      </c>
      <c r="H9821" s="56">
        <v>0.10341095810881004</v>
      </c>
      <c r="I9821" s="224" t="s">
        <v>2</v>
      </c>
    </row>
    <row r="9822" spans="1:9" x14ac:dyDescent="0.25">
      <c r="A9822" s="515">
        <v>47713</v>
      </c>
      <c r="B9822" s="515" t="s">
        <v>911</v>
      </c>
      <c r="C9822" s="52">
        <v>76490.211787348104</v>
      </c>
      <c r="D9822" s="56">
        <v>0.11531489184764657</v>
      </c>
      <c r="E9822" s="224" t="s">
        <v>2</v>
      </c>
      <c r="F9822" s="515" t="s">
        <v>11021</v>
      </c>
      <c r="G9822" s="52">
        <v>154515.70800312099</v>
      </c>
      <c r="H9822" s="56">
        <v>9.0101334889936269E-2</v>
      </c>
      <c r="I9822" s="224" t="s">
        <v>2</v>
      </c>
    </row>
    <row r="9823" spans="1:9" x14ac:dyDescent="0.25">
      <c r="A9823" s="515">
        <v>14437</v>
      </c>
      <c r="B9823" s="515" t="s">
        <v>337</v>
      </c>
      <c r="C9823" s="52">
        <v>139612.79770600301</v>
      </c>
      <c r="D9823" s="56">
        <v>8.169285377164888E-2</v>
      </c>
      <c r="E9823" s="224" t="s">
        <v>2</v>
      </c>
      <c r="F9823" s="515" t="s">
        <v>11022</v>
      </c>
      <c r="G9823" s="52">
        <v>870534.45355168695</v>
      </c>
      <c r="H9823" s="56">
        <v>6.0684093280769943E-2</v>
      </c>
      <c r="I9823" s="224" t="s">
        <v>2</v>
      </c>
    </row>
    <row r="9824" spans="1:9" x14ac:dyDescent="0.25">
      <c r="A9824" s="515">
        <v>78231</v>
      </c>
      <c r="B9824" s="515" t="s">
        <v>717</v>
      </c>
      <c r="C9824" s="52">
        <v>429042.01350260002</v>
      </c>
      <c r="D9824" s="56">
        <v>7.2026066024548904E-2</v>
      </c>
      <c r="E9824" s="224">
        <v>1535.3333333333301</v>
      </c>
      <c r="F9824" s="515" t="s">
        <v>11023</v>
      </c>
      <c r="G9824" s="52">
        <v>289914.90034890198</v>
      </c>
      <c r="H9824" s="56">
        <v>5.7258276833746631E-2</v>
      </c>
      <c r="I9824" s="224" t="s">
        <v>2</v>
      </c>
    </row>
    <row r="9825" spans="1:9" x14ac:dyDescent="0.25">
      <c r="A9825" s="515">
        <v>74426</v>
      </c>
      <c r="C9825" s="52">
        <v>143182.752208297</v>
      </c>
      <c r="D9825" s="56">
        <v>0.15892045355397064</v>
      </c>
      <c r="E9825" s="224" t="s">
        <v>2</v>
      </c>
      <c r="F9825" s="515" t="s">
        <v>11024</v>
      </c>
      <c r="G9825" s="52">
        <v>224901.62698313899</v>
      </c>
      <c r="H9825" s="56">
        <v>9.4308902764277405E-2</v>
      </c>
      <c r="I9825" s="224" t="s">
        <v>2</v>
      </c>
    </row>
    <row r="9826" spans="1:9" x14ac:dyDescent="0.25">
      <c r="A9826" s="515">
        <v>94505</v>
      </c>
      <c r="B9826" s="515" t="s">
        <v>593</v>
      </c>
      <c r="C9826" s="52">
        <v>772676.79423204903</v>
      </c>
      <c r="D9826" s="56">
        <v>-3.6751114561710062E-2</v>
      </c>
      <c r="E9826" s="224">
        <v>3180</v>
      </c>
      <c r="F9826" s="515" t="s">
        <v>11025</v>
      </c>
      <c r="G9826" s="52">
        <v>225762.34040832601</v>
      </c>
      <c r="H9826" s="56">
        <v>6.1165834055680789E-2</v>
      </c>
      <c r="I9826" s="224" t="s">
        <v>2</v>
      </c>
    </row>
    <row r="9827" spans="1:9" x14ac:dyDescent="0.25">
      <c r="A9827" s="515">
        <v>8270</v>
      </c>
      <c r="B9827" s="515" t="s">
        <v>653</v>
      </c>
      <c r="C9827" s="52">
        <v>258019.02287140099</v>
      </c>
      <c r="D9827" s="56">
        <v>6.5343780510296089E-3</v>
      </c>
      <c r="E9827" s="224" t="s">
        <v>2</v>
      </c>
      <c r="F9827" s="515" t="s">
        <v>11026</v>
      </c>
      <c r="G9827" s="52">
        <v>387923.862697226</v>
      </c>
      <c r="H9827" s="56">
        <v>0.11010963286941922</v>
      </c>
      <c r="I9827" s="224" t="s">
        <v>2</v>
      </c>
    </row>
    <row r="9828" spans="1:9" x14ac:dyDescent="0.25">
      <c r="A9828" s="515">
        <v>62863</v>
      </c>
      <c r="C9828" s="52">
        <v>92052.700318617397</v>
      </c>
      <c r="D9828" s="56">
        <v>8.4711653958813832E-2</v>
      </c>
      <c r="E9828" s="224" t="s">
        <v>2</v>
      </c>
      <c r="F9828" s="515" t="s">
        <v>11027</v>
      </c>
      <c r="G9828" s="52">
        <v>215699.22336783601</v>
      </c>
      <c r="H9828" s="56">
        <v>7.7686570283237541E-2</v>
      </c>
      <c r="I9828" s="224" t="s">
        <v>2</v>
      </c>
    </row>
    <row r="9829" spans="1:9" x14ac:dyDescent="0.25">
      <c r="A9829" s="515">
        <v>95006</v>
      </c>
      <c r="B9829" s="515" t="s">
        <v>596</v>
      </c>
      <c r="C9829" s="52">
        <v>730252.87241446099</v>
      </c>
      <c r="D9829" s="56">
        <v>-3.0506395627079527E-3</v>
      </c>
      <c r="E9829" s="224" t="s">
        <v>2</v>
      </c>
      <c r="F9829" s="515" t="s">
        <v>11028</v>
      </c>
      <c r="G9829" s="52">
        <v>351145.50716288202</v>
      </c>
      <c r="H9829" s="56">
        <v>2.9041827864940244E-2</v>
      </c>
      <c r="I9829" s="224" t="s">
        <v>2</v>
      </c>
    </row>
    <row r="9830" spans="1:9" x14ac:dyDescent="0.25">
      <c r="A9830" s="515">
        <v>18651</v>
      </c>
      <c r="B9830" s="515" t="s">
        <v>512</v>
      </c>
      <c r="C9830" s="52">
        <v>100968.43995766299</v>
      </c>
      <c r="D9830" s="56">
        <v>0.13339211187957933</v>
      </c>
      <c r="E9830" s="224" t="s">
        <v>2</v>
      </c>
      <c r="F9830" s="515" t="s">
        <v>11029</v>
      </c>
      <c r="G9830" s="52">
        <v>150874.30820357101</v>
      </c>
      <c r="H9830" s="56">
        <v>3.6556680734721E-2</v>
      </c>
      <c r="I9830" s="224" t="s">
        <v>2</v>
      </c>
    </row>
    <row r="9831" spans="1:9" x14ac:dyDescent="0.25">
      <c r="A9831" s="515">
        <v>1077</v>
      </c>
      <c r="B9831" s="515" t="s">
        <v>575</v>
      </c>
      <c r="C9831" s="52">
        <v>338083.61118089402</v>
      </c>
      <c r="D9831" s="56">
        <v>8.2682473362760148E-2</v>
      </c>
      <c r="E9831" s="224" t="s">
        <v>2</v>
      </c>
      <c r="F9831" s="515" t="s">
        <v>11030</v>
      </c>
      <c r="G9831" s="52">
        <v>57269.184965464003</v>
      </c>
      <c r="H9831" s="56">
        <v>3.125105344570181E-2</v>
      </c>
      <c r="I9831" s="224" t="s">
        <v>2</v>
      </c>
    </row>
    <row r="9832" spans="1:9" x14ac:dyDescent="0.25">
      <c r="A9832" s="515">
        <v>20712</v>
      </c>
      <c r="B9832" s="515" t="s">
        <v>321</v>
      </c>
      <c r="C9832" s="52">
        <v>457908.87995703699</v>
      </c>
      <c r="D9832" s="56">
        <v>2.7713758053696524E-3</v>
      </c>
      <c r="E9832" s="224" t="s">
        <v>2</v>
      </c>
      <c r="F9832" s="515" t="s">
        <v>11031</v>
      </c>
      <c r="G9832" s="52">
        <v>436132.82565323397</v>
      </c>
      <c r="H9832" s="56">
        <v>4.9563894171516042E-2</v>
      </c>
      <c r="I9832" s="224" t="s">
        <v>2</v>
      </c>
    </row>
    <row r="9833" spans="1:9" x14ac:dyDescent="0.25">
      <c r="A9833" s="515">
        <v>8083</v>
      </c>
      <c r="B9833" s="515" t="s">
        <v>294</v>
      </c>
      <c r="C9833" s="52">
        <v>271923.18948491901</v>
      </c>
      <c r="D9833" s="56">
        <v>8.7824356984936597E-2</v>
      </c>
      <c r="E9833" s="224" t="s">
        <v>2</v>
      </c>
      <c r="F9833" s="515" t="s">
        <v>11032</v>
      </c>
      <c r="G9833" s="52">
        <v>169773.028718902</v>
      </c>
      <c r="H9833" s="56">
        <v>-1.8006109536550874E-3</v>
      </c>
      <c r="I9833" s="224" t="s">
        <v>2</v>
      </c>
    </row>
    <row r="9834" spans="1:9" x14ac:dyDescent="0.25">
      <c r="A9834" s="515">
        <v>29040</v>
      </c>
      <c r="B9834" s="515" t="s">
        <v>1065</v>
      </c>
      <c r="C9834" s="52">
        <v>175296.88393866</v>
      </c>
      <c r="D9834" s="56">
        <v>8.1968100273435582E-2</v>
      </c>
      <c r="E9834" s="224" t="s">
        <v>2</v>
      </c>
      <c r="F9834" s="515" t="s">
        <v>11033</v>
      </c>
      <c r="G9834" s="52">
        <v>234345.56505583401</v>
      </c>
      <c r="H9834" s="56">
        <v>8.1684413799184216E-2</v>
      </c>
      <c r="I9834" s="224" t="s">
        <v>2</v>
      </c>
    </row>
    <row r="9835" spans="1:9" x14ac:dyDescent="0.25">
      <c r="A9835" s="515">
        <v>15137</v>
      </c>
      <c r="B9835" s="515" t="s">
        <v>297</v>
      </c>
      <c r="C9835" s="52">
        <v>125223.596773531</v>
      </c>
      <c r="D9835" s="56">
        <v>8.8051392590558733E-2</v>
      </c>
      <c r="E9835" s="224" t="s">
        <v>2</v>
      </c>
      <c r="F9835" s="515" t="s">
        <v>11034</v>
      </c>
      <c r="G9835" s="52">
        <v>89233.051046401393</v>
      </c>
      <c r="H9835" s="56">
        <v>4.3158093340801396E-2</v>
      </c>
      <c r="I9835" s="224" t="s">
        <v>2</v>
      </c>
    </row>
    <row r="9836" spans="1:9" x14ac:dyDescent="0.25">
      <c r="A9836" s="515">
        <v>13350</v>
      </c>
      <c r="B9836" s="515" t="s">
        <v>543</v>
      </c>
      <c r="C9836" s="52">
        <v>129735.364967778</v>
      </c>
      <c r="D9836" s="56">
        <v>0.16551384553945159</v>
      </c>
      <c r="E9836" s="224" t="s">
        <v>2</v>
      </c>
      <c r="F9836" s="515" t="s">
        <v>11035</v>
      </c>
      <c r="G9836" s="52">
        <v>140692.76553087699</v>
      </c>
      <c r="H9836" s="56">
        <v>9.6993815880642681E-2</v>
      </c>
      <c r="I9836" s="224" t="s">
        <v>2</v>
      </c>
    </row>
    <row r="9837" spans="1:9" x14ac:dyDescent="0.25">
      <c r="A9837" s="515">
        <v>34291</v>
      </c>
      <c r="B9837" s="515" t="s">
        <v>466</v>
      </c>
      <c r="C9837" s="52">
        <v>366923.43019023899</v>
      </c>
      <c r="D9837" s="56">
        <v>0.12159864619361249</v>
      </c>
      <c r="E9837" s="224">
        <v>2200</v>
      </c>
      <c r="F9837" s="515" t="s">
        <v>11036</v>
      </c>
      <c r="G9837" s="52">
        <v>366094.75238755101</v>
      </c>
      <c r="H9837" s="56">
        <v>2.8234913755620976E-2</v>
      </c>
      <c r="I9837" s="224" t="s">
        <v>2</v>
      </c>
    </row>
    <row r="9838" spans="1:9" x14ac:dyDescent="0.25">
      <c r="A9838" s="515">
        <v>56353</v>
      </c>
      <c r="B9838" s="515" t="s">
        <v>532</v>
      </c>
      <c r="C9838" s="52">
        <v>265654.10530953697</v>
      </c>
      <c r="D9838" s="56">
        <v>3.0744639523513185E-2</v>
      </c>
      <c r="E9838" s="224" t="s">
        <v>2</v>
      </c>
      <c r="F9838" s="515" t="s">
        <v>11037</v>
      </c>
      <c r="G9838" s="52">
        <v>90995.843780169802</v>
      </c>
      <c r="H9838" s="56">
        <v>6.2474724343348602E-2</v>
      </c>
      <c r="I9838" s="224" t="s">
        <v>2</v>
      </c>
    </row>
    <row r="9839" spans="1:9" x14ac:dyDescent="0.25">
      <c r="A9839" s="515">
        <v>36467</v>
      </c>
      <c r="C9839" s="52">
        <v>101906.919772462</v>
      </c>
      <c r="D9839" s="56">
        <v>-2.5747911149465477E-2</v>
      </c>
      <c r="E9839" s="224" t="s">
        <v>2</v>
      </c>
      <c r="F9839" s="515" t="s">
        <v>11038</v>
      </c>
      <c r="G9839" s="52">
        <v>301673.39140600502</v>
      </c>
      <c r="H9839" s="56">
        <v>7.6342911414680359E-2</v>
      </c>
      <c r="I9839" s="224" t="s">
        <v>2</v>
      </c>
    </row>
    <row r="9840" spans="1:9" x14ac:dyDescent="0.25">
      <c r="A9840" s="515">
        <v>65809</v>
      </c>
      <c r="B9840" s="515" t="s">
        <v>603</v>
      </c>
      <c r="C9840" s="52">
        <v>395990.14758659201</v>
      </c>
      <c r="D9840" s="56">
        <v>7.4504316404250662E-2</v>
      </c>
      <c r="E9840" s="224" t="s">
        <v>2</v>
      </c>
      <c r="F9840" s="515" t="s">
        <v>11039</v>
      </c>
      <c r="G9840" s="52">
        <v>261315.14736526701</v>
      </c>
      <c r="H9840" s="56">
        <v>8.9336189013424314E-2</v>
      </c>
      <c r="I9840" s="224" t="s">
        <v>2</v>
      </c>
    </row>
    <row r="9841" spans="1:9" x14ac:dyDescent="0.25">
      <c r="A9841" s="515">
        <v>6798</v>
      </c>
      <c r="B9841" s="515" t="s">
        <v>559</v>
      </c>
      <c r="C9841" s="52">
        <v>433227.11883342703</v>
      </c>
      <c r="D9841" s="56">
        <v>9.9804374666967302E-2</v>
      </c>
      <c r="E9841" s="224" t="s">
        <v>2</v>
      </c>
      <c r="F9841" s="515" t="s">
        <v>11040</v>
      </c>
      <c r="G9841" s="52">
        <v>159815.25436469901</v>
      </c>
      <c r="H9841" s="56">
        <v>8.9931661747651867E-2</v>
      </c>
      <c r="I9841" s="224" t="s">
        <v>2</v>
      </c>
    </row>
    <row r="9842" spans="1:9" x14ac:dyDescent="0.25">
      <c r="A9842" s="515">
        <v>46406</v>
      </c>
      <c r="B9842" s="515" t="s">
        <v>394</v>
      </c>
      <c r="C9842" s="52">
        <v>71912.684572751095</v>
      </c>
      <c r="D9842" s="56">
        <v>0.31340037908487223</v>
      </c>
      <c r="E9842" s="224" t="s">
        <v>2</v>
      </c>
      <c r="F9842" s="515" t="s">
        <v>11041</v>
      </c>
      <c r="G9842" s="52">
        <v>132272.55334557401</v>
      </c>
      <c r="H9842" s="56">
        <v>5.5748270061661942E-2</v>
      </c>
      <c r="I9842" s="224" t="s">
        <v>2</v>
      </c>
    </row>
    <row r="9843" spans="1:9" x14ac:dyDescent="0.25">
      <c r="A9843" s="515">
        <v>79364</v>
      </c>
      <c r="B9843" s="515" t="s">
        <v>354</v>
      </c>
      <c r="C9843" s="52">
        <v>131295.15567249799</v>
      </c>
      <c r="D9843" s="56">
        <v>0.10484746260785864</v>
      </c>
      <c r="E9843" s="224" t="s">
        <v>2</v>
      </c>
      <c r="F9843" s="515" t="s">
        <v>11042</v>
      </c>
      <c r="G9843" s="52">
        <v>366241.75931928598</v>
      </c>
      <c r="H9843" s="56">
        <v>2.5506594958502066E-2</v>
      </c>
      <c r="I9843" s="224" t="s">
        <v>2</v>
      </c>
    </row>
    <row r="9844" spans="1:9" x14ac:dyDescent="0.25">
      <c r="A9844" s="515">
        <v>48040</v>
      </c>
      <c r="B9844" s="515" t="s">
        <v>685</v>
      </c>
      <c r="C9844" s="52">
        <v>203242.456850285</v>
      </c>
      <c r="D9844" s="56">
        <v>5.0831820313243722E-2</v>
      </c>
      <c r="E9844" s="224" t="s">
        <v>2</v>
      </c>
      <c r="F9844" s="515" t="s">
        <v>11043</v>
      </c>
      <c r="G9844" s="52">
        <v>190521.92487580099</v>
      </c>
      <c r="H9844" s="56">
        <v>6.5995567260509716E-2</v>
      </c>
      <c r="I9844" s="224" t="s">
        <v>2</v>
      </c>
    </row>
    <row r="9845" spans="1:9" x14ac:dyDescent="0.25">
      <c r="A9845" s="515">
        <v>63935</v>
      </c>
      <c r="B9845" s="515" t="s">
        <v>972</v>
      </c>
      <c r="C9845" s="52">
        <v>148232.35100939401</v>
      </c>
      <c r="D9845" s="56">
        <v>5.6252383494846799E-2</v>
      </c>
      <c r="E9845" s="224" t="s">
        <v>2</v>
      </c>
      <c r="F9845" s="515" t="s">
        <v>11044</v>
      </c>
      <c r="G9845" s="52">
        <v>133792.285729122</v>
      </c>
      <c r="H9845" s="56">
        <v>6.0772502209019752E-2</v>
      </c>
      <c r="I9845" s="224" t="s">
        <v>2</v>
      </c>
    </row>
    <row r="9846" spans="1:9" x14ac:dyDescent="0.25">
      <c r="A9846" s="515">
        <v>27239</v>
      </c>
      <c r="B9846" s="515" t="s">
        <v>735</v>
      </c>
      <c r="C9846" s="52">
        <v>206943.49486191</v>
      </c>
      <c r="D9846" s="56">
        <v>0.17471647492566461</v>
      </c>
      <c r="E9846" s="224" t="s">
        <v>2</v>
      </c>
      <c r="F9846" s="515" t="s">
        <v>11045</v>
      </c>
      <c r="G9846" s="52">
        <v>78413.927845036204</v>
      </c>
      <c r="H9846" s="56">
        <v>5.6538498249046554E-2</v>
      </c>
      <c r="I9846" s="224" t="s">
        <v>2</v>
      </c>
    </row>
    <row r="9847" spans="1:9" x14ac:dyDescent="0.25">
      <c r="A9847" s="515">
        <v>49112</v>
      </c>
      <c r="B9847" s="515" t="s">
        <v>1002</v>
      </c>
      <c r="C9847" s="52">
        <v>242389.91776551001</v>
      </c>
      <c r="D9847" s="56">
        <v>4.3028524940870359E-2</v>
      </c>
      <c r="E9847" s="224" t="s">
        <v>2</v>
      </c>
      <c r="F9847" s="515" t="s">
        <v>11046</v>
      </c>
      <c r="G9847" s="52">
        <v>196995.010647143</v>
      </c>
      <c r="H9847" s="56">
        <v>8.9202763542171049E-2</v>
      </c>
      <c r="I9847" s="224" t="s">
        <v>2</v>
      </c>
    </row>
    <row r="9848" spans="1:9" x14ac:dyDescent="0.25">
      <c r="A9848" s="515">
        <v>48875</v>
      </c>
      <c r="B9848" s="515" t="s">
        <v>631</v>
      </c>
      <c r="C9848" s="52">
        <v>236394.67009825801</v>
      </c>
      <c r="D9848" s="56">
        <v>9.056785744798454E-2</v>
      </c>
      <c r="E9848" s="224" t="s">
        <v>2</v>
      </c>
      <c r="F9848" s="515" t="s">
        <v>11047</v>
      </c>
      <c r="G9848" s="52">
        <v>406508.84446102101</v>
      </c>
      <c r="H9848" s="56">
        <v>0.11217189889193467</v>
      </c>
      <c r="I9848" s="224" t="s">
        <v>2</v>
      </c>
    </row>
    <row r="9849" spans="1:9" x14ac:dyDescent="0.25">
      <c r="A9849" s="515">
        <v>72007</v>
      </c>
      <c r="B9849" s="515" t="s">
        <v>393</v>
      </c>
      <c r="C9849" s="52">
        <v>219060.64142585301</v>
      </c>
      <c r="D9849" s="56">
        <v>8.3149077231514879E-2</v>
      </c>
      <c r="E9849" s="224" t="s">
        <v>2</v>
      </c>
      <c r="F9849" s="515" t="s">
        <v>11048</v>
      </c>
      <c r="G9849" s="52">
        <v>156656.779036469</v>
      </c>
      <c r="H9849" s="56">
        <v>4.7590399695855899E-2</v>
      </c>
      <c r="I9849" s="224" t="s">
        <v>2</v>
      </c>
    </row>
    <row r="9850" spans="1:9" x14ac:dyDescent="0.25">
      <c r="A9850" s="515">
        <v>49931</v>
      </c>
      <c r="B9850" s="515" t="s">
        <v>462</v>
      </c>
      <c r="C9850" s="52">
        <v>186254.91526874999</v>
      </c>
      <c r="D9850" s="56">
        <v>4.7887154357128647E-2</v>
      </c>
      <c r="E9850" s="224" t="s">
        <v>2</v>
      </c>
      <c r="F9850" s="515" t="s">
        <v>11049</v>
      </c>
      <c r="G9850" s="52">
        <v>96421.304238003795</v>
      </c>
      <c r="H9850" s="56">
        <v>-9.4882519520967726E-3</v>
      </c>
      <c r="I9850" s="224" t="s">
        <v>2</v>
      </c>
    </row>
    <row r="9851" spans="1:9" x14ac:dyDescent="0.25">
      <c r="A9851" s="515">
        <v>97378</v>
      </c>
      <c r="B9851" s="515" t="s">
        <v>659</v>
      </c>
      <c r="C9851" s="52">
        <v>358238.048658869</v>
      </c>
      <c r="D9851" s="56">
        <v>3.5420115518239037E-2</v>
      </c>
      <c r="E9851" s="224" t="s">
        <v>2</v>
      </c>
      <c r="F9851" s="515" t="s">
        <v>11050</v>
      </c>
      <c r="G9851" s="52">
        <v>401364.67259211798</v>
      </c>
      <c r="H9851" s="56">
        <v>0.10378967305447422</v>
      </c>
      <c r="I9851" s="224" t="s">
        <v>2</v>
      </c>
    </row>
    <row r="9852" spans="1:9" x14ac:dyDescent="0.25">
      <c r="A9852" s="515">
        <v>60464</v>
      </c>
      <c r="B9852" s="515" t="s">
        <v>394</v>
      </c>
      <c r="C9852" s="52">
        <v>434160.197854553</v>
      </c>
      <c r="D9852" s="56">
        <v>4.6476907127067583E-2</v>
      </c>
      <c r="E9852" s="224" t="s">
        <v>2</v>
      </c>
      <c r="F9852" s="515" t="s">
        <v>11051</v>
      </c>
      <c r="G9852" s="52">
        <v>262141.98035846199</v>
      </c>
      <c r="H9852" s="56">
        <v>0.10170017838418705</v>
      </c>
      <c r="I9852" s="224" t="s">
        <v>2</v>
      </c>
    </row>
    <row r="9853" spans="1:9" x14ac:dyDescent="0.25">
      <c r="A9853" s="515">
        <v>14006</v>
      </c>
      <c r="B9853" s="515" t="s">
        <v>336</v>
      </c>
      <c r="C9853" s="52">
        <v>177454.268948707</v>
      </c>
      <c r="D9853" s="56">
        <v>6.2038984988286652E-2</v>
      </c>
      <c r="E9853" s="224" t="s">
        <v>2</v>
      </c>
      <c r="F9853" s="515" t="s">
        <v>11052</v>
      </c>
      <c r="G9853" s="52">
        <v>146164.23939172499</v>
      </c>
      <c r="H9853" s="56">
        <v>4.4167002774340818E-2</v>
      </c>
      <c r="I9853" s="224" t="s">
        <v>2</v>
      </c>
    </row>
    <row r="9854" spans="1:9" x14ac:dyDescent="0.25">
      <c r="A9854" s="515">
        <v>29385</v>
      </c>
      <c r="B9854" s="515" t="s">
        <v>447</v>
      </c>
      <c r="C9854" s="52">
        <v>214196.68330687299</v>
      </c>
      <c r="D9854" s="56">
        <v>0.13241168719766641</v>
      </c>
      <c r="E9854" s="224" t="s">
        <v>2</v>
      </c>
      <c r="F9854" s="515" t="s">
        <v>11053</v>
      </c>
      <c r="G9854" s="52">
        <v>741947.09030370496</v>
      </c>
      <c r="H9854" s="56">
        <v>7.7918330719205314E-2</v>
      </c>
      <c r="I9854" s="224" t="s">
        <v>2</v>
      </c>
    </row>
    <row r="9855" spans="1:9" x14ac:dyDescent="0.25">
      <c r="A9855" s="515">
        <v>24477</v>
      </c>
      <c r="B9855" s="515" t="s">
        <v>728</v>
      </c>
      <c r="C9855" s="52">
        <v>296095.19804452802</v>
      </c>
      <c r="D9855" s="56">
        <v>8.0863493830224162E-2</v>
      </c>
      <c r="E9855" s="224" t="s">
        <v>2</v>
      </c>
      <c r="F9855" s="515" t="s">
        <v>11054</v>
      </c>
      <c r="G9855" s="52">
        <v>85442.152051842306</v>
      </c>
      <c r="H9855" s="56">
        <v>-6.2901782359937514E-2</v>
      </c>
      <c r="I9855" s="224" t="s">
        <v>2</v>
      </c>
    </row>
    <row r="9856" spans="1:9" x14ac:dyDescent="0.25">
      <c r="A9856" s="515">
        <v>17872</v>
      </c>
      <c r="B9856" s="515" t="s">
        <v>939</v>
      </c>
      <c r="C9856" s="52">
        <v>38932.279443241503</v>
      </c>
      <c r="D9856" s="56">
        <v>8.5425094143830219E-2</v>
      </c>
      <c r="E9856" s="224" t="s">
        <v>2</v>
      </c>
      <c r="F9856" s="515" t="s">
        <v>11055</v>
      </c>
      <c r="G9856" s="52">
        <v>156434.09632094699</v>
      </c>
      <c r="H9856" s="56">
        <v>0.13454694817624366</v>
      </c>
      <c r="I9856" s="224" t="s">
        <v>2</v>
      </c>
    </row>
    <row r="9857" spans="1:9" x14ac:dyDescent="0.25">
      <c r="A9857" s="515">
        <v>1952</v>
      </c>
      <c r="B9857" s="515" t="s">
        <v>534</v>
      </c>
      <c r="C9857" s="52">
        <v>508419.06253651099</v>
      </c>
      <c r="D9857" s="56">
        <v>5.8767565534874007E-2</v>
      </c>
      <c r="E9857" s="224" t="s">
        <v>2</v>
      </c>
      <c r="F9857" s="515" t="s">
        <v>11056</v>
      </c>
      <c r="G9857" s="52">
        <v>228379.398402497</v>
      </c>
      <c r="H9857" s="56">
        <v>6.8347702459026133E-2</v>
      </c>
      <c r="I9857" s="224" t="s">
        <v>2</v>
      </c>
    </row>
    <row r="9858" spans="1:9" x14ac:dyDescent="0.25">
      <c r="A9858" s="515">
        <v>36083</v>
      </c>
      <c r="C9858" s="52">
        <v>84189.491553657703</v>
      </c>
      <c r="D9858" s="56">
        <v>-2.8709507978786707E-2</v>
      </c>
      <c r="E9858" s="224" t="s">
        <v>2</v>
      </c>
      <c r="F9858" s="515" t="s">
        <v>11057</v>
      </c>
      <c r="G9858" s="52">
        <v>195785.078143741</v>
      </c>
      <c r="H9858" s="56">
        <v>8.1490482840258463E-2</v>
      </c>
      <c r="I9858" s="224" t="s">
        <v>2</v>
      </c>
    </row>
    <row r="9859" spans="1:9" x14ac:dyDescent="0.25">
      <c r="A9859" s="515">
        <v>80135</v>
      </c>
      <c r="B9859" s="515" t="s">
        <v>401</v>
      </c>
      <c r="C9859" s="52">
        <v>838768.51836614998</v>
      </c>
      <c r="D9859" s="56">
        <v>6.5117714382361622E-2</v>
      </c>
      <c r="E9859" s="224" t="s">
        <v>2</v>
      </c>
      <c r="F9859" s="515" t="s">
        <v>11058</v>
      </c>
      <c r="G9859" s="52">
        <v>146165.056607195</v>
      </c>
      <c r="H9859" s="56">
        <v>7.2853974699152946E-2</v>
      </c>
      <c r="I9859" s="224" t="s">
        <v>2</v>
      </c>
    </row>
    <row r="9860" spans="1:9" x14ac:dyDescent="0.25">
      <c r="A9860" s="515">
        <v>35204</v>
      </c>
      <c r="B9860" s="515" t="s">
        <v>640</v>
      </c>
      <c r="C9860" s="52">
        <v>54608.8992548323</v>
      </c>
      <c r="D9860" s="56">
        <v>0.20585521059300263</v>
      </c>
      <c r="E9860" s="224" t="s">
        <v>2</v>
      </c>
      <c r="F9860" s="515" t="s">
        <v>11059</v>
      </c>
      <c r="G9860" s="52">
        <v>369725.74714316399</v>
      </c>
      <c r="H9860" s="56">
        <v>9.8285020244917046E-2</v>
      </c>
      <c r="I9860" s="224" t="s">
        <v>2</v>
      </c>
    </row>
    <row r="9861" spans="1:9" x14ac:dyDescent="0.25">
      <c r="A9861" s="515">
        <v>68467</v>
      </c>
      <c r="C9861" s="52">
        <v>179871.53880927199</v>
      </c>
      <c r="D9861" s="56">
        <v>7.4047226302757799E-2</v>
      </c>
      <c r="E9861" s="224" t="s">
        <v>2</v>
      </c>
      <c r="F9861" s="515" t="s">
        <v>11060</v>
      </c>
      <c r="G9861" s="52">
        <v>240094.79782476599</v>
      </c>
      <c r="H9861" s="56">
        <v>7.2484927404973809E-2</v>
      </c>
      <c r="I9861" s="224" t="s">
        <v>2</v>
      </c>
    </row>
    <row r="9862" spans="1:9" x14ac:dyDescent="0.25">
      <c r="A9862" s="515">
        <v>98418</v>
      </c>
      <c r="B9862" s="515" t="s">
        <v>384</v>
      </c>
      <c r="C9862" s="52">
        <v>393066.80819590698</v>
      </c>
      <c r="D9862" s="56">
        <v>8.4205477681989511E-3</v>
      </c>
      <c r="E9862" s="224">
        <v>1680.4166666666599</v>
      </c>
      <c r="F9862" s="515" t="s">
        <v>11061</v>
      </c>
      <c r="G9862" s="52">
        <v>192198.47258207001</v>
      </c>
      <c r="H9862" s="56">
        <v>0</v>
      </c>
      <c r="I9862" s="224" t="s">
        <v>2</v>
      </c>
    </row>
    <row r="9863" spans="1:9" x14ac:dyDescent="0.25">
      <c r="A9863" s="515">
        <v>55439</v>
      </c>
      <c r="B9863" s="515" t="s">
        <v>532</v>
      </c>
      <c r="C9863" s="52">
        <v>599039.91944708803</v>
      </c>
      <c r="D9863" s="56">
        <v>5.2074737667887609E-2</v>
      </c>
      <c r="E9863" s="224" t="s">
        <v>2</v>
      </c>
      <c r="F9863" s="515" t="s">
        <v>11062</v>
      </c>
      <c r="G9863" s="52">
        <v>116937.375648432</v>
      </c>
      <c r="H9863" s="56">
        <v>-8.3088911303756341E-2</v>
      </c>
      <c r="I9863" s="224" t="s">
        <v>2</v>
      </c>
    </row>
    <row r="9864" spans="1:9" x14ac:dyDescent="0.25">
      <c r="A9864" s="515">
        <v>8106</v>
      </c>
      <c r="B9864" s="515" t="s">
        <v>294</v>
      </c>
      <c r="C9864" s="52">
        <v>287995.97070709697</v>
      </c>
      <c r="D9864" s="56">
        <v>7.5658124672746491E-2</v>
      </c>
      <c r="E9864" s="224" t="s">
        <v>2</v>
      </c>
      <c r="F9864" s="515" t="s">
        <v>11063</v>
      </c>
      <c r="G9864" s="52">
        <v>170806.478758793</v>
      </c>
      <c r="H9864" s="56">
        <v>5.8807525578636374E-2</v>
      </c>
      <c r="I9864" s="224" t="s">
        <v>2</v>
      </c>
    </row>
    <row r="9865" spans="1:9" x14ac:dyDescent="0.25">
      <c r="A9865" s="515">
        <v>23002</v>
      </c>
      <c r="B9865" s="515" t="s">
        <v>667</v>
      </c>
      <c r="C9865" s="52">
        <v>284650.876958173</v>
      </c>
      <c r="D9865" s="56">
        <v>0.18134142773644857</v>
      </c>
      <c r="E9865" s="224" t="s">
        <v>2</v>
      </c>
      <c r="F9865" s="515" t="s">
        <v>6800</v>
      </c>
      <c r="G9865" s="52">
        <v>414969.974027652</v>
      </c>
      <c r="H9865" s="56">
        <v>0.12843909240088108</v>
      </c>
      <c r="I9865" s="224" t="s">
        <v>2</v>
      </c>
    </row>
    <row r="9866" spans="1:9" x14ac:dyDescent="0.25">
      <c r="A9866" s="515">
        <v>62471</v>
      </c>
      <c r="C9866" s="52">
        <v>105184.20539398</v>
      </c>
      <c r="D9866" s="56">
        <v>8.0901000198531955E-2</v>
      </c>
      <c r="E9866" s="224" t="s">
        <v>2</v>
      </c>
      <c r="F9866" s="515" t="s">
        <v>11064</v>
      </c>
      <c r="G9866" s="52">
        <v>294724.37407395901</v>
      </c>
      <c r="H9866" s="56">
        <v>9.1141306751907167E-2</v>
      </c>
      <c r="I9866" s="224" t="s">
        <v>2</v>
      </c>
    </row>
    <row r="9867" spans="1:9" x14ac:dyDescent="0.25">
      <c r="A9867" s="515">
        <v>81052</v>
      </c>
      <c r="C9867" s="52">
        <v>155477.652629327</v>
      </c>
      <c r="D9867" s="56">
        <v>0.13636755843953685</v>
      </c>
      <c r="E9867" s="224" t="s">
        <v>2</v>
      </c>
      <c r="F9867" s="515" t="s">
        <v>11065</v>
      </c>
      <c r="G9867" s="52">
        <v>257606.978725594</v>
      </c>
      <c r="H9867" s="56">
        <v>5.9475002991742972E-2</v>
      </c>
      <c r="I9867" s="224" t="s">
        <v>2</v>
      </c>
    </row>
    <row r="9868" spans="1:9" x14ac:dyDescent="0.25">
      <c r="A9868" s="515">
        <v>44615</v>
      </c>
      <c r="B9868" s="515" t="s">
        <v>863</v>
      </c>
      <c r="C9868" s="52">
        <v>166234.87212898</v>
      </c>
      <c r="D9868" s="56">
        <v>6.0598381733348389E-2</v>
      </c>
      <c r="E9868" s="224" t="s">
        <v>2</v>
      </c>
      <c r="F9868" s="515" t="s">
        <v>11066</v>
      </c>
      <c r="G9868" s="52">
        <v>434840.78620689601</v>
      </c>
      <c r="H9868" s="56">
        <v>0</v>
      </c>
      <c r="I9868" s="224" t="s">
        <v>2</v>
      </c>
    </row>
    <row r="9869" spans="1:9" x14ac:dyDescent="0.25">
      <c r="A9869" s="515">
        <v>39577</v>
      </c>
      <c r="B9869" s="515" t="s">
        <v>963</v>
      </c>
      <c r="C9869" s="52">
        <v>142590.293867528</v>
      </c>
      <c r="D9869" s="56">
        <v>2.6328418684819072E-2</v>
      </c>
      <c r="E9869" s="224" t="s">
        <v>2</v>
      </c>
      <c r="F9869" s="515" t="s">
        <v>11067</v>
      </c>
      <c r="G9869" s="52">
        <v>357959.786742297</v>
      </c>
      <c r="H9869" s="56">
        <v>9.572119108260084E-2</v>
      </c>
      <c r="I9869" s="224" t="s">
        <v>2</v>
      </c>
    </row>
    <row r="9870" spans="1:9" x14ac:dyDescent="0.25">
      <c r="A9870" s="515">
        <v>32038</v>
      </c>
      <c r="B9870" s="515" t="s">
        <v>1045</v>
      </c>
      <c r="C9870" s="52">
        <v>264912.03209322097</v>
      </c>
      <c r="D9870" s="56">
        <v>0.11474168207265802</v>
      </c>
      <c r="E9870" s="224" t="s">
        <v>2</v>
      </c>
      <c r="F9870" s="515" t="s">
        <v>11068</v>
      </c>
      <c r="G9870" s="52">
        <v>347954.833035196</v>
      </c>
      <c r="H9870" s="56">
        <v>0.11442210987660527</v>
      </c>
      <c r="I9870" s="224" t="s">
        <v>2</v>
      </c>
    </row>
    <row r="9871" spans="1:9" x14ac:dyDescent="0.25">
      <c r="A9871" s="515">
        <v>54942</v>
      </c>
      <c r="B9871" s="515" t="s">
        <v>821</v>
      </c>
      <c r="C9871" s="52">
        <v>365820.156524071</v>
      </c>
      <c r="D9871" s="56">
        <v>6.2537406807457341E-2</v>
      </c>
      <c r="E9871" s="224" t="s">
        <v>2</v>
      </c>
      <c r="F9871" s="515" t="s">
        <v>11069</v>
      </c>
      <c r="G9871" s="52">
        <v>123348.32789363799</v>
      </c>
      <c r="H9871" s="56">
        <v>0.10267327540101705</v>
      </c>
      <c r="I9871" s="224" t="s">
        <v>2</v>
      </c>
    </row>
    <row r="9872" spans="1:9" x14ac:dyDescent="0.25">
      <c r="A9872" s="515">
        <v>36545</v>
      </c>
      <c r="C9872" s="52"/>
      <c r="D9872" s="56">
        <v>0</v>
      </c>
      <c r="E9872" s="224" t="s">
        <v>2</v>
      </c>
      <c r="F9872" s="515" t="s">
        <v>11070</v>
      </c>
      <c r="G9872" s="52">
        <v>1828384.1059388099</v>
      </c>
      <c r="H9872" s="56">
        <v>5.2187617309922059E-2</v>
      </c>
      <c r="I9872" s="224" t="s">
        <v>2</v>
      </c>
    </row>
    <row r="9873" spans="1:9" x14ac:dyDescent="0.25">
      <c r="A9873" s="515">
        <v>93108</v>
      </c>
      <c r="B9873" s="515" t="s">
        <v>847</v>
      </c>
      <c r="C9873" s="52">
        <v>3941817.9440461402</v>
      </c>
      <c r="D9873" s="56">
        <v>7.1652202286819039E-2</v>
      </c>
      <c r="E9873" s="224" t="s">
        <v>2</v>
      </c>
      <c r="F9873" s="515" t="s">
        <v>11071</v>
      </c>
      <c r="G9873" s="52">
        <v>324227.26783784002</v>
      </c>
      <c r="H9873" s="56">
        <v>5.6877137313241712E-2</v>
      </c>
      <c r="I9873" s="224" t="s">
        <v>2</v>
      </c>
    </row>
    <row r="9874" spans="1:9" x14ac:dyDescent="0.25">
      <c r="A9874" s="515">
        <v>37186</v>
      </c>
      <c r="B9874" s="515" t="s">
        <v>684</v>
      </c>
      <c r="C9874" s="52">
        <v>205982.286931518</v>
      </c>
      <c r="D9874" s="56">
        <v>3.2570558521587786E-2</v>
      </c>
      <c r="E9874" s="224" t="s">
        <v>2</v>
      </c>
      <c r="F9874" s="515" t="s">
        <v>11072</v>
      </c>
      <c r="G9874" s="52">
        <v>406712.59767462499</v>
      </c>
      <c r="H9874" s="56">
        <v>8.1601984015664542E-2</v>
      </c>
      <c r="I9874" s="224" t="s">
        <v>2</v>
      </c>
    </row>
    <row r="9875" spans="1:9" x14ac:dyDescent="0.25">
      <c r="A9875" s="515">
        <v>39111</v>
      </c>
      <c r="B9875" s="515" t="s">
        <v>851</v>
      </c>
      <c r="C9875" s="52">
        <v>134923.569550496</v>
      </c>
      <c r="D9875" s="56">
        <v>-3.7294810266002149E-2</v>
      </c>
      <c r="E9875" s="224" t="s">
        <v>2</v>
      </c>
      <c r="F9875" s="515" t="s">
        <v>11073</v>
      </c>
      <c r="G9875" s="52">
        <v>179153.71078790401</v>
      </c>
      <c r="H9875" s="56">
        <v>0.12843205712905253</v>
      </c>
      <c r="I9875" s="224" t="s">
        <v>2</v>
      </c>
    </row>
    <row r="9876" spans="1:9" x14ac:dyDescent="0.25">
      <c r="A9876" s="515">
        <v>7945</v>
      </c>
      <c r="B9876" s="515" t="s">
        <v>324</v>
      </c>
      <c r="C9876" s="52">
        <v>852446.68451686401</v>
      </c>
      <c r="D9876" s="56">
        <v>5.4071404047776585E-2</v>
      </c>
      <c r="E9876" s="224" t="s">
        <v>2</v>
      </c>
      <c r="F9876" s="515" t="s">
        <v>11074</v>
      </c>
      <c r="G9876" s="52">
        <v>288337.46208519302</v>
      </c>
      <c r="H9876" s="56">
        <v>6.8070877158645252E-2</v>
      </c>
      <c r="I9876" s="224" t="s">
        <v>2</v>
      </c>
    </row>
    <row r="9877" spans="1:9" x14ac:dyDescent="0.25">
      <c r="A9877" s="515">
        <v>33597</v>
      </c>
      <c r="B9877" s="515" t="s">
        <v>558</v>
      </c>
      <c r="C9877" s="52">
        <v>266807.30958166398</v>
      </c>
      <c r="D9877" s="56">
        <v>0.1220839388706895</v>
      </c>
      <c r="E9877" s="224" t="s">
        <v>2</v>
      </c>
      <c r="F9877" s="515" t="s">
        <v>11075</v>
      </c>
      <c r="G9877" s="52">
        <v>335250.85456009902</v>
      </c>
      <c r="H9877" s="56">
        <v>3.7441241037847961E-2</v>
      </c>
      <c r="I9877" s="224" t="s">
        <v>2</v>
      </c>
    </row>
    <row r="9878" spans="1:9" x14ac:dyDescent="0.25">
      <c r="A9878" s="515">
        <v>23664</v>
      </c>
      <c r="B9878" s="515" t="s">
        <v>301</v>
      </c>
      <c r="C9878" s="52">
        <v>268411.62948542798</v>
      </c>
      <c r="D9878" s="56">
        <v>8.0429349282749904E-2</v>
      </c>
      <c r="E9878" s="224" t="s">
        <v>2</v>
      </c>
      <c r="F9878" s="515" t="s">
        <v>11076</v>
      </c>
      <c r="G9878" s="52">
        <v>158521.110970512</v>
      </c>
      <c r="H9878" s="56">
        <v>7.2430540007184963E-2</v>
      </c>
      <c r="I9878" s="224" t="s">
        <v>2</v>
      </c>
    </row>
    <row r="9879" spans="1:9" x14ac:dyDescent="0.25">
      <c r="A9879" s="515">
        <v>35058</v>
      </c>
      <c r="B9879" s="515" t="s">
        <v>1110</v>
      </c>
      <c r="C9879" s="52">
        <v>210521.07480451401</v>
      </c>
      <c r="D9879" s="56">
        <v>7.2879358298408359E-2</v>
      </c>
      <c r="E9879" s="224" t="s">
        <v>2</v>
      </c>
      <c r="F9879" s="515" t="s">
        <v>11077</v>
      </c>
      <c r="G9879" s="52">
        <v>234500.251750186</v>
      </c>
      <c r="H9879" s="56">
        <v>6.4472377840437953E-2</v>
      </c>
      <c r="I9879" s="224" t="s">
        <v>2</v>
      </c>
    </row>
    <row r="9880" spans="1:9" x14ac:dyDescent="0.25">
      <c r="A9880" s="515">
        <v>21629</v>
      </c>
      <c r="C9880" s="52">
        <v>305960.33297134301</v>
      </c>
      <c r="D9880" s="56">
        <v>3.7536895077231423E-2</v>
      </c>
      <c r="E9880" s="224" t="s">
        <v>2</v>
      </c>
      <c r="F9880" s="515" t="s">
        <v>11078</v>
      </c>
      <c r="G9880" s="52">
        <v>106419.8240798</v>
      </c>
      <c r="H9880" s="56">
        <v>5.5258432780571139E-2</v>
      </c>
      <c r="I9880" s="224" t="s">
        <v>2</v>
      </c>
    </row>
    <row r="9881" spans="1:9" x14ac:dyDescent="0.25">
      <c r="A9881" s="515">
        <v>12828</v>
      </c>
      <c r="B9881" s="515" t="s">
        <v>422</v>
      </c>
      <c r="C9881" s="52">
        <v>218585.26180182601</v>
      </c>
      <c r="D9881" s="56">
        <v>7.6868293329918583E-2</v>
      </c>
      <c r="E9881" s="224" t="s">
        <v>2</v>
      </c>
      <c r="F9881" s="515" t="s">
        <v>11079</v>
      </c>
      <c r="G9881" s="52">
        <v>546250.49505208805</v>
      </c>
      <c r="H9881" s="56">
        <v>4.9595937200411042E-2</v>
      </c>
      <c r="I9881" s="224" t="s">
        <v>2</v>
      </c>
    </row>
    <row r="9882" spans="1:9" x14ac:dyDescent="0.25">
      <c r="A9882" s="515">
        <v>35127</v>
      </c>
      <c r="B9882" s="515" t="s">
        <v>640</v>
      </c>
      <c r="C9882" s="52">
        <v>222045.67024380399</v>
      </c>
      <c r="D9882" s="56">
        <v>0.11225782174676523</v>
      </c>
      <c r="E9882" s="224">
        <v>1467.5</v>
      </c>
      <c r="F9882" s="515" t="s">
        <v>11080</v>
      </c>
      <c r="G9882" s="52">
        <v>84706.035104760696</v>
      </c>
      <c r="H9882" s="56">
        <v>-1.9309610671729531E-2</v>
      </c>
      <c r="I9882" s="224" t="s">
        <v>2</v>
      </c>
    </row>
    <row r="9883" spans="1:9" x14ac:dyDescent="0.25">
      <c r="A9883" s="515">
        <v>53925</v>
      </c>
      <c r="B9883" s="515" t="s">
        <v>727</v>
      </c>
      <c r="C9883" s="52">
        <v>275152.32745008002</v>
      </c>
      <c r="D9883" s="56">
        <v>4.2804191687643205E-2</v>
      </c>
      <c r="E9883" s="224" t="s">
        <v>2</v>
      </c>
      <c r="F9883" s="515" t="s">
        <v>11081</v>
      </c>
      <c r="G9883" s="52">
        <v>660727.446490334</v>
      </c>
      <c r="H9883" s="56">
        <v>2.2286583073380706E-2</v>
      </c>
      <c r="I9883" s="224" t="s">
        <v>2</v>
      </c>
    </row>
    <row r="9884" spans="1:9" x14ac:dyDescent="0.25">
      <c r="A9884" s="515">
        <v>56721</v>
      </c>
      <c r="B9884" s="515" t="s">
        <v>624</v>
      </c>
      <c r="C9884" s="52">
        <v>247615.31401926</v>
      </c>
      <c r="D9884" s="56">
        <v>3.6815342731117466E-2</v>
      </c>
      <c r="E9884" s="224" t="s">
        <v>2</v>
      </c>
      <c r="F9884" s="515" t="s">
        <v>11082</v>
      </c>
      <c r="G9884" s="52">
        <v>218913.096967285</v>
      </c>
      <c r="H9884" s="56">
        <v>5.9987536715766294E-2</v>
      </c>
      <c r="I9884" s="224" t="s">
        <v>2</v>
      </c>
    </row>
    <row r="9885" spans="1:9" x14ac:dyDescent="0.25">
      <c r="A9885" s="515">
        <v>78756</v>
      </c>
      <c r="B9885" s="515" t="s">
        <v>380</v>
      </c>
      <c r="C9885" s="52">
        <v>814299.25382754696</v>
      </c>
      <c r="D9885" s="56">
        <v>6.1300587272286537E-2</v>
      </c>
      <c r="E9885" s="224">
        <v>1884.8333333333301</v>
      </c>
      <c r="F9885" s="515" t="s">
        <v>11083</v>
      </c>
      <c r="G9885" s="52">
        <v>193185.54145554799</v>
      </c>
      <c r="H9885" s="56">
        <v>-1.6094349885471135E-2</v>
      </c>
      <c r="I9885" s="224" t="s">
        <v>2</v>
      </c>
    </row>
    <row r="9886" spans="1:9" x14ac:dyDescent="0.25">
      <c r="A9886" s="515">
        <v>93640</v>
      </c>
      <c r="B9886" s="515" t="s">
        <v>541</v>
      </c>
      <c r="C9886" s="52">
        <v>272629.48076836602</v>
      </c>
      <c r="D9886" s="56">
        <v>0.10961041024810278</v>
      </c>
      <c r="E9886" s="224" t="s">
        <v>2</v>
      </c>
      <c r="F9886" s="515" t="s">
        <v>11084</v>
      </c>
      <c r="G9886" s="52">
        <v>385299.47580527101</v>
      </c>
      <c r="H9886" s="56">
        <v>2.5739561178770416E-2</v>
      </c>
      <c r="I9886" s="224" t="s">
        <v>2</v>
      </c>
    </row>
    <row r="9887" spans="1:9" x14ac:dyDescent="0.25">
      <c r="A9887" s="515">
        <v>95033</v>
      </c>
      <c r="B9887" s="515" t="s">
        <v>850</v>
      </c>
      <c r="C9887" s="52">
        <v>1369521.9009786199</v>
      </c>
      <c r="D9887" s="56">
        <v>-7.7747188859455672E-4</v>
      </c>
      <c r="E9887" s="224" t="s">
        <v>2</v>
      </c>
      <c r="F9887" s="515" t="s">
        <v>11085</v>
      </c>
      <c r="G9887" s="52">
        <v>169312.04028992</v>
      </c>
      <c r="H9887" s="56">
        <v>0.13023445598137429</v>
      </c>
      <c r="I9887" s="224" t="s">
        <v>2</v>
      </c>
    </row>
    <row r="9888" spans="1:9" x14ac:dyDescent="0.25">
      <c r="A9888" s="515">
        <v>95338</v>
      </c>
      <c r="C9888" s="52">
        <v>367297.67178198998</v>
      </c>
      <c r="D9888" s="56">
        <v>-1.6911519658698533E-2</v>
      </c>
      <c r="E9888" s="224" t="s">
        <v>2</v>
      </c>
      <c r="F9888" s="515" t="s">
        <v>11086</v>
      </c>
      <c r="G9888" s="52">
        <v>86901.155690857704</v>
      </c>
      <c r="H9888" s="56">
        <v>8.1915969647821787E-2</v>
      </c>
      <c r="I9888" s="224" t="s">
        <v>2</v>
      </c>
    </row>
    <row r="9889" spans="1:9" x14ac:dyDescent="0.25">
      <c r="A9889" s="515">
        <v>19004</v>
      </c>
      <c r="B9889" s="515" t="s">
        <v>294</v>
      </c>
      <c r="C9889" s="52">
        <v>609857.288768625</v>
      </c>
      <c r="D9889" s="56">
        <v>0.10769432118234168</v>
      </c>
      <c r="E9889" s="224">
        <v>2050.0857142857099</v>
      </c>
      <c r="F9889" s="515" t="s">
        <v>11087</v>
      </c>
      <c r="G9889" s="52">
        <v>348001.86536393402</v>
      </c>
      <c r="H9889" s="56">
        <v>0.12428999449010673</v>
      </c>
      <c r="I9889" s="224" t="s">
        <v>2</v>
      </c>
    </row>
    <row r="9890" spans="1:9" x14ac:dyDescent="0.25">
      <c r="A9890" s="515">
        <v>60661</v>
      </c>
      <c r="B9890" s="515" t="s">
        <v>394</v>
      </c>
      <c r="C9890" s="52">
        <v>308205.28184552997</v>
      </c>
      <c r="D9890" s="56">
        <v>-6.0320800347738934E-3</v>
      </c>
      <c r="E9890" s="224">
        <v>2143.65628815628</v>
      </c>
      <c r="F9890" s="515" t="s">
        <v>11088</v>
      </c>
      <c r="G9890" s="52">
        <v>87782.339695196104</v>
      </c>
      <c r="H9890" s="56">
        <v>-2.6808507115903081E-2</v>
      </c>
      <c r="I9890" s="224" t="s">
        <v>2</v>
      </c>
    </row>
    <row r="9891" spans="1:9" x14ac:dyDescent="0.25">
      <c r="A9891" s="515">
        <v>6855</v>
      </c>
      <c r="B9891" s="515" t="s">
        <v>1173</v>
      </c>
      <c r="C9891" s="52">
        <v>566945.89976686705</v>
      </c>
      <c r="D9891" s="56">
        <v>6.2712822723491768E-2</v>
      </c>
      <c r="E9891" s="224" t="s">
        <v>2</v>
      </c>
      <c r="F9891" s="515" t="s">
        <v>11089</v>
      </c>
      <c r="G9891" s="52">
        <v>104735.58435422499</v>
      </c>
      <c r="H9891" s="56">
        <v>5.9991538383967175E-2</v>
      </c>
      <c r="I9891" s="224" t="s">
        <v>2</v>
      </c>
    </row>
    <row r="9892" spans="1:9" x14ac:dyDescent="0.25">
      <c r="A9892" s="515">
        <v>55401</v>
      </c>
      <c r="B9892" s="515" t="s">
        <v>532</v>
      </c>
      <c r="C9892" s="52">
        <v>321392.38798665098</v>
      </c>
      <c r="D9892" s="56">
        <v>-4.2295384161992529E-2</v>
      </c>
      <c r="E9892" s="224">
        <v>1817.38333333333</v>
      </c>
      <c r="F9892" s="515" t="s">
        <v>11090</v>
      </c>
      <c r="G9892" s="52">
        <v>472665.22057495703</v>
      </c>
      <c r="H9892" s="56">
        <v>5.5663390931999873E-2</v>
      </c>
      <c r="I9892" s="224" t="s">
        <v>2</v>
      </c>
    </row>
    <row r="9893" spans="1:9" x14ac:dyDescent="0.25">
      <c r="A9893" s="515">
        <v>77418</v>
      </c>
      <c r="B9893" s="515" t="s">
        <v>314</v>
      </c>
      <c r="C9893" s="52">
        <v>343004.47861701599</v>
      </c>
      <c r="D9893" s="56">
        <v>6.5663941000904863E-2</v>
      </c>
      <c r="E9893" s="224" t="s">
        <v>2</v>
      </c>
      <c r="F9893" s="515" t="s">
        <v>11091</v>
      </c>
      <c r="G9893" s="52">
        <v>45987.486750397198</v>
      </c>
      <c r="H9893" s="56">
        <v>0.19610629063828547</v>
      </c>
      <c r="I9893" s="224" t="s">
        <v>2</v>
      </c>
    </row>
    <row r="9894" spans="1:9" x14ac:dyDescent="0.25">
      <c r="A9894" s="515">
        <v>10994</v>
      </c>
      <c r="B9894" s="515" t="s">
        <v>324</v>
      </c>
      <c r="C9894" s="52">
        <v>634467.22155986296</v>
      </c>
      <c r="D9894" s="56">
        <v>6.3029624831579478E-2</v>
      </c>
      <c r="E9894" s="224" t="s">
        <v>2</v>
      </c>
      <c r="F9894" s="515" t="s">
        <v>11092</v>
      </c>
      <c r="G9894" s="52">
        <v>2175764.4876896502</v>
      </c>
      <c r="H9894" s="56">
        <v>0.10789215844812679</v>
      </c>
      <c r="I9894" s="224" t="s">
        <v>2</v>
      </c>
    </row>
    <row r="9895" spans="1:9" x14ac:dyDescent="0.25">
      <c r="A9895" s="515">
        <v>33954</v>
      </c>
      <c r="B9895" s="515" t="s">
        <v>1030</v>
      </c>
      <c r="C9895" s="52">
        <v>345556.38334620302</v>
      </c>
      <c r="D9895" s="56">
        <v>0.10655464150864076</v>
      </c>
      <c r="E9895" s="224">
        <v>2118.625</v>
      </c>
      <c r="F9895" s="515" t="s">
        <v>11093</v>
      </c>
      <c r="G9895" s="52">
        <v>371223.860722324</v>
      </c>
      <c r="H9895" s="56">
        <v>7.776923551374651E-2</v>
      </c>
      <c r="I9895" s="224" t="s">
        <v>2</v>
      </c>
    </row>
    <row r="9896" spans="1:9" x14ac:dyDescent="0.25">
      <c r="A9896" s="515">
        <v>11752</v>
      </c>
      <c r="B9896" s="515" t="s">
        <v>324</v>
      </c>
      <c r="C9896" s="52">
        <v>507029.24332168099</v>
      </c>
      <c r="D9896" s="56">
        <v>2.9135599284003447E-2</v>
      </c>
      <c r="E9896" s="224" t="s">
        <v>2</v>
      </c>
      <c r="F9896" s="515" t="s">
        <v>11094</v>
      </c>
      <c r="G9896" s="52">
        <v>1708371.66283059</v>
      </c>
      <c r="H9896" s="56">
        <v>0.11723012519560182</v>
      </c>
      <c r="I9896" s="224" t="s">
        <v>2</v>
      </c>
    </row>
    <row r="9897" spans="1:9" x14ac:dyDescent="0.25">
      <c r="A9897" s="515">
        <v>44714</v>
      </c>
      <c r="B9897" s="515" t="s">
        <v>863</v>
      </c>
      <c r="C9897" s="52">
        <v>129626.219127954</v>
      </c>
      <c r="D9897" s="56">
        <v>6.3104166788516491E-2</v>
      </c>
      <c r="E9897" s="224">
        <v>878.75</v>
      </c>
      <c r="F9897" s="515" t="s">
        <v>11095</v>
      </c>
      <c r="G9897" s="52">
        <v>190982.695600798</v>
      </c>
      <c r="H9897" s="56">
        <v>9.2090876961091236E-2</v>
      </c>
      <c r="I9897" s="224" t="s">
        <v>2</v>
      </c>
    </row>
    <row r="9898" spans="1:9" x14ac:dyDescent="0.25">
      <c r="A9898" s="515">
        <v>55328</v>
      </c>
      <c r="B9898" s="515" t="s">
        <v>532</v>
      </c>
      <c r="C9898" s="52">
        <v>403607.37519548897</v>
      </c>
      <c r="D9898" s="56">
        <v>4.1230031350103405E-2</v>
      </c>
      <c r="E9898" s="224" t="s">
        <v>2</v>
      </c>
      <c r="F9898" s="515" t="s">
        <v>11096</v>
      </c>
      <c r="G9898" s="52">
        <v>129434.694496768</v>
      </c>
      <c r="H9898" s="56">
        <v>-2.2454762426121228E-3</v>
      </c>
      <c r="I9898" s="224" t="s">
        <v>2</v>
      </c>
    </row>
    <row r="9899" spans="1:9" x14ac:dyDescent="0.25">
      <c r="A9899" s="515">
        <v>12009</v>
      </c>
      <c r="B9899" s="515" t="s">
        <v>609</v>
      </c>
      <c r="C9899" s="52">
        <v>333097.073816463</v>
      </c>
      <c r="D9899" s="56">
        <v>4.0694573725398121E-2</v>
      </c>
      <c r="E9899" s="224" t="s">
        <v>2</v>
      </c>
      <c r="F9899" s="515" t="s">
        <v>11097</v>
      </c>
      <c r="G9899" s="52">
        <v>413695.99295162002</v>
      </c>
      <c r="H9899" s="56">
        <v>5.0958003862818499E-2</v>
      </c>
      <c r="I9899" s="224" t="s">
        <v>2</v>
      </c>
    </row>
    <row r="9900" spans="1:9" x14ac:dyDescent="0.25">
      <c r="A9900" s="515">
        <v>19945</v>
      </c>
      <c r="B9900" s="515" t="s">
        <v>552</v>
      </c>
      <c r="C9900" s="52">
        <v>405882.98089674202</v>
      </c>
      <c r="D9900" s="56">
        <v>7.1564084755982235E-2</v>
      </c>
      <c r="E9900" s="224" t="s">
        <v>2</v>
      </c>
      <c r="F9900" s="515" t="s">
        <v>11098</v>
      </c>
      <c r="G9900" s="52">
        <v>76214.1795091573</v>
      </c>
      <c r="H9900" s="56">
        <v>2.4116727934541275E-2</v>
      </c>
      <c r="I9900" s="224" t="s">
        <v>2</v>
      </c>
    </row>
    <row r="9901" spans="1:9" x14ac:dyDescent="0.25">
      <c r="A9901" s="515">
        <v>40118</v>
      </c>
      <c r="B9901" s="515" t="s">
        <v>479</v>
      </c>
      <c r="C9901" s="52">
        <v>165819.50969863101</v>
      </c>
      <c r="D9901" s="56">
        <v>6.8702988312482713E-2</v>
      </c>
      <c r="E9901" s="224" t="s">
        <v>2</v>
      </c>
      <c r="F9901" s="515" t="s">
        <v>11099</v>
      </c>
      <c r="G9901" s="52">
        <v>157182.459098914</v>
      </c>
      <c r="H9901" s="56">
        <v>2.8269426508619026E-2</v>
      </c>
      <c r="I9901" s="224" t="s">
        <v>2</v>
      </c>
    </row>
    <row r="9902" spans="1:9" x14ac:dyDescent="0.25">
      <c r="A9902" s="515">
        <v>32130</v>
      </c>
      <c r="B9902" s="515" t="s">
        <v>974</v>
      </c>
      <c r="C9902" s="52">
        <v>306569.12460673501</v>
      </c>
      <c r="D9902" s="56">
        <v>0.1666262911381344</v>
      </c>
      <c r="E9902" s="224" t="s">
        <v>2</v>
      </c>
      <c r="F9902" s="515" t="s">
        <v>11100</v>
      </c>
      <c r="G9902" s="52">
        <v>66349.562235601901</v>
      </c>
      <c r="H9902" s="56">
        <v>-2.6184057229988931E-2</v>
      </c>
      <c r="I9902" s="224" t="s">
        <v>2</v>
      </c>
    </row>
    <row r="9903" spans="1:9" x14ac:dyDescent="0.25">
      <c r="A9903" s="515">
        <v>95713</v>
      </c>
      <c r="B9903" s="515" t="s">
        <v>355</v>
      </c>
      <c r="C9903" s="52">
        <v>469048.33465918602</v>
      </c>
      <c r="D9903" s="56">
        <v>-3.7797103860003976E-2</v>
      </c>
      <c r="E9903" s="224" t="s">
        <v>2</v>
      </c>
      <c r="F9903" s="515" t="s">
        <v>11101</v>
      </c>
      <c r="G9903" s="52">
        <v>523579.11735018098</v>
      </c>
      <c r="H9903" s="56">
        <v>-2.3347049523912759E-2</v>
      </c>
      <c r="I9903" s="224" t="s">
        <v>2</v>
      </c>
    </row>
    <row r="9904" spans="1:9" x14ac:dyDescent="0.25">
      <c r="A9904" s="515">
        <v>71052</v>
      </c>
      <c r="B9904" s="515" t="s">
        <v>739</v>
      </c>
      <c r="C9904" s="52">
        <v>62303.397615540402</v>
      </c>
      <c r="D9904" s="56">
        <v>0.10170943573524004</v>
      </c>
      <c r="E9904" s="224" t="s">
        <v>2</v>
      </c>
      <c r="F9904" s="515" t="s">
        <v>11102</v>
      </c>
      <c r="G9904" s="52">
        <v>116080.266423357</v>
      </c>
      <c r="H9904" s="56">
        <v>0</v>
      </c>
      <c r="I9904" s="224" t="s">
        <v>2</v>
      </c>
    </row>
    <row r="9905" spans="1:9" x14ac:dyDescent="0.25">
      <c r="A9905" s="515">
        <v>1590</v>
      </c>
      <c r="B9905" s="515" t="s">
        <v>751</v>
      </c>
      <c r="C9905" s="52">
        <v>525897.71310756495</v>
      </c>
      <c r="D9905" s="56">
        <v>8.0486968358346705E-2</v>
      </c>
      <c r="E9905" s="224" t="s">
        <v>2</v>
      </c>
      <c r="F9905" s="515" t="s">
        <v>11103</v>
      </c>
      <c r="G9905" s="52">
        <v>277498.85935270402</v>
      </c>
      <c r="H9905" s="56">
        <v>2.2620660939127797E-2</v>
      </c>
      <c r="I9905" s="224" t="s">
        <v>2</v>
      </c>
    </row>
    <row r="9906" spans="1:9" x14ac:dyDescent="0.25">
      <c r="A9906" s="515">
        <v>19444</v>
      </c>
      <c r="B9906" s="515" t="s">
        <v>294</v>
      </c>
      <c r="C9906" s="52">
        <v>523695.44003079098</v>
      </c>
      <c r="D9906" s="56">
        <v>7.9664145505887268E-2</v>
      </c>
      <c r="E9906" s="224" t="s">
        <v>2</v>
      </c>
      <c r="F9906" s="515" t="s">
        <v>11104</v>
      </c>
      <c r="G9906" s="52">
        <v>197518.328109817</v>
      </c>
      <c r="H9906" s="56">
        <v>4.8302353752518817E-2</v>
      </c>
      <c r="I9906" s="224" t="s">
        <v>2</v>
      </c>
    </row>
    <row r="9907" spans="1:9" x14ac:dyDescent="0.25">
      <c r="A9907" s="515">
        <v>24266</v>
      </c>
      <c r="C9907" s="52">
        <v>164255.587439347</v>
      </c>
      <c r="D9907" s="56">
        <v>0.11913914681135453</v>
      </c>
      <c r="E9907" s="224" t="s">
        <v>2</v>
      </c>
      <c r="F9907" s="515" t="s">
        <v>11105</v>
      </c>
      <c r="G9907" s="52">
        <v>160767.66999764901</v>
      </c>
      <c r="H9907" s="56">
        <v>9.4996077361382228E-2</v>
      </c>
      <c r="I9907" s="224" t="s">
        <v>2</v>
      </c>
    </row>
    <row r="9908" spans="1:9" x14ac:dyDescent="0.25">
      <c r="A9908" s="515">
        <v>20607</v>
      </c>
      <c r="B9908" s="515" t="s">
        <v>321</v>
      </c>
      <c r="C9908" s="52">
        <v>502445.399104296</v>
      </c>
      <c r="D9908" s="56">
        <v>2.2451574817838188E-2</v>
      </c>
      <c r="E9908" s="224">
        <v>3000</v>
      </c>
      <c r="F9908" s="515" t="s">
        <v>11106</v>
      </c>
      <c r="G9908" s="52">
        <v>101950.792210749</v>
      </c>
      <c r="H9908" s="56">
        <v>1.3068666929813141E-2</v>
      </c>
      <c r="I9908" s="224" t="s">
        <v>2</v>
      </c>
    </row>
    <row r="9909" spans="1:9" x14ac:dyDescent="0.25">
      <c r="A9909" s="515">
        <v>2631</v>
      </c>
      <c r="B9909" s="515" t="s">
        <v>427</v>
      </c>
      <c r="C9909" s="52">
        <v>680018.47277836304</v>
      </c>
      <c r="D9909" s="56">
        <v>0.11503493375804882</v>
      </c>
      <c r="E9909" s="224" t="s">
        <v>2</v>
      </c>
      <c r="F9909" s="515" t="s">
        <v>11107</v>
      </c>
      <c r="G9909" s="52">
        <v>175957.258715189</v>
      </c>
      <c r="H9909" s="56">
        <v>2.6206142150907566E-2</v>
      </c>
      <c r="I9909" s="224" t="s">
        <v>2</v>
      </c>
    </row>
    <row r="9910" spans="1:9" x14ac:dyDescent="0.25">
      <c r="A9910" s="515">
        <v>98629</v>
      </c>
      <c r="B9910" s="515" t="s">
        <v>659</v>
      </c>
      <c r="C9910" s="52">
        <v>609751.58492306306</v>
      </c>
      <c r="D9910" s="56">
        <v>3.9360637770662163E-2</v>
      </c>
      <c r="E9910" s="224" t="s">
        <v>2</v>
      </c>
      <c r="F9910" s="515" t="s">
        <v>11108</v>
      </c>
      <c r="G9910" s="52">
        <v>150321.31137160401</v>
      </c>
      <c r="H9910" s="56">
        <v>2.0120090219948983E-2</v>
      </c>
      <c r="I9910" s="224" t="s">
        <v>2</v>
      </c>
    </row>
    <row r="9911" spans="1:9" x14ac:dyDescent="0.25">
      <c r="A9911" s="515">
        <v>70669</v>
      </c>
      <c r="B9911" s="515" t="s">
        <v>696</v>
      </c>
      <c r="C9911" s="52">
        <v>154357.216172833</v>
      </c>
      <c r="D9911" s="56">
        <v>8.6901825769393516E-3</v>
      </c>
      <c r="E9911" s="224">
        <v>1163.3333333333301</v>
      </c>
      <c r="F9911" s="515" t="s">
        <v>11109</v>
      </c>
      <c r="G9911" s="52">
        <v>380920.54941665399</v>
      </c>
      <c r="H9911" s="56">
        <v>0.10330759065788797</v>
      </c>
      <c r="I9911" s="224" t="s">
        <v>2</v>
      </c>
    </row>
    <row r="9912" spans="1:9" x14ac:dyDescent="0.25">
      <c r="A9912" s="515">
        <v>48429</v>
      </c>
      <c r="B9912" s="515" t="s">
        <v>528</v>
      </c>
      <c r="C9912" s="52">
        <v>158726.290385759</v>
      </c>
      <c r="D9912" s="56">
        <v>3.5835427122642621E-2</v>
      </c>
      <c r="E9912" s="224" t="s">
        <v>2</v>
      </c>
      <c r="F9912" s="515" t="s">
        <v>11110</v>
      </c>
      <c r="G9912" s="52">
        <v>161702.04983869899</v>
      </c>
      <c r="H9912" s="56">
        <v>0.13999292313864792</v>
      </c>
      <c r="I9912" s="224" t="s">
        <v>2</v>
      </c>
    </row>
    <row r="9913" spans="1:9" x14ac:dyDescent="0.25">
      <c r="A9913" s="515">
        <v>5156</v>
      </c>
      <c r="B9913" s="515" t="s">
        <v>420</v>
      </c>
      <c r="C9913" s="52">
        <v>203434.57502800101</v>
      </c>
      <c r="D9913" s="56">
        <v>8.4079060239913586E-2</v>
      </c>
      <c r="E9913" s="224" t="s">
        <v>2</v>
      </c>
      <c r="F9913" s="515" t="s">
        <v>11111</v>
      </c>
      <c r="G9913" s="52">
        <v>154099.490198188</v>
      </c>
      <c r="H9913" s="56">
        <v>6.2374805374148357E-2</v>
      </c>
      <c r="I9913" s="224" t="s">
        <v>2</v>
      </c>
    </row>
    <row r="9914" spans="1:9" x14ac:dyDescent="0.25">
      <c r="A9914" s="515">
        <v>14059</v>
      </c>
      <c r="B9914" s="515" t="s">
        <v>336</v>
      </c>
      <c r="C9914" s="52">
        <v>351588.35136479099</v>
      </c>
      <c r="D9914" s="56">
        <v>4.5508408573941728E-2</v>
      </c>
      <c r="E9914" s="224" t="s">
        <v>2</v>
      </c>
      <c r="F9914" s="515" t="s">
        <v>11112</v>
      </c>
      <c r="G9914" s="52">
        <v>200139.72154359301</v>
      </c>
      <c r="H9914" s="56">
        <v>0.12580954029903416</v>
      </c>
      <c r="I9914" s="224" t="s">
        <v>2</v>
      </c>
    </row>
    <row r="9915" spans="1:9" x14ac:dyDescent="0.25">
      <c r="A9915" s="515">
        <v>8071</v>
      </c>
      <c r="B9915" s="515" t="s">
        <v>294</v>
      </c>
      <c r="C9915" s="52">
        <v>271157.61778723798</v>
      </c>
      <c r="D9915" s="56">
        <v>9.0217321347518267E-2</v>
      </c>
      <c r="E9915" s="224">
        <v>1610</v>
      </c>
      <c r="F9915" s="515" t="s">
        <v>11113</v>
      </c>
      <c r="G9915" s="52">
        <v>303674.62496006599</v>
      </c>
      <c r="H9915" s="56">
        <v>0.11003764821684885</v>
      </c>
      <c r="I9915" s="224" t="s">
        <v>2</v>
      </c>
    </row>
    <row r="9916" spans="1:9" x14ac:dyDescent="0.25">
      <c r="A9916" s="515">
        <v>30622</v>
      </c>
      <c r="B9916" s="515" t="s">
        <v>991</v>
      </c>
      <c r="C9916" s="52">
        <v>408108.28913029598</v>
      </c>
      <c r="D9916" s="56">
        <v>6.6121319194669528E-2</v>
      </c>
      <c r="E9916" s="224" t="s">
        <v>2</v>
      </c>
      <c r="F9916" s="515" t="s">
        <v>11114</v>
      </c>
      <c r="G9916" s="52">
        <v>250322.62853588499</v>
      </c>
      <c r="H9916" s="56">
        <v>9.0631400188995029E-2</v>
      </c>
      <c r="I9916" s="224" t="s">
        <v>2</v>
      </c>
    </row>
    <row r="9917" spans="1:9" x14ac:dyDescent="0.25">
      <c r="A9917" s="515">
        <v>96097</v>
      </c>
      <c r="C9917" s="52">
        <v>253807.06381966299</v>
      </c>
      <c r="D9917" s="56">
        <v>3.3118288362270258E-2</v>
      </c>
      <c r="E9917" s="224" t="s">
        <v>2</v>
      </c>
      <c r="F9917" s="515" t="s">
        <v>11115</v>
      </c>
      <c r="G9917" s="52">
        <v>319405.03320155101</v>
      </c>
      <c r="H9917" s="56">
        <v>4.8165876320211846E-2</v>
      </c>
      <c r="I9917" s="224" t="s">
        <v>2</v>
      </c>
    </row>
    <row r="9918" spans="1:9" x14ac:dyDescent="0.25">
      <c r="A9918" s="515">
        <v>29401</v>
      </c>
      <c r="B9918" s="515" t="s">
        <v>1009</v>
      </c>
      <c r="C9918" s="52">
        <v>1147388.1068838399</v>
      </c>
      <c r="D9918" s="56">
        <v>0.12056357600162836</v>
      </c>
      <c r="E9918" s="224">
        <v>3244.5726495726499</v>
      </c>
      <c r="F9918" s="515" t="s">
        <v>11116</v>
      </c>
      <c r="G9918" s="52">
        <v>163150.640853313</v>
      </c>
      <c r="H9918" s="56">
        <v>8.0604679269665941E-2</v>
      </c>
      <c r="I9918" s="224" t="s">
        <v>2</v>
      </c>
    </row>
    <row r="9919" spans="1:9" x14ac:dyDescent="0.25">
      <c r="A9919" s="515">
        <v>13148</v>
      </c>
      <c r="B9919" s="515" t="s">
        <v>1032</v>
      </c>
      <c r="C9919" s="52">
        <v>164153.548744108</v>
      </c>
      <c r="D9919" s="56">
        <v>8.7604994852847479E-2</v>
      </c>
      <c r="E9919" s="224" t="s">
        <v>2</v>
      </c>
      <c r="F9919" s="515" t="s">
        <v>11117</v>
      </c>
      <c r="G9919" s="52">
        <v>166938.510937638</v>
      </c>
      <c r="H9919" s="56">
        <v>3.6183489441397168E-2</v>
      </c>
      <c r="I9919" s="224" t="s">
        <v>2</v>
      </c>
    </row>
    <row r="9920" spans="1:9" x14ac:dyDescent="0.25">
      <c r="A9920" s="515">
        <v>27017</v>
      </c>
      <c r="B9920" s="515" t="s">
        <v>1046</v>
      </c>
      <c r="C9920" s="52">
        <v>201884.491348154</v>
      </c>
      <c r="D9920" s="56">
        <v>7.2222187913095953E-2</v>
      </c>
      <c r="E9920" s="224" t="s">
        <v>2</v>
      </c>
      <c r="F9920" s="515" t="s">
        <v>11118</v>
      </c>
      <c r="G9920" s="52">
        <v>111912.049193845</v>
      </c>
      <c r="H9920" s="56">
        <v>0.1110146762208189</v>
      </c>
      <c r="I9920" s="224" t="s">
        <v>2</v>
      </c>
    </row>
    <row r="9921" spans="1:9" x14ac:dyDescent="0.25">
      <c r="A9921" s="515">
        <v>74432</v>
      </c>
      <c r="C9921" s="52">
        <v>180399.93142340399</v>
      </c>
      <c r="D9921" s="56">
        <v>0.15171868486125756</v>
      </c>
      <c r="E9921" s="224" t="s">
        <v>2</v>
      </c>
      <c r="F9921" s="515" t="s">
        <v>11119</v>
      </c>
      <c r="G9921" s="52">
        <v>323978.411841914</v>
      </c>
      <c r="H9921" s="56">
        <v>3.7702452293383475E-2</v>
      </c>
      <c r="I9921" s="224" t="s">
        <v>2</v>
      </c>
    </row>
    <row r="9922" spans="1:9" x14ac:dyDescent="0.25">
      <c r="A9922" s="515">
        <v>43076</v>
      </c>
      <c r="B9922" s="515" t="s">
        <v>345</v>
      </c>
      <c r="C9922" s="52">
        <v>286599.822856432</v>
      </c>
      <c r="D9922" s="56">
        <v>0.11514477748051288</v>
      </c>
      <c r="E9922" s="224" t="s">
        <v>2</v>
      </c>
      <c r="F9922" s="515" t="s">
        <v>11120</v>
      </c>
      <c r="G9922" s="52">
        <v>143554.50428374199</v>
      </c>
      <c r="H9922" s="56">
        <v>-3.0428122368798962E-2</v>
      </c>
      <c r="I9922" s="224" t="s">
        <v>2</v>
      </c>
    </row>
    <row r="9923" spans="1:9" x14ac:dyDescent="0.25">
      <c r="A9923" s="515">
        <v>62707</v>
      </c>
      <c r="B9923" s="515" t="s">
        <v>819</v>
      </c>
      <c r="C9923" s="52">
        <v>161100.74805621401</v>
      </c>
      <c r="D9923" s="56">
        <v>3.2648812431906676E-2</v>
      </c>
      <c r="E9923" s="224" t="s">
        <v>2</v>
      </c>
      <c r="F9923" s="515" t="s">
        <v>11121</v>
      </c>
      <c r="G9923" s="52">
        <v>285032.21417577099</v>
      </c>
      <c r="H9923" s="56">
        <v>5.2327827271917642E-2</v>
      </c>
      <c r="I9923" s="224" t="s">
        <v>2</v>
      </c>
    </row>
    <row r="9924" spans="1:9" x14ac:dyDescent="0.25">
      <c r="A9924" s="515">
        <v>46962</v>
      </c>
      <c r="B9924" s="515" t="s">
        <v>435</v>
      </c>
      <c r="C9924" s="52">
        <v>162876.17415183701</v>
      </c>
      <c r="D9924" s="56">
        <v>6.1331020253759493E-2</v>
      </c>
      <c r="E9924" s="224" t="s">
        <v>2</v>
      </c>
      <c r="F9924" s="515" t="s">
        <v>11122</v>
      </c>
      <c r="G9924" s="52">
        <v>584042.63824584195</v>
      </c>
      <c r="H9924" s="56">
        <v>0.12839200769708337</v>
      </c>
      <c r="I9924" s="224" t="s">
        <v>2</v>
      </c>
    </row>
    <row r="9925" spans="1:9" x14ac:dyDescent="0.25">
      <c r="A9925" s="515">
        <v>48229</v>
      </c>
      <c r="B9925" s="515" t="s">
        <v>685</v>
      </c>
      <c r="C9925" s="52">
        <v>63146.754975796001</v>
      </c>
      <c r="D9925" s="56">
        <v>0.10423817587133637</v>
      </c>
      <c r="E9925" s="224" t="s">
        <v>2</v>
      </c>
      <c r="F9925" s="515" t="s">
        <v>11123</v>
      </c>
      <c r="G9925" s="52">
        <v>251011.754413613</v>
      </c>
      <c r="H9925" s="56">
        <v>0.12425574800742481</v>
      </c>
      <c r="I9925" s="224" t="s">
        <v>2</v>
      </c>
    </row>
    <row r="9926" spans="1:9" x14ac:dyDescent="0.25">
      <c r="A9926" s="515">
        <v>46809</v>
      </c>
      <c r="B9926" s="515" t="s">
        <v>1031</v>
      </c>
      <c r="C9926" s="52">
        <v>148361.630321184</v>
      </c>
      <c r="D9926" s="56">
        <v>6.3719754029535045E-2</v>
      </c>
      <c r="E9926" s="224" t="s">
        <v>2</v>
      </c>
      <c r="F9926" s="515" t="s">
        <v>11124</v>
      </c>
      <c r="G9926" s="52">
        <v>94229.012293352003</v>
      </c>
      <c r="H9926" s="56">
        <v>-0.11500517085361271</v>
      </c>
      <c r="I9926" s="224" t="s">
        <v>2</v>
      </c>
    </row>
    <row r="9927" spans="1:9" x14ac:dyDescent="0.25">
      <c r="A9927" s="515">
        <v>24901</v>
      </c>
      <c r="C9927" s="52">
        <v>243299.48409525299</v>
      </c>
      <c r="D9927" s="56">
        <v>9.3850442181719521E-2</v>
      </c>
      <c r="E9927" s="224" t="s">
        <v>2</v>
      </c>
      <c r="F9927" s="515" t="s">
        <v>11125</v>
      </c>
      <c r="G9927" s="52">
        <v>150840.97421423299</v>
      </c>
      <c r="H9927" s="56">
        <v>6.5695090578789236E-2</v>
      </c>
      <c r="I9927" s="224" t="s">
        <v>2</v>
      </c>
    </row>
    <row r="9928" spans="1:9" x14ac:dyDescent="0.25">
      <c r="A9928" s="515">
        <v>47424</v>
      </c>
      <c r="C9928" s="52">
        <v>182979.901652845</v>
      </c>
      <c r="D9928" s="56">
        <v>0.10429130575114959</v>
      </c>
      <c r="E9928" s="224" t="s">
        <v>2</v>
      </c>
      <c r="F9928" s="515" t="s">
        <v>11126</v>
      </c>
      <c r="G9928" s="52">
        <v>342631.43877021899</v>
      </c>
      <c r="H9928" s="56">
        <v>0.13314443477379373</v>
      </c>
      <c r="I9928" s="224" t="s">
        <v>2</v>
      </c>
    </row>
    <row r="9929" spans="1:9" x14ac:dyDescent="0.25">
      <c r="A9929" s="515">
        <v>38965</v>
      </c>
      <c r="C9929" s="52">
        <v>132398.45007734399</v>
      </c>
      <c r="D9929" s="56">
        <v>-3.6402037270105284E-2</v>
      </c>
      <c r="E9929" s="224" t="s">
        <v>2</v>
      </c>
      <c r="F9929" s="515" t="s">
        <v>11127</v>
      </c>
      <c r="G9929" s="52">
        <v>194042.98514210799</v>
      </c>
      <c r="H9929" s="56">
        <v>0.10775769891159567</v>
      </c>
      <c r="I9929" s="224" t="s">
        <v>2</v>
      </c>
    </row>
    <row r="9930" spans="1:9" x14ac:dyDescent="0.25">
      <c r="A9930" s="515">
        <v>47542</v>
      </c>
      <c r="B9930" s="515" t="s">
        <v>544</v>
      </c>
      <c r="C9930" s="52">
        <v>201150.054044416</v>
      </c>
      <c r="D9930" s="56">
        <v>6.3646134792567755E-2</v>
      </c>
      <c r="E9930" s="224" t="s">
        <v>2</v>
      </c>
      <c r="F9930" s="515" t="s">
        <v>11128</v>
      </c>
      <c r="G9930" s="52">
        <v>222205.149940976</v>
      </c>
      <c r="H9930" s="56">
        <v>3.8465797051097247E-2</v>
      </c>
      <c r="I9930" s="224" t="s">
        <v>2</v>
      </c>
    </row>
    <row r="9931" spans="1:9" x14ac:dyDescent="0.25">
      <c r="A9931" s="515">
        <v>63088</v>
      </c>
      <c r="B9931" s="515" t="s">
        <v>498</v>
      </c>
      <c r="C9931" s="52">
        <v>246873.265365164</v>
      </c>
      <c r="D9931" s="56">
        <v>5.860118189962351E-2</v>
      </c>
      <c r="E9931" s="224" t="s">
        <v>2</v>
      </c>
      <c r="F9931" s="515" t="s">
        <v>11129</v>
      </c>
      <c r="G9931" s="52">
        <v>243245.54618432801</v>
      </c>
      <c r="H9931" s="56">
        <v>4.4999205831908785E-2</v>
      </c>
      <c r="I9931" s="224" t="s">
        <v>2</v>
      </c>
    </row>
    <row r="9932" spans="1:9" x14ac:dyDescent="0.25">
      <c r="A9932" s="515">
        <v>61727</v>
      </c>
      <c r="C9932" s="52">
        <v>112651.554696138</v>
      </c>
      <c r="D9932" s="56">
        <v>5.8528116271244636E-2</v>
      </c>
      <c r="E9932" s="224" t="s">
        <v>2</v>
      </c>
      <c r="F9932" s="515" t="s">
        <v>11130</v>
      </c>
      <c r="G9932" s="52">
        <v>147596.58236547801</v>
      </c>
      <c r="H9932" s="56">
        <v>4.5810001628884024E-2</v>
      </c>
      <c r="I9932" s="224" t="s">
        <v>2</v>
      </c>
    </row>
    <row r="9933" spans="1:9" x14ac:dyDescent="0.25">
      <c r="A9933" s="515">
        <v>15825</v>
      </c>
      <c r="C9933" s="52">
        <v>111255.173692242</v>
      </c>
      <c r="D9933" s="56">
        <v>-2.4115467429748298E-2</v>
      </c>
      <c r="E9933" s="224" t="s">
        <v>2</v>
      </c>
      <c r="F9933" s="515" t="s">
        <v>11131</v>
      </c>
      <c r="G9933" s="52">
        <v>242364.939993723</v>
      </c>
      <c r="H9933" s="56">
        <v>5.2875491936636647E-2</v>
      </c>
      <c r="I9933" s="224" t="s">
        <v>2</v>
      </c>
    </row>
    <row r="9934" spans="1:9" x14ac:dyDescent="0.25">
      <c r="A9934" s="515">
        <v>10510</v>
      </c>
      <c r="B9934" s="515" t="s">
        <v>324</v>
      </c>
      <c r="C9934" s="52">
        <v>906650.22247928102</v>
      </c>
      <c r="D9934" s="56">
        <v>7.7279867462174689E-2</v>
      </c>
      <c r="E9934" s="224" t="s">
        <v>2</v>
      </c>
      <c r="F9934" s="515" t="s">
        <v>11132</v>
      </c>
      <c r="G9934" s="52">
        <v>238442.56281934201</v>
      </c>
      <c r="H9934" s="56">
        <v>-8.6675873638207682E-2</v>
      </c>
      <c r="I9934" s="224" t="s">
        <v>2</v>
      </c>
    </row>
    <row r="9935" spans="1:9" x14ac:dyDescent="0.25">
      <c r="A9935" s="515">
        <v>68434</v>
      </c>
      <c r="B9935" s="515" t="s">
        <v>486</v>
      </c>
      <c r="C9935" s="52">
        <v>257211.66377998501</v>
      </c>
      <c r="D9935" s="56">
        <v>6.4567362683921381E-2</v>
      </c>
      <c r="E9935" s="224" t="s">
        <v>2</v>
      </c>
      <c r="F9935" s="515" t="s">
        <v>11133</v>
      </c>
      <c r="G9935" s="52">
        <v>224313.357736751</v>
      </c>
      <c r="H9935" s="56">
        <v>9.0747550371230737E-2</v>
      </c>
      <c r="I9935" s="224" t="s">
        <v>2</v>
      </c>
    </row>
    <row r="9936" spans="1:9" x14ac:dyDescent="0.25">
      <c r="A9936" s="515">
        <v>63664</v>
      </c>
      <c r="C9936" s="52">
        <v>143186.43840294899</v>
      </c>
      <c r="D9936" s="56">
        <v>2.1071526689180973E-2</v>
      </c>
      <c r="E9936" s="224" t="s">
        <v>2</v>
      </c>
      <c r="F9936" s="515" t="s">
        <v>11134</v>
      </c>
      <c r="G9936" s="52">
        <v>687201.13466841599</v>
      </c>
      <c r="H9936" s="56">
        <v>8.7322014196018607E-2</v>
      </c>
      <c r="I9936" s="224" t="s">
        <v>2</v>
      </c>
    </row>
    <row r="9937" spans="1:9" x14ac:dyDescent="0.25">
      <c r="A9937" s="515">
        <v>65737</v>
      </c>
      <c r="C9937" s="52">
        <v>302052.511090399</v>
      </c>
      <c r="D9937" s="56">
        <v>0.12329403661958845</v>
      </c>
      <c r="E9937" s="224" t="s">
        <v>2</v>
      </c>
      <c r="F9937" s="515" t="s">
        <v>11135</v>
      </c>
      <c r="G9937" s="52">
        <v>403316.07932382799</v>
      </c>
      <c r="H9937" s="56">
        <v>6.6758648546205834E-2</v>
      </c>
      <c r="I9937" s="224" t="s">
        <v>2</v>
      </c>
    </row>
    <row r="9938" spans="1:9" x14ac:dyDescent="0.25">
      <c r="A9938" s="515">
        <v>32407</v>
      </c>
      <c r="B9938" s="515" t="s">
        <v>1160</v>
      </c>
      <c r="C9938" s="52">
        <v>417783.965563979</v>
      </c>
      <c r="D9938" s="56">
        <v>0.12860794550991958</v>
      </c>
      <c r="E9938" s="224">
        <v>1750.32055852644</v>
      </c>
      <c r="F9938" s="515" t="s">
        <v>11136</v>
      </c>
      <c r="G9938" s="52">
        <v>236124.62764119901</v>
      </c>
      <c r="H9938" s="56">
        <v>0.15660289404732156</v>
      </c>
      <c r="I9938" s="224" t="s">
        <v>2</v>
      </c>
    </row>
    <row r="9939" spans="1:9" x14ac:dyDescent="0.25">
      <c r="A9939" s="515">
        <v>1069</v>
      </c>
      <c r="B9939" s="515" t="s">
        <v>575</v>
      </c>
      <c r="C9939" s="52">
        <v>274240.41967073799</v>
      </c>
      <c r="D9939" s="56">
        <v>9.7664934318995658E-2</v>
      </c>
      <c r="E9939" s="224" t="s">
        <v>2</v>
      </c>
      <c r="F9939" s="515" t="s">
        <v>11137</v>
      </c>
      <c r="G9939" s="52">
        <v>145124.919068355</v>
      </c>
      <c r="H9939" s="56">
        <v>9.7037703283108456E-2</v>
      </c>
      <c r="I9939" s="224" t="s">
        <v>2</v>
      </c>
    </row>
    <row r="9940" spans="1:9" x14ac:dyDescent="0.25">
      <c r="A9940" s="515">
        <v>99021</v>
      </c>
      <c r="B9940" s="515" t="s">
        <v>820</v>
      </c>
      <c r="C9940" s="52">
        <v>488885.03257228201</v>
      </c>
      <c r="D9940" s="56">
        <v>6.6601623756012987E-2</v>
      </c>
      <c r="E9940" s="224" t="s">
        <v>2</v>
      </c>
      <c r="F9940" s="515" t="s">
        <v>11138</v>
      </c>
      <c r="G9940" s="52">
        <v>108227.14248791301</v>
      </c>
      <c r="H9940" s="56">
        <v>1.6929150656042499E-2</v>
      </c>
      <c r="I9940" s="224" t="s">
        <v>2</v>
      </c>
    </row>
    <row r="9941" spans="1:9" x14ac:dyDescent="0.25">
      <c r="A9941" s="515">
        <v>2645</v>
      </c>
      <c r="B9941" s="515" t="s">
        <v>427</v>
      </c>
      <c r="C9941" s="52">
        <v>615615.86348682095</v>
      </c>
      <c r="D9941" s="56">
        <v>7.6965426523465788E-2</v>
      </c>
      <c r="E9941" s="224" t="s">
        <v>2</v>
      </c>
      <c r="F9941" s="515" t="s">
        <v>11139</v>
      </c>
      <c r="G9941" s="52">
        <v>312530.02110895602</v>
      </c>
      <c r="H9941" s="56">
        <v>-2.8660806902403808E-2</v>
      </c>
      <c r="I9941" s="224" t="s">
        <v>2</v>
      </c>
    </row>
    <row r="9942" spans="1:9" x14ac:dyDescent="0.25">
      <c r="A9942" s="515">
        <v>29006</v>
      </c>
      <c r="B9942" s="515" t="s">
        <v>762</v>
      </c>
      <c r="C9942" s="52">
        <v>128617.52598748601</v>
      </c>
      <c r="D9942" s="56">
        <v>0.12900462518850445</v>
      </c>
      <c r="E9942" s="224" t="s">
        <v>2</v>
      </c>
      <c r="F9942" s="515" t="s">
        <v>11140</v>
      </c>
      <c r="G9942" s="52">
        <v>568984.690279047</v>
      </c>
      <c r="H9942" s="56">
        <v>9.2721560277964687E-2</v>
      </c>
      <c r="I9942" s="224" t="s">
        <v>2</v>
      </c>
    </row>
    <row r="9943" spans="1:9" x14ac:dyDescent="0.25">
      <c r="A9943" s="515">
        <v>48048</v>
      </c>
      <c r="B9943" s="515" t="s">
        <v>685</v>
      </c>
      <c r="C9943" s="52">
        <v>260574.04364346</v>
      </c>
      <c r="D9943" s="56">
        <v>8.6005443922521865E-2</v>
      </c>
      <c r="E9943" s="224" t="s">
        <v>2</v>
      </c>
      <c r="F9943" s="515" t="s">
        <v>11141</v>
      </c>
      <c r="G9943" s="52">
        <v>444080.324046152</v>
      </c>
      <c r="H9943" s="56">
        <v>0.11247788635618718</v>
      </c>
      <c r="I9943" s="224" t="s">
        <v>2</v>
      </c>
    </row>
    <row r="9944" spans="1:9" x14ac:dyDescent="0.25">
      <c r="A9944" s="515">
        <v>15022</v>
      </c>
      <c r="B9944" s="515" t="s">
        <v>297</v>
      </c>
      <c r="C9944" s="52">
        <v>91427.5819183969</v>
      </c>
      <c r="D9944" s="56">
        <v>0.11620913288154225</v>
      </c>
      <c r="E9944" s="224" t="s">
        <v>2</v>
      </c>
      <c r="F9944" s="515" t="s">
        <v>11142</v>
      </c>
      <c r="G9944" s="52">
        <v>450191.169703205</v>
      </c>
      <c r="H9944" s="56">
        <v>8.1006121653988294E-2</v>
      </c>
      <c r="I9944" s="224" t="s">
        <v>2</v>
      </c>
    </row>
    <row r="9945" spans="1:9" x14ac:dyDescent="0.25">
      <c r="A9945" s="515">
        <v>18032</v>
      </c>
      <c r="B9945" s="515" t="s">
        <v>327</v>
      </c>
      <c r="C9945" s="52">
        <v>221963.521515653</v>
      </c>
      <c r="D9945" s="56">
        <v>7.5927560097423713E-2</v>
      </c>
      <c r="E9945" s="224" t="s">
        <v>2</v>
      </c>
      <c r="F9945" s="515" t="s">
        <v>11143</v>
      </c>
      <c r="G9945" s="52">
        <v>97331.216949813999</v>
      </c>
      <c r="H9945" s="56">
        <v>2.0801392586696388E-2</v>
      </c>
      <c r="I9945" s="224" t="s">
        <v>2</v>
      </c>
    </row>
    <row r="9946" spans="1:9" x14ac:dyDescent="0.25">
      <c r="A9946" s="515">
        <v>14001</v>
      </c>
      <c r="B9946" s="515" t="s">
        <v>336</v>
      </c>
      <c r="C9946" s="52">
        <v>255820.326849045</v>
      </c>
      <c r="D9946" s="56">
        <v>6.3991237946869811E-2</v>
      </c>
      <c r="E9946" s="224" t="s">
        <v>2</v>
      </c>
      <c r="F9946" s="515" t="s">
        <v>11144</v>
      </c>
      <c r="G9946" s="52">
        <v>177104.91582203901</v>
      </c>
      <c r="H9946" s="56">
        <v>9.9053566823140773E-2</v>
      </c>
      <c r="I9946" s="224" t="s">
        <v>2</v>
      </c>
    </row>
    <row r="9947" spans="1:9" x14ac:dyDescent="0.25">
      <c r="A9947" s="515">
        <v>6260</v>
      </c>
      <c r="B9947" s="515" t="s">
        <v>751</v>
      </c>
      <c r="C9947" s="52">
        <v>271743.94437023398</v>
      </c>
      <c r="D9947" s="56">
        <v>7.4607986352050251E-2</v>
      </c>
      <c r="E9947" s="224" t="s">
        <v>2</v>
      </c>
      <c r="F9947" s="515" t="s">
        <v>11145</v>
      </c>
      <c r="G9947" s="52">
        <v>269033.40795080899</v>
      </c>
      <c r="H9947" s="56">
        <v>5.4978168148216752E-2</v>
      </c>
      <c r="I9947" s="224" t="s">
        <v>2</v>
      </c>
    </row>
    <row r="9948" spans="1:9" x14ac:dyDescent="0.25">
      <c r="A9948" s="515">
        <v>82301</v>
      </c>
      <c r="C9948" s="52">
        <v>196217.827250337</v>
      </c>
      <c r="D9948" s="56">
        <v>3.2190653834120467E-2</v>
      </c>
      <c r="E9948" s="224" t="s">
        <v>2</v>
      </c>
      <c r="F9948" s="515" t="s">
        <v>11146</v>
      </c>
      <c r="G9948" s="52">
        <v>196312.16170959399</v>
      </c>
      <c r="H9948" s="56">
        <v>0.11455624680616171</v>
      </c>
      <c r="I9948" s="224" t="s">
        <v>2</v>
      </c>
    </row>
    <row r="9949" spans="1:9" x14ac:dyDescent="0.25">
      <c r="A9949" s="515">
        <v>43964</v>
      </c>
      <c r="B9949" s="515" t="s">
        <v>389</v>
      </c>
      <c r="C9949" s="52">
        <v>118839.28311675201</v>
      </c>
      <c r="D9949" s="56">
        <v>9.512590693926827E-2</v>
      </c>
      <c r="E9949" s="224" t="s">
        <v>2</v>
      </c>
      <c r="F9949" s="515" t="s">
        <v>11147</v>
      </c>
      <c r="G9949" s="52">
        <v>195941.067867587</v>
      </c>
      <c r="H9949" s="56">
        <v>7.0174341640501334E-2</v>
      </c>
      <c r="I9949" s="224" t="s">
        <v>2</v>
      </c>
    </row>
    <row r="9950" spans="1:9" x14ac:dyDescent="0.25">
      <c r="A9950" s="515">
        <v>49837</v>
      </c>
      <c r="B9950" s="515" t="s">
        <v>713</v>
      </c>
      <c r="C9950" s="52">
        <v>140140.96981709299</v>
      </c>
      <c r="D9950" s="56">
        <v>9.6530315284555634E-2</v>
      </c>
      <c r="E9950" s="224" t="s">
        <v>2</v>
      </c>
      <c r="F9950" s="515" t="s">
        <v>11148</v>
      </c>
      <c r="G9950" s="52">
        <v>131457.86954408701</v>
      </c>
      <c r="H9950" s="56">
        <v>4.189115307027752E-2</v>
      </c>
      <c r="I9950" s="224" t="s">
        <v>2</v>
      </c>
    </row>
    <row r="9951" spans="1:9" x14ac:dyDescent="0.25">
      <c r="A9951" s="515">
        <v>8201</v>
      </c>
      <c r="B9951" s="515" t="s">
        <v>800</v>
      </c>
      <c r="C9951" s="52">
        <v>269025.92475443502</v>
      </c>
      <c r="D9951" s="56">
        <v>8.502105874710908E-2</v>
      </c>
      <c r="E9951" s="224">
        <v>1843.1666666666599</v>
      </c>
      <c r="F9951" s="515" t="s">
        <v>11149</v>
      </c>
      <c r="G9951" s="52">
        <v>99930.357142857101</v>
      </c>
      <c r="H9951" s="56">
        <v>0</v>
      </c>
      <c r="I9951" s="224" t="s">
        <v>2</v>
      </c>
    </row>
    <row r="9952" spans="1:9" x14ac:dyDescent="0.25">
      <c r="A9952" s="515">
        <v>29554</v>
      </c>
      <c r="C9952" s="52">
        <v>119660.39520717</v>
      </c>
      <c r="D9952" s="56">
        <v>0.12749580207887107</v>
      </c>
      <c r="E9952" s="224" t="s">
        <v>2</v>
      </c>
      <c r="F9952" s="515" t="s">
        <v>11150</v>
      </c>
      <c r="G9952" s="52">
        <v>90303.029275584704</v>
      </c>
      <c r="H9952" s="56">
        <v>4.4924101914753815E-2</v>
      </c>
      <c r="I9952" s="224" t="s">
        <v>2</v>
      </c>
    </row>
    <row r="9953" spans="1:9" x14ac:dyDescent="0.25">
      <c r="A9953" s="515">
        <v>54615</v>
      </c>
      <c r="C9953" s="52">
        <v>176445.401025353</v>
      </c>
      <c r="D9953" s="56">
        <v>6.6326927037322625E-2</v>
      </c>
      <c r="E9953" s="224" t="s">
        <v>2</v>
      </c>
      <c r="F9953" s="515" t="s">
        <v>11151</v>
      </c>
      <c r="G9953" s="52">
        <v>164581.95134890301</v>
      </c>
      <c r="H9953" s="56">
        <v>5.4165501135242322E-2</v>
      </c>
      <c r="I9953" s="224" t="s">
        <v>2</v>
      </c>
    </row>
    <row r="9954" spans="1:9" x14ac:dyDescent="0.25">
      <c r="A9954" s="515">
        <v>28470</v>
      </c>
      <c r="B9954" s="515" t="s">
        <v>703</v>
      </c>
      <c r="C9954" s="52">
        <v>308138.107054886</v>
      </c>
      <c r="D9954" s="56">
        <v>0.14148650453491404</v>
      </c>
      <c r="E9954" s="224" t="s">
        <v>2</v>
      </c>
      <c r="F9954" s="515" t="s">
        <v>11152</v>
      </c>
      <c r="G9954" s="52">
        <v>221146.26050414101</v>
      </c>
      <c r="H9954" s="56">
        <v>0.15729987120185696</v>
      </c>
      <c r="I9954" s="224" t="s">
        <v>2</v>
      </c>
    </row>
    <row r="9955" spans="1:9" x14ac:dyDescent="0.25">
      <c r="A9955" s="515">
        <v>35956</v>
      </c>
      <c r="B9955" s="515" t="s">
        <v>978</v>
      </c>
      <c r="C9955" s="52">
        <v>177862.95387548799</v>
      </c>
      <c r="D9955" s="56">
        <v>6.6526274880360059E-2</v>
      </c>
      <c r="E9955" s="224" t="s">
        <v>2</v>
      </c>
      <c r="F9955" s="515" t="s">
        <v>11153</v>
      </c>
      <c r="G9955" s="52">
        <v>313966.03467679099</v>
      </c>
      <c r="H9955" s="56">
        <v>0.15553825627813389</v>
      </c>
      <c r="I9955" s="224" t="s">
        <v>2</v>
      </c>
    </row>
    <row r="9956" spans="1:9" x14ac:dyDescent="0.25">
      <c r="A9956" s="515">
        <v>62454</v>
      </c>
      <c r="C9956" s="52">
        <v>101092.050594767</v>
      </c>
      <c r="D9956" s="56">
        <v>3.0180298457213695E-2</v>
      </c>
      <c r="E9956" s="224" t="s">
        <v>2</v>
      </c>
      <c r="F9956" s="515" t="s">
        <v>11154</v>
      </c>
      <c r="G9956" s="52">
        <v>191022.22534276801</v>
      </c>
      <c r="H9956" s="56">
        <v>0.16800695660776355</v>
      </c>
      <c r="I9956" s="224" t="s">
        <v>2</v>
      </c>
    </row>
    <row r="9957" spans="1:9" x14ac:dyDescent="0.25">
      <c r="A9957" s="515">
        <v>72753</v>
      </c>
      <c r="B9957" s="515" t="s">
        <v>675</v>
      </c>
      <c r="C9957" s="52">
        <v>264108.19539283297</v>
      </c>
      <c r="D9957" s="56">
        <v>9.8163411946934648E-2</v>
      </c>
      <c r="E9957" s="224">
        <v>1600</v>
      </c>
      <c r="F9957" s="515" t="s">
        <v>11155</v>
      </c>
      <c r="G9957" s="52">
        <v>194415.928468233</v>
      </c>
      <c r="H9957" s="56">
        <v>-6.5401765654587649E-2</v>
      </c>
      <c r="I9957" s="224" t="s">
        <v>2</v>
      </c>
    </row>
    <row r="9958" spans="1:9" x14ac:dyDescent="0.25">
      <c r="A9958" s="515">
        <v>34428</v>
      </c>
      <c r="B9958" s="515" t="s">
        <v>1193</v>
      </c>
      <c r="C9958" s="52">
        <v>293176.455232254</v>
      </c>
      <c r="D9958" s="56">
        <v>0.15933736406567248</v>
      </c>
      <c r="E9958" s="224" t="s">
        <v>2</v>
      </c>
      <c r="F9958" s="515" t="s">
        <v>11156</v>
      </c>
      <c r="G9958" s="52">
        <v>188230.784596766</v>
      </c>
      <c r="H9958" s="56">
        <v>3.5731262234467549E-2</v>
      </c>
      <c r="I9958" s="224" t="s">
        <v>2</v>
      </c>
    </row>
    <row r="9959" spans="1:9" x14ac:dyDescent="0.25">
      <c r="A9959" s="515">
        <v>62832</v>
      </c>
      <c r="C9959" s="52">
        <v>67490.836902426599</v>
      </c>
      <c r="D9959" s="56">
        <v>0.11874213871316792</v>
      </c>
      <c r="E9959" s="224" t="s">
        <v>2</v>
      </c>
      <c r="F9959" s="515" t="s">
        <v>11157</v>
      </c>
      <c r="G9959" s="52">
        <v>684709.83234143897</v>
      </c>
      <c r="H9959" s="56">
        <v>0.18225487057529194</v>
      </c>
      <c r="I9959" s="224" t="s">
        <v>2</v>
      </c>
    </row>
    <row r="9960" spans="1:9" x14ac:dyDescent="0.25">
      <c r="A9960" s="515">
        <v>6479</v>
      </c>
      <c r="B9960" s="515" t="s">
        <v>894</v>
      </c>
      <c r="C9960" s="52">
        <v>327145.48898516898</v>
      </c>
      <c r="D9960" s="56">
        <v>0.10846362672492325</v>
      </c>
      <c r="E9960" s="224" t="s">
        <v>2</v>
      </c>
      <c r="F9960" s="515" t="s">
        <v>11158</v>
      </c>
      <c r="G9960" s="52">
        <v>207601.91051708601</v>
      </c>
      <c r="H9960" s="56">
        <v>5.2771953455968759E-2</v>
      </c>
      <c r="I9960" s="224" t="s">
        <v>2</v>
      </c>
    </row>
    <row r="9961" spans="1:9" x14ac:dyDescent="0.25">
      <c r="A9961" s="515">
        <v>47348</v>
      </c>
      <c r="C9961" s="52">
        <v>114409.041695949</v>
      </c>
      <c r="D9961" s="56">
        <v>8.31087847402949E-2</v>
      </c>
      <c r="E9961" s="224" t="s">
        <v>2</v>
      </c>
      <c r="F9961" s="515" t="s">
        <v>11159</v>
      </c>
      <c r="G9961" s="52">
        <v>106046.888179135</v>
      </c>
      <c r="H9961" s="56">
        <v>4.0851608052265405E-2</v>
      </c>
      <c r="I9961" s="224" t="s">
        <v>2</v>
      </c>
    </row>
    <row r="9962" spans="1:9" x14ac:dyDescent="0.25">
      <c r="A9962" s="515">
        <v>11777</v>
      </c>
      <c r="B9962" s="515" t="s">
        <v>324</v>
      </c>
      <c r="C9962" s="52">
        <v>636898.32226137898</v>
      </c>
      <c r="D9962" s="56">
        <v>4.8906681050068512E-2</v>
      </c>
      <c r="E9962" s="224">
        <v>4016.6666666666601</v>
      </c>
      <c r="F9962" s="515" t="s">
        <v>11160</v>
      </c>
      <c r="G9962" s="52">
        <v>173178.103102291</v>
      </c>
      <c r="H9962" s="56">
        <v>0.10853835872920006</v>
      </c>
      <c r="I9962" s="224" t="s">
        <v>2</v>
      </c>
    </row>
    <row r="9963" spans="1:9" x14ac:dyDescent="0.25">
      <c r="A9963" s="515">
        <v>73005</v>
      </c>
      <c r="C9963" s="52">
        <v>57425.369249932097</v>
      </c>
      <c r="D9963" s="56">
        <v>-1.6278539470621124E-2</v>
      </c>
      <c r="E9963" s="224" t="s">
        <v>2</v>
      </c>
      <c r="F9963" s="515" t="s">
        <v>11161</v>
      </c>
      <c r="G9963" s="52">
        <v>150659.832978366</v>
      </c>
      <c r="H9963" s="56">
        <v>0.13953657064711419</v>
      </c>
      <c r="I9963" s="224" t="s">
        <v>2</v>
      </c>
    </row>
    <row r="9964" spans="1:9" x14ac:dyDescent="0.25">
      <c r="A9964" s="515">
        <v>25840</v>
      </c>
      <c r="B9964" s="515" t="s">
        <v>566</v>
      </c>
      <c r="C9964" s="52">
        <v>134504.65499994499</v>
      </c>
      <c r="D9964" s="56">
        <v>0.10807288468090606</v>
      </c>
      <c r="E9964" s="224" t="s">
        <v>2</v>
      </c>
      <c r="F9964" s="515" t="s">
        <v>11162</v>
      </c>
      <c r="G9964" s="52">
        <v>242359.48665686999</v>
      </c>
      <c r="H9964" s="56">
        <v>0.12811800804144025</v>
      </c>
      <c r="I9964" s="224" t="s">
        <v>2</v>
      </c>
    </row>
    <row r="9965" spans="1:9" x14ac:dyDescent="0.25">
      <c r="A9965" s="515">
        <v>53168</v>
      </c>
      <c r="B9965" s="515" t="s">
        <v>394</v>
      </c>
      <c r="C9965" s="52">
        <v>282591.94703514897</v>
      </c>
      <c r="D9965" s="56">
        <v>5.1026619951014242E-2</v>
      </c>
      <c r="E9965" s="224" t="s">
        <v>2</v>
      </c>
      <c r="F9965" s="515" t="s">
        <v>11163</v>
      </c>
      <c r="G9965" s="52">
        <v>281493.12711232901</v>
      </c>
      <c r="H9965" s="56">
        <v>6.5919615270241594E-2</v>
      </c>
      <c r="I9965" s="224" t="s">
        <v>2</v>
      </c>
    </row>
    <row r="9966" spans="1:9" x14ac:dyDescent="0.25">
      <c r="A9966" s="515">
        <v>73446</v>
      </c>
      <c r="C9966" s="52">
        <v>127959.752503337</v>
      </c>
      <c r="D9966" s="56">
        <v>0.18099500875801117</v>
      </c>
      <c r="E9966" s="224" t="s">
        <v>2</v>
      </c>
      <c r="F9966" s="515" t="s">
        <v>11164</v>
      </c>
      <c r="G9966" s="52">
        <v>302458.37005300401</v>
      </c>
      <c r="H9966" s="56">
        <v>3.8533750798742848E-2</v>
      </c>
      <c r="I9966" s="224" t="s">
        <v>2</v>
      </c>
    </row>
    <row r="9967" spans="1:9" x14ac:dyDescent="0.25">
      <c r="A9967" s="515">
        <v>62712</v>
      </c>
      <c r="B9967" s="515" t="s">
        <v>819</v>
      </c>
      <c r="C9967" s="52">
        <v>266585.154250686</v>
      </c>
      <c r="D9967" s="56">
        <v>6.6797271209445078E-2</v>
      </c>
      <c r="E9967" s="224" t="s">
        <v>2</v>
      </c>
      <c r="F9967" s="515" t="s">
        <v>11165</v>
      </c>
      <c r="G9967" s="52">
        <v>1415331.21867288</v>
      </c>
      <c r="H9967" s="56">
        <v>5.5269650752846365E-2</v>
      </c>
      <c r="I9967" s="224" t="s">
        <v>2</v>
      </c>
    </row>
    <row r="9968" spans="1:9" x14ac:dyDescent="0.25">
      <c r="A9968" s="515">
        <v>30439</v>
      </c>
      <c r="C9968" s="52">
        <v>147600.77538940101</v>
      </c>
      <c r="D9968" s="56">
        <v>9.7902786661892421E-2</v>
      </c>
      <c r="E9968" s="224" t="s">
        <v>2</v>
      </c>
      <c r="F9968" s="515" t="s">
        <v>11166</v>
      </c>
      <c r="G9968" s="52">
        <v>123386.109011457</v>
      </c>
      <c r="H9968" s="56">
        <v>-6.6286684762310371E-3</v>
      </c>
      <c r="I9968" s="224" t="s">
        <v>2</v>
      </c>
    </row>
    <row r="9969" spans="1:9" x14ac:dyDescent="0.25">
      <c r="A9969" s="515">
        <v>78942</v>
      </c>
      <c r="C9969" s="52">
        <v>270889.011567496</v>
      </c>
      <c r="D9969" s="56">
        <v>2.4000005567830728E-2</v>
      </c>
      <c r="E9969" s="224" t="s">
        <v>2</v>
      </c>
      <c r="F9969" s="515" t="s">
        <v>11167</v>
      </c>
      <c r="G9969" s="52">
        <v>116014.935782363</v>
      </c>
      <c r="H9969" s="56">
        <v>0.12192835399957444</v>
      </c>
      <c r="I9969" s="224" t="s">
        <v>2</v>
      </c>
    </row>
    <row r="9970" spans="1:9" x14ac:dyDescent="0.25">
      <c r="A9970" s="515">
        <v>23510</v>
      </c>
      <c r="B9970" s="515" t="s">
        <v>301</v>
      </c>
      <c r="C9970" s="52">
        <v>317398.46621025802</v>
      </c>
      <c r="D9970" s="56">
        <v>1.6863907061895729E-2</v>
      </c>
      <c r="E9970" s="224">
        <v>1770.95</v>
      </c>
      <c r="F9970" s="515" t="s">
        <v>11168</v>
      </c>
      <c r="G9970" s="52">
        <v>266138.50565886899</v>
      </c>
      <c r="H9970" s="56">
        <v>7.3693346512694061E-2</v>
      </c>
      <c r="I9970" s="224" t="s">
        <v>2</v>
      </c>
    </row>
    <row r="9971" spans="1:9" x14ac:dyDescent="0.25">
      <c r="A9971" s="515">
        <v>46391</v>
      </c>
      <c r="B9971" s="515" t="s">
        <v>944</v>
      </c>
      <c r="C9971" s="52">
        <v>291773.19607322302</v>
      </c>
      <c r="D9971" s="56">
        <v>7.5966516358147024E-2</v>
      </c>
      <c r="E9971" s="224" t="s">
        <v>2</v>
      </c>
      <c r="F9971" s="515" t="s">
        <v>11169</v>
      </c>
      <c r="G9971" s="52">
        <v>199614.05408583101</v>
      </c>
      <c r="H9971" s="56">
        <v>8.9382490162041972E-2</v>
      </c>
      <c r="I9971" s="224" t="s">
        <v>2</v>
      </c>
    </row>
    <row r="9972" spans="1:9" x14ac:dyDescent="0.25">
      <c r="A9972" s="515">
        <v>81611</v>
      </c>
      <c r="B9972" s="515" t="s">
        <v>725</v>
      </c>
      <c r="C9972" s="52">
        <v>2819894.8667720999</v>
      </c>
      <c r="D9972" s="56">
        <v>7.5301022231489809E-2</v>
      </c>
      <c r="E9972" s="224">
        <v>41383.9285714285</v>
      </c>
      <c r="F9972" s="515" t="s">
        <v>11170</v>
      </c>
      <c r="G9972" s="52">
        <v>253985.42784241101</v>
      </c>
      <c r="H9972" s="56">
        <v>1.6720747912523072E-2</v>
      </c>
      <c r="I9972" s="224" t="s">
        <v>2</v>
      </c>
    </row>
    <row r="9973" spans="1:9" x14ac:dyDescent="0.25">
      <c r="A9973" s="515">
        <v>48074</v>
      </c>
      <c r="B9973" s="515" t="s">
        <v>685</v>
      </c>
      <c r="C9973" s="52">
        <v>209208.21210651501</v>
      </c>
      <c r="D9973" s="56">
        <v>4.1722386094158917E-2</v>
      </c>
      <c r="E9973" s="224" t="s">
        <v>2</v>
      </c>
      <c r="F9973" s="515" t="s">
        <v>11171</v>
      </c>
      <c r="G9973" s="52">
        <v>157082.89280853001</v>
      </c>
      <c r="H9973" s="56">
        <v>7.7356300273295292E-2</v>
      </c>
      <c r="I9973" s="224" t="s">
        <v>2</v>
      </c>
    </row>
    <row r="9974" spans="1:9" x14ac:dyDescent="0.25">
      <c r="A9974" s="515">
        <v>8833</v>
      </c>
      <c r="B9974" s="515" t="s">
        <v>324</v>
      </c>
      <c r="C9974" s="52">
        <v>585207.35188015702</v>
      </c>
      <c r="D9974" s="56">
        <v>4.7705051721664393E-2</v>
      </c>
      <c r="E9974" s="224" t="s">
        <v>2</v>
      </c>
      <c r="F9974" s="515" t="s">
        <v>11172</v>
      </c>
      <c r="G9974" s="52">
        <v>154658.82697947201</v>
      </c>
      <c r="H9974" s="56">
        <v>0</v>
      </c>
      <c r="I9974" s="224" t="s">
        <v>2</v>
      </c>
    </row>
    <row r="9975" spans="1:9" x14ac:dyDescent="0.25">
      <c r="A9975" s="515">
        <v>65559</v>
      </c>
      <c r="B9975" s="515" t="s">
        <v>357</v>
      </c>
      <c r="C9975" s="52">
        <v>176167.43303478701</v>
      </c>
      <c r="D9975" s="56">
        <v>0.10422465545499496</v>
      </c>
      <c r="E9975" s="224" t="s">
        <v>2</v>
      </c>
      <c r="F9975" s="515" t="s">
        <v>11173</v>
      </c>
      <c r="G9975" s="52">
        <v>144021.44579491799</v>
      </c>
      <c r="H9975" s="56">
        <v>0.17813927919522543</v>
      </c>
      <c r="I9975" s="224" t="s">
        <v>2</v>
      </c>
    </row>
    <row r="9976" spans="1:9" x14ac:dyDescent="0.25">
      <c r="A9976" s="515">
        <v>76571</v>
      </c>
      <c r="B9976" s="515" t="s">
        <v>859</v>
      </c>
      <c r="C9976" s="52">
        <v>511247.42149615102</v>
      </c>
      <c r="D9976" s="56">
        <v>9.9137353672978573E-2</v>
      </c>
      <c r="E9976" s="224" t="s">
        <v>2</v>
      </c>
      <c r="F9976" s="515" t="s">
        <v>11174</v>
      </c>
      <c r="G9976" s="52">
        <v>305941.02104116499</v>
      </c>
      <c r="H9976" s="56">
        <v>0.16579751188570055</v>
      </c>
      <c r="I9976" s="224" t="s">
        <v>2</v>
      </c>
    </row>
    <row r="9977" spans="1:9" x14ac:dyDescent="0.25">
      <c r="A9977" s="515">
        <v>44683</v>
      </c>
      <c r="B9977" s="515" t="s">
        <v>309</v>
      </c>
      <c r="C9977" s="52">
        <v>117469.210592629</v>
      </c>
      <c r="D9977" s="56">
        <v>7.3472932229625393E-2</v>
      </c>
      <c r="E9977" s="224" t="s">
        <v>2</v>
      </c>
      <c r="F9977" s="515" t="s">
        <v>11175</v>
      </c>
      <c r="G9977" s="52">
        <v>113700.715571412</v>
      </c>
      <c r="H9977" s="56">
        <v>3.733747476556859E-2</v>
      </c>
      <c r="I9977" s="224" t="s">
        <v>2</v>
      </c>
    </row>
    <row r="9978" spans="1:9" x14ac:dyDescent="0.25">
      <c r="A9978" s="515">
        <v>28761</v>
      </c>
      <c r="B9978" s="515" t="s">
        <v>1189</v>
      </c>
      <c r="C9978" s="52">
        <v>289552.04789698299</v>
      </c>
      <c r="D9978" s="56">
        <v>0.1377924214455406</v>
      </c>
      <c r="E9978" s="224" t="s">
        <v>2</v>
      </c>
      <c r="F9978" s="515" t="s">
        <v>11176</v>
      </c>
      <c r="G9978" s="52">
        <v>249963.20438034399</v>
      </c>
      <c r="H9978" s="56">
        <v>4.4158957638012662E-2</v>
      </c>
      <c r="I9978" s="224" t="s">
        <v>2</v>
      </c>
    </row>
    <row r="9979" spans="1:9" x14ac:dyDescent="0.25">
      <c r="A9979" s="515">
        <v>2571</v>
      </c>
      <c r="B9979" s="515" t="s">
        <v>534</v>
      </c>
      <c r="C9979" s="52">
        <v>403176.28202109702</v>
      </c>
      <c r="D9979" s="56">
        <v>9.5019094026901521E-2</v>
      </c>
      <c r="E9979" s="224" t="s">
        <v>2</v>
      </c>
      <c r="F9979" s="515" t="s">
        <v>11177</v>
      </c>
      <c r="G9979" s="52">
        <v>174804.604717718</v>
      </c>
      <c r="H9979" s="56">
        <v>0.11878627749972534</v>
      </c>
      <c r="I9979" s="224" t="s">
        <v>2</v>
      </c>
    </row>
    <row r="9980" spans="1:9" x14ac:dyDescent="0.25">
      <c r="A9980" s="515">
        <v>50801</v>
      </c>
      <c r="C9980" s="52">
        <v>117219.15196500201</v>
      </c>
      <c r="D9980" s="56">
        <v>5.6343086312823351E-2</v>
      </c>
      <c r="E9980" s="224" t="s">
        <v>2</v>
      </c>
      <c r="F9980" s="515" t="s">
        <v>11178</v>
      </c>
      <c r="G9980" s="52">
        <v>1128511.31273768</v>
      </c>
      <c r="H9980" s="56">
        <v>0.10595060191808349</v>
      </c>
      <c r="I9980" s="224" t="s">
        <v>2</v>
      </c>
    </row>
    <row r="9981" spans="1:9" x14ac:dyDescent="0.25">
      <c r="A9981" s="515">
        <v>71483</v>
      </c>
      <c r="C9981" s="52">
        <v>77859.047714038607</v>
      </c>
      <c r="D9981" s="56">
        <v>-1.7043841152137803E-2</v>
      </c>
      <c r="E9981" s="224" t="s">
        <v>2</v>
      </c>
      <c r="F9981" s="515" t="s">
        <v>11179</v>
      </c>
      <c r="G9981" s="52">
        <v>148844.63309165699</v>
      </c>
      <c r="H9981" s="56">
        <v>8.8192123834458833E-2</v>
      </c>
      <c r="I9981" s="224" t="s">
        <v>2</v>
      </c>
    </row>
    <row r="9982" spans="1:9" x14ac:dyDescent="0.25">
      <c r="A9982" s="515">
        <v>36322</v>
      </c>
      <c r="B9982" s="515" t="s">
        <v>369</v>
      </c>
      <c r="C9982" s="52">
        <v>132827.463154989</v>
      </c>
      <c r="D9982" s="56">
        <v>0.12665715489889479</v>
      </c>
      <c r="E9982" s="224" t="s">
        <v>2</v>
      </c>
      <c r="F9982" s="515" t="s">
        <v>11180</v>
      </c>
      <c r="G9982" s="52">
        <v>354843.79654949001</v>
      </c>
      <c r="H9982" s="56">
        <v>7.9855103034342081E-2</v>
      </c>
      <c r="I9982" s="224" t="s">
        <v>2</v>
      </c>
    </row>
    <row r="9983" spans="1:9" x14ac:dyDescent="0.25">
      <c r="A9983" s="515">
        <v>40977</v>
      </c>
      <c r="B9983" s="515" t="s">
        <v>687</v>
      </c>
      <c r="C9983" s="52">
        <v>82452.014512701106</v>
      </c>
      <c r="D9983" s="56">
        <v>0.21180291901691803</v>
      </c>
      <c r="E9983" s="224" t="s">
        <v>2</v>
      </c>
      <c r="F9983" s="515" t="s">
        <v>11181</v>
      </c>
      <c r="G9983" s="52">
        <v>479625.70539960102</v>
      </c>
      <c r="H9983" s="56">
        <v>3.6466070422148965E-2</v>
      </c>
      <c r="I9983" s="224" t="s">
        <v>2</v>
      </c>
    </row>
    <row r="9984" spans="1:9" x14ac:dyDescent="0.25">
      <c r="A9984" s="515">
        <v>47885</v>
      </c>
      <c r="B9984" s="515" t="s">
        <v>318</v>
      </c>
      <c r="C9984" s="52">
        <v>135861.48055560401</v>
      </c>
      <c r="D9984" s="56">
        <v>5.3591341374601961E-2</v>
      </c>
      <c r="E9984" s="224" t="s">
        <v>2</v>
      </c>
      <c r="F9984" s="515" t="s">
        <v>11182</v>
      </c>
      <c r="G9984" s="52">
        <v>203478.18938339001</v>
      </c>
      <c r="H9984" s="56">
        <v>0.11639176890252124</v>
      </c>
      <c r="I9984" s="224" t="s">
        <v>2</v>
      </c>
    </row>
    <row r="9985" spans="1:9" x14ac:dyDescent="0.25">
      <c r="A9985" s="515">
        <v>78701</v>
      </c>
      <c r="B9985" s="515" t="s">
        <v>380</v>
      </c>
      <c r="C9985" s="52">
        <v>791866.71073449298</v>
      </c>
      <c r="D9985" s="56">
        <v>0.11597638595450319</v>
      </c>
      <c r="E9985" s="224">
        <v>3075.7872520392998</v>
      </c>
      <c r="F9985" s="515" t="s">
        <v>11183</v>
      </c>
      <c r="G9985" s="52">
        <v>454633.245467734</v>
      </c>
      <c r="H9985" s="56">
        <v>8.5830935302965011E-2</v>
      </c>
      <c r="I9985" s="224" t="s">
        <v>2</v>
      </c>
    </row>
    <row r="9986" spans="1:9" x14ac:dyDescent="0.25">
      <c r="A9986" s="515">
        <v>36079</v>
      </c>
      <c r="B9986" s="515" t="s">
        <v>1027</v>
      </c>
      <c r="C9986" s="52">
        <v>190328.68450267101</v>
      </c>
      <c r="D9986" s="56">
        <v>4.8655411712411181E-2</v>
      </c>
      <c r="E9986" s="224" t="s">
        <v>2</v>
      </c>
      <c r="F9986" s="515" t="s">
        <v>11184</v>
      </c>
      <c r="G9986" s="52">
        <v>211726.28739286499</v>
      </c>
      <c r="H9986" s="56">
        <v>1.5506769075482239E-2</v>
      </c>
      <c r="I9986" s="224" t="s">
        <v>2</v>
      </c>
    </row>
    <row r="9987" spans="1:9" x14ac:dyDescent="0.25">
      <c r="A9987" s="515">
        <v>19565</v>
      </c>
      <c r="B9987" s="515" t="s">
        <v>569</v>
      </c>
      <c r="C9987" s="52">
        <v>276909.29682601499</v>
      </c>
      <c r="D9987" s="56">
        <v>9.8949260825376265E-2</v>
      </c>
      <c r="E9987" s="224" t="s">
        <v>2</v>
      </c>
      <c r="F9987" s="515" t="s">
        <v>11185</v>
      </c>
      <c r="G9987" s="52">
        <v>186741.48301215199</v>
      </c>
      <c r="H9987" s="56">
        <v>9.3670459007903439E-2</v>
      </c>
      <c r="I9987" s="224" t="s">
        <v>2</v>
      </c>
    </row>
    <row r="9988" spans="1:9" x14ac:dyDescent="0.25">
      <c r="A9988" s="515">
        <v>32148</v>
      </c>
      <c r="B9988" s="515" t="s">
        <v>920</v>
      </c>
      <c r="C9988" s="52">
        <v>141150.19205092499</v>
      </c>
      <c r="D9988" s="56">
        <v>0.13691260443152317</v>
      </c>
      <c r="E9988" s="224" t="s">
        <v>2</v>
      </c>
      <c r="F9988" s="515" t="s">
        <v>11186</v>
      </c>
      <c r="G9988" s="52">
        <v>201124.09584242199</v>
      </c>
      <c r="H9988" s="56">
        <v>9.5660953323802866E-2</v>
      </c>
      <c r="I9988" s="224" t="s">
        <v>2</v>
      </c>
    </row>
    <row r="9989" spans="1:9" x14ac:dyDescent="0.25">
      <c r="A9989" s="515">
        <v>78669</v>
      </c>
      <c r="B9989" s="515" t="s">
        <v>380</v>
      </c>
      <c r="C9989" s="52">
        <v>751015.01487963903</v>
      </c>
      <c r="D9989" s="56">
        <v>7.2238876470595056E-2</v>
      </c>
      <c r="E9989" s="224" t="s">
        <v>2</v>
      </c>
      <c r="F9989" s="515" t="s">
        <v>11187</v>
      </c>
      <c r="G9989" s="52">
        <v>305775.78666346503</v>
      </c>
      <c r="H9989" s="56">
        <v>0.12308526516937485</v>
      </c>
      <c r="I9989" s="224" t="s">
        <v>2</v>
      </c>
    </row>
    <row r="9990" spans="1:9" x14ac:dyDescent="0.25">
      <c r="A9990" s="515">
        <v>13367</v>
      </c>
      <c r="C9990" s="52">
        <v>179657.525480154</v>
      </c>
      <c r="D9990" s="56">
        <v>9.845191669479729E-2</v>
      </c>
      <c r="E9990" s="224" t="s">
        <v>2</v>
      </c>
      <c r="F9990" s="515" t="s">
        <v>11188</v>
      </c>
      <c r="G9990" s="52">
        <v>109026.712359738</v>
      </c>
      <c r="H9990" s="56">
        <v>6.766126436086714E-2</v>
      </c>
      <c r="I9990" s="224" t="s">
        <v>2</v>
      </c>
    </row>
    <row r="9991" spans="1:9" x14ac:dyDescent="0.25">
      <c r="A9991" s="515">
        <v>47882</v>
      </c>
      <c r="B9991" s="515" t="s">
        <v>318</v>
      </c>
      <c r="C9991" s="52">
        <v>135287.385862266</v>
      </c>
      <c r="D9991" s="56">
        <v>8.8754299943373957E-2</v>
      </c>
      <c r="E9991" s="224" t="s">
        <v>2</v>
      </c>
      <c r="F9991" s="515" t="s">
        <v>11189</v>
      </c>
      <c r="G9991" s="52">
        <v>354315.16663583397</v>
      </c>
      <c r="H9991" s="56">
        <v>3.9714148118063723E-2</v>
      </c>
      <c r="I9991" s="224" t="s">
        <v>2</v>
      </c>
    </row>
    <row r="9992" spans="1:9" x14ac:dyDescent="0.25">
      <c r="A9992" s="515">
        <v>4107</v>
      </c>
      <c r="B9992" s="515" t="s">
        <v>570</v>
      </c>
      <c r="C9992" s="52">
        <v>719898.62233781803</v>
      </c>
      <c r="D9992" s="56">
        <v>5.3099392684779492E-2</v>
      </c>
      <c r="E9992" s="224" t="s">
        <v>2</v>
      </c>
      <c r="F9992" s="515" t="s">
        <v>11190</v>
      </c>
      <c r="G9992" s="52">
        <v>394974.46070435602</v>
      </c>
      <c r="H9992" s="56">
        <v>9.9695109281011815E-2</v>
      </c>
      <c r="I9992" s="224" t="s">
        <v>2</v>
      </c>
    </row>
    <row r="9993" spans="1:9" x14ac:dyDescent="0.25">
      <c r="A9993" s="515">
        <v>98596</v>
      </c>
      <c r="B9993" s="515" t="s">
        <v>468</v>
      </c>
      <c r="C9993" s="52">
        <v>427953.34533882799</v>
      </c>
      <c r="D9993" s="56">
        <v>1.4570121637678188E-2</v>
      </c>
      <c r="E9993" s="224" t="s">
        <v>2</v>
      </c>
      <c r="F9993" s="515" t="s">
        <v>11191</v>
      </c>
      <c r="G9993" s="52">
        <v>118715.990284221</v>
      </c>
      <c r="H9993" s="56">
        <v>3.8389049374191624E-3</v>
      </c>
      <c r="I9993" s="224" t="s">
        <v>2</v>
      </c>
    </row>
    <row r="9994" spans="1:9" x14ac:dyDescent="0.25">
      <c r="A9994" s="515">
        <v>45123</v>
      </c>
      <c r="C9994" s="52">
        <v>133023.45864986401</v>
      </c>
      <c r="D9994" s="56">
        <v>0.14391036304494606</v>
      </c>
      <c r="E9994" s="224" t="s">
        <v>2</v>
      </c>
      <c r="F9994" s="515" t="s">
        <v>11192</v>
      </c>
      <c r="G9994" s="52">
        <v>128229.54107192199</v>
      </c>
      <c r="H9994" s="56">
        <v>9.9589421454951088E-2</v>
      </c>
      <c r="I9994" s="224" t="s">
        <v>2</v>
      </c>
    </row>
    <row r="9995" spans="1:9" x14ac:dyDescent="0.25">
      <c r="A9995" s="515">
        <v>31201</v>
      </c>
      <c r="B9995" s="515" t="s">
        <v>995</v>
      </c>
      <c r="C9995" s="52">
        <v>91077.618745478103</v>
      </c>
      <c r="D9995" s="56">
        <v>0.23167414086122418</v>
      </c>
      <c r="E9995" s="224">
        <v>1008.33333333333</v>
      </c>
      <c r="F9995" s="515" t="s">
        <v>11193</v>
      </c>
      <c r="G9995" s="52">
        <v>140277.64154285501</v>
      </c>
      <c r="H9995" s="56">
        <v>3.3110113558607206E-2</v>
      </c>
      <c r="I9995" s="224" t="s">
        <v>2</v>
      </c>
    </row>
    <row r="9996" spans="1:9" x14ac:dyDescent="0.25">
      <c r="A9996" s="515">
        <v>58075</v>
      </c>
      <c r="B9996" s="515" t="s">
        <v>548</v>
      </c>
      <c r="C9996" s="52">
        <v>188917.46988707699</v>
      </c>
      <c r="D9996" s="56">
        <v>4.2002975678659703E-2</v>
      </c>
      <c r="E9996" s="224" t="s">
        <v>2</v>
      </c>
      <c r="F9996" s="515" t="s">
        <v>11194</v>
      </c>
      <c r="G9996" s="52">
        <v>313431.67419198598</v>
      </c>
      <c r="H9996" s="56">
        <v>1.8029159008514206E-2</v>
      </c>
      <c r="I9996" s="224" t="s">
        <v>2</v>
      </c>
    </row>
    <row r="9997" spans="1:9" x14ac:dyDescent="0.25">
      <c r="A9997" s="515">
        <v>78368</v>
      </c>
      <c r="B9997" s="515" t="s">
        <v>415</v>
      </c>
      <c r="C9997" s="52">
        <v>111797.594358741</v>
      </c>
      <c r="D9997" s="56">
        <v>-3.1238666864853496E-2</v>
      </c>
      <c r="E9997" s="224" t="s">
        <v>2</v>
      </c>
      <c r="F9997" s="515" t="s">
        <v>11195</v>
      </c>
      <c r="G9997" s="52">
        <v>346137.74968282599</v>
      </c>
      <c r="H9997" s="56">
        <v>9.0492972434748478E-2</v>
      </c>
      <c r="I9997" s="224" t="s">
        <v>2</v>
      </c>
    </row>
    <row r="9998" spans="1:9" x14ac:dyDescent="0.25">
      <c r="A9998" s="515">
        <v>1504</v>
      </c>
      <c r="B9998" s="515" t="s">
        <v>751</v>
      </c>
      <c r="C9998" s="52">
        <v>408813.589547412</v>
      </c>
      <c r="D9998" s="56">
        <v>6.8540678203506192E-2</v>
      </c>
      <c r="E9998" s="224" t="s">
        <v>2</v>
      </c>
      <c r="F9998" s="515" t="s">
        <v>11196</v>
      </c>
      <c r="G9998" s="52">
        <v>296874.32934955502</v>
      </c>
      <c r="H9998" s="56">
        <v>0.12337045386296762</v>
      </c>
      <c r="I9998" s="224" t="s">
        <v>2</v>
      </c>
    </row>
    <row r="9999" spans="1:9" x14ac:dyDescent="0.25">
      <c r="A9999" s="515">
        <v>36522</v>
      </c>
      <c r="B9999" s="515" t="s">
        <v>815</v>
      </c>
      <c r="C9999" s="52">
        <v>156207.130758535</v>
      </c>
      <c r="D9999" s="56">
        <v>6.7122250279208401E-2</v>
      </c>
      <c r="E9999" s="224" t="s">
        <v>2</v>
      </c>
      <c r="F9999" s="515" t="s">
        <v>11197</v>
      </c>
      <c r="G9999" s="52">
        <v>591485.557282881</v>
      </c>
      <c r="H9999" s="56">
        <v>9.3897387710376617E-2</v>
      </c>
      <c r="I9999" s="224" t="s">
        <v>2</v>
      </c>
    </row>
    <row r="10000" spans="1:9" x14ac:dyDescent="0.25">
      <c r="A10000" s="515">
        <v>93646</v>
      </c>
      <c r="B10000" s="515" t="s">
        <v>541</v>
      </c>
      <c r="C10000" s="52">
        <v>250540.436804458</v>
      </c>
      <c r="D10000" s="56">
        <v>0.12614830140121397</v>
      </c>
      <c r="E10000" s="224" t="s">
        <v>2</v>
      </c>
      <c r="F10000" s="515" t="s">
        <v>11198</v>
      </c>
      <c r="G10000" s="52">
        <v>191915.588831323</v>
      </c>
      <c r="H10000" s="56">
        <v>7.7007009334349619E-2</v>
      </c>
      <c r="I10000" s="224" t="s">
        <v>2</v>
      </c>
    </row>
    <row r="10001" spans="1:9" x14ac:dyDescent="0.25">
      <c r="A10001" s="515">
        <v>63143</v>
      </c>
      <c r="B10001" s="515" t="s">
        <v>498</v>
      </c>
      <c r="C10001" s="52">
        <v>219649.83057350499</v>
      </c>
      <c r="D10001" s="56">
        <v>5.5781581307897316E-2</v>
      </c>
      <c r="E10001" s="224">
        <v>1041.1666666666599</v>
      </c>
      <c r="F10001" s="515" t="s">
        <v>11199</v>
      </c>
      <c r="G10001" s="52">
        <v>309340.64380624099</v>
      </c>
      <c r="H10001" s="56">
        <v>0.1089258232973843</v>
      </c>
      <c r="I10001" s="224" t="s">
        <v>2</v>
      </c>
    </row>
    <row r="10002" spans="1:9" x14ac:dyDescent="0.25">
      <c r="A10002" s="515">
        <v>38570</v>
      </c>
      <c r="B10002" s="515" t="s">
        <v>833</v>
      </c>
      <c r="C10002" s="52">
        <v>188148.18772233999</v>
      </c>
      <c r="D10002" s="56">
        <v>9.0790599027715344E-2</v>
      </c>
      <c r="E10002" s="224" t="s">
        <v>2</v>
      </c>
      <c r="F10002" s="515" t="s">
        <v>11200</v>
      </c>
      <c r="G10002" s="52">
        <v>399164.08083817898</v>
      </c>
      <c r="H10002" s="56">
        <v>5.4644569756806913E-2</v>
      </c>
      <c r="I10002" s="224" t="s">
        <v>2</v>
      </c>
    </row>
    <row r="10003" spans="1:9" x14ac:dyDescent="0.25">
      <c r="A10003" s="515">
        <v>60171</v>
      </c>
      <c r="B10003" s="515" t="s">
        <v>394</v>
      </c>
      <c r="C10003" s="52">
        <v>255043.961217262</v>
      </c>
      <c r="D10003" s="56">
        <v>-1.2381647948520977E-3</v>
      </c>
      <c r="E10003" s="224" t="s">
        <v>2</v>
      </c>
      <c r="F10003" s="515" t="s">
        <v>11201</v>
      </c>
      <c r="G10003" s="52">
        <v>375847.11963890598</v>
      </c>
      <c r="H10003" s="56">
        <v>0.10232375265791967</v>
      </c>
      <c r="I10003" s="224" t="s">
        <v>2</v>
      </c>
    </row>
    <row r="10004" spans="1:9" x14ac:dyDescent="0.25">
      <c r="A10004" s="515">
        <v>45121</v>
      </c>
      <c r="B10004" s="515" t="s">
        <v>344</v>
      </c>
      <c r="C10004" s="52">
        <v>188256.08857170999</v>
      </c>
      <c r="D10004" s="56">
        <v>6.4077162411124544E-2</v>
      </c>
      <c r="E10004" s="224" t="s">
        <v>2</v>
      </c>
      <c r="F10004" s="515" t="s">
        <v>11202</v>
      </c>
      <c r="G10004" s="52">
        <v>207898.56961557001</v>
      </c>
      <c r="H10004" s="56">
        <v>9.259843131373692E-2</v>
      </c>
      <c r="I10004" s="224" t="s">
        <v>2</v>
      </c>
    </row>
    <row r="10005" spans="1:9" x14ac:dyDescent="0.25">
      <c r="A10005" s="515">
        <v>32169</v>
      </c>
      <c r="B10005" s="515" t="s">
        <v>974</v>
      </c>
      <c r="C10005" s="52">
        <v>572546.58239353204</v>
      </c>
      <c r="D10005" s="56">
        <v>0.15274120755450873</v>
      </c>
      <c r="E10005" s="224">
        <v>3116.6666666666601</v>
      </c>
      <c r="F10005" s="515" t="s">
        <v>11203</v>
      </c>
      <c r="G10005" s="52">
        <v>312539.03644554398</v>
      </c>
      <c r="H10005" s="56">
        <v>7.089576202571532E-2</v>
      </c>
      <c r="I10005" s="224" t="s">
        <v>2</v>
      </c>
    </row>
    <row r="10006" spans="1:9" x14ac:dyDescent="0.25">
      <c r="A10006" s="515">
        <v>25601</v>
      </c>
      <c r="B10006" s="515" t="s">
        <v>464</v>
      </c>
      <c r="C10006" s="52">
        <v>69565.7811311439</v>
      </c>
      <c r="D10006" s="56">
        <v>0.15983034104824589</v>
      </c>
      <c r="E10006" s="224" t="s">
        <v>2</v>
      </c>
      <c r="F10006" s="515" t="s">
        <v>11204</v>
      </c>
      <c r="G10006" s="52">
        <v>429800.78228104499</v>
      </c>
      <c r="H10006" s="56">
        <v>9.3008817996164339E-2</v>
      </c>
      <c r="I10006" s="224" t="s">
        <v>2</v>
      </c>
    </row>
    <row r="10007" spans="1:9" x14ac:dyDescent="0.25">
      <c r="A10007" s="515">
        <v>25901</v>
      </c>
      <c r="B10007" s="515" t="s">
        <v>566</v>
      </c>
      <c r="C10007" s="52">
        <v>109986.386618545</v>
      </c>
      <c r="D10007" s="56">
        <v>0.17979793746997214</v>
      </c>
      <c r="E10007" s="224" t="s">
        <v>2</v>
      </c>
      <c r="F10007" s="515" t="s">
        <v>11205</v>
      </c>
      <c r="G10007" s="52">
        <v>337828.20409631898</v>
      </c>
      <c r="H10007" s="56">
        <v>8.2200588012315542E-2</v>
      </c>
      <c r="I10007" s="224" t="s">
        <v>2</v>
      </c>
    </row>
    <row r="10008" spans="1:9" x14ac:dyDescent="0.25">
      <c r="A10008" s="515">
        <v>4096</v>
      </c>
      <c r="B10008" s="515" t="s">
        <v>570</v>
      </c>
      <c r="C10008" s="52">
        <v>663091.16302119696</v>
      </c>
      <c r="D10008" s="56">
        <v>4.6384693974287197E-2</v>
      </c>
      <c r="E10008" s="224" t="s">
        <v>2</v>
      </c>
      <c r="F10008" s="515" t="s">
        <v>11206</v>
      </c>
      <c r="G10008" s="52">
        <v>82211.277911515703</v>
      </c>
      <c r="H10008" s="56">
        <v>-3.871605251267296E-2</v>
      </c>
      <c r="I10008" s="224" t="s">
        <v>2</v>
      </c>
    </row>
    <row r="10009" spans="1:9" x14ac:dyDescent="0.25">
      <c r="A10009" s="515">
        <v>7760</v>
      </c>
      <c r="B10009" s="515" t="s">
        <v>324</v>
      </c>
      <c r="C10009" s="52">
        <v>1370932.85286519</v>
      </c>
      <c r="D10009" s="56">
        <v>8.7798211208622287E-2</v>
      </c>
      <c r="E10009" s="224">
        <v>4075</v>
      </c>
      <c r="F10009" s="515" t="s">
        <v>11207</v>
      </c>
      <c r="G10009" s="52">
        <v>153820.58435762601</v>
      </c>
      <c r="H10009" s="56">
        <v>4.0018942034457217E-2</v>
      </c>
      <c r="I10009" s="224" t="s">
        <v>2</v>
      </c>
    </row>
    <row r="10010" spans="1:9" x14ac:dyDescent="0.25">
      <c r="A10010" s="515">
        <v>63106</v>
      </c>
      <c r="B10010" s="515" t="s">
        <v>498</v>
      </c>
      <c r="C10010" s="52">
        <v>93685.279017252804</v>
      </c>
      <c r="D10010" s="56">
        <v>-3.5211325673680315E-2</v>
      </c>
      <c r="E10010" s="224" t="s">
        <v>2</v>
      </c>
      <c r="F10010" s="515" t="s">
        <v>11208</v>
      </c>
      <c r="G10010" s="52">
        <v>201947.17077878301</v>
      </c>
      <c r="H10010" s="56">
        <v>0.10418986559045799</v>
      </c>
      <c r="I10010" s="224" t="s">
        <v>2</v>
      </c>
    </row>
    <row r="10011" spans="1:9" x14ac:dyDescent="0.25">
      <c r="A10011" s="515">
        <v>23117</v>
      </c>
      <c r="C10011" s="52">
        <v>374769.12042603799</v>
      </c>
      <c r="D10011" s="56">
        <v>4.0960476936632406E-2</v>
      </c>
      <c r="E10011" s="224" t="s">
        <v>2</v>
      </c>
      <c r="F10011" s="515" t="s">
        <v>11209</v>
      </c>
      <c r="G10011" s="52">
        <v>171604.038111428</v>
      </c>
      <c r="H10011" s="56">
        <v>0.12246454916048803</v>
      </c>
      <c r="I10011" s="224" t="s">
        <v>2</v>
      </c>
    </row>
    <row r="10012" spans="1:9" x14ac:dyDescent="0.25">
      <c r="A10012" s="515">
        <v>7676</v>
      </c>
      <c r="B10012" s="515" t="s">
        <v>324</v>
      </c>
      <c r="C10012" s="52">
        <v>619171.59079670697</v>
      </c>
      <c r="D10012" s="56">
        <v>4.2530610143635621E-2</v>
      </c>
      <c r="E10012" s="224" t="s">
        <v>2</v>
      </c>
      <c r="F10012" s="515" t="s">
        <v>11210</v>
      </c>
      <c r="G10012" s="52">
        <v>304448.44235240598</v>
      </c>
      <c r="H10012" s="56">
        <v>3.2255727954683892E-2</v>
      </c>
      <c r="I10012" s="224">
        <v>2106.75</v>
      </c>
    </row>
    <row r="10013" spans="1:9" x14ac:dyDescent="0.25">
      <c r="A10013" s="515">
        <v>65355</v>
      </c>
      <c r="C10013" s="52">
        <v>165246.98971836499</v>
      </c>
      <c r="D10013" s="56">
        <v>2.4433860471999313E-2</v>
      </c>
      <c r="E10013" s="224" t="s">
        <v>2</v>
      </c>
      <c r="F10013" s="515" t="s">
        <v>11211</v>
      </c>
      <c r="G10013" s="52">
        <v>155594.67490809201</v>
      </c>
      <c r="H10013" s="56">
        <v>-8.8441639438727106E-4</v>
      </c>
      <c r="I10013" s="224" t="s">
        <v>2</v>
      </c>
    </row>
    <row r="10014" spans="1:9" x14ac:dyDescent="0.25">
      <c r="A10014" s="515">
        <v>4412</v>
      </c>
      <c r="B10014" s="515" t="s">
        <v>792</v>
      </c>
      <c r="C10014" s="52">
        <v>248418.37493627</v>
      </c>
      <c r="D10014" s="56">
        <v>0.12884483124968585</v>
      </c>
      <c r="E10014" s="224" t="s">
        <v>2</v>
      </c>
      <c r="F10014" s="515" t="s">
        <v>11212</v>
      </c>
      <c r="G10014" s="52">
        <v>209772.59913243199</v>
      </c>
      <c r="H10014" s="56">
        <v>9.1543302014348765E-2</v>
      </c>
      <c r="I10014" s="224" t="s">
        <v>2</v>
      </c>
    </row>
    <row r="10015" spans="1:9" x14ac:dyDescent="0.25">
      <c r="A10015" s="515">
        <v>11771</v>
      </c>
      <c r="B10015" s="515" t="s">
        <v>324</v>
      </c>
      <c r="C10015" s="52">
        <v>1001462.66156805</v>
      </c>
      <c r="D10015" s="56">
        <v>5.6930437732674345E-2</v>
      </c>
      <c r="E10015" s="224">
        <v>3125</v>
      </c>
      <c r="F10015" s="515" t="s">
        <v>11213</v>
      </c>
      <c r="G10015" s="52">
        <v>235198.454346938</v>
      </c>
      <c r="H10015" s="56">
        <v>7.2708418462274424E-2</v>
      </c>
      <c r="I10015" s="224" t="s">
        <v>2</v>
      </c>
    </row>
    <row r="10016" spans="1:9" x14ac:dyDescent="0.25">
      <c r="A10016" s="515">
        <v>6786</v>
      </c>
      <c r="B10016" s="515" t="s">
        <v>559</v>
      </c>
      <c r="C10016" s="52">
        <v>258876.16166247401</v>
      </c>
      <c r="D10016" s="56">
        <v>0.13103092981875386</v>
      </c>
      <c r="E10016" s="224" t="s">
        <v>2</v>
      </c>
      <c r="F10016" s="515" t="s">
        <v>11214</v>
      </c>
      <c r="G10016" s="52">
        <v>266077.491590822</v>
      </c>
      <c r="H10016" s="56">
        <v>6.424661955336268E-2</v>
      </c>
      <c r="I10016" s="224" t="s">
        <v>2</v>
      </c>
    </row>
    <row r="10017" spans="1:9" x14ac:dyDescent="0.25">
      <c r="A10017" s="515">
        <v>8066</v>
      </c>
      <c r="B10017" s="515" t="s">
        <v>294</v>
      </c>
      <c r="C10017" s="52">
        <v>172799.74482733</v>
      </c>
      <c r="D10017" s="56">
        <v>0.10776708161106993</v>
      </c>
      <c r="E10017" s="224" t="s">
        <v>2</v>
      </c>
      <c r="F10017" s="515" t="s">
        <v>11215</v>
      </c>
      <c r="G10017" s="52">
        <v>172540.43507502499</v>
      </c>
      <c r="H10017" s="56">
        <v>-3.0049394107365471E-2</v>
      </c>
      <c r="I10017" s="224" t="s">
        <v>2</v>
      </c>
    </row>
    <row r="10018" spans="1:9" x14ac:dyDescent="0.25">
      <c r="A10018" s="515">
        <v>6371</v>
      </c>
      <c r="B10018" s="515" t="s">
        <v>1091</v>
      </c>
      <c r="C10018" s="52">
        <v>524193.00723569503</v>
      </c>
      <c r="D10018" s="56">
        <v>0.10475584778268053</v>
      </c>
      <c r="E10018" s="224" t="s">
        <v>2</v>
      </c>
      <c r="F10018" s="515" t="s">
        <v>11216</v>
      </c>
      <c r="G10018" s="52">
        <v>122446.089706484</v>
      </c>
      <c r="H10018" s="56">
        <v>0.12079086977102037</v>
      </c>
      <c r="I10018" s="224" t="s">
        <v>2</v>
      </c>
    </row>
    <row r="10019" spans="1:9" x14ac:dyDescent="0.25">
      <c r="A10019" s="515">
        <v>36604</v>
      </c>
      <c r="B10019" s="515" t="s">
        <v>815</v>
      </c>
      <c r="C10019" s="52">
        <v>179282.26029425801</v>
      </c>
      <c r="D10019" s="56">
        <v>5.0665836614581641E-2</v>
      </c>
      <c r="E10019" s="224">
        <v>1100</v>
      </c>
      <c r="F10019" s="515" t="s">
        <v>11217</v>
      </c>
      <c r="G10019" s="52">
        <v>651113.30116173904</v>
      </c>
      <c r="H10019" s="56">
        <v>1.7738906805589486E-2</v>
      </c>
      <c r="I10019" s="224" t="s">
        <v>2</v>
      </c>
    </row>
    <row r="10020" spans="1:9" x14ac:dyDescent="0.25">
      <c r="A10020" s="515">
        <v>27569</v>
      </c>
      <c r="B10020" s="515" t="s">
        <v>484</v>
      </c>
      <c r="C10020" s="52">
        <v>233726.75219423199</v>
      </c>
      <c r="D10020" s="56">
        <v>0.17555126392757192</v>
      </c>
      <c r="E10020" s="224" t="s">
        <v>2</v>
      </c>
      <c r="F10020" s="515" t="s">
        <v>11218</v>
      </c>
      <c r="G10020" s="52">
        <v>258713.87891044401</v>
      </c>
      <c r="H10020" s="56">
        <v>6.9756183562912744E-2</v>
      </c>
      <c r="I10020" s="224" t="s">
        <v>2</v>
      </c>
    </row>
    <row r="10021" spans="1:9" x14ac:dyDescent="0.25">
      <c r="A10021" s="515">
        <v>19079</v>
      </c>
      <c r="B10021" s="515" t="s">
        <v>294</v>
      </c>
      <c r="C10021" s="52">
        <v>166829.607781289</v>
      </c>
      <c r="D10021" s="56">
        <v>0.16728422129299073</v>
      </c>
      <c r="E10021" s="224" t="s">
        <v>2</v>
      </c>
      <c r="F10021" s="515" t="s">
        <v>11219</v>
      </c>
      <c r="G10021" s="52">
        <v>255953.55876616499</v>
      </c>
      <c r="H10021" s="56">
        <v>6.6591432449004992E-2</v>
      </c>
      <c r="I10021" s="224" t="s">
        <v>2</v>
      </c>
    </row>
    <row r="10022" spans="1:9" x14ac:dyDescent="0.25">
      <c r="A10022" s="515">
        <v>26651</v>
      </c>
      <c r="C10022" s="52">
        <v>121834.17622040299</v>
      </c>
      <c r="D10022" s="56">
        <v>8.9695096654108131E-2</v>
      </c>
      <c r="E10022" s="224" t="s">
        <v>2</v>
      </c>
      <c r="F10022" s="515" t="s">
        <v>11220</v>
      </c>
      <c r="G10022" s="52">
        <v>332108.48805831303</v>
      </c>
      <c r="H10022" s="56">
        <v>4.8064308071633761E-2</v>
      </c>
      <c r="I10022" s="224" t="s">
        <v>2</v>
      </c>
    </row>
    <row r="10023" spans="1:9" x14ac:dyDescent="0.25">
      <c r="A10023" s="515">
        <v>60475</v>
      </c>
      <c r="B10023" s="515" t="s">
        <v>394</v>
      </c>
      <c r="C10023" s="52">
        <v>150655.83000555399</v>
      </c>
      <c r="D10023" s="56">
        <v>9.0375600597656688E-2</v>
      </c>
      <c r="E10023" s="224" t="s">
        <v>2</v>
      </c>
      <c r="F10023" s="515" t="s">
        <v>11221</v>
      </c>
      <c r="G10023" s="52">
        <v>180629.64590249499</v>
      </c>
      <c r="H10023" s="56">
        <v>-3.2673184373428494E-3</v>
      </c>
      <c r="I10023" s="224" t="s">
        <v>2</v>
      </c>
    </row>
    <row r="10024" spans="1:9" x14ac:dyDescent="0.25">
      <c r="A10024" s="515">
        <v>48138</v>
      </c>
      <c r="B10024" s="515" t="s">
        <v>685</v>
      </c>
      <c r="C10024" s="52">
        <v>349694.29450051702</v>
      </c>
      <c r="D10024" s="56">
        <v>5.8404665091685723E-2</v>
      </c>
      <c r="E10024" s="224" t="s">
        <v>2</v>
      </c>
      <c r="F10024" s="515" t="s">
        <v>11222</v>
      </c>
      <c r="G10024" s="52">
        <v>200340.85465669</v>
      </c>
      <c r="H10024" s="56">
        <v>0.10251485028522767</v>
      </c>
      <c r="I10024" s="224" t="s">
        <v>2</v>
      </c>
    </row>
    <row r="10025" spans="1:9" x14ac:dyDescent="0.25">
      <c r="A10025" s="515">
        <v>53205</v>
      </c>
      <c r="B10025" s="515" t="s">
        <v>950</v>
      </c>
      <c r="C10025" s="52">
        <v>117922.686417862</v>
      </c>
      <c r="D10025" s="56">
        <v>0.10178803906109685</v>
      </c>
      <c r="E10025" s="224">
        <v>1469.7222222222199</v>
      </c>
      <c r="F10025" s="515" t="s">
        <v>11223</v>
      </c>
      <c r="G10025" s="52">
        <v>143852.87313165999</v>
      </c>
      <c r="H10025" s="56">
        <v>6.6888961621871482E-2</v>
      </c>
      <c r="I10025" s="224" t="s">
        <v>2</v>
      </c>
    </row>
    <row r="10026" spans="1:9" x14ac:dyDescent="0.25">
      <c r="A10026" s="515">
        <v>45327</v>
      </c>
      <c r="B10026" s="515" t="s">
        <v>340</v>
      </c>
      <c r="C10026" s="52">
        <v>215334.10820364801</v>
      </c>
      <c r="D10026" s="56">
        <v>8.56271556167124E-2</v>
      </c>
      <c r="E10026" s="224" t="s">
        <v>2</v>
      </c>
      <c r="F10026" s="515" t="s">
        <v>11224</v>
      </c>
      <c r="G10026" s="52">
        <v>339273.56486041797</v>
      </c>
      <c r="H10026" s="56">
        <v>7.8498434547650514E-2</v>
      </c>
      <c r="I10026" s="224" t="s">
        <v>2</v>
      </c>
    </row>
    <row r="10027" spans="1:9" x14ac:dyDescent="0.25">
      <c r="A10027" s="515">
        <v>21226</v>
      </c>
      <c r="B10027" s="515" t="s">
        <v>582</v>
      </c>
      <c r="C10027" s="52">
        <v>264281.278589027</v>
      </c>
      <c r="D10027" s="56">
        <v>3.0222227663973485E-2</v>
      </c>
      <c r="E10027" s="224">
        <v>1300</v>
      </c>
      <c r="F10027" s="515" t="s">
        <v>11225</v>
      </c>
      <c r="G10027" s="52">
        <v>92035.630991741593</v>
      </c>
      <c r="H10027" s="56">
        <v>-3.1325961419559865E-2</v>
      </c>
      <c r="I10027" s="224" t="s">
        <v>2</v>
      </c>
    </row>
    <row r="10028" spans="1:9" x14ac:dyDescent="0.25">
      <c r="A10028" s="515">
        <v>95010</v>
      </c>
      <c r="B10028" s="515" t="s">
        <v>596</v>
      </c>
      <c r="C10028" s="52">
        <v>1139642.59017283</v>
      </c>
      <c r="D10028" s="56">
        <v>6.6100013113299591E-2</v>
      </c>
      <c r="E10028" s="224">
        <v>3946.6666666666601</v>
      </c>
      <c r="F10028" s="515" t="s">
        <v>11226</v>
      </c>
      <c r="G10028" s="52">
        <v>319796.19972092198</v>
      </c>
      <c r="H10028" s="56">
        <v>6.5571228160903536E-2</v>
      </c>
      <c r="I10028" s="224" t="s">
        <v>2</v>
      </c>
    </row>
    <row r="10029" spans="1:9" x14ac:dyDescent="0.25">
      <c r="A10029" s="515">
        <v>46574</v>
      </c>
      <c r="B10029" s="515" t="s">
        <v>1002</v>
      </c>
      <c r="C10029" s="52">
        <v>185395.30178025301</v>
      </c>
      <c r="D10029" s="56">
        <v>8.2499902921862933E-2</v>
      </c>
      <c r="E10029" s="224" t="s">
        <v>2</v>
      </c>
      <c r="F10029" s="515" t="s">
        <v>11227</v>
      </c>
      <c r="G10029" s="52">
        <v>84247.193229703102</v>
      </c>
      <c r="H10029" s="56">
        <v>8.3167820600533307E-2</v>
      </c>
      <c r="I10029" s="224" t="s">
        <v>2</v>
      </c>
    </row>
    <row r="10030" spans="1:9" x14ac:dyDescent="0.25">
      <c r="A10030" s="515">
        <v>87059</v>
      </c>
      <c r="B10030" s="515" t="s">
        <v>406</v>
      </c>
      <c r="C10030" s="52">
        <v>368998.78208116902</v>
      </c>
      <c r="D10030" s="56">
        <v>5.6395278662692054E-2</v>
      </c>
      <c r="E10030" s="224" t="s">
        <v>2</v>
      </c>
      <c r="F10030" s="515" t="s">
        <v>11228</v>
      </c>
      <c r="G10030" s="52">
        <v>119141.359087506</v>
      </c>
      <c r="H10030" s="56">
        <v>0</v>
      </c>
      <c r="I10030" s="224" t="s">
        <v>2</v>
      </c>
    </row>
    <row r="10031" spans="1:9" x14ac:dyDescent="0.25">
      <c r="A10031" s="515">
        <v>72949</v>
      </c>
      <c r="B10031" s="515" t="s">
        <v>326</v>
      </c>
      <c r="C10031" s="52">
        <v>132392.51465588299</v>
      </c>
      <c r="D10031" s="56">
        <v>4.6961410715832978E-2</v>
      </c>
      <c r="E10031" s="224" t="s">
        <v>2</v>
      </c>
      <c r="F10031" s="515" t="s">
        <v>11229</v>
      </c>
      <c r="G10031" s="52">
        <v>230799.26638844301</v>
      </c>
      <c r="H10031" s="56">
        <v>5.22006618525317E-2</v>
      </c>
      <c r="I10031" s="224" t="s">
        <v>2</v>
      </c>
    </row>
    <row r="10032" spans="1:9" x14ac:dyDescent="0.25">
      <c r="A10032" s="515">
        <v>66025</v>
      </c>
      <c r="B10032" s="515" t="s">
        <v>1116</v>
      </c>
      <c r="C10032" s="52">
        <v>269450.57684713497</v>
      </c>
      <c r="D10032" s="56">
        <v>6.1611620385280411E-2</v>
      </c>
      <c r="E10032" s="224" t="s">
        <v>2</v>
      </c>
      <c r="F10032" s="515" t="s">
        <v>11230</v>
      </c>
      <c r="G10032" s="52">
        <v>697633.442909732</v>
      </c>
      <c r="H10032" s="56">
        <v>0.12256314449960302</v>
      </c>
      <c r="I10032" s="224" t="s">
        <v>2</v>
      </c>
    </row>
    <row r="10033" spans="1:9" x14ac:dyDescent="0.25">
      <c r="A10033" s="515">
        <v>41339</v>
      </c>
      <c r="C10033" s="52">
        <v>75288.958484026007</v>
      </c>
      <c r="D10033" s="56">
        <v>0.21190861002714459</v>
      </c>
      <c r="E10033" s="224" t="s">
        <v>2</v>
      </c>
      <c r="F10033" s="515" t="s">
        <v>11231</v>
      </c>
      <c r="G10033" s="52">
        <v>294405.51052191301</v>
      </c>
      <c r="H10033" s="56">
        <v>3.8615017256922297E-2</v>
      </c>
      <c r="I10033" s="224" t="s">
        <v>2</v>
      </c>
    </row>
    <row r="10034" spans="1:9" x14ac:dyDescent="0.25">
      <c r="A10034" s="515">
        <v>6475</v>
      </c>
      <c r="B10034" s="515" t="s">
        <v>894</v>
      </c>
      <c r="C10034" s="52">
        <v>521350.45385056501</v>
      </c>
      <c r="D10034" s="56">
        <v>0.13348712381611139</v>
      </c>
      <c r="E10034" s="224" t="s">
        <v>2</v>
      </c>
      <c r="F10034" s="515" t="s">
        <v>11232</v>
      </c>
      <c r="G10034" s="52">
        <v>323214.091923345</v>
      </c>
      <c r="H10034" s="56">
        <v>2.9777696843311611E-2</v>
      </c>
      <c r="I10034" s="224" t="s">
        <v>2</v>
      </c>
    </row>
    <row r="10035" spans="1:9" x14ac:dyDescent="0.25">
      <c r="A10035" s="515">
        <v>48444</v>
      </c>
      <c r="B10035" s="515" t="s">
        <v>685</v>
      </c>
      <c r="C10035" s="52">
        <v>235992.50177358501</v>
      </c>
      <c r="D10035" s="56">
        <v>1.7139712078540464E-2</v>
      </c>
      <c r="E10035" s="224" t="s">
        <v>2</v>
      </c>
      <c r="F10035" s="515" t="s">
        <v>11233</v>
      </c>
      <c r="G10035" s="52">
        <v>120791.138275367</v>
      </c>
      <c r="H10035" s="56">
        <v>0.14813704182889589</v>
      </c>
      <c r="I10035" s="224" t="s">
        <v>2</v>
      </c>
    </row>
    <row r="10036" spans="1:9" x14ac:dyDescent="0.25">
      <c r="A10036" s="515">
        <v>31411</v>
      </c>
      <c r="B10036" s="515" t="s">
        <v>351</v>
      </c>
      <c r="C10036" s="52">
        <v>746616.10511528596</v>
      </c>
      <c r="D10036" s="56">
        <v>0.1292205656053961</v>
      </c>
      <c r="E10036" s="224" t="s">
        <v>2</v>
      </c>
      <c r="F10036" s="515" t="s">
        <v>11234</v>
      </c>
      <c r="G10036" s="52">
        <v>503928.24903568998</v>
      </c>
      <c r="H10036" s="56">
        <v>0.10074573972478118</v>
      </c>
      <c r="I10036" s="224" t="s">
        <v>2</v>
      </c>
    </row>
    <row r="10037" spans="1:9" x14ac:dyDescent="0.25">
      <c r="A10037" s="515">
        <v>7825</v>
      </c>
      <c r="B10037" s="515" t="s">
        <v>327</v>
      </c>
      <c r="C10037" s="52">
        <v>406104.86857780803</v>
      </c>
      <c r="D10037" s="56">
        <v>2.4555643815265402E-2</v>
      </c>
      <c r="E10037" s="224" t="s">
        <v>2</v>
      </c>
      <c r="F10037" s="515" t="s">
        <v>11235</v>
      </c>
      <c r="G10037" s="52">
        <v>121812.32260082899</v>
      </c>
      <c r="H10037" s="56">
        <v>-1.1031507570255237E-3</v>
      </c>
      <c r="I10037" s="224" t="s">
        <v>2</v>
      </c>
    </row>
    <row r="10038" spans="1:9" x14ac:dyDescent="0.25">
      <c r="A10038" s="515">
        <v>10589</v>
      </c>
      <c r="B10038" s="515" t="s">
        <v>324</v>
      </c>
      <c r="C10038" s="52">
        <v>544360.11915517005</v>
      </c>
      <c r="D10038" s="56">
        <v>5.3765341273093313E-2</v>
      </c>
      <c r="E10038" s="224" t="s">
        <v>2</v>
      </c>
      <c r="F10038" s="515" t="s">
        <v>11236</v>
      </c>
      <c r="G10038" s="52">
        <v>181502.34382022399</v>
      </c>
      <c r="H10038" s="56">
        <v>0</v>
      </c>
      <c r="I10038" s="224" t="s">
        <v>2</v>
      </c>
    </row>
    <row r="10039" spans="1:9" x14ac:dyDescent="0.25">
      <c r="A10039" s="515">
        <v>17842</v>
      </c>
      <c r="B10039" s="515" t="s">
        <v>1084</v>
      </c>
      <c r="C10039" s="52">
        <v>184455.11868502499</v>
      </c>
      <c r="D10039" s="56">
        <v>3.8169390049826842E-2</v>
      </c>
      <c r="E10039" s="224" t="s">
        <v>2</v>
      </c>
      <c r="F10039" s="515" t="s">
        <v>11237</v>
      </c>
      <c r="G10039" s="52">
        <v>160184.502096201</v>
      </c>
      <c r="H10039" s="56">
        <v>2.3942428188937281E-2</v>
      </c>
      <c r="I10039" s="224" t="s">
        <v>2</v>
      </c>
    </row>
    <row r="10040" spans="1:9" x14ac:dyDescent="0.25">
      <c r="A10040" s="515">
        <v>2762</v>
      </c>
      <c r="B10040" s="515" t="s">
        <v>534</v>
      </c>
      <c r="C10040" s="52">
        <v>511359.06983487698</v>
      </c>
      <c r="D10040" s="56">
        <v>5.8958114459255508E-2</v>
      </c>
      <c r="E10040" s="224">
        <v>2002.5</v>
      </c>
      <c r="F10040" s="515" t="s">
        <v>11238</v>
      </c>
      <c r="G10040" s="52">
        <v>128699.258230318</v>
      </c>
      <c r="H10040" s="56">
        <v>0</v>
      </c>
      <c r="I10040" s="224" t="s">
        <v>2</v>
      </c>
    </row>
    <row r="10041" spans="1:9" x14ac:dyDescent="0.25">
      <c r="A10041" s="515">
        <v>31329</v>
      </c>
      <c r="B10041" s="515" t="s">
        <v>351</v>
      </c>
      <c r="C10041" s="52">
        <v>240341.79498872001</v>
      </c>
      <c r="D10041" s="56">
        <v>0.11767332125222356</v>
      </c>
      <c r="E10041" s="224" t="s">
        <v>2</v>
      </c>
      <c r="F10041" s="515" t="s">
        <v>11239</v>
      </c>
      <c r="G10041" s="52">
        <v>125483.24849458601</v>
      </c>
      <c r="H10041" s="56">
        <v>8.4580350226087286E-2</v>
      </c>
      <c r="I10041" s="224" t="s">
        <v>2</v>
      </c>
    </row>
    <row r="10042" spans="1:9" x14ac:dyDescent="0.25">
      <c r="A10042" s="515">
        <v>53128</v>
      </c>
      <c r="B10042" s="515" t="s">
        <v>1089</v>
      </c>
      <c r="C10042" s="52">
        <v>249942.895723747</v>
      </c>
      <c r="D10042" s="56">
        <v>7.8752055186790709E-2</v>
      </c>
      <c r="E10042" s="224" t="s">
        <v>2</v>
      </c>
      <c r="F10042" s="515" t="s">
        <v>11240</v>
      </c>
      <c r="G10042" s="52">
        <v>548555.20176217798</v>
      </c>
      <c r="H10042" s="56">
        <v>0.10275461291408491</v>
      </c>
      <c r="I10042" s="224" t="s">
        <v>2</v>
      </c>
    </row>
    <row r="10043" spans="1:9" x14ac:dyDescent="0.25">
      <c r="A10043" s="515">
        <v>73075</v>
      </c>
      <c r="C10043" s="52">
        <v>113801.53809904501</v>
      </c>
      <c r="D10043" s="56">
        <v>0.1507365106399238</v>
      </c>
      <c r="E10043" s="224" t="s">
        <v>2</v>
      </c>
      <c r="F10043" s="515" t="s">
        <v>11241</v>
      </c>
      <c r="G10043" s="52">
        <v>142921.286363327</v>
      </c>
      <c r="H10043" s="56">
        <v>8.9338407886380783E-2</v>
      </c>
      <c r="I10043" s="224" t="s">
        <v>2</v>
      </c>
    </row>
    <row r="10044" spans="1:9" x14ac:dyDescent="0.25">
      <c r="A10044" s="515">
        <v>72173</v>
      </c>
      <c r="B10044" s="515" t="s">
        <v>393</v>
      </c>
      <c r="C10044" s="52">
        <v>212497.56209018899</v>
      </c>
      <c r="D10044" s="56">
        <v>9.0949143710382402E-2</v>
      </c>
      <c r="E10044" s="224" t="s">
        <v>2</v>
      </c>
      <c r="F10044" s="515" t="s">
        <v>11242</v>
      </c>
      <c r="G10044" s="52">
        <v>308362.35852911702</v>
      </c>
      <c r="H10044" s="56">
        <v>0.17481653100445149</v>
      </c>
      <c r="I10044" s="224" t="s">
        <v>2</v>
      </c>
    </row>
    <row r="10045" spans="1:9" x14ac:dyDescent="0.25">
      <c r="A10045" s="515">
        <v>47001</v>
      </c>
      <c r="B10045" s="515" t="s">
        <v>344</v>
      </c>
      <c r="C10045" s="52">
        <v>223171.12712753299</v>
      </c>
      <c r="D10045" s="56">
        <v>9.8627503415275236E-2</v>
      </c>
      <c r="E10045" s="224" t="s">
        <v>2</v>
      </c>
      <c r="F10045" s="515" t="s">
        <v>11243</v>
      </c>
      <c r="G10045" s="52">
        <v>862696.46459238802</v>
      </c>
      <c r="H10045" s="56">
        <v>-4.410219420560807E-2</v>
      </c>
      <c r="I10045" s="224" t="s">
        <v>2</v>
      </c>
    </row>
    <row r="10046" spans="1:9" x14ac:dyDescent="0.25">
      <c r="A10046" s="515">
        <v>87801</v>
      </c>
      <c r="C10046" s="52">
        <v>160232.74592663799</v>
      </c>
      <c r="D10046" s="56">
        <v>5.51311479063172E-2</v>
      </c>
      <c r="E10046" s="224" t="s">
        <v>2</v>
      </c>
      <c r="F10046" s="515" t="s">
        <v>11244</v>
      </c>
      <c r="G10046" s="52">
        <v>258928.311786134</v>
      </c>
      <c r="H10046" s="56">
        <v>7.5230367367466799E-2</v>
      </c>
      <c r="I10046" s="224" t="s">
        <v>2</v>
      </c>
    </row>
    <row r="10047" spans="1:9" x14ac:dyDescent="0.25">
      <c r="A10047" s="515">
        <v>16866</v>
      </c>
      <c r="B10047" s="515" t="s">
        <v>491</v>
      </c>
      <c r="C10047" s="52">
        <v>131494.503381082</v>
      </c>
      <c r="D10047" s="56">
        <v>4.2358468550770099E-2</v>
      </c>
      <c r="E10047" s="224" t="s">
        <v>2</v>
      </c>
      <c r="F10047" s="515" t="s">
        <v>11245</v>
      </c>
      <c r="G10047" s="52">
        <v>423577.54132744001</v>
      </c>
      <c r="H10047" s="56">
        <v>4.1068237505770266E-2</v>
      </c>
      <c r="I10047" s="224" t="s">
        <v>2</v>
      </c>
    </row>
    <row r="10048" spans="1:9" x14ac:dyDescent="0.25">
      <c r="A10048" s="515">
        <v>6896</v>
      </c>
      <c r="B10048" s="515" t="s">
        <v>1173</v>
      </c>
      <c r="C10048" s="52">
        <v>703381.57048301399</v>
      </c>
      <c r="D10048" s="56">
        <v>7.8669454023929955E-2</v>
      </c>
      <c r="E10048" s="224" t="s">
        <v>2</v>
      </c>
      <c r="F10048" s="515" t="s">
        <v>11246</v>
      </c>
      <c r="G10048" s="52">
        <v>120938.541436707</v>
      </c>
      <c r="H10048" s="56">
        <v>0.28504515985771101</v>
      </c>
      <c r="I10048" s="224" t="s">
        <v>2</v>
      </c>
    </row>
    <row r="10049" spans="1:9" x14ac:dyDescent="0.25">
      <c r="A10049" s="515">
        <v>55051</v>
      </c>
      <c r="C10049" s="52">
        <v>243303.35027481199</v>
      </c>
      <c r="D10049" s="56">
        <v>0.13291031032936504</v>
      </c>
      <c r="E10049" s="224" t="s">
        <v>2</v>
      </c>
      <c r="F10049" s="515" t="s">
        <v>11247</v>
      </c>
      <c r="G10049" s="52">
        <v>230991.93495023801</v>
      </c>
      <c r="H10049" s="56">
        <v>0.14290148096975877</v>
      </c>
      <c r="I10049" s="224" t="s">
        <v>2</v>
      </c>
    </row>
    <row r="10050" spans="1:9" x14ac:dyDescent="0.25">
      <c r="A10050" s="515">
        <v>14032</v>
      </c>
      <c r="B10050" s="515" t="s">
        <v>336</v>
      </c>
      <c r="C10050" s="52">
        <v>484970.24050057097</v>
      </c>
      <c r="D10050" s="56">
        <v>8.2448552645332449E-2</v>
      </c>
      <c r="E10050" s="224" t="s">
        <v>2</v>
      </c>
      <c r="F10050" s="515" t="s">
        <v>11248</v>
      </c>
      <c r="G10050" s="52">
        <v>96678.874080421199</v>
      </c>
      <c r="H10050" s="56">
        <v>-8.1706118446744011E-3</v>
      </c>
      <c r="I10050" s="224" t="s">
        <v>2</v>
      </c>
    </row>
    <row r="10051" spans="1:9" x14ac:dyDescent="0.25">
      <c r="A10051" s="515">
        <v>65625</v>
      </c>
      <c r="C10051" s="52">
        <v>176488.01644155901</v>
      </c>
      <c r="D10051" s="56">
        <v>9.3830912123036236E-2</v>
      </c>
      <c r="E10051" s="224" t="s">
        <v>2</v>
      </c>
      <c r="F10051" s="515" t="s">
        <v>11249</v>
      </c>
      <c r="G10051" s="52">
        <v>118747.25215542001</v>
      </c>
      <c r="H10051" s="56">
        <v>-1.3598555278673669E-2</v>
      </c>
      <c r="I10051" s="224" t="s">
        <v>2</v>
      </c>
    </row>
    <row r="10052" spans="1:9" x14ac:dyDescent="0.25">
      <c r="A10052" s="515">
        <v>35906</v>
      </c>
      <c r="B10052" s="515" t="s">
        <v>978</v>
      </c>
      <c r="C10052" s="52">
        <v>220795.79430709401</v>
      </c>
      <c r="D10052" s="56">
        <v>6.8432030101666985E-2</v>
      </c>
      <c r="E10052" s="224" t="s">
        <v>2</v>
      </c>
      <c r="F10052" s="515" t="s">
        <v>11250</v>
      </c>
      <c r="G10052" s="52">
        <v>120968.883642131</v>
      </c>
      <c r="H10052" s="56">
        <v>-8.5420699763445934E-2</v>
      </c>
      <c r="I10052" s="224" t="s">
        <v>2</v>
      </c>
    </row>
    <row r="10053" spans="1:9" x14ac:dyDescent="0.25">
      <c r="A10053" s="515">
        <v>44255</v>
      </c>
      <c r="B10053" s="515" t="s">
        <v>1000</v>
      </c>
      <c r="C10053" s="52">
        <v>246329.09248912599</v>
      </c>
      <c r="D10053" s="56">
        <v>8.5804235465753304E-2</v>
      </c>
      <c r="E10053" s="224" t="s">
        <v>2</v>
      </c>
      <c r="F10053" s="515" t="s">
        <v>11251</v>
      </c>
      <c r="G10053" s="52">
        <v>91510.059902834197</v>
      </c>
      <c r="H10053" s="56">
        <v>2.7836691003297644E-2</v>
      </c>
      <c r="I10053" s="224" t="s">
        <v>2</v>
      </c>
    </row>
    <row r="10054" spans="1:9" x14ac:dyDescent="0.25">
      <c r="A10054" s="515">
        <v>31510</v>
      </c>
      <c r="C10054" s="52">
        <v>114646.988549534</v>
      </c>
      <c r="D10054" s="56">
        <v>5.9670145171444137E-2</v>
      </c>
      <c r="E10054" s="224" t="s">
        <v>2</v>
      </c>
      <c r="F10054" s="515" t="s">
        <v>11252</v>
      </c>
      <c r="G10054" s="52">
        <v>130611.84146697199</v>
      </c>
      <c r="H10054" s="56">
        <v>1.6751094015095211E-2</v>
      </c>
      <c r="I10054" s="224" t="s">
        <v>2</v>
      </c>
    </row>
    <row r="10055" spans="1:9" x14ac:dyDescent="0.25">
      <c r="A10055" s="515">
        <v>46819</v>
      </c>
      <c r="B10055" s="515" t="s">
        <v>1031</v>
      </c>
      <c r="C10055" s="52">
        <v>180613.47495204001</v>
      </c>
      <c r="D10055" s="56">
        <v>6.3242868405650049E-2</v>
      </c>
      <c r="E10055" s="224" t="s">
        <v>2</v>
      </c>
      <c r="F10055" s="515" t="s">
        <v>11253</v>
      </c>
      <c r="G10055" s="52">
        <v>248969.96658928</v>
      </c>
      <c r="H10055" s="56">
        <v>5.468555567045532E-2</v>
      </c>
      <c r="I10055" s="224" t="s">
        <v>2</v>
      </c>
    </row>
    <row r="10056" spans="1:9" x14ac:dyDescent="0.25">
      <c r="A10056" s="515">
        <v>76078</v>
      </c>
      <c r="B10056" s="515" t="s">
        <v>458</v>
      </c>
      <c r="C10056" s="52">
        <v>347180.41507804301</v>
      </c>
      <c r="D10056" s="56">
        <v>7.8320003053720208E-2</v>
      </c>
      <c r="E10056" s="224">
        <v>1995</v>
      </c>
      <c r="F10056" s="515" t="s">
        <v>11254</v>
      </c>
      <c r="G10056" s="52">
        <v>390104.407529469</v>
      </c>
      <c r="H10056" s="56">
        <v>0.13681097839131723</v>
      </c>
      <c r="I10056" s="224" t="s">
        <v>2</v>
      </c>
    </row>
    <row r="10057" spans="1:9" x14ac:dyDescent="0.25">
      <c r="A10057" s="515">
        <v>43019</v>
      </c>
      <c r="B10057" s="515" t="s">
        <v>341</v>
      </c>
      <c r="C10057" s="52">
        <v>226980.444121876</v>
      </c>
      <c r="D10057" s="56">
        <v>0.10614878915752704</v>
      </c>
      <c r="E10057" s="224" t="s">
        <v>2</v>
      </c>
      <c r="F10057" s="515" t="s">
        <v>11255</v>
      </c>
      <c r="G10057" s="52">
        <v>158823.94277843399</v>
      </c>
      <c r="H10057" s="56">
        <v>7.5317211577337215E-2</v>
      </c>
      <c r="I10057" s="224" t="s">
        <v>2</v>
      </c>
    </row>
    <row r="10058" spans="1:9" x14ac:dyDescent="0.25">
      <c r="A10058" s="515">
        <v>7605</v>
      </c>
      <c r="B10058" s="515" t="s">
        <v>324</v>
      </c>
      <c r="C10058" s="52">
        <v>659016.43066063896</v>
      </c>
      <c r="D10058" s="56">
        <v>3.4002798512526022E-2</v>
      </c>
      <c r="E10058" s="224">
        <v>2750</v>
      </c>
      <c r="F10058" s="515" t="s">
        <v>11256</v>
      </c>
      <c r="G10058" s="52">
        <v>294514.71684486198</v>
      </c>
      <c r="H10058" s="56">
        <v>0.1063173526576624</v>
      </c>
      <c r="I10058" s="224" t="s">
        <v>2</v>
      </c>
    </row>
    <row r="10059" spans="1:9" x14ac:dyDescent="0.25">
      <c r="A10059" s="515">
        <v>73065</v>
      </c>
      <c r="B10059" s="515" t="s">
        <v>385</v>
      </c>
      <c r="C10059" s="52">
        <v>263763.58568601398</v>
      </c>
      <c r="D10059" s="56">
        <v>6.9261729947742712E-2</v>
      </c>
      <c r="E10059" s="224">
        <v>1475</v>
      </c>
      <c r="F10059" s="515" t="s">
        <v>11257</v>
      </c>
      <c r="G10059" s="52">
        <v>111415.912446884</v>
      </c>
      <c r="H10059" s="56">
        <v>-8.5489034849902251E-3</v>
      </c>
      <c r="I10059" s="224" t="s">
        <v>2</v>
      </c>
    </row>
    <row r="10060" spans="1:9" x14ac:dyDescent="0.25">
      <c r="A10060" s="515">
        <v>65672</v>
      </c>
      <c r="B10060" s="515" t="s">
        <v>757</v>
      </c>
      <c r="C10060" s="52">
        <v>261470.52642162301</v>
      </c>
      <c r="D10060" s="56">
        <v>0.11853741355593599</v>
      </c>
      <c r="E10060" s="224" t="s">
        <v>2</v>
      </c>
      <c r="F10060" s="515" t="s">
        <v>11258</v>
      </c>
      <c r="G10060" s="52">
        <v>267571.24208872899</v>
      </c>
      <c r="H10060" s="56">
        <v>9.788215236881409E-2</v>
      </c>
      <c r="I10060" s="224" t="s">
        <v>2</v>
      </c>
    </row>
    <row r="10061" spans="1:9" x14ac:dyDescent="0.25">
      <c r="A10061" s="515">
        <v>29654</v>
      </c>
      <c r="B10061" s="515" t="s">
        <v>613</v>
      </c>
      <c r="C10061" s="52">
        <v>168473.284054335</v>
      </c>
      <c r="D10061" s="56">
        <v>0.10811446636070328</v>
      </c>
      <c r="E10061" s="224" t="s">
        <v>2</v>
      </c>
      <c r="F10061" s="515" t="s">
        <v>11259</v>
      </c>
      <c r="G10061" s="52">
        <v>389287.45821063902</v>
      </c>
      <c r="H10061" s="56">
        <v>2.8201784666014584E-2</v>
      </c>
      <c r="I10061" s="224" t="s">
        <v>2</v>
      </c>
    </row>
    <row r="10062" spans="1:9" x14ac:dyDescent="0.25">
      <c r="A10062" s="515">
        <v>43935</v>
      </c>
      <c r="B10062" s="515" t="s">
        <v>442</v>
      </c>
      <c r="C10062" s="52">
        <v>86252.329195492493</v>
      </c>
      <c r="D10062" s="56">
        <v>0.10372359528390712</v>
      </c>
      <c r="E10062" s="224" t="s">
        <v>2</v>
      </c>
      <c r="F10062" s="515" t="s">
        <v>11260</v>
      </c>
      <c r="G10062" s="52">
        <v>560311.56331241899</v>
      </c>
      <c r="H10062" s="56">
        <v>-3.739033978400752E-2</v>
      </c>
      <c r="I10062" s="224" t="s">
        <v>2</v>
      </c>
    </row>
    <row r="10063" spans="1:9" x14ac:dyDescent="0.25">
      <c r="A10063" s="515">
        <v>4444</v>
      </c>
      <c r="B10063" s="515" t="s">
        <v>792</v>
      </c>
      <c r="C10063" s="52">
        <v>293775.29076084797</v>
      </c>
      <c r="D10063" s="56">
        <v>0.1047767982424164</v>
      </c>
      <c r="E10063" s="224" t="s">
        <v>2</v>
      </c>
      <c r="F10063" s="515" t="s">
        <v>11261</v>
      </c>
      <c r="G10063" s="52">
        <v>158861.13032389799</v>
      </c>
      <c r="H10063" s="56">
        <v>3.8613663053879532E-2</v>
      </c>
      <c r="I10063" s="224" t="s">
        <v>2</v>
      </c>
    </row>
    <row r="10064" spans="1:9" x14ac:dyDescent="0.25">
      <c r="A10064" s="515">
        <v>30453</v>
      </c>
      <c r="C10064" s="52">
        <v>129980.082238844</v>
      </c>
      <c r="D10064" s="56">
        <v>4.6726728671334782E-2</v>
      </c>
      <c r="E10064" s="224" t="s">
        <v>2</v>
      </c>
      <c r="F10064" s="515" t="s">
        <v>11262</v>
      </c>
      <c r="G10064" s="52">
        <v>45292.373546114999</v>
      </c>
      <c r="H10064" s="56">
        <v>0.17166425116584388</v>
      </c>
      <c r="I10064" s="224" t="s">
        <v>2</v>
      </c>
    </row>
    <row r="10065" spans="1:9" x14ac:dyDescent="0.25">
      <c r="A10065" s="515">
        <v>42437</v>
      </c>
      <c r="C10065" s="52">
        <v>131869.42540264101</v>
      </c>
      <c r="D10065" s="56">
        <v>0.11711943380544934</v>
      </c>
      <c r="E10065" s="224" t="s">
        <v>2</v>
      </c>
      <c r="F10065" s="515" t="s">
        <v>11263</v>
      </c>
      <c r="G10065" s="52">
        <v>115292.08760232601</v>
      </c>
      <c r="H10065" s="56">
        <v>0.11216824562466991</v>
      </c>
      <c r="I10065" s="224" t="s">
        <v>2</v>
      </c>
    </row>
    <row r="10066" spans="1:9" x14ac:dyDescent="0.25">
      <c r="A10066" s="515">
        <v>94572</v>
      </c>
      <c r="B10066" s="515" t="s">
        <v>593</v>
      </c>
      <c r="C10066" s="52">
        <v>651558.87931370304</v>
      </c>
      <c r="D10066" s="56">
        <v>1.3811285070523642E-3</v>
      </c>
      <c r="E10066" s="224" t="s">
        <v>2</v>
      </c>
      <c r="F10066" s="515" t="s">
        <v>11264</v>
      </c>
      <c r="G10066" s="52">
        <v>58666.838512116898</v>
      </c>
      <c r="H10066" s="56">
        <v>2.7177769428794091E-2</v>
      </c>
      <c r="I10066" s="224" t="s">
        <v>2</v>
      </c>
    </row>
    <row r="10067" spans="1:9" x14ac:dyDescent="0.25">
      <c r="A10067" s="515">
        <v>64834</v>
      </c>
      <c r="B10067" s="515" t="s">
        <v>784</v>
      </c>
      <c r="C10067" s="52">
        <v>228220.00876141401</v>
      </c>
      <c r="D10067" s="56">
        <v>7.524854491109223E-2</v>
      </c>
      <c r="E10067" s="224" t="s">
        <v>2</v>
      </c>
      <c r="F10067" s="515" t="s">
        <v>11265</v>
      </c>
      <c r="G10067" s="52">
        <v>162733.753678026</v>
      </c>
      <c r="H10067" s="56">
        <v>5.1145814424229767E-2</v>
      </c>
      <c r="I10067" s="224" t="s">
        <v>2</v>
      </c>
    </row>
    <row r="10068" spans="1:9" x14ac:dyDescent="0.25">
      <c r="A10068" s="515">
        <v>37757</v>
      </c>
      <c r="B10068" s="515" t="s">
        <v>907</v>
      </c>
      <c r="C10068" s="52">
        <v>242413.45687138601</v>
      </c>
      <c r="D10068" s="56">
        <v>8.3491226759686676E-2</v>
      </c>
      <c r="E10068" s="224" t="s">
        <v>2</v>
      </c>
      <c r="F10068" s="515" t="s">
        <v>11266</v>
      </c>
      <c r="G10068" s="52">
        <v>288431.791556735</v>
      </c>
      <c r="H10068" s="56">
        <v>6.2155377184763556E-2</v>
      </c>
      <c r="I10068" s="224" t="s">
        <v>2</v>
      </c>
    </row>
    <row r="10069" spans="1:9" x14ac:dyDescent="0.25">
      <c r="A10069" s="515">
        <v>7034</v>
      </c>
      <c r="B10069" s="515" t="s">
        <v>324</v>
      </c>
      <c r="C10069" s="52">
        <v>396267.235426103</v>
      </c>
      <c r="D10069" s="56">
        <v>5.0027367386627039E-2</v>
      </c>
      <c r="E10069" s="224" t="s">
        <v>2</v>
      </c>
      <c r="F10069" s="515" t="s">
        <v>11267</v>
      </c>
      <c r="G10069" s="52">
        <v>270530.39182806399</v>
      </c>
      <c r="H10069" s="56">
        <v>7.4321055548507625E-2</v>
      </c>
      <c r="I10069" s="224" t="s">
        <v>2</v>
      </c>
    </row>
    <row r="10070" spans="1:9" x14ac:dyDescent="0.25">
      <c r="A10070" s="515">
        <v>1151</v>
      </c>
      <c r="B10070" s="515" t="s">
        <v>575</v>
      </c>
      <c r="C10070" s="52">
        <v>236030.59547201401</v>
      </c>
      <c r="D10070" s="56">
        <v>6.2210745912009487E-2</v>
      </c>
      <c r="E10070" s="224" t="s">
        <v>2</v>
      </c>
      <c r="F10070" s="515" t="s">
        <v>11268</v>
      </c>
      <c r="G10070" s="52">
        <v>194968.60595664801</v>
      </c>
      <c r="H10070" s="56">
        <v>-3.706547061262781E-3</v>
      </c>
      <c r="I10070" s="224" t="s">
        <v>2</v>
      </c>
    </row>
    <row r="10071" spans="1:9" x14ac:dyDescent="0.25">
      <c r="A10071" s="515">
        <v>26070</v>
      </c>
      <c r="B10071" s="515" t="s">
        <v>389</v>
      </c>
      <c r="C10071" s="52">
        <v>114731.532230988</v>
      </c>
      <c r="D10071" s="56">
        <v>9.4283640319521425E-2</v>
      </c>
      <c r="E10071" s="224" t="s">
        <v>2</v>
      </c>
      <c r="F10071" s="515" t="s">
        <v>11269</v>
      </c>
      <c r="G10071" s="52">
        <v>325666.73677797499</v>
      </c>
      <c r="H10071" s="56">
        <v>0.28558802845247977</v>
      </c>
      <c r="I10071" s="224" t="s">
        <v>2</v>
      </c>
    </row>
    <row r="10072" spans="1:9" x14ac:dyDescent="0.25">
      <c r="A10072" s="515">
        <v>22664</v>
      </c>
      <c r="C10072" s="52">
        <v>288393.94217419002</v>
      </c>
      <c r="D10072" s="56">
        <v>9.435001477658124E-2</v>
      </c>
      <c r="E10072" s="224" t="s">
        <v>2</v>
      </c>
      <c r="F10072" s="515" t="s">
        <v>11270</v>
      </c>
      <c r="G10072" s="52">
        <v>144483.46577779399</v>
      </c>
      <c r="H10072" s="56">
        <v>0.11383903518696831</v>
      </c>
      <c r="I10072" s="224" t="s">
        <v>2</v>
      </c>
    </row>
    <row r="10073" spans="1:9" x14ac:dyDescent="0.25">
      <c r="A10073" s="515">
        <v>7073</v>
      </c>
      <c r="B10073" s="515" t="s">
        <v>324</v>
      </c>
      <c r="C10073" s="52">
        <v>497400.88530804601</v>
      </c>
      <c r="D10073" s="56">
        <v>7.9531321019848215E-3</v>
      </c>
      <c r="E10073" s="224">
        <v>2567.2666666666601</v>
      </c>
      <c r="F10073" s="515" t="s">
        <v>11271</v>
      </c>
      <c r="G10073" s="52">
        <v>188443.514791522</v>
      </c>
      <c r="H10073" s="56">
        <v>0.11398847240102757</v>
      </c>
      <c r="I10073" s="224" t="s">
        <v>2</v>
      </c>
    </row>
    <row r="10074" spans="1:9" x14ac:dyDescent="0.25">
      <c r="A10074" s="515">
        <v>16417</v>
      </c>
      <c r="B10074" s="515" t="s">
        <v>753</v>
      </c>
      <c r="C10074" s="52">
        <v>186457.35789817601</v>
      </c>
      <c r="D10074" s="56">
        <v>5.355422056304629E-2</v>
      </c>
      <c r="E10074" s="224" t="s">
        <v>2</v>
      </c>
      <c r="F10074" s="515" t="s">
        <v>11272</v>
      </c>
      <c r="G10074" s="52">
        <v>275740.84633906302</v>
      </c>
      <c r="H10074" s="56">
        <v>0.1384946969349152</v>
      </c>
      <c r="I10074" s="224" t="s">
        <v>2</v>
      </c>
    </row>
    <row r="10075" spans="1:9" x14ac:dyDescent="0.25">
      <c r="A10075" s="515">
        <v>80549</v>
      </c>
      <c r="B10075" s="515" t="s">
        <v>738</v>
      </c>
      <c r="C10075" s="52">
        <v>463520.23768545</v>
      </c>
      <c r="D10075" s="56">
        <v>3.1376884633072269E-2</v>
      </c>
      <c r="E10075" s="224" t="s">
        <v>2</v>
      </c>
      <c r="F10075" s="515" t="s">
        <v>11273</v>
      </c>
      <c r="G10075" s="52">
        <v>255397.56045691401</v>
      </c>
      <c r="H10075" s="56">
        <v>9.5088438090668345E-2</v>
      </c>
      <c r="I10075" s="224" t="s">
        <v>2</v>
      </c>
    </row>
    <row r="10076" spans="1:9" x14ac:dyDescent="0.25">
      <c r="A10076" s="515">
        <v>57042</v>
      </c>
      <c r="C10076" s="52">
        <v>220242.98695030101</v>
      </c>
      <c r="D10076" s="56">
        <v>0.18648901890798034</v>
      </c>
      <c r="E10076" s="224" t="s">
        <v>2</v>
      </c>
      <c r="F10076" s="515" t="s">
        <v>11274</v>
      </c>
      <c r="G10076" s="52">
        <v>406630.47034586302</v>
      </c>
      <c r="H10076" s="56">
        <v>9.7652524676007463E-2</v>
      </c>
      <c r="I10076" s="224" t="s">
        <v>2</v>
      </c>
    </row>
    <row r="10077" spans="1:9" x14ac:dyDescent="0.25">
      <c r="A10077" s="515">
        <v>49078</v>
      </c>
      <c r="B10077" s="515" t="s">
        <v>856</v>
      </c>
      <c r="C10077" s="52">
        <v>211969.59440098301</v>
      </c>
      <c r="D10077" s="56">
        <v>5.5726160629597794E-2</v>
      </c>
      <c r="E10077" s="224" t="s">
        <v>2</v>
      </c>
      <c r="F10077" s="515" t="s">
        <v>11275</v>
      </c>
      <c r="G10077" s="52">
        <v>195401.63519610799</v>
      </c>
      <c r="H10077" s="56">
        <v>5.4902422255275432E-2</v>
      </c>
      <c r="I10077" s="224" t="s">
        <v>2</v>
      </c>
    </row>
    <row r="10078" spans="1:9" x14ac:dyDescent="0.25">
      <c r="A10078" s="515">
        <v>24016</v>
      </c>
      <c r="B10078" s="515" t="s">
        <v>861</v>
      </c>
      <c r="C10078" s="52">
        <v>129431.882290496</v>
      </c>
      <c r="D10078" s="56">
        <v>9.4052162034953132E-2</v>
      </c>
      <c r="E10078" s="224">
        <v>979.25</v>
      </c>
      <c r="F10078" s="515" t="s">
        <v>11276</v>
      </c>
      <c r="G10078" s="52">
        <v>149851.07735901899</v>
      </c>
      <c r="H10078" s="56">
        <v>8.9499268657119574E-2</v>
      </c>
      <c r="I10078" s="224" t="s">
        <v>2</v>
      </c>
    </row>
    <row r="10079" spans="1:9" x14ac:dyDescent="0.25">
      <c r="A10079" s="515">
        <v>4769</v>
      </c>
      <c r="C10079" s="52">
        <v>153896.170240965</v>
      </c>
      <c r="D10079" s="56">
        <v>0.14019372491144325</v>
      </c>
      <c r="E10079" s="224" t="s">
        <v>2</v>
      </c>
      <c r="F10079" s="515" t="s">
        <v>11277</v>
      </c>
      <c r="G10079" s="52">
        <v>173959.56260975901</v>
      </c>
      <c r="H10079" s="56">
        <v>4.6123848445808774E-2</v>
      </c>
      <c r="I10079" s="224" t="s">
        <v>2</v>
      </c>
    </row>
    <row r="10080" spans="1:9" x14ac:dyDescent="0.25">
      <c r="A10080" s="515">
        <v>78957</v>
      </c>
      <c r="B10080" s="515" t="s">
        <v>380</v>
      </c>
      <c r="C10080" s="52">
        <v>328344.909222877</v>
      </c>
      <c r="D10080" s="56">
        <v>8.8150465189611879E-2</v>
      </c>
      <c r="E10080" s="224" t="s">
        <v>2</v>
      </c>
      <c r="F10080" s="515" t="s">
        <v>11278</v>
      </c>
      <c r="G10080" s="52">
        <v>172868.95389464399</v>
      </c>
      <c r="H10080" s="56">
        <v>4.8955410035458502E-2</v>
      </c>
      <c r="I10080" s="224" t="s">
        <v>2</v>
      </c>
    </row>
    <row r="10081" spans="1:9" x14ac:dyDescent="0.25">
      <c r="A10081" s="515">
        <v>61065</v>
      </c>
      <c r="B10081" s="515" t="s">
        <v>1104</v>
      </c>
      <c r="C10081" s="52">
        <v>211433.617372276</v>
      </c>
      <c r="D10081" s="56">
        <v>5.68839565873515E-2</v>
      </c>
      <c r="E10081" s="224" t="s">
        <v>2</v>
      </c>
      <c r="F10081" s="515" t="s">
        <v>11279</v>
      </c>
      <c r="G10081" s="52">
        <v>107465.108891857</v>
      </c>
      <c r="H10081" s="56">
        <v>-0.13086085848768753</v>
      </c>
      <c r="I10081" s="224" t="s">
        <v>2</v>
      </c>
    </row>
    <row r="10082" spans="1:9" x14ac:dyDescent="0.25">
      <c r="A10082" s="515">
        <v>27542</v>
      </c>
      <c r="B10082" s="515" t="s">
        <v>484</v>
      </c>
      <c r="C10082" s="52">
        <v>218462.48068356101</v>
      </c>
      <c r="D10082" s="56">
        <v>0.17038723723170324</v>
      </c>
      <c r="E10082" s="224" t="s">
        <v>2</v>
      </c>
      <c r="F10082" s="515" t="s">
        <v>11280</v>
      </c>
      <c r="G10082" s="52">
        <v>262052.80303621999</v>
      </c>
      <c r="H10082" s="56">
        <v>5.4341007875800679E-2</v>
      </c>
      <c r="I10082" s="224" t="s">
        <v>2</v>
      </c>
    </row>
    <row r="10083" spans="1:9" x14ac:dyDescent="0.25">
      <c r="A10083" s="515">
        <v>14428</v>
      </c>
      <c r="B10083" s="515" t="s">
        <v>337</v>
      </c>
      <c r="C10083" s="52">
        <v>249073.932491841</v>
      </c>
      <c r="D10083" s="56">
        <v>8.8057887838402862E-2</v>
      </c>
      <c r="E10083" s="224" t="s">
        <v>2</v>
      </c>
      <c r="F10083" s="515" t="s">
        <v>11281</v>
      </c>
      <c r="G10083" s="52">
        <v>1112027.5751557399</v>
      </c>
      <c r="H10083" s="56">
        <v>5.6788020711956211E-2</v>
      </c>
      <c r="I10083" s="224" t="s">
        <v>2</v>
      </c>
    </row>
    <row r="10084" spans="1:9" x14ac:dyDescent="0.25">
      <c r="A10084" s="515">
        <v>18929</v>
      </c>
      <c r="B10084" s="515" t="s">
        <v>294</v>
      </c>
      <c r="C10084" s="52">
        <v>602455.68204290501</v>
      </c>
      <c r="D10084" s="56">
        <v>7.5194724199446103E-2</v>
      </c>
      <c r="E10084" s="224" t="s">
        <v>2</v>
      </c>
      <c r="F10084" s="515" t="s">
        <v>11282</v>
      </c>
      <c r="G10084" s="52">
        <v>338508.04703746201</v>
      </c>
      <c r="H10084" s="56">
        <v>0.14431404532863065</v>
      </c>
      <c r="I10084" s="224" t="s">
        <v>2</v>
      </c>
    </row>
    <row r="10085" spans="1:9" x14ac:dyDescent="0.25">
      <c r="A10085" s="515">
        <v>39428</v>
      </c>
      <c r="B10085" s="515" t="s">
        <v>1074</v>
      </c>
      <c r="C10085" s="52">
        <v>122022.300239156</v>
      </c>
      <c r="D10085" s="56">
        <v>-1.2027721582777389E-2</v>
      </c>
      <c r="E10085" s="224" t="s">
        <v>2</v>
      </c>
      <c r="F10085" s="515" t="s">
        <v>11283</v>
      </c>
      <c r="G10085" s="52">
        <v>250448.03819562099</v>
      </c>
      <c r="H10085" s="56">
        <v>4.1736748748186288E-2</v>
      </c>
      <c r="I10085" s="224" t="s">
        <v>2</v>
      </c>
    </row>
    <row r="10086" spans="1:9" x14ac:dyDescent="0.25">
      <c r="A10086" s="515">
        <v>28090</v>
      </c>
      <c r="B10086" s="515" t="s">
        <v>310</v>
      </c>
      <c r="C10086" s="52">
        <v>122101.474325271</v>
      </c>
      <c r="D10086" s="56">
        <v>0.14793811689094236</v>
      </c>
      <c r="E10086" s="224" t="s">
        <v>2</v>
      </c>
      <c r="F10086" s="515" t="s">
        <v>11284</v>
      </c>
      <c r="G10086" s="52">
        <v>298611.92654303199</v>
      </c>
      <c r="H10086" s="56">
        <v>7.5159665389866265E-2</v>
      </c>
      <c r="I10086" s="224" t="s">
        <v>2</v>
      </c>
    </row>
    <row r="10087" spans="1:9" x14ac:dyDescent="0.25">
      <c r="A10087" s="515">
        <v>16055</v>
      </c>
      <c r="B10087" s="515" t="s">
        <v>297</v>
      </c>
      <c r="C10087" s="52">
        <v>286931.91425002198</v>
      </c>
      <c r="D10087" s="56">
        <v>7.1817140814878416E-2</v>
      </c>
      <c r="E10087" s="224" t="s">
        <v>2</v>
      </c>
      <c r="F10087" s="515" t="s">
        <v>11285</v>
      </c>
      <c r="G10087" s="52">
        <v>277690.223694766</v>
      </c>
      <c r="H10087" s="56">
        <v>1.5993618894000555E-2</v>
      </c>
      <c r="I10087" s="224" t="s">
        <v>2</v>
      </c>
    </row>
    <row r="10088" spans="1:9" x14ac:dyDescent="0.25">
      <c r="A10088" s="515">
        <v>64108</v>
      </c>
      <c r="B10088" s="515" t="s">
        <v>455</v>
      </c>
      <c r="C10088" s="52">
        <v>277184.71811822301</v>
      </c>
      <c r="D10088" s="56">
        <v>6.3320362998808194E-2</v>
      </c>
      <c r="E10088" s="224">
        <v>1584.7833333333299</v>
      </c>
      <c r="F10088" s="515" t="s">
        <v>11286</v>
      </c>
      <c r="G10088" s="52">
        <v>367778.39083396603</v>
      </c>
      <c r="H10088" s="56">
        <v>6.4992626593966249E-2</v>
      </c>
      <c r="I10088" s="224" t="s">
        <v>2</v>
      </c>
    </row>
    <row r="10089" spans="1:9" x14ac:dyDescent="0.25">
      <c r="A10089" s="515">
        <v>72472</v>
      </c>
      <c r="B10089" s="515" t="s">
        <v>673</v>
      </c>
      <c r="C10089" s="52">
        <v>101917.752131271</v>
      </c>
      <c r="D10089" s="56">
        <v>2.4790270476035613E-2</v>
      </c>
      <c r="E10089" s="224" t="s">
        <v>2</v>
      </c>
      <c r="F10089" s="515" t="s">
        <v>11287</v>
      </c>
      <c r="G10089" s="52">
        <v>151798.21448258599</v>
      </c>
      <c r="H10089" s="56">
        <v>7.4490401670710998E-2</v>
      </c>
      <c r="I10089" s="224" t="s">
        <v>2</v>
      </c>
    </row>
    <row r="10090" spans="1:9" x14ac:dyDescent="0.25">
      <c r="A10090" s="515">
        <v>24522</v>
      </c>
      <c r="B10090" s="515" t="s">
        <v>705</v>
      </c>
      <c r="C10090" s="52">
        <v>225795.88028673601</v>
      </c>
      <c r="D10090" s="56">
        <v>7.5599182619764199E-2</v>
      </c>
      <c r="E10090" s="224" t="s">
        <v>2</v>
      </c>
      <c r="F10090" s="515" t="s">
        <v>11288</v>
      </c>
      <c r="G10090" s="52">
        <v>209936.88565551001</v>
      </c>
      <c r="H10090" s="56">
        <v>0.2772548013622908</v>
      </c>
      <c r="I10090" s="224" t="s">
        <v>2</v>
      </c>
    </row>
    <row r="10091" spans="1:9" x14ac:dyDescent="0.25">
      <c r="A10091" s="515">
        <v>31793</v>
      </c>
      <c r="B10091" s="515" t="s">
        <v>1053</v>
      </c>
      <c r="C10091" s="52">
        <v>217298.240240421</v>
      </c>
      <c r="D10091" s="56">
        <v>7.7974787693088882E-2</v>
      </c>
      <c r="E10091" s="224" t="s">
        <v>2</v>
      </c>
      <c r="F10091" s="515" t="s">
        <v>11289</v>
      </c>
      <c r="G10091" s="52">
        <v>273740.47566840501</v>
      </c>
      <c r="H10091" s="56">
        <v>7.6473238383500633E-2</v>
      </c>
      <c r="I10091" s="224" t="s">
        <v>2</v>
      </c>
    </row>
    <row r="10092" spans="1:9" x14ac:dyDescent="0.25">
      <c r="A10092" s="515">
        <v>63117</v>
      </c>
      <c r="B10092" s="515" t="s">
        <v>498</v>
      </c>
      <c r="C10092" s="52">
        <v>323462.82801098598</v>
      </c>
      <c r="D10092" s="56">
        <v>6.6717897429141915E-2</v>
      </c>
      <c r="E10092" s="224">
        <v>1381.38888888888</v>
      </c>
      <c r="F10092" s="515" t="s">
        <v>11290</v>
      </c>
      <c r="G10092" s="52">
        <v>187541.92145445099</v>
      </c>
      <c r="H10092" s="56">
        <v>0.10590210997523235</v>
      </c>
      <c r="I10092" s="224" t="s">
        <v>2</v>
      </c>
    </row>
    <row r="10093" spans="1:9" x14ac:dyDescent="0.25">
      <c r="A10093" s="515">
        <v>28730</v>
      </c>
      <c r="B10093" s="515" t="s">
        <v>668</v>
      </c>
      <c r="C10093" s="52">
        <v>494924.71007576399</v>
      </c>
      <c r="D10093" s="56">
        <v>0.10675748668739515</v>
      </c>
      <c r="E10093" s="224" t="s">
        <v>2</v>
      </c>
      <c r="F10093" s="515" t="s">
        <v>11291</v>
      </c>
      <c r="G10093" s="52">
        <v>459986.04743198201</v>
      </c>
      <c r="H10093" s="56">
        <v>1.216891709331766E-2</v>
      </c>
      <c r="I10093" s="224" t="s">
        <v>2</v>
      </c>
    </row>
    <row r="10094" spans="1:9" x14ac:dyDescent="0.25">
      <c r="A10094" s="515">
        <v>53555</v>
      </c>
      <c r="B10094" s="515" t="s">
        <v>727</v>
      </c>
      <c r="C10094" s="52">
        <v>378056.08276837098</v>
      </c>
      <c r="D10094" s="56">
        <v>7.0686832248186809E-2</v>
      </c>
      <c r="E10094" s="224" t="s">
        <v>2</v>
      </c>
      <c r="F10094" s="515" t="s">
        <v>11292</v>
      </c>
      <c r="G10094" s="52">
        <v>194564.47766993399</v>
      </c>
      <c r="H10094" s="56">
        <v>4.5523193124837956E-2</v>
      </c>
      <c r="I10094" s="224" t="s">
        <v>2</v>
      </c>
    </row>
    <row r="10095" spans="1:9" x14ac:dyDescent="0.25">
      <c r="A10095" s="515">
        <v>67152</v>
      </c>
      <c r="B10095" s="515" t="s">
        <v>485</v>
      </c>
      <c r="C10095" s="52">
        <v>99535.378991261503</v>
      </c>
      <c r="D10095" s="56">
        <v>0.10850258140644889</v>
      </c>
      <c r="E10095" s="224" t="s">
        <v>2</v>
      </c>
      <c r="F10095" s="515" t="s">
        <v>11293</v>
      </c>
      <c r="G10095" s="52">
        <v>420279.33948177699</v>
      </c>
      <c r="H10095" s="56">
        <v>3.4245899764013592E-2</v>
      </c>
      <c r="I10095" s="224" t="s">
        <v>2</v>
      </c>
    </row>
    <row r="10096" spans="1:9" x14ac:dyDescent="0.25">
      <c r="A10096" s="515">
        <v>76446</v>
      </c>
      <c r="B10096" s="515" t="s">
        <v>931</v>
      </c>
      <c r="C10096" s="52">
        <v>204667.13040833801</v>
      </c>
      <c r="D10096" s="56">
        <v>0.1186597461167755</v>
      </c>
      <c r="E10096" s="224" t="s">
        <v>2</v>
      </c>
      <c r="F10096" s="515" t="s">
        <v>11294</v>
      </c>
      <c r="G10096" s="52">
        <v>118577.709725968</v>
      </c>
      <c r="H10096" s="56">
        <v>6.885822388641144E-2</v>
      </c>
      <c r="I10096" s="224" t="s">
        <v>2</v>
      </c>
    </row>
    <row r="10097" spans="1:9" x14ac:dyDescent="0.25">
      <c r="A10097" s="515">
        <v>92314</v>
      </c>
      <c r="B10097" s="515" t="s">
        <v>599</v>
      </c>
      <c r="C10097" s="52">
        <v>437192.36815847398</v>
      </c>
      <c r="D10097" s="56">
        <v>5.9117892586074715E-2</v>
      </c>
      <c r="E10097" s="224" t="s">
        <v>2</v>
      </c>
      <c r="F10097" s="515" t="s">
        <v>11295</v>
      </c>
      <c r="G10097" s="52">
        <v>451237.91099103098</v>
      </c>
      <c r="H10097" s="56">
        <v>6.2134868770349717E-2</v>
      </c>
      <c r="I10097" s="224" t="s">
        <v>2</v>
      </c>
    </row>
    <row r="10098" spans="1:9" x14ac:dyDescent="0.25">
      <c r="A10098" s="515">
        <v>49038</v>
      </c>
      <c r="B10098" s="515" t="s">
        <v>698</v>
      </c>
      <c r="C10098" s="52">
        <v>202300.59279685601</v>
      </c>
      <c r="D10098" s="56">
        <v>6.6631746394950689E-2</v>
      </c>
      <c r="E10098" s="224" t="s">
        <v>2</v>
      </c>
      <c r="F10098" s="515" t="s">
        <v>11296</v>
      </c>
      <c r="G10098" s="52">
        <v>82441.815138667895</v>
      </c>
      <c r="H10098" s="56">
        <v>-3.6337745092250248E-3</v>
      </c>
      <c r="I10098" s="224" t="s">
        <v>2</v>
      </c>
    </row>
    <row r="10099" spans="1:9" x14ac:dyDescent="0.25">
      <c r="A10099" s="515">
        <v>42539</v>
      </c>
      <c r="C10099" s="52">
        <v>117385.422698957</v>
      </c>
      <c r="D10099" s="56">
        <v>0.16759999526883762</v>
      </c>
      <c r="E10099" s="224" t="s">
        <v>2</v>
      </c>
      <c r="F10099" s="515" t="s">
        <v>11297</v>
      </c>
      <c r="G10099" s="52">
        <v>212326.65527669599</v>
      </c>
      <c r="H10099" s="56">
        <v>0.17414672094357697</v>
      </c>
      <c r="I10099" s="224" t="s">
        <v>2</v>
      </c>
    </row>
    <row r="10100" spans="1:9" x14ac:dyDescent="0.25">
      <c r="A10100" s="515">
        <v>44028</v>
      </c>
      <c r="B10100" s="515" t="s">
        <v>520</v>
      </c>
      <c r="C10100" s="52">
        <v>306328.422214597</v>
      </c>
      <c r="D10100" s="56">
        <v>0.10093617716189325</v>
      </c>
      <c r="E10100" s="224" t="s">
        <v>2</v>
      </c>
      <c r="F10100" s="515" t="s">
        <v>11298</v>
      </c>
      <c r="G10100" s="52">
        <v>597629.79322714801</v>
      </c>
      <c r="H10100" s="56">
        <v>3.5450856930152118E-2</v>
      </c>
      <c r="I10100" s="224" t="s">
        <v>2</v>
      </c>
    </row>
    <row r="10101" spans="1:9" x14ac:dyDescent="0.25">
      <c r="A10101" s="515">
        <v>97487</v>
      </c>
      <c r="B10101" s="515" t="s">
        <v>801</v>
      </c>
      <c r="C10101" s="52">
        <v>409885.22047820099</v>
      </c>
      <c r="D10101" s="56">
        <v>3.9570999003667638E-2</v>
      </c>
      <c r="E10101" s="224" t="s">
        <v>2</v>
      </c>
      <c r="F10101" s="515" t="s">
        <v>11299</v>
      </c>
      <c r="G10101" s="52">
        <v>201236.45799457899</v>
      </c>
      <c r="H10101" s="56">
        <v>0</v>
      </c>
      <c r="I10101" s="224" t="s">
        <v>2</v>
      </c>
    </row>
    <row r="10102" spans="1:9" x14ac:dyDescent="0.25">
      <c r="A10102" s="515">
        <v>72110</v>
      </c>
      <c r="C10102" s="52">
        <v>130546.69371558299</v>
      </c>
      <c r="D10102" s="56">
        <v>3.8889167927972638E-2</v>
      </c>
      <c r="E10102" s="224" t="s">
        <v>2</v>
      </c>
      <c r="F10102" s="515" t="s">
        <v>11300</v>
      </c>
      <c r="G10102" s="52">
        <v>403984.42825225601</v>
      </c>
      <c r="H10102" s="56">
        <v>4.5969349123695456E-2</v>
      </c>
      <c r="I10102" s="224" t="s">
        <v>2</v>
      </c>
    </row>
    <row r="10103" spans="1:9" x14ac:dyDescent="0.25">
      <c r="A10103" s="515">
        <v>6525</v>
      </c>
      <c r="B10103" s="515" t="s">
        <v>1172</v>
      </c>
      <c r="C10103" s="52">
        <v>536815.71676383202</v>
      </c>
      <c r="D10103" s="56">
        <v>0.10284887440429177</v>
      </c>
      <c r="E10103" s="224" t="s">
        <v>2</v>
      </c>
      <c r="F10103" s="515" t="s">
        <v>11301</v>
      </c>
      <c r="G10103" s="52">
        <v>243246.09756385599</v>
      </c>
      <c r="H10103" s="56">
        <v>7.1452808157920752E-2</v>
      </c>
      <c r="I10103" s="224" t="s">
        <v>2</v>
      </c>
    </row>
    <row r="10104" spans="1:9" x14ac:dyDescent="0.25">
      <c r="A10104" s="515">
        <v>49866</v>
      </c>
      <c r="B10104" s="515" t="s">
        <v>440</v>
      </c>
      <c r="C10104" s="52">
        <v>190306.9156258</v>
      </c>
      <c r="D10104" s="56">
        <v>0.12910529344480684</v>
      </c>
      <c r="E10104" s="224" t="s">
        <v>2</v>
      </c>
      <c r="F10104" s="515" t="s">
        <v>11302</v>
      </c>
      <c r="G10104" s="52">
        <v>1209459.40723196</v>
      </c>
      <c r="H10104" s="56">
        <v>7.9407741416263999E-2</v>
      </c>
      <c r="I10104" s="224" t="s">
        <v>2</v>
      </c>
    </row>
    <row r="10105" spans="1:9" x14ac:dyDescent="0.25">
      <c r="A10105" s="515">
        <v>15931</v>
      </c>
      <c r="B10105" s="515" t="s">
        <v>828</v>
      </c>
      <c r="C10105" s="52">
        <v>159966.72562525701</v>
      </c>
      <c r="D10105" s="56">
        <v>-5.7180161956562475E-3</v>
      </c>
      <c r="E10105" s="224" t="s">
        <v>2</v>
      </c>
      <c r="F10105" s="515" t="s">
        <v>11303</v>
      </c>
      <c r="G10105" s="52">
        <v>542885.17839651403</v>
      </c>
      <c r="H10105" s="56">
        <v>3.8592731542359031E-2</v>
      </c>
      <c r="I10105" s="224" t="s">
        <v>2</v>
      </c>
    </row>
    <row r="10106" spans="1:9" x14ac:dyDescent="0.25">
      <c r="A10106" s="515">
        <v>81637</v>
      </c>
      <c r="B10106" s="515" t="s">
        <v>903</v>
      </c>
      <c r="C10106" s="52">
        <v>614774.16821542999</v>
      </c>
      <c r="D10106" s="56">
        <v>0.10156730440773189</v>
      </c>
      <c r="E10106" s="224" t="s">
        <v>2</v>
      </c>
      <c r="F10106" s="515" t="s">
        <v>11304</v>
      </c>
      <c r="G10106" s="52">
        <v>208820.41980278099</v>
      </c>
      <c r="H10106" s="56">
        <v>8.2365971817952577E-2</v>
      </c>
      <c r="I10106" s="224" t="s">
        <v>2</v>
      </c>
    </row>
    <row r="10107" spans="1:9" x14ac:dyDescent="0.25">
      <c r="A10107" s="515">
        <v>43724</v>
      </c>
      <c r="C10107" s="52">
        <v>153178.75145508701</v>
      </c>
      <c r="D10107" s="56">
        <v>8.5266262400689758E-3</v>
      </c>
      <c r="E10107" s="224" t="s">
        <v>2</v>
      </c>
      <c r="F10107" s="515" t="s">
        <v>11305</v>
      </c>
      <c r="G10107" s="52">
        <v>200635.359813724</v>
      </c>
      <c r="H10107" s="56">
        <v>0.11072580322577751</v>
      </c>
      <c r="I10107" s="224" t="s">
        <v>2</v>
      </c>
    </row>
    <row r="10108" spans="1:9" x14ac:dyDescent="0.25">
      <c r="A10108" s="515">
        <v>3825</v>
      </c>
      <c r="B10108" s="515" t="s">
        <v>534</v>
      </c>
      <c r="C10108" s="52">
        <v>442685.88898447802</v>
      </c>
      <c r="D10108" s="56">
        <v>0.11518268518910987</v>
      </c>
      <c r="E10108" s="224" t="s">
        <v>2</v>
      </c>
      <c r="F10108" s="515" t="s">
        <v>11306</v>
      </c>
      <c r="G10108" s="52">
        <v>160077.26990759099</v>
      </c>
      <c r="H10108" s="56">
        <v>6.352448205155603E-2</v>
      </c>
      <c r="I10108" s="224" t="s">
        <v>2</v>
      </c>
    </row>
    <row r="10109" spans="1:9" x14ac:dyDescent="0.25">
      <c r="A10109" s="515">
        <v>74525</v>
      </c>
      <c r="C10109" s="52">
        <v>154431.00058032799</v>
      </c>
      <c r="D10109" s="56">
        <v>0.16628599616875775</v>
      </c>
      <c r="E10109" s="224" t="s">
        <v>2</v>
      </c>
      <c r="F10109" s="515" t="s">
        <v>11307</v>
      </c>
      <c r="G10109" s="52">
        <v>181379.84614260099</v>
      </c>
      <c r="H10109" s="56">
        <v>6.7808209346203352E-2</v>
      </c>
      <c r="I10109" s="224" t="s">
        <v>2</v>
      </c>
    </row>
    <row r="10110" spans="1:9" x14ac:dyDescent="0.25">
      <c r="A10110" s="515">
        <v>24550</v>
      </c>
      <c r="B10110" s="515" t="s">
        <v>705</v>
      </c>
      <c r="C10110" s="52">
        <v>243000.74008642501</v>
      </c>
      <c r="D10110" s="56">
        <v>0.10317120856707766</v>
      </c>
      <c r="E10110" s="224" t="s">
        <v>2</v>
      </c>
      <c r="F10110" s="515" t="s">
        <v>11308</v>
      </c>
      <c r="G10110" s="52">
        <v>413464.49821865198</v>
      </c>
      <c r="H10110" s="56">
        <v>-5.6899588674828264E-4</v>
      </c>
      <c r="I10110" s="224" t="s">
        <v>2</v>
      </c>
    </row>
    <row r="10111" spans="1:9" x14ac:dyDescent="0.25">
      <c r="A10111" s="515">
        <v>50595</v>
      </c>
      <c r="C10111" s="52">
        <v>132780.15654610199</v>
      </c>
      <c r="D10111" s="56">
        <v>7.1859338450594251E-2</v>
      </c>
      <c r="E10111" s="224" t="s">
        <v>2</v>
      </c>
      <c r="F10111" s="515" t="s">
        <v>11309</v>
      </c>
      <c r="G10111" s="52">
        <v>352735.30252704502</v>
      </c>
      <c r="H10111" s="56">
        <v>0.12001536356360404</v>
      </c>
      <c r="I10111" s="224" t="s">
        <v>2</v>
      </c>
    </row>
    <row r="10112" spans="1:9" x14ac:dyDescent="0.25">
      <c r="A10112" s="515">
        <v>73134</v>
      </c>
      <c r="B10112" s="515" t="s">
        <v>385</v>
      </c>
      <c r="C10112" s="52">
        <v>199408.97733406399</v>
      </c>
      <c r="D10112" s="56">
        <v>4.3650071248081679E-2</v>
      </c>
      <c r="E10112" s="224">
        <v>1202.9682539682501</v>
      </c>
      <c r="F10112" s="515" t="s">
        <v>11310</v>
      </c>
      <c r="G10112" s="52">
        <v>458216.39561258</v>
      </c>
      <c r="H10112" s="56">
        <v>1.141164427431799E-2</v>
      </c>
      <c r="I10112" s="224" t="s">
        <v>2</v>
      </c>
    </row>
    <row r="10113" spans="1:9" x14ac:dyDescent="0.25">
      <c r="A10113" s="515">
        <v>27837</v>
      </c>
      <c r="B10113" s="515" t="s">
        <v>1101</v>
      </c>
      <c r="C10113" s="52">
        <v>260656.617246229</v>
      </c>
      <c r="D10113" s="56">
        <v>0.13061753511965468</v>
      </c>
      <c r="E10113" s="224" t="s">
        <v>2</v>
      </c>
      <c r="F10113" s="515" t="s">
        <v>11311</v>
      </c>
      <c r="G10113" s="52">
        <v>326886.39132420497</v>
      </c>
      <c r="H10113" s="56">
        <v>6.4775844597030618E-2</v>
      </c>
      <c r="I10113" s="224" t="s">
        <v>2</v>
      </c>
    </row>
    <row r="10114" spans="1:9" x14ac:dyDescent="0.25">
      <c r="A10114" s="515">
        <v>42320</v>
      </c>
      <c r="C10114" s="52">
        <v>127762.95167118601</v>
      </c>
      <c r="D10114" s="56">
        <v>7.8801541423883473E-2</v>
      </c>
      <c r="E10114" s="224" t="s">
        <v>2</v>
      </c>
      <c r="F10114" s="515" t="s">
        <v>11312</v>
      </c>
      <c r="G10114" s="52">
        <v>217054.02488274101</v>
      </c>
      <c r="H10114" s="56">
        <v>6.3924654301991943E-2</v>
      </c>
      <c r="I10114" s="224" t="s">
        <v>2</v>
      </c>
    </row>
    <row r="10115" spans="1:9" x14ac:dyDescent="0.25">
      <c r="A10115" s="515">
        <v>14472</v>
      </c>
      <c r="B10115" s="515" t="s">
        <v>337</v>
      </c>
      <c r="C10115" s="52">
        <v>350569.75150532502</v>
      </c>
      <c r="D10115" s="56">
        <v>9.4216616216704505E-2</v>
      </c>
      <c r="E10115" s="224" t="s">
        <v>2</v>
      </c>
      <c r="F10115" s="515" t="s">
        <v>11313</v>
      </c>
      <c r="G10115" s="52">
        <v>81813.8490097295</v>
      </c>
      <c r="H10115" s="56">
        <v>4.2224685421133647E-2</v>
      </c>
      <c r="I10115" s="224" t="s">
        <v>2</v>
      </c>
    </row>
    <row r="10116" spans="1:9" x14ac:dyDescent="0.25">
      <c r="A10116" s="515">
        <v>30025</v>
      </c>
      <c r="B10116" s="515" t="s">
        <v>957</v>
      </c>
      <c r="C10116" s="52">
        <v>319839.42318725202</v>
      </c>
      <c r="D10116" s="56">
        <v>0.10315891997629967</v>
      </c>
      <c r="E10116" s="224" t="s">
        <v>2</v>
      </c>
      <c r="F10116" s="515" t="s">
        <v>11314</v>
      </c>
      <c r="G10116" s="52">
        <v>781294.83586409898</v>
      </c>
      <c r="H10116" s="56">
        <v>0.18898834132895778</v>
      </c>
      <c r="I10116" s="224" t="s">
        <v>2</v>
      </c>
    </row>
    <row r="10117" spans="1:9" x14ac:dyDescent="0.25">
      <c r="A10117" s="515">
        <v>46278</v>
      </c>
      <c r="B10117" s="515" t="s">
        <v>403</v>
      </c>
      <c r="C10117" s="52">
        <v>369544.40220789303</v>
      </c>
      <c r="D10117" s="56">
        <v>4.2157489645670988E-2</v>
      </c>
      <c r="E10117" s="224" t="s">
        <v>2</v>
      </c>
      <c r="F10117" s="515" t="s">
        <v>11315</v>
      </c>
      <c r="G10117" s="52">
        <v>186434.43633471901</v>
      </c>
      <c r="H10117" s="56">
        <v>5.9244925752593089E-2</v>
      </c>
      <c r="I10117" s="224" t="s">
        <v>2</v>
      </c>
    </row>
    <row r="10118" spans="1:9" x14ac:dyDescent="0.25">
      <c r="A10118" s="515">
        <v>6480</v>
      </c>
      <c r="B10118" s="515" t="s">
        <v>894</v>
      </c>
      <c r="C10118" s="52">
        <v>322230.55532492301</v>
      </c>
      <c r="D10118" s="56">
        <v>9.0757608434865522E-2</v>
      </c>
      <c r="E10118" s="224" t="s">
        <v>2</v>
      </c>
      <c r="F10118" s="515" t="s">
        <v>11316</v>
      </c>
      <c r="G10118" s="52">
        <v>445337.93516135</v>
      </c>
      <c r="H10118" s="56">
        <v>3.0279853560430541E-2</v>
      </c>
      <c r="I10118" s="224" t="s">
        <v>2</v>
      </c>
    </row>
    <row r="10119" spans="1:9" x14ac:dyDescent="0.25">
      <c r="A10119" s="515">
        <v>89447</v>
      </c>
      <c r="B10119" s="515" t="s">
        <v>718</v>
      </c>
      <c r="C10119" s="52">
        <v>274979.821988412</v>
      </c>
      <c r="D10119" s="56">
        <v>4.0492849388543029E-2</v>
      </c>
      <c r="E10119" s="224" t="s">
        <v>2</v>
      </c>
      <c r="F10119" s="515" t="s">
        <v>11317</v>
      </c>
      <c r="G10119" s="52">
        <v>380286.83031101001</v>
      </c>
      <c r="H10119" s="56">
        <v>0.13445333038425344</v>
      </c>
      <c r="I10119" s="224" t="s">
        <v>2</v>
      </c>
    </row>
    <row r="10120" spans="1:9" x14ac:dyDescent="0.25">
      <c r="A10120" s="515">
        <v>69001</v>
      </c>
      <c r="C10120" s="52">
        <v>156574.39040575299</v>
      </c>
      <c r="D10120" s="56">
        <v>6.6401879891312784E-2</v>
      </c>
      <c r="E10120" s="224" t="s">
        <v>2</v>
      </c>
      <c r="F10120" s="515" t="s">
        <v>11318</v>
      </c>
      <c r="G10120" s="52">
        <v>172444.65259900701</v>
      </c>
      <c r="H10120" s="56">
        <v>0.13767298311888501</v>
      </c>
      <c r="I10120" s="224" t="s">
        <v>2</v>
      </c>
    </row>
    <row r="10121" spans="1:9" x14ac:dyDescent="0.25">
      <c r="A10121" s="515">
        <v>63144</v>
      </c>
      <c r="B10121" s="515" t="s">
        <v>498</v>
      </c>
      <c r="C10121" s="52">
        <v>248409.899164934</v>
      </c>
      <c r="D10121" s="56">
        <v>3.1485773898683192E-2</v>
      </c>
      <c r="E10121" s="224">
        <v>1661.38333333333</v>
      </c>
      <c r="F10121" s="515" t="s">
        <v>11319</v>
      </c>
      <c r="G10121" s="52">
        <v>160830.926677351</v>
      </c>
      <c r="H10121" s="56">
        <v>7.5532568878811046E-2</v>
      </c>
      <c r="I10121" s="224" t="s">
        <v>2</v>
      </c>
    </row>
    <row r="10122" spans="1:9" x14ac:dyDescent="0.25">
      <c r="A10122" s="515">
        <v>92359</v>
      </c>
      <c r="B10122" s="515" t="s">
        <v>599</v>
      </c>
      <c r="C10122" s="52">
        <v>467130.05844321102</v>
      </c>
      <c r="D10122" s="56">
        <v>6.1247597411124746E-2</v>
      </c>
      <c r="E10122" s="224">
        <v>2825</v>
      </c>
      <c r="F10122" s="515" t="s">
        <v>11320</v>
      </c>
      <c r="G10122" s="52">
        <v>105609.17152901999</v>
      </c>
      <c r="H10122" s="56">
        <v>-5.7571855187152784E-2</v>
      </c>
      <c r="I10122" s="224" t="s">
        <v>2</v>
      </c>
    </row>
    <row r="10123" spans="1:9" x14ac:dyDescent="0.25">
      <c r="A10123" s="515">
        <v>29728</v>
      </c>
      <c r="C10123" s="52">
        <v>149345.46049847</v>
      </c>
      <c r="D10123" s="56">
        <v>0.12115870766843345</v>
      </c>
      <c r="E10123" s="224" t="s">
        <v>2</v>
      </c>
      <c r="F10123" s="515" t="s">
        <v>11321</v>
      </c>
      <c r="G10123" s="52">
        <v>174724.316447727</v>
      </c>
      <c r="H10123" s="56">
        <v>0.18357012131769654</v>
      </c>
      <c r="I10123" s="224" t="s">
        <v>2</v>
      </c>
    </row>
    <row r="10124" spans="1:9" x14ac:dyDescent="0.25">
      <c r="A10124" s="515">
        <v>98625</v>
      </c>
      <c r="B10124" s="515" t="s">
        <v>807</v>
      </c>
      <c r="C10124" s="52">
        <v>502426.80462806998</v>
      </c>
      <c r="D10124" s="56">
        <v>3.9992390071441723E-2</v>
      </c>
      <c r="E10124" s="224" t="s">
        <v>2</v>
      </c>
      <c r="F10124" s="515" t="s">
        <v>11322</v>
      </c>
      <c r="G10124" s="52">
        <v>104125.701543692</v>
      </c>
      <c r="H10124" s="56">
        <v>5.3919861418098708E-2</v>
      </c>
      <c r="I10124" s="224" t="s">
        <v>2</v>
      </c>
    </row>
    <row r="10125" spans="1:9" x14ac:dyDescent="0.25">
      <c r="A10125" s="515">
        <v>18801</v>
      </c>
      <c r="C10125" s="52">
        <v>196212.20726445399</v>
      </c>
      <c r="D10125" s="56">
        <v>4.747210781783108E-2</v>
      </c>
      <c r="E10125" s="224" t="s">
        <v>2</v>
      </c>
      <c r="F10125" s="515" t="s">
        <v>11323</v>
      </c>
      <c r="G10125" s="52">
        <v>150657.97549778299</v>
      </c>
      <c r="H10125" s="56">
        <v>3.6655003207506191E-2</v>
      </c>
      <c r="I10125" s="224" t="s">
        <v>2</v>
      </c>
    </row>
    <row r="10126" spans="1:9" x14ac:dyDescent="0.25">
      <c r="A10126" s="515">
        <v>15367</v>
      </c>
      <c r="B10126" s="515" t="s">
        <v>297</v>
      </c>
      <c r="C10126" s="52">
        <v>509356.44336878002</v>
      </c>
      <c r="D10126" s="56">
        <v>4.3882545425947543E-2</v>
      </c>
      <c r="E10126" s="224" t="s">
        <v>2</v>
      </c>
      <c r="F10126" s="515" t="s">
        <v>11324</v>
      </c>
      <c r="G10126" s="52">
        <v>121582.253451488</v>
      </c>
      <c r="H10126" s="56">
        <v>1.8675855674352867E-4</v>
      </c>
      <c r="I10126" s="224" t="s">
        <v>2</v>
      </c>
    </row>
    <row r="10127" spans="1:9" x14ac:dyDescent="0.25">
      <c r="A10127" s="515">
        <v>3281</v>
      </c>
      <c r="B10127" s="515" t="s">
        <v>996</v>
      </c>
      <c r="C10127" s="52">
        <v>408564.860933777</v>
      </c>
      <c r="D10127" s="56">
        <v>9.6918318327596314E-2</v>
      </c>
      <c r="E10127" s="224" t="s">
        <v>2</v>
      </c>
      <c r="F10127" s="515" t="s">
        <v>11325</v>
      </c>
      <c r="G10127" s="52">
        <v>173149.81366925599</v>
      </c>
      <c r="H10127" s="56">
        <v>1.9092086779893082E-2</v>
      </c>
      <c r="I10127" s="224" t="s">
        <v>2</v>
      </c>
    </row>
    <row r="10128" spans="1:9" x14ac:dyDescent="0.25">
      <c r="A10128" s="515">
        <v>79901</v>
      </c>
      <c r="B10128" s="515" t="s">
        <v>1119</v>
      </c>
      <c r="C10128" s="52"/>
      <c r="D10128" s="56">
        <v>0</v>
      </c>
      <c r="E10128" s="224" t="s">
        <v>2</v>
      </c>
      <c r="F10128" s="515" t="s">
        <v>11326</v>
      </c>
      <c r="G10128" s="52">
        <v>190582.47142875</v>
      </c>
      <c r="H10128" s="56">
        <v>7.9727868091722526E-2</v>
      </c>
      <c r="I10128" s="224" t="s">
        <v>2</v>
      </c>
    </row>
    <row r="10129" spans="1:9" x14ac:dyDescent="0.25">
      <c r="A10129" s="515">
        <v>11797</v>
      </c>
      <c r="B10129" s="515" t="s">
        <v>324</v>
      </c>
      <c r="C10129" s="52">
        <v>1175595.23011172</v>
      </c>
      <c r="D10129" s="56">
        <v>7.0397810971735364E-2</v>
      </c>
      <c r="E10129" s="224" t="s">
        <v>2</v>
      </c>
      <c r="F10129" s="515" t="s">
        <v>11327</v>
      </c>
      <c r="G10129" s="52">
        <v>465911.09550052299</v>
      </c>
      <c r="H10129" s="56">
        <v>0.1096378548171012</v>
      </c>
      <c r="I10129" s="224" t="s">
        <v>2</v>
      </c>
    </row>
    <row r="10130" spans="1:9" x14ac:dyDescent="0.25">
      <c r="A10130" s="515">
        <v>13340</v>
      </c>
      <c r="B10130" s="515" t="s">
        <v>543</v>
      </c>
      <c r="C10130" s="52">
        <v>177304.801022489</v>
      </c>
      <c r="D10130" s="56">
        <v>0.15059936612117394</v>
      </c>
      <c r="E10130" s="224" t="s">
        <v>2</v>
      </c>
      <c r="F10130" s="515" t="s">
        <v>11328</v>
      </c>
      <c r="G10130" s="52">
        <v>193733.39421274699</v>
      </c>
      <c r="H10130" s="56">
        <v>2.4821822812270043E-2</v>
      </c>
      <c r="I10130" s="224" t="s">
        <v>2</v>
      </c>
    </row>
    <row r="10131" spans="1:9" x14ac:dyDescent="0.25">
      <c r="A10131" s="515">
        <v>86440</v>
      </c>
      <c r="B10131" s="515" t="s">
        <v>453</v>
      </c>
      <c r="C10131" s="52">
        <v>293193.57408894697</v>
      </c>
      <c r="D10131" s="56">
        <v>4.9483039796972252E-2</v>
      </c>
      <c r="E10131" s="224" t="s">
        <v>2</v>
      </c>
      <c r="F10131" s="515" t="s">
        <v>11329</v>
      </c>
      <c r="G10131" s="52">
        <v>98261.150086729001</v>
      </c>
      <c r="H10131" s="56">
        <v>0.22267922996352935</v>
      </c>
      <c r="I10131" s="224" t="s">
        <v>2</v>
      </c>
    </row>
    <row r="10132" spans="1:9" x14ac:dyDescent="0.25">
      <c r="A10132" s="515">
        <v>27573</v>
      </c>
      <c r="B10132" s="515" t="s">
        <v>467</v>
      </c>
      <c r="C10132" s="52">
        <v>156067.28870726799</v>
      </c>
      <c r="D10132" s="56">
        <v>8.5436205360020764E-2</v>
      </c>
      <c r="E10132" s="224" t="s">
        <v>2</v>
      </c>
      <c r="F10132" s="515" t="s">
        <v>11330</v>
      </c>
      <c r="G10132" s="52">
        <v>97174.913637224905</v>
      </c>
      <c r="H10132" s="56">
        <v>1.611137965819049E-2</v>
      </c>
      <c r="I10132" s="224" t="s">
        <v>2</v>
      </c>
    </row>
    <row r="10133" spans="1:9" x14ac:dyDescent="0.25">
      <c r="A10133" s="515">
        <v>8098</v>
      </c>
      <c r="B10133" s="515" t="s">
        <v>294</v>
      </c>
      <c r="C10133" s="52">
        <v>316730.98785454198</v>
      </c>
      <c r="D10133" s="56">
        <v>3.9628200302108833E-2</v>
      </c>
      <c r="E10133" s="224" t="s">
        <v>2</v>
      </c>
      <c r="F10133" s="515" t="s">
        <v>11331</v>
      </c>
      <c r="G10133" s="52">
        <v>259638.34571674801</v>
      </c>
      <c r="H10133" s="56">
        <v>0.12419350248418827</v>
      </c>
      <c r="I10133" s="224" t="s">
        <v>2</v>
      </c>
    </row>
    <row r="10134" spans="1:9" x14ac:dyDescent="0.25">
      <c r="A10134" s="515">
        <v>32976</v>
      </c>
      <c r="B10134" s="515" t="s">
        <v>1133</v>
      </c>
      <c r="C10134" s="52">
        <v>228056.54525392101</v>
      </c>
      <c r="D10134" s="56">
        <v>0.18719996864964078</v>
      </c>
      <c r="E10134" s="224" t="s">
        <v>2</v>
      </c>
      <c r="F10134" s="515" t="s">
        <v>11332</v>
      </c>
      <c r="G10134" s="52">
        <v>239399.432162062</v>
      </c>
      <c r="H10134" s="56">
        <v>0.10849370361199154</v>
      </c>
      <c r="I10134" s="224" t="s">
        <v>2</v>
      </c>
    </row>
    <row r="10135" spans="1:9" x14ac:dyDescent="0.25">
      <c r="A10135" s="515">
        <v>1863</v>
      </c>
      <c r="B10135" s="515" t="s">
        <v>534</v>
      </c>
      <c r="C10135" s="52">
        <v>460691.57670724299</v>
      </c>
      <c r="D10135" s="56">
        <v>7.4815029530467661E-2</v>
      </c>
      <c r="E10135" s="224">
        <v>2438.25</v>
      </c>
      <c r="F10135" s="515" t="s">
        <v>11333</v>
      </c>
      <c r="G10135" s="52">
        <v>85455.322186872698</v>
      </c>
      <c r="H10135" s="56">
        <v>6.8667188890297506E-2</v>
      </c>
      <c r="I10135" s="224" t="s">
        <v>2</v>
      </c>
    </row>
    <row r="10136" spans="1:9" x14ac:dyDescent="0.25">
      <c r="A10136" s="515">
        <v>46072</v>
      </c>
      <c r="C10136" s="52">
        <v>190596.66224550101</v>
      </c>
      <c r="D10136" s="56">
        <v>4.6048242351735574E-2</v>
      </c>
      <c r="E10136" s="224" t="s">
        <v>2</v>
      </c>
      <c r="F10136" s="515" t="s">
        <v>11334</v>
      </c>
      <c r="G10136" s="52">
        <v>158040.269684625</v>
      </c>
      <c r="H10136" s="56">
        <v>0.1134921589734222</v>
      </c>
      <c r="I10136" s="224" t="s">
        <v>2</v>
      </c>
    </row>
    <row r="10137" spans="1:9" x14ac:dyDescent="0.25">
      <c r="A10137" s="515">
        <v>17368</v>
      </c>
      <c r="B10137" s="515" t="s">
        <v>509</v>
      </c>
      <c r="C10137" s="52">
        <v>219962.58372008699</v>
      </c>
      <c r="D10137" s="56">
        <v>0.10403985153087686</v>
      </c>
      <c r="E10137" s="224" t="s">
        <v>2</v>
      </c>
      <c r="F10137" s="515" t="s">
        <v>11335</v>
      </c>
      <c r="G10137" s="52">
        <v>114875.020310865</v>
      </c>
      <c r="H10137" s="56">
        <v>2.4383781602921224E-2</v>
      </c>
      <c r="I10137" s="224" t="s">
        <v>2</v>
      </c>
    </row>
    <row r="10138" spans="1:9" x14ac:dyDescent="0.25">
      <c r="A10138" s="515">
        <v>45216</v>
      </c>
      <c r="B10138" s="515" t="s">
        <v>344</v>
      </c>
      <c r="C10138" s="52">
        <v>126132.66739082499</v>
      </c>
      <c r="D10138" s="56">
        <v>7.454331503716527E-2</v>
      </c>
      <c r="E10138" s="224" t="s">
        <v>2</v>
      </c>
      <c r="F10138" s="515" t="s">
        <v>11336</v>
      </c>
      <c r="G10138" s="52">
        <v>173507.794679702</v>
      </c>
      <c r="H10138" s="56">
        <v>8.6473870701542332E-2</v>
      </c>
      <c r="I10138" s="224" t="s">
        <v>2</v>
      </c>
    </row>
    <row r="10139" spans="1:9" x14ac:dyDescent="0.25">
      <c r="A10139" s="515">
        <v>24343</v>
      </c>
      <c r="C10139" s="52">
        <v>141196.28937977299</v>
      </c>
      <c r="D10139" s="56">
        <v>8.0512025307979615E-3</v>
      </c>
      <c r="E10139" s="224" t="s">
        <v>2</v>
      </c>
      <c r="F10139" s="515" t="s">
        <v>11337</v>
      </c>
      <c r="G10139" s="52">
        <v>156251.81787273401</v>
      </c>
      <c r="H10139" s="56">
        <v>9.8653612028916926E-2</v>
      </c>
      <c r="I10139" s="224" t="s">
        <v>2</v>
      </c>
    </row>
    <row r="10140" spans="1:9" x14ac:dyDescent="0.25">
      <c r="A10140" s="515">
        <v>11023</v>
      </c>
      <c r="B10140" s="515" t="s">
        <v>324</v>
      </c>
      <c r="C10140" s="52">
        <v>1222779.6623828099</v>
      </c>
      <c r="D10140" s="56">
        <v>5.089733524977734E-2</v>
      </c>
      <c r="E10140" s="224" t="s">
        <v>2</v>
      </c>
      <c r="F10140" s="515" t="s">
        <v>11338</v>
      </c>
      <c r="G10140" s="52">
        <v>377708.20463462197</v>
      </c>
      <c r="H10140" s="56">
        <v>0.10095893313033877</v>
      </c>
      <c r="I10140" s="224" t="s">
        <v>2</v>
      </c>
    </row>
    <row r="10141" spans="1:9" x14ac:dyDescent="0.25">
      <c r="A10141" s="515">
        <v>4736</v>
      </c>
      <c r="C10141" s="52">
        <v>144366.63855669001</v>
      </c>
      <c r="D10141" s="56">
        <v>0.14463989267618643</v>
      </c>
      <c r="E10141" s="224" t="s">
        <v>2</v>
      </c>
      <c r="F10141" s="515" t="s">
        <v>11339</v>
      </c>
      <c r="G10141" s="52">
        <v>240870.783273154</v>
      </c>
      <c r="H10141" s="56">
        <v>-1.6532785572847174E-2</v>
      </c>
      <c r="I10141" s="224" t="s">
        <v>2</v>
      </c>
    </row>
    <row r="10142" spans="1:9" x14ac:dyDescent="0.25">
      <c r="A10142" s="515">
        <v>48653</v>
      </c>
      <c r="C10142" s="52">
        <v>156687.45074442399</v>
      </c>
      <c r="D10142" s="56">
        <v>0.14595106595608623</v>
      </c>
      <c r="E10142" s="224" t="s">
        <v>2</v>
      </c>
      <c r="F10142" s="515" t="s">
        <v>11340</v>
      </c>
      <c r="G10142" s="52">
        <v>159148.83029024399</v>
      </c>
      <c r="H10142" s="56">
        <v>4.3496771839918159E-2</v>
      </c>
      <c r="I10142" s="224" t="s">
        <v>2</v>
      </c>
    </row>
    <row r="10143" spans="1:9" x14ac:dyDescent="0.25">
      <c r="A10143" s="515">
        <v>36345</v>
      </c>
      <c r="B10143" s="515" t="s">
        <v>816</v>
      </c>
      <c r="C10143" s="52">
        <v>182525.81582136199</v>
      </c>
      <c r="D10143" s="56">
        <v>7.3268846717176928E-2</v>
      </c>
      <c r="E10143" s="224" t="s">
        <v>2</v>
      </c>
      <c r="F10143" s="515" t="s">
        <v>11341</v>
      </c>
      <c r="G10143" s="52">
        <v>558406.68308933103</v>
      </c>
      <c r="H10143" s="56">
        <v>0.12508306645135886</v>
      </c>
      <c r="I10143" s="224" t="s">
        <v>2</v>
      </c>
    </row>
    <row r="10144" spans="1:9" x14ac:dyDescent="0.25">
      <c r="A10144" s="515">
        <v>99156</v>
      </c>
      <c r="C10144" s="52">
        <v>372924.75592181197</v>
      </c>
      <c r="D10144" s="56">
        <v>1.8554518422223866E-2</v>
      </c>
      <c r="E10144" s="224" t="s">
        <v>2</v>
      </c>
      <c r="F10144" s="515" t="s">
        <v>11342</v>
      </c>
      <c r="G10144" s="52">
        <v>229541.750102144</v>
      </c>
      <c r="H10144" s="56">
        <v>0.11563913047018894</v>
      </c>
      <c r="I10144" s="224" t="s">
        <v>2</v>
      </c>
    </row>
    <row r="10145" spans="1:9" x14ac:dyDescent="0.25">
      <c r="A10145" s="515">
        <v>35907</v>
      </c>
      <c r="B10145" s="515" t="s">
        <v>978</v>
      </c>
      <c r="C10145" s="52">
        <v>233591.12353353499</v>
      </c>
      <c r="D10145" s="56">
        <v>6.9854694615705148E-2</v>
      </c>
      <c r="E10145" s="224" t="s">
        <v>2</v>
      </c>
      <c r="F10145" s="515" t="s">
        <v>11343</v>
      </c>
      <c r="G10145" s="52">
        <v>325072.93772018701</v>
      </c>
      <c r="H10145" s="56">
        <v>6.5359849667824141E-2</v>
      </c>
      <c r="I10145" s="224" t="s">
        <v>2</v>
      </c>
    </row>
    <row r="10146" spans="1:9" x14ac:dyDescent="0.25">
      <c r="A10146" s="515">
        <v>37381</v>
      </c>
      <c r="B10146" s="515" t="s">
        <v>1079</v>
      </c>
      <c r="C10146" s="52">
        <v>210660.059971421</v>
      </c>
      <c r="D10146" s="56">
        <v>4.4784716920245091E-2</v>
      </c>
      <c r="E10146" s="224" t="s">
        <v>2</v>
      </c>
      <c r="F10146" s="515" t="s">
        <v>11344</v>
      </c>
      <c r="G10146" s="52">
        <v>166824.930913071</v>
      </c>
      <c r="H10146" s="56">
        <v>8.7191264541400706E-2</v>
      </c>
      <c r="I10146" s="224" t="s">
        <v>2</v>
      </c>
    </row>
    <row r="10147" spans="1:9" x14ac:dyDescent="0.25">
      <c r="A10147" s="515">
        <v>34436</v>
      </c>
      <c r="B10147" s="515" t="s">
        <v>1193</v>
      </c>
      <c r="C10147" s="52">
        <v>257042.84489226199</v>
      </c>
      <c r="D10147" s="56">
        <v>0.16602882520687312</v>
      </c>
      <c r="E10147" s="224" t="s">
        <v>2</v>
      </c>
      <c r="F10147" s="515" t="s">
        <v>11345</v>
      </c>
      <c r="G10147" s="52">
        <v>1247354.2505201399</v>
      </c>
      <c r="H10147" s="56">
        <v>3.3881641783230131E-2</v>
      </c>
      <c r="I10147" s="224" t="s">
        <v>2</v>
      </c>
    </row>
    <row r="10148" spans="1:9" x14ac:dyDescent="0.25">
      <c r="A10148" s="515">
        <v>38375</v>
      </c>
      <c r="C10148" s="52">
        <v>130176.735858302</v>
      </c>
      <c r="D10148" s="56">
        <v>7.4222141423185853E-2</v>
      </c>
      <c r="E10148" s="224" t="s">
        <v>2</v>
      </c>
      <c r="F10148" s="515" t="s">
        <v>11346</v>
      </c>
      <c r="G10148" s="52">
        <v>535393.28913142299</v>
      </c>
      <c r="H10148" s="56">
        <v>5.5694432858746014E-2</v>
      </c>
      <c r="I10148" s="224" t="s">
        <v>2</v>
      </c>
    </row>
    <row r="10149" spans="1:9" x14ac:dyDescent="0.25">
      <c r="A10149" s="515">
        <v>28463</v>
      </c>
      <c r="C10149" s="52">
        <v>139115.27923986799</v>
      </c>
      <c r="D10149" s="56">
        <v>0.11164485315696748</v>
      </c>
      <c r="E10149" s="224" t="s">
        <v>2</v>
      </c>
      <c r="F10149" s="515" t="s">
        <v>11347</v>
      </c>
      <c r="G10149" s="52">
        <v>892484.60224703397</v>
      </c>
      <c r="H10149" s="56">
        <v>4.1265376654383047E-2</v>
      </c>
      <c r="I10149" s="224" t="s">
        <v>2</v>
      </c>
    </row>
    <row r="10150" spans="1:9" x14ac:dyDescent="0.25">
      <c r="A10150" s="515">
        <v>52060</v>
      </c>
      <c r="C10150" s="52">
        <v>157991.30647893599</v>
      </c>
      <c r="D10150" s="56">
        <v>6.2884912125359696E-2</v>
      </c>
      <c r="E10150" s="224" t="s">
        <v>2</v>
      </c>
      <c r="F10150" s="515" t="s">
        <v>11348</v>
      </c>
      <c r="G10150" s="52">
        <v>193568.525193429</v>
      </c>
      <c r="H10150" s="56">
        <v>4.6113278938800122E-2</v>
      </c>
      <c r="I10150" s="224" t="s">
        <v>2</v>
      </c>
    </row>
    <row r="10151" spans="1:9" x14ac:dyDescent="0.25">
      <c r="A10151" s="515">
        <v>27357</v>
      </c>
      <c r="B10151" s="515" t="s">
        <v>1148</v>
      </c>
      <c r="C10151" s="52">
        <v>292699.14556593</v>
      </c>
      <c r="D10151" s="56">
        <v>0.1255071515072281</v>
      </c>
      <c r="E10151" s="224" t="s">
        <v>2</v>
      </c>
      <c r="F10151" s="515" t="s">
        <v>11349</v>
      </c>
      <c r="G10151" s="52">
        <v>159952.30296224399</v>
      </c>
      <c r="H10151" s="56">
        <v>-2.666763024262445E-2</v>
      </c>
      <c r="I10151" s="224" t="s">
        <v>2</v>
      </c>
    </row>
    <row r="10152" spans="1:9" x14ac:dyDescent="0.25">
      <c r="A10152" s="515">
        <v>21783</v>
      </c>
      <c r="B10152" s="515" t="s">
        <v>654</v>
      </c>
      <c r="C10152" s="52">
        <v>317887.03239088302</v>
      </c>
      <c r="D10152" s="56">
        <v>3.2473471475761372E-2</v>
      </c>
      <c r="E10152" s="224" t="s">
        <v>2</v>
      </c>
      <c r="F10152" s="515" t="s">
        <v>11350</v>
      </c>
      <c r="G10152" s="52">
        <v>126340.848868791</v>
      </c>
      <c r="H10152" s="56">
        <v>2.5778425361885158E-2</v>
      </c>
      <c r="I10152" s="224" t="s">
        <v>2</v>
      </c>
    </row>
    <row r="10153" spans="1:9" x14ac:dyDescent="0.25">
      <c r="A10153" s="515">
        <v>45050</v>
      </c>
      <c r="B10153" s="515" t="s">
        <v>344</v>
      </c>
      <c r="C10153" s="52">
        <v>293657.50796976901</v>
      </c>
      <c r="D10153" s="56">
        <v>4.9030537160502673E-2</v>
      </c>
      <c r="E10153" s="224" t="s">
        <v>2</v>
      </c>
      <c r="F10153" s="515" t="s">
        <v>11351</v>
      </c>
      <c r="G10153" s="52">
        <v>1198949.9421300499</v>
      </c>
      <c r="H10153" s="56">
        <v>8.2768459067336125E-2</v>
      </c>
      <c r="I10153" s="224" t="s">
        <v>2</v>
      </c>
    </row>
    <row r="10154" spans="1:9" x14ac:dyDescent="0.25">
      <c r="A10154" s="515">
        <v>32136</v>
      </c>
      <c r="B10154" s="515" t="s">
        <v>974</v>
      </c>
      <c r="C10154" s="52">
        <v>489840.02823834599</v>
      </c>
      <c r="D10154" s="56">
        <v>0.1057787930255554</v>
      </c>
      <c r="E10154" s="224">
        <v>2795</v>
      </c>
      <c r="F10154" s="515" t="s">
        <v>11352</v>
      </c>
      <c r="G10154" s="52">
        <v>189984.977522489</v>
      </c>
      <c r="H10154" s="56">
        <v>0.15809789033593236</v>
      </c>
      <c r="I10154" s="224" t="s">
        <v>2</v>
      </c>
    </row>
    <row r="10155" spans="1:9" x14ac:dyDescent="0.25">
      <c r="A10155" s="515">
        <v>27018</v>
      </c>
      <c r="B10155" s="515" t="s">
        <v>735</v>
      </c>
      <c r="C10155" s="52">
        <v>225409.253001615</v>
      </c>
      <c r="D10155" s="56">
        <v>0.15347202095809934</v>
      </c>
      <c r="E10155" s="224" t="s">
        <v>2</v>
      </c>
      <c r="F10155" s="515" t="s">
        <v>11353</v>
      </c>
      <c r="G10155" s="52">
        <v>388428.000054556</v>
      </c>
      <c r="H10155" s="56">
        <v>6.3293172112597107E-2</v>
      </c>
      <c r="I10155" s="224" t="s">
        <v>2</v>
      </c>
    </row>
    <row r="10156" spans="1:9" x14ac:dyDescent="0.25">
      <c r="A10156" s="515">
        <v>75708</v>
      </c>
      <c r="B10156" s="515" t="s">
        <v>1157</v>
      </c>
      <c r="C10156" s="52">
        <v>151564.197173144</v>
      </c>
      <c r="D10156" s="56">
        <v>8.198206071840361E-2</v>
      </c>
      <c r="E10156" s="224" t="s">
        <v>2</v>
      </c>
      <c r="F10156" s="515" t="s">
        <v>11354</v>
      </c>
      <c r="G10156" s="52">
        <v>646717.45321837801</v>
      </c>
      <c r="H10156" s="56">
        <v>6.128286100295853E-2</v>
      </c>
      <c r="I10156" s="224" t="s">
        <v>2</v>
      </c>
    </row>
    <row r="10157" spans="1:9" x14ac:dyDescent="0.25">
      <c r="A10157" s="515">
        <v>14895</v>
      </c>
      <c r="C10157" s="52">
        <v>97508.297323757695</v>
      </c>
      <c r="D10157" s="56">
        <v>0.11865525206313826</v>
      </c>
      <c r="E10157" s="224" t="s">
        <v>2</v>
      </c>
      <c r="F10157" s="515" t="s">
        <v>11355</v>
      </c>
      <c r="G10157" s="52">
        <v>200056.74120041501</v>
      </c>
      <c r="H10157" s="56">
        <v>0.12467839187577238</v>
      </c>
      <c r="I10157" s="224" t="s">
        <v>2</v>
      </c>
    </row>
    <row r="10158" spans="1:9" x14ac:dyDescent="0.25">
      <c r="A10158" s="515">
        <v>38011</v>
      </c>
      <c r="B10158" s="515" t="s">
        <v>951</v>
      </c>
      <c r="C10158" s="52">
        <v>235085.23306453301</v>
      </c>
      <c r="D10158" s="56">
        <v>7.1361348245828321E-2</v>
      </c>
      <c r="E10158" s="224" t="s">
        <v>2</v>
      </c>
      <c r="F10158" s="515" t="s">
        <v>11356</v>
      </c>
      <c r="G10158" s="52">
        <v>258435.335097973</v>
      </c>
      <c r="H10158" s="56">
        <v>0.21791628980734348</v>
      </c>
      <c r="I10158" s="224" t="s">
        <v>2</v>
      </c>
    </row>
    <row r="10159" spans="1:9" x14ac:dyDescent="0.25">
      <c r="A10159" s="515">
        <v>42743</v>
      </c>
      <c r="B10159" s="515" t="s">
        <v>761</v>
      </c>
      <c r="C10159" s="52">
        <v>139892.89514289401</v>
      </c>
      <c r="D10159" s="56">
        <v>0.23461826917524103</v>
      </c>
      <c r="E10159" s="224" t="s">
        <v>2</v>
      </c>
      <c r="F10159" s="515" t="s">
        <v>11357</v>
      </c>
      <c r="G10159" s="52">
        <v>130789.13461953901</v>
      </c>
      <c r="H10159" s="56">
        <v>0.14973460706700692</v>
      </c>
      <c r="I10159" s="224" t="s">
        <v>2</v>
      </c>
    </row>
    <row r="10160" spans="1:9" x14ac:dyDescent="0.25">
      <c r="A10160" s="515">
        <v>28174</v>
      </c>
      <c r="B10160" s="515" t="s">
        <v>360</v>
      </c>
      <c r="C10160" s="52">
        <v>277143.17546656501</v>
      </c>
      <c r="D10160" s="56">
        <v>0.12579527577434527</v>
      </c>
      <c r="E10160" s="224" t="s">
        <v>2</v>
      </c>
      <c r="F10160" s="515" t="s">
        <v>11358</v>
      </c>
      <c r="G10160" s="52">
        <v>514126.62570010498</v>
      </c>
      <c r="H10160" s="56">
        <v>4.4408502296546554E-2</v>
      </c>
      <c r="I10160" s="224" t="s">
        <v>2</v>
      </c>
    </row>
    <row r="10161" spans="1:9" x14ac:dyDescent="0.25">
      <c r="A10161" s="515">
        <v>54923</v>
      </c>
      <c r="C10161" s="52">
        <v>171951.25827868501</v>
      </c>
      <c r="D10161" s="56">
        <v>8.7198169262457811E-2</v>
      </c>
      <c r="E10161" s="224" t="s">
        <v>2</v>
      </c>
      <c r="F10161" s="515" t="s">
        <v>11359</v>
      </c>
      <c r="G10161" s="52">
        <v>116168.959575828</v>
      </c>
      <c r="H10161" s="56">
        <v>6.4080072883108477E-2</v>
      </c>
      <c r="I10161" s="224" t="s">
        <v>2</v>
      </c>
    </row>
    <row r="10162" spans="1:9" x14ac:dyDescent="0.25">
      <c r="A10162" s="515">
        <v>6357</v>
      </c>
      <c r="B10162" s="515" t="s">
        <v>1091</v>
      </c>
      <c r="C10162" s="52">
        <v>381053.71686206199</v>
      </c>
      <c r="D10162" s="56">
        <v>8.8705704189104576E-2</v>
      </c>
      <c r="E10162" s="224" t="s">
        <v>2</v>
      </c>
      <c r="F10162" s="515" t="s">
        <v>11360</v>
      </c>
      <c r="G10162" s="52">
        <v>114791.217757174</v>
      </c>
      <c r="H10162" s="56">
        <v>0.1527378017279008</v>
      </c>
      <c r="I10162" s="224" t="s">
        <v>2</v>
      </c>
    </row>
    <row r="10163" spans="1:9" x14ac:dyDescent="0.25">
      <c r="A10163" s="515">
        <v>68333</v>
      </c>
      <c r="C10163" s="52">
        <v>211592.09202790499</v>
      </c>
      <c r="D10163" s="56">
        <v>0.10055227909971207</v>
      </c>
      <c r="E10163" s="224" t="s">
        <v>2</v>
      </c>
      <c r="F10163" s="515" t="s">
        <v>11361</v>
      </c>
      <c r="G10163" s="52">
        <v>916079.11124012095</v>
      </c>
      <c r="H10163" s="56">
        <v>2.6795254828972687E-2</v>
      </c>
      <c r="I10163" s="224" t="s">
        <v>2</v>
      </c>
    </row>
    <row r="10164" spans="1:9" x14ac:dyDescent="0.25">
      <c r="A10164" s="515">
        <v>25064</v>
      </c>
      <c r="B10164" s="515" t="s">
        <v>322</v>
      </c>
      <c r="C10164" s="52">
        <v>111737.28114877301</v>
      </c>
      <c r="D10164" s="56">
        <v>6.4313619086984408E-2</v>
      </c>
      <c r="E10164" s="224" t="s">
        <v>2</v>
      </c>
      <c r="F10164" s="515" t="s">
        <v>11362</v>
      </c>
      <c r="G10164" s="52">
        <v>1210773.8545282099</v>
      </c>
      <c r="H10164" s="56">
        <v>-2.1184746014417343E-2</v>
      </c>
      <c r="I10164" s="224" t="s">
        <v>2</v>
      </c>
    </row>
    <row r="10165" spans="1:9" x14ac:dyDescent="0.25">
      <c r="A10165" s="515">
        <v>45692</v>
      </c>
      <c r="B10165" s="515" t="s">
        <v>381</v>
      </c>
      <c r="C10165" s="52">
        <v>91796.186260579401</v>
      </c>
      <c r="D10165" s="56">
        <v>4.3493097695338843E-2</v>
      </c>
      <c r="E10165" s="224" t="s">
        <v>2</v>
      </c>
      <c r="F10165" s="515" t="s">
        <v>11363</v>
      </c>
      <c r="G10165" s="52">
        <v>231589.842388825</v>
      </c>
      <c r="H10165" s="56">
        <v>5.7592032266502335E-2</v>
      </c>
      <c r="I10165" s="224" t="s">
        <v>2</v>
      </c>
    </row>
    <row r="10166" spans="1:9" x14ac:dyDescent="0.25">
      <c r="A10166" s="515">
        <v>48612</v>
      </c>
      <c r="C10166" s="52">
        <v>126263.64377772401</v>
      </c>
      <c r="D10166" s="56">
        <v>4.06811472458916E-2</v>
      </c>
      <c r="E10166" s="224" t="s">
        <v>2</v>
      </c>
      <c r="F10166" s="515" t="s">
        <v>11364</v>
      </c>
      <c r="G10166" s="52">
        <v>232651.469144909</v>
      </c>
      <c r="H10166" s="56">
        <v>4.6256581267793409E-3</v>
      </c>
      <c r="I10166" s="224" t="s">
        <v>2</v>
      </c>
    </row>
    <row r="10167" spans="1:9" x14ac:dyDescent="0.25">
      <c r="A10167" s="515">
        <v>30814</v>
      </c>
      <c r="B10167" s="515" t="s">
        <v>888</v>
      </c>
      <c r="C10167" s="52">
        <v>223552.864797349</v>
      </c>
      <c r="D10167" s="56">
        <v>9.0898539524873034E-2</v>
      </c>
      <c r="E10167" s="224" t="s">
        <v>2</v>
      </c>
      <c r="F10167" s="515" t="s">
        <v>11365</v>
      </c>
      <c r="G10167" s="52">
        <v>129939.307954994</v>
      </c>
      <c r="H10167" s="56">
        <v>0.24586537045098747</v>
      </c>
      <c r="I10167" s="224" t="s">
        <v>2</v>
      </c>
    </row>
    <row r="10168" spans="1:9" x14ac:dyDescent="0.25">
      <c r="A10168" s="515">
        <v>22611</v>
      </c>
      <c r="B10168" s="515" t="s">
        <v>321</v>
      </c>
      <c r="C10168" s="52">
        <v>484691.22144346603</v>
      </c>
      <c r="D10168" s="56">
        <v>7.0613680544978116E-2</v>
      </c>
      <c r="E10168" s="224" t="s">
        <v>2</v>
      </c>
      <c r="F10168" s="515" t="s">
        <v>11366</v>
      </c>
      <c r="G10168" s="52">
        <v>395109.95241301198</v>
      </c>
      <c r="H10168" s="56">
        <v>4.7805871600982437E-2</v>
      </c>
      <c r="I10168" s="224" t="s">
        <v>2</v>
      </c>
    </row>
    <row r="10169" spans="1:9" x14ac:dyDescent="0.25">
      <c r="A10169" s="515">
        <v>42748</v>
      </c>
      <c r="B10169" s="515" t="s">
        <v>671</v>
      </c>
      <c r="C10169" s="52">
        <v>181502.55196123899</v>
      </c>
      <c r="D10169" s="56">
        <v>9.1227344922508224E-2</v>
      </c>
      <c r="E10169" s="224" t="s">
        <v>2</v>
      </c>
      <c r="F10169" s="515" t="s">
        <v>11367</v>
      </c>
      <c r="G10169" s="52">
        <v>307988.866705122</v>
      </c>
      <c r="H10169" s="56">
        <v>6.3095973093300492E-2</v>
      </c>
      <c r="I10169" s="224" t="s">
        <v>2</v>
      </c>
    </row>
    <row r="10170" spans="1:9" x14ac:dyDescent="0.25">
      <c r="A10170" s="515">
        <v>33947</v>
      </c>
      <c r="B10170" s="515" t="s">
        <v>1030</v>
      </c>
      <c r="C10170" s="52">
        <v>419806.41714403802</v>
      </c>
      <c r="D10170" s="56">
        <v>0.12704403316967439</v>
      </c>
      <c r="E10170" s="224" t="s">
        <v>2</v>
      </c>
      <c r="F10170" s="515" t="s">
        <v>11368</v>
      </c>
      <c r="G10170" s="52">
        <v>110647.45636567</v>
      </c>
      <c r="H10170" s="56">
        <v>0</v>
      </c>
      <c r="I10170" s="224" t="s">
        <v>2</v>
      </c>
    </row>
    <row r="10171" spans="1:9" x14ac:dyDescent="0.25">
      <c r="A10171" s="515">
        <v>25541</v>
      </c>
      <c r="B10171" s="515" t="s">
        <v>602</v>
      </c>
      <c r="C10171" s="52">
        <v>172366.65644461801</v>
      </c>
      <c r="D10171" s="56">
        <v>6.4714510696185459E-2</v>
      </c>
      <c r="E10171" s="224" t="s">
        <v>2</v>
      </c>
      <c r="F10171" s="515" t="s">
        <v>11369</v>
      </c>
      <c r="G10171" s="52">
        <v>318255.09150545503</v>
      </c>
      <c r="H10171" s="56">
        <v>9.6385557976888719E-2</v>
      </c>
      <c r="I10171" s="224" t="s">
        <v>2</v>
      </c>
    </row>
    <row r="10172" spans="1:9" x14ac:dyDescent="0.25">
      <c r="A10172" s="515">
        <v>35503</v>
      </c>
      <c r="B10172" s="515" t="s">
        <v>1087</v>
      </c>
      <c r="C10172" s="52">
        <v>213398.73623332201</v>
      </c>
      <c r="D10172" s="56">
        <v>4.8089679263732532E-2</v>
      </c>
      <c r="E10172" s="224" t="s">
        <v>2</v>
      </c>
      <c r="F10172" s="515" t="s">
        <v>11370</v>
      </c>
      <c r="G10172" s="52">
        <v>358312.88388919801</v>
      </c>
      <c r="H10172" s="56">
        <v>0.10290876082223328</v>
      </c>
      <c r="I10172" s="224" t="s">
        <v>2</v>
      </c>
    </row>
    <row r="10173" spans="1:9" x14ac:dyDescent="0.25">
      <c r="A10173" s="515">
        <v>32833</v>
      </c>
      <c r="B10173" s="515" t="s">
        <v>517</v>
      </c>
      <c r="C10173" s="52">
        <v>462068.61207204498</v>
      </c>
      <c r="D10173" s="56">
        <v>0.11511298383802707</v>
      </c>
      <c r="E10173" s="224" t="s">
        <v>2</v>
      </c>
      <c r="F10173" s="515" t="s">
        <v>11371</v>
      </c>
      <c r="G10173" s="52">
        <v>171199.72538591301</v>
      </c>
      <c r="H10173" s="56">
        <v>2.3747831590171267E-2</v>
      </c>
      <c r="I10173" s="224" t="s">
        <v>2</v>
      </c>
    </row>
    <row r="10174" spans="1:9" x14ac:dyDescent="0.25">
      <c r="A10174" s="515">
        <v>83801</v>
      </c>
      <c r="B10174" s="515" t="s">
        <v>992</v>
      </c>
      <c r="C10174" s="52">
        <v>664795.15586866403</v>
      </c>
      <c r="D10174" s="56">
        <v>8.2350236715423034E-2</v>
      </c>
      <c r="E10174" s="224" t="s">
        <v>2</v>
      </c>
      <c r="F10174" s="515" t="s">
        <v>11372</v>
      </c>
      <c r="G10174" s="52">
        <v>228198.015402669</v>
      </c>
      <c r="H10174" s="56">
        <v>4.5873488685138859E-2</v>
      </c>
      <c r="I10174" s="224" t="s">
        <v>2</v>
      </c>
    </row>
    <row r="10175" spans="1:9" x14ac:dyDescent="0.25">
      <c r="A10175" s="515">
        <v>74132</v>
      </c>
      <c r="B10175" s="515" t="s">
        <v>348</v>
      </c>
      <c r="C10175" s="52">
        <v>262680.46833846997</v>
      </c>
      <c r="D10175" s="56">
        <v>8.4321628406296895E-2</v>
      </c>
      <c r="E10175" s="224" t="s">
        <v>2</v>
      </c>
      <c r="F10175" s="515" t="s">
        <v>11373</v>
      </c>
      <c r="G10175" s="52">
        <v>379145.27168900502</v>
      </c>
      <c r="H10175" s="56">
        <v>2.2157420924094839E-2</v>
      </c>
      <c r="I10175" s="224" t="s">
        <v>2</v>
      </c>
    </row>
    <row r="10176" spans="1:9" x14ac:dyDescent="0.25">
      <c r="A10176" s="515">
        <v>17316</v>
      </c>
      <c r="B10176" s="515" t="s">
        <v>457</v>
      </c>
      <c r="C10176" s="52">
        <v>293442.27154620498</v>
      </c>
      <c r="D10176" s="56">
        <v>7.1400435184755306E-2</v>
      </c>
      <c r="E10176" s="224" t="s">
        <v>2</v>
      </c>
      <c r="F10176" s="515" t="s">
        <v>11374</v>
      </c>
      <c r="G10176" s="52">
        <v>153097.098531214</v>
      </c>
      <c r="H10176" s="56">
        <v>0.12898198021671392</v>
      </c>
      <c r="I10176" s="224" t="s">
        <v>2</v>
      </c>
    </row>
    <row r="10177" spans="1:9" x14ac:dyDescent="0.25">
      <c r="A10177" s="515">
        <v>35748</v>
      </c>
      <c r="B10177" s="515" t="s">
        <v>997</v>
      </c>
      <c r="C10177" s="52">
        <v>257276.220545627</v>
      </c>
      <c r="D10177" s="56">
        <v>5.806266123250025E-2</v>
      </c>
      <c r="E10177" s="224" t="s">
        <v>2</v>
      </c>
      <c r="F10177" s="515" t="s">
        <v>11375</v>
      </c>
      <c r="G10177" s="52">
        <v>381349.04070321401</v>
      </c>
      <c r="H10177" s="56">
        <v>2.3263936972547902E-2</v>
      </c>
      <c r="I10177" s="224" t="s">
        <v>2</v>
      </c>
    </row>
    <row r="10178" spans="1:9" x14ac:dyDescent="0.25">
      <c r="A10178" s="515">
        <v>13037</v>
      </c>
      <c r="B10178" s="515" t="s">
        <v>361</v>
      </c>
      <c r="C10178" s="52">
        <v>204797.39573775101</v>
      </c>
      <c r="D10178" s="56">
        <v>8.7444267825386612E-2</v>
      </c>
      <c r="E10178" s="224" t="s">
        <v>2</v>
      </c>
      <c r="F10178" s="515" t="s">
        <v>11376</v>
      </c>
      <c r="G10178" s="52">
        <v>131010.98073549</v>
      </c>
      <c r="H10178" s="56">
        <v>0.14561078051652782</v>
      </c>
      <c r="I10178" s="224" t="s">
        <v>2</v>
      </c>
    </row>
    <row r="10179" spans="1:9" x14ac:dyDescent="0.25">
      <c r="A10179" s="515">
        <v>10523</v>
      </c>
      <c r="B10179" s="515" t="s">
        <v>324</v>
      </c>
      <c r="C10179" s="52">
        <v>550694.26201753004</v>
      </c>
      <c r="D10179" s="56">
        <v>4.5582859855182824E-2</v>
      </c>
      <c r="E10179" s="224" t="s">
        <v>2</v>
      </c>
      <c r="F10179" s="515" t="s">
        <v>11377</v>
      </c>
      <c r="G10179" s="52">
        <v>160423.28227617999</v>
      </c>
      <c r="H10179" s="56">
        <v>5.4616215895266426E-2</v>
      </c>
      <c r="I10179" s="224" t="s">
        <v>2</v>
      </c>
    </row>
    <row r="10180" spans="1:9" x14ac:dyDescent="0.25">
      <c r="A10180" s="515">
        <v>30145</v>
      </c>
      <c r="B10180" s="515" t="s">
        <v>957</v>
      </c>
      <c r="C10180" s="52">
        <v>276299.86195365997</v>
      </c>
      <c r="D10180" s="56">
        <v>9.4691455812319664E-2</v>
      </c>
      <c r="E10180" s="224" t="s">
        <v>2</v>
      </c>
      <c r="F10180" s="515" t="s">
        <v>11378</v>
      </c>
      <c r="G10180" s="52">
        <v>239591.207429523</v>
      </c>
      <c r="H10180" s="56">
        <v>5.2620799542807545E-2</v>
      </c>
      <c r="I10180" s="224" t="s">
        <v>2</v>
      </c>
    </row>
    <row r="10181" spans="1:9" x14ac:dyDescent="0.25">
      <c r="A10181" s="515">
        <v>37322</v>
      </c>
      <c r="C10181" s="52">
        <v>222998.59855339999</v>
      </c>
      <c r="D10181" s="56">
        <v>0.11184818246980199</v>
      </c>
      <c r="E10181" s="224" t="s">
        <v>2</v>
      </c>
      <c r="F10181" s="515" t="s">
        <v>11379</v>
      </c>
      <c r="G10181" s="52">
        <v>234555.860068259</v>
      </c>
      <c r="H10181" s="56">
        <v>0</v>
      </c>
      <c r="I10181" s="224" t="s">
        <v>2</v>
      </c>
    </row>
    <row r="10182" spans="1:9" x14ac:dyDescent="0.25">
      <c r="A10182" s="515">
        <v>72927</v>
      </c>
      <c r="C10182" s="52">
        <v>115919.491061511</v>
      </c>
      <c r="D10182" s="56">
        <v>2.9061232120641739E-2</v>
      </c>
      <c r="E10182" s="224" t="s">
        <v>2</v>
      </c>
      <c r="F10182" s="515" t="s">
        <v>11380</v>
      </c>
      <c r="G10182" s="52">
        <v>178260.12184785301</v>
      </c>
      <c r="H10182" s="56">
        <v>1.1304931205422079E-2</v>
      </c>
      <c r="I10182" s="224" t="s">
        <v>2</v>
      </c>
    </row>
    <row r="10183" spans="1:9" x14ac:dyDescent="0.25">
      <c r="A10183" s="515">
        <v>49690</v>
      </c>
      <c r="B10183" s="515" t="s">
        <v>366</v>
      </c>
      <c r="C10183" s="52">
        <v>383641.44877731201</v>
      </c>
      <c r="D10183" s="56">
        <v>0.10154999992637445</v>
      </c>
      <c r="E10183" s="224" t="s">
        <v>2</v>
      </c>
      <c r="F10183" s="515" t="s">
        <v>11381</v>
      </c>
      <c r="G10183" s="52">
        <v>165743.15396850399</v>
      </c>
      <c r="H10183" s="56">
        <v>0.13249568215346233</v>
      </c>
      <c r="I10183" s="224" t="s">
        <v>2</v>
      </c>
    </row>
    <row r="10184" spans="1:9" x14ac:dyDescent="0.25">
      <c r="A10184" s="515">
        <v>68528</v>
      </c>
      <c r="B10184" s="515" t="s">
        <v>486</v>
      </c>
      <c r="C10184" s="52">
        <v>256002.09613004199</v>
      </c>
      <c r="D10184" s="56">
        <v>7.8406740765702185E-2</v>
      </c>
      <c r="E10184" s="224" t="s">
        <v>2</v>
      </c>
      <c r="F10184" s="515" t="s">
        <v>11382</v>
      </c>
      <c r="G10184" s="52">
        <v>160048.851449254</v>
      </c>
      <c r="H10184" s="56">
        <v>1.1872513606168908E-2</v>
      </c>
      <c r="I10184" s="224" t="s">
        <v>2</v>
      </c>
    </row>
    <row r="10185" spans="1:9" x14ac:dyDescent="0.25">
      <c r="A10185" s="515">
        <v>19352</v>
      </c>
      <c r="B10185" s="515" t="s">
        <v>294</v>
      </c>
      <c r="C10185" s="52">
        <v>473026.14916505199</v>
      </c>
      <c r="D10185" s="56">
        <v>9.716156232804353E-2</v>
      </c>
      <c r="E10185" s="224" t="s">
        <v>2</v>
      </c>
      <c r="F10185" s="515" t="s">
        <v>11383</v>
      </c>
      <c r="G10185" s="52">
        <v>280713.65409945301</v>
      </c>
      <c r="H10185" s="56">
        <v>7.3897179501105636E-2</v>
      </c>
      <c r="I10185" s="224" t="s">
        <v>2</v>
      </c>
    </row>
    <row r="10186" spans="1:9" x14ac:dyDescent="0.25">
      <c r="A10186" s="515">
        <v>18088</v>
      </c>
      <c r="B10186" s="515" t="s">
        <v>327</v>
      </c>
      <c r="C10186" s="52">
        <v>285524.35400408698</v>
      </c>
      <c r="D10186" s="56">
        <v>0.10273447809603849</v>
      </c>
      <c r="E10186" s="224" t="s">
        <v>2</v>
      </c>
      <c r="F10186" s="515" t="s">
        <v>11384</v>
      </c>
      <c r="G10186" s="52">
        <v>611968.99625314202</v>
      </c>
      <c r="H10186" s="56">
        <v>0.13059917083041575</v>
      </c>
      <c r="I10186" s="224" t="s">
        <v>2</v>
      </c>
    </row>
    <row r="10187" spans="1:9" x14ac:dyDescent="0.25">
      <c r="A10187" s="515">
        <v>24175</v>
      </c>
      <c r="B10187" s="515" t="s">
        <v>861</v>
      </c>
      <c r="C10187" s="52">
        <v>277367.77729183802</v>
      </c>
      <c r="D10187" s="56">
        <v>6.6880872953591269E-2</v>
      </c>
      <c r="E10187" s="224" t="s">
        <v>2</v>
      </c>
      <c r="F10187" s="515" t="s">
        <v>11385</v>
      </c>
      <c r="G10187" s="52">
        <v>1257399.49140049</v>
      </c>
      <c r="H10187" s="56">
        <v>0</v>
      </c>
      <c r="I10187" s="224" t="s">
        <v>2</v>
      </c>
    </row>
    <row r="10188" spans="1:9" x14ac:dyDescent="0.25">
      <c r="A10188" s="515">
        <v>35660</v>
      </c>
      <c r="B10188" s="515" t="s">
        <v>1100</v>
      </c>
      <c r="C10188" s="52">
        <v>97845.694560718694</v>
      </c>
      <c r="D10188" s="56">
        <v>7.3424759696305866E-2</v>
      </c>
      <c r="E10188" s="224" t="s">
        <v>2</v>
      </c>
      <c r="F10188" s="515" t="s">
        <v>11386</v>
      </c>
      <c r="G10188" s="52">
        <v>546717.20025468105</v>
      </c>
      <c r="H10188" s="56">
        <v>0.11078455459060017</v>
      </c>
      <c r="I10188" s="224" t="s">
        <v>2</v>
      </c>
    </row>
    <row r="10189" spans="1:9" x14ac:dyDescent="0.25">
      <c r="A10189" s="515">
        <v>80498</v>
      </c>
      <c r="B10189" s="515" t="s">
        <v>1169</v>
      </c>
      <c r="C10189" s="52">
        <v>900929.27951453498</v>
      </c>
      <c r="D10189" s="56">
        <v>1.6260927316856966E-2</v>
      </c>
      <c r="E10189" s="224" t="s">
        <v>2</v>
      </c>
      <c r="F10189" s="515" t="s">
        <v>11387</v>
      </c>
      <c r="G10189" s="52">
        <v>621281.64335366595</v>
      </c>
      <c r="H10189" s="56">
        <v>1.813311846201416E-2</v>
      </c>
      <c r="I10189" s="224" t="s">
        <v>2</v>
      </c>
    </row>
    <row r="10190" spans="1:9" x14ac:dyDescent="0.25">
      <c r="A10190" s="515">
        <v>60044</v>
      </c>
      <c r="B10190" s="515" t="s">
        <v>394</v>
      </c>
      <c r="C10190" s="52">
        <v>480735.22310023598</v>
      </c>
      <c r="D10190" s="56">
        <v>5.7898526148682024E-2</v>
      </c>
      <c r="E10190" s="224" t="s">
        <v>2</v>
      </c>
      <c r="F10190" s="515" t="s">
        <v>11388</v>
      </c>
      <c r="G10190" s="52">
        <v>219196.29350649301</v>
      </c>
      <c r="H10190" s="56">
        <v>0</v>
      </c>
      <c r="I10190" s="224" t="s">
        <v>2</v>
      </c>
    </row>
    <row r="10191" spans="1:9" x14ac:dyDescent="0.25">
      <c r="A10191" s="515">
        <v>31546</v>
      </c>
      <c r="B10191" s="515" t="s">
        <v>1137</v>
      </c>
      <c r="C10191" s="52">
        <v>153897.24100407399</v>
      </c>
      <c r="D10191" s="56">
        <v>4.3286576772976572E-2</v>
      </c>
      <c r="E10191" s="224" t="s">
        <v>2</v>
      </c>
      <c r="F10191" s="515" t="s">
        <v>11389</v>
      </c>
      <c r="G10191" s="52">
        <v>210811.90977344499</v>
      </c>
      <c r="H10191" s="56">
        <v>9.3388989930864127E-2</v>
      </c>
      <c r="I10191" s="224" t="s">
        <v>2</v>
      </c>
    </row>
    <row r="10192" spans="1:9" x14ac:dyDescent="0.25">
      <c r="A10192" s="515">
        <v>8203</v>
      </c>
      <c r="B10192" s="515" t="s">
        <v>800</v>
      </c>
      <c r="C10192" s="52">
        <v>540467.11435756204</v>
      </c>
      <c r="D10192" s="56">
        <v>7.449956374585158E-2</v>
      </c>
      <c r="E10192" s="224" t="s">
        <v>2</v>
      </c>
      <c r="F10192" s="515" t="s">
        <v>11390</v>
      </c>
      <c r="G10192" s="52">
        <v>361941.80037568999</v>
      </c>
      <c r="H10192" s="56">
        <v>7.1367568693225164E-2</v>
      </c>
      <c r="I10192" s="224" t="s">
        <v>2</v>
      </c>
    </row>
    <row r="10193" spans="1:9" x14ac:dyDescent="0.25">
      <c r="A10193" s="515">
        <v>27572</v>
      </c>
      <c r="B10193" s="515" t="s">
        <v>467</v>
      </c>
      <c r="C10193" s="52">
        <v>306417.53596423101</v>
      </c>
      <c r="D10193" s="56">
        <v>0.13634995206458661</v>
      </c>
      <c r="E10193" s="224" t="s">
        <v>2</v>
      </c>
      <c r="F10193" s="515" t="s">
        <v>11391</v>
      </c>
      <c r="G10193" s="52">
        <v>128917.67130004401</v>
      </c>
      <c r="H10193" s="56">
        <v>0.28244788512407498</v>
      </c>
      <c r="I10193" s="224" t="s">
        <v>2</v>
      </c>
    </row>
    <row r="10194" spans="1:9" x14ac:dyDescent="0.25">
      <c r="A10194" s="515">
        <v>2460</v>
      </c>
      <c r="B10194" s="515" t="s">
        <v>534</v>
      </c>
      <c r="C10194" s="52">
        <v>1103666.87903027</v>
      </c>
      <c r="D10194" s="56">
        <v>1.9826561578667357E-2</v>
      </c>
      <c r="E10194" s="224">
        <v>2700</v>
      </c>
      <c r="F10194" s="515" t="s">
        <v>11392</v>
      </c>
      <c r="G10194" s="52">
        <v>85538.479827413394</v>
      </c>
      <c r="H10194" s="56">
        <v>1.1789900331650073E-2</v>
      </c>
      <c r="I10194" s="224" t="s">
        <v>2</v>
      </c>
    </row>
    <row r="10195" spans="1:9" x14ac:dyDescent="0.25">
      <c r="A10195" s="515">
        <v>66547</v>
      </c>
      <c r="B10195" s="515" t="s">
        <v>795</v>
      </c>
      <c r="C10195" s="52">
        <v>258275.856985969</v>
      </c>
      <c r="D10195" s="56">
        <v>6.9418291874199789E-2</v>
      </c>
      <c r="E10195" s="224" t="s">
        <v>2</v>
      </c>
      <c r="F10195" s="515" t="s">
        <v>11393</v>
      </c>
      <c r="G10195" s="52">
        <v>171199.71249963201</v>
      </c>
      <c r="H10195" s="56">
        <v>3.0328318625165614E-2</v>
      </c>
      <c r="I10195" s="224" t="s">
        <v>2</v>
      </c>
    </row>
    <row r="10196" spans="1:9" x14ac:dyDescent="0.25">
      <c r="A10196" s="515">
        <v>44216</v>
      </c>
      <c r="B10196" s="515" t="s">
        <v>1000</v>
      </c>
      <c r="C10196" s="52">
        <v>224785.72871496799</v>
      </c>
      <c r="D10196" s="56">
        <v>5.1852178056822774E-2</v>
      </c>
      <c r="E10196" s="224" t="s">
        <v>2</v>
      </c>
      <c r="F10196" s="515" t="s">
        <v>11394</v>
      </c>
      <c r="G10196" s="52">
        <v>204286.626265789</v>
      </c>
      <c r="H10196" s="56">
        <v>0.1101977545948776</v>
      </c>
      <c r="I10196" s="224" t="s">
        <v>2</v>
      </c>
    </row>
    <row r="10197" spans="1:9" x14ac:dyDescent="0.25">
      <c r="A10197" s="515">
        <v>38059</v>
      </c>
      <c r="B10197" s="515" t="s">
        <v>906</v>
      </c>
      <c r="C10197" s="52">
        <v>149290.961540872</v>
      </c>
      <c r="D10197" s="56">
        <v>1.4930924404063361E-2</v>
      </c>
      <c r="E10197" s="224" t="s">
        <v>2</v>
      </c>
      <c r="F10197" s="515" t="s">
        <v>11395</v>
      </c>
      <c r="G10197" s="52">
        <v>228730.88109615599</v>
      </c>
      <c r="H10197" s="56">
        <v>6.2822176514450212E-2</v>
      </c>
      <c r="I10197" s="224" t="s">
        <v>2</v>
      </c>
    </row>
    <row r="10198" spans="1:9" x14ac:dyDescent="0.25">
      <c r="A10198" s="515">
        <v>33128</v>
      </c>
      <c r="B10198" s="515" t="s">
        <v>831</v>
      </c>
      <c r="C10198" s="52">
        <v>281103.29102272901</v>
      </c>
      <c r="D10198" s="56">
        <v>0.2592085509869862</v>
      </c>
      <c r="E10198" s="224">
        <v>2633.1111111111099</v>
      </c>
      <c r="F10198" s="515" t="s">
        <v>11396</v>
      </c>
      <c r="G10198" s="52">
        <v>208310.85896246301</v>
      </c>
      <c r="H10198" s="56">
        <v>0.23038878401660184</v>
      </c>
      <c r="I10198" s="224" t="s">
        <v>2</v>
      </c>
    </row>
    <row r="10199" spans="1:9" x14ac:dyDescent="0.25">
      <c r="A10199" s="515">
        <v>56649</v>
      </c>
      <c r="C10199" s="52">
        <v>125053.54853763001</v>
      </c>
      <c r="D10199" s="56">
        <v>9.146904380544954E-2</v>
      </c>
      <c r="E10199" s="224" t="s">
        <v>2</v>
      </c>
      <c r="F10199" s="515" t="s">
        <v>11397</v>
      </c>
      <c r="G10199" s="52">
        <v>192134.81267780601</v>
      </c>
      <c r="H10199" s="56">
        <v>6.7656372515607036E-2</v>
      </c>
      <c r="I10199" s="224" t="s">
        <v>2</v>
      </c>
    </row>
    <row r="10200" spans="1:9" x14ac:dyDescent="0.25">
      <c r="A10200" s="515">
        <v>77518</v>
      </c>
      <c r="B10200" s="515" t="s">
        <v>314</v>
      </c>
      <c r="C10200" s="52">
        <v>200340.05631561499</v>
      </c>
      <c r="D10200" s="56">
        <v>9.1490950664821616E-2</v>
      </c>
      <c r="E10200" s="224" t="s">
        <v>2</v>
      </c>
      <c r="F10200" s="515" t="s">
        <v>11398</v>
      </c>
      <c r="G10200" s="52">
        <v>128932.699045774</v>
      </c>
      <c r="H10200" s="56">
        <v>0.15703754265743058</v>
      </c>
      <c r="I10200" s="224" t="s">
        <v>2</v>
      </c>
    </row>
    <row r="10201" spans="1:9" x14ac:dyDescent="0.25">
      <c r="A10201" s="515">
        <v>92254</v>
      </c>
      <c r="B10201" s="515" t="s">
        <v>599</v>
      </c>
      <c r="C10201" s="52">
        <v>281185.79661229602</v>
      </c>
      <c r="D10201" s="56">
        <v>0.17991762505916256</v>
      </c>
      <c r="E10201" s="224" t="s">
        <v>2</v>
      </c>
      <c r="F10201" s="515" t="s">
        <v>11399</v>
      </c>
      <c r="G10201" s="52">
        <v>151629.259083396</v>
      </c>
      <c r="H10201" s="56">
        <v>5.6880253354821449E-2</v>
      </c>
      <c r="I10201" s="224" t="s">
        <v>2</v>
      </c>
    </row>
    <row r="10202" spans="1:9" x14ac:dyDescent="0.25">
      <c r="A10202" s="515">
        <v>32134</v>
      </c>
      <c r="B10202" s="515" t="s">
        <v>475</v>
      </c>
      <c r="C10202" s="52">
        <v>145540.03576118601</v>
      </c>
      <c r="D10202" s="56">
        <v>0.23163963530670645</v>
      </c>
      <c r="E10202" s="224" t="s">
        <v>2</v>
      </c>
      <c r="F10202" s="515" t="s">
        <v>11400</v>
      </c>
      <c r="G10202" s="52">
        <v>183559.804089146</v>
      </c>
      <c r="H10202" s="56">
        <v>-1.0290181955825857E-2</v>
      </c>
      <c r="I10202" s="224" t="s">
        <v>2</v>
      </c>
    </row>
    <row r="10203" spans="1:9" x14ac:dyDescent="0.25">
      <c r="A10203" s="515">
        <v>38852</v>
      </c>
      <c r="C10203" s="52">
        <v>158355.92228173101</v>
      </c>
      <c r="D10203" s="56">
        <v>3.1752128865255393E-2</v>
      </c>
      <c r="E10203" s="224" t="s">
        <v>2</v>
      </c>
      <c r="F10203" s="515" t="s">
        <v>11401</v>
      </c>
      <c r="G10203" s="52">
        <v>150084.51734103999</v>
      </c>
      <c r="H10203" s="56">
        <v>0</v>
      </c>
      <c r="I10203" s="224" t="s">
        <v>2</v>
      </c>
    </row>
    <row r="10204" spans="1:9" x14ac:dyDescent="0.25">
      <c r="A10204" s="515">
        <v>4064</v>
      </c>
      <c r="B10204" s="515" t="s">
        <v>570</v>
      </c>
      <c r="C10204" s="52">
        <v>418747.37983730499</v>
      </c>
      <c r="D10204" s="56">
        <v>9.4810692863436241E-2</v>
      </c>
      <c r="E10204" s="224">
        <v>1850</v>
      </c>
      <c r="F10204" s="515" t="s">
        <v>11402</v>
      </c>
      <c r="G10204" s="52">
        <v>144075.431309126</v>
      </c>
      <c r="H10204" s="56">
        <v>7.5338135384206542E-2</v>
      </c>
      <c r="I10204" s="224" t="s">
        <v>2</v>
      </c>
    </row>
    <row r="10205" spans="1:9" x14ac:dyDescent="0.25">
      <c r="A10205" s="515">
        <v>1516</v>
      </c>
      <c r="B10205" s="515" t="s">
        <v>751</v>
      </c>
      <c r="C10205" s="52">
        <v>450778.92079327803</v>
      </c>
      <c r="D10205" s="56">
        <v>8.6605826442549771E-2</v>
      </c>
      <c r="E10205" s="224" t="s">
        <v>2</v>
      </c>
      <c r="F10205" s="515" t="s">
        <v>11403</v>
      </c>
      <c r="G10205" s="52">
        <v>134534.18825327</v>
      </c>
      <c r="H10205" s="56">
        <v>5.0881805345757376E-2</v>
      </c>
      <c r="I10205" s="224" t="s">
        <v>2</v>
      </c>
    </row>
    <row r="10206" spans="1:9" x14ac:dyDescent="0.25">
      <c r="A10206" s="515">
        <v>78362</v>
      </c>
      <c r="B10206" s="515" t="s">
        <v>415</v>
      </c>
      <c r="C10206" s="52">
        <v>201319.784080179</v>
      </c>
      <c r="D10206" s="56">
        <v>6.8477670464936094E-2</v>
      </c>
      <c r="E10206" s="224" t="s">
        <v>2</v>
      </c>
      <c r="F10206" s="515" t="s">
        <v>11404</v>
      </c>
      <c r="G10206" s="52">
        <v>252732.905837681</v>
      </c>
      <c r="H10206" s="56">
        <v>0.10158580464184597</v>
      </c>
      <c r="I10206" s="224" t="s">
        <v>2</v>
      </c>
    </row>
    <row r="10207" spans="1:9" x14ac:dyDescent="0.25">
      <c r="A10207" s="515">
        <v>35207</v>
      </c>
      <c r="B10207" s="515" t="s">
        <v>640</v>
      </c>
      <c r="C10207" s="52">
        <v>44712.336835796297</v>
      </c>
      <c r="D10207" s="56">
        <v>0.18763498517844918</v>
      </c>
      <c r="E10207" s="224" t="s">
        <v>2</v>
      </c>
      <c r="F10207" s="515" t="s">
        <v>11405</v>
      </c>
      <c r="G10207" s="52">
        <v>117575.577772095</v>
      </c>
      <c r="H10207" s="56">
        <v>8.7612239539297115E-2</v>
      </c>
      <c r="I10207" s="224" t="s">
        <v>2</v>
      </c>
    </row>
    <row r="10208" spans="1:9" x14ac:dyDescent="0.25">
      <c r="A10208" s="515">
        <v>3874</v>
      </c>
      <c r="B10208" s="515" t="s">
        <v>534</v>
      </c>
      <c r="C10208" s="52">
        <v>527140.85698663502</v>
      </c>
      <c r="D10208" s="56">
        <v>8.4283210850017984E-2</v>
      </c>
      <c r="E10208" s="224" t="s">
        <v>2</v>
      </c>
      <c r="F10208" s="515" t="s">
        <v>11406</v>
      </c>
      <c r="G10208" s="52">
        <v>473445.11654015299</v>
      </c>
      <c r="H10208" s="56">
        <v>1.6287009446830324E-2</v>
      </c>
      <c r="I10208" s="224" t="s">
        <v>2</v>
      </c>
    </row>
    <row r="10209" spans="1:9" x14ac:dyDescent="0.25">
      <c r="A10209" s="515">
        <v>48509</v>
      </c>
      <c r="B10209" s="515" t="s">
        <v>759</v>
      </c>
      <c r="C10209" s="52">
        <v>154503.18576172</v>
      </c>
      <c r="D10209" s="56">
        <v>8.1830227720951047E-3</v>
      </c>
      <c r="E10209" s="224" t="s">
        <v>2</v>
      </c>
      <c r="F10209" s="515" t="s">
        <v>11407</v>
      </c>
      <c r="G10209" s="52">
        <v>1793196.36998616</v>
      </c>
      <c r="H10209" s="56">
        <v>8.7503961903060493E-2</v>
      </c>
      <c r="I10209" s="224" t="s">
        <v>2</v>
      </c>
    </row>
    <row r="10210" spans="1:9" x14ac:dyDescent="0.25">
      <c r="A10210" s="515">
        <v>78736</v>
      </c>
      <c r="B10210" s="515" t="s">
        <v>380</v>
      </c>
      <c r="C10210" s="52">
        <v>593443.09807961702</v>
      </c>
      <c r="D10210" s="56">
        <v>2.3484784468994994E-2</v>
      </c>
      <c r="E10210" s="224">
        <v>1719.8333333333301</v>
      </c>
      <c r="F10210" s="515" t="s">
        <v>11408</v>
      </c>
      <c r="G10210" s="52">
        <v>261693.899703748</v>
      </c>
      <c r="H10210" s="56">
        <v>7.214449695019888E-2</v>
      </c>
      <c r="I10210" s="224" t="s">
        <v>2</v>
      </c>
    </row>
    <row r="10211" spans="1:9" x14ac:dyDescent="0.25">
      <c r="A10211" s="515">
        <v>54929</v>
      </c>
      <c r="C10211" s="52">
        <v>160034.50456280899</v>
      </c>
      <c r="D10211" s="56">
        <v>6.2386897136522103E-2</v>
      </c>
      <c r="E10211" s="224" t="s">
        <v>2</v>
      </c>
      <c r="F10211" s="515" t="s">
        <v>11409</v>
      </c>
      <c r="G10211" s="52">
        <v>295228.34412816301</v>
      </c>
      <c r="H10211" s="56">
        <v>7.5230854171658854E-2</v>
      </c>
      <c r="I10211" s="224" t="s">
        <v>2</v>
      </c>
    </row>
    <row r="10212" spans="1:9" x14ac:dyDescent="0.25">
      <c r="A10212" s="515">
        <v>78839</v>
      </c>
      <c r="C10212" s="52">
        <v>82476.715851004701</v>
      </c>
      <c r="D10212" s="56">
        <v>7.8290984219639162E-2</v>
      </c>
      <c r="E10212" s="224" t="s">
        <v>2</v>
      </c>
      <c r="F10212" s="515" t="s">
        <v>11410</v>
      </c>
      <c r="G10212" s="52">
        <v>121282.58179799101</v>
      </c>
      <c r="H10212" s="56">
        <v>8.6777709278376122E-2</v>
      </c>
      <c r="I10212" s="224" t="s">
        <v>2</v>
      </c>
    </row>
    <row r="10213" spans="1:9" x14ac:dyDescent="0.25">
      <c r="A10213" s="515">
        <v>35031</v>
      </c>
      <c r="B10213" s="515" t="s">
        <v>640</v>
      </c>
      <c r="C10213" s="52">
        <v>179099.63416446501</v>
      </c>
      <c r="D10213" s="56">
        <v>8.0505413846985008E-2</v>
      </c>
      <c r="E10213" s="224" t="s">
        <v>2</v>
      </c>
      <c r="F10213" s="515" t="s">
        <v>11411</v>
      </c>
      <c r="G10213" s="52">
        <v>254553.42361007599</v>
      </c>
      <c r="H10213" s="56">
        <v>0.10053277343561147</v>
      </c>
      <c r="I10213" s="224" t="s">
        <v>2</v>
      </c>
    </row>
    <row r="10214" spans="1:9" x14ac:dyDescent="0.25">
      <c r="A10214" s="515">
        <v>53536</v>
      </c>
      <c r="B10214" s="515" t="s">
        <v>379</v>
      </c>
      <c r="C10214" s="52">
        <v>297216.462713468</v>
      </c>
      <c r="D10214" s="56">
        <v>6.1117865539569452E-2</v>
      </c>
      <c r="E10214" s="224" t="s">
        <v>2</v>
      </c>
      <c r="F10214" s="515" t="s">
        <v>11412</v>
      </c>
      <c r="G10214" s="52">
        <v>105121.909454319</v>
      </c>
      <c r="H10214" s="56">
        <v>2.1992504068841987E-2</v>
      </c>
      <c r="I10214" s="224" t="s">
        <v>2</v>
      </c>
    </row>
    <row r="10215" spans="1:9" x14ac:dyDescent="0.25">
      <c r="A10215" s="515">
        <v>59923</v>
      </c>
      <c r="C10215" s="52">
        <v>329835.33528813301</v>
      </c>
      <c r="D10215" s="56">
        <v>0.12691997185177209</v>
      </c>
      <c r="E10215" s="224" t="s">
        <v>2</v>
      </c>
      <c r="F10215" s="515" t="s">
        <v>11413</v>
      </c>
      <c r="G10215" s="52">
        <v>62530.899344524099</v>
      </c>
      <c r="H10215" s="56">
        <v>-9.8895824264297799E-2</v>
      </c>
      <c r="I10215" s="224" t="s">
        <v>2</v>
      </c>
    </row>
    <row r="10216" spans="1:9" x14ac:dyDescent="0.25">
      <c r="A10216" s="515">
        <v>2673</v>
      </c>
      <c r="B10216" s="515" t="s">
        <v>427</v>
      </c>
      <c r="C10216" s="52">
        <v>479739.55697520601</v>
      </c>
      <c r="D10216" s="56">
        <v>0.11178959157452471</v>
      </c>
      <c r="E10216" s="224" t="s">
        <v>2</v>
      </c>
      <c r="F10216" s="515" t="s">
        <v>11414</v>
      </c>
      <c r="G10216" s="52">
        <v>90856.485736249306</v>
      </c>
      <c r="H10216" s="56">
        <v>0.11627240756560153</v>
      </c>
      <c r="I10216" s="224" t="s">
        <v>2</v>
      </c>
    </row>
    <row r="10217" spans="1:9" x14ac:dyDescent="0.25">
      <c r="A10217" s="515">
        <v>7849</v>
      </c>
      <c r="B10217" s="515" t="s">
        <v>324</v>
      </c>
      <c r="C10217" s="52">
        <v>408786.85276261898</v>
      </c>
      <c r="D10217" s="56">
        <v>6.6400559462124378E-2</v>
      </c>
      <c r="E10217" s="224" t="s">
        <v>2</v>
      </c>
      <c r="F10217" s="515" t="s">
        <v>11415</v>
      </c>
      <c r="G10217" s="52">
        <v>316995.820697847</v>
      </c>
      <c r="H10217" s="56">
        <v>6.3240018962297764E-2</v>
      </c>
      <c r="I10217" s="224" t="s">
        <v>2</v>
      </c>
    </row>
    <row r="10218" spans="1:9" x14ac:dyDescent="0.25">
      <c r="A10218" s="515">
        <v>95065</v>
      </c>
      <c r="B10218" s="515" t="s">
        <v>596</v>
      </c>
      <c r="C10218" s="52">
        <v>1212699.7535298299</v>
      </c>
      <c r="D10218" s="56">
        <v>2.4639815949360516E-2</v>
      </c>
      <c r="E10218" s="224" t="s">
        <v>2</v>
      </c>
      <c r="F10218" s="515" t="s">
        <v>11416</v>
      </c>
      <c r="G10218" s="52">
        <v>92951.967608050007</v>
      </c>
      <c r="H10218" s="56">
        <v>7.1093096693356964E-2</v>
      </c>
      <c r="I10218" s="224" t="s">
        <v>2</v>
      </c>
    </row>
    <row r="10219" spans="1:9" x14ac:dyDescent="0.25">
      <c r="A10219" s="515">
        <v>4915</v>
      </c>
      <c r="C10219" s="52">
        <v>324161.51860009099</v>
      </c>
      <c r="D10219" s="56">
        <v>7.2787333819379157E-2</v>
      </c>
      <c r="E10219" s="224" t="s">
        <v>2</v>
      </c>
      <c r="F10219" s="515" t="s">
        <v>11417</v>
      </c>
      <c r="G10219" s="52">
        <v>137402.20201613201</v>
      </c>
      <c r="H10219" s="56">
        <v>7.1246148788902008E-2</v>
      </c>
      <c r="I10219" s="224" t="s">
        <v>2</v>
      </c>
    </row>
    <row r="10220" spans="1:9" x14ac:dyDescent="0.25">
      <c r="A10220" s="515">
        <v>65622</v>
      </c>
      <c r="B10220" s="515" t="s">
        <v>603</v>
      </c>
      <c r="C10220" s="52">
        <v>165685.94298752301</v>
      </c>
      <c r="D10220" s="56">
        <v>0.11664682862394155</v>
      </c>
      <c r="E10220" s="224" t="s">
        <v>2</v>
      </c>
      <c r="F10220" s="515" t="s">
        <v>11418</v>
      </c>
      <c r="G10220" s="52">
        <v>132308.17836475401</v>
      </c>
      <c r="H10220" s="56">
        <v>4.2737641607103909E-2</v>
      </c>
      <c r="I10220" s="224" t="s">
        <v>2</v>
      </c>
    </row>
    <row r="10221" spans="1:9" x14ac:dyDescent="0.25">
      <c r="A10221" s="515">
        <v>19137</v>
      </c>
      <c r="B10221" s="515" t="s">
        <v>294</v>
      </c>
      <c r="C10221" s="52">
        <v>203841.354473474</v>
      </c>
      <c r="D10221" s="56">
        <v>0.10563644367789637</v>
      </c>
      <c r="E10221" s="224" t="s">
        <v>2</v>
      </c>
      <c r="F10221" s="515" t="s">
        <v>11419</v>
      </c>
      <c r="G10221" s="52">
        <v>304059.66274476697</v>
      </c>
      <c r="H10221" s="56">
        <v>3.1612759804975105E-2</v>
      </c>
      <c r="I10221" s="224" t="s">
        <v>2</v>
      </c>
    </row>
    <row r="10222" spans="1:9" x14ac:dyDescent="0.25">
      <c r="A10222" s="515">
        <v>32046</v>
      </c>
      <c r="B10222" s="515" t="s">
        <v>1158</v>
      </c>
      <c r="C10222" s="52">
        <v>307037.156071187</v>
      </c>
      <c r="D10222" s="56">
        <v>0.14349990729845261</v>
      </c>
      <c r="E10222" s="224" t="s">
        <v>2</v>
      </c>
      <c r="F10222" s="515" t="s">
        <v>11420</v>
      </c>
      <c r="G10222" s="52">
        <v>259382.29202455</v>
      </c>
      <c r="H10222" s="56">
        <v>8.845510256610048E-2</v>
      </c>
      <c r="I10222" s="224" t="s">
        <v>2</v>
      </c>
    </row>
    <row r="10223" spans="1:9" x14ac:dyDescent="0.25">
      <c r="A10223" s="515">
        <v>85054</v>
      </c>
      <c r="B10223" s="515" t="s">
        <v>563</v>
      </c>
      <c r="C10223" s="52">
        <v>589101.42141074105</v>
      </c>
      <c r="D10223" s="56">
        <v>5.107521767759899E-2</v>
      </c>
      <c r="E10223" s="224">
        <v>2243.22697563874</v>
      </c>
      <c r="F10223" s="515" t="s">
        <v>11421</v>
      </c>
      <c r="G10223" s="52">
        <v>225679.07330488399</v>
      </c>
      <c r="H10223" s="56">
        <v>0.10701493042697814</v>
      </c>
      <c r="I10223" s="224" t="s">
        <v>2</v>
      </c>
    </row>
    <row r="10224" spans="1:9" x14ac:dyDescent="0.25">
      <c r="A10224" s="515">
        <v>87048</v>
      </c>
      <c r="B10224" s="515" t="s">
        <v>406</v>
      </c>
      <c r="C10224" s="52">
        <v>605058.98045715701</v>
      </c>
      <c r="D10224" s="56">
        <v>7.7611724409147403E-2</v>
      </c>
      <c r="E10224" s="224" t="s">
        <v>2</v>
      </c>
      <c r="F10224" s="515" t="s">
        <v>11422</v>
      </c>
      <c r="G10224" s="52">
        <v>2458715.9775548098</v>
      </c>
      <c r="H10224" s="56">
        <v>1.4094453150810959E-2</v>
      </c>
      <c r="I10224" s="224" t="s">
        <v>2</v>
      </c>
    </row>
    <row r="10225" spans="1:9" x14ac:dyDescent="0.25">
      <c r="A10225" s="515">
        <v>71251</v>
      </c>
      <c r="C10225" s="52">
        <v>64834.928089287998</v>
      </c>
      <c r="D10225" s="56">
        <v>4.3575619262981598E-2</v>
      </c>
      <c r="E10225" s="224" t="s">
        <v>2</v>
      </c>
      <c r="F10225" s="515" t="s">
        <v>11423</v>
      </c>
      <c r="G10225" s="52">
        <v>144593.225219844</v>
      </c>
      <c r="H10225" s="56">
        <v>3.1974414688893456E-2</v>
      </c>
      <c r="I10225" s="224" t="s">
        <v>2</v>
      </c>
    </row>
    <row r="10226" spans="1:9" x14ac:dyDescent="0.25">
      <c r="A10226" s="515">
        <v>56011</v>
      </c>
      <c r="B10226" s="515" t="s">
        <v>532</v>
      </c>
      <c r="C10226" s="52">
        <v>326478.22009586502</v>
      </c>
      <c r="D10226" s="56">
        <v>2.55109502788206E-2</v>
      </c>
      <c r="E10226" s="224" t="s">
        <v>2</v>
      </c>
      <c r="F10226" s="515" t="s">
        <v>11424</v>
      </c>
      <c r="G10226" s="52">
        <v>136142.652759822</v>
      </c>
      <c r="H10226" s="56">
        <v>0.18396446068195316</v>
      </c>
      <c r="I10226" s="224" t="s">
        <v>2</v>
      </c>
    </row>
    <row r="10227" spans="1:9" x14ac:dyDescent="0.25">
      <c r="A10227" s="515">
        <v>63703</v>
      </c>
      <c r="B10227" s="515" t="s">
        <v>424</v>
      </c>
      <c r="C10227" s="52">
        <v>101722.26826617699</v>
      </c>
      <c r="D10227" s="56">
        <v>0.12361689633980356</v>
      </c>
      <c r="E10227" s="224" t="s">
        <v>2</v>
      </c>
      <c r="F10227" s="515" t="s">
        <v>11425</v>
      </c>
      <c r="G10227" s="52">
        <v>864732.18694537703</v>
      </c>
      <c r="H10227" s="56">
        <v>2.4012715229218797E-2</v>
      </c>
      <c r="I10227" s="224" t="s">
        <v>2</v>
      </c>
    </row>
    <row r="10228" spans="1:9" x14ac:dyDescent="0.25">
      <c r="A10228" s="515">
        <v>2664</v>
      </c>
      <c r="B10228" s="515" t="s">
        <v>427</v>
      </c>
      <c r="C10228" s="52">
        <v>517162.06667639897</v>
      </c>
      <c r="D10228" s="56">
        <v>0.10769732143225839</v>
      </c>
      <c r="E10228" s="224" t="s">
        <v>2</v>
      </c>
      <c r="F10228" s="515" t="s">
        <v>11426</v>
      </c>
      <c r="G10228" s="52">
        <v>270761.05953180999</v>
      </c>
      <c r="H10228" s="56">
        <v>8.3175362401362002E-2</v>
      </c>
      <c r="I10228" s="224" t="s">
        <v>2</v>
      </c>
    </row>
    <row r="10229" spans="1:9" x14ac:dyDescent="0.25">
      <c r="A10229" s="515">
        <v>33540</v>
      </c>
      <c r="B10229" s="515" t="s">
        <v>461</v>
      </c>
      <c r="C10229" s="52">
        <v>306163.54842185503</v>
      </c>
      <c r="D10229" s="56">
        <v>9.9503260572080227E-2</v>
      </c>
      <c r="E10229" s="224" t="s">
        <v>2</v>
      </c>
      <c r="F10229" s="515" t="s">
        <v>11427</v>
      </c>
      <c r="G10229" s="52">
        <v>171015.897196014</v>
      </c>
      <c r="H10229" s="56">
        <v>0.1359858862420914</v>
      </c>
      <c r="I10229" s="224" t="s">
        <v>2</v>
      </c>
    </row>
    <row r="10230" spans="1:9" x14ac:dyDescent="0.25">
      <c r="A10230" s="515">
        <v>55807</v>
      </c>
      <c r="B10230" s="515" t="s">
        <v>350</v>
      </c>
      <c r="C10230" s="52">
        <v>174897.19661611499</v>
      </c>
      <c r="D10230" s="56">
        <v>3.9829752208688833E-2</v>
      </c>
      <c r="E10230" s="224" t="s">
        <v>2</v>
      </c>
      <c r="F10230" s="515" t="s">
        <v>11428</v>
      </c>
      <c r="G10230" s="52">
        <v>1065610.6143203699</v>
      </c>
      <c r="H10230" s="56">
        <v>1.7970750723197558E-2</v>
      </c>
      <c r="I10230" s="224" t="s">
        <v>2</v>
      </c>
    </row>
    <row r="10231" spans="1:9" x14ac:dyDescent="0.25">
      <c r="A10231" s="515">
        <v>48617</v>
      </c>
      <c r="C10231" s="52">
        <v>156795.001725404</v>
      </c>
      <c r="D10231" s="56">
        <v>3.3297613491326587E-2</v>
      </c>
      <c r="E10231" s="224" t="s">
        <v>2</v>
      </c>
      <c r="F10231" s="515" t="s">
        <v>11429</v>
      </c>
      <c r="G10231" s="52">
        <v>93678.178795159896</v>
      </c>
      <c r="H10231" s="56">
        <v>0.10384952210305698</v>
      </c>
      <c r="I10231" s="224" t="s">
        <v>2</v>
      </c>
    </row>
    <row r="10232" spans="1:9" x14ac:dyDescent="0.25">
      <c r="A10232" s="515">
        <v>90056</v>
      </c>
      <c r="B10232" s="515" t="s">
        <v>375</v>
      </c>
      <c r="C10232" s="52">
        <v>1455566.50378562</v>
      </c>
      <c r="D10232" s="56">
        <v>5.2474557443360589E-2</v>
      </c>
      <c r="E10232" s="224" t="s">
        <v>2</v>
      </c>
      <c r="F10232" s="515" t="s">
        <v>11430</v>
      </c>
      <c r="G10232" s="52">
        <v>120494.779528295</v>
      </c>
      <c r="H10232" s="56">
        <v>9.8180876801035141E-2</v>
      </c>
      <c r="I10232" s="224" t="s">
        <v>2</v>
      </c>
    </row>
    <row r="10233" spans="1:9" x14ac:dyDescent="0.25">
      <c r="A10233" s="515">
        <v>54140</v>
      </c>
      <c r="B10233" s="515" t="s">
        <v>821</v>
      </c>
      <c r="C10233" s="52">
        <v>226567.010033812</v>
      </c>
      <c r="D10233" s="56">
        <v>7.6862450045456027E-2</v>
      </c>
      <c r="E10233" s="224" t="s">
        <v>2</v>
      </c>
      <c r="F10233" s="515" t="s">
        <v>11431</v>
      </c>
      <c r="G10233" s="52">
        <v>163120.243213679</v>
      </c>
      <c r="H10233" s="56">
        <v>4.5926806020297799E-2</v>
      </c>
      <c r="I10233" s="224" t="s">
        <v>2</v>
      </c>
    </row>
    <row r="10234" spans="1:9" x14ac:dyDescent="0.25">
      <c r="A10234" s="515">
        <v>44230</v>
      </c>
      <c r="B10234" s="515" t="s">
        <v>1136</v>
      </c>
      <c r="C10234" s="52">
        <v>356321.34541919001</v>
      </c>
      <c r="D10234" s="56">
        <v>0.27031151499719175</v>
      </c>
      <c r="E10234" s="224" t="s">
        <v>2</v>
      </c>
      <c r="F10234" s="515" t="s">
        <v>11432</v>
      </c>
      <c r="G10234" s="52">
        <v>185861.74895938</v>
      </c>
      <c r="H10234" s="56">
        <v>8.5606104574574363E-2</v>
      </c>
      <c r="I10234" s="224" t="s">
        <v>2</v>
      </c>
    </row>
    <row r="10235" spans="1:9" x14ac:dyDescent="0.25">
      <c r="A10235" s="515">
        <v>44710</v>
      </c>
      <c r="B10235" s="515" t="s">
        <v>863</v>
      </c>
      <c r="C10235" s="52">
        <v>98994.802889712402</v>
      </c>
      <c r="D10235" s="56">
        <v>6.6786430075460534E-2</v>
      </c>
      <c r="E10235" s="224" t="s">
        <v>2</v>
      </c>
      <c r="F10235" s="515" t="s">
        <v>11433</v>
      </c>
      <c r="G10235" s="52">
        <v>168583.89424830501</v>
      </c>
      <c r="H10235" s="56">
        <v>0.15834254776270185</v>
      </c>
      <c r="I10235" s="224" t="s">
        <v>2</v>
      </c>
    </row>
    <row r="10236" spans="1:9" x14ac:dyDescent="0.25">
      <c r="A10236" s="515">
        <v>4086</v>
      </c>
      <c r="B10236" s="515" t="s">
        <v>570</v>
      </c>
      <c r="C10236" s="52">
        <v>388294.84573733801</v>
      </c>
      <c r="D10236" s="56">
        <v>6.1575972023780186E-2</v>
      </c>
      <c r="E10236" s="224" t="s">
        <v>2</v>
      </c>
      <c r="F10236" s="515" t="s">
        <v>11434</v>
      </c>
      <c r="G10236" s="52">
        <v>314172.30433732702</v>
      </c>
      <c r="H10236" s="56">
        <v>9.8984562271084389E-2</v>
      </c>
      <c r="I10236" s="224" t="s">
        <v>2</v>
      </c>
    </row>
    <row r="10237" spans="1:9" x14ac:dyDescent="0.25">
      <c r="A10237" s="515">
        <v>38008</v>
      </c>
      <c r="C10237" s="52">
        <v>115896.777350387</v>
      </c>
      <c r="D10237" s="56">
        <v>1.5848843172820738E-2</v>
      </c>
      <c r="E10237" s="224" t="s">
        <v>2</v>
      </c>
      <c r="F10237" s="515" t="s">
        <v>11435</v>
      </c>
      <c r="G10237" s="52">
        <v>342341.23419040901</v>
      </c>
      <c r="H10237" s="56">
        <v>0.13885092591633694</v>
      </c>
      <c r="I10237" s="224" t="s">
        <v>2</v>
      </c>
    </row>
    <row r="10238" spans="1:9" x14ac:dyDescent="0.25">
      <c r="A10238" s="515">
        <v>76102</v>
      </c>
      <c r="B10238" s="515" t="s">
        <v>458</v>
      </c>
      <c r="C10238" s="52">
        <v>316119.04024770699</v>
      </c>
      <c r="D10238" s="56">
        <v>6.2443512280937918E-2</v>
      </c>
      <c r="E10238" s="224">
        <v>1706.70649350649</v>
      </c>
      <c r="F10238" s="515" t="s">
        <v>11436</v>
      </c>
      <c r="G10238" s="52">
        <v>114679.779415126</v>
      </c>
      <c r="H10238" s="56">
        <v>0.25677216658542829</v>
      </c>
      <c r="I10238" s="224" t="s">
        <v>2</v>
      </c>
    </row>
    <row r="10239" spans="1:9" x14ac:dyDescent="0.25">
      <c r="A10239" s="515">
        <v>34448</v>
      </c>
      <c r="B10239" s="515" t="s">
        <v>1193</v>
      </c>
      <c r="C10239" s="52">
        <v>279754.71487191302</v>
      </c>
      <c r="D10239" s="56">
        <v>0.14290375711031494</v>
      </c>
      <c r="E10239" s="224" t="s">
        <v>2</v>
      </c>
      <c r="F10239" s="515" t="s">
        <v>11437</v>
      </c>
      <c r="G10239" s="52">
        <v>111192.702403113</v>
      </c>
      <c r="H10239" s="56">
        <v>3.1997430066037509E-2</v>
      </c>
      <c r="I10239" s="224" t="s">
        <v>2</v>
      </c>
    </row>
    <row r="10240" spans="1:9" x14ac:dyDescent="0.25">
      <c r="A10240" s="515">
        <v>10547</v>
      </c>
      <c r="B10240" s="515" t="s">
        <v>324</v>
      </c>
      <c r="C10240" s="52">
        <v>481411.801521049</v>
      </c>
      <c r="D10240" s="56">
        <v>1.4872350062925517E-2</v>
      </c>
      <c r="E10240" s="224" t="s">
        <v>2</v>
      </c>
      <c r="F10240" s="515" t="s">
        <v>11438</v>
      </c>
      <c r="G10240" s="52">
        <v>188079.93128206101</v>
      </c>
      <c r="H10240" s="56">
        <v>9.656901759240441E-2</v>
      </c>
      <c r="I10240" s="224" t="s">
        <v>2</v>
      </c>
    </row>
    <row r="10241" spans="1:9" x14ac:dyDescent="0.25">
      <c r="A10241" s="515">
        <v>93219</v>
      </c>
      <c r="B10241" s="515" t="s">
        <v>358</v>
      </c>
      <c r="C10241" s="52">
        <v>228786.63440919301</v>
      </c>
      <c r="D10241" s="56">
        <v>0.14962803729185942</v>
      </c>
      <c r="E10241" s="224" t="s">
        <v>2</v>
      </c>
      <c r="F10241" s="515" t="s">
        <v>11439</v>
      </c>
      <c r="G10241" s="52">
        <v>414295.46095139702</v>
      </c>
      <c r="H10241" s="56">
        <v>0.11222778777424036</v>
      </c>
      <c r="I10241" s="224" t="s">
        <v>2</v>
      </c>
    </row>
    <row r="10242" spans="1:9" x14ac:dyDescent="0.25">
      <c r="A10242" s="515">
        <v>72202</v>
      </c>
      <c r="B10242" s="515" t="s">
        <v>393</v>
      </c>
      <c r="C10242" s="52">
        <v>140656.387601219</v>
      </c>
      <c r="D10242" s="56">
        <v>5.7247551891977624E-2</v>
      </c>
      <c r="E10242" s="224">
        <v>997.5</v>
      </c>
      <c r="F10242" s="515" t="s">
        <v>11440</v>
      </c>
      <c r="G10242" s="52">
        <v>188427.137115839</v>
      </c>
      <c r="H10242" s="56">
        <v>0</v>
      </c>
      <c r="I10242" s="224" t="s">
        <v>2</v>
      </c>
    </row>
    <row r="10243" spans="1:9" x14ac:dyDescent="0.25">
      <c r="A10243" s="515">
        <v>94574</v>
      </c>
      <c r="B10243" s="515" t="s">
        <v>914</v>
      </c>
      <c r="C10243" s="52">
        <v>1611149.4613719</v>
      </c>
      <c r="D10243" s="56">
        <v>-3.718798880936406E-2</v>
      </c>
      <c r="E10243" s="224">
        <v>2500</v>
      </c>
      <c r="F10243" s="515" t="s">
        <v>11441</v>
      </c>
      <c r="G10243" s="52">
        <v>164616.92428378199</v>
      </c>
      <c r="H10243" s="56">
        <v>7.9696358980807527E-2</v>
      </c>
      <c r="I10243" s="224" t="s">
        <v>2</v>
      </c>
    </row>
    <row r="10244" spans="1:9" x14ac:dyDescent="0.25">
      <c r="A10244" s="515">
        <v>21102</v>
      </c>
      <c r="B10244" s="515" t="s">
        <v>582</v>
      </c>
      <c r="C10244" s="52">
        <v>393510.11328575498</v>
      </c>
      <c r="D10244" s="56">
        <v>1.666111240085073E-2</v>
      </c>
      <c r="E10244" s="224" t="s">
        <v>2</v>
      </c>
      <c r="F10244" s="515" t="s">
        <v>11442</v>
      </c>
      <c r="G10244" s="52">
        <v>248256.27888239999</v>
      </c>
      <c r="H10244" s="56">
        <v>5.7966764700741712E-2</v>
      </c>
      <c r="I10244" s="224" t="s">
        <v>2</v>
      </c>
    </row>
    <row r="10245" spans="1:9" x14ac:dyDescent="0.25">
      <c r="A10245" s="515">
        <v>54944</v>
      </c>
      <c r="B10245" s="515" t="s">
        <v>821</v>
      </c>
      <c r="C10245" s="52">
        <v>312909.79569636402</v>
      </c>
      <c r="D10245" s="56">
        <v>7.4945764149469532E-2</v>
      </c>
      <c r="E10245" s="224" t="s">
        <v>2</v>
      </c>
      <c r="F10245" s="515" t="s">
        <v>11443</v>
      </c>
      <c r="G10245" s="52">
        <v>96875.045643153499</v>
      </c>
      <c r="H10245" s="56">
        <v>0</v>
      </c>
      <c r="I10245" s="224" t="s">
        <v>2</v>
      </c>
    </row>
    <row r="10246" spans="1:9" x14ac:dyDescent="0.25">
      <c r="A10246" s="515">
        <v>34602</v>
      </c>
      <c r="B10246" s="515" t="s">
        <v>461</v>
      </c>
      <c r="C10246" s="52">
        <v>312246.95680284401</v>
      </c>
      <c r="D10246" s="56">
        <v>0.16243365945315819</v>
      </c>
      <c r="E10246" s="224" t="s">
        <v>2</v>
      </c>
      <c r="F10246" s="515" t="s">
        <v>11444</v>
      </c>
      <c r="G10246" s="52">
        <v>283937.81521739101</v>
      </c>
      <c r="H10246" s="56">
        <v>0</v>
      </c>
      <c r="I10246" s="224" t="s">
        <v>2</v>
      </c>
    </row>
    <row r="10247" spans="1:9" x14ac:dyDescent="0.25">
      <c r="A10247" s="515">
        <v>80116</v>
      </c>
      <c r="B10247" s="515" t="s">
        <v>401</v>
      </c>
      <c r="C10247" s="52">
        <v>977192.96768336196</v>
      </c>
      <c r="D10247" s="56">
        <v>2.9553409111146609E-2</v>
      </c>
      <c r="E10247" s="224" t="s">
        <v>2</v>
      </c>
      <c r="F10247" s="515" t="s">
        <v>11445</v>
      </c>
      <c r="G10247" s="52">
        <v>267191.87553412101</v>
      </c>
      <c r="H10247" s="56">
        <v>6.2117810618753849E-2</v>
      </c>
      <c r="I10247" s="224" t="s">
        <v>2</v>
      </c>
    </row>
    <row r="10248" spans="1:9" x14ac:dyDescent="0.25">
      <c r="A10248" s="515">
        <v>72560</v>
      </c>
      <c r="C10248" s="52">
        <v>167854.795639597</v>
      </c>
      <c r="D10248" s="56">
        <v>3.0693160027154026E-2</v>
      </c>
      <c r="E10248" s="224" t="s">
        <v>2</v>
      </c>
      <c r="F10248" s="515" t="s">
        <v>11446</v>
      </c>
      <c r="G10248" s="52">
        <v>154952.27077474701</v>
      </c>
      <c r="H10248" s="56">
        <v>5.6742840588654579E-2</v>
      </c>
      <c r="I10248" s="224" t="s">
        <v>2</v>
      </c>
    </row>
    <row r="10249" spans="1:9" x14ac:dyDescent="0.25">
      <c r="A10249" s="515">
        <v>46767</v>
      </c>
      <c r="B10249" s="515" t="s">
        <v>1058</v>
      </c>
      <c r="C10249" s="52">
        <v>195557.17611188799</v>
      </c>
      <c r="D10249" s="56">
        <v>8.8446446412820082E-2</v>
      </c>
      <c r="E10249" s="224" t="s">
        <v>2</v>
      </c>
      <c r="F10249" s="515" t="s">
        <v>11447</v>
      </c>
      <c r="G10249" s="52">
        <v>162701.244565217</v>
      </c>
      <c r="H10249" s="56">
        <v>0</v>
      </c>
      <c r="I10249" s="224" t="s">
        <v>2</v>
      </c>
    </row>
    <row r="10250" spans="1:9" x14ac:dyDescent="0.25">
      <c r="A10250" s="515">
        <v>38382</v>
      </c>
      <c r="B10250" s="515" t="s">
        <v>691</v>
      </c>
      <c r="C10250" s="52">
        <v>127574.18790509101</v>
      </c>
      <c r="D10250" s="56">
        <v>4.7607392412635369E-2</v>
      </c>
      <c r="E10250" s="224" t="s">
        <v>2</v>
      </c>
      <c r="F10250" s="515" t="s">
        <v>11448</v>
      </c>
      <c r="G10250" s="52">
        <v>255883.868248602</v>
      </c>
      <c r="H10250" s="56">
        <v>0.11029090543593865</v>
      </c>
      <c r="I10250" s="224" t="s">
        <v>2</v>
      </c>
    </row>
    <row r="10251" spans="1:9" x14ac:dyDescent="0.25">
      <c r="A10251" s="515">
        <v>95726</v>
      </c>
      <c r="B10251" s="515" t="s">
        <v>355</v>
      </c>
      <c r="C10251" s="52">
        <v>392786.96180663299</v>
      </c>
      <c r="D10251" s="56">
        <v>-3.5355607467626657E-2</v>
      </c>
      <c r="E10251" s="224" t="s">
        <v>2</v>
      </c>
      <c r="F10251" s="515" t="s">
        <v>11449</v>
      </c>
      <c r="G10251" s="52">
        <v>302970.765871029</v>
      </c>
      <c r="H10251" s="56">
        <v>4.4947114141636997E-2</v>
      </c>
      <c r="I10251" s="224" t="s">
        <v>2</v>
      </c>
    </row>
    <row r="10252" spans="1:9" x14ac:dyDescent="0.25">
      <c r="A10252" s="515">
        <v>22060</v>
      </c>
      <c r="B10252" s="515" t="s">
        <v>321</v>
      </c>
      <c r="C10252" s="52">
        <v>702219.40360974695</v>
      </c>
      <c r="D10252" s="56">
        <v>-3.6547722101742731E-3</v>
      </c>
      <c r="E10252" s="224">
        <v>2126.6666666666601</v>
      </c>
      <c r="F10252" s="515" t="s">
        <v>11450</v>
      </c>
      <c r="G10252" s="52">
        <v>195427.993421052</v>
      </c>
      <c r="H10252" s="56">
        <v>0</v>
      </c>
      <c r="I10252" s="224" t="s">
        <v>2</v>
      </c>
    </row>
    <row r="10253" spans="1:9" x14ac:dyDescent="0.25">
      <c r="A10253" s="515">
        <v>38574</v>
      </c>
      <c r="B10253" s="515" t="s">
        <v>833</v>
      </c>
      <c r="C10253" s="52">
        <v>221988.09351301301</v>
      </c>
      <c r="D10253" s="56">
        <v>8.0537175588212384E-2</v>
      </c>
      <c r="E10253" s="224" t="s">
        <v>2</v>
      </c>
      <c r="F10253" s="515" t="s">
        <v>11451</v>
      </c>
      <c r="G10253" s="52">
        <v>147046.32686330099</v>
      </c>
      <c r="H10253" s="56">
        <v>-6.9764718977115989E-2</v>
      </c>
      <c r="I10253" s="224" t="s">
        <v>2</v>
      </c>
    </row>
    <row r="10254" spans="1:9" x14ac:dyDescent="0.25">
      <c r="A10254" s="515">
        <v>32456</v>
      </c>
      <c r="C10254" s="52">
        <v>451501.90839029499</v>
      </c>
      <c r="D10254" s="56">
        <v>0.18959422641894705</v>
      </c>
      <c r="E10254" s="224" t="s">
        <v>2</v>
      </c>
      <c r="F10254" s="515" t="s">
        <v>11452</v>
      </c>
      <c r="G10254" s="52">
        <v>151808.69089284801</v>
      </c>
      <c r="H10254" s="56">
        <v>3.5792022958418081E-2</v>
      </c>
      <c r="I10254" s="224" t="s">
        <v>2</v>
      </c>
    </row>
    <row r="10255" spans="1:9" x14ac:dyDescent="0.25">
      <c r="A10255" s="515">
        <v>74857</v>
      </c>
      <c r="B10255" s="515" t="s">
        <v>385</v>
      </c>
      <c r="C10255" s="52">
        <v>220464.600273652</v>
      </c>
      <c r="D10255" s="56">
        <v>8.3498984154924821E-2</v>
      </c>
      <c r="E10255" s="224" t="s">
        <v>2</v>
      </c>
      <c r="F10255" s="515" t="s">
        <v>11453</v>
      </c>
      <c r="G10255" s="52">
        <v>176838.22384516001</v>
      </c>
      <c r="H10255" s="56">
        <v>0.1297095292421471</v>
      </c>
      <c r="I10255" s="224" t="s">
        <v>2</v>
      </c>
    </row>
    <row r="10256" spans="1:9" x14ac:dyDescent="0.25">
      <c r="A10256" s="515">
        <v>61342</v>
      </c>
      <c r="B10256" s="515" t="s">
        <v>556</v>
      </c>
      <c r="C10256" s="52">
        <v>130955.39155662199</v>
      </c>
      <c r="D10256" s="56">
        <v>4.5437621458657575E-2</v>
      </c>
      <c r="E10256" s="224" t="s">
        <v>2</v>
      </c>
      <c r="F10256" s="515" t="s">
        <v>11454</v>
      </c>
      <c r="G10256" s="52">
        <v>340236.75540060701</v>
      </c>
      <c r="H10256" s="56">
        <v>4.5350580427250639E-2</v>
      </c>
      <c r="I10256" s="224" t="s">
        <v>2</v>
      </c>
    </row>
    <row r="10257" spans="1:9" x14ac:dyDescent="0.25">
      <c r="A10257" s="515">
        <v>40243</v>
      </c>
      <c r="B10257" s="515" t="s">
        <v>479</v>
      </c>
      <c r="C10257" s="52">
        <v>302640.03053460002</v>
      </c>
      <c r="D10257" s="56">
        <v>5.5959024588107718E-2</v>
      </c>
      <c r="E10257" s="224" t="s">
        <v>2</v>
      </c>
      <c r="F10257" s="515" t="s">
        <v>11455</v>
      </c>
      <c r="G10257" s="52">
        <v>568946.81053149397</v>
      </c>
      <c r="H10257" s="56">
        <v>3.8214683638120146E-2</v>
      </c>
      <c r="I10257" s="224" t="s">
        <v>2</v>
      </c>
    </row>
    <row r="10258" spans="1:9" x14ac:dyDescent="0.25">
      <c r="A10258" s="515">
        <v>51534</v>
      </c>
      <c r="B10258" s="515" t="s">
        <v>367</v>
      </c>
      <c r="C10258" s="52">
        <v>261128.34436364699</v>
      </c>
      <c r="D10258" s="56">
        <v>8.6286082765821295E-2</v>
      </c>
      <c r="E10258" s="224" t="s">
        <v>2</v>
      </c>
      <c r="F10258" s="515" t="s">
        <v>11456</v>
      </c>
      <c r="G10258" s="52">
        <v>150867.48674233101</v>
      </c>
      <c r="H10258" s="56">
        <v>6.6701031644144287E-2</v>
      </c>
      <c r="I10258" s="224" t="s">
        <v>2</v>
      </c>
    </row>
    <row r="10259" spans="1:9" x14ac:dyDescent="0.25">
      <c r="A10259" s="515">
        <v>71241</v>
      </c>
      <c r="B10259" s="515" t="s">
        <v>695</v>
      </c>
      <c r="C10259" s="52">
        <v>160855.87534177501</v>
      </c>
      <c r="D10259" s="56">
        <v>6.5900750000863054E-2</v>
      </c>
      <c r="E10259" s="224" t="s">
        <v>2</v>
      </c>
      <c r="F10259" s="515" t="s">
        <v>11457</v>
      </c>
      <c r="G10259" s="52">
        <v>451192.15329102398</v>
      </c>
      <c r="H10259" s="56">
        <v>5.8550519932864279E-3</v>
      </c>
      <c r="I10259" s="224" t="s">
        <v>2</v>
      </c>
    </row>
    <row r="10260" spans="1:9" x14ac:dyDescent="0.25">
      <c r="A10260" s="515">
        <v>80433</v>
      </c>
      <c r="B10260" s="515" t="s">
        <v>401</v>
      </c>
      <c r="C10260" s="52">
        <v>740120.60293543001</v>
      </c>
      <c r="D10260" s="56">
        <v>2.8135558317285453E-2</v>
      </c>
      <c r="E10260" s="224" t="s">
        <v>2</v>
      </c>
      <c r="F10260" s="515" t="s">
        <v>11458</v>
      </c>
      <c r="G10260" s="52">
        <v>133020.77365574599</v>
      </c>
      <c r="H10260" s="56">
        <v>9.8400838091817183E-2</v>
      </c>
      <c r="I10260" s="224" t="s">
        <v>2</v>
      </c>
    </row>
    <row r="10261" spans="1:9" x14ac:dyDescent="0.25">
      <c r="A10261" s="515">
        <v>40069</v>
      </c>
      <c r="C10261" s="52">
        <v>192353.59957188799</v>
      </c>
      <c r="D10261" s="56">
        <v>0.14811625484968027</v>
      </c>
      <c r="E10261" s="224" t="s">
        <v>2</v>
      </c>
      <c r="F10261" s="515" t="s">
        <v>11459</v>
      </c>
      <c r="G10261" s="52">
        <v>854218.87084061594</v>
      </c>
      <c r="H10261" s="56">
        <v>6.7357151383794875E-2</v>
      </c>
      <c r="I10261" s="224" t="s">
        <v>2</v>
      </c>
    </row>
    <row r="10262" spans="1:9" x14ac:dyDescent="0.25">
      <c r="A10262" s="515">
        <v>37074</v>
      </c>
      <c r="B10262" s="515" t="s">
        <v>684</v>
      </c>
      <c r="C10262" s="52">
        <v>252044.83828197001</v>
      </c>
      <c r="D10262" s="56">
        <v>4.7419402060299896E-2</v>
      </c>
      <c r="E10262" s="224" t="s">
        <v>2</v>
      </c>
      <c r="F10262" s="515" t="s">
        <v>11460</v>
      </c>
      <c r="G10262" s="52">
        <v>276217.54144153401</v>
      </c>
      <c r="H10262" s="56">
        <v>5.1717145120288258E-2</v>
      </c>
      <c r="I10262" s="224" t="s">
        <v>2</v>
      </c>
    </row>
    <row r="10263" spans="1:9" x14ac:dyDescent="0.25">
      <c r="A10263" s="515">
        <v>88345</v>
      </c>
      <c r="B10263" s="515" t="s">
        <v>616</v>
      </c>
      <c r="C10263" s="52">
        <v>277358.06213080703</v>
      </c>
      <c r="D10263" s="56">
        <v>6.6945524608418114E-2</v>
      </c>
      <c r="E10263" s="224" t="s">
        <v>2</v>
      </c>
      <c r="F10263" s="515" t="s">
        <v>11461</v>
      </c>
      <c r="G10263" s="52">
        <v>168601.61088458201</v>
      </c>
      <c r="H10263" s="56">
        <v>4.0958460867545787E-2</v>
      </c>
      <c r="I10263" s="224" t="s">
        <v>2</v>
      </c>
    </row>
    <row r="10264" spans="1:9" x14ac:dyDescent="0.25">
      <c r="A10264" s="515">
        <v>15085</v>
      </c>
      <c r="B10264" s="515" t="s">
        <v>297</v>
      </c>
      <c r="C10264" s="52">
        <v>193982.86834211301</v>
      </c>
      <c r="D10264" s="56">
        <v>3.5876288403595462E-2</v>
      </c>
      <c r="E10264" s="224" t="s">
        <v>2</v>
      </c>
      <c r="F10264" s="515" t="s">
        <v>11462</v>
      </c>
      <c r="G10264" s="52">
        <v>62678.156938626598</v>
      </c>
      <c r="H10264" s="56">
        <v>7.0883416372484853E-2</v>
      </c>
      <c r="I10264" s="224" t="s">
        <v>2</v>
      </c>
    </row>
    <row r="10265" spans="1:9" x14ac:dyDescent="0.25">
      <c r="A10265" s="515">
        <v>97479</v>
      </c>
      <c r="B10265" s="515" t="s">
        <v>449</v>
      </c>
      <c r="C10265" s="52">
        <v>318796.63119515998</v>
      </c>
      <c r="D10265" s="56">
        <v>5.3848400859490289E-2</v>
      </c>
      <c r="E10265" s="224" t="s">
        <v>2</v>
      </c>
      <c r="F10265" s="515" t="s">
        <v>11463</v>
      </c>
      <c r="G10265" s="52">
        <v>275517.98582137102</v>
      </c>
      <c r="H10265" s="56">
        <v>0.10667278761363322</v>
      </c>
      <c r="I10265" s="224" t="s">
        <v>2</v>
      </c>
    </row>
    <row r="10266" spans="1:9" x14ac:dyDescent="0.25">
      <c r="A10266" s="515">
        <v>49720</v>
      </c>
      <c r="C10266" s="52">
        <v>336921.97161041602</v>
      </c>
      <c r="D10266" s="56">
        <v>0.11060302225154262</v>
      </c>
      <c r="E10266" s="224" t="s">
        <v>2</v>
      </c>
      <c r="F10266" s="515" t="s">
        <v>11464</v>
      </c>
      <c r="G10266" s="52">
        <v>193665.84315683099</v>
      </c>
      <c r="H10266" s="56">
        <v>0.13290833132038674</v>
      </c>
      <c r="I10266" s="224" t="s">
        <v>2</v>
      </c>
    </row>
    <row r="10267" spans="1:9" x14ac:dyDescent="0.25">
      <c r="A10267" s="515">
        <v>3857</v>
      </c>
      <c r="B10267" s="515" t="s">
        <v>534</v>
      </c>
      <c r="C10267" s="52">
        <v>445238.79558286699</v>
      </c>
      <c r="D10267" s="56">
        <v>9.1559084931784704E-2</v>
      </c>
      <c r="E10267" s="224" t="s">
        <v>2</v>
      </c>
      <c r="F10267" s="515" t="s">
        <v>11465</v>
      </c>
      <c r="G10267" s="52">
        <v>231611.279828764</v>
      </c>
      <c r="H10267" s="56">
        <v>8.2699992937153702E-2</v>
      </c>
      <c r="I10267" s="224" t="s">
        <v>2</v>
      </c>
    </row>
    <row r="10268" spans="1:9" x14ac:dyDescent="0.25">
      <c r="A10268" s="515">
        <v>24588</v>
      </c>
      <c r="B10268" s="515" t="s">
        <v>705</v>
      </c>
      <c r="C10268" s="52">
        <v>231190.896841776</v>
      </c>
      <c r="D10268" s="56">
        <v>0.11143756147194689</v>
      </c>
      <c r="E10268" s="224" t="s">
        <v>2</v>
      </c>
      <c r="F10268" s="515" t="s">
        <v>11466</v>
      </c>
      <c r="G10268" s="52">
        <v>208922.51468771201</v>
      </c>
      <c r="H10268" s="56">
        <v>0.1094355591141314</v>
      </c>
      <c r="I10268" s="224" t="s">
        <v>2</v>
      </c>
    </row>
    <row r="10269" spans="1:9" x14ac:dyDescent="0.25">
      <c r="A10269" s="515">
        <v>7656</v>
      </c>
      <c r="B10269" s="515" t="s">
        <v>324</v>
      </c>
      <c r="C10269" s="52">
        <v>630183.04218135495</v>
      </c>
      <c r="D10269" s="56">
        <v>4.2062971776318112E-2</v>
      </c>
      <c r="E10269" s="224">
        <v>3173</v>
      </c>
      <c r="F10269" s="515" t="s">
        <v>11467</v>
      </c>
      <c r="G10269" s="52">
        <v>524439.69529015804</v>
      </c>
      <c r="H10269" s="56">
        <v>5.6614973676442901E-2</v>
      </c>
      <c r="I10269" s="224" t="s">
        <v>2</v>
      </c>
    </row>
    <row r="10270" spans="1:9" x14ac:dyDescent="0.25">
      <c r="A10270" s="515">
        <v>13403</v>
      </c>
      <c r="B10270" s="515" t="s">
        <v>543</v>
      </c>
      <c r="C10270" s="52">
        <v>237919.11110040999</v>
      </c>
      <c r="D10270" s="56">
        <v>7.202444374150925E-2</v>
      </c>
      <c r="E10270" s="224" t="s">
        <v>2</v>
      </c>
      <c r="F10270" s="515" t="s">
        <v>11468</v>
      </c>
      <c r="G10270" s="52">
        <v>156838.174278224</v>
      </c>
      <c r="H10270" s="56">
        <v>3.8763184929337967E-2</v>
      </c>
      <c r="I10270" s="224" t="s">
        <v>2</v>
      </c>
    </row>
    <row r="10271" spans="1:9" x14ac:dyDescent="0.25">
      <c r="A10271" s="515">
        <v>54467</v>
      </c>
      <c r="B10271" s="515" t="s">
        <v>1095</v>
      </c>
      <c r="C10271" s="52">
        <v>268045.44630575099</v>
      </c>
      <c r="D10271" s="56">
        <v>9.1018830646308595E-3</v>
      </c>
      <c r="E10271" s="224" t="s">
        <v>2</v>
      </c>
      <c r="F10271" s="515" t="s">
        <v>11469</v>
      </c>
      <c r="G10271" s="52">
        <v>78770.443910481801</v>
      </c>
      <c r="H10271" s="56">
        <v>0.24213987168156689</v>
      </c>
      <c r="I10271" s="224" t="s">
        <v>2</v>
      </c>
    </row>
    <row r="10272" spans="1:9" x14ac:dyDescent="0.25">
      <c r="A10272" s="515">
        <v>43604</v>
      </c>
      <c r="B10272" s="515" t="s">
        <v>300</v>
      </c>
      <c r="C10272" s="52">
        <v>40566.210327901899</v>
      </c>
      <c r="D10272" s="56">
        <v>0.14944320302563122</v>
      </c>
      <c r="E10272" s="224" t="s">
        <v>2</v>
      </c>
      <c r="F10272" s="515" t="s">
        <v>11470</v>
      </c>
      <c r="G10272" s="52">
        <v>371083.88380281598</v>
      </c>
      <c r="H10272" s="56">
        <v>0</v>
      </c>
      <c r="I10272" s="224" t="s">
        <v>2</v>
      </c>
    </row>
    <row r="10273" spans="1:9" x14ac:dyDescent="0.25">
      <c r="A10273" s="515">
        <v>45225</v>
      </c>
      <c r="B10273" s="515" t="s">
        <v>344</v>
      </c>
      <c r="C10273" s="52">
        <v>90197.546755261996</v>
      </c>
      <c r="D10273" s="56">
        <v>0.26862773993825495</v>
      </c>
      <c r="E10273" s="224" t="s">
        <v>2</v>
      </c>
      <c r="F10273" s="515" t="s">
        <v>11471</v>
      </c>
      <c r="G10273" s="52">
        <v>374895.84024294501</v>
      </c>
      <c r="H10273" s="56">
        <v>0.14503575512826147</v>
      </c>
      <c r="I10273" s="224" t="s">
        <v>2</v>
      </c>
    </row>
    <row r="10274" spans="1:9" x14ac:dyDescent="0.25">
      <c r="A10274" s="515">
        <v>22443</v>
      </c>
      <c r="C10274" s="52">
        <v>275383.77171126101</v>
      </c>
      <c r="D10274" s="56">
        <v>6.2791807681198922E-2</v>
      </c>
      <c r="E10274" s="224" t="s">
        <v>2</v>
      </c>
      <c r="F10274" s="515" t="s">
        <v>11472</v>
      </c>
      <c r="G10274" s="52">
        <v>303250.63909514103</v>
      </c>
      <c r="H10274" s="56">
        <v>3.9748749491916514E-2</v>
      </c>
      <c r="I10274" s="224" t="s">
        <v>2</v>
      </c>
    </row>
    <row r="10275" spans="1:9" x14ac:dyDescent="0.25">
      <c r="A10275" s="515">
        <v>26452</v>
      </c>
      <c r="C10275" s="52">
        <v>100299.719055177</v>
      </c>
      <c r="D10275" s="56">
        <v>5.9128296713747509E-2</v>
      </c>
      <c r="E10275" s="224" t="s">
        <v>2</v>
      </c>
      <c r="F10275" s="515" t="s">
        <v>11473</v>
      </c>
      <c r="G10275" s="52">
        <v>127610.86633188</v>
      </c>
      <c r="H10275" s="56">
        <v>9.1876022981096706E-2</v>
      </c>
      <c r="I10275" s="224" t="s">
        <v>2</v>
      </c>
    </row>
    <row r="10276" spans="1:9" x14ac:dyDescent="0.25">
      <c r="A10276" s="515">
        <v>75758</v>
      </c>
      <c r="B10276" s="515" t="s">
        <v>1088</v>
      </c>
      <c r="C10276" s="52">
        <v>261016.23067119901</v>
      </c>
      <c r="D10276" s="56">
        <v>6.7080542906962137E-2</v>
      </c>
      <c r="E10276" s="224" t="s">
        <v>2</v>
      </c>
      <c r="F10276" s="515" t="s">
        <v>11474</v>
      </c>
      <c r="G10276" s="52">
        <v>328924.60226714797</v>
      </c>
      <c r="H10276" s="56">
        <v>7.3340777606709054E-2</v>
      </c>
      <c r="I10276" s="224" t="s">
        <v>2</v>
      </c>
    </row>
    <row r="10277" spans="1:9" x14ac:dyDescent="0.25">
      <c r="A10277" s="515">
        <v>30740</v>
      </c>
      <c r="B10277" s="515" t="s">
        <v>769</v>
      </c>
      <c r="C10277" s="52">
        <v>240189.864307171</v>
      </c>
      <c r="D10277" s="56">
        <v>3.7144850969362361E-2</v>
      </c>
      <c r="E10277" s="224" t="s">
        <v>2</v>
      </c>
      <c r="F10277" s="515" t="s">
        <v>11475</v>
      </c>
      <c r="G10277" s="52">
        <v>922114.22959498805</v>
      </c>
      <c r="H10277" s="56">
        <v>4.7646701699662244E-2</v>
      </c>
      <c r="I10277" s="224" t="s">
        <v>2</v>
      </c>
    </row>
    <row r="10278" spans="1:9" x14ac:dyDescent="0.25">
      <c r="A10278" s="515">
        <v>62231</v>
      </c>
      <c r="B10278" s="515" t="s">
        <v>498</v>
      </c>
      <c r="C10278" s="52">
        <v>129182.19180353099</v>
      </c>
      <c r="D10278" s="56">
        <v>6.7106151731070263E-2</v>
      </c>
      <c r="E10278" s="224" t="s">
        <v>2</v>
      </c>
      <c r="F10278" s="515" t="s">
        <v>11476</v>
      </c>
      <c r="G10278" s="52">
        <v>113471.986702127</v>
      </c>
      <c r="H10278" s="56">
        <v>0</v>
      </c>
      <c r="I10278" s="224" t="s">
        <v>2</v>
      </c>
    </row>
    <row r="10279" spans="1:9" x14ac:dyDescent="0.25">
      <c r="A10279" s="515">
        <v>32040</v>
      </c>
      <c r="B10279" s="515" t="s">
        <v>1158</v>
      </c>
      <c r="C10279" s="52">
        <v>320505.12679755199</v>
      </c>
      <c r="D10279" s="56">
        <v>7.5248356818690298E-2</v>
      </c>
      <c r="E10279" s="224" t="s">
        <v>2</v>
      </c>
      <c r="F10279" s="515" t="s">
        <v>11477</v>
      </c>
      <c r="G10279" s="52">
        <v>385567.63799897901</v>
      </c>
      <c r="H10279" s="56">
        <v>6.1883765213039434E-2</v>
      </c>
      <c r="I10279" s="224" t="s">
        <v>2</v>
      </c>
    </row>
    <row r="10280" spans="1:9" x14ac:dyDescent="0.25">
      <c r="A10280" s="515">
        <v>95988</v>
      </c>
      <c r="C10280" s="52">
        <v>292359.42051986698</v>
      </c>
      <c r="D10280" s="56">
        <v>4.7705441702289637E-2</v>
      </c>
      <c r="E10280" s="224" t="s">
        <v>2</v>
      </c>
      <c r="F10280" s="515" t="s">
        <v>11478</v>
      </c>
      <c r="G10280" s="52">
        <v>554546.54568743904</v>
      </c>
      <c r="H10280" s="56">
        <v>6.8031124186192615E-2</v>
      </c>
      <c r="I10280" s="224" t="s">
        <v>2</v>
      </c>
    </row>
    <row r="10281" spans="1:9" x14ac:dyDescent="0.25">
      <c r="A10281" s="515">
        <v>59711</v>
      </c>
      <c r="C10281" s="52">
        <v>250893.58499603701</v>
      </c>
      <c r="D10281" s="56">
        <v>0.13019786005048642</v>
      </c>
      <c r="E10281" s="224" t="s">
        <v>2</v>
      </c>
      <c r="F10281" s="515" t="s">
        <v>11479</v>
      </c>
      <c r="G10281" s="52">
        <v>328812.98040349298</v>
      </c>
      <c r="H10281" s="56">
        <v>5.9363763907186368E-2</v>
      </c>
      <c r="I10281" s="224" t="s">
        <v>2</v>
      </c>
    </row>
    <row r="10282" spans="1:9" x14ac:dyDescent="0.25">
      <c r="A10282" s="515">
        <v>11557</v>
      </c>
      <c r="B10282" s="515" t="s">
        <v>324</v>
      </c>
      <c r="C10282" s="52">
        <v>832995.55622766202</v>
      </c>
      <c r="D10282" s="56">
        <v>7.3052176812257494E-2</v>
      </c>
      <c r="E10282" s="224" t="s">
        <v>2</v>
      </c>
      <c r="F10282" s="515" t="s">
        <v>11480</v>
      </c>
      <c r="G10282" s="52">
        <v>295586.29539561702</v>
      </c>
      <c r="H10282" s="56">
        <v>0.11896890151812775</v>
      </c>
      <c r="I10282" s="224" t="s">
        <v>2</v>
      </c>
    </row>
    <row r="10283" spans="1:9" x14ac:dyDescent="0.25">
      <c r="A10283" s="515">
        <v>64106</v>
      </c>
      <c r="B10283" s="515" t="s">
        <v>455</v>
      </c>
      <c r="C10283" s="52">
        <v>225720.95690027799</v>
      </c>
      <c r="D10283" s="56">
        <v>5.6152463543737909E-2</v>
      </c>
      <c r="E10283" s="224">
        <v>1759.6640211640199</v>
      </c>
      <c r="F10283" s="515" t="s">
        <v>11481</v>
      </c>
      <c r="G10283" s="52">
        <v>235065.74892696401</v>
      </c>
      <c r="H10283" s="56">
        <v>0.1007739696171108</v>
      </c>
      <c r="I10283" s="224" t="s">
        <v>2</v>
      </c>
    </row>
    <row r="10284" spans="1:9" x14ac:dyDescent="0.25">
      <c r="A10284" s="515">
        <v>44681</v>
      </c>
      <c r="C10284" s="52">
        <v>281006.30169959099</v>
      </c>
      <c r="D10284" s="56">
        <v>9.7721420547201579E-2</v>
      </c>
      <c r="E10284" s="224" t="s">
        <v>2</v>
      </c>
      <c r="F10284" s="515" t="s">
        <v>11482</v>
      </c>
      <c r="G10284" s="52">
        <v>107545.469400606</v>
      </c>
      <c r="H10284" s="56">
        <v>4.8837074082661693E-3</v>
      </c>
      <c r="I10284" s="224" t="s">
        <v>2</v>
      </c>
    </row>
    <row r="10285" spans="1:9" x14ac:dyDescent="0.25">
      <c r="A10285" s="515">
        <v>45693</v>
      </c>
      <c r="C10285" s="52">
        <v>143184.28158787699</v>
      </c>
      <c r="D10285" s="56">
        <v>7.7285941758679186E-2</v>
      </c>
      <c r="E10285" s="224" t="s">
        <v>2</v>
      </c>
      <c r="F10285" s="515" t="s">
        <v>11483</v>
      </c>
      <c r="G10285" s="52">
        <v>171928.81361686499</v>
      </c>
      <c r="H10285" s="56">
        <v>8.4143778355566717E-2</v>
      </c>
      <c r="I10285" s="224" t="s">
        <v>2</v>
      </c>
    </row>
    <row r="10286" spans="1:9" x14ac:dyDescent="0.25">
      <c r="A10286" s="515">
        <v>10579</v>
      </c>
      <c r="B10286" s="515" t="s">
        <v>324</v>
      </c>
      <c r="C10286" s="52">
        <v>507773.69913745002</v>
      </c>
      <c r="D10286" s="56">
        <v>9.1701428260324375E-2</v>
      </c>
      <c r="E10286" s="224" t="s">
        <v>2</v>
      </c>
      <c r="F10286" s="515" t="s">
        <v>11484</v>
      </c>
      <c r="G10286" s="52">
        <v>140514.44670893601</v>
      </c>
      <c r="H10286" s="56">
        <v>0.11127621600749656</v>
      </c>
      <c r="I10286" s="224" t="s">
        <v>2</v>
      </c>
    </row>
    <row r="10287" spans="1:9" x14ac:dyDescent="0.25">
      <c r="A10287" s="515">
        <v>55308</v>
      </c>
      <c r="B10287" s="515" t="s">
        <v>532</v>
      </c>
      <c r="C10287" s="52">
        <v>346546.006365048</v>
      </c>
      <c r="D10287" s="56">
        <v>2.8347015108102537E-2</v>
      </c>
      <c r="E10287" s="224" t="s">
        <v>2</v>
      </c>
      <c r="F10287" s="515" t="s">
        <v>11485</v>
      </c>
      <c r="G10287" s="52">
        <v>241492.66271130499</v>
      </c>
      <c r="H10287" s="56">
        <v>5.9317641711628288E-2</v>
      </c>
      <c r="I10287" s="224" t="s">
        <v>2</v>
      </c>
    </row>
    <row r="10288" spans="1:9" x14ac:dyDescent="0.25">
      <c r="A10288" s="515">
        <v>23314</v>
      </c>
      <c r="B10288" s="515" t="s">
        <v>301</v>
      </c>
      <c r="C10288" s="52">
        <v>378582.43232622498</v>
      </c>
      <c r="D10288" s="56">
        <v>1.7191934648935498E-2</v>
      </c>
      <c r="E10288" s="224" t="s">
        <v>2</v>
      </c>
      <c r="F10288" s="515" t="s">
        <v>11486</v>
      </c>
      <c r="G10288" s="52">
        <v>168604.17570319501</v>
      </c>
      <c r="H10288" s="56">
        <v>1.4518373684843188E-2</v>
      </c>
      <c r="I10288" s="224" t="s">
        <v>2</v>
      </c>
    </row>
    <row r="10289" spans="1:9" x14ac:dyDescent="0.25">
      <c r="A10289" s="515">
        <v>60022</v>
      </c>
      <c r="B10289" s="515" t="s">
        <v>394</v>
      </c>
      <c r="C10289" s="52">
        <v>1128005.7279950001</v>
      </c>
      <c r="D10289" s="56">
        <v>0.10037160026486934</v>
      </c>
      <c r="E10289" s="224" t="s">
        <v>2</v>
      </c>
      <c r="F10289" s="515" t="s">
        <v>11487</v>
      </c>
      <c r="G10289" s="52">
        <v>292669.01507475699</v>
      </c>
      <c r="H10289" s="56">
        <v>7.2680513679655681E-2</v>
      </c>
      <c r="I10289" s="224" t="s">
        <v>2</v>
      </c>
    </row>
    <row r="10290" spans="1:9" x14ac:dyDescent="0.25">
      <c r="A10290" s="515">
        <v>50220</v>
      </c>
      <c r="B10290" s="515" t="s">
        <v>295</v>
      </c>
      <c r="C10290" s="52">
        <v>151069.23201621001</v>
      </c>
      <c r="D10290" s="56">
        <v>0.11923894699877101</v>
      </c>
      <c r="E10290" s="224" t="s">
        <v>2</v>
      </c>
      <c r="F10290" s="515" t="s">
        <v>11488</v>
      </c>
      <c r="G10290" s="52">
        <v>462912.41166286002</v>
      </c>
      <c r="H10290" s="56">
        <v>0.10641367456002566</v>
      </c>
      <c r="I10290" s="224" t="s">
        <v>2</v>
      </c>
    </row>
    <row r="10291" spans="1:9" x14ac:dyDescent="0.25">
      <c r="A10291" s="515">
        <v>28713</v>
      </c>
      <c r="B10291" s="515" t="s">
        <v>487</v>
      </c>
      <c r="C10291" s="52">
        <v>278632.787310577</v>
      </c>
      <c r="D10291" s="56">
        <v>0.19429532996236296</v>
      </c>
      <c r="E10291" s="224" t="s">
        <v>2</v>
      </c>
      <c r="F10291" s="515" t="s">
        <v>11489</v>
      </c>
      <c r="G10291" s="52">
        <v>43018.0446927374</v>
      </c>
      <c r="H10291" s="56">
        <v>0</v>
      </c>
      <c r="I10291" s="224" t="s">
        <v>2</v>
      </c>
    </row>
    <row r="10292" spans="1:9" x14ac:dyDescent="0.25">
      <c r="A10292" s="515">
        <v>37037</v>
      </c>
      <c r="B10292" s="515" t="s">
        <v>684</v>
      </c>
      <c r="C10292" s="52">
        <v>383984.340606782</v>
      </c>
      <c r="D10292" s="56">
        <v>9.3492146710806398E-2</v>
      </c>
      <c r="E10292" s="224" t="s">
        <v>2</v>
      </c>
      <c r="F10292" s="515" t="s">
        <v>11490</v>
      </c>
      <c r="G10292" s="52">
        <v>416002.82175385603</v>
      </c>
      <c r="H10292" s="56">
        <v>0.11778088215725349</v>
      </c>
      <c r="I10292" s="224" t="s">
        <v>2</v>
      </c>
    </row>
    <row r="10293" spans="1:9" x14ac:dyDescent="0.25">
      <c r="A10293" s="515">
        <v>70818</v>
      </c>
      <c r="B10293" s="515" t="s">
        <v>610</v>
      </c>
      <c r="C10293" s="52">
        <v>235983.79539687501</v>
      </c>
      <c r="D10293" s="56">
        <v>3.6342629035793855E-2</v>
      </c>
      <c r="E10293" s="224" t="s">
        <v>2</v>
      </c>
      <c r="F10293" s="515" t="s">
        <v>11491</v>
      </c>
      <c r="G10293" s="52">
        <v>346246.40963108197</v>
      </c>
      <c r="H10293" s="56">
        <v>7.5467477225610827E-2</v>
      </c>
      <c r="I10293" s="224" t="s">
        <v>2</v>
      </c>
    </row>
    <row r="10294" spans="1:9" x14ac:dyDescent="0.25">
      <c r="A10294" s="515">
        <v>40456</v>
      </c>
      <c r="C10294" s="52">
        <v>118419.74907850601</v>
      </c>
      <c r="D10294" s="56">
        <v>0.30855829418915209</v>
      </c>
      <c r="E10294" s="224" t="s">
        <v>2</v>
      </c>
      <c r="F10294" s="515" t="s">
        <v>11492</v>
      </c>
      <c r="G10294" s="52">
        <v>127615.35930327899</v>
      </c>
      <c r="H10294" s="56">
        <v>3.0733829579768362E-3</v>
      </c>
      <c r="I10294" s="224" t="s">
        <v>2</v>
      </c>
    </row>
    <row r="10295" spans="1:9" x14ac:dyDescent="0.25">
      <c r="A10295" s="515">
        <v>62056</v>
      </c>
      <c r="C10295" s="52">
        <v>94978.385061875902</v>
      </c>
      <c r="D10295" s="56">
        <v>1.4719127444189109E-2</v>
      </c>
      <c r="E10295" s="224" t="s">
        <v>2</v>
      </c>
      <c r="F10295" s="515" t="s">
        <v>11493</v>
      </c>
      <c r="G10295" s="52">
        <v>246196.84759122599</v>
      </c>
      <c r="H10295" s="56">
        <v>8.3600079544673897E-2</v>
      </c>
      <c r="I10295" s="224" t="s">
        <v>2</v>
      </c>
    </row>
    <row r="10296" spans="1:9" x14ac:dyDescent="0.25">
      <c r="A10296" s="515">
        <v>11559</v>
      </c>
      <c r="B10296" s="515" t="s">
        <v>324</v>
      </c>
      <c r="C10296" s="52">
        <v>1549049.907967</v>
      </c>
      <c r="D10296" s="56">
        <v>0.14475498423362282</v>
      </c>
      <c r="E10296" s="224" t="s">
        <v>2</v>
      </c>
      <c r="F10296" s="515" t="s">
        <v>11494</v>
      </c>
      <c r="G10296" s="52">
        <v>284843.78368500201</v>
      </c>
      <c r="H10296" s="56">
        <v>6.0155674445708046E-2</v>
      </c>
      <c r="I10296" s="224" t="s">
        <v>2</v>
      </c>
    </row>
    <row r="10297" spans="1:9" x14ac:dyDescent="0.25">
      <c r="A10297" s="515">
        <v>24251</v>
      </c>
      <c r="B10297" s="515" t="s">
        <v>902</v>
      </c>
      <c r="C10297" s="52">
        <v>144032.10741050501</v>
      </c>
      <c r="D10297" s="56">
        <v>0.1371637894996669</v>
      </c>
      <c r="E10297" s="224" t="s">
        <v>2</v>
      </c>
      <c r="F10297" s="515" t="s">
        <v>11495</v>
      </c>
      <c r="G10297" s="52">
        <v>255302.04521687399</v>
      </c>
      <c r="H10297" s="56">
        <v>2.6174217761387907E-2</v>
      </c>
      <c r="I10297" s="224" t="s">
        <v>2</v>
      </c>
    </row>
    <row r="10298" spans="1:9" x14ac:dyDescent="0.25">
      <c r="A10298" s="515">
        <v>15024</v>
      </c>
      <c r="B10298" s="515" t="s">
        <v>297</v>
      </c>
      <c r="C10298" s="52">
        <v>205348.18749277701</v>
      </c>
      <c r="D10298" s="56">
        <v>5.9074571782790145E-2</v>
      </c>
      <c r="E10298" s="224" t="s">
        <v>2</v>
      </c>
      <c r="F10298" s="515" t="s">
        <v>11496</v>
      </c>
      <c r="G10298" s="52">
        <v>273824.01065860601</v>
      </c>
      <c r="H10298" s="56">
        <v>9.391863397721549E-2</v>
      </c>
      <c r="I10298" s="224" t="s">
        <v>2</v>
      </c>
    </row>
    <row r="10299" spans="1:9" x14ac:dyDescent="0.25">
      <c r="A10299" s="515">
        <v>12563</v>
      </c>
      <c r="B10299" s="515" t="s">
        <v>324</v>
      </c>
      <c r="C10299" s="52">
        <v>380635.86780047201</v>
      </c>
      <c r="D10299" s="56">
        <v>6.9506871918986024E-2</v>
      </c>
      <c r="E10299" s="224" t="s">
        <v>2</v>
      </c>
      <c r="F10299" s="515" t="s">
        <v>11497</v>
      </c>
      <c r="G10299" s="52">
        <v>99977.271963039893</v>
      </c>
      <c r="H10299" s="56">
        <v>0.11615493611632972</v>
      </c>
      <c r="I10299" s="224" t="s">
        <v>2</v>
      </c>
    </row>
    <row r="10300" spans="1:9" x14ac:dyDescent="0.25">
      <c r="A10300" s="515">
        <v>35179</v>
      </c>
      <c r="B10300" s="515" t="s">
        <v>1110</v>
      </c>
      <c r="C10300" s="52">
        <v>214687.49626107499</v>
      </c>
      <c r="D10300" s="56">
        <v>5.7129546910815308E-2</v>
      </c>
      <c r="E10300" s="224" t="s">
        <v>2</v>
      </c>
      <c r="F10300" s="515" t="s">
        <v>11498</v>
      </c>
      <c r="G10300" s="52">
        <v>165815.12869029801</v>
      </c>
      <c r="H10300" s="56">
        <v>5.85737373618435E-2</v>
      </c>
      <c r="I10300" s="224" t="s">
        <v>2</v>
      </c>
    </row>
    <row r="10301" spans="1:9" x14ac:dyDescent="0.25">
      <c r="A10301" s="515">
        <v>49460</v>
      </c>
      <c r="B10301" s="515" t="s">
        <v>631</v>
      </c>
      <c r="C10301" s="52">
        <v>405028.12214228802</v>
      </c>
      <c r="D10301" s="56">
        <v>9.830347534811304E-2</v>
      </c>
      <c r="E10301" s="224" t="s">
        <v>2</v>
      </c>
      <c r="F10301" s="515" t="s">
        <v>11499</v>
      </c>
      <c r="G10301" s="52">
        <v>58834.214842242996</v>
      </c>
      <c r="H10301" s="56">
        <v>-1.8517875993803039E-2</v>
      </c>
      <c r="I10301" s="224" t="s">
        <v>2</v>
      </c>
    </row>
    <row r="10302" spans="1:9" x14ac:dyDescent="0.25">
      <c r="A10302" s="515">
        <v>7626</v>
      </c>
      <c r="B10302" s="515" t="s">
        <v>324</v>
      </c>
      <c r="C10302" s="52">
        <v>765485.92847324698</v>
      </c>
      <c r="D10302" s="56">
        <v>2.5491357055017712E-2</v>
      </c>
      <c r="E10302" s="224" t="s">
        <v>2</v>
      </c>
      <c r="F10302" s="515" t="s">
        <v>11500</v>
      </c>
      <c r="G10302" s="52">
        <v>139544.719594594</v>
      </c>
      <c r="H10302" s="56">
        <v>0</v>
      </c>
      <c r="I10302" s="224" t="s">
        <v>2</v>
      </c>
    </row>
    <row r="10303" spans="1:9" x14ac:dyDescent="0.25">
      <c r="A10303" s="515">
        <v>10709</v>
      </c>
      <c r="B10303" s="515" t="s">
        <v>324</v>
      </c>
      <c r="C10303" s="52">
        <v>857963.193221319</v>
      </c>
      <c r="D10303" s="56">
        <v>3.9207376518316572E-2</v>
      </c>
      <c r="E10303" s="224" t="s">
        <v>2</v>
      </c>
      <c r="F10303" s="515" t="s">
        <v>11501</v>
      </c>
      <c r="G10303" s="52">
        <v>68526.470319634696</v>
      </c>
      <c r="H10303" s="56">
        <v>0</v>
      </c>
      <c r="I10303" s="224" t="s">
        <v>2</v>
      </c>
    </row>
    <row r="10304" spans="1:9" x14ac:dyDescent="0.25">
      <c r="A10304" s="515">
        <v>18229</v>
      </c>
      <c r="B10304" s="515" t="s">
        <v>327</v>
      </c>
      <c r="C10304" s="52">
        <v>240837.34345221301</v>
      </c>
      <c r="D10304" s="56">
        <v>0.16984775795446341</v>
      </c>
      <c r="E10304" s="224" t="s">
        <v>2</v>
      </c>
      <c r="F10304" s="515" t="s">
        <v>11502</v>
      </c>
      <c r="G10304" s="52">
        <v>353049.25600541203</v>
      </c>
      <c r="H10304" s="56">
        <v>-4.8571901333507132E-2</v>
      </c>
      <c r="I10304" s="224" t="s">
        <v>2</v>
      </c>
    </row>
    <row r="10305" spans="1:9" x14ac:dyDescent="0.25">
      <c r="A10305" s="515">
        <v>1833</v>
      </c>
      <c r="B10305" s="515" t="s">
        <v>534</v>
      </c>
      <c r="C10305" s="52">
        <v>636837.91097791097</v>
      </c>
      <c r="D10305" s="56">
        <v>7.5177158763545457E-2</v>
      </c>
      <c r="E10305" s="224" t="s">
        <v>2</v>
      </c>
      <c r="F10305" s="515" t="s">
        <v>11503</v>
      </c>
      <c r="G10305" s="52">
        <v>414750.83626346698</v>
      </c>
      <c r="H10305" s="56">
        <v>0.1209999786113831</v>
      </c>
      <c r="I10305" s="224" t="s">
        <v>2</v>
      </c>
    </row>
    <row r="10306" spans="1:9" x14ac:dyDescent="0.25">
      <c r="A10306" s="515">
        <v>78639</v>
      </c>
      <c r="C10306" s="52">
        <v>448341.84317740501</v>
      </c>
      <c r="D10306" s="56">
        <v>8.1777906429376365E-2</v>
      </c>
      <c r="E10306" s="224" t="s">
        <v>2</v>
      </c>
      <c r="F10306" s="515" t="s">
        <v>11504</v>
      </c>
      <c r="G10306" s="52">
        <v>331464.89520701702</v>
      </c>
      <c r="H10306" s="56">
        <v>3.2400357025118981E-2</v>
      </c>
      <c r="I10306" s="224" t="s">
        <v>2</v>
      </c>
    </row>
    <row r="10307" spans="1:9" x14ac:dyDescent="0.25">
      <c r="A10307" s="515">
        <v>43449</v>
      </c>
      <c r="B10307" s="515" t="s">
        <v>300</v>
      </c>
      <c r="C10307" s="52">
        <v>166629.89042557499</v>
      </c>
      <c r="D10307" s="56">
        <v>4.31886527855498E-2</v>
      </c>
      <c r="E10307" s="224" t="s">
        <v>2</v>
      </c>
      <c r="F10307" s="515" t="s">
        <v>11505</v>
      </c>
      <c r="G10307" s="52">
        <v>265560.73331250198</v>
      </c>
      <c r="H10307" s="56">
        <v>4.3965730829731785E-2</v>
      </c>
      <c r="I10307" s="224" t="s">
        <v>2</v>
      </c>
    </row>
    <row r="10308" spans="1:9" x14ac:dyDescent="0.25">
      <c r="A10308" s="515">
        <v>53040</v>
      </c>
      <c r="B10308" s="515" t="s">
        <v>950</v>
      </c>
      <c r="C10308" s="52">
        <v>302906.43574047898</v>
      </c>
      <c r="D10308" s="56">
        <v>4.6303302203368431E-2</v>
      </c>
      <c r="E10308" s="224" t="s">
        <v>2</v>
      </c>
      <c r="F10308" s="515" t="s">
        <v>11506</v>
      </c>
      <c r="G10308" s="52">
        <v>155078.10612309299</v>
      </c>
      <c r="H10308" s="56">
        <v>6.6095393429966759E-2</v>
      </c>
      <c r="I10308" s="224" t="s">
        <v>2</v>
      </c>
    </row>
    <row r="10309" spans="1:9" x14ac:dyDescent="0.25">
      <c r="A10309" s="515">
        <v>62203</v>
      </c>
      <c r="B10309" s="515" t="s">
        <v>498</v>
      </c>
      <c r="C10309" s="52">
        <v>36493.120514701302</v>
      </c>
      <c r="D10309" s="56">
        <v>4.8221971124153967E-2</v>
      </c>
      <c r="E10309" s="224" t="s">
        <v>2</v>
      </c>
      <c r="F10309" s="515" t="s">
        <v>11507</v>
      </c>
      <c r="G10309" s="52">
        <v>205590.765018545</v>
      </c>
      <c r="H10309" s="56">
        <v>6.0867671972304686E-2</v>
      </c>
      <c r="I10309" s="224" t="s">
        <v>2</v>
      </c>
    </row>
    <row r="10310" spans="1:9" x14ac:dyDescent="0.25">
      <c r="A10310" s="515">
        <v>43566</v>
      </c>
      <c r="B10310" s="515" t="s">
        <v>300</v>
      </c>
      <c r="C10310" s="52">
        <v>277804.87337670801</v>
      </c>
      <c r="D10310" s="56">
        <v>5.4679933127506436E-2</v>
      </c>
      <c r="E10310" s="224" t="s">
        <v>2</v>
      </c>
      <c r="F10310" s="515" t="s">
        <v>11508</v>
      </c>
      <c r="G10310" s="52">
        <v>151625.83238295201</v>
      </c>
      <c r="H10310" s="56">
        <v>9.3468955025879819E-2</v>
      </c>
      <c r="I10310" s="224" t="s">
        <v>2</v>
      </c>
    </row>
    <row r="10311" spans="1:9" x14ac:dyDescent="0.25">
      <c r="A10311" s="515">
        <v>67110</v>
      </c>
      <c r="B10311" s="515" t="s">
        <v>485</v>
      </c>
      <c r="C10311" s="52">
        <v>208897.55717535299</v>
      </c>
      <c r="D10311" s="56">
        <v>8.1432544400575776E-2</v>
      </c>
      <c r="E10311" s="224" t="s">
        <v>2</v>
      </c>
      <c r="F10311" s="515" t="s">
        <v>11509</v>
      </c>
      <c r="G10311" s="52">
        <v>308157.06341289298</v>
      </c>
      <c r="H10311" s="56">
        <v>1.5172946639784154E-2</v>
      </c>
      <c r="I10311" s="224" t="s">
        <v>2</v>
      </c>
    </row>
    <row r="10312" spans="1:9" x14ac:dyDescent="0.25">
      <c r="A10312" s="515">
        <v>75454</v>
      </c>
      <c r="B10312" s="515" t="s">
        <v>458</v>
      </c>
      <c r="C10312" s="52">
        <v>456809.904470479</v>
      </c>
      <c r="D10312" s="56">
        <v>4.1123019563145846E-2</v>
      </c>
      <c r="E10312" s="224">
        <v>2522.5</v>
      </c>
      <c r="F10312" s="515" t="s">
        <v>11510</v>
      </c>
      <c r="G10312" s="52">
        <v>179860.76729890099</v>
      </c>
      <c r="H10312" s="56">
        <v>8.0687289121166003E-2</v>
      </c>
      <c r="I10312" s="224" t="s">
        <v>2</v>
      </c>
    </row>
    <row r="10313" spans="1:9" x14ac:dyDescent="0.25">
      <c r="A10313" s="515">
        <v>33955</v>
      </c>
      <c r="B10313" s="515" t="s">
        <v>1030</v>
      </c>
      <c r="C10313" s="52">
        <v>394703.70009052998</v>
      </c>
      <c r="D10313" s="56">
        <v>0.14693015304182527</v>
      </c>
      <c r="E10313" s="224">
        <v>5300</v>
      </c>
      <c r="F10313" s="515" t="s">
        <v>11511</v>
      </c>
      <c r="G10313" s="52">
        <v>123712.471137594</v>
      </c>
      <c r="H10313" s="56">
        <v>-4.3397346240765584E-2</v>
      </c>
      <c r="I10313" s="224" t="s">
        <v>2</v>
      </c>
    </row>
    <row r="10314" spans="1:9" x14ac:dyDescent="0.25">
      <c r="A10314" s="515">
        <v>1543</v>
      </c>
      <c r="B10314" s="515" t="s">
        <v>751</v>
      </c>
      <c r="C10314" s="52">
        <v>439556.12671729497</v>
      </c>
      <c r="D10314" s="56">
        <v>9.4622358366208373E-2</v>
      </c>
      <c r="E10314" s="224" t="s">
        <v>2</v>
      </c>
      <c r="F10314" s="515" t="s">
        <v>11512</v>
      </c>
      <c r="G10314" s="52">
        <v>175409.31113182701</v>
      </c>
      <c r="H10314" s="56">
        <v>5.4523761776703213E-2</v>
      </c>
      <c r="I10314" s="224" t="s">
        <v>2</v>
      </c>
    </row>
    <row r="10315" spans="1:9" x14ac:dyDescent="0.25">
      <c r="A10315" s="515">
        <v>97009</v>
      </c>
      <c r="B10315" s="515" t="s">
        <v>659</v>
      </c>
      <c r="C10315" s="52">
        <v>662702.81046736997</v>
      </c>
      <c r="D10315" s="56">
        <v>2.7209768870667197E-2</v>
      </c>
      <c r="E10315" s="224" t="s">
        <v>2</v>
      </c>
      <c r="F10315" s="515" t="s">
        <v>11513</v>
      </c>
      <c r="G10315" s="52">
        <v>782861.38604509097</v>
      </c>
      <c r="H10315" s="56">
        <v>3.4121309283494237E-2</v>
      </c>
      <c r="I10315" s="224" t="s">
        <v>2</v>
      </c>
    </row>
    <row r="10316" spans="1:9" x14ac:dyDescent="0.25">
      <c r="A10316" s="515">
        <v>62024</v>
      </c>
      <c r="B10316" s="515" t="s">
        <v>498</v>
      </c>
      <c r="C10316" s="52">
        <v>113246.93751421</v>
      </c>
      <c r="D10316" s="56">
        <v>0.12505107543899494</v>
      </c>
      <c r="E10316" s="224" t="s">
        <v>2</v>
      </c>
      <c r="F10316" s="515" t="s">
        <v>11514</v>
      </c>
      <c r="G10316" s="52">
        <v>258568.35110054901</v>
      </c>
      <c r="H10316" s="56">
        <v>4.8564833345339217E-2</v>
      </c>
      <c r="I10316" s="224" t="s">
        <v>2</v>
      </c>
    </row>
    <row r="10317" spans="1:9" x14ac:dyDescent="0.25">
      <c r="A10317" s="515">
        <v>76711</v>
      </c>
      <c r="B10317" s="515" t="s">
        <v>1057</v>
      </c>
      <c r="C10317" s="52">
        <v>145290.20994173901</v>
      </c>
      <c r="D10317" s="56">
        <v>0.16857755549076919</v>
      </c>
      <c r="E10317" s="224" t="s">
        <v>2</v>
      </c>
      <c r="F10317" s="515" t="s">
        <v>11515</v>
      </c>
      <c r="G10317" s="52">
        <v>108029.346857877</v>
      </c>
      <c r="H10317" s="56">
        <v>3.2048195832073509E-2</v>
      </c>
      <c r="I10317" s="224" t="s">
        <v>2</v>
      </c>
    </row>
    <row r="10318" spans="1:9" x14ac:dyDescent="0.25">
      <c r="A10318" s="515">
        <v>98327</v>
      </c>
      <c r="B10318" s="515" t="s">
        <v>384</v>
      </c>
      <c r="C10318" s="52">
        <v>502786.03459076298</v>
      </c>
      <c r="D10318" s="56">
        <v>4.1485410982328641E-3</v>
      </c>
      <c r="E10318" s="224">
        <v>2554.0277777777701</v>
      </c>
      <c r="F10318" s="515" t="s">
        <v>11516</v>
      </c>
      <c r="G10318" s="52">
        <v>745020.21946249704</v>
      </c>
      <c r="H10318" s="56">
        <v>0.12905337157610977</v>
      </c>
      <c r="I10318" s="224" t="s">
        <v>2</v>
      </c>
    </row>
    <row r="10319" spans="1:9" x14ac:dyDescent="0.25">
      <c r="A10319" s="515">
        <v>4468</v>
      </c>
      <c r="B10319" s="515" t="s">
        <v>792</v>
      </c>
      <c r="C10319" s="52">
        <v>203921.70287023101</v>
      </c>
      <c r="D10319" s="56">
        <v>0.136573686679378</v>
      </c>
      <c r="E10319" s="224" t="s">
        <v>2</v>
      </c>
      <c r="F10319" s="515" t="s">
        <v>11517</v>
      </c>
      <c r="G10319" s="52">
        <v>314635.18430208002</v>
      </c>
      <c r="H10319" s="56">
        <v>0.11322698853846792</v>
      </c>
      <c r="I10319" s="224" t="s">
        <v>2</v>
      </c>
    </row>
    <row r="10320" spans="1:9" x14ac:dyDescent="0.25">
      <c r="A10320" s="515">
        <v>12210</v>
      </c>
      <c r="B10320" s="515" t="s">
        <v>609</v>
      </c>
      <c r="C10320" s="52">
        <v>223137.34654835801</v>
      </c>
      <c r="D10320" s="56">
        <v>6.1459909662080314E-2</v>
      </c>
      <c r="E10320" s="224">
        <v>1215.6666666666599</v>
      </c>
      <c r="F10320" s="515" t="s">
        <v>11518</v>
      </c>
      <c r="G10320" s="52">
        <v>407504.809964696</v>
      </c>
      <c r="H10320" s="56">
        <v>0.14276312477678099</v>
      </c>
      <c r="I10320" s="224" t="s">
        <v>2</v>
      </c>
    </row>
    <row r="10321" spans="1:9" x14ac:dyDescent="0.25">
      <c r="A10321" s="515">
        <v>49461</v>
      </c>
      <c r="B10321" s="515" t="s">
        <v>943</v>
      </c>
      <c r="C10321" s="52">
        <v>263289.540017972</v>
      </c>
      <c r="D10321" s="56">
        <v>6.0311081675574814E-2</v>
      </c>
      <c r="E10321" s="224" t="s">
        <v>2</v>
      </c>
      <c r="F10321" s="515" t="s">
        <v>11519</v>
      </c>
      <c r="G10321" s="52">
        <v>307809.08561540098</v>
      </c>
      <c r="H10321" s="56">
        <v>0.11597265042796664</v>
      </c>
      <c r="I10321" s="224" t="s">
        <v>2</v>
      </c>
    </row>
    <row r="10322" spans="1:9" x14ac:dyDescent="0.25">
      <c r="A10322" s="515">
        <v>28904</v>
      </c>
      <c r="C10322" s="52">
        <v>310943.301919388</v>
      </c>
      <c r="D10322" s="56">
        <v>0.1419438172789009</v>
      </c>
      <c r="E10322" s="224" t="s">
        <v>2</v>
      </c>
      <c r="F10322" s="515" t="s">
        <v>11520</v>
      </c>
      <c r="G10322" s="52">
        <v>124074.75498134999</v>
      </c>
      <c r="H10322" s="56">
        <v>8.0345918475874967E-2</v>
      </c>
      <c r="I10322" s="224" t="s">
        <v>2</v>
      </c>
    </row>
    <row r="10323" spans="1:9" x14ac:dyDescent="0.25">
      <c r="A10323" s="515">
        <v>19506</v>
      </c>
      <c r="B10323" s="515" t="s">
        <v>569</v>
      </c>
      <c r="C10323" s="52">
        <v>323786.02322310302</v>
      </c>
      <c r="D10323" s="56">
        <v>9.3881802236718534E-2</v>
      </c>
      <c r="E10323" s="224" t="s">
        <v>2</v>
      </c>
      <c r="F10323" s="515" t="s">
        <v>11521</v>
      </c>
      <c r="G10323" s="52">
        <v>862086.50153372996</v>
      </c>
      <c r="H10323" s="56">
        <v>3.3774732884139562E-2</v>
      </c>
      <c r="I10323" s="224" t="s">
        <v>2</v>
      </c>
    </row>
    <row r="10324" spans="1:9" x14ac:dyDescent="0.25">
      <c r="A10324" s="515">
        <v>37641</v>
      </c>
      <c r="B10324" s="515" t="s">
        <v>1117</v>
      </c>
      <c r="C10324" s="52">
        <v>188976.83729513999</v>
      </c>
      <c r="D10324" s="56">
        <v>7.8115008096142191E-2</v>
      </c>
      <c r="E10324" s="224" t="s">
        <v>2</v>
      </c>
      <c r="F10324" s="515" t="s">
        <v>11522</v>
      </c>
      <c r="G10324" s="52">
        <v>146839.49600084999</v>
      </c>
      <c r="H10324" s="56">
        <v>-1.1109758189795356E-2</v>
      </c>
      <c r="I10324" s="224" t="s">
        <v>2</v>
      </c>
    </row>
    <row r="10325" spans="1:9" x14ac:dyDescent="0.25">
      <c r="A10325" s="515">
        <v>35085</v>
      </c>
      <c r="B10325" s="515" t="s">
        <v>640</v>
      </c>
      <c r="C10325" s="52">
        <v>189468.37046987301</v>
      </c>
      <c r="D10325" s="56">
        <v>9.3557438075219199E-2</v>
      </c>
      <c r="E10325" s="224" t="s">
        <v>2</v>
      </c>
      <c r="F10325" s="515" t="s">
        <v>11523</v>
      </c>
      <c r="G10325" s="52">
        <v>505541.407758519</v>
      </c>
      <c r="H10325" s="56">
        <v>0</v>
      </c>
      <c r="I10325" s="224" t="s">
        <v>2</v>
      </c>
    </row>
    <row r="10326" spans="1:9" x14ac:dyDescent="0.25">
      <c r="A10326" s="515">
        <v>44115</v>
      </c>
      <c r="B10326" s="515" t="s">
        <v>520</v>
      </c>
      <c r="C10326" s="52">
        <v>149665.90622816101</v>
      </c>
      <c r="D10326" s="56">
        <v>0.10385515269002588</v>
      </c>
      <c r="E10326" s="224">
        <v>1628.1994949494899</v>
      </c>
      <c r="F10326" s="515" t="s">
        <v>11524</v>
      </c>
      <c r="G10326" s="52">
        <v>92619.617789540294</v>
      </c>
      <c r="H10326" s="56">
        <v>3.8038221003974505E-2</v>
      </c>
      <c r="I10326" s="224" t="s">
        <v>2</v>
      </c>
    </row>
    <row r="10327" spans="1:9" x14ac:dyDescent="0.25">
      <c r="A10327" s="515">
        <v>95327</v>
      </c>
      <c r="B10327" s="515" t="s">
        <v>555</v>
      </c>
      <c r="C10327" s="52">
        <v>379522.448281285</v>
      </c>
      <c r="D10327" s="56">
        <v>1.0823829994397499E-3</v>
      </c>
      <c r="E10327" s="224" t="s">
        <v>2</v>
      </c>
      <c r="F10327" s="515" t="s">
        <v>11525</v>
      </c>
      <c r="G10327" s="52">
        <v>829152.08805537503</v>
      </c>
      <c r="H10327" s="56">
        <v>6.8301300555810671E-2</v>
      </c>
      <c r="I10327" s="224" t="s">
        <v>2</v>
      </c>
    </row>
    <row r="10328" spans="1:9" x14ac:dyDescent="0.25">
      <c r="A10328" s="515">
        <v>1057</v>
      </c>
      <c r="B10328" s="515" t="s">
        <v>575</v>
      </c>
      <c r="C10328" s="52">
        <v>322854.08844589401</v>
      </c>
      <c r="D10328" s="56">
        <v>6.5561860721255347E-2</v>
      </c>
      <c r="E10328" s="224" t="s">
        <v>2</v>
      </c>
      <c r="F10328" s="515" t="s">
        <v>11526</v>
      </c>
      <c r="G10328" s="52">
        <v>152958.35464549201</v>
      </c>
      <c r="H10328" s="56">
        <v>8.5752096742270717E-2</v>
      </c>
      <c r="I10328" s="224" t="s">
        <v>2</v>
      </c>
    </row>
    <row r="10329" spans="1:9" x14ac:dyDescent="0.25">
      <c r="A10329" s="515">
        <v>75021</v>
      </c>
      <c r="B10329" s="515" t="s">
        <v>553</v>
      </c>
      <c r="C10329" s="52">
        <v>216121.31038690099</v>
      </c>
      <c r="D10329" s="56">
        <v>0.10153200772988837</v>
      </c>
      <c r="E10329" s="224" t="s">
        <v>2</v>
      </c>
      <c r="F10329" s="515" t="s">
        <v>11527</v>
      </c>
      <c r="G10329" s="52">
        <v>250842.38264286899</v>
      </c>
      <c r="H10329" s="56">
        <v>6.1384884582508834E-2</v>
      </c>
      <c r="I10329" s="224" t="s">
        <v>2</v>
      </c>
    </row>
    <row r="10330" spans="1:9" x14ac:dyDescent="0.25">
      <c r="A10330" s="515">
        <v>19960</v>
      </c>
      <c r="B10330" s="515" t="s">
        <v>552</v>
      </c>
      <c r="C10330" s="52">
        <v>291247.48201187502</v>
      </c>
      <c r="D10330" s="56">
        <v>0.10202080018142415</v>
      </c>
      <c r="E10330" s="224" t="s">
        <v>2</v>
      </c>
      <c r="F10330" s="515" t="s">
        <v>11528</v>
      </c>
      <c r="G10330" s="52">
        <v>97180.856708221196</v>
      </c>
      <c r="H10330" s="56">
        <v>6.7187011267560354E-2</v>
      </c>
      <c r="I10330" s="224" t="s">
        <v>2</v>
      </c>
    </row>
    <row r="10331" spans="1:9" x14ac:dyDescent="0.25">
      <c r="A10331" s="515">
        <v>30633</v>
      </c>
      <c r="B10331" s="515" t="s">
        <v>991</v>
      </c>
      <c r="C10331" s="52">
        <v>245018.285027037</v>
      </c>
      <c r="D10331" s="56">
        <v>5.3260312214410827E-2</v>
      </c>
      <c r="E10331" s="224" t="s">
        <v>2</v>
      </c>
      <c r="F10331" s="515" t="s">
        <v>11529</v>
      </c>
      <c r="G10331" s="52">
        <v>183062.20541129899</v>
      </c>
      <c r="H10331" s="56">
        <v>0.1031451647691768</v>
      </c>
      <c r="I10331" s="224" t="s">
        <v>2</v>
      </c>
    </row>
    <row r="10332" spans="1:9" x14ac:dyDescent="0.25">
      <c r="A10332" s="515">
        <v>68117</v>
      </c>
      <c r="B10332" s="515" t="s">
        <v>367</v>
      </c>
      <c r="C10332" s="52">
        <v>190230.93920761699</v>
      </c>
      <c r="D10332" s="56">
        <v>0.1230593258707391</v>
      </c>
      <c r="E10332" s="224" t="s">
        <v>2</v>
      </c>
      <c r="F10332" s="515" t="s">
        <v>11530</v>
      </c>
      <c r="G10332" s="52">
        <v>137945.08992805699</v>
      </c>
      <c r="H10332" s="56">
        <v>0</v>
      </c>
      <c r="I10332" s="224" t="s">
        <v>2</v>
      </c>
    </row>
    <row r="10333" spans="1:9" x14ac:dyDescent="0.25">
      <c r="A10333" s="515">
        <v>11968</v>
      </c>
      <c r="B10333" s="515" t="s">
        <v>324</v>
      </c>
      <c r="C10333" s="52">
        <v>1783098.1945017099</v>
      </c>
      <c r="D10333" s="56">
        <v>0.10770221032370714</v>
      </c>
      <c r="E10333" s="224">
        <v>40189.699999999997</v>
      </c>
      <c r="F10333" s="515" t="s">
        <v>11531</v>
      </c>
      <c r="G10333" s="52">
        <v>439951.38312040101</v>
      </c>
      <c r="H10333" s="56">
        <v>6.08842722911788E-2</v>
      </c>
      <c r="I10333" s="224" t="s">
        <v>2</v>
      </c>
    </row>
    <row r="10334" spans="1:9" x14ac:dyDescent="0.25">
      <c r="A10334" s="515">
        <v>13365</v>
      </c>
      <c r="B10334" s="515" t="s">
        <v>543</v>
      </c>
      <c r="C10334" s="52">
        <v>141816.19317785601</v>
      </c>
      <c r="D10334" s="56">
        <v>0.16668755140536368</v>
      </c>
      <c r="E10334" s="224" t="s">
        <v>2</v>
      </c>
      <c r="F10334" s="515" t="s">
        <v>11532</v>
      </c>
      <c r="G10334" s="52">
        <v>106593.11803560601</v>
      </c>
      <c r="H10334" s="56">
        <v>0.14944059908398188</v>
      </c>
      <c r="I10334" s="224" t="s">
        <v>2</v>
      </c>
    </row>
    <row r="10335" spans="1:9" x14ac:dyDescent="0.25">
      <c r="A10335" s="515">
        <v>71449</v>
      </c>
      <c r="C10335" s="52">
        <v>183974.30063222599</v>
      </c>
      <c r="D10335" s="56">
        <v>7.426188025208208E-2</v>
      </c>
      <c r="E10335" s="224" t="s">
        <v>2</v>
      </c>
      <c r="F10335" s="515" t="s">
        <v>11533</v>
      </c>
      <c r="G10335" s="52">
        <v>273883.89348699601</v>
      </c>
      <c r="H10335" s="56">
        <v>8.1878061883896375E-2</v>
      </c>
      <c r="I10335" s="224" t="s">
        <v>2</v>
      </c>
    </row>
    <row r="10336" spans="1:9" x14ac:dyDescent="0.25">
      <c r="A10336" s="515">
        <v>3235</v>
      </c>
      <c r="B10336" s="515" t="s">
        <v>981</v>
      </c>
      <c r="C10336" s="52">
        <v>292726.16840111202</v>
      </c>
      <c r="D10336" s="56">
        <v>9.2719622393161741E-2</v>
      </c>
      <c r="E10336" s="224" t="s">
        <v>2</v>
      </c>
      <c r="F10336" s="515" t="s">
        <v>11534</v>
      </c>
      <c r="G10336" s="52">
        <v>1794298.1390716401</v>
      </c>
      <c r="H10336" s="56">
        <v>0.13995912800512286</v>
      </c>
      <c r="I10336" s="224" t="s">
        <v>2</v>
      </c>
    </row>
    <row r="10337" spans="1:9" x14ac:dyDescent="0.25">
      <c r="A10337" s="515">
        <v>45810</v>
      </c>
      <c r="C10337" s="52">
        <v>181606.43849317799</v>
      </c>
      <c r="D10337" s="56">
        <v>7.843246820245485E-2</v>
      </c>
      <c r="E10337" s="224" t="s">
        <v>2</v>
      </c>
      <c r="F10337" s="515" t="s">
        <v>11535</v>
      </c>
      <c r="G10337" s="52">
        <v>556833.43899598205</v>
      </c>
      <c r="H10337" s="56">
        <v>8.5983384491029394E-2</v>
      </c>
      <c r="I10337" s="224" t="s">
        <v>2</v>
      </c>
    </row>
    <row r="10338" spans="1:9" x14ac:dyDescent="0.25">
      <c r="A10338" s="515">
        <v>44813</v>
      </c>
      <c r="B10338" s="515" t="s">
        <v>1140</v>
      </c>
      <c r="C10338" s="52">
        <v>221455.952923484</v>
      </c>
      <c r="D10338" s="56">
        <v>6.990297362821507E-2</v>
      </c>
      <c r="E10338" s="224" t="s">
        <v>2</v>
      </c>
      <c r="F10338" s="515" t="s">
        <v>11536</v>
      </c>
      <c r="G10338" s="52">
        <v>419134.93171535101</v>
      </c>
      <c r="H10338" s="56">
        <v>8.0379179591180253E-2</v>
      </c>
      <c r="I10338" s="224" t="s">
        <v>2</v>
      </c>
    </row>
    <row r="10339" spans="1:9" x14ac:dyDescent="0.25">
      <c r="A10339" s="515">
        <v>18708</v>
      </c>
      <c r="B10339" s="515" t="s">
        <v>512</v>
      </c>
      <c r="C10339" s="52">
        <v>236290.45609005401</v>
      </c>
      <c r="D10339" s="56">
        <v>4.7626467163808889E-2</v>
      </c>
      <c r="E10339" s="224" t="s">
        <v>2</v>
      </c>
      <c r="F10339" s="515" t="s">
        <v>11537</v>
      </c>
      <c r="G10339" s="52">
        <v>133294.58665905299</v>
      </c>
      <c r="H10339" s="56">
        <v>0</v>
      </c>
      <c r="I10339" s="224" t="s">
        <v>2</v>
      </c>
    </row>
    <row r="10340" spans="1:9" x14ac:dyDescent="0.25">
      <c r="A10340" s="515">
        <v>30510</v>
      </c>
      <c r="B10340" s="515" t="s">
        <v>1188</v>
      </c>
      <c r="C10340" s="52">
        <v>228209.09962791801</v>
      </c>
      <c r="D10340" s="56">
        <v>0.17007638531602376</v>
      </c>
      <c r="E10340" s="224" t="s">
        <v>2</v>
      </c>
      <c r="F10340" s="515" t="s">
        <v>11538</v>
      </c>
      <c r="G10340" s="52">
        <v>244165.401860076</v>
      </c>
      <c r="H10340" s="56">
        <v>9.43526015109937E-2</v>
      </c>
      <c r="I10340" s="224" t="s">
        <v>2</v>
      </c>
    </row>
    <row r="10341" spans="1:9" x14ac:dyDescent="0.25">
      <c r="A10341" s="515">
        <v>15417</v>
      </c>
      <c r="B10341" s="515" t="s">
        <v>297</v>
      </c>
      <c r="C10341" s="52">
        <v>88308.507263154403</v>
      </c>
      <c r="D10341" s="56">
        <v>4.3077905943830028E-2</v>
      </c>
      <c r="E10341" s="224" t="s">
        <v>2</v>
      </c>
      <c r="F10341" s="515" t="s">
        <v>11539</v>
      </c>
      <c r="G10341" s="52">
        <v>248676.66168775901</v>
      </c>
      <c r="H10341" s="56">
        <v>5.1372500089044898E-2</v>
      </c>
      <c r="I10341" s="224" t="s">
        <v>2</v>
      </c>
    </row>
    <row r="10342" spans="1:9" x14ac:dyDescent="0.25">
      <c r="A10342" s="515">
        <v>85390</v>
      </c>
      <c r="B10342" s="515" t="s">
        <v>563</v>
      </c>
      <c r="C10342" s="52">
        <v>493639.10962681501</v>
      </c>
      <c r="D10342" s="56">
        <v>5.9429809201300879E-2</v>
      </c>
      <c r="E10342" s="224" t="s">
        <v>2</v>
      </c>
      <c r="F10342" s="515" t="s">
        <v>11540</v>
      </c>
      <c r="G10342" s="52">
        <v>538074.19979539304</v>
      </c>
      <c r="H10342" s="56">
        <v>5.2194512286234514E-2</v>
      </c>
      <c r="I10342" s="224" t="s">
        <v>2</v>
      </c>
    </row>
    <row r="10343" spans="1:9" x14ac:dyDescent="0.25">
      <c r="A10343" s="515">
        <v>71019</v>
      </c>
      <c r="C10343" s="52">
        <v>80015.88644894</v>
      </c>
      <c r="D10343" s="56">
        <v>6.6490011984332758E-3</v>
      </c>
      <c r="E10343" s="224" t="s">
        <v>2</v>
      </c>
      <c r="F10343" s="515" t="s">
        <v>11541</v>
      </c>
      <c r="G10343" s="52">
        <v>395184.13951189799</v>
      </c>
      <c r="H10343" s="56">
        <v>2.8020460900739879E-2</v>
      </c>
      <c r="I10343" s="224" t="s">
        <v>2</v>
      </c>
    </row>
    <row r="10344" spans="1:9" x14ac:dyDescent="0.25">
      <c r="A10344" s="515">
        <v>94930</v>
      </c>
      <c r="B10344" s="515" t="s">
        <v>593</v>
      </c>
      <c r="C10344" s="52">
        <v>1116252.3997253501</v>
      </c>
      <c r="D10344" s="56">
        <v>2.8416241997590883E-2</v>
      </c>
      <c r="E10344" s="224" t="s">
        <v>2</v>
      </c>
      <c r="F10344" s="515" t="s">
        <v>11542</v>
      </c>
      <c r="G10344" s="52">
        <v>104149.28443959499</v>
      </c>
      <c r="H10344" s="56">
        <v>-1.2098276314391887E-2</v>
      </c>
      <c r="I10344" s="224" t="s">
        <v>2</v>
      </c>
    </row>
    <row r="10345" spans="1:9" x14ac:dyDescent="0.25">
      <c r="A10345" s="515">
        <v>72823</v>
      </c>
      <c r="B10345" s="515" t="s">
        <v>636</v>
      </c>
      <c r="C10345" s="52">
        <v>125942.41909005601</v>
      </c>
      <c r="D10345" s="56">
        <v>3.2004692681884418E-2</v>
      </c>
      <c r="E10345" s="224" t="s">
        <v>2</v>
      </c>
      <c r="F10345" s="515" t="s">
        <v>11543</v>
      </c>
      <c r="G10345" s="52">
        <v>284419.36127538898</v>
      </c>
      <c r="H10345" s="56">
        <v>3.1304515169295506E-2</v>
      </c>
      <c r="I10345" s="224" t="s">
        <v>2</v>
      </c>
    </row>
    <row r="10346" spans="1:9" x14ac:dyDescent="0.25">
      <c r="A10346" s="515">
        <v>39476</v>
      </c>
      <c r="B10346" s="515" t="s">
        <v>1074</v>
      </c>
      <c r="C10346" s="52">
        <v>140534.91835559101</v>
      </c>
      <c r="D10346" s="56">
        <v>-3.6268754727417148E-2</v>
      </c>
      <c r="E10346" s="224" t="s">
        <v>2</v>
      </c>
      <c r="F10346" s="515" t="s">
        <v>11544</v>
      </c>
      <c r="G10346" s="52">
        <v>88449.479804828603</v>
      </c>
      <c r="H10346" s="56">
        <v>0.12009711691703723</v>
      </c>
      <c r="I10346" s="224" t="s">
        <v>2</v>
      </c>
    </row>
    <row r="10347" spans="1:9" x14ac:dyDescent="0.25">
      <c r="A10347" s="515">
        <v>15074</v>
      </c>
      <c r="B10347" s="515" t="s">
        <v>297</v>
      </c>
      <c r="C10347" s="52">
        <v>126363.038278861</v>
      </c>
      <c r="D10347" s="56">
        <v>-2.7053095022728797E-2</v>
      </c>
      <c r="E10347" s="224" t="s">
        <v>2</v>
      </c>
      <c r="F10347" s="515" t="s">
        <v>11545</v>
      </c>
      <c r="G10347" s="52">
        <v>94286.321412771096</v>
      </c>
      <c r="H10347" s="56">
        <v>-8.8895972061929077E-2</v>
      </c>
      <c r="I10347" s="224" t="s">
        <v>2</v>
      </c>
    </row>
    <row r="10348" spans="1:9" x14ac:dyDescent="0.25">
      <c r="A10348" s="515">
        <v>64112</v>
      </c>
      <c r="B10348" s="515" t="s">
        <v>455</v>
      </c>
      <c r="C10348" s="52">
        <v>373114.13444059202</v>
      </c>
      <c r="D10348" s="56">
        <v>5.2072045793744009E-3</v>
      </c>
      <c r="E10348" s="224">
        <v>1487.6727272727201</v>
      </c>
      <c r="F10348" s="515" t="s">
        <v>11546</v>
      </c>
      <c r="G10348" s="52">
        <v>62864.723952916604</v>
      </c>
      <c r="H10348" s="56">
        <v>3.9100426281012289E-3</v>
      </c>
      <c r="I10348" s="224" t="s">
        <v>2</v>
      </c>
    </row>
    <row r="10349" spans="1:9" x14ac:dyDescent="0.25">
      <c r="A10349" s="515">
        <v>70113</v>
      </c>
      <c r="B10349" s="515" t="s">
        <v>777</v>
      </c>
      <c r="C10349" s="52">
        <v>304897.89794947702</v>
      </c>
      <c r="D10349" s="56">
        <v>-1.0536290695122115E-2</v>
      </c>
      <c r="E10349" s="224">
        <v>1443.3333333333301</v>
      </c>
      <c r="F10349" s="515" t="s">
        <v>11547</v>
      </c>
      <c r="G10349" s="52">
        <v>222956.36929117801</v>
      </c>
      <c r="H10349" s="56">
        <v>7.5991083552697902E-2</v>
      </c>
      <c r="I10349" s="224" t="s">
        <v>2</v>
      </c>
    </row>
    <row r="10350" spans="1:9" x14ac:dyDescent="0.25">
      <c r="A10350" s="515">
        <v>60449</v>
      </c>
      <c r="B10350" s="515" t="s">
        <v>394</v>
      </c>
      <c r="C10350" s="52">
        <v>294184.99697118002</v>
      </c>
      <c r="D10350" s="56">
        <v>6.5831533464963454E-2</v>
      </c>
      <c r="E10350" s="224" t="s">
        <v>2</v>
      </c>
      <c r="F10350" s="515" t="s">
        <v>11548</v>
      </c>
      <c r="G10350" s="52">
        <v>239501.83638748099</v>
      </c>
      <c r="H10350" s="56">
        <v>0.10709444916086913</v>
      </c>
      <c r="I10350" s="224" t="s">
        <v>2</v>
      </c>
    </row>
    <row r="10351" spans="1:9" x14ac:dyDescent="0.25">
      <c r="A10351" s="515">
        <v>50201</v>
      </c>
      <c r="B10351" s="515" t="s">
        <v>568</v>
      </c>
      <c r="C10351" s="52">
        <v>208941.587659535</v>
      </c>
      <c r="D10351" s="56">
        <v>7.0368166341079882E-2</v>
      </c>
      <c r="E10351" s="224" t="s">
        <v>2</v>
      </c>
      <c r="F10351" s="515" t="s">
        <v>11549</v>
      </c>
      <c r="G10351" s="52">
        <v>155826.35876969001</v>
      </c>
      <c r="H10351" s="56">
        <v>4.7268189235514409E-2</v>
      </c>
      <c r="I10351" s="224" t="s">
        <v>2</v>
      </c>
    </row>
    <row r="10352" spans="1:9" x14ac:dyDescent="0.25">
      <c r="A10352" s="515">
        <v>15690</v>
      </c>
      <c r="B10352" s="515" t="s">
        <v>297</v>
      </c>
      <c r="C10352" s="52">
        <v>92819.422529224699</v>
      </c>
      <c r="D10352" s="56">
        <v>5.570263068926172E-2</v>
      </c>
      <c r="E10352" s="224" t="s">
        <v>2</v>
      </c>
      <c r="F10352" s="515" t="s">
        <v>11550</v>
      </c>
      <c r="G10352" s="52">
        <v>194745.37609287401</v>
      </c>
      <c r="H10352" s="56">
        <v>7.8845135289355869E-2</v>
      </c>
      <c r="I10352" s="224" t="s">
        <v>2</v>
      </c>
    </row>
    <row r="10353" spans="1:9" x14ac:dyDescent="0.25">
      <c r="A10353" s="515">
        <v>78063</v>
      </c>
      <c r="B10353" s="515" t="s">
        <v>717</v>
      </c>
      <c r="C10353" s="52">
        <v>345740.67243131303</v>
      </c>
      <c r="D10353" s="56">
        <v>7.6599984194645435E-2</v>
      </c>
      <c r="E10353" s="224" t="s">
        <v>2</v>
      </c>
      <c r="F10353" s="515" t="s">
        <v>11551</v>
      </c>
      <c r="G10353" s="52">
        <v>271854.09565697599</v>
      </c>
      <c r="H10353" s="56">
        <v>7.2281362449384337E-2</v>
      </c>
      <c r="I10353" s="224" t="s">
        <v>2</v>
      </c>
    </row>
    <row r="10354" spans="1:9" x14ac:dyDescent="0.25">
      <c r="A10354" s="515">
        <v>21754</v>
      </c>
      <c r="B10354" s="515" t="s">
        <v>321</v>
      </c>
      <c r="C10354" s="52">
        <v>601389.63140363502</v>
      </c>
      <c r="D10354" s="56">
        <v>3.8465805032441611E-2</v>
      </c>
      <c r="E10354" s="224" t="s">
        <v>2</v>
      </c>
      <c r="F10354" s="515" t="s">
        <v>11552</v>
      </c>
      <c r="G10354" s="52">
        <v>293526.83002307301</v>
      </c>
      <c r="H10354" s="56">
        <v>4.3171428937321656E-2</v>
      </c>
      <c r="I10354" s="224" t="s">
        <v>2</v>
      </c>
    </row>
    <row r="10355" spans="1:9" x14ac:dyDescent="0.25">
      <c r="A10355" s="515">
        <v>23230</v>
      </c>
      <c r="B10355" s="515" t="s">
        <v>667</v>
      </c>
      <c r="C10355" s="52">
        <v>329077.18611160503</v>
      </c>
      <c r="D10355" s="56">
        <v>8.8141999737557805E-2</v>
      </c>
      <c r="E10355" s="224">
        <v>1674.8109668109601</v>
      </c>
      <c r="F10355" s="515" t="s">
        <v>11553</v>
      </c>
      <c r="G10355" s="52">
        <v>200297.37753061199</v>
      </c>
      <c r="H10355" s="56">
        <v>8.5000150212607054E-2</v>
      </c>
      <c r="I10355" s="224" t="s">
        <v>2</v>
      </c>
    </row>
    <row r="10356" spans="1:9" x14ac:dyDescent="0.25">
      <c r="A10356" s="515">
        <v>25430</v>
      </c>
      <c r="B10356" s="515" t="s">
        <v>321</v>
      </c>
      <c r="C10356" s="52">
        <v>327125.97911990201</v>
      </c>
      <c r="D10356" s="56">
        <v>6.8345916109927116E-2</v>
      </c>
      <c r="E10356" s="224" t="s">
        <v>2</v>
      </c>
      <c r="F10356" s="515" t="s">
        <v>11554</v>
      </c>
      <c r="G10356" s="52">
        <v>445365.09290900402</v>
      </c>
      <c r="H10356" s="56">
        <v>7.8334236269274521E-2</v>
      </c>
      <c r="I10356" s="224" t="s">
        <v>2</v>
      </c>
    </row>
    <row r="10357" spans="1:9" x14ac:dyDescent="0.25">
      <c r="A10357" s="515">
        <v>55805</v>
      </c>
      <c r="B10357" s="515" t="s">
        <v>350</v>
      </c>
      <c r="C10357" s="52">
        <v>180938.56126700001</v>
      </c>
      <c r="D10357" s="56">
        <v>5.2855377148773003E-2</v>
      </c>
      <c r="E10357" s="224">
        <v>1524.0833333333301</v>
      </c>
      <c r="F10357" s="515" t="s">
        <v>11555</v>
      </c>
      <c r="G10357" s="52">
        <v>216855.07919027301</v>
      </c>
      <c r="H10357" s="56">
        <v>5.9591214629126114E-3</v>
      </c>
      <c r="I10357" s="224" t="s">
        <v>2</v>
      </c>
    </row>
    <row r="10358" spans="1:9" x14ac:dyDescent="0.25">
      <c r="A10358" s="515">
        <v>32626</v>
      </c>
      <c r="B10358" s="515" t="s">
        <v>577</v>
      </c>
      <c r="C10358" s="52">
        <v>236454.33835878901</v>
      </c>
      <c r="D10358" s="56">
        <v>9.2029193892677996E-2</v>
      </c>
      <c r="E10358" s="224" t="s">
        <v>2</v>
      </c>
      <c r="F10358" s="515" t="s">
        <v>11556</v>
      </c>
      <c r="G10358" s="52">
        <v>59014.501163772497</v>
      </c>
      <c r="H10358" s="56">
        <v>0.25970387450480431</v>
      </c>
      <c r="I10358" s="224" t="s">
        <v>2</v>
      </c>
    </row>
    <row r="10359" spans="1:9" x14ac:dyDescent="0.25">
      <c r="A10359" s="515">
        <v>29135</v>
      </c>
      <c r="B10359" s="515" t="s">
        <v>762</v>
      </c>
      <c r="C10359" s="52">
        <v>148797.793883734</v>
      </c>
      <c r="D10359" s="56">
        <v>0.11708654881909328</v>
      </c>
      <c r="E10359" s="224" t="s">
        <v>2</v>
      </c>
      <c r="F10359" s="515" t="s">
        <v>11557</v>
      </c>
      <c r="G10359" s="52">
        <v>365672.76853400603</v>
      </c>
      <c r="H10359" s="56">
        <v>0</v>
      </c>
      <c r="I10359" s="224" t="s">
        <v>2</v>
      </c>
    </row>
    <row r="10360" spans="1:9" x14ac:dyDescent="0.25">
      <c r="A10360" s="515">
        <v>18848</v>
      </c>
      <c r="B10360" s="515" t="s">
        <v>699</v>
      </c>
      <c r="C10360" s="52">
        <v>166325.21425883399</v>
      </c>
      <c r="D10360" s="56">
        <v>3.199962192322682E-2</v>
      </c>
      <c r="E10360" s="224" t="s">
        <v>2</v>
      </c>
      <c r="F10360" s="515" t="s">
        <v>11558</v>
      </c>
      <c r="G10360" s="52">
        <v>159729.023811055</v>
      </c>
      <c r="H10360" s="56">
        <v>9.9958870987800111E-2</v>
      </c>
      <c r="I10360" s="224" t="s">
        <v>2</v>
      </c>
    </row>
    <row r="10361" spans="1:9" x14ac:dyDescent="0.25">
      <c r="A10361" s="515">
        <v>7603</v>
      </c>
      <c r="B10361" s="515" t="s">
        <v>324</v>
      </c>
      <c r="C10361" s="52">
        <v>464269.92412358901</v>
      </c>
      <c r="D10361" s="56">
        <v>2.4833981680059302E-2</v>
      </c>
      <c r="E10361" s="224">
        <v>2567.5</v>
      </c>
      <c r="F10361" s="515" t="s">
        <v>11559</v>
      </c>
      <c r="G10361" s="52">
        <v>486789.321100917</v>
      </c>
      <c r="H10361" s="56">
        <v>0</v>
      </c>
      <c r="I10361" s="224" t="s">
        <v>2</v>
      </c>
    </row>
    <row r="10362" spans="1:9" x14ac:dyDescent="0.25">
      <c r="A10362" s="515">
        <v>77547</v>
      </c>
      <c r="B10362" s="515" t="s">
        <v>314</v>
      </c>
      <c r="C10362" s="52">
        <v>159101.830033595</v>
      </c>
      <c r="D10362" s="56">
        <v>0.18286823667617264</v>
      </c>
      <c r="E10362" s="224" t="s">
        <v>2</v>
      </c>
      <c r="F10362" s="515" t="s">
        <v>11560</v>
      </c>
      <c r="G10362" s="52">
        <v>263221.46505490498</v>
      </c>
      <c r="H10362" s="56">
        <v>0.11072130662683116</v>
      </c>
      <c r="I10362" s="224" t="s">
        <v>2</v>
      </c>
    </row>
    <row r="10363" spans="1:9" x14ac:dyDescent="0.25">
      <c r="A10363" s="515">
        <v>32465</v>
      </c>
      <c r="C10363" s="52">
        <v>165646.631598754</v>
      </c>
      <c r="D10363" s="56">
        <v>0.14087585402592243</v>
      </c>
      <c r="E10363" s="224" t="s">
        <v>2</v>
      </c>
      <c r="F10363" s="515" t="s">
        <v>11561</v>
      </c>
      <c r="G10363" s="52">
        <v>266774.33294996602</v>
      </c>
      <c r="H10363" s="56">
        <v>8.1809202497333033E-2</v>
      </c>
      <c r="I10363" s="224" t="s">
        <v>2</v>
      </c>
    </row>
    <row r="10364" spans="1:9" x14ac:dyDescent="0.25">
      <c r="A10364" s="515">
        <v>95946</v>
      </c>
      <c r="B10364" s="515" t="s">
        <v>387</v>
      </c>
      <c r="C10364" s="52">
        <v>493207.34427003702</v>
      </c>
      <c r="D10364" s="56">
        <v>-1.8824097301651656E-2</v>
      </c>
      <c r="E10364" s="224" t="s">
        <v>2</v>
      </c>
      <c r="F10364" s="515" t="s">
        <v>11562</v>
      </c>
      <c r="G10364" s="52">
        <v>520806.38545859401</v>
      </c>
      <c r="H10364" s="56">
        <v>4.2091524945965887E-2</v>
      </c>
      <c r="I10364" s="224" t="s">
        <v>2</v>
      </c>
    </row>
    <row r="10365" spans="1:9" x14ac:dyDescent="0.25">
      <c r="A10365" s="515">
        <v>92356</v>
      </c>
      <c r="B10365" s="515" t="s">
        <v>599</v>
      </c>
      <c r="C10365" s="52">
        <v>259765.69668098199</v>
      </c>
      <c r="D10365" s="56">
        <v>3.0132044030468361E-2</v>
      </c>
      <c r="E10365" s="224" t="s">
        <v>2</v>
      </c>
      <c r="F10365" s="515" t="s">
        <v>11563</v>
      </c>
      <c r="G10365" s="52">
        <v>162486.25976536699</v>
      </c>
      <c r="H10365" s="56">
        <v>0</v>
      </c>
      <c r="I10365" s="224" t="s">
        <v>2</v>
      </c>
    </row>
    <row r="10366" spans="1:9" x14ac:dyDescent="0.25">
      <c r="A10366" s="515">
        <v>68410</v>
      </c>
      <c r="C10366" s="52">
        <v>167630.61100435501</v>
      </c>
      <c r="D10366" s="56">
        <v>0.12527005680796355</v>
      </c>
      <c r="E10366" s="224" t="s">
        <v>2</v>
      </c>
      <c r="F10366" s="515" t="s">
        <v>11564</v>
      </c>
      <c r="G10366" s="52">
        <v>243971.2259512</v>
      </c>
      <c r="H10366" s="56">
        <v>4.4364436797024044E-2</v>
      </c>
      <c r="I10366" s="224" t="s">
        <v>2</v>
      </c>
    </row>
    <row r="10367" spans="1:9" x14ac:dyDescent="0.25">
      <c r="A10367" s="515">
        <v>73049</v>
      </c>
      <c r="B10367" s="515" t="s">
        <v>385</v>
      </c>
      <c r="C10367" s="52">
        <v>267352.20985003002</v>
      </c>
      <c r="D10367" s="56">
        <v>0.1079502735181941</v>
      </c>
      <c r="E10367" s="224" t="s">
        <v>2</v>
      </c>
      <c r="F10367" s="515" t="s">
        <v>11565</v>
      </c>
      <c r="G10367" s="52">
        <v>313015.05910759699</v>
      </c>
      <c r="H10367" s="56">
        <v>2.955825340041595E-2</v>
      </c>
      <c r="I10367" s="224" t="s">
        <v>2</v>
      </c>
    </row>
    <row r="10368" spans="1:9" x14ac:dyDescent="0.25">
      <c r="A10368" s="515">
        <v>8225</v>
      </c>
      <c r="B10368" s="515" t="s">
        <v>800</v>
      </c>
      <c r="C10368" s="52">
        <v>307182.08019713202</v>
      </c>
      <c r="D10368" s="56">
        <v>9.6842796295047801E-2</v>
      </c>
      <c r="E10368" s="224" t="s">
        <v>2</v>
      </c>
      <c r="F10368" s="515" t="s">
        <v>11566</v>
      </c>
      <c r="G10368" s="52">
        <v>136222.05420889199</v>
      </c>
      <c r="H10368" s="56">
        <v>7.16822741931403E-2</v>
      </c>
      <c r="I10368" s="224" t="s">
        <v>2</v>
      </c>
    </row>
    <row r="10369" spans="1:9" x14ac:dyDescent="0.25">
      <c r="A10369" s="515">
        <v>28422</v>
      </c>
      <c r="B10369" s="515" t="s">
        <v>703</v>
      </c>
      <c r="C10369" s="52">
        <v>361198.674889063</v>
      </c>
      <c r="D10369" s="56">
        <v>0.15725046944934051</v>
      </c>
      <c r="E10369" s="224" t="s">
        <v>2</v>
      </c>
      <c r="F10369" s="515" t="s">
        <v>11567</v>
      </c>
      <c r="G10369" s="52">
        <v>297543.69469543698</v>
      </c>
      <c r="H10369" s="56">
        <v>6.1510722528233162E-2</v>
      </c>
      <c r="I10369" s="224" t="s">
        <v>2</v>
      </c>
    </row>
    <row r="10370" spans="1:9" x14ac:dyDescent="0.25">
      <c r="A10370" s="515">
        <v>55079</v>
      </c>
      <c r="B10370" s="515" t="s">
        <v>532</v>
      </c>
      <c r="C10370" s="52">
        <v>367941.70317874302</v>
      </c>
      <c r="D10370" s="56">
        <v>3.3002337634779562E-2</v>
      </c>
      <c r="E10370" s="224" t="s">
        <v>2</v>
      </c>
      <c r="F10370" s="515" t="s">
        <v>10589</v>
      </c>
      <c r="G10370" s="52">
        <v>228336.262335815</v>
      </c>
      <c r="H10370" s="56">
        <v>6.4127815529151727E-2</v>
      </c>
      <c r="I10370" s="224" t="s">
        <v>2</v>
      </c>
    </row>
    <row r="10371" spans="1:9" x14ac:dyDescent="0.25">
      <c r="A10371" s="515">
        <v>75789</v>
      </c>
      <c r="B10371" s="515" t="s">
        <v>605</v>
      </c>
      <c r="C10371" s="52">
        <v>244970.96972229899</v>
      </c>
      <c r="D10371" s="56">
        <v>7.4016722194049117E-2</v>
      </c>
      <c r="E10371" s="224" t="s">
        <v>2</v>
      </c>
      <c r="F10371" s="515" t="s">
        <v>11568</v>
      </c>
      <c r="G10371" s="52">
        <v>364709.60393999203</v>
      </c>
      <c r="H10371" s="56">
        <v>1.9254358578770284E-2</v>
      </c>
      <c r="I10371" s="224" t="s">
        <v>2</v>
      </c>
    </row>
    <row r="10372" spans="1:9" x14ac:dyDescent="0.25">
      <c r="A10372" s="515">
        <v>38824</v>
      </c>
      <c r="B10372" s="515" t="s">
        <v>1010</v>
      </c>
      <c r="C10372" s="52">
        <v>122719.540564433</v>
      </c>
      <c r="D10372" s="56">
        <v>-7.5299291677132828E-3</v>
      </c>
      <c r="E10372" s="224" t="s">
        <v>2</v>
      </c>
      <c r="F10372" s="515" t="s">
        <v>11569</v>
      </c>
      <c r="G10372" s="52">
        <v>110493.714182743</v>
      </c>
      <c r="H10372" s="56">
        <v>0.1898028196769333</v>
      </c>
      <c r="I10372" s="224" t="s">
        <v>2</v>
      </c>
    </row>
    <row r="10373" spans="1:9" x14ac:dyDescent="0.25">
      <c r="A10373" s="515">
        <v>55063</v>
      </c>
      <c r="C10373" s="52">
        <v>266833.10790184198</v>
      </c>
      <c r="D10373" s="56">
        <v>0.12097489235107846</v>
      </c>
      <c r="E10373" s="224" t="s">
        <v>2</v>
      </c>
      <c r="F10373" s="515" t="s">
        <v>11570</v>
      </c>
      <c r="G10373" s="52">
        <v>227228.29180462801</v>
      </c>
      <c r="H10373" s="56">
        <v>5.790008857624724E-2</v>
      </c>
      <c r="I10373" s="224" t="s">
        <v>2</v>
      </c>
    </row>
    <row r="10374" spans="1:9" x14ac:dyDescent="0.25">
      <c r="A10374" s="515">
        <v>6878</v>
      </c>
      <c r="B10374" s="515" t="s">
        <v>1173</v>
      </c>
      <c r="C10374" s="52">
        <v>1931466.17961753</v>
      </c>
      <c r="D10374" s="56">
        <v>0.11753558830156888</v>
      </c>
      <c r="E10374" s="224" t="s">
        <v>2</v>
      </c>
      <c r="F10374" s="515" t="s">
        <v>11571</v>
      </c>
      <c r="G10374" s="52">
        <v>39375.835047287997</v>
      </c>
      <c r="H10374" s="56">
        <v>0.13196380879347996</v>
      </c>
      <c r="I10374" s="224" t="s">
        <v>2</v>
      </c>
    </row>
    <row r="10375" spans="1:9" x14ac:dyDescent="0.25">
      <c r="A10375" s="515">
        <v>85012</v>
      </c>
      <c r="B10375" s="515" t="s">
        <v>563</v>
      </c>
      <c r="C10375" s="52">
        <v>632922.44323489198</v>
      </c>
      <c r="D10375" s="56">
        <v>5.1151018434019507E-2</v>
      </c>
      <c r="E10375" s="224">
        <v>1608.7063492063401</v>
      </c>
      <c r="F10375" s="515" t="s">
        <v>11572</v>
      </c>
      <c r="G10375" s="52">
        <v>239069.51375361899</v>
      </c>
      <c r="H10375" s="56">
        <v>8.928754425201714E-2</v>
      </c>
      <c r="I10375" s="224" t="s">
        <v>2</v>
      </c>
    </row>
    <row r="10376" spans="1:9" x14ac:dyDescent="0.25">
      <c r="A10376" s="515">
        <v>54165</v>
      </c>
      <c r="B10376" s="515" t="s">
        <v>821</v>
      </c>
      <c r="C10376" s="52">
        <v>250226.464492292</v>
      </c>
      <c r="D10376" s="56">
        <v>6.2105784645074526E-2</v>
      </c>
      <c r="E10376" s="224" t="s">
        <v>2</v>
      </c>
      <c r="F10376" s="515" t="s">
        <v>11573</v>
      </c>
      <c r="G10376" s="52">
        <v>257087.51541973499</v>
      </c>
      <c r="H10376" s="56">
        <v>7.9139914151503288E-2</v>
      </c>
      <c r="I10376" s="224" t="s">
        <v>2</v>
      </c>
    </row>
    <row r="10377" spans="1:9" x14ac:dyDescent="0.25">
      <c r="A10377" s="515">
        <v>35654</v>
      </c>
      <c r="C10377" s="52">
        <v>146493.94341018199</v>
      </c>
      <c r="D10377" s="56">
        <v>0.10170033615536372</v>
      </c>
      <c r="E10377" s="224" t="s">
        <v>2</v>
      </c>
      <c r="F10377" s="515" t="s">
        <v>11574</v>
      </c>
      <c r="G10377" s="52">
        <v>444961.35599919898</v>
      </c>
      <c r="H10377" s="56">
        <v>0.11861047184381548</v>
      </c>
      <c r="I10377" s="224" t="s">
        <v>2</v>
      </c>
    </row>
    <row r="10378" spans="1:9" x14ac:dyDescent="0.25">
      <c r="A10378" s="515">
        <v>94710</v>
      </c>
      <c r="B10378" s="515" t="s">
        <v>593</v>
      </c>
      <c r="C10378" s="52">
        <v>999169.44057287695</v>
      </c>
      <c r="D10378" s="56">
        <v>-2.7447790617719809E-2</v>
      </c>
      <c r="E10378" s="224">
        <v>3186.0166666666601</v>
      </c>
      <c r="F10378" s="515" t="s">
        <v>11575</v>
      </c>
      <c r="G10378" s="52">
        <v>143566.184494182</v>
      </c>
      <c r="H10378" s="56">
        <v>7.6887611128410777E-2</v>
      </c>
      <c r="I10378" s="224" t="s">
        <v>2</v>
      </c>
    </row>
    <row r="10379" spans="1:9" x14ac:dyDescent="0.25">
      <c r="A10379" s="515">
        <v>3052</v>
      </c>
      <c r="B10379" s="515" t="s">
        <v>996</v>
      </c>
      <c r="C10379" s="52">
        <v>509453.06349462498</v>
      </c>
      <c r="D10379" s="56">
        <v>5.6717790611367405E-2</v>
      </c>
      <c r="E10379" s="224" t="s">
        <v>2</v>
      </c>
      <c r="F10379" s="515" t="s">
        <v>11576</v>
      </c>
      <c r="G10379" s="52">
        <v>142728.66492557901</v>
      </c>
      <c r="H10379" s="56">
        <v>9.9173997669296868E-2</v>
      </c>
      <c r="I10379" s="224" t="s">
        <v>2</v>
      </c>
    </row>
    <row r="10380" spans="1:9" x14ac:dyDescent="0.25">
      <c r="A10380" s="515">
        <v>27371</v>
      </c>
      <c r="C10380" s="52">
        <v>189701.835712442</v>
      </c>
      <c r="D10380" s="56">
        <v>0.15322660604334334</v>
      </c>
      <c r="E10380" s="224" t="s">
        <v>2</v>
      </c>
      <c r="F10380" s="515" t="s">
        <v>11577</v>
      </c>
      <c r="G10380" s="52">
        <v>296291.00823854603</v>
      </c>
      <c r="H10380" s="56">
        <v>6.4105029024473681E-2</v>
      </c>
      <c r="I10380" s="224" t="s">
        <v>2</v>
      </c>
    </row>
    <row r="10381" spans="1:9" x14ac:dyDescent="0.25">
      <c r="A10381" s="515">
        <v>48750</v>
      </c>
      <c r="C10381" s="52">
        <v>121608.324851597</v>
      </c>
      <c r="D10381" s="56">
        <v>-1.0770474307336918E-2</v>
      </c>
      <c r="E10381" s="224" t="s">
        <v>2</v>
      </c>
      <c r="F10381" s="515" t="s">
        <v>11578</v>
      </c>
      <c r="G10381" s="52">
        <v>299958.41235839599</v>
      </c>
      <c r="H10381" s="56">
        <v>6.936759805817933E-3</v>
      </c>
      <c r="I10381" s="224" t="s">
        <v>2</v>
      </c>
    </row>
    <row r="10382" spans="1:9" x14ac:dyDescent="0.25">
      <c r="A10382" s="515">
        <v>58854</v>
      </c>
      <c r="C10382" s="52">
        <v>293436.42662445502</v>
      </c>
      <c r="D10382" s="56">
        <v>4.7929158922340759E-2</v>
      </c>
      <c r="E10382" s="224" t="s">
        <v>2</v>
      </c>
      <c r="F10382" s="515" t="s">
        <v>11579</v>
      </c>
      <c r="G10382" s="52">
        <v>127856.286097244</v>
      </c>
      <c r="H10382" s="56">
        <v>9.1575520668868052E-2</v>
      </c>
      <c r="I10382" s="224" t="s">
        <v>2</v>
      </c>
    </row>
    <row r="10383" spans="1:9" x14ac:dyDescent="0.25">
      <c r="A10383" s="515">
        <v>45214</v>
      </c>
      <c r="B10383" s="515" t="s">
        <v>344</v>
      </c>
      <c r="C10383" s="52">
        <v>96432.366373138604</v>
      </c>
      <c r="D10383" s="56">
        <v>0.13389484034555621</v>
      </c>
      <c r="E10383" s="224" t="s">
        <v>2</v>
      </c>
      <c r="F10383" s="515" t="s">
        <v>11580</v>
      </c>
      <c r="G10383" s="52">
        <v>161930.403431821</v>
      </c>
      <c r="H10383" s="56">
        <v>0.11838884924397776</v>
      </c>
      <c r="I10383" s="224" t="s">
        <v>2</v>
      </c>
    </row>
    <row r="10384" spans="1:9" x14ac:dyDescent="0.25">
      <c r="A10384" s="515">
        <v>72837</v>
      </c>
      <c r="B10384" s="515" t="s">
        <v>636</v>
      </c>
      <c r="C10384" s="52">
        <v>165251.53241525</v>
      </c>
      <c r="D10384" s="56">
        <v>4.7608018431000383E-2</v>
      </c>
      <c r="E10384" s="224" t="s">
        <v>2</v>
      </c>
      <c r="F10384" s="515" t="s">
        <v>11581</v>
      </c>
      <c r="G10384" s="52">
        <v>195188.97801493001</v>
      </c>
      <c r="H10384" s="56">
        <v>8.2965574873141698E-2</v>
      </c>
      <c r="I10384" s="224" t="s">
        <v>2</v>
      </c>
    </row>
    <row r="10385" spans="1:9" x14ac:dyDescent="0.25">
      <c r="A10385" s="515">
        <v>27983</v>
      </c>
      <c r="C10385" s="52">
        <v>37904.6505141487</v>
      </c>
      <c r="D10385" s="56">
        <v>-5.9533112749467376E-2</v>
      </c>
      <c r="E10385" s="224" t="s">
        <v>2</v>
      </c>
      <c r="F10385" s="515" t="s">
        <v>9807</v>
      </c>
      <c r="G10385" s="52">
        <v>662437.21939001605</v>
      </c>
      <c r="H10385" s="56">
        <v>0.14107272504128965</v>
      </c>
      <c r="I10385" s="224" t="s">
        <v>2</v>
      </c>
    </row>
    <row r="10386" spans="1:9" x14ac:dyDescent="0.25">
      <c r="A10386" s="515">
        <v>35824</v>
      </c>
      <c r="B10386" s="515" t="s">
        <v>997</v>
      </c>
      <c r="C10386" s="52">
        <v>364756.27410875499</v>
      </c>
      <c r="D10386" s="56">
        <v>5.9744064588321648E-2</v>
      </c>
      <c r="E10386" s="224">
        <v>1589.0277777777701</v>
      </c>
      <c r="F10386" s="515" t="s">
        <v>11582</v>
      </c>
      <c r="G10386" s="52">
        <v>222121.88941340201</v>
      </c>
      <c r="H10386" s="56">
        <v>0.13768084723478999</v>
      </c>
      <c r="I10386" s="224" t="s">
        <v>2</v>
      </c>
    </row>
    <row r="10387" spans="1:9" x14ac:dyDescent="0.25">
      <c r="A10387" s="515">
        <v>6379</v>
      </c>
      <c r="B10387" s="515" t="s">
        <v>1091</v>
      </c>
      <c r="C10387" s="52">
        <v>359710.44607296097</v>
      </c>
      <c r="D10387" s="56">
        <v>9.4216783588225661E-2</v>
      </c>
      <c r="E10387" s="224" t="s">
        <v>2</v>
      </c>
      <c r="F10387" s="515" t="s">
        <v>11583</v>
      </c>
      <c r="G10387" s="52">
        <v>304769.73300757399</v>
      </c>
      <c r="H10387" s="56">
        <v>7.8524079212968362E-2</v>
      </c>
      <c r="I10387" s="224" t="s">
        <v>2</v>
      </c>
    </row>
    <row r="10388" spans="1:9" x14ac:dyDescent="0.25">
      <c r="A10388" s="515">
        <v>11769</v>
      </c>
      <c r="B10388" s="515" t="s">
        <v>324</v>
      </c>
      <c r="C10388" s="52">
        <v>569515.77478628396</v>
      </c>
      <c r="D10388" s="56">
        <v>5.2607836432845773E-3</v>
      </c>
      <c r="E10388" s="224" t="s">
        <v>2</v>
      </c>
      <c r="F10388" s="515" t="s">
        <v>11584</v>
      </c>
      <c r="G10388" s="52">
        <v>209288.856203556</v>
      </c>
      <c r="H10388" s="56">
        <v>0.10770442715626906</v>
      </c>
      <c r="I10388" s="224" t="s">
        <v>2</v>
      </c>
    </row>
    <row r="10389" spans="1:9" x14ac:dyDescent="0.25">
      <c r="A10389" s="515">
        <v>49071</v>
      </c>
      <c r="C10389" s="52">
        <v>303226.36783413898</v>
      </c>
      <c r="D10389" s="56">
        <v>4.1799105626650471E-2</v>
      </c>
      <c r="E10389" s="224" t="s">
        <v>2</v>
      </c>
      <c r="F10389" s="515" t="s">
        <v>11585</v>
      </c>
      <c r="G10389" s="52">
        <v>145655.171673073</v>
      </c>
      <c r="H10389" s="56">
        <v>2.9105966820609678E-2</v>
      </c>
      <c r="I10389" s="224" t="s">
        <v>2</v>
      </c>
    </row>
    <row r="10390" spans="1:9" x14ac:dyDescent="0.25">
      <c r="A10390" s="515">
        <v>30752</v>
      </c>
      <c r="B10390" s="515" t="s">
        <v>622</v>
      </c>
      <c r="C10390" s="52">
        <v>189404.89962951001</v>
      </c>
      <c r="D10390" s="56">
        <v>0.10157298704429375</v>
      </c>
      <c r="E10390" s="224" t="s">
        <v>2</v>
      </c>
      <c r="F10390" s="515" t="s">
        <v>11586</v>
      </c>
      <c r="G10390" s="52">
        <v>130210.686145025</v>
      </c>
      <c r="H10390" s="56">
        <v>0.10530388565024863</v>
      </c>
      <c r="I10390" s="224" t="s">
        <v>2</v>
      </c>
    </row>
    <row r="10391" spans="1:9" x14ac:dyDescent="0.25">
      <c r="A10391" s="515">
        <v>74331</v>
      </c>
      <c r="C10391" s="52">
        <v>264629.65366058698</v>
      </c>
      <c r="D10391" s="56">
        <v>8.9438184561804468E-2</v>
      </c>
      <c r="E10391" s="224" t="s">
        <v>2</v>
      </c>
      <c r="F10391" s="515" t="s">
        <v>11587</v>
      </c>
      <c r="G10391" s="52">
        <v>277152.58378160303</v>
      </c>
      <c r="H10391" s="56">
        <v>0.12178089302875178</v>
      </c>
      <c r="I10391" s="224" t="s">
        <v>2</v>
      </c>
    </row>
    <row r="10392" spans="1:9" x14ac:dyDescent="0.25">
      <c r="A10392" s="515">
        <v>99022</v>
      </c>
      <c r="B10392" s="515" t="s">
        <v>820</v>
      </c>
      <c r="C10392" s="52">
        <v>400268.035266619</v>
      </c>
      <c r="D10392" s="56">
        <v>2.5566094667048754E-2</v>
      </c>
      <c r="E10392" s="224" t="s">
        <v>2</v>
      </c>
      <c r="F10392" s="515" t="s">
        <v>11588</v>
      </c>
      <c r="G10392" s="52">
        <v>180646.54241582999</v>
      </c>
      <c r="H10392" s="56">
        <v>7.8438207917671338E-2</v>
      </c>
      <c r="I10392" s="224" t="s">
        <v>2</v>
      </c>
    </row>
    <row r="10393" spans="1:9" x14ac:dyDescent="0.25">
      <c r="A10393" s="515">
        <v>44632</v>
      </c>
      <c r="B10393" s="515" t="s">
        <v>863</v>
      </c>
      <c r="C10393" s="52">
        <v>244685.11104707301</v>
      </c>
      <c r="D10393" s="56">
        <v>8.6399189165641335E-2</v>
      </c>
      <c r="E10393" s="224" t="s">
        <v>2</v>
      </c>
      <c r="F10393" s="515" t="s">
        <v>11589</v>
      </c>
      <c r="G10393" s="52">
        <v>354005.89361804002</v>
      </c>
      <c r="H10393" s="56">
        <v>9.5736006011510971E-2</v>
      </c>
      <c r="I10393" s="224" t="s">
        <v>2</v>
      </c>
    </row>
    <row r="10394" spans="1:9" x14ac:dyDescent="0.25">
      <c r="A10394" s="515">
        <v>14209</v>
      </c>
      <c r="B10394" s="515" t="s">
        <v>336</v>
      </c>
      <c r="C10394" s="52">
        <v>323240.59447832301</v>
      </c>
      <c r="D10394" s="56">
        <v>2.1616694134121393E-2</v>
      </c>
      <c r="E10394" s="224" t="s">
        <v>2</v>
      </c>
      <c r="F10394" s="515" t="s">
        <v>11590</v>
      </c>
      <c r="G10394" s="52">
        <v>183345.484117819</v>
      </c>
      <c r="H10394" s="56">
        <v>3.5704986635505712E-2</v>
      </c>
      <c r="I10394" s="224" t="s">
        <v>2</v>
      </c>
    </row>
    <row r="10395" spans="1:9" x14ac:dyDescent="0.25">
      <c r="A10395" s="515">
        <v>80106</v>
      </c>
      <c r="B10395" s="515" t="s">
        <v>401</v>
      </c>
      <c r="C10395" s="52">
        <v>683966.39090429898</v>
      </c>
      <c r="D10395" s="56">
        <v>3.1614289709794817E-2</v>
      </c>
      <c r="E10395" s="224" t="s">
        <v>2</v>
      </c>
      <c r="F10395" s="515" t="s">
        <v>11591</v>
      </c>
      <c r="G10395" s="52">
        <v>125757.999415564</v>
      </c>
      <c r="H10395" s="56">
        <v>9.0401182110440667E-2</v>
      </c>
      <c r="I10395" s="224" t="s">
        <v>2</v>
      </c>
    </row>
    <row r="10396" spans="1:9" x14ac:dyDescent="0.25">
      <c r="A10396" s="515">
        <v>37048</v>
      </c>
      <c r="B10396" s="515" t="s">
        <v>684</v>
      </c>
      <c r="C10396" s="52">
        <v>396557.71853557898</v>
      </c>
      <c r="D10396" s="56">
        <v>6.1678466085042426E-2</v>
      </c>
      <c r="E10396" s="224" t="s">
        <v>2</v>
      </c>
      <c r="F10396" s="515" t="s">
        <v>11592</v>
      </c>
      <c r="G10396" s="52">
        <v>314570.491796349</v>
      </c>
      <c r="H10396" s="56">
        <v>4.1004277525644804E-2</v>
      </c>
      <c r="I10396" s="224" t="s">
        <v>2</v>
      </c>
    </row>
    <row r="10397" spans="1:9" x14ac:dyDescent="0.25">
      <c r="A10397" s="515">
        <v>78013</v>
      </c>
      <c r="B10397" s="515" t="s">
        <v>1105</v>
      </c>
      <c r="C10397" s="52">
        <v>476863.57149933401</v>
      </c>
      <c r="D10397" s="56">
        <v>1.0228189292968979E-2</v>
      </c>
      <c r="E10397" s="224" t="s">
        <v>2</v>
      </c>
      <c r="F10397" s="515" t="s">
        <v>11593</v>
      </c>
      <c r="G10397" s="52">
        <v>191880.626730769</v>
      </c>
      <c r="H10397" s="56">
        <v>5.4155643424420349E-2</v>
      </c>
      <c r="I10397" s="224" t="s">
        <v>2</v>
      </c>
    </row>
    <row r="10398" spans="1:9" x14ac:dyDescent="0.25">
      <c r="A10398" s="515">
        <v>44231</v>
      </c>
      <c r="B10398" s="515" t="s">
        <v>1000</v>
      </c>
      <c r="C10398" s="52">
        <v>227919.25089323299</v>
      </c>
      <c r="D10398" s="56">
        <v>8.709780175746222E-2</v>
      </c>
      <c r="E10398" s="224" t="s">
        <v>2</v>
      </c>
      <c r="F10398" s="515" t="s">
        <v>11594</v>
      </c>
      <c r="G10398" s="52">
        <v>185040.43360465</v>
      </c>
      <c r="H10398" s="56">
        <v>6.5275552838408538E-2</v>
      </c>
      <c r="I10398" s="224" t="s">
        <v>2</v>
      </c>
    </row>
    <row r="10399" spans="1:9" x14ac:dyDescent="0.25">
      <c r="A10399" s="515">
        <v>81621</v>
      </c>
      <c r="B10399" s="515" t="s">
        <v>725</v>
      </c>
      <c r="C10399" s="52">
        <v>1160077.91143765</v>
      </c>
      <c r="D10399" s="56">
        <v>0.11930925486555995</v>
      </c>
      <c r="E10399" s="224" t="s">
        <v>2</v>
      </c>
      <c r="F10399" s="515" t="s">
        <v>11595</v>
      </c>
      <c r="G10399" s="52">
        <v>181178.32802666799</v>
      </c>
      <c r="H10399" s="56">
        <v>6.6194460744847389E-2</v>
      </c>
      <c r="I10399" s="224" t="s">
        <v>2</v>
      </c>
    </row>
    <row r="10400" spans="1:9" x14ac:dyDescent="0.25">
      <c r="A10400" s="515">
        <v>77964</v>
      </c>
      <c r="C10400" s="52">
        <v>318585.60234936501</v>
      </c>
      <c r="D10400" s="56">
        <v>1.8108657276505642E-2</v>
      </c>
      <c r="E10400" s="224" t="s">
        <v>2</v>
      </c>
      <c r="F10400" s="515" t="s">
        <v>11596</v>
      </c>
      <c r="G10400" s="52">
        <v>131980.92550512499</v>
      </c>
      <c r="H10400" s="56">
        <v>7.7726870900272471E-2</v>
      </c>
      <c r="I10400" s="224" t="s">
        <v>2</v>
      </c>
    </row>
    <row r="10401" spans="1:9" x14ac:dyDescent="0.25">
      <c r="A10401" s="515">
        <v>8884</v>
      </c>
      <c r="B10401" s="515" t="s">
        <v>324</v>
      </c>
      <c r="C10401" s="52">
        <v>415357.98176508601</v>
      </c>
      <c r="D10401" s="56">
        <v>7.5224291865922693E-2</v>
      </c>
      <c r="E10401" s="224" t="s">
        <v>2</v>
      </c>
      <c r="F10401" s="515" t="s">
        <v>11597</v>
      </c>
      <c r="G10401" s="52">
        <v>199777.93559144301</v>
      </c>
      <c r="H10401" s="56">
        <v>0.10658410077307298</v>
      </c>
      <c r="I10401" s="224" t="s">
        <v>2</v>
      </c>
    </row>
    <row r="10402" spans="1:9" x14ac:dyDescent="0.25">
      <c r="A10402" s="515">
        <v>14870</v>
      </c>
      <c r="B10402" s="515" t="s">
        <v>585</v>
      </c>
      <c r="C10402" s="52">
        <v>182369.846145232</v>
      </c>
      <c r="D10402" s="56">
        <v>0.10275112004434067</v>
      </c>
      <c r="E10402" s="224">
        <v>1237.5</v>
      </c>
      <c r="F10402" s="515" t="s">
        <v>11598</v>
      </c>
      <c r="G10402" s="52">
        <v>190466.2997001</v>
      </c>
      <c r="H10402" s="56">
        <v>0.10787087549552793</v>
      </c>
      <c r="I10402" s="224" t="s">
        <v>2</v>
      </c>
    </row>
    <row r="10403" spans="1:9" x14ac:dyDescent="0.25">
      <c r="A10403" s="515">
        <v>43515</v>
      </c>
      <c r="B10403" s="515" t="s">
        <v>300</v>
      </c>
      <c r="C10403" s="52">
        <v>183043.98026232401</v>
      </c>
      <c r="D10403" s="56">
        <v>6.9288717136700553E-2</v>
      </c>
      <c r="E10403" s="224" t="s">
        <v>2</v>
      </c>
      <c r="F10403" s="515" t="s">
        <v>11599</v>
      </c>
      <c r="G10403" s="52">
        <v>262415.113650974</v>
      </c>
      <c r="H10403" s="56">
        <v>7.2248826553442183E-2</v>
      </c>
      <c r="I10403" s="224" t="s">
        <v>2</v>
      </c>
    </row>
    <row r="10404" spans="1:9" x14ac:dyDescent="0.25">
      <c r="A10404" s="515">
        <v>60162</v>
      </c>
      <c r="B10404" s="515" t="s">
        <v>394</v>
      </c>
      <c r="C10404" s="52">
        <v>236250.38760690801</v>
      </c>
      <c r="D10404" s="56">
        <v>6.9911380879656163E-2</v>
      </c>
      <c r="E10404" s="224" t="s">
        <v>2</v>
      </c>
      <c r="F10404" s="515" t="s">
        <v>11600</v>
      </c>
      <c r="G10404" s="52">
        <v>409088.34685966303</v>
      </c>
      <c r="H10404" s="56">
        <v>0.11656881778530714</v>
      </c>
      <c r="I10404" s="224" t="s">
        <v>2</v>
      </c>
    </row>
    <row r="10405" spans="1:9" x14ac:dyDescent="0.25">
      <c r="A10405" s="515">
        <v>35652</v>
      </c>
      <c r="B10405" s="515" t="s">
        <v>1100</v>
      </c>
      <c r="C10405" s="52">
        <v>220037.606119581</v>
      </c>
      <c r="D10405" s="56">
        <v>0.15214155318748834</v>
      </c>
      <c r="E10405" s="224" t="s">
        <v>2</v>
      </c>
      <c r="F10405" s="515" t="s">
        <v>11601</v>
      </c>
      <c r="G10405" s="52">
        <v>151833.68312289601</v>
      </c>
      <c r="H10405" s="56">
        <v>8.679214531865162E-2</v>
      </c>
      <c r="I10405" s="224" t="s">
        <v>2</v>
      </c>
    </row>
    <row r="10406" spans="1:9" x14ac:dyDescent="0.25">
      <c r="A10406" s="515">
        <v>11096</v>
      </c>
      <c r="B10406" s="515" t="s">
        <v>324</v>
      </c>
      <c r="C10406" s="52">
        <v>630017.975352259</v>
      </c>
      <c r="D10406" s="56">
        <v>6.7630618880574131E-2</v>
      </c>
      <c r="E10406" s="224" t="s">
        <v>2</v>
      </c>
      <c r="F10406" s="515" t="s">
        <v>11602</v>
      </c>
      <c r="G10406" s="52">
        <v>406085.45640034199</v>
      </c>
      <c r="H10406" s="56">
        <v>-8.491496439814876E-2</v>
      </c>
      <c r="I10406" s="224" t="s">
        <v>2</v>
      </c>
    </row>
    <row r="10407" spans="1:9" x14ac:dyDescent="0.25">
      <c r="A10407" s="515">
        <v>25813</v>
      </c>
      <c r="B10407" s="515" t="s">
        <v>566</v>
      </c>
      <c r="C10407" s="52">
        <v>155456.132221459</v>
      </c>
      <c r="D10407" s="56">
        <v>0.10702062808962276</v>
      </c>
      <c r="E10407" s="224" t="s">
        <v>2</v>
      </c>
      <c r="F10407" s="515" t="s">
        <v>11603</v>
      </c>
      <c r="G10407" s="52">
        <v>429758.04983115999</v>
      </c>
      <c r="H10407" s="56">
        <v>2.8101668017950665E-2</v>
      </c>
      <c r="I10407" s="224" t="s">
        <v>2</v>
      </c>
    </row>
    <row r="10408" spans="1:9" x14ac:dyDescent="0.25">
      <c r="A10408" s="515">
        <v>28371</v>
      </c>
      <c r="B10408" s="515" t="s">
        <v>1149</v>
      </c>
      <c r="C10408" s="52">
        <v>185413.13165028501</v>
      </c>
      <c r="D10408" s="56">
        <v>0.16304403679357282</v>
      </c>
      <c r="E10408" s="224" t="s">
        <v>2</v>
      </c>
      <c r="F10408" s="515" t="s">
        <v>11604</v>
      </c>
      <c r="G10408" s="52">
        <v>144043.999851959</v>
      </c>
      <c r="H10408" s="56">
        <v>8.9995474091190075E-2</v>
      </c>
      <c r="I10408" s="224" t="s">
        <v>2</v>
      </c>
    </row>
    <row r="10409" spans="1:9" x14ac:dyDescent="0.25">
      <c r="A10409" s="515">
        <v>14482</v>
      </c>
      <c r="B10409" s="515" t="s">
        <v>1014</v>
      </c>
      <c r="C10409" s="52">
        <v>181164.07605518799</v>
      </c>
      <c r="D10409" s="56">
        <v>7.3347523832092712E-2</v>
      </c>
      <c r="E10409" s="224" t="s">
        <v>2</v>
      </c>
      <c r="F10409" s="515" t="s">
        <v>11605</v>
      </c>
      <c r="G10409" s="52">
        <v>204687.551625889</v>
      </c>
      <c r="H10409" s="56">
        <v>7.6858999493857591E-2</v>
      </c>
      <c r="I10409" s="224" t="s">
        <v>2</v>
      </c>
    </row>
    <row r="10410" spans="1:9" x14ac:dyDescent="0.25">
      <c r="A10410" s="515">
        <v>95626</v>
      </c>
      <c r="B10410" s="515" t="s">
        <v>355</v>
      </c>
      <c r="C10410" s="52">
        <v>452770.83402720297</v>
      </c>
      <c r="D10410" s="56">
        <v>2.0255859811267103E-2</v>
      </c>
      <c r="E10410" s="224" t="s">
        <v>2</v>
      </c>
      <c r="F10410" s="515" t="s">
        <v>11606</v>
      </c>
      <c r="G10410" s="52">
        <v>309135.11691886402</v>
      </c>
      <c r="H10410" s="56">
        <v>2.653552891625359E-2</v>
      </c>
      <c r="I10410" s="224" t="s">
        <v>2</v>
      </c>
    </row>
    <row r="10411" spans="1:9" x14ac:dyDescent="0.25">
      <c r="A10411" s="515">
        <v>62204</v>
      </c>
      <c r="B10411" s="515" t="s">
        <v>498</v>
      </c>
      <c r="C10411" s="52"/>
      <c r="D10411" s="56">
        <v>0</v>
      </c>
      <c r="E10411" s="224" t="s">
        <v>2</v>
      </c>
      <c r="F10411" s="515" t="s">
        <v>11607</v>
      </c>
      <c r="G10411" s="52">
        <v>316346.913463687</v>
      </c>
      <c r="H10411" s="56">
        <v>4.0433852847358689E-2</v>
      </c>
      <c r="I10411" s="224" t="s">
        <v>2</v>
      </c>
    </row>
    <row r="10412" spans="1:9" x14ac:dyDescent="0.25">
      <c r="A10412" s="515">
        <v>7421</v>
      </c>
      <c r="B10412" s="515" t="s">
        <v>324</v>
      </c>
      <c r="C10412" s="52">
        <v>365674.98612816702</v>
      </c>
      <c r="D10412" s="56">
        <v>6.7330219084906134E-2</v>
      </c>
      <c r="E10412" s="224" t="s">
        <v>2</v>
      </c>
      <c r="F10412" s="515" t="s">
        <v>11608</v>
      </c>
      <c r="G10412" s="52">
        <v>381896.09662938101</v>
      </c>
      <c r="H10412" s="56">
        <v>9.8203581944445562E-2</v>
      </c>
      <c r="I10412" s="224" t="s">
        <v>2</v>
      </c>
    </row>
    <row r="10413" spans="1:9" x14ac:dyDescent="0.25">
      <c r="A10413" s="515">
        <v>70533</v>
      </c>
      <c r="B10413" s="515" t="s">
        <v>1004</v>
      </c>
      <c r="C10413" s="52">
        <v>143356.688651873</v>
      </c>
      <c r="D10413" s="56">
        <v>5.8656766569422816E-5</v>
      </c>
      <c r="E10413" s="224" t="s">
        <v>2</v>
      </c>
      <c r="F10413" s="515" t="s">
        <v>11609</v>
      </c>
      <c r="G10413" s="52">
        <v>332640.03532848699</v>
      </c>
      <c r="H10413" s="56">
        <v>0.10394107062762616</v>
      </c>
      <c r="I10413" s="224" t="s">
        <v>2</v>
      </c>
    </row>
    <row r="10414" spans="1:9" x14ac:dyDescent="0.25">
      <c r="A10414" s="515">
        <v>28107</v>
      </c>
      <c r="B10414" s="515" t="s">
        <v>360</v>
      </c>
      <c r="C10414" s="52">
        <v>394370.07924576901</v>
      </c>
      <c r="D10414" s="56">
        <v>0.10308258894271771</v>
      </c>
      <c r="E10414" s="224" t="s">
        <v>2</v>
      </c>
      <c r="F10414" s="515" t="s">
        <v>11610</v>
      </c>
      <c r="G10414" s="52">
        <v>167860.87808503301</v>
      </c>
      <c r="H10414" s="56">
        <v>8.499336047660469E-2</v>
      </c>
      <c r="I10414" s="224" t="s">
        <v>2</v>
      </c>
    </row>
    <row r="10415" spans="1:9" x14ac:dyDescent="0.25">
      <c r="A10415" s="515">
        <v>35096</v>
      </c>
      <c r="B10415" s="515" t="s">
        <v>523</v>
      </c>
      <c r="C10415" s="52">
        <v>217328.850063961</v>
      </c>
      <c r="D10415" s="56">
        <v>5.4029732985907672E-2</v>
      </c>
      <c r="E10415" s="224" t="s">
        <v>2</v>
      </c>
      <c r="F10415" s="515" t="s">
        <v>11611</v>
      </c>
      <c r="G10415" s="52">
        <v>182878.76340694001</v>
      </c>
      <c r="H10415" s="56">
        <v>0</v>
      </c>
      <c r="I10415" s="224" t="s">
        <v>2</v>
      </c>
    </row>
    <row r="10416" spans="1:9" x14ac:dyDescent="0.25">
      <c r="A10416" s="515">
        <v>95324</v>
      </c>
      <c r="B10416" s="515" t="s">
        <v>594</v>
      </c>
      <c r="C10416" s="52">
        <v>447377.868898516</v>
      </c>
      <c r="D10416" s="56">
        <v>3.8318267456448528E-2</v>
      </c>
      <c r="E10416" s="224" t="s">
        <v>2</v>
      </c>
      <c r="F10416" s="515" t="s">
        <v>11612</v>
      </c>
      <c r="G10416" s="52">
        <v>215807.68159600199</v>
      </c>
      <c r="H10416" s="56">
        <v>5.0624479486913912E-2</v>
      </c>
      <c r="I10416" s="224" t="s">
        <v>2</v>
      </c>
    </row>
    <row r="10417" spans="1:9" x14ac:dyDescent="0.25">
      <c r="A10417" s="515">
        <v>52205</v>
      </c>
      <c r="B10417" s="515" t="s">
        <v>404</v>
      </c>
      <c r="C10417" s="52">
        <v>207109.26082087401</v>
      </c>
      <c r="D10417" s="56">
        <v>7.1705103613467866E-2</v>
      </c>
      <c r="E10417" s="224" t="s">
        <v>2</v>
      </c>
      <c r="F10417" s="515" t="s">
        <v>11613</v>
      </c>
      <c r="G10417" s="52">
        <v>210577.499149621</v>
      </c>
      <c r="H10417" s="56">
        <v>0.20544333442952714</v>
      </c>
      <c r="I10417" s="224" t="s">
        <v>2</v>
      </c>
    </row>
    <row r="10418" spans="1:9" x14ac:dyDescent="0.25">
      <c r="A10418" s="515">
        <v>24416</v>
      </c>
      <c r="C10418" s="52">
        <v>152133.13874038999</v>
      </c>
      <c r="D10418" s="56">
        <v>6.3620473012192855E-2</v>
      </c>
      <c r="E10418" s="224" t="s">
        <v>2</v>
      </c>
      <c r="F10418" s="515" t="s">
        <v>11614</v>
      </c>
      <c r="G10418" s="52">
        <v>4577409.4683569102</v>
      </c>
      <c r="H10418" s="56">
        <v>0.1081876666206768</v>
      </c>
      <c r="I10418" s="224" t="s">
        <v>2</v>
      </c>
    </row>
    <row r="10419" spans="1:9" x14ac:dyDescent="0.25">
      <c r="A10419" s="515">
        <v>13224</v>
      </c>
      <c r="B10419" s="515" t="s">
        <v>361</v>
      </c>
      <c r="C10419" s="52">
        <v>197153.28332143699</v>
      </c>
      <c r="D10419" s="56">
        <v>9.1404441034056289E-2</v>
      </c>
      <c r="E10419" s="224" t="s">
        <v>2</v>
      </c>
      <c r="F10419" s="515" t="s">
        <v>11615</v>
      </c>
      <c r="G10419" s="52">
        <v>239487.53819815701</v>
      </c>
      <c r="H10419" s="56">
        <v>4.7558216485586655E-2</v>
      </c>
      <c r="I10419" s="224" t="s">
        <v>2</v>
      </c>
    </row>
    <row r="10420" spans="1:9" x14ac:dyDescent="0.25">
      <c r="A10420" s="515">
        <v>17349</v>
      </c>
      <c r="B10420" s="515" t="s">
        <v>509</v>
      </c>
      <c r="C10420" s="52">
        <v>352395.07042569597</v>
      </c>
      <c r="D10420" s="56">
        <v>8.1456131984508365E-2</v>
      </c>
      <c r="E10420" s="224" t="s">
        <v>2</v>
      </c>
      <c r="F10420" s="515" t="s">
        <v>11616</v>
      </c>
      <c r="G10420" s="52">
        <v>223568.42321991699</v>
      </c>
      <c r="H10420" s="56">
        <v>8.803689834765259E-2</v>
      </c>
      <c r="I10420" s="224" t="s">
        <v>2</v>
      </c>
    </row>
    <row r="10421" spans="1:9" x14ac:dyDescent="0.25">
      <c r="A10421" s="515">
        <v>53014</v>
      </c>
      <c r="B10421" s="515" t="s">
        <v>821</v>
      </c>
      <c r="C10421" s="52">
        <v>227384.655361262</v>
      </c>
      <c r="D10421" s="56">
        <v>7.2437322363484574E-2</v>
      </c>
      <c r="E10421" s="224" t="s">
        <v>2</v>
      </c>
      <c r="F10421" s="515" t="s">
        <v>11617</v>
      </c>
      <c r="G10421" s="52">
        <v>337030.03463664599</v>
      </c>
      <c r="H10421" s="56">
        <v>0.11105585571363015</v>
      </c>
      <c r="I10421" s="224" t="s">
        <v>2</v>
      </c>
    </row>
    <row r="10422" spans="1:9" x14ac:dyDescent="0.25">
      <c r="A10422" s="515">
        <v>2540</v>
      </c>
      <c r="B10422" s="515" t="s">
        <v>427</v>
      </c>
      <c r="C10422" s="52">
        <v>917392.52682831197</v>
      </c>
      <c r="D10422" s="56">
        <v>8.959666543819049E-2</v>
      </c>
      <c r="E10422" s="224" t="s">
        <v>2</v>
      </c>
      <c r="F10422" s="515" t="s">
        <v>11618</v>
      </c>
      <c r="G10422" s="52">
        <v>659446.16786528204</v>
      </c>
      <c r="H10422" s="56">
        <v>6.9682164389286941E-2</v>
      </c>
      <c r="I10422" s="224" t="s">
        <v>2</v>
      </c>
    </row>
    <row r="10423" spans="1:9" x14ac:dyDescent="0.25">
      <c r="A10423" s="515">
        <v>70555</v>
      </c>
      <c r="B10423" s="515" t="s">
        <v>1004</v>
      </c>
      <c r="C10423" s="52">
        <v>237421.65347478399</v>
      </c>
      <c r="D10423" s="56">
        <v>6.6288913471521355E-2</v>
      </c>
      <c r="E10423" s="224" t="s">
        <v>2</v>
      </c>
      <c r="F10423" s="515" t="s">
        <v>11619</v>
      </c>
      <c r="G10423" s="52">
        <v>545367.37545368494</v>
      </c>
      <c r="H10423" s="56">
        <v>0.10282773468569735</v>
      </c>
      <c r="I10423" s="224" t="s">
        <v>2</v>
      </c>
    </row>
    <row r="10424" spans="1:9" x14ac:dyDescent="0.25">
      <c r="A10424" s="515">
        <v>75949</v>
      </c>
      <c r="B10424" s="515" t="s">
        <v>1141</v>
      </c>
      <c r="C10424" s="52">
        <v>182118.09237335101</v>
      </c>
      <c r="D10424" s="56">
        <v>-3.3653684473189671E-2</v>
      </c>
      <c r="E10424" s="224" t="s">
        <v>2</v>
      </c>
      <c r="F10424" s="515" t="s">
        <v>11620</v>
      </c>
      <c r="G10424" s="52">
        <v>145887.001118366</v>
      </c>
      <c r="H10424" s="56">
        <v>0.21585304211852099</v>
      </c>
      <c r="I10424" s="224" t="s">
        <v>2</v>
      </c>
    </row>
    <row r="10425" spans="1:9" x14ac:dyDescent="0.25">
      <c r="A10425" s="515">
        <v>74346</v>
      </c>
      <c r="C10425" s="52">
        <v>168334.08536221</v>
      </c>
      <c r="D10425" s="56">
        <v>3.0541436173952774E-2</v>
      </c>
      <c r="E10425" s="224" t="s">
        <v>2</v>
      </c>
      <c r="F10425" s="515" t="s">
        <v>11621</v>
      </c>
      <c r="G10425" s="52">
        <v>163656.97677507001</v>
      </c>
      <c r="H10425" s="56">
        <v>7.4832690094141285E-2</v>
      </c>
      <c r="I10425" s="224" t="s">
        <v>2</v>
      </c>
    </row>
    <row r="10426" spans="1:9" x14ac:dyDescent="0.25">
      <c r="A10426" s="515">
        <v>47872</v>
      </c>
      <c r="B10426" s="515" t="s">
        <v>318</v>
      </c>
      <c r="C10426" s="52">
        <v>185666.56172762101</v>
      </c>
      <c r="D10426" s="56">
        <v>8.1535107447823052E-2</v>
      </c>
      <c r="E10426" s="224" t="s">
        <v>2</v>
      </c>
      <c r="F10426" s="515" t="s">
        <v>11622</v>
      </c>
      <c r="G10426" s="52">
        <v>134295.50712894299</v>
      </c>
      <c r="H10426" s="56">
        <v>7.1299541475356318E-2</v>
      </c>
      <c r="I10426" s="224" t="s">
        <v>2</v>
      </c>
    </row>
    <row r="10427" spans="1:9" x14ac:dyDescent="0.25">
      <c r="A10427" s="515">
        <v>7645</v>
      </c>
      <c r="B10427" s="515" t="s">
        <v>324</v>
      </c>
      <c r="C10427" s="52">
        <v>693906.51665975095</v>
      </c>
      <c r="D10427" s="56">
        <v>3.7224606210682777E-2</v>
      </c>
      <c r="E10427" s="224" t="s">
        <v>2</v>
      </c>
      <c r="F10427" s="515" t="s">
        <v>11623</v>
      </c>
      <c r="G10427" s="52">
        <v>215597.89505922401</v>
      </c>
      <c r="H10427" s="56">
        <v>-0.1651967169246582</v>
      </c>
      <c r="I10427" s="224" t="s">
        <v>2</v>
      </c>
    </row>
    <row r="10428" spans="1:9" x14ac:dyDescent="0.25">
      <c r="A10428" s="515">
        <v>43105</v>
      </c>
      <c r="B10428" s="515" t="s">
        <v>345</v>
      </c>
      <c r="C10428" s="52">
        <v>322077.30503063399</v>
      </c>
      <c r="D10428" s="56">
        <v>0.10903786294302827</v>
      </c>
      <c r="E10428" s="224" t="s">
        <v>2</v>
      </c>
      <c r="F10428" s="515" t="s">
        <v>11624</v>
      </c>
      <c r="G10428" s="52">
        <v>229622.415349444</v>
      </c>
      <c r="H10428" s="56">
        <v>8.3429002251067461E-2</v>
      </c>
      <c r="I10428" s="224" t="s">
        <v>2</v>
      </c>
    </row>
    <row r="10429" spans="1:9" x14ac:dyDescent="0.25">
      <c r="A10429" s="515">
        <v>53146</v>
      </c>
      <c r="B10429" s="515" t="s">
        <v>950</v>
      </c>
      <c r="C10429" s="52">
        <v>354483.065955845</v>
      </c>
      <c r="D10429" s="56">
        <v>5.3853208876082533E-2</v>
      </c>
      <c r="E10429" s="224" t="s">
        <v>2</v>
      </c>
      <c r="F10429" s="515" t="s">
        <v>11625</v>
      </c>
      <c r="G10429" s="52">
        <v>914825.17518222402</v>
      </c>
      <c r="H10429" s="56">
        <v>8.7940027366631493E-2</v>
      </c>
      <c r="I10429" s="224" t="s">
        <v>2</v>
      </c>
    </row>
    <row r="10430" spans="1:9" x14ac:dyDescent="0.25">
      <c r="A10430" s="515">
        <v>78257</v>
      </c>
      <c r="B10430" s="515" t="s">
        <v>717</v>
      </c>
      <c r="C10430" s="52">
        <v>823267.97450319899</v>
      </c>
      <c r="D10430" s="56">
        <v>6.9510487574264604E-2</v>
      </c>
      <c r="E10430" s="224">
        <v>1657.0972222222199</v>
      </c>
      <c r="F10430" s="515" t="s">
        <v>11626</v>
      </c>
      <c r="G10430" s="52">
        <v>203435.72531553</v>
      </c>
      <c r="H10430" s="56">
        <v>5.9356840003523571E-2</v>
      </c>
      <c r="I10430" s="224" t="s">
        <v>2</v>
      </c>
    </row>
    <row r="10431" spans="1:9" x14ac:dyDescent="0.25">
      <c r="A10431" s="515">
        <v>65746</v>
      </c>
      <c r="B10431" s="515" t="s">
        <v>603</v>
      </c>
      <c r="C10431" s="52">
        <v>201633.677730027</v>
      </c>
      <c r="D10431" s="56">
        <v>0.13245445180885901</v>
      </c>
      <c r="E10431" s="224" t="s">
        <v>2</v>
      </c>
      <c r="F10431" s="515" t="s">
        <v>11627</v>
      </c>
      <c r="G10431" s="52">
        <v>63502.4790491003</v>
      </c>
      <c r="H10431" s="56">
        <v>-0.23781923011825373</v>
      </c>
      <c r="I10431" s="224" t="s">
        <v>2</v>
      </c>
    </row>
    <row r="10432" spans="1:9" x14ac:dyDescent="0.25">
      <c r="A10432" s="515">
        <v>29127</v>
      </c>
      <c r="B10432" s="515" t="s">
        <v>1011</v>
      </c>
      <c r="C10432" s="52">
        <v>335678.09801409498</v>
      </c>
      <c r="D10432" s="56">
        <v>2.7792320552619088E-2</v>
      </c>
      <c r="E10432" s="224" t="s">
        <v>2</v>
      </c>
      <c r="F10432" s="515" t="s">
        <v>11628</v>
      </c>
      <c r="G10432" s="52">
        <v>343250.19861259701</v>
      </c>
      <c r="H10432" s="56">
        <v>5.2711789799454789E-2</v>
      </c>
      <c r="I10432" s="224" t="s">
        <v>2</v>
      </c>
    </row>
    <row r="10433" spans="1:9" x14ac:dyDescent="0.25">
      <c r="A10433" s="515">
        <v>14522</v>
      </c>
      <c r="B10433" s="515" t="s">
        <v>337</v>
      </c>
      <c r="C10433" s="52">
        <v>180820.54717131401</v>
      </c>
      <c r="D10433" s="56">
        <v>7.8787134387544561E-2</v>
      </c>
      <c r="E10433" s="224" t="s">
        <v>2</v>
      </c>
      <c r="F10433" s="515" t="s">
        <v>11629</v>
      </c>
      <c r="G10433" s="52">
        <v>166515.71727438699</v>
      </c>
      <c r="H10433" s="56">
        <v>0.16716736741284763</v>
      </c>
      <c r="I10433" s="224" t="s">
        <v>2</v>
      </c>
    </row>
    <row r="10434" spans="1:9" x14ac:dyDescent="0.25">
      <c r="A10434" s="515">
        <v>24230</v>
      </c>
      <c r="B10434" s="515" t="s">
        <v>1150</v>
      </c>
      <c r="C10434" s="52">
        <v>94606.893955869702</v>
      </c>
      <c r="D10434" s="56">
        <v>0.11531573785220632</v>
      </c>
      <c r="E10434" s="224" t="s">
        <v>2</v>
      </c>
      <c r="F10434" s="515" t="s">
        <v>11630</v>
      </c>
      <c r="G10434" s="52">
        <v>264548.069175429</v>
      </c>
      <c r="H10434" s="56">
        <v>6.1464517797925458E-2</v>
      </c>
      <c r="I10434" s="224" t="s">
        <v>2</v>
      </c>
    </row>
    <row r="10435" spans="1:9" x14ac:dyDescent="0.25">
      <c r="A10435" s="515">
        <v>22815</v>
      </c>
      <c r="B10435" s="515" t="s">
        <v>1026</v>
      </c>
      <c r="C10435" s="52">
        <v>264566.68020695</v>
      </c>
      <c r="D10435" s="56">
        <v>8.2316381441819769E-2</v>
      </c>
      <c r="E10435" s="224" t="s">
        <v>2</v>
      </c>
      <c r="F10435" s="515" t="s">
        <v>11631</v>
      </c>
      <c r="G10435" s="52">
        <v>722144.790429421</v>
      </c>
      <c r="H10435" s="56">
        <v>8.1362259891187366E-2</v>
      </c>
      <c r="I10435" s="224" t="s">
        <v>2</v>
      </c>
    </row>
    <row r="10436" spans="1:9" x14ac:dyDescent="0.25">
      <c r="A10436" s="515">
        <v>30662</v>
      </c>
      <c r="C10436" s="52">
        <v>226280.33155914699</v>
      </c>
      <c r="D10436" s="56">
        <v>0.1605903931825213</v>
      </c>
      <c r="E10436" s="224" t="s">
        <v>2</v>
      </c>
      <c r="F10436" s="515" t="s">
        <v>11632</v>
      </c>
      <c r="G10436" s="52">
        <v>427511.77191232197</v>
      </c>
      <c r="H10436" s="56">
        <v>3.2704718331849715E-2</v>
      </c>
      <c r="I10436" s="224" t="s">
        <v>2</v>
      </c>
    </row>
    <row r="10437" spans="1:9" x14ac:dyDescent="0.25">
      <c r="A10437" s="515">
        <v>64085</v>
      </c>
      <c r="B10437" s="515" t="s">
        <v>455</v>
      </c>
      <c r="C10437" s="52">
        <v>181432.360994205</v>
      </c>
      <c r="D10437" s="56">
        <v>8.1580069198212146E-2</v>
      </c>
      <c r="E10437" s="224" t="s">
        <v>2</v>
      </c>
      <c r="F10437" s="515" t="s">
        <v>11633</v>
      </c>
      <c r="G10437" s="52">
        <v>166984.369645598</v>
      </c>
      <c r="H10437" s="56">
        <v>7.8350188345231983E-2</v>
      </c>
      <c r="I10437" s="224" t="s">
        <v>2</v>
      </c>
    </row>
    <row r="10438" spans="1:9" x14ac:dyDescent="0.25">
      <c r="A10438" s="515">
        <v>30415</v>
      </c>
      <c r="B10438" s="515" t="s">
        <v>1108</v>
      </c>
      <c r="C10438" s="52">
        <v>243798.89309590499</v>
      </c>
      <c r="D10438" s="56">
        <v>0.15745911247989558</v>
      </c>
      <c r="E10438" s="224" t="s">
        <v>2</v>
      </c>
      <c r="F10438" s="515" t="s">
        <v>11634</v>
      </c>
      <c r="G10438" s="52">
        <v>94489.510273370601</v>
      </c>
      <c r="H10438" s="56">
        <v>0.2894506630815577</v>
      </c>
      <c r="I10438" s="224" t="s">
        <v>2</v>
      </c>
    </row>
    <row r="10439" spans="1:9" x14ac:dyDescent="0.25">
      <c r="A10439" s="515">
        <v>74743</v>
      </c>
      <c r="C10439" s="52">
        <v>96467.949786972793</v>
      </c>
      <c r="D10439" s="56">
        <v>0.22741423173678857</v>
      </c>
      <c r="E10439" s="224" t="s">
        <v>2</v>
      </c>
      <c r="F10439" s="515" t="s">
        <v>11635</v>
      </c>
      <c r="G10439" s="52">
        <v>213269.69142862401</v>
      </c>
      <c r="H10439" s="56">
        <v>6.9134309706248981E-2</v>
      </c>
      <c r="I10439" s="224" t="s">
        <v>2</v>
      </c>
    </row>
    <row r="10440" spans="1:9" x14ac:dyDescent="0.25">
      <c r="A10440" s="515">
        <v>16415</v>
      </c>
      <c r="B10440" s="515" t="s">
        <v>753</v>
      </c>
      <c r="C10440" s="52">
        <v>286759.74154193199</v>
      </c>
      <c r="D10440" s="56">
        <v>5.6599899258273065E-2</v>
      </c>
      <c r="E10440" s="224" t="s">
        <v>2</v>
      </c>
      <c r="F10440" s="515" t="s">
        <v>11636</v>
      </c>
      <c r="G10440" s="52">
        <v>329282.45762711798</v>
      </c>
      <c r="H10440" s="56">
        <v>0</v>
      </c>
      <c r="I10440" s="224" t="s">
        <v>2</v>
      </c>
    </row>
    <row r="10441" spans="1:9" x14ac:dyDescent="0.25">
      <c r="A10441" s="515">
        <v>65240</v>
      </c>
      <c r="B10441" s="515" t="s">
        <v>785</v>
      </c>
      <c r="C10441" s="52">
        <v>215998.58806497301</v>
      </c>
      <c r="D10441" s="56">
        <v>9.1081944096054426E-2</v>
      </c>
      <c r="E10441" s="224" t="s">
        <v>2</v>
      </c>
      <c r="F10441" s="515" t="s">
        <v>11637</v>
      </c>
      <c r="G10441" s="52">
        <v>278386.334490254</v>
      </c>
      <c r="H10441" s="56">
        <v>5.1310653660441831E-2</v>
      </c>
      <c r="I10441" s="224" t="s">
        <v>2</v>
      </c>
    </row>
    <row r="10442" spans="1:9" x14ac:dyDescent="0.25">
      <c r="A10442" s="515">
        <v>27048</v>
      </c>
      <c r="B10442" s="515" t="s">
        <v>1148</v>
      </c>
      <c r="C10442" s="52">
        <v>137023.900365426</v>
      </c>
      <c r="D10442" s="56">
        <v>3.106002639904613E-2</v>
      </c>
      <c r="E10442" s="224" t="s">
        <v>2</v>
      </c>
      <c r="F10442" s="515" t="s">
        <v>11638</v>
      </c>
      <c r="G10442" s="52">
        <v>180849.77210478301</v>
      </c>
      <c r="H10442" s="56">
        <v>8.3964067379757951E-2</v>
      </c>
      <c r="I10442" s="224" t="s">
        <v>2</v>
      </c>
    </row>
    <row r="10443" spans="1:9" x14ac:dyDescent="0.25">
      <c r="A10443" s="515">
        <v>79911</v>
      </c>
      <c r="B10443" s="515" t="s">
        <v>1119</v>
      </c>
      <c r="C10443" s="52">
        <v>343085.40912567999</v>
      </c>
      <c r="D10443" s="56">
        <v>7.9115942670185763E-2</v>
      </c>
      <c r="E10443" s="224" t="s">
        <v>2</v>
      </c>
      <c r="F10443" s="515" t="s">
        <v>11639</v>
      </c>
      <c r="G10443" s="52">
        <v>357677.27162602398</v>
      </c>
      <c r="H10443" s="56">
        <v>4.4070478205777981E-2</v>
      </c>
      <c r="I10443" s="224" t="s">
        <v>2</v>
      </c>
    </row>
    <row r="10444" spans="1:9" x14ac:dyDescent="0.25">
      <c r="A10444" s="515">
        <v>2916</v>
      </c>
      <c r="B10444" s="515" t="s">
        <v>513</v>
      </c>
      <c r="C10444" s="52">
        <v>386184.244682808</v>
      </c>
      <c r="D10444" s="56">
        <v>7.1516182894140787E-2</v>
      </c>
      <c r="E10444" s="224" t="s">
        <v>2</v>
      </c>
      <c r="F10444" s="515" t="s">
        <v>11640</v>
      </c>
      <c r="G10444" s="52">
        <v>228426.67535544999</v>
      </c>
      <c r="H10444" s="56">
        <v>0</v>
      </c>
      <c r="I10444" s="224" t="s">
        <v>2</v>
      </c>
    </row>
    <row r="10445" spans="1:9" x14ac:dyDescent="0.25">
      <c r="A10445" s="515">
        <v>17751</v>
      </c>
      <c r="B10445" s="515" t="s">
        <v>776</v>
      </c>
      <c r="C10445" s="52">
        <v>179911.968825713</v>
      </c>
      <c r="D10445" s="56">
        <v>5.3395382621860027E-2</v>
      </c>
      <c r="E10445" s="224" t="s">
        <v>2</v>
      </c>
      <c r="F10445" s="515" t="s">
        <v>11641</v>
      </c>
      <c r="G10445" s="52">
        <v>798570.79208695097</v>
      </c>
      <c r="H10445" s="56">
        <v>0.10466133382661068</v>
      </c>
      <c r="I10445" s="224" t="s">
        <v>2</v>
      </c>
    </row>
    <row r="10446" spans="1:9" x14ac:dyDescent="0.25">
      <c r="A10446" s="515">
        <v>29356</v>
      </c>
      <c r="B10446" s="515" t="s">
        <v>613</v>
      </c>
      <c r="C10446" s="52">
        <v>254730.19874423399</v>
      </c>
      <c r="D10446" s="56">
        <v>0.11560097819478928</v>
      </c>
      <c r="E10446" s="224" t="s">
        <v>2</v>
      </c>
      <c r="F10446" s="515" t="s">
        <v>11642</v>
      </c>
      <c r="G10446" s="52">
        <v>137983.042116625</v>
      </c>
      <c r="H10446" s="56">
        <v>3.2778652620476072E-2</v>
      </c>
      <c r="I10446" s="224" t="s">
        <v>2</v>
      </c>
    </row>
    <row r="10447" spans="1:9" x14ac:dyDescent="0.25">
      <c r="A10447" s="515">
        <v>7075</v>
      </c>
      <c r="B10447" s="515" t="s">
        <v>324</v>
      </c>
      <c r="C10447" s="52">
        <v>529714.32253641903</v>
      </c>
      <c r="D10447" s="56">
        <v>2.4285851718491295E-2</v>
      </c>
      <c r="E10447" s="224" t="s">
        <v>2</v>
      </c>
      <c r="F10447" s="515" t="s">
        <v>11643</v>
      </c>
      <c r="G10447" s="52">
        <v>568182.49407624698</v>
      </c>
      <c r="H10447" s="56">
        <v>6.7874891534391579E-2</v>
      </c>
      <c r="I10447" s="224" t="s">
        <v>2</v>
      </c>
    </row>
    <row r="10448" spans="1:9" x14ac:dyDescent="0.25">
      <c r="A10448" s="515">
        <v>32448</v>
      </c>
      <c r="C10448" s="52">
        <v>151097.55379214199</v>
      </c>
      <c r="D10448" s="56">
        <v>0.19149839625951734</v>
      </c>
      <c r="E10448" s="224" t="s">
        <v>2</v>
      </c>
      <c r="F10448" s="515" t="s">
        <v>11644</v>
      </c>
      <c r="G10448" s="52">
        <v>120730.74915977</v>
      </c>
      <c r="H10448" s="56">
        <v>-4.585675641593126E-2</v>
      </c>
      <c r="I10448" s="224" t="s">
        <v>2</v>
      </c>
    </row>
    <row r="10449" spans="1:9" x14ac:dyDescent="0.25">
      <c r="A10449" s="515">
        <v>11565</v>
      </c>
      <c r="B10449" s="515" t="s">
        <v>324</v>
      </c>
      <c r="C10449" s="52">
        <v>651238.15906312806</v>
      </c>
      <c r="D10449" s="56">
        <v>5.7362595425574772E-2</v>
      </c>
      <c r="E10449" s="224" t="s">
        <v>2</v>
      </c>
      <c r="F10449" s="515" t="s">
        <v>11645</v>
      </c>
      <c r="G10449" s="52">
        <v>251947.34569135701</v>
      </c>
      <c r="H10449" s="56">
        <v>6.5670620210388886E-2</v>
      </c>
      <c r="I10449" s="224" t="s">
        <v>2</v>
      </c>
    </row>
    <row r="10450" spans="1:9" x14ac:dyDescent="0.25">
      <c r="A10450" s="515">
        <v>98841</v>
      </c>
      <c r="C10450" s="52">
        <v>242640.809258589</v>
      </c>
      <c r="D10450" s="56">
        <v>5.5519976917986449E-2</v>
      </c>
      <c r="E10450" s="224" t="s">
        <v>2</v>
      </c>
      <c r="F10450" s="515" t="s">
        <v>11646</v>
      </c>
      <c r="G10450" s="52">
        <v>104954.11365165999</v>
      </c>
      <c r="H10450" s="56">
        <v>9.4975650773203218E-2</v>
      </c>
      <c r="I10450" s="224" t="s">
        <v>2</v>
      </c>
    </row>
    <row r="10451" spans="1:9" x14ac:dyDescent="0.25">
      <c r="A10451" s="515">
        <v>43764</v>
      </c>
      <c r="B10451" s="515" t="s">
        <v>345</v>
      </c>
      <c r="C10451" s="52">
        <v>148874.760594169</v>
      </c>
      <c r="D10451" s="56">
        <v>0.14347813245575061</v>
      </c>
      <c r="E10451" s="224" t="s">
        <v>2</v>
      </c>
      <c r="F10451" s="515" t="s">
        <v>11647</v>
      </c>
      <c r="G10451" s="52">
        <v>526131.75213734305</v>
      </c>
      <c r="H10451" s="56">
        <v>0.10784468071092108</v>
      </c>
      <c r="I10451" s="224" t="s">
        <v>2</v>
      </c>
    </row>
    <row r="10452" spans="1:9" x14ac:dyDescent="0.25">
      <c r="A10452" s="515">
        <v>80543</v>
      </c>
      <c r="B10452" s="515" t="s">
        <v>382</v>
      </c>
      <c r="C10452" s="52">
        <v>438274.94189578702</v>
      </c>
      <c r="D10452" s="56">
        <v>4.1703786606034333E-2</v>
      </c>
      <c r="E10452" s="224" t="s">
        <v>2</v>
      </c>
      <c r="F10452" s="515" t="s">
        <v>11648</v>
      </c>
      <c r="G10452" s="52">
        <v>356089.650817002</v>
      </c>
      <c r="H10452" s="56">
        <v>7.9183970079783395E-2</v>
      </c>
      <c r="I10452" s="224" t="s">
        <v>2</v>
      </c>
    </row>
    <row r="10453" spans="1:9" x14ac:dyDescent="0.25">
      <c r="A10453" s="515">
        <v>7630</v>
      </c>
      <c r="B10453" s="515" t="s">
        <v>324</v>
      </c>
      <c r="C10453" s="52">
        <v>588884.39487661701</v>
      </c>
      <c r="D10453" s="56">
        <v>2.9573380338096353E-2</v>
      </c>
      <c r="E10453" s="224" t="s">
        <v>2</v>
      </c>
      <c r="F10453" s="515" t="s">
        <v>11649</v>
      </c>
      <c r="G10453" s="52">
        <v>398271.79243100301</v>
      </c>
      <c r="H10453" s="56">
        <v>9.456050556568707E-2</v>
      </c>
      <c r="I10453" s="224" t="s">
        <v>2</v>
      </c>
    </row>
    <row r="10454" spans="1:9" x14ac:dyDescent="0.25">
      <c r="A10454" s="515">
        <v>46124</v>
      </c>
      <c r="B10454" s="515" t="s">
        <v>403</v>
      </c>
      <c r="C10454" s="52">
        <v>190047.361204293</v>
      </c>
      <c r="D10454" s="56">
        <v>8.6510838993665101E-2</v>
      </c>
      <c r="E10454" s="224" t="s">
        <v>2</v>
      </c>
      <c r="F10454" s="515" t="s">
        <v>11650</v>
      </c>
      <c r="G10454" s="52">
        <v>73117.083044982704</v>
      </c>
      <c r="H10454" s="56">
        <v>0</v>
      </c>
      <c r="I10454" s="224" t="s">
        <v>2</v>
      </c>
    </row>
    <row r="10455" spans="1:9" x14ac:dyDescent="0.25">
      <c r="A10455" s="515">
        <v>80235</v>
      </c>
      <c r="B10455" s="515" t="s">
        <v>401</v>
      </c>
      <c r="C10455" s="52">
        <v>459162.58481501898</v>
      </c>
      <c r="D10455" s="56">
        <v>3.1527115934419842E-2</v>
      </c>
      <c r="E10455" s="224">
        <v>2050.8333333333298</v>
      </c>
      <c r="F10455" s="515" t="s">
        <v>11651</v>
      </c>
      <c r="G10455" s="52">
        <v>380099.33569100901</v>
      </c>
      <c r="H10455" s="56">
        <v>4.0864191326765421E-2</v>
      </c>
      <c r="I10455" s="224" t="s">
        <v>2</v>
      </c>
    </row>
    <row r="10456" spans="1:9" x14ac:dyDescent="0.25">
      <c r="A10456" s="515">
        <v>54665</v>
      </c>
      <c r="C10456" s="52">
        <v>198698.54818016299</v>
      </c>
      <c r="D10456" s="56">
        <v>-1.8043161067383441E-2</v>
      </c>
      <c r="E10456" s="224" t="s">
        <v>2</v>
      </c>
      <c r="F10456" s="515" t="s">
        <v>11652</v>
      </c>
      <c r="G10456" s="52">
        <v>112238.583075652</v>
      </c>
      <c r="H10456" s="56">
        <v>3.621159026410619E-2</v>
      </c>
      <c r="I10456" s="224" t="s">
        <v>2</v>
      </c>
    </row>
    <row r="10457" spans="1:9" x14ac:dyDescent="0.25">
      <c r="A10457" s="515">
        <v>45154</v>
      </c>
      <c r="B10457" s="515" t="s">
        <v>344</v>
      </c>
      <c r="C10457" s="52">
        <v>208871.432497498</v>
      </c>
      <c r="D10457" s="56">
        <v>6.0725111809279544E-2</v>
      </c>
      <c r="E10457" s="224" t="s">
        <v>2</v>
      </c>
      <c r="F10457" s="515" t="s">
        <v>11653</v>
      </c>
      <c r="G10457" s="52">
        <v>338402.41884835402</v>
      </c>
      <c r="H10457" s="56">
        <v>0.12969815092286566</v>
      </c>
      <c r="I10457" s="224" t="s">
        <v>2</v>
      </c>
    </row>
    <row r="10458" spans="1:9" x14ac:dyDescent="0.25">
      <c r="A10458" s="515">
        <v>49349</v>
      </c>
      <c r="C10458" s="52">
        <v>143797.90013429101</v>
      </c>
      <c r="D10458" s="56">
        <v>9.893645482240454E-2</v>
      </c>
      <c r="E10458" s="224" t="s">
        <v>2</v>
      </c>
      <c r="F10458" s="515" t="s">
        <v>11654</v>
      </c>
      <c r="G10458" s="52">
        <v>148342.646628766</v>
      </c>
      <c r="H10458" s="56">
        <v>2.3209380192776751E-2</v>
      </c>
      <c r="I10458" s="224" t="s">
        <v>2</v>
      </c>
    </row>
    <row r="10459" spans="1:9" x14ac:dyDescent="0.25">
      <c r="A10459" s="515">
        <v>43906</v>
      </c>
      <c r="B10459" s="515" t="s">
        <v>442</v>
      </c>
      <c r="C10459" s="52">
        <v>90070.261026751599</v>
      </c>
      <c r="D10459" s="56">
        <v>7.4149187149337339E-2</v>
      </c>
      <c r="E10459" s="224" t="s">
        <v>2</v>
      </c>
      <c r="F10459" s="515" t="s">
        <v>11655</v>
      </c>
      <c r="G10459" s="52">
        <v>65959.703316513202</v>
      </c>
      <c r="H10459" s="56">
        <v>-3.3090753080000754E-3</v>
      </c>
      <c r="I10459" s="224" t="s">
        <v>2</v>
      </c>
    </row>
    <row r="10460" spans="1:9" x14ac:dyDescent="0.25">
      <c r="A10460" s="515">
        <v>60484</v>
      </c>
      <c r="B10460" s="515" t="s">
        <v>394</v>
      </c>
      <c r="C10460" s="52">
        <v>169302.86457535901</v>
      </c>
      <c r="D10460" s="56">
        <v>6.8128122985469261E-2</v>
      </c>
      <c r="E10460" s="224" t="s">
        <v>2</v>
      </c>
      <c r="F10460" s="515" t="s">
        <v>9904</v>
      </c>
      <c r="G10460" s="52">
        <v>242694.57907831899</v>
      </c>
      <c r="H10460" s="56">
        <v>6.1043958245884045E-2</v>
      </c>
      <c r="I10460" s="224" t="s">
        <v>2</v>
      </c>
    </row>
    <row r="10461" spans="1:9" x14ac:dyDescent="0.25">
      <c r="A10461" s="515">
        <v>10706</v>
      </c>
      <c r="B10461" s="515" t="s">
        <v>324</v>
      </c>
      <c r="C10461" s="52">
        <v>888778.24815047299</v>
      </c>
      <c r="D10461" s="56">
        <v>3.0272922312897461E-4</v>
      </c>
      <c r="E10461" s="224" t="s">
        <v>2</v>
      </c>
      <c r="F10461" s="515" t="s">
        <v>11656</v>
      </c>
      <c r="G10461" s="52">
        <v>111947.413848121</v>
      </c>
      <c r="H10461" s="56">
        <v>2.2740286527357365E-2</v>
      </c>
      <c r="I10461" s="224" t="s">
        <v>2</v>
      </c>
    </row>
    <row r="10462" spans="1:9" x14ac:dyDescent="0.25">
      <c r="A10462" s="515">
        <v>34956</v>
      </c>
      <c r="B10462" s="515" t="s">
        <v>1180</v>
      </c>
      <c r="C10462" s="52">
        <v>210479.75269603901</v>
      </c>
      <c r="D10462" s="56">
        <v>0.28393620926694285</v>
      </c>
      <c r="E10462" s="224" t="s">
        <v>2</v>
      </c>
      <c r="F10462" s="515" t="s">
        <v>11657</v>
      </c>
      <c r="G10462" s="52">
        <v>734111.16879823303</v>
      </c>
      <c r="H10462" s="56">
        <v>0.11782850667107811</v>
      </c>
      <c r="I10462" s="224" t="s">
        <v>2</v>
      </c>
    </row>
    <row r="10463" spans="1:9" x14ac:dyDescent="0.25">
      <c r="A10463" s="515">
        <v>59270</v>
      </c>
      <c r="C10463" s="52">
        <v>381469.88593872701</v>
      </c>
      <c r="D10463" s="56">
        <v>-6.1459501375106862E-2</v>
      </c>
      <c r="E10463" s="224" t="s">
        <v>2</v>
      </c>
      <c r="F10463" s="515" t="s">
        <v>11658</v>
      </c>
      <c r="G10463" s="52">
        <v>325627.16636109899</v>
      </c>
      <c r="H10463" s="56">
        <v>6.1970898028672561E-2</v>
      </c>
      <c r="I10463" s="224" t="s">
        <v>2</v>
      </c>
    </row>
    <row r="10464" spans="1:9" x14ac:dyDescent="0.25">
      <c r="A10464" s="515">
        <v>4032</v>
      </c>
      <c r="B10464" s="515" t="s">
        <v>570</v>
      </c>
      <c r="C10464" s="52">
        <v>562449.78662605502</v>
      </c>
      <c r="D10464" s="56">
        <v>4.2302628982468511E-2</v>
      </c>
      <c r="E10464" s="224" t="s">
        <v>2</v>
      </c>
      <c r="F10464" s="515" t="s">
        <v>11659</v>
      </c>
      <c r="G10464" s="52">
        <v>347078.36059959099</v>
      </c>
      <c r="H10464" s="56">
        <v>0.11152397569684118</v>
      </c>
      <c r="I10464" s="224" t="s">
        <v>2</v>
      </c>
    </row>
    <row r="10465" spans="1:9" x14ac:dyDescent="0.25">
      <c r="A10465" s="515">
        <v>13036</v>
      </c>
      <c r="B10465" s="515" t="s">
        <v>361</v>
      </c>
      <c r="C10465" s="52">
        <v>195488.918168559</v>
      </c>
      <c r="D10465" s="56">
        <v>8.5880856911054418E-2</v>
      </c>
      <c r="E10465" s="224" t="s">
        <v>2</v>
      </c>
      <c r="F10465" s="515" t="s">
        <v>11660</v>
      </c>
      <c r="G10465" s="52">
        <v>202286.10082140201</v>
      </c>
      <c r="H10465" s="56">
        <v>0.10452541342372676</v>
      </c>
      <c r="I10465" s="224" t="s">
        <v>2</v>
      </c>
    </row>
    <row r="10466" spans="1:9" x14ac:dyDescent="0.25">
      <c r="A10466" s="515">
        <v>66617</v>
      </c>
      <c r="B10466" s="515" t="s">
        <v>549</v>
      </c>
      <c r="C10466" s="52">
        <v>236864.924530338</v>
      </c>
      <c r="D10466" s="56">
        <v>7.6854636310327046E-2</v>
      </c>
      <c r="E10466" s="224">
        <v>1151.25</v>
      </c>
      <c r="F10466" s="515" t="s">
        <v>11661</v>
      </c>
      <c r="G10466" s="52">
        <v>180267.277601618</v>
      </c>
      <c r="H10466" s="56">
        <v>9.7647384451974115E-2</v>
      </c>
      <c r="I10466" s="224" t="s">
        <v>2</v>
      </c>
    </row>
    <row r="10467" spans="1:9" x14ac:dyDescent="0.25">
      <c r="A10467" s="515">
        <v>19365</v>
      </c>
      <c r="B10467" s="515" t="s">
        <v>294</v>
      </c>
      <c r="C10467" s="52">
        <v>289537.99783858203</v>
      </c>
      <c r="D10467" s="56">
        <v>9.2500717768210644E-2</v>
      </c>
      <c r="E10467" s="224" t="s">
        <v>2</v>
      </c>
      <c r="F10467" s="515" t="s">
        <v>11662</v>
      </c>
      <c r="G10467" s="52">
        <v>205499.425107722</v>
      </c>
      <c r="H10467" s="56">
        <v>4.4786662508963036E-2</v>
      </c>
      <c r="I10467" s="224" t="s">
        <v>2</v>
      </c>
    </row>
    <row r="10468" spans="1:9" x14ac:dyDescent="0.25">
      <c r="A10468" s="515">
        <v>50003</v>
      </c>
      <c r="B10468" s="515" t="s">
        <v>295</v>
      </c>
      <c r="C10468" s="52">
        <v>365501.83131288103</v>
      </c>
      <c r="D10468" s="56">
        <v>6.1657337040184688E-2</v>
      </c>
      <c r="E10468" s="224" t="s">
        <v>2</v>
      </c>
      <c r="F10468" s="515" t="s">
        <v>11663</v>
      </c>
      <c r="G10468" s="52">
        <v>379705.17100499501</v>
      </c>
      <c r="H10468" s="56">
        <v>7.0486102391279629E-2</v>
      </c>
      <c r="I10468" s="224" t="s">
        <v>2</v>
      </c>
    </row>
    <row r="10469" spans="1:9" x14ac:dyDescent="0.25">
      <c r="A10469" s="515">
        <v>28479</v>
      </c>
      <c r="B10469" s="515" t="s">
        <v>703</v>
      </c>
      <c r="C10469" s="52">
        <v>353469.57559495501</v>
      </c>
      <c r="D10469" s="56">
        <v>0.11878907843080783</v>
      </c>
      <c r="E10469" s="224" t="s">
        <v>2</v>
      </c>
      <c r="F10469" s="515" t="s">
        <v>11664</v>
      </c>
      <c r="G10469" s="52">
        <v>228045.12188241899</v>
      </c>
      <c r="H10469" s="56">
        <v>6.2200842169150894E-2</v>
      </c>
      <c r="I10469" s="224" t="s">
        <v>2</v>
      </c>
    </row>
    <row r="10470" spans="1:9" x14ac:dyDescent="0.25">
      <c r="A10470" s="515">
        <v>17363</v>
      </c>
      <c r="B10470" s="515" t="s">
        <v>509</v>
      </c>
      <c r="C10470" s="52">
        <v>325486.12275128602</v>
      </c>
      <c r="D10470" s="56">
        <v>9.2549145926514947E-2</v>
      </c>
      <c r="E10470" s="224" t="s">
        <v>2</v>
      </c>
      <c r="F10470" s="515" t="s">
        <v>11665</v>
      </c>
      <c r="G10470" s="52">
        <v>244843.870127506</v>
      </c>
      <c r="H10470" s="56">
        <v>6.4700395444354797E-2</v>
      </c>
      <c r="I10470" s="224" t="s">
        <v>2</v>
      </c>
    </row>
    <row r="10471" spans="1:9" x14ac:dyDescent="0.25">
      <c r="A10471" s="515">
        <v>3276</v>
      </c>
      <c r="B10471" s="515" t="s">
        <v>981</v>
      </c>
      <c r="C10471" s="52">
        <v>334460.73368321097</v>
      </c>
      <c r="D10471" s="56">
        <v>0.13397696863155478</v>
      </c>
      <c r="E10471" s="224" t="s">
        <v>2</v>
      </c>
      <c r="F10471" s="515" t="s">
        <v>11666</v>
      </c>
      <c r="G10471" s="52">
        <v>113332.411065062</v>
      </c>
      <c r="H10471" s="56">
        <v>0.12305622218262922</v>
      </c>
      <c r="I10471" s="224" t="s">
        <v>2</v>
      </c>
    </row>
    <row r="10472" spans="1:9" x14ac:dyDescent="0.25">
      <c r="A10472" s="515">
        <v>93465</v>
      </c>
      <c r="B10472" s="515" t="s">
        <v>959</v>
      </c>
      <c r="C10472" s="52">
        <v>873271.61398485804</v>
      </c>
      <c r="D10472" s="56">
        <v>6.5574305023377369E-2</v>
      </c>
      <c r="E10472" s="224" t="s">
        <v>2</v>
      </c>
      <c r="F10472" s="515" t="s">
        <v>11667</v>
      </c>
      <c r="G10472" s="52">
        <v>408582.795733999</v>
      </c>
      <c r="H10472" s="56">
        <v>9.0496666503145848E-3</v>
      </c>
      <c r="I10472" s="224" t="s">
        <v>2</v>
      </c>
    </row>
    <row r="10473" spans="1:9" x14ac:dyDescent="0.25">
      <c r="A10473" s="515">
        <v>93926</v>
      </c>
      <c r="B10473" s="515" t="s">
        <v>443</v>
      </c>
      <c r="C10473" s="52">
        <v>540420.64978636405</v>
      </c>
      <c r="D10473" s="56">
        <v>-5.2889806737783157E-3</v>
      </c>
      <c r="E10473" s="224" t="s">
        <v>2</v>
      </c>
      <c r="F10473" s="515" t="s">
        <v>11668</v>
      </c>
      <c r="G10473" s="52">
        <v>190549.89340512</v>
      </c>
      <c r="H10473" s="56">
        <v>0.21982323698579767</v>
      </c>
      <c r="I10473" s="224" t="s">
        <v>2</v>
      </c>
    </row>
    <row r="10474" spans="1:9" x14ac:dyDescent="0.25">
      <c r="A10474" s="515">
        <v>71040</v>
      </c>
      <c r="C10474" s="52"/>
      <c r="D10474" s="56">
        <v>0</v>
      </c>
      <c r="E10474" s="224" t="s">
        <v>2</v>
      </c>
      <c r="F10474" s="515" t="s">
        <v>11669</v>
      </c>
      <c r="G10474" s="52">
        <v>226155.38400099101</v>
      </c>
      <c r="H10474" s="56">
        <v>8.5123035172935013E-2</v>
      </c>
      <c r="I10474" s="224" t="s">
        <v>2</v>
      </c>
    </row>
    <row r="10475" spans="1:9" x14ac:dyDescent="0.25">
      <c r="A10475" s="515">
        <v>78648</v>
      </c>
      <c r="B10475" s="515" t="s">
        <v>380</v>
      </c>
      <c r="C10475" s="52">
        <v>231454.28242767701</v>
      </c>
      <c r="D10475" s="56">
        <v>7.2120572016480616E-2</v>
      </c>
      <c r="E10475" s="224" t="s">
        <v>2</v>
      </c>
      <c r="F10475" s="515" t="s">
        <v>11670</v>
      </c>
      <c r="G10475" s="52">
        <v>80447.6524546984</v>
      </c>
      <c r="H10475" s="56">
        <v>0.12194094633572677</v>
      </c>
      <c r="I10475" s="224" t="s">
        <v>2</v>
      </c>
    </row>
    <row r="10476" spans="1:9" x14ac:dyDescent="0.25">
      <c r="A10476" s="515">
        <v>83669</v>
      </c>
      <c r="B10476" s="515" t="s">
        <v>500</v>
      </c>
      <c r="C10476" s="52">
        <v>561155.62574552302</v>
      </c>
      <c r="D10476" s="56">
        <v>-5.5395199271416083E-2</v>
      </c>
      <c r="E10476" s="224">
        <v>2131.6666666666601</v>
      </c>
      <c r="F10476" s="515" t="s">
        <v>11671</v>
      </c>
      <c r="G10476" s="52">
        <v>588874.68606649304</v>
      </c>
      <c r="H10476" s="56">
        <v>5.4086947359529174E-2</v>
      </c>
      <c r="I10476" s="224" t="s">
        <v>2</v>
      </c>
    </row>
    <row r="10477" spans="1:9" x14ac:dyDescent="0.25">
      <c r="A10477" s="515">
        <v>22812</v>
      </c>
      <c r="B10477" s="515" t="s">
        <v>1026</v>
      </c>
      <c r="C10477" s="52">
        <v>322224.21552309103</v>
      </c>
      <c r="D10477" s="56">
        <v>8.1247270468357627E-2</v>
      </c>
      <c r="E10477" s="224" t="s">
        <v>2</v>
      </c>
      <c r="F10477" s="515" t="s">
        <v>11672</v>
      </c>
      <c r="G10477" s="52">
        <v>218849.58633476601</v>
      </c>
      <c r="H10477" s="56">
        <v>7.4624315236133276E-2</v>
      </c>
      <c r="I10477" s="224" t="s">
        <v>2</v>
      </c>
    </row>
    <row r="10478" spans="1:9" x14ac:dyDescent="0.25">
      <c r="A10478" s="515">
        <v>28754</v>
      </c>
      <c r="B10478" s="515" t="s">
        <v>668</v>
      </c>
      <c r="C10478" s="52">
        <v>374075.15473252197</v>
      </c>
      <c r="D10478" s="56">
        <v>0.10479415038222144</v>
      </c>
      <c r="E10478" s="224" t="s">
        <v>2</v>
      </c>
      <c r="F10478" s="515" t="s">
        <v>11673</v>
      </c>
      <c r="G10478" s="52">
        <v>244150.29369284</v>
      </c>
      <c r="H10478" s="56">
        <v>5.3107372538662066E-2</v>
      </c>
      <c r="I10478" s="224" t="s">
        <v>2</v>
      </c>
    </row>
    <row r="10479" spans="1:9" x14ac:dyDescent="0.25">
      <c r="A10479" s="515">
        <v>84532</v>
      </c>
      <c r="C10479" s="52">
        <v>561468.39636733197</v>
      </c>
      <c r="D10479" s="56">
        <v>4.9476844210755391E-2</v>
      </c>
      <c r="E10479" s="224" t="s">
        <v>2</v>
      </c>
      <c r="F10479" s="515" t="s">
        <v>11674</v>
      </c>
      <c r="G10479" s="52">
        <v>140117.915692404</v>
      </c>
      <c r="H10479" s="56">
        <v>6.1997095622505438E-2</v>
      </c>
      <c r="I10479" s="224" t="s">
        <v>2</v>
      </c>
    </row>
    <row r="10480" spans="1:9" x14ac:dyDescent="0.25">
      <c r="A10480" s="515">
        <v>35222</v>
      </c>
      <c r="B10480" s="515" t="s">
        <v>640</v>
      </c>
      <c r="C10480" s="52">
        <v>349085.30515866901</v>
      </c>
      <c r="D10480" s="56">
        <v>5.0324665661343311E-2</v>
      </c>
      <c r="E10480" s="224">
        <v>1712.5</v>
      </c>
      <c r="F10480" s="515" t="s">
        <v>11675</v>
      </c>
      <c r="G10480" s="52">
        <v>362634.45689663099</v>
      </c>
      <c r="H10480" s="56">
        <v>7.4011494693824342E-2</v>
      </c>
      <c r="I10480" s="224" t="s">
        <v>2</v>
      </c>
    </row>
    <row r="10481" spans="1:9" x14ac:dyDescent="0.25">
      <c r="A10481" s="515">
        <v>64129</v>
      </c>
      <c r="B10481" s="515" t="s">
        <v>455</v>
      </c>
      <c r="C10481" s="52">
        <v>135563.443674031</v>
      </c>
      <c r="D10481" s="56">
        <v>0.12520736997513834</v>
      </c>
      <c r="E10481" s="224">
        <v>1025.8</v>
      </c>
      <c r="F10481" s="515" t="s">
        <v>11676</v>
      </c>
      <c r="G10481" s="52">
        <v>179925.824958568</v>
      </c>
      <c r="H10481" s="56">
        <v>2.0844087722496671E-2</v>
      </c>
      <c r="I10481" s="224" t="s">
        <v>2</v>
      </c>
    </row>
    <row r="10482" spans="1:9" x14ac:dyDescent="0.25">
      <c r="A10482" s="515">
        <v>67210</v>
      </c>
      <c r="B10482" s="515" t="s">
        <v>485</v>
      </c>
      <c r="C10482" s="52">
        <v>198784.432572021</v>
      </c>
      <c r="D10482" s="56">
        <v>0.10486645387729854</v>
      </c>
      <c r="E10482" s="224" t="s">
        <v>2</v>
      </c>
      <c r="F10482" s="515" t="s">
        <v>11677</v>
      </c>
      <c r="G10482" s="52">
        <v>256632.839350564</v>
      </c>
      <c r="H10482" s="56">
        <v>0.11069130728330973</v>
      </c>
      <c r="I10482" s="224" t="s">
        <v>2</v>
      </c>
    </row>
    <row r="10483" spans="1:9" x14ac:dyDescent="0.25">
      <c r="A10483" s="515">
        <v>65712</v>
      </c>
      <c r="C10483" s="52">
        <v>190776.221292389</v>
      </c>
      <c r="D10483" s="56">
        <v>0.11959307365059138</v>
      </c>
      <c r="E10483" s="224" t="s">
        <v>2</v>
      </c>
      <c r="F10483" s="515" t="s">
        <v>11678</v>
      </c>
      <c r="G10483" s="52">
        <v>248050.47648847799</v>
      </c>
      <c r="H10483" s="56">
        <v>2.4027090401053681E-2</v>
      </c>
      <c r="I10483" s="224" t="s">
        <v>2</v>
      </c>
    </row>
    <row r="10484" spans="1:9" x14ac:dyDescent="0.25">
      <c r="A10484" s="515">
        <v>44606</v>
      </c>
      <c r="B10484" s="515" t="s">
        <v>1136</v>
      </c>
      <c r="C10484" s="52">
        <v>411548.37936009601</v>
      </c>
      <c r="D10484" s="56">
        <v>0.50350534811322156</v>
      </c>
      <c r="E10484" s="224" t="s">
        <v>2</v>
      </c>
      <c r="F10484" s="515" t="s">
        <v>11679</v>
      </c>
      <c r="G10484" s="52">
        <v>250980.38245159801</v>
      </c>
      <c r="H10484" s="56">
        <v>9.0934188825731788E-2</v>
      </c>
      <c r="I10484" s="224" t="s">
        <v>2</v>
      </c>
    </row>
    <row r="10485" spans="1:9" x14ac:dyDescent="0.25">
      <c r="A10485" s="515">
        <v>14057</v>
      </c>
      <c r="B10485" s="515" t="s">
        <v>336</v>
      </c>
      <c r="C10485" s="52">
        <v>264691.94611397799</v>
      </c>
      <c r="D10485" s="56">
        <v>4.7131166975820524E-2</v>
      </c>
      <c r="E10485" s="224" t="s">
        <v>2</v>
      </c>
      <c r="F10485" s="515" t="s">
        <v>11680</v>
      </c>
      <c r="G10485" s="52">
        <v>235740.75293988001</v>
      </c>
      <c r="H10485" s="56">
        <v>2.3364062495846393E-2</v>
      </c>
      <c r="I10485" s="224" t="s">
        <v>2</v>
      </c>
    </row>
    <row r="10486" spans="1:9" x14ac:dyDescent="0.25">
      <c r="A10486" s="515">
        <v>62207</v>
      </c>
      <c r="B10486" s="515" t="s">
        <v>498</v>
      </c>
      <c r="C10486" s="52"/>
      <c r="D10486" s="56">
        <v>0</v>
      </c>
      <c r="E10486" s="224" t="s">
        <v>2</v>
      </c>
      <c r="F10486" s="515" t="s">
        <v>11681</v>
      </c>
      <c r="G10486" s="52">
        <v>474698.17518622399</v>
      </c>
      <c r="H10486" s="56">
        <v>0.10288107087807408</v>
      </c>
      <c r="I10486" s="224" t="s">
        <v>2</v>
      </c>
    </row>
    <row r="10487" spans="1:9" x14ac:dyDescent="0.25">
      <c r="A10487" s="515">
        <v>60416</v>
      </c>
      <c r="B10487" s="515" t="s">
        <v>394</v>
      </c>
      <c r="C10487" s="52">
        <v>230445.450803532</v>
      </c>
      <c r="D10487" s="56">
        <v>4.1530264881324552E-2</v>
      </c>
      <c r="E10487" s="224" t="s">
        <v>2</v>
      </c>
      <c r="F10487" s="515" t="s">
        <v>11682</v>
      </c>
      <c r="G10487" s="52">
        <v>127812.66243112199</v>
      </c>
      <c r="H10487" s="56">
        <v>6.9610537850516602E-2</v>
      </c>
      <c r="I10487" s="224" t="s">
        <v>2</v>
      </c>
    </row>
    <row r="10488" spans="1:9" x14ac:dyDescent="0.25">
      <c r="A10488" s="515">
        <v>12202</v>
      </c>
      <c r="B10488" s="515" t="s">
        <v>609</v>
      </c>
      <c r="C10488" s="52">
        <v>137675.03511074401</v>
      </c>
      <c r="D10488" s="56">
        <v>7.8386091242471839E-2</v>
      </c>
      <c r="E10488" s="224" t="s">
        <v>2</v>
      </c>
      <c r="F10488" s="515" t="s">
        <v>11683</v>
      </c>
      <c r="G10488" s="52">
        <v>90187.123337625104</v>
      </c>
      <c r="H10488" s="56">
        <v>0.13208866347393891</v>
      </c>
      <c r="I10488" s="224" t="s">
        <v>2</v>
      </c>
    </row>
    <row r="10489" spans="1:9" x14ac:dyDescent="0.25">
      <c r="A10489" s="515">
        <v>50273</v>
      </c>
      <c r="B10489" s="515" t="s">
        <v>295</v>
      </c>
      <c r="C10489" s="52">
        <v>236701.21087996801</v>
      </c>
      <c r="D10489" s="56">
        <v>0.10144668654484762</v>
      </c>
      <c r="E10489" s="224" t="s">
        <v>2</v>
      </c>
      <c r="F10489" s="515" t="s">
        <v>11684</v>
      </c>
      <c r="G10489" s="52">
        <v>88840.831420335104</v>
      </c>
      <c r="H10489" s="56">
        <v>0.14562165164622629</v>
      </c>
      <c r="I10489" s="224" t="s">
        <v>2</v>
      </c>
    </row>
    <row r="10490" spans="1:9" x14ac:dyDescent="0.25">
      <c r="A10490" s="515">
        <v>98826</v>
      </c>
      <c r="B10490" s="515" t="s">
        <v>521</v>
      </c>
      <c r="C10490" s="52">
        <v>654356.05903363496</v>
      </c>
      <c r="D10490" s="56">
        <v>1.9967397000803296E-2</v>
      </c>
      <c r="E10490" s="224">
        <v>1864.1666666666599</v>
      </c>
      <c r="F10490" s="515" t="s">
        <v>11685</v>
      </c>
      <c r="G10490" s="52">
        <v>292990.51233058498</v>
      </c>
      <c r="H10490" s="56">
        <v>7.3375583371947412E-2</v>
      </c>
      <c r="I10490" s="224" t="s">
        <v>2</v>
      </c>
    </row>
    <row r="10491" spans="1:9" x14ac:dyDescent="0.25">
      <c r="A10491" s="515">
        <v>15104</v>
      </c>
      <c r="B10491" s="515" t="s">
        <v>297</v>
      </c>
      <c r="C10491" s="52">
        <v>48519.681303886398</v>
      </c>
      <c r="D10491" s="56">
        <v>0.22968856895897158</v>
      </c>
      <c r="E10491" s="224" t="s">
        <v>2</v>
      </c>
      <c r="F10491" s="515" t="s">
        <v>11686</v>
      </c>
      <c r="G10491" s="52">
        <v>234007.700500415</v>
      </c>
      <c r="H10491" s="56">
        <v>7.3507962673902277E-2</v>
      </c>
      <c r="I10491" s="224" t="s">
        <v>2</v>
      </c>
    </row>
    <row r="10492" spans="1:9" x14ac:dyDescent="0.25">
      <c r="A10492" s="515">
        <v>17921</v>
      </c>
      <c r="B10492" s="515" t="s">
        <v>994</v>
      </c>
      <c r="C10492" s="52">
        <v>85467.467247961104</v>
      </c>
      <c r="D10492" s="56">
        <v>0.11342172486883449</v>
      </c>
      <c r="E10492" s="224" t="s">
        <v>2</v>
      </c>
      <c r="F10492" s="515" t="s">
        <v>11687</v>
      </c>
      <c r="G10492" s="52">
        <v>466353.44772608997</v>
      </c>
      <c r="H10492" s="56">
        <v>2.5480356012919418E-2</v>
      </c>
      <c r="I10492" s="224" t="s">
        <v>2</v>
      </c>
    </row>
    <row r="10493" spans="1:9" x14ac:dyDescent="0.25">
      <c r="A10493" s="515">
        <v>7981</v>
      </c>
      <c r="B10493" s="515" t="s">
        <v>324</v>
      </c>
      <c r="C10493" s="52">
        <v>575714.93061742</v>
      </c>
      <c r="D10493" s="56">
        <v>2.3061857584900692E-2</v>
      </c>
      <c r="E10493" s="224" t="s">
        <v>2</v>
      </c>
      <c r="F10493" s="515" t="s">
        <v>11688</v>
      </c>
      <c r="G10493" s="52">
        <v>155097.63882849799</v>
      </c>
      <c r="H10493" s="56">
        <v>7.3860857837259958E-2</v>
      </c>
      <c r="I10493" s="224" t="s">
        <v>2</v>
      </c>
    </row>
    <row r="10494" spans="1:9" x14ac:dyDescent="0.25">
      <c r="A10494" s="515">
        <v>47441</v>
      </c>
      <c r="C10494" s="52">
        <v>135634.845534288</v>
      </c>
      <c r="D10494" s="56">
        <v>5.3659024837147823E-2</v>
      </c>
      <c r="E10494" s="224" t="s">
        <v>2</v>
      </c>
      <c r="F10494" s="515" t="s">
        <v>11689</v>
      </c>
      <c r="G10494" s="52">
        <v>143236.037135224</v>
      </c>
      <c r="H10494" s="56">
        <v>-1.1625047229090512E-3</v>
      </c>
      <c r="I10494" s="224" t="s">
        <v>2</v>
      </c>
    </row>
    <row r="10495" spans="1:9" x14ac:dyDescent="0.25">
      <c r="A10495" s="515">
        <v>17236</v>
      </c>
      <c r="B10495" s="515" t="s">
        <v>372</v>
      </c>
      <c r="C10495" s="52">
        <v>242577.15472731899</v>
      </c>
      <c r="D10495" s="56">
        <v>4.8765405127783094E-2</v>
      </c>
      <c r="E10495" s="224" t="s">
        <v>2</v>
      </c>
      <c r="F10495" s="515" t="s">
        <v>11690</v>
      </c>
      <c r="G10495" s="52">
        <v>447765.33976074198</v>
      </c>
      <c r="H10495" s="56">
        <v>5.9193795804171834E-2</v>
      </c>
      <c r="I10495" s="224" t="s">
        <v>2</v>
      </c>
    </row>
    <row r="10496" spans="1:9" x14ac:dyDescent="0.25">
      <c r="A10496" s="515">
        <v>47553</v>
      </c>
      <c r="C10496" s="52">
        <v>201163.592718789</v>
      </c>
      <c r="D10496" s="56">
        <v>5.6859023877017301E-2</v>
      </c>
      <c r="E10496" s="224" t="s">
        <v>2</v>
      </c>
      <c r="F10496" s="515" t="s">
        <v>11691</v>
      </c>
      <c r="G10496" s="52">
        <v>209428.24747560499</v>
      </c>
      <c r="H10496" s="56">
        <v>8.4404701166101145E-2</v>
      </c>
      <c r="I10496" s="224" t="s">
        <v>2</v>
      </c>
    </row>
    <row r="10497" spans="1:9" x14ac:dyDescent="0.25">
      <c r="A10497" s="515">
        <v>63120</v>
      </c>
      <c r="B10497" s="515" t="s">
        <v>498</v>
      </c>
      <c r="C10497" s="52">
        <v>33134.495107739902</v>
      </c>
      <c r="D10497" s="56">
        <v>9.028565767190877E-2</v>
      </c>
      <c r="E10497" s="224" t="s">
        <v>2</v>
      </c>
      <c r="F10497" s="515" t="s">
        <v>11692</v>
      </c>
      <c r="G10497" s="52">
        <v>255235.021073337</v>
      </c>
      <c r="H10497" s="56">
        <v>8.1585115621721896E-2</v>
      </c>
      <c r="I10497" s="224" t="s">
        <v>2</v>
      </c>
    </row>
    <row r="10498" spans="1:9" x14ac:dyDescent="0.25">
      <c r="A10498" s="515">
        <v>64683</v>
      </c>
      <c r="C10498" s="52">
        <v>73987.1020084677</v>
      </c>
      <c r="D10498" s="56">
        <v>-6.972673378947665E-2</v>
      </c>
      <c r="E10498" s="224" t="s">
        <v>2</v>
      </c>
      <c r="F10498" s="515" t="s">
        <v>11693</v>
      </c>
      <c r="G10498" s="52">
        <v>425804.580992434</v>
      </c>
      <c r="H10498" s="56">
        <v>8.385173105017768E-2</v>
      </c>
      <c r="I10498" s="224" t="s">
        <v>2</v>
      </c>
    </row>
    <row r="10499" spans="1:9" x14ac:dyDescent="0.25">
      <c r="A10499" s="515">
        <v>85354</v>
      </c>
      <c r="B10499" s="515" t="s">
        <v>563</v>
      </c>
      <c r="C10499" s="52">
        <v>353665.14450081601</v>
      </c>
      <c r="D10499" s="56">
        <v>4.1997542285696521E-2</v>
      </c>
      <c r="E10499" s="224" t="s">
        <v>2</v>
      </c>
      <c r="F10499" s="515" t="s">
        <v>11694</v>
      </c>
      <c r="G10499" s="52">
        <v>332959.31097123597</v>
      </c>
      <c r="H10499" s="56">
        <v>4.1261669106996017E-2</v>
      </c>
      <c r="I10499" s="224" t="s">
        <v>2</v>
      </c>
    </row>
    <row r="10500" spans="1:9" x14ac:dyDescent="0.25">
      <c r="A10500" s="515">
        <v>71467</v>
      </c>
      <c r="B10500" s="515" t="s">
        <v>968</v>
      </c>
      <c r="C10500" s="52">
        <v>155300.49442448199</v>
      </c>
      <c r="D10500" s="56">
        <v>0.10318782760747032</v>
      </c>
      <c r="E10500" s="224" t="s">
        <v>2</v>
      </c>
      <c r="F10500" s="515" t="s">
        <v>11695</v>
      </c>
      <c r="G10500" s="52">
        <v>90323.173129260307</v>
      </c>
      <c r="H10500" s="56">
        <v>0.1281463411008659</v>
      </c>
      <c r="I10500" s="224" t="s">
        <v>2</v>
      </c>
    </row>
    <row r="10501" spans="1:9" x14ac:dyDescent="0.25">
      <c r="A10501" s="515">
        <v>79922</v>
      </c>
      <c r="B10501" s="515" t="s">
        <v>1119</v>
      </c>
      <c r="C10501" s="52">
        <v>328952.33548551099</v>
      </c>
      <c r="D10501" s="56">
        <v>0.11660925668492925</v>
      </c>
      <c r="E10501" s="224" t="s">
        <v>2</v>
      </c>
      <c r="F10501" s="515" t="s">
        <v>11696</v>
      </c>
      <c r="G10501" s="52">
        <v>669494.60439313797</v>
      </c>
      <c r="H10501" s="56">
        <v>3.2136714239704429E-3</v>
      </c>
      <c r="I10501" s="224" t="s">
        <v>2</v>
      </c>
    </row>
    <row r="10502" spans="1:9" x14ac:dyDescent="0.25">
      <c r="A10502" s="515">
        <v>35614</v>
      </c>
      <c r="B10502" s="515" t="s">
        <v>997</v>
      </c>
      <c r="C10502" s="52">
        <v>209755.80368351599</v>
      </c>
      <c r="D10502" s="56">
        <v>4.7220720088731329E-2</v>
      </c>
      <c r="E10502" s="224" t="s">
        <v>2</v>
      </c>
      <c r="F10502" s="515" t="s">
        <v>11697</v>
      </c>
      <c r="G10502" s="52">
        <v>518017.79547899403</v>
      </c>
      <c r="H10502" s="56">
        <v>4.3059870827787596E-2</v>
      </c>
      <c r="I10502" s="224" t="s">
        <v>2</v>
      </c>
    </row>
    <row r="10503" spans="1:9" x14ac:dyDescent="0.25">
      <c r="A10503" s="515">
        <v>44270</v>
      </c>
      <c r="B10503" s="515" t="s">
        <v>1136</v>
      </c>
      <c r="C10503" s="52">
        <v>251890.405986942</v>
      </c>
      <c r="D10503" s="56">
        <v>0.44237637976502769</v>
      </c>
      <c r="E10503" s="224" t="s">
        <v>2</v>
      </c>
      <c r="F10503" s="515" t="s">
        <v>11698</v>
      </c>
      <c r="G10503" s="52">
        <v>76175.072750203995</v>
      </c>
      <c r="H10503" s="56">
        <v>4.1033498341860188E-2</v>
      </c>
      <c r="I10503" s="224" t="s">
        <v>2</v>
      </c>
    </row>
    <row r="10504" spans="1:9" x14ac:dyDescent="0.25">
      <c r="A10504" s="515">
        <v>49404</v>
      </c>
      <c r="B10504" s="515" t="s">
        <v>631</v>
      </c>
      <c r="C10504" s="52">
        <v>297293.230241351</v>
      </c>
      <c r="D10504" s="56">
        <v>0.13900693859628138</v>
      </c>
      <c r="E10504" s="224" t="s">
        <v>2</v>
      </c>
      <c r="F10504" s="515" t="s">
        <v>11699</v>
      </c>
      <c r="G10504" s="52">
        <v>1029120.4773078</v>
      </c>
      <c r="H10504" s="56">
        <v>0.12657555626145053</v>
      </c>
      <c r="I10504" s="224" t="s">
        <v>2</v>
      </c>
    </row>
    <row r="10505" spans="1:9" x14ac:dyDescent="0.25">
      <c r="A10505" s="515">
        <v>98563</v>
      </c>
      <c r="B10505" s="515" t="s">
        <v>683</v>
      </c>
      <c r="C10505" s="52">
        <v>355571.26610923698</v>
      </c>
      <c r="D10505" s="56">
        <v>1.6079136124030637E-2</v>
      </c>
      <c r="E10505" s="224" t="s">
        <v>2</v>
      </c>
      <c r="F10505" s="515" t="s">
        <v>11700</v>
      </c>
      <c r="G10505" s="52">
        <v>251363.783243532</v>
      </c>
      <c r="H10505" s="56">
        <v>0.18857404238948314</v>
      </c>
      <c r="I10505" s="224" t="s">
        <v>2</v>
      </c>
    </row>
    <row r="10506" spans="1:9" x14ac:dyDescent="0.25">
      <c r="A10506" s="515">
        <v>38963</v>
      </c>
      <c r="B10506" s="515" t="s">
        <v>822</v>
      </c>
      <c r="C10506" s="52">
        <v>88054.605252784197</v>
      </c>
      <c r="D10506" s="56">
        <v>-0.1016595758777407</v>
      </c>
      <c r="E10506" s="224" t="s">
        <v>2</v>
      </c>
      <c r="F10506" s="515" t="s">
        <v>11701</v>
      </c>
      <c r="G10506" s="52">
        <v>176436.27714583199</v>
      </c>
      <c r="H10506" s="56">
        <v>7.1955907177041187E-2</v>
      </c>
      <c r="I10506" s="224" t="s">
        <v>2</v>
      </c>
    </row>
    <row r="10507" spans="1:9" x14ac:dyDescent="0.25">
      <c r="A10507" s="515">
        <v>7624</v>
      </c>
      <c r="B10507" s="515" t="s">
        <v>324</v>
      </c>
      <c r="C10507" s="52">
        <v>807886.86220649094</v>
      </c>
      <c r="D10507" s="56">
        <v>3.8679936799256201E-2</v>
      </c>
      <c r="E10507" s="224" t="s">
        <v>2</v>
      </c>
      <c r="F10507" s="515" t="s">
        <v>11702</v>
      </c>
      <c r="G10507" s="52">
        <v>243741.32026372099</v>
      </c>
      <c r="H10507" s="56">
        <v>0.15328253082581833</v>
      </c>
      <c r="I10507" s="224" t="s">
        <v>2</v>
      </c>
    </row>
    <row r="10508" spans="1:9" x14ac:dyDescent="0.25">
      <c r="A10508" s="515">
        <v>56378</v>
      </c>
      <c r="B10508" s="515" t="s">
        <v>418</v>
      </c>
      <c r="C10508" s="52">
        <v>273883.28612680401</v>
      </c>
      <c r="D10508" s="56">
        <v>6.7891663705011096E-2</v>
      </c>
      <c r="E10508" s="224" t="s">
        <v>2</v>
      </c>
      <c r="F10508" s="515" t="s">
        <v>11703</v>
      </c>
      <c r="G10508" s="52">
        <v>205360.835668538</v>
      </c>
      <c r="H10508" s="56">
        <v>6.7237420382144419E-2</v>
      </c>
      <c r="I10508" s="224" t="s">
        <v>2</v>
      </c>
    </row>
    <row r="10509" spans="1:9" x14ac:dyDescent="0.25">
      <c r="A10509" s="515">
        <v>75657</v>
      </c>
      <c r="C10509" s="52">
        <v>151597.558899108</v>
      </c>
      <c r="D10509" s="56">
        <v>3.4883745397815961E-2</v>
      </c>
      <c r="E10509" s="224" t="s">
        <v>2</v>
      </c>
      <c r="F10509" s="515" t="s">
        <v>11704</v>
      </c>
      <c r="G10509" s="52">
        <v>116877.35675273</v>
      </c>
      <c r="H10509" s="56">
        <v>8.6669487776793591E-2</v>
      </c>
      <c r="I10509" s="224" t="s">
        <v>2</v>
      </c>
    </row>
    <row r="10510" spans="1:9" x14ac:dyDescent="0.25">
      <c r="A10510" s="515">
        <v>89451</v>
      </c>
      <c r="B10510" s="515" t="s">
        <v>581</v>
      </c>
      <c r="C10510" s="52">
        <v>1360373.5427153599</v>
      </c>
      <c r="D10510" s="56">
        <v>-3.44873036409893E-2</v>
      </c>
      <c r="E10510" s="224" t="s">
        <v>2</v>
      </c>
      <c r="F10510" s="515" t="s">
        <v>11705</v>
      </c>
      <c r="G10510" s="52">
        <v>173286.09836194501</v>
      </c>
      <c r="H10510" s="56">
        <v>6.5004093902715665E-2</v>
      </c>
      <c r="I10510" s="224" t="s">
        <v>2</v>
      </c>
    </row>
    <row r="10511" spans="1:9" x14ac:dyDescent="0.25">
      <c r="A10511" s="515">
        <v>10992</v>
      </c>
      <c r="B10511" s="515" t="s">
        <v>529</v>
      </c>
      <c r="C10511" s="52">
        <v>432675.67705960799</v>
      </c>
      <c r="D10511" s="56">
        <v>9.9827762816925722E-2</v>
      </c>
      <c r="E10511" s="224" t="s">
        <v>2</v>
      </c>
      <c r="F10511" s="515" t="s">
        <v>11706</v>
      </c>
      <c r="G10511" s="52">
        <v>540546.23661956796</v>
      </c>
      <c r="H10511" s="56">
        <v>9.9554398430643065E-2</v>
      </c>
      <c r="I10511" s="224" t="s">
        <v>2</v>
      </c>
    </row>
    <row r="10512" spans="1:9" x14ac:dyDescent="0.25">
      <c r="A10512" s="515">
        <v>54155</v>
      </c>
      <c r="B10512" s="515" t="s">
        <v>897</v>
      </c>
      <c r="C10512" s="52">
        <v>367722.70421496202</v>
      </c>
      <c r="D10512" s="56">
        <v>6.9060707938581267E-2</v>
      </c>
      <c r="E10512" s="224" t="s">
        <v>2</v>
      </c>
      <c r="F10512" s="515" t="s">
        <v>11707</v>
      </c>
      <c r="G10512" s="52">
        <v>712281.44523104897</v>
      </c>
      <c r="H10512" s="56">
        <v>4.4532392029822003E-2</v>
      </c>
      <c r="I10512" s="224" t="s">
        <v>2</v>
      </c>
    </row>
    <row r="10513" spans="1:9" x14ac:dyDescent="0.25">
      <c r="A10513" s="515">
        <v>31087</v>
      </c>
      <c r="B10513" s="515" t="s">
        <v>1195</v>
      </c>
      <c r="C10513" s="52">
        <v>169498.05355137901</v>
      </c>
      <c r="D10513" s="56">
        <v>9.0944809470555665E-2</v>
      </c>
      <c r="E10513" s="224" t="s">
        <v>2</v>
      </c>
      <c r="F10513" s="515" t="s">
        <v>11708</v>
      </c>
      <c r="G10513" s="52">
        <v>187564.162233799</v>
      </c>
      <c r="H10513" s="56">
        <v>3.6951954148654792E-2</v>
      </c>
      <c r="I10513" s="224" t="s">
        <v>2</v>
      </c>
    </row>
    <row r="10514" spans="1:9" x14ac:dyDescent="0.25">
      <c r="A10514" s="515">
        <v>54487</v>
      </c>
      <c r="B10514" s="515" t="s">
        <v>940</v>
      </c>
      <c r="C10514" s="52">
        <v>218368.15292395101</v>
      </c>
      <c r="D10514" s="56">
        <v>7.5674468467663319E-2</v>
      </c>
      <c r="E10514" s="224" t="s">
        <v>2</v>
      </c>
      <c r="F10514" s="515" t="s">
        <v>11709</v>
      </c>
      <c r="G10514" s="52">
        <v>220093.95912787999</v>
      </c>
      <c r="H10514" s="56">
        <v>6.1454001649547993E-2</v>
      </c>
      <c r="I10514" s="224" t="s">
        <v>2</v>
      </c>
    </row>
    <row r="10515" spans="1:9" x14ac:dyDescent="0.25">
      <c r="A10515" s="515">
        <v>48746</v>
      </c>
      <c r="C10515" s="52">
        <v>180495.30506083401</v>
      </c>
      <c r="D10515" s="56">
        <v>5.709191908220116E-2</v>
      </c>
      <c r="E10515" s="224" t="s">
        <v>2</v>
      </c>
      <c r="F10515" s="515" t="s">
        <v>11710</v>
      </c>
      <c r="G10515" s="52">
        <v>250910.93204538699</v>
      </c>
      <c r="H10515" s="56">
        <v>2.3324758967676697E-2</v>
      </c>
      <c r="I10515" s="224" t="s">
        <v>2</v>
      </c>
    </row>
    <row r="10516" spans="1:9" x14ac:dyDescent="0.25">
      <c r="A10516" s="515">
        <v>51105</v>
      </c>
      <c r="B10516" s="515" t="s">
        <v>649</v>
      </c>
      <c r="C10516" s="52">
        <v>103046.707944555</v>
      </c>
      <c r="D10516" s="56">
        <v>8.0421001596235664E-2</v>
      </c>
      <c r="E10516" s="224" t="s">
        <v>2</v>
      </c>
      <c r="F10516" s="515" t="s">
        <v>11711</v>
      </c>
      <c r="G10516" s="52">
        <v>153156.1248859</v>
      </c>
      <c r="H10516" s="56">
        <v>-4.2472722119891622E-3</v>
      </c>
      <c r="I10516" s="224" t="s">
        <v>2</v>
      </c>
    </row>
    <row r="10517" spans="1:9" x14ac:dyDescent="0.25">
      <c r="A10517" s="515">
        <v>85615</v>
      </c>
      <c r="B10517" s="515" t="s">
        <v>374</v>
      </c>
      <c r="C10517" s="52">
        <v>337325.37728950102</v>
      </c>
      <c r="D10517" s="56">
        <v>5.1846734671439805E-2</v>
      </c>
      <c r="E10517" s="224" t="s">
        <v>2</v>
      </c>
      <c r="F10517" s="515" t="s">
        <v>11712</v>
      </c>
      <c r="G10517" s="52">
        <v>229024.451107965</v>
      </c>
      <c r="H10517" s="56">
        <v>0.17095716087514778</v>
      </c>
      <c r="I10517" s="224" t="s">
        <v>2</v>
      </c>
    </row>
    <row r="10518" spans="1:9" x14ac:dyDescent="0.25">
      <c r="A10518" s="515">
        <v>19560</v>
      </c>
      <c r="B10518" s="515" t="s">
        <v>569</v>
      </c>
      <c r="C10518" s="52">
        <v>219339.16268795301</v>
      </c>
      <c r="D10518" s="56">
        <v>0.10954482420027405</v>
      </c>
      <c r="E10518" s="224" t="s">
        <v>2</v>
      </c>
      <c r="F10518" s="515" t="s">
        <v>11713</v>
      </c>
      <c r="G10518" s="52">
        <v>187190.152076976</v>
      </c>
      <c r="H10518" s="56">
        <v>-2.3324237605152707E-2</v>
      </c>
      <c r="I10518" s="224" t="s">
        <v>2</v>
      </c>
    </row>
    <row r="10519" spans="1:9" x14ac:dyDescent="0.25">
      <c r="A10519" s="515">
        <v>37877</v>
      </c>
      <c r="B10519" s="515" t="s">
        <v>786</v>
      </c>
      <c r="C10519" s="52">
        <v>242375.256294619</v>
      </c>
      <c r="D10519" s="56">
        <v>5.6657492810320106E-2</v>
      </c>
      <c r="E10519" s="224" t="s">
        <v>2</v>
      </c>
      <c r="F10519" s="515" t="s">
        <v>11714</v>
      </c>
      <c r="G10519" s="52">
        <v>266259.45387449401</v>
      </c>
      <c r="H10519" s="56">
        <v>0</v>
      </c>
      <c r="I10519" s="224" t="s">
        <v>2</v>
      </c>
    </row>
    <row r="10520" spans="1:9" x14ac:dyDescent="0.25">
      <c r="A10520" s="515">
        <v>51250</v>
      </c>
      <c r="C10520" s="52">
        <v>285380.87706838502</v>
      </c>
      <c r="D10520" s="56">
        <v>4.7328311979287531E-2</v>
      </c>
      <c r="E10520" s="224" t="s">
        <v>2</v>
      </c>
      <c r="F10520" s="515" t="s">
        <v>11715</v>
      </c>
      <c r="G10520" s="52">
        <v>509662.88943139301</v>
      </c>
      <c r="H10520" s="56">
        <v>5.8924456567899533E-2</v>
      </c>
      <c r="I10520" s="224">
        <v>2037.5</v>
      </c>
    </row>
    <row r="10521" spans="1:9" x14ac:dyDescent="0.25">
      <c r="A10521" s="515">
        <v>37190</v>
      </c>
      <c r="B10521" s="515" t="s">
        <v>684</v>
      </c>
      <c r="C10521" s="52">
        <v>258371.76860549199</v>
      </c>
      <c r="D10521" s="56">
        <v>7.6990553179924898E-2</v>
      </c>
      <c r="E10521" s="224" t="s">
        <v>2</v>
      </c>
      <c r="F10521" s="515" t="s">
        <v>11716</v>
      </c>
      <c r="G10521" s="52">
        <v>562269.300079735</v>
      </c>
      <c r="H10521" s="56">
        <v>8.617701030531584E-2</v>
      </c>
      <c r="I10521" s="224" t="s">
        <v>2</v>
      </c>
    </row>
    <row r="10522" spans="1:9" x14ac:dyDescent="0.25">
      <c r="A10522" s="515">
        <v>75941</v>
      </c>
      <c r="B10522" s="515" t="s">
        <v>1141</v>
      </c>
      <c r="C10522" s="52">
        <v>145280.80357806999</v>
      </c>
      <c r="D10522" s="56">
        <v>2.5739883790651185E-2</v>
      </c>
      <c r="E10522" s="224" t="s">
        <v>2</v>
      </c>
      <c r="F10522" s="515" t="s">
        <v>11717</v>
      </c>
      <c r="G10522" s="52">
        <v>208481.248303297</v>
      </c>
      <c r="H10522" s="56">
        <v>9.6423696685059304E-2</v>
      </c>
      <c r="I10522" s="224" t="s">
        <v>2</v>
      </c>
    </row>
    <row r="10523" spans="1:9" x14ac:dyDescent="0.25">
      <c r="A10523" s="515">
        <v>37916</v>
      </c>
      <c r="B10523" s="515" t="s">
        <v>907</v>
      </c>
      <c r="C10523" s="52">
        <v>310817.854926756</v>
      </c>
      <c r="D10523" s="56">
        <v>0.15828914256691082</v>
      </c>
      <c r="E10523" s="224" t="s">
        <v>2</v>
      </c>
      <c r="F10523" s="515" t="s">
        <v>11718</v>
      </c>
      <c r="G10523" s="52">
        <v>553506.919409786</v>
      </c>
      <c r="H10523" s="56">
        <v>2.1235883652980646E-2</v>
      </c>
      <c r="I10523" s="224" t="s">
        <v>2</v>
      </c>
    </row>
    <row r="10524" spans="1:9" x14ac:dyDescent="0.25">
      <c r="A10524" s="515">
        <v>30442</v>
      </c>
      <c r="C10524" s="52">
        <v>111126.29611601699</v>
      </c>
      <c r="D10524" s="56">
        <v>0.18741741093645439</v>
      </c>
      <c r="E10524" s="224" t="s">
        <v>2</v>
      </c>
      <c r="F10524" s="515" t="s">
        <v>11719</v>
      </c>
      <c r="G10524" s="52">
        <v>84855.202969874998</v>
      </c>
      <c r="H10524" s="56">
        <v>0.22691554189337884</v>
      </c>
      <c r="I10524" s="224" t="s">
        <v>2</v>
      </c>
    </row>
    <row r="10525" spans="1:9" x14ac:dyDescent="0.25">
      <c r="A10525" s="515">
        <v>48457</v>
      </c>
      <c r="B10525" s="515" t="s">
        <v>759</v>
      </c>
      <c r="C10525" s="52">
        <v>170476.87789589999</v>
      </c>
      <c r="D10525" s="56">
        <v>8.1726041913316644E-2</v>
      </c>
      <c r="E10525" s="224" t="s">
        <v>2</v>
      </c>
      <c r="F10525" s="515" t="s">
        <v>11720</v>
      </c>
      <c r="G10525" s="52">
        <v>299637.88553014398</v>
      </c>
      <c r="H10525" s="56">
        <v>7.1305315664380961E-2</v>
      </c>
      <c r="I10525" s="224" t="s">
        <v>2</v>
      </c>
    </row>
    <row r="10526" spans="1:9" x14ac:dyDescent="0.25">
      <c r="A10526" s="515">
        <v>22942</v>
      </c>
      <c r="C10526" s="52">
        <v>308282.97251457802</v>
      </c>
      <c r="D10526" s="56">
        <v>6.5992382619903603E-2</v>
      </c>
      <c r="E10526" s="224" t="s">
        <v>2</v>
      </c>
      <c r="F10526" s="515" t="s">
        <v>11721</v>
      </c>
      <c r="G10526" s="52">
        <v>51684.206708412603</v>
      </c>
      <c r="H10526" s="56">
        <v>6.1960303403538169E-2</v>
      </c>
      <c r="I10526" s="224" t="s">
        <v>2</v>
      </c>
    </row>
    <row r="10527" spans="1:9" x14ac:dyDescent="0.25">
      <c r="A10527" s="515">
        <v>28080</v>
      </c>
      <c r="B10527" s="515" t="s">
        <v>360</v>
      </c>
      <c r="C10527" s="52">
        <v>350382.95158294402</v>
      </c>
      <c r="D10527" s="56">
        <v>0.1346870302236251</v>
      </c>
      <c r="E10527" s="224" t="s">
        <v>2</v>
      </c>
      <c r="F10527" s="515" t="s">
        <v>11722</v>
      </c>
      <c r="G10527" s="52">
        <v>394801.309184018</v>
      </c>
      <c r="H10527" s="56">
        <v>6.9657750226171655E-2</v>
      </c>
      <c r="I10527" s="224" t="s">
        <v>2</v>
      </c>
    </row>
    <row r="10528" spans="1:9" x14ac:dyDescent="0.25">
      <c r="A10528" s="515">
        <v>70373</v>
      </c>
      <c r="B10528" s="515" t="s">
        <v>898</v>
      </c>
      <c r="C10528" s="52">
        <v>107280.61114827701</v>
      </c>
      <c r="D10528" s="56">
        <v>-0.19261616602962228</v>
      </c>
      <c r="E10528" s="224" t="s">
        <v>2</v>
      </c>
      <c r="F10528" s="515" t="s">
        <v>11723</v>
      </c>
      <c r="G10528" s="52">
        <v>166456.30836702499</v>
      </c>
      <c r="H10528" s="56">
        <v>5.2533407722426179E-2</v>
      </c>
      <c r="I10528" s="224" t="s">
        <v>2</v>
      </c>
    </row>
    <row r="10529" spans="1:9" x14ac:dyDescent="0.25">
      <c r="A10529" s="515">
        <v>80421</v>
      </c>
      <c r="B10529" s="515" t="s">
        <v>401</v>
      </c>
      <c r="C10529" s="52">
        <v>534158.28171639598</v>
      </c>
      <c r="D10529" s="56">
        <v>2.9053017285834284E-2</v>
      </c>
      <c r="E10529" s="224" t="s">
        <v>2</v>
      </c>
      <c r="F10529" s="515" t="s">
        <v>11724</v>
      </c>
      <c r="G10529" s="52">
        <v>299700.50772724103</v>
      </c>
      <c r="H10529" s="56">
        <v>0.11111509419923632</v>
      </c>
      <c r="I10529" s="224" t="s">
        <v>2</v>
      </c>
    </row>
    <row r="10530" spans="1:9" x14ac:dyDescent="0.25">
      <c r="A10530" s="515">
        <v>90211</v>
      </c>
      <c r="B10530" s="515" t="s">
        <v>375</v>
      </c>
      <c r="C10530" s="52">
        <v>2141247.4439222701</v>
      </c>
      <c r="D10530" s="56">
        <v>-1.5883078032991011E-2</v>
      </c>
      <c r="E10530" s="224">
        <v>4022.4666666666599</v>
      </c>
      <c r="F10530" s="515" t="s">
        <v>11725</v>
      </c>
      <c r="G10530" s="52">
        <v>142101.99015194</v>
      </c>
      <c r="H10530" s="56">
        <v>0.16663943281436328</v>
      </c>
      <c r="I10530" s="224" t="s">
        <v>2</v>
      </c>
    </row>
    <row r="10531" spans="1:9" x14ac:dyDescent="0.25">
      <c r="A10531" s="515">
        <v>96791</v>
      </c>
      <c r="B10531" s="515" t="s">
        <v>1029</v>
      </c>
      <c r="C10531" s="52">
        <v>935477.85366247594</v>
      </c>
      <c r="D10531" s="56">
        <v>5.3968352729362276E-2</v>
      </c>
      <c r="E10531" s="224" t="s">
        <v>2</v>
      </c>
      <c r="F10531" s="515" t="s">
        <v>11726</v>
      </c>
      <c r="G10531" s="52">
        <v>274984.958552934</v>
      </c>
      <c r="H10531" s="56">
        <v>4.996484468054347E-2</v>
      </c>
      <c r="I10531" s="224" t="s">
        <v>2</v>
      </c>
    </row>
    <row r="10532" spans="1:9" x14ac:dyDescent="0.25">
      <c r="A10532" s="515">
        <v>77554</v>
      </c>
      <c r="B10532" s="515" t="s">
        <v>314</v>
      </c>
      <c r="C10532" s="52">
        <v>560207.099309891</v>
      </c>
      <c r="D10532" s="56">
        <v>9.4204800814347886E-2</v>
      </c>
      <c r="E10532" s="224" t="s">
        <v>2</v>
      </c>
      <c r="F10532" s="515" t="s">
        <v>11727</v>
      </c>
      <c r="G10532" s="52">
        <v>398602.74021169997</v>
      </c>
      <c r="H10532" s="56">
        <v>6.5490218920920176E-2</v>
      </c>
      <c r="I10532" s="224" t="s">
        <v>2</v>
      </c>
    </row>
    <row r="10533" spans="1:9" x14ac:dyDescent="0.25">
      <c r="A10533" s="515">
        <v>55340</v>
      </c>
      <c r="B10533" s="515" t="s">
        <v>532</v>
      </c>
      <c r="C10533" s="52">
        <v>660538.91713652096</v>
      </c>
      <c r="D10533" s="56">
        <v>6.5994267760600217E-2</v>
      </c>
      <c r="E10533" s="224" t="s">
        <v>2</v>
      </c>
      <c r="F10533" s="515" t="s">
        <v>11728</v>
      </c>
      <c r="G10533" s="52">
        <v>469513.70766337798</v>
      </c>
      <c r="H10533" s="56">
        <v>2.6613275436808626E-2</v>
      </c>
      <c r="I10533" s="224" t="s">
        <v>2</v>
      </c>
    </row>
    <row r="10534" spans="1:9" x14ac:dyDescent="0.25">
      <c r="A10534" s="515">
        <v>31719</v>
      </c>
      <c r="B10534" s="515" t="s">
        <v>763</v>
      </c>
      <c r="C10534" s="52">
        <v>73551.815621832196</v>
      </c>
      <c r="D10534" s="56">
        <v>0.12217169733484814</v>
      </c>
      <c r="E10534" s="224" t="s">
        <v>2</v>
      </c>
      <c r="F10534" s="515" t="s">
        <v>11729</v>
      </c>
      <c r="G10534" s="52">
        <v>60558.205086750597</v>
      </c>
      <c r="H10534" s="56">
        <v>0.12324127071903231</v>
      </c>
      <c r="I10534" s="224" t="s">
        <v>2</v>
      </c>
    </row>
    <row r="10535" spans="1:9" x14ac:dyDescent="0.25">
      <c r="A10535" s="515">
        <v>70648</v>
      </c>
      <c r="C10535" s="52">
        <v>112740.54870716399</v>
      </c>
      <c r="D10535" s="56">
        <v>4.6452721263970084E-2</v>
      </c>
      <c r="E10535" s="224" t="s">
        <v>2</v>
      </c>
      <c r="F10535" s="515" t="s">
        <v>11730</v>
      </c>
      <c r="G10535" s="52">
        <v>224246.689851595</v>
      </c>
      <c r="H10535" s="56">
        <v>7.1946025779249675E-2</v>
      </c>
      <c r="I10535" s="224" t="s">
        <v>2</v>
      </c>
    </row>
    <row r="10536" spans="1:9" x14ac:dyDescent="0.25">
      <c r="A10536" s="515">
        <v>89061</v>
      </c>
      <c r="B10536" s="515" t="s">
        <v>311</v>
      </c>
      <c r="C10536" s="52">
        <v>364347.24324116798</v>
      </c>
      <c r="D10536" s="56">
        <v>7.222639918142508E-2</v>
      </c>
      <c r="E10536" s="224" t="s">
        <v>2</v>
      </c>
      <c r="F10536" s="515" t="s">
        <v>11731</v>
      </c>
      <c r="G10536" s="52">
        <v>391491.36679959798</v>
      </c>
      <c r="H10536" s="56">
        <v>3.4391763698797151E-2</v>
      </c>
      <c r="I10536" s="224" t="s">
        <v>2</v>
      </c>
    </row>
    <row r="10537" spans="1:9" x14ac:dyDescent="0.25">
      <c r="A10537" s="515">
        <v>78834</v>
      </c>
      <c r="C10537" s="52">
        <v>109755.473437589</v>
      </c>
      <c r="D10537" s="56">
        <v>-1.7251031181124494E-2</v>
      </c>
      <c r="E10537" s="224" t="s">
        <v>2</v>
      </c>
      <c r="F10537" s="515" t="s">
        <v>11732</v>
      </c>
      <c r="G10537" s="52">
        <v>225873.73002950501</v>
      </c>
      <c r="H10537" s="56">
        <v>5.0600954909744644E-2</v>
      </c>
      <c r="I10537" s="224" t="s">
        <v>2</v>
      </c>
    </row>
    <row r="10538" spans="1:9" x14ac:dyDescent="0.25">
      <c r="A10538" s="515">
        <v>23024</v>
      </c>
      <c r="C10538" s="52">
        <v>361578.95374140999</v>
      </c>
      <c r="D10538" s="56">
        <v>6.1035692880742148E-2</v>
      </c>
      <c r="E10538" s="224" t="s">
        <v>2</v>
      </c>
      <c r="F10538" s="515" t="s">
        <v>11733</v>
      </c>
      <c r="G10538" s="52">
        <v>138422.693146762</v>
      </c>
      <c r="H10538" s="56">
        <v>7.8184943857742731E-2</v>
      </c>
      <c r="I10538" s="224" t="s">
        <v>2</v>
      </c>
    </row>
    <row r="10539" spans="1:9" x14ac:dyDescent="0.25">
      <c r="A10539" s="515">
        <v>35476</v>
      </c>
      <c r="B10539" s="515" t="s">
        <v>841</v>
      </c>
      <c r="C10539" s="52">
        <v>167922.27065710101</v>
      </c>
      <c r="D10539" s="56">
        <v>7.6090217752607617E-2</v>
      </c>
      <c r="E10539" s="224">
        <v>675</v>
      </c>
      <c r="F10539" s="515" t="s">
        <v>11734</v>
      </c>
      <c r="G10539" s="52">
        <v>650760.17803502094</v>
      </c>
      <c r="H10539" s="56">
        <v>4.4685393670362387E-2</v>
      </c>
      <c r="I10539" s="224" t="s">
        <v>2</v>
      </c>
    </row>
    <row r="10540" spans="1:9" x14ac:dyDescent="0.25">
      <c r="A10540" s="515">
        <v>74834</v>
      </c>
      <c r="B10540" s="515" t="s">
        <v>385</v>
      </c>
      <c r="C10540" s="52">
        <v>166077.30824011701</v>
      </c>
      <c r="D10540" s="56">
        <v>8.9010566265855531E-2</v>
      </c>
      <c r="E10540" s="224" t="s">
        <v>2</v>
      </c>
      <c r="F10540" s="515" t="s">
        <v>11735</v>
      </c>
      <c r="G10540" s="52">
        <v>286539.167455649</v>
      </c>
      <c r="H10540" s="56">
        <v>8.7487735243845205E-2</v>
      </c>
      <c r="I10540" s="224" t="s">
        <v>2</v>
      </c>
    </row>
    <row r="10541" spans="1:9" x14ac:dyDescent="0.25">
      <c r="A10541" s="515">
        <v>22932</v>
      </c>
      <c r="B10541" s="515" t="s">
        <v>630</v>
      </c>
      <c r="C10541" s="52">
        <v>520109.06938355998</v>
      </c>
      <c r="D10541" s="56">
        <v>6.2563894136946838E-2</v>
      </c>
      <c r="E10541" s="224" t="s">
        <v>2</v>
      </c>
      <c r="F10541" s="515" t="s">
        <v>11736</v>
      </c>
      <c r="G10541" s="52">
        <v>291012.91908824199</v>
      </c>
      <c r="H10541" s="56">
        <v>9.0513019070099635E-2</v>
      </c>
      <c r="I10541" s="224" t="s">
        <v>2</v>
      </c>
    </row>
    <row r="10542" spans="1:9" x14ac:dyDescent="0.25">
      <c r="A10542" s="515">
        <v>73165</v>
      </c>
      <c r="B10542" s="515" t="s">
        <v>385</v>
      </c>
      <c r="C10542" s="52">
        <v>320299.52867644402</v>
      </c>
      <c r="D10542" s="56">
        <v>7.6981652254059743E-2</v>
      </c>
      <c r="E10542" s="224" t="s">
        <v>2</v>
      </c>
      <c r="F10542" s="515" t="s">
        <v>11737</v>
      </c>
      <c r="G10542" s="52">
        <v>1549554.79758339</v>
      </c>
      <c r="H10542" s="56">
        <v>8.69281660006051E-2</v>
      </c>
      <c r="I10542" s="224" t="s">
        <v>2</v>
      </c>
    </row>
    <row r="10543" spans="1:9" x14ac:dyDescent="0.25">
      <c r="A10543" s="515">
        <v>19085</v>
      </c>
      <c r="B10543" s="515" t="s">
        <v>294</v>
      </c>
      <c r="C10543" s="52">
        <v>1200422.83517684</v>
      </c>
      <c r="D10543" s="56">
        <v>0.10340797811043627</v>
      </c>
      <c r="E10543" s="224" t="s">
        <v>2</v>
      </c>
      <c r="F10543" s="515" t="s">
        <v>11738</v>
      </c>
      <c r="G10543" s="52">
        <v>243768.56508570799</v>
      </c>
      <c r="H10543" s="56">
        <v>5.6009403045598462E-2</v>
      </c>
      <c r="I10543" s="224" t="s">
        <v>2</v>
      </c>
    </row>
    <row r="10544" spans="1:9" x14ac:dyDescent="0.25">
      <c r="A10544" s="515">
        <v>48208</v>
      </c>
      <c r="B10544" s="515" t="s">
        <v>685</v>
      </c>
      <c r="C10544" s="52">
        <v>113772.337791995</v>
      </c>
      <c r="D10544" s="56">
        <v>2.0996736187311585E-2</v>
      </c>
      <c r="E10544" s="224" t="s">
        <v>2</v>
      </c>
      <c r="F10544" s="515" t="s">
        <v>11739</v>
      </c>
      <c r="G10544" s="52">
        <v>582416.30537952005</v>
      </c>
      <c r="H10544" s="56">
        <v>0.11674168530239527</v>
      </c>
      <c r="I10544" s="224" t="s">
        <v>2</v>
      </c>
    </row>
    <row r="10545" spans="1:9" x14ac:dyDescent="0.25">
      <c r="A10545" s="515">
        <v>27589</v>
      </c>
      <c r="C10545" s="52">
        <v>147950.46596141101</v>
      </c>
      <c r="D10545" s="56">
        <v>0.22924734893349388</v>
      </c>
      <c r="E10545" s="224" t="s">
        <v>2</v>
      </c>
      <c r="F10545" s="515" t="s">
        <v>11740</v>
      </c>
      <c r="G10545" s="52">
        <v>40534.772727272699</v>
      </c>
      <c r="H10545" s="56">
        <v>0</v>
      </c>
      <c r="I10545" s="224" t="s">
        <v>2</v>
      </c>
    </row>
    <row r="10546" spans="1:9" x14ac:dyDescent="0.25">
      <c r="A10546" s="515">
        <v>44707</v>
      </c>
      <c r="B10546" s="515" t="s">
        <v>863</v>
      </c>
      <c r="C10546" s="52">
        <v>81967.249070388294</v>
      </c>
      <c r="D10546" s="56">
        <v>0.135728314906123</v>
      </c>
      <c r="E10546" s="224">
        <v>1175</v>
      </c>
      <c r="F10546" s="515" t="s">
        <v>11741</v>
      </c>
      <c r="G10546" s="52">
        <v>271392.53445989301</v>
      </c>
      <c r="H10546" s="56">
        <v>0.12248174555418991</v>
      </c>
      <c r="I10546" s="224" t="s">
        <v>2</v>
      </c>
    </row>
    <row r="10547" spans="1:9" x14ac:dyDescent="0.25">
      <c r="A10547" s="515">
        <v>21032</v>
      </c>
      <c r="B10547" s="515" t="s">
        <v>582</v>
      </c>
      <c r="C10547" s="52">
        <v>568858.32536712801</v>
      </c>
      <c r="D10547" s="56">
        <v>4.3737387228051768E-2</v>
      </c>
      <c r="E10547" s="224" t="s">
        <v>2</v>
      </c>
      <c r="F10547" s="515" t="s">
        <v>11742</v>
      </c>
      <c r="G10547" s="52">
        <v>226337.612401216</v>
      </c>
      <c r="H10547" s="56">
        <v>6.3775639441571844E-2</v>
      </c>
      <c r="I10547" s="224" t="s">
        <v>2</v>
      </c>
    </row>
    <row r="10548" spans="1:9" x14ac:dyDescent="0.25">
      <c r="A10548" s="515">
        <v>55336</v>
      </c>
      <c r="B10548" s="515" t="s">
        <v>882</v>
      </c>
      <c r="C10548" s="52">
        <v>248268.975067452</v>
      </c>
      <c r="D10548" s="56">
        <v>3.4685813503565824E-2</v>
      </c>
      <c r="E10548" s="224" t="s">
        <v>2</v>
      </c>
      <c r="F10548" s="515" t="s">
        <v>11743</v>
      </c>
      <c r="G10548" s="52">
        <v>152907.668608665</v>
      </c>
      <c r="H10548" s="56">
        <v>7.3980141237685801E-2</v>
      </c>
      <c r="I10548" s="224" t="s">
        <v>2</v>
      </c>
    </row>
    <row r="10549" spans="1:9" x14ac:dyDescent="0.25">
      <c r="A10549" s="515">
        <v>1921</v>
      </c>
      <c r="B10549" s="515" t="s">
        <v>534</v>
      </c>
      <c r="C10549" s="52">
        <v>900696.869520662</v>
      </c>
      <c r="D10549" s="56">
        <v>5.0321852681654337E-2</v>
      </c>
      <c r="E10549" s="224" t="s">
        <v>2</v>
      </c>
      <c r="F10549" s="515" t="s">
        <v>11744</v>
      </c>
      <c r="G10549" s="52">
        <v>178358.22625023601</v>
      </c>
      <c r="H10549" s="56">
        <v>7.2656660045475926E-2</v>
      </c>
      <c r="I10549" s="224" t="s">
        <v>2</v>
      </c>
    </row>
    <row r="10550" spans="1:9" x14ac:dyDescent="0.25">
      <c r="A10550" s="515">
        <v>46565</v>
      </c>
      <c r="C10550" s="52">
        <v>356784.89532892499</v>
      </c>
      <c r="D10550" s="56">
        <v>4.6593769194915556E-2</v>
      </c>
      <c r="E10550" s="224" t="s">
        <v>2</v>
      </c>
      <c r="F10550" s="515" t="s">
        <v>11745</v>
      </c>
      <c r="G10550" s="52">
        <v>198592.132044778</v>
      </c>
      <c r="H10550" s="56">
        <v>6.1062239432632372E-2</v>
      </c>
      <c r="I10550" s="224" t="s">
        <v>2</v>
      </c>
    </row>
    <row r="10551" spans="1:9" x14ac:dyDescent="0.25">
      <c r="A10551" s="515">
        <v>14011</v>
      </c>
      <c r="C10551" s="52">
        <v>193231.31140435699</v>
      </c>
      <c r="D10551" s="56">
        <v>8.681675326484313E-2</v>
      </c>
      <c r="E10551" s="224" t="s">
        <v>2</v>
      </c>
      <c r="F10551" s="515" t="s">
        <v>11746</v>
      </c>
      <c r="G10551" s="52">
        <v>134215.01956538399</v>
      </c>
      <c r="H10551" s="56">
        <v>0.20081663617861883</v>
      </c>
      <c r="I10551" s="224" t="s">
        <v>2</v>
      </c>
    </row>
    <row r="10552" spans="1:9" x14ac:dyDescent="0.25">
      <c r="A10552" s="515">
        <v>14204</v>
      </c>
      <c r="B10552" s="515" t="s">
        <v>336</v>
      </c>
      <c r="C10552" s="52">
        <v>151407.69617087301</v>
      </c>
      <c r="D10552" s="56">
        <v>0.10277019288040122</v>
      </c>
      <c r="E10552" s="224" t="s">
        <v>2</v>
      </c>
      <c r="F10552" s="515" t="s">
        <v>11747</v>
      </c>
      <c r="G10552" s="52">
        <v>339910.83502230898</v>
      </c>
      <c r="H10552" s="56">
        <v>0.12945999054004559</v>
      </c>
      <c r="I10552" s="224" t="s">
        <v>2</v>
      </c>
    </row>
    <row r="10553" spans="1:9" x14ac:dyDescent="0.25">
      <c r="A10553" s="515">
        <v>24013</v>
      </c>
      <c r="B10553" s="515" t="s">
        <v>861</v>
      </c>
      <c r="C10553" s="52">
        <v>125384.571594694</v>
      </c>
      <c r="D10553" s="56">
        <v>0.19883070033645051</v>
      </c>
      <c r="E10553" s="224" t="s">
        <v>2</v>
      </c>
      <c r="F10553" s="515" t="s">
        <v>11748</v>
      </c>
      <c r="G10553" s="52">
        <v>209714.76406797001</v>
      </c>
      <c r="H10553" s="56">
        <v>-1.3541533305785598E-2</v>
      </c>
      <c r="I10553" s="224" t="s">
        <v>2</v>
      </c>
    </row>
    <row r="10554" spans="1:9" x14ac:dyDescent="0.25">
      <c r="A10554" s="515">
        <v>31331</v>
      </c>
      <c r="B10554" s="515" t="s">
        <v>871</v>
      </c>
      <c r="C10554" s="52">
        <v>190622.32949087399</v>
      </c>
      <c r="D10554" s="56">
        <v>7.4737184428536468E-2</v>
      </c>
      <c r="E10554" s="224" t="s">
        <v>2</v>
      </c>
      <c r="F10554" s="515" t="s">
        <v>11749</v>
      </c>
      <c r="G10554" s="52">
        <v>141259.23268523801</v>
      </c>
      <c r="H10554" s="56">
        <v>6.9657650833313073E-2</v>
      </c>
      <c r="I10554" s="224" t="s">
        <v>2</v>
      </c>
    </row>
    <row r="10555" spans="1:9" x14ac:dyDescent="0.25">
      <c r="A10555" s="515">
        <v>78578</v>
      </c>
      <c r="B10555" s="515" t="s">
        <v>444</v>
      </c>
      <c r="C10555" s="52">
        <v>232730.908257895</v>
      </c>
      <c r="D10555" s="56">
        <v>0.12848912941863774</v>
      </c>
      <c r="E10555" s="224" t="s">
        <v>2</v>
      </c>
      <c r="F10555" s="515" t="s">
        <v>11750</v>
      </c>
      <c r="G10555" s="52">
        <v>355699.98369033501</v>
      </c>
      <c r="H10555" s="56">
        <v>-1.4572666075929092E-3</v>
      </c>
      <c r="I10555" s="224" t="s">
        <v>2</v>
      </c>
    </row>
    <row r="10556" spans="1:9" x14ac:dyDescent="0.25">
      <c r="A10556" s="515">
        <v>6607</v>
      </c>
      <c r="B10556" s="515" t="s">
        <v>1173</v>
      </c>
      <c r="C10556" s="52">
        <v>250231.24115790299</v>
      </c>
      <c r="D10556" s="56">
        <v>0.10341482261492133</v>
      </c>
      <c r="E10556" s="224" t="s">
        <v>2</v>
      </c>
      <c r="F10556" s="515" t="s">
        <v>11751</v>
      </c>
      <c r="G10556" s="52">
        <v>596790.92493680795</v>
      </c>
      <c r="H10556" s="56">
        <v>2.3566888032018719E-2</v>
      </c>
      <c r="I10556" s="224" t="s">
        <v>2</v>
      </c>
    </row>
    <row r="10557" spans="1:9" x14ac:dyDescent="0.25">
      <c r="A10557" s="515">
        <v>75783</v>
      </c>
      <c r="C10557" s="52">
        <v>213661.047510843</v>
      </c>
      <c r="D10557" s="56">
        <v>4.6487442987873648E-2</v>
      </c>
      <c r="E10557" s="224" t="s">
        <v>2</v>
      </c>
      <c r="F10557" s="515" t="s">
        <v>11752</v>
      </c>
      <c r="G10557" s="52">
        <v>146894.473228683</v>
      </c>
      <c r="H10557" s="56">
        <v>7.0335029295933368E-2</v>
      </c>
      <c r="I10557" s="224" t="s">
        <v>2</v>
      </c>
    </row>
    <row r="10558" spans="1:9" x14ac:dyDescent="0.25">
      <c r="A10558" s="515">
        <v>39823</v>
      </c>
      <c r="C10558" s="52">
        <v>101327.150796735</v>
      </c>
      <c r="D10558" s="56">
        <v>4.9835272384950523E-2</v>
      </c>
      <c r="E10558" s="224" t="s">
        <v>2</v>
      </c>
      <c r="F10558" s="515" t="s">
        <v>11753</v>
      </c>
      <c r="G10558" s="52">
        <v>116865.36549978799</v>
      </c>
      <c r="H10558" s="56">
        <v>7.3481931040577181E-2</v>
      </c>
      <c r="I10558" s="224" t="s">
        <v>2</v>
      </c>
    </row>
    <row r="10559" spans="1:9" x14ac:dyDescent="0.25">
      <c r="A10559" s="515">
        <v>48015</v>
      </c>
      <c r="B10559" s="515" t="s">
        <v>685</v>
      </c>
      <c r="C10559" s="52">
        <v>148953.625272606</v>
      </c>
      <c r="D10559" s="56">
        <v>4.4717960409173606E-2</v>
      </c>
      <c r="E10559" s="224" t="s">
        <v>2</v>
      </c>
      <c r="F10559" s="515" t="s">
        <v>11754</v>
      </c>
      <c r="G10559" s="52">
        <v>610493.86857872305</v>
      </c>
      <c r="H10559" s="56">
        <v>9.0141792194153914E-2</v>
      </c>
      <c r="I10559" s="224" t="s">
        <v>2</v>
      </c>
    </row>
    <row r="10560" spans="1:9" x14ac:dyDescent="0.25">
      <c r="A10560" s="515">
        <v>8758</v>
      </c>
      <c r="B10560" s="515" t="s">
        <v>324</v>
      </c>
      <c r="C10560" s="52">
        <v>461002.03230818402</v>
      </c>
      <c r="D10560" s="56">
        <v>0.10535446579739803</v>
      </c>
      <c r="E10560" s="224" t="s">
        <v>2</v>
      </c>
      <c r="F10560" s="515" t="s">
        <v>11755</v>
      </c>
      <c r="G10560" s="52">
        <v>117137.908459616</v>
      </c>
      <c r="H10560" s="56">
        <v>3.2979263430730654E-2</v>
      </c>
      <c r="I10560" s="224" t="s">
        <v>2</v>
      </c>
    </row>
    <row r="10561" spans="1:9" x14ac:dyDescent="0.25">
      <c r="A10561" s="515">
        <v>53821</v>
      </c>
      <c r="C10561" s="52">
        <v>160272.08471866901</v>
      </c>
      <c r="D10561" s="56">
        <v>4.8748349418410226E-2</v>
      </c>
      <c r="E10561" s="224" t="s">
        <v>2</v>
      </c>
      <c r="F10561" s="515" t="s">
        <v>11756</v>
      </c>
      <c r="G10561" s="52">
        <v>149814.48288152899</v>
      </c>
      <c r="H10561" s="56">
        <v>0.10390914412896639</v>
      </c>
      <c r="I10561" s="224" t="s">
        <v>2</v>
      </c>
    </row>
    <row r="10562" spans="1:9" x14ac:dyDescent="0.25">
      <c r="A10562" s="515">
        <v>37841</v>
      </c>
      <c r="C10562" s="52">
        <v>154379.16091261001</v>
      </c>
      <c r="D10562" s="56">
        <v>7.9774572217065673E-2</v>
      </c>
      <c r="E10562" s="224" t="s">
        <v>2</v>
      </c>
      <c r="F10562" s="515" t="s">
        <v>11757</v>
      </c>
      <c r="G10562" s="52">
        <v>261786.60840864899</v>
      </c>
      <c r="H10562" s="56">
        <v>5.5650554967911964E-2</v>
      </c>
      <c r="I10562" s="224" t="s">
        <v>2</v>
      </c>
    </row>
    <row r="10563" spans="1:9" x14ac:dyDescent="0.25">
      <c r="A10563" s="515">
        <v>44273</v>
      </c>
      <c r="B10563" s="515" t="s">
        <v>520</v>
      </c>
      <c r="C10563" s="52">
        <v>268364.27513718</v>
      </c>
      <c r="D10563" s="56">
        <v>8.6574068611998303E-2</v>
      </c>
      <c r="E10563" s="224" t="s">
        <v>2</v>
      </c>
      <c r="F10563" s="515" t="s">
        <v>11758</v>
      </c>
      <c r="G10563" s="52">
        <v>265983.12536811101</v>
      </c>
      <c r="H10563" s="56">
        <v>0.13709275711267663</v>
      </c>
      <c r="I10563" s="224" t="s">
        <v>2</v>
      </c>
    </row>
    <row r="10564" spans="1:9" x14ac:dyDescent="0.25">
      <c r="A10564" s="515">
        <v>85087</v>
      </c>
      <c r="B10564" s="515" t="s">
        <v>563</v>
      </c>
      <c r="C10564" s="52">
        <v>577236.37477365602</v>
      </c>
      <c r="D10564" s="56">
        <v>4.698446075117016E-2</v>
      </c>
      <c r="E10564" s="224" t="s">
        <v>2</v>
      </c>
      <c r="F10564" s="515" t="s">
        <v>11759</v>
      </c>
      <c r="G10564" s="52">
        <v>59318.687940229102</v>
      </c>
      <c r="H10564" s="56">
        <v>1.1631157895056286E-2</v>
      </c>
      <c r="I10564" s="224" t="s">
        <v>2</v>
      </c>
    </row>
    <row r="10565" spans="1:9" x14ac:dyDescent="0.25">
      <c r="A10565" s="515">
        <v>55121</v>
      </c>
      <c r="B10565" s="515" t="s">
        <v>532</v>
      </c>
      <c r="C10565" s="52">
        <v>306712.096904515</v>
      </c>
      <c r="D10565" s="56">
        <v>2.3617564564488786E-2</v>
      </c>
      <c r="E10565" s="224" t="s">
        <v>2</v>
      </c>
      <c r="F10565" s="515" t="s">
        <v>11760</v>
      </c>
      <c r="G10565" s="52"/>
      <c r="H10565" s="56">
        <v>0</v>
      </c>
      <c r="I10565" s="224" t="s">
        <v>2</v>
      </c>
    </row>
    <row r="10566" spans="1:9" x14ac:dyDescent="0.25">
      <c r="A10566" s="515">
        <v>79830</v>
      </c>
      <c r="C10566" s="52">
        <v>229805.57709652101</v>
      </c>
      <c r="D10566" s="56">
        <v>6.7201482055573719E-2</v>
      </c>
      <c r="E10566" s="224" t="s">
        <v>2</v>
      </c>
      <c r="F10566" s="515" t="s">
        <v>11761</v>
      </c>
      <c r="G10566" s="52">
        <v>850272.79489110096</v>
      </c>
      <c r="H10566" s="56">
        <v>0.12192475352290692</v>
      </c>
      <c r="I10566" s="224">
        <v>2950</v>
      </c>
    </row>
    <row r="10567" spans="1:9" x14ac:dyDescent="0.25">
      <c r="A10567" s="515">
        <v>31643</v>
      </c>
      <c r="B10567" s="515" t="s">
        <v>505</v>
      </c>
      <c r="C10567" s="52">
        <v>112316.56405637199</v>
      </c>
      <c r="D10567" s="56">
        <v>4.1270794928130579E-2</v>
      </c>
      <c r="E10567" s="224" t="s">
        <v>2</v>
      </c>
      <c r="F10567" s="515" t="s">
        <v>11762</v>
      </c>
      <c r="G10567" s="52">
        <v>191362.54931172199</v>
      </c>
      <c r="H10567" s="56">
        <v>7.0025983632760649E-2</v>
      </c>
      <c r="I10567" s="224" t="s">
        <v>2</v>
      </c>
    </row>
    <row r="10568" spans="1:9" x14ac:dyDescent="0.25">
      <c r="A10568" s="515">
        <v>73750</v>
      </c>
      <c r="C10568" s="52">
        <v>193827.400702407</v>
      </c>
      <c r="D10568" s="56">
        <v>6.193769599392307E-2</v>
      </c>
      <c r="E10568" s="224" t="s">
        <v>2</v>
      </c>
      <c r="F10568" s="515" t="s">
        <v>11763</v>
      </c>
      <c r="G10568" s="52">
        <v>132097.91103742801</v>
      </c>
      <c r="H10568" s="56">
        <v>4.5485292972828793E-2</v>
      </c>
      <c r="I10568" s="224" t="s">
        <v>2</v>
      </c>
    </row>
    <row r="10569" spans="1:9" x14ac:dyDescent="0.25">
      <c r="A10569" s="515">
        <v>26164</v>
      </c>
      <c r="B10569" s="515" t="s">
        <v>322</v>
      </c>
      <c r="C10569" s="52">
        <v>148611.96854397201</v>
      </c>
      <c r="D10569" s="56">
        <v>7.2271339405146656E-2</v>
      </c>
      <c r="E10569" s="224" t="s">
        <v>2</v>
      </c>
      <c r="F10569" s="515" t="s">
        <v>11764</v>
      </c>
      <c r="G10569" s="52">
        <v>107831.16911686699</v>
      </c>
      <c r="H10569" s="56">
        <v>0.18651651578780146</v>
      </c>
      <c r="I10569" s="224" t="s">
        <v>2</v>
      </c>
    </row>
    <row r="10570" spans="1:9" x14ac:dyDescent="0.25">
      <c r="A10570" s="515">
        <v>4093</v>
      </c>
      <c r="B10570" s="515" t="s">
        <v>570</v>
      </c>
      <c r="C10570" s="52">
        <v>367386.68980311102</v>
      </c>
      <c r="D10570" s="56">
        <v>4.3997681693105306E-2</v>
      </c>
      <c r="E10570" s="224" t="s">
        <v>2</v>
      </c>
      <c r="F10570" s="515" t="s">
        <v>11765</v>
      </c>
      <c r="G10570" s="52">
        <v>556362.21722073399</v>
      </c>
      <c r="H10570" s="56">
        <v>5.4402803471106535E-2</v>
      </c>
      <c r="I10570" s="224" t="s">
        <v>2</v>
      </c>
    </row>
    <row r="10571" spans="1:9" x14ac:dyDescent="0.25">
      <c r="A10571" s="515">
        <v>49046</v>
      </c>
      <c r="C10571" s="52">
        <v>202283.60528461699</v>
      </c>
      <c r="D10571" s="56">
        <v>0.10372516711048202</v>
      </c>
      <c r="E10571" s="224" t="s">
        <v>2</v>
      </c>
      <c r="F10571" s="515" t="s">
        <v>11766</v>
      </c>
      <c r="G10571" s="52">
        <v>341641.00551021198</v>
      </c>
      <c r="H10571" s="56">
        <v>0.10159744357340321</v>
      </c>
      <c r="I10571" s="224" t="s">
        <v>2</v>
      </c>
    </row>
    <row r="10572" spans="1:9" x14ac:dyDescent="0.25">
      <c r="A10572" s="515">
        <v>75140</v>
      </c>
      <c r="C10572" s="52">
        <v>203282.37892560399</v>
      </c>
      <c r="D10572" s="56">
        <v>-2.0525707147095475E-2</v>
      </c>
      <c r="E10572" s="224" t="s">
        <v>2</v>
      </c>
      <c r="F10572" s="515" t="s">
        <v>11767</v>
      </c>
      <c r="G10572" s="52">
        <v>269742.07744038</v>
      </c>
      <c r="H10572" s="56">
        <v>9.9275873832912226E-2</v>
      </c>
      <c r="I10572" s="224" t="s">
        <v>2</v>
      </c>
    </row>
    <row r="10573" spans="1:9" x14ac:dyDescent="0.25">
      <c r="A10573" s="515">
        <v>6234</v>
      </c>
      <c r="B10573" s="515" t="s">
        <v>751</v>
      </c>
      <c r="C10573" s="52">
        <v>323942.33288835199</v>
      </c>
      <c r="D10573" s="56">
        <v>7.7452946931614849E-2</v>
      </c>
      <c r="E10573" s="224" t="s">
        <v>2</v>
      </c>
      <c r="F10573" s="515" t="s">
        <v>11768</v>
      </c>
      <c r="G10573" s="52">
        <v>204506.640339003</v>
      </c>
      <c r="H10573" s="56">
        <v>6.4961599208287493E-2</v>
      </c>
      <c r="I10573" s="224" t="s">
        <v>2</v>
      </c>
    </row>
    <row r="10574" spans="1:9" x14ac:dyDescent="0.25">
      <c r="A10574" s="515">
        <v>14141</v>
      </c>
      <c r="B10574" s="515" t="s">
        <v>336</v>
      </c>
      <c r="C10574" s="52">
        <v>213217.29042643699</v>
      </c>
      <c r="D10574" s="56">
        <v>6.2265342217124348E-2</v>
      </c>
      <c r="E10574" s="224" t="s">
        <v>2</v>
      </c>
      <c r="F10574" s="515" t="s">
        <v>11769</v>
      </c>
      <c r="G10574" s="52">
        <v>288684.83555382502</v>
      </c>
      <c r="H10574" s="56">
        <v>5.0314329447579652E-2</v>
      </c>
      <c r="I10574" s="224" t="s">
        <v>2</v>
      </c>
    </row>
    <row r="10575" spans="1:9" x14ac:dyDescent="0.25">
      <c r="A10575" s="515">
        <v>36323</v>
      </c>
      <c r="B10575" s="515" t="s">
        <v>1013</v>
      </c>
      <c r="C10575" s="52">
        <v>115268.469481149</v>
      </c>
      <c r="D10575" s="56">
        <v>4.3777498389409454E-2</v>
      </c>
      <c r="E10575" s="224" t="s">
        <v>2</v>
      </c>
      <c r="F10575" s="515" t="s">
        <v>11770</v>
      </c>
      <c r="G10575" s="52">
        <v>126002.655217425</v>
      </c>
      <c r="H10575" s="56">
        <v>0.15253986756525534</v>
      </c>
      <c r="I10575" s="224" t="s">
        <v>2</v>
      </c>
    </row>
    <row r="10576" spans="1:9" x14ac:dyDescent="0.25">
      <c r="A10576" s="515">
        <v>2054</v>
      </c>
      <c r="B10576" s="515" t="s">
        <v>534</v>
      </c>
      <c r="C10576" s="52">
        <v>556772.11535964895</v>
      </c>
      <c r="D10576" s="56">
        <v>6.4273904069480012E-2</v>
      </c>
      <c r="E10576" s="224" t="s">
        <v>2</v>
      </c>
      <c r="F10576" s="515" t="s">
        <v>11771</v>
      </c>
      <c r="G10576" s="52">
        <v>75294.394365542103</v>
      </c>
      <c r="H10576" s="56">
        <v>9.2050390377709776E-2</v>
      </c>
      <c r="I10576" s="224" t="s">
        <v>2</v>
      </c>
    </row>
    <row r="10577" spans="1:9" x14ac:dyDescent="0.25">
      <c r="A10577" s="515">
        <v>85194</v>
      </c>
      <c r="B10577" s="515" t="s">
        <v>563</v>
      </c>
      <c r="C10577" s="52">
        <v>372002.86888268503</v>
      </c>
      <c r="D10577" s="56">
        <v>4.990456865492781E-2</v>
      </c>
      <c r="E10577" s="224" t="s">
        <v>2</v>
      </c>
      <c r="F10577" s="515" t="s">
        <v>11772</v>
      </c>
      <c r="G10577" s="52">
        <v>72254.650083900895</v>
      </c>
      <c r="H10577" s="56">
        <v>6.9530232496577707E-2</v>
      </c>
      <c r="I10577" s="224" t="s">
        <v>2</v>
      </c>
    </row>
    <row r="10578" spans="1:9" x14ac:dyDescent="0.25">
      <c r="A10578" s="515">
        <v>18644</v>
      </c>
      <c r="B10578" s="515" t="s">
        <v>512</v>
      </c>
      <c r="C10578" s="52">
        <v>183560.57196189399</v>
      </c>
      <c r="D10578" s="56">
        <v>5.0569142269313583E-2</v>
      </c>
      <c r="E10578" s="224" t="s">
        <v>2</v>
      </c>
      <c r="F10578" s="515" t="s">
        <v>11773</v>
      </c>
      <c r="G10578" s="52">
        <v>122237.971295868</v>
      </c>
      <c r="H10578" s="56">
        <v>0.11488188729609411</v>
      </c>
      <c r="I10578" s="224" t="s">
        <v>2</v>
      </c>
    </row>
    <row r="10579" spans="1:9" x14ac:dyDescent="0.25">
      <c r="A10579" s="515">
        <v>52411</v>
      </c>
      <c r="B10579" s="515" t="s">
        <v>404</v>
      </c>
      <c r="C10579" s="52">
        <v>397510.99206179602</v>
      </c>
      <c r="D10579" s="56">
        <v>5.2062027022442607E-2</v>
      </c>
      <c r="E10579" s="224" t="s">
        <v>2</v>
      </c>
      <c r="F10579" s="515" t="s">
        <v>11774</v>
      </c>
      <c r="G10579" s="52">
        <v>189914.01287283099</v>
      </c>
      <c r="H10579" s="56">
        <v>0.12198211762902868</v>
      </c>
      <c r="I10579" s="224" t="s">
        <v>2</v>
      </c>
    </row>
    <row r="10580" spans="1:9" x14ac:dyDescent="0.25">
      <c r="A10580" s="515">
        <v>12159</v>
      </c>
      <c r="B10580" s="515" t="s">
        <v>609</v>
      </c>
      <c r="C10580" s="52">
        <v>464732.85011241201</v>
      </c>
      <c r="D10580" s="56">
        <v>7.342657381644091E-2</v>
      </c>
      <c r="E10580" s="224" t="s">
        <v>2</v>
      </c>
      <c r="F10580" s="515" t="s">
        <v>11775</v>
      </c>
      <c r="G10580" s="52">
        <v>305051.10494922899</v>
      </c>
      <c r="H10580" s="56">
        <v>-2.3965109342555541E-2</v>
      </c>
      <c r="I10580" s="224" t="s">
        <v>2</v>
      </c>
    </row>
    <row r="10581" spans="1:9" x14ac:dyDescent="0.25">
      <c r="A10581" s="515">
        <v>13035</v>
      </c>
      <c r="B10581" s="515" t="s">
        <v>361</v>
      </c>
      <c r="C10581" s="52">
        <v>321706.22160956799</v>
      </c>
      <c r="D10581" s="56">
        <v>0.10355007432648181</v>
      </c>
      <c r="E10581" s="224" t="s">
        <v>2</v>
      </c>
      <c r="F10581" s="515" t="s">
        <v>11776</v>
      </c>
      <c r="G10581" s="52">
        <v>434718.28337577399</v>
      </c>
      <c r="H10581" s="56">
        <v>4.9456300807952498E-2</v>
      </c>
      <c r="I10581" s="224" t="s">
        <v>2</v>
      </c>
    </row>
    <row r="10582" spans="1:9" x14ac:dyDescent="0.25">
      <c r="A10582" s="515">
        <v>47394</v>
      </c>
      <c r="C10582" s="52">
        <v>122341.53479568601</v>
      </c>
      <c r="D10582" s="56">
        <v>7.2882582795434872E-2</v>
      </c>
      <c r="E10582" s="224" t="s">
        <v>2</v>
      </c>
      <c r="F10582" s="515" t="s">
        <v>11777</v>
      </c>
      <c r="G10582" s="52">
        <v>340849.42742878699</v>
      </c>
      <c r="H10582" s="56">
        <v>0.10660405916527821</v>
      </c>
      <c r="I10582" s="224" t="s">
        <v>2</v>
      </c>
    </row>
    <row r="10583" spans="1:9" x14ac:dyDescent="0.25">
      <c r="A10583" s="515">
        <v>93449</v>
      </c>
      <c r="B10583" s="515" t="s">
        <v>959</v>
      </c>
      <c r="C10583" s="52">
        <v>1171983.2791089001</v>
      </c>
      <c r="D10583" s="56">
        <v>7.8094274675862149E-2</v>
      </c>
      <c r="E10583" s="224">
        <v>3112.5</v>
      </c>
      <c r="F10583" s="515" t="s">
        <v>11778</v>
      </c>
      <c r="G10583" s="52">
        <v>115823.370010339</v>
      </c>
      <c r="H10583" s="56">
        <v>0.11842085344589848</v>
      </c>
      <c r="I10583" s="224" t="s">
        <v>2</v>
      </c>
    </row>
    <row r="10584" spans="1:9" x14ac:dyDescent="0.25">
      <c r="A10584" s="515">
        <v>1519</v>
      </c>
      <c r="B10584" s="515" t="s">
        <v>751</v>
      </c>
      <c r="C10584" s="52">
        <v>548776.85337796295</v>
      </c>
      <c r="D10584" s="56">
        <v>7.5461301214602136E-2</v>
      </c>
      <c r="E10584" s="224" t="s">
        <v>2</v>
      </c>
      <c r="F10584" s="515" t="s">
        <v>11779</v>
      </c>
      <c r="G10584" s="52">
        <v>409784.72923412902</v>
      </c>
      <c r="H10584" s="56">
        <v>5.5147865189613419E-2</v>
      </c>
      <c r="I10584" s="224" t="s">
        <v>2</v>
      </c>
    </row>
    <row r="10585" spans="1:9" x14ac:dyDescent="0.25">
      <c r="A10585" s="515">
        <v>1473</v>
      </c>
      <c r="B10585" s="515" t="s">
        <v>751</v>
      </c>
      <c r="C10585" s="52">
        <v>435742.37226120598</v>
      </c>
      <c r="D10585" s="56">
        <v>9.183935967500699E-2</v>
      </c>
      <c r="E10585" s="224" t="s">
        <v>2</v>
      </c>
      <c r="F10585" s="515" t="s">
        <v>11780</v>
      </c>
      <c r="G10585" s="52">
        <v>325290.923749785</v>
      </c>
      <c r="H10585" s="56">
        <v>-2.0065189481291927E-2</v>
      </c>
      <c r="I10585" s="224" t="s">
        <v>2</v>
      </c>
    </row>
    <row r="10586" spans="1:9" x14ac:dyDescent="0.25">
      <c r="A10586" s="515">
        <v>46701</v>
      </c>
      <c r="B10586" s="515" t="s">
        <v>1058</v>
      </c>
      <c r="C10586" s="52">
        <v>205097.56934788101</v>
      </c>
      <c r="D10586" s="56">
        <v>9.5332381432548186E-2</v>
      </c>
      <c r="E10586" s="224" t="s">
        <v>2</v>
      </c>
      <c r="F10586" s="515" t="s">
        <v>11781</v>
      </c>
      <c r="G10586" s="52">
        <v>405715.98340255901</v>
      </c>
      <c r="H10586" s="56">
        <v>6.2810448487881088E-2</v>
      </c>
      <c r="I10586" s="224" t="s">
        <v>2</v>
      </c>
    </row>
    <row r="10587" spans="1:9" x14ac:dyDescent="0.25">
      <c r="A10587" s="515">
        <v>37825</v>
      </c>
      <c r="C10587" s="52">
        <v>185315.35437318301</v>
      </c>
      <c r="D10587" s="56">
        <v>4.113642644422999E-2</v>
      </c>
      <c r="E10587" s="224" t="s">
        <v>2</v>
      </c>
      <c r="F10587" s="515" t="s">
        <v>11782</v>
      </c>
      <c r="G10587" s="52">
        <v>320080.49154961901</v>
      </c>
      <c r="H10587" s="56">
        <v>8.2114892604682785E-2</v>
      </c>
      <c r="I10587" s="224" t="s">
        <v>2</v>
      </c>
    </row>
    <row r="10588" spans="1:9" x14ac:dyDescent="0.25">
      <c r="A10588" s="515">
        <v>71343</v>
      </c>
      <c r="C10588" s="52">
        <v>103305.795792939</v>
      </c>
      <c r="D10588" s="56">
        <v>5.8374829087219082E-2</v>
      </c>
      <c r="E10588" s="224" t="s">
        <v>2</v>
      </c>
      <c r="F10588" s="515" t="s">
        <v>11783</v>
      </c>
      <c r="G10588" s="52">
        <v>363882.16793092398</v>
      </c>
      <c r="H10588" s="56">
        <v>1.5233389019011981E-2</v>
      </c>
      <c r="I10588" s="224" t="s">
        <v>2</v>
      </c>
    </row>
    <row r="10589" spans="1:9" x14ac:dyDescent="0.25">
      <c r="A10589" s="515">
        <v>20833</v>
      </c>
      <c r="B10589" s="515" t="s">
        <v>321</v>
      </c>
      <c r="C10589" s="52">
        <v>708138.73820711696</v>
      </c>
      <c r="D10589" s="56">
        <v>2.8925476404139946E-2</v>
      </c>
      <c r="E10589" s="224" t="s">
        <v>2</v>
      </c>
      <c r="F10589" s="515" t="s">
        <v>11784</v>
      </c>
      <c r="G10589" s="52">
        <v>176608.63643534001</v>
      </c>
      <c r="H10589" s="56">
        <v>3.4669134659925702E-2</v>
      </c>
      <c r="I10589" s="224" t="s">
        <v>2</v>
      </c>
    </row>
    <row r="10590" spans="1:9" x14ac:dyDescent="0.25">
      <c r="A10590" s="515">
        <v>76692</v>
      </c>
      <c r="C10590" s="52">
        <v>194818.11606548601</v>
      </c>
      <c r="D10590" s="56">
        <v>8.4250994466941634E-2</v>
      </c>
      <c r="E10590" s="224" t="s">
        <v>2</v>
      </c>
      <c r="F10590" s="515" t="s">
        <v>11785</v>
      </c>
      <c r="G10590" s="52">
        <v>270823.28678071499</v>
      </c>
      <c r="H10590" s="56">
        <v>6.3396045271721088E-2</v>
      </c>
      <c r="I10590" s="224" t="s">
        <v>2</v>
      </c>
    </row>
    <row r="10591" spans="1:9" x14ac:dyDescent="0.25">
      <c r="A10591" s="515">
        <v>43011</v>
      </c>
      <c r="B10591" s="515" t="s">
        <v>341</v>
      </c>
      <c r="C10591" s="52">
        <v>325559.241739641</v>
      </c>
      <c r="D10591" s="56">
        <v>0.10273734333801701</v>
      </c>
      <c r="E10591" s="224" t="s">
        <v>2</v>
      </c>
      <c r="F10591" s="515" t="s">
        <v>11786</v>
      </c>
      <c r="G10591" s="52">
        <v>555105.46285714197</v>
      </c>
      <c r="H10591" s="56">
        <v>0</v>
      </c>
      <c r="I10591" s="224" t="s">
        <v>2</v>
      </c>
    </row>
    <row r="10592" spans="1:9" x14ac:dyDescent="0.25">
      <c r="A10592" s="515">
        <v>66227</v>
      </c>
      <c r="B10592" s="515" t="s">
        <v>455</v>
      </c>
      <c r="C10592" s="52">
        <v>493922.46939099598</v>
      </c>
      <c r="D10592" s="56">
        <v>7.8089441053052489E-2</v>
      </c>
      <c r="E10592" s="224" t="s">
        <v>2</v>
      </c>
      <c r="F10592" s="515" t="s">
        <v>11787</v>
      </c>
      <c r="G10592" s="52">
        <v>185163.25385790001</v>
      </c>
      <c r="H10592" s="56">
        <v>6.5107082176228931E-2</v>
      </c>
      <c r="I10592" s="224" t="s">
        <v>2</v>
      </c>
    </row>
    <row r="10593" spans="1:9" x14ac:dyDescent="0.25">
      <c r="A10593" s="515">
        <v>11933</v>
      </c>
      <c r="B10593" s="515" t="s">
        <v>324</v>
      </c>
      <c r="C10593" s="52">
        <v>529956.31471603794</v>
      </c>
      <c r="D10593" s="56">
        <v>6.1604399990893628E-2</v>
      </c>
      <c r="E10593" s="224" t="s">
        <v>2</v>
      </c>
      <c r="F10593" s="515" t="s">
        <v>11788</v>
      </c>
      <c r="G10593" s="52">
        <v>148634.02776567201</v>
      </c>
      <c r="H10593" s="56">
        <v>5.7457605114998901E-2</v>
      </c>
      <c r="I10593" s="224" t="s">
        <v>2</v>
      </c>
    </row>
    <row r="10594" spans="1:9" x14ac:dyDescent="0.25">
      <c r="A10594" s="515">
        <v>77371</v>
      </c>
      <c r="C10594" s="52">
        <v>146608.16984394501</v>
      </c>
      <c r="D10594" s="56">
        <v>-6.790926017180493E-2</v>
      </c>
      <c r="E10594" s="224" t="s">
        <v>2</v>
      </c>
      <c r="F10594" s="515" t="s">
        <v>11789</v>
      </c>
      <c r="G10594" s="52">
        <v>309697.54191309802</v>
      </c>
      <c r="H10594" s="56">
        <v>0.13386416228311113</v>
      </c>
      <c r="I10594" s="224" t="s">
        <v>2</v>
      </c>
    </row>
    <row r="10595" spans="1:9" x14ac:dyDescent="0.25">
      <c r="A10595" s="515">
        <v>65453</v>
      </c>
      <c r="C10595" s="52">
        <v>185614.986205753</v>
      </c>
      <c r="D10595" s="56">
        <v>5.2471925139052661E-2</v>
      </c>
      <c r="E10595" s="224" t="s">
        <v>2</v>
      </c>
      <c r="F10595" s="515" t="s">
        <v>11790</v>
      </c>
      <c r="G10595" s="52">
        <v>108967.385061109</v>
      </c>
      <c r="H10595" s="56">
        <v>3.3998511308521939E-2</v>
      </c>
      <c r="I10595" s="224" t="s">
        <v>2</v>
      </c>
    </row>
    <row r="10596" spans="1:9" x14ac:dyDescent="0.25">
      <c r="A10596" s="515">
        <v>2466</v>
      </c>
      <c r="B10596" s="515" t="s">
        <v>534</v>
      </c>
      <c r="C10596" s="52">
        <v>1145211.13593472</v>
      </c>
      <c r="D10596" s="56">
        <v>3.6540987214667982E-2</v>
      </c>
      <c r="E10596" s="224">
        <v>3318.1111111111099</v>
      </c>
      <c r="F10596" s="515" t="s">
        <v>11791</v>
      </c>
      <c r="G10596" s="52">
        <v>148687.30693286701</v>
      </c>
      <c r="H10596" s="56">
        <v>2.7451611220860338E-2</v>
      </c>
      <c r="I10596" s="224" t="s">
        <v>2</v>
      </c>
    </row>
    <row r="10597" spans="1:9" x14ac:dyDescent="0.25">
      <c r="A10597" s="515">
        <v>15131</v>
      </c>
      <c r="B10597" s="515" t="s">
        <v>297</v>
      </c>
      <c r="C10597" s="52">
        <v>158413.454435664</v>
      </c>
      <c r="D10597" s="56">
        <v>7.2160517518859393E-2</v>
      </c>
      <c r="E10597" s="224" t="s">
        <v>2</v>
      </c>
      <c r="F10597" s="515" t="s">
        <v>11792</v>
      </c>
      <c r="G10597" s="52">
        <v>176585.78873212801</v>
      </c>
      <c r="H10597" s="56">
        <v>4.1490434223421691E-2</v>
      </c>
      <c r="I10597" s="224" t="s">
        <v>2</v>
      </c>
    </row>
    <row r="10598" spans="1:9" x14ac:dyDescent="0.25">
      <c r="A10598" s="515">
        <v>89029</v>
      </c>
      <c r="B10598" s="515" t="s">
        <v>323</v>
      </c>
      <c r="C10598" s="52">
        <v>250027.16360658</v>
      </c>
      <c r="D10598" s="56">
        <v>8.1742536260071844E-2</v>
      </c>
      <c r="E10598" s="224">
        <v>1205.44444444444</v>
      </c>
      <c r="F10598" s="515" t="s">
        <v>11793</v>
      </c>
      <c r="G10598" s="52">
        <v>224486.19836479699</v>
      </c>
      <c r="H10598" s="56">
        <v>9.2282806780944929E-2</v>
      </c>
      <c r="I10598" s="224" t="s">
        <v>2</v>
      </c>
    </row>
    <row r="10599" spans="1:9" x14ac:dyDescent="0.25">
      <c r="A10599" s="515">
        <v>6052</v>
      </c>
      <c r="B10599" s="515" t="s">
        <v>894</v>
      </c>
      <c r="C10599" s="52">
        <v>270995.57624437503</v>
      </c>
      <c r="D10599" s="56">
        <v>0.11145074835923859</v>
      </c>
      <c r="E10599" s="224" t="s">
        <v>2</v>
      </c>
      <c r="F10599" s="515" t="s">
        <v>11794</v>
      </c>
      <c r="G10599" s="52">
        <v>218642.57755330001</v>
      </c>
      <c r="H10599" s="56">
        <v>4.5169098711219088E-2</v>
      </c>
      <c r="I10599" s="224" t="s">
        <v>2</v>
      </c>
    </row>
    <row r="10600" spans="1:9" x14ac:dyDescent="0.25">
      <c r="A10600" s="515">
        <v>17584</v>
      </c>
      <c r="B10600" s="515" t="s">
        <v>537</v>
      </c>
      <c r="C10600" s="52">
        <v>311469.59314531198</v>
      </c>
      <c r="D10600" s="56">
        <v>8.0841771119696065E-2</v>
      </c>
      <c r="E10600" s="224" t="s">
        <v>2</v>
      </c>
      <c r="F10600" s="515" t="s">
        <v>11795</v>
      </c>
      <c r="G10600" s="52">
        <v>149020.261741636</v>
      </c>
      <c r="H10600" s="56">
        <v>0.13708220899394941</v>
      </c>
      <c r="I10600" s="224" t="s">
        <v>2</v>
      </c>
    </row>
    <row r="10601" spans="1:9" x14ac:dyDescent="0.25">
      <c r="A10601" s="515">
        <v>38344</v>
      </c>
      <c r="C10601" s="52">
        <v>154107.35467098901</v>
      </c>
      <c r="D10601" s="56">
        <v>0.10092479786254317</v>
      </c>
      <c r="E10601" s="224" t="s">
        <v>2</v>
      </c>
      <c r="F10601" s="515" t="s">
        <v>11796</v>
      </c>
      <c r="G10601" s="52">
        <v>152259.99568092899</v>
      </c>
      <c r="H10601" s="56">
        <v>4.2874937711934361E-2</v>
      </c>
      <c r="I10601" s="224" t="s">
        <v>2</v>
      </c>
    </row>
    <row r="10602" spans="1:9" x14ac:dyDescent="0.25">
      <c r="A10602" s="515">
        <v>76539</v>
      </c>
      <c r="B10602" s="515" t="s">
        <v>859</v>
      </c>
      <c r="C10602" s="52">
        <v>327182.82114991802</v>
      </c>
      <c r="D10602" s="56">
        <v>0.10821353259830888</v>
      </c>
      <c r="E10602" s="224" t="s">
        <v>2</v>
      </c>
      <c r="F10602" s="515" t="s">
        <v>11797</v>
      </c>
      <c r="G10602" s="52">
        <v>169673.853835755</v>
      </c>
      <c r="H10602" s="56">
        <v>5.073475913793192E-2</v>
      </c>
      <c r="I10602" s="224" t="s">
        <v>2</v>
      </c>
    </row>
    <row r="10603" spans="1:9" x14ac:dyDescent="0.25">
      <c r="A10603" s="515">
        <v>55976</v>
      </c>
      <c r="B10603" s="515" t="s">
        <v>470</v>
      </c>
      <c r="C10603" s="52">
        <v>284027.80297880899</v>
      </c>
      <c r="D10603" s="56">
        <v>5.0621580790110053E-2</v>
      </c>
      <c r="E10603" s="224" t="s">
        <v>2</v>
      </c>
      <c r="F10603" s="515" t="s">
        <v>11798</v>
      </c>
      <c r="G10603" s="52">
        <v>177569.87903452801</v>
      </c>
      <c r="H10603" s="56">
        <v>7.9457861442114294E-2</v>
      </c>
      <c r="I10603" s="224" t="s">
        <v>2</v>
      </c>
    </row>
    <row r="10604" spans="1:9" x14ac:dyDescent="0.25">
      <c r="A10604" s="515">
        <v>28690</v>
      </c>
      <c r="B10604" s="515" t="s">
        <v>638</v>
      </c>
      <c r="C10604" s="52">
        <v>209844.153027869</v>
      </c>
      <c r="D10604" s="56">
        <v>0.15600246729862369</v>
      </c>
      <c r="E10604" s="224" t="s">
        <v>2</v>
      </c>
      <c r="F10604" s="515" t="s">
        <v>11799</v>
      </c>
      <c r="G10604" s="52">
        <v>298699.66606048198</v>
      </c>
      <c r="H10604" s="56">
        <v>3.9587705492497495E-2</v>
      </c>
      <c r="I10604" s="224" t="s">
        <v>2</v>
      </c>
    </row>
    <row r="10605" spans="1:9" x14ac:dyDescent="0.25">
      <c r="A10605" s="515">
        <v>23970</v>
      </c>
      <c r="C10605" s="52">
        <v>157411.69850169399</v>
      </c>
      <c r="D10605" s="56">
        <v>0.13798605437533754</v>
      </c>
      <c r="E10605" s="224" t="s">
        <v>2</v>
      </c>
      <c r="F10605" s="515" t="s">
        <v>11800</v>
      </c>
      <c r="G10605" s="52">
        <v>153374.685684203</v>
      </c>
      <c r="H10605" s="56">
        <v>6.3175199969796286E-2</v>
      </c>
      <c r="I10605" s="224" t="s">
        <v>2</v>
      </c>
    </row>
    <row r="10606" spans="1:9" x14ac:dyDescent="0.25">
      <c r="A10606" s="515">
        <v>51360</v>
      </c>
      <c r="B10606" s="515" t="s">
        <v>932</v>
      </c>
      <c r="C10606" s="52">
        <v>342714.04973262502</v>
      </c>
      <c r="D10606" s="56">
        <v>8.2340676666862525E-2</v>
      </c>
      <c r="E10606" s="224" t="s">
        <v>2</v>
      </c>
      <c r="F10606" s="515" t="s">
        <v>11801</v>
      </c>
      <c r="G10606" s="52">
        <v>223883.215812679</v>
      </c>
      <c r="H10606" s="56">
        <v>0.11122399357980692</v>
      </c>
      <c r="I10606" s="224" t="s">
        <v>2</v>
      </c>
    </row>
    <row r="10607" spans="1:9" x14ac:dyDescent="0.25">
      <c r="A10607" s="515">
        <v>50321</v>
      </c>
      <c r="B10607" s="515" t="s">
        <v>295</v>
      </c>
      <c r="C10607" s="52">
        <v>304328.539267065</v>
      </c>
      <c r="D10607" s="56">
        <v>5.3937210132121022E-2</v>
      </c>
      <c r="E10607" s="224">
        <v>964.77777777777703</v>
      </c>
      <c r="F10607" s="515" t="s">
        <v>11802</v>
      </c>
      <c r="G10607" s="52">
        <v>103324.366877163</v>
      </c>
      <c r="H10607" s="56">
        <v>8.9013789769269422E-2</v>
      </c>
      <c r="I10607" s="224" t="s">
        <v>2</v>
      </c>
    </row>
    <row r="10608" spans="1:9" x14ac:dyDescent="0.25">
      <c r="A10608" s="515">
        <v>61951</v>
      </c>
      <c r="C10608" s="52">
        <v>131528.11078306101</v>
      </c>
      <c r="D10608" s="56">
        <v>4.9196697220869161E-2</v>
      </c>
      <c r="E10608" s="224" t="s">
        <v>2</v>
      </c>
      <c r="F10608" s="515" t="s">
        <v>11803</v>
      </c>
      <c r="G10608" s="52">
        <v>204861.374422283</v>
      </c>
      <c r="H10608" s="56">
        <v>-3.5452419924789681E-2</v>
      </c>
      <c r="I10608" s="224" t="s">
        <v>2</v>
      </c>
    </row>
    <row r="10609" spans="1:9" x14ac:dyDescent="0.25">
      <c r="A10609" s="515">
        <v>59911</v>
      </c>
      <c r="C10609" s="52">
        <v>748779.28985861898</v>
      </c>
      <c r="D10609" s="56">
        <v>0.11400670488383757</v>
      </c>
      <c r="E10609" s="224" t="s">
        <v>2</v>
      </c>
      <c r="F10609" s="515" t="s">
        <v>11804</v>
      </c>
      <c r="G10609" s="52">
        <v>290035.33969244099</v>
      </c>
      <c r="H10609" s="56">
        <v>8.985674151100545E-2</v>
      </c>
      <c r="I10609" s="224" t="s">
        <v>2</v>
      </c>
    </row>
    <row r="10610" spans="1:9" x14ac:dyDescent="0.25">
      <c r="A10610" s="515">
        <v>80615</v>
      </c>
      <c r="B10610" s="515" t="s">
        <v>382</v>
      </c>
      <c r="C10610" s="52">
        <v>494599.385047558</v>
      </c>
      <c r="D10610" s="56">
        <v>3.886351300894441E-2</v>
      </c>
      <c r="E10610" s="224" t="s">
        <v>2</v>
      </c>
      <c r="F10610" s="515" t="s">
        <v>11805</v>
      </c>
      <c r="G10610" s="52">
        <v>174756.096700383</v>
      </c>
      <c r="H10610" s="56">
        <v>0.14866980559070977</v>
      </c>
      <c r="I10610" s="224" t="s">
        <v>2</v>
      </c>
    </row>
    <row r="10611" spans="1:9" x14ac:dyDescent="0.25">
      <c r="A10611" s="515">
        <v>78112</v>
      </c>
      <c r="B10611" s="515" t="s">
        <v>717</v>
      </c>
      <c r="C10611" s="52">
        <v>223176.30748881301</v>
      </c>
      <c r="D10611" s="56">
        <v>8.1849385895283525E-2</v>
      </c>
      <c r="E10611" s="224" t="s">
        <v>2</v>
      </c>
      <c r="F10611" s="515" t="s">
        <v>11806</v>
      </c>
      <c r="G10611" s="52">
        <v>1043757.34999407</v>
      </c>
      <c r="H10611" s="56">
        <v>0.1031303730185868</v>
      </c>
      <c r="I10611" s="224" t="s">
        <v>2</v>
      </c>
    </row>
    <row r="10612" spans="1:9" x14ac:dyDescent="0.25">
      <c r="A10612" s="515">
        <v>48519</v>
      </c>
      <c r="B10612" s="515" t="s">
        <v>759</v>
      </c>
      <c r="C10612" s="52">
        <v>154981.99974937999</v>
      </c>
      <c r="D10612" s="56">
        <v>3.9468725993512768E-2</v>
      </c>
      <c r="E10612" s="224">
        <v>1149</v>
      </c>
      <c r="F10612" s="515" t="s">
        <v>11807</v>
      </c>
      <c r="G10612" s="52">
        <v>214171.38503383601</v>
      </c>
      <c r="H10612" s="56">
        <v>2.0859778949816051E-2</v>
      </c>
      <c r="I10612" s="224" t="s">
        <v>2</v>
      </c>
    </row>
    <row r="10613" spans="1:9" x14ac:dyDescent="0.25">
      <c r="A10613" s="515">
        <v>59330</v>
      </c>
      <c r="C10613" s="52">
        <v>209570.50423714999</v>
      </c>
      <c r="D10613" s="56">
        <v>2.5945224408007003E-2</v>
      </c>
      <c r="E10613" s="224" t="s">
        <v>2</v>
      </c>
      <c r="F10613" s="515" t="s">
        <v>11808</v>
      </c>
      <c r="G10613" s="52">
        <v>115589.23810906999</v>
      </c>
      <c r="H10613" s="56">
        <v>-4.0893486713912526E-2</v>
      </c>
      <c r="I10613" s="224" t="s">
        <v>2</v>
      </c>
    </row>
    <row r="10614" spans="1:9" x14ac:dyDescent="0.25">
      <c r="A10614" s="515">
        <v>10920</v>
      </c>
      <c r="B10614" s="515" t="s">
        <v>324</v>
      </c>
      <c r="C10614" s="52">
        <v>545110.56768586498</v>
      </c>
      <c r="D10614" s="56">
        <v>4.4706674216055321E-2</v>
      </c>
      <c r="E10614" s="224" t="s">
        <v>2</v>
      </c>
      <c r="F10614" s="515" t="s">
        <v>11809</v>
      </c>
      <c r="G10614" s="52">
        <v>53811.762962025903</v>
      </c>
      <c r="H10614" s="56">
        <v>-3.9377619589049577E-3</v>
      </c>
      <c r="I10614" s="224" t="s">
        <v>2</v>
      </c>
    </row>
    <row r="10615" spans="1:9" x14ac:dyDescent="0.25">
      <c r="A10615" s="515">
        <v>39525</v>
      </c>
      <c r="B10615" s="515" t="s">
        <v>963</v>
      </c>
      <c r="C10615" s="52">
        <v>232655.276472714</v>
      </c>
      <c r="D10615" s="56">
        <v>7.13869393197923E-2</v>
      </c>
      <c r="E10615" s="224" t="s">
        <v>2</v>
      </c>
      <c r="F10615" s="515" t="s">
        <v>11810</v>
      </c>
      <c r="G10615" s="52">
        <v>153384.289326695</v>
      </c>
      <c r="H10615" s="56">
        <v>8.8851527858653509E-2</v>
      </c>
      <c r="I10615" s="224" t="s">
        <v>2</v>
      </c>
    </row>
    <row r="10616" spans="1:9" x14ac:dyDescent="0.25">
      <c r="A10616" s="515">
        <v>39842</v>
      </c>
      <c r="B10616" s="515" t="s">
        <v>746</v>
      </c>
      <c r="C10616" s="52">
        <v>95021.1054741681</v>
      </c>
      <c r="D10616" s="56">
        <v>0.16444870269561826</v>
      </c>
      <c r="E10616" s="224" t="s">
        <v>2</v>
      </c>
      <c r="F10616" s="515" t="s">
        <v>11811</v>
      </c>
      <c r="G10616" s="52">
        <v>263030.540664614</v>
      </c>
      <c r="H10616" s="56">
        <v>9.94122616117874E-2</v>
      </c>
      <c r="I10616" s="224" t="s">
        <v>2</v>
      </c>
    </row>
    <row r="10617" spans="1:9" x14ac:dyDescent="0.25">
      <c r="A10617" s="515">
        <v>27043</v>
      </c>
      <c r="B10617" s="515" t="s">
        <v>735</v>
      </c>
      <c r="C10617" s="52">
        <v>223064.70256694299</v>
      </c>
      <c r="D10617" s="56">
        <v>0.13398686706719998</v>
      </c>
      <c r="E10617" s="224" t="s">
        <v>2</v>
      </c>
      <c r="F10617" s="515" t="s">
        <v>11812</v>
      </c>
      <c r="G10617" s="52">
        <v>167701.500488002</v>
      </c>
      <c r="H10617" s="56">
        <v>0.10602126673882059</v>
      </c>
      <c r="I10617" s="224" t="s">
        <v>2</v>
      </c>
    </row>
    <row r="10618" spans="1:9" x14ac:dyDescent="0.25">
      <c r="A10618" s="515">
        <v>50035</v>
      </c>
      <c r="B10618" s="515" t="s">
        <v>295</v>
      </c>
      <c r="C10618" s="52">
        <v>303196.76063429</v>
      </c>
      <c r="D10618" s="56">
        <v>4.7815614231472854E-2</v>
      </c>
      <c r="E10618" s="224" t="s">
        <v>2</v>
      </c>
      <c r="F10618" s="515" t="s">
        <v>11813</v>
      </c>
      <c r="G10618" s="52">
        <v>221564.65397925</v>
      </c>
      <c r="H10618" s="56">
        <v>0.14118571908821775</v>
      </c>
      <c r="I10618" s="224" t="s">
        <v>2</v>
      </c>
    </row>
    <row r="10619" spans="1:9" x14ac:dyDescent="0.25">
      <c r="A10619" s="515">
        <v>76060</v>
      </c>
      <c r="B10619" s="515" t="s">
        <v>458</v>
      </c>
      <c r="C10619" s="52">
        <v>380339.72045124101</v>
      </c>
      <c r="D10619" s="56">
        <v>8.550293702481844E-2</v>
      </c>
      <c r="E10619" s="224" t="s">
        <v>2</v>
      </c>
      <c r="F10619" s="515" t="s">
        <v>11814</v>
      </c>
      <c r="G10619" s="52">
        <v>411148.52958786697</v>
      </c>
      <c r="H10619" s="56">
        <v>8.4224919862521896E-2</v>
      </c>
      <c r="I10619" s="224" t="s">
        <v>2</v>
      </c>
    </row>
    <row r="10620" spans="1:9" x14ac:dyDescent="0.25">
      <c r="A10620" s="515">
        <v>49031</v>
      </c>
      <c r="B10620" s="515" t="s">
        <v>1002</v>
      </c>
      <c r="C10620" s="52">
        <v>208830.56651037699</v>
      </c>
      <c r="D10620" s="56">
        <v>6.284758484673067E-2</v>
      </c>
      <c r="E10620" s="224" t="s">
        <v>2</v>
      </c>
      <c r="F10620" s="515" t="s">
        <v>11815</v>
      </c>
      <c r="G10620" s="52">
        <v>143428.23223579201</v>
      </c>
      <c r="H10620" s="56">
        <v>9.5626567986972347E-2</v>
      </c>
      <c r="I10620" s="224" t="s">
        <v>2</v>
      </c>
    </row>
    <row r="10621" spans="1:9" x14ac:dyDescent="0.25">
      <c r="A10621" s="515">
        <v>75495</v>
      </c>
      <c r="B10621" s="515" t="s">
        <v>553</v>
      </c>
      <c r="C10621" s="52">
        <v>400923.70101250702</v>
      </c>
      <c r="D10621" s="56">
        <v>9.6408710906567552E-2</v>
      </c>
      <c r="E10621" s="224" t="s">
        <v>2</v>
      </c>
      <c r="F10621" s="515" t="s">
        <v>11816</v>
      </c>
      <c r="G10621" s="52">
        <v>168207.220836605</v>
      </c>
      <c r="H10621" s="56">
        <v>7.411388188137398E-2</v>
      </c>
      <c r="I10621" s="224" t="s">
        <v>2</v>
      </c>
    </row>
    <row r="10622" spans="1:9" x14ac:dyDescent="0.25">
      <c r="A10622" s="515">
        <v>17360</v>
      </c>
      <c r="B10622" s="515" t="s">
        <v>509</v>
      </c>
      <c r="C10622" s="52">
        <v>310426.74842511502</v>
      </c>
      <c r="D10622" s="56">
        <v>7.9298232783954425E-2</v>
      </c>
      <c r="E10622" s="224" t="s">
        <v>2</v>
      </c>
      <c r="F10622" s="515" t="s">
        <v>11817</v>
      </c>
      <c r="G10622" s="52">
        <v>404340.12195121899</v>
      </c>
      <c r="H10622" s="56">
        <v>0</v>
      </c>
      <c r="I10622" s="224" t="s">
        <v>2</v>
      </c>
    </row>
    <row r="10623" spans="1:9" x14ac:dyDescent="0.25">
      <c r="A10623" s="515">
        <v>49329</v>
      </c>
      <c r="B10623" s="515" t="s">
        <v>631</v>
      </c>
      <c r="C10623" s="52">
        <v>212173.436543155</v>
      </c>
      <c r="D10623" s="56">
        <v>4.4687186994340523E-2</v>
      </c>
      <c r="E10623" s="224" t="s">
        <v>2</v>
      </c>
      <c r="F10623" s="515" t="s">
        <v>11818</v>
      </c>
      <c r="G10623" s="52">
        <v>149298.206322638</v>
      </c>
      <c r="H10623" s="56">
        <v>-1.3036641120108714E-2</v>
      </c>
      <c r="I10623" s="224" t="s">
        <v>2</v>
      </c>
    </row>
    <row r="10624" spans="1:9" x14ac:dyDescent="0.25">
      <c r="A10624" s="515">
        <v>34229</v>
      </c>
      <c r="B10624" s="515" t="s">
        <v>466</v>
      </c>
      <c r="C10624" s="52">
        <v>730605.99068582198</v>
      </c>
      <c r="D10624" s="56">
        <v>0.1555147207687845</v>
      </c>
      <c r="E10624" s="224" t="s">
        <v>2</v>
      </c>
      <c r="F10624" s="515" t="s">
        <v>11819</v>
      </c>
      <c r="G10624" s="52">
        <v>177917.64217219001</v>
      </c>
      <c r="H10624" s="56">
        <v>6.5724052840226657E-2</v>
      </c>
      <c r="I10624" s="224" t="s">
        <v>2</v>
      </c>
    </row>
    <row r="10625" spans="1:9" x14ac:dyDescent="0.25">
      <c r="A10625" s="515">
        <v>90077</v>
      </c>
      <c r="B10625" s="515" t="s">
        <v>375</v>
      </c>
      <c r="C10625" s="52">
        <v>2946089.4454468</v>
      </c>
      <c r="D10625" s="56">
        <v>6.9370903443579476E-2</v>
      </c>
      <c r="E10625" s="224">
        <v>9216.5</v>
      </c>
      <c r="F10625" s="515" t="s">
        <v>11820</v>
      </c>
      <c r="G10625" s="52">
        <v>141308.80668949199</v>
      </c>
      <c r="H10625" s="56">
        <v>9.7580623361722352E-2</v>
      </c>
      <c r="I10625" s="224" t="s">
        <v>2</v>
      </c>
    </row>
    <row r="10626" spans="1:9" x14ac:dyDescent="0.25">
      <c r="A10626" s="515">
        <v>46923</v>
      </c>
      <c r="B10626" s="515" t="s">
        <v>433</v>
      </c>
      <c r="C10626" s="52">
        <v>184394.133511494</v>
      </c>
      <c r="D10626" s="56">
        <v>5.9443725208776527E-2</v>
      </c>
      <c r="E10626" s="224" t="s">
        <v>2</v>
      </c>
      <c r="F10626" s="515" t="s">
        <v>11821</v>
      </c>
      <c r="G10626" s="52">
        <v>383180.00582761999</v>
      </c>
      <c r="H10626" s="56">
        <v>3.3322153184503114E-2</v>
      </c>
      <c r="I10626" s="224" t="s">
        <v>2</v>
      </c>
    </row>
    <row r="10627" spans="1:9" x14ac:dyDescent="0.25">
      <c r="A10627" s="515">
        <v>62837</v>
      </c>
      <c r="C10627" s="52">
        <v>80204.353001678101</v>
      </c>
      <c r="D10627" s="56">
        <v>6.3289808741782971E-2</v>
      </c>
      <c r="E10627" s="224" t="s">
        <v>2</v>
      </c>
      <c r="F10627" s="515" t="s">
        <v>11822</v>
      </c>
      <c r="G10627" s="52">
        <v>224464.76224493599</v>
      </c>
      <c r="H10627" s="56">
        <v>6.8629461310880518E-2</v>
      </c>
      <c r="I10627" s="224" t="s">
        <v>2</v>
      </c>
    </row>
    <row r="10628" spans="1:9" x14ac:dyDescent="0.25">
      <c r="A10628" s="515">
        <v>49323</v>
      </c>
      <c r="B10628" s="515" t="s">
        <v>856</v>
      </c>
      <c r="C10628" s="52">
        <v>311668.758573914</v>
      </c>
      <c r="D10628" s="56">
        <v>6.0173648961908147E-2</v>
      </c>
      <c r="E10628" s="224" t="s">
        <v>2</v>
      </c>
      <c r="F10628" s="515" t="s">
        <v>11823</v>
      </c>
      <c r="G10628" s="52">
        <v>218335.15806554101</v>
      </c>
      <c r="H10628" s="56">
        <v>3.5523441892906155E-2</v>
      </c>
      <c r="I10628" s="224" t="s">
        <v>2</v>
      </c>
    </row>
    <row r="10629" spans="1:9" x14ac:dyDescent="0.25">
      <c r="A10629" s="515">
        <v>33981</v>
      </c>
      <c r="B10629" s="515" t="s">
        <v>1030</v>
      </c>
      <c r="C10629" s="52">
        <v>390704.22108853998</v>
      </c>
      <c r="D10629" s="56">
        <v>0.12592691962350952</v>
      </c>
      <c r="E10629" s="224">
        <v>2585.8333333333298</v>
      </c>
      <c r="F10629" s="515" t="s">
        <v>11824</v>
      </c>
      <c r="G10629" s="52">
        <v>101769.23391001399</v>
      </c>
      <c r="H10629" s="56">
        <v>0.13619259664586764</v>
      </c>
      <c r="I10629" s="224" t="s">
        <v>2</v>
      </c>
    </row>
    <row r="10630" spans="1:9" x14ac:dyDescent="0.25">
      <c r="A10630" s="515">
        <v>7033</v>
      </c>
      <c r="B10630" s="515" t="s">
        <v>324</v>
      </c>
      <c r="C10630" s="52">
        <v>477408.348885877</v>
      </c>
      <c r="D10630" s="56">
        <v>1.3736514166177284E-2</v>
      </c>
      <c r="E10630" s="224" t="s">
        <v>2</v>
      </c>
      <c r="F10630" s="515" t="s">
        <v>11825</v>
      </c>
      <c r="G10630" s="52">
        <v>314562.37879619299</v>
      </c>
      <c r="H10630" s="56">
        <v>1.3840806353120128E-2</v>
      </c>
      <c r="I10630" s="224" t="s">
        <v>2</v>
      </c>
    </row>
    <row r="10631" spans="1:9" x14ac:dyDescent="0.25">
      <c r="A10631" s="515">
        <v>44047</v>
      </c>
      <c r="B10631" s="515" t="s">
        <v>592</v>
      </c>
      <c r="C10631" s="52">
        <v>186587.60987177701</v>
      </c>
      <c r="D10631" s="56">
        <v>9.2667870959703899E-2</v>
      </c>
      <c r="E10631" s="224" t="s">
        <v>2</v>
      </c>
      <c r="F10631" s="515" t="s">
        <v>11826</v>
      </c>
      <c r="G10631" s="52">
        <v>121005.943208261</v>
      </c>
      <c r="H10631" s="56">
        <v>0.13371112899289148</v>
      </c>
      <c r="I10631" s="224" t="s">
        <v>2</v>
      </c>
    </row>
    <row r="10632" spans="1:9" x14ac:dyDescent="0.25">
      <c r="A10632" s="515">
        <v>61530</v>
      </c>
      <c r="B10632" s="515" t="s">
        <v>303</v>
      </c>
      <c r="C10632" s="52">
        <v>167917.18705851099</v>
      </c>
      <c r="D10632" s="56">
        <v>4.8838121364791737E-2</v>
      </c>
      <c r="E10632" s="224" t="s">
        <v>2</v>
      </c>
      <c r="F10632" s="515" t="s">
        <v>11827</v>
      </c>
      <c r="G10632" s="52">
        <v>103253.89035838</v>
      </c>
      <c r="H10632" s="56">
        <v>3.8554762570880856E-2</v>
      </c>
      <c r="I10632" s="224" t="s">
        <v>2</v>
      </c>
    </row>
    <row r="10633" spans="1:9" x14ac:dyDescent="0.25">
      <c r="A10633" s="515">
        <v>55115</v>
      </c>
      <c r="B10633" s="515" t="s">
        <v>532</v>
      </c>
      <c r="C10633" s="52">
        <v>456680.36749371298</v>
      </c>
      <c r="D10633" s="56">
        <v>2.6703456512895834E-2</v>
      </c>
      <c r="E10633" s="224" t="s">
        <v>2</v>
      </c>
      <c r="F10633" s="515" t="s">
        <v>11828</v>
      </c>
      <c r="G10633" s="52">
        <v>246586.86732561799</v>
      </c>
      <c r="H10633" s="56">
        <v>5.7459665594905E-2</v>
      </c>
      <c r="I10633" s="224" t="s">
        <v>2</v>
      </c>
    </row>
    <row r="10634" spans="1:9" x14ac:dyDescent="0.25">
      <c r="A10634" s="515">
        <v>59457</v>
      </c>
      <c r="C10634" s="52">
        <v>246011.77680533301</v>
      </c>
      <c r="D10634" s="56">
        <v>7.2886902720568802E-2</v>
      </c>
      <c r="E10634" s="224" t="s">
        <v>2</v>
      </c>
      <c r="F10634" s="515" t="s">
        <v>11829</v>
      </c>
      <c r="G10634" s="52">
        <v>659324.47947766504</v>
      </c>
      <c r="H10634" s="56">
        <v>2.0886689533921924E-2</v>
      </c>
      <c r="I10634" s="224" t="s">
        <v>2</v>
      </c>
    </row>
    <row r="10635" spans="1:9" x14ac:dyDescent="0.25">
      <c r="A10635" s="515">
        <v>15021</v>
      </c>
      <c r="B10635" s="515" t="s">
        <v>297</v>
      </c>
      <c r="C10635" s="52">
        <v>172315.964907421</v>
      </c>
      <c r="D10635" s="56">
        <v>0.11401498715549824</v>
      </c>
      <c r="E10635" s="224" t="s">
        <v>2</v>
      </c>
      <c r="F10635" s="515" t="s">
        <v>11830</v>
      </c>
      <c r="G10635" s="52">
        <v>320876.65931153001</v>
      </c>
      <c r="H10635" s="56">
        <v>8.1859864915082861E-2</v>
      </c>
      <c r="I10635" s="224" t="s">
        <v>2</v>
      </c>
    </row>
    <row r="10636" spans="1:9" x14ac:dyDescent="0.25">
      <c r="A10636" s="515">
        <v>24293</v>
      </c>
      <c r="B10636" s="515" t="s">
        <v>1150</v>
      </c>
      <c r="C10636" s="52">
        <v>148533.63500477301</v>
      </c>
      <c r="D10636" s="56">
        <v>5.4898817278628026E-2</v>
      </c>
      <c r="E10636" s="224" t="s">
        <v>2</v>
      </c>
      <c r="F10636" s="515" t="s">
        <v>11831</v>
      </c>
      <c r="G10636" s="52">
        <v>117225.85206092701</v>
      </c>
      <c r="H10636" s="56">
        <v>4.8564593970155674E-2</v>
      </c>
      <c r="I10636" s="224" t="s">
        <v>2</v>
      </c>
    </row>
    <row r="10637" spans="1:9" x14ac:dyDescent="0.25">
      <c r="A10637" s="515">
        <v>34434</v>
      </c>
      <c r="B10637" s="515" t="s">
        <v>1193</v>
      </c>
      <c r="C10637" s="52">
        <v>256595.87891011601</v>
      </c>
      <c r="D10637" s="56">
        <v>0.11359376605728567</v>
      </c>
      <c r="E10637" s="224" t="s">
        <v>2</v>
      </c>
      <c r="F10637" s="515" t="s">
        <v>11832</v>
      </c>
      <c r="G10637" s="52">
        <v>132608.54901979101</v>
      </c>
      <c r="H10637" s="56">
        <v>4.9444111720788518E-2</v>
      </c>
      <c r="I10637" s="224" t="s">
        <v>2</v>
      </c>
    </row>
    <row r="10638" spans="1:9" x14ac:dyDescent="0.25">
      <c r="A10638" s="515">
        <v>25880</v>
      </c>
      <c r="B10638" s="515" t="s">
        <v>566</v>
      </c>
      <c r="C10638" s="52">
        <v>101269.649589051</v>
      </c>
      <c r="D10638" s="56">
        <v>0.1418155844865783</v>
      </c>
      <c r="E10638" s="224" t="s">
        <v>2</v>
      </c>
      <c r="F10638" s="515" t="s">
        <v>11833</v>
      </c>
      <c r="G10638" s="52">
        <v>133987.33539451301</v>
      </c>
      <c r="H10638" s="56">
        <v>0.1017224561906972</v>
      </c>
      <c r="I10638" s="224" t="s">
        <v>2</v>
      </c>
    </row>
    <row r="10639" spans="1:9" x14ac:dyDescent="0.25">
      <c r="A10639" s="515">
        <v>97370</v>
      </c>
      <c r="B10639" s="515" t="s">
        <v>1094</v>
      </c>
      <c r="C10639" s="52">
        <v>474339.60560070601</v>
      </c>
      <c r="D10639" s="56">
        <v>5.3558167261051962E-2</v>
      </c>
      <c r="E10639" s="224" t="s">
        <v>2</v>
      </c>
      <c r="F10639" s="515" t="s">
        <v>11834</v>
      </c>
      <c r="G10639" s="52">
        <v>178946.14832837999</v>
      </c>
      <c r="H10639" s="56">
        <v>5.4118579788676402E-2</v>
      </c>
      <c r="I10639" s="224" t="s">
        <v>2</v>
      </c>
    </row>
    <row r="10640" spans="1:9" x14ac:dyDescent="0.25">
      <c r="A10640" s="515">
        <v>8850</v>
      </c>
      <c r="B10640" s="515" t="s">
        <v>324</v>
      </c>
      <c r="C10640" s="52">
        <v>455245.72693471803</v>
      </c>
      <c r="D10640" s="56">
        <v>5.2485978609496615E-2</v>
      </c>
      <c r="E10640" s="224" t="s">
        <v>2</v>
      </c>
      <c r="F10640" s="515" t="s">
        <v>11835</v>
      </c>
      <c r="G10640" s="52">
        <v>155992.950191971</v>
      </c>
      <c r="H10640" s="56">
        <v>4.0907480819488834E-2</v>
      </c>
      <c r="I10640" s="224" t="s">
        <v>2</v>
      </c>
    </row>
    <row r="10641" spans="1:9" x14ac:dyDescent="0.25">
      <c r="A10641" s="515">
        <v>7419</v>
      </c>
      <c r="B10641" s="515" t="s">
        <v>324</v>
      </c>
      <c r="C10641" s="52">
        <v>315422.54251693998</v>
      </c>
      <c r="D10641" s="56">
        <v>7.2138825084295546E-2</v>
      </c>
      <c r="E10641" s="224" t="s">
        <v>2</v>
      </c>
      <c r="F10641" s="515" t="s">
        <v>11836</v>
      </c>
      <c r="G10641" s="52">
        <v>168950.69588931801</v>
      </c>
      <c r="H10641" s="56">
        <v>-4.4602226961091458E-2</v>
      </c>
      <c r="I10641" s="224" t="s">
        <v>2</v>
      </c>
    </row>
    <row r="10642" spans="1:9" x14ac:dyDescent="0.25">
      <c r="A10642" s="515">
        <v>21035</v>
      </c>
      <c r="B10642" s="515" t="s">
        <v>582</v>
      </c>
      <c r="C10642" s="52">
        <v>817812.63118571101</v>
      </c>
      <c r="D10642" s="56">
        <v>6.1921871793368131E-2</v>
      </c>
      <c r="E10642" s="224" t="s">
        <v>2</v>
      </c>
      <c r="F10642" s="515" t="s">
        <v>11837</v>
      </c>
      <c r="G10642" s="52">
        <v>177758.066280787</v>
      </c>
      <c r="H10642" s="56">
        <v>6.8885440771299516E-2</v>
      </c>
      <c r="I10642" s="224" t="s">
        <v>2</v>
      </c>
    </row>
    <row r="10643" spans="1:9" x14ac:dyDescent="0.25">
      <c r="A10643" s="515">
        <v>34488</v>
      </c>
      <c r="B10643" s="515" t="s">
        <v>475</v>
      </c>
      <c r="C10643" s="52">
        <v>173197.010645164</v>
      </c>
      <c r="D10643" s="56">
        <v>0.21123963813577704</v>
      </c>
      <c r="E10643" s="224" t="s">
        <v>2</v>
      </c>
      <c r="F10643" s="515" t="s">
        <v>11838</v>
      </c>
      <c r="G10643" s="52">
        <v>198074.34626969701</v>
      </c>
      <c r="H10643" s="56">
        <v>0.11615467832494665</v>
      </c>
      <c r="I10643" s="224" t="s">
        <v>2</v>
      </c>
    </row>
    <row r="10644" spans="1:9" x14ac:dyDescent="0.25">
      <c r="A10644" s="515">
        <v>63040</v>
      </c>
      <c r="B10644" s="515" t="s">
        <v>498</v>
      </c>
      <c r="C10644" s="52">
        <v>409165.30084290699</v>
      </c>
      <c r="D10644" s="56">
        <v>7.0511115504883662E-2</v>
      </c>
      <c r="E10644" s="224" t="s">
        <v>2</v>
      </c>
      <c r="F10644" s="515" t="s">
        <v>11839</v>
      </c>
      <c r="G10644" s="52">
        <v>416698.84703212703</v>
      </c>
      <c r="H10644" s="56">
        <v>3.9359976717384497E-2</v>
      </c>
      <c r="I10644" s="224" t="s">
        <v>2</v>
      </c>
    </row>
    <row r="10645" spans="1:9" x14ac:dyDescent="0.25">
      <c r="A10645" s="515">
        <v>32132</v>
      </c>
      <c r="B10645" s="515" t="s">
        <v>974</v>
      </c>
      <c r="C10645" s="52">
        <v>275067.28120583697</v>
      </c>
      <c r="D10645" s="56">
        <v>0.14631770928506771</v>
      </c>
      <c r="E10645" s="224" t="s">
        <v>2</v>
      </c>
      <c r="F10645" s="515" t="s">
        <v>11840</v>
      </c>
      <c r="G10645" s="52">
        <v>76407.613382899595</v>
      </c>
      <c r="H10645" s="56">
        <v>0</v>
      </c>
      <c r="I10645" s="224" t="s">
        <v>2</v>
      </c>
    </row>
    <row r="10646" spans="1:9" x14ac:dyDescent="0.25">
      <c r="A10646" s="515">
        <v>66007</v>
      </c>
      <c r="B10646" s="515" t="s">
        <v>455</v>
      </c>
      <c r="C10646" s="52">
        <v>377217.39198257698</v>
      </c>
      <c r="D10646" s="56">
        <v>6.8923887777122106E-2</v>
      </c>
      <c r="E10646" s="224" t="s">
        <v>2</v>
      </c>
      <c r="F10646" s="515" t="s">
        <v>11841</v>
      </c>
      <c r="G10646" s="52">
        <v>539329.36608834204</v>
      </c>
      <c r="H10646" s="56">
        <v>3.9573729071117641E-2</v>
      </c>
      <c r="I10646" s="224" t="s">
        <v>2</v>
      </c>
    </row>
    <row r="10647" spans="1:9" x14ac:dyDescent="0.25">
      <c r="A10647" s="515">
        <v>50428</v>
      </c>
      <c r="B10647" s="515" t="s">
        <v>634</v>
      </c>
      <c r="C10647" s="52">
        <v>276228.42302509898</v>
      </c>
      <c r="D10647" s="56">
        <v>0.12389280758569944</v>
      </c>
      <c r="E10647" s="224" t="s">
        <v>2</v>
      </c>
      <c r="F10647" s="515" t="s">
        <v>11842</v>
      </c>
      <c r="G10647" s="52">
        <v>156734.16731301599</v>
      </c>
      <c r="H10647" s="56">
        <v>0.13326021477814562</v>
      </c>
      <c r="I10647" s="224" t="s">
        <v>2</v>
      </c>
    </row>
    <row r="10648" spans="1:9" x14ac:dyDescent="0.25">
      <c r="A10648" s="515">
        <v>8078</v>
      </c>
      <c r="B10648" s="515" t="s">
        <v>294</v>
      </c>
      <c r="C10648" s="52">
        <v>238525.71876605001</v>
      </c>
      <c r="D10648" s="56">
        <v>9.2284830834732615E-2</v>
      </c>
      <c r="E10648" s="224" t="s">
        <v>2</v>
      </c>
      <c r="F10648" s="515" t="s">
        <v>11843</v>
      </c>
      <c r="G10648" s="52">
        <v>254908.71511836399</v>
      </c>
      <c r="H10648" s="56">
        <v>0.1090091318507591</v>
      </c>
      <c r="I10648" s="224" t="s">
        <v>2</v>
      </c>
    </row>
    <row r="10649" spans="1:9" x14ac:dyDescent="0.25">
      <c r="A10649" s="515">
        <v>39191</v>
      </c>
      <c r="B10649" s="515" t="s">
        <v>1118</v>
      </c>
      <c r="C10649" s="52">
        <v>153606.90023826199</v>
      </c>
      <c r="D10649" s="56">
        <v>-1.5564996896304705E-2</v>
      </c>
      <c r="E10649" s="224" t="s">
        <v>2</v>
      </c>
      <c r="F10649" s="515" t="s">
        <v>11844</v>
      </c>
      <c r="G10649" s="52">
        <v>142497.02663854801</v>
      </c>
      <c r="H10649" s="56">
        <v>7.7191000836818235E-2</v>
      </c>
      <c r="I10649" s="224" t="s">
        <v>2</v>
      </c>
    </row>
    <row r="10650" spans="1:9" x14ac:dyDescent="0.25">
      <c r="A10650" s="515">
        <v>28771</v>
      </c>
      <c r="C10650" s="52">
        <v>228383.050739114</v>
      </c>
      <c r="D10650" s="56">
        <v>0.17672718120416553</v>
      </c>
      <c r="E10650" s="224" t="s">
        <v>2</v>
      </c>
      <c r="F10650" s="515" t="s">
        <v>11845</v>
      </c>
      <c r="G10650" s="52">
        <v>150747.885091756</v>
      </c>
      <c r="H10650" s="56">
        <v>0.18481872037150765</v>
      </c>
      <c r="I10650" s="224" t="s">
        <v>2</v>
      </c>
    </row>
    <row r="10651" spans="1:9" x14ac:dyDescent="0.25">
      <c r="A10651" s="515">
        <v>3244</v>
      </c>
      <c r="B10651" s="515" t="s">
        <v>996</v>
      </c>
      <c r="C10651" s="52">
        <v>320146.88637308998</v>
      </c>
      <c r="D10651" s="56">
        <v>9.2778093598155545E-2</v>
      </c>
      <c r="E10651" s="224" t="s">
        <v>2</v>
      </c>
      <c r="F10651" s="515" t="s">
        <v>11846</v>
      </c>
      <c r="G10651" s="52">
        <v>497753.20023398497</v>
      </c>
      <c r="H10651" s="56">
        <v>3.4553146239492939E-2</v>
      </c>
      <c r="I10651" s="224" t="s">
        <v>2</v>
      </c>
    </row>
    <row r="10652" spans="1:9" x14ac:dyDescent="0.25">
      <c r="A10652" s="515">
        <v>72176</v>
      </c>
      <c r="B10652" s="515" t="s">
        <v>393</v>
      </c>
      <c r="C10652" s="52">
        <v>178609.058983892</v>
      </c>
      <c r="D10652" s="56">
        <v>0.10015219085625426</v>
      </c>
      <c r="E10652" s="224" t="s">
        <v>2</v>
      </c>
      <c r="F10652" s="515" t="s">
        <v>11847</v>
      </c>
      <c r="G10652" s="52">
        <v>418968.17371825501</v>
      </c>
      <c r="H10652" s="56">
        <v>1.7174091013663587E-2</v>
      </c>
      <c r="I10652" s="224" t="s">
        <v>2</v>
      </c>
    </row>
    <row r="10653" spans="1:9" x14ac:dyDescent="0.25">
      <c r="A10653" s="515">
        <v>49087</v>
      </c>
      <c r="B10653" s="515" t="s">
        <v>1037</v>
      </c>
      <c r="C10653" s="52">
        <v>283367.24401135399</v>
      </c>
      <c r="D10653" s="56">
        <v>4.4724920181486424E-2</v>
      </c>
      <c r="E10653" s="224" t="s">
        <v>2</v>
      </c>
      <c r="F10653" s="515" t="s">
        <v>11848</v>
      </c>
      <c r="G10653" s="52">
        <v>202717.53845482299</v>
      </c>
      <c r="H10653" s="56">
        <v>7.1310650897027317E-2</v>
      </c>
      <c r="I10653" s="224" t="s">
        <v>2</v>
      </c>
    </row>
    <row r="10654" spans="1:9" x14ac:dyDescent="0.25">
      <c r="A10654" s="515">
        <v>74462</v>
      </c>
      <c r="C10654" s="52">
        <v>124964.04434928299</v>
      </c>
      <c r="D10654" s="56">
        <v>0.10044811971895441</v>
      </c>
      <c r="E10654" s="224" t="s">
        <v>2</v>
      </c>
      <c r="F10654" s="515" t="s">
        <v>11849</v>
      </c>
      <c r="G10654" s="52">
        <v>271877.41403432301</v>
      </c>
      <c r="H10654" s="56">
        <v>3.2138412238898614E-2</v>
      </c>
      <c r="I10654" s="224" t="s">
        <v>2</v>
      </c>
    </row>
    <row r="10655" spans="1:9" x14ac:dyDescent="0.25">
      <c r="A10655" s="515">
        <v>54669</v>
      </c>
      <c r="B10655" s="515" t="s">
        <v>635</v>
      </c>
      <c r="C10655" s="52">
        <v>289833.88692333701</v>
      </c>
      <c r="D10655" s="56">
        <v>6.1611699925774803E-2</v>
      </c>
      <c r="E10655" s="224" t="s">
        <v>2</v>
      </c>
      <c r="F10655" s="515" t="s">
        <v>11850</v>
      </c>
      <c r="G10655" s="52">
        <v>170324.279698675</v>
      </c>
      <c r="H10655" s="56">
        <v>8.5821607971256653E-2</v>
      </c>
      <c r="I10655" s="224" t="s">
        <v>2</v>
      </c>
    </row>
    <row r="10656" spans="1:9" x14ac:dyDescent="0.25">
      <c r="A10656" s="515">
        <v>1230</v>
      </c>
      <c r="B10656" s="515" t="s">
        <v>497</v>
      </c>
      <c r="C10656" s="52">
        <v>545766.97966711095</v>
      </c>
      <c r="D10656" s="56">
        <v>0.11828122398388199</v>
      </c>
      <c r="E10656" s="224" t="s">
        <v>2</v>
      </c>
      <c r="F10656" s="515" t="s">
        <v>11851</v>
      </c>
      <c r="G10656" s="52">
        <v>789982.70013572602</v>
      </c>
      <c r="H10656" s="56">
        <v>-8.8031036706310486E-3</v>
      </c>
      <c r="I10656" s="224" t="s">
        <v>2</v>
      </c>
    </row>
    <row r="10657" spans="1:9" x14ac:dyDescent="0.25">
      <c r="A10657" s="515">
        <v>50022</v>
      </c>
      <c r="C10657" s="52">
        <v>130929.446114081</v>
      </c>
      <c r="D10657" s="56">
        <v>8.688415563872931E-2</v>
      </c>
      <c r="E10657" s="224" t="s">
        <v>2</v>
      </c>
      <c r="F10657" s="515" t="s">
        <v>11852</v>
      </c>
      <c r="G10657" s="52">
        <v>452848.30275373597</v>
      </c>
      <c r="H10657" s="56">
        <v>7.8456074312763996E-2</v>
      </c>
      <c r="I10657" s="224" t="s">
        <v>2</v>
      </c>
    </row>
    <row r="10658" spans="1:9" x14ac:dyDescent="0.25">
      <c r="A10658" s="515">
        <v>19033</v>
      </c>
      <c r="B10658" s="515" t="s">
        <v>294</v>
      </c>
      <c r="C10658" s="52">
        <v>282575.63169292099</v>
      </c>
      <c r="D10658" s="56">
        <v>7.8746385910862346E-2</v>
      </c>
      <c r="E10658" s="224" t="s">
        <v>2</v>
      </c>
      <c r="F10658" s="515" t="s">
        <v>11853</v>
      </c>
      <c r="G10658" s="52">
        <v>62043.553958858603</v>
      </c>
      <c r="H10658" s="56">
        <v>0.16428841074952188</v>
      </c>
      <c r="I10658" s="224" t="s">
        <v>2</v>
      </c>
    </row>
    <row r="10659" spans="1:9" x14ac:dyDescent="0.25">
      <c r="A10659" s="515">
        <v>62254</v>
      </c>
      <c r="B10659" s="515" t="s">
        <v>498</v>
      </c>
      <c r="C10659" s="52">
        <v>168249.41541837901</v>
      </c>
      <c r="D10659" s="56">
        <v>5.2361005231371917E-2</v>
      </c>
      <c r="E10659" s="224" t="s">
        <v>2</v>
      </c>
      <c r="F10659" s="515" t="s">
        <v>11854</v>
      </c>
      <c r="G10659" s="52">
        <v>134969.56700552499</v>
      </c>
      <c r="H10659" s="56">
        <v>1.9182567051851403E-2</v>
      </c>
      <c r="I10659" s="224" t="s">
        <v>2</v>
      </c>
    </row>
    <row r="10660" spans="1:9" x14ac:dyDescent="0.25">
      <c r="A10660" s="515">
        <v>31635</v>
      </c>
      <c r="B10660" s="515" t="s">
        <v>505</v>
      </c>
      <c r="C10660" s="52">
        <v>168963.473515121</v>
      </c>
      <c r="D10660" s="56">
        <v>0.13816511829213221</v>
      </c>
      <c r="E10660" s="224" t="s">
        <v>2</v>
      </c>
      <c r="F10660" s="515" t="s">
        <v>11855</v>
      </c>
      <c r="G10660" s="52">
        <v>161900.63888791599</v>
      </c>
      <c r="H10660" s="56">
        <v>6.7762465837137974E-3</v>
      </c>
      <c r="I10660" s="224" t="s">
        <v>2</v>
      </c>
    </row>
    <row r="10661" spans="1:9" x14ac:dyDescent="0.25">
      <c r="A10661" s="515">
        <v>27557</v>
      </c>
      <c r="B10661" s="515" t="s">
        <v>1152</v>
      </c>
      <c r="C10661" s="52">
        <v>217438.92765085099</v>
      </c>
      <c r="D10661" s="56">
        <v>0.18014399000842046</v>
      </c>
      <c r="E10661" s="224" t="s">
        <v>2</v>
      </c>
      <c r="F10661" s="515" t="s">
        <v>11856</v>
      </c>
      <c r="G10661" s="52">
        <v>334992.28664283297</v>
      </c>
      <c r="H10661" s="56">
        <v>7.5536000685988661E-2</v>
      </c>
      <c r="I10661" s="224" t="s">
        <v>2</v>
      </c>
    </row>
    <row r="10662" spans="1:9" x14ac:dyDescent="0.25">
      <c r="A10662" s="515">
        <v>75135</v>
      </c>
      <c r="B10662" s="515" t="s">
        <v>458</v>
      </c>
      <c r="C10662" s="52">
        <v>350198.91882338002</v>
      </c>
      <c r="D10662" s="56">
        <v>6.8814134194422685E-2</v>
      </c>
      <c r="E10662" s="224" t="s">
        <v>2</v>
      </c>
      <c r="F10662" s="515" t="s">
        <v>11857</v>
      </c>
      <c r="G10662" s="52">
        <v>138422.33144482801</v>
      </c>
      <c r="H10662" s="56">
        <v>5.5640019167543041E-2</v>
      </c>
      <c r="I10662" s="224" t="s">
        <v>2</v>
      </c>
    </row>
    <row r="10663" spans="1:9" x14ac:dyDescent="0.25">
      <c r="A10663" s="515">
        <v>76520</v>
      </c>
      <c r="C10663" s="52">
        <v>168258.10196661201</v>
      </c>
      <c r="D10663" s="56">
        <v>4.6784780405063037E-2</v>
      </c>
      <c r="E10663" s="224" t="s">
        <v>2</v>
      </c>
      <c r="F10663" s="515" t="s">
        <v>11858</v>
      </c>
      <c r="G10663" s="52">
        <v>350899.46961513098</v>
      </c>
      <c r="H10663" s="56">
        <v>9.5808682164607695E-2</v>
      </c>
      <c r="I10663" s="224" t="s">
        <v>2</v>
      </c>
    </row>
    <row r="10664" spans="1:9" x14ac:dyDescent="0.25">
      <c r="A10664" s="515">
        <v>52057</v>
      </c>
      <c r="C10664" s="52">
        <v>177278.99695034701</v>
      </c>
      <c r="D10664" s="56">
        <v>2.4841148877504146E-2</v>
      </c>
      <c r="E10664" s="224" t="s">
        <v>2</v>
      </c>
      <c r="F10664" s="515" t="s">
        <v>7634</v>
      </c>
      <c r="G10664" s="52">
        <v>108229.93800785</v>
      </c>
      <c r="H10664" s="56">
        <v>2.1374950864146067E-2</v>
      </c>
      <c r="I10664" s="224" t="s">
        <v>2</v>
      </c>
    </row>
    <row r="10665" spans="1:9" x14ac:dyDescent="0.25">
      <c r="A10665" s="515">
        <v>67124</v>
      </c>
      <c r="C10665" s="52">
        <v>104591.913500632</v>
      </c>
      <c r="D10665" s="56">
        <v>0.11924889674023041</v>
      </c>
      <c r="E10665" s="224" t="s">
        <v>2</v>
      </c>
      <c r="F10665" s="515" t="s">
        <v>11859</v>
      </c>
      <c r="G10665" s="52">
        <v>126906.61267310299</v>
      </c>
      <c r="H10665" s="56">
        <v>0.26145769401905972</v>
      </c>
      <c r="I10665" s="224" t="s">
        <v>2</v>
      </c>
    </row>
    <row r="10666" spans="1:9" x14ac:dyDescent="0.25">
      <c r="A10666" s="515">
        <v>46392</v>
      </c>
      <c r="B10666" s="515" t="s">
        <v>394</v>
      </c>
      <c r="C10666" s="52">
        <v>266567.60940423497</v>
      </c>
      <c r="D10666" s="56">
        <v>7.5843732554001925E-2</v>
      </c>
      <c r="E10666" s="224" t="s">
        <v>2</v>
      </c>
      <c r="F10666" s="515" t="s">
        <v>11860</v>
      </c>
      <c r="G10666" s="52">
        <v>131551.01123619001</v>
      </c>
      <c r="H10666" s="56">
        <v>0.11235246549882578</v>
      </c>
      <c r="I10666" s="224" t="s">
        <v>2</v>
      </c>
    </row>
    <row r="10667" spans="1:9" x14ac:dyDescent="0.25">
      <c r="A10667" s="515">
        <v>1564</v>
      </c>
      <c r="B10667" s="515" t="s">
        <v>751</v>
      </c>
      <c r="C10667" s="52">
        <v>494137.336450528</v>
      </c>
      <c r="D10667" s="56">
        <v>8.0970017080940551E-2</v>
      </c>
      <c r="E10667" s="224" t="s">
        <v>2</v>
      </c>
      <c r="F10667" s="515" t="s">
        <v>11861</v>
      </c>
      <c r="G10667" s="52">
        <v>291615.29028729303</v>
      </c>
      <c r="H10667" s="56">
        <v>5.8999178979978174E-2</v>
      </c>
      <c r="I10667" s="224" t="s">
        <v>2</v>
      </c>
    </row>
    <row r="10668" spans="1:9" x14ac:dyDescent="0.25">
      <c r="A10668" s="515">
        <v>38851</v>
      </c>
      <c r="C10668" s="52">
        <v>107507.704964779</v>
      </c>
      <c r="D10668" s="56">
        <v>1.6416797834155342E-2</v>
      </c>
      <c r="E10668" s="224" t="s">
        <v>2</v>
      </c>
      <c r="F10668" s="515" t="s">
        <v>11862</v>
      </c>
      <c r="G10668" s="52">
        <v>136966.99744040999</v>
      </c>
      <c r="H10668" s="56">
        <v>0.19438429164963522</v>
      </c>
      <c r="I10668" s="224" t="s">
        <v>2</v>
      </c>
    </row>
    <row r="10669" spans="1:9" x14ac:dyDescent="0.25">
      <c r="A10669" s="515">
        <v>76084</v>
      </c>
      <c r="B10669" s="515" t="s">
        <v>458</v>
      </c>
      <c r="C10669" s="52">
        <v>313815.99752910598</v>
      </c>
      <c r="D10669" s="56">
        <v>8.0267530208529017E-2</v>
      </c>
      <c r="E10669" s="224" t="s">
        <v>2</v>
      </c>
      <c r="F10669" s="515" t="s">
        <v>11863</v>
      </c>
      <c r="G10669" s="52">
        <v>437200.00600190402</v>
      </c>
      <c r="H10669" s="56">
        <v>6.4538388582601636E-2</v>
      </c>
      <c r="I10669" s="224" t="s">
        <v>2</v>
      </c>
    </row>
    <row r="10670" spans="1:9" x14ac:dyDescent="0.25">
      <c r="A10670" s="515">
        <v>63334</v>
      </c>
      <c r="C10670" s="52">
        <v>168848.868046786</v>
      </c>
      <c r="D10670" s="56">
        <v>6.3664725863394833E-2</v>
      </c>
      <c r="E10670" s="224" t="s">
        <v>2</v>
      </c>
      <c r="F10670" s="515" t="s">
        <v>11864</v>
      </c>
      <c r="G10670" s="52">
        <v>187953.02652433701</v>
      </c>
      <c r="H10670" s="56">
        <v>2.0455776194951106E-2</v>
      </c>
      <c r="I10670" s="224" t="s">
        <v>2</v>
      </c>
    </row>
    <row r="10671" spans="1:9" x14ac:dyDescent="0.25">
      <c r="A10671" s="515">
        <v>43203</v>
      </c>
      <c r="B10671" s="515" t="s">
        <v>345</v>
      </c>
      <c r="C10671" s="52">
        <v>207644.98499987001</v>
      </c>
      <c r="D10671" s="56">
        <v>8.2237544018351649E-2</v>
      </c>
      <c r="E10671" s="224">
        <v>1475</v>
      </c>
      <c r="F10671" s="515" t="s">
        <v>11865</v>
      </c>
      <c r="G10671" s="52">
        <v>162545.35907729299</v>
      </c>
      <c r="H10671" s="56">
        <v>3.8171230139372035E-2</v>
      </c>
      <c r="I10671" s="224" t="s">
        <v>2</v>
      </c>
    </row>
    <row r="10672" spans="1:9" x14ac:dyDescent="0.25">
      <c r="A10672" s="515">
        <v>18328</v>
      </c>
      <c r="B10672" s="515" t="s">
        <v>324</v>
      </c>
      <c r="C10672" s="52">
        <v>229020.087874113</v>
      </c>
      <c r="D10672" s="56">
        <v>9.6379972447006246E-2</v>
      </c>
      <c r="E10672" s="224" t="s">
        <v>2</v>
      </c>
      <c r="F10672" s="515" t="s">
        <v>11866</v>
      </c>
      <c r="G10672" s="52">
        <v>61163.064025602398</v>
      </c>
      <c r="H10672" s="56">
        <v>0.10621982659353212</v>
      </c>
      <c r="I10672" s="224" t="s">
        <v>2</v>
      </c>
    </row>
    <row r="10673" spans="1:9" x14ac:dyDescent="0.25">
      <c r="A10673" s="515">
        <v>33834</v>
      </c>
      <c r="B10673" s="515" t="s">
        <v>1139</v>
      </c>
      <c r="C10673" s="52">
        <v>152735.51281273199</v>
      </c>
      <c r="D10673" s="56">
        <v>0.20196907139493936</v>
      </c>
      <c r="E10673" s="224" t="s">
        <v>2</v>
      </c>
      <c r="F10673" s="515" t="s">
        <v>11867</v>
      </c>
      <c r="G10673" s="52">
        <v>333729.28612156498</v>
      </c>
      <c r="H10673" s="56">
        <v>1.0320601865707142E-2</v>
      </c>
      <c r="I10673" s="224" t="s">
        <v>2</v>
      </c>
    </row>
    <row r="10674" spans="1:9" x14ac:dyDescent="0.25">
      <c r="A10674" s="515">
        <v>11792</v>
      </c>
      <c r="B10674" s="515" t="s">
        <v>324</v>
      </c>
      <c r="C10674" s="52">
        <v>608991.29050480702</v>
      </c>
      <c r="D10674" s="56">
        <v>6.0984185051809407E-2</v>
      </c>
      <c r="E10674" s="224" t="s">
        <v>2</v>
      </c>
      <c r="F10674" s="515" t="s">
        <v>11868</v>
      </c>
      <c r="G10674" s="52">
        <v>98700.871415534799</v>
      </c>
      <c r="H10674" s="56">
        <v>-5.6160493945392041E-2</v>
      </c>
      <c r="I10674" s="224" t="s">
        <v>2</v>
      </c>
    </row>
    <row r="10675" spans="1:9" x14ac:dyDescent="0.25">
      <c r="A10675" s="515">
        <v>60915</v>
      </c>
      <c r="B10675" s="515" t="s">
        <v>774</v>
      </c>
      <c r="C10675" s="52">
        <v>147493.326893839</v>
      </c>
      <c r="D10675" s="56">
        <v>4.6008243497398287E-2</v>
      </c>
      <c r="E10675" s="224" t="s">
        <v>2</v>
      </c>
      <c r="F10675" s="515" t="s">
        <v>11869</v>
      </c>
      <c r="G10675" s="52">
        <v>204158.26587301501</v>
      </c>
      <c r="H10675" s="56">
        <v>0</v>
      </c>
      <c r="I10675" s="224" t="s">
        <v>2</v>
      </c>
    </row>
    <row r="10676" spans="1:9" x14ac:dyDescent="0.25">
      <c r="A10676" s="515">
        <v>30553</v>
      </c>
      <c r="C10676" s="52">
        <v>280323.224181336</v>
      </c>
      <c r="D10676" s="56">
        <v>9.0161816022152341E-2</v>
      </c>
      <c r="E10676" s="224" t="s">
        <v>2</v>
      </c>
      <c r="F10676" s="515" t="s">
        <v>11870</v>
      </c>
      <c r="G10676" s="52">
        <v>315367.00371603802</v>
      </c>
      <c r="H10676" s="56">
        <v>0.14637274023482988</v>
      </c>
      <c r="I10676" s="224" t="s">
        <v>2</v>
      </c>
    </row>
    <row r="10677" spans="1:9" x14ac:dyDescent="0.25">
      <c r="A10677" s="515">
        <v>18106</v>
      </c>
      <c r="B10677" s="515" t="s">
        <v>327</v>
      </c>
      <c r="C10677" s="52">
        <v>370010.888565125</v>
      </c>
      <c r="D10677" s="56">
        <v>7.509193939450215E-2</v>
      </c>
      <c r="E10677" s="224" t="s">
        <v>2</v>
      </c>
      <c r="F10677" s="515" t="s">
        <v>11871</v>
      </c>
      <c r="G10677" s="52">
        <v>315263.24617742997</v>
      </c>
      <c r="H10677" s="56">
        <v>8.2989884121489374E-2</v>
      </c>
      <c r="I10677" s="224" t="s">
        <v>2</v>
      </c>
    </row>
    <row r="10678" spans="1:9" x14ac:dyDescent="0.25">
      <c r="A10678" s="515">
        <v>10923</v>
      </c>
      <c r="B10678" s="515" t="s">
        <v>324</v>
      </c>
      <c r="C10678" s="52">
        <v>479523.86468929698</v>
      </c>
      <c r="D10678" s="56">
        <v>9.9971779763783269E-2</v>
      </c>
      <c r="E10678" s="224" t="s">
        <v>2</v>
      </c>
      <c r="F10678" s="515" t="s">
        <v>11872</v>
      </c>
      <c r="G10678" s="52">
        <v>297435.939129801</v>
      </c>
      <c r="H10678" s="56">
        <v>5.9705748231574825E-2</v>
      </c>
      <c r="I10678" s="224" t="s">
        <v>2</v>
      </c>
    </row>
    <row r="10679" spans="1:9" x14ac:dyDescent="0.25">
      <c r="A10679" s="515">
        <v>10280</v>
      </c>
      <c r="B10679" s="515" t="s">
        <v>324</v>
      </c>
      <c r="C10679" s="52">
        <v>809204.63195898896</v>
      </c>
      <c r="D10679" s="56">
        <v>5.2774293285371794E-3</v>
      </c>
      <c r="E10679" s="224">
        <v>4044.79545454545</v>
      </c>
      <c r="F10679" s="515" t="s">
        <v>11873</v>
      </c>
      <c r="G10679" s="52">
        <v>149579.30525357599</v>
      </c>
      <c r="H10679" s="56">
        <v>6.3431459978196866E-2</v>
      </c>
      <c r="I10679" s="224" t="s">
        <v>2</v>
      </c>
    </row>
    <row r="10680" spans="1:9" x14ac:dyDescent="0.25">
      <c r="A10680" s="515">
        <v>31901</v>
      </c>
      <c r="B10680" s="515" t="s">
        <v>778</v>
      </c>
      <c r="C10680" s="52">
        <v>142702.19960853801</v>
      </c>
      <c r="D10680" s="56">
        <v>9.3250286942504992E-2</v>
      </c>
      <c r="E10680" s="224">
        <v>1277.5</v>
      </c>
      <c r="F10680" s="515" t="s">
        <v>11874</v>
      </c>
      <c r="G10680" s="52">
        <v>339768.54695072799</v>
      </c>
      <c r="H10680" s="56">
        <v>9.5921305381354377E-2</v>
      </c>
      <c r="I10680" s="224">
        <v>1719.1666666666599</v>
      </c>
    </row>
    <row r="10681" spans="1:9" x14ac:dyDescent="0.25">
      <c r="A10681" s="515">
        <v>34429</v>
      </c>
      <c r="B10681" s="515" t="s">
        <v>1193</v>
      </c>
      <c r="C10681" s="52">
        <v>270448.53025954397</v>
      </c>
      <c r="D10681" s="56">
        <v>0.14931083508191417</v>
      </c>
      <c r="E10681" s="224" t="s">
        <v>2</v>
      </c>
      <c r="F10681" s="515" t="s">
        <v>11875</v>
      </c>
      <c r="G10681" s="52">
        <v>361428.21275787498</v>
      </c>
      <c r="H10681" s="56">
        <v>8.3776496221343782E-2</v>
      </c>
      <c r="I10681" s="224" t="s">
        <v>2</v>
      </c>
    </row>
    <row r="10682" spans="1:9" x14ac:dyDescent="0.25">
      <c r="A10682" s="515">
        <v>31055</v>
      </c>
      <c r="C10682" s="52">
        <v>95113.387124018205</v>
      </c>
      <c r="D10682" s="56">
        <v>-2.6722183991264321E-2</v>
      </c>
      <c r="E10682" s="224" t="s">
        <v>2</v>
      </c>
      <c r="F10682" s="515" t="s">
        <v>11876</v>
      </c>
      <c r="G10682" s="52">
        <v>390147.171808074</v>
      </c>
      <c r="H10682" s="56">
        <v>5.093645392287921E-2</v>
      </c>
      <c r="I10682" s="224" t="s">
        <v>2</v>
      </c>
    </row>
    <row r="10683" spans="1:9" x14ac:dyDescent="0.25">
      <c r="A10683" s="515">
        <v>28518</v>
      </c>
      <c r="C10683" s="52">
        <v>179828.958040736</v>
      </c>
      <c r="D10683" s="56">
        <v>0.18669357406852602</v>
      </c>
      <c r="E10683" s="224" t="s">
        <v>2</v>
      </c>
      <c r="F10683" s="515" t="s">
        <v>11877</v>
      </c>
      <c r="G10683" s="52">
        <v>65886.538763769393</v>
      </c>
      <c r="H10683" s="56">
        <v>3.271633253194655E-2</v>
      </c>
      <c r="I10683" s="224" t="s">
        <v>2</v>
      </c>
    </row>
    <row r="10684" spans="1:9" x14ac:dyDescent="0.25">
      <c r="A10684" s="515">
        <v>65336</v>
      </c>
      <c r="B10684" s="515" t="s">
        <v>1047</v>
      </c>
      <c r="C10684" s="52">
        <v>223977.31328463199</v>
      </c>
      <c r="D10684" s="56">
        <v>4.0291703684905283E-2</v>
      </c>
      <c r="E10684" s="224">
        <v>772.5</v>
      </c>
      <c r="F10684" s="515" t="s">
        <v>11878</v>
      </c>
      <c r="G10684" s="52">
        <v>113957.073636644</v>
      </c>
      <c r="H10684" s="56">
        <v>4.130618785642326E-2</v>
      </c>
      <c r="I10684" s="224" t="s">
        <v>2</v>
      </c>
    </row>
    <row r="10685" spans="1:9" x14ac:dyDescent="0.25">
      <c r="A10685" s="515">
        <v>83445</v>
      </c>
      <c r="B10685" s="515" t="s">
        <v>843</v>
      </c>
      <c r="C10685" s="52">
        <v>304292.57015981502</v>
      </c>
      <c r="D10685" s="56">
        <v>-1.3473522852314483E-2</v>
      </c>
      <c r="E10685" s="224" t="s">
        <v>2</v>
      </c>
      <c r="F10685" s="515" t="s">
        <v>11879</v>
      </c>
      <c r="G10685" s="52">
        <v>591535.81689473102</v>
      </c>
      <c r="H10685" s="56">
        <v>4.9701693460891129E-2</v>
      </c>
      <c r="I10685" s="224" t="s">
        <v>2</v>
      </c>
    </row>
    <row r="10686" spans="1:9" x14ac:dyDescent="0.25">
      <c r="A10686" s="515">
        <v>71822</v>
      </c>
      <c r="B10686" s="515" t="s">
        <v>390</v>
      </c>
      <c r="C10686" s="52">
        <v>118656.56505778999</v>
      </c>
      <c r="D10686" s="56">
        <v>2.9786560280350753E-2</v>
      </c>
      <c r="E10686" s="224" t="s">
        <v>2</v>
      </c>
      <c r="F10686" s="515" t="s">
        <v>11880</v>
      </c>
      <c r="G10686" s="52">
        <v>218826.22674499999</v>
      </c>
      <c r="H10686" s="56">
        <v>7.3195861244577123E-2</v>
      </c>
      <c r="I10686" s="224" t="s">
        <v>2</v>
      </c>
    </row>
    <row r="10687" spans="1:9" x14ac:dyDescent="0.25">
      <c r="A10687" s="515">
        <v>46069</v>
      </c>
      <c r="B10687" s="515" t="s">
        <v>403</v>
      </c>
      <c r="C10687" s="52">
        <v>260090.623910783</v>
      </c>
      <c r="D10687" s="56">
        <v>9.8655445755317442E-2</v>
      </c>
      <c r="E10687" s="224" t="s">
        <v>2</v>
      </c>
      <c r="F10687" s="515" t="s">
        <v>11881</v>
      </c>
      <c r="G10687" s="52">
        <v>271026.35641784599</v>
      </c>
      <c r="H10687" s="56">
        <v>8.5270372061300254E-2</v>
      </c>
      <c r="I10687" s="224" t="s">
        <v>2</v>
      </c>
    </row>
    <row r="10688" spans="1:9" x14ac:dyDescent="0.25">
      <c r="A10688" s="515">
        <v>42262</v>
      </c>
      <c r="B10688" s="515" t="s">
        <v>651</v>
      </c>
      <c r="C10688" s="52">
        <v>174700.389853828</v>
      </c>
      <c r="D10688" s="56">
        <v>0.16762688431253611</v>
      </c>
      <c r="E10688" s="224">
        <v>1146.6507936507901</v>
      </c>
      <c r="F10688" s="515" t="s">
        <v>11882</v>
      </c>
      <c r="G10688" s="52">
        <v>143933.31475409801</v>
      </c>
      <c r="H10688" s="56">
        <v>0</v>
      </c>
      <c r="I10688" s="224" t="s">
        <v>2</v>
      </c>
    </row>
    <row r="10689" spans="1:9" x14ac:dyDescent="0.25">
      <c r="A10689" s="515">
        <v>32666</v>
      </c>
      <c r="B10689" s="515" t="s">
        <v>1158</v>
      </c>
      <c r="C10689" s="52">
        <v>276870.54561179498</v>
      </c>
      <c r="D10689" s="56">
        <v>0.12290052342342303</v>
      </c>
      <c r="E10689" s="224" t="s">
        <v>2</v>
      </c>
      <c r="F10689" s="515" t="s">
        <v>11883</v>
      </c>
      <c r="G10689" s="52">
        <v>1444864.0904999999</v>
      </c>
      <c r="H10689" s="56">
        <v>5.4212669275524782E-2</v>
      </c>
      <c r="I10689" s="224">
        <v>27500</v>
      </c>
    </row>
    <row r="10690" spans="1:9" x14ac:dyDescent="0.25">
      <c r="A10690" s="515">
        <v>6907</v>
      </c>
      <c r="B10690" s="515" t="s">
        <v>1173</v>
      </c>
      <c r="C10690" s="52">
        <v>537387.31113496795</v>
      </c>
      <c r="D10690" s="56">
        <v>7.8634800498751906E-2</v>
      </c>
      <c r="E10690" s="224">
        <v>2800</v>
      </c>
      <c r="F10690" s="515" t="s">
        <v>11884</v>
      </c>
      <c r="G10690" s="52">
        <v>347974.73554287001</v>
      </c>
      <c r="H10690" s="56">
        <v>0.16302642660379754</v>
      </c>
      <c r="I10690" s="224">
        <v>2475</v>
      </c>
    </row>
    <row r="10691" spans="1:9" x14ac:dyDescent="0.25">
      <c r="A10691" s="515">
        <v>85929</v>
      </c>
      <c r="B10691" s="515" t="s">
        <v>533</v>
      </c>
      <c r="C10691" s="52">
        <v>359535.81816224201</v>
      </c>
      <c r="D10691" s="56">
        <v>4.0416643003636704E-2</v>
      </c>
      <c r="E10691" s="224" t="s">
        <v>2</v>
      </c>
      <c r="F10691" s="515" t="s">
        <v>11885</v>
      </c>
      <c r="G10691" s="52">
        <v>273644.40742594702</v>
      </c>
      <c r="H10691" s="56">
        <v>0.12666838128539198</v>
      </c>
      <c r="I10691" s="224" t="s">
        <v>2</v>
      </c>
    </row>
    <row r="10692" spans="1:9" x14ac:dyDescent="0.25">
      <c r="A10692" s="515">
        <v>17320</v>
      </c>
      <c r="B10692" s="515" t="s">
        <v>457</v>
      </c>
      <c r="C10692" s="52">
        <v>290770.02248038503</v>
      </c>
      <c r="D10692" s="56">
        <v>6.7330601895610021E-2</v>
      </c>
      <c r="E10692" s="224" t="s">
        <v>2</v>
      </c>
      <c r="F10692" s="515" t="s">
        <v>11886</v>
      </c>
      <c r="G10692" s="52">
        <v>196363.297465551</v>
      </c>
      <c r="H10692" s="56">
        <v>6.2824860969777407E-2</v>
      </c>
      <c r="I10692" s="224" t="s">
        <v>2</v>
      </c>
    </row>
    <row r="10693" spans="1:9" x14ac:dyDescent="0.25">
      <c r="A10693" s="515">
        <v>8051</v>
      </c>
      <c r="B10693" s="515" t="s">
        <v>294</v>
      </c>
      <c r="C10693" s="52">
        <v>244363.13431568499</v>
      </c>
      <c r="D10693" s="56">
        <v>9.1094726010068211E-2</v>
      </c>
      <c r="E10693" s="224" t="s">
        <v>2</v>
      </c>
      <c r="F10693" s="515" t="s">
        <v>11887</v>
      </c>
      <c r="G10693" s="52">
        <v>921240.02036535996</v>
      </c>
      <c r="H10693" s="56">
        <v>8.1622549976204523E-2</v>
      </c>
      <c r="I10693" s="224" t="s">
        <v>2</v>
      </c>
    </row>
    <row r="10694" spans="1:9" x14ac:dyDescent="0.25">
      <c r="A10694" s="515">
        <v>64034</v>
      </c>
      <c r="B10694" s="515" t="s">
        <v>455</v>
      </c>
      <c r="C10694" s="52">
        <v>348829.30544403201</v>
      </c>
      <c r="D10694" s="56">
        <v>7.1025164138730362E-2</v>
      </c>
      <c r="E10694" s="224" t="s">
        <v>2</v>
      </c>
      <c r="F10694" s="515" t="s">
        <v>11888</v>
      </c>
      <c r="G10694" s="52">
        <v>390052.843562686</v>
      </c>
      <c r="H10694" s="56">
        <v>7.1295815180689864E-2</v>
      </c>
      <c r="I10694" s="224" t="s">
        <v>2</v>
      </c>
    </row>
    <row r="10695" spans="1:9" x14ac:dyDescent="0.25">
      <c r="A10695" s="515">
        <v>19939</v>
      </c>
      <c r="B10695" s="515" t="s">
        <v>552</v>
      </c>
      <c r="C10695" s="52">
        <v>398332.74815827998</v>
      </c>
      <c r="D10695" s="56">
        <v>5.5704717603052498E-2</v>
      </c>
      <c r="E10695" s="224" t="s">
        <v>2</v>
      </c>
      <c r="F10695" s="515" t="s">
        <v>11889</v>
      </c>
      <c r="G10695" s="52">
        <v>440378.00259740202</v>
      </c>
      <c r="H10695" s="56">
        <v>0</v>
      </c>
      <c r="I10695" s="224" t="s">
        <v>2</v>
      </c>
    </row>
    <row r="10696" spans="1:9" x14ac:dyDescent="0.25">
      <c r="A10696" s="515">
        <v>17327</v>
      </c>
      <c r="B10696" s="515" t="s">
        <v>509</v>
      </c>
      <c r="C10696" s="52">
        <v>299691.05870742898</v>
      </c>
      <c r="D10696" s="56">
        <v>7.9042556925350171E-2</v>
      </c>
      <c r="E10696" s="224" t="s">
        <v>2</v>
      </c>
      <c r="F10696" s="515" t="s">
        <v>11890</v>
      </c>
      <c r="G10696" s="52">
        <v>104786.64330231999</v>
      </c>
      <c r="H10696" s="56">
        <v>-9.4648603107080898E-3</v>
      </c>
      <c r="I10696" s="224" t="s">
        <v>2</v>
      </c>
    </row>
    <row r="10697" spans="1:9" x14ac:dyDescent="0.25">
      <c r="A10697" s="515">
        <v>78725</v>
      </c>
      <c r="B10697" s="515" t="s">
        <v>380</v>
      </c>
      <c r="C10697" s="52">
        <v>340615.582040901</v>
      </c>
      <c r="D10697" s="56">
        <v>4.4508952342761844E-2</v>
      </c>
      <c r="E10697" s="224" t="s">
        <v>2</v>
      </c>
      <c r="F10697" s="515" t="s">
        <v>11891</v>
      </c>
      <c r="G10697" s="52">
        <v>283155.59805740399</v>
      </c>
      <c r="H10697" s="56">
        <v>6.5245611274536652E-2</v>
      </c>
      <c r="I10697" s="224" t="s">
        <v>2</v>
      </c>
    </row>
    <row r="10698" spans="1:9" x14ac:dyDescent="0.25">
      <c r="A10698" s="515">
        <v>53126</v>
      </c>
      <c r="B10698" s="515" t="s">
        <v>1151</v>
      </c>
      <c r="C10698" s="52">
        <v>342936.66061940801</v>
      </c>
      <c r="D10698" s="56">
        <v>3.7039305684866596E-2</v>
      </c>
      <c r="E10698" s="224" t="s">
        <v>2</v>
      </c>
      <c r="F10698" s="515" t="s">
        <v>11892</v>
      </c>
      <c r="G10698" s="52">
        <v>172234.84338571</v>
      </c>
      <c r="H10698" s="56">
        <v>7.4081680648658416E-2</v>
      </c>
      <c r="I10698" s="224" t="s">
        <v>2</v>
      </c>
    </row>
    <row r="10699" spans="1:9" x14ac:dyDescent="0.25">
      <c r="A10699" s="515">
        <v>1982</v>
      </c>
      <c r="B10699" s="515" t="s">
        <v>534</v>
      </c>
      <c r="C10699" s="52">
        <v>754820.73770084197</v>
      </c>
      <c r="D10699" s="56">
        <v>6.0392481731948465E-2</v>
      </c>
      <c r="E10699" s="224" t="s">
        <v>2</v>
      </c>
      <c r="F10699" s="515" t="s">
        <v>11893</v>
      </c>
      <c r="G10699" s="52">
        <v>225897.85838222699</v>
      </c>
      <c r="H10699" s="56">
        <v>3.2313981503247283E-2</v>
      </c>
      <c r="I10699" s="224" t="s">
        <v>2</v>
      </c>
    </row>
    <row r="10700" spans="1:9" x14ac:dyDescent="0.25">
      <c r="A10700" s="515">
        <v>84701</v>
      </c>
      <c r="C10700" s="52">
        <v>303944.60733041499</v>
      </c>
      <c r="D10700" s="56">
        <v>7.1182970301619838E-2</v>
      </c>
      <c r="E10700" s="224" t="s">
        <v>2</v>
      </c>
      <c r="F10700" s="515" t="s">
        <v>11894</v>
      </c>
      <c r="G10700" s="52">
        <v>215066.02844593799</v>
      </c>
      <c r="H10700" s="56">
        <v>7.1854961974816459E-2</v>
      </c>
      <c r="I10700" s="224" t="s">
        <v>2</v>
      </c>
    </row>
    <row r="10701" spans="1:9" x14ac:dyDescent="0.25">
      <c r="A10701" s="515">
        <v>49327</v>
      </c>
      <c r="C10701" s="52">
        <v>201780.944638485</v>
      </c>
      <c r="D10701" s="56">
        <v>4.4675379119458299E-2</v>
      </c>
      <c r="E10701" s="224" t="s">
        <v>2</v>
      </c>
      <c r="F10701" s="515" t="s">
        <v>11895</v>
      </c>
      <c r="G10701" s="52">
        <v>134254.59497034599</v>
      </c>
      <c r="H10701" s="56">
        <v>0.10238237703089199</v>
      </c>
      <c r="I10701" s="224" t="s">
        <v>2</v>
      </c>
    </row>
    <row r="10702" spans="1:9" x14ac:dyDescent="0.25">
      <c r="A10702" s="515">
        <v>84339</v>
      </c>
      <c r="B10702" s="515" t="s">
        <v>632</v>
      </c>
      <c r="C10702" s="52">
        <v>505006.23187722702</v>
      </c>
      <c r="D10702" s="56">
        <v>2.1116292205385277E-2</v>
      </c>
      <c r="E10702" s="224" t="s">
        <v>2</v>
      </c>
      <c r="F10702" s="515" t="s">
        <v>11896</v>
      </c>
      <c r="G10702" s="52">
        <v>258821.73991656001</v>
      </c>
      <c r="H10702" s="56">
        <v>4.2161663088968022E-2</v>
      </c>
      <c r="I10702" s="224" t="s">
        <v>2</v>
      </c>
    </row>
    <row r="10703" spans="1:9" x14ac:dyDescent="0.25">
      <c r="A10703" s="515">
        <v>62201</v>
      </c>
      <c r="B10703" s="515" t="s">
        <v>498</v>
      </c>
      <c r="C10703" s="52"/>
      <c r="D10703" s="56">
        <v>0</v>
      </c>
      <c r="E10703" s="224" t="s">
        <v>2</v>
      </c>
      <c r="F10703" s="515" t="s">
        <v>11897</v>
      </c>
      <c r="G10703" s="52">
        <v>162574.31524302901</v>
      </c>
      <c r="H10703" s="56">
        <v>0.10774452419705703</v>
      </c>
      <c r="I10703" s="224" t="s">
        <v>2</v>
      </c>
    </row>
    <row r="10704" spans="1:9" x14ac:dyDescent="0.25">
      <c r="A10704" s="515">
        <v>80435</v>
      </c>
      <c r="B10704" s="515" t="s">
        <v>1169</v>
      </c>
      <c r="C10704" s="52">
        <v>819394.466678489</v>
      </c>
      <c r="D10704" s="56">
        <v>6.3210117536927249E-2</v>
      </c>
      <c r="E10704" s="224" t="s">
        <v>2</v>
      </c>
      <c r="F10704" s="515" t="s">
        <v>11898</v>
      </c>
      <c r="G10704" s="52">
        <v>206671.78114195101</v>
      </c>
      <c r="H10704" s="56">
        <v>7.4428407833242574E-2</v>
      </c>
      <c r="I10704" s="224" t="s">
        <v>2</v>
      </c>
    </row>
    <row r="10705" spans="1:9" x14ac:dyDescent="0.25">
      <c r="A10705" s="515">
        <v>37861</v>
      </c>
      <c r="B10705" s="515" t="s">
        <v>786</v>
      </c>
      <c r="C10705" s="52">
        <v>216267.20733257601</v>
      </c>
      <c r="D10705" s="56">
        <v>2.4795567092277881E-2</v>
      </c>
      <c r="E10705" s="224" t="s">
        <v>2</v>
      </c>
      <c r="F10705" s="515" t="s">
        <v>11899</v>
      </c>
      <c r="G10705" s="52">
        <v>172058.94277940501</v>
      </c>
      <c r="H10705" s="56">
        <v>0.12789309863237297</v>
      </c>
      <c r="I10705" s="224" t="s">
        <v>2</v>
      </c>
    </row>
    <row r="10706" spans="1:9" x14ac:dyDescent="0.25">
      <c r="A10706" s="515">
        <v>19343</v>
      </c>
      <c r="B10706" s="515" t="s">
        <v>294</v>
      </c>
      <c r="C10706" s="52">
        <v>563999.339347434</v>
      </c>
      <c r="D10706" s="56">
        <v>8.5795114945112605E-2</v>
      </c>
      <c r="E10706" s="224" t="s">
        <v>2</v>
      </c>
      <c r="F10706" s="515" t="s">
        <v>11900</v>
      </c>
      <c r="G10706" s="52">
        <v>209465.717579891</v>
      </c>
      <c r="H10706" s="56">
        <v>6.8062079335120082E-2</v>
      </c>
      <c r="I10706" s="224" t="s">
        <v>2</v>
      </c>
    </row>
    <row r="10707" spans="1:9" x14ac:dyDescent="0.25">
      <c r="A10707" s="515">
        <v>99835</v>
      </c>
      <c r="C10707" s="52">
        <v>468305.421896532</v>
      </c>
      <c r="D10707" s="56">
        <v>-2.4376742850875838E-2</v>
      </c>
      <c r="E10707" s="224" t="s">
        <v>2</v>
      </c>
      <c r="F10707" s="515" t="s">
        <v>11901</v>
      </c>
      <c r="G10707" s="52">
        <v>323675.78177952103</v>
      </c>
      <c r="H10707" s="56">
        <v>5.6709217812818888E-2</v>
      </c>
      <c r="I10707" s="224" t="s">
        <v>2</v>
      </c>
    </row>
    <row r="10708" spans="1:9" x14ac:dyDescent="0.25">
      <c r="A10708" s="515">
        <v>47448</v>
      </c>
      <c r="B10708" s="515" t="s">
        <v>403</v>
      </c>
      <c r="C10708" s="52">
        <v>281271.91067923402</v>
      </c>
      <c r="D10708" s="56">
        <v>8.83223334109422E-2</v>
      </c>
      <c r="E10708" s="224" t="s">
        <v>2</v>
      </c>
      <c r="F10708" s="515" t="s">
        <v>11902</v>
      </c>
      <c r="G10708" s="52">
        <v>136487.90902907</v>
      </c>
      <c r="H10708" s="56">
        <v>4.4317528780900971E-2</v>
      </c>
      <c r="I10708" s="224" t="s">
        <v>2</v>
      </c>
    </row>
    <row r="10709" spans="1:9" x14ac:dyDescent="0.25">
      <c r="A10709" s="515">
        <v>7874</v>
      </c>
      <c r="B10709" s="515" t="s">
        <v>324</v>
      </c>
      <c r="C10709" s="52">
        <v>338610.70032294001</v>
      </c>
      <c r="D10709" s="56">
        <v>4.4071792050416614E-2</v>
      </c>
      <c r="E10709" s="224" t="s">
        <v>2</v>
      </c>
      <c r="F10709" s="515" t="s">
        <v>11903</v>
      </c>
      <c r="G10709" s="52">
        <v>113792.62069425501</v>
      </c>
      <c r="H10709" s="56">
        <v>0.13327689288010097</v>
      </c>
      <c r="I10709" s="224" t="s">
        <v>2</v>
      </c>
    </row>
    <row r="10710" spans="1:9" x14ac:dyDescent="0.25">
      <c r="A10710" s="515">
        <v>3304</v>
      </c>
      <c r="B10710" s="515" t="s">
        <v>981</v>
      </c>
      <c r="C10710" s="52">
        <v>498344.41120315401</v>
      </c>
      <c r="D10710" s="56">
        <v>8.2199014799207867E-2</v>
      </c>
      <c r="E10710" s="224" t="s">
        <v>2</v>
      </c>
      <c r="F10710" s="515" t="s">
        <v>11904</v>
      </c>
      <c r="G10710" s="52">
        <v>308253.37890625</v>
      </c>
      <c r="H10710" s="56">
        <v>0</v>
      </c>
      <c r="I10710" s="224" t="s">
        <v>2</v>
      </c>
    </row>
    <row r="10711" spans="1:9" x14ac:dyDescent="0.25">
      <c r="A10711" s="515">
        <v>99324</v>
      </c>
      <c r="B10711" s="515" t="s">
        <v>376</v>
      </c>
      <c r="C10711" s="52">
        <v>380073.78750476299</v>
      </c>
      <c r="D10711" s="56">
        <v>4.9249572474459699E-2</v>
      </c>
      <c r="E10711" s="224" t="s">
        <v>2</v>
      </c>
      <c r="F10711" s="515" t="s">
        <v>11905</v>
      </c>
      <c r="G10711" s="52">
        <v>86995.534495971704</v>
      </c>
      <c r="H10711" s="56">
        <v>4.7290734020286078E-3</v>
      </c>
      <c r="I10711" s="224" t="s">
        <v>2</v>
      </c>
    </row>
    <row r="10712" spans="1:9" x14ac:dyDescent="0.25">
      <c r="A10712" s="515">
        <v>16059</v>
      </c>
      <c r="B10712" s="515" t="s">
        <v>297</v>
      </c>
      <c r="C10712" s="52">
        <v>366579.33074219502</v>
      </c>
      <c r="D10712" s="56">
        <v>7.5744798748490119E-2</v>
      </c>
      <c r="E10712" s="224" t="s">
        <v>2</v>
      </c>
      <c r="F10712" s="515" t="s">
        <v>11906</v>
      </c>
      <c r="G10712" s="52">
        <v>150267.303144273</v>
      </c>
      <c r="H10712" s="56">
        <v>7.9669811592503054E-2</v>
      </c>
      <c r="I10712" s="224" t="s">
        <v>2</v>
      </c>
    </row>
    <row r="10713" spans="1:9" x14ac:dyDescent="0.25">
      <c r="A10713" s="515">
        <v>18472</v>
      </c>
      <c r="C10713" s="52">
        <v>249023.593573552</v>
      </c>
      <c r="D10713" s="56">
        <v>6.9327757327542996E-2</v>
      </c>
      <c r="E10713" s="224" t="s">
        <v>2</v>
      </c>
      <c r="F10713" s="515" t="s">
        <v>11907</v>
      </c>
      <c r="G10713" s="52">
        <v>146626.43527042601</v>
      </c>
      <c r="H10713" s="56">
        <v>8.6824821441237793E-2</v>
      </c>
      <c r="I10713" s="224" t="s">
        <v>2</v>
      </c>
    </row>
    <row r="10714" spans="1:9" x14ac:dyDescent="0.25">
      <c r="A10714" s="515">
        <v>15683</v>
      </c>
      <c r="B10714" s="515" t="s">
        <v>297</v>
      </c>
      <c r="C10714" s="52">
        <v>142852.66182915799</v>
      </c>
      <c r="D10714" s="56">
        <v>1.5688250390284493E-2</v>
      </c>
      <c r="E10714" s="224" t="s">
        <v>2</v>
      </c>
      <c r="F10714" s="515" t="s">
        <v>11908</v>
      </c>
      <c r="G10714" s="52">
        <v>223297.09123650001</v>
      </c>
      <c r="H10714" s="56">
        <v>2.2387867815352444E-2</v>
      </c>
      <c r="I10714" s="224" t="s">
        <v>2</v>
      </c>
    </row>
    <row r="10715" spans="1:9" x14ac:dyDescent="0.25">
      <c r="A10715" s="515">
        <v>74434</v>
      </c>
      <c r="B10715" s="515" t="s">
        <v>538</v>
      </c>
      <c r="C10715" s="52">
        <v>187977.809193005</v>
      </c>
      <c r="D10715" s="56">
        <v>9.1455598877228789E-2</v>
      </c>
      <c r="E10715" s="224" t="s">
        <v>2</v>
      </c>
      <c r="F10715" s="515" t="s">
        <v>11909</v>
      </c>
      <c r="G10715" s="52">
        <v>250422.14912238199</v>
      </c>
      <c r="H10715" s="56">
        <v>9.9150841982429072E-2</v>
      </c>
      <c r="I10715" s="224" t="s">
        <v>2</v>
      </c>
    </row>
    <row r="10716" spans="1:9" x14ac:dyDescent="0.25">
      <c r="A10716" s="515">
        <v>11789</v>
      </c>
      <c r="B10716" s="515" t="s">
        <v>324</v>
      </c>
      <c r="C10716" s="52">
        <v>409024.10926435399</v>
      </c>
      <c r="D10716" s="56">
        <v>3.980214303369748E-2</v>
      </c>
      <c r="E10716" s="224" t="s">
        <v>2</v>
      </c>
      <c r="F10716" s="515" t="s">
        <v>11910</v>
      </c>
      <c r="G10716" s="52">
        <v>122046.042394633</v>
      </c>
      <c r="H10716" s="56">
        <v>9.0753713176705123E-2</v>
      </c>
      <c r="I10716" s="224" t="s">
        <v>2</v>
      </c>
    </row>
    <row r="10717" spans="1:9" x14ac:dyDescent="0.25">
      <c r="A10717" s="515">
        <v>24091</v>
      </c>
      <c r="C10717" s="52">
        <v>221282.07646680801</v>
      </c>
      <c r="D10717" s="56">
        <v>3.0993476771600297E-2</v>
      </c>
      <c r="E10717" s="224" t="s">
        <v>2</v>
      </c>
      <c r="F10717" s="515" t="s">
        <v>11911</v>
      </c>
      <c r="G10717" s="52">
        <v>486305.43833740702</v>
      </c>
      <c r="H10717" s="56">
        <v>4.6121534911160292E-2</v>
      </c>
      <c r="I10717" s="224" t="s">
        <v>2</v>
      </c>
    </row>
    <row r="10718" spans="1:9" x14ac:dyDescent="0.25">
      <c r="A10718" s="515">
        <v>4084</v>
      </c>
      <c r="B10718" s="515" t="s">
        <v>570</v>
      </c>
      <c r="C10718" s="52">
        <v>388244.86676839797</v>
      </c>
      <c r="D10718" s="56">
        <v>8.5791080809348608E-2</v>
      </c>
      <c r="E10718" s="224" t="s">
        <v>2</v>
      </c>
      <c r="F10718" s="515" t="s">
        <v>11912</v>
      </c>
      <c r="G10718" s="52">
        <v>132109.73259485801</v>
      </c>
      <c r="H10718" s="56">
        <v>5.7298274870847793E-2</v>
      </c>
      <c r="I10718" s="224" t="s">
        <v>2</v>
      </c>
    </row>
    <row r="10719" spans="1:9" x14ac:dyDescent="0.25">
      <c r="A10719" s="515">
        <v>94027</v>
      </c>
      <c r="B10719" s="515" t="s">
        <v>593</v>
      </c>
      <c r="C10719" s="52">
        <v>7363450.9075122299</v>
      </c>
      <c r="D10719" s="56">
        <v>6.5286066797359812E-3</v>
      </c>
      <c r="E10719" s="224" t="s">
        <v>2</v>
      </c>
      <c r="F10719" s="515" t="s">
        <v>11913</v>
      </c>
      <c r="G10719" s="52">
        <v>128759.258639947</v>
      </c>
      <c r="H10719" s="56">
        <v>9.4309051490120949E-2</v>
      </c>
      <c r="I10719" s="224" t="s">
        <v>2</v>
      </c>
    </row>
    <row r="10720" spans="1:9" x14ac:dyDescent="0.25">
      <c r="A10720" s="515">
        <v>7930</v>
      </c>
      <c r="B10720" s="515" t="s">
        <v>324</v>
      </c>
      <c r="C10720" s="52">
        <v>720643.16398891702</v>
      </c>
      <c r="D10720" s="56">
        <v>3.4995559166085349E-2</v>
      </c>
      <c r="E10720" s="224" t="s">
        <v>2</v>
      </c>
      <c r="F10720" s="515" t="s">
        <v>11914</v>
      </c>
      <c r="G10720" s="52">
        <v>206806.95262319699</v>
      </c>
      <c r="H10720" s="56">
        <v>0.12007787274541316</v>
      </c>
      <c r="I10720" s="224" t="s">
        <v>2</v>
      </c>
    </row>
    <row r="10721" spans="1:9" x14ac:dyDescent="0.25">
      <c r="A10721" s="515">
        <v>43025</v>
      </c>
      <c r="B10721" s="515" t="s">
        <v>345</v>
      </c>
      <c r="C10721" s="52">
        <v>292303.63648701098</v>
      </c>
      <c r="D10721" s="56">
        <v>9.8294216383940258E-2</v>
      </c>
      <c r="E10721" s="224" t="s">
        <v>2</v>
      </c>
      <c r="F10721" s="515" t="s">
        <v>11915</v>
      </c>
      <c r="G10721" s="52">
        <v>214030.18838760699</v>
      </c>
      <c r="H10721" s="56">
        <v>9.9241950052752465E-2</v>
      </c>
      <c r="I10721" s="224" t="s">
        <v>2</v>
      </c>
    </row>
    <row r="10722" spans="1:9" x14ac:dyDescent="0.25">
      <c r="A10722" s="515">
        <v>66609</v>
      </c>
      <c r="B10722" s="515" t="s">
        <v>549</v>
      </c>
      <c r="C10722" s="52">
        <v>212860.406554766</v>
      </c>
      <c r="D10722" s="56">
        <v>8.7070670087901869E-2</v>
      </c>
      <c r="E10722" s="224">
        <v>1975</v>
      </c>
      <c r="F10722" s="515" t="s">
        <v>11916</v>
      </c>
      <c r="G10722" s="52">
        <v>276314.57842051599</v>
      </c>
      <c r="H10722" s="56">
        <v>9.8223687297413986E-2</v>
      </c>
      <c r="I10722" s="224" t="s">
        <v>2</v>
      </c>
    </row>
    <row r="10723" spans="1:9" x14ac:dyDescent="0.25">
      <c r="A10723" s="515">
        <v>76704</v>
      </c>
      <c r="B10723" s="515" t="s">
        <v>1057</v>
      </c>
      <c r="C10723" s="52">
        <v>109714.647641242</v>
      </c>
      <c r="D10723" s="56">
        <v>0.1642005303950837</v>
      </c>
      <c r="E10723" s="224" t="s">
        <v>2</v>
      </c>
      <c r="F10723" s="515" t="s">
        <v>11917</v>
      </c>
      <c r="G10723" s="52">
        <v>265595.20399117703</v>
      </c>
      <c r="H10723" s="56">
        <v>8.649807544161546E-2</v>
      </c>
      <c r="I10723" s="224" t="s">
        <v>2</v>
      </c>
    </row>
    <row r="10724" spans="1:9" x14ac:dyDescent="0.25">
      <c r="A10724" s="515">
        <v>29160</v>
      </c>
      <c r="B10724" s="515" t="s">
        <v>762</v>
      </c>
      <c r="C10724" s="52">
        <v>126912.161752963</v>
      </c>
      <c r="D10724" s="56">
        <v>0.20322120410052644</v>
      </c>
      <c r="E10724" s="224" t="s">
        <v>2</v>
      </c>
      <c r="F10724" s="515" t="s">
        <v>11918</v>
      </c>
      <c r="G10724" s="52">
        <v>207201.28377708601</v>
      </c>
      <c r="H10724" s="56">
        <v>0.15087793144113376</v>
      </c>
      <c r="I10724" s="224" t="s">
        <v>2</v>
      </c>
    </row>
    <row r="10725" spans="1:9" x14ac:dyDescent="0.25">
      <c r="A10725" s="515">
        <v>32352</v>
      </c>
      <c r="B10725" s="515" t="s">
        <v>335</v>
      </c>
      <c r="C10725" s="52">
        <v>159303.396928879</v>
      </c>
      <c r="D10725" s="56">
        <v>0.20733261082367277</v>
      </c>
      <c r="E10725" s="224" t="s">
        <v>2</v>
      </c>
      <c r="F10725" s="515" t="s">
        <v>11919</v>
      </c>
      <c r="G10725" s="52">
        <v>431764.04807128402</v>
      </c>
      <c r="H10725" s="56">
        <v>7.9077806101867071E-2</v>
      </c>
      <c r="I10725" s="224" t="s">
        <v>2</v>
      </c>
    </row>
    <row r="10726" spans="1:9" x14ac:dyDescent="0.25">
      <c r="A10726" s="515">
        <v>99603</v>
      </c>
      <c r="C10726" s="52">
        <v>350536.906539494</v>
      </c>
      <c r="D10726" s="56">
        <v>1.9855135177040392E-2</v>
      </c>
      <c r="E10726" s="224" t="s">
        <v>2</v>
      </c>
      <c r="F10726" s="515" t="s">
        <v>11920</v>
      </c>
      <c r="G10726" s="52">
        <v>107983.98471499499</v>
      </c>
      <c r="H10726" s="56">
        <v>0.1064572356603679</v>
      </c>
      <c r="I10726" s="224" t="s">
        <v>2</v>
      </c>
    </row>
    <row r="10727" spans="1:9" x14ac:dyDescent="0.25">
      <c r="A10727" s="515">
        <v>71328</v>
      </c>
      <c r="B10727" s="515" t="s">
        <v>968</v>
      </c>
      <c r="C10727" s="52">
        <v>170429.41717622001</v>
      </c>
      <c r="D10727" s="56">
        <v>3.507468296823333E-2</v>
      </c>
      <c r="E10727" s="224" t="s">
        <v>2</v>
      </c>
      <c r="F10727" s="515" t="s">
        <v>11921</v>
      </c>
      <c r="G10727" s="52">
        <v>1802041.70042984</v>
      </c>
      <c r="H10727" s="56">
        <v>6.1284685630497902E-2</v>
      </c>
      <c r="I10727" s="224" t="s">
        <v>2</v>
      </c>
    </row>
    <row r="10728" spans="1:9" x14ac:dyDescent="0.25">
      <c r="A10728" s="515">
        <v>98250</v>
      </c>
      <c r="C10728" s="52">
        <v>836212.720345248</v>
      </c>
      <c r="D10728" s="56">
        <v>2.5639663118619652E-2</v>
      </c>
      <c r="E10728" s="224" t="s">
        <v>2</v>
      </c>
      <c r="F10728" s="515" t="s">
        <v>11922</v>
      </c>
      <c r="G10728" s="52">
        <v>84766.618357078507</v>
      </c>
      <c r="H10728" s="56">
        <v>0.15270797370846248</v>
      </c>
      <c r="I10728" s="224" t="s">
        <v>2</v>
      </c>
    </row>
    <row r="10729" spans="1:9" x14ac:dyDescent="0.25">
      <c r="A10729" s="515">
        <v>99567</v>
      </c>
      <c r="B10729" s="515" t="s">
        <v>405</v>
      </c>
      <c r="C10729" s="52">
        <v>424922.70747462101</v>
      </c>
      <c r="D10729" s="56">
        <v>2.1791900811474866E-2</v>
      </c>
      <c r="E10729" s="224" t="s">
        <v>2</v>
      </c>
      <c r="F10729" s="515" t="s">
        <v>11923</v>
      </c>
      <c r="G10729" s="52">
        <v>148588.57693566199</v>
      </c>
      <c r="H10729" s="56">
        <v>-1.469628769102947E-2</v>
      </c>
      <c r="I10729" s="224" t="s">
        <v>2</v>
      </c>
    </row>
    <row r="10730" spans="1:9" x14ac:dyDescent="0.25">
      <c r="A10730" s="515">
        <v>28204</v>
      </c>
      <c r="B10730" s="515" t="s">
        <v>360</v>
      </c>
      <c r="C10730" s="52">
        <v>519375.22970730398</v>
      </c>
      <c r="D10730" s="56">
        <v>1.033560839106358E-2</v>
      </c>
      <c r="E10730" s="224">
        <v>1739.7433954933899</v>
      </c>
      <c r="F10730" s="515" t="s">
        <v>11924</v>
      </c>
      <c r="G10730" s="52">
        <v>1131128.33354811</v>
      </c>
      <c r="H10730" s="56">
        <v>0.12283525398825559</v>
      </c>
      <c r="I10730" s="224" t="s">
        <v>2</v>
      </c>
    </row>
    <row r="10731" spans="1:9" x14ac:dyDescent="0.25">
      <c r="A10731" s="515">
        <v>57717</v>
      </c>
      <c r="C10731" s="52">
        <v>262055.65317982601</v>
      </c>
      <c r="D10731" s="56">
        <v>0.12845771256308414</v>
      </c>
      <c r="E10731" s="224" t="s">
        <v>2</v>
      </c>
      <c r="F10731" s="515" t="s">
        <v>11925</v>
      </c>
      <c r="G10731" s="52">
        <v>148508.96343338999</v>
      </c>
      <c r="H10731" s="56">
        <v>0.14825472618565946</v>
      </c>
      <c r="I10731" s="224" t="s">
        <v>2</v>
      </c>
    </row>
    <row r="10732" spans="1:9" x14ac:dyDescent="0.25">
      <c r="A10732" s="515">
        <v>15537</v>
      </c>
      <c r="C10732" s="52">
        <v>175864.16847583299</v>
      </c>
      <c r="D10732" s="56">
        <v>2.3614443426651196E-2</v>
      </c>
      <c r="E10732" s="224" t="s">
        <v>2</v>
      </c>
      <c r="F10732" s="515" t="s">
        <v>11926</v>
      </c>
      <c r="G10732" s="52">
        <v>135858.37068009499</v>
      </c>
      <c r="H10732" s="56">
        <v>-4.020808649704978E-2</v>
      </c>
      <c r="I10732" s="224" t="s">
        <v>2</v>
      </c>
    </row>
    <row r="10733" spans="1:9" x14ac:dyDescent="0.25">
      <c r="A10733" s="515">
        <v>55947</v>
      </c>
      <c r="B10733" s="515" t="s">
        <v>635</v>
      </c>
      <c r="C10733" s="52">
        <v>287980.51657145901</v>
      </c>
      <c r="D10733" s="56">
        <v>0.10034688143361856</v>
      </c>
      <c r="E10733" s="224" t="s">
        <v>2</v>
      </c>
      <c r="F10733" s="515" t="s">
        <v>11927</v>
      </c>
      <c r="G10733" s="52">
        <v>171022.21130106301</v>
      </c>
      <c r="H10733" s="56">
        <v>1.8510783145058832E-2</v>
      </c>
      <c r="I10733" s="224" t="s">
        <v>2</v>
      </c>
    </row>
    <row r="10734" spans="1:9" x14ac:dyDescent="0.25">
      <c r="A10734" s="515">
        <v>14470</v>
      </c>
      <c r="B10734" s="515" t="s">
        <v>337</v>
      </c>
      <c r="C10734" s="52">
        <v>171346.226430852</v>
      </c>
      <c r="D10734" s="56">
        <v>9.4746555049703765E-2</v>
      </c>
      <c r="E10734" s="224" t="s">
        <v>2</v>
      </c>
      <c r="F10734" s="515" t="s">
        <v>11928</v>
      </c>
      <c r="G10734" s="52">
        <v>94733.144291129996</v>
      </c>
      <c r="H10734" s="56">
        <v>5.8908512495559617E-2</v>
      </c>
      <c r="I10734" s="224" t="s">
        <v>2</v>
      </c>
    </row>
    <row r="10735" spans="1:9" x14ac:dyDescent="0.25">
      <c r="A10735" s="515">
        <v>17038</v>
      </c>
      <c r="B10735" s="515" t="s">
        <v>562</v>
      </c>
      <c r="C10735" s="52">
        <v>263544.53727203398</v>
      </c>
      <c r="D10735" s="56">
        <v>9.4182506985257083E-2</v>
      </c>
      <c r="E10735" s="224" t="s">
        <v>2</v>
      </c>
      <c r="F10735" s="515" t="s">
        <v>11929</v>
      </c>
      <c r="G10735" s="52">
        <v>137887.12014061</v>
      </c>
      <c r="H10735" s="56">
        <v>0.11073333030690177</v>
      </c>
      <c r="I10735" s="224" t="s">
        <v>2</v>
      </c>
    </row>
    <row r="10736" spans="1:9" x14ac:dyDescent="0.25">
      <c r="A10736" s="515">
        <v>23842</v>
      </c>
      <c r="B10736" s="515" t="s">
        <v>667</v>
      </c>
      <c r="C10736" s="52">
        <v>319605.67183423199</v>
      </c>
      <c r="D10736" s="56">
        <v>0.13213294516850818</v>
      </c>
      <c r="E10736" s="224" t="s">
        <v>2</v>
      </c>
      <c r="F10736" s="515" t="s">
        <v>11930</v>
      </c>
      <c r="G10736" s="52">
        <v>474208.229363163</v>
      </c>
      <c r="H10736" s="56">
        <v>2.9023372657706412E-2</v>
      </c>
      <c r="I10736" s="224" t="s">
        <v>2</v>
      </c>
    </row>
    <row r="10737" spans="1:9" x14ac:dyDescent="0.25">
      <c r="A10737" s="515">
        <v>61270</v>
      </c>
      <c r="B10737" s="515" t="s">
        <v>756</v>
      </c>
      <c r="C10737" s="52">
        <v>132669.48368607499</v>
      </c>
      <c r="D10737" s="56">
        <v>7.1118862821660717E-2</v>
      </c>
      <c r="E10737" s="224" t="s">
        <v>2</v>
      </c>
      <c r="F10737" s="515" t="s">
        <v>11931</v>
      </c>
      <c r="G10737" s="52">
        <v>188594.91481617399</v>
      </c>
      <c r="H10737" s="56">
        <v>1.0540622529635389E-2</v>
      </c>
      <c r="I10737" s="224" t="s">
        <v>2</v>
      </c>
    </row>
    <row r="10738" spans="1:9" x14ac:dyDescent="0.25">
      <c r="A10738" s="515">
        <v>44233</v>
      </c>
      <c r="B10738" s="515" t="s">
        <v>520</v>
      </c>
      <c r="C10738" s="52">
        <v>420504.455402944</v>
      </c>
      <c r="D10738" s="56">
        <v>6.4091070664258926E-2</v>
      </c>
      <c r="E10738" s="224" t="s">
        <v>2</v>
      </c>
      <c r="F10738" s="515" t="s">
        <v>11932</v>
      </c>
      <c r="G10738" s="52">
        <v>408931.79797016701</v>
      </c>
      <c r="H10738" s="56">
        <v>9.2647841726327909E-2</v>
      </c>
      <c r="I10738" s="224" t="s">
        <v>2</v>
      </c>
    </row>
    <row r="10739" spans="1:9" x14ac:dyDescent="0.25">
      <c r="A10739" s="515">
        <v>31052</v>
      </c>
      <c r="B10739" s="515" t="s">
        <v>995</v>
      </c>
      <c r="C10739" s="52">
        <v>219243.10545827501</v>
      </c>
      <c r="D10739" s="56">
        <v>0.1069743124889271</v>
      </c>
      <c r="E10739" s="224" t="s">
        <v>2</v>
      </c>
      <c r="F10739" s="515" t="s">
        <v>11933</v>
      </c>
      <c r="G10739" s="52">
        <v>272410.159060954</v>
      </c>
      <c r="H10739" s="56">
        <v>7.0829569469228998E-2</v>
      </c>
      <c r="I10739" s="224" t="s">
        <v>2</v>
      </c>
    </row>
    <row r="10740" spans="1:9" x14ac:dyDescent="0.25">
      <c r="A10740" s="515">
        <v>18518</v>
      </c>
      <c r="B10740" s="515" t="s">
        <v>512</v>
      </c>
      <c r="C10740" s="52">
        <v>172882.91777948401</v>
      </c>
      <c r="D10740" s="56">
        <v>3.7733865719846361E-2</v>
      </c>
      <c r="E10740" s="224" t="s">
        <v>2</v>
      </c>
      <c r="F10740" s="515" t="s">
        <v>11934</v>
      </c>
      <c r="G10740" s="52">
        <v>871416.09117013903</v>
      </c>
      <c r="H10740" s="56">
        <v>8.9226072215835436E-2</v>
      </c>
      <c r="I10740" s="224" t="s">
        <v>2</v>
      </c>
    </row>
    <row r="10741" spans="1:9" x14ac:dyDescent="0.25">
      <c r="A10741" s="515">
        <v>13214</v>
      </c>
      <c r="B10741" s="515" t="s">
        <v>361</v>
      </c>
      <c r="C10741" s="52">
        <v>221983.35289094501</v>
      </c>
      <c r="D10741" s="56">
        <v>7.0483179352423486E-2</v>
      </c>
      <c r="E10741" s="224" t="s">
        <v>2</v>
      </c>
      <c r="F10741" s="515" t="s">
        <v>11935</v>
      </c>
      <c r="G10741" s="52">
        <v>180621.106538252</v>
      </c>
      <c r="H10741" s="56">
        <v>5.7922855346299394E-2</v>
      </c>
      <c r="I10741" s="224">
        <v>1361.5</v>
      </c>
    </row>
    <row r="10742" spans="1:9" x14ac:dyDescent="0.25">
      <c r="A10742" s="515">
        <v>28768</v>
      </c>
      <c r="B10742" s="515" t="s">
        <v>908</v>
      </c>
      <c r="C10742" s="52">
        <v>401407.12194645102</v>
      </c>
      <c r="D10742" s="56">
        <v>0.15819655925097256</v>
      </c>
      <c r="E10742" s="224" t="s">
        <v>2</v>
      </c>
      <c r="F10742" s="515" t="s">
        <v>11936</v>
      </c>
      <c r="G10742" s="52">
        <v>186627.119009599</v>
      </c>
      <c r="H10742" s="56">
        <v>3.6796995239210102E-2</v>
      </c>
      <c r="I10742" s="224" t="s">
        <v>2</v>
      </c>
    </row>
    <row r="10743" spans="1:9" x14ac:dyDescent="0.25">
      <c r="A10743" s="515">
        <v>78569</v>
      </c>
      <c r="B10743" s="515" t="s">
        <v>482</v>
      </c>
      <c r="C10743" s="52">
        <v>114679.157240967</v>
      </c>
      <c r="D10743" s="56">
        <v>0</v>
      </c>
      <c r="E10743" s="224" t="s">
        <v>2</v>
      </c>
      <c r="F10743" s="515" t="s">
        <v>11937</v>
      </c>
      <c r="G10743" s="52">
        <v>561499.65389795695</v>
      </c>
      <c r="H10743" s="56">
        <v>7.7412436889081643E-2</v>
      </c>
      <c r="I10743" s="224" t="s">
        <v>2</v>
      </c>
    </row>
    <row r="10744" spans="1:9" x14ac:dyDescent="0.25">
      <c r="A10744" s="515">
        <v>45232</v>
      </c>
      <c r="B10744" s="515" t="s">
        <v>344</v>
      </c>
      <c r="C10744" s="52">
        <v>146428.41161751299</v>
      </c>
      <c r="D10744" s="56">
        <v>0.10781343168506378</v>
      </c>
      <c r="E10744" s="224" t="s">
        <v>2</v>
      </c>
      <c r="F10744" s="515" t="s">
        <v>11938</v>
      </c>
      <c r="G10744" s="52">
        <v>169393.542947996</v>
      </c>
      <c r="H10744" s="56">
        <v>0.1057271077413847</v>
      </c>
      <c r="I10744" s="224" t="s">
        <v>2</v>
      </c>
    </row>
    <row r="10745" spans="1:9" x14ac:dyDescent="0.25">
      <c r="A10745" s="515">
        <v>40447</v>
      </c>
      <c r="C10745" s="52">
        <v>124114.763476447</v>
      </c>
      <c r="D10745" s="56">
        <v>0.44417064908327253</v>
      </c>
      <c r="E10745" s="224" t="s">
        <v>2</v>
      </c>
      <c r="F10745" s="515" t="s">
        <v>11939</v>
      </c>
      <c r="G10745" s="52">
        <v>442025.68669025402</v>
      </c>
      <c r="H10745" s="56">
        <v>0.12628903931061286</v>
      </c>
      <c r="I10745" s="224" t="s">
        <v>2</v>
      </c>
    </row>
    <row r="10746" spans="1:9" x14ac:dyDescent="0.25">
      <c r="A10746" s="515">
        <v>98014</v>
      </c>
      <c r="B10746" s="515" t="s">
        <v>384</v>
      </c>
      <c r="C10746" s="52">
        <v>900867.13711082703</v>
      </c>
      <c r="D10746" s="56">
        <v>3.1743537738655916E-2</v>
      </c>
      <c r="E10746" s="224" t="s">
        <v>2</v>
      </c>
      <c r="F10746" s="515" t="s">
        <v>11940</v>
      </c>
      <c r="G10746" s="52">
        <v>270401.85490424302</v>
      </c>
      <c r="H10746" s="56">
        <v>8.0031169725893636E-2</v>
      </c>
      <c r="I10746" s="224" t="s">
        <v>2</v>
      </c>
    </row>
    <row r="10747" spans="1:9" x14ac:dyDescent="0.25">
      <c r="A10747" s="515">
        <v>7764</v>
      </c>
      <c r="B10747" s="515" t="s">
        <v>324</v>
      </c>
      <c r="C10747" s="52">
        <v>772920.61913598899</v>
      </c>
      <c r="D10747" s="56">
        <v>0.12032130580604919</v>
      </c>
      <c r="E10747" s="224" t="s">
        <v>2</v>
      </c>
      <c r="F10747" s="515" t="s">
        <v>11941</v>
      </c>
      <c r="G10747" s="52">
        <v>99717.075697098393</v>
      </c>
      <c r="H10747" s="56">
        <v>-4.54796167620675E-2</v>
      </c>
      <c r="I10747" s="224" t="s">
        <v>2</v>
      </c>
    </row>
    <row r="10748" spans="1:9" x14ac:dyDescent="0.25">
      <c r="A10748" s="515">
        <v>35962</v>
      </c>
      <c r="B10748" s="515" t="s">
        <v>979</v>
      </c>
      <c r="C10748" s="52">
        <v>163041.93422541901</v>
      </c>
      <c r="D10748" s="56">
        <v>0.16053379947970337</v>
      </c>
      <c r="E10748" s="224" t="s">
        <v>2</v>
      </c>
      <c r="F10748" s="515" t="s">
        <v>11942</v>
      </c>
      <c r="G10748" s="52">
        <v>168636.49967444901</v>
      </c>
      <c r="H10748" s="56">
        <v>0.13378944988447541</v>
      </c>
      <c r="I10748" s="224" t="s">
        <v>2</v>
      </c>
    </row>
    <row r="10749" spans="1:9" x14ac:dyDescent="0.25">
      <c r="A10749" s="515">
        <v>72638</v>
      </c>
      <c r="C10749" s="52">
        <v>156608.84297935199</v>
      </c>
      <c r="D10749" s="56">
        <v>7.3701232341282438E-2</v>
      </c>
      <c r="E10749" s="224" t="s">
        <v>2</v>
      </c>
      <c r="F10749" s="515" t="s">
        <v>11943</v>
      </c>
      <c r="G10749" s="52">
        <v>242965.38700368101</v>
      </c>
      <c r="H10749" s="56">
        <v>1.159051623166245E-2</v>
      </c>
      <c r="I10749" s="224" t="s">
        <v>2</v>
      </c>
    </row>
    <row r="10750" spans="1:9" x14ac:dyDescent="0.25">
      <c r="A10750" s="515">
        <v>8801</v>
      </c>
      <c r="B10750" s="515" t="s">
        <v>324</v>
      </c>
      <c r="C10750" s="52">
        <v>503702.206964068</v>
      </c>
      <c r="D10750" s="56">
        <v>4.7915112828393024E-2</v>
      </c>
      <c r="E10750" s="224" t="s">
        <v>2</v>
      </c>
      <c r="F10750" s="515" t="s">
        <v>11944</v>
      </c>
      <c r="G10750" s="52">
        <v>228061.15498276</v>
      </c>
      <c r="H10750" s="56">
        <v>6.0106326956784854E-2</v>
      </c>
      <c r="I10750" s="224" t="s">
        <v>2</v>
      </c>
    </row>
    <row r="10751" spans="1:9" x14ac:dyDescent="0.25">
      <c r="A10751" s="515">
        <v>12184</v>
      </c>
      <c r="B10751" s="515" t="s">
        <v>564</v>
      </c>
      <c r="C10751" s="52">
        <v>376814.87435203698</v>
      </c>
      <c r="D10751" s="56">
        <v>9.2339226904358654E-2</v>
      </c>
      <c r="E10751" s="224" t="s">
        <v>2</v>
      </c>
      <c r="F10751" s="515" t="s">
        <v>11945</v>
      </c>
      <c r="G10751" s="52">
        <v>228124.854108214</v>
      </c>
      <c r="H10751" s="56">
        <v>0.10649475760469453</v>
      </c>
      <c r="I10751" s="224" t="s">
        <v>2</v>
      </c>
    </row>
    <row r="10752" spans="1:9" x14ac:dyDescent="0.25">
      <c r="A10752" s="515">
        <v>98337</v>
      </c>
      <c r="B10752" s="515" t="s">
        <v>620</v>
      </c>
      <c r="C10752" s="52">
        <v>375456.81882787897</v>
      </c>
      <c r="D10752" s="56">
        <v>2.1727558193638821E-2</v>
      </c>
      <c r="E10752" s="224">
        <v>1562.80158730158</v>
      </c>
      <c r="F10752" s="515" t="s">
        <v>11946</v>
      </c>
      <c r="G10752" s="52">
        <v>420858.68331189302</v>
      </c>
      <c r="H10752" s="56">
        <v>8.6786488477405527E-2</v>
      </c>
      <c r="I10752" s="224" t="s">
        <v>2</v>
      </c>
    </row>
    <row r="10753" spans="1:9" x14ac:dyDescent="0.25">
      <c r="A10753" s="515">
        <v>8889</v>
      </c>
      <c r="B10753" s="515" t="s">
        <v>324</v>
      </c>
      <c r="C10753" s="52">
        <v>559812.39994740905</v>
      </c>
      <c r="D10753" s="56">
        <v>7.0385352109680402E-2</v>
      </c>
      <c r="E10753" s="224" t="s">
        <v>2</v>
      </c>
      <c r="F10753" s="515" t="s">
        <v>11947</v>
      </c>
      <c r="G10753" s="52">
        <v>156376.11377188101</v>
      </c>
      <c r="H10753" s="56">
        <v>9.5716613753774549E-2</v>
      </c>
      <c r="I10753" s="224" t="s">
        <v>2</v>
      </c>
    </row>
    <row r="10754" spans="1:9" x14ac:dyDescent="0.25">
      <c r="A10754" s="515">
        <v>45176</v>
      </c>
      <c r="B10754" s="515" t="s">
        <v>344</v>
      </c>
      <c r="C10754" s="52">
        <v>214450.30082470001</v>
      </c>
      <c r="D10754" s="56">
        <v>7.3453290183436173E-2</v>
      </c>
      <c r="E10754" s="224" t="s">
        <v>2</v>
      </c>
      <c r="F10754" s="515" t="s">
        <v>11948</v>
      </c>
      <c r="G10754" s="52">
        <v>151805.62471014401</v>
      </c>
      <c r="H10754" s="56">
        <v>5.0236608605393591E-2</v>
      </c>
      <c r="I10754" s="224" t="s">
        <v>2</v>
      </c>
    </row>
    <row r="10755" spans="1:9" x14ac:dyDescent="0.25">
      <c r="A10755" s="515">
        <v>10504</v>
      </c>
      <c r="B10755" s="515" t="s">
        <v>324</v>
      </c>
      <c r="C10755" s="52">
        <v>1320203.68103251</v>
      </c>
      <c r="D10755" s="56">
        <v>0.10160368791302916</v>
      </c>
      <c r="E10755" s="224" t="s">
        <v>2</v>
      </c>
      <c r="F10755" s="515" t="s">
        <v>11949</v>
      </c>
      <c r="G10755" s="52">
        <v>636245.56237627903</v>
      </c>
      <c r="H10755" s="56">
        <v>6.2436709121960532E-2</v>
      </c>
      <c r="I10755" s="224" t="s">
        <v>2</v>
      </c>
    </row>
    <row r="10756" spans="1:9" x14ac:dyDescent="0.25">
      <c r="A10756" s="515">
        <v>76424</v>
      </c>
      <c r="C10756" s="52">
        <v>126152.502999071</v>
      </c>
      <c r="D10756" s="56">
        <v>0.11562952283771626</v>
      </c>
      <c r="E10756" s="224" t="s">
        <v>2</v>
      </c>
      <c r="F10756" s="515" t="s">
        <v>11950</v>
      </c>
      <c r="G10756" s="52">
        <v>530304.88757999195</v>
      </c>
      <c r="H10756" s="56">
        <v>1.8429990606876421E-2</v>
      </c>
      <c r="I10756" s="224" t="s">
        <v>2</v>
      </c>
    </row>
    <row r="10757" spans="1:9" x14ac:dyDescent="0.25">
      <c r="A10757" s="515">
        <v>49302</v>
      </c>
      <c r="B10757" s="515" t="s">
        <v>631</v>
      </c>
      <c r="C10757" s="52">
        <v>387538.61420232599</v>
      </c>
      <c r="D10757" s="56">
        <v>3.5882111796104517E-2</v>
      </c>
      <c r="E10757" s="224" t="s">
        <v>2</v>
      </c>
      <c r="F10757" s="515" t="s">
        <v>11951</v>
      </c>
      <c r="G10757" s="52">
        <v>152008.125959817</v>
      </c>
      <c r="H10757" s="56">
        <v>0.15357892461060321</v>
      </c>
      <c r="I10757" s="224" t="s">
        <v>2</v>
      </c>
    </row>
    <row r="10758" spans="1:9" x14ac:dyDescent="0.25">
      <c r="A10758" s="515">
        <v>37357</v>
      </c>
      <c r="B10758" s="515" t="s">
        <v>1177</v>
      </c>
      <c r="C10758" s="52">
        <v>256189.791644499</v>
      </c>
      <c r="D10758" s="56">
        <v>0.1147754571883018</v>
      </c>
      <c r="E10758" s="224" t="s">
        <v>2</v>
      </c>
      <c r="F10758" s="515" t="s">
        <v>11952</v>
      </c>
      <c r="G10758" s="52">
        <v>282667.10407795699</v>
      </c>
      <c r="H10758" s="56">
        <v>0.12349154652132935</v>
      </c>
      <c r="I10758" s="224" t="s">
        <v>2</v>
      </c>
    </row>
    <row r="10759" spans="1:9" x14ac:dyDescent="0.25">
      <c r="A10759" s="515">
        <v>54963</v>
      </c>
      <c r="B10759" s="515" t="s">
        <v>383</v>
      </c>
      <c r="C10759" s="52">
        <v>220655.32202348899</v>
      </c>
      <c r="D10759" s="56">
        <v>4.4734777889383043E-2</v>
      </c>
      <c r="E10759" s="224" t="s">
        <v>2</v>
      </c>
      <c r="F10759" s="515" t="s">
        <v>11953</v>
      </c>
      <c r="G10759" s="52">
        <v>203695.76913593299</v>
      </c>
      <c r="H10759" s="56">
        <v>0.13265424636290449</v>
      </c>
      <c r="I10759" s="224" t="s">
        <v>2</v>
      </c>
    </row>
    <row r="10760" spans="1:9" x14ac:dyDescent="0.25">
      <c r="A10760" s="515">
        <v>37187</v>
      </c>
      <c r="B10760" s="515" t="s">
        <v>684</v>
      </c>
      <c r="C10760" s="52">
        <v>308190.53016081499</v>
      </c>
      <c r="D10760" s="56">
        <v>8.3032061622292319E-2</v>
      </c>
      <c r="E10760" s="224" t="s">
        <v>2</v>
      </c>
      <c r="F10760" s="515" t="s">
        <v>11954</v>
      </c>
      <c r="G10760" s="52">
        <v>433256.03521256201</v>
      </c>
      <c r="H10760" s="56">
        <v>0.1375481508912958</v>
      </c>
      <c r="I10760" s="224" t="s">
        <v>2</v>
      </c>
    </row>
    <row r="10761" spans="1:9" x14ac:dyDescent="0.25">
      <c r="A10761" s="515">
        <v>96712</v>
      </c>
      <c r="B10761" s="515" t="s">
        <v>1029</v>
      </c>
      <c r="C10761" s="52">
        <v>1530051.88916836</v>
      </c>
      <c r="D10761" s="56">
        <v>8.2644239152483812E-2</v>
      </c>
      <c r="E10761" s="224">
        <v>4750</v>
      </c>
      <c r="F10761" s="515" t="s">
        <v>11955</v>
      </c>
      <c r="G10761" s="52">
        <v>404731.09077659599</v>
      </c>
      <c r="H10761" s="56">
        <v>7.3665001742241831E-2</v>
      </c>
      <c r="I10761" s="224" t="s">
        <v>2</v>
      </c>
    </row>
    <row r="10762" spans="1:9" x14ac:dyDescent="0.25">
      <c r="A10762" s="515">
        <v>75684</v>
      </c>
      <c r="B10762" s="515" t="s">
        <v>319</v>
      </c>
      <c r="C10762" s="52">
        <v>155106.30673254601</v>
      </c>
      <c r="D10762" s="56">
        <v>8.1475765179299872E-2</v>
      </c>
      <c r="E10762" s="224" t="s">
        <v>2</v>
      </c>
      <c r="F10762" s="515" t="s">
        <v>11956</v>
      </c>
      <c r="G10762" s="52">
        <v>318510.51283064001</v>
      </c>
      <c r="H10762" s="56">
        <v>4.105885619901322E-2</v>
      </c>
      <c r="I10762" s="224" t="s">
        <v>2</v>
      </c>
    </row>
    <row r="10763" spans="1:9" x14ac:dyDescent="0.25">
      <c r="A10763" s="515">
        <v>48461</v>
      </c>
      <c r="B10763" s="515" t="s">
        <v>685</v>
      </c>
      <c r="C10763" s="52">
        <v>215032.19243432101</v>
      </c>
      <c r="D10763" s="56">
        <v>1.5234727649186812E-2</v>
      </c>
      <c r="E10763" s="224" t="s">
        <v>2</v>
      </c>
      <c r="F10763" s="515" t="s">
        <v>11957</v>
      </c>
      <c r="G10763" s="52">
        <v>254501.96193198001</v>
      </c>
      <c r="H10763" s="56">
        <v>7.9738188791804457E-2</v>
      </c>
      <c r="I10763" s="224" t="s">
        <v>2</v>
      </c>
    </row>
    <row r="10764" spans="1:9" x14ac:dyDescent="0.25">
      <c r="A10764" s="515">
        <v>96741</v>
      </c>
      <c r="B10764" s="515" t="s">
        <v>452</v>
      </c>
      <c r="C10764" s="52">
        <v>969905.73097163101</v>
      </c>
      <c r="D10764" s="56">
        <v>0.13397278248030764</v>
      </c>
      <c r="E10764" s="224" t="s">
        <v>2</v>
      </c>
      <c r="F10764" s="515" t="s">
        <v>11958</v>
      </c>
      <c r="G10764" s="52">
        <v>797748.85263988702</v>
      </c>
      <c r="H10764" s="56">
        <v>0.10199865179630405</v>
      </c>
      <c r="I10764" s="224" t="s">
        <v>2</v>
      </c>
    </row>
    <row r="10765" spans="1:9" x14ac:dyDescent="0.25">
      <c r="A10765" s="515">
        <v>49913</v>
      </c>
      <c r="B10765" s="515" t="s">
        <v>462</v>
      </c>
      <c r="C10765" s="52">
        <v>90232.964486257901</v>
      </c>
      <c r="D10765" s="56">
        <v>6.2314889987849419E-2</v>
      </c>
      <c r="E10765" s="224" t="s">
        <v>2</v>
      </c>
      <c r="F10765" s="515" t="s">
        <v>11959</v>
      </c>
      <c r="G10765" s="52">
        <v>166010.18004273801</v>
      </c>
      <c r="H10765" s="56">
        <v>1.6865044142409105E-2</v>
      </c>
      <c r="I10765" s="224" t="s">
        <v>2</v>
      </c>
    </row>
    <row r="10766" spans="1:9" x14ac:dyDescent="0.25">
      <c r="A10766" s="515">
        <v>7762</v>
      </c>
      <c r="B10766" s="515" t="s">
        <v>324</v>
      </c>
      <c r="C10766" s="52">
        <v>1035511.54225101</v>
      </c>
      <c r="D10766" s="56">
        <v>7.2332337566772126E-2</v>
      </c>
      <c r="E10766" s="224" t="s">
        <v>2</v>
      </c>
      <c r="F10766" s="515" t="s">
        <v>11960</v>
      </c>
      <c r="G10766" s="52">
        <v>250441.54176235199</v>
      </c>
      <c r="H10766" s="56">
        <v>6.3875143767396309E-2</v>
      </c>
      <c r="I10766" s="224" t="s">
        <v>2</v>
      </c>
    </row>
    <row r="10767" spans="1:9" x14ac:dyDescent="0.25">
      <c r="A10767" s="515">
        <v>3049</v>
      </c>
      <c r="B10767" s="515" t="s">
        <v>996</v>
      </c>
      <c r="C10767" s="52">
        <v>671280.44907251699</v>
      </c>
      <c r="D10767" s="56">
        <v>8.1227656405645346E-2</v>
      </c>
      <c r="E10767" s="224" t="s">
        <v>2</v>
      </c>
      <c r="F10767" s="515" t="s">
        <v>11961</v>
      </c>
      <c r="G10767" s="52">
        <v>283192.21311475401</v>
      </c>
      <c r="H10767" s="56">
        <v>0</v>
      </c>
      <c r="I10767" s="224" t="s">
        <v>2</v>
      </c>
    </row>
    <row r="10768" spans="1:9" x14ac:dyDescent="0.25">
      <c r="A10768" s="515">
        <v>25560</v>
      </c>
      <c r="B10768" s="515" t="s">
        <v>602</v>
      </c>
      <c r="C10768" s="52">
        <v>247367.58432563001</v>
      </c>
      <c r="D10768" s="56">
        <v>5.2535345010798942E-2</v>
      </c>
      <c r="E10768" s="224" t="s">
        <v>2</v>
      </c>
      <c r="F10768" s="515" t="s">
        <v>11962</v>
      </c>
      <c r="G10768" s="52">
        <v>92252.002900809501</v>
      </c>
      <c r="H10768" s="56">
        <v>4.448225485193779E-2</v>
      </c>
      <c r="I10768" s="224" t="s">
        <v>2</v>
      </c>
    </row>
    <row r="10769" spans="1:9" x14ac:dyDescent="0.25">
      <c r="A10769" s="515">
        <v>15204</v>
      </c>
      <c r="B10769" s="515" t="s">
        <v>297</v>
      </c>
      <c r="C10769" s="52">
        <v>117801.549400805</v>
      </c>
      <c r="D10769" s="56">
        <v>8.8859717988476666E-2</v>
      </c>
      <c r="E10769" s="224" t="s">
        <v>2</v>
      </c>
      <c r="F10769" s="515" t="s">
        <v>11963</v>
      </c>
      <c r="G10769" s="52">
        <v>63458.438902480499</v>
      </c>
      <c r="H10769" s="56">
        <v>4.8665436234586995E-2</v>
      </c>
      <c r="I10769" s="224" t="s">
        <v>2</v>
      </c>
    </row>
    <row r="10770" spans="1:9" x14ac:dyDescent="0.25">
      <c r="A10770" s="515">
        <v>3904</v>
      </c>
      <c r="B10770" s="515" t="s">
        <v>570</v>
      </c>
      <c r="C10770" s="52">
        <v>528953.92000553198</v>
      </c>
      <c r="D10770" s="56">
        <v>4.4738983821749734E-2</v>
      </c>
      <c r="E10770" s="224" t="s">
        <v>2</v>
      </c>
      <c r="F10770" s="515" t="s">
        <v>11964</v>
      </c>
      <c r="G10770" s="52">
        <v>511628.15511630499</v>
      </c>
      <c r="H10770" s="56">
        <v>3.8680346589789347E-2</v>
      </c>
      <c r="I10770" s="224" t="s">
        <v>2</v>
      </c>
    </row>
    <row r="10771" spans="1:9" x14ac:dyDescent="0.25">
      <c r="A10771" s="515">
        <v>34607</v>
      </c>
      <c r="B10771" s="515" t="s">
        <v>461</v>
      </c>
      <c r="C10771" s="52">
        <v>433603.62625895801</v>
      </c>
      <c r="D10771" s="56">
        <v>0.13713381244461278</v>
      </c>
      <c r="E10771" s="224" t="s">
        <v>2</v>
      </c>
      <c r="F10771" s="515" t="s">
        <v>11965</v>
      </c>
      <c r="G10771" s="52">
        <v>193876.932319149</v>
      </c>
      <c r="H10771" s="56">
        <v>4.1016028086618764E-2</v>
      </c>
      <c r="I10771" s="224" t="s">
        <v>2</v>
      </c>
    </row>
    <row r="10772" spans="1:9" x14ac:dyDescent="0.25">
      <c r="A10772" s="515">
        <v>76661</v>
      </c>
      <c r="B10772" s="515" t="s">
        <v>1057</v>
      </c>
      <c r="C10772" s="52">
        <v>81786.107093240396</v>
      </c>
      <c r="D10772" s="56">
        <v>-3.6140375507836345E-3</v>
      </c>
      <c r="E10772" s="224" t="s">
        <v>2</v>
      </c>
      <c r="F10772" s="515" t="s">
        <v>11966</v>
      </c>
      <c r="G10772" s="52">
        <v>328027.903798791</v>
      </c>
      <c r="H10772" s="56">
        <v>5.3757645998009029E-2</v>
      </c>
      <c r="I10772" s="224" t="s">
        <v>2</v>
      </c>
    </row>
    <row r="10773" spans="1:9" x14ac:dyDescent="0.25">
      <c r="A10773" s="515">
        <v>92590</v>
      </c>
      <c r="B10773" s="515" t="s">
        <v>599</v>
      </c>
      <c r="C10773" s="52">
        <v>1351409.8782560399</v>
      </c>
      <c r="D10773" s="56">
        <v>3.1684134447292102E-2</v>
      </c>
      <c r="E10773" s="224">
        <v>2660.8333333333298</v>
      </c>
      <c r="F10773" s="515" t="s">
        <v>11967</v>
      </c>
      <c r="G10773" s="52">
        <v>212221.401734104</v>
      </c>
      <c r="H10773" s="56">
        <v>0</v>
      </c>
      <c r="I10773" s="224" t="s">
        <v>2</v>
      </c>
    </row>
    <row r="10774" spans="1:9" x14ac:dyDescent="0.25">
      <c r="A10774" s="515">
        <v>93737</v>
      </c>
      <c r="B10774" s="515" t="s">
        <v>541</v>
      </c>
      <c r="C10774" s="52">
        <v>488114.96673332201</v>
      </c>
      <c r="D10774" s="56">
        <v>3.8636119721910993E-2</v>
      </c>
      <c r="E10774" s="224">
        <v>2450</v>
      </c>
      <c r="F10774" s="515" t="s">
        <v>11968</v>
      </c>
      <c r="G10774" s="52">
        <v>345563.853562726</v>
      </c>
      <c r="H10774" s="56">
        <v>0.14824509937448849</v>
      </c>
      <c r="I10774" s="224" t="s">
        <v>2</v>
      </c>
    </row>
    <row r="10775" spans="1:9" x14ac:dyDescent="0.25">
      <c r="A10775" s="515">
        <v>53177</v>
      </c>
      <c r="B10775" s="515" t="s">
        <v>1151</v>
      </c>
      <c r="C10775" s="52">
        <v>231808.67232112301</v>
      </c>
      <c r="D10775" s="56">
        <v>0.10859647926439481</v>
      </c>
      <c r="E10775" s="224" t="s">
        <v>2</v>
      </c>
      <c r="F10775" s="515" t="s">
        <v>11969</v>
      </c>
      <c r="G10775" s="52">
        <v>105824.68169689699</v>
      </c>
      <c r="H10775" s="56">
        <v>-7.8543483026979485E-2</v>
      </c>
      <c r="I10775" s="224" t="s">
        <v>2</v>
      </c>
    </row>
    <row r="10776" spans="1:9" x14ac:dyDescent="0.25">
      <c r="A10776" s="515">
        <v>33853</v>
      </c>
      <c r="B10776" s="515" t="s">
        <v>359</v>
      </c>
      <c r="C10776" s="52">
        <v>216896.22922808499</v>
      </c>
      <c r="D10776" s="56">
        <v>0.19337267256068424</v>
      </c>
      <c r="E10776" s="224">
        <v>1500</v>
      </c>
      <c r="F10776" s="515" t="s">
        <v>11970</v>
      </c>
      <c r="G10776" s="52">
        <v>156733.606834484</v>
      </c>
      <c r="H10776" s="56">
        <v>6.2871482702549455E-2</v>
      </c>
      <c r="I10776" s="224" t="s">
        <v>2</v>
      </c>
    </row>
    <row r="10777" spans="1:9" x14ac:dyDescent="0.25">
      <c r="A10777" s="515">
        <v>35952</v>
      </c>
      <c r="B10777" s="515" t="s">
        <v>978</v>
      </c>
      <c r="C10777" s="52">
        <v>164320.20221471199</v>
      </c>
      <c r="D10777" s="56">
        <v>4.3920950856224494E-2</v>
      </c>
      <c r="E10777" s="224" t="s">
        <v>2</v>
      </c>
      <c r="F10777" s="515" t="s">
        <v>11971</v>
      </c>
      <c r="G10777" s="52">
        <v>456561.07458966703</v>
      </c>
      <c r="H10777" s="56">
        <v>0</v>
      </c>
      <c r="I10777" s="224" t="s">
        <v>2</v>
      </c>
    </row>
    <row r="10778" spans="1:9" x14ac:dyDescent="0.25">
      <c r="A10778" s="515">
        <v>90094</v>
      </c>
      <c r="B10778" s="515" t="s">
        <v>375</v>
      </c>
      <c r="C10778" s="52">
        <v>1251735.3471947699</v>
      </c>
      <c r="D10778" s="56">
        <v>6.4699474468347437E-2</v>
      </c>
      <c r="E10778" s="224">
        <v>4526.3712590299201</v>
      </c>
      <c r="F10778" s="515" t="s">
        <v>11972</v>
      </c>
      <c r="G10778" s="52">
        <v>407538.380823894</v>
      </c>
      <c r="H10778" s="56">
        <v>7.4238243345021687E-2</v>
      </c>
      <c r="I10778" s="224" t="s">
        <v>2</v>
      </c>
    </row>
    <row r="10779" spans="1:9" x14ac:dyDescent="0.25">
      <c r="A10779" s="515">
        <v>24171</v>
      </c>
      <c r="C10779" s="52">
        <v>137828.39745284599</v>
      </c>
      <c r="D10779" s="56">
        <v>2.8363964529430664E-2</v>
      </c>
      <c r="E10779" s="224" t="s">
        <v>2</v>
      </c>
      <c r="F10779" s="515" t="s">
        <v>11973</v>
      </c>
      <c r="G10779" s="52">
        <v>321419.327383506</v>
      </c>
      <c r="H10779" s="56">
        <v>5.8426758611895981E-2</v>
      </c>
      <c r="I10779" s="224" t="s">
        <v>2</v>
      </c>
    </row>
    <row r="10780" spans="1:9" x14ac:dyDescent="0.25">
      <c r="A10780" s="515">
        <v>25702</v>
      </c>
      <c r="B10780" s="515" t="s">
        <v>602</v>
      </c>
      <c r="C10780" s="52">
        <v>63329.937833964199</v>
      </c>
      <c r="D10780" s="56">
        <v>4.283792957003156E-2</v>
      </c>
      <c r="E10780" s="224" t="s">
        <v>2</v>
      </c>
      <c r="F10780" s="515" t="s">
        <v>11974</v>
      </c>
      <c r="G10780" s="52">
        <v>440292.50828332902</v>
      </c>
      <c r="H10780" s="56">
        <v>0.10265618639386331</v>
      </c>
      <c r="I10780" s="224" t="s">
        <v>2</v>
      </c>
    </row>
    <row r="10781" spans="1:9" x14ac:dyDescent="0.25">
      <c r="A10781" s="515">
        <v>29123</v>
      </c>
      <c r="B10781" s="515" t="s">
        <v>762</v>
      </c>
      <c r="C10781" s="52">
        <v>93618.770396660999</v>
      </c>
      <c r="D10781" s="56">
        <v>0.19638417671618696</v>
      </c>
      <c r="E10781" s="224" t="s">
        <v>2</v>
      </c>
      <c r="F10781" s="515" t="s">
        <v>11975</v>
      </c>
      <c r="G10781" s="52">
        <v>248196.495579512</v>
      </c>
      <c r="H10781" s="56">
        <v>6.070139783258266E-2</v>
      </c>
      <c r="I10781" s="224" t="s">
        <v>2</v>
      </c>
    </row>
    <row r="10782" spans="1:9" x14ac:dyDescent="0.25">
      <c r="A10782" s="515">
        <v>33473</v>
      </c>
      <c r="B10782" s="515" t="s">
        <v>831</v>
      </c>
      <c r="C10782" s="52">
        <v>896636.48825999699</v>
      </c>
      <c r="D10782" s="56">
        <v>0.10279395976591274</v>
      </c>
      <c r="E10782" s="224" t="s">
        <v>2</v>
      </c>
      <c r="F10782" s="515" t="s">
        <v>11976</v>
      </c>
      <c r="G10782" s="52">
        <v>465365.69627327501</v>
      </c>
      <c r="H10782" s="56">
        <v>2.5526818474279813E-2</v>
      </c>
      <c r="I10782" s="224" t="s">
        <v>2</v>
      </c>
    </row>
    <row r="10783" spans="1:9" x14ac:dyDescent="0.25">
      <c r="A10783" s="515">
        <v>20685</v>
      </c>
      <c r="B10783" s="515" t="s">
        <v>321</v>
      </c>
      <c r="C10783" s="52">
        <v>416770.68320406898</v>
      </c>
      <c r="D10783" s="56">
        <v>2.1087736736921922E-2</v>
      </c>
      <c r="E10783" s="224" t="s">
        <v>2</v>
      </c>
      <c r="F10783" s="515" t="s">
        <v>11977</v>
      </c>
      <c r="G10783" s="52">
        <v>298434.67952767399</v>
      </c>
      <c r="H10783" s="56">
        <v>0.12220595024469894</v>
      </c>
      <c r="I10783" s="224" t="s">
        <v>2</v>
      </c>
    </row>
    <row r="10784" spans="1:9" x14ac:dyDescent="0.25">
      <c r="A10784" s="515">
        <v>14489</v>
      </c>
      <c r="B10784" s="515" t="s">
        <v>337</v>
      </c>
      <c r="C10784" s="52">
        <v>128489.994908578</v>
      </c>
      <c r="D10784" s="56">
        <v>0.160943610167261</v>
      </c>
      <c r="E10784" s="224" t="s">
        <v>2</v>
      </c>
      <c r="F10784" s="515" t="s">
        <v>11978</v>
      </c>
      <c r="G10784" s="52">
        <v>112590.65133339701</v>
      </c>
      <c r="H10784" s="56">
        <v>0.10628123827449053</v>
      </c>
      <c r="I10784" s="224" t="s">
        <v>2</v>
      </c>
    </row>
    <row r="10785" spans="1:9" x14ac:dyDescent="0.25">
      <c r="A10785" s="515">
        <v>31027</v>
      </c>
      <c r="B10785" s="515" t="s">
        <v>929</v>
      </c>
      <c r="C10785" s="52">
        <v>98006.780165517703</v>
      </c>
      <c r="D10785" s="56">
        <v>7.314383938587192E-2</v>
      </c>
      <c r="E10785" s="224" t="s">
        <v>2</v>
      </c>
      <c r="F10785" s="515" t="s">
        <v>11979</v>
      </c>
      <c r="G10785" s="52">
        <v>125685.470511835</v>
      </c>
      <c r="H10785" s="56">
        <v>0.10316070527574848</v>
      </c>
      <c r="I10785" s="224" t="s">
        <v>2</v>
      </c>
    </row>
    <row r="10786" spans="1:9" x14ac:dyDescent="0.25">
      <c r="A10786" s="515">
        <v>93463</v>
      </c>
      <c r="B10786" s="515" t="s">
        <v>847</v>
      </c>
      <c r="C10786" s="52">
        <v>1118271.4537468599</v>
      </c>
      <c r="D10786" s="56">
        <v>7.0532437006690069E-2</v>
      </c>
      <c r="E10786" s="224">
        <v>5400</v>
      </c>
      <c r="F10786" s="515" t="s">
        <v>11980</v>
      </c>
      <c r="G10786" s="52">
        <v>352108.434716744</v>
      </c>
      <c r="H10786" s="56">
        <v>3.2203070377096535E-2</v>
      </c>
      <c r="I10786" s="224" t="s">
        <v>2</v>
      </c>
    </row>
    <row r="10787" spans="1:9" x14ac:dyDescent="0.25">
      <c r="A10787" s="515">
        <v>32466</v>
      </c>
      <c r="B10787" s="515" t="s">
        <v>1160</v>
      </c>
      <c r="C10787" s="52">
        <v>244089.74709537</v>
      </c>
      <c r="D10787" s="56">
        <v>0.13801664933076468</v>
      </c>
      <c r="E10787" s="224" t="s">
        <v>2</v>
      </c>
      <c r="F10787" s="515" t="s">
        <v>11981</v>
      </c>
      <c r="G10787" s="52">
        <v>330015.59510375501</v>
      </c>
      <c r="H10787" s="56">
        <v>0.10960390234325539</v>
      </c>
      <c r="I10787" s="224" t="s">
        <v>2</v>
      </c>
    </row>
    <row r="10788" spans="1:9" x14ac:dyDescent="0.25">
      <c r="A10788" s="515">
        <v>97759</v>
      </c>
      <c r="B10788" s="515" t="s">
        <v>1190</v>
      </c>
      <c r="C10788" s="52">
        <v>743738.79819791601</v>
      </c>
      <c r="D10788" s="56">
        <v>4.9031370402794143E-2</v>
      </c>
      <c r="E10788" s="224" t="s">
        <v>2</v>
      </c>
      <c r="F10788" s="515" t="s">
        <v>11982</v>
      </c>
      <c r="G10788" s="52">
        <v>318828.441111319</v>
      </c>
      <c r="H10788" s="56">
        <v>3.0371028504067456E-2</v>
      </c>
      <c r="I10788" s="224" t="s">
        <v>2</v>
      </c>
    </row>
    <row r="10789" spans="1:9" x14ac:dyDescent="0.25">
      <c r="A10789" s="515">
        <v>1583</v>
      </c>
      <c r="B10789" s="515" t="s">
        <v>751</v>
      </c>
      <c r="C10789" s="52">
        <v>425542.04156285501</v>
      </c>
      <c r="D10789" s="56">
        <v>5.6995525001216574E-2</v>
      </c>
      <c r="E10789" s="224" t="s">
        <v>2</v>
      </c>
      <c r="F10789" s="515" t="s">
        <v>11983</v>
      </c>
      <c r="G10789" s="52">
        <v>324860.374379138</v>
      </c>
      <c r="H10789" s="56">
        <v>2.7012063260014416E-2</v>
      </c>
      <c r="I10789" s="224" t="s">
        <v>2</v>
      </c>
    </row>
    <row r="10790" spans="1:9" x14ac:dyDescent="0.25">
      <c r="A10790" s="515">
        <v>11516</v>
      </c>
      <c r="B10790" s="515" t="s">
        <v>324</v>
      </c>
      <c r="C10790" s="52">
        <v>950355.48927691905</v>
      </c>
      <c r="D10790" s="56">
        <v>8.2689779183961337E-2</v>
      </c>
      <c r="E10790" s="224" t="s">
        <v>2</v>
      </c>
      <c r="F10790" s="515" t="s">
        <v>11984</v>
      </c>
      <c r="G10790" s="52">
        <v>268975.53141440399</v>
      </c>
      <c r="H10790" s="56">
        <v>9.7059530106152661E-2</v>
      </c>
      <c r="I10790" s="224" t="s">
        <v>2</v>
      </c>
    </row>
    <row r="10791" spans="1:9" x14ac:dyDescent="0.25">
      <c r="A10791" s="515">
        <v>65018</v>
      </c>
      <c r="B10791" s="515" t="s">
        <v>711</v>
      </c>
      <c r="C10791" s="52">
        <v>182319.76057908201</v>
      </c>
      <c r="D10791" s="56">
        <v>9.8980324460127916E-2</v>
      </c>
      <c r="E10791" s="224" t="s">
        <v>2</v>
      </c>
      <c r="F10791" s="515" t="s">
        <v>11985</v>
      </c>
      <c r="G10791" s="52">
        <v>178860.07338044999</v>
      </c>
      <c r="H10791" s="56">
        <v>0.12202445547476891</v>
      </c>
      <c r="I10791" s="224" t="s">
        <v>2</v>
      </c>
    </row>
    <row r="10792" spans="1:9" x14ac:dyDescent="0.25">
      <c r="A10792" s="515">
        <v>34688</v>
      </c>
      <c r="B10792" s="515" t="s">
        <v>461</v>
      </c>
      <c r="C10792" s="52">
        <v>547250.619115712</v>
      </c>
      <c r="D10792" s="56">
        <v>9.1691293250833014E-2</v>
      </c>
      <c r="E10792" s="224" t="s">
        <v>2</v>
      </c>
      <c r="F10792" s="515" t="s">
        <v>11986</v>
      </c>
      <c r="G10792" s="52">
        <v>229321.69670717401</v>
      </c>
      <c r="H10792" s="56">
        <v>0.14393871898119182</v>
      </c>
      <c r="I10792" s="224" t="s">
        <v>2</v>
      </c>
    </row>
    <row r="10793" spans="1:9" x14ac:dyDescent="0.25">
      <c r="A10793" s="515">
        <v>62232</v>
      </c>
      <c r="B10793" s="515" t="s">
        <v>498</v>
      </c>
      <c r="C10793" s="52">
        <v>111221.377813068</v>
      </c>
      <c r="D10793" s="56">
        <v>5.1385962608390331E-2</v>
      </c>
      <c r="E10793" s="224" t="s">
        <v>2</v>
      </c>
      <c r="F10793" s="515" t="s">
        <v>11987</v>
      </c>
      <c r="G10793" s="52">
        <v>77262.8890121765</v>
      </c>
      <c r="H10793" s="56">
        <v>-3.2098567100011001E-2</v>
      </c>
      <c r="I10793" s="224" t="s">
        <v>2</v>
      </c>
    </row>
    <row r="10794" spans="1:9" x14ac:dyDescent="0.25">
      <c r="A10794" s="515">
        <v>83672</v>
      </c>
      <c r="C10794" s="52">
        <v>316092.97317751701</v>
      </c>
      <c r="D10794" s="56">
        <v>4.2731661766722495E-2</v>
      </c>
      <c r="E10794" s="224" t="s">
        <v>2</v>
      </c>
      <c r="F10794" s="515" t="s">
        <v>11988</v>
      </c>
      <c r="G10794" s="52">
        <v>98494.506295741696</v>
      </c>
      <c r="H10794" s="56">
        <v>-5.7118854134634134E-2</v>
      </c>
      <c r="I10794" s="224" t="s">
        <v>2</v>
      </c>
    </row>
    <row r="10795" spans="1:9" x14ac:dyDescent="0.25">
      <c r="A10795" s="515">
        <v>62626</v>
      </c>
      <c r="B10795" s="515" t="s">
        <v>498</v>
      </c>
      <c r="C10795" s="52">
        <v>108384.77562543799</v>
      </c>
      <c r="D10795" s="56">
        <v>3.4929458576908282E-2</v>
      </c>
      <c r="E10795" s="224" t="s">
        <v>2</v>
      </c>
      <c r="F10795" s="515" t="s">
        <v>11989</v>
      </c>
      <c r="G10795" s="52">
        <v>218498.52343571599</v>
      </c>
      <c r="H10795" s="56">
        <v>7.1340058924192179E-2</v>
      </c>
      <c r="I10795" s="224" t="s">
        <v>2</v>
      </c>
    </row>
    <row r="10796" spans="1:9" x14ac:dyDescent="0.25">
      <c r="A10796" s="515">
        <v>60155</v>
      </c>
      <c r="B10796" s="515" t="s">
        <v>394</v>
      </c>
      <c r="C10796" s="52">
        <v>226301.403178479</v>
      </c>
      <c r="D10796" s="56">
        <v>6.251432043373456E-2</v>
      </c>
      <c r="E10796" s="224" t="s">
        <v>2</v>
      </c>
      <c r="F10796" s="515" t="s">
        <v>11990</v>
      </c>
      <c r="G10796" s="52">
        <v>89456.029540023897</v>
      </c>
      <c r="H10796" s="56">
        <v>0.10868606256876312</v>
      </c>
      <c r="I10796" s="224" t="s">
        <v>2</v>
      </c>
    </row>
    <row r="10797" spans="1:9" x14ac:dyDescent="0.25">
      <c r="A10797" s="515">
        <v>6339</v>
      </c>
      <c r="B10797" s="515" t="s">
        <v>1091</v>
      </c>
      <c r="C10797" s="52">
        <v>312856.68221220601</v>
      </c>
      <c r="D10797" s="56">
        <v>9.7057630351690502E-2</v>
      </c>
      <c r="E10797" s="224" t="s">
        <v>2</v>
      </c>
      <c r="F10797" s="515" t="s">
        <v>11991</v>
      </c>
      <c r="G10797" s="52">
        <v>93284.039945060998</v>
      </c>
      <c r="H10797" s="56">
        <v>0.12552428152166067</v>
      </c>
      <c r="I10797" s="224" t="s">
        <v>2</v>
      </c>
    </row>
    <row r="10798" spans="1:9" x14ac:dyDescent="0.25">
      <c r="A10798" s="515">
        <v>35151</v>
      </c>
      <c r="B10798" s="515" t="s">
        <v>523</v>
      </c>
      <c r="C10798" s="52">
        <v>162467.125046684</v>
      </c>
      <c r="D10798" s="56">
        <v>3.4153140509197107E-2</v>
      </c>
      <c r="E10798" s="224" t="s">
        <v>2</v>
      </c>
      <c r="F10798" s="515" t="s">
        <v>11992</v>
      </c>
      <c r="G10798" s="52">
        <v>138669.21523295299</v>
      </c>
      <c r="H10798" s="56">
        <v>4.0964809487201791E-2</v>
      </c>
      <c r="I10798" s="224" t="s">
        <v>2</v>
      </c>
    </row>
    <row r="10799" spans="1:9" x14ac:dyDescent="0.25">
      <c r="A10799" s="515">
        <v>24148</v>
      </c>
      <c r="B10799" s="515" t="s">
        <v>1114</v>
      </c>
      <c r="C10799" s="52">
        <v>122791.79910210401</v>
      </c>
      <c r="D10799" s="56">
        <v>0.10752903421966473</v>
      </c>
      <c r="E10799" s="224" t="s">
        <v>2</v>
      </c>
      <c r="F10799" s="515" t="s">
        <v>11993</v>
      </c>
      <c r="G10799" s="52">
        <v>101992.017368937</v>
      </c>
      <c r="H10799" s="56">
        <v>0.12952392577085783</v>
      </c>
      <c r="I10799" s="224" t="s">
        <v>2</v>
      </c>
    </row>
    <row r="10800" spans="1:9" x14ac:dyDescent="0.25">
      <c r="A10800" s="515">
        <v>66217</v>
      </c>
      <c r="B10800" s="515" t="s">
        <v>455</v>
      </c>
      <c r="C10800" s="52">
        <v>477311.838227364</v>
      </c>
      <c r="D10800" s="56">
        <v>4.8442653346135511E-2</v>
      </c>
      <c r="E10800" s="224" t="s">
        <v>2</v>
      </c>
      <c r="F10800" s="515" t="s">
        <v>11994</v>
      </c>
      <c r="G10800" s="52">
        <v>358990.28895429999</v>
      </c>
      <c r="H10800" s="56">
        <v>0.11218466168610433</v>
      </c>
      <c r="I10800" s="224" t="s">
        <v>2</v>
      </c>
    </row>
    <row r="10801" spans="1:9" x14ac:dyDescent="0.25">
      <c r="A10801" s="515">
        <v>39071</v>
      </c>
      <c r="B10801" s="515" t="s">
        <v>851</v>
      </c>
      <c r="C10801" s="52">
        <v>242303.86233860499</v>
      </c>
      <c r="D10801" s="56">
        <v>4.8326957975202235E-2</v>
      </c>
      <c r="E10801" s="224" t="s">
        <v>2</v>
      </c>
      <c r="F10801" s="515" t="s">
        <v>11995</v>
      </c>
      <c r="G10801" s="52">
        <v>176508.31959062701</v>
      </c>
      <c r="H10801" s="56">
        <v>4.4938862929007263E-2</v>
      </c>
      <c r="I10801" s="224" t="s">
        <v>2</v>
      </c>
    </row>
    <row r="10802" spans="1:9" x14ac:dyDescent="0.25">
      <c r="A10802" s="515">
        <v>5001</v>
      </c>
      <c r="B10802" s="515" t="s">
        <v>420</v>
      </c>
      <c r="C10802" s="52">
        <v>341858.68746048701</v>
      </c>
      <c r="D10802" s="56">
        <v>0.10935461484744341</v>
      </c>
      <c r="E10802" s="224" t="s">
        <v>2</v>
      </c>
      <c r="F10802" s="515" t="s">
        <v>11996</v>
      </c>
      <c r="G10802" s="52">
        <v>56522.670801545602</v>
      </c>
      <c r="H10802" s="56">
        <v>0.11976393675444588</v>
      </c>
      <c r="I10802" s="224" t="s">
        <v>2</v>
      </c>
    </row>
    <row r="10803" spans="1:9" x14ac:dyDescent="0.25">
      <c r="A10803" s="515">
        <v>12972</v>
      </c>
      <c r="B10803" s="515" t="s">
        <v>395</v>
      </c>
      <c r="C10803" s="52">
        <v>229631.45357396899</v>
      </c>
      <c r="D10803" s="56">
        <v>7.5452945442888275E-2</v>
      </c>
      <c r="E10803" s="224" t="s">
        <v>2</v>
      </c>
      <c r="F10803" s="515" t="s">
        <v>11997</v>
      </c>
      <c r="G10803" s="52">
        <v>302392.13465139299</v>
      </c>
      <c r="H10803" s="56">
        <v>8.2921018835880198E-2</v>
      </c>
      <c r="I10803" s="224" t="s">
        <v>2</v>
      </c>
    </row>
    <row r="10804" spans="1:9" x14ac:dyDescent="0.25">
      <c r="A10804" s="515">
        <v>26525</v>
      </c>
      <c r="B10804" s="515" t="s">
        <v>643</v>
      </c>
      <c r="C10804" s="52">
        <v>187466.00798701801</v>
      </c>
      <c r="D10804" s="56">
        <v>4.7299343023405216E-2</v>
      </c>
      <c r="E10804" s="224" t="s">
        <v>2</v>
      </c>
      <c r="F10804" s="515" t="s">
        <v>11998</v>
      </c>
      <c r="G10804" s="52">
        <v>206974.880760275</v>
      </c>
      <c r="H10804" s="56">
        <v>0.17981918247284406</v>
      </c>
      <c r="I10804" s="224" t="s">
        <v>2</v>
      </c>
    </row>
    <row r="10805" spans="1:9" x14ac:dyDescent="0.25">
      <c r="A10805" s="515">
        <v>4046</v>
      </c>
      <c r="B10805" s="515" t="s">
        <v>570</v>
      </c>
      <c r="C10805" s="52">
        <v>658529.67090042704</v>
      </c>
      <c r="D10805" s="56">
        <v>0.10102258035423206</v>
      </c>
      <c r="E10805" s="224" t="s">
        <v>2</v>
      </c>
      <c r="F10805" s="515" t="s">
        <v>11999</v>
      </c>
      <c r="G10805" s="52">
        <v>287073.37548824301</v>
      </c>
      <c r="H10805" s="56">
        <v>8.8750856730900454E-2</v>
      </c>
      <c r="I10805" s="224" t="s">
        <v>2</v>
      </c>
    </row>
    <row r="10806" spans="1:9" x14ac:dyDescent="0.25">
      <c r="A10806" s="515">
        <v>21163</v>
      </c>
      <c r="B10806" s="515" t="s">
        <v>582</v>
      </c>
      <c r="C10806" s="52">
        <v>586911.02456471103</v>
      </c>
      <c r="D10806" s="56">
        <v>4.5504392096812507E-2</v>
      </c>
      <c r="E10806" s="224" t="s">
        <v>2</v>
      </c>
      <c r="F10806" s="515" t="s">
        <v>12000</v>
      </c>
      <c r="G10806" s="52">
        <v>243872.81475943199</v>
      </c>
      <c r="H10806" s="56">
        <v>0.1162746939583479</v>
      </c>
      <c r="I10806" s="224" t="s">
        <v>2</v>
      </c>
    </row>
    <row r="10807" spans="1:9" x14ac:dyDescent="0.25">
      <c r="A10807" s="515">
        <v>77331</v>
      </c>
      <c r="C10807" s="52">
        <v>221953.66650083</v>
      </c>
      <c r="D10807" s="56">
        <v>-2.1610644191480052E-2</v>
      </c>
      <c r="E10807" s="224" t="s">
        <v>2</v>
      </c>
      <c r="F10807" s="515" t="s">
        <v>12001</v>
      </c>
      <c r="G10807" s="52">
        <v>120942.798268193</v>
      </c>
      <c r="H10807" s="56">
        <v>0.15843444515708849</v>
      </c>
      <c r="I10807" s="224" t="s">
        <v>2</v>
      </c>
    </row>
    <row r="10808" spans="1:9" x14ac:dyDescent="0.25">
      <c r="A10808" s="515">
        <v>70437</v>
      </c>
      <c r="B10808" s="515" t="s">
        <v>777</v>
      </c>
      <c r="C10808" s="52">
        <v>252519.13224813499</v>
      </c>
      <c r="D10808" s="56">
        <v>9.8077570461056248E-3</v>
      </c>
      <c r="E10808" s="224" t="s">
        <v>2</v>
      </c>
      <c r="F10808" s="515" t="s">
        <v>12002</v>
      </c>
      <c r="G10808" s="52">
        <v>183042.62980936799</v>
      </c>
      <c r="H10808" s="56">
        <v>8.6197225700728838E-2</v>
      </c>
      <c r="I10808" s="224" t="s">
        <v>2</v>
      </c>
    </row>
    <row r="10809" spans="1:9" x14ac:dyDescent="0.25">
      <c r="A10809" s="515">
        <v>78119</v>
      </c>
      <c r="C10809" s="52">
        <v>121495.212414162</v>
      </c>
      <c r="D10809" s="56">
        <v>-0.14461410399609664</v>
      </c>
      <c r="E10809" s="224" t="s">
        <v>2</v>
      </c>
      <c r="F10809" s="515" t="s">
        <v>12003</v>
      </c>
      <c r="G10809" s="52">
        <v>176069.55851029599</v>
      </c>
      <c r="H10809" s="56">
        <v>0.12211224025571026</v>
      </c>
      <c r="I10809" s="224" t="s">
        <v>2</v>
      </c>
    </row>
    <row r="10810" spans="1:9" x14ac:dyDescent="0.25">
      <c r="A10810" s="515">
        <v>54001</v>
      </c>
      <c r="C10810" s="52">
        <v>266093.75676522002</v>
      </c>
      <c r="D10810" s="56">
        <v>3.590443962679038E-2</v>
      </c>
      <c r="E10810" s="224" t="s">
        <v>2</v>
      </c>
      <c r="F10810" s="515" t="s">
        <v>12004</v>
      </c>
      <c r="G10810" s="52">
        <v>412476.59810467297</v>
      </c>
      <c r="H10810" s="56">
        <v>2.8199546467655628E-2</v>
      </c>
      <c r="I10810" s="224" t="s">
        <v>2</v>
      </c>
    </row>
    <row r="10811" spans="1:9" x14ac:dyDescent="0.25">
      <c r="A10811" s="515">
        <v>15332</v>
      </c>
      <c r="B10811" s="515" t="s">
        <v>297</v>
      </c>
      <c r="C10811" s="52">
        <v>209774.508564866</v>
      </c>
      <c r="D10811" s="56">
        <v>6.0423968596207397E-2</v>
      </c>
      <c r="E10811" s="224" t="s">
        <v>2</v>
      </c>
      <c r="F10811" s="515" t="s">
        <v>12005</v>
      </c>
      <c r="G10811" s="52">
        <v>107638.174473376</v>
      </c>
      <c r="H10811" s="56">
        <v>-1.6629930872704133E-3</v>
      </c>
      <c r="I10811" s="224" t="s">
        <v>2</v>
      </c>
    </row>
    <row r="10812" spans="1:9" x14ac:dyDescent="0.25">
      <c r="A10812" s="515">
        <v>78652</v>
      </c>
      <c r="B10812" s="515" t="s">
        <v>380</v>
      </c>
      <c r="C10812" s="52">
        <v>525948.62224582303</v>
      </c>
      <c r="D10812" s="56">
        <v>3.4833727782390009E-2</v>
      </c>
      <c r="E10812" s="224" t="s">
        <v>2</v>
      </c>
      <c r="F10812" s="515" t="s">
        <v>12006</v>
      </c>
      <c r="G10812" s="52">
        <v>38857.611464968097</v>
      </c>
      <c r="H10812" s="56">
        <v>0</v>
      </c>
      <c r="I10812" s="224" t="s">
        <v>2</v>
      </c>
    </row>
    <row r="10813" spans="1:9" x14ac:dyDescent="0.25">
      <c r="A10813" s="515">
        <v>2111</v>
      </c>
      <c r="B10813" s="515" t="s">
        <v>534</v>
      </c>
      <c r="C10813" s="52">
        <v>891510.84351061005</v>
      </c>
      <c r="D10813" s="56">
        <v>-4.7122006071986224E-2</v>
      </c>
      <c r="E10813" s="224">
        <v>3919.7272727272698</v>
      </c>
      <c r="F10813" s="515" t="s">
        <v>12007</v>
      </c>
      <c r="G10813" s="52">
        <v>84400.445004034598</v>
      </c>
      <c r="H10813" s="56">
        <v>6.9761418199607281E-2</v>
      </c>
      <c r="I10813" s="224" t="s">
        <v>2</v>
      </c>
    </row>
    <row r="10814" spans="1:9" x14ac:dyDescent="0.25">
      <c r="A10814" s="515">
        <v>19034</v>
      </c>
      <c r="B10814" s="515" t="s">
        <v>294</v>
      </c>
      <c r="C10814" s="52">
        <v>638742.27415090695</v>
      </c>
      <c r="D10814" s="56">
        <v>8.4068890741022528E-2</v>
      </c>
      <c r="E10814" s="224" t="s">
        <v>2</v>
      </c>
      <c r="F10814" s="515" t="s">
        <v>12008</v>
      </c>
      <c r="G10814" s="52">
        <v>368904.13414885401</v>
      </c>
      <c r="H10814" s="56">
        <v>5.5622224149131712E-2</v>
      </c>
      <c r="I10814" s="224" t="s">
        <v>2</v>
      </c>
    </row>
    <row r="10815" spans="1:9" x14ac:dyDescent="0.25">
      <c r="A10815" s="515">
        <v>79512</v>
      </c>
      <c r="C10815" s="52">
        <v>77038.006581397</v>
      </c>
      <c r="D10815" s="56">
        <v>-2.4319443296433863E-2</v>
      </c>
      <c r="E10815" s="224" t="s">
        <v>2</v>
      </c>
      <c r="F10815" s="515" t="s">
        <v>12009</v>
      </c>
      <c r="G10815" s="52">
        <v>3863764.2607239098</v>
      </c>
      <c r="H10815" s="56">
        <v>4.9077890076030702E-2</v>
      </c>
      <c r="I10815" s="224" t="s">
        <v>2</v>
      </c>
    </row>
    <row r="10816" spans="1:9" x14ac:dyDescent="0.25">
      <c r="A10816" s="515">
        <v>28398</v>
      </c>
      <c r="C10816" s="52">
        <v>120300.69808435799</v>
      </c>
      <c r="D10816" s="56">
        <v>0.25588567880266466</v>
      </c>
      <c r="E10816" s="224" t="s">
        <v>2</v>
      </c>
      <c r="F10816" s="515" t="s">
        <v>12010</v>
      </c>
      <c r="G10816" s="52">
        <v>1745424.1167679599</v>
      </c>
      <c r="H10816" s="56">
        <v>0.13872104065864857</v>
      </c>
      <c r="I10816" s="224" t="s">
        <v>2</v>
      </c>
    </row>
    <row r="10817" spans="1:9" x14ac:dyDescent="0.25">
      <c r="A10817" s="515">
        <v>61856</v>
      </c>
      <c r="B10817" s="515" t="s">
        <v>417</v>
      </c>
      <c r="C10817" s="52">
        <v>216104.51071554</v>
      </c>
      <c r="D10817" s="56">
        <v>6.7521498941274696E-2</v>
      </c>
      <c r="E10817" s="224" t="s">
        <v>2</v>
      </c>
      <c r="F10817" s="515" t="s">
        <v>12011</v>
      </c>
      <c r="G10817" s="52">
        <v>380771.65223378601</v>
      </c>
      <c r="H10817" s="56">
        <v>7.0973317292586532E-2</v>
      </c>
      <c r="I10817" s="224" t="s">
        <v>2</v>
      </c>
    </row>
    <row r="10818" spans="1:9" x14ac:dyDescent="0.25">
      <c r="A10818" s="515">
        <v>49727</v>
      </c>
      <c r="C10818" s="52">
        <v>244450.58954884199</v>
      </c>
      <c r="D10818" s="56">
        <v>9.7586721204152085E-2</v>
      </c>
      <c r="E10818" s="224" t="s">
        <v>2</v>
      </c>
      <c r="F10818" s="515" t="s">
        <v>12012</v>
      </c>
      <c r="G10818" s="52">
        <v>425092.91787482402</v>
      </c>
      <c r="H10818" s="56">
        <v>3.181221389702036E-3</v>
      </c>
      <c r="I10818" s="224" t="s">
        <v>2</v>
      </c>
    </row>
    <row r="10819" spans="1:9" x14ac:dyDescent="0.25">
      <c r="A10819" s="515">
        <v>30536</v>
      </c>
      <c r="C10819" s="52">
        <v>384053.72369809903</v>
      </c>
      <c r="D10819" s="56">
        <v>0.11717344449565692</v>
      </c>
      <c r="E10819" s="224" t="s">
        <v>2</v>
      </c>
      <c r="F10819" s="515" t="s">
        <v>12013</v>
      </c>
      <c r="G10819" s="52">
        <v>251410.07818366299</v>
      </c>
      <c r="H10819" s="56">
        <v>6.470030976204813E-2</v>
      </c>
      <c r="I10819" s="224" t="s">
        <v>2</v>
      </c>
    </row>
    <row r="10820" spans="1:9" x14ac:dyDescent="0.25">
      <c r="A10820" s="515">
        <v>57032</v>
      </c>
      <c r="B10820" s="515" t="s">
        <v>579</v>
      </c>
      <c r="C10820" s="52">
        <v>326537.83896115201</v>
      </c>
      <c r="D10820" s="56">
        <v>9.1021078542251679E-2</v>
      </c>
      <c r="E10820" s="224" t="s">
        <v>2</v>
      </c>
      <c r="F10820" s="515" t="s">
        <v>12014</v>
      </c>
      <c r="G10820" s="52">
        <v>161654.965541654</v>
      </c>
      <c r="H10820" s="56">
        <v>0.11401937454148123</v>
      </c>
      <c r="I10820" s="224" t="s">
        <v>2</v>
      </c>
    </row>
    <row r="10821" spans="1:9" x14ac:dyDescent="0.25">
      <c r="A10821" s="515">
        <v>53948</v>
      </c>
      <c r="C10821" s="52">
        <v>186252.81731225201</v>
      </c>
      <c r="D10821" s="56">
        <v>6.2926206800273624E-2</v>
      </c>
      <c r="E10821" s="224" t="s">
        <v>2</v>
      </c>
      <c r="F10821" s="515" t="s">
        <v>12015</v>
      </c>
      <c r="G10821" s="52">
        <v>450875.57647881698</v>
      </c>
      <c r="H10821" s="56">
        <v>-6.268881092961847E-3</v>
      </c>
      <c r="I10821" s="224" t="s">
        <v>2</v>
      </c>
    </row>
    <row r="10822" spans="1:9" x14ac:dyDescent="0.25">
      <c r="A10822" s="515">
        <v>4039</v>
      </c>
      <c r="B10822" s="515" t="s">
        <v>570</v>
      </c>
      <c r="C10822" s="52">
        <v>405879.79793548601</v>
      </c>
      <c r="D10822" s="56">
        <v>5.1112240283411409E-2</v>
      </c>
      <c r="E10822" s="224" t="s">
        <v>2</v>
      </c>
      <c r="F10822" s="515" t="s">
        <v>12016</v>
      </c>
      <c r="G10822" s="52">
        <v>76058.517814415507</v>
      </c>
      <c r="H10822" s="56">
        <v>6.823609621416192E-2</v>
      </c>
      <c r="I10822" s="224" t="s">
        <v>2</v>
      </c>
    </row>
    <row r="10823" spans="1:9" x14ac:dyDescent="0.25">
      <c r="A10823" s="515">
        <v>97048</v>
      </c>
      <c r="B10823" s="515" t="s">
        <v>659</v>
      </c>
      <c r="C10823" s="52">
        <v>394116.52985967201</v>
      </c>
      <c r="D10823" s="56">
        <v>2.1125849641837908E-2</v>
      </c>
      <c r="E10823" s="224" t="s">
        <v>2</v>
      </c>
      <c r="F10823" s="515" t="s">
        <v>12017</v>
      </c>
      <c r="G10823" s="52">
        <v>395423.63332501601</v>
      </c>
      <c r="H10823" s="56">
        <v>2.9073555956054143E-2</v>
      </c>
      <c r="I10823" s="224" t="s">
        <v>2</v>
      </c>
    </row>
    <row r="10824" spans="1:9" x14ac:dyDescent="0.25">
      <c r="A10824" s="515">
        <v>8558</v>
      </c>
      <c r="B10824" s="515" t="s">
        <v>324</v>
      </c>
      <c r="C10824" s="52">
        <v>827698.64628171804</v>
      </c>
      <c r="D10824" s="56">
        <v>7.4470138980464048E-2</v>
      </c>
      <c r="E10824" s="224" t="s">
        <v>2</v>
      </c>
      <c r="F10824" s="515" t="s">
        <v>12018</v>
      </c>
      <c r="G10824" s="52">
        <v>100213.39469097101</v>
      </c>
      <c r="H10824" s="56">
        <v>0</v>
      </c>
      <c r="I10824" s="224" t="s">
        <v>2</v>
      </c>
    </row>
    <row r="10825" spans="1:9" x14ac:dyDescent="0.25">
      <c r="A10825" s="515">
        <v>2191</v>
      </c>
      <c r="B10825" s="515" t="s">
        <v>534</v>
      </c>
      <c r="C10825" s="52">
        <v>496782.97366595798</v>
      </c>
      <c r="D10825" s="56">
        <v>6.9846031990538612E-2</v>
      </c>
      <c r="E10825" s="224" t="s">
        <v>2</v>
      </c>
      <c r="F10825" s="515" t="s">
        <v>12019</v>
      </c>
      <c r="G10825" s="52">
        <v>202780.69097919099</v>
      </c>
      <c r="H10825" s="56">
        <v>7.9662953621418481E-2</v>
      </c>
      <c r="I10825" s="224" t="s">
        <v>2</v>
      </c>
    </row>
    <row r="10826" spans="1:9" x14ac:dyDescent="0.25">
      <c r="A10826" s="515">
        <v>54724</v>
      </c>
      <c r="B10826" s="515" t="s">
        <v>1028</v>
      </c>
      <c r="C10826" s="52">
        <v>233017.72964435001</v>
      </c>
      <c r="D10826" s="56">
        <v>2.2491882489797017E-2</v>
      </c>
      <c r="E10826" s="224" t="s">
        <v>2</v>
      </c>
      <c r="F10826" s="515" t="s">
        <v>12020</v>
      </c>
      <c r="G10826" s="52">
        <v>146657.990405135</v>
      </c>
      <c r="H10826" s="56">
        <v>5.9282064173675472E-2</v>
      </c>
      <c r="I10826" s="224" t="s">
        <v>2</v>
      </c>
    </row>
    <row r="10827" spans="1:9" x14ac:dyDescent="0.25">
      <c r="A10827" s="515">
        <v>2338</v>
      </c>
      <c r="B10827" s="515" t="s">
        <v>534</v>
      </c>
      <c r="C10827" s="52">
        <v>469870.632061276</v>
      </c>
      <c r="D10827" s="56">
        <v>7.1815930845475953E-2</v>
      </c>
      <c r="E10827" s="224" t="s">
        <v>2</v>
      </c>
      <c r="F10827" s="515" t="s">
        <v>12021</v>
      </c>
      <c r="G10827" s="52">
        <v>187131.76044534001</v>
      </c>
      <c r="H10827" s="56">
        <v>5.0030153594028549E-2</v>
      </c>
      <c r="I10827" s="224" t="s">
        <v>2</v>
      </c>
    </row>
    <row r="10828" spans="1:9" x14ac:dyDescent="0.25">
      <c r="A10828" s="515">
        <v>92121</v>
      </c>
      <c r="B10828" s="515" t="s">
        <v>396</v>
      </c>
      <c r="C10828" s="52">
        <v>957847.29474311206</v>
      </c>
      <c r="D10828" s="56">
        <v>4.0720676701117521E-3</v>
      </c>
      <c r="E10828" s="224" t="s">
        <v>2</v>
      </c>
      <c r="F10828" s="515" t="s">
        <v>12022</v>
      </c>
      <c r="G10828" s="52">
        <v>159965.680342804</v>
      </c>
      <c r="H10828" s="56">
        <v>-7.7850557963816666E-2</v>
      </c>
      <c r="I10828" s="224" t="s">
        <v>2</v>
      </c>
    </row>
    <row r="10829" spans="1:9" x14ac:dyDescent="0.25">
      <c r="A10829" s="515">
        <v>72081</v>
      </c>
      <c r="B10829" s="515" t="s">
        <v>414</v>
      </c>
      <c r="C10829" s="52">
        <v>132159.48485498899</v>
      </c>
      <c r="D10829" s="56">
        <v>9.0074271105364007E-2</v>
      </c>
      <c r="E10829" s="224" t="s">
        <v>2</v>
      </c>
      <c r="F10829" s="515" t="s">
        <v>12023</v>
      </c>
      <c r="G10829" s="52">
        <v>145741.32419147101</v>
      </c>
      <c r="H10829" s="56">
        <v>5.7395891195787694E-3</v>
      </c>
      <c r="I10829" s="224" t="s">
        <v>2</v>
      </c>
    </row>
    <row r="10830" spans="1:9" x14ac:dyDescent="0.25">
      <c r="A10830" s="515">
        <v>43028</v>
      </c>
      <c r="B10830" s="515" t="s">
        <v>341</v>
      </c>
      <c r="C10830" s="52">
        <v>268351.41923322802</v>
      </c>
      <c r="D10830" s="56">
        <v>8.3834987649709092E-2</v>
      </c>
      <c r="E10830" s="224" t="s">
        <v>2</v>
      </c>
      <c r="F10830" s="515" t="s">
        <v>12024</v>
      </c>
      <c r="G10830" s="52">
        <v>83855.601324105199</v>
      </c>
      <c r="H10830" s="56">
        <v>-4.366557897642652E-2</v>
      </c>
      <c r="I10830" s="224" t="s">
        <v>2</v>
      </c>
    </row>
    <row r="10831" spans="1:9" x14ac:dyDescent="0.25">
      <c r="A10831" s="515">
        <v>44201</v>
      </c>
      <c r="B10831" s="515" t="s">
        <v>1000</v>
      </c>
      <c r="C10831" s="52">
        <v>242284.024402543</v>
      </c>
      <c r="D10831" s="56">
        <v>0.12083266141299512</v>
      </c>
      <c r="E10831" s="224" t="s">
        <v>2</v>
      </c>
      <c r="F10831" s="515" t="s">
        <v>12025</v>
      </c>
      <c r="G10831" s="52">
        <v>102467.33462091</v>
      </c>
      <c r="H10831" s="56">
        <v>0.1253407654378296</v>
      </c>
      <c r="I10831" s="224" t="s">
        <v>2</v>
      </c>
    </row>
    <row r="10832" spans="1:9" x14ac:dyDescent="0.25">
      <c r="A10832" s="515">
        <v>81211</v>
      </c>
      <c r="C10832" s="52">
        <v>604960.20579491497</v>
      </c>
      <c r="D10832" s="56">
        <v>6.9615853985276574E-2</v>
      </c>
      <c r="E10832" s="224" t="s">
        <v>2</v>
      </c>
      <c r="F10832" s="515" t="s">
        <v>12026</v>
      </c>
      <c r="G10832" s="52">
        <v>415273.30108583701</v>
      </c>
      <c r="H10832" s="56">
        <v>8.9119318429000643E-2</v>
      </c>
      <c r="I10832" s="224" t="s">
        <v>2</v>
      </c>
    </row>
    <row r="10833" spans="1:9" x14ac:dyDescent="0.25">
      <c r="A10833" s="515">
        <v>28339</v>
      </c>
      <c r="B10833" s="515" t="s">
        <v>1149</v>
      </c>
      <c r="C10833" s="52">
        <v>172378.93331578499</v>
      </c>
      <c r="D10833" s="56">
        <v>0.20186015078584879</v>
      </c>
      <c r="E10833" s="224" t="s">
        <v>2</v>
      </c>
      <c r="F10833" s="515" t="s">
        <v>12027</v>
      </c>
      <c r="G10833" s="52">
        <v>176538.688046825</v>
      </c>
      <c r="H10833" s="56">
        <v>2.5518201096571217E-2</v>
      </c>
      <c r="I10833" s="224" t="s">
        <v>2</v>
      </c>
    </row>
    <row r="10834" spans="1:9" x14ac:dyDescent="0.25">
      <c r="A10834" s="515">
        <v>36107</v>
      </c>
      <c r="B10834" s="515" t="s">
        <v>806</v>
      </c>
      <c r="C10834" s="52">
        <v>64107.137917059197</v>
      </c>
      <c r="D10834" s="56">
        <v>0.13673648446933154</v>
      </c>
      <c r="E10834" s="224">
        <v>892.66666666666595</v>
      </c>
      <c r="F10834" s="515" t="s">
        <v>12028</v>
      </c>
      <c r="G10834" s="52">
        <v>116011.854474583</v>
      </c>
      <c r="H10834" s="56">
        <v>0.13409411501814356</v>
      </c>
      <c r="I10834" s="224" t="s">
        <v>2</v>
      </c>
    </row>
    <row r="10835" spans="1:9" x14ac:dyDescent="0.25">
      <c r="A10835" s="515">
        <v>38474</v>
      </c>
      <c r="B10835" s="515" t="s">
        <v>684</v>
      </c>
      <c r="C10835" s="52">
        <v>241035.34086041199</v>
      </c>
      <c r="D10835" s="56">
        <v>0.10372873149009067</v>
      </c>
      <c r="E10835" s="224" t="s">
        <v>2</v>
      </c>
      <c r="F10835" s="515" t="s">
        <v>12029</v>
      </c>
      <c r="G10835" s="52">
        <v>283422.69548900297</v>
      </c>
      <c r="H10835" s="56">
        <v>4.310554960894189E-2</v>
      </c>
      <c r="I10835" s="224" t="s">
        <v>2</v>
      </c>
    </row>
    <row r="10836" spans="1:9" x14ac:dyDescent="0.25">
      <c r="A10836" s="515">
        <v>46225</v>
      </c>
      <c r="B10836" s="515" t="s">
        <v>403</v>
      </c>
      <c r="C10836" s="52">
        <v>158339.612216065</v>
      </c>
      <c r="D10836" s="56">
        <v>9.6160376503330189E-2</v>
      </c>
      <c r="E10836" s="224">
        <v>993</v>
      </c>
      <c r="F10836" s="515" t="s">
        <v>12030</v>
      </c>
      <c r="G10836" s="52">
        <v>332486.63227582298</v>
      </c>
      <c r="H10836" s="56">
        <v>8.6067084391979673E-2</v>
      </c>
      <c r="I10836" s="224" t="s">
        <v>2</v>
      </c>
    </row>
    <row r="10837" spans="1:9" x14ac:dyDescent="0.25">
      <c r="A10837" s="515">
        <v>38485</v>
      </c>
      <c r="C10837" s="52">
        <v>131581.027732185</v>
      </c>
      <c r="D10837" s="56">
        <v>7.8743921995744218E-2</v>
      </c>
      <c r="E10837" s="224" t="s">
        <v>2</v>
      </c>
      <c r="F10837" s="515" t="s">
        <v>12031</v>
      </c>
      <c r="G10837" s="52">
        <v>514081.23039712099</v>
      </c>
      <c r="H10837" s="56">
        <v>2.2732879042087088E-2</v>
      </c>
      <c r="I10837" s="224" t="s">
        <v>2</v>
      </c>
    </row>
    <row r="10838" spans="1:9" x14ac:dyDescent="0.25">
      <c r="A10838" s="515">
        <v>39202</v>
      </c>
      <c r="B10838" s="515" t="s">
        <v>851</v>
      </c>
      <c r="C10838" s="52">
        <v>148826.188040487</v>
      </c>
      <c r="D10838" s="56">
        <v>-1.3413745903396387E-2</v>
      </c>
      <c r="E10838" s="224">
        <v>1148.3333333333301</v>
      </c>
      <c r="F10838" s="515" t="s">
        <v>12032</v>
      </c>
      <c r="G10838" s="52">
        <v>235409.93903578399</v>
      </c>
      <c r="H10838" s="56">
        <v>8.4298976606406395E-2</v>
      </c>
      <c r="I10838" s="224" t="s">
        <v>2</v>
      </c>
    </row>
    <row r="10839" spans="1:9" x14ac:dyDescent="0.25">
      <c r="A10839" s="515">
        <v>44081</v>
      </c>
      <c r="B10839" s="515" t="s">
        <v>520</v>
      </c>
      <c r="C10839" s="52">
        <v>244495.67958658599</v>
      </c>
      <c r="D10839" s="56">
        <v>5.8581879462711602E-2</v>
      </c>
      <c r="E10839" s="224" t="s">
        <v>2</v>
      </c>
      <c r="F10839" s="515" t="s">
        <v>12033</v>
      </c>
      <c r="G10839" s="52">
        <v>195653.434656417</v>
      </c>
      <c r="H10839" s="56">
        <v>4.9776230042678581E-2</v>
      </c>
      <c r="I10839" s="224" t="s">
        <v>2</v>
      </c>
    </row>
    <row r="10840" spans="1:9" x14ac:dyDescent="0.25">
      <c r="A10840" s="515">
        <v>97496</v>
      </c>
      <c r="B10840" s="515" t="s">
        <v>449</v>
      </c>
      <c r="C10840" s="52">
        <v>296852.00043077703</v>
      </c>
      <c r="D10840" s="56">
        <v>7.0104435517805819E-2</v>
      </c>
      <c r="E10840" s="224" t="s">
        <v>2</v>
      </c>
      <c r="F10840" s="515" t="s">
        <v>12034</v>
      </c>
      <c r="G10840" s="52">
        <v>236411.811906349</v>
      </c>
      <c r="H10840" s="56">
        <v>6.4238979498796187E-2</v>
      </c>
      <c r="I10840" s="224" t="s">
        <v>2</v>
      </c>
    </row>
    <row r="10841" spans="1:9" x14ac:dyDescent="0.25">
      <c r="A10841" s="515">
        <v>28114</v>
      </c>
      <c r="B10841" s="515" t="s">
        <v>1128</v>
      </c>
      <c r="C10841" s="52">
        <v>121048.27846530599</v>
      </c>
      <c r="D10841" s="56">
        <v>0.15724564814552494</v>
      </c>
      <c r="E10841" s="224" t="s">
        <v>2</v>
      </c>
      <c r="F10841" s="515" t="s">
        <v>12035</v>
      </c>
      <c r="G10841" s="52">
        <v>94929.073321373202</v>
      </c>
      <c r="H10841" s="56">
        <v>2.2685745782393549E-2</v>
      </c>
      <c r="I10841" s="224" t="s">
        <v>2</v>
      </c>
    </row>
    <row r="10842" spans="1:9" x14ac:dyDescent="0.25">
      <c r="A10842" s="515">
        <v>7028</v>
      </c>
      <c r="B10842" s="515" t="s">
        <v>324</v>
      </c>
      <c r="C10842" s="52">
        <v>859579.33442109998</v>
      </c>
      <c r="D10842" s="56">
        <v>4.7672082887295845E-2</v>
      </c>
      <c r="E10842" s="224" t="s">
        <v>2</v>
      </c>
      <c r="F10842" s="515" t="s">
        <v>12036</v>
      </c>
      <c r="G10842" s="52">
        <v>201691.77979483799</v>
      </c>
      <c r="H10842" s="56">
        <v>6.7162815495807229E-2</v>
      </c>
      <c r="I10842" s="224" t="s">
        <v>2</v>
      </c>
    </row>
    <row r="10843" spans="1:9" x14ac:dyDescent="0.25">
      <c r="A10843" s="515">
        <v>3773</v>
      </c>
      <c r="B10843" s="515" t="s">
        <v>420</v>
      </c>
      <c r="C10843" s="52">
        <v>273223.38239725801</v>
      </c>
      <c r="D10843" s="56">
        <v>0.15007842323290627</v>
      </c>
      <c r="E10843" s="224" t="s">
        <v>2</v>
      </c>
      <c r="F10843" s="515" t="s">
        <v>12037</v>
      </c>
      <c r="G10843" s="52">
        <v>422768.96957778599</v>
      </c>
      <c r="H10843" s="56">
        <v>9.6206215473886664E-2</v>
      </c>
      <c r="I10843" s="224" t="s">
        <v>2</v>
      </c>
    </row>
    <row r="10844" spans="1:9" x14ac:dyDescent="0.25">
      <c r="A10844" s="515">
        <v>85004</v>
      </c>
      <c r="B10844" s="515" t="s">
        <v>563</v>
      </c>
      <c r="C10844" s="52">
        <v>431039.65782126598</v>
      </c>
      <c r="D10844" s="56">
        <v>9.2936434337215754E-2</v>
      </c>
      <c r="E10844" s="224">
        <v>1921.5875508399599</v>
      </c>
      <c r="F10844" s="515" t="s">
        <v>12038</v>
      </c>
      <c r="G10844" s="52">
        <v>67302.904323166993</v>
      </c>
      <c r="H10844" s="56">
        <v>2.5805218871145636E-2</v>
      </c>
      <c r="I10844" s="224" t="s">
        <v>2</v>
      </c>
    </row>
    <row r="10845" spans="1:9" x14ac:dyDescent="0.25">
      <c r="A10845" s="515">
        <v>93644</v>
      </c>
      <c r="B10845" s="515" t="s">
        <v>681</v>
      </c>
      <c r="C10845" s="52">
        <v>402163.21067400801</v>
      </c>
      <c r="D10845" s="56">
        <v>5.2259569151586124E-2</v>
      </c>
      <c r="E10845" s="224" t="s">
        <v>2</v>
      </c>
      <c r="F10845" s="515" t="s">
        <v>12039</v>
      </c>
      <c r="G10845" s="52">
        <v>174500.85086206099</v>
      </c>
      <c r="H10845" s="56">
        <v>-2.6610447545558952E-3</v>
      </c>
      <c r="I10845" s="224" t="s">
        <v>2</v>
      </c>
    </row>
    <row r="10846" spans="1:9" x14ac:dyDescent="0.25">
      <c r="A10846" s="515">
        <v>73086</v>
      </c>
      <c r="C10846" s="52">
        <v>136408.72309217701</v>
      </c>
      <c r="D10846" s="56">
        <v>0.2065836226874892</v>
      </c>
      <c r="E10846" s="224" t="s">
        <v>2</v>
      </c>
      <c r="F10846" s="515" t="s">
        <v>12040</v>
      </c>
      <c r="G10846" s="52">
        <v>356603.06014153402</v>
      </c>
      <c r="H10846" s="56">
        <v>2.6434215288193983E-2</v>
      </c>
      <c r="I10846" s="224" t="s">
        <v>2</v>
      </c>
    </row>
    <row r="10847" spans="1:9" x14ac:dyDescent="0.25">
      <c r="A10847" s="515">
        <v>1568</v>
      </c>
      <c r="B10847" s="515" t="s">
        <v>751</v>
      </c>
      <c r="C10847" s="52">
        <v>614677.63871814404</v>
      </c>
      <c r="D10847" s="56">
        <v>7.6477343543888687E-2</v>
      </c>
      <c r="E10847" s="224" t="s">
        <v>2</v>
      </c>
      <c r="F10847" s="515" t="s">
        <v>12041</v>
      </c>
      <c r="G10847" s="52">
        <v>268132.80836253799</v>
      </c>
      <c r="H10847" s="56">
        <v>6.8878385825733968E-2</v>
      </c>
      <c r="I10847" s="224" t="s">
        <v>2</v>
      </c>
    </row>
    <row r="10848" spans="1:9" x14ac:dyDescent="0.25">
      <c r="A10848" s="515">
        <v>59417</v>
      </c>
      <c r="C10848" s="52">
        <v>164590.17376862999</v>
      </c>
      <c r="D10848" s="56">
        <v>9.0497321394775468E-2</v>
      </c>
      <c r="E10848" s="224" t="s">
        <v>2</v>
      </c>
      <c r="F10848" s="515" t="s">
        <v>12042</v>
      </c>
      <c r="G10848" s="52">
        <v>147371.79926177501</v>
      </c>
      <c r="H10848" s="56">
        <v>8.7088477127231445E-2</v>
      </c>
      <c r="I10848" s="224" t="s">
        <v>2</v>
      </c>
    </row>
    <row r="10849" spans="1:9" x14ac:dyDescent="0.25">
      <c r="A10849" s="515">
        <v>37101</v>
      </c>
      <c r="C10849" s="52">
        <v>227763.17472074099</v>
      </c>
      <c r="D10849" s="56">
        <v>7.808107651333715E-2</v>
      </c>
      <c r="E10849" s="224" t="s">
        <v>2</v>
      </c>
      <c r="F10849" s="515" t="s">
        <v>12043</v>
      </c>
      <c r="G10849" s="52">
        <v>82731.568609521404</v>
      </c>
      <c r="H10849" s="56">
        <v>-8.6193097188726631E-3</v>
      </c>
      <c r="I10849" s="224" t="s">
        <v>2</v>
      </c>
    </row>
    <row r="10850" spans="1:9" x14ac:dyDescent="0.25">
      <c r="A10850" s="515">
        <v>2814</v>
      </c>
      <c r="B10850" s="515" t="s">
        <v>513</v>
      </c>
      <c r="C10850" s="52">
        <v>401755.99813784898</v>
      </c>
      <c r="D10850" s="56">
        <v>7.8812066586038329E-2</v>
      </c>
      <c r="E10850" s="224" t="s">
        <v>2</v>
      </c>
      <c r="F10850" s="515" t="s">
        <v>12044</v>
      </c>
      <c r="G10850" s="52">
        <v>124308.98869852599</v>
      </c>
      <c r="H10850" s="56">
        <v>0.10213877864377989</v>
      </c>
      <c r="I10850" s="224" t="s">
        <v>2</v>
      </c>
    </row>
    <row r="10851" spans="1:9" x14ac:dyDescent="0.25">
      <c r="A10851" s="515">
        <v>37887</v>
      </c>
      <c r="B10851" s="515" t="s">
        <v>907</v>
      </c>
      <c r="C10851" s="52">
        <v>173023.041013593</v>
      </c>
      <c r="D10851" s="56">
        <v>0.11479569611490328</v>
      </c>
      <c r="E10851" s="224" t="s">
        <v>2</v>
      </c>
      <c r="F10851" s="515" t="s">
        <v>12045</v>
      </c>
      <c r="G10851" s="52">
        <v>461471.60721073899</v>
      </c>
      <c r="H10851" s="56">
        <v>5.458884031072439E-2</v>
      </c>
      <c r="I10851" s="224" t="s">
        <v>2</v>
      </c>
    </row>
    <row r="10852" spans="1:9" x14ac:dyDescent="0.25">
      <c r="A10852" s="515">
        <v>63133</v>
      </c>
      <c r="B10852" s="515" t="s">
        <v>498</v>
      </c>
      <c r="C10852" s="52">
        <v>65471.6142931391</v>
      </c>
      <c r="D10852" s="56">
        <v>0.34726545547199128</v>
      </c>
      <c r="E10852" s="224" t="s">
        <v>2</v>
      </c>
      <c r="F10852" s="515" t="s">
        <v>12046</v>
      </c>
      <c r="G10852" s="52">
        <v>114082.284477241</v>
      </c>
      <c r="H10852" s="56">
        <v>1.2757792497094425E-2</v>
      </c>
      <c r="I10852" s="224" t="s">
        <v>2</v>
      </c>
    </row>
    <row r="10853" spans="1:9" x14ac:dyDescent="0.25">
      <c r="A10853" s="515">
        <v>32321</v>
      </c>
      <c r="C10853" s="52">
        <v>171612.134278118</v>
      </c>
      <c r="D10853" s="56">
        <v>7.786863535654126E-2</v>
      </c>
      <c r="E10853" s="224" t="s">
        <v>2</v>
      </c>
      <c r="F10853" s="515" t="s">
        <v>12047</v>
      </c>
      <c r="G10853" s="52">
        <v>715293.23596199905</v>
      </c>
      <c r="H10853" s="56">
        <v>9.3864449254732057E-2</v>
      </c>
      <c r="I10853" s="224" t="s">
        <v>2</v>
      </c>
    </row>
    <row r="10854" spans="1:9" x14ac:dyDescent="0.25">
      <c r="A10854" s="515">
        <v>89109</v>
      </c>
      <c r="B10854" s="515" t="s">
        <v>323</v>
      </c>
      <c r="C10854" s="52">
        <v>366986.53438916901</v>
      </c>
      <c r="D10854" s="56">
        <v>7.0017930520093044E-2</v>
      </c>
      <c r="E10854" s="224">
        <v>2403.4305555555502</v>
      </c>
      <c r="F10854" s="515" t="s">
        <v>12048</v>
      </c>
      <c r="G10854" s="52">
        <v>432130.99784615397</v>
      </c>
      <c r="H10854" s="56">
        <v>4.2511591337647717E-2</v>
      </c>
      <c r="I10854" s="224" t="s">
        <v>2</v>
      </c>
    </row>
    <row r="10855" spans="1:9" x14ac:dyDescent="0.25">
      <c r="A10855" s="515">
        <v>2813</v>
      </c>
      <c r="B10855" s="515" t="s">
        <v>513</v>
      </c>
      <c r="C10855" s="52">
        <v>571141.33827662701</v>
      </c>
      <c r="D10855" s="56">
        <v>6.9815613741815066E-2</v>
      </c>
      <c r="E10855" s="224" t="s">
        <v>2</v>
      </c>
      <c r="F10855" s="515" t="s">
        <v>12049</v>
      </c>
      <c r="G10855" s="52">
        <v>377749.53124780598</v>
      </c>
      <c r="H10855" s="56">
        <v>6.4831317845870109E-2</v>
      </c>
      <c r="I10855" s="224" t="s">
        <v>2</v>
      </c>
    </row>
    <row r="10856" spans="1:9" x14ac:dyDescent="0.25">
      <c r="A10856" s="515">
        <v>7310</v>
      </c>
      <c r="B10856" s="515" t="s">
        <v>324</v>
      </c>
      <c r="C10856" s="52">
        <v>795783.01462830696</v>
      </c>
      <c r="D10856" s="56">
        <v>1.8167157531846185E-2</v>
      </c>
      <c r="E10856" s="224">
        <v>3740.90956363429</v>
      </c>
      <c r="F10856" s="515" t="s">
        <v>12050</v>
      </c>
      <c r="G10856" s="52">
        <v>402077.89945526299</v>
      </c>
      <c r="H10856" s="56">
        <v>9.0904078418736003E-2</v>
      </c>
      <c r="I10856" s="224" t="s">
        <v>2</v>
      </c>
    </row>
    <row r="10857" spans="1:9" x14ac:dyDescent="0.25">
      <c r="A10857" s="515">
        <v>76634</v>
      </c>
      <c r="C10857" s="52">
        <v>204405.88195770801</v>
      </c>
      <c r="D10857" s="56">
        <v>0.13655678367707805</v>
      </c>
      <c r="E10857" s="224" t="s">
        <v>2</v>
      </c>
      <c r="F10857" s="515" t="s">
        <v>12051</v>
      </c>
      <c r="G10857" s="52">
        <v>227795.80731714101</v>
      </c>
      <c r="H10857" s="56">
        <v>8.131369773376089E-2</v>
      </c>
      <c r="I10857" s="224" t="s">
        <v>2</v>
      </c>
    </row>
    <row r="10858" spans="1:9" x14ac:dyDescent="0.25">
      <c r="A10858" s="515">
        <v>76655</v>
      </c>
      <c r="B10858" s="515" t="s">
        <v>1057</v>
      </c>
      <c r="C10858" s="52">
        <v>345098.77740465401</v>
      </c>
      <c r="D10858" s="56">
        <v>0.10401728609700811</v>
      </c>
      <c r="E10858" s="224" t="s">
        <v>2</v>
      </c>
      <c r="F10858" s="515" t="s">
        <v>12052</v>
      </c>
      <c r="G10858" s="52">
        <v>580353.27159479295</v>
      </c>
      <c r="H10858" s="56">
        <v>7.0499226088640066E-2</v>
      </c>
      <c r="I10858" s="224" t="s">
        <v>2</v>
      </c>
    </row>
    <row r="10859" spans="1:9" x14ac:dyDescent="0.25">
      <c r="A10859" s="515">
        <v>76442</v>
      </c>
      <c r="C10859" s="52">
        <v>162926.87808975601</v>
      </c>
      <c r="D10859" s="56">
        <v>2.3887225032423874E-2</v>
      </c>
      <c r="E10859" s="224" t="s">
        <v>2</v>
      </c>
      <c r="F10859" s="515" t="s">
        <v>12053</v>
      </c>
      <c r="G10859" s="52">
        <v>108421.959165537</v>
      </c>
      <c r="H10859" s="56">
        <v>2.1405397726360176E-2</v>
      </c>
      <c r="I10859" s="224" t="s">
        <v>2</v>
      </c>
    </row>
    <row r="10860" spans="1:9" x14ac:dyDescent="0.25">
      <c r="A10860" s="515">
        <v>31321</v>
      </c>
      <c r="B10860" s="515" t="s">
        <v>351</v>
      </c>
      <c r="C10860" s="52">
        <v>200560.46681715001</v>
      </c>
      <c r="D10860" s="56">
        <v>0.17702198969227717</v>
      </c>
      <c r="E10860" s="224" t="s">
        <v>2</v>
      </c>
      <c r="F10860" s="515" t="s">
        <v>12054</v>
      </c>
      <c r="G10860" s="52">
        <v>207160.66052030801</v>
      </c>
      <c r="H10860" s="56">
        <v>0.16547122216086549</v>
      </c>
      <c r="I10860" s="224" t="s">
        <v>2</v>
      </c>
    </row>
    <row r="10861" spans="1:9" x14ac:dyDescent="0.25">
      <c r="A10861" s="515">
        <v>8848</v>
      </c>
      <c r="B10861" s="515" t="s">
        <v>324</v>
      </c>
      <c r="C10861" s="52">
        <v>406430.50080238399</v>
      </c>
      <c r="D10861" s="56">
        <v>4.1424583719433715E-2</v>
      </c>
      <c r="E10861" s="224" t="s">
        <v>2</v>
      </c>
      <c r="F10861" s="515" t="s">
        <v>12055</v>
      </c>
      <c r="G10861" s="52">
        <v>222006.38236473201</v>
      </c>
      <c r="H10861" s="56">
        <v>0.11544463224072328</v>
      </c>
      <c r="I10861" s="224" t="s">
        <v>2</v>
      </c>
    </row>
    <row r="10862" spans="1:9" x14ac:dyDescent="0.25">
      <c r="A10862" s="515">
        <v>11705</v>
      </c>
      <c r="B10862" s="515" t="s">
        <v>324</v>
      </c>
      <c r="C10862" s="52">
        <v>621778.53760400799</v>
      </c>
      <c r="D10862" s="56">
        <v>4.493834307755027E-2</v>
      </c>
      <c r="E10862" s="224" t="s">
        <v>2</v>
      </c>
      <c r="F10862" s="515" t="s">
        <v>12056</v>
      </c>
      <c r="G10862" s="52">
        <v>316776.077244082</v>
      </c>
      <c r="H10862" s="56">
        <v>8.5670902320496262E-2</v>
      </c>
      <c r="I10862" s="224" t="s">
        <v>2</v>
      </c>
    </row>
    <row r="10863" spans="1:9" x14ac:dyDescent="0.25">
      <c r="A10863" s="515">
        <v>27041</v>
      </c>
      <c r="B10863" s="515" t="s">
        <v>1046</v>
      </c>
      <c r="C10863" s="52">
        <v>216904.363310224</v>
      </c>
      <c r="D10863" s="56">
        <v>0.11616579552885706</v>
      </c>
      <c r="E10863" s="224" t="s">
        <v>2</v>
      </c>
      <c r="F10863" s="515" t="s">
        <v>12057</v>
      </c>
      <c r="G10863" s="52">
        <v>257282.65647345001</v>
      </c>
      <c r="H10863" s="56">
        <v>3.6365744236439158E-2</v>
      </c>
      <c r="I10863" s="224" t="s">
        <v>2</v>
      </c>
    </row>
    <row r="10864" spans="1:9" x14ac:dyDescent="0.25">
      <c r="A10864" s="515">
        <v>55041</v>
      </c>
      <c r="B10864" s="515" t="s">
        <v>470</v>
      </c>
      <c r="C10864" s="52">
        <v>280396.885810017</v>
      </c>
      <c r="D10864" s="56">
        <v>7.0110216993292659E-2</v>
      </c>
      <c r="E10864" s="224" t="s">
        <v>2</v>
      </c>
      <c r="F10864" s="515" t="s">
        <v>12058</v>
      </c>
      <c r="G10864" s="52">
        <v>123836.74931328501</v>
      </c>
      <c r="H10864" s="56">
        <v>8.2373948048722404E-3</v>
      </c>
      <c r="I10864" s="224" t="s">
        <v>2</v>
      </c>
    </row>
    <row r="10865" spans="1:9" x14ac:dyDescent="0.25">
      <c r="A10865" s="515">
        <v>35068</v>
      </c>
      <c r="B10865" s="515" t="s">
        <v>640</v>
      </c>
      <c r="C10865" s="52">
        <v>217789.38762815</v>
      </c>
      <c r="D10865" s="56">
        <v>8.7418261460420268E-2</v>
      </c>
      <c r="E10865" s="224" t="s">
        <v>2</v>
      </c>
      <c r="F10865" s="515" t="s">
        <v>12059</v>
      </c>
      <c r="G10865" s="52">
        <v>167871.581355762</v>
      </c>
      <c r="H10865" s="56">
        <v>7.9153203026135141E-2</v>
      </c>
      <c r="I10865" s="224" t="s">
        <v>2</v>
      </c>
    </row>
    <row r="10866" spans="1:9" x14ac:dyDescent="0.25">
      <c r="A10866" s="515">
        <v>26155</v>
      </c>
      <c r="C10866" s="52">
        <v>122963.884593273</v>
      </c>
      <c r="D10866" s="56">
        <v>6.8906262859594059E-2</v>
      </c>
      <c r="E10866" s="224" t="s">
        <v>2</v>
      </c>
      <c r="F10866" s="515" t="s">
        <v>12060</v>
      </c>
      <c r="G10866" s="52">
        <v>119508.471388216</v>
      </c>
      <c r="H10866" s="56">
        <v>-1.4902606400434178E-2</v>
      </c>
      <c r="I10866" s="224" t="s">
        <v>2</v>
      </c>
    </row>
    <row r="10867" spans="1:9" x14ac:dyDescent="0.25">
      <c r="A10867" s="515">
        <v>42064</v>
      </c>
      <c r="C10867" s="52">
        <v>91890.781844220794</v>
      </c>
      <c r="D10867" s="56">
        <v>8.5216204310511495E-2</v>
      </c>
      <c r="E10867" s="224" t="s">
        <v>2</v>
      </c>
      <c r="F10867" s="515" t="s">
        <v>12061</v>
      </c>
      <c r="G10867" s="52">
        <v>180326.08318372001</v>
      </c>
      <c r="H10867" s="56">
        <v>8.1609252658906742E-2</v>
      </c>
      <c r="I10867" s="224" t="s">
        <v>2</v>
      </c>
    </row>
    <row r="10868" spans="1:9" x14ac:dyDescent="0.25">
      <c r="A10868" s="515">
        <v>30288</v>
      </c>
      <c r="B10868" s="515" t="s">
        <v>957</v>
      </c>
      <c r="C10868" s="52">
        <v>213898.40861153699</v>
      </c>
      <c r="D10868" s="56">
        <v>0.12202000516089674</v>
      </c>
      <c r="E10868" s="224" t="s">
        <v>2</v>
      </c>
      <c r="F10868" s="515" t="s">
        <v>12062</v>
      </c>
      <c r="G10868" s="52">
        <v>142723.40201795101</v>
      </c>
      <c r="H10868" s="56">
        <v>0.12688886183111797</v>
      </c>
      <c r="I10868" s="224" t="s">
        <v>2</v>
      </c>
    </row>
    <row r="10869" spans="1:9" x14ac:dyDescent="0.25">
      <c r="A10869" s="515">
        <v>27954</v>
      </c>
      <c r="B10869" s="515" t="s">
        <v>407</v>
      </c>
      <c r="C10869" s="52">
        <v>457889.91592684702</v>
      </c>
      <c r="D10869" s="56">
        <v>0.11604550985763444</v>
      </c>
      <c r="E10869" s="224" t="s">
        <v>2</v>
      </c>
      <c r="F10869" s="515" t="s">
        <v>12063</v>
      </c>
      <c r="G10869" s="52">
        <v>257441.80512647401</v>
      </c>
      <c r="H10869" s="56">
        <v>0.1507648370031634</v>
      </c>
      <c r="I10869" s="224" t="s">
        <v>2</v>
      </c>
    </row>
    <row r="10870" spans="1:9" x14ac:dyDescent="0.25">
      <c r="A10870" s="515">
        <v>34637</v>
      </c>
      <c r="B10870" s="515" t="s">
        <v>461</v>
      </c>
      <c r="C10870" s="52">
        <v>461936.16252658301</v>
      </c>
      <c r="D10870" s="56">
        <v>9.5060237805222228E-2</v>
      </c>
      <c r="E10870" s="224" t="s">
        <v>2</v>
      </c>
      <c r="F10870" s="515" t="s">
        <v>12064</v>
      </c>
      <c r="G10870" s="52">
        <v>270710.34540151397</v>
      </c>
      <c r="H10870" s="56">
        <v>2.9279078337274375E-2</v>
      </c>
      <c r="I10870" s="224" t="s">
        <v>2</v>
      </c>
    </row>
    <row r="10871" spans="1:9" x14ac:dyDescent="0.25">
      <c r="A10871" s="515">
        <v>39365</v>
      </c>
      <c r="C10871" s="52">
        <v>124668.42379483501</v>
      </c>
      <c r="D10871" s="56">
        <v>-1.7671753053725352E-2</v>
      </c>
      <c r="E10871" s="224" t="s">
        <v>2</v>
      </c>
      <c r="F10871" s="515" t="s">
        <v>12065</v>
      </c>
      <c r="G10871" s="52">
        <v>136161.98851177</v>
      </c>
      <c r="H10871" s="56">
        <v>0.10256516667989396</v>
      </c>
      <c r="I10871" s="224" t="s">
        <v>2</v>
      </c>
    </row>
    <row r="10872" spans="1:9" x14ac:dyDescent="0.25">
      <c r="A10872" s="515">
        <v>6085</v>
      </c>
      <c r="B10872" s="515" t="s">
        <v>894</v>
      </c>
      <c r="C10872" s="52">
        <v>367916.55811063002</v>
      </c>
      <c r="D10872" s="56">
        <v>0.10105136470647119</v>
      </c>
      <c r="E10872" s="224" t="s">
        <v>2</v>
      </c>
      <c r="F10872" s="515" t="s">
        <v>12066</v>
      </c>
      <c r="G10872" s="52">
        <v>187395.77801816</v>
      </c>
      <c r="H10872" s="56">
        <v>5.0961005167355224E-2</v>
      </c>
      <c r="I10872" s="224" t="s">
        <v>2</v>
      </c>
    </row>
    <row r="10873" spans="1:9" x14ac:dyDescent="0.25">
      <c r="A10873" s="515">
        <v>44311</v>
      </c>
      <c r="B10873" s="515" t="s">
        <v>1000</v>
      </c>
      <c r="C10873" s="52">
        <v>56457.448335832698</v>
      </c>
      <c r="D10873" s="56">
        <v>0.1094951774754909</v>
      </c>
      <c r="E10873" s="224">
        <v>850.41666666666595</v>
      </c>
      <c r="F10873" s="515" t="s">
        <v>12067</v>
      </c>
      <c r="G10873" s="52">
        <v>112357.118896254</v>
      </c>
      <c r="H10873" s="56">
        <v>0.10670520791461599</v>
      </c>
      <c r="I10873" s="224" t="s">
        <v>2</v>
      </c>
    </row>
    <row r="10874" spans="1:9" x14ac:dyDescent="0.25">
      <c r="A10874" s="515">
        <v>30530</v>
      </c>
      <c r="C10874" s="52">
        <v>292820.473450466</v>
      </c>
      <c r="D10874" s="56">
        <v>0.1015946427039742</v>
      </c>
      <c r="E10874" s="224" t="s">
        <v>2</v>
      </c>
      <c r="F10874" s="515" t="s">
        <v>12068</v>
      </c>
      <c r="G10874" s="52">
        <v>153246.42311508101</v>
      </c>
      <c r="H10874" s="56">
        <v>8.97760534383715E-2</v>
      </c>
      <c r="I10874" s="224" t="s">
        <v>2</v>
      </c>
    </row>
    <row r="10875" spans="1:9" x14ac:dyDescent="0.25">
      <c r="A10875" s="515">
        <v>8869</v>
      </c>
      <c r="B10875" s="515" t="s">
        <v>324</v>
      </c>
      <c r="C10875" s="52">
        <v>421419.01266403799</v>
      </c>
      <c r="D10875" s="56">
        <v>4.9586160997227104E-2</v>
      </c>
      <c r="E10875" s="224">
        <v>2092.3333333333298</v>
      </c>
      <c r="F10875" s="515" t="s">
        <v>12069</v>
      </c>
      <c r="G10875" s="52">
        <v>354973.20695149299</v>
      </c>
      <c r="H10875" s="56">
        <v>3.724866229786257E-2</v>
      </c>
      <c r="I10875" s="224" t="s">
        <v>2</v>
      </c>
    </row>
    <row r="10876" spans="1:9" x14ac:dyDescent="0.25">
      <c r="A10876" s="515">
        <v>1267</v>
      </c>
      <c r="B10876" s="515" t="s">
        <v>497</v>
      </c>
      <c r="C10876" s="52">
        <v>410939.04700842698</v>
      </c>
      <c r="D10876" s="56">
        <v>8.2791218970292943E-2</v>
      </c>
      <c r="E10876" s="224" t="s">
        <v>2</v>
      </c>
      <c r="F10876" s="515" t="s">
        <v>12070</v>
      </c>
      <c r="G10876" s="52">
        <v>65420.458404233199</v>
      </c>
      <c r="H10876" s="56">
        <v>4.548038441140595E-2</v>
      </c>
      <c r="I10876" s="224" t="s">
        <v>2</v>
      </c>
    </row>
    <row r="10877" spans="1:9" x14ac:dyDescent="0.25">
      <c r="A10877" s="515">
        <v>55920</v>
      </c>
      <c r="B10877" s="515" t="s">
        <v>470</v>
      </c>
      <c r="C10877" s="52">
        <v>349309.48805260699</v>
      </c>
      <c r="D10877" s="56">
        <v>5.7536541218546677E-2</v>
      </c>
      <c r="E10877" s="224" t="s">
        <v>2</v>
      </c>
      <c r="F10877" s="515" t="s">
        <v>12071</v>
      </c>
      <c r="G10877" s="52">
        <v>94043.487518921902</v>
      </c>
      <c r="H10877" s="56">
        <v>0.17086161041665737</v>
      </c>
      <c r="I10877" s="224" t="s">
        <v>2</v>
      </c>
    </row>
    <row r="10878" spans="1:9" x14ac:dyDescent="0.25">
      <c r="A10878" s="515">
        <v>59804</v>
      </c>
      <c r="B10878" s="515" t="s">
        <v>1060</v>
      </c>
      <c r="C10878" s="52">
        <v>588771.28212798701</v>
      </c>
      <c r="D10878" s="56">
        <v>4.52498490487988E-2</v>
      </c>
      <c r="E10878" s="224" t="s">
        <v>2</v>
      </c>
      <c r="F10878" s="515" t="s">
        <v>12072</v>
      </c>
      <c r="G10878" s="52">
        <v>308759.05172791798</v>
      </c>
      <c r="H10878" s="56">
        <v>7.5264176887865519E-2</v>
      </c>
      <c r="I10878" s="224" t="s">
        <v>2</v>
      </c>
    </row>
    <row r="10879" spans="1:9" x14ac:dyDescent="0.25">
      <c r="A10879" s="515">
        <v>37385</v>
      </c>
      <c r="C10879" s="52">
        <v>204619.50546459301</v>
      </c>
      <c r="D10879" s="56">
        <v>8.4356644248660698E-2</v>
      </c>
      <c r="E10879" s="224" t="s">
        <v>2</v>
      </c>
      <c r="F10879" s="515" t="s">
        <v>12073</v>
      </c>
      <c r="G10879" s="52">
        <v>359593.050085122</v>
      </c>
      <c r="H10879" s="56">
        <v>7.6912342714490503E-2</v>
      </c>
      <c r="I10879" s="224" t="s">
        <v>2</v>
      </c>
    </row>
    <row r="10880" spans="1:9" x14ac:dyDescent="0.25">
      <c r="A10880" s="515">
        <v>39556</v>
      </c>
      <c r="B10880" s="515" t="s">
        <v>963</v>
      </c>
      <c r="C10880" s="52">
        <v>201374.67108995601</v>
      </c>
      <c r="D10880" s="56">
        <v>1.7102522431044868E-2</v>
      </c>
      <c r="E10880" s="224" t="s">
        <v>2</v>
      </c>
      <c r="F10880" s="515" t="s">
        <v>12074</v>
      </c>
      <c r="G10880" s="52">
        <v>127333.86282660899</v>
      </c>
      <c r="H10880" s="56">
        <v>5.9859416117838356E-2</v>
      </c>
      <c r="I10880" s="224" t="s">
        <v>2</v>
      </c>
    </row>
    <row r="10881" spans="1:9" x14ac:dyDescent="0.25">
      <c r="A10881" s="515">
        <v>39652</v>
      </c>
      <c r="B10881" s="515" t="s">
        <v>1194</v>
      </c>
      <c r="C10881" s="52">
        <v>101729.12904518499</v>
      </c>
      <c r="D10881" s="56">
        <v>-6.0189587881086234E-2</v>
      </c>
      <c r="E10881" s="224" t="s">
        <v>2</v>
      </c>
      <c r="F10881" s="515" t="s">
        <v>12075</v>
      </c>
      <c r="G10881" s="52">
        <v>263778.87729062</v>
      </c>
      <c r="H10881" s="56">
        <v>8.1704272513004217E-2</v>
      </c>
      <c r="I10881" s="224" t="s">
        <v>2</v>
      </c>
    </row>
    <row r="10882" spans="1:9" x14ac:dyDescent="0.25">
      <c r="A10882" s="515">
        <v>95316</v>
      </c>
      <c r="B10882" s="515" t="s">
        <v>797</v>
      </c>
      <c r="C10882" s="52">
        <v>485053.336116302</v>
      </c>
      <c r="D10882" s="56">
        <v>1.9351121610564358E-2</v>
      </c>
      <c r="E10882" s="224" t="s">
        <v>2</v>
      </c>
      <c r="F10882" s="515" t="s">
        <v>12076</v>
      </c>
      <c r="G10882" s="52">
        <v>61679.954220787498</v>
      </c>
      <c r="H10882" s="56">
        <v>-1.1869736118172118E-2</v>
      </c>
      <c r="I10882" s="224" t="s">
        <v>2</v>
      </c>
    </row>
    <row r="10883" spans="1:9" x14ac:dyDescent="0.25">
      <c r="A10883" s="515">
        <v>55806</v>
      </c>
      <c r="B10883" s="515" t="s">
        <v>350</v>
      </c>
      <c r="C10883" s="52">
        <v>163920.02475869801</v>
      </c>
      <c r="D10883" s="56">
        <v>6.065011889343034E-2</v>
      </c>
      <c r="E10883" s="224" t="s">
        <v>2</v>
      </c>
      <c r="F10883" s="515" t="s">
        <v>12077</v>
      </c>
      <c r="G10883" s="52">
        <v>170994.179329404</v>
      </c>
      <c r="H10883" s="56">
        <v>8.8820769251967122E-2</v>
      </c>
      <c r="I10883" s="224" t="s">
        <v>2</v>
      </c>
    </row>
    <row r="10884" spans="1:9" x14ac:dyDescent="0.25">
      <c r="A10884" s="515">
        <v>97002</v>
      </c>
      <c r="B10884" s="515" t="s">
        <v>416</v>
      </c>
      <c r="C10884" s="52">
        <v>670738.049832933</v>
      </c>
      <c r="D10884" s="56">
        <v>4.6185585766937411E-2</v>
      </c>
      <c r="E10884" s="224" t="s">
        <v>2</v>
      </c>
      <c r="F10884" s="515" t="s">
        <v>12078</v>
      </c>
      <c r="G10884" s="52">
        <v>737041.64341702999</v>
      </c>
      <c r="H10884" s="56">
        <v>0.13809715799211403</v>
      </c>
      <c r="I10884" s="224" t="s">
        <v>2</v>
      </c>
    </row>
    <row r="10885" spans="1:9" x14ac:dyDescent="0.25">
      <c r="A10885" s="515">
        <v>49083</v>
      </c>
      <c r="B10885" s="515" t="s">
        <v>1037</v>
      </c>
      <c r="C10885" s="52">
        <v>316662.67724700202</v>
      </c>
      <c r="D10885" s="56">
        <v>4.7513726827968887E-2</v>
      </c>
      <c r="E10885" s="224" t="s">
        <v>2</v>
      </c>
      <c r="F10885" s="515" t="s">
        <v>12079</v>
      </c>
      <c r="G10885" s="52">
        <v>59352.253954883301</v>
      </c>
      <c r="H10885" s="56">
        <v>-0.17524139595158128</v>
      </c>
      <c r="I10885" s="224" t="s">
        <v>2</v>
      </c>
    </row>
    <row r="10886" spans="1:9" x14ac:dyDescent="0.25">
      <c r="A10886" s="515">
        <v>29479</v>
      </c>
      <c r="B10886" s="515" t="s">
        <v>1009</v>
      </c>
      <c r="C10886" s="52">
        <v>191004.39856614301</v>
      </c>
      <c r="D10886" s="56">
        <v>6.4747764942186342E-2</v>
      </c>
      <c r="E10886" s="224" t="s">
        <v>2</v>
      </c>
      <c r="F10886" s="515" t="s">
        <v>12080</v>
      </c>
      <c r="G10886" s="52">
        <v>152568.72260616999</v>
      </c>
      <c r="H10886" s="56">
        <v>0.12692839474503781</v>
      </c>
      <c r="I10886" s="224" t="s">
        <v>2</v>
      </c>
    </row>
    <row r="10887" spans="1:9" x14ac:dyDescent="0.25">
      <c r="A10887" s="515">
        <v>29847</v>
      </c>
      <c r="B10887" s="515" t="s">
        <v>888</v>
      </c>
      <c r="C10887" s="52">
        <v>148677.97450319701</v>
      </c>
      <c r="D10887" s="56">
        <v>8.4555402966604201E-2</v>
      </c>
      <c r="E10887" s="224" t="s">
        <v>2</v>
      </c>
      <c r="F10887" s="515" t="s">
        <v>12081</v>
      </c>
      <c r="G10887" s="52">
        <v>82957.340815893695</v>
      </c>
      <c r="H10887" s="56">
        <v>0.1097544442796665</v>
      </c>
      <c r="I10887" s="224" t="s">
        <v>2</v>
      </c>
    </row>
    <row r="10888" spans="1:9" x14ac:dyDescent="0.25">
      <c r="A10888" s="515">
        <v>53037</v>
      </c>
      <c r="B10888" s="515" t="s">
        <v>950</v>
      </c>
      <c r="C10888" s="52">
        <v>323576.02640606201</v>
      </c>
      <c r="D10888" s="56">
        <v>7.0555777353002239E-2</v>
      </c>
      <c r="E10888" s="224" t="s">
        <v>2</v>
      </c>
      <c r="F10888" s="515" t="s">
        <v>12082</v>
      </c>
      <c r="G10888" s="52">
        <v>97133.098187625103</v>
      </c>
      <c r="H10888" s="56">
        <v>6.899954685195131E-2</v>
      </c>
      <c r="I10888" s="224" t="s">
        <v>2</v>
      </c>
    </row>
    <row r="10889" spans="1:9" x14ac:dyDescent="0.25">
      <c r="A10889" s="515">
        <v>34433</v>
      </c>
      <c r="B10889" s="515" t="s">
        <v>1193</v>
      </c>
      <c r="C10889" s="52">
        <v>278647.093854782</v>
      </c>
      <c r="D10889" s="56">
        <v>0.12127786101456539</v>
      </c>
      <c r="E10889" s="224" t="s">
        <v>2</v>
      </c>
      <c r="F10889" s="515" t="s">
        <v>12083</v>
      </c>
      <c r="G10889" s="52">
        <v>121275.48002982201</v>
      </c>
      <c r="H10889" s="56">
        <v>3.0625017431672404E-2</v>
      </c>
      <c r="I10889" s="224" t="s">
        <v>2</v>
      </c>
    </row>
    <row r="10890" spans="1:9" x14ac:dyDescent="0.25">
      <c r="A10890" s="515">
        <v>8022</v>
      </c>
      <c r="B10890" s="515" t="s">
        <v>294</v>
      </c>
      <c r="C10890" s="52">
        <v>408615.89286280499</v>
      </c>
      <c r="D10890" s="56">
        <v>6.8124060384167781E-2</v>
      </c>
      <c r="E10890" s="224" t="s">
        <v>2</v>
      </c>
      <c r="F10890" s="515" t="s">
        <v>12084</v>
      </c>
      <c r="G10890" s="52">
        <v>138772.619209239</v>
      </c>
      <c r="H10890" s="56">
        <v>6.4964044857115572E-2</v>
      </c>
      <c r="I10890" s="224" t="s">
        <v>2</v>
      </c>
    </row>
    <row r="10891" spans="1:9" x14ac:dyDescent="0.25">
      <c r="A10891" s="515">
        <v>63107</v>
      </c>
      <c r="B10891" s="515" t="s">
        <v>498</v>
      </c>
      <c r="C10891" s="52"/>
      <c r="D10891" s="56">
        <v>0</v>
      </c>
      <c r="E10891" s="224" t="s">
        <v>2</v>
      </c>
      <c r="F10891" s="515" t="s">
        <v>12085</v>
      </c>
      <c r="G10891" s="52">
        <v>204134.39968355399</v>
      </c>
      <c r="H10891" s="56">
        <v>0.17708086933663614</v>
      </c>
      <c r="I10891" s="224" t="s">
        <v>2</v>
      </c>
    </row>
    <row r="10892" spans="1:9" x14ac:dyDescent="0.25">
      <c r="A10892" s="515">
        <v>41179</v>
      </c>
      <c r="C10892" s="52">
        <v>78587.574312663404</v>
      </c>
      <c r="D10892" s="56">
        <v>0.25119267424586039</v>
      </c>
      <c r="E10892" s="224" t="s">
        <v>2</v>
      </c>
      <c r="F10892" s="515" t="s">
        <v>12086</v>
      </c>
      <c r="G10892" s="52">
        <v>478950.74339281098</v>
      </c>
      <c r="H10892" s="56">
        <v>2.0671271141413521E-2</v>
      </c>
      <c r="I10892" s="224" t="s">
        <v>2</v>
      </c>
    </row>
    <row r="10893" spans="1:9" x14ac:dyDescent="0.25">
      <c r="A10893" s="515">
        <v>97383</v>
      </c>
      <c r="B10893" s="515" t="s">
        <v>416</v>
      </c>
      <c r="C10893" s="52">
        <v>408626.585478439</v>
      </c>
      <c r="D10893" s="56">
        <v>3.2138108392180897E-2</v>
      </c>
      <c r="E10893" s="224" t="s">
        <v>2</v>
      </c>
      <c r="F10893" s="515" t="s">
        <v>12087</v>
      </c>
      <c r="G10893" s="52">
        <v>165290.950626281</v>
      </c>
      <c r="H10893" s="56">
        <v>6.6409265889187719E-2</v>
      </c>
      <c r="I10893" s="224" t="s">
        <v>2</v>
      </c>
    </row>
    <row r="10894" spans="1:9" x14ac:dyDescent="0.25">
      <c r="A10894" s="515">
        <v>52742</v>
      </c>
      <c r="B10894" s="515" t="s">
        <v>330</v>
      </c>
      <c r="C10894" s="52">
        <v>232961.01523537</v>
      </c>
      <c r="D10894" s="56">
        <v>6.930888045984035E-2</v>
      </c>
      <c r="E10894" s="224" t="s">
        <v>2</v>
      </c>
      <c r="F10894" s="515" t="s">
        <v>12088</v>
      </c>
      <c r="G10894" s="52">
        <v>151090.11895208401</v>
      </c>
      <c r="H10894" s="56">
        <v>0.12865659036876625</v>
      </c>
      <c r="I10894" s="224" t="s">
        <v>2</v>
      </c>
    </row>
    <row r="10895" spans="1:9" x14ac:dyDescent="0.25">
      <c r="A10895" s="515">
        <v>52333</v>
      </c>
      <c r="B10895" s="515" t="s">
        <v>587</v>
      </c>
      <c r="C10895" s="52">
        <v>358838.77442494303</v>
      </c>
      <c r="D10895" s="56">
        <v>9.3442871911625577E-2</v>
      </c>
      <c r="E10895" s="224" t="s">
        <v>2</v>
      </c>
      <c r="F10895" s="515" t="s">
        <v>12089</v>
      </c>
      <c r="G10895" s="52">
        <v>143175.760997212</v>
      </c>
      <c r="H10895" s="56">
        <v>8.7653045523740387E-3</v>
      </c>
      <c r="I10895" s="224" t="s">
        <v>2</v>
      </c>
    </row>
    <row r="10896" spans="1:9" x14ac:dyDescent="0.25">
      <c r="A10896" s="515">
        <v>52349</v>
      </c>
      <c r="B10896" s="515" t="s">
        <v>404</v>
      </c>
      <c r="C10896" s="52">
        <v>167818.68438582</v>
      </c>
      <c r="D10896" s="56">
        <v>7.8087120931428916E-2</v>
      </c>
      <c r="E10896" s="224" t="s">
        <v>2</v>
      </c>
      <c r="F10896" s="515" t="s">
        <v>12090</v>
      </c>
      <c r="G10896" s="52">
        <v>250809.442110987</v>
      </c>
      <c r="H10896" s="56">
        <v>0.16187285452329733</v>
      </c>
      <c r="I10896" s="224" t="s">
        <v>2</v>
      </c>
    </row>
    <row r="10897" spans="1:9" x14ac:dyDescent="0.25">
      <c r="A10897" s="515">
        <v>53551</v>
      </c>
      <c r="B10897" s="515" t="s">
        <v>1085</v>
      </c>
      <c r="C10897" s="52">
        <v>326051.25576630799</v>
      </c>
      <c r="D10897" s="56">
        <v>5.919058717382835E-2</v>
      </c>
      <c r="E10897" s="224" t="s">
        <v>2</v>
      </c>
      <c r="F10897" s="515" t="s">
        <v>12091</v>
      </c>
      <c r="G10897" s="52">
        <v>130026.040448011</v>
      </c>
      <c r="H10897" s="56">
        <v>-5.0322024773478392E-2</v>
      </c>
      <c r="I10897" s="224" t="s">
        <v>2</v>
      </c>
    </row>
    <row r="10898" spans="1:9" x14ac:dyDescent="0.25">
      <c r="A10898" s="515">
        <v>6762</v>
      </c>
      <c r="B10898" s="515" t="s">
        <v>1172</v>
      </c>
      <c r="C10898" s="52">
        <v>433343.76241695002</v>
      </c>
      <c r="D10898" s="56">
        <v>0.10315517214348768</v>
      </c>
      <c r="E10898" s="224" t="s">
        <v>2</v>
      </c>
      <c r="F10898" s="515" t="s">
        <v>12092</v>
      </c>
      <c r="G10898" s="52">
        <v>60541.957789496802</v>
      </c>
      <c r="H10898" s="56">
        <v>0.33607872143374595</v>
      </c>
      <c r="I10898" s="224" t="s">
        <v>2</v>
      </c>
    </row>
    <row r="10899" spans="1:9" x14ac:dyDescent="0.25">
      <c r="A10899" s="515">
        <v>56265</v>
      </c>
      <c r="C10899" s="52">
        <v>165196.947869903</v>
      </c>
      <c r="D10899" s="56">
        <v>4.9092566768163252E-2</v>
      </c>
      <c r="E10899" s="224" t="s">
        <v>2</v>
      </c>
      <c r="F10899" s="515" t="s">
        <v>12093</v>
      </c>
      <c r="G10899" s="52">
        <v>528358.12500437896</v>
      </c>
      <c r="H10899" s="56">
        <v>5.9324150989531678E-2</v>
      </c>
      <c r="I10899" s="224" t="s">
        <v>2</v>
      </c>
    </row>
    <row r="10900" spans="1:9" x14ac:dyDescent="0.25">
      <c r="A10900" s="515">
        <v>12540</v>
      </c>
      <c r="B10900" s="515" t="s">
        <v>529</v>
      </c>
      <c r="C10900" s="52">
        <v>467729.75847108098</v>
      </c>
      <c r="D10900" s="56">
        <v>7.1754211967566775E-2</v>
      </c>
      <c r="E10900" s="224" t="s">
        <v>2</v>
      </c>
      <c r="F10900" s="515" t="s">
        <v>12094</v>
      </c>
      <c r="G10900" s="52">
        <v>230578.87314194499</v>
      </c>
      <c r="H10900" s="56">
        <v>5.711676550473177E-2</v>
      </c>
      <c r="I10900" s="224" t="s">
        <v>2</v>
      </c>
    </row>
    <row r="10901" spans="1:9" x14ac:dyDescent="0.25">
      <c r="A10901" s="515">
        <v>87901</v>
      </c>
      <c r="C10901" s="52">
        <v>123878.99732146801</v>
      </c>
      <c r="D10901" s="56">
        <v>8.1643931187645791E-2</v>
      </c>
      <c r="E10901" s="224" t="s">
        <v>2</v>
      </c>
      <c r="F10901" s="515" t="s">
        <v>12095</v>
      </c>
      <c r="G10901" s="52">
        <v>239988.81230063099</v>
      </c>
      <c r="H10901" s="56">
        <v>6.7306959671223326E-2</v>
      </c>
      <c r="I10901" s="224" t="s">
        <v>2</v>
      </c>
    </row>
    <row r="10902" spans="1:9" x14ac:dyDescent="0.25">
      <c r="A10902" s="515">
        <v>65043</v>
      </c>
      <c r="B10902" s="515" t="s">
        <v>711</v>
      </c>
      <c r="C10902" s="52">
        <v>223897.39450922099</v>
      </c>
      <c r="D10902" s="56">
        <v>5.5345744953503563E-2</v>
      </c>
      <c r="E10902" s="224" t="s">
        <v>2</v>
      </c>
      <c r="F10902" s="515" t="s">
        <v>12096</v>
      </c>
      <c r="G10902" s="52">
        <v>230971.045642932</v>
      </c>
      <c r="H10902" s="56">
        <v>5.52124720498577E-2</v>
      </c>
      <c r="I10902" s="224" t="s">
        <v>2</v>
      </c>
    </row>
    <row r="10903" spans="1:9" x14ac:dyDescent="0.25">
      <c r="A10903" s="515">
        <v>34949</v>
      </c>
      <c r="B10903" s="515" t="s">
        <v>1180</v>
      </c>
      <c r="C10903" s="52">
        <v>460177.07592842099</v>
      </c>
      <c r="D10903" s="56">
        <v>0.15731322196309017</v>
      </c>
      <c r="E10903" s="224">
        <v>3383.3333333333298</v>
      </c>
      <c r="F10903" s="515" t="s">
        <v>12097</v>
      </c>
      <c r="G10903" s="52">
        <v>289881.29087864701</v>
      </c>
      <c r="H10903" s="56">
        <v>0.15428398052468839</v>
      </c>
      <c r="I10903" s="224" t="s">
        <v>2</v>
      </c>
    </row>
    <row r="10904" spans="1:9" x14ac:dyDescent="0.25">
      <c r="A10904" s="515">
        <v>30566</v>
      </c>
      <c r="B10904" s="515" t="s">
        <v>1102</v>
      </c>
      <c r="C10904" s="52">
        <v>283372.45578256302</v>
      </c>
      <c r="D10904" s="56">
        <v>0.1253907543829694</v>
      </c>
      <c r="E10904" s="224" t="s">
        <v>2</v>
      </c>
      <c r="F10904" s="515" t="s">
        <v>12098</v>
      </c>
      <c r="G10904" s="52">
        <v>139472.55828872099</v>
      </c>
      <c r="H10904" s="56">
        <v>7.3092464496508802E-2</v>
      </c>
      <c r="I10904" s="224" t="s">
        <v>2</v>
      </c>
    </row>
    <row r="10905" spans="1:9" x14ac:dyDescent="0.25">
      <c r="A10905" s="515">
        <v>30175</v>
      </c>
      <c r="B10905" s="515" t="s">
        <v>957</v>
      </c>
      <c r="C10905" s="52">
        <v>300983.48023622303</v>
      </c>
      <c r="D10905" s="56">
        <v>5.1264232010047421E-2</v>
      </c>
      <c r="E10905" s="224" t="s">
        <v>2</v>
      </c>
      <c r="F10905" s="515" t="s">
        <v>12099</v>
      </c>
      <c r="G10905" s="52">
        <v>118416.141414435</v>
      </c>
      <c r="H10905" s="56">
        <v>0.18371702448639277</v>
      </c>
      <c r="I10905" s="224" t="s">
        <v>2</v>
      </c>
    </row>
    <row r="10906" spans="1:9" x14ac:dyDescent="0.25">
      <c r="A10906" s="515">
        <v>12204</v>
      </c>
      <c r="B10906" s="515" t="s">
        <v>609</v>
      </c>
      <c r="C10906" s="52">
        <v>264321.58897039399</v>
      </c>
      <c r="D10906" s="56">
        <v>5.1600136263315478E-2</v>
      </c>
      <c r="E10906" s="224" t="s">
        <v>2</v>
      </c>
      <c r="F10906" s="515" t="s">
        <v>12100</v>
      </c>
      <c r="G10906" s="52">
        <v>133628.66031027699</v>
      </c>
      <c r="H10906" s="56">
        <v>5.4809936875257412E-2</v>
      </c>
      <c r="I10906" s="224" t="s">
        <v>2</v>
      </c>
    </row>
    <row r="10907" spans="1:9" x14ac:dyDescent="0.25">
      <c r="A10907" s="515">
        <v>14903</v>
      </c>
      <c r="B10907" s="515" t="s">
        <v>724</v>
      </c>
      <c r="C10907" s="52">
        <v>132300.28306570899</v>
      </c>
      <c r="D10907" s="56">
        <v>6.8492934148105838E-2</v>
      </c>
      <c r="E10907" s="224" t="s">
        <v>2</v>
      </c>
      <c r="F10907" s="515" t="s">
        <v>12101</v>
      </c>
      <c r="G10907" s="52">
        <v>209207.02094325901</v>
      </c>
      <c r="H10907" s="56">
        <v>0.1298561865767906</v>
      </c>
      <c r="I10907" s="224" t="s">
        <v>2</v>
      </c>
    </row>
    <row r="10908" spans="1:9" x14ac:dyDescent="0.25">
      <c r="A10908" s="515">
        <v>5482</v>
      </c>
      <c r="B10908" s="515" t="s">
        <v>441</v>
      </c>
      <c r="C10908" s="52">
        <v>581325.35781698895</v>
      </c>
      <c r="D10908" s="56">
        <v>5.7839555136795041E-2</v>
      </c>
      <c r="E10908" s="224" t="s">
        <v>2</v>
      </c>
      <c r="F10908" s="515" t="s">
        <v>12102</v>
      </c>
      <c r="G10908" s="52">
        <v>222551.29081711301</v>
      </c>
      <c r="H10908" s="56">
        <v>4.8938146670971364E-2</v>
      </c>
      <c r="I10908" s="224" t="s">
        <v>2</v>
      </c>
    </row>
    <row r="10909" spans="1:9" x14ac:dyDescent="0.25">
      <c r="A10909" s="515">
        <v>90290</v>
      </c>
      <c r="B10909" s="515" t="s">
        <v>375</v>
      </c>
      <c r="C10909" s="52">
        <v>1515917.0427632399</v>
      </c>
      <c r="D10909" s="56">
        <v>1.5779443968891482E-2</v>
      </c>
      <c r="E10909" s="224">
        <v>6500</v>
      </c>
      <c r="F10909" s="515" t="s">
        <v>12103</v>
      </c>
      <c r="G10909" s="52">
        <v>315221.39859251102</v>
      </c>
      <c r="H10909" s="56">
        <v>5.0637261874429074E-2</v>
      </c>
      <c r="I10909" s="224" t="s">
        <v>2</v>
      </c>
    </row>
    <row r="10910" spans="1:9" x14ac:dyDescent="0.25">
      <c r="A10910" s="515">
        <v>36856</v>
      </c>
      <c r="B10910" s="515" t="s">
        <v>778</v>
      </c>
      <c r="C10910" s="52">
        <v>271431.01320813101</v>
      </c>
      <c r="D10910" s="56">
        <v>7.2370933655801717E-2</v>
      </c>
      <c r="E10910" s="224" t="s">
        <v>2</v>
      </c>
      <c r="F10910" s="515" t="s">
        <v>12104</v>
      </c>
      <c r="G10910" s="52">
        <v>290585.96354308398</v>
      </c>
      <c r="H10910" s="56">
        <v>6.7911970178852102E-2</v>
      </c>
      <c r="I10910" s="224" t="s">
        <v>2</v>
      </c>
    </row>
    <row r="10911" spans="1:9" x14ac:dyDescent="0.25">
      <c r="A10911" s="515">
        <v>98620</v>
      </c>
      <c r="C10911" s="52">
        <v>298126.55792253802</v>
      </c>
      <c r="D10911" s="56">
        <v>3.6223399103726413E-2</v>
      </c>
      <c r="E10911" s="224" t="s">
        <v>2</v>
      </c>
      <c r="F10911" s="515" t="s">
        <v>12105</v>
      </c>
      <c r="G10911" s="52">
        <v>666565.11806257803</v>
      </c>
      <c r="H10911" s="56">
        <v>-5.2953570081572574E-2</v>
      </c>
      <c r="I10911" s="224" t="s">
        <v>2</v>
      </c>
    </row>
    <row r="10912" spans="1:9" x14ac:dyDescent="0.25">
      <c r="A10912" s="515">
        <v>30108</v>
      </c>
      <c r="B10912" s="515" t="s">
        <v>957</v>
      </c>
      <c r="C10912" s="52">
        <v>218968.744159325</v>
      </c>
      <c r="D10912" s="56">
        <v>0.16507354567331362</v>
      </c>
      <c r="E10912" s="224" t="s">
        <v>2</v>
      </c>
      <c r="F10912" s="515" t="s">
        <v>12106</v>
      </c>
      <c r="G10912" s="52">
        <v>254485.33748129901</v>
      </c>
      <c r="H10912" s="56">
        <v>8.0025683162813915E-2</v>
      </c>
      <c r="I10912" s="224" t="s">
        <v>2</v>
      </c>
    </row>
    <row r="10913" spans="1:9" x14ac:dyDescent="0.25">
      <c r="A10913" s="515">
        <v>49930</v>
      </c>
      <c r="B10913" s="515" t="s">
        <v>462</v>
      </c>
      <c r="C10913" s="52">
        <v>156043.10260112601</v>
      </c>
      <c r="D10913" s="56">
        <v>6.6965739816409811E-2</v>
      </c>
      <c r="E10913" s="224" t="s">
        <v>2</v>
      </c>
      <c r="F10913" s="515" t="s">
        <v>12107</v>
      </c>
      <c r="G10913" s="52">
        <v>132735.613849188</v>
      </c>
      <c r="H10913" s="56">
        <v>1.3146010856949567E-2</v>
      </c>
      <c r="I10913" s="224" t="s">
        <v>2</v>
      </c>
    </row>
    <row r="10914" spans="1:9" x14ac:dyDescent="0.25">
      <c r="A10914" s="515">
        <v>7649</v>
      </c>
      <c r="B10914" s="515" t="s">
        <v>324</v>
      </c>
      <c r="C10914" s="52">
        <v>718114.94264515198</v>
      </c>
      <c r="D10914" s="56">
        <v>3.6701807674840874E-2</v>
      </c>
      <c r="E10914" s="224" t="s">
        <v>2</v>
      </c>
      <c r="F10914" s="515" t="s">
        <v>12108</v>
      </c>
      <c r="G10914" s="52">
        <v>448968.634270726</v>
      </c>
      <c r="H10914" s="56">
        <v>0.10572009979226168</v>
      </c>
      <c r="I10914" s="224" t="s">
        <v>2</v>
      </c>
    </row>
    <row r="10915" spans="1:9" x14ac:dyDescent="0.25">
      <c r="A10915" s="515">
        <v>94515</v>
      </c>
      <c r="B10915" s="515" t="s">
        <v>914</v>
      </c>
      <c r="C10915" s="52">
        <v>1034304.84504236</v>
      </c>
      <c r="D10915" s="56">
        <v>-3.1950139379015578E-2</v>
      </c>
      <c r="E10915" s="224">
        <v>3400</v>
      </c>
      <c r="F10915" s="515" t="s">
        <v>12109</v>
      </c>
      <c r="G10915" s="52">
        <v>476529.04615110997</v>
      </c>
      <c r="H10915" s="56">
        <v>-6.2603476127561378E-3</v>
      </c>
      <c r="I10915" s="224" t="s">
        <v>2</v>
      </c>
    </row>
    <row r="10916" spans="1:9" x14ac:dyDescent="0.25">
      <c r="A10916" s="515">
        <v>29666</v>
      </c>
      <c r="B10916" s="515" t="s">
        <v>1075</v>
      </c>
      <c r="C10916" s="52">
        <v>130128.733054763</v>
      </c>
      <c r="D10916" s="56">
        <v>0.11184279954312472</v>
      </c>
      <c r="E10916" s="224" t="s">
        <v>2</v>
      </c>
      <c r="F10916" s="515" t="s">
        <v>12110</v>
      </c>
      <c r="G10916" s="52">
        <v>199297.66250249301</v>
      </c>
      <c r="H10916" s="56">
        <v>0.19144057549049945</v>
      </c>
      <c r="I10916" s="224" t="s">
        <v>2</v>
      </c>
    </row>
    <row r="10917" spans="1:9" x14ac:dyDescent="0.25">
      <c r="A10917" s="515">
        <v>21219</v>
      </c>
      <c r="B10917" s="515" t="s">
        <v>582</v>
      </c>
      <c r="C10917" s="52">
        <v>340830.84784939297</v>
      </c>
      <c r="D10917" s="56">
        <v>5.4194027846686012E-2</v>
      </c>
      <c r="E10917" s="224" t="s">
        <v>2</v>
      </c>
      <c r="F10917" s="515" t="s">
        <v>12111</v>
      </c>
      <c r="G10917" s="52">
        <v>261609.65499005301</v>
      </c>
      <c r="H10917" s="56">
        <v>0.14930514580598789</v>
      </c>
      <c r="I10917" s="224" t="s">
        <v>2</v>
      </c>
    </row>
    <row r="10918" spans="1:9" x14ac:dyDescent="0.25">
      <c r="A10918" s="515">
        <v>95222</v>
      </c>
      <c r="C10918" s="52">
        <v>435277.02621057298</v>
      </c>
      <c r="D10918" s="56">
        <v>-1.5693483971666533E-2</v>
      </c>
      <c r="E10918" s="224" t="s">
        <v>2</v>
      </c>
      <c r="F10918" s="515" t="s">
        <v>12112</v>
      </c>
      <c r="G10918" s="52">
        <v>97286.2600088037</v>
      </c>
      <c r="H10918" s="56">
        <v>6.7351299968542245E-3</v>
      </c>
      <c r="I10918" s="224" t="s">
        <v>2</v>
      </c>
    </row>
    <row r="10919" spans="1:9" x14ac:dyDescent="0.25">
      <c r="A10919" s="515">
        <v>37686</v>
      </c>
      <c r="B10919" s="515" t="s">
        <v>902</v>
      </c>
      <c r="C10919" s="52">
        <v>309252.97809708299</v>
      </c>
      <c r="D10919" s="56">
        <v>9.2120416895383028E-2</v>
      </c>
      <c r="E10919" s="224" t="s">
        <v>2</v>
      </c>
      <c r="F10919" s="515" t="s">
        <v>12113</v>
      </c>
      <c r="G10919" s="52">
        <v>74938.019869409996</v>
      </c>
      <c r="H10919" s="56">
        <v>0.18794423073428551</v>
      </c>
      <c r="I10919" s="224" t="s">
        <v>2</v>
      </c>
    </row>
    <row r="10920" spans="1:9" x14ac:dyDescent="0.25">
      <c r="A10920" s="515">
        <v>25304</v>
      </c>
      <c r="B10920" s="515" t="s">
        <v>322</v>
      </c>
      <c r="C10920" s="52">
        <v>192645.33836693101</v>
      </c>
      <c r="D10920" s="56">
        <v>6.1363039690643245E-2</v>
      </c>
      <c r="E10920" s="224" t="s">
        <v>2</v>
      </c>
      <c r="F10920" s="515" t="s">
        <v>12114</v>
      </c>
      <c r="G10920" s="52">
        <v>273208.638307582</v>
      </c>
      <c r="H10920" s="56">
        <v>0.15894534327053464</v>
      </c>
      <c r="I10920" s="224" t="s">
        <v>2</v>
      </c>
    </row>
    <row r="10921" spans="1:9" x14ac:dyDescent="0.25">
      <c r="A10921" s="515">
        <v>71373</v>
      </c>
      <c r="B10921" s="515" t="s">
        <v>1081</v>
      </c>
      <c r="C10921" s="52">
        <v>112915.301732844</v>
      </c>
      <c r="D10921" s="56">
        <v>8.6949440477654561E-3</v>
      </c>
      <c r="E10921" s="224" t="s">
        <v>2</v>
      </c>
      <c r="F10921" s="515" t="s">
        <v>12115</v>
      </c>
      <c r="G10921" s="52">
        <v>142881.03543639</v>
      </c>
      <c r="H10921" s="56">
        <v>7.6285833620139409E-2</v>
      </c>
      <c r="I10921" s="224" t="s">
        <v>2</v>
      </c>
    </row>
    <row r="10922" spans="1:9" x14ac:dyDescent="0.25">
      <c r="A10922" s="515">
        <v>72476</v>
      </c>
      <c r="C10922" s="52">
        <v>98765.092415753796</v>
      </c>
      <c r="D10922" s="56">
        <v>5.1306496172675055E-2</v>
      </c>
      <c r="E10922" s="224" t="s">
        <v>2</v>
      </c>
      <c r="F10922" s="515" t="s">
        <v>12116</v>
      </c>
      <c r="G10922" s="52">
        <v>174594.38177438101</v>
      </c>
      <c r="H10922" s="56">
        <v>5.1235522834130055E-2</v>
      </c>
      <c r="I10922" s="224" t="s">
        <v>2</v>
      </c>
    </row>
    <row r="10923" spans="1:9" x14ac:dyDescent="0.25">
      <c r="A10923" s="515">
        <v>35622</v>
      </c>
      <c r="B10923" s="515" t="s">
        <v>1007</v>
      </c>
      <c r="C10923" s="52">
        <v>165595.78356540899</v>
      </c>
      <c r="D10923" s="56">
        <v>3.1119468921974293E-2</v>
      </c>
      <c r="E10923" s="224" t="s">
        <v>2</v>
      </c>
      <c r="F10923" s="515" t="s">
        <v>12117</v>
      </c>
      <c r="G10923" s="52">
        <v>127947.341345847</v>
      </c>
      <c r="H10923" s="56">
        <v>-1.5944900861797822E-2</v>
      </c>
      <c r="I10923" s="224" t="s">
        <v>2</v>
      </c>
    </row>
    <row r="10924" spans="1:9" x14ac:dyDescent="0.25">
      <c r="A10924" s="515">
        <v>86429</v>
      </c>
      <c r="B10924" s="515" t="s">
        <v>453</v>
      </c>
      <c r="C10924" s="52">
        <v>368617.82343906298</v>
      </c>
      <c r="D10924" s="56">
        <v>4.6489834444324127E-2</v>
      </c>
      <c r="E10924" s="224" t="s">
        <v>2</v>
      </c>
      <c r="F10924" s="515" t="s">
        <v>12118</v>
      </c>
      <c r="G10924" s="52"/>
      <c r="H10924" s="56">
        <v>0</v>
      </c>
      <c r="I10924" s="224" t="s">
        <v>2</v>
      </c>
    </row>
    <row r="10925" spans="1:9" x14ac:dyDescent="0.25">
      <c r="A10925" s="515">
        <v>36104</v>
      </c>
      <c r="B10925" s="515" t="s">
        <v>806</v>
      </c>
      <c r="C10925" s="52">
        <v>47324.463126367198</v>
      </c>
      <c r="D10925" s="56">
        <v>0.12146010280954746</v>
      </c>
      <c r="E10925" s="224">
        <v>1493</v>
      </c>
      <c r="F10925" s="515" t="s">
        <v>12119</v>
      </c>
      <c r="G10925" s="52">
        <v>252339.48670387501</v>
      </c>
      <c r="H10925" s="56">
        <v>0.1071411291521028</v>
      </c>
      <c r="I10925" s="224" t="s">
        <v>2</v>
      </c>
    </row>
    <row r="10926" spans="1:9" x14ac:dyDescent="0.25">
      <c r="A10926" s="515">
        <v>98354</v>
      </c>
      <c r="B10926" s="515" t="s">
        <v>384</v>
      </c>
      <c r="C10926" s="52">
        <v>525621.81926995295</v>
      </c>
      <c r="D10926" s="56">
        <v>3.0877357740249085E-2</v>
      </c>
      <c r="E10926" s="224">
        <v>1955.7777777777701</v>
      </c>
      <c r="F10926" s="515" t="s">
        <v>12120</v>
      </c>
      <c r="G10926" s="52">
        <v>180229.148528969</v>
      </c>
      <c r="H10926" s="56">
        <v>0.12028294988672032</v>
      </c>
      <c r="I10926" s="224" t="s">
        <v>2</v>
      </c>
    </row>
    <row r="10927" spans="1:9" x14ac:dyDescent="0.25">
      <c r="A10927" s="515">
        <v>51041</v>
      </c>
      <c r="C10927" s="52">
        <v>244753.57453360601</v>
      </c>
      <c r="D10927" s="56">
        <v>6.1924053043118737E-2</v>
      </c>
      <c r="E10927" s="224" t="s">
        <v>2</v>
      </c>
      <c r="F10927" s="515" t="s">
        <v>12121</v>
      </c>
      <c r="G10927" s="52">
        <v>367638.88085280597</v>
      </c>
      <c r="H10927" s="56">
        <v>2.2714042339319555E-2</v>
      </c>
      <c r="I10927" s="224" t="s">
        <v>2</v>
      </c>
    </row>
    <row r="10928" spans="1:9" x14ac:dyDescent="0.25">
      <c r="A10928" s="515">
        <v>29449</v>
      </c>
      <c r="B10928" s="515" t="s">
        <v>1009</v>
      </c>
      <c r="C10928" s="52">
        <v>444437.14041137201</v>
      </c>
      <c r="D10928" s="56">
        <v>0.14713234661894883</v>
      </c>
      <c r="E10928" s="224" t="s">
        <v>2</v>
      </c>
      <c r="F10928" s="515" t="s">
        <v>12122</v>
      </c>
      <c r="G10928" s="52">
        <v>159284.334693877</v>
      </c>
      <c r="H10928" s="56">
        <v>0</v>
      </c>
      <c r="I10928" s="224" t="s">
        <v>2</v>
      </c>
    </row>
    <row r="10929" spans="1:9" x14ac:dyDescent="0.25">
      <c r="A10929" s="515">
        <v>48455</v>
      </c>
      <c r="B10929" s="515" t="s">
        <v>685</v>
      </c>
      <c r="C10929" s="52">
        <v>347833.374641306</v>
      </c>
      <c r="D10929" s="56">
        <v>1.427328639200761E-2</v>
      </c>
      <c r="E10929" s="224" t="s">
        <v>2</v>
      </c>
      <c r="F10929" s="515" t="s">
        <v>12123</v>
      </c>
      <c r="G10929" s="52">
        <v>406881.09450434602</v>
      </c>
      <c r="H10929" s="56">
        <v>-3.7222043324213458E-2</v>
      </c>
      <c r="I10929" s="224" t="s">
        <v>2</v>
      </c>
    </row>
    <row r="10930" spans="1:9" x14ac:dyDescent="0.25">
      <c r="A10930" s="515">
        <v>70748</v>
      </c>
      <c r="B10930" s="515" t="s">
        <v>610</v>
      </c>
      <c r="C10930" s="52">
        <v>154942.047621248</v>
      </c>
      <c r="D10930" s="56">
        <v>-9.1460631081458034E-4</v>
      </c>
      <c r="E10930" s="224" t="s">
        <v>2</v>
      </c>
      <c r="F10930" s="515" t="s">
        <v>12124</v>
      </c>
      <c r="G10930" s="52">
        <v>102003.424906555</v>
      </c>
      <c r="H10930" s="56">
        <v>9.1313871080835537E-2</v>
      </c>
      <c r="I10930" s="224" t="s">
        <v>2</v>
      </c>
    </row>
    <row r="10931" spans="1:9" x14ac:dyDescent="0.25">
      <c r="A10931" s="515">
        <v>18078</v>
      </c>
      <c r="B10931" s="515" t="s">
        <v>327</v>
      </c>
      <c r="C10931" s="52">
        <v>398998.73037932499</v>
      </c>
      <c r="D10931" s="56">
        <v>7.0629273992759256E-2</v>
      </c>
      <c r="E10931" s="224" t="s">
        <v>2</v>
      </c>
      <c r="F10931" s="515" t="s">
        <v>12125</v>
      </c>
      <c r="G10931" s="52">
        <v>153881.68659280799</v>
      </c>
      <c r="H10931" s="56">
        <v>7.2919800288844885E-2</v>
      </c>
      <c r="I10931" s="224" t="s">
        <v>2</v>
      </c>
    </row>
    <row r="10932" spans="1:9" x14ac:dyDescent="0.25">
      <c r="A10932" s="515">
        <v>66749</v>
      </c>
      <c r="C10932" s="52">
        <v>85079.159954834598</v>
      </c>
      <c r="D10932" s="56">
        <v>7.1858863569822337E-2</v>
      </c>
      <c r="E10932" s="224" t="s">
        <v>2</v>
      </c>
      <c r="F10932" s="515" t="s">
        <v>12126</v>
      </c>
      <c r="G10932" s="52">
        <v>265168.55913335498</v>
      </c>
      <c r="H10932" s="56">
        <v>9.1694867797708968E-2</v>
      </c>
      <c r="I10932" s="224" t="s">
        <v>2</v>
      </c>
    </row>
    <row r="10933" spans="1:9" x14ac:dyDescent="0.25">
      <c r="A10933" s="515">
        <v>3865</v>
      </c>
      <c r="B10933" s="515" t="s">
        <v>534</v>
      </c>
      <c r="C10933" s="52">
        <v>445438.58283050498</v>
      </c>
      <c r="D10933" s="56">
        <v>0.11436751628116019</v>
      </c>
      <c r="E10933" s="224" t="s">
        <v>2</v>
      </c>
      <c r="F10933" s="515" t="s">
        <v>12127</v>
      </c>
      <c r="G10933" s="52">
        <v>289153.05859470699</v>
      </c>
      <c r="H10933" s="56">
        <v>8.6296993083316911E-2</v>
      </c>
      <c r="I10933" s="224" t="s">
        <v>2</v>
      </c>
    </row>
    <row r="10934" spans="1:9" x14ac:dyDescent="0.25">
      <c r="A10934" s="515">
        <v>56472</v>
      </c>
      <c r="B10934" s="515" t="s">
        <v>674</v>
      </c>
      <c r="C10934" s="52">
        <v>334609.44388879603</v>
      </c>
      <c r="D10934" s="56">
        <v>0.11101052549628405</v>
      </c>
      <c r="E10934" s="224" t="s">
        <v>2</v>
      </c>
      <c r="F10934" s="515" t="s">
        <v>12128</v>
      </c>
      <c r="G10934" s="52">
        <v>109801.398543995</v>
      </c>
      <c r="H10934" s="56">
        <v>0.1318773375131507</v>
      </c>
      <c r="I10934" s="224" t="s">
        <v>2</v>
      </c>
    </row>
    <row r="10935" spans="1:9" x14ac:dyDescent="0.25">
      <c r="A10935" s="515">
        <v>3901</v>
      </c>
      <c r="B10935" s="515" t="s">
        <v>570</v>
      </c>
      <c r="C10935" s="52">
        <v>391919.21634677501</v>
      </c>
      <c r="D10935" s="56">
        <v>5.5990027958928205E-2</v>
      </c>
      <c r="E10935" s="224" t="s">
        <v>2</v>
      </c>
      <c r="F10935" s="515" t="s">
        <v>12129</v>
      </c>
      <c r="G10935" s="52">
        <v>225723.73333092799</v>
      </c>
      <c r="H10935" s="56">
        <v>0.18898581368685055</v>
      </c>
      <c r="I10935" s="224" t="s">
        <v>2</v>
      </c>
    </row>
    <row r="10936" spans="1:9" x14ac:dyDescent="0.25">
      <c r="A10936" s="515">
        <v>76642</v>
      </c>
      <c r="C10936" s="52">
        <v>177227.73486377799</v>
      </c>
      <c r="D10936" s="56">
        <v>6.8407476555724295E-2</v>
      </c>
      <c r="E10936" s="224" t="s">
        <v>2</v>
      </c>
      <c r="F10936" s="515" t="s">
        <v>12130</v>
      </c>
      <c r="G10936" s="52">
        <v>146676.05299740599</v>
      </c>
      <c r="H10936" s="56">
        <v>6.0542656977847054E-2</v>
      </c>
      <c r="I10936" s="224" t="s">
        <v>2</v>
      </c>
    </row>
    <row r="10937" spans="1:9" x14ac:dyDescent="0.25">
      <c r="A10937" s="515">
        <v>7924</v>
      </c>
      <c r="B10937" s="515" t="s">
        <v>324</v>
      </c>
      <c r="C10937" s="52">
        <v>780501.91549743596</v>
      </c>
      <c r="D10937" s="56">
        <v>7.7607341772940486E-2</v>
      </c>
      <c r="E10937" s="224" t="s">
        <v>2</v>
      </c>
      <c r="F10937" s="515" t="s">
        <v>12131</v>
      </c>
      <c r="G10937" s="52">
        <v>129266.819171208</v>
      </c>
      <c r="H10937" s="56">
        <v>8.8942956008208937E-2</v>
      </c>
      <c r="I10937" s="224" t="s">
        <v>2</v>
      </c>
    </row>
    <row r="10938" spans="1:9" x14ac:dyDescent="0.25">
      <c r="A10938" s="515">
        <v>70420</v>
      </c>
      <c r="B10938" s="515" t="s">
        <v>777</v>
      </c>
      <c r="C10938" s="52">
        <v>253491.14041216901</v>
      </c>
      <c r="D10938" s="56">
        <v>4.0415893067862557E-2</v>
      </c>
      <c r="E10938" s="224" t="s">
        <v>2</v>
      </c>
      <c r="F10938" s="515" t="s">
        <v>12132</v>
      </c>
      <c r="G10938" s="52">
        <v>177832.29033138801</v>
      </c>
      <c r="H10938" s="56">
        <v>0.14808815787001667</v>
      </c>
      <c r="I10938" s="224" t="s">
        <v>2</v>
      </c>
    </row>
    <row r="10939" spans="1:9" x14ac:dyDescent="0.25">
      <c r="A10939" s="515">
        <v>1220</v>
      </c>
      <c r="B10939" s="515" t="s">
        <v>497</v>
      </c>
      <c r="C10939" s="52">
        <v>215707.58815082899</v>
      </c>
      <c r="D10939" s="56">
        <v>0.1109746449371936</v>
      </c>
      <c r="E10939" s="224" t="s">
        <v>2</v>
      </c>
      <c r="F10939" s="515" t="s">
        <v>12133</v>
      </c>
      <c r="G10939" s="52">
        <v>146963.21098881599</v>
      </c>
      <c r="H10939" s="56">
        <v>-1.7395300599087025E-2</v>
      </c>
      <c r="I10939" s="224" t="s">
        <v>2</v>
      </c>
    </row>
    <row r="10940" spans="1:9" x14ac:dyDescent="0.25">
      <c r="A10940" s="515">
        <v>35044</v>
      </c>
      <c r="B10940" s="515" t="s">
        <v>523</v>
      </c>
      <c r="C10940" s="52">
        <v>154572.36070004801</v>
      </c>
      <c r="D10940" s="56">
        <v>3.44276267636488E-2</v>
      </c>
      <c r="E10940" s="224" t="s">
        <v>2</v>
      </c>
      <c r="F10940" s="515" t="s">
        <v>12134</v>
      </c>
      <c r="G10940" s="52">
        <v>234940.91501832599</v>
      </c>
      <c r="H10940" s="56">
        <v>4.6387863121709026E-2</v>
      </c>
      <c r="I10940" s="224" t="s">
        <v>2</v>
      </c>
    </row>
    <row r="10941" spans="1:9" x14ac:dyDescent="0.25">
      <c r="A10941" s="515">
        <v>8102</v>
      </c>
      <c r="B10941" s="515" t="s">
        <v>294</v>
      </c>
      <c r="C10941" s="52">
        <v>84764.478737471407</v>
      </c>
      <c r="D10941" s="56">
        <v>9.9436947082964938E-2</v>
      </c>
      <c r="E10941" s="224" t="s">
        <v>2</v>
      </c>
      <c r="F10941" s="515" t="s">
        <v>11664</v>
      </c>
      <c r="G10941" s="52">
        <v>77816.537450240998</v>
      </c>
      <c r="H10941" s="56">
        <v>1.7441803853888417E-2</v>
      </c>
      <c r="I10941" s="224" t="s">
        <v>2</v>
      </c>
    </row>
    <row r="10942" spans="1:9" x14ac:dyDescent="0.25">
      <c r="A10942" s="515">
        <v>8823</v>
      </c>
      <c r="B10942" s="515" t="s">
        <v>324</v>
      </c>
      <c r="C10942" s="52">
        <v>341208.51818739902</v>
      </c>
      <c r="D10942" s="56">
        <v>9.5307206954325735E-2</v>
      </c>
      <c r="E10942" s="224" t="s">
        <v>2</v>
      </c>
      <c r="F10942" s="515" t="s">
        <v>12135</v>
      </c>
      <c r="G10942" s="52">
        <v>235558.20937493601</v>
      </c>
      <c r="H10942" s="56">
        <v>7.643302448672587E-2</v>
      </c>
      <c r="I10942" s="224" t="s">
        <v>2</v>
      </c>
    </row>
    <row r="10943" spans="1:9" x14ac:dyDescent="0.25">
      <c r="A10943" s="515">
        <v>63070</v>
      </c>
      <c r="B10943" s="515" t="s">
        <v>498</v>
      </c>
      <c r="C10943" s="52">
        <v>206991.886988863</v>
      </c>
      <c r="D10943" s="56">
        <v>7.1922157524490993E-2</v>
      </c>
      <c r="E10943" s="224" t="s">
        <v>2</v>
      </c>
      <c r="F10943" s="515" t="s">
        <v>12136</v>
      </c>
      <c r="G10943" s="52">
        <v>190310.222957096</v>
      </c>
      <c r="H10943" s="56">
        <v>0.10098822253912193</v>
      </c>
      <c r="I10943" s="224" t="s">
        <v>2</v>
      </c>
    </row>
    <row r="10944" spans="1:9" x14ac:dyDescent="0.25">
      <c r="A10944" s="515">
        <v>34946</v>
      </c>
      <c r="B10944" s="515" t="s">
        <v>1180</v>
      </c>
      <c r="C10944" s="52">
        <v>201242.105910246</v>
      </c>
      <c r="D10944" s="56">
        <v>0.22812276790317892</v>
      </c>
      <c r="E10944" s="224" t="s">
        <v>2</v>
      </c>
      <c r="F10944" s="515" t="s">
        <v>12137</v>
      </c>
      <c r="G10944" s="52">
        <v>124772.506283457</v>
      </c>
      <c r="H10944" s="56">
        <v>0</v>
      </c>
      <c r="I10944" s="224" t="s">
        <v>2</v>
      </c>
    </row>
    <row r="10945" spans="1:9" x14ac:dyDescent="0.25">
      <c r="A10945" s="515">
        <v>63834</v>
      </c>
      <c r="C10945" s="52">
        <v>97131.636062121499</v>
      </c>
      <c r="D10945" s="56">
        <v>2.6379996265600978E-2</v>
      </c>
      <c r="E10945" s="224" t="s">
        <v>2</v>
      </c>
      <c r="F10945" s="515" t="s">
        <v>12138</v>
      </c>
      <c r="G10945" s="52">
        <v>227786.08922067899</v>
      </c>
      <c r="H10945" s="56">
        <v>0.10978253538046485</v>
      </c>
      <c r="I10945" s="224" t="s">
        <v>2</v>
      </c>
    </row>
    <row r="10946" spans="1:9" x14ac:dyDescent="0.25">
      <c r="A10946" s="515">
        <v>74047</v>
      </c>
      <c r="B10946" s="515" t="s">
        <v>348</v>
      </c>
      <c r="C10946" s="52">
        <v>211582.89771889799</v>
      </c>
      <c r="D10946" s="56">
        <v>4.7766180109211527E-2</v>
      </c>
      <c r="E10946" s="224" t="s">
        <v>2</v>
      </c>
      <c r="F10946" s="515" t="s">
        <v>12139</v>
      </c>
      <c r="G10946" s="52">
        <v>123233.572623749</v>
      </c>
      <c r="H10946" s="56">
        <v>9.6314020923920932E-4</v>
      </c>
      <c r="I10946" s="224" t="s">
        <v>2</v>
      </c>
    </row>
    <row r="10947" spans="1:9" x14ac:dyDescent="0.25">
      <c r="A10947" s="515">
        <v>23936</v>
      </c>
      <c r="C10947" s="52">
        <v>170483.903326659</v>
      </c>
      <c r="D10947" s="56">
        <v>3.038242967925257E-2</v>
      </c>
      <c r="E10947" s="224" t="s">
        <v>2</v>
      </c>
      <c r="F10947" s="515" t="s">
        <v>12140</v>
      </c>
      <c r="G10947" s="52">
        <v>192168.60115634801</v>
      </c>
      <c r="H10947" s="56">
        <v>7.4014899779839174E-2</v>
      </c>
      <c r="I10947" s="224" t="s">
        <v>2</v>
      </c>
    </row>
    <row r="10948" spans="1:9" x14ac:dyDescent="0.25">
      <c r="A10948" s="515">
        <v>62557</v>
      </c>
      <c r="B10948" s="515" t="s">
        <v>386</v>
      </c>
      <c r="C10948" s="52">
        <v>68835.316471282</v>
      </c>
      <c r="D10948" s="56">
        <v>8.1914372348196651E-2</v>
      </c>
      <c r="E10948" s="224" t="s">
        <v>2</v>
      </c>
      <c r="F10948" s="515" t="s">
        <v>12141</v>
      </c>
      <c r="G10948" s="52">
        <v>402639.79241285601</v>
      </c>
      <c r="H10948" s="56">
        <v>0.22362512284452837</v>
      </c>
      <c r="I10948" s="224" t="s">
        <v>2</v>
      </c>
    </row>
    <row r="10949" spans="1:9" x14ac:dyDescent="0.25">
      <c r="A10949" s="515">
        <v>61525</v>
      </c>
      <c r="B10949" s="515" t="s">
        <v>303</v>
      </c>
      <c r="C10949" s="52">
        <v>299404.61810372001</v>
      </c>
      <c r="D10949" s="56">
        <v>6.0337224755069432E-2</v>
      </c>
      <c r="E10949" s="224" t="s">
        <v>2</v>
      </c>
      <c r="F10949" s="515" t="s">
        <v>12142</v>
      </c>
      <c r="G10949" s="52">
        <v>376538.665655508</v>
      </c>
      <c r="H10949" s="56">
        <v>0.10670705378538048</v>
      </c>
      <c r="I10949" s="224" t="s">
        <v>2</v>
      </c>
    </row>
    <row r="10950" spans="1:9" x14ac:dyDescent="0.25">
      <c r="A10950" s="515">
        <v>18037</v>
      </c>
      <c r="B10950" s="515" t="s">
        <v>327</v>
      </c>
      <c r="C10950" s="52">
        <v>283243.69797087798</v>
      </c>
      <c r="D10950" s="56">
        <v>8.6111192045781035E-2</v>
      </c>
      <c r="E10950" s="224" t="s">
        <v>2</v>
      </c>
      <c r="F10950" s="515" t="s">
        <v>12143</v>
      </c>
      <c r="G10950" s="52">
        <v>94152.459097780797</v>
      </c>
      <c r="H10950" s="56">
        <v>1.3173560835364322E-2</v>
      </c>
      <c r="I10950" s="224" t="s">
        <v>2</v>
      </c>
    </row>
    <row r="10951" spans="1:9" x14ac:dyDescent="0.25">
      <c r="A10951" s="515">
        <v>7023</v>
      </c>
      <c r="B10951" s="515" t="s">
        <v>324</v>
      </c>
      <c r="C10951" s="52">
        <v>584846.52358421602</v>
      </c>
      <c r="D10951" s="56">
        <v>4.4560464966990732E-2</v>
      </c>
      <c r="E10951" s="224" t="s">
        <v>2</v>
      </c>
      <c r="F10951" s="515" t="s">
        <v>12144</v>
      </c>
      <c r="G10951" s="52">
        <v>368029.30189950898</v>
      </c>
      <c r="H10951" s="56">
        <v>7.728940907781072E-2</v>
      </c>
      <c r="I10951" s="224" t="s">
        <v>2</v>
      </c>
    </row>
    <row r="10952" spans="1:9" x14ac:dyDescent="0.25">
      <c r="A10952" s="515">
        <v>6333</v>
      </c>
      <c r="B10952" s="515" t="s">
        <v>1091</v>
      </c>
      <c r="C10952" s="52">
        <v>444429.72695251298</v>
      </c>
      <c r="D10952" s="56">
        <v>5.3043176792068256E-2</v>
      </c>
      <c r="E10952" s="224" t="s">
        <v>2</v>
      </c>
      <c r="F10952" s="515" t="s">
        <v>12145</v>
      </c>
      <c r="G10952" s="52">
        <v>328151.58148528001</v>
      </c>
      <c r="H10952" s="56">
        <v>5.4447609668046397E-2</v>
      </c>
      <c r="I10952" s="224" t="s">
        <v>2</v>
      </c>
    </row>
    <row r="10953" spans="1:9" x14ac:dyDescent="0.25">
      <c r="A10953" s="515">
        <v>71334</v>
      </c>
      <c r="B10953" s="515" t="s">
        <v>1081</v>
      </c>
      <c r="C10953" s="52">
        <v>67618.004976569893</v>
      </c>
      <c r="D10953" s="56">
        <v>4.2082677950260078E-2</v>
      </c>
      <c r="E10953" s="224" t="s">
        <v>2</v>
      </c>
      <c r="F10953" s="515" t="s">
        <v>12146</v>
      </c>
      <c r="G10953" s="52">
        <v>259096.04250780601</v>
      </c>
      <c r="H10953" s="56">
        <v>9.140490825937439E-2</v>
      </c>
      <c r="I10953" s="224" t="s">
        <v>2</v>
      </c>
    </row>
    <row r="10954" spans="1:9" x14ac:dyDescent="0.25">
      <c r="A10954" s="515">
        <v>75956</v>
      </c>
      <c r="C10954" s="52">
        <v>155362.66910720299</v>
      </c>
      <c r="D10954" s="56">
        <v>2.6583704724271562E-3</v>
      </c>
      <c r="E10954" s="224" t="s">
        <v>2</v>
      </c>
      <c r="F10954" s="515" t="s">
        <v>12147</v>
      </c>
      <c r="G10954" s="52">
        <v>209012.66120721601</v>
      </c>
      <c r="H10954" s="56">
        <v>0.11296930340931351</v>
      </c>
      <c r="I10954" s="224" t="s">
        <v>2</v>
      </c>
    </row>
    <row r="10955" spans="1:9" x14ac:dyDescent="0.25">
      <c r="A10955" s="515">
        <v>53130</v>
      </c>
      <c r="B10955" s="515" t="s">
        <v>950</v>
      </c>
      <c r="C10955" s="52">
        <v>311264.00846493902</v>
      </c>
      <c r="D10955" s="56">
        <v>8.1686546236516888E-2</v>
      </c>
      <c r="E10955" s="224" t="s">
        <v>2</v>
      </c>
      <c r="F10955" s="515" t="s">
        <v>12148</v>
      </c>
      <c r="G10955" s="52">
        <v>138312.11712297201</v>
      </c>
      <c r="H10955" s="56">
        <v>8.5922223164556527E-2</v>
      </c>
      <c r="I10955" s="224" t="s">
        <v>2</v>
      </c>
    </row>
    <row r="10956" spans="1:9" x14ac:dyDescent="0.25">
      <c r="A10956" s="515">
        <v>77480</v>
      </c>
      <c r="B10956" s="515" t="s">
        <v>314</v>
      </c>
      <c r="C10956" s="52">
        <v>205735.039480746</v>
      </c>
      <c r="D10956" s="56">
        <v>2.7910310805050569E-2</v>
      </c>
      <c r="E10956" s="224" t="s">
        <v>2</v>
      </c>
      <c r="F10956" s="515" t="s">
        <v>12149</v>
      </c>
      <c r="G10956" s="52">
        <v>151504.55661941101</v>
      </c>
      <c r="H10956" s="56">
        <v>4.0604555704083493E-2</v>
      </c>
      <c r="I10956" s="224" t="s">
        <v>2</v>
      </c>
    </row>
    <row r="10957" spans="1:9" x14ac:dyDescent="0.25">
      <c r="A10957" s="515">
        <v>1364</v>
      </c>
      <c r="B10957" s="515" t="s">
        <v>575</v>
      </c>
      <c r="C10957" s="52">
        <v>257903.891570829</v>
      </c>
      <c r="D10957" s="56">
        <v>6.5300232197366082E-2</v>
      </c>
      <c r="E10957" s="224" t="s">
        <v>2</v>
      </c>
      <c r="F10957" s="515" t="s">
        <v>12150</v>
      </c>
      <c r="G10957" s="52">
        <v>225964.94885685001</v>
      </c>
      <c r="H10957" s="56">
        <v>8.8730986650835772E-2</v>
      </c>
      <c r="I10957" s="224" t="s">
        <v>2</v>
      </c>
    </row>
    <row r="10958" spans="1:9" x14ac:dyDescent="0.25">
      <c r="A10958" s="515">
        <v>60069</v>
      </c>
      <c r="B10958" s="515" t="s">
        <v>394</v>
      </c>
      <c r="C10958" s="52">
        <v>528417.48266279895</v>
      </c>
      <c r="D10958" s="56">
        <v>6.9701751488087729E-2</v>
      </c>
      <c r="E10958" s="224" t="s">
        <v>2</v>
      </c>
      <c r="F10958" s="515" t="s">
        <v>12151</v>
      </c>
      <c r="G10958" s="52">
        <v>395135.72428827401</v>
      </c>
      <c r="H10958" s="56">
        <v>1.6722268308297205E-3</v>
      </c>
      <c r="I10958" s="224" t="s">
        <v>2</v>
      </c>
    </row>
    <row r="10959" spans="1:9" x14ac:dyDescent="0.25">
      <c r="A10959" s="515">
        <v>19975</v>
      </c>
      <c r="B10959" s="515" t="s">
        <v>552</v>
      </c>
      <c r="C10959" s="52">
        <v>514734.19260548498</v>
      </c>
      <c r="D10959" s="56">
        <v>6.8022299584089507E-2</v>
      </c>
      <c r="E10959" s="224" t="s">
        <v>2</v>
      </c>
      <c r="F10959" s="515" t="s">
        <v>12152</v>
      </c>
      <c r="G10959" s="52">
        <v>137179.67268016099</v>
      </c>
      <c r="H10959" s="56">
        <v>5.7649516951572062E-2</v>
      </c>
      <c r="I10959" s="224" t="s">
        <v>2</v>
      </c>
    </row>
    <row r="10960" spans="1:9" x14ac:dyDescent="0.25">
      <c r="A10960" s="515">
        <v>54495</v>
      </c>
      <c r="B10960" s="515" t="s">
        <v>607</v>
      </c>
      <c r="C10960" s="52">
        <v>126433.74856196099</v>
      </c>
      <c r="D10960" s="56">
        <v>6.9527167020663014E-2</v>
      </c>
      <c r="E10960" s="224" t="s">
        <v>2</v>
      </c>
      <c r="F10960" s="515" t="s">
        <v>12153</v>
      </c>
      <c r="G10960" s="52">
        <v>94516.945197409805</v>
      </c>
      <c r="H10960" s="56">
        <v>0.12523233930370145</v>
      </c>
      <c r="I10960" s="224" t="s">
        <v>2</v>
      </c>
    </row>
    <row r="10961" spans="1:9" x14ac:dyDescent="0.25">
      <c r="A10961" s="515">
        <v>61341</v>
      </c>
      <c r="B10961" s="515" t="s">
        <v>556</v>
      </c>
      <c r="C10961" s="52">
        <v>163309.58663349901</v>
      </c>
      <c r="D10961" s="56">
        <v>5.3259866366275971E-2</v>
      </c>
      <c r="E10961" s="224" t="s">
        <v>2</v>
      </c>
      <c r="F10961" s="515" t="s">
        <v>12154</v>
      </c>
      <c r="G10961" s="52">
        <v>65689.768947494798</v>
      </c>
      <c r="H10961" s="56">
        <v>0.25976137842145658</v>
      </c>
      <c r="I10961" s="224" t="s">
        <v>2</v>
      </c>
    </row>
    <row r="10962" spans="1:9" x14ac:dyDescent="0.25">
      <c r="A10962" s="515">
        <v>85193</v>
      </c>
      <c r="B10962" s="515" t="s">
        <v>563</v>
      </c>
      <c r="C10962" s="52">
        <v>333380.29338618601</v>
      </c>
      <c r="D10962" s="56">
        <v>4.1585803816433127E-2</v>
      </c>
      <c r="E10962" s="224" t="s">
        <v>2</v>
      </c>
      <c r="F10962" s="515" t="s">
        <v>12155</v>
      </c>
      <c r="G10962" s="52">
        <v>394243.10406091303</v>
      </c>
      <c r="H10962" s="56">
        <v>0</v>
      </c>
      <c r="I10962" s="224" t="s">
        <v>2</v>
      </c>
    </row>
    <row r="10963" spans="1:9" x14ac:dyDescent="0.25">
      <c r="A10963" s="515">
        <v>43832</v>
      </c>
      <c r="B10963" s="515" t="s">
        <v>309</v>
      </c>
      <c r="C10963" s="52">
        <v>127876.82871919499</v>
      </c>
      <c r="D10963" s="56">
        <v>4.7621799132974922E-2</v>
      </c>
      <c r="E10963" s="224" t="s">
        <v>2</v>
      </c>
      <c r="F10963" s="515" t="s">
        <v>12156</v>
      </c>
      <c r="G10963" s="52">
        <v>93786.159283537694</v>
      </c>
      <c r="H10963" s="56">
        <v>0.13979034670315893</v>
      </c>
      <c r="I10963" s="224" t="s">
        <v>2</v>
      </c>
    </row>
    <row r="10964" spans="1:9" x14ac:dyDescent="0.25">
      <c r="A10964" s="515">
        <v>25550</v>
      </c>
      <c r="B10964" s="515" t="s">
        <v>445</v>
      </c>
      <c r="C10964" s="52">
        <v>127932.538598671</v>
      </c>
      <c r="D10964" s="56">
        <v>8.8785842057032008E-2</v>
      </c>
      <c r="E10964" s="224" t="s">
        <v>2</v>
      </c>
      <c r="F10964" s="515" t="s">
        <v>12157</v>
      </c>
      <c r="G10964" s="52">
        <v>327271.78717145202</v>
      </c>
      <c r="H10964" s="56">
        <v>3.8087974145867128E-2</v>
      </c>
      <c r="I10964" s="224" t="s">
        <v>2</v>
      </c>
    </row>
    <row r="10965" spans="1:9" x14ac:dyDescent="0.25">
      <c r="A10965" s="515">
        <v>31779</v>
      </c>
      <c r="C10965" s="52">
        <v>104385.687321741</v>
      </c>
      <c r="D10965" s="56">
        <v>4.512307167359627E-2</v>
      </c>
      <c r="E10965" s="224" t="s">
        <v>2</v>
      </c>
      <c r="F10965" s="515" t="s">
        <v>12158</v>
      </c>
      <c r="G10965" s="52">
        <v>161708.83121019101</v>
      </c>
      <c r="H10965" s="56">
        <v>0</v>
      </c>
      <c r="I10965" s="224" t="s">
        <v>2</v>
      </c>
    </row>
    <row r="10966" spans="1:9" x14ac:dyDescent="0.25">
      <c r="A10966" s="515">
        <v>49419</v>
      </c>
      <c r="B10966" s="515" t="s">
        <v>856</v>
      </c>
      <c r="C10966" s="52">
        <v>313821.02804424003</v>
      </c>
      <c r="D10966" s="56">
        <v>4.2557827014704015E-2</v>
      </c>
      <c r="E10966" s="224" t="s">
        <v>2</v>
      </c>
      <c r="F10966" s="515" t="s">
        <v>12159</v>
      </c>
      <c r="G10966" s="52">
        <v>469464.54437667399</v>
      </c>
      <c r="H10966" s="56">
        <v>7.9813232065316195E-2</v>
      </c>
      <c r="I10966" s="224" t="s">
        <v>2</v>
      </c>
    </row>
    <row r="10967" spans="1:9" x14ac:dyDescent="0.25">
      <c r="A10967" s="515">
        <v>79401</v>
      </c>
      <c r="B10967" s="515" t="s">
        <v>354</v>
      </c>
      <c r="C10967" s="52">
        <v>151064.41454370599</v>
      </c>
      <c r="D10967" s="56">
        <v>0.11029709672374556</v>
      </c>
      <c r="E10967" s="224">
        <v>1299.8333333333301</v>
      </c>
      <c r="F10967" s="515" t="s">
        <v>12160</v>
      </c>
      <c r="G10967" s="52">
        <v>172633.078114295</v>
      </c>
      <c r="H10967" s="56">
        <v>0.21685461360441802</v>
      </c>
      <c r="I10967" s="224" t="s">
        <v>2</v>
      </c>
    </row>
    <row r="10968" spans="1:9" x14ac:dyDescent="0.25">
      <c r="A10968" s="515">
        <v>64744</v>
      </c>
      <c r="C10968" s="52">
        <v>142088.937620624</v>
      </c>
      <c r="D10968" s="56">
        <v>0.11007063578682454</v>
      </c>
      <c r="E10968" s="224" t="s">
        <v>2</v>
      </c>
      <c r="F10968" s="515" t="s">
        <v>12161</v>
      </c>
      <c r="G10968" s="52">
        <v>136249.28185951401</v>
      </c>
      <c r="H10968" s="56">
        <v>5.244158703747815E-2</v>
      </c>
      <c r="I10968" s="224" t="s">
        <v>2</v>
      </c>
    </row>
    <row r="10969" spans="1:9" x14ac:dyDescent="0.25">
      <c r="A10969" s="515">
        <v>16438</v>
      </c>
      <c r="B10969" s="515" t="s">
        <v>753</v>
      </c>
      <c r="C10969" s="52">
        <v>124312.504619028</v>
      </c>
      <c r="D10969" s="56">
        <v>6.5033868941451661E-2</v>
      </c>
      <c r="E10969" s="224" t="s">
        <v>2</v>
      </c>
      <c r="F10969" s="515" t="s">
        <v>12162</v>
      </c>
      <c r="G10969" s="52">
        <v>431849.96068411798</v>
      </c>
      <c r="H10969" s="56">
        <v>1.2995799345080787E-2</v>
      </c>
      <c r="I10969" s="224" t="s">
        <v>2</v>
      </c>
    </row>
    <row r="10970" spans="1:9" x14ac:dyDescent="0.25">
      <c r="A10970" s="515">
        <v>1469</v>
      </c>
      <c r="B10970" s="515" t="s">
        <v>534</v>
      </c>
      <c r="C10970" s="52">
        <v>408496.13100530999</v>
      </c>
      <c r="D10970" s="56">
        <v>6.0616050432532723E-2</v>
      </c>
      <c r="E10970" s="224" t="s">
        <v>2</v>
      </c>
      <c r="F10970" s="515" t="s">
        <v>12163</v>
      </c>
      <c r="G10970" s="52">
        <v>306847.12888890802</v>
      </c>
      <c r="H10970" s="56">
        <v>4.9525401764955318E-2</v>
      </c>
      <c r="I10970" s="224" t="s">
        <v>2</v>
      </c>
    </row>
    <row r="10971" spans="1:9" x14ac:dyDescent="0.25">
      <c r="A10971" s="515">
        <v>83328</v>
      </c>
      <c r="B10971" s="515" t="s">
        <v>832</v>
      </c>
      <c r="C10971" s="52">
        <v>352194.48011845001</v>
      </c>
      <c r="D10971" s="56">
        <v>-3.3065966002516732E-3</v>
      </c>
      <c r="E10971" s="224" t="s">
        <v>2</v>
      </c>
      <c r="F10971" s="515" t="s">
        <v>12164</v>
      </c>
      <c r="G10971" s="52">
        <v>384837.23853371502</v>
      </c>
      <c r="H10971" s="56">
        <v>4.7119199116848941E-2</v>
      </c>
      <c r="I10971" s="224" t="s">
        <v>2</v>
      </c>
    </row>
    <row r="10972" spans="1:9" x14ac:dyDescent="0.25">
      <c r="A10972" s="515">
        <v>82201</v>
      </c>
      <c r="C10972" s="52">
        <v>270468.77559418097</v>
      </c>
      <c r="D10972" s="56">
        <v>6.6427290264757008E-2</v>
      </c>
      <c r="E10972" s="224" t="s">
        <v>2</v>
      </c>
      <c r="F10972" s="515" t="s">
        <v>12165</v>
      </c>
      <c r="G10972" s="52">
        <v>450741.25663281599</v>
      </c>
      <c r="H10972" s="56">
        <v>0.10137446470855468</v>
      </c>
      <c r="I10972" s="224" t="s">
        <v>2</v>
      </c>
    </row>
    <row r="10973" spans="1:9" x14ac:dyDescent="0.25">
      <c r="A10973" s="515">
        <v>40026</v>
      </c>
      <c r="B10973" s="515" t="s">
        <v>479</v>
      </c>
      <c r="C10973" s="52">
        <v>443379.60133999801</v>
      </c>
      <c r="D10973" s="56">
        <v>5.2542473173817675E-2</v>
      </c>
      <c r="E10973" s="224" t="s">
        <v>2</v>
      </c>
      <c r="F10973" s="515" t="s">
        <v>12166</v>
      </c>
      <c r="G10973" s="52">
        <v>182407.85752221101</v>
      </c>
      <c r="H10973" s="56">
        <v>7.2814144506830741E-2</v>
      </c>
      <c r="I10973" s="224" t="s">
        <v>2</v>
      </c>
    </row>
    <row r="10974" spans="1:9" x14ac:dyDescent="0.25">
      <c r="A10974" s="515">
        <v>74959</v>
      </c>
      <c r="C10974" s="52">
        <v>120709.83853609501</v>
      </c>
      <c r="D10974" s="56">
        <v>8.6354174534126929E-2</v>
      </c>
      <c r="E10974" s="224" t="s">
        <v>2</v>
      </c>
      <c r="F10974" s="515" t="s">
        <v>12167</v>
      </c>
      <c r="G10974" s="52">
        <v>195412.967358697</v>
      </c>
      <c r="H10974" s="56">
        <v>0.10055963943013246</v>
      </c>
      <c r="I10974" s="224" t="s">
        <v>2</v>
      </c>
    </row>
    <row r="10975" spans="1:9" x14ac:dyDescent="0.25">
      <c r="A10975" s="515">
        <v>10533</v>
      </c>
      <c r="B10975" s="515" t="s">
        <v>324</v>
      </c>
      <c r="C10975" s="52">
        <v>1053108.4498737</v>
      </c>
      <c r="D10975" s="56">
        <v>1.1730294931843719E-2</v>
      </c>
      <c r="E10975" s="224" t="s">
        <v>2</v>
      </c>
      <c r="F10975" s="515" t="s">
        <v>12168</v>
      </c>
      <c r="G10975" s="52">
        <v>250995.22185911899</v>
      </c>
      <c r="H10975" s="56">
        <v>5.6795242807148739E-2</v>
      </c>
      <c r="I10975" s="224" t="s">
        <v>2</v>
      </c>
    </row>
    <row r="10976" spans="1:9" x14ac:dyDescent="0.25">
      <c r="A10976" s="515">
        <v>60970</v>
      </c>
      <c r="C10976" s="52">
        <v>91476.371274909499</v>
      </c>
      <c r="D10976" s="56">
        <v>6.6341351786811179E-2</v>
      </c>
      <c r="E10976" s="224" t="s">
        <v>2</v>
      </c>
      <c r="F10976" s="515" t="s">
        <v>12169</v>
      </c>
      <c r="G10976" s="52">
        <v>230924.08648809799</v>
      </c>
      <c r="H10976" s="56">
        <v>0.10891005327087643</v>
      </c>
      <c r="I10976" s="224" t="s">
        <v>2</v>
      </c>
    </row>
    <row r="10977" spans="1:9" x14ac:dyDescent="0.25">
      <c r="A10977" s="515">
        <v>34431</v>
      </c>
      <c r="B10977" s="515" t="s">
        <v>475</v>
      </c>
      <c r="C10977" s="52">
        <v>254117.31411258999</v>
      </c>
      <c r="D10977" s="56">
        <v>0.16637531842257622</v>
      </c>
      <c r="E10977" s="224" t="s">
        <v>2</v>
      </c>
      <c r="F10977" s="515" t="s">
        <v>12170</v>
      </c>
      <c r="G10977" s="52">
        <v>168453.21744760801</v>
      </c>
      <c r="H10977" s="56">
        <v>3.2347040611356757E-2</v>
      </c>
      <c r="I10977" s="224" t="s">
        <v>2</v>
      </c>
    </row>
    <row r="10978" spans="1:9" x14ac:dyDescent="0.25">
      <c r="A10978" s="515">
        <v>98239</v>
      </c>
      <c r="B10978" s="515" t="s">
        <v>1146</v>
      </c>
      <c r="C10978" s="52">
        <v>552859.76565777604</v>
      </c>
      <c r="D10978" s="56">
        <v>2.8208825541691299E-2</v>
      </c>
      <c r="E10978" s="224" t="s">
        <v>2</v>
      </c>
      <c r="F10978" s="515" t="s">
        <v>12171</v>
      </c>
      <c r="G10978" s="52">
        <v>457403.231608006</v>
      </c>
      <c r="H10978" s="56">
        <v>1.2163103389621134E-2</v>
      </c>
      <c r="I10978" s="224" t="s">
        <v>2</v>
      </c>
    </row>
    <row r="10979" spans="1:9" x14ac:dyDescent="0.25">
      <c r="A10979" s="515">
        <v>64485</v>
      </c>
      <c r="B10979" s="515" t="s">
        <v>371</v>
      </c>
      <c r="C10979" s="52">
        <v>188175.07977876099</v>
      </c>
      <c r="D10979" s="56">
        <v>-4.0649025758923403E-3</v>
      </c>
      <c r="E10979" s="224" t="s">
        <v>2</v>
      </c>
      <c r="F10979" s="515" t="s">
        <v>12172</v>
      </c>
      <c r="G10979" s="52">
        <v>359189.24677001103</v>
      </c>
      <c r="H10979" s="56">
        <v>0.16245651800223104</v>
      </c>
      <c r="I10979" s="224" t="s">
        <v>2</v>
      </c>
    </row>
    <row r="10980" spans="1:9" x14ac:dyDescent="0.25">
      <c r="A10980" s="515">
        <v>55009</v>
      </c>
      <c r="B10980" s="515" t="s">
        <v>663</v>
      </c>
      <c r="C10980" s="52">
        <v>354959.74635600398</v>
      </c>
      <c r="D10980" s="56">
        <v>5.0130051959915232E-2</v>
      </c>
      <c r="E10980" s="224" t="s">
        <v>2</v>
      </c>
      <c r="F10980" s="515" t="s">
        <v>12173</v>
      </c>
      <c r="G10980" s="52">
        <v>217943.772834331</v>
      </c>
      <c r="H10980" s="56">
        <v>0.1288988492059886</v>
      </c>
      <c r="I10980" s="224" t="s">
        <v>2</v>
      </c>
    </row>
    <row r="10981" spans="1:9" x14ac:dyDescent="0.25">
      <c r="A10981" s="515">
        <v>13732</v>
      </c>
      <c r="B10981" s="515" t="s">
        <v>840</v>
      </c>
      <c r="C10981" s="52">
        <v>188579.43023983401</v>
      </c>
      <c r="D10981" s="56">
        <v>6.999388719719743E-2</v>
      </c>
      <c r="E10981" s="224" t="s">
        <v>2</v>
      </c>
      <c r="F10981" s="515" t="s">
        <v>12174</v>
      </c>
      <c r="G10981" s="52">
        <v>224320.34546522901</v>
      </c>
      <c r="H10981" s="56">
        <v>0.10631635589731447</v>
      </c>
      <c r="I10981" s="224" t="s">
        <v>2</v>
      </c>
    </row>
    <row r="10982" spans="1:9" x14ac:dyDescent="0.25">
      <c r="A10982" s="515">
        <v>48650</v>
      </c>
      <c r="B10982" s="515" t="s">
        <v>1022</v>
      </c>
      <c r="C10982" s="52">
        <v>138812.050704319</v>
      </c>
      <c r="D10982" s="56">
        <v>6.2958283692810646E-2</v>
      </c>
      <c r="E10982" s="224" t="s">
        <v>2</v>
      </c>
      <c r="F10982" s="515" t="s">
        <v>12175</v>
      </c>
      <c r="G10982" s="52">
        <v>152657.97460696299</v>
      </c>
      <c r="H10982" s="56">
        <v>5.5005683850181647E-2</v>
      </c>
      <c r="I10982" s="224" t="s">
        <v>2</v>
      </c>
    </row>
    <row r="10983" spans="1:9" x14ac:dyDescent="0.25">
      <c r="A10983" s="515">
        <v>55616</v>
      </c>
      <c r="B10983" s="515" t="s">
        <v>350</v>
      </c>
      <c r="C10983" s="52">
        <v>248445.09481415001</v>
      </c>
      <c r="D10983" s="56">
        <v>4.1099355105789499E-2</v>
      </c>
      <c r="E10983" s="224" t="s">
        <v>2</v>
      </c>
      <c r="F10983" s="515" t="s">
        <v>12176</v>
      </c>
      <c r="G10983" s="52">
        <v>302699.85550762102</v>
      </c>
      <c r="H10983" s="56">
        <v>0.12793975236226379</v>
      </c>
      <c r="I10983" s="224" t="s">
        <v>2</v>
      </c>
    </row>
    <row r="10984" spans="1:9" x14ac:dyDescent="0.25">
      <c r="A10984" s="515">
        <v>32561</v>
      </c>
      <c r="B10984" s="515" t="s">
        <v>1131</v>
      </c>
      <c r="C10984" s="52">
        <v>684129.13659418002</v>
      </c>
      <c r="D10984" s="56">
        <v>0.11511820114208132</v>
      </c>
      <c r="E10984" s="224" t="s">
        <v>2</v>
      </c>
      <c r="F10984" s="515" t="s">
        <v>12177</v>
      </c>
      <c r="G10984" s="52">
        <v>230976.38266440801</v>
      </c>
      <c r="H10984" s="56">
        <v>0.12723133858165891</v>
      </c>
      <c r="I10984" s="224" t="s">
        <v>2</v>
      </c>
    </row>
    <row r="10985" spans="1:9" x14ac:dyDescent="0.25">
      <c r="A10985" s="515">
        <v>37080</v>
      </c>
      <c r="B10985" s="515" t="s">
        <v>684</v>
      </c>
      <c r="C10985" s="52">
        <v>359385.70814676199</v>
      </c>
      <c r="D10985" s="56">
        <v>8.2353813822544489E-2</v>
      </c>
      <c r="E10985" s="224" t="s">
        <v>2</v>
      </c>
      <c r="F10985" s="515" t="s">
        <v>12178</v>
      </c>
      <c r="G10985" s="52">
        <v>119390.323036007</v>
      </c>
      <c r="H10985" s="56">
        <v>1.65126352956073E-2</v>
      </c>
      <c r="I10985" s="224" t="s">
        <v>2</v>
      </c>
    </row>
    <row r="10986" spans="1:9" x14ac:dyDescent="0.25">
      <c r="A10986" s="515">
        <v>76050</v>
      </c>
      <c r="B10986" s="515" t="s">
        <v>458</v>
      </c>
      <c r="C10986" s="52">
        <v>353832.61179353402</v>
      </c>
      <c r="D10986" s="56">
        <v>0.10921774457965788</v>
      </c>
      <c r="E10986" s="224" t="s">
        <v>2</v>
      </c>
      <c r="F10986" s="515" t="s">
        <v>12179</v>
      </c>
      <c r="G10986" s="52">
        <v>241570.24846740399</v>
      </c>
      <c r="H10986" s="56">
        <v>0.13687517512181041</v>
      </c>
      <c r="I10986" s="224" t="s">
        <v>2</v>
      </c>
    </row>
    <row r="10987" spans="1:9" x14ac:dyDescent="0.25">
      <c r="A10987" s="515">
        <v>30176</v>
      </c>
      <c r="B10987" s="515" t="s">
        <v>957</v>
      </c>
      <c r="C10987" s="52">
        <v>201131.42614560301</v>
      </c>
      <c r="D10987" s="56">
        <v>0.12815218668938327</v>
      </c>
      <c r="E10987" s="224" t="s">
        <v>2</v>
      </c>
      <c r="F10987" s="515" t="s">
        <v>12180</v>
      </c>
      <c r="G10987" s="52">
        <v>308381.72063912399</v>
      </c>
      <c r="H10987" s="56">
        <v>7.8955524838269661E-2</v>
      </c>
      <c r="I10987" s="224" t="s">
        <v>2</v>
      </c>
    </row>
    <row r="10988" spans="1:9" x14ac:dyDescent="0.25">
      <c r="A10988" s="515">
        <v>15658</v>
      </c>
      <c r="B10988" s="515" t="s">
        <v>297</v>
      </c>
      <c r="C10988" s="52">
        <v>179990.261044485</v>
      </c>
      <c r="D10988" s="56">
        <v>1.1743901301304862E-2</v>
      </c>
      <c r="E10988" s="224" t="s">
        <v>2</v>
      </c>
      <c r="F10988" s="515" t="s">
        <v>12181</v>
      </c>
      <c r="G10988" s="52">
        <v>1314929.2941204901</v>
      </c>
      <c r="H10988" s="56">
        <v>1.8325195970251101E-2</v>
      </c>
      <c r="I10988" s="224" t="s">
        <v>2</v>
      </c>
    </row>
    <row r="10989" spans="1:9" x14ac:dyDescent="0.25">
      <c r="A10989" s="515">
        <v>23168</v>
      </c>
      <c r="B10989" s="515" t="s">
        <v>301</v>
      </c>
      <c r="C10989" s="52">
        <v>388637.46403665998</v>
      </c>
      <c r="D10989" s="56">
        <v>7.4995566741142314E-2</v>
      </c>
      <c r="E10989" s="224" t="s">
        <v>2</v>
      </c>
      <c r="F10989" s="515" t="s">
        <v>12182</v>
      </c>
      <c r="G10989" s="52">
        <v>182456.185577797</v>
      </c>
      <c r="H10989" s="56">
        <v>-3.9771326098538874E-3</v>
      </c>
      <c r="I10989" s="224" t="s">
        <v>2</v>
      </c>
    </row>
    <row r="10990" spans="1:9" x14ac:dyDescent="0.25">
      <c r="A10990" s="515">
        <v>44405</v>
      </c>
      <c r="B10990" s="515" t="s">
        <v>397</v>
      </c>
      <c r="C10990" s="52">
        <v>81538.684128366804</v>
      </c>
      <c r="D10990" s="56">
        <v>0.22480514976467561</v>
      </c>
      <c r="E10990" s="224" t="s">
        <v>2</v>
      </c>
      <c r="F10990" s="515" t="s">
        <v>12183</v>
      </c>
      <c r="G10990" s="52">
        <v>219775.86153998901</v>
      </c>
      <c r="H10990" s="56">
        <v>7.7548187427133972E-2</v>
      </c>
      <c r="I10990" s="224" t="s">
        <v>2</v>
      </c>
    </row>
    <row r="10991" spans="1:9" x14ac:dyDescent="0.25">
      <c r="A10991" s="515">
        <v>33953</v>
      </c>
      <c r="B10991" s="515" t="s">
        <v>1030</v>
      </c>
      <c r="C10991" s="52">
        <v>383476.44531822699</v>
      </c>
      <c r="D10991" s="56">
        <v>0.12987264531825521</v>
      </c>
      <c r="E10991" s="224" t="s">
        <v>2</v>
      </c>
      <c r="F10991" s="515" t="s">
        <v>12184</v>
      </c>
      <c r="G10991" s="52">
        <v>222319.253936825</v>
      </c>
      <c r="H10991" s="56">
        <v>9.2254116989317278E-2</v>
      </c>
      <c r="I10991" s="224" t="s">
        <v>2</v>
      </c>
    </row>
    <row r="10992" spans="1:9" x14ac:dyDescent="0.25">
      <c r="A10992" s="515">
        <v>18947</v>
      </c>
      <c r="B10992" s="515" t="s">
        <v>294</v>
      </c>
      <c r="C10992" s="52">
        <v>575413.79858649301</v>
      </c>
      <c r="D10992" s="56">
        <v>8.3387152381825966E-2</v>
      </c>
      <c r="E10992" s="224" t="s">
        <v>2</v>
      </c>
      <c r="F10992" s="515" t="s">
        <v>12185</v>
      </c>
      <c r="G10992" s="52">
        <v>85044.804068395897</v>
      </c>
      <c r="H10992" s="56">
        <v>0.18044149408066618</v>
      </c>
      <c r="I10992" s="224" t="s">
        <v>2</v>
      </c>
    </row>
    <row r="10993" spans="1:9" x14ac:dyDescent="0.25">
      <c r="A10993" s="515">
        <v>15042</v>
      </c>
      <c r="B10993" s="515" t="s">
        <v>297</v>
      </c>
      <c r="C10993" s="52">
        <v>206274.06742217901</v>
      </c>
      <c r="D10993" s="56">
        <v>3.137480652097769E-2</v>
      </c>
      <c r="E10993" s="224" t="s">
        <v>2</v>
      </c>
      <c r="F10993" s="515" t="s">
        <v>12186</v>
      </c>
      <c r="G10993" s="52">
        <v>269584.06695334002</v>
      </c>
      <c r="H10993" s="56">
        <v>5.9686563894820334E-2</v>
      </c>
      <c r="I10993" s="224" t="s">
        <v>2</v>
      </c>
    </row>
    <row r="10994" spans="1:9" x14ac:dyDescent="0.25">
      <c r="A10994" s="515">
        <v>35673</v>
      </c>
      <c r="B10994" s="515" t="s">
        <v>1007</v>
      </c>
      <c r="C10994" s="52">
        <v>213502.801885216</v>
      </c>
      <c r="D10994" s="56">
        <v>4.1893238228600201E-2</v>
      </c>
      <c r="E10994" s="224" t="s">
        <v>2</v>
      </c>
      <c r="F10994" s="515" t="s">
        <v>12187</v>
      </c>
      <c r="G10994" s="52">
        <v>198346.085643756</v>
      </c>
      <c r="H10994" s="56">
        <v>8.1690127814869617E-2</v>
      </c>
      <c r="I10994" s="224" t="s">
        <v>2</v>
      </c>
    </row>
    <row r="10995" spans="1:9" x14ac:dyDescent="0.25">
      <c r="A10995" s="515">
        <v>8086</v>
      </c>
      <c r="B10995" s="515" t="s">
        <v>294</v>
      </c>
      <c r="C10995" s="52">
        <v>282407.85904827999</v>
      </c>
      <c r="D10995" s="56">
        <v>8.5065148443537658E-2</v>
      </c>
      <c r="E10995" s="224" t="s">
        <v>2</v>
      </c>
      <c r="F10995" s="515" t="s">
        <v>12188</v>
      </c>
      <c r="G10995" s="52">
        <v>147981.50943445801</v>
      </c>
      <c r="H10995" s="56">
        <v>5.4028656870264653E-2</v>
      </c>
      <c r="I10995" s="224" t="s">
        <v>2</v>
      </c>
    </row>
    <row r="10996" spans="1:9" x14ac:dyDescent="0.25">
      <c r="A10996" s="515">
        <v>14892</v>
      </c>
      <c r="B10996" s="515" t="s">
        <v>840</v>
      </c>
      <c r="C10996" s="52">
        <v>142339.44997982599</v>
      </c>
      <c r="D10996" s="56">
        <v>6.3661665695239261E-2</v>
      </c>
      <c r="E10996" s="224" t="s">
        <v>2</v>
      </c>
      <c r="F10996" s="515" t="s">
        <v>12189</v>
      </c>
      <c r="G10996" s="52">
        <v>247397.12785857599</v>
      </c>
      <c r="H10996" s="56">
        <v>5.2726775417601165E-2</v>
      </c>
      <c r="I10996" s="224" t="s">
        <v>2</v>
      </c>
    </row>
    <row r="10997" spans="1:9" x14ac:dyDescent="0.25">
      <c r="A10997" s="515">
        <v>26416</v>
      </c>
      <c r="C10997" s="52">
        <v>117482.29040264399</v>
      </c>
      <c r="D10997" s="56">
        <v>7.6564918565959914E-2</v>
      </c>
      <c r="E10997" s="224" t="s">
        <v>2</v>
      </c>
      <c r="F10997" s="515" t="s">
        <v>12190</v>
      </c>
      <c r="G10997" s="52">
        <v>259132.92915554901</v>
      </c>
      <c r="H10997" s="56">
        <v>0.15032693636222338</v>
      </c>
      <c r="I10997" s="224" t="s">
        <v>2</v>
      </c>
    </row>
    <row r="10998" spans="1:9" x14ac:dyDescent="0.25">
      <c r="A10998" s="515">
        <v>6901</v>
      </c>
      <c r="B10998" s="515" t="s">
        <v>1173</v>
      </c>
      <c r="C10998" s="52">
        <v>275656.38684730901</v>
      </c>
      <c r="D10998" s="56">
        <v>5.0123416734496856E-2</v>
      </c>
      <c r="E10998" s="224">
        <v>2862.9315381476899</v>
      </c>
      <c r="F10998" s="515" t="s">
        <v>12191</v>
      </c>
      <c r="G10998" s="52">
        <v>236957.433283886</v>
      </c>
      <c r="H10998" s="56">
        <v>8.8049419232672524E-2</v>
      </c>
      <c r="I10998" s="224" t="s">
        <v>2</v>
      </c>
    </row>
    <row r="10999" spans="1:9" x14ac:dyDescent="0.25">
      <c r="A10999" s="515">
        <v>36264</v>
      </c>
      <c r="C10999" s="52">
        <v>182323.29107246199</v>
      </c>
      <c r="D10999" s="56">
        <v>2.0354527666985572E-2</v>
      </c>
      <c r="E10999" s="224" t="s">
        <v>2</v>
      </c>
      <c r="F10999" s="515" t="s">
        <v>12192</v>
      </c>
      <c r="G10999" s="52">
        <v>302891.41035654</v>
      </c>
      <c r="H10999" s="56">
        <v>5.9781416778398482E-2</v>
      </c>
      <c r="I10999" s="224" t="s">
        <v>2</v>
      </c>
    </row>
    <row r="11000" spans="1:9" x14ac:dyDescent="0.25">
      <c r="A11000" s="515">
        <v>83274</v>
      </c>
      <c r="B11000" s="515" t="s">
        <v>506</v>
      </c>
      <c r="C11000" s="52">
        <v>365146.65593594301</v>
      </c>
      <c r="D11000" s="56">
        <v>-1.5822499047402983E-3</v>
      </c>
      <c r="E11000" s="224" t="s">
        <v>2</v>
      </c>
      <c r="F11000" s="515" t="s">
        <v>12193</v>
      </c>
      <c r="G11000" s="52">
        <v>228705.94080718199</v>
      </c>
      <c r="H11000" s="56">
        <v>8.0817063210181783E-2</v>
      </c>
      <c r="I11000" s="224" t="s">
        <v>2</v>
      </c>
    </row>
    <row r="11001" spans="1:9" x14ac:dyDescent="0.25">
      <c r="A11001" s="515">
        <v>61606</v>
      </c>
      <c r="B11001" s="515" t="s">
        <v>303</v>
      </c>
      <c r="C11001" s="52">
        <v>94545.573033488603</v>
      </c>
      <c r="D11001" s="56">
        <v>0.10117418875413901</v>
      </c>
      <c r="E11001" s="224">
        <v>1155</v>
      </c>
      <c r="F11001" s="515" t="s">
        <v>12194</v>
      </c>
      <c r="G11001" s="52">
        <v>271249.341721103</v>
      </c>
      <c r="H11001" s="56">
        <v>0.16042850603935571</v>
      </c>
      <c r="I11001" s="224" t="s">
        <v>2</v>
      </c>
    </row>
    <row r="11002" spans="1:9" x14ac:dyDescent="0.25">
      <c r="A11002" s="515">
        <v>78009</v>
      </c>
      <c r="B11002" s="515" t="s">
        <v>717</v>
      </c>
      <c r="C11002" s="52">
        <v>378986.01331702399</v>
      </c>
      <c r="D11002" s="56">
        <v>2.4730465930384474E-2</v>
      </c>
      <c r="E11002" s="224" t="s">
        <v>2</v>
      </c>
      <c r="F11002" s="515" t="s">
        <v>12195</v>
      </c>
      <c r="G11002" s="52">
        <v>124638.132103424</v>
      </c>
      <c r="H11002" s="56">
        <v>6.0621142455573422E-2</v>
      </c>
      <c r="I11002" s="224" t="s">
        <v>2</v>
      </c>
    </row>
    <row r="11003" spans="1:9" x14ac:dyDescent="0.25">
      <c r="A11003" s="515">
        <v>60097</v>
      </c>
      <c r="B11003" s="515" t="s">
        <v>394</v>
      </c>
      <c r="C11003" s="52">
        <v>211420.79501042899</v>
      </c>
      <c r="D11003" s="56">
        <v>7.0131413987729263E-2</v>
      </c>
      <c r="E11003" s="224" t="s">
        <v>2</v>
      </c>
      <c r="F11003" s="515" t="s">
        <v>12196</v>
      </c>
      <c r="G11003" s="52">
        <v>436188.70340519201</v>
      </c>
      <c r="H11003" s="56">
        <v>0.1004506652073606</v>
      </c>
      <c r="I11003" s="224" t="s">
        <v>2</v>
      </c>
    </row>
    <row r="11004" spans="1:9" x14ac:dyDescent="0.25">
      <c r="A11004" s="515">
        <v>29044</v>
      </c>
      <c r="B11004" s="515" t="s">
        <v>762</v>
      </c>
      <c r="C11004" s="52">
        <v>149750.99201179401</v>
      </c>
      <c r="D11004" s="56">
        <v>0.25240383776958125</v>
      </c>
      <c r="E11004" s="224" t="s">
        <v>2</v>
      </c>
      <c r="F11004" s="515" t="s">
        <v>12197</v>
      </c>
      <c r="G11004" s="52">
        <v>227839.19388166201</v>
      </c>
      <c r="H11004" s="56">
        <v>0.12750106642415282</v>
      </c>
      <c r="I11004" s="224" t="s">
        <v>2</v>
      </c>
    </row>
    <row r="11005" spans="1:9" x14ac:dyDescent="0.25">
      <c r="A11005" s="515">
        <v>27509</v>
      </c>
      <c r="B11005" s="515" t="s">
        <v>467</v>
      </c>
      <c r="C11005" s="52">
        <v>235259.222840192</v>
      </c>
      <c r="D11005" s="56">
        <v>0.11855361433830618</v>
      </c>
      <c r="E11005" s="224" t="s">
        <v>2</v>
      </c>
      <c r="F11005" s="515" t="s">
        <v>12198</v>
      </c>
      <c r="G11005" s="52">
        <v>147713.36621565401</v>
      </c>
      <c r="H11005" s="56">
        <v>3.93066899207348E-2</v>
      </c>
      <c r="I11005" s="224" t="s">
        <v>2</v>
      </c>
    </row>
    <row r="11006" spans="1:9" x14ac:dyDescent="0.25">
      <c r="A11006" s="515">
        <v>62205</v>
      </c>
      <c r="B11006" s="515" t="s">
        <v>498</v>
      </c>
      <c r="C11006" s="52">
        <v>33097.0074672255</v>
      </c>
      <c r="D11006" s="56">
        <v>3.351777820402934E-2</v>
      </c>
      <c r="E11006" s="224" t="s">
        <v>2</v>
      </c>
      <c r="F11006" s="515" t="s">
        <v>12199</v>
      </c>
      <c r="G11006" s="52">
        <v>278315.93154290703</v>
      </c>
      <c r="H11006" s="56">
        <v>4.868456473722458E-2</v>
      </c>
      <c r="I11006" s="224" t="s">
        <v>2</v>
      </c>
    </row>
    <row r="11007" spans="1:9" x14ac:dyDescent="0.25">
      <c r="A11007" s="515">
        <v>60401</v>
      </c>
      <c r="B11007" s="515" t="s">
        <v>394</v>
      </c>
      <c r="C11007" s="52">
        <v>259772.977639219</v>
      </c>
      <c r="D11007" s="56">
        <v>6.3015708108948174E-2</v>
      </c>
      <c r="E11007" s="224" t="s">
        <v>2</v>
      </c>
      <c r="F11007" s="515" t="s">
        <v>12200</v>
      </c>
      <c r="G11007" s="52">
        <v>154101.039535018</v>
      </c>
      <c r="H11007" s="56">
        <v>5.7891561112125539E-2</v>
      </c>
      <c r="I11007" s="224" t="s">
        <v>2</v>
      </c>
    </row>
    <row r="11008" spans="1:9" x14ac:dyDescent="0.25">
      <c r="A11008" s="515">
        <v>32204</v>
      </c>
      <c r="B11008" s="515" t="s">
        <v>1158</v>
      </c>
      <c r="C11008" s="52">
        <v>341031.89577099099</v>
      </c>
      <c r="D11008" s="56">
        <v>0.14155812037888257</v>
      </c>
      <c r="E11008" s="224">
        <v>1699.96536796536</v>
      </c>
      <c r="F11008" s="515" t="s">
        <v>12201</v>
      </c>
      <c r="G11008" s="52">
        <v>272978.84249275102</v>
      </c>
      <c r="H11008" s="56">
        <v>0.11208031437512234</v>
      </c>
      <c r="I11008" s="224" t="s">
        <v>2</v>
      </c>
    </row>
    <row r="11009" spans="1:9" x14ac:dyDescent="0.25">
      <c r="A11009" s="515">
        <v>48039</v>
      </c>
      <c r="B11009" s="515" t="s">
        <v>685</v>
      </c>
      <c r="C11009" s="52">
        <v>189968.185694385</v>
      </c>
      <c r="D11009" s="56">
        <v>3.6560309031294549E-2</v>
      </c>
      <c r="E11009" s="224" t="s">
        <v>2</v>
      </c>
      <c r="F11009" s="515" t="s">
        <v>12202</v>
      </c>
      <c r="G11009" s="52">
        <v>542632.61451702996</v>
      </c>
      <c r="H11009" s="56">
        <v>6.8694400927654373E-2</v>
      </c>
      <c r="I11009" s="224" t="s">
        <v>2</v>
      </c>
    </row>
    <row r="11010" spans="1:9" x14ac:dyDescent="0.25">
      <c r="A11010" s="515">
        <v>46711</v>
      </c>
      <c r="B11010" s="515" t="s">
        <v>1166</v>
      </c>
      <c r="C11010" s="52">
        <v>189446.17225283099</v>
      </c>
      <c r="D11010" s="56">
        <v>9.0301430659665352E-2</v>
      </c>
      <c r="E11010" s="224" t="s">
        <v>2</v>
      </c>
      <c r="F11010" s="515" t="s">
        <v>12203</v>
      </c>
      <c r="G11010" s="52">
        <v>163436.06466754101</v>
      </c>
      <c r="H11010" s="56">
        <v>9.4860253730040506E-2</v>
      </c>
      <c r="I11010" s="224" t="s">
        <v>2</v>
      </c>
    </row>
    <row r="11011" spans="1:9" x14ac:dyDescent="0.25">
      <c r="A11011" s="515">
        <v>64759</v>
      </c>
      <c r="C11011" s="52">
        <v>135692.48269678999</v>
      </c>
      <c r="D11011" s="56">
        <v>8.07602301298085E-2</v>
      </c>
      <c r="E11011" s="224" t="s">
        <v>2</v>
      </c>
      <c r="F11011" s="515" t="s">
        <v>12204</v>
      </c>
      <c r="G11011" s="52">
        <v>151506.45774598699</v>
      </c>
      <c r="H11011" s="56">
        <v>7.1170583235419332E-2</v>
      </c>
      <c r="I11011" s="224" t="s">
        <v>2</v>
      </c>
    </row>
    <row r="11012" spans="1:9" x14ac:dyDescent="0.25">
      <c r="A11012" s="515">
        <v>71263</v>
      </c>
      <c r="C11012" s="52">
        <v>113634.11770840699</v>
      </c>
      <c r="D11012" s="56">
        <v>3.6626111806761188E-2</v>
      </c>
      <c r="E11012" s="224" t="s">
        <v>2</v>
      </c>
      <c r="F11012" s="515" t="s">
        <v>12205</v>
      </c>
      <c r="G11012" s="52">
        <v>158841.42566212299</v>
      </c>
      <c r="H11012" s="56">
        <v>-2.5556913969870736E-2</v>
      </c>
      <c r="I11012" s="224" t="s">
        <v>2</v>
      </c>
    </row>
    <row r="11013" spans="1:9" x14ac:dyDescent="0.25">
      <c r="A11013" s="515">
        <v>37871</v>
      </c>
      <c r="B11013" s="515" t="s">
        <v>907</v>
      </c>
      <c r="C11013" s="52">
        <v>238535.017327457</v>
      </c>
      <c r="D11013" s="56">
        <v>0.12575789954832431</v>
      </c>
      <c r="E11013" s="224" t="s">
        <v>2</v>
      </c>
      <c r="F11013" s="515" t="s">
        <v>12206</v>
      </c>
      <c r="G11013" s="52">
        <v>112165.27022626399</v>
      </c>
      <c r="H11013" s="56">
        <v>-6.0564003896276232E-2</v>
      </c>
      <c r="I11013" s="224" t="s">
        <v>2</v>
      </c>
    </row>
    <row r="11014" spans="1:9" x14ac:dyDescent="0.25">
      <c r="A11014" s="515">
        <v>76458</v>
      </c>
      <c r="C11014" s="52"/>
      <c r="D11014" s="56">
        <v>0</v>
      </c>
      <c r="E11014" s="224" t="s">
        <v>2</v>
      </c>
      <c r="F11014" s="515" t="s">
        <v>12207</v>
      </c>
      <c r="G11014" s="52">
        <v>111270.61201527499</v>
      </c>
      <c r="H11014" s="56">
        <v>6.8312658233065857E-2</v>
      </c>
      <c r="I11014" s="224" t="s">
        <v>2</v>
      </c>
    </row>
    <row r="11015" spans="1:9" x14ac:dyDescent="0.25">
      <c r="A11015" s="515">
        <v>23523</v>
      </c>
      <c r="B11015" s="515" t="s">
        <v>301</v>
      </c>
      <c r="C11015" s="52">
        <v>216074.44736692199</v>
      </c>
      <c r="D11015" s="56">
        <v>6.989134958033609E-2</v>
      </c>
      <c r="E11015" s="224" t="s">
        <v>2</v>
      </c>
      <c r="F11015" s="515" t="s">
        <v>12208</v>
      </c>
      <c r="G11015" s="52">
        <v>135415.73784518501</v>
      </c>
      <c r="H11015" s="56">
        <v>8.7744122601059668E-2</v>
      </c>
      <c r="I11015" s="224">
        <v>1400</v>
      </c>
    </row>
    <row r="11016" spans="1:9" x14ac:dyDescent="0.25">
      <c r="A11016" s="515">
        <v>74036</v>
      </c>
      <c r="B11016" s="515" t="s">
        <v>348</v>
      </c>
      <c r="C11016" s="52">
        <v>228616.09032405799</v>
      </c>
      <c r="D11016" s="56">
        <v>0.13415436843964462</v>
      </c>
      <c r="E11016" s="224" t="s">
        <v>2</v>
      </c>
      <c r="F11016" s="515" t="s">
        <v>12209</v>
      </c>
      <c r="G11016" s="52">
        <v>183472.66031057099</v>
      </c>
      <c r="H11016" s="56">
        <v>7.9447892777868873E-2</v>
      </c>
      <c r="I11016" s="224" t="s">
        <v>2</v>
      </c>
    </row>
    <row r="11017" spans="1:9" x14ac:dyDescent="0.25">
      <c r="A11017" s="515">
        <v>30817</v>
      </c>
      <c r="B11017" s="515" t="s">
        <v>888</v>
      </c>
      <c r="C11017" s="52">
        <v>203390.27216862299</v>
      </c>
      <c r="D11017" s="56">
        <v>0.11131901540642046</v>
      </c>
      <c r="E11017" s="224" t="s">
        <v>2</v>
      </c>
      <c r="F11017" s="515" t="s">
        <v>12210</v>
      </c>
      <c r="G11017" s="52">
        <v>147638.63579188901</v>
      </c>
      <c r="H11017" s="56">
        <v>6.5677626014857202E-2</v>
      </c>
      <c r="I11017" s="224" t="s">
        <v>2</v>
      </c>
    </row>
    <row r="11018" spans="1:9" x14ac:dyDescent="0.25">
      <c r="A11018" s="515">
        <v>4002</v>
      </c>
      <c r="B11018" s="515" t="s">
        <v>570</v>
      </c>
      <c r="C11018" s="52">
        <v>397282.98974447203</v>
      </c>
      <c r="D11018" s="56">
        <v>9.981637209781255E-2</v>
      </c>
      <c r="E11018" s="224" t="s">
        <v>2</v>
      </c>
      <c r="F11018" s="515" t="s">
        <v>12211</v>
      </c>
      <c r="G11018" s="52">
        <v>469783.970343975</v>
      </c>
      <c r="H11018" s="56">
        <v>0.11298947172480707</v>
      </c>
      <c r="I11018" s="224" t="s">
        <v>2</v>
      </c>
    </row>
    <row r="11019" spans="1:9" x14ac:dyDescent="0.25">
      <c r="A11019" s="515">
        <v>34251</v>
      </c>
      <c r="B11019" s="515" t="s">
        <v>466</v>
      </c>
      <c r="C11019" s="52">
        <v>596462.20254745299</v>
      </c>
      <c r="D11019" s="56">
        <v>0.1467672758836574</v>
      </c>
      <c r="E11019" s="224" t="s">
        <v>2</v>
      </c>
      <c r="F11019" s="515" t="s">
        <v>12212</v>
      </c>
      <c r="G11019" s="52">
        <v>119451.057369202</v>
      </c>
      <c r="H11019" s="56">
        <v>-1.187686340058368E-2</v>
      </c>
      <c r="I11019" s="224" t="s">
        <v>2</v>
      </c>
    </row>
    <row r="11020" spans="1:9" x14ac:dyDescent="0.25">
      <c r="A11020" s="515">
        <v>13152</v>
      </c>
      <c r="B11020" s="515" t="s">
        <v>361</v>
      </c>
      <c r="C11020" s="52">
        <v>503793.311554613</v>
      </c>
      <c r="D11020" s="56">
        <v>0.12151826925660394</v>
      </c>
      <c r="E11020" s="224" t="s">
        <v>2</v>
      </c>
      <c r="F11020" s="515" t="s">
        <v>12213</v>
      </c>
      <c r="G11020" s="52">
        <v>211399.30694660099</v>
      </c>
      <c r="H11020" s="56">
        <v>0.1152752350830987</v>
      </c>
      <c r="I11020" s="224" t="s">
        <v>2</v>
      </c>
    </row>
    <row r="11021" spans="1:9" x14ac:dyDescent="0.25">
      <c r="A11021" s="515">
        <v>7921</v>
      </c>
      <c r="B11021" s="515" t="s">
        <v>324</v>
      </c>
      <c r="C11021" s="52">
        <v>411500.65719879401</v>
      </c>
      <c r="D11021" s="56">
        <v>5.1655666694810753E-2</v>
      </c>
      <c r="E11021" s="224" t="s">
        <v>2</v>
      </c>
      <c r="F11021" s="515" t="s">
        <v>12214</v>
      </c>
      <c r="G11021" s="52">
        <v>125527.17210688601</v>
      </c>
      <c r="H11021" s="56">
        <v>-1.8298537406262382E-2</v>
      </c>
      <c r="I11021" s="224" t="s">
        <v>2</v>
      </c>
    </row>
    <row r="11022" spans="1:9" x14ac:dyDescent="0.25">
      <c r="A11022" s="515">
        <v>95139</v>
      </c>
      <c r="B11022" s="515" t="s">
        <v>850</v>
      </c>
      <c r="C11022" s="52">
        <v>1146966.29601321</v>
      </c>
      <c r="D11022" s="56">
        <v>1.5216806796327998E-2</v>
      </c>
      <c r="E11022" s="224" t="s">
        <v>2</v>
      </c>
      <c r="F11022" s="515" t="s">
        <v>12215</v>
      </c>
      <c r="G11022" s="52">
        <v>82798.025344767404</v>
      </c>
      <c r="H11022" s="56">
        <v>0.17123032953359699</v>
      </c>
      <c r="I11022" s="224" t="s">
        <v>2</v>
      </c>
    </row>
    <row r="11023" spans="1:9" x14ac:dyDescent="0.25">
      <c r="A11023" s="515">
        <v>85937</v>
      </c>
      <c r="B11023" s="515" t="s">
        <v>533</v>
      </c>
      <c r="C11023" s="52">
        <v>297473.17097844102</v>
      </c>
      <c r="D11023" s="56">
        <v>3.5035916575030426E-2</v>
      </c>
      <c r="E11023" s="224" t="s">
        <v>2</v>
      </c>
      <c r="F11023" s="515" t="s">
        <v>12216</v>
      </c>
      <c r="G11023" s="52">
        <v>451648.62001043698</v>
      </c>
      <c r="H11023" s="56">
        <v>0</v>
      </c>
      <c r="I11023" s="224" t="s">
        <v>2</v>
      </c>
    </row>
    <row r="11024" spans="1:9" x14ac:dyDescent="0.25">
      <c r="A11024" s="515">
        <v>35986</v>
      </c>
      <c r="B11024" s="515" t="s">
        <v>979</v>
      </c>
      <c r="C11024" s="52">
        <v>195619.41533352001</v>
      </c>
      <c r="D11024" s="56">
        <v>0.12608516213717486</v>
      </c>
      <c r="E11024" s="224" t="s">
        <v>2</v>
      </c>
      <c r="F11024" s="515" t="s">
        <v>12217</v>
      </c>
      <c r="G11024" s="52">
        <v>198442.92093977801</v>
      </c>
      <c r="H11024" s="56">
        <v>2.9790357724988278E-2</v>
      </c>
      <c r="I11024" s="224" t="s">
        <v>2</v>
      </c>
    </row>
    <row r="11025" spans="1:9" x14ac:dyDescent="0.25">
      <c r="A11025" s="515">
        <v>17043</v>
      </c>
      <c r="B11025" s="515" t="s">
        <v>428</v>
      </c>
      <c r="C11025" s="52">
        <v>216810.79117319101</v>
      </c>
      <c r="D11025" s="56">
        <v>9.11201544497314E-2</v>
      </c>
      <c r="E11025" s="224" t="s">
        <v>2</v>
      </c>
      <c r="F11025" s="515" t="s">
        <v>12218</v>
      </c>
      <c r="G11025" s="52">
        <v>61400.717326386999</v>
      </c>
      <c r="H11025" s="56">
        <v>9.0290843671076523E-2</v>
      </c>
      <c r="I11025" s="224" t="s">
        <v>2</v>
      </c>
    </row>
    <row r="11026" spans="1:9" x14ac:dyDescent="0.25">
      <c r="A11026" s="515">
        <v>74848</v>
      </c>
      <c r="C11026" s="52">
        <v>83776.281362982496</v>
      </c>
      <c r="D11026" s="56">
        <v>0.14666759540385865</v>
      </c>
      <c r="E11026" s="224" t="s">
        <v>2</v>
      </c>
      <c r="F11026" s="515" t="s">
        <v>12219</v>
      </c>
      <c r="G11026" s="52">
        <v>180897.79028219599</v>
      </c>
      <c r="H11026" s="56">
        <v>1.6395725578773033E-2</v>
      </c>
      <c r="I11026" s="224" t="s">
        <v>2</v>
      </c>
    </row>
    <row r="11027" spans="1:9" x14ac:dyDescent="0.25">
      <c r="A11027" s="515">
        <v>17061</v>
      </c>
      <c r="B11027" s="515" t="s">
        <v>428</v>
      </c>
      <c r="C11027" s="52">
        <v>179233.10097103001</v>
      </c>
      <c r="D11027" s="56">
        <v>0.12446374114375715</v>
      </c>
      <c r="E11027" s="224" t="s">
        <v>2</v>
      </c>
      <c r="F11027" s="515" t="s">
        <v>12220</v>
      </c>
      <c r="G11027" s="52">
        <v>249252.645527555</v>
      </c>
      <c r="H11027" s="56">
        <v>8.9541666503022768E-2</v>
      </c>
      <c r="I11027" s="224" t="s">
        <v>2</v>
      </c>
    </row>
    <row r="11028" spans="1:9" x14ac:dyDescent="0.25">
      <c r="A11028" s="515">
        <v>50707</v>
      </c>
      <c r="B11028" s="515" t="s">
        <v>315</v>
      </c>
      <c r="C11028" s="52">
        <v>128151.350521147</v>
      </c>
      <c r="D11028" s="56">
        <v>8.7127013789798466E-2</v>
      </c>
      <c r="E11028" s="224" t="s">
        <v>2</v>
      </c>
      <c r="F11028" s="515" t="s">
        <v>12221</v>
      </c>
      <c r="G11028" s="52">
        <v>166083.23427352399</v>
      </c>
      <c r="H11028" s="56">
        <v>8.3704564057969874E-2</v>
      </c>
      <c r="I11028" s="224" t="s">
        <v>2</v>
      </c>
    </row>
    <row r="11029" spans="1:9" x14ac:dyDescent="0.25">
      <c r="A11029" s="515">
        <v>6612</v>
      </c>
      <c r="B11029" s="515" t="s">
        <v>1173</v>
      </c>
      <c r="C11029" s="52">
        <v>762412.41898008401</v>
      </c>
      <c r="D11029" s="56">
        <v>5.8438125405674175E-2</v>
      </c>
      <c r="E11029" s="224" t="s">
        <v>2</v>
      </c>
      <c r="F11029" s="515" t="s">
        <v>12222</v>
      </c>
      <c r="G11029" s="52">
        <v>226863.73907741101</v>
      </c>
      <c r="H11029" s="56">
        <v>8.4617472582963732E-2</v>
      </c>
      <c r="I11029" s="224" t="s">
        <v>2</v>
      </c>
    </row>
    <row r="11030" spans="1:9" x14ac:dyDescent="0.25">
      <c r="A11030" s="515">
        <v>37890</v>
      </c>
      <c r="B11030" s="515" t="s">
        <v>786</v>
      </c>
      <c r="C11030" s="52">
        <v>234325.54789178699</v>
      </c>
      <c r="D11030" s="56">
        <v>0.11154465505258843</v>
      </c>
      <c r="E11030" s="224" t="s">
        <v>2</v>
      </c>
      <c r="F11030" s="515" t="s">
        <v>12223</v>
      </c>
      <c r="G11030" s="52">
        <v>396657.13951367099</v>
      </c>
      <c r="H11030" s="56">
        <v>5.8107947756066335E-2</v>
      </c>
      <c r="I11030" s="224" t="s">
        <v>2</v>
      </c>
    </row>
    <row r="11031" spans="1:9" x14ac:dyDescent="0.25">
      <c r="A11031" s="515">
        <v>95811</v>
      </c>
      <c r="B11031" s="515" t="s">
        <v>355</v>
      </c>
      <c r="C11031" s="52">
        <v>620729.49336078495</v>
      </c>
      <c r="D11031" s="56">
        <v>-2.171362540567821E-2</v>
      </c>
      <c r="E11031" s="224">
        <v>1994.55</v>
      </c>
      <c r="F11031" s="515" t="s">
        <v>12224</v>
      </c>
      <c r="G11031" s="52">
        <v>389637.102594884</v>
      </c>
      <c r="H11031" s="56">
        <v>3.5350822167135192E-2</v>
      </c>
      <c r="I11031" s="224" t="s">
        <v>2</v>
      </c>
    </row>
    <row r="11032" spans="1:9" x14ac:dyDescent="0.25">
      <c r="A11032" s="515">
        <v>63362</v>
      </c>
      <c r="B11032" s="515" t="s">
        <v>498</v>
      </c>
      <c r="C11032" s="52">
        <v>286302.37713061803</v>
      </c>
      <c r="D11032" s="56">
        <v>6.6014965481782234E-2</v>
      </c>
      <c r="E11032" s="224" t="s">
        <v>2</v>
      </c>
      <c r="F11032" s="515" t="s">
        <v>12225</v>
      </c>
      <c r="G11032" s="52">
        <v>418821.07006199099</v>
      </c>
      <c r="H11032" s="56">
        <v>2.2244693588643659E-3</v>
      </c>
      <c r="I11032" s="224" t="s">
        <v>2</v>
      </c>
    </row>
    <row r="11033" spans="1:9" x14ac:dyDescent="0.25">
      <c r="A11033" s="515">
        <v>49659</v>
      </c>
      <c r="C11033" s="52">
        <v>142268.624105458</v>
      </c>
      <c r="D11033" s="56">
        <v>5.4407808567299376E-2</v>
      </c>
      <c r="E11033" s="224" t="s">
        <v>2</v>
      </c>
      <c r="F11033" s="515" t="s">
        <v>12226</v>
      </c>
      <c r="G11033" s="52">
        <v>342664.105517975</v>
      </c>
      <c r="H11033" s="56">
        <v>-2.3208925193927796E-2</v>
      </c>
      <c r="I11033" s="224" t="s">
        <v>2</v>
      </c>
    </row>
    <row r="11034" spans="1:9" x14ac:dyDescent="0.25">
      <c r="A11034" s="515">
        <v>40202</v>
      </c>
      <c r="B11034" s="515" t="s">
        <v>479</v>
      </c>
      <c r="C11034" s="52">
        <v>317431.28964540199</v>
      </c>
      <c r="D11034" s="56">
        <v>2.193028928913926E-2</v>
      </c>
      <c r="E11034" s="224">
        <v>1351.86666666666</v>
      </c>
      <c r="F11034" s="515" t="s">
        <v>12227</v>
      </c>
      <c r="G11034" s="52">
        <v>133056.27064683801</v>
      </c>
      <c r="H11034" s="56">
        <v>0.11450309127566814</v>
      </c>
      <c r="I11034" s="224" t="s">
        <v>2</v>
      </c>
    </row>
    <row r="11035" spans="1:9" x14ac:dyDescent="0.25">
      <c r="A11035" s="515">
        <v>62260</v>
      </c>
      <c r="B11035" s="515" t="s">
        <v>498</v>
      </c>
      <c r="C11035" s="52">
        <v>234706.65648882199</v>
      </c>
      <c r="D11035" s="56">
        <v>9.9334803106392214E-2</v>
      </c>
      <c r="E11035" s="224" t="s">
        <v>2</v>
      </c>
      <c r="F11035" s="515" t="s">
        <v>12228</v>
      </c>
      <c r="G11035" s="52">
        <v>116835.608518209</v>
      </c>
      <c r="H11035" s="56">
        <v>6.5459673204827859E-3</v>
      </c>
      <c r="I11035" s="224" t="s">
        <v>2</v>
      </c>
    </row>
    <row r="11036" spans="1:9" x14ac:dyDescent="0.25">
      <c r="A11036" s="515">
        <v>17569</v>
      </c>
      <c r="B11036" s="515" t="s">
        <v>537</v>
      </c>
      <c r="C11036" s="52">
        <v>313925.250148536</v>
      </c>
      <c r="D11036" s="56">
        <v>9.4812592898340389E-2</v>
      </c>
      <c r="E11036" s="224" t="s">
        <v>2</v>
      </c>
      <c r="F11036" s="515" t="s">
        <v>12229</v>
      </c>
      <c r="G11036" s="52">
        <v>173476.86363636301</v>
      </c>
      <c r="H11036" s="56">
        <v>0</v>
      </c>
      <c r="I11036" s="224" t="s">
        <v>2</v>
      </c>
    </row>
    <row r="11037" spans="1:9" x14ac:dyDescent="0.25">
      <c r="A11037" s="515">
        <v>37347</v>
      </c>
      <c r="B11037" s="515" t="s">
        <v>622</v>
      </c>
      <c r="C11037" s="52">
        <v>204767.76719165401</v>
      </c>
      <c r="D11037" s="56">
        <v>0.10855555651473418</v>
      </c>
      <c r="E11037" s="224" t="s">
        <v>2</v>
      </c>
      <c r="F11037" s="515" t="s">
        <v>12230</v>
      </c>
      <c r="G11037" s="52">
        <v>112947.96682044301</v>
      </c>
      <c r="H11037" s="56">
        <v>7.4873416517540092E-2</v>
      </c>
      <c r="I11037" s="224" t="s">
        <v>2</v>
      </c>
    </row>
    <row r="11038" spans="1:9" x14ac:dyDescent="0.25">
      <c r="A11038" s="515">
        <v>75754</v>
      </c>
      <c r="C11038" s="52">
        <v>284803.39987351297</v>
      </c>
      <c r="D11038" s="56">
        <v>-2.4266440496789436E-2</v>
      </c>
      <c r="E11038" s="224" t="s">
        <v>2</v>
      </c>
      <c r="F11038" s="515" t="s">
        <v>12231</v>
      </c>
      <c r="G11038" s="52">
        <v>263233.08835164999</v>
      </c>
      <c r="H11038" s="56">
        <v>6.5243016896772199E-2</v>
      </c>
      <c r="I11038" s="224" t="s">
        <v>2</v>
      </c>
    </row>
    <row r="11039" spans="1:9" x14ac:dyDescent="0.25">
      <c r="A11039" s="515">
        <v>44287</v>
      </c>
      <c r="B11039" s="515" t="s">
        <v>1136</v>
      </c>
      <c r="C11039" s="52">
        <v>265509.62414956302</v>
      </c>
      <c r="D11039" s="56">
        <v>0.33043340668616727</v>
      </c>
      <c r="E11039" s="224" t="s">
        <v>2</v>
      </c>
      <c r="F11039" s="515" t="s">
        <v>12232</v>
      </c>
      <c r="G11039" s="52">
        <v>107583.545877463</v>
      </c>
      <c r="H11039" s="56">
        <v>0.12357979056048755</v>
      </c>
      <c r="I11039" s="224" t="s">
        <v>2</v>
      </c>
    </row>
    <row r="11040" spans="1:9" x14ac:dyDescent="0.25">
      <c r="A11040" s="515">
        <v>32440</v>
      </c>
      <c r="C11040" s="52">
        <v>156771.729553635</v>
      </c>
      <c r="D11040" s="56">
        <v>0.1529198422707076</v>
      </c>
      <c r="E11040" s="224" t="s">
        <v>2</v>
      </c>
      <c r="F11040" s="515" t="s">
        <v>12233</v>
      </c>
      <c r="G11040" s="52">
        <v>251158.815488519</v>
      </c>
      <c r="H11040" s="56">
        <v>6.7714782503177126E-2</v>
      </c>
      <c r="I11040" s="224" t="s">
        <v>2</v>
      </c>
    </row>
    <row r="11041" spans="1:9" x14ac:dyDescent="0.25">
      <c r="A11041" s="515">
        <v>48218</v>
      </c>
      <c r="B11041" s="515" t="s">
        <v>685</v>
      </c>
      <c r="C11041" s="52">
        <v>63905.225002403698</v>
      </c>
      <c r="D11041" s="56">
        <v>0.15029312912015141</v>
      </c>
      <c r="E11041" s="224" t="s">
        <v>2</v>
      </c>
      <c r="F11041" s="515" t="s">
        <v>12234</v>
      </c>
      <c r="G11041" s="52">
        <v>141647.60067917799</v>
      </c>
      <c r="H11041" s="56">
        <v>4.7972730499430433E-2</v>
      </c>
      <c r="I11041" s="224" t="s">
        <v>2</v>
      </c>
    </row>
    <row r="11042" spans="1:9" x14ac:dyDescent="0.25">
      <c r="A11042" s="515">
        <v>23219</v>
      </c>
      <c r="B11042" s="515" t="s">
        <v>667</v>
      </c>
      <c r="C11042" s="52">
        <v>305636.91960307898</v>
      </c>
      <c r="D11042" s="56">
        <v>2.1131608805370832E-2</v>
      </c>
      <c r="E11042" s="224">
        <v>1548.6527777777701</v>
      </c>
      <c r="F11042" s="515" t="s">
        <v>12235</v>
      </c>
      <c r="G11042" s="52">
        <v>381259.16858967103</v>
      </c>
      <c r="H11042" s="56">
        <v>1.3746334379765388E-2</v>
      </c>
      <c r="I11042" s="224" t="s">
        <v>2</v>
      </c>
    </row>
    <row r="11043" spans="1:9" x14ac:dyDescent="0.25">
      <c r="A11043" s="515">
        <v>28694</v>
      </c>
      <c r="C11043" s="52">
        <v>290080.97186357499</v>
      </c>
      <c r="D11043" s="56">
        <v>0.11011985133286302</v>
      </c>
      <c r="E11043" s="224" t="s">
        <v>2</v>
      </c>
      <c r="F11043" s="515" t="s">
        <v>12236</v>
      </c>
      <c r="G11043" s="52">
        <v>120208.297175566</v>
      </c>
      <c r="H11043" s="56">
        <v>0.13686025567906354</v>
      </c>
      <c r="I11043" s="224" t="s">
        <v>2</v>
      </c>
    </row>
    <row r="11044" spans="1:9" x14ac:dyDescent="0.25">
      <c r="A11044" s="515">
        <v>46204</v>
      </c>
      <c r="B11044" s="515" t="s">
        <v>403</v>
      </c>
      <c r="C11044" s="52">
        <v>344542.46923366701</v>
      </c>
      <c r="D11044" s="56">
        <v>-8.5269784788857897E-2</v>
      </c>
      <c r="E11044" s="224">
        <v>1519.75427350427</v>
      </c>
      <c r="F11044" s="515" t="s">
        <v>12237</v>
      </c>
      <c r="G11044" s="52">
        <v>215664.02520331999</v>
      </c>
      <c r="H11044" s="56">
        <v>0.11584978921649793</v>
      </c>
      <c r="I11044" s="224" t="s">
        <v>2</v>
      </c>
    </row>
    <row r="11045" spans="1:9" x14ac:dyDescent="0.25">
      <c r="A11045" s="515">
        <v>92210</v>
      </c>
      <c r="B11045" s="515" t="s">
        <v>599</v>
      </c>
      <c r="C11045" s="52">
        <v>1206600.6125795101</v>
      </c>
      <c r="D11045" s="56">
        <v>0.10383602889409677</v>
      </c>
      <c r="E11045" s="224" t="s">
        <v>2</v>
      </c>
      <c r="F11045" s="515" t="s">
        <v>12238</v>
      </c>
      <c r="G11045" s="52">
        <v>184456.202895202</v>
      </c>
      <c r="H11045" s="56">
        <v>0.126156842722801</v>
      </c>
      <c r="I11045" s="224" t="s">
        <v>2</v>
      </c>
    </row>
    <row r="11046" spans="1:9" x14ac:dyDescent="0.25">
      <c r="A11046" s="515">
        <v>37701</v>
      </c>
      <c r="B11046" s="515" t="s">
        <v>907</v>
      </c>
      <c r="C11046" s="52">
        <v>246795.44332323899</v>
      </c>
      <c r="D11046" s="56">
        <v>9.9703873622345882E-2</v>
      </c>
      <c r="E11046" s="224" t="s">
        <v>2</v>
      </c>
      <c r="F11046" s="515" t="s">
        <v>12239</v>
      </c>
      <c r="G11046" s="52">
        <v>124726.061115288</v>
      </c>
      <c r="H11046" s="56">
        <v>0.17973526514704921</v>
      </c>
      <c r="I11046" s="224" t="s">
        <v>2</v>
      </c>
    </row>
    <row r="11047" spans="1:9" x14ac:dyDescent="0.25">
      <c r="A11047" s="515">
        <v>62049</v>
      </c>
      <c r="C11047" s="52">
        <v>91429.239920427295</v>
      </c>
      <c r="D11047" s="56">
        <v>1.7485563679552507E-2</v>
      </c>
      <c r="E11047" s="224" t="s">
        <v>2</v>
      </c>
      <c r="F11047" s="515" t="s">
        <v>12240</v>
      </c>
      <c r="G11047" s="52">
        <v>85854.935760171298</v>
      </c>
      <c r="H11047" s="56">
        <v>0</v>
      </c>
      <c r="I11047" s="224" t="s">
        <v>2</v>
      </c>
    </row>
    <row r="11048" spans="1:9" x14ac:dyDescent="0.25">
      <c r="A11048" s="515">
        <v>15478</v>
      </c>
      <c r="B11048" s="515" t="s">
        <v>297</v>
      </c>
      <c r="C11048" s="52">
        <v>141811.024612835</v>
      </c>
      <c r="D11048" s="56">
        <v>1.2784254312279584E-2</v>
      </c>
      <c r="E11048" s="224" t="s">
        <v>2</v>
      </c>
      <c r="F11048" s="515" t="s">
        <v>12241</v>
      </c>
      <c r="G11048" s="52">
        <v>202645.56154529401</v>
      </c>
      <c r="H11048" s="56">
        <v>7.3178121989935924E-2</v>
      </c>
      <c r="I11048" s="224" t="s">
        <v>2</v>
      </c>
    </row>
    <row r="11049" spans="1:9" x14ac:dyDescent="0.25">
      <c r="A11049" s="515">
        <v>5488</v>
      </c>
      <c r="B11049" s="515" t="s">
        <v>441</v>
      </c>
      <c r="C11049" s="52">
        <v>305930.98956506699</v>
      </c>
      <c r="D11049" s="56">
        <v>0.10638665442446002</v>
      </c>
      <c r="E11049" s="224" t="s">
        <v>2</v>
      </c>
      <c r="F11049" s="515" t="s">
        <v>12242</v>
      </c>
      <c r="G11049" s="52">
        <v>210620.942999825</v>
      </c>
      <c r="H11049" s="56">
        <v>4.7490511767361368E-2</v>
      </c>
      <c r="I11049" s="224" t="s">
        <v>2</v>
      </c>
    </row>
    <row r="11050" spans="1:9" x14ac:dyDescent="0.25">
      <c r="A11050" s="515">
        <v>12043</v>
      </c>
      <c r="B11050" s="515" t="s">
        <v>609</v>
      </c>
      <c r="C11050" s="52">
        <v>206441.156496257</v>
      </c>
      <c r="D11050" s="56">
        <v>9.0803742427067416E-2</v>
      </c>
      <c r="E11050" s="224" t="s">
        <v>2</v>
      </c>
      <c r="F11050" s="515" t="s">
        <v>12243</v>
      </c>
      <c r="G11050" s="52">
        <v>150121.116317557</v>
      </c>
      <c r="H11050" s="56">
        <v>8.7122980587442334E-2</v>
      </c>
      <c r="I11050" s="224" t="s">
        <v>2</v>
      </c>
    </row>
    <row r="11051" spans="1:9" x14ac:dyDescent="0.25">
      <c r="A11051" s="515">
        <v>33476</v>
      </c>
      <c r="B11051" s="515" t="s">
        <v>831</v>
      </c>
      <c r="C11051" s="52">
        <v>173410.94279633599</v>
      </c>
      <c r="D11051" s="56">
        <v>0.16896211605217701</v>
      </c>
      <c r="E11051" s="224" t="s">
        <v>2</v>
      </c>
      <c r="F11051" s="515" t="s">
        <v>12244</v>
      </c>
      <c r="G11051" s="52">
        <v>153954.19905919401</v>
      </c>
      <c r="H11051" s="56">
        <v>0.10274857042860797</v>
      </c>
      <c r="I11051" s="224" t="s">
        <v>2</v>
      </c>
    </row>
    <row r="11052" spans="1:9" x14ac:dyDescent="0.25">
      <c r="A11052" s="515">
        <v>60020</v>
      </c>
      <c r="B11052" s="515" t="s">
        <v>394</v>
      </c>
      <c r="C11052" s="52">
        <v>212453.938686999</v>
      </c>
      <c r="D11052" s="56">
        <v>7.2675538914402565E-2</v>
      </c>
      <c r="E11052" s="224" t="s">
        <v>2</v>
      </c>
      <c r="F11052" s="515" t="s">
        <v>12245</v>
      </c>
      <c r="G11052" s="52">
        <v>126993.150521574</v>
      </c>
      <c r="H11052" s="56">
        <v>-4.817936682973762E-2</v>
      </c>
      <c r="I11052" s="224" t="s">
        <v>2</v>
      </c>
    </row>
    <row r="11053" spans="1:9" x14ac:dyDescent="0.25">
      <c r="A11053" s="515">
        <v>77957</v>
      </c>
      <c r="C11053" s="52">
        <v>168099.84184480199</v>
      </c>
      <c r="D11053" s="56">
        <v>-6.5261367246049543E-2</v>
      </c>
      <c r="E11053" s="224" t="s">
        <v>2</v>
      </c>
      <c r="F11053" s="515" t="s">
        <v>12246</v>
      </c>
      <c r="G11053" s="52">
        <v>153020.263011476</v>
      </c>
      <c r="H11053" s="56">
        <v>7.1843821935758431E-2</v>
      </c>
      <c r="I11053" s="224" t="s">
        <v>2</v>
      </c>
    </row>
    <row r="11054" spans="1:9" x14ac:dyDescent="0.25">
      <c r="A11054" s="515">
        <v>17555</v>
      </c>
      <c r="B11054" s="515" t="s">
        <v>537</v>
      </c>
      <c r="C11054" s="52">
        <v>383432.37682669901</v>
      </c>
      <c r="D11054" s="56">
        <v>8.7761605995536576E-2</v>
      </c>
      <c r="E11054" s="224" t="s">
        <v>2</v>
      </c>
      <c r="F11054" s="515" t="s">
        <v>12247</v>
      </c>
      <c r="G11054" s="52">
        <v>236244.08180564601</v>
      </c>
      <c r="H11054" s="56">
        <v>7.8769011228774249E-2</v>
      </c>
      <c r="I11054" s="224" t="s">
        <v>2</v>
      </c>
    </row>
    <row r="11055" spans="1:9" x14ac:dyDescent="0.25">
      <c r="A11055" s="515">
        <v>8515</v>
      </c>
      <c r="B11055" s="515" t="s">
        <v>294</v>
      </c>
      <c r="C11055" s="52">
        <v>563510.90619362902</v>
      </c>
      <c r="D11055" s="56">
        <v>7.3212126338604647E-2</v>
      </c>
      <c r="E11055" s="224" t="s">
        <v>2</v>
      </c>
      <c r="F11055" s="515" t="s">
        <v>12248</v>
      </c>
      <c r="G11055" s="52">
        <v>305990.46671693801</v>
      </c>
      <c r="H11055" s="56">
        <v>-1.430712006923127E-2</v>
      </c>
      <c r="I11055" s="224" t="s">
        <v>2</v>
      </c>
    </row>
    <row r="11056" spans="1:9" x14ac:dyDescent="0.25">
      <c r="A11056" s="515">
        <v>18324</v>
      </c>
      <c r="B11056" s="515" t="s">
        <v>324</v>
      </c>
      <c r="C11056" s="52">
        <v>230773.766395051</v>
      </c>
      <c r="D11056" s="56">
        <v>0.11592721991802001</v>
      </c>
      <c r="E11056" s="224" t="s">
        <v>2</v>
      </c>
      <c r="F11056" s="515" t="s">
        <v>12249</v>
      </c>
      <c r="G11056" s="52">
        <v>2184588.0381343001</v>
      </c>
      <c r="H11056" s="56">
        <v>0.17694541621189391</v>
      </c>
      <c r="I11056" s="224" t="s">
        <v>2</v>
      </c>
    </row>
    <row r="11057" spans="1:9" x14ac:dyDescent="0.25">
      <c r="A11057" s="515">
        <v>36853</v>
      </c>
      <c r="B11057" s="515" t="s">
        <v>862</v>
      </c>
      <c r="C11057" s="52">
        <v>417536.89062007703</v>
      </c>
      <c r="D11057" s="56">
        <v>6.327302901119615E-2</v>
      </c>
      <c r="E11057" s="224" t="s">
        <v>2</v>
      </c>
      <c r="F11057" s="515" t="s">
        <v>12250</v>
      </c>
      <c r="G11057" s="52">
        <v>250173.41208140401</v>
      </c>
      <c r="H11057" s="56">
        <v>4.9318042513343902E-2</v>
      </c>
      <c r="I11057" s="224" t="s">
        <v>2</v>
      </c>
    </row>
    <row r="11058" spans="1:9" x14ac:dyDescent="0.25">
      <c r="A11058" s="515">
        <v>72011</v>
      </c>
      <c r="B11058" s="515" t="s">
        <v>393</v>
      </c>
      <c r="C11058" s="52">
        <v>193778.42608118299</v>
      </c>
      <c r="D11058" s="56">
        <v>5.5997935188562428E-2</v>
      </c>
      <c r="E11058" s="224" t="s">
        <v>2</v>
      </c>
      <c r="F11058" s="515" t="s">
        <v>12251</v>
      </c>
      <c r="G11058" s="52">
        <v>377149.452037104</v>
      </c>
      <c r="H11058" s="56">
        <v>6.2792662806652716E-2</v>
      </c>
      <c r="I11058" s="224" t="s">
        <v>2</v>
      </c>
    </row>
    <row r="11059" spans="1:9" x14ac:dyDescent="0.25">
      <c r="A11059" s="515">
        <v>67880</v>
      </c>
      <c r="C11059" s="52">
        <v>131482.24200653299</v>
      </c>
      <c r="D11059" s="56">
        <v>4.2611121710588687E-2</v>
      </c>
      <c r="E11059" s="224" t="s">
        <v>2</v>
      </c>
      <c r="F11059" s="515" t="s">
        <v>12252</v>
      </c>
      <c r="G11059" s="52">
        <v>287887.65467063099</v>
      </c>
      <c r="H11059" s="56">
        <v>0.12103201497822322</v>
      </c>
      <c r="I11059" s="224" t="s">
        <v>2</v>
      </c>
    </row>
    <row r="11060" spans="1:9" x14ac:dyDescent="0.25">
      <c r="A11060" s="515">
        <v>32814</v>
      </c>
      <c r="B11060" s="515" t="s">
        <v>517</v>
      </c>
      <c r="C11060" s="52">
        <v>677290.98035921797</v>
      </c>
      <c r="D11060" s="56">
        <v>9.8011481455991561E-2</v>
      </c>
      <c r="E11060" s="224">
        <v>2174.5833333333298</v>
      </c>
      <c r="F11060" s="515" t="s">
        <v>12253</v>
      </c>
      <c r="G11060" s="52">
        <v>319688.02454199799</v>
      </c>
      <c r="H11060" s="56">
        <v>0.10963442357853763</v>
      </c>
      <c r="I11060" s="224" t="s">
        <v>2</v>
      </c>
    </row>
    <row r="11061" spans="1:9" x14ac:dyDescent="0.25">
      <c r="A11061" s="515">
        <v>32112</v>
      </c>
      <c r="B11061" s="515" t="s">
        <v>920</v>
      </c>
      <c r="C11061" s="52">
        <v>181198.09206765</v>
      </c>
      <c r="D11061" s="56">
        <v>0.10304819258254078</v>
      </c>
      <c r="E11061" s="224" t="s">
        <v>2</v>
      </c>
      <c r="F11061" s="515" t="s">
        <v>12254</v>
      </c>
      <c r="G11061" s="52">
        <v>189329.734659715</v>
      </c>
      <c r="H11061" s="56">
        <v>0.16352157029557754</v>
      </c>
      <c r="I11061" s="224" t="s">
        <v>2</v>
      </c>
    </row>
    <row r="11062" spans="1:9" x14ac:dyDescent="0.25">
      <c r="A11062" s="515">
        <v>32439</v>
      </c>
      <c r="B11062" s="515" t="s">
        <v>1078</v>
      </c>
      <c r="C11062" s="52">
        <v>418809.26274801098</v>
      </c>
      <c r="D11062" s="56">
        <v>8.3531410951222865E-2</v>
      </c>
      <c r="E11062" s="224">
        <v>2143.3333333333298</v>
      </c>
      <c r="F11062" s="515" t="s">
        <v>12255</v>
      </c>
      <c r="G11062" s="52">
        <v>98489.501546340907</v>
      </c>
      <c r="H11062" s="56">
        <v>0</v>
      </c>
      <c r="I11062" s="224" t="s">
        <v>2</v>
      </c>
    </row>
    <row r="11063" spans="1:9" x14ac:dyDescent="0.25">
      <c r="A11063" s="515">
        <v>78073</v>
      </c>
      <c r="B11063" s="515" t="s">
        <v>717</v>
      </c>
      <c r="C11063" s="52">
        <v>247386.87389844499</v>
      </c>
      <c r="D11063" s="56">
        <v>3.5866034507727157E-2</v>
      </c>
      <c r="E11063" s="224" t="s">
        <v>2</v>
      </c>
      <c r="F11063" s="515" t="s">
        <v>12256</v>
      </c>
      <c r="G11063" s="52">
        <v>144061.728861774</v>
      </c>
      <c r="H11063" s="56">
        <v>6.0855817702288435E-2</v>
      </c>
      <c r="I11063" s="224" t="s">
        <v>2</v>
      </c>
    </row>
    <row r="11064" spans="1:9" x14ac:dyDescent="0.25">
      <c r="A11064" s="515">
        <v>98589</v>
      </c>
      <c r="B11064" s="515" t="s">
        <v>527</v>
      </c>
      <c r="C11064" s="52">
        <v>457842.55950304499</v>
      </c>
      <c r="D11064" s="56">
        <v>2.2152456004632733E-2</v>
      </c>
      <c r="E11064" s="224" t="s">
        <v>2</v>
      </c>
      <c r="F11064" s="515" t="s">
        <v>12257</v>
      </c>
      <c r="G11064" s="52">
        <v>223345.69831453299</v>
      </c>
      <c r="H11064" s="56">
        <v>5.0332609414292601E-2</v>
      </c>
      <c r="I11064" s="224" t="s">
        <v>2</v>
      </c>
    </row>
    <row r="11065" spans="1:9" x14ac:dyDescent="0.25">
      <c r="A11065" s="515">
        <v>77486</v>
      </c>
      <c r="B11065" s="515" t="s">
        <v>314</v>
      </c>
      <c r="C11065" s="52">
        <v>232387.305755804</v>
      </c>
      <c r="D11065" s="56">
        <v>3.6391926215456019E-2</v>
      </c>
      <c r="E11065" s="224" t="s">
        <v>2</v>
      </c>
      <c r="F11065" s="515" t="s">
        <v>12258</v>
      </c>
      <c r="G11065" s="52">
        <v>116974.856210026</v>
      </c>
      <c r="H11065" s="56">
        <v>3.1109936839107552E-2</v>
      </c>
      <c r="I11065" s="224" t="s">
        <v>2</v>
      </c>
    </row>
    <row r="11066" spans="1:9" x14ac:dyDescent="0.25">
      <c r="A11066" s="515">
        <v>36732</v>
      </c>
      <c r="C11066" s="52">
        <v>139444.0524399</v>
      </c>
      <c r="D11066" s="56">
        <v>4.2759473944418785E-2</v>
      </c>
      <c r="E11066" s="224" t="s">
        <v>2</v>
      </c>
      <c r="F11066" s="515" t="s">
        <v>12259</v>
      </c>
      <c r="G11066" s="52">
        <v>202817.14594254701</v>
      </c>
      <c r="H11066" s="56">
        <v>0.14283152033954202</v>
      </c>
      <c r="I11066" s="224" t="s">
        <v>2</v>
      </c>
    </row>
    <row r="11067" spans="1:9" x14ac:dyDescent="0.25">
      <c r="A11067" s="515">
        <v>13339</v>
      </c>
      <c r="B11067" s="515" t="s">
        <v>378</v>
      </c>
      <c r="C11067" s="52">
        <v>143316.232603693</v>
      </c>
      <c r="D11067" s="56">
        <v>0.14480490998721804</v>
      </c>
      <c r="E11067" s="224" t="s">
        <v>2</v>
      </c>
      <c r="F11067" s="515" t="s">
        <v>12260</v>
      </c>
      <c r="G11067" s="52">
        <v>450939.46855877299</v>
      </c>
      <c r="H11067" s="56">
        <v>-4.6311817232206114E-2</v>
      </c>
      <c r="I11067" s="224" t="s">
        <v>2</v>
      </c>
    </row>
    <row r="11068" spans="1:9" x14ac:dyDescent="0.25">
      <c r="A11068" s="515">
        <v>5855</v>
      </c>
      <c r="C11068" s="52">
        <v>219805.245805121</v>
      </c>
      <c r="D11068" s="56">
        <v>9.3424384549658443E-2</v>
      </c>
      <c r="E11068" s="224" t="s">
        <v>2</v>
      </c>
      <c r="F11068" s="515" t="s">
        <v>12261</v>
      </c>
      <c r="G11068" s="52">
        <v>203598.863838038</v>
      </c>
      <c r="H11068" s="56">
        <v>4.8075458218710031E-2</v>
      </c>
      <c r="I11068" s="224" t="s">
        <v>2</v>
      </c>
    </row>
    <row r="11069" spans="1:9" x14ac:dyDescent="0.25">
      <c r="A11069" s="515">
        <v>68102</v>
      </c>
      <c r="B11069" s="515" t="s">
        <v>367</v>
      </c>
      <c r="C11069" s="52">
        <v>308993.94933485601</v>
      </c>
      <c r="D11069" s="56">
        <v>5.3413337731893974E-2</v>
      </c>
      <c r="E11069" s="224">
        <v>1184.24444444444</v>
      </c>
      <c r="F11069" s="515" t="s">
        <v>12262</v>
      </c>
      <c r="G11069" s="52">
        <v>257714.99024873899</v>
      </c>
      <c r="H11069" s="56">
        <v>6.1285931624127953E-2</v>
      </c>
      <c r="I11069" s="224" t="s">
        <v>2</v>
      </c>
    </row>
    <row r="11070" spans="1:9" x14ac:dyDescent="0.25">
      <c r="A11070" s="515">
        <v>53010</v>
      </c>
      <c r="B11070" s="515" t="s">
        <v>987</v>
      </c>
      <c r="C11070" s="52">
        <v>279011.89836649998</v>
      </c>
      <c r="D11070" s="56">
        <v>3.5106645309864903E-2</v>
      </c>
      <c r="E11070" s="224" t="s">
        <v>2</v>
      </c>
      <c r="F11070" s="515" t="s">
        <v>12263</v>
      </c>
      <c r="G11070" s="52">
        <v>1014742.2004615</v>
      </c>
      <c r="H11070" s="56">
        <v>0.14296112305143255</v>
      </c>
      <c r="I11070" s="224" t="s">
        <v>2</v>
      </c>
    </row>
    <row r="11071" spans="1:9" x14ac:dyDescent="0.25">
      <c r="A11071" s="515">
        <v>8530</v>
      </c>
      <c r="B11071" s="515" t="s">
        <v>324</v>
      </c>
      <c r="C11071" s="52">
        <v>498065.91979061998</v>
      </c>
      <c r="D11071" s="56">
        <v>2.7263125010391624E-2</v>
      </c>
      <c r="E11071" s="224" t="s">
        <v>2</v>
      </c>
      <c r="F11071" s="515" t="s">
        <v>12264</v>
      </c>
      <c r="G11071" s="52">
        <v>91114.725269898205</v>
      </c>
      <c r="H11071" s="56">
        <v>2.4821023166074997E-3</v>
      </c>
      <c r="I11071" s="224" t="s">
        <v>2</v>
      </c>
    </row>
    <row r="11072" spans="1:9" x14ac:dyDescent="0.25">
      <c r="A11072" s="515">
        <v>89519</v>
      </c>
      <c r="B11072" s="515" t="s">
        <v>581</v>
      </c>
      <c r="C11072" s="52">
        <v>790225.41804361902</v>
      </c>
      <c r="D11072" s="56">
        <v>-2.4552751900099919E-2</v>
      </c>
      <c r="E11072" s="224">
        <v>2138.7777777777701</v>
      </c>
      <c r="F11072" s="515" t="s">
        <v>12265</v>
      </c>
      <c r="G11072" s="52">
        <v>132688.64280716199</v>
      </c>
      <c r="H11072" s="56">
        <v>-3.7950257306739413E-2</v>
      </c>
      <c r="I11072" s="224" t="s">
        <v>2</v>
      </c>
    </row>
    <row r="11073" spans="1:9" x14ac:dyDescent="0.25">
      <c r="A11073" s="515">
        <v>63016</v>
      </c>
      <c r="B11073" s="515" t="s">
        <v>498</v>
      </c>
      <c r="C11073" s="52">
        <v>220765.563596705</v>
      </c>
      <c r="D11073" s="56">
        <v>6.8335757748507711E-2</v>
      </c>
      <c r="E11073" s="224" t="s">
        <v>2</v>
      </c>
      <c r="F11073" s="515" t="s">
        <v>12266</v>
      </c>
      <c r="G11073" s="52">
        <v>149166.44697862101</v>
      </c>
      <c r="H11073" s="56">
        <v>0.1174399139886895</v>
      </c>
      <c r="I11073" s="224" t="s">
        <v>2</v>
      </c>
    </row>
    <row r="11074" spans="1:9" x14ac:dyDescent="0.25">
      <c r="A11074" s="515">
        <v>15851</v>
      </c>
      <c r="C11074" s="52">
        <v>80889.112337708502</v>
      </c>
      <c r="D11074" s="56">
        <v>-4.9086831503820719E-2</v>
      </c>
      <c r="E11074" s="224" t="s">
        <v>2</v>
      </c>
      <c r="F11074" s="515" t="s">
        <v>12267</v>
      </c>
      <c r="G11074" s="52">
        <v>667463.22366108396</v>
      </c>
      <c r="H11074" s="56">
        <v>3.6251515776438592E-2</v>
      </c>
      <c r="I11074" s="224" t="s">
        <v>2</v>
      </c>
    </row>
    <row r="11075" spans="1:9" x14ac:dyDescent="0.25">
      <c r="A11075" s="515">
        <v>1523</v>
      </c>
      <c r="B11075" s="515" t="s">
        <v>751</v>
      </c>
      <c r="C11075" s="52">
        <v>481973.67438153899</v>
      </c>
      <c r="D11075" s="56">
        <v>8.1660575459896897E-2</v>
      </c>
      <c r="E11075" s="224" t="s">
        <v>2</v>
      </c>
      <c r="F11075" s="515" t="s">
        <v>12268</v>
      </c>
      <c r="G11075" s="52">
        <v>209378.40939265399</v>
      </c>
      <c r="H11075" s="56">
        <v>5.9335260755303008E-2</v>
      </c>
      <c r="I11075" s="224" t="s">
        <v>2</v>
      </c>
    </row>
    <row r="11076" spans="1:9" x14ac:dyDescent="0.25">
      <c r="A11076" s="515">
        <v>75114</v>
      </c>
      <c r="B11076" s="515" t="s">
        <v>458</v>
      </c>
      <c r="C11076" s="52">
        <v>291081.42048566003</v>
      </c>
      <c r="D11076" s="56">
        <v>7.3116250140464759E-2</v>
      </c>
      <c r="E11076" s="224" t="s">
        <v>2</v>
      </c>
      <c r="F11076" s="515" t="s">
        <v>12269</v>
      </c>
      <c r="G11076" s="52">
        <v>780905.52449941402</v>
      </c>
      <c r="H11076" s="56">
        <v>6.1445795770818469E-2</v>
      </c>
      <c r="I11076" s="224" t="s">
        <v>2</v>
      </c>
    </row>
    <row r="11077" spans="1:9" x14ac:dyDescent="0.25">
      <c r="A11077" s="515">
        <v>32347</v>
      </c>
      <c r="C11077" s="52">
        <v>149778.25923251401</v>
      </c>
      <c r="D11077" s="56">
        <v>7.2794464534520167E-2</v>
      </c>
      <c r="E11077" s="224" t="s">
        <v>2</v>
      </c>
      <c r="F11077" s="515" t="s">
        <v>12270</v>
      </c>
      <c r="G11077" s="52">
        <v>52814.051953268201</v>
      </c>
      <c r="H11077" s="56">
        <v>0</v>
      </c>
      <c r="I11077" s="224" t="s">
        <v>2</v>
      </c>
    </row>
    <row r="11078" spans="1:9" x14ac:dyDescent="0.25">
      <c r="A11078" s="515">
        <v>3908</v>
      </c>
      <c r="B11078" s="515" t="s">
        <v>570</v>
      </c>
      <c r="C11078" s="52">
        <v>426258.63842435199</v>
      </c>
      <c r="D11078" s="56">
        <v>5.3551659926356673E-2</v>
      </c>
      <c r="E11078" s="224" t="s">
        <v>2</v>
      </c>
      <c r="F11078" s="515" t="s">
        <v>12271</v>
      </c>
      <c r="G11078" s="52">
        <v>122142.869055984</v>
      </c>
      <c r="H11078" s="56">
        <v>-5.2799101740237102E-2</v>
      </c>
      <c r="I11078" s="224" t="s">
        <v>2</v>
      </c>
    </row>
    <row r="11079" spans="1:9" x14ac:dyDescent="0.25">
      <c r="A11079" s="515">
        <v>49938</v>
      </c>
      <c r="C11079" s="52">
        <v>79114.718289298005</v>
      </c>
      <c r="D11079" s="56">
        <v>8.5874871761700139E-2</v>
      </c>
      <c r="E11079" s="224" t="s">
        <v>2</v>
      </c>
      <c r="F11079" s="515" t="s">
        <v>12272</v>
      </c>
      <c r="G11079" s="52">
        <v>426733.69327883801</v>
      </c>
      <c r="H11079" s="56">
        <v>0.11882274982409582</v>
      </c>
      <c r="I11079" s="224" t="s">
        <v>2</v>
      </c>
    </row>
    <row r="11080" spans="1:9" x14ac:dyDescent="0.25">
      <c r="A11080" s="515">
        <v>90401</v>
      </c>
      <c r="B11080" s="515" t="s">
        <v>375</v>
      </c>
      <c r="C11080" s="52">
        <v>1124175.0746146501</v>
      </c>
      <c r="D11080" s="56">
        <v>-0.19368254660956707</v>
      </c>
      <c r="E11080" s="224">
        <v>3778.3174603174598</v>
      </c>
      <c r="F11080" s="515" t="s">
        <v>12273</v>
      </c>
      <c r="G11080" s="52">
        <v>154409.85742708499</v>
      </c>
      <c r="H11080" s="56">
        <v>5.4459988899766214E-2</v>
      </c>
      <c r="I11080" s="224" t="s">
        <v>2</v>
      </c>
    </row>
    <row r="11081" spans="1:9" x14ac:dyDescent="0.25">
      <c r="A11081" s="515">
        <v>34242</v>
      </c>
      <c r="B11081" s="515" t="s">
        <v>466</v>
      </c>
      <c r="C11081" s="52">
        <v>950084.18417085498</v>
      </c>
      <c r="D11081" s="56">
        <v>0.16101497099685957</v>
      </c>
      <c r="E11081" s="224">
        <v>6550</v>
      </c>
      <c r="F11081" s="515" t="s">
        <v>12274</v>
      </c>
      <c r="G11081" s="52">
        <v>123851.703391189</v>
      </c>
      <c r="H11081" s="56">
        <v>9.6773959604833676E-2</v>
      </c>
      <c r="I11081" s="224" t="s">
        <v>2</v>
      </c>
    </row>
    <row r="11082" spans="1:9" x14ac:dyDescent="0.25">
      <c r="A11082" s="515">
        <v>80925</v>
      </c>
      <c r="B11082" s="515" t="s">
        <v>701</v>
      </c>
      <c r="C11082" s="52">
        <v>450385.88444305997</v>
      </c>
      <c r="D11082" s="56">
        <v>5.2010016140387628E-4</v>
      </c>
      <c r="E11082" s="224">
        <v>2246.6666666666601</v>
      </c>
      <c r="F11082" s="515" t="s">
        <v>12275</v>
      </c>
      <c r="G11082" s="52">
        <v>180470.81507599901</v>
      </c>
      <c r="H11082" s="56">
        <v>0.14294172807993891</v>
      </c>
      <c r="I11082" s="224" t="s">
        <v>2</v>
      </c>
    </row>
    <row r="11083" spans="1:9" x14ac:dyDescent="0.25">
      <c r="A11083" s="515">
        <v>30303</v>
      </c>
      <c r="B11083" s="515" t="s">
        <v>957</v>
      </c>
      <c r="C11083" s="52">
        <v>244956.90540413201</v>
      </c>
      <c r="D11083" s="56">
        <v>6.7258924766748079E-2</v>
      </c>
      <c r="E11083" s="224">
        <v>2428.75</v>
      </c>
      <c r="F11083" s="515" t="s">
        <v>12276</v>
      </c>
      <c r="G11083" s="52">
        <v>230341.88829728201</v>
      </c>
      <c r="H11083" s="56">
        <v>8.2847475494768466E-2</v>
      </c>
      <c r="I11083" s="224" t="s">
        <v>2</v>
      </c>
    </row>
    <row r="11084" spans="1:9" x14ac:dyDescent="0.25">
      <c r="A11084" s="515">
        <v>54521</v>
      </c>
      <c r="C11084" s="52">
        <v>302745.73864960897</v>
      </c>
      <c r="D11084" s="56">
        <v>5.9107574644314716E-2</v>
      </c>
      <c r="E11084" s="224" t="s">
        <v>2</v>
      </c>
      <c r="F11084" s="515" t="s">
        <v>12277</v>
      </c>
      <c r="G11084" s="52">
        <v>414273.47133757902</v>
      </c>
      <c r="H11084" s="56">
        <v>0</v>
      </c>
      <c r="I11084" s="224" t="s">
        <v>2</v>
      </c>
    </row>
    <row r="11085" spans="1:9" x14ac:dyDescent="0.25">
      <c r="A11085" s="515">
        <v>45619</v>
      </c>
      <c r="B11085" s="515" t="s">
        <v>602</v>
      </c>
      <c r="C11085" s="52">
        <v>128250.546049871</v>
      </c>
      <c r="D11085" s="56">
        <v>5.1056604532587528E-2</v>
      </c>
      <c r="E11085" s="224" t="s">
        <v>2</v>
      </c>
      <c r="F11085" s="515" t="s">
        <v>12278</v>
      </c>
      <c r="G11085" s="52">
        <v>310833.30352952803</v>
      </c>
      <c r="H11085" s="56">
        <v>8.0359731112728136E-2</v>
      </c>
      <c r="I11085" s="224" t="s">
        <v>2</v>
      </c>
    </row>
    <row r="11086" spans="1:9" x14ac:dyDescent="0.25">
      <c r="A11086" s="515">
        <v>17059</v>
      </c>
      <c r="C11086" s="52">
        <v>195688.257242928</v>
      </c>
      <c r="D11086" s="56">
        <v>4.4823637644214348E-2</v>
      </c>
      <c r="E11086" s="224" t="s">
        <v>2</v>
      </c>
      <c r="F11086" s="515" t="s">
        <v>12279</v>
      </c>
      <c r="G11086" s="52">
        <v>130437.76655965199</v>
      </c>
      <c r="H11086" s="56">
        <v>0.17119605903374027</v>
      </c>
      <c r="I11086" s="224" t="s">
        <v>2</v>
      </c>
    </row>
    <row r="11087" spans="1:9" x14ac:dyDescent="0.25">
      <c r="A11087" s="515">
        <v>92067</v>
      </c>
      <c r="B11087" s="515" t="s">
        <v>396</v>
      </c>
      <c r="C11087" s="52">
        <v>3896214.7388291899</v>
      </c>
      <c r="D11087" s="56">
        <v>0.1043384880290783</v>
      </c>
      <c r="E11087" s="224" t="s">
        <v>2</v>
      </c>
      <c r="F11087" s="515" t="s">
        <v>12280</v>
      </c>
      <c r="G11087" s="52">
        <v>251745.03322214901</v>
      </c>
      <c r="H11087" s="56">
        <v>0.11146878202809568</v>
      </c>
      <c r="I11087" s="224" t="s">
        <v>2</v>
      </c>
    </row>
    <row r="11088" spans="1:9" x14ac:dyDescent="0.25">
      <c r="A11088" s="515">
        <v>20711</v>
      </c>
      <c r="B11088" s="515" t="s">
        <v>582</v>
      </c>
      <c r="C11088" s="52">
        <v>539585.58239213005</v>
      </c>
      <c r="D11088" s="56">
        <v>3.4187996712293521E-2</v>
      </c>
      <c r="E11088" s="224" t="s">
        <v>2</v>
      </c>
      <c r="F11088" s="515" t="s">
        <v>12281</v>
      </c>
      <c r="G11088" s="52">
        <v>137978.28353658499</v>
      </c>
      <c r="H11088" s="56">
        <v>0</v>
      </c>
      <c r="I11088" s="224" t="s">
        <v>2</v>
      </c>
    </row>
    <row r="11089" spans="1:9" x14ac:dyDescent="0.25">
      <c r="A11089" s="515">
        <v>38023</v>
      </c>
      <c r="B11089" s="515" t="s">
        <v>951</v>
      </c>
      <c r="C11089" s="52">
        <v>228642.17689570901</v>
      </c>
      <c r="D11089" s="56">
        <v>6.5844661363595874E-2</v>
      </c>
      <c r="E11089" s="224" t="s">
        <v>2</v>
      </c>
      <c r="F11089" s="515" t="s">
        <v>12282</v>
      </c>
      <c r="G11089" s="52">
        <v>197781.27448602399</v>
      </c>
      <c r="H11089" s="56">
        <v>6.1637548934345539E-2</v>
      </c>
      <c r="I11089" s="224" t="s">
        <v>2</v>
      </c>
    </row>
    <row r="11090" spans="1:9" x14ac:dyDescent="0.25">
      <c r="A11090" s="515">
        <v>6370</v>
      </c>
      <c r="B11090" s="515" t="s">
        <v>1091</v>
      </c>
      <c r="C11090" s="52">
        <v>299511.92351952801</v>
      </c>
      <c r="D11090" s="56">
        <v>7.1337708301051864E-2</v>
      </c>
      <c r="E11090" s="224" t="s">
        <v>2</v>
      </c>
      <c r="F11090" s="515" t="s">
        <v>12283</v>
      </c>
      <c r="G11090" s="52">
        <v>503508.16076290398</v>
      </c>
      <c r="H11090" s="56">
        <v>0.12906521577170149</v>
      </c>
      <c r="I11090" s="224" t="s">
        <v>2</v>
      </c>
    </row>
    <row r="11091" spans="1:9" x14ac:dyDescent="0.25">
      <c r="A11091" s="515">
        <v>80461</v>
      </c>
      <c r="C11091" s="52">
        <v>441085.78402358299</v>
      </c>
      <c r="D11091" s="56">
        <v>7.7607766201858247E-2</v>
      </c>
      <c r="E11091" s="224" t="s">
        <v>2</v>
      </c>
      <c r="F11091" s="515" t="s">
        <v>12284</v>
      </c>
      <c r="G11091" s="52">
        <v>232380.62550071199</v>
      </c>
      <c r="H11091" s="56">
        <v>7.8064799343492614E-2</v>
      </c>
      <c r="I11091" s="224" t="s">
        <v>2</v>
      </c>
    </row>
    <row r="11092" spans="1:9" x14ac:dyDescent="0.25">
      <c r="A11092" s="515">
        <v>24614</v>
      </c>
      <c r="C11092" s="52">
        <v>74520.5145926111</v>
      </c>
      <c r="D11092" s="56">
        <v>5.2424108412878603E-2</v>
      </c>
      <c r="E11092" s="224" t="s">
        <v>2</v>
      </c>
      <c r="F11092" s="515" t="s">
        <v>12285</v>
      </c>
      <c r="G11092" s="52">
        <v>151204.40709074601</v>
      </c>
      <c r="H11092" s="56">
        <v>6.372886330798927E-2</v>
      </c>
      <c r="I11092" s="224" t="s">
        <v>2</v>
      </c>
    </row>
    <row r="11093" spans="1:9" x14ac:dyDescent="0.25">
      <c r="A11093" s="515">
        <v>70584</v>
      </c>
      <c r="B11093" s="515" t="s">
        <v>1162</v>
      </c>
      <c r="C11093" s="52">
        <v>155899.210999695</v>
      </c>
      <c r="D11093" s="56">
        <v>1.2308742223745768E-2</v>
      </c>
      <c r="E11093" s="224" t="s">
        <v>2</v>
      </c>
      <c r="F11093" s="515" t="s">
        <v>12286</v>
      </c>
      <c r="G11093" s="52">
        <v>54920.164068603102</v>
      </c>
      <c r="H11093" s="56">
        <v>6.1285228607462522E-2</v>
      </c>
      <c r="I11093" s="224" t="s">
        <v>2</v>
      </c>
    </row>
    <row r="11094" spans="1:9" x14ac:dyDescent="0.25">
      <c r="A11094" s="515">
        <v>15062</v>
      </c>
      <c r="B11094" s="515" t="s">
        <v>297</v>
      </c>
      <c r="C11094" s="52">
        <v>73941.920141144001</v>
      </c>
      <c r="D11094" s="56">
        <v>6.9121377686736526E-2</v>
      </c>
      <c r="E11094" s="224" t="s">
        <v>2</v>
      </c>
      <c r="F11094" s="515" t="s">
        <v>12287</v>
      </c>
      <c r="G11094" s="52">
        <v>335933.840778668</v>
      </c>
      <c r="H11094" s="56">
        <v>7.108012847637192E-2</v>
      </c>
      <c r="I11094" s="224" t="s">
        <v>2</v>
      </c>
    </row>
    <row r="11095" spans="1:9" x14ac:dyDescent="0.25">
      <c r="A11095" s="515">
        <v>27316</v>
      </c>
      <c r="B11095" s="515" t="s">
        <v>1148</v>
      </c>
      <c r="C11095" s="52">
        <v>184749.86366681199</v>
      </c>
      <c r="D11095" s="56">
        <v>7.9817703868854672E-2</v>
      </c>
      <c r="E11095" s="224" t="s">
        <v>2</v>
      </c>
      <c r="F11095" s="515" t="s">
        <v>12288</v>
      </c>
      <c r="G11095" s="52">
        <v>243827.946522399</v>
      </c>
      <c r="H11095" s="56">
        <v>6.1219401904818262E-2</v>
      </c>
      <c r="I11095" s="224" t="s">
        <v>2</v>
      </c>
    </row>
    <row r="11096" spans="1:9" x14ac:dyDescent="0.25">
      <c r="A11096" s="515">
        <v>98024</v>
      </c>
      <c r="B11096" s="515" t="s">
        <v>384</v>
      </c>
      <c r="C11096" s="52">
        <v>1033811.10879321</v>
      </c>
      <c r="D11096" s="56">
        <v>-1.0518553024527794E-3</v>
      </c>
      <c r="E11096" s="224" t="s">
        <v>2</v>
      </c>
      <c r="F11096" s="515" t="s">
        <v>12289</v>
      </c>
      <c r="G11096" s="52">
        <v>373790.95807274501</v>
      </c>
      <c r="H11096" s="56">
        <v>6.4851472385161008E-2</v>
      </c>
      <c r="I11096" s="224" t="s">
        <v>2</v>
      </c>
    </row>
    <row r="11097" spans="1:9" x14ac:dyDescent="0.25">
      <c r="A11097" s="515">
        <v>11934</v>
      </c>
      <c r="B11097" s="515" t="s">
        <v>324</v>
      </c>
      <c r="C11097" s="52">
        <v>563098.24016446702</v>
      </c>
      <c r="D11097" s="56">
        <v>6.9209468705886276E-2</v>
      </c>
      <c r="E11097" s="224" t="s">
        <v>2</v>
      </c>
      <c r="F11097" s="515" t="s">
        <v>12290</v>
      </c>
      <c r="G11097" s="52">
        <v>255935.064808581</v>
      </c>
      <c r="H11097" s="56">
        <v>0.10565093417868467</v>
      </c>
      <c r="I11097" s="224" t="s">
        <v>2</v>
      </c>
    </row>
    <row r="11098" spans="1:9" x14ac:dyDescent="0.25">
      <c r="A11098" s="515">
        <v>43315</v>
      </c>
      <c r="B11098" s="515" t="s">
        <v>345</v>
      </c>
      <c r="C11098" s="52">
        <v>224304.41626926101</v>
      </c>
      <c r="D11098" s="56">
        <v>3.8259672771203068E-2</v>
      </c>
      <c r="E11098" s="224" t="s">
        <v>2</v>
      </c>
      <c r="F11098" s="515" t="s">
        <v>12291</v>
      </c>
      <c r="G11098" s="52">
        <v>175316.29387755101</v>
      </c>
      <c r="H11098" s="56">
        <v>0</v>
      </c>
      <c r="I11098" s="224" t="s">
        <v>2</v>
      </c>
    </row>
    <row r="11099" spans="1:9" x14ac:dyDescent="0.25">
      <c r="A11099" s="515">
        <v>33767</v>
      </c>
      <c r="B11099" s="515" t="s">
        <v>461</v>
      </c>
      <c r="C11099" s="52">
        <v>778770.18099744502</v>
      </c>
      <c r="D11099" s="56">
        <v>0.11413029695452141</v>
      </c>
      <c r="E11099" s="224">
        <v>4330.5555555555502</v>
      </c>
      <c r="F11099" s="515" t="s">
        <v>12292</v>
      </c>
      <c r="G11099" s="52">
        <v>232160.64457911899</v>
      </c>
      <c r="H11099" s="56">
        <v>0.15204242933328493</v>
      </c>
      <c r="I11099" s="224" t="s">
        <v>2</v>
      </c>
    </row>
    <row r="11100" spans="1:9" x14ac:dyDescent="0.25">
      <c r="A11100" s="515">
        <v>6471</v>
      </c>
      <c r="B11100" s="515" t="s">
        <v>1172</v>
      </c>
      <c r="C11100" s="52">
        <v>346972.78912308603</v>
      </c>
      <c r="D11100" s="56">
        <v>8.1223903510362391E-2</v>
      </c>
      <c r="E11100" s="224" t="s">
        <v>2</v>
      </c>
      <c r="F11100" s="515" t="s">
        <v>12293</v>
      </c>
      <c r="G11100" s="52">
        <v>197203.80205331001</v>
      </c>
      <c r="H11100" s="56">
        <v>6.7517522569570332E-2</v>
      </c>
      <c r="I11100" s="224" t="s">
        <v>2</v>
      </c>
    </row>
    <row r="11101" spans="1:9" x14ac:dyDescent="0.25">
      <c r="A11101" s="515">
        <v>42167</v>
      </c>
      <c r="C11101" s="52">
        <v>115797.377275761</v>
      </c>
      <c r="D11101" s="56">
        <v>0.16522403409286218</v>
      </c>
      <c r="E11101" s="224" t="s">
        <v>2</v>
      </c>
      <c r="F11101" s="515" t="s">
        <v>12294</v>
      </c>
      <c r="G11101" s="52">
        <v>209468.75182481701</v>
      </c>
      <c r="H11101" s="56">
        <v>0</v>
      </c>
      <c r="I11101" s="224" t="s">
        <v>2</v>
      </c>
    </row>
    <row r="11102" spans="1:9" x14ac:dyDescent="0.25">
      <c r="A11102" s="515">
        <v>51334</v>
      </c>
      <c r="C11102" s="52">
        <v>110071.170500636</v>
      </c>
      <c r="D11102" s="56">
        <v>6.5950994415969605E-2</v>
      </c>
      <c r="E11102" s="224" t="s">
        <v>2</v>
      </c>
      <c r="F11102" s="515" t="s">
        <v>12295</v>
      </c>
      <c r="G11102" s="52">
        <v>602331.81971940096</v>
      </c>
      <c r="H11102" s="56">
        <v>1.8299106178121364E-2</v>
      </c>
      <c r="I11102" s="224" t="s">
        <v>2</v>
      </c>
    </row>
    <row r="11103" spans="1:9" x14ac:dyDescent="0.25">
      <c r="A11103" s="515">
        <v>68661</v>
      </c>
      <c r="C11103" s="52">
        <v>169769.508080764</v>
      </c>
      <c r="D11103" s="56">
        <v>7.2448303481292053E-2</v>
      </c>
      <c r="E11103" s="224" t="s">
        <v>2</v>
      </c>
      <c r="F11103" s="515" t="s">
        <v>12296</v>
      </c>
      <c r="G11103" s="52">
        <v>300447.790534475</v>
      </c>
      <c r="H11103" s="56">
        <v>2.500078453723234E-2</v>
      </c>
      <c r="I11103" s="224" t="s">
        <v>2</v>
      </c>
    </row>
    <row r="11104" spans="1:9" x14ac:dyDescent="0.25">
      <c r="A11104" s="515">
        <v>62088</v>
      </c>
      <c r="B11104" s="515" t="s">
        <v>498</v>
      </c>
      <c r="C11104" s="52">
        <v>117592.407856776</v>
      </c>
      <c r="D11104" s="56">
        <v>6.5264850494508281E-2</v>
      </c>
      <c r="E11104" s="224" t="s">
        <v>2</v>
      </c>
      <c r="F11104" s="515" t="s">
        <v>12297</v>
      </c>
      <c r="G11104" s="52">
        <v>266438.29180807603</v>
      </c>
      <c r="H11104" s="56">
        <v>8.8599281325362308E-2</v>
      </c>
      <c r="I11104" s="224" t="s">
        <v>2</v>
      </c>
    </row>
    <row r="11105" spans="1:9" x14ac:dyDescent="0.25">
      <c r="A11105" s="515">
        <v>3885</v>
      </c>
      <c r="B11105" s="515" t="s">
        <v>534</v>
      </c>
      <c r="C11105" s="52">
        <v>627623.29038053798</v>
      </c>
      <c r="D11105" s="56">
        <v>9.7782485705893069E-2</v>
      </c>
      <c r="E11105" s="224" t="s">
        <v>2</v>
      </c>
      <c r="F11105" s="515" t="s">
        <v>12298</v>
      </c>
      <c r="G11105" s="52">
        <v>187536.39234737199</v>
      </c>
      <c r="H11105" s="56">
        <v>5.2239707690268762E-2</v>
      </c>
      <c r="I11105" s="224" t="s">
        <v>2</v>
      </c>
    </row>
    <row r="11106" spans="1:9" x14ac:dyDescent="0.25">
      <c r="A11106" s="515">
        <v>56425</v>
      </c>
      <c r="B11106" s="515" t="s">
        <v>674</v>
      </c>
      <c r="C11106" s="52">
        <v>304899.85610718298</v>
      </c>
      <c r="D11106" s="56">
        <v>6.11417437408407E-2</v>
      </c>
      <c r="E11106" s="224" t="s">
        <v>2</v>
      </c>
      <c r="F11106" s="515" t="s">
        <v>12299</v>
      </c>
      <c r="G11106" s="52">
        <v>311047.78161926899</v>
      </c>
      <c r="H11106" s="56">
        <v>-2.7359712096476946E-2</v>
      </c>
      <c r="I11106" s="224" t="s">
        <v>2</v>
      </c>
    </row>
    <row r="11107" spans="1:9" x14ac:dyDescent="0.25">
      <c r="A11107" s="515">
        <v>8533</v>
      </c>
      <c r="B11107" s="515" t="s">
        <v>324</v>
      </c>
      <c r="C11107" s="52">
        <v>477378.48170647502</v>
      </c>
      <c r="D11107" s="56">
        <v>8.1275382397837534E-2</v>
      </c>
      <c r="E11107" s="224" t="s">
        <v>2</v>
      </c>
      <c r="F11107" s="515" t="s">
        <v>12300</v>
      </c>
      <c r="G11107" s="52">
        <v>314935.79158886801</v>
      </c>
      <c r="H11107" s="56">
        <v>0.12627066913799653</v>
      </c>
      <c r="I11107" s="224" t="s">
        <v>2</v>
      </c>
    </row>
    <row r="11108" spans="1:9" x14ac:dyDescent="0.25">
      <c r="A11108" s="515">
        <v>59725</v>
      </c>
      <c r="C11108" s="52">
        <v>334376.87677798199</v>
      </c>
      <c r="D11108" s="56">
        <v>8.2924371838991942E-2</v>
      </c>
      <c r="E11108" s="224" t="s">
        <v>2</v>
      </c>
      <c r="F11108" s="515" t="s">
        <v>12301</v>
      </c>
      <c r="G11108" s="52">
        <v>163716.755375309</v>
      </c>
      <c r="H11108" s="56">
        <v>6.9204732008544226E-2</v>
      </c>
      <c r="I11108" s="224" t="s">
        <v>2</v>
      </c>
    </row>
    <row r="11109" spans="1:9" x14ac:dyDescent="0.25">
      <c r="A11109" s="515">
        <v>12307</v>
      </c>
      <c r="B11109" s="515" t="s">
        <v>609</v>
      </c>
      <c r="C11109" s="52">
        <v>116951.659944912</v>
      </c>
      <c r="D11109" s="56">
        <v>0.14619786011258079</v>
      </c>
      <c r="E11109" s="224" t="s">
        <v>2</v>
      </c>
      <c r="F11109" s="515" t="s">
        <v>12302</v>
      </c>
      <c r="G11109" s="52">
        <v>218060.50428426699</v>
      </c>
      <c r="H11109" s="56">
        <v>9.7107248011354605E-2</v>
      </c>
      <c r="I11109" s="224" t="s">
        <v>2</v>
      </c>
    </row>
    <row r="11110" spans="1:9" x14ac:dyDescent="0.25">
      <c r="A11110" s="515">
        <v>30535</v>
      </c>
      <c r="B11110" s="515" t="s">
        <v>1188</v>
      </c>
      <c r="C11110" s="52">
        <v>245711.98877724199</v>
      </c>
      <c r="D11110" s="56">
        <v>0.11673395326599863</v>
      </c>
      <c r="E11110" s="224" t="s">
        <v>2</v>
      </c>
      <c r="F11110" s="515" t="s">
        <v>12303</v>
      </c>
      <c r="G11110" s="52">
        <v>168970.67205500501</v>
      </c>
      <c r="H11110" s="56">
        <v>8.8091877397516824E-2</v>
      </c>
      <c r="I11110" s="224" t="s">
        <v>2</v>
      </c>
    </row>
    <row r="11111" spans="1:9" x14ac:dyDescent="0.25">
      <c r="A11111" s="515">
        <v>48350</v>
      </c>
      <c r="B11111" s="515" t="s">
        <v>685</v>
      </c>
      <c r="C11111" s="52">
        <v>363412.42118401901</v>
      </c>
      <c r="D11111" s="56">
        <v>2.8986353395224592E-2</v>
      </c>
      <c r="E11111" s="224" t="s">
        <v>2</v>
      </c>
      <c r="F11111" s="515" t="s">
        <v>12304</v>
      </c>
      <c r="G11111" s="52">
        <v>115487.33030807201</v>
      </c>
      <c r="H11111" s="56">
        <v>7.5985785459595556E-2</v>
      </c>
      <c r="I11111" s="224" t="s">
        <v>2</v>
      </c>
    </row>
    <row r="11112" spans="1:9" x14ac:dyDescent="0.25">
      <c r="A11112" s="515">
        <v>14070</v>
      </c>
      <c r="B11112" s="515" t="s">
        <v>870</v>
      </c>
      <c r="C11112" s="52">
        <v>134732.98230354901</v>
      </c>
      <c r="D11112" s="56">
        <v>0.1330883221742141</v>
      </c>
      <c r="E11112" s="224" t="s">
        <v>2</v>
      </c>
      <c r="F11112" s="515" t="s">
        <v>12305</v>
      </c>
      <c r="G11112" s="52">
        <v>122785.1955442</v>
      </c>
      <c r="H11112" s="56">
        <v>0</v>
      </c>
      <c r="I11112" s="224" t="s">
        <v>2</v>
      </c>
    </row>
    <row r="11113" spans="1:9" x14ac:dyDescent="0.25">
      <c r="A11113" s="515">
        <v>30683</v>
      </c>
      <c r="B11113" s="515" t="s">
        <v>991</v>
      </c>
      <c r="C11113" s="52">
        <v>272575.01234938402</v>
      </c>
      <c r="D11113" s="56">
        <v>9.6926540581807066E-2</v>
      </c>
      <c r="E11113" s="224" t="s">
        <v>2</v>
      </c>
      <c r="F11113" s="515" t="s">
        <v>12306</v>
      </c>
      <c r="G11113" s="52">
        <v>793811.351253008</v>
      </c>
      <c r="H11113" s="56">
        <v>0.19858803751832987</v>
      </c>
      <c r="I11113" s="224" t="s">
        <v>2</v>
      </c>
    </row>
    <row r="11114" spans="1:9" x14ac:dyDescent="0.25">
      <c r="A11114" s="515">
        <v>16226</v>
      </c>
      <c r="B11114" s="515" t="s">
        <v>297</v>
      </c>
      <c r="C11114" s="52">
        <v>127720.296951125</v>
      </c>
      <c r="D11114" s="56">
        <v>9.8995344845050265E-2</v>
      </c>
      <c r="E11114" s="224" t="s">
        <v>2</v>
      </c>
      <c r="F11114" s="515" t="s">
        <v>12307</v>
      </c>
      <c r="G11114" s="52">
        <v>220102.403080688</v>
      </c>
      <c r="H11114" s="56">
        <v>9.3936228560909232E-2</v>
      </c>
      <c r="I11114" s="224" t="s">
        <v>2</v>
      </c>
    </row>
    <row r="11115" spans="1:9" x14ac:dyDescent="0.25">
      <c r="A11115" s="515">
        <v>39530</v>
      </c>
      <c r="B11115" s="515" t="s">
        <v>963</v>
      </c>
      <c r="C11115" s="52">
        <v>137355.44861965699</v>
      </c>
      <c r="D11115" s="56">
        <v>7.4563790515943876E-2</v>
      </c>
      <c r="E11115" s="224" t="s">
        <v>2</v>
      </c>
      <c r="F11115" s="515" t="s">
        <v>12308</v>
      </c>
      <c r="G11115" s="52">
        <v>157304.73178725201</v>
      </c>
      <c r="H11115" s="56">
        <v>0.10272477103133783</v>
      </c>
      <c r="I11115" s="224" t="s">
        <v>2</v>
      </c>
    </row>
    <row r="11116" spans="1:9" x14ac:dyDescent="0.25">
      <c r="A11116" s="515">
        <v>65757</v>
      </c>
      <c r="B11116" s="515" t="s">
        <v>603</v>
      </c>
      <c r="C11116" s="52">
        <v>271499.13019697601</v>
      </c>
      <c r="D11116" s="56">
        <v>0.12218698479317373</v>
      </c>
      <c r="E11116" s="224" t="s">
        <v>2</v>
      </c>
      <c r="F11116" s="515" t="s">
        <v>12309</v>
      </c>
      <c r="G11116" s="52">
        <v>182301.482870015</v>
      </c>
      <c r="H11116" s="56">
        <v>0.11166952155575452</v>
      </c>
      <c r="I11116" s="224" t="s">
        <v>2</v>
      </c>
    </row>
    <row r="11117" spans="1:9" x14ac:dyDescent="0.25">
      <c r="A11117" s="515">
        <v>69162</v>
      </c>
      <c r="C11117" s="52">
        <v>137989.173811026</v>
      </c>
      <c r="D11117" s="56">
        <v>0.19879199278542373</v>
      </c>
      <c r="E11117" s="224" t="s">
        <v>2</v>
      </c>
      <c r="F11117" s="515" t="s">
        <v>12310</v>
      </c>
      <c r="G11117" s="52">
        <v>180072.32444851901</v>
      </c>
      <c r="H11117" s="56">
        <v>0.11520453376160396</v>
      </c>
      <c r="I11117" s="224" t="s">
        <v>2</v>
      </c>
    </row>
    <row r="11118" spans="1:9" x14ac:dyDescent="0.25">
      <c r="A11118" s="515">
        <v>54742</v>
      </c>
      <c r="B11118" s="515" t="s">
        <v>1028</v>
      </c>
      <c r="C11118" s="52">
        <v>281544.75400624803</v>
      </c>
      <c r="D11118" s="56">
        <v>5.7832816994809466E-2</v>
      </c>
      <c r="E11118" s="224" t="s">
        <v>2</v>
      </c>
      <c r="F11118" s="515" t="s">
        <v>12311</v>
      </c>
      <c r="G11118" s="52">
        <v>144116.49268292601</v>
      </c>
      <c r="H11118" s="56">
        <v>0</v>
      </c>
      <c r="I11118" s="224" t="s">
        <v>2</v>
      </c>
    </row>
    <row r="11119" spans="1:9" x14ac:dyDescent="0.25">
      <c r="A11119" s="515">
        <v>50309</v>
      </c>
      <c r="B11119" s="515" t="s">
        <v>295</v>
      </c>
      <c r="C11119" s="52">
        <v>257703.47261292301</v>
      </c>
      <c r="D11119" s="56">
        <v>5.0094078473208084E-2</v>
      </c>
      <c r="E11119" s="224">
        <v>1325.38528138528</v>
      </c>
      <c r="F11119" s="515" t="s">
        <v>12312</v>
      </c>
      <c r="G11119" s="52">
        <v>135438.87464291501</v>
      </c>
      <c r="H11119" s="56">
        <v>0.24071938442739002</v>
      </c>
      <c r="I11119" s="224" t="s">
        <v>2</v>
      </c>
    </row>
    <row r="11120" spans="1:9" x14ac:dyDescent="0.25">
      <c r="A11120" s="515">
        <v>3264</v>
      </c>
      <c r="B11120" s="515" t="s">
        <v>420</v>
      </c>
      <c r="C11120" s="52">
        <v>303768.15465393098</v>
      </c>
      <c r="D11120" s="56">
        <v>0.13668015779156159</v>
      </c>
      <c r="E11120" s="224" t="s">
        <v>2</v>
      </c>
      <c r="F11120" s="515" t="s">
        <v>12313</v>
      </c>
      <c r="G11120" s="52">
        <v>257222.96315220799</v>
      </c>
      <c r="H11120" s="56">
        <v>7.0672471785499569E-2</v>
      </c>
      <c r="I11120" s="224" t="s">
        <v>2</v>
      </c>
    </row>
    <row r="11121" spans="1:9" x14ac:dyDescent="0.25">
      <c r="A11121" s="515">
        <v>38666</v>
      </c>
      <c r="C11121" s="52">
        <v>128580.691868856</v>
      </c>
      <c r="D11121" s="56">
        <v>8.2655425995732182E-2</v>
      </c>
      <c r="E11121" s="224" t="s">
        <v>2</v>
      </c>
      <c r="F11121" s="515" t="s">
        <v>12314</v>
      </c>
      <c r="G11121" s="52">
        <v>1103419.8354788299</v>
      </c>
      <c r="H11121" s="56">
        <v>0.21903988741022462</v>
      </c>
      <c r="I11121" s="224" t="s">
        <v>2</v>
      </c>
    </row>
    <row r="11122" spans="1:9" x14ac:dyDescent="0.25">
      <c r="A11122" s="515">
        <v>6787</v>
      </c>
      <c r="B11122" s="515" t="s">
        <v>559</v>
      </c>
      <c r="C11122" s="52">
        <v>273893.711250033</v>
      </c>
      <c r="D11122" s="56">
        <v>0.10455632934161299</v>
      </c>
      <c r="E11122" s="224" t="s">
        <v>2</v>
      </c>
      <c r="F11122" s="515" t="s">
        <v>12315</v>
      </c>
      <c r="G11122" s="52">
        <v>169564.79537953701</v>
      </c>
      <c r="H11122" s="56">
        <v>0</v>
      </c>
      <c r="I11122" s="224" t="s">
        <v>2</v>
      </c>
    </row>
    <row r="11123" spans="1:9" x14ac:dyDescent="0.25">
      <c r="A11123" s="515">
        <v>49646</v>
      </c>
      <c r="B11123" s="515" t="s">
        <v>366</v>
      </c>
      <c r="C11123" s="52">
        <v>156377.89478253701</v>
      </c>
      <c r="D11123" s="56">
        <v>5.5383592835078481E-2</v>
      </c>
      <c r="E11123" s="224" t="s">
        <v>2</v>
      </c>
      <c r="F11123" s="515" t="s">
        <v>12316</v>
      </c>
      <c r="G11123" s="52">
        <v>216858.657388163</v>
      </c>
      <c r="H11123" s="56">
        <v>5.8348206988825653E-2</v>
      </c>
      <c r="I11123" s="224" t="s">
        <v>2</v>
      </c>
    </row>
    <row r="11124" spans="1:9" x14ac:dyDescent="0.25">
      <c r="A11124" s="515">
        <v>53086</v>
      </c>
      <c r="B11124" s="515" t="s">
        <v>950</v>
      </c>
      <c r="C11124" s="52">
        <v>361101.53109711001</v>
      </c>
      <c r="D11124" s="56">
        <v>5.9093499175257573E-2</v>
      </c>
      <c r="E11124" s="224" t="s">
        <v>2</v>
      </c>
      <c r="F11124" s="515" t="s">
        <v>12317</v>
      </c>
      <c r="G11124" s="52">
        <v>178926.35820117401</v>
      </c>
      <c r="H11124" s="56">
        <v>9.5157710392427361E-2</v>
      </c>
      <c r="I11124" s="224" t="s">
        <v>2</v>
      </c>
    </row>
    <row r="11125" spans="1:9" x14ac:dyDescent="0.25">
      <c r="A11125" s="515">
        <v>73717</v>
      </c>
      <c r="C11125" s="52">
        <v>112412.12834792001</v>
      </c>
      <c r="D11125" s="56">
        <v>2.9870079101949974E-2</v>
      </c>
      <c r="E11125" s="224" t="s">
        <v>2</v>
      </c>
      <c r="F11125" s="515" t="s">
        <v>12318</v>
      </c>
      <c r="G11125" s="52">
        <v>531013.51403749397</v>
      </c>
      <c r="H11125" s="56">
        <v>4.2823066027526974E-2</v>
      </c>
      <c r="I11125" s="224" t="s">
        <v>2</v>
      </c>
    </row>
    <row r="11126" spans="1:9" x14ac:dyDescent="0.25">
      <c r="A11126" s="515">
        <v>27850</v>
      </c>
      <c r="B11126" s="515" t="s">
        <v>909</v>
      </c>
      <c r="C11126" s="52">
        <v>223224.81152738401</v>
      </c>
      <c r="D11126" s="56">
        <v>0.10687293377293514</v>
      </c>
      <c r="E11126" s="224" t="s">
        <v>2</v>
      </c>
      <c r="F11126" s="515" t="s">
        <v>12319</v>
      </c>
      <c r="G11126" s="52">
        <v>405357.915312347</v>
      </c>
      <c r="H11126" s="56">
        <v>5.0484837762328684E-2</v>
      </c>
      <c r="I11126" s="224" t="s">
        <v>2</v>
      </c>
    </row>
    <row r="11127" spans="1:9" x14ac:dyDescent="0.25">
      <c r="A11127" s="515">
        <v>91020</v>
      </c>
      <c r="B11127" s="515" t="s">
        <v>375</v>
      </c>
      <c r="C11127" s="52">
        <v>919783.80013177497</v>
      </c>
      <c r="D11127" s="56">
        <v>3.5236603430478013E-2</v>
      </c>
      <c r="E11127" s="224">
        <v>2575</v>
      </c>
      <c r="F11127" s="515" t="s">
        <v>12320</v>
      </c>
      <c r="G11127" s="52">
        <v>672491.33497612295</v>
      </c>
      <c r="H11127" s="56">
        <v>3.0062390995827384E-2</v>
      </c>
      <c r="I11127" s="224" t="s">
        <v>2</v>
      </c>
    </row>
    <row r="11128" spans="1:9" x14ac:dyDescent="0.25">
      <c r="A11128" s="515">
        <v>73439</v>
      </c>
      <c r="C11128" s="52">
        <v>189708.12070679301</v>
      </c>
      <c r="D11128" s="56">
        <v>0.14902252188566156</v>
      </c>
      <c r="E11128" s="224" t="s">
        <v>2</v>
      </c>
      <c r="F11128" s="515" t="s">
        <v>12321</v>
      </c>
      <c r="G11128" s="52">
        <v>196580.837540373</v>
      </c>
      <c r="H11128" s="56">
        <v>7.914629096544204E-2</v>
      </c>
      <c r="I11128" s="224" t="s">
        <v>2</v>
      </c>
    </row>
    <row r="11129" spans="1:9" x14ac:dyDescent="0.25">
      <c r="A11129" s="515">
        <v>65608</v>
      </c>
      <c r="C11129" s="52">
        <v>184134.15288108899</v>
      </c>
      <c r="D11129" s="56">
        <v>0.16580318163313609</v>
      </c>
      <c r="E11129" s="224" t="s">
        <v>2</v>
      </c>
      <c r="F11129" s="515" t="s">
        <v>12322</v>
      </c>
      <c r="G11129" s="52">
        <v>494158.46172102803</v>
      </c>
      <c r="H11129" s="56">
        <v>0.12127636028745302</v>
      </c>
      <c r="I11129" s="224" t="s">
        <v>2</v>
      </c>
    </row>
    <row r="11130" spans="1:9" x14ac:dyDescent="0.25">
      <c r="A11130" s="515">
        <v>25143</v>
      </c>
      <c r="B11130" s="515" t="s">
        <v>322</v>
      </c>
      <c r="C11130" s="52">
        <v>122829.41733064799</v>
      </c>
      <c r="D11130" s="56">
        <v>8.8104563681212222E-2</v>
      </c>
      <c r="E11130" s="224" t="s">
        <v>2</v>
      </c>
      <c r="F11130" s="515" t="s">
        <v>12323</v>
      </c>
      <c r="G11130" s="52">
        <v>266211.17508695199</v>
      </c>
      <c r="H11130" s="56">
        <v>0.11724369494419856</v>
      </c>
      <c r="I11130" s="224" t="s">
        <v>2</v>
      </c>
    </row>
    <row r="11131" spans="1:9" x14ac:dyDescent="0.25">
      <c r="A11131" s="515">
        <v>3220</v>
      </c>
      <c r="B11131" s="515" t="s">
        <v>1006</v>
      </c>
      <c r="C11131" s="52">
        <v>356271.71953878202</v>
      </c>
      <c r="D11131" s="56">
        <v>0.12299380304341676</v>
      </c>
      <c r="E11131" s="224" t="s">
        <v>2</v>
      </c>
      <c r="F11131" s="515" t="s">
        <v>12324</v>
      </c>
      <c r="G11131" s="52">
        <v>160875.68646489401</v>
      </c>
      <c r="H11131" s="56">
        <v>0.13790171505949606</v>
      </c>
      <c r="I11131" s="224" t="s">
        <v>2</v>
      </c>
    </row>
    <row r="11132" spans="1:9" x14ac:dyDescent="0.25">
      <c r="A11132" s="515">
        <v>28127</v>
      </c>
      <c r="B11132" s="515" t="s">
        <v>1168</v>
      </c>
      <c r="C11132" s="52">
        <v>266679.25429145503</v>
      </c>
      <c r="D11132" s="56">
        <v>0.17041536547568026</v>
      </c>
      <c r="E11132" s="224" t="s">
        <v>2</v>
      </c>
      <c r="F11132" s="515" t="s">
        <v>12325</v>
      </c>
      <c r="G11132" s="52">
        <v>143841.842105263</v>
      </c>
      <c r="H11132" s="56">
        <v>0</v>
      </c>
      <c r="I11132" s="224" t="s">
        <v>2</v>
      </c>
    </row>
    <row r="11133" spans="1:9" x14ac:dyDescent="0.25">
      <c r="A11133" s="515">
        <v>44703</v>
      </c>
      <c r="B11133" s="515" t="s">
        <v>863</v>
      </c>
      <c r="C11133" s="52">
        <v>69143.613342303404</v>
      </c>
      <c r="D11133" s="56">
        <v>0.10393924103999337</v>
      </c>
      <c r="E11133" s="224">
        <v>742.5</v>
      </c>
      <c r="F11133" s="515" t="s">
        <v>12326</v>
      </c>
      <c r="G11133" s="52">
        <v>89901.955307182405</v>
      </c>
      <c r="H11133" s="56">
        <v>2.3754422956143245E-2</v>
      </c>
      <c r="I11133" s="224" t="s">
        <v>2</v>
      </c>
    </row>
    <row r="11134" spans="1:9" x14ac:dyDescent="0.25">
      <c r="A11134" s="515">
        <v>45335</v>
      </c>
      <c r="B11134" s="515" t="s">
        <v>340</v>
      </c>
      <c r="C11134" s="52">
        <v>211237.80656005099</v>
      </c>
      <c r="D11134" s="56">
        <v>7.7108842764280719E-2</v>
      </c>
      <c r="E11134" s="224" t="s">
        <v>2</v>
      </c>
      <c r="F11134" s="515" t="s">
        <v>12327</v>
      </c>
      <c r="G11134" s="52">
        <v>208619.17847593001</v>
      </c>
      <c r="H11134" s="56">
        <v>0.11534497642180076</v>
      </c>
      <c r="I11134" s="224" t="s">
        <v>2</v>
      </c>
    </row>
    <row r="11135" spans="1:9" x14ac:dyDescent="0.25">
      <c r="A11135" s="515">
        <v>35218</v>
      </c>
      <c r="B11135" s="515" t="s">
        <v>640</v>
      </c>
      <c r="C11135" s="52">
        <v>59418.609042502998</v>
      </c>
      <c r="D11135" s="56">
        <v>0.15458644745080255</v>
      </c>
      <c r="E11135" s="224" t="s">
        <v>2</v>
      </c>
      <c r="F11135" s="515" t="s">
        <v>12328</v>
      </c>
      <c r="G11135" s="52">
        <v>769087.11072951101</v>
      </c>
      <c r="H11135" s="56">
        <v>4.6278552505374521E-2</v>
      </c>
      <c r="I11135" s="224" t="s">
        <v>2</v>
      </c>
    </row>
    <row r="11136" spans="1:9" x14ac:dyDescent="0.25">
      <c r="A11136" s="515">
        <v>37034</v>
      </c>
      <c r="B11136" s="515" t="s">
        <v>877</v>
      </c>
      <c r="C11136" s="52">
        <v>363742.74546174298</v>
      </c>
      <c r="D11136" s="56">
        <v>9.2441375488561045E-2</v>
      </c>
      <c r="E11136" s="224" t="s">
        <v>2</v>
      </c>
      <c r="F11136" s="515" t="s">
        <v>12329</v>
      </c>
      <c r="G11136" s="52">
        <v>92467.800794649796</v>
      </c>
      <c r="H11136" s="56">
        <v>-4.7895069903206175E-2</v>
      </c>
      <c r="I11136" s="224" t="s">
        <v>2</v>
      </c>
    </row>
    <row r="11137" spans="1:9" x14ac:dyDescent="0.25">
      <c r="A11137" s="515">
        <v>77864</v>
      </c>
      <c r="C11137" s="52">
        <v>215159.59534904701</v>
      </c>
      <c r="D11137" s="56">
        <v>8.3484198119357533E-2</v>
      </c>
      <c r="E11137" s="224" t="s">
        <v>2</v>
      </c>
      <c r="F11137" s="515" t="s">
        <v>12330</v>
      </c>
      <c r="G11137" s="52">
        <v>161619.151448155</v>
      </c>
      <c r="H11137" s="56">
        <v>0.10286143546521899</v>
      </c>
      <c r="I11137" s="224" t="s">
        <v>2</v>
      </c>
    </row>
    <row r="11138" spans="1:9" x14ac:dyDescent="0.25">
      <c r="A11138" s="515">
        <v>8068</v>
      </c>
      <c r="B11138" s="515" t="s">
        <v>294</v>
      </c>
      <c r="C11138" s="52">
        <v>251761.278403301</v>
      </c>
      <c r="D11138" s="56">
        <v>8.7486795363059533E-2</v>
      </c>
      <c r="E11138" s="224" t="s">
        <v>2</v>
      </c>
      <c r="F11138" s="515" t="s">
        <v>12331</v>
      </c>
      <c r="G11138" s="52">
        <v>218236.00078667401</v>
      </c>
      <c r="H11138" s="56">
        <v>0.15036912990664994</v>
      </c>
      <c r="I11138" s="224" t="s">
        <v>2</v>
      </c>
    </row>
    <row r="11139" spans="1:9" x14ac:dyDescent="0.25">
      <c r="A11139" s="515">
        <v>8035</v>
      </c>
      <c r="B11139" s="515" t="s">
        <v>294</v>
      </c>
      <c r="C11139" s="52">
        <v>374672.45990900398</v>
      </c>
      <c r="D11139" s="56">
        <v>6.1663994010793637E-2</v>
      </c>
      <c r="E11139" s="224" t="s">
        <v>2</v>
      </c>
      <c r="F11139" s="515" t="s">
        <v>12332</v>
      </c>
      <c r="G11139" s="52">
        <v>162632.725785777</v>
      </c>
      <c r="H11139" s="56">
        <v>5.5709140055197441E-3</v>
      </c>
      <c r="I11139" s="224" t="s">
        <v>2</v>
      </c>
    </row>
    <row r="11140" spans="1:9" x14ac:dyDescent="0.25">
      <c r="A11140" s="515">
        <v>44413</v>
      </c>
      <c r="B11140" s="515" t="s">
        <v>627</v>
      </c>
      <c r="C11140" s="52">
        <v>118264.23664695999</v>
      </c>
      <c r="D11140" s="56">
        <v>0.10119586116915216</v>
      </c>
      <c r="E11140" s="224" t="s">
        <v>2</v>
      </c>
      <c r="F11140" s="515" t="s">
        <v>12333</v>
      </c>
      <c r="G11140" s="52">
        <v>238899.355029956</v>
      </c>
      <c r="H11140" s="56">
        <v>0.18752425511750681</v>
      </c>
      <c r="I11140" s="224" t="s">
        <v>2</v>
      </c>
    </row>
    <row r="11141" spans="1:9" x14ac:dyDescent="0.25">
      <c r="A11141" s="515">
        <v>24319</v>
      </c>
      <c r="C11141" s="52">
        <v>162601.166789293</v>
      </c>
      <c r="D11141" s="56">
        <v>8.7363788329052727E-2</v>
      </c>
      <c r="E11141" s="224" t="s">
        <v>2</v>
      </c>
      <c r="F11141" s="515" t="s">
        <v>12334</v>
      </c>
      <c r="G11141" s="52">
        <v>184140.77852348899</v>
      </c>
      <c r="H11141" s="56">
        <v>0</v>
      </c>
      <c r="I11141" s="224" t="s">
        <v>2</v>
      </c>
    </row>
    <row r="11142" spans="1:9" x14ac:dyDescent="0.25">
      <c r="A11142" s="515">
        <v>27823</v>
      </c>
      <c r="B11142" s="515" t="s">
        <v>909</v>
      </c>
      <c r="C11142" s="52">
        <v>53694.3794580744</v>
      </c>
      <c r="D11142" s="56">
        <v>0.14067431985930856</v>
      </c>
      <c r="E11142" s="224" t="s">
        <v>2</v>
      </c>
      <c r="F11142" s="515" t="s">
        <v>12335</v>
      </c>
      <c r="G11142" s="52">
        <v>102528.94643825101</v>
      </c>
      <c r="H11142" s="56">
        <v>-3.2275760754077801E-2</v>
      </c>
      <c r="I11142" s="224" t="s">
        <v>2</v>
      </c>
    </row>
    <row r="11143" spans="1:9" x14ac:dyDescent="0.25">
      <c r="A11143" s="515">
        <v>97540</v>
      </c>
      <c r="B11143" s="515" t="s">
        <v>775</v>
      </c>
      <c r="C11143" s="52">
        <v>410873.25118932698</v>
      </c>
      <c r="D11143" s="56">
        <v>-1.6225604550285495E-2</v>
      </c>
      <c r="E11143" s="224" t="s">
        <v>2</v>
      </c>
      <c r="F11143" s="515" t="s">
        <v>12336</v>
      </c>
      <c r="G11143" s="52">
        <v>415816.25608651899</v>
      </c>
      <c r="H11143" s="56">
        <v>1.3416489270722545E-2</v>
      </c>
      <c r="I11143" s="224" t="s">
        <v>2</v>
      </c>
    </row>
    <row r="11144" spans="1:9" x14ac:dyDescent="0.25">
      <c r="A11144" s="515">
        <v>19950</v>
      </c>
      <c r="B11144" s="515" t="s">
        <v>552</v>
      </c>
      <c r="C11144" s="52">
        <v>299967.62054345198</v>
      </c>
      <c r="D11144" s="56">
        <v>5.9314172405386341E-2</v>
      </c>
      <c r="E11144" s="224" t="s">
        <v>2</v>
      </c>
      <c r="F11144" s="515" t="s">
        <v>12337</v>
      </c>
      <c r="G11144" s="52">
        <v>93426.252830188605</v>
      </c>
      <c r="H11144" s="56">
        <v>0</v>
      </c>
      <c r="I11144" s="224" t="s">
        <v>2</v>
      </c>
    </row>
    <row r="11145" spans="1:9" x14ac:dyDescent="0.25">
      <c r="A11145" s="515">
        <v>95932</v>
      </c>
      <c r="C11145" s="52">
        <v>342035.641593882</v>
      </c>
      <c r="D11145" s="56">
        <v>1.523922258886033E-2</v>
      </c>
      <c r="E11145" s="224" t="s">
        <v>2</v>
      </c>
      <c r="F11145" s="515" t="s">
        <v>12338</v>
      </c>
      <c r="G11145" s="52">
        <v>203869.92830085699</v>
      </c>
      <c r="H11145" s="56">
        <v>-3.1174246525278559E-2</v>
      </c>
      <c r="I11145" s="224" t="s">
        <v>2</v>
      </c>
    </row>
    <row r="11146" spans="1:9" x14ac:dyDescent="0.25">
      <c r="A11146" s="515">
        <v>62821</v>
      </c>
      <c r="C11146" s="52">
        <v>79551.349426089597</v>
      </c>
      <c r="D11146" s="56">
        <v>4.1471819765634521E-2</v>
      </c>
      <c r="E11146" s="224" t="s">
        <v>2</v>
      </c>
      <c r="F11146" s="515" t="s">
        <v>12339</v>
      </c>
      <c r="G11146" s="52">
        <v>164730.3129821</v>
      </c>
      <c r="H11146" s="56">
        <v>0.10492869066775623</v>
      </c>
      <c r="I11146" s="224" t="s">
        <v>2</v>
      </c>
    </row>
    <row r="11147" spans="1:9" x14ac:dyDescent="0.25">
      <c r="A11147" s="515">
        <v>84648</v>
      </c>
      <c r="B11147" s="515" t="s">
        <v>726</v>
      </c>
      <c r="C11147" s="52">
        <v>397123.73432061297</v>
      </c>
      <c r="D11147" s="56">
        <v>4.1357454268061901E-2</v>
      </c>
      <c r="E11147" s="224" t="s">
        <v>2</v>
      </c>
      <c r="F11147" s="515" t="s">
        <v>12340</v>
      </c>
      <c r="G11147" s="52">
        <v>267070.66126985202</v>
      </c>
      <c r="H11147" s="56">
        <v>7.9341896809401777E-2</v>
      </c>
      <c r="I11147" s="224" t="s">
        <v>2</v>
      </c>
    </row>
    <row r="11148" spans="1:9" x14ac:dyDescent="0.25">
      <c r="A11148" s="515">
        <v>12148</v>
      </c>
      <c r="B11148" s="515" t="s">
        <v>609</v>
      </c>
      <c r="C11148" s="52">
        <v>440992.78713941301</v>
      </c>
      <c r="D11148" s="56">
        <v>6.2306015255532622E-2</v>
      </c>
      <c r="E11148" s="224" t="s">
        <v>2</v>
      </c>
      <c r="F11148" s="515" t="s">
        <v>12341</v>
      </c>
      <c r="G11148" s="52">
        <v>112699.794197963</v>
      </c>
      <c r="H11148" s="56">
        <v>8.9537518339180833E-3</v>
      </c>
      <c r="I11148" s="224" t="s">
        <v>2</v>
      </c>
    </row>
    <row r="11149" spans="1:9" x14ac:dyDescent="0.25">
      <c r="A11149" s="515">
        <v>97760</v>
      </c>
      <c r="B11149" s="515" t="s">
        <v>1190</v>
      </c>
      <c r="C11149" s="52">
        <v>520589.29258677602</v>
      </c>
      <c r="D11149" s="56">
        <v>2.1010795510891443E-2</v>
      </c>
      <c r="E11149" s="224" t="s">
        <v>2</v>
      </c>
      <c r="F11149" s="515" t="s">
        <v>12342</v>
      </c>
      <c r="G11149" s="52">
        <v>703565.343123895</v>
      </c>
      <c r="H11149" s="56">
        <v>-3.0059390405650092E-2</v>
      </c>
      <c r="I11149" s="224" t="s">
        <v>2</v>
      </c>
    </row>
    <row r="11150" spans="1:9" x14ac:dyDescent="0.25">
      <c r="A11150" s="515">
        <v>99005</v>
      </c>
      <c r="B11150" s="515" t="s">
        <v>820</v>
      </c>
      <c r="C11150" s="52">
        <v>562658.01006138197</v>
      </c>
      <c r="D11150" s="56">
        <v>5.3338756367108373E-2</v>
      </c>
      <c r="E11150" s="224" t="s">
        <v>2</v>
      </c>
      <c r="F11150" s="515" t="s">
        <v>12343</v>
      </c>
      <c r="G11150" s="52">
        <v>324389.70276200498</v>
      </c>
      <c r="H11150" s="56">
        <v>0.10686178942569093</v>
      </c>
      <c r="I11150" s="224" t="s">
        <v>2</v>
      </c>
    </row>
    <row r="11151" spans="1:9" x14ac:dyDescent="0.25">
      <c r="A11151" s="515">
        <v>73117</v>
      </c>
      <c r="B11151" s="515" t="s">
        <v>385</v>
      </c>
      <c r="C11151" s="52">
        <v>102697.117080287</v>
      </c>
      <c r="D11151" s="56">
        <v>0.25553337323329878</v>
      </c>
      <c r="E11151" s="224">
        <v>1147.5</v>
      </c>
      <c r="F11151" s="515" t="s">
        <v>12344</v>
      </c>
      <c r="G11151" s="52">
        <v>320944.95461435302</v>
      </c>
      <c r="H11151" s="56">
        <v>9.0751878960183496E-2</v>
      </c>
      <c r="I11151" s="224" t="s">
        <v>2</v>
      </c>
    </row>
    <row r="11152" spans="1:9" x14ac:dyDescent="0.25">
      <c r="A11152" s="515">
        <v>58072</v>
      </c>
      <c r="C11152" s="52">
        <v>159915.396982215</v>
      </c>
      <c r="D11152" s="56">
        <v>3.9820227488652535E-2</v>
      </c>
      <c r="E11152" s="224" t="s">
        <v>2</v>
      </c>
      <c r="F11152" s="515" t="s">
        <v>12345</v>
      </c>
      <c r="G11152" s="52">
        <v>206960.45078029099</v>
      </c>
      <c r="H11152" s="56">
        <v>8.3513550706148076E-2</v>
      </c>
      <c r="I11152" s="224" t="s">
        <v>2</v>
      </c>
    </row>
    <row r="11153" spans="1:9" x14ac:dyDescent="0.25">
      <c r="A11153" s="515">
        <v>37058</v>
      </c>
      <c r="B11153" s="515" t="s">
        <v>651</v>
      </c>
      <c r="C11153" s="52">
        <v>214497.437821295</v>
      </c>
      <c r="D11153" s="56">
        <v>6.3649186254647175E-2</v>
      </c>
      <c r="E11153" s="224" t="s">
        <v>2</v>
      </c>
      <c r="F11153" s="515" t="s">
        <v>12346</v>
      </c>
      <c r="G11153" s="52">
        <v>211658.660239947</v>
      </c>
      <c r="H11153" s="56">
        <v>7.1721521953991313E-2</v>
      </c>
      <c r="I11153" s="224" t="s">
        <v>2</v>
      </c>
    </row>
    <row r="11154" spans="1:9" x14ac:dyDescent="0.25">
      <c r="A11154" s="515">
        <v>28785</v>
      </c>
      <c r="B11154" s="515" t="s">
        <v>668</v>
      </c>
      <c r="C11154" s="52">
        <v>346419.42795734998</v>
      </c>
      <c r="D11154" s="56">
        <v>8.9337776163223873E-2</v>
      </c>
      <c r="E11154" s="224" t="s">
        <v>2</v>
      </c>
      <c r="F11154" s="515" t="s">
        <v>12347</v>
      </c>
      <c r="G11154" s="52">
        <v>110147.21112969</v>
      </c>
      <c r="H11154" s="56">
        <v>-1.5537448856561154E-2</v>
      </c>
      <c r="I11154" s="224" t="s">
        <v>2</v>
      </c>
    </row>
    <row r="11155" spans="1:9" x14ac:dyDescent="0.25">
      <c r="A11155" s="515">
        <v>26426</v>
      </c>
      <c r="B11155" s="515" t="s">
        <v>347</v>
      </c>
      <c r="C11155" s="52">
        <v>119063.347038655</v>
      </c>
      <c r="D11155" s="56">
        <v>-1.5076487014906196E-2</v>
      </c>
      <c r="E11155" s="224" t="s">
        <v>2</v>
      </c>
      <c r="F11155" s="515" t="s">
        <v>12348</v>
      </c>
      <c r="G11155" s="52">
        <v>115913.82127556999</v>
      </c>
      <c r="H11155" s="56">
        <v>0</v>
      </c>
      <c r="I11155" s="224" t="s">
        <v>2</v>
      </c>
    </row>
    <row r="11156" spans="1:9" x14ac:dyDescent="0.25">
      <c r="A11156" s="515">
        <v>79201</v>
      </c>
      <c r="C11156" s="52">
        <v>88670.833138180999</v>
      </c>
      <c r="D11156" s="56">
        <v>4.9691770099012732E-2</v>
      </c>
      <c r="E11156" s="224" t="s">
        <v>2</v>
      </c>
      <c r="F11156" s="515" t="s">
        <v>12349</v>
      </c>
      <c r="G11156" s="52">
        <v>190817.514412994</v>
      </c>
      <c r="H11156" s="56">
        <v>0.1284148048748002</v>
      </c>
      <c r="I11156" s="224" t="s">
        <v>2</v>
      </c>
    </row>
    <row r="11157" spans="1:9" x14ac:dyDescent="0.25">
      <c r="A11157" s="515">
        <v>85003</v>
      </c>
      <c r="B11157" s="515" t="s">
        <v>563</v>
      </c>
      <c r="C11157" s="52">
        <v>555284.03251722001</v>
      </c>
      <c r="D11157" s="56">
        <v>4.8876422251614496E-2</v>
      </c>
      <c r="E11157" s="224">
        <v>1834.9232142857099</v>
      </c>
      <c r="F11157" s="515" t="s">
        <v>12350</v>
      </c>
      <c r="G11157" s="52">
        <v>299128.60458573798</v>
      </c>
      <c r="H11157" s="56">
        <v>8.1050817744673848E-2</v>
      </c>
      <c r="I11157" s="224" t="s">
        <v>2</v>
      </c>
    </row>
    <row r="11158" spans="1:9" x14ac:dyDescent="0.25">
      <c r="A11158" s="515">
        <v>17948</v>
      </c>
      <c r="B11158" s="515" t="s">
        <v>994</v>
      </c>
      <c r="C11158" s="52">
        <v>29961.934776634</v>
      </c>
      <c r="D11158" s="56">
        <v>0.13184611985314637</v>
      </c>
      <c r="E11158" s="224" t="s">
        <v>2</v>
      </c>
      <c r="F11158" s="515" t="s">
        <v>12351</v>
      </c>
      <c r="G11158" s="52">
        <v>217904.21106270101</v>
      </c>
      <c r="H11158" s="56">
        <v>7.5018672175214074E-2</v>
      </c>
      <c r="I11158" s="224" t="s">
        <v>2</v>
      </c>
    </row>
    <row r="11159" spans="1:9" x14ac:dyDescent="0.25">
      <c r="A11159" s="515">
        <v>28128</v>
      </c>
      <c r="B11159" s="515" t="s">
        <v>1168</v>
      </c>
      <c r="C11159" s="52">
        <v>250185.63434918999</v>
      </c>
      <c r="D11159" s="56">
        <v>0.15656689758781928</v>
      </c>
      <c r="E11159" s="224" t="s">
        <v>2</v>
      </c>
      <c r="F11159" s="515" t="s">
        <v>12352</v>
      </c>
      <c r="G11159" s="52">
        <v>301554.21203459997</v>
      </c>
      <c r="H11159" s="56">
        <v>8.7739553660491118E-2</v>
      </c>
      <c r="I11159" s="224" t="s">
        <v>2</v>
      </c>
    </row>
    <row r="11160" spans="1:9" x14ac:dyDescent="0.25">
      <c r="A11160" s="515">
        <v>92241</v>
      </c>
      <c r="B11160" s="515" t="s">
        <v>599</v>
      </c>
      <c r="C11160" s="52">
        <v>362712.78393917001</v>
      </c>
      <c r="D11160" s="56">
        <v>9.0688380166293867E-2</v>
      </c>
      <c r="E11160" s="224" t="s">
        <v>2</v>
      </c>
      <c r="F11160" s="515" t="s">
        <v>12353</v>
      </c>
      <c r="G11160" s="52">
        <v>238661.09383756499</v>
      </c>
      <c r="H11160" s="56">
        <v>6.6773871741282742E-2</v>
      </c>
      <c r="I11160" s="224" t="s">
        <v>2</v>
      </c>
    </row>
    <row r="11161" spans="1:9" x14ac:dyDescent="0.25">
      <c r="A11161" s="515">
        <v>92325</v>
      </c>
      <c r="B11161" s="515" t="s">
        <v>599</v>
      </c>
      <c r="C11161" s="52">
        <v>374364.676082419</v>
      </c>
      <c r="D11161" s="56">
        <v>8.5388433794196583E-2</v>
      </c>
      <c r="E11161" s="224" t="s">
        <v>2</v>
      </c>
      <c r="F11161" s="515" t="s">
        <v>12354</v>
      </c>
      <c r="G11161" s="52">
        <v>439835.97130090598</v>
      </c>
      <c r="H11161" s="56">
        <v>2.9724570528942406E-2</v>
      </c>
      <c r="I11161" s="224" t="s">
        <v>2</v>
      </c>
    </row>
    <row r="11162" spans="1:9" x14ac:dyDescent="0.25">
      <c r="A11162" s="515">
        <v>8312</v>
      </c>
      <c r="B11162" s="515" t="s">
        <v>294</v>
      </c>
      <c r="C11162" s="52">
        <v>244329.10880397601</v>
      </c>
      <c r="D11162" s="56">
        <v>0.11770190248110504</v>
      </c>
      <c r="E11162" s="224" t="s">
        <v>2</v>
      </c>
      <c r="F11162" s="515" t="s">
        <v>12355</v>
      </c>
      <c r="G11162" s="52">
        <v>162918.58076312201</v>
      </c>
      <c r="H11162" s="56">
        <v>0.16730651151024298</v>
      </c>
      <c r="I11162" s="224" t="s">
        <v>2</v>
      </c>
    </row>
    <row r="11163" spans="1:9" x14ac:dyDescent="0.25">
      <c r="A11163" s="515">
        <v>16150</v>
      </c>
      <c r="B11163" s="515" t="s">
        <v>397</v>
      </c>
      <c r="C11163" s="52">
        <v>130823.31094402399</v>
      </c>
      <c r="D11163" s="56">
        <v>2.2217653109481064E-2</v>
      </c>
      <c r="E11163" s="224" t="s">
        <v>2</v>
      </c>
      <c r="F11163" s="515" t="s">
        <v>12356</v>
      </c>
      <c r="G11163" s="52">
        <v>299509.59248414298</v>
      </c>
      <c r="H11163" s="56">
        <v>3.0461746571628139E-2</v>
      </c>
      <c r="I11163" s="224" t="s">
        <v>2</v>
      </c>
    </row>
    <row r="11164" spans="1:9" x14ac:dyDescent="0.25">
      <c r="A11164" s="515">
        <v>17777</v>
      </c>
      <c r="B11164" s="515" t="s">
        <v>939</v>
      </c>
      <c r="C11164" s="52">
        <v>187201.46561739899</v>
      </c>
      <c r="D11164" s="56">
        <v>-6.741148382699234E-3</v>
      </c>
      <c r="E11164" s="224" t="s">
        <v>2</v>
      </c>
      <c r="F11164" s="515" t="s">
        <v>12357</v>
      </c>
      <c r="G11164" s="52">
        <v>203761.298185608</v>
      </c>
      <c r="H11164" s="56">
        <v>8.3334742526623359E-2</v>
      </c>
      <c r="I11164" s="224" t="s">
        <v>2</v>
      </c>
    </row>
    <row r="11165" spans="1:9" x14ac:dyDescent="0.25">
      <c r="A11165" s="515">
        <v>35062</v>
      </c>
      <c r="B11165" s="515" t="s">
        <v>640</v>
      </c>
      <c r="C11165" s="52">
        <v>203829.43269559901</v>
      </c>
      <c r="D11165" s="56">
        <v>0.11293137528075523</v>
      </c>
      <c r="E11165" s="224" t="s">
        <v>2</v>
      </c>
      <c r="F11165" s="515" t="s">
        <v>12358</v>
      </c>
      <c r="G11165" s="52">
        <v>206889.40781734299</v>
      </c>
      <c r="H11165" s="56">
        <v>-4.3958628292906171E-2</v>
      </c>
      <c r="I11165" s="224" t="s">
        <v>2</v>
      </c>
    </row>
    <row r="11166" spans="1:9" x14ac:dyDescent="0.25">
      <c r="A11166" s="515">
        <v>7465</v>
      </c>
      <c r="B11166" s="515" t="s">
        <v>324</v>
      </c>
      <c r="C11166" s="52">
        <v>410614.69521178899</v>
      </c>
      <c r="D11166" s="56">
        <v>4.5455694057488553E-2</v>
      </c>
      <c r="E11166" s="224" t="s">
        <v>2</v>
      </c>
      <c r="F11166" s="515" t="s">
        <v>12359</v>
      </c>
      <c r="G11166" s="52">
        <v>249878.63370793901</v>
      </c>
      <c r="H11166" s="56">
        <v>0.11304481159608534</v>
      </c>
      <c r="I11166" s="224" t="s">
        <v>2</v>
      </c>
    </row>
    <row r="11167" spans="1:9" x14ac:dyDescent="0.25">
      <c r="A11167" s="515">
        <v>53533</v>
      </c>
      <c r="B11167" s="515" t="s">
        <v>727</v>
      </c>
      <c r="C11167" s="52">
        <v>253839.077519174</v>
      </c>
      <c r="D11167" s="56">
        <v>7.7764300213914339E-2</v>
      </c>
      <c r="E11167" s="224" t="s">
        <v>2</v>
      </c>
      <c r="F11167" s="515" t="s">
        <v>12360</v>
      </c>
      <c r="G11167" s="52">
        <v>227003.10240639499</v>
      </c>
      <c r="H11167" s="56">
        <v>0.10916371960359937</v>
      </c>
      <c r="I11167" s="224" t="s">
        <v>2</v>
      </c>
    </row>
    <row r="11168" spans="1:9" x14ac:dyDescent="0.25">
      <c r="A11168" s="515">
        <v>48363</v>
      </c>
      <c r="B11168" s="515" t="s">
        <v>685</v>
      </c>
      <c r="C11168" s="52">
        <v>583325.01331112103</v>
      </c>
      <c r="D11168" s="56">
        <v>5.1653879951588419E-2</v>
      </c>
      <c r="E11168" s="224" t="s">
        <v>2</v>
      </c>
      <c r="F11168" s="515" t="s">
        <v>12361</v>
      </c>
      <c r="G11168" s="52">
        <v>181245.978974175</v>
      </c>
      <c r="H11168" s="56">
        <v>0.15426331006573579</v>
      </c>
      <c r="I11168" s="224" t="s">
        <v>2</v>
      </c>
    </row>
    <row r="11169" spans="1:9" x14ac:dyDescent="0.25">
      <c r="A11169" s="515">
        <v>36350</v>
      </c>
      <c r="B11169" s="515" t="s">
        <v>369</v>
      </c>
      <c r="C11169" s="52">
        <v>167758.40769846601</v>
      </c>
      <c r="D11169" s="56">
        <v>9.6090610793769071E-2</v>
      </c>
      <c r="E11169" s="224" t="s">
        <v>2</v>
      </c>
      <c r="F11169" s="515" t="s">
        <v>12362</v>
      </c>
      <c r="G11169" s="52">
        <v>180290.65703412</v>
      </c>
      <c r="H11169" s="56">
        <v>4.0683898906565819E-2</v>
      </c>
      <c r="I11169" s="224" t="s">
        <v>2</v>
      </c>
    </row>
    <row r="11170" spans="1:9" x14ac:dyDescent="0.25">
      <c r="A11170" s="515">
        <v>12428</v>
      </c>
      <c r="B11170" s="515" t="s">
        <v>307</v>
      </c>
      <c r="C11170" s="52">
        <v>224773.79290841101</v>
      </c>
      <c r="D11170" s="56">
        <v>0.13155443473371783</v>
      </c>
      <c r="E11170" s="224" t="s">
        <v>2</v>
      </c>
      <c r="F11170" s="515" t="s">
        <v>12363</v>
      </c>
      <c r="G11170" s="52">
        <v>313883.96359286702</v>
      </c>
      <c r="H11170" s="56">
        <v>7.295436140435145E-2</v>
      </c>
      <c r="I11170" s="224" t="s">
        <v>2</v>
      </c>
    </row>
    <row r="11171" spans="1:9" x14ac:dyDescent="0.25">
      <c r="A11171" s="515">
        <v>30673</v>
      </c>
      <c r="C11171" s="52">
        <v>133305.636612367</v>
      </c>
      <c r="D11171" s="56">
        <v>0.21369510866870309</v>
      </c>
      <c r="E11171" s="224" t="s">
        <v>2</v>
      </c>
      <c r="F11171" s="515" t="s">
        <v>12364</v>
      </c>
      <c r="G11171" s="52">
        <v>247597.80635046301</v>
      </c>
      <c r="H11171" s="56">
        <v>0.10034145939092973</v>
      </c>
      <c r="I11171" s="224" t="s">
        <v>2</v>
      </c>
    </row>
    <row r="11172" spans="1:9" x14ac:dyDescent="0.25">
      <c r="A11172" s="515">
        <v>70392</v>
      </c>
      <c r="B11172" s="515" t="s">
        <v>1184</v>
      </c>
      <c r="C11172" s="52">
        <v>130979.303422561</v>
      </c>
      <c r="D11172" s="56">
        <v>6.1904317379703457E-2</v>
      </c>
      <c r="E11172" s="224" t="s">
        <v>2</v>
      </c>
      <c r="F11172" s="515" t="s">
        <v>12365</v>
      </c>
      <c r="G11172" s="52">
        <v>219550.2319482</v>
      </c>
      <c r="H11172" s="56">
        <v>0.11083601056918224</v>
      </c>
      <c r="I11172" s="224" t="s">
        <v>2</v>
      </c>
    </row>
    <row r="11173" spans="1:9" x14ac:dyDescent="0.25">
      <c r="A11173" s="515">
        <v>29003</v>
      </c>
      <c r="C11173" s="52">
        <v>109535.89949516099</v>
      </c>
      <c r="D11173" s="56">
        <v>4.4591606842521052E-2</v>
      </c>
      <c r="E11173" s="224" t="s">
        <v>2</v>
      </c>
      <c r="F11173" s="515" t="s">
        <v>12366</v>
      </c>
      <c r="G11173" s="52">
        <v>409338.74901153898</v>
      </c>
      <c r="H11173" s="56">
        <v>4.6280908969700003E-2</v>
      </c>
      <c r="I11173" s="224" t="s">
        <v>2</v>
      </c>
    </row>
    <row r="11174" spans="1:9" x14ac:dyDescent="0.25">
      <c r="A11174" s="515">
        <v>6035</v>
      </c>
      <c r="B11174" s="515" t="s">
        <v>894</v>
      </c>
      <c r="C11174" s="52">
        <v>339117.50640451</v>
      </c>
      <c r="D11174" s="56">
        <v>7.5296481953537317E-2</v>
      </c>
      <c r="E11174" s="224" t="s">
        <v>2</v>
      </c>
      <c r="F11174" s="515" t="s">
        <v>12367</v>
      </c>
      <c r="G11174" s="52">
        <v>157514.63094511599</v>
      </c>
      <c r="H11174" s="56">
        <v>8.957348319264874E-2</v>
      </c>
      <c r="I11174" s="224" t="s">
        <v>2</v>
      </c>
    </row>
    <row r="11175" spans="1:9" x14ac:dyDescent="0.25">
      <c r="A11175" s="515">
        <v>30802</v>
      </c>
      <c r="B11175" s="515" t="s">
        <v>888</v>
      </c>
      <c r="C11175" s="52">
        <v>304138.76262315601</v>
      </c>
      <c r="D11175" s="56">
        <v>6.7870334180432756E-2</v>
      </c>
      <c r="E11175" s="224" t="s">
        <v>2</v>
      </c>
      <c r="F11175" s="515" t="s">
        <v>12368</v>
      </c>
      <c r="G11175" s="52">
        <v>83689.132437472697</v>
      </c>
      <c r="H11175" s="56">
        <v>3.7722840002951889E-2</v>
      </c>
      <c r="I11175" s="224" t="s">
        <v>2</v>
      </c>
    </row>
    <row r="11176" spans="1:9" x14ac:dyDescent="0.25">
      <c r="A11176" s="515">
        <v>11507</v>
      </c>
      <c r="B11176" s="515" t="s">
        <v>324</v>
      </c>
      <c r="C11176" s="52">
        <v>846849.652221294</v>
      </c>
      <c r="D11176" s="56">
        <v>7.2552664756308463E-2</v>
      </c>
      <c r="E11176" s="224" t="s">
        <v>2</v>
      </c>
      <c r="F11176" s="515" t="s">
        <v>12369</v>
      </c>
      <c r="G11176" s="52">
        <v>162030.858333963</v>
      </c>
      <c r="H11176" s="56">
        <v>6.6355802633605729E-2</v>
      </c>
      <c r="I11176" s="224" t="s">
        <v>2</v>
      </c>
    </row>
    <row r="11177" spans="1:9" x14ac:dyDescent="0.25">
      <c r="A11177" s="515">
        <v>43543</v>
      </c>
      <c r="C11177" s="52">
        <v>123063.170050366</v>
      </c>
      <c r="D11177" s="56">
        <v>8.7505646879197554E-2</v>
      </c>
      <c r="E11177" s="224" t="s">
        <v>2</v>
      </c>
      <c r="F11177" s="515" t="s">
        <v>12370</v>
      </c>
      <c r="G11177" s="52">
        <v>262746.052412891</v>
      </c>
      <c r="H11177" s="56">
        <v>5.5363669731544961E-2</v>
      </c>
      <c r="I11177" s="224" t="s">
        <v>2</v>
      </c>
    </row>
    <row r="11178" spans="1:9" x14ac:dyDescent="0.25">
      <c r="A11178" s="515">
        <v>41139</v>
      </c>
      <c r="B11178" s="515" t="s">
        <v>602</v>
      </c>
      <c r="C11178" s="52">
        <v>114291.341972874</v>
      </c>
      <c r="D11178" s="56">
        <v>9.9155401073292265E-2</v>
      </c>
      <c r="E11178" s="224" t="s">
        <v>2</v>
      </c>
      <c r="F11178" s="515" t="s">
        <v>12371</v>
      </c>
      <c r="G11178" s="52">
        <v>608204.221907567</v>
      </c>
      <c r="H11178" s="56">
        <v>0.11614692262315035</v>
      </c>
      <c r="I11178" s="224" t="s">
        <v>2</v>
      </c>
    </row>
    <row r="11179" spans="1:9" x14ac:dyDescent="0.25">
      <c r="A11179" s="515">
        <v>61061</v>
      </c>
      <c r="B11179" s="515" t="s">
        <v>429</v>
      </c>
      <c r="C11179" s="52">
        <v>170258.74859495999</v>
      </c>
      <c r="D11179" s="56">
        <v>6.3450964349762551E-2</v>
      </c>
      <c r="E11179" s="224" t="s">
        <v>2</v>
      </c>
      <c r="F11179" s="515" t="s">
        <v>12372</v>
      </c>
      <c r="G11179" s="52">
        <v>174998.12300604</v>
      </c>
      <c r="H11179" s="56">
        <v>6.6608036646792421E-2</v>
      </c>
      <c r="I11179" s="224" t="s">
        <v>2</v>
      </c>
    </row>
    <row r="11180" spans="1:9" x14ac:dyDescent="0.25">
      <c r="A11180" s="515">
        <v>28465</v>
      </c>
      <c r="B11180" s="515" t="s">
        <v>703</v>
      </c>
      <c r="C11180" s="52">
        <v>522033.82404173398</v>
      </c>
      <c r="D11180" s="56">
        <v>0.157446238991031</v>
      </c>
      <c r="E11180" s="224" t="s">
        <v>2</v>
      </c>
      <c r="F11180" s="515" t="s">
        <v>12373</v>
      </c>
      <c r="G11180" s="52">
        <v>62197.280007668101</v>
      </c>
      <c r="H11180" s="56">
        <v>1.7170135428239117E-2</v>
      </c>
      <c r="I11180" s="224" t="s">
        <v>2</v>
      </c>
    </row>
    <row r="11181" spans="1:9" x14ac:dyDescent="0.25">
      <c r="A11181" s="515">
        <v>27325</v>
      </c>
      <c r="B11181" s="515" t="s">
        <v>1090</v>
      </c>
      <c r="C11181" s="52">
        <v>153518.53218866701</v>
      </c>
      <c r="D11181" s="56">
        <v>0.31927463122846317</v>
      </c>
      <c r="E11181" s="224" t="s">
        <v>2</v>
      </c>
      <c r="F11181" s="515" t="s">
        <v>12374</v>
      </c>
      <c r="G11181" s="52">
        <v>167616.84083044899</v>
      </c>
      <c r="H11181" s="56">
        <v>0</v>
      </c>
      <c r="I11181" s="224" t="s">
        <v>2</v>
      </c>
    </row>
    <row r="11182" spans="1:9" x14ac:dyDescent="0.25">
      <c r="A11182" s="515">
        <v>1432</v>
      </c>
      <c r="B11182" s="515" t="s">
        <v>534</v>
      </c>
      <c r="C11182" s="52">
        <v>458980.01026055397</v>
      </c>
      <c r="D11182" s="56">
        <v>6.3859491408412863E-2</v>
      </c>
      <c r="E11182" s="224" t="s">
        <v>2</v>
      </c>
      <c r="F11182" s="515" t="s">
        <v>12375</v>
      </c>
      <c r="G11182" s="52">
        <v>229393.056107471</v>
      </c>
      <c r="H11182" s="56">
        <v>0.10791704762972797</v>
      </c>
      <c r="I11182" s="224" t="s">
        <v>2</v>
      </c>
    </row>
    <row r="11183" spans="1:9" x14ac:dyDescent="0.25">
      <c r="A11183" s="515">
        <v>32424</v>
      </c>
      <c r="C11183" s="52">
        <v>148686.40641007799</v>
      </c>
      <c r="D11183" s="56">
        <v>0.19342460988416599</v>
      </c>
      <c r="E11183" s="224" t="s">
        <v>2</v>
      </c>
      <c r="F11183" s="515" t="s">
        <v>12376</v>
      </c>
      <c r="G11183" s="52">
        <v>195674.99739144399</v>
      </c>
      <c r="H11183" s="56">
        <v>0.17707207177312995</v>
      </c>
      <c r="I11183" s="224" t="s">
        <v>2</v>
      </c>
    </row>
    <row r="11184" spans="1:9" x14ac:dyDescent="0.25">
      <c r="A11184" s="515">
        <v>55101</v>
      </c>
      <c r="B11184" s="515" t="s">
        <v>532</v>
      </c>
      <c r="C11184" s="52">
        <v>216465.36506291601</v>
      </c>
      <c r="D11184" s="56">
        <v>-3.8377744267614276E-2</v>
      </c>
      <c r="E11184" s="224">
        <v>1572.1837606837601</v>
      </c>
      <c r="F11184" s="515" t="s">
        <v>12377</v>
      </c>
      <c r="G11184" s="52">
        <v>252612.785137837</v>
      </c>
      <c r="H11184" s="56">
        <v>0.30423442622467317</v>
      </c>
      <c r="I11184" s="224" t="s">
        <v>2</v>
      </c>
    </row>
    <row r="11185" spans="1:9" x14ac:dyDescent="0.25">
      <c r="A11185" s="515">
        <v>99349</v>
      </c>
      <c r="B11185" s="515" t="s">
        <v>666</v>
      </c>
      <c r="C11185" s="52">
        <v>401490.71002675901</v>
      </c>
      <c r="D11185" s="56">
        <v>4.9663199599206287E-2</v>
      </c>
      <c r="E11185" s="224" t="s">
        <v>2</v>
      </c>
      <c r="F11185" s="515" t="s">
        <v>12378</v>
      </c>
      <c r="G11185" s="52">
        <v>150972.47146556099</v>
      </c>
      <c r="H11185" s="56">
        <v>0</v>
      </c>
      <c r="I11185" s="224" t="s">
        <v>2</v>
      </c>
    </row>
    <row r="11186" spans="1:9" x14ac:dyDescent="0.25">
      <c r="A11186" s="515">
        <v>18210</v>
      </c>
      <c r="B11186" s="515" t="s">
        <v>327</v>
      </c>
      <c r="C11186" s="52">
        <v>248614.068679533</v>
      </c>
      <c r="D11186" s="56">
        <v>0.16401620490652383</v>
      </c>
      <c r="E11186" s="224" t="s">
        <v>2</v>
      </c>
      <c r="F11186" s="515" t="s">
        <v>12379</v>
      </c>
      <c r="G11186" s="52">
        <v>167693.79663729601</v>
      </c>
      <c r="H11186" s="56">
        <v>0.15369291314219374</v>
      </c>
      <c r="I11186" s="224" t="s">
        <v>2</v>
      </c>
    </row>
    <row r="11187" spans="1:9" x14ac:dyDescent="0.25">
      <c r="A11187" s="515">
        <v>75752</v>
      </c>
      <c r="B11187" s="515" t="s">
        <v>1088</v>
      </c>
      <c r="C11187" s="52">
        <v>291256.76411929098</v>
      </c>
      <c r="D11187" s="56">
        <v>5.6679086794440461E-2</v>
      </c>
      <c r="E11187" s="224" t="s">
        <v>2</v>
      </c>
      <c r="F11187" s="515" t="s">
        <v>12380</v>
      </c>
      <c r="G11187" s="52">
        <v>198451.92651801699</v>
      </c>
      <c r="H11187" s="56">
        <v>0.15728238048076429</v>
      </c>
      <c r="I11187" s="224" t="s">
        <v>2</v>
      </c>
    </row>
    <row r="11188" spans="1:9" x14ac:dyDescent="0.25">
      <c r="A11188" s="515">
        <v>32066</v>
      </c>
      <c r="C11188" s="52">
        <v>207282.34906166699</v>
      </c>
      <c r="D11188" s="56">
        <v>1.4960884367595278E-2</v>
      </c>
      <c r="E11188" s="224" t="s">
        <v>2</v>
      </c>
      <c r="F11188" s="515" t="s">
        <v>12381</v>
      </c>
      <c r="G11188" s="52">
        <v>306147.45878067799</v>
      </c>
      <c r="H11188" s="56">
        <v>-8.6596262388325372E-4</v>
      </c>
      <c r="I11188" s="224" t="s">
        <v>2</v>
      </c>
    </row>
    <row r="11189" spans="1:9" x14ac:dyDescent="0.25">
      <c r="A11189" s="515">
        <v>46552</v>
      </c>
      <c r="B11189" s="515" t="s">
        <v>1002</v>
      </c>
      <c r="C11189" s="52">
        <v>221396.15048990501</v>
      </c>
      <c r="D11189" s="56">
        <v>0.10416793514423928</v>
      </c>
      <c r="E11189" s="224" t="s">
        <v>2</v>
      </c>
      <c r="F11189" s="515" t="s">
        <v>12382</v>
      </c>
      <c r="G11189" s="52">
        <v>92833.659945392894</v>
      </c>
      <c r="H11189" s="56">
        <v>0.15577548407333222</v>
      </c>
      <c r="I11189" s="224" t="s">
        <v>2</v>
      </c>
    </row>
    <row r="11190" spans="1:9" x14ac:dyDescent="0.25">
      <c r="A11190" s="515">
        <v>65084</v>
      </c>
      <c r="C11190" s="52">
        <v>217007.89183598399</v>
      </c>
      <c r="D11190" s="56">
        <v>0.12009912730118916</v>
      </c>
      <c r="E11190" s="224" t="s">
        <v>2</v>
      </c>
      <c r="F11190" s="515" t="s">
        <v>12383</v>
      </c>
      <c r="G11190" s="52">
        <v>162095.91873107199</v>
      </c>
      <c r="H11190" s="56">
        <v>0.10511458380997739</v>
      </c>
      <c r="I11190" s="224" t="s">
        <v>2</v>
      </c>
    </row>
    <row r="11191" spans="1:9" x14ac:dyDescent="0.25">
      <c r="A11191" s="515">
        <v>14414</v>
      </c>
      <c r="B11191" s="515" t="s">
        <v>337</v>
      </c>
      <c r="C11191" s="52">
        <v>216966.00880520599</v>
      </c>
      <c r="D11191" s="56">
        <v>6.6414403556304125E-2</v>
      </c>
      <c r="E11191" s="224" t="s">
        <v>2</v>
      </c>
      <c r="F11191" s="515" t="s">
        <v>12384</v>
      </c>
      <c r="G11191" s="52">
        <v>330339.54776185402</v>
      </c>
      <c r="H11191" s="56">
        <v>8.4200084841841313E-2</v>
      </c>
      <c r="I11191" s="224" t="s">
        <v>2</v>
      </c>
    </row>
    <row r="11192" spans="1:9" x14ac:dyDescent="0.25">
      <c r="A11192" s="515">
        <v>70087</v>
      </c>
      <c r="B11192" s="515" t="s">
        <v>777</v>
      </c>
      <c r="C11192" s="52">
        <v>200644.97174992901</v>
      </c>
      <c r="D11192" s="56">
        <v>-5.6252930029546842E-3</v>
      </c>
      <c r="E11192" s="224" t="s">
        <v>2</v>
      </c>
      <c r="F11192" s="515" t="s">
        <v>12385</v>
      </c>
      <c r="G11192" s="52">
        <v>313643.54776492401</v>
      </c>
      <c r="H11192" s="56">
        <v>9.5346456044888256E-2</v>
      </c>
      <c r="I11192" s="224" t="s">
        <v>2</v>
      </c>
    </row>
    <row r="11193" spans="1:9" x14ac:dyDescent="0.25">
      <c r="A11193" s="515">
        <v>29842</v>
      </c>
      <c r="B11193" s="515" t="s">
        <v>888</v>
      </c>
      <c r="C11193" s="52">
        <v>88815.869280802697</v>
      </c>
      <c r="D11193" s="56">
        <v>1.4921366547406265E-2</v>
      </c>
      <c r="E11193" s="224" t="s">
        <v>2</v>
      </c>
      <c r="F11193" s="515" t="s">
        <v>12386</v>
      </c>
      <c r="G11193" s="52">
        <v>316760.79405096301</v>
      </c>
      <c r="H11193" s="56">
        <v>8.004121593147133E-2</v>
      </c>
      <c r="I11193" s="224" t="s">
        <v>2</v>
      </c>
    </row>
    <row r="11194" spans="1:9" x14ac:dyDescent="0.25">
      <c r="A11194" s="515">
        <v>8090</v>
      </c>
      <c r="B11194" s="515" t="s">
        <v>294</v>
      </c>
      <c r="C11194" s="52">
        <v>278028.85049251898</v>
      </c>
      <c r="D11194" s="56">
        <v>7.4107511654969871E-2</v>
      </c>
      <c r="E11194" s="224" t="s">
        <v>2</v>
      </c>
      <c r="F11194" s="515" t="s">
        <v>12387</v>
      </c>
      <c r="G11194" s="52">
        <v>192525.822345322</v>
      </c>
      <c r="H11194" s="56">
        <v>7.3229398788045963E-2</v>
      </c>
      <c r="I11194" s="224" t="s">
        <v>2</v>
      </c>
    </row>
    <row r="11195" spans="1:9" x14ac:dyDescent="0.25">
      <c r="A11195" s="515">
        <v>70744</v>
      </c>
      <c r="B11195" s="515" t="s">
        <v>610</v>
      </c>
      <c r="C11195" s="52">
        <v>181690.44763322701</v>
      </c>
      <c r="D11195" s="56">
        <v>-3.2376567378559755E-2</v>
      </c>
      <c r="E11195" s="224" t="s">
        <v>2</v>
      </c>
      <c r="F11195" s="515" t="s">
        <v>12388</v>
      </c>
      <c r="G11195" s="52">
        <v>108817.974479775</v>
      </c>
      <c r="H11195" s="56">
        <v>8.3938215889718698E-2</v>
      </c>
      <c r="I11195" s="224" t="s">
        <v>2</v>
      </c>
    </row>
    <row r="11196" spans="1:9" x14ac:dyDescent="0.25">
      <c r="A11196" s="515">
        <v>36401</v>
      </c>
      <c r="C11196" s="52">
        <v>97511.303723090998</v>
      </c>
      <c r="D11196" s="56">
        <v>8.0215343381245474E-2</v>
      </c>
      <c r="E11196" s="224" t="s">
        <v>2</v>
      </c>
      <c r="F11196" s="515" t="s">
        <v>12389</v>
      </c>
      <c r="G11196" s="52">
        <v>209539.104037729</v>
      </c>
      <c r="H11196" s="56">
        <v>8.6137763166815373E-2</v>
      </c>
      <c r="I11196" s="224" t="s">
        <v>2</v>
      </c>
    </row>
    <row r="11197" spans="1:9" x14ac:dyDescent="0.25">
      <c r="A11197" s="515">
        <v>3458</v>
      </c>
      <c r="B11197" s="515" t="s">
        <v>996</v>
      </c>
      <c r="C11197" s="52">
        <v>387795.388781694</v>
      </c>
      <c r="D11197" s="56">
        <v>0.15559792606476081</v>
      </c>
      <c r="E11197" s="224" t="s">
        <v>2</v>
      </c>
      <c r="F11197" s="515" t="s">
        <v>12390</v>
      </c>
      <c r="G11197" s="52">
        <v>135089.87558694</v>
      </c>
      <c r="H11197" s="56">
        <v>2.2789855456521665E-2</v>
      </c>
      <c r="I11197" s="224" t="s">
        <v>2</v>
      </c>
    </row>
    <row r="11198" spans="1:9" x14ac:dyDescent="0.25">
      <c r="A11198" s="515">
        <v>17851</v>
      </c>
      <c r="B11198" s="515" t="s">
        <v>939</v>
      </c>
      <c r="C11198" s="52">
        <v>36505.472849145699</v>
      </c>
      <c r="D11198" s="56">
        <v>7.4644770054245704E-2</v>
      </c>
      <c r="E11198" s="224" t="s">
        <v>2</v>
      </c>
      <c r="F11198" s="515" t="s">
        <v>12391</v>
      </c>
      <c r="G11198" s="52">
        <v>678838.20346352598</v>
      </c>
      <c r="H11198" s="56">
        <v>9.1407451718070229E-2</v>
      </c>
      <c r="I11198" s="224" t="s">
        <v>2</v>
      </c>
    </row>
    <row r="11199" spans="1:9" x14ac:dyDescent="0.25">
      <c r="A11199" s="515">
        <v>46723</v>
      </c>
      <c r="B11199" s="515" t="s">
        <v>1031</v>
      </c>
      <c r="C11199" s="52">
        <v>236982.12736538801</v>
      </c>
      <c r="D11199" s="56">
        <v>8.5019635740035848E-2</v>
      </c>
      <c r="E11199" s="224" t="s">
        <v>2</v>
      </c>
      <c r="F11199" s="515" t="s">
        <v>12392</v>
      </c>
      <c r="G11199" s="52">
        <v>364574.23319220898</v>
      </c>
      <c r="H11199" s="56">
        <v>5.1513383998664293E-2</v>
      </c>
      <c r="I11199" s="224" t="s">
        <v>2</v>
      </c>
    </row>
    <row r="11200" spans="1:9" x14ac:dyDescent="0.25">
      <c r="A11200" s="515">
        <v>35670</v>
      </c>
      <c r="B11200" s="515" t="s">
        <v>1007</v>
      </c>
      <c r="C11200" s="52">
        <v>204186.74072136599</v>
      </c>
      <c r="D11200" s="56">
        <v>-4.2714197782148999E-3</v>
      </c>
      <c r="E11200" s="224" t="s">
        <v>2</v>
      </c>
      <c r="F11200" s="515" t="s">
        <v>12393</v>
      </c>
      <c r="G11200" s="52">
        <v>57039.492421597301</v>
      </c>
      <c r="H11200" s="56">
        <v>0.15549992786539249</v>
      </c>
      <c r="I11200" s="224" t="s">
        <v>2</v>
      </c>
    </row>
    <row r="11201" spans="1:9" x14ac:dyDescent="0.25">
      <c r="A11201" s="515">
        <v>24590</v>
      </c>
      <c r="B11201" s="515" t="s">
        <v>630</v>
      </c>
      <c r="C11201" s="52">
        <v>281845.488437908</v>
      </c>
      <c r="D11201" s="56">
        <v>7.5678075756368923E-2</v>
      </c>
      <c r="E11201" s="224" t="s">
        <v>2</v>
      </c>
      <c r="F11201" s="515" t="s">
        <v>12394</v>
      </c>
      <c r="G11201" s="52">
        <v>129911.924465252</v>
      </c>
      <c r="H11201" s="56">
        <v>9.529224086403261E-2</v>
      </c>
      <c r="I11201" s="224" t="s">
        <v>2</v>
      </c>
    </row>
    <row r="11202" spans="1:9" x14ac:dyDescent="0.25">
      <c r="A11202" s="515">
        <v>28040</v>
      </c>
      <c r="B11202" s="515" t="s">
        <v>1128</v>
      </c>
      <c r="C11202" s="52">
        <v>160274.360022871</v>
      </c>
      <c r="D11202" s="56">
        <v>0.2295305813388443</v>
      </c>
      <c r="E11202" s="224" t="s">
        <v>2</v>
      </c>
      <c r="F11202" s="515" t="s">
        <v>12395</v>
      </c>
      <c r="G11202" s="52">
        <v>4136255.96204405</v>
      </c>
      <c r="H11202" s="56">
        <v>6.1319069112190872E-2</v>
      </c>
      <c r="I11202" s="224" t="s">
        <v>2</v>
      </c>
    </row>
    <row r="11203" spans="1:9" x14ac:dyDescent="0.25">
      <c r="A11203" s="515">
        <v>31320</v>
      </c>
      <c r="B11203" s="515" t="s">
        <v>1092</v>
      </c>
      <c r="C11203" s="52">
        <v>237224.80787160099</v>
      </c>
      <c r="D11203" s="56">
        <v>0.13304324063628689</v>
      </c>
      <c r="E11203" s="224" t="s">
        <v>2</v>
      </c>
      <c r="F11203" s="515" t="s">
        <v>12396</v>
      </c>
      <c r="G11203" s="52">
        <v>263502.97789302602</v>
      </c>
      <c r="H11203" s="56">
        <v>6.5973873835493912E-2</v>
      </c>
      <c r="I11203" s="224" t="s">
        <v>2</v>
      </c>
    </row>
    <row r="11204" spans="1:9" x14ac:dyDescent="0.25">
      <c r="A11204" s="515">
        <v>11363</v>
      </c>
      <c r="B11204" s="515" t="s">
        <v>324</v>
      </c>
      <c r="C11204" s="52">
        <v>878649.156452953</v>
      </c>
      <c r="D11204" s="56">
        <v>1.2404423101234682E-2</v>
      </c>
      <c r="E11204" s="224" t="s">
        <v>2</v>
      </c>
      <c r="F11204" s="515" t="s">
        <v>12397</v>
      </c>
      <c r="G11204" s="52">
        <v>109131.317971921</v>
      </c>
      <c r="H11204" s="56">
        <v>-8.9053111042594224E-2</v>
      </c>
      <c r="I11204" s="224" t="s">
        <v>2</v>
      </c>
    </row>
    <row r="11205" spans="1:9" x14ac:dyDescent="0.25">
      <c r="A11205" s="515">
        <v>48883</v>
      </c>
      <c r="B11205" s="515" t="s">
        <v>1076</v>
      </c>
      <c r="C11205" s="52">
        <v>169521.15919139501</v>
      </c>
      <c r="D11205" s="56">
        <v>7.2266177664272527E-2</v>
      </c>
      <c r="E11205" s="224" t="s">
        <v>2</v>
      </c>
      <c r="F11205" s="515" t="s">
        <v>12398</v>
      </c>
      <c r="G11205" s="52">
        <v>140841.15216157801</v>
      </c>
      <c r="H11205" s="56">
        <v>0.16043931582061211</v>
      </c>
      <c r="I11205" s="224" t="s">
        <v>2</v>
      </c>
    </row>
    <row r="11206" spans="1:9" x14ac:dyDescent="0.25">
      <c r="A11206" s="515">
        <v>35005</v>
      </c>
      <c r="B11206" s="515" t="s">
        <v>640</v>
      </c>
      <c r="C11206" s="52">
        <v>141263.86760296999</v>
      </c>
      <c r="D11206" s="56">
        <v>0.11548574619318747</v>
      </c>
      <c r="E11206" s="224">
        <v>1110</v>
      </c>
      <c r="F11206" s="515" t="s">
        <v>12399</v>
      </c>
      <c r="G11206" s="52">
        <v>121030.806099232</v>
      </c>
      <c r="H11206" s="56">
        <v>7.1316802491221465E-2</v>
      </c>
      <c r="I11206" s="224" t="s">
        <v>2</v>
      </c>
    </row>
    <row r="11207" spans="1:9" x14ac:dyDescent="0.25">
      <c r="A11207" s="515">
        <v>78934</v>
      </c>
      <c r="C11207" s="52">
        <v>261771.964583158</v>
      </c>
      <c r="D11207" s="56">
        <v>1.9054718812786687E-2</v>
      </c>
      <c r="E11207" s="224" t="s">
        <v>2</v>
      </c>
      <c r="F11207" s="515" t="s">
        <v>12400</v>
      </c>
      <c r="G11207" s="52">
        <v>147979.98063239301</v>
      </c>
      <c r="H11207" s="56">
        <v>0.13591754262164746</v>
      </c>
      <c r="I11207" s="224" t="s">
        <v>2</v>
      </c>
    </row>
    <row r="11208" spans="1:9" x14ac:dyDescent="0.25">
      <c r="A11208" s="515">
        <v>87035</v>
      </c>
      <c r="B11208" s="515" t="s">
        <v>406</v>
      </c>
      <c r="C11208" s="52">
        <v>181819.81127292101</v>
      </c>
      <c r="D11208" s="56">
        <v>5.8759811327622126E-2</v>
      </c>
      <c r="E11208" s="224" t="s">
        <v>2</v>
      </c>
      <c r="F11208" s="515" t="s">
        <v>12401</v>
      </c>
      <c r="G11208" s="52">
        <v>159223.635040016</v>
      </c>
      <c r="H11208" s="56">
        <v>0.14491926261940802</v>
      </c>
      <c r="I11208" s="224" t="s">
        <v>2</v>
      </c>
    </row>
    <row r="11209" spans="1:9" x14ac:dyDescent="0.25">
      <c r="A11209" s="515">
        <v>53520</v>
      </c>
      <c r="B11209" s="515" t="s">
        <v>379</v>
      </c>
      <c r="C11209" s="52">
        <v>231110.12607848601</v>
      </c>
      <c r="D11209" s="56">
        <v>7.6034917170624633E-2</v>
      </c>
      <c r="E11209" s="224" t="s">
        <v>2</v>
      </c>
      <c r="F11209" s="515" t="s">
        <v>12402</v>
      </c>
      <c r="G11209" s="52">
        <v>294803.57772326597</v>
      </c>
      <c r="H11209" s="56">
        <v>7.97280770821919E-2</v>
      </c>
      <c r="I11209" s="224" t="s">
        <v>2</v>
      </c>
    </row>
    <row r="11210" spans="1:9" x14ac:dyDescent="0.25">
      <c r="A11210" s="515">
        <v>45207</v>
      </c>
      <c r="B11210" s="515" t="s">
        <v>344</v>
      </c>
      <c r="C11210" s="52">
        <v>159154.35326258</v>
      </c>
      <c r="D11210" s="56">
        <v>5.4526358518938334E-2</v>
      </c>
      <c r="E11210" s="224" t="s">
        <v>2</v>
      </c>
      <c r="F11210" s="515" t="s">
        <v>12403</v>
      </c>
      <c r="G11210" s="52">
        <v>79493.848634355803</v>
      </c>
      <c r="H11210" s="56">
        <v>0.1637506160305075</v>
      </c>
      <c r="I11210" s="224" t="s">
        <v>2</v>
      </c>
    </row>
    <row r="11211" spans="1:9" x14ac:dyDescent="0.25">
      <c r="A11211" s="515">
        <v>14905</v>
      </c>
      <c r="B11211" s="515" t="s">
        <v>724</v>
      </c>
      <c r="C11211" s="52">
        <v>154989.717155021</v>
      </c>
      <c r="D11211" s="56">
        <v>5.6419792473512573E-2</v>
      </c>
      <c r="E11211" s="224" t="s">
        <v>2</v>
      </c>
      <c r="F11211" s="515" t="s">
        <v>12404</v>
      </c>
      <c r="G11211" s="52">
        <v>164402.63250823799</v>
      </c>
      <c r="H11211" s="56">
        <v>8.7391712271442101E-2</v>
      </c>
      <c r="I11211" s="224" t="s">
        <v>2</v>
      </c>
    </row>
    <row r="11212" spans="1:9" x14ac:dyDescent="0.25">
      <c r="A11212" s="515">
        <v>93223</v>
      </c>
      <c r="B11212" s="515" t="s">
        <v>358</v>
      </c>
      <c r="C11212" s="52">
        <v>248519.31917331001</v>
      </c>
      <c r="D11212" s="56">
        <v>8.8902982764192381E-2</v>
      </c>
      <c r="E11212" s="224" t="s">
        <v>2</v>
      </c>
      <c r="F11212" s="515" t="s">
        <v>12405</v>
      </c>
      <c r="G11212" s="52">
        <v>335922.79862686398</v>
      </c>
      <c r="H11212" s="56">
        <v>7.1012701928374347E-2</v>
      </c>
      <c r="I11212" s="224" t="s">
        <v>2</v>
      </c>
    </row>
    <row r="11213" spans="1:9" x14ac:dyDescent="0.25">
      <c r="A11213" s="515">
        <v>70776</v>
      </c>
      <c r="B11213" s="515" t="s">
        <v>610</v>
      </c>
      <c r="C11213" s="52">
        <v>227739.52802626099</v>
      </c>
      <c r="D11213" s="56">
        <v>1.8805329402267482E-2</v>
      </c>
      <c r="E11213" s="224" t="s">
        <v>2</v>
      </c>
      <c r="F11213" s="515" t="s">
        <v>12406</v>
      </c>
      <c r="G11213" s="52">
        <v>176835.604650347</v>
      </c>
      <c r="H11213" s="56">
        <v>2.5535701720498943E-2</v>
      </c>
      <c r="I11213" s="224" t="s">
        <v>2</v>
      </c>
    </row>
    <row r="11214" spans="1:9" x14ac:dyDescent="0.25">
      <c r="A11214" s="515">
        <v>4963</v>
      </c>
      <c r="B11214" s="515" t="s">
        <v>848</v>
      </c>
      <c r="C11214" s="52">
        <v>283997.21044366201</v>
      </c>
      <c r="D11214" s="56">
        <v>0.10729411227450375</v>
      </c>
      <c r="E11214" s="224" t="s">
        <v>2</v>
      </c>
      <c r="F11214" s="515" t="s">
        <v>12407</v>
      </c>
      <c r="G11214" s="52">
        <v>216528.59667231201</v>
      </c>
      <c r="H11214" s="56">
        <v>6.8723301087417796E-2</v>
      </c>
      <c r="I11214" s="224" t="s">
        <v>2</v>
      </c>
    </row>
    <row r="11215" spans="1:9" x14ac:dyDescent="0.25">
      <c r="A11215" s="515">
        <v>41014</v>
      </c>
      <c r="B11215" s="515" t="s">
        <v>344</v>
      </c>
      <c r="C11215" s="52">
        <v>134727.44742097799</v>
      </c>
      <c r="D11215" s="56">
        <v>4.2387063954035534E-2</v>
      </c>
      <c r="E11215" s="224">
        <v>1079</v>
      </c>
      <c r="F11215" s="515" t="s">
        <v>12408</v>
      </c>
      <c r="G11215" s="52">
        <v>64477.935896533701</v>
      </c>
      <c r="H11215" s="56">
        <v>-0.11608306565737289</v>
      </c>
      <c r="I11215" s="224" t="s">
        <v>2</v>
      </c>
    </row>
    <row r="11216" spans="1:9" x14ac:dyDescent="0.25">
      <c r="A11216" s="515">
        <v>28445</v>
      </c>
      <c r="B11216" s="515" t="s">
        <v>1153</v>
      </c>
      <c r="C11216" s="52">
        <v>509574.788645714</v>
      </c>
      <c r="D11216" s="56">
        <v>0.15875564040086321</v>
      </c>
      <c r="E11216" s="224">
        <v>1766.6666666666599</v>
      </c>
      <c r="F11216" s="515" t="s">
        <v>12409</v>
      </c>
      <c r="G11216" s="52">
        <v>186345.05937482099</v>
      </c>
      <c r="H11216" s="56">
        <v>8.1912865073734548E-2</v>
      </c>
      <c r="I11216" s="224" t="s">
        <v>2</v>
      </c>
    </row>
    <row r="11217" spans="1:9" x14ac:dyDescent="0.25">
      <c r="A11217" s="515">
        <v>84332</v>
      </c>
      <c r="B11217" s="515" t="s">
        <v>632</v>
      </c>
      <c r="C11217" s="52">
        <v>487662.360284555</v>
      </c>
      <c r="D11217" s="56">
        <v>2.3516536664042562E-2</v>
      </c>
      <c r="E11217" s="224" t="s">
        <v>2</v>
      </c>
      <c r="F11217" s="515" t="s">
        <v>12410</v>
      </c>
      <c r="G11217" s="52">
        <v>296205.41115774697</v>
      </c>
      <c r="H11217" s="56">
        <v>0.10231747924085126</v>
      </c>
      <c r="I11217" s="224" t="s">
        <v>2</v>
      </c>
    </row>
    <row r="11218" spans="1:9" x14ac:dyDescent="0.25">
      <c r="A11218" s="515">
        <v>14589</v>
      </c>
      <c r="B11218" s="515" t="s">
        <v>337</v>
      </c>
      <c r="C11218" s="52">
        <v>194800.07566519899</v>
      </c>
      <c r="D11218" s="56">
        <v>9.8197997549101981E-2</v>
      </c>
      <c r="E11218" s="224" t="s">
        <v>2</v>
      </c>
      <c r="F11218" s="515" t="s">
        <v>12411</v>
      </c>
      <c r="G11218" s="52">
        <v>88753.372990353702</v>
      </c>
      <c r="H11218" s="56">
        <v>0</v>
      </c>
      <c r="I11218" s="224" t="s">
        <v>2</v>
      </c>
    </row>
    <row r="11219" spans="1:9" x14ac:dyDescent="0.25">
      <c r="A11219" s="515">
        <v>19533</v>
      </c>
      <c r="B11219" s="515" t="s">
        <v>569</v>
      </c>
      <c r="C11219" s="52">
        <v>286360.38236589503</v>
      </c>
      <c r="D11219" s="56">
        <v>0.10502542647995852</v>
      </c>
      <c r="E11219" s="224" t="s">
        <v>2</v>
      </c>
      <c r="F11219" s="515" t="s">
        <v>12412</v>
      </c>
      <c r="G11219" s="52">
        <v>248007.03611221199</v>
      </c>
      <c r="H11219" s="56">
        <v>6.6516216113372204E-2</v>
      </c>
      <c r="I11219" s="224" t="s">
        <v>2</v>
      </c>
    </row>
    <row r="11220" spans="1:9" x14ac:dyDescent="0.25">
      <c r="A11220" s="515">
        <v>92249</v>
      </c>
      <c r="B11220" s="515" t="s">
        <v>621</v>
      </c>
      <c r="C11220" s="52">
        <v>322273.24738410901</v>
      </c>
      <c r="D11220" s="56">
        <v>1.2233010775099839E-2</v>
      </c>
      <c r="E11220" s="224" t="s">
        <v>2</v>
      </c>
      <c r="F11220" s="515" t="s">
        <v>12413</v>
      </c>
      <c r="G11220" s="52">
        <v>490554.74501903699</v>
      </c>
      <c r="H11220" s="56">
        <v>8.2729782962178575E-2</v>
      </c>
      <c r="I11220" s="224" t="s">
        <v>2</v>
      </c>
    </row>
    <row r="11221" spans="1:9" x14ac:dyDescent="0.25">
      <c r="A11221" s="515">
        <v>48158</v>
      </c>
      <c r="B11221" s="515" t="s">
        <v>783</v>
      </c>
      <c r="C11221" s="52">
        <v>296816.16977666999</v>
      </c>
      <c r="D11221" s="56">
        <v>2.1239036489308173E-2</v>
      </c>
      <c r="E11221" s="224" t="s">
        <v>2</v>
      </c>
      <c r="F11221" s="515" t="s">
        <v>12414</v>
      </c>
      <c r="G11221" s="52">
        <v>102309.798667032</v>
      </c>
      <c r="H11221" s="56">
        <v>9.9872030517794669E-2</v>
      </c>
      <c r="I11221" s="224" t="s">
        <v>2</v>
      </c>
    </row>
    <row r="11222" spans="1:9" x14ac:dyDescent="0.25">
      <c r="A11222" s="515">
        <v>6870</v>
      </c>
      <c r="B11222" s="515" t="s">
        <v>1173</v>
      </c>
      <c r="C11222" s="52">
        <v>1817793.47790731</v>
      </c>
      <c r="D11222" s="56">
        <v>9.2788925417425505E-2</v>
      </c>
      <c r="E11222" s="224" t="s">
        <v>2</v>
      </c>
      <c r="F11222" s="515" t="s">
        <v>12415</v>
      </c>
      <c r="G11222" s="52">
        <v>363406.49235094199</v>
      </c>
      <c r="H11222" s="56">
        <v>0.11756467084970645</v>
      </c>
      <c r="I11222" s="224" t="s">
        <v>2</v>
      </c>
    </row>
    <row r="11223" spans="1:9" x14ac:dyDescent="0.25">
      <c r="A11223" s="515">
        <v>76249</v>
      </c>
      <c r="B11223" s="515" t="s">
        <v>458</v>
      </c>
      <c r="C11223" s="52">
        <v>343196.49385546899</v>
      </c>
      <c r="D11223" s="56">
        <v>6.8111628181188696E-2</v>
      </c>
      <c r="E11223" s="224" t="s">
        <v>2</v>
      </c>
      <c r="F11223" s="515" t="s">
        <v>12416</v>
      </c>
      <c r="G11223" s="52">
        <v>156863.45510835899</v>
      </c>
      <c r="H11223" s="56">
        <v>0</v>
      </c>
      <c r="I11223" s="224" t="s">
        <v>2</v>
      </c>
    </row>
    <row r="11224" spans="1:9" x14ac:dyDescent="0.25">
      <c r="A11224" s="515">
        <v>7432</v>
      </c>
      <c r="B11224" s="515" t="s">
        <v>324</v>
      </c>
      <c r="C11224" s="52">
        <v>565459.88303126697</v>
      </c>
      <c r="D11224" s="56">
        <v>4.589664698049397E-2</v>
      </c>
      <c r="E11224" s="224" t="s">
        <v>2</v>
      </c>
      <c r="F11224" s="515" t="s">
        <v>12417</v>
      </c>
      <c r="G11224" s="52">
        <v>162027.99480175501</v>
      </c>
      <c r="H11224" s="56">
        <v>5.6379785195887454E-2</v>
      </c>
      <c r="I11224" s="224" t="s">
        <v>2</v>
      </c>
    </row>
    <row r="11225" spans="1:9" x14ac:dyDescent="0.25">
      <c r="A11225" s="515">
        <v>18034</v>
      </c>
      <c r="B11225" s="515" t="s">
        <v>327</v>
      </c>
      <c r="C11225" s="52">
        <v>456147.57468613703</v>
      </c>
      <c r="D11225" s="56">
        <v>6.0645370867201238E-2</v>
      </c>
      <c r="E11225" s="224" t="s">
        <v>2</v>
      </c>
      <c r="F11225" s="515" t="s">
        <v>12418</v>
      </c>
      <c r="G11225" s="52">
        <v>272582.59447004599</v>
      </c>
      <c r="H11225" s="56">
        <v>0</v>
      </c>
      <c r="I11225" s="224" t="s">
        <v>2</v>
      </c>
    </row>
    <row r="11226" spans="1:9" x14ac:dyDescent="0.25">
      <c r="A11226" s="515">
        <v>5404</v>
      </c>
      <c r="B11226" s="515" t="s">
        <v>441</v>
      </c>
      <c r="C11226" s="52">
        <v>359624.36209984898</v>
      </c>
      <c r="D11226" s="56">
        <v>3.0459041598330447E-2</v>
      </c>
      <c r="E11226" s="224">
        <v>2200</v>
      </c>
      <c r="F11226" s="515" t="s">
        <v>12419</v>
      </c>
      <c r="G11226" s="52">
        <v>129967.804029316</v>
      </c>
      <c r="H11226" s="56">
        <v>7.9455496372731846E-2</v>
      </c>
      <c r="I11226" s="224" t="s">
        <v>2</v>
      </c>
    </row>
    <row r="11227" spans="1:9" x14ac:dyDescent="0.25">
      <c r="A11227" s="515">
        <v>60042</v>
      </c>
      <c r="B11227" s="515" t="s">
        <v>394</v>
      </c>
      <c r="C11227" s="52">
        <v>236190.50451174701</v>
      </c>
      <c r="D11227" s="56">
        <v>6.3435474174559511E-2</v>
      </c>
      <c r="E11227" s="224" t="s">
        <v>2</v>
      </c>
      <c r="F11227" s="515" t="s">
        <v>12420</v>
      </c>
      <c r="G11227" s="52">
        <v>100413.213607461</v>
      </c>
      <c r="H11227" s="56">
        <v>-3.1654795049735555E-2</v>
      </c>
      <c r="I11227" s="224" t="s">
        <v>2</v>
      </c>
    </row>
    <row r="11228" spans="1:9" x14ac:dyDescent="0.25">
      <c r="A11228" s="515">
        <v>63780</v>
      </c>
      <c r="B11228" s="515" t="s">
        <v>356</v>
      </c>
      <c r="C11228" s="52">
        <v>142598.980935239</v>
      </c>
      <c r="D11228" s="56">
        <v>2.9514282008956779E-2</v>
      </c>
      <c r="E11228" s="224" t="s">
        <v>2</v>
      </c>
      <c r="F11228" s="515" t="s">
        <v>12421</v>
      </c>
      <c r="G11228" s="52">
        <v>283539.036786496</v>
      </c>
      <c r="H11228" s="56">
        <v>9.2393488726851977E-2</v>
      </c>
      <c r="I11228" s="224" t="s">
        <v>2</v>
      </c>
    </row>
    <row r="11229" spans="1:9" x14ac:dyDescent="0.25">
      <c r="A11229" s="515">
        <v>50662</v>
      </c>
      <c r="C11229" s="52">
        <v>86716.267987228406</v>
      </c>
      <c r="D11229" s="56">
        <v>7.9084402935826983E-2</v>
      </c>
      <c r="E11229" s="224" t="s">
        <v>2</v>
      </c>
      <c r="F11229" s="515" t="s">
        <v>12422</v>
      </c>
      <c r="G11229" s="52">
        <v>116232.057067054</v>
      </c>
      <c r="H11229" s="56">
        <v>0.10363509100089109</v>
      </c>
      <c r="I11229" s="224" t="s">
        <v>2</v>
      </c>
    </row>
    <row r="11230" spans="1:9" x14ac:dyDescent="0.25">
      <c r="A11230" s="515">
        <v>25443</v>
      </c>
      <c r="B11230" s="515" t="s">
        <v>321</v>
      </c>
      <c r="C11230" s="52">
        <v>410926.82783006801</v>
      </c>
      <c r="D11230" s="56">
        <v>6.1296475256444355E-2</v>
      </c>
      <c r="E11230" s="224" t="s">
        <v>2</v>
      </c>
      <c r="F11230" s="515" t="s">
        <v>12423</v>
      </c>
      <c r="G11230" s="52">
        <v>215261.729550391</v>
      </c>
      <c r="H11230" s="56">
        <v>0.10791951697119744</v>
      </c>
      <c r="I11230" s="224" t="s">
        <v>2</v>
      </c>
    </row>
    <row r="11231" spans="1:9" x14ac:dyDescent="0.25">
      <c r="A11231" s="515">
        <v>30554</v>
      </c>
      <c r="B11231" s="515" t="s">
        <v>1102</v>
      </c>
      <c r="C11231" s="52">
        <v>281585.01164284098</v>
      </c>
      <c r="D11231" s="56">
        <v>0.13745426320240428</v>
      </c>
      <c r="E11231" s="224" t="s">
        <v>2</v>
      </c>
      <c r="F11231" s="515" t="s">
        <v>12424</v>
      </c>
      <c r="G11231" s="52">
        <v>115914.544551969</v>
      </c>
      <c r="H11231" s="56">
        <v>1.4710775474687177E-2</v>
      </c>
      <c r="I11231" s="224" t="s">
        <v>2</v>
      </c>
    </row>
    <row r="11232" spans="1:9" x14ac:dyDescent="0.25">
      <c r="A11232" s="515">
        <v>49677</v>
      </c>
      <c r="C11232" s="52">
        <v>145536.497107284</v>
      </c>
      <c r="D11232" s="56">
        <v>9.8685841429777682E-2</v>
      </c>
      <c r="E11232" s="224" t="s">
        <v>2</v>
      </c>
      <c r="F11232" s="515" t="s">
        <v>12425</v>
      </c>
      <c r="G11232" s="52">
        <v>305172.57054197497</v>
      </c>
      <c r="H11232" s="56">
        <v>6.2951644992238417E-2</v>
      </c>
      <c r="I11232" s="224" t="s">
        <v>2</v>
      </c>
    </row>
    <row r="11233" spans="1:9" x14ac:dyDescent="0.25">
      <c r="A11233" s="515">
        <v>56320</v>
      </c>
      <c r="B11233" s="515" t="s">
        <v>418</v>
      </c>
      <c r="C11233" s="52">
        <v>321814.944723049</v>
      </c>
      <c r="D11233" s="56">
        <v>5.0417089179313201E-2</v>
      </c>
      <c r="E11233" s="224" t="s">
        <v>2</v>
      </c>
      <c r="F11233" s="515" t="s">
        <v>12426</v>
      </c>
      <c r="G11233" s="52">
        <v>309642.78660711198</v>
      </c>
      <c r="H11233" s="56">
        <v>1.1495098224418063E-2</v>
      </c>
      <c r="I11233" s="224" t="s">
        <v>2</v>
      </c>
    </row>
    <row r="11234" spans="1:9" x14ac:dyDescent="0.25">
      <c r="A11234" s="515">
        <v>8065</v>
      </c>
      <c r="B11234" s="515" t="s">
        <v>294</v>
      </c>
      <c r="C11234" s="52">
        <v>238302.909203927</v>
      </c>
      <c r="D11234" s="56">
        <v>0.10078542271640352</v>
      </c>
      <c r="E11234" s="224" t="s">
        <v>2</v>
      </c>
      <c r="F11234" s="515" t="s">
        <v>12427</v>
      </c>
      <c r="G11234" s="52">
        <v>316738.852739911</v>
      </c>
      <c r="H11234" s="56">
        <v>6.2169576412741623E-2</v>
      </c>
      <c r="I11234" s="224" t="s">
        <v>2</v>
      </c>
    </row>
    <row r="11235" spans="1:9" x14ac:dyDescent="0.25">
      <c r="A11235" s="515">
        <v>68142</v>
      </c>
      <c r="B11235" s="515" t="s">
        <v>367</v>
      </c>
      <c r="C11235" s="52">
        <v>358038.674266143</v>
      </c>
      <c r="D11235" s="56">
        <v>7.6383005695963901E-2</v>
      </c>
      <c r="E11235" s="224" t="s">
        <v>2</v>
      </c>
      <c r="F11235" s="515" t="s">
        <v>12428</v>
      </c>
      <c r="G11235" s="52">
        <v>238287.173767353</v>
      </c>
      <c r="H11235" s="56">
        <v>0.13610507859173163</v>
      </c>
      <c r="I11235" s="224" t="s">
        <v>2</v>
      </c>
    </row>
    <row r="11236" spans="1:9" x14ac:dyDescent="0.25">
      <c r="A11236" s="515">
        <v>33957</v>
      </c>
      <c r="B11236" s="515" t="s">
        <v>661</v>
      </c>
      <c r="C11236" s="52">
        <v>1092683.1434726201</v>
      </c>
      <c r="D11236" s="56">
        <v>0.12256497485836661</v>
      </c>
      <c r="E11236" s="224" t="s">
        <v>2</v>
      </c>
      <c r="F11236" s="515" t="s">
        <v>12429</v>
      </c>
      <c r="G11236" s="52">
        <v>1542938.6706203599</v>
      </c>
      <c r="H11236" s="56">
        <v>0.17324937719183992</v>
      </c>
      <c r="I11236" s="224">
        <v>8101.1111111111104</v>
      </c>
    </row>
    <row r="11237" spans="1:9" x14ac:dyDescent="0.25">
      <c r="A11237" s="515">
        <v>1966</v>
      </c>
      <c r="B11237" s="515" t="s">
        <v>534</v>
      </c>
      <c r="C11237" s="52">
        <v>735748.320489089</v>
      </c>
      <c r="D11237" s="56">
        <v>6.2277147743577066E-2</v>
      </c>
      <c r="E11237" s="224" t="s">
        <v>2</v>
      </c>
      <c r="F11237" s="515" t="s">
        <v>12430</v>
      </c>
      <c r="G11237" s="52">
        <v>169485.93277397301</v>
      </c>
      <c r="H11237" s="56">
        <v>3.8426574477953467E-2</v>
      </c>
      <c r="I11237" s="224" t="s">
        <v>2</v>
      </c>
    </row>
    <row r="11238" spans="1:9" x14ac:dyDescent="0.25">
      <c r="A11238" s="515">
        <v>12018</v>
      </c>
      <c r="B11238" s="515" t="s">
        <v>609</v>
      </c>
      <c r="C11238" s="52">
        <v>310158.41974636202</v>
      </c>
      <c r="D11238" s="56">
        <v>6.50093556831247E-2</v>
      </c>
      <c r="E11238" s="224" t="s">
        <v>2</v>
      </c>
      <c r="F11238" s="515" t="s">
        <v>12431</v>
      </c>
      <c r="G11238" s="52">
        <v>164149.261724476</v>
      </c>
      <c r="H11238" s="56">
        <v>4.5634890569806075E-2</v>
      </c>
      <c r="I11238" s="224" t="s">
        <v>2</v>
      </c>
    </row>
    <row r="11239" spans="1:9" x14ac:dyDescent="0.25">
      <c r="A11239" s="515">
        <v>65556</v>
      </c>
      <c r="C11239" s="52">
        <v>156186.337860723</v>
      </c>
      <c r="D11239" s="56">
        <v>3.7095831805685542E-2</v>
      </c>
      <c r="E11239" s="224" t="s">
        <v>2</v>
      </c>
      <c r="F11239" s="515" t="s">
        <v>12432</v>
      </c>
      <c r="G11239" s="52">
        <v>673725.05565929599</v>
      </c>
      <c r="H11239" s="56">
        <v>1.9944261798062669E-2</v>
      </c>
      <c r="I11239" s="224" t="s">
        <v>2</v>
      </c>
    </row>
    <row r="11240" spans="1:9" x14ac:dyDescent="0.25">
      <c r="A11240" s="515">
        <v>32087</v>
      </c>
      <c r="B11240" s="515" t="s">
        <v>1158</v>
      </c>
      <c r="C11240" s="52">
        <v>211813.680236944</v>
      </c>
      <c r="D11240" s="56">
        <v>4.7976082876960355E-2</v>
      </c>
      <c r="E11240" s="224" t="s">
        <v>2</v>
      </c>
      <c r="F11240" s="515" t="s">
        <v>12433</v>
      </c>
      <c r="G11240" s="52">
        <v>134713.572445706</v>
      </c>
      <c r="H11240" s="56">
        <v>0.12781842541185712</v>
      </c>
      <c r="I11240" s="224" t="s">
        <v>2</v>
      </c>
    </row>
    <row r="11241" spans="1:9" x14ac:dyDescent="0.25">
      <c r="A11241" s="515">
        <v>34269</v>
      </c>
      <c r="B11241" s="515" t="s">
        <v>1192</v>
      </c>
      <c r="C11241" s="52">
        <v>293998.33812392602</v>
      </c>
      <c r="D11241" s="56">
        <v>0.16042178003821023</v>
      </c>
      <c r="E11241" s="224" t="s">
        <v>2</v>
      </c>
      <c r="F11241" s="515" t="s">
        <v>12434</v>
      </c>
      <c r="G11241" s="52">
        <v>129721.723041331</v>
      </c>
      <c r="H11241" s="56">
        <v>5.5994676463998611E-2</v>
      </c>
      <c r="I11241" s="224" t="s">
        <v>2</v>
      </c>
    </row>
    <row r="11242" spans="1:9" x14ac:dyDescent="0.25">
      <c r="A11242" s="515">
        <v>95658</v>
      </c>
      <c r="B11242" s="515" t="s">
        <v>355</v>
      </c>
      <c r="C11242" s="52">
        <v>847797.05225025502</v>
      </c>
      <c r="D11242" s="56">
        <v>-3.5215594259364468E-3</v>
      </c>
      <c r="E11242" s="224" t="s">
        <v>2</v>
      </c>
      <c r="F11242" s="515" t="s">
        <v>12435</v>
      </c>
      <c r="G11242" s="52">
        <v>121585.113093801</v>
      </c>
      <c r="H11242" s="56">
        <v>0</v>
      </c>
      <c r="I11242" s="224" t="s">
        <v>2</v>
      </c>
    </row>
    <row r="11243" spans="1:9" x14ac:dyDescent="0.25">
      <c r="A11243" s="515">
        <v>46160</v>
      </c>
      <c r="B11243" s="515" t="s">
        <v>403</v>
      </c>
      <c r="C11243" s="52">
        <v>283846.29262683901</v>
      </c>
      <c r="D11243" s="56">
        <v>0.10661316082449931</v>
      </c>
      <c r="E11243" s="224" t="s">
        <v>2</v>
      </c>
      <c r="F11243" s="515" t="s">
        <v>12436</v>
      </c>
      <c r="G11243" s="52">
        <v>235720.580755309</v>
      </c>
      <c r="H11243" s="56">
        <v>9.7603905025920895E-2</v>
      </c>
      <c r="I11243" s="224" t="s">
        <v>2</v>
      </c>
    </row>
    <row r="11244" spans="1:9" x14ac:dyDescent="0.25">
      <c r="A11244" s="515">
        <v>17347</v>
      </c>
      <c r="B11244" s="515" t="s">
        <v>509</v>
      </c>
      <c r="C11244" s="52">
        <v>274375.19070232002</v>
      </c>
      <c r="D11244" s="56">
        <v>0.1058538529508742</v>
      </c>
      <c r="E11244" s="224" t="s">
        <v>2</v>
      </c>
      <c r="F11244" s="515" t="s">
        <v>12437</v>
      </c>
      <c r="G11244" s="52">
        <v>180323.99523852501</v>
      </c>
      <c r="H11244" s="56">
        <v>7.1974481695913473E-2</v>
      </c>
      <c r="I11244" s="224" t="s">
        <v>2</v>
      </c>
    </row>
    <row r="11245" spans="1:9" x14ac:dyDescent="0.25">
      <c r="A11245" s="515">
        <v>80951</v>
      </c>
      <c r="B11245" s="515" t="s">
        <v>701</v>
      </c>
      <c r="C11245" s="52">
        <v>428057.99253997498</v>
      </c>
      <c r="D11245" s="56">
        <v>-7.5240415271428723E-3</v>
      </c>
      <c r="E11245" s="224" t="s">
        <v>2</v>
      </c>
      <c r="F11245" s="515" t="s">
        <v>12438</v>
      </c>
      <c r="G11245" s="52">
        <v>195081.11298306601</v>
      </c>
      <c r="H11245" s="56">
        <v>-4.9109503257420757E-2</v>
      </c>
      <c r="I11245" s="224" t="s">
        <v>2</v>
      </c>
    </row>
    <row r="11246" spans="1:9" x14ac:dyDescent="0.25">
      <c r="A11246" s="515">
        <v>30710</v>
      </c>
      <c r="B11246" s="515" t="s">
        <v>769</v>
      </c>
      <c r="C11246" s="52">
        <v>244586.59185585199</v>
      </c>
      <c r="D11246" s="56">
        <v>5.0180394963652244E-2</v>
      </c>
      <c r="E11246" s="224" t="s">
        <v>2</v>
      </c>
      <c r="F11246" s="515" t="s">
        <v>12439</v>
      </c>
      <c r="G11246" s="52">
        <v>362651.68600542902</v>
      </c>
      <c r="H11246" s="56">
        <v>5.8301466043404103E-2</v>
      </c>
      <c r="I11246" s="224" t="s">
        <v>2</v>
      </c>
    </row>
    <row r="11247" spans="1:9" x14ac:dyDescent="0.25">
      <c r="A11247" s="515">
        <v>39168</v>
      </c>
      <c r="C11247" s="52">
        <v>129140.03675130699</v>
      </c>
      <c r="D11247" s="56">
        <v>8.9407129401601858E-3</v>
      </c>
      <c r="E11247" s="224" t="s">
        <v>2</v>
      </c>
      <c r="F11247" s="515" t="s">
        <v>12440</v>
      </c>
      <c r="G11247" s="52">
        <v>191260.91798777299</v>
      </c>
      <c r="H11247" s="56">
        <v>6.9350004884293701E-2</v>
      </c>
      <c r="I11247" s="224" t="s">
        <v>2</v>
      </c>
    </row>
    <row r="11248" spans="1:9" x14ac:dyDescent="0.25">
      <c r="A11248" s="515">
        <v>97325</v>
      </c>
      <c r="B11248" s="515" t="s">
        <v>416</v>
      </c>
      <c r="C11248" s="52">
        <v>429855.326604384</v>
      </c>
      <c r="D11248" s="56">
        <v>3.6997083999495847E-2</v>
      </c>
      <c r="E11248" s="224" t="s">
        <v>2</v>
      </c>
      <c r="F11248" s="515" t="s">
        <v>12441</v>
      </c>
      <c r="G11248" s="52">
        <v>116172.279256047</v>
      </c>
      <c r="H11248" s="56">
        <v>8.3320780250562693E-2</v>
      </c>
      <c r="I11248" s="224" t="s">
        <v>2</v>
      </c>
    </row>
    <row r="11249" spans="1:9" x14ac:dyDescent="0.25">
      <c r="A11249" s="515">
        <v>84741</v>
      </c>
      <c r="C11249" s="52">
        <v>352638.02025852998</v>
      </c>
      <c r="D11249" s="56">
        <v>4.7933929155604002E-2</v>
      </c>
      <c r="E11249" s="224" t="s">
        <v>2</v>
      </c>
      <c r="F11249" s="515" t="s">
        <v>12442</v>
      </c>
      <c r="G11249" s="52">
        <v>136064.55422440401</v>
      </c>
      <c r="H11249" s="56">
        <v>1.9733481364914714E-2</v>
      </c>
      <c r="I11249" s="224" t="s">
        <v>2</v>
      </c>
    </row>
    <row r="11250" spans="1:9" x14ac:dyDescent="0.25">
      <c r="A11250" s="515">
        <v>14886</v>
      </c>
      <c r="B11250" s="515" t="s">
        <v>1115</v>
      </c>
      <c r="C11250" s="52">
        <v>276177.09926313401</v>
      </c>
      <c r="D11250" s="56">
        <v>0.10410315042718157</v>
      </c>
      <c r="E11250" s="224" t="s">
        <v>2</v>
      </c>
      <c r="F11250" s="515" t="s">
        <v>12443</v>
      </c>
      <c r="G11250" s="52">
        <v>323767.49841305002</v>
      </c>
      <c r="H11250" s="56">
        <v>1.40944570013973E-2</v>
      </c>
      <c r="I11250" s="224" t="s">
        <v>2</v>
      </c>
    </row>
    <row r="11251" spans="1:9" x14ac:dyDescent="0.25">
      <c r="A11251" s="515">
        <v>6422</v>
      </c>
      <c r="B11251" s="515" t="s">
        <v>894</v>
      </c>
      <c r="C11251" s="52">
        <v>401806.38248859701</v>
      </c>
      <c r="D11251" s="56">
        <v>0.10695215100449015</v>
      </c>
      <c r="E11251" s="224" t="s">
        <v>2</v>
      </c>
      <c r="F11251" s="515" t="s">
        <v>12444</v>
      </c>
      <c r="G11251" s="52">
        <v>84311.865139210102</v>
      </c>
      <c r="H11251" s="56">
        <v>9.0986902314928175E-2</v>
      </c>
      <c r="I11251" s="224" t="s">
        <v>2</v>
      </c>
    </row>
    <row r="11252" spans="1:9" x14ac:dyDescent="0.25">
      <c r="A11252" s="515">
        <v>1129</v>
      </c>
      <c r="B11252" s="515" t="s">
        <v>575</v>
      </c>
      <c r="C11252" s="52">
        <v>265737.430746798</v>
      </c>
      <c r="D11252" s="56">
        <v>6.8301084254524025E-2</v>
      </c>
      <c r="E11252" s="224" t="s">
        <v>2</v>
      </c>
      <c r="F11252" s="515" t="s">
        <v>12445</v>
      </c>
      <c r="G11252" s="52">
        <v>117603.542628975</v>
      </c>
      <c r="H11252" s="56">
        <v>-8.5248144543183982E-2</v>
      </c>
      <c r="I11252" s="224" t="s">
        <v>2</v>
      </c>
    </row>
    <row r="11253" spans="1:9" x14ac:dyDescent="0.25">
      <c r="A11253" s="515">
        <v>29655</v>
      </c>
      <c r="B11253" s="515" t="s">
        <v>613</v>
      </c>
      <c r="C11253" s="52">
        <v>167159.40999727001</v>
      </c>
      <c r="D11253" s="56">
        <v>8.8185930400502099E-2</v>
      </c>
      <c r="E11253" s="224" t="s">
        <v>2</v>
      </c>
      <c r="F11253" s="515" t="s">
        <v>12446</v>
      </c>
      <c r="G11253" s="52">
        <v>123790.893761302</v>
      </c>
      <c r="H11253" s="56">
        <v>0.12099412250591657</v>
      </c>
      <c r="I11253" s="224" t="s">
        <v>2</v>
      </c>
    </row>
    <row r="11254" spans="1:9" x14ac:dyDescent="0.25">
      <c r="A11254" s="515">
        <v>11558</v>
      </c>
      <c r="B11254" s="515" t="s">
        <v>324</v>
      </c>
      <c r="C11254" s="52">
        <v>613795.17213615298</v>
      </c>
      <c r="D11254" s="56">
        <v>4.9502281173011767E-2</v>
      </c>
      <c r="E11254" s="224" t="s">
        <v>2</v>
      </c>
      <c r="F11254" s="515" t="s">
        <v>12447</v>
      </c>
      <c r="G11254" s="52">
        <v>227892.159608271</v>
      </c>
      <c r="H11254" s="56">
        <v>0.15559790563526349</v>
      </c>
      <c r="I11254" s="224" t="s">
        <v>2</v>
      </c>
    </row>
    <row r="11255" spans="1:9" x14ac:dyDescent="0.25">
      <c r="A11255" s="515">
        <v>6249</v>
      </c>
      <c r="B11255" s="515" t="s">
        <v>1091</v>
      </c>
      <c r="C11255" s="52">
        <v>327333.740433748</v>
      </c>
      <c r="D11255" s="56">
        <v>9.512391358281938E-2</v>
      </c>
      <c r="E11255" s="224" t="s">
        <v>2</v>
      </c>
      <c r="F11255" s="515" t="s">
        <v>12448</v>
      </c>
      <c r="G11255" s="52">
        <v>90177.949693087401</v>
      </c>
      <c r="H11255" s="56">
        <v>-1.5346134442866258E-2</v>
      </c>
      <c r="I11255" s="224" t="s">
        <v>2</v>
      </c>
    </row>
    <row r="11256" spans="1:9" x14ac:dyDescent="0.25">
      <c r="A11256" s="515">
        <v>13029</v>
      </c>
      <c r="B11256" s="515" t="s">
        <v>361</v>
      </c>
      <c r="C11256" s="52">
        <v>238397.43940729901</v>
      </c>
      <c r="D11256" s="56">
        <v>8.3377663590693207E-2</v>
      </c>
      <c r="E11256" s="224" t="s">
        <v>2</v>
      </c>
      <c r="F11256" s="515" t="s">
        <v>12449</v>
      </c>
      <c r="G11256" s="52">
        <v>137700.218971959</v>
      </c>
      <c r="H11256" s="56">
        <v>3.2567091660855731E-2</v>
      </c>
      <c r="I11256" s="224" t="s">
        <v>2</v>
      </c>
    </row>
    <row r="11257" spans="1:9" x14ac:dyDescent="0.25">
      <c r="A11257" s="515">
        <v>81632</v>
      </c>
      <c r="B11257" s="515" t="s">
        <v>903</v>
      </c>
      <c r="C11257" s="52">
        <v>1577283.5774964101</v>
      </c>
      <c r="D11257" s="56">
        <v>0.14102403128949628</v>
      </c>
      <c r="E11257" s="224" t="s">
        <v>2</v>
      </c>
      <c r="F11257" s="515" t="s">
        <v>12450</v>
      </c>
      <c r="G11257" s="52">
        <v>217544.60965166899</v>
      </c>
      <c r="H11257" s="56">
        <v>6.5156431117934011E-2</v>
      </c>
      <c r="I11257" s="224" t="s">
        <v>2</v>
      </c>
    </row>
    <row r="11258" spans="1:9" x14ac:dyDescent="0.25">
      <c r="A11258" s="515">
        <v>63038</v>
      </c>
      <c r="B11258" s="515" t="s">
        <v>498</v>
      </c>
      <c r="C11258" s="52">
        <v>533046.62979138095</v>
      </c>
      <c r="D11258" s="56">
        <v>8.6865409398570154E-2</v>
      </c>
      <c r="E11258" s="224" t="s">
        <v>2</v>
      </c>
      <c r="F11258" s="515" t="s">
        <v>12451</v>
      </c>
      <c r="G11258" s="52">
        <v>197247.10064162299</v>
      </c>
      <c r="H11258" s="56">
        <v>9.394661141351543E-2</v>
      </c>
      <c r="I11258" s="224" t="s">
        <v>2</v>
      </c>
    </row>
    <row r="11259" spans="1:9" x14ac:dyDescent="0.25">
      <c r="A11259" s="515">
        <v>66053</v>
      </c>
      <c r="B11259" s="515" t="s">
        <v>455</v>
      </c>
      <c r="C11259" s="52">
        <v>348502.18940799503</v>
      </c>
      <c r="D11259" s="56">
        <v>7.5844955766464647E-2</v>
      </c>
      <c r="E11259" s="224" t="s">
        <v>2</v>
      </c>
      <c r="F11259" s="515" t="s">
        <v>12452</v>
      </c>
      <c r="G11259" s="52">
        <v>83772.121108720094</v>
      </c>
      <c r="H11259" s="56">
        <v>8.1008355545904326E-2</v>
      </c>
      <c r="I11259" s="224" t="s">
        <v>2</v>
      </c>
    </row>
    <row r="11260" spans="1:9" x14ac:dyDescent="0.25">
      <c r="A11260" s="515">
        <v>38544</v>
      </c>
      <c r="B11260" s="515" t="s">
        <v>833</v>
      </c>
      <c r="C11260" s="52">
        <v>256808.234963925</v>
      </c>
      <c r="D11260" s="56">
        <v>0.10203914900928755</v>
      </c>
      <c r="E11260" s="224" t="s">
        <v>2</v>
      </c>
      <c r="F11260" s="515" t="s">
        <v>12453</v>
      </c>
      <c r="G11260" s="52">
        <v>115086.24506982201</v>
      </c>
      <c r="H11260" s="56">
        <v>4.7306056340844255E-2</v>
      </c>
      <c r="I11260" s="224" t="s">
        <v>2</v>
      </c>
    </row>
    <row r="11261" spans="1:9" x14ac:dyDescent="0.25">
      <c r="A11261" s="515">
        <v>61010</v>
      </c>
      <c r="B11261" s="515" t="s">
        <v>429</v>
      </c>
      <c r="C11261" s="52">
        <v>214723.151586761</v>
      </c>
      <c r="D11261" s="56">
        <v>6.5387523628650038E-2</v>
      </c>
      <c r="E11261" s="224" t="s">
        <v>2</v>
      </c>
      <c r="F11261" s="515" t="s">
        <v>12454</v>
      </c>
      <c r="G11261" s="52">
        <v>160154.02009439201</v>
      </c>
      <c r="H11261" s="56">
        <v>-1.5209848576500247E-2</v>
      </c>
      <c r="I11261" s="224" t="s">
        <v>2</v>
      </c>
    </row>
    <row r="11262" spans="1:9" x14ac:dyDescent="0.25">
      <c r="A11262" s="515">
        <v>79347</v>
      </c>
      <c r="C11262" s="52">
        <v>103300.468330373</v>
      </c>
      <c r="D11262" s="56">
        <v>9.7573063985385584E-3</v>
      </c>
      <c r="E11262" s="224" t="s">
        <v>2</v>
      </c>
      <c r="F11262" s="515" t="s">
        <v>12455</v>
      </c>
      <c r="G11262" s="52">
        <v>121668.946797021</v>
      </c>
      <c r="H11262" s="56">
        <v>0.25879258428458024</v>
      </c>
      <c r="I11262" s="224" t="s">
        <v>2</v>
      </c>
    </row>
    <row r="11263" spans="1:9" x14ac:dyDescent="0.25">
      <c r="A11263" s="515">
        <v>54153</v>
      </c>
      <c r="B11263" s="515" t="s">
        <v>897</v>
      </c>
      <c r="C11263" s="52">
        <v>170929.592550603</v>
      </c>
      <c r="D11263" s="56">
        <v>9.4236523667967087E-2</v>
      </c>
      <c r="E11263" s="224" t="s">
        <v>2</v>
      </c>
      <c r="F11263" s="515" t="s">
        <v>12456</v>
      </c>
      <c r="G11263" s="52">
        <v>251913.66709141401</v>
      </c>
      <c r="H11263" s="56">
        <v>0.19028404573143287</v>
      </c>
      <c r="I11263" s="224" t="s">
        <v>2</v>
      </c>
    </row>
    <row r="11264" spans="1:9" x14ac:dyDescent="0.25">
      <c r="A11264" s="515">
        <v>27013</v>
      </c>
      <c r="B11264" s="515" t="s">
        <v>360</v>
      </c>
      <c r="C11264" s="52">
        <v>240815.57644293699</v>
      </c>
      <c r="D11264" s="56">
        <v>0.11791950009023294</v>
      </c>
      <c r="E11264" s="224" t="s">
        <v>2</v>
      </c>
      <c r="F11264" s="515" t="s">
        <v>12457</v>
      </c>
      <c r="G11264" s="52">
        <v>115274.008578179</v>
      </c>
      <c r="H11264" s="56">
        <v>6.2775089286842764E-2</v>
      </c>
      <c r="I11264" s="224" t="s">
        <v>2</v>
      </c>
    </row>
    <row r="11265" spans="1:9" x14ac:dyDescent="0.25">
      <c r="A11265" s="515">
        <v>54982</v>
      </c>
      <c r="C11265" s="52">
        <v>206598.39067398701</v>
      </c>
      <c r="D11265" s="56">
        <v>6.8356731774815035E-2</v>
      </c>
      <c r="E11265" s="224" t="s">
        <v>2</v>
      </c>
      <c r="F11265" s="515" t="s">
        <v>12458</v>
      </c>
      <c r="G11265" s="52">
        <v>97827.012564123303</v>
      </c>
      <c r="H11265" s="56">
        <v>0.1357865606511332</v>
      </c>
      <c r="I11265" s="224" t="s">
        <v>2</v>
      </c>
    </row>
    <row r="11266" spans="1:9" x14ac:dyDescent="0.25">
      <c r="A11266" s="515">
        <v>19807</v>
      </c>
      <c r="B11266" s="515" t="s">
        <v>294</v>
      </c>
      <c r="C11266" s="52">
        <v>882817.53882695897</v>
      </c>
      <c r="D11266" s="56">
        <v>6.6344060103674357E-2</v>
      </c>
      <c r="E11266" s="224" t="s">
        <v>2</v>
      </c>
      <c r="F11266" s="515" t="s">
        <v>12459</v>
      </c>
      <c r="G11266" s="52">
        <v>355156.65672239597</v>
      </c>
      <c r="H11266" s="56">
        <v>4.9104124162561692E-2</v>
      </c>
      <c r="I11266" s="224" t="s">
        <v>2</v>
      </c>
    </row>
    <row r="11267" spans="1:9" x14ac:dyDescent="0.25">
      <c r="A11267" s="515">
        <v>29330</v>
      </c>
      <c r="B11267" s="515" t="s">
        <v>1191</v>
      </c>
      <c r="C11267" s="52">
        <v>167252.36384927499</v>
      </c>
      <c r="D11267" s="56">
        <v>0.14244733963512302</v>
      </c>
      <c r="E11267" s="224" t="s">
        <v>2</v>
      </c>
      <c r="F11267" s="515" t="s">
        <v>12460</v>
      </c>
      <c r="G11267" s="52">
        <v>115231.37073310401</v>
      </c>
      <c r="H11267" s="56">
        <v>0.11706303178884007</v>
      </c>
      <c r="I11267" s="224" t="s">
        <v>2</v>
      </c>
    </row>
    <row r="11268" spans="1:9" x14ac:dyDescent="0.25">
      <c r="A11268" s="515">
        <v>45660</v>
      </c>
      <c r="C11268" s="52">
        <v>146189.16526280501</v>
      </c>
      <c r="D11268" s="56">
        <v>0.1000839048306577</v>
      </c>
      <c r="E11268" s="224" t="s">
        <v>2</v>
      </c>
      <c r="F11268" s="515" t="s">
        <v>12461</v>
      </c>
      <c r="G11268" s="52">
        <v>142105.29158371699</v>
      </c>
      <c r="H11268" s="56">
        <v>2.5481908823485552E-2</v>
      </c>
      <c r="I11268" s="224" t="s">
        <v>2</v>
      </c>
    </row>
    <row r="11269" spans="1:9" x14ac:dyDescent="0.25">
      <c r="A11269" s="515">
        <v>12033</v>
      </c>
      <c r="B11269" s="515" t="s">
        <v>609</v>
      </c>
      <c r="C11269" s="52">
        <v>291937.922816562</v>
      </c>
      <c r="D11269" s="56">
        <v>7.0351909308763061E-2</v>
      </c>
      <c r="E11269" s="224" t="s">
        <v>2</v>
      </c>
      <c r="F11269" s="515" t="s">
        <v>12462</v>
      </c>
      <c r="G11269" s="52">
        <v>280273.28966768098</v>
      </c>
      <c r="H11269" s="56">
        <v>0.10949715059319111</v>
      </c>
      <c r="I11269" s="224" t="s">
        <v>2</v>
      </c>
    </row>
    <row r="11270" spans="1:9" x14ac:dyDescent="0.25">
      <c r="A11270" s="515">
        <v>41858</v>
      </c>
      <c r="C11270" s="52">
        <v>104445.88071527101</v>
      </c>
      <c r="D11270" s="56">
        <v>0.20515808176449135</v>
      </c>
      <c r="E11270" s="224" t="s">
        <v>2</v>
      </c>
      <c r="F11270" s="515" t="s">
        <v>12463</v>
      </c>
      <c r="G11270" s="52">
        <v>55935.425371711499</v>
      </c>
      <c r="H11270" s="56">
        <v>-2.7163669696401334E-2</v>
      </c>
      <c r="I11270" s="224" t="s">
        <v>2</v>
      </c>
    </row>
    <row r="11271" spans="1:9" x14ac:dyDescent="0.25">
      <c r="A11271" s="515">
        <v>12564</v>
      </c>
      <c r="B11271" s="515" t="s">
        <v>529</v>
      </c>
      <c r="C11271" s="52">
        <v>425205.46428073099</v>
      </c>
      <c r="D11271" s="56">
        <v>9.4942295602498422E-2</v>
      </c>
      <c r="E11271" s="224" t="s">
        <v>2</v>
      </c>
      <c r="F11271" s="515" t="s">
        <v>12464</v>
      </c>
      <c r="G11271" s="52">
        <v>466401.45251827798</v>
      </c>
      <c r="H11271" s="56">
        <v>0.10196624414005027</v>
      </c>
      <c r="I11271" s="224" t="s">
        <v>2</v>
      </c>
    </row>
    <row r="11272" spans="1:9" x14ac:dyDescent="0.25">
      <c r="A11272" s="515">
        <v>29376</v>
      </c>
      <c r="B11272" s="515" t="s">
        <v>447</v>
      </c>
      <c r="C11272" s="52">
        <v>257444.04374865099</v>
      </c>
      <c r="D11272" s="56">
        <v>0.10631225652643647</v>
      </c>
      <c r="E11272" s="224" t="s">
        <v>2</v>
      </c>
      <c r="F11272" s="515" t="s">
        <v>12465</v>
      </c>
      <c r="G11272" s="52">
        <v>123549.42618381399</v>
      </c>
      <c r="H11272" s="56">
        <v>-0.14465850632350399</v>
      </c>
      <c r="I11272" s="224" t="s">
        <v>2</v>
      </c>
    </row>
    <row r="11273" spans="1:9" x14ac:dyDescent="0.25">
      <c r="A11273" s="515">
        <v>82834</v>
      </c>
      <c r="C11273" s="52">
        <v>361116.06689049897</v>
      </c>
      <c r="D11273" s="56">
        <v>8.7672570723918666E-2</v>
      </c>
      <c r="E11273" s="224" t="s">
        <v>2</v>
      </c>
      <c r="F11273" s="515" t="s">
        <v>12466</v>
      </c>
      <c r="G11273" s="52">
        <v>162308.004469782</v>
      </c>
      <c r="H11273" s="56">
        <v>4.4275024144071105E-2</v>
      </c>
      <c r="I11273" s="224" t="s">
        <v>2</v>
      </c>
    </row>
    <row r="11274" spans="1:9" x14ac:dyDescent="0.25">
      <c r="A11274" s="515">
        <v>6807</v>
      </c>
      <c r="B11274" s="515" t="s">
        <v>1173</v>
      </c>
      <c r="C11274" s="52">
        <v>1296465.7018933501</v>
      </c>
      <c r="D11274" s="56">
        <v>8.9438690645289975E-2</v>
      </c>
      <c r="E11274" s="224" t="s">
        <v>2</v>
      </c>
      <c r="F11274" s="515" t="s">
        <v>12467</v>
      </c>
      <c r="G11274" s="52">
        <v>574743.11195582605</v>
      </c>
      <c r="H11274" s="56">
        <v>8.5414733867990325E-2</v>
      </c>
      <c r="I11274" s="224" t="s">
        <v>2</v>
      </c>
    </row>
    <row r="11275" spans="1:9" x14ac:dyDescent="0.25">
      <c r="A11275" s="515">
        <v>32409</v>
      </c>
      <c r="B11275" s="515" t="s">
        <v>1160</v>
      </c>
      <c r="C11275" s="52">
        <v>349964.68543489103</v>
      </c>
      <c r="D11275" s="56">
        <v>0.1199788394793096</v>
      </c>
      <c r="E11275" s="224" t="s">
        <v>2</v>
      </c>
      <c r="F11275" s="515" t="s">
        <v>12468</v>
      </c>
      <c r="G11275" s="52">
        <v>141163.24244176099</v>
      </c>
      <c r="H11275" s="56">
        <v>5.6011161223907438E-2</v>
      </c>
      <c r="I11275" s="224" t="s">
        <v>2</v>
      </c>
    </row>
    <row r="11276" spans="1:9" x14ac:dyDescent="0.25">
      <c r="A11276" s="515">
        <v>28458</v>
      </c>
      <c r="C11276" s="52">
        <v>122571.936412316</v>
      </c>
      <c r="D11276" s="56">
        <v>0.1992518098741011</v>
      </c>
      <c r="E11276" s="224" t="s">
        <v>2</v>
      </c>
      <c r="F11276" s="515" t="s">
        <v>12469</v>
      </c>
      <c r="G11276" s="52">
        <v>94275.023090275005</v>
      </c>
      <c r="H11276" s="56">
        <v>6.7619668489138002E-2</v>
      </c>
      <c r="I11276" s="224" t="s">
        <v>2</v>
      </c>
    </row>
    <row r="11277" spans="1:9" x14ac:dyDescent="0.25">
      <c r="A11277" s="515">
        <v>49651</v>
      </c>
      <c r="B11277" s="515" t="s">
        <v>937</v>
      </c>
      <c r="C11277" s="52">
        <v>174352.59659150301</v>
      </c>
      <c r="D11277" s="56">
        <v>-1.8848076901367101E-2</v>
      </c>
      <c r="E11277" s="224" t="s">
        <v>2</v>
      </c>
      <c r="F11277" s="515" t="s">
        <v>12470</v>
      </c>
      <c r="G11277" s="52">
        <v>195007.770510981</v>
      </c>
      <c r="H11277" s="56">
        <v>8.256922524107263E-2</v>
      </c>
      <c r="I11277" s="224" t="s">
        <v>2</v>
      </c>
    </row>
    <row r="11278" spans="1:9" x14ac:dyDescent="0.25">
      <c r="A11278" s="515">
        <v>59833</v>
      </c>
      <c r="C11278" s="52">
        <v>586919.73405516904</v>
      </c>
      <c r="D11278" s="56">
        <v>2.0728374427358393E-2</v>
      </c>
      <c r="E11278" s="224" t="s">
        <v>2</v>
      </c>
      <c r="F11278" s="515" t="s">
        <v>12471</v>
      </c>
      <c r="G11278" s="52">
        <v>268187.63079091901</v>
      </c>
      <c r="H11278" s="56">
        <v>7.3955106898311002E-2</v>
      </c>
      <c r="I11278" s="224" t="s">
        <v>2</v>
      </c>
    </row>
    <row r="11279" spans="1:9" x14ac:dyDescent="0.25">
      <c r="A11279" s="515">
        <v>70395</v>
      </c>
      <c r="B11279" s="515" t="s">
        <v>898</v>
      </c>
      <c r="C11279" s="52">
        <v>181911.718408235</v>
      </c>
      <c r="D11279" s="56">
        <v>-9.3890258973569601E-3</v>
      </c>
      <c r="E11279" s="224" t="s">
        <v>2</v>
      </c>
      <c r="F11279" s="515" t="s">
        <v>12472</v>
      </c>
      <c r="G11279" s="52">
        <v>254037.21177477899</v>
      </c>
      <c r="H11279" s="56">
        <v>5.3434129751984916E-2</v>
      </c>
      <c r="I11279" s="224" t="s">
        <v>2</v>
      </c>
    </row>
    <row r="11280" spans="1:9" x14ac:dyDescent="0.25">
      <c r="A11280" s="515">
        <v>4841</v>
      </c>
      <c r="C11280" s="52">
        <v>299860.88014068501</v>
      </c>
      <c r="D11280" s="56">
        <v>8.5917961568057213E-2</v>
      </c>
      <c r="E11280" s="224" t="s">
        <v>2</v>
      </c>
      <c r="F11280" s="515" t="s">
        <v>12473</v>
      </c>
      <c r="G11280" s="52">
        <v>235685.53083101299</v>
      </c>
      <c r="H11280" s="56">
        <v>6.7749726475630032E-2</v>
      </c>
      <c r="I11280" s="224" t="s">
        <v>2</v>
      </c>
    </row>
    <row r="11281" spans="1:9" x14ac:dyDescent="0.25">
      <c r="A11281" s="515">
        <v>52233</v>
      </c>
      <c r="B11281" s="515" t="s">
        <v>404</v>
      </c>
      <c r="C11281" s="52">
        <v>212199.391640747</v>
      </c>
      <c r="D11281" s="56">
        <v>5.1598009627480436E-2</v>
      </c>
      <c r="E11281" s="224">
        <v>993.75</v>
      </c>
      <c r="F11281" s="515" t="s">
        <v>12474</v>
      </c>
      <c r="G11281" s="52">
        <v>88607.426751592298</v>
      </c>
      <c r="H11281" s="56">
        <v>0</v>
      </c>
      <c r="I11281" s="224" t="s">
        <v>2</v>
      </c>
    </row>
    <row r="11282" spans="1:9" x14ac:dyDescent="0.25">
      <c r="A11282" s="515">
        <v>48657</v>
      </c>
      <c r="B11282" s="515" t="s">
        <v>1121</v>
      </c>
      <c r="C11282" s="52">
        <v>160716.360656195</v>
      </c>
      <c r="D11282" s="56">
        <v>7.6813560154905439E-2</v>
      </c>
      <c r="E11282" s="224" t="s">
        <v>2</v>
      </c>
      <c r="F11282" s="515" t="s">
        <v>12475</v>
      </c>
      <c r="G11282" s="52">
        <v>1362074.8077871201</v>
      </c>
      <c r="H11282" s="56">
        <v>1.3434408418147815E-2</v>
      </c>
      <c r="I11282" s="224" t="s">
        <v>2</v>
      </c>
    </row>
    <row r="11283" spans="1:9" x14ac:dyDescent="0.25">
      <c r="A11283" s="515">
        <v>36603</v>
      </c>
      <c r="B11283" s="515" t="s">
        <v>815</v>
      </c>
      <c r="C11283" s="52">
        <v>44125.531780388897</v>
      </c>
      <c r="D11283" s="56">
        <v>1.1061142182254735E-2</v>
      </c>
      <c r="E11283" s="224" t="s">
        <v>2</v>
      </c>
      <c r="F11283" s="515" t="s">
        <v>12476</v>
      </c>
      <c r="G11283" s="52">
        <v>80722.6728711787</v>
      </c>
      <c r="H11283" s="56">
        <v>0.27601775393226607</v>
      </c>
      <c r="I11283" s="224" t="s">
        <v>2</v>
      </c>
    </row>
    <row r="11284" spans="1:9" x14ac:dyDescent="0.25">
      <c r="A11284" s="515">
        <v>27051</v>
      </c>
      <c r="B11284" s="515" t="s">
        <v>735</v>
      </c>
      <c r="C11284" s="52">
        <v>219376.439215094</v>
      </c>
      <c r="D11284" s="56">
        <v>0.15723111423816774</v>
      </c>
      <c r="E11284" s="224" t="s">
        <v>2</v>
      </c>
      <c r="F11284" s="515" t="s">
        <v>12477</v>
      </c>
      <c r="G11284" s="52">
        <v>252583.49986855299</v>
      </c>
      <c r="H11284" s="56">
        <v>0.13348092379496718</v>
      </c>
      <c r="I11284" s="224" t="s">
        <v>2</v>
      </c>
    </row>
    <row r="11285" spans="1:9" x14ac:dyDescent="0.25">
      <c r="A11285" s="515">
        <v>28124</v>
      </c>
      <c r="B11285" s="515" t="s">
        <v>360</v>
      </c>
      <c r="C11285" s="52">
        <v>333639.45003621897</v>
      </c>
      <c r="D11285" s="56">
        <v>0.14467887977560606</v>
      </c>
      <c r="E11285" s="224" t="s">
        <v>2</v>
      </c>
      <c r="F11285" s="515" t="s">
        <v>12478</v>
      </c>
      <c r="G11285" s="52">
        <v>137891.18962132299</v>
      </c>
      <c r="H11285" s="56">
        <v>-4.7074313977300171E-3</v>
      </c>
      <c r="I11285" s="224" t="s">
        <v>2</v>
      </c>
    </row>
    <row r="11286" spans="1:9" x14ac:dyDescent="0.25">
      <c r="A11286" s="515">
        <v>46402</v>
      </c>
      <c r="B11286" s="515" t="s">
        <v>394</v>
      </c>
      <c r="C11286" s="52">
        <v>56912.106410635803</v>
      </c>
      <c r="D11286" s="56">
        <v>0.36070455123179107</v>
      </c>
      <c r="E11286" s="224" t="s">
        <v>2</v>
      </c>
      <c r="F11286" s="515" t="s">
        <v>12479</v>
      </c>
      <c r="G11286" s="52">
        <v>198603.642616995</v>
      </c>
      <c r="H11286" s="56">
        <v>4.651395303227332E-2</v>
      </c>
      <c r="I11286" s="224" t="s">
        <v>2</v>
      </c>
    </row>
    <row r="11287" spans="1:9" x14ac:dyDescent="0.25">
      <c r="A11287" s="515">
        <v>62618</v>
      </c>
      <c r="C11287" s="52">
        <v>72633.722710081202</v>
      </c>
      <c r="D11287" s="56">
        <v>9.8480389240261909E-2</v>
      </c>
      <c r="E11287" s="224" t="s">
        <v>2</v>
      </c>
      <c r="F11287" s="515" t="s">
        <v>12480</v>
      </c>
      <c r="G11287" s="52">
        <v>133601.725853749</v>
      </c>
      <c r="H11287" s="56">
        <v>7.2271930466775519E-2</v>
      </c>
      <c r="I11287" s="224" t="s">
        <v>2</v>
      </c>
    </row>
    <row r="11288" spans="1:9" x14ac:dyDescent="0.25">
      <c r="A11288" s="515">
        <v>48054</v>
      </c>
      <c r="B11288" s="515" t="s">
        <v>685</v>
      </c>
      <c r="C11288" s="52">
        <v>289717.009881687</v>
      </c>
      <c r="D11288" s="56">
        <v>6.499158843270203E-2</v>
      </c>
      <c r="E11288" s="224" t="s">
        <v>2</v>
      </c>
      <c r="F11288" s="515" t="s">
        <v>12481</v>
      </c>
      <c r="G11288" s="52">
        <v>123614.955005682</v>
      </c>
      <c r="H11288" s="56">
        <v>8.2626405080423598E-2</v>
      </c>
      <c r="I11288" s="224" t="s">
        <v>2</v>
      </c>
    </row>
    <row r="11289" spans="1:9" x14ac:dyDescent="0.25">
      <c r="A11289" s="515">
        <v>2379</v>
      </c>
      <c r="B11289" s="515" t="s">
        <v>534</v>
      </c>
      <c r="C11289" s="52">
        <v>494628.17996999098</v>
      </c>
      <c r="D11289" s="56">
        <v>5.1833959472156819E-2</v>
      </c>
      <c r="E11289" s="224" t="s">
        <v>2</v>
      </c>
      <c r="F11289" s="515" t="s">
        <v>12482</v>
      </c>
      <c r="G11289" s="52">
        <v>160657.09085485101</v>
      </c>
      <c r="H11289" s="56">
        <v>0.10352650761281997</v>
      </c>
      <c r="I11289" s="224" t="s">
        <v>2</v>
      </c>
    </row>
    <row r="11290" spans="1:9" x14ac:dyDescent="0.25">
      <c r="A11290" s="515">
        <v>27377</v>
      </c>
      <c r="B11290" s="515" t="s">
        <v>1148</v>
      </c>
      <c r="C11290" s="52">
        <v>282929.85955053399</v>
      </c>
      <c r="D11290" s="56">
        <v>0.11801602393447405</v>
      </c>
      <c r="E11290" s="224">
        <v>1848.3333333333301</v>
      </c>
      <c r="F11290" s="515" t="s">
        <v>12483</v>
      </c>
      <c r="G11290" s="52">
        <v>209494.079441576</v>
      </c>
      <c r="H11290" s="56">
        <v>7.186256651107685E-2</v>
      </c>
      <c r="I11290" s="224" t="s">
        <v>2</v>
      </c>
    </row>
    <row r="11291" spans="1:9" x14ac:dyDescent="0.25">
      <c r="A11291" s="515">
        <v>43162</v>
      </c>
      <c r="B11291" s="515" t="s">
        <v>345</v>
      </c>
      <c r="C11291" s="52">
        <v>228602.71417155801</v>
      </c>
      <c r="D11291" s="56">
        <v>0.11431722934990524</v>
      </c>
      <c r="E11291" s="224" t="s">
        <v>2</v>
      </c>
      <c r="F11291" s="515" t="s">
        <v>12484</v>
      </c>
      <c r="G11291" s="52">
        <v>107045.713675213</v>
      </c>
      <c r="H11291" s="56">
        <v>0</v>
      </c>
      <c r="I11291" s="224" t="s">
        <v>2</v>
      </c>
    </row>
    <row r="11292" spans="1:9" x14ac:dyDescent="0.25">
      <c r="A11292" s="515">
        <v>20180</v>
      </c>
      <c r="B11292" s="515" t="s">
        <v>321</v>
      </c>
      <c r="C11292" s="52">
        <v>655618.98591600102</v>
      </c>
      <c r="D11292" s="56">
        <v>4.2736049101012891E-2</v>
      </c>
      <c r="E11292" s="224" t="s">
        <v>2</v>
      </c>
      <c r="F11292" s="515" t="s">
        <v>12485</v>
      </c>
      <c r="G11292" s="52">
        <v>192710.14108631801</v>
      </c>
      <c r="H11292" s="56">
        <v>3.2748428310399029E-2</v>
      </c>
      <c r="I11292" s="224" t="s">
        <v>2</v>
      </c>
    </row>
    <row r="11293" spans="1:9" x14ac:dyDescent="0.25">
      <c r="A11293" s="515">
        <v>52544</v>
      </c>
      <c r="C11293" s="52">
        <v>95340.891220624704</v>
      </c>
      <c r="D11293" s="56">
        <v>-8.3067918495898421E-3</v>
      </c>
      <c r="E11293" s="224" t="s">
        <v>2</v>
      </c>
      <c r="F11293" s="515" t="s">
        <v>12486</v>
      </c>
      <c r="G11293" s="52">
        <v>246888.15307274001</v>
      </c>
      <c r="H11293" s="56">
        <v>0.12988048745058753</v>
      </c>
      <c r="I11293" s="224" t="s">
        <v>2</v>
      </c>
    </row>
    <row r="11294" spans="1:9" x14ac:dyDescent="0.25">
      <c r="A11294" s="515">
        <v>54457</v>
      </c>
      <c r="B11294" s="515" t="s">
        <v>607</v>
      </c>
      <c r="C11294" s="52">
        <v>194408.71006456099</v>
      </c>
      <c r="D11294" s="56">
        <v>9.9464524053062414E-2</v>
      </c>
      <c r="E11294" s="224" t="s">
        <v>2</v>
      </c>
      <c r="F11294" s="515" t="s">
        <v>12487</v>
      </c>
      <c r="G11294" s="52">
        <v>358434.88399225101</v>
      </c>
      <c r="H11294" s="56">
        <v>0.12156446367812024</v>
      </c>
      <c r="I11294" s="224" t="s">
        <v>2</v>
      </c>
    </row>
    <row r="11295" spans="1:9" x14ac:dyDescent="0.25">
      <c r="A11295" s="515">
        <v>83341</v>
      </c>
      <c r="B11295" s="515" t="s">
        <v>832</v>
      </c>
      <c r="C11295" s="52">
        <v>402293.42131257901</v>
      </c>
      <c r="D11295" s="56">
        <v>2.1964998770188961E-2</v>
      </c>
      <c r="E11295" s="224" t="s">
        <v>2</v>
      </c>
      <c r="F11295" s="515" t="s">
        <v>12488</v>
      </c>
      <c r="G11295" s="52">
        <v>75219.063477915101</v>
      </c>
      <c r="H11295" s="56">
        <v>0.12775266424626003</v>
      </c>
      <c r="I11295" s="224" t="s">
        <v>2</v>
      </c>
    </row>
    <row r="11296" spans="1:9" x14ac:dyDescent="0.25">
      <c r="A11296" s="515">
        <v>65459</v>
      </c>
      <c r="B11296" s="515" t="s">
        <v>1055</v>
      </c>
      <c r="C11296" s="52">
        <v>167531.53478427499</v>
      </c>
      <c r="D11296" s="56">
        <v>0.11147271863782249</v>
      </c>
      <c r="E11296" s="224" t="s">
        <v>2</v>
      </c>
      <c r="F11296" s="515" t="s">
        <v>12489</v>
      </c>
      <c r="G11296" s="52">
        <v>109437.28547698401</v>
      </c>
      <c r="H11296" s="56">
        <v>1.1225912269995109E-2</v>
      </c>
      <c r="I11296" s="224" t="s">
        <v>2</v>
      </c>
    </row>
    <row r="11297" spans="1:9" x14ac:dyDescent="0.25">
      <c r="A11297" s="515">
        <v>29130</v>
      </c>
      <c r="B11297" s="515" t="s">
        <v>762</v>
      </c>
      <c r="C11297" s="52">
        <v>243065.46665941001</v>
      </c>
      <c r="D11297" s="56">
        <v>7.0394391437941212E-2</v>
      </c>
      <c r="E11297" s="224" t="s">
        <v>2</v>
      </c>
      <c r="F11297" s="515" t="s">
        <v>12490</v>
      </c>
      <c r="G11297" s="52">
        <v>299975.99828262901</v>
      </c>
      <c r="H11297" s="56">
        <v>0.15067694648591803</v>
      </c>
      <c r="I11297" s="224" t="s">
        <v>2</v>
      </c>
    </row>
    <row r="11298" spans="1:9" x14ac:dyDescent="0.25">
      <c r="A11298" s="515">
        <v>12158</v>
      </c>
      <c r="B11298" s="515" t="s">
        <v>609</v>
      </c>
      <c r="C11298" s="52">
        <v>290970.95699413499</v>
      </c>
      <c r="D11298" s="56">
        <v>5.1597391890055425E-2</v>
      </c>
      <c r="E11298" s="224" t="s">
        <v>2</v>
      </c>
      <c r="F11298" s="515" t="s">
        <v>12491</v>
      </c>
      <c r="G11298" s="52">
        <v>186889.75743479701</v>
      </c>
      <c r="H11298" s="56">
        <v>7.3524026316728858E-2</v>
      </c>
      <c r="I11298" s="224" t="s">
        <v>2</v>
      </c>
    </row>
    <row r="11299" spans="1:9" x14ac:dyDescent="0.25">
      <c r="A11299" s="515">
        <v>79745</v>
      </c>
      <c r="C11299" s="52">
        <v>106613.744108896</v>
      </c>
      <c r="D11299" s="56">
        <v>-8.4537881100078233E-2</v>
      </c>
      <c r="E11299" s="224" t="s">
        <v>2</v>
      </c>
      <c r="F11299" s="515" t="s">
        <v>12492</v>
      </c>
      <c r="G11299" s="52">
        <v>98088.645510320304</v>
      </c>
      <c r="H11299" s="56">
        <v>0.12433817621960423</v>
      </c>
      <c r="I11299" s="224" t="s">
        <v>2</v>
      </c>
    </row>
    <row r="11300" spans="1:9" x14ac:dyDescent="0.25">
      <c r="A11300" s="515">
        <v>98922</v>
      </c>
      <c r="B11300" s="515" t="s">
        <v>473</v>
      </c>
      <c r="C11300" s="52">
        <v>587077.70815584098</v>
      </c>
      <c r="D11300" s="56">
        <v>7.4250077976254866E-2</v>
      </c>
      <c r="E11300" s="224" t="s">
        <v>2</v>
      </c>
      <c r="F11300" s="515" t="s">
        <v>12493</v>
      </c>
      <c r="G11300" s="52">
        <v>257148.26122783401</v>
      </c>
      <c r="H11300" s="56">
        <v>0.1269975297499828</v>
      </c>
      <c r="I11300" s="224" t="s">
        <v>2</v>
      </c>
    </row>
    <row r="11301" spans="1:9" x14ac:dyDescent="0.25">
      <c r="A11301" s="515">
        <v>8810</v>
      </c>
      <c r="B11301" s="515" t="s">
        <v>324</v>
      </c>
      <c r="C11301" s="52">
        <v>497316.84263580601</v>
      </c>
      <c r="D11301" s="56">
        <v>4.1751538644899486E-2</v>
      </c>
      <c r="E11301" s="224" t="s">
        <v>2</v>
      </c>
      <c r="F11301" s="515" t="s">
        <v>12494</v>
      </c>
      <c r="G11301" s="52">
        <v>333796.91523792502</v>
      </c>
      <c r="H11301" s="56">
        <v>0.11882417848856981</v>
      </c>
      <c r="I11301" s="224" t="s">
        <v>2</v>
      </c>
    </row>
    <row r="11302" spans="1:9" x14ac:dyDescent="0.25">
      <c r="A11302" s="515">
        <v>49740</v>
      </c>
      <c r="C11302" s="52">
        <v>417190.13109997602</v>
      </c>
      <c r="D11302" s="56">
        <v>8.4020905207951066E-2</v>
      </c>
      <c r="E11302" s="224" t="s">
        <v>2</v>
      </c>
      <c r="F11302" s="515" t="s">
        <v>12495</v>
      </c>
      <c r="G11302" s="52">
        <v>329991.21737134102</v>
      </c>
      <c r="H11302" s="56">
        <v>2.9861880489882114E-2</v>
      </c>
      <c r="I11302" s="224" t="s">
        <v>2</v>
      </c>
    </row>
    <row r="11303" spans="1:9" x14ac:dyDescent="0.25">
      <c r="A11303" s="515">
        <v>48734</v>
      </c>
      <c r="B11303" s="515" t="s">
        <v>904</v>
      </c>
      <c r="C11303" s="52">
        <v>286024.92334240401</v>
      </c>
      <c r="D11303" s="56">
        <v>8.1074940246700769E-2</v>
      </c>
      <c r="E11303" s="224" t="s">
        <v>2</v>
      </c>
      <c r="F11303" s="515" t="s">
        <v>12496</v>
      </c>
      <c r="G11303" s="52">
        <v>111646.031890686</v>
      </c>
      <c r="H11303" s="56">
        <v>0.22309205097630685</v>
      </c>
      <c r="I11303" s="224" t="s">
        <v>2</v>
      </c>
    </row>
    <row r="11304" spans="1:9" x14ac:dyDescent="0.25">
      <c r="A11304" s="515">
        <v>48131</v>
      </c>
      <c r="B11304" s="515" t="s">
        <v>1033</v>
      </c>
      <c r="C11304" s="52">
        <v>244508.31631970801</v>
      </c>
      <c r="D11304" s="56">
        <v>3.7301184013401503E-2</v>
      </c>
      <c r="E11304" s="224" t="s">
        <v>2</v>
      </c>
      <c r="F11304" s="515" t="s">
        <v>12497</v>
      </c>
      <c r="G11304" s="52">
        <v>467609.59863353102</v>
      </c>
      <c r="H11304" s="56">
        <v>4.6572654705955653E-2</v>
      </c>
      <c r="I11304" s="224" t="s">
        <v>2</v>
      </c>
    </row>
    <row r="11305" spans="1:9" x14ac:dyDescent="0.25">
      <c r="A11305" s="515">
        <v>19075</v>
      </c>
      <c r="B11305" s="515" t="s">
        <v>294</v>
      </c>
      <c r="C11305" s="52">
        <v>424891.43778020702</v>
      </c>
      <c r="D11305" s="56">
        <v>6.7713091218059726E-2</v>
      </c>
      <c r="E11305" s="224" t="s">
        <v>2</v>
      </c>
      <c r="F11305" s="515" t="s">
        <v>12498</v>
      </c>
      <c r="G11305" s="52">
        <v>278936.61130663601</v>
      </c>
      <c r="H11305" s="56">
        <v>2.2758233084743305E-2</v>
      </c>
      <c r="I11305" s="224" t="s">
        <v>2</v>
      </c>
    </row>
    <row r="11306" spans="1:9" x14ac:dyDescent="0.25">
      <c r="A11306" s="515">
        <v>23824</v>
      </c>
      <c r="C11306" s="52">
        <v>171715.092743038</v>
      </c>
      <c r="D11306" s="56">
        <v>0.27089807728539739</v>
      </c>
      <c r="E11306" s="224" t="s">
        <v>2</v>
      </c>
      <c r="F11306" s="515" t="s">
        <v>12499</v>
      </c>
      <c r="G11306" s="52">
        <v>161135.54102094</v>
      </c>
      <c r="H11306" s="56">
        <v>5.7507804805726252E-2</v>
      </c>
      <c r="I11306" s="224" t="s">
        <v>2</v>
      </c>
    </row>
    <row r="11307" spans="1:9" x14ac:dyDescent="0.25">
      <c r="A11307" s="515">
        <v>7004</v>
      </c>
      <c r="B11307" s="515" t="s">
        <v>324</v>
      </c>
      <c r="C11307" s="52">
        <v>626314.70669453696</v>
      </c>
      <c r="D11307" s="56">
        <v>2.2845770566274005E-2</v>
      </c>
      <c r="E11307" s="224" t="s">
        <v>2</v>
      </c>
      <c r="F11307" s="515" t="s">
        <v>12500</v>
      </c>
      <c r="G11307" s="52">
        <v>302832.61267227901</v>
      </c>
      <c r="H11307" s="56">
        <v>0.18123942948757382</v>
      </c>
      <c r="I11307" s="224" t="s">
        <v>2</v>
      </c>
    </row>
    <row r="11308" spans="1:9" x14ac:dyDescent="0.25">
      <c r="A11308" s="515">
        <v>27505</v>
      </c>
      <c r="B11308" s="515" t="s">
        <v>1149</v>
      </c>
      <c r="C11308" s="52">
        <v>242262.298110573</v>
      </c>
      <c r="D11308" s="56">
        <v>0.15873534040208148</v>
      </c>
      <c r="E11308" s="224" t="s">
        <v>2</v>
      </c>
      <c r="F11308" s="515" t="s">
        <v>12501</v>
      </c>
      <c r="G11308" s="52">
        <v>513674.72181961598</v>
      </c>
      <c r="H11308" s="56">
        <v>6.828728550619681E-2</v>
      </c>
      <c r="I11308" s="224" t="s">
        <v>2</v>
      </c>
    </row>
    <row r="11309" spans="1:9" x14ac:dyDescent="0.25">
      <c r="A11309" s="515">
        <v>1775</v>
      </c>
      <c r="B11309" s="515" t="s">
        <v>534</v>
      </c>
      <c r="C11309" s="52">
        <v>696848.85404889798</v>
      </c>
      <c r="D11309" s="56">
        <v>6.4950597683804512E-2</v>
      </c>
      <c r="E11309" s="224" t="s">
        <v>2</v>
      </c>
      <c r="F11309" s="515" t="s">
        <v>12502</v>
      </c>
      <c r="G11309" s="52">
        <v>170212.2574452</v>
      </c>
      <c r="H11309" s="56">
        <v>0.12246568670505308</v>
      </c>
      <c r="I11309" s="224" t="s">
        <v>2</v>
      </c>
    </row>
    <row r="11310" spans="1:9" x14ac:dyDescent="0.25">
      <c r="A11310" s="515">
        <v>53018</v>
      </c>
      <c r="B11310" s="515" t="s">
        <v>950</v>
      </c>
      <c r="C11310" s="52">
        <v>499612.48439971101</v>
      </c>
      <c r="D11310" s="56">
        <v>4.9857755477655676E-2</v>
      </c>
      <c r="E11310" s="224" t="s">
        <v>2</v>
      </c>
      <c r="F11310" s="515" t="s">
        <v>12503</v>
      </c>
      <c r="G11310" s="52">
        <v>208721.184047141</v>
      </c>
      <c r="H11310" s="56">
        <v>0.14510761543725528</v>
      </c>
      <c r="I11310" s="224" t="s">
        <v>2</v>
      </c>
    </row>
    <row r="11311" spans="1:9" x14ac:dyDescent="0.25">
      <c r="A11311" s="515">
        <v>43617</v>
      </c>
      <c r="B11311" s="515" t="s">
        <v>300</v>
      </c>
      <c r="C11311" s="52">
        <v>270430.97759778099</v>
      </c>
      <c r="D11311" s="56">
        <v>6.8371137318613537E-2</v>
      </c>
      <c r="E11311" s="224" t="s">
        <v>2</v>
      </c>
      <c r="F11311" s="515" t="s">
        <v>12504</v>
      </c>
      <c r="G11311" s="52">
        <v>342091.34804010601</v>
      </c>
      <c r="H11311" s="56">
        <v>0.12728608780210987</v>
      </c>
      <c r="I11311" s="224" t="s">
        <v>2</v>
      </c>
    </row>
    <row r="11312" spans="1:9" x14ac:dyDescent="0.25">
      <c r="A11312" s="515">
        <v>71322</v>
      </c>
      <c r="C11312" s="52">
        <v>77141.337479101305</v>
      </c>
      <c r="D11312" s="56">
        <v>7.8860164028859467E-2</v>
      </c>
      <c r="E11312" s="224" t="s">
        <v>2</v>
      </c>
      <c r="F11312" s="515" t="s">
        <v>12505</v>
      </c>
      <c r="G11312" s="52">
        <v>119369.82267623099</v>
      </c>
      <c r="H11312" s="56">
        <v>0.21414123710494046</v>
      </c>
      <c r="I11312" s="224" t="s">
        <v>2</v>
      </c>
    </row>
    <row r="11313" spans="1:9" x14ac:dyDescent="0.25">
      <c r="A11313" s="515">
        <v>48808</v>
      </c>
      <c r="B11313" s="515" t="s">
        <v>528</v>
      </c>
      <c r="C11313" s="52">
        <v>258058.262306366</v>
      </c>
      <c r="D11313" s="56">
        <v>4.648625903168916E-2</v>
      </c>
      <c r="E11313" s="224" t="s">
        <v>2</v>
      </c>
      <c r="F11313" s="515" t="s">
        <v>12506</v>
      </c>
      <c r="G11313" s="52">
        <v>196107.477890565</v>
      </c>
      <c r="H11313" s="56">
        <v>6.0138928256789195E-2</v>
      </c>
      <c r="I11313" s="224" t="s">
        <v>2</v>
      </c>
    </row>
    <row r="11314" spans="1:9" x14ac:dyDescent="0.25">
      <c r="A11314" s="515">
        <v>75840</v>
      </c>
      <c r="C11314" s="52">
        <v>183140.79042728699</v>
      </c>
      <c r="D11314" s="56">
        <v>5.7176525020403164E-2</v>
      </c>
      <c r="E11314" s="224" t="s">
        <v>2</v>
      </c>
      <c r="F11314" s="515" t="s">
        <v>12507</v>
      </c>
      <c r="G11314" s="52">
        <v>239239.58255461499</v>
      </c>
      <c r="H11314" s="56">
        <v>5.9598409548065827E-2</v>
      </c>
      <c r="I11314" s="224" t="s">
        <v>2</v>
      </c>
    </row>
    <row r="11315" spans="1:9" x14ac:dyDescent="0.25">
      <c r="A11315" s="515">
        <v>35147</v>
      </c>
      <c r="B11315" s="515" t="s">
        <v>640</v>
      </c>
      <c r="C11315" s="52">
        <v>289007.01434319199</v>
      </c>
      <c r="D11315" s="56">
        <v>9.0574979906088732E-2</v>
      </c>
      <c r="E11315" s="224" t="s">
        <v>2</v>
      </c>
      <c r="F11315" s="515" t="s">
        <v>12508</v>
      </c>
      <c r="G11315" s="52">
        <v>882572.40038030199</v>
      </c>
      <c r="H11315" s="56">
        <v>2.8178643609998171E-3</v>
      </c>
      <c r="I11315" s="224" t="s">
        <v>2</v>
      </c>
    </row>
    <row r="11316" spans="1:9" x14ac:dyDescent="0.25">
      <c r="A11316" s="515">
        <v>30525</v>
      </c>
      <c r="C11316" s="52">
        <v>324151.06144066702</v>
      </c>
      <c r="D11316" s="56">
        <v>9.9748649488804506E-2</v>
      </c>
      <c r="E11316" s="224" t="s">
        <v>2</v>
      </c>
      <c r="F11316" s="515" t="s">
        <v>12509</v>
      </c>
      <c r="G11316" s="52">
        <v>222670.361076298</v>
      </c>
      <c r="H11316" s="56">
        <v>0.1725618285319421</v>
      </c>
      <c r="I11316" s="224" t="s">
        <v>2</v>
      </c>
    </row>
    <row r="11317" spans="1:9" x14ac:dyDescent="0.25">
      <c r="A11317" s="515">
        <v>12803</v>
      </c>
      <c r="B11317" s="515" t="s">
        <v>609</v>
      </c>
      <c r="C11317" s="52">
        <v>245435.89316233099</v>
      </c>
      <c r="D11317" s="56">
        <v>8.467406462010485E-2</v>
      </c>
      <c r="E11317" s="224" t="s">
        <v>2</v>
      </c>
      <c r="F11317" s="515" t="s">
        <v>12510</v>
      </c>
      <c r="G11317" s="52">
        <v>217500.12072574001</v>
      </c>
      <c r="H11317" s="56">
        <v>5.1377478088944592E-2</v>
      </c>
      <c r="I11317" s="224" t="s">
        <v>2</v>
      </c>
    </row>
    <row r="11318" spans="1:9" x14ac:dyDescent="0.25">
      <c r="A11318" s="515">
        <v>79510</v>
      </c>
      <c r="B11318" s="515" t="s">
        <v>704</v>
      </c>
      <c r="C11318" s="52">
        <v>159706.60341122499</v>
      </c>
      <c r="D11318" s="56">
        <v>-6.6683411650403559E-3</v>
      </c>
      <c r="E11318" s="224" t="s">
        <v>2</v>
      </c>
      <c r="F11318" s="515" t="s">
        <v>12511</v>
      </c>
      <c r="G11318" s="52">
        <v>447634.01739275298</v>
      </c>
      <c r="H11318" s="56">
        <v>4.0107822632343554E-2</v>
      </c>
      <c r="I11318" s="224" t="s">
        <v>2</v>
      </c>
    </row>
    <row r="11319" spans="1:9" x14ac:dyDescent="0.25">
      <c r="A11319" s="515">
        <v>24557</v>
      </c>
      <c r="B11319" s="515" t="s">
        <v>901</v>
      </c>
      <c r="C11319" s="52">
        <v>138318.84235545201</v>
      </c>
      <c r="D11319" s="56">
        <v>0.15404314333151151</v>
      </c>
      <c r="E11319" s="224" t="s">
        <v>2</v>
      </c>
      <c r="F11319" s="515" t="s">
        <v>12512</v>
      </c>
      <c r="G11319" s="52">
        <v>968774.21711218799</v>
      </c>
      <c r="H11319" s="56">
        <v>0.10749178081122676</v>
      </c>
      <c r="I11319" s="224" t="s">
        <v>2</v>
      </c>
    </row>
    <row r="11320" spans="1:9" x14ac:dyDescent="0.25">
      <c r="A11320" s="515">
        <v>35953</v>
      </c>
      <c r="B11320" s="515" t="s">
        <v>640</v>
      </c>
      <c r="C11320" s="52">
        <v>224624.70904746</v>
      </c>
      <c r="D11320" s="56">
        <v>6.3620071004259343E-2</v>
      </c>
      <c r="E11320" s="224" t="s">
        <v>2</v>
      </c>
      <c r="F11320" s="515" t="s">
        <v>12513</v>
      </c>
      <c r="G11320" s="52">
        <v>162022.613428974</v>
      </c>
      <c r="H11320" s="56">
        <v>0.14334374730331018</v>
      </c>
      <c r="I11320" s="224" t="s">
        <v>2</v>
      </c>
    </row>
    <row r="11321" spans="1:9" x14ac:dyDescent="0.25">
      <c r="A11321" s="515">
        <v>21131</v>
      </c>
      <c r="B11321" s="515" t="s">
        <v>582</v>
      </c>
      <c r="C11321" s="52">
        <v>639529.156146458</v>
      </c>
      <c r="D11321" s="56">
        <v>5.6755080883860935E-2</v>
      </c>
      <c r="E11321" s="224" t="s">
        <v>2</v>
      </c>
      <c r="F11321" s="515" t="s">
        <v>12514</v>
      </c>
      <c r="G11321" s="52">
        <v>381185.09342877701</v>
      </c>
      <c r="H11321" s="56">
        <v>0.12486379399126189</v>
      </c>
      <c r="I11321" s="224" t="s">
        <v>2</v>
      </c>
    </row>
    <row r="11322" spans="1:9" x14ac:dyDescent="0.25">
      <c r="A11322" s="515">
        <v>12983</v>
      </c>
      <c r="B11322" s="515" t="s">
        <v>706</v>
      </c>
      <c r="C11322" s="52">
        <v>291078.79236740898</v>
      </c>
      <c r="D11322" s="56">
        <v>0.12798069752723809</v>
      </c>
      <c r="E11322" s="224" t="s">
        <v>2</v>
      </c>
      <c r="F11322" s="515" t="s">
        <v>12515</v>
      </c>
      <c r="G11322" s="52">
        <v>212823.67012190301</v>
      </c>
      <c r="H11322" s="56">
        <v>8.4888125046311172E-2</v>
      </c>
      <c r="I11322" s="224" t="s">
        <v>2</v>
      </c>
    </row>
    <row r="11323" spans="1:9" x14ac:dyDescent="0.25">
      <c r="A11323" s="515">
        <v>72855</v>
      </c>
      <c r="C11323" s="52">
        <v>115052.074419561</v>
      </c>
      <c r="D11323" s="56">
        <v>2.1027880751111946E-2</v>
      </c>
      <c r="E11323" s="224" t="s">
        <v>2</v>
      </c>
      <c r="F11323" s="515" t="s">
        <v>12516</v>
      </c>
      <c r="G11323" s="52">
        <v>80800.216079416496</v>
      </c>
      <c r="H11323" s="56">
        <v>-4.1079674806398882E-2</v>
      </c>
      <c r="I11323" s="224" t="s">
        <v>2</v>
      </c>
    </row>
    <row r="11324" spans="1:9" x14ac:dyDescent="0.25">
      <c r="A11324" s="515">
        <v>27817</v>
      </c>
      <c r="B11324" s="515" t="s">
        <v>768</v>
      </c>
      <c r="C11324" s="52">
        <v>304478.07465152</v>
      </c>
      <c r="D11324" s="56">
        <v>0.14377190668113363</v>
      </c>
      <c r="E11324" s="224" t="s">
        <v>2</v>
      </c>
      <c r="F11324" s="515" t="s">
        <v>12517</v>
      </c>
      <c r="G11324" s="52">
        <v>174781.04569377401</v>
      </c>
      <c r="H11324" s="56">
        <v>-2.5645053371625731E-2</v>
      </c>
      <c r="I11324" s="224" t="s">
        <v>2</v>
      </c>
    </row>
    <row r="11325" spans="1:9" x14ac:dyDescent="0.25">
      <c r="A11325" s="515">
        <v>61953</v>
      </c>
      <c r="C11325" s="52">
        <v>148128.49590102301</v>
      </c>
      <c r="D11325" s="56">
        <v>6.1154050788355632E-2</v>
      </c>
      <c r="E11325" s="224" t="s">
        <v>2</v>
      </c>
      <c r="F11325" s="515" t="s">
        <v>12518</v>
      </c>
      <c r="G11325" s="52">
        <v>138518.35683257101</v>
      </c>
      <c r="H11325" s="56">
        <v>8.7705981186615864E-2</v>
      </c>
      <c r="I11325" s="224" t="s">
        <v>2</v>
      </c>
    </row>
    <row r="11326" spans="1:9" x14ac:dyDescent="0.25">
      <c r="A11326" s="515">
        <v>78226</v>
      </c>
      <c r="B11326" s="515" t="s">
        <v>717</v>
      </c>
      <c r="C11326" s="52">
        <v>149768.44294035199</v>
      </c>
      <c r="D11326" s="56">
        <v>0.15826487931730887</v>
      </c>
      <c r="E11326" s="224" t="s">
        <v>2</v>
      </c>
      <c r="F11326" s="515" t="s">
        <v>12519</v>
      </c>
      <c r="G11326" s="52">
        <v>194118.63756461799</v>
      </c>
      <c r="H11326" s="56">
        <v>0.17506074820921147</v>
      </c>
      <c r="I11326" s="224" t="s">
        <v>2</v>
      </c>
    </row>
    <row r="11327" spans="1:9" x14ac:dyDescent="0.25">
      <c r="A11327" s="515">
        <v>37185</v>
      </c>
      <c r="C11327" s="52">
        <v>181107.72138483601</v>
      </c>
      <c r="D11327" s="56">
        <v>2.3363585119697227E-2</v>
      </c>
      <c r="E11327" s="224" t="s">
        <v>2</v>
      </c>
      <c r="F11327" s="515" t="s">
        <v>12520</v>
      </c>
      <c r="G11327" s="52">
        <v>84147.971693565996</v>
      </c>
      <c r="H11327" s="56">
        <v>-3.0555986719243613E-2</v>
      </c>
      <c r="I11327" s="224" t="s">
        <v>2</v>
      </c>
    </row>
    <row r="11328" spans="1:9" x14ac:dyDescent="0.25">
      <c r="A11328" s="515">
        <v>28586</v>
      </c>
      <c r="B11328" s="515" t="s">
        <v>574</v>
      </c>
      <c r="C11328" s="52">
        <v>160295.258128179</v>
      </c>
      <c r="D11328" s="56">
        <v>0.21624979149513252</v>
      </c>
      <c r="E11328" s="224" t="s">
        <v>2</v>
      </c>
      <c r="F11328" s="515" t="s">
        <v>12521</v>
      </c>
      <c r="G11328" s="52">
        <v>296244.49755941302</v>
      </c>
      <c r="H11328" s="56">
        <v>7.287561639420094E-2</v>
      </c>
      <c r="I11328" s="224" t="s">
        <v>2</v>
      </c>
    </row>
    <row r="11329" spans="1:9" x14ac:dyDescent="0.25">
      <c r="A11329" s="515">
        <v>16841</v>
      </c>
      <c r="B11329" s="515" t="s">
        <v>491</v>
      </c>
      <c r="C11329" s="52">
        <v>234427.50179486899</v>
      </c>
      <c r="D11329" s="56">
        <v>6.2271407984121271E-2</v>
      </c>
      <c r="E11329" s="224" t="s">
        <v>2</v>
      </c>
      <c r="F11329" s="515" t="s">
        <v>12522</v>
      </c>
      <c r="G11329" s="52">
        <v>226240.342008081</v>
      </c>
      <c r="H11329" s="56">
        <v>1.621057084941473E-2</v>
      </c>
      <c r="I11329" s="224" t="s">
        <v>2</v>
      </c>
    </row>
    <row r="11330" spans="1:9" x14ac:dyDescent="0.25">
      <c r="A11330" s="515">
        <v>49437</v>
      </c>
      <c r="B11330" s="515" t="s">
        <v>943</v>
      </c>
      <c r="C11330" s="52">
        <v>212613.823617916</v>
      </c>
      <c r="D11330" s="56">
        <v>8.6477400696484324E-2</v>
      </c>
      <c r="E11330" s="224" t="s">
        <v>2</v>
      </c>
      <c r="F11330" s="515" t="s">
        <v>12523</v>
      </c>
      <c r="G11330" s="52">
        <v>135166.31430832701</v>
      </c>
      <c r="H11330" s="56">
        <v>3.8952223857169649E-2</v>
      </c>
      <c r="I11330" s="224" t="s">
        <v>2</v>
      </c>
    </row>
    <row r="11331" spans="1:9" x14ac:dyDescent="0.25">
      <c r="A11331" s="515">
        <v>7092</v>
      </c>
      <c r="B11331" s="515" t="s">
        <v>324</v>
      </c>
      <c r="C11331" s="52">
        <v>759567.64968667203</v>
      </c>
      <c r="D11331" s="56">
        <v>8.8783912885766814E-2</v>
      </c>
      <c r="E11331" s="224" t="s">
        <v>2</v>
      </c>
      <c r="F11331" s="515" t="s">
        <v>12524</v>
      </c>
      <c r="G11331" s="52">
        <v>321052.88231771701</v>
      </c>
      <c r="H11331" s="56">
        <v>7.1570820550142092E-2</v>
      </c>
      <c r="I11331" s="224" t="s">
        <v>2</v>
      </c>
    </row>
    <row r="11332" spans="1:9" x14ac:dyDescent="0.25">
      <c r="A11332" s="515">
        <v>53050</v>
      </c>
      <c r="B11332" s="515" t="s">
        <v>955</v>
      </c>
      <c r="C11332" s="52">
        <v>214781.3322755</v>
      </c>
      <c r="D11332" s="56">
        <v>4.5922902018039898E-2</v>
      </c>
      <c r="E11332" s="224" t="s">
        <v>2</v>
      </c>
      <c r="F11332" s="515" t="s">
        <v>12525</v>
      </c>
      <c r="G11332" s="52">
        <v>802065.93866135099</v>
      </c>
      <c r="H11332" s="56">
        <v>7.1174362878574496E-2</v>
      </c>
      <c r="I11332" s="224" t="s">
        <v>2</v>
      </c>
    </row>
    <row r="11333" spans="1:9" x14ac:dyDescent="0.25">
      <c r="A11333" s="515">
        <v>25276</v>
      </c>
      <c r="C11333" s="52">
        <v>103498.10635617599</v>
      </c>
      <c r="D11333" s="56">
        <v>1.1210130738391038E-2</v>
      </c>
      <c r="E11333" s="224" t="s">
        <v>2</v>
      </c>
      <c r="F11333" s="515" t="s">
        <v>12526</v>
      </c>
      <c r="G11333" s="52">
        <v>930386.55727936502</v>
      </c>
      <c r="H11333" s="56">
        <v>7.2055428131232821E-2</v>
      </c>
      <c r="I11333" s="224" t="s">
        <v>2</v>
      </c>
    </row>
    <row r="11334" spans="1:9" x14ac:dyDescent="0.25">
      <c r="A11334" s="515">
        <v>37380</v>
      </c>
      <c r="B11334" s="515" t="s">
        <v>622</v>
      </c>
      <c r="C11334" s="52">
        <v>173403.563328769</v>
      </c>
      <c r="D11334" s="56">
        <v>0.12365137317977277</v>
      </c>
      <c r="E11334" s="224" t="s">
        <v>2</v>
      </c>
      <c r="F11334" s="515" t="s">
        <v>12527</v>
      </c>
      <c r="G11334" s="52">
        <v>113503.923078425</v>
      </c>
      <c r="H11334" s="56">
        <v>0.10387413491998172</v>
      </c>
      <c r="I11334" s="224" t="s">
        <v>2</v>
      </c>
    </row>
    <row r="11335" spans="1:9" x14ac:dyDescent="0.25">
      <c r="A11335" s="515">
        <v>6354</v>
      </c>
      <c r="B11335" s="515" t="s">
        <v>751</v>
      </c>
      <c r="C11335" s="52">
        <v>279631.99708473799</v>
      </c>
      <c r="D11335" s="56">
        <v>7.354741837213076E-2</v>
      </c>
      <c r="E11335" s="224" t="s">
        <v>2</v>
      </c>
      <c r="F11335" s="515" t="s">
        <v>12528</v>
      </c>
      <c r="G11335" s="52">
        <v>113134.36961132599</v>
      </c>
      <c r="H11335" s="56">
        <v>0.10314292851186967</v>
      </c>
      <c r="I11335" s="224" t="s">
        <v>2</v>
      </c>
    </row>
    <row r="11336" spans="1:9" x14ac:dyDescent="0.25">
      <c r="A11336" s="515">
        <v>35961</v>
      </c>
      <c r="B11336" s="515" t="s">
        <v>979</v>
      </c>
      <c r="C11336" s="52">
        <v>164036.62528516201</v>
      </c>
      <c r="D11336" s="56">
        <v>0.11280752052155861</v>
      </c>
      <c r="E11336" s="224" t="s">
        <v>2</v>
      </c>
      <c r="F11336" s="515" t="s">
        <v>12529</v>
      </c>
      <c r="G11336" s="52">
        <v>149958.60583941601</v>
      </c>
      <c r="H11336" s="56">
        <v>0</v>
      </c>
      <c r="I11336" s="224" t="s">
        <v>2</v>
      </c>
    </row>
    <row r="11337" spans="1:9" x14ac:dyDescent="0.25">
      <c r="A11337" s="515">
        <v>90014</v>
      </c>
      <c r="B11337" s="515" t="s">
        <v>375</v>
      </c>
      <c r="C11337" s="52">
        <v>615579.11780507897</v>
      </c>
      <c r="D11337" s="56">
        <v>0.1012914376833226</v>
      </c>
      <c r="E11337" s="224">
        <v>3051.6792524790199</v>
      </c>
      <c r="F11337" s="515" t="s">
        <v>12530</v>
      </c>
      <c r="G11337" s="52">
        <v>191793.11423929501</v>
      </c>
      <c r="H11337" s="56">
        <v>0.12276677675914931</v>
      </c>
      <c r="I11337" s="224" t="s">
        <v>2</v>
      </c>
    </row>
    <row r="11338" spans="1:9" x14ac:dyDescent="0.25">
      <c r="A11338" s="515">
        <v>2859</v>
      </c>
      <c r="B11338" s="515" t="s">
        <v>513</v>
      </c>
      <c r="C11338" s="52">
        <v>382819.733371059</v>
      </c>
      <c r="D11338" s="56">
        <v>7.7497036637183825E-2</v>
      </c>
      <c r="E11338" s="224" t="s">
        <v>2</v>
      </c>
      <c r="F11338" s="515" t="s">
        <v>12531</v>
      </c>
      <c r="G11338" s="52">
        <v>403929.17785882199</v>
      </c>
      <c r="H11338" s="56">
        <v>9.0814016422926511E-2</v>
      </c>
      <c r="I11338" s="224" t="s">
        <v>2</v>
      </c>
    </row>
    <row r="11339" spans="1:9" x14ac:dyDescent="0.25">
      <c r="A11339" s="515">
        <v>27949</v>
      </c>
      <c r="B11339" s="515" t="s">
        <v>407</v>
      </c>
      <c r="C11339" s="52">
        <v>708839.24909588695</v>
      </c>
      <c r="D11339" s="56">
        <v>0.13177394080643914</v>
      </c>
      <c r="E11339" s="224" t="s">
        <v>2</v>
      </c>
      <c r="F11339" s="515" t="s">
        <v>12532</v>
      </c>
      <c r="G11339" s="52">
        <v>122330.92521913799</v>
      </c>
      <c r="H11339" s="56">
        <v>0.10333212012379021</v>
      </c>
      <c r="I11339" s="224" t="s">
        <v>2</v>
      </c>
    </row>
    <row r="11340" spans="1:9" x14ac:dyDescent="0.25">
      <c r="A11340" s="515">
        <v>36784</v>
      </c>
      <c r="C11340" s="52">
        <v>136201.63128138799</v>
      </c>
      <c r="D11340" s="56">
        <v>-2.5281227742008625E-2</v>
      </c>
      <c r="E11340" s="224" t="s">
        <v>2</v>
      </c>
      <c r="F11340" s="515" t="s">
        <v>12533</v>
      </c>
      <c r="G11340" s="52">
        <v>118011.223598588</v>
      </c>
      <c r="H11340" s="56">
        <v>2.9258139465126815E-2</v>
      </c>
      <c r="I11340" s="224" t="s">
        <v>2</v>
      </c>
    </row>
    <row r="11341" spans="1:9" x14ac:dyDescent="0.25">
      <c r="A11341" s="515">
        <v>66006</v>
      </c>
      <c r="B11341" s="515" t="s">
        <v>1116</v>
      </c>
      <c r="C11341" s="52">
        <v>302406.18702297402</v>
      </c>
      <c r="D11341" s="56">
        <v>7.1714306186403579E-2</v>
      </c>
      <c r="E11341" s="224" t="s">
        <v>2</v>
      </c>
      <c r="F11341" s="515" t="s">
        <v>12534</v>
      </c>
      <c r="G11341" s="52">
        <v>318002.43155774398</v>
      </c>
      <c r="H11341" s="56">
        <v>6.9707695017220406E-2</v>
      </c>
      <c r="I11341" s="224" t="s">
        <v>2</v>
      </c>
    </row>
    <row r="11342" spans="1:9" x14ac:dyDescent="0.25">
      <c r="A11342" s="515">
        <v>6241</v>
      </c>
      <c r="B11342" s="515" t="s">
        <v>751</v>
      </c>
      <c r="C11342" s="52">
        <v>298862.594476456</v>
      </c>
      <c r="D11342" s="56">
        <v>6.9277861027990897E-2</v>
      </c>
      <c r="E11342" s="224" t="s">
        <v>2</v>
      </c>
      <c r="F11342" s="515" t="s">
        <v>12535</v>
      </c>
      <c r="G11342" s="52">
        <v>213163.775805299</v>
      </c>
      <c r="H11342" s="56">
        <v>-2.7449384678866217E-2</v>
      </c>
      <c r="I11342" s="224" t="s">
        <v>2</v>
      </c>
    </row>
    <row r="11343" spans="1:9" x14ac:dyDescent="0.25">
      <c r="A11343" s="515">
        <v>71671</v>
      </c>
      <c r="C11343" s="52">
        <v>78086.520711643607</v>
      </c>
      <c r="D11343" s="56">
        <v>9.5111142762455258E-3</v>
      </c>
      <c r="E11343" s="224" t="s">
        <v>2</v>
      </c>
      <c r="F11343" s="515" t="s">
        <v>12536</v>
      </c>
      <c r="G11343" s="52">
        <v>435616.90511171799</v>
      </c>
      <c r="H11343" s="56">
        <v>5.5061545555686146E-2</v>
      </c>
      <c r="I11343" s="224" t="s">
        <v>2</v>
      </c>
    </row>
    <row r="11344" spans="1:9" x14ac:dyDescent="0.25">
      <c r="A11344" s="515">
        <v>24277</v>
      </c>
      <c r="C11344" s="52">
        <v>67760.962742182601</v>
      </c>
      <c r="D11344" s="56">
        <v>7.2359055053247259E-2</v>
      </c>
      <c r="E11344" s="224" t="s">
        <v>2</v>
      </c>
      <c r="F11344" s="515" t="s">
        <v>12537</v>
      </c>
      <c r="G11344" s="52">
        <v>211674.68948991501</v>
      </c>
      <c r="H11344" s="56">
        <v>6.1634922524724814E-2</v>
      </c>
      <c r="I11344" s="224" t="s">
        <v>2</v>
      </c>
    </row>
    <row r="11345" spans="1:9" x14ac:dyDescent="0.25">
      <c r="A11345" s="515">
        <v>46034</v>
      </c>
      <c r="B11345" s="515" t="s">
        <v>403</v>
      </c>
      <c r="C11345" s="52">
        <v>331101.35032043402</v>
      </c>
      <c r="D11345" s="56">
        <v>8.2009849943765631E-2</v>
      </c>
      <c r="E11345" s="224" t="s">
        <v>2</v>
      </c>
      <c r="F11345" s="515" t="s">
        <v>12538</v>
      </c>
      <c r="G11345" s="52">
        <v>589331.65523209004</v>
      </c>
      <c r="H11345" s="56">
        <v>0.12696585495478985</v>
      </c>
      <c r="I11345" s="224" t="s">
        <v>2</v>
      </c>
    </row>
    <row r="11346" spans="1:9" x14ac:dyDescent="0.25">
      <c r="A11346" s="515">
        <v>46409</v>
      </c>
      <c r="B11346" s="515" t="s">
        <v>394</v>
      </c>
      <c r="C11346" s="52">
        <v>66425.630445578805</v>
      </c>
      <c r="D11346" s="56">
        <v>0.30222676414598842</v>
      </c>
      <c r="E11346" s="224" t="s">
        <v>2</v>
      </c>
      <c r="F11346" s="515" t="s">
        <v>12539</v>
      </c>
      <c r="G11346" s="52">
        <v>328510.57625703397</v>
      </c>
      <c r="H11346" s="56">
        <v>8.1098422388543728E-2</v>
      </c>
      <c r="I11346" s="224" t="s">
        <v>2</v>
      </c>
    </row>
    <row r="11347" spans="1:9" x14ac:dyDescent="0.25">
      <c r="A11347" s="515">
        <v>93591</v>
      </c>
      <c r="B11347" s="515" t="s">
        <v>375</v>
      </c>
      <c r="C11347" s="52">
        <v>346080.78057054098</v>
      </c>
      <c r="D11347" s="56">
        <v>3.566458025485536E-2</v>
      </c>
      <c r="E11347" s="224" t="s">
        <v>2</v>
      </c>
      <c r="F11347" s="515" t="s">
        <v>12540</v>
      </c>
      <c r="G11347" s="52">
        <v>543170.10962754395</v>
      </c>
      <c r="H11347" s="56">
        <v>0.16987627826174109</v>
      </c>
      <c r="I11347" s="224" t="s">
        <v>2</v>
      </c>
    </row>
    <row r="11348" spans="1:9" x14ac:dyDescent="0.25">
      <c r="A11348" s="515">
        <v>44730</v>
      </c>
      <c r="B11348" s="515" t="s">
        <v>863</v>
      </c>
      <c r="C11348" s="52">
        <v>161317.12428665199</v>
      </c>
      <c r="D11348" s="56">
        <v>6.9664684529552462E-2</v>
      </c>
      <c r="E11348" s="224" t="s">
        <v>2</v>
      </c>
      <c r="F11348" s="515" t="s">
        <v>12541</v>
      </c>
      <c r="G11348" s="52">
        <v>143217.20136329299</v>
      </c>
      <c r="H11348" s="56">
        <v>-2.1717161477809404E-3</v>
      </c>
      <c r="I11348" s="224" t="s">
        <v>2</v>
      </c>
    </row>
    <row r="11349" spans="1:9" x14ac:dyDescent="0.25">
      <c r="A11349" s="515">
        <v>15145</v>
      </c>
      <c r="B11349" s="515" t="s">
        <v>297</v>
      </c>
      <c r="C11349" s="52">
        <v>92703.093421040801</v>
      </c>
      <c r="D11349" s="56">
        <v>6.7514704142279863E-2</v>
      </c>
      <c r="E11349" s="224" t="s">
        <v>2</v>
      </c>
      <c r="F11349" s="515" t="s">
        <v>12542</v>
      </c>
      <c r="G11349" s="52">
        <v>109471.477531749</v>
      </c>
      <c r="H11349" s="56">
        <v>7.9620866833264123E-2</v>
      </c>
      <c r="I11349" s="224" t="s">
        <v>2</v>
      </c>
    </row>
    <row r="11350" spans="1:9" x14ac:dyDescent="0.25">
      <c r="A11350" s="515">
        <v>80102</v>
      </c>
      <c r="B11350" s="515" t="s">
        <v>401</v>
      </c>
      <c r="C11350" s="52">
        <v>565468.58240656799</v>
      </c>
      <c r="D11350" s="56">
        <v>4.0825650110104653E-2</v>
      </c>
      <c r="E11350" s="224" t="s">
        <v>2</v>
      </c>
      <c r="F11350" s="515" t="s">
        <v>12543</v>
      </c>
      <c r="G11350" s="52">
        <v>106967.63044296901</v>
      </c>
      <c r="H11350" s="56">
        <v>-3.9552638981099487E-2</v>
      </c>
      <c r="I11350" s="224" t="s">
        <v>2</v>
      </c>
    </row>
    <row r="11351" spans="1:9" x14ac:dyDescent="0.25">
      <c r="A11351" s="515">
        <v>56347</v>
      </c>
      <c r="C11351" s="52">
        <v>206499.02941898201</v>
      </c>
      <c r="D11351" s="56">
        <v>6.726134818680754E-2</v>
      </c>
      <c r="E11351" s="224" t="s">
        <v>2</v>
      </c>
      <c r="F11351" s="515" t="s">
        <v>12544</v>
      </c>
      <c r="G11351" s="52">
        <v>1252499.70491267</v>
      </c>
      <c r="H11351" s="56">
        <v>6.6822936268480057E-2</v>
      </c>
      <c r="I11351" s="224" t="s">
        <v>2</v>
      </c>
    </row>
    <row r="11352" spans="1:9" x14ac:dyDescent="0.25">
      <c r="A11352" s="515">
        <v>37025</v>
      </c>
      <c r="C11352" s="52">
        <v>248276.801129353</v>
      </c>
      <c r="D11352" s="56">
        <v>8.6782629316164567E-2</v>
      </c>
      <c r="E11352" s="224" t="s">
        <v>2</v>
      </c>
      <c r="F11352" s="515" t="s">
        <v>12545</v>
      </c>
      <c r="G11352" s="52">
        <v>154779.31277247699</v>
      </c>
      <c r="H11352" s="56">
        <v>-3.0447758536440946E-2</v>
      </c>
      <c r="I11352" s="224" t="s">
        <v>2</v>
      </c>
    </row>
    <row r="11353" spans="1:9" x14ac:dyDescent="0.25">
      <c r="A11353" s="515">
        <v>19070</v>
      </c>
      <c r="B11353" s="515" t="s">
        <v>294</v>
      </c>
      <c r="C11353" s="52">
        <v>310261.76992456103</v>
      </c>
      <c r="D11353" s="56">
        <v>7.3634500774749104E-2</v>
      </c>
      <c r="E11353" s="224" t="s">
        <v>2</v>
      </c>
      <c r="F11353" s="515" t="s">
        <v>12546</v>
      </c>
      <c r="G11353" s="52">
        <v>143220.64387983599</v>
      </c>
      <c r="H11353" s="56">
        <v>0.14202099953619582</v>
      </c>
      <c r="I11353" s="224" t="s">
        <v>2</v>
      </c>
    </row>
    <row r="11354" spans="1:9" x14ac:dyDescent="0.25">
      <c r="A11354" s="515">
        <v>12198</v>
      </c>
      <c r="B11354" s="515" t="s">
        <v>609</v>
      </c>
      <c r="C11354" s="52">
        <v>271818.22631244198</v>
      </c>
      <c r="D11354" s="56">
        <v>6.1673726345584982E-2</v>
      </c>
      <c r="E11354" s="224" t="s">
        <v>2</v>
      </c>
      <c r="F11354" s="515" t="s">
        <v>12547</v>
      </c>
      <c r="G11354" s="52">
        <v>133461.768300375</v>
      </c>
      <c r="H11354" s="56">
        <v>0.1186134666503398</v>
      </c>
      <c r="I11354" s="224" t="s">
        <v>2</v>
      </c>
    </row>
    <row r="11355" spans="1:9" x14ac:dyDescent="0.25">
      <c r="A11355" s="515">
        <v>10962</v>
      </c>
      <c r="B11355" s="515" t="s">
        <v>324</v>
      </c>
      <c r="C11355" s="52">
        <v>596241.92382685305</v>
      </c>
      <c r="D11355" s="56">
        <v>4.3039309519681955E-2</v>
      </c>
      <c r="E11355" s="224" t="s">
        <v>2</v>
      </c>
      <c r="F11355" s="515" t="s">
        <v>12548</v>
      </c>
      <c r="G11355" s="52">
        <v>297016.41664013802</v>
      </c>
      <c r="H11355" s="56">
        <v>0.10336321206187553</v>
      </c>
      <c r="I11355" s="224" t="s">
        <v>2</v>
      </c>
    </row>
    <row r="11356" spans="1:9" x14ac:dyDescent="0.25">
      <c r="A11356" s="515">
        <v>17857</v>
      </c>
      <c r="B11356" s="515" t="s">
        <v>939</v>
      </c>
      <c r="C11356" s="52">
        <v>173511.87234882099</v>
      </c>
      <c r="D11356" s="56">
        <v>5.2766183240000833E-2</v>
      </c>
      <c r="E11356" s="224" t="s">
        <v>2</v>
      </c>
      <c r="F11356" s="515" t="s">
        <v>12549</v>
      </c>
      <c r="G11356" s="52">
        <v>258125.63469360501</v>
      </c>
      <c r="H11356" s="56">
        <v>0.149815752842345</v>
      </c>
      <c r="I11356" s="224" t="s">
        <v>2</v>
      </c>
    </row>
    <row r="11357" spans="1:9" x14ac:dyDescent="0.25">
      <c r="A11357" s="515">
        <v>38858</v>
      </c>
      <c r="B11357" s="515" t="s">
        <v>1010</v>
      </c>
      <c r="C11357" s="52">
        <v>117296.62981003401</v>
      </c>
      <c r="D11357" s="56">
        <v>-5.5348295131856677E-2</v>
      </c>
      <c r="E11357" s="224" t="s">
        <v>2</v>
      </c>
      <c r="F11357" s="515" t="s">
        <v>12550</v>
      </c>
      <c r="G11357" s="52">
        <v>143934.696776892</v>
      </c>
      <c r="H11357" s="56">
        <v>6.8602930797875564E-2</v>
      </c>
      <c r="I11357" s="224" t="s">
        <v>2</v>
      </c>
    </row>
    <row r="11358" spans="1:9" x14ac:dyDescent="0.25">
      <c r="A11358" s="515">
        <v>3868</v>
      </c>
      <c r="B11358" s="515" t="s">
        <v>534</v>
      </c>
      <c r="C11358" s="52">
        <v>323226.39569990698</v>
      </c>
      <c r="D11358" s="56">
        <v>0.10999370268441476</v>
      </c>
      <c r="E11358" s="224" t="s">
        <v>2</v>
      </c>
      <c r="F11358" s="515" t="s">
        <v>12551</v>
      </c>
      <c r="G11358" s="52">
        <v>347088.11923558603</v>
      </c>
      <c r="H11358" s="56">
        <v>8.3029666948927411E-2</v>
      </c>
      <c r="I11358" s="224" t="s">
        <v>2</v>
      </c>
    </row>
    <row r="11359" spans="1:9" x14ac:dyDescent="0.25">
      <c r="A11359" s="515">
        <v>92276</v>
      </c>
      <c r="B11359" s="515" t="s">
        <v>599</v>
      </c>
      <c r="C11359" s="52">
        <v>346807.25411485799</v>
      </c>
      <c r="D11359" s="56">
        <v>4.300073503605352E-2</v>
      </c>
      <c r="E11359" s="224" t="s">
        <v>2</v>
      </c>
      <c r="F11359" s="515" t="s">
        <v>12552</v>
      </c>
      <c r="G11359" s="52">
        <v>637286.91542419302</v>
      </c>
      <c r="H11359" s="56">
        <v>8.7839536755838832E-2</v>
      </c>
      <c r="I11359" s="224" t="s">
        <v>2</v>
      </c>
    </row>
    <row r="11360" spans="1:9" x14ac:dyDescent="0.25">
      <c r="A11360" s="515">
        <v>48872</v>
      </c>
      <c r="B11360" s="515" t="s">
        <v>528</v>
      </c>
      <c r="C11360" s="52">
        <v>209150.87788108099</v>
      </c>
      <c r="D11360" s="56">
        <v>2.7844674931140654E-2</v>
      </c>
      <c r="E11360" s="224" t="s">
        <v>2</v>
      </c>
      <c r="F11360" s="515" t="s">
        <v>12553</v>
      </c>
      <c r="G11360" s="52">
        <v>266219.82245761901</v>
      </c>
      <c r="H11360" s="56">
        <v>0.1282418967663515</v>
      </c>
      <c r="I11360" s="224" t="s">
        <v>2</v>
      </c>
    </row>
    <row r="11361" spans="1:9" x14ac:dyDescent="0.25">
      <c r="A11361" s="515">
        <v>56367</v>
      </c>
      <c r="B11361" s="515" t="s">
        <v>418</v>
      </c>
      <c r="C11361" s="52">
        <v>297552.29743844899</v>
      </c>
      <c r="D11361" s="56">
        <v>4.9736116018860438E-2</v>
      </c>
      <c r="E11361" s="224" t="s">
        <v>2</v>
      </c>
      <c r="F11361" s="515" t="s">
        <v>12554</v>
      </c>
      <c r="G11361" s="52">
        <v>393630.68575862597</v>
      </c>
      <c r="H11361" s="56">
        <v>6.4476324093425838E-2</v>
      </c>
      <c r="I11361" s="224" t="s">
        <v>2</v>
      </c>
    </row>
    <row r="11362" spans="1:9" x14ac:dyDescent="0.25">
      <c r="A11362" s="515">
        <v>80723</v>
      </c>
      <c r="B11362" s="515" t="s">
        <v>510</v>
      </c>
      <c r="C11362" s="52">
        <v>286641.974397182</v>
      </c>
      <c r="D11362" s="56">
        <v>6.1217358349966292E-2</v>
      </c>
      <c r="E11362" s="224" t="s">
        <v>2</v>
      </c>
      <c r="F11362" s="515" t="s">
        <v>12555</v>
      </c>
      <c r="G11362" s="52">
        <v>192569.86329050001</v>
      </c>
      <c r="H11362" s="56">
        <v>7.6377791703218012E-2</v>
      </c>
      <c r="I11362" s="224" t="s">
        <v>2</v>
      </c>
    </row>
    <row r="11363" spans="1:9" x14ac:dyDescent="0.25">
      <c r="A11363" s="515">
        <v>14445</v>
      </c>
      <c r="B11363" s="515" t="s">
        <v>337</v>
      </c>
      <c r="C11363" s="52">
        <v>163521.94873236699</v>
      </c>
      <c r="D11363" s="56">
        <v>8.5158807802905342E-2</v>
      </c>
      <c r="E11363" s="224" t="s">
        <v>2</v>
      </c>
      <c r="F11363" s="515" t="s">
        <v>12556</v>
      </c>
      <c r="G11363" s="52">
        <v>660445.11147060501</v>
      </c>
      <c r="H11363" s="56">
        <v>2.3131609905413537E-2</v>
      </c>
      <c r="I11363" s="224" t="s">
        <v>2</v>
      </c>
    </row>
    <row r="11364" spans="1:9" x14ac:dyDescent="0.25">
      <c r="A11364" s="515">
        <v>28678</v>
      </c>
      <c r="B11364" s="515" t="s">
        <v>638</v>
      </c>
      <c r="C11364" s="52">
        <v>225674.496497546</v>
      </c>
      <c r="D11364" s="56">
        <v>0.11876444188064221</v>
      </c>
      <c r="E11364" s="224" t="s">
        <v>2</v>
      </c>
      <c r="F11364" s="515" t="s">
        <v>12557</v>
      </c>
      <c r="G11364" s="52">
        <v>282751.43949143298</v>
      </c>
      <c r="H11364" s="56">
        <v>2.2364205574810277E-2</v>
      </c>
      <c r="I11364" s="224" t="s">
        <v>2</v>
      </c>
    </row>
    <row r="11365" spans="1:9" x14ac:dyDescent="0.25">
      <c r="A11365" s="515">
        <v>24370</v>
      </c>
      <c r="C11365" s="52">
        <v>95248.412044936602</v>
      </c>
      <c r="D11365" s="56">
        <v>0.13649792435395147</v>
      </c>
      <c r="E11365" s="224" t="s">
        <v>2</v>
      </c>
      <c r="F11365" s="515" t="s">
        <v>12558</v>
      </c>
      <c r="G11365" s="52">
        <v>366628.87156616402</v>
      </c>
      <c r="H11365" s="56">
        <v>7.924641101782072E-2</v>
      </c>
      <c r="I11365" s="224" t="s">
        <v>2</v>
      </c>
    </row>
    <row r="11366" spans="1:9" x14ac:dyDescent="0.25">
      <c r="A11366" s="515">
        <v>14569</v>
      </c>
      <c r="C11366" s="52">
        <v>155657.085892581</v>
      </c>
      <c r="D11366" s="56">
        <v>8.3952352916395689E-2</v>
      </c>
      <c r="E11366" s="224" t="s">
        <v>2</v>
      </c>
      <c r="F11366" s="515" t="s">
        <v>6485</v>
      </c>
      <c r="G11366" s="52">
        <v>192224.90492170001</v>
      </c>
      <c r="H11366" s="56">
        <v>8.6875735099144508E-2</v>
      </c>
      <c r="I11366" s="224">
        <v>933</v>
      </c>
    </row>
    <row r="11367" spans="1:9" x14ac:dyDescent="0.25">
      <c r="A11367" s="515">
        <v>19970</v>
      </c>
      <c r="B11367" s="515" t="s">
        <v>552</v>
      </c>
      <c r="C11367" s="52">
        <v>494262.990784758</v>
      </c>
      <c r="D11367" s="56">
        <v>5.0121778675485458E-2</v>
      </c>
      <c r="E11367" s="224" t="s">
        <v>2</v>
      </c>
      <c r="F11367" s="515" t="s">
        <v>12559</v>
      </c>
      <c r="G11367" s="52">
        <v>547167.42670805205</v>
      </c>
      <c r="H11367" s="56">
        <v>5.4891726078968424E-2</v>
      </c>
      <c r="I11367" s="224" t="s">
        <v>2</v>
      </c>
    </row>
    <row r="11368" spans="1:9" x14ac:dyDescent="0.25">
      <c r="A11368" s="515">
        <v>77465</v>
      </c>
      <c r="B11368" s="515" t="s">
        <v>333</v>
      </c>
      <c r="C11368" s="52">
        <v>157865.404017767</v>
      </c>
      <c r="D11368" s="56">
        <v>8.3452628874960844E-3</v>
      </c>
      <c r="E11368" s="224" t="s">
        <v>2</v>
      </c>
      <c r="F11368" s="515" t="s">
        <v>12560</v>
      </c>
      <c r="G11368" s="52">
        <v>272334.49714858597</v>
      </c>
      <c r="H11368" s="56">
        <v>0.19728573519635456</v>
      </c>
      <c r="I11368" s="224" t="s">
        <v>2</v>
      </c>
    </row>
    <row r="11369" spans="1:9" x14ac:dyDescent="0.25">
      <c r="A11369" s="515">
        <v>95642</v>
      </c>
      <c r="C11369" s="52">
        <v>427031.52727354399</v>
      </c>
      <c r="D11369" s="56">
        <v>7.0216687728140124E-3</v>
      </c>
      <c r="E11369" s="224" t="s">
        <v>2</v>
      </c>
      <c r="F11369" s="515" t="s">
        <v>12561</v>
      </c>
      <c r="G11369" s="52">
        <v>281900.11231666099</v>
      </c>
      <c r="H11369" s="56">
        <v>4.7593762368474388E-2</v>
      </c>
      <c r="I11369" s="224" t="s">
        <v>2</v>
      </c>
    </row>
    <row r="11370" spans="1:9" x14ac:dyDescent="0.25">
      <c r="A11370" s="515">
        <v>62439</v>
      </c>
      <c r="C11370" s="52">
        <v>75973.1255797224</v>
      </c>
      <c r="D11370" s="56">
        <v>4.5741865111599639E-2</v>
      </c>
      <c r="E11370" s="224" t="s">
        <v>2</v>
      </c>
      <c r="F11370" s="515" t="s">
        <v>12562</v>
      </c>
      <c r="G11370" s="52">
        <v>450992.56205078203</v>
      </c>
      <c r="H11370" s="56">
        <v>0.10225507289143509</v>
      </c>
      <c r="I11370" s="224" t="s">
        <v>2</v>
      </c>
    </row>
    <row r="11371" spans="1:9" x14ac:dyDescent="0.25">
      <c r="A11371" s="515">
        <v>35474</v>
      </c>
      <c r="B11371" s="515" t="s">
        <v>841</v>
      </c>
      <c r="C11371" s="52">
        <v>191145.22397324999</v>
      </c>
      <c r="D11371" s="56">
        <v>5.4713858801635359E-2</v>
      </c>
      <c r="E11371" s="224" t="s">
        <v>2</v>
      </c>
      <c r="F11371" s="515" t="s">
        <v>12563</v>
      </c>
      <c r="G11371" s="52">
        <v>54193.652848346603</v>
      </c>
      <c r="H11371" s="56">
        <v>0</v>
      </c>
      <c r="I11371" s="224" t="s">
        <v>2</v>
      </c>
    </row>
    <row r="11372" spans="1:9" x14ac:dyDescent="0.25">
      <c r="A11372" s="515">
        <v>41040</v>
      </c>
      <c r="B11372" s="515" t="s">
        <v>344</v>
      </c>
      <c r="C11372" s="52">
        <v>153103.774984013</v>
      </c>
      <c r="D11372" s="56">
        <v>0.15035463278047073</v>
      </c>
      <c r="E11372" s="224" t="s">
        <v>2</v>
      </c>
      <c r="F11372" s="515" t="s">
        <v>12564</v>
      </c>
      <c r="G11372" s="52">
        <v>199957.25238514601</v>
      </c>
      <c r="H11372" s="56">
        <v>0</v>
      </c>
      <c r="I11372" s="224" t="s">
        <v>2</v>
      </c>
    </row>
    <row r="11373" spans="1:9" x14ac:dyDescent="0.25">
      <c r="A11373" s="515">
        <v>49841</v>
      </c>
      <c r="B11373" s="515" t="s">
        <v>440</v>
      </c>
      <c r="C11373" s="52">
        <v>155918.224641357</v>
      </c>
      <c r="D11373" s="56">
        <v>0.14229428990846968</v>
      </c>
      <c r="E11373" s="224" t="s">
        <v>2</v>
      </c>
      <c r="F11373" s="515" t="s">
        <v>12565</v>
      </c>
      <c r="G11373" s="52">
        <v>161523.47415688101</v>
      </c>
      <c r="H11373" s="56">
        <v>0.21379285091998126</v>
      </c>
      <c r="I11373" s="224" t="s">
        <v>2</v>
      </c>
    </row>
    <row r="11374" spans="1:9" x14ac:dyDescent="0.25">
      <c r="A11374" s="515">
        <v>6335</v>
      </c>
      <c r="B11374" s="515" t="s">
        <v>1091</v>
      </c>
      <c r="C11374" s="52">
        <v>317310.42545585299</v>
      </c>
      <c r="D11374" s="56">
        <v>7.9025295327633499E-2</v>
      </c>
      <c r="E11374" s="224" t="s">
        <v>2</v>
      </c>
      <c r="F11374" s="515" t="s">
        <v>12566</v>
      </c>
      <c r="G11374" s="52">
        <v>138297.98770197999</v>
      </c>
      <c r="H11374" s="56">
        <v>3.9371253097508378E-2</v>
      </c>
      <c r="I11374" s="224" t="s">
        <v>2</v>
      </c>
    </row>
    <row r="11375" spans="1:9" x14ac:dyDescent="0.25">
      <c r="A11375" s="515">
        <v>48848</v>
      </c>
      <c r="B11375" s="515" t="s">
        <v>528</v>
      </c>
      <c r="C11375" s="52">
        <v>243039.97340757199</v>
      </c>
      <c r="D11375" s="56">
        <v>4.4939263693298918E-2</v>
      </c>
      <c r="E11375" s="224" t="s">
        <v>2</v>
      </c>
      <c r="F11375" s="515" t="s">
        <v>12567</v>
      </c>
      <c r="G11375" s="52">
        <v>156502.09146337799</v>
      </c>
      <c r="H11375" s="56">
        <v>7.7951235431789168E-2</v>
      </c>
      <c r="I11375" s="224" t="s">
        <v>2</v>
      </c>
    </row>
    <row r="11376" spans="1:9" x14ac:dyDescent="0.25">
      <c r="A11376" s="515">
        <v>45304</v>
      </c>
      <c r="B11376" s="515" t="s">
        <v>316</v>
      </c>
      <c r="C11376" s="52">
        <v>194723.810148527</v>
      </c>
      <c r="D11376" s="56">
        <v>8.529841402656424E-2</v>
      </c>
      <c r="E11376" s="224" t="s">
        <v>2</v>
      </c>
      <c r="F11376" s="515" t="s">
        <v>12568</v>
      </c>
      <c r="G11376" s="52">
        <v>203700.94727079201</v>
      </c>
      <c r="H11376" s="56">
        <v>9.3333417114005113E-2</v>
      </c>
      <c r="I11376" s="224" t="s">
        <v>2</v>
      </c>
    </row>
    <row r="11377" spans="1:9" x14ac:dyDescent="0.25">
      <c r="A11377" s="515">
        <v>21120</v>
      </c>
      <c r="B11377" s="515" t="s">
        <v>582</v>
      </c>
      <c r="C11377" s="52">
        <v>536983.11128052603</v>
      </c>
      <c r="D11377" s="56">
        <v>2.9632836720631332E-2</v>
      </c>
      <c r="E11377" s="224" t="s">
        <v>2</v>
      </c>
      <c r="F11377" s="515" t="s">
        <v>12569</v>
      </c>
      <c r="G11377" s="52">
        <v>83466.602803448899</v>
      </c>
      <c r="H11377" s="56">
        <v>4.4362769885371543E-2</v>
      </c>
      <c r="I11377" s="224" t="s">
        <v>2</v>
      </c>
    </row>
    <row r="11378" spans="1:9" x14ac:dyDescent="0.25">
      <c r="A11378" s="515">
        <v>79411</v>
      </c>
      <c r="B11378" s="515" t="s">
        <v>354</v>
      </c>
      <c r="C11378" s="52">
        <v>110194.40424458501</v>
      </c>
      <c r="D11378" s="56">
        <v>0.13931479430489402</v>
      </c>
      <c r="E11378" s="224">
        <v>1040.2777777777701</v>
      </c>
      <c r="F11378" s="515" t="s">
        <v>12570</v>
      </c>
      <c r="G11378" s="52">
        <v>162935.63237831401</v>
      </c>
      <c r="H11378" s="56">
        <v>2.7068652169166835E-2</v>
      </c>
      <c r="I11378" s="224" t="s">
        <v>2</v>
      </c>
    </row>
    <row r="11379" spans="1:9" x14ac:dyDescent="0.25">
      <c r="A11379" s="515">
        <v>70084</v>
      </c>
      <c r="B11379" s="515" t="s">
        <v>777</v>
      </c>
      <c r="C11379" s="52">
        <v>130400.315259699</v>
      </c>
      <c r="D11379" s="56">
        <v>5.6064617687142264E-2</v>
      </c>
      <c r="E11379" s="224" t="s">
        <v>2</v>
      </c>
      <c r="F11379" s="515" t="s">
        <v>12571</v>
      </c>
      <c r="G11379" s="52">
        <v>127207.52559526901</v>
      </c>
      <c r="H11379" s="56">
        <v>8.1902279800370958E-2</v>
      </c>
      <c r="I11379" s="224" t="s">
        <v>2</v>
      </c>
    </row>
    <row r="11380" spans="1:9" x14ac:dyDescent="0.25">
      <c r="A11380" s="515">
        <v>64058</v>
      </c>
      <c r="B11380" s="515" t="s">
        <v>455</v>
      </c>
      <c r="C11380" s="52">
        <v>221957.17661031199</v>
      </c>
      <c r="D11380" s="56">
        <v>9.3853666781216094E-2</v>
      </c>
      <c r="E11380" s="224" t="s">
        <v>2</v>
      </c>
      <c r="F11380" s="515" t="s">
        <v>12572</v>
      </c>
      <c r="G11380" s="52">
        <v>102493.066920497</v>
      </c>
      <c r="H11380" s="56">
        <v>8.2574864619707658E-2</v>
      </c>
      <c r="I11380" s="224" t="s">
        <v>2</v>
      </c>
    </row>
    <row r="11381" spans="1:9" x14ac:dyDescent="0.25">
      <c r="A11381" s="515">
        <v>50511</v>
      </c>
      <c r="C11381" s="52">
        <v>155162.85430652599</v>
      </c>
      <c r="D11381" s="56">
        <v>8.4754965511921479E-2</v>
      </c>
      <c r="E11381" s="224" t="s">
        <v>2</v>
      </c>
      <c r="F11381" s="515" t="s">
        <v>12573</v>
      </c>
      <c r="G11381" s="52">
        <v>245651.60747360901</v>
      </c>
      <c r="H11381" s="56">
        <v>0.1025155060162883</v>
      </c>
      <c r="I11381" s="224" t="s">
        <v>2</v>
      </c>
    </row>
    <row r="11382" spans="1:9" x14ac:dyDescent="0.25">
      <c r="A11382" s="515">
        <v>44303</v>
      </c>
      <c r="B11382" s="515" t="s">
        <v>1000</v>
      </c>
      <c r="C11382" s="52">
        <v>208761.48107901899</v>
      </c>
      <c r="D11382" s="56">
        <v>6.2957873131804162E-2</v>
      </c>
      <c r="E11382" s="224">
        <v>869</v>
      </c>
      <c r="F11382" s="515" t="s">
        <v>12574</v>
      </c>
      <c r="G11382" s="52">
        <v>182302.730831856</v>
      </c>
      <c r="H11382" s="56">
        <v>0.13812827966174962</v>
      </c>
      <c r="I11382" s="224" t="s">
        <v>2</v>
      </c>
    </row>
    <row r="11383" spans="1:9" x14ac:dyDescent="0.25">
      <c r="A11383" s="515">
        <v>56329</v>
      </c>
      <c r="B11383" s="515" t="s">
        <v>418</v>
      </c>
      <c r="C11383" s="52">
        <v>279017.45308568398</v>
      </c>
      <c r="D11383" s="56">
        <v>8.7468837776219083E-2</v>
      </c>
      <c r="E11383" s="224" t="s">
        <v>2</v>
      </c>
      <c r="F11383" s="515" t="s">
        <v>12575</v>
      </c>
      <c r="G11383" s="52">
        <v>87688.078161823796</v>
      </c>
      <c r="H11383" s="56">
        <v>9.4040784214323936E-2</v>
      </c>
      <c r="I11383" s="224" t="s">
        <v>2</v>
      </c>
    </row>
    <row r="11384" spans="1:9" x14ac:dyDescent="0.25">
      <c r="A11384" s="515">
        <v>74352</v>
      </c>
      <c r="C11384" s="52">
        <v>159519.06965583601</v>
      </c>
      <c r="D11384" s="56">
        <v>3.947920358080452E-2</v>
      </c>
      <c r="E11384" s="224" t="s">
        <v>2</v>
      </c>
      <c r="F11384" s="515" t="s">
        <v>12576</v>
      </c>
      <c r="G11384" s="52">
        <v>235257.609772847</v>
      </c>
      <c r="H11384" s="56">
        <v>9.5717201059662693E-2</v>
      </c>
      <c r="I11384" s="224" t="s">
        <v>2</v>
      </c>
    </row>
    <row r="11385" spans="1:9" x14ac:dyDescent="0.25">
      <c r="A11385" s="515">
        <v>81647</v>
      </c>
      <c r="B11385" s="515" t="s">
        <v>725</v>
      </c>
      <c r="C11385" s="52">
        <v>536490.88402501994</v>
      </c>
      <c r="D11385" s="56">
        <v>0.10694896479515022</v>
      </c>
      <c r="E11385" s="224" t="s">
        <v>2</v>
      </c>
      <c r="F11385" s="515" t="s">
        <v>12577</v>
      </c>
      <c r="G11385" s="52">
        <v>72516.589300758598</v>
      </c>
      <c r="H11385" s="56">
        <v>6.780196911530692E-2</v>
      </c>
      <c r="I11385" s="224" t="s">
        <v>2</v>
      </c>
    </row>
    <row r="11386" spans="1:9" x14ac:dyDescent="0.25">
      <c r="A11386" s="515">
        <v>86046</v>
      </c>
      <c r="B11386" s="515" t="s">
        <v>600</v>
      </c>
      <c r="C11386" s="52">
        <v>387239.65239580499</v>
      </c>
      <c r="D11386" s="56">
        <v>4.5785264458063947E-2</v>
      </c>
      <c r="E11386" s="224" t="s">
        <v>2</v>
      </c>
      <c r="F11386" s="515" t="s">
        <v>12578</v>
      </c>
      <c r="G11386" s="52">
        <v>141002.34810535499</v>
      </c>
      <c r="H11386" s="56">
        <v>7.5317806349978353E-2</v>
      </c>
      <c r="I11386" s="224" t="s">
        <v>2</v>
      </c>
    </row>
    <row r="11387" spans="1:9" x14ac:dyDescent="0.25">
      <c r="A11387" s="515">
        <v>40162</v>
      </c>
      <c r="B11387" s="515" t="s">
        <v>671</v>
      </c>
      <c r="C11387" s="52">
        <v>230757.25888099</v>
      </c>
      <c r="D11387" s="56">
        <v>9.8576197583044131E-2</v>
      </c>
      <c r="E11387" s="224" t="s">
        <v>2</v>
      </c>
      <c r="F11387" s="515" t="s">
        <v>12579</v>
      </c>
      <c r="G11387" s="52">
        <v>317462.94452932</v>
      </c>
      <c r="H11387" s="56">
        <v>2.0592544941667682E-2</v>
      </c>
      <c r="I11387" s="224" t="s">
        <v>2</v>
      </c>
    </row>
    <row r="11388" spans="1:9" x14ac:dyDescent="0.25">
      <c r="A11388" s="515">
        <v>19095</v>
      </c>
      <c r="B11388" s="515" t="s">
        <v>294</v>
      </c>
      <c r="C11388" s="52">
        <v>383938.280706077</v>
      </c>
      <c r="D11388" s="56">
        <v>7.794529434114543E-2</v>
      </c>
      <c r="E11388" s="224">
        <v>2002.5</v>
      </c>
      <c r="F11388" s="515" t="s">
        <v>12580</v>
      </c>
      <c r="G11388" s="52">
        <v>207786.78666998699</v>
      </c>
      <c r="H11388" s="56">
        <v>7.2923875174384853E-2</v>
      </c>
      <c r="I11388" s="224" t="s">
        <v>2</v>
      </c>
    </row>
    <row r="11389" spans="1:9" x14ac:dyDescent="0.25">
      <c r="A11389" s="515">
        <v>75161</v>
      </c>
      <c r="B11389" s="515" t="s">
        <v>458</v>
      </c>
      <c r="C11389" s="52">
        <v>317138.95947907103</v>
      </c>
      <c r="D11389" s="56">
        <v>6.5713090915128364E-2</v>
      </c>
      <c r="E11389" s="224" t="s">
        <v>2</v>
      </c>
      <c r="F11389" s="515" t="s">
        <v>12581</v>
      </c>
      <c r="G11389" s="52">
        <v>904710.05149179103</v>
      </c>
      <c r="H11389" s="56">
        <v>5.2904076729734441E-2</v>
      </c>
      <c r="I11389" s="224" t="s">
        <v>2</v>
      </c>
    </row>
    <row r="11390" spans="1:9" x14ac:dyDescent="0.25">
      <c r="A11390" s="515">
        <v>21904</v>
      </c>
      <c r="B11390" s="515" t="s">
        <v>294</v>
      </c>
      <c r="C11390" s="52">
        <v>335538.32532043301</v>
      </c>
      <c r="D11390" s="56">
        <v>2.3330542067379258E-2</v>
      </c>
      <c r="E11390" s="224" t="s">
        <v>2</v>
      </c>
      <c r="F11390" s="515" t="s">
        <v>12582</v>
      </c>
      <c r="G11390" s="52">
        <v>393648.08603995497</v>
      </c>
      <c r="H11390" s="56">
        <v>7.5379625882285528E-2</v>
      </c>
      <c r="I11390" s="224" t="s">
        <v>2</v>
      </c>
    </row>
    <row r="11391" spans="1:9" x14ac:dyDescent="0.25">
      <c r="A11391" s="515">
        <v>3249</v>
      </c>
      <c r="B11391" s="515" t="s">
        <v>1006</v>
      </c>
      <c r="C11391" s="52">
        <v>452042.52690259903</v>
      </c>
      <c r="D11391" s="56">
        <v>9.84376939452168E-2</v>
      </c>
      <c r="E11391" s="224" t="s">
        <v>2</v>
      </c>
      <c r="F11391" s="515" t="s">
        <v>12583</v>
      </c>
      <c r="G11391" s="52">
        <v>228429.90444935099</v>
      </c>
      <c r="H11391" s="56">
        <v>6.6555776082512758E-2</v>
      </c>
      <c r="I11391" s="224" t="s">
        <v>2</v>
      </c>
    </row>
    <row r="11392" spans="1:9" x14ac:dyDescent="0.25">
      <c r="A11392" s="515">
        <v>46783</v>
      </c>
      <c r="B11392" s="515" t="s">
        <v>1144</v>
      </c>
      <c r="C11392" s="52">
        <v>299509.63048173802</v>
      </c>
      <c r="D11392" s="56">
        <v>7.2249813138626703E-2</v>
      </c>
      <c r="E11392" s="224" t="s">
        <v>2</v>
      </c>
      <c r="F11392" s="515" t="s">
        <v>12584</v>
      </c>
      <c r="G11392" s="52">
        <v>190726.83540374</v>
      </c>
      <c r="H11392" s="56">
        <v>0.15804659657960571</v>
      </c>
      <c r="I11392" s="224" t="s">
        <v>2</v>
      </c>
    </row>
    <row r="11393" spans="1:9" x14ac:dyDescent="0.25">
      <c r="A11393" s="515">
        <v>49712</v>
      </c>
      <c r="C11393" s="52">
        <v>312755.908768241</v>
      </c>
      <c r="D11393" s="56">
        <v>8.1743941031963807E-2</v>
      </c>
      <c r="E11393" s="224" t="s">
        <v>2</v>
      </c>
      <c r="F11393" s="515" t="s">
        <v>12585</v>
      </c>
      <c r="G11393" s="52">
        <v>157615.75126099499</v>
      </c>
      <c r="H11393" s="56">
        <v>0.13365511519175824</v>
      </c>
      <c r="I11393" s="224" t="s">
        <v>2</v>
      </c>
    </row>
    <row r="11394" spans="1:9" x14ac:dyDescent="0.25">
      <c r="A11394" s="515">
        <v>8734</v>
      </c>
      <c r="B11394" s="515" t="s">
        <v>324</v>
      </c>
      <c r="C11394" s="52">
        <v>462448.081605263</v>
      </c>
      <c r="D11394" s="56">
        <v>8.2919093606651742E-2</v>
      </c>
      <c r="E11394" s="224" t="s">
        <v>2</v>
      </c>
      <c r="F11394" s="515" t="s">
        <v>12586</v>
      </c>
      <c r="G11394" s="52">
        <v>191766.27934315201</v>
      </c>
      <c r="H11394" s="56">
        <v>3.3696719304004773E-2</v>
      </c>
      <c r="I11394" s="224" t="s">
        <v>2</v>
      </c>
    </row>
    <row r="11395" spans="1:9" x14ac:dyDescent="0.25">
      <c r="A11395" s="515">
        <v>31308</v>
      </c>
      <c r="B11395" s="515" t="s">
        <v>351</v>
      </c>
      <c r="C11395" s="52">
        <v>244953.652539437</v>
      </c>
      <c r="D11395" s="56">
        <v>0.16170535369814651</v>
      </c>
      <c r="E11395" s="224" t="s">
        <v>2</v>
      </c>
      <c r="F11395" s="515" t="s">
        <v>12587</v>
      </c>
      <c r="G11395" s="52">
        <v>462687.898058252</v>
      </c>
      <c r="H11395" s="56">
        <v>0</v>
      </c>
      <c r="I11395" s="224" t="s">
        <v>2</v>
      </c>
    </row>
    <row r="11396" spans="1:9" x14ac:dyDescent="0.25">
      <c r="A11396" s="515">
        <v>43907</v>
      </c>
      <c r="C11396" s="52">
        <v>120178.163957917</v>
      </c>
      <c r="D11396" s="56">
        <v>-8.5814151044341282E-3</v>
      </c>
      <c r="E11396" s="224" t="s">
        <v>2</v>
      </c>
      <c r="F11396" s="515" t="s">
        <v>12588</v>
      </c>
      <c r="G11396" s="52">
        <v>291331.050535816</v>
      </c>
      <c r="H11396" s="56">
        <v>8.7599517307168029E-2</v>
      </c>
      <c r="I11396" s="224" t="s">
        <v>2</v>
      </c>
    </row>
    <row r="11397" spans="1:9" x14ac:dyDescent="0.25">
      <c r="A11397" s="515">
        <v>60136</v>
      </c>
      <c r="B11397" s="515" t="s">
        <v>394</v>
      </c>
      <c r="C11397" s="52">
        <v>337942.19638159301</v>
      </c>
      <c r="D11397" s="56">
        <v>3.2520442267594131E-2</v>
      </c>
      <c r="E11397" s="224" t="s">
        <v>2</v>
      </c>
      <c r="F11397" s="515" t="s">
        <v>12589</v>
      </c>
      <c r="G11397" s="52">
        <v>66823.992345428604</v>
      </c>
      <c r="H11397" s="56">
        <v>-0.16087211575245711</v>
      </c>
      <c r="I11397" s="224" t="s">
        <v>2</v>
      </c>
    </row>
    <row r="11398" spans="1:9" x14ac:dyDescent="0.25">
      <c r="A11398" s="515">
        <v>81137</v>
      </c>
      <c r="B11398" s="515" t="s">
        <v>1181</v>
      </c>
      <c r="C11398" s="52">
        <v>384856.89341249701</v>
      </c>
      <c r="D11398" s="56">
        <v>0.10715309873666108</v>
      </c>
      <c r="E11398" s="224" t="s">
        <v>2</v>
      </c>
      <c r="F11398" s="515" t="s">
        <v>12590</v>
      </c>
      <c r="G11398" s="52">
        <v>227846.700478407</v>
      </c>
      <c r="H11398" s="56">
        <v>9.9351379746876869E-2</v>
      </c>
      <c r="I11398" s="224" t="s">
        <v>2</v>
      </c>
    </row>
    <row r="11399" spans="1:9" x14ac:dyDescent="0.25">
      <c r="A11399" s="515">
        <v>98672</v>
      </c>
      <c r="C11399" s="52">
        <v>655137.15280339005</v>
      </c>
      <c r="D11399" s="56">
        <v>5.3028577718365319E-2</v>
      </c>
      <c r="E11399" s="224" t="s">
        <v>2</v>
      </c>
      <c r="F11399" s="515" t="s">
        <v>12591</v>
      </c>
      <c r="G11399" s="52">
        <v>328284.74877172703</v>
      </c>
      <c r="H11399" s="56">
        <v>5.0784311112170036E-2</v>
      </c>
      <c r="I11399" s="224" t="s">
        <v>2</v>
      </c>
    </row>
    <row r="11400" spans="1:9" x14ac:dyDescent="0.25">
      <c r="A11400" s="515">
        <v>33762</v>
      </c>
      <c r="B11400" s="515" t="s">
        <v>461</v>
      </c>
      <c r="C11400" s="52">
        <v>337576.42591770302</v>
      </c>
      <c r="D11400" s="56">
        <v>9.9196437247271493E-2</v>
      </c>
      <c r="E11400" s="224" t="s">
        <v>2</v>
      </c>
      <c r="F11400" s="515" t="s">
        <v>12592</v>
      </c>
      <c r="G11400" s="52">
        <v>66587.578351156102</v>
      </c>
      <c r="H11400" s="56">
        <v>0.11856094945697036</v>
      </c>
      <c r="I11400" s="224" t="s">
        <v>2</v>
      </c>
    </row>
    <row r="11401" spans="1:9" x14ac:dyDescent="0.25">
      <c r="A11401" s="515">
        <v>56387</v>
      </c>
      <c r="B11401" s="515" t="s">
        <v>418</v>
      </c>
      <c r="C11401" s="52">
        <v>215438.88029735099</v>
      </c>
      <c r="D11401" s="56">
        <v>4.9524863031094192E-2</v>
      </c>
      <c r="E11401" s="224">
        <v>993.5</v>
      </c>
      <c r="F11401" s="515" t="s">
        <v>12593</v>
      </c>
      <c r="G11401" s="52">
        <v>451869.50840102101</v>
      </c>
      <c r="H11401" s="56">
        <v>2.5243914917912585E-2</v>
      </c>
      <c r="I11401" s="224" t="s">
        <v>2</v>
      </c>
    </row>
    <row r="11402" spans="1:9" x14ac:dyDescent="0.25">
      <c r="A11402" s="515">
        <v>56283</v>
      </c>
      <c r="C11402" s="52">
        <v>162557.638751636</v>
      </c>
      <c r="D11402" s="56">
        <v>2.7060182766707339E-2</v>
      </c>
      <c r="E11402" s="224" t="s">
        <v>2</v>
      </c>
      <c r="F11402" s="515" t="s">
        <v>12594</v>
      </c>
      <c r="G11402" s="52">
        <v>480074.725618759</v>
      </c>
      <c r="H11402" s="56">
        <v>5.4176980325908439E-2</v>
      </c>
      <c r="I11402" s="224" t="s">
        <v>2</v>
      </c>
    </row>
    <row r="11403" spans="1:9" x14ac:dyDescent="0.25">
      <c r="A11403" s="515">
        <v>60468</v>
      </c>
      <c r="B11403" s="515" t="s">
        <v>394</v>
      </c>
      <c r="C11403" s="52">
        <v>253444.02262743001</v>
      </c>
      <c r="D11403" s="56">
        <v>5.6404635896939441E-2</v>
      </c>
      <c r="E11403" s="224" t="s">
        <v>2</v>
      </c>
      <c r="F11403" s="515" t="s">
        <v>12595</v>
      </c>
      <c r="G11403" s="52">
        <v>256707.800036311</v>
      </c>
      <c r="H11403" s="56">
        <v>7.4945336703056017E-2</v>
      </c>
      <c r="I11403" s="224" t="s">
        <v>2</v>
      </c>
    </row>
    <row r="11404" spans="1:9" x14ac:dyDescent="0.25">
      <c r="A11404" s="515">
        <v>74020</v>
      </c>
      <c r="B11404" s="515" t="s">
        <v>348</v>
      </c>
      <c r="C11404" s="52">
        <v>147702.438278963</v>
      </c>
      <c r="D11404" s="56">
        <v>0.12305276519140224</v>
      </c>
      <c r="E11404" s="224" t="s">
        <v>2</v>
      </c>
      <c r="F11404" s="515" t="s">
        <v>12596</v>
      </c>
      <c r="G11404" s="52">
        <v>463313.054489923</v>
      </c>
      <c r="H11404" s="56">
        <v>0.14120194974080447</v>
      </c>
      <c r="I11404" s="224" t="s">
        <v>2</v>
      </c>
    </row>
    <row r="11405" spans="1:9" x14ac:dyDescent="0.25">
      <c r="A11405" s="515">
        <v>63552</v>
      </c>
      <c r="C11405" s="52">
        <v>138075.62045272699</v>
      </c>
      <c r="D11405" s="56">
        <v>8.0820530689482403E-2</v>
      </c>
      <c r="E11405" s="224" t="s">
        <v>2</v>
      </c>
      <c r="F11405" s="515" t="s">
        <v>12597</v>
      </c>
      <c r="G11405" s="52">
        <v>174214.64175912901</v>
      </c>
      <c r="H11405" s="56">
        <v>7.4308833305219923E-2</v>
      </c>
      <c r="I11405" s="224" t="s">
        <v>2</v>
      </c>
    </row>
    <row r="11406" spans="1:9" x14ac:dyDescent="0.25">
      <c r="A11406" s="515">
        <v>17032</v>
      </c>
      <c r="B11406" s="515" t="s">
        <v>428</v>
      </c>
      <c r="C11406" s="52">
        <v>233746.71345541801</v>
      </c>
      <c r="D11406" s="56">
        <v>0.11145608910494721</v>
      </c>
      <c r="E11406" s="224" t="s">
        <v>2</v>
      </c>
      <c r="F11406" s="515" t="s">
        <v>12598</v>
      </c>
      <c r="G11406" s="52">
        <v>112638.389695965</v>
      </c>
      <c r="H11406" s="56">
        <v>7.1817435017670544E-2</v>
      </c>
      <c r="I11406" s="224" t="s">
        <v>2</v>
      </c>
    </row>
    <row r="11407" spans="1:9" x14ac:dyDescent="0.25">
      <c r="A11407" s="515">
        <v>96762</v>
      </c>
      <c r="B11407" s="515" t="s">
        <v>1029</v>
      </c>
      <c r="C11407" s="52">
        <v>1224699.2496277699</v>
      </c>
      <c r="D11407" s="56">
        <v>7.2031312351442708E-2</v>
      </c>
      <c r="E11407" s="224" t="s">
        <v>2</v>
      </c>
      <c r="F11407" s="515" t="s">
        <v>12599</v>
      </c>
      <c r="G11407" s="52">
        <v>176792.90854957001</v>
      </c>
      <c r="H11407" s="56">
        <v>-2.283063274927984E-2</v>
      </c>
      <c r="I11407" s="224" t="s">
        <v>2</v>
      </c>
    </row>
    <row r="11408" spans="1:9" x14ac:dyDescent="0.25">
      <c r="A11408" s="515">
        <v>37681</v>
      </c>
      <c r="B11408" s="515" t="s">
        <v>988</v>
      </c>
      <c r="C11408" s="52">
        <v>216715.547053955</v>
      </c>
      <c r="D11408" s="56">
        <v>8.2446257236508141E-2</v>
      </c>
      <c r="E11408" s="224" t="s">
        <v>2</v>
      </c>
      <c r="F11408" s="515" t="s">
        <v>12600</v>
      </c>
      <c r="G11408" s="52">
        <v>139037.013050165</v>
      </c>
      <c r="H11408" s="56">
        <v>0.12849467526066452</v>
      </c>
      <c r="I11408" s="224" t="s">
        <v>2</v>
      </c>
    </row>
    <row r="11409" spans="1:9" x14ac:dyDescent="0.25">
      <c r="A11409" s="515">
        <v>93240</v>
      </c>
      <c r="B11409" s="515" t="s">
        <v>419</v>
      </c>
      <c r="C11409" s="52">
        <v>211662.34988662699</v>
      </c>
      <c r="D11409" s="56">
        <v>6.1653223897987594E-2</v>
      </c>
      <c r="E11409" s="224" t="s">
        <v>2</v>
      </c>
      <c r="F11409" s="515" t="s">
        <v>12601</v>
      </c>
      <c r="G11409" s="52">
        <v>273577.98606981302</v>
      </c>
      <c r="H11409" s="56">
        <v>4.5087310944596434E-2</v>
      </c>
      <c r="I11409" s="224" t="s">
        <v>2</v>
      </c>
    </row>
    <row r="11410" spans="1:9" x14ac:dyDescent="0.25">
      <c r="A11410" s="515">
        <v>62243</v>
      </c>
      <c r="B11410" s="515" t="s">
        <v>498</v>
      </c>
      <c r="C11410" s="52">
        <v>210479.385690344</v>
      </c>
      <c r="D11410" s="56">
        <v>8.5635475407581374E-2</v>
      </c>
      <c r="E11410" s="224" t="s">
        <v>2</v>
      </c>
      <c r="F11410" s="515" t="s">
        <v>12602</v>
      </c>
      <c r="G11410" s="52">
        <v>37896.395101203998</v>
      </c>
      <c r="H11410" s="56">
        <v>0.25426904614401297</v>
      </c>
      <c r="I11410" s="224" t="s">
        <v>2</v>
      </c>
    </row>
    <row r="11411" spans="1:9" x14ac:dyDescent="0.25">
      <c r="A11411" s="515">
        <v>95019</v>
      </c>
      <c r="B11411" s="515" t="s">
        <v>596</v>
      </c>
      <c r="C11411" s="52">
        <v>683415.21607538697</v>
      </c>
      <c r="D11411" s="56">
        <v>2.045159956704691E-2</v>
      </c>
      <c r="E11411" s="224" t="s">
        <v>2</v>
      </c>
      <c r="F11411" s="515" t="s">
        <v>12603</v>
      </c>
      <c r="G11411" s="52">
        <v>267510.23393204901</v>
      </c>
      <c r="H11411" s="56">
        <v>0.13892009258501467</v>
      </c>
      <c r="I11411" s="224" t="s">
        <v>2</v>
      </c>
    </row>
    <row r="11412" spans="1:9" x14ac:dyDescent="0.25">
      <c r="A11412" s="515">
        <v>49057</v>
      </c>
      <c r="C11412" s="52">
        <v>124907.962806618</v>
      </c>
      <c r="D11412" s="56">
        <v>2.9126132254951916E-2</v>
      </c>
      <c r="E11412" s="224" t="s">
        <v>2</v>
      </c>
      <c r="F11412" s="515" t="s">
        <v>12604</v>
      </c>
      <c r="G11412" s="52">
        <v>565545.872248361</v>
      </c>
      <c r="H11412" s="56">
        <v>0.20147626880475469</v>
      </c>
      <c r="I11412" s="224" t="s">
        <v>2</v>
      </c>
    </row>
    <row r="11413" spans="1:9" x14ac:dyDescent="0.25">
      <c r="A11413" s="515">
        <v>82401</v>
      </c>
      <c r="C11413" s="52">
        <v>218171.436405466</v>
      </c>
      <c r="D11413" s="56">
        <v>0.10112576811774802</v>
      </c>
      <c r="E11413" s="224" t="s">
        <v>2</v>
      </c>
      <c r="F11413" s="515" t="s">
        <v>12605</v>
      </c>
      <c r="G11413" s="52">
        <v>94056.690576839901</v>
      </c>
      <c r="H11413" s="56">
        <v>1.7298146027784297E-3</v>
      </c>
      <c r="I11413" s="224" t="s">
        <v>2</v>
      </c>
    </row>
    <row r="11414" spans="1:9" x14ac:dyDescent="0.25">
      <c r="A11414" s="515">
        <v>85603</v>
      </c>
      <c r="B11414" s="515" t="s">
        <v>374</v>
      </c>
      <c r="C11414" s="52">
        <v>197174.32801306</v>
      </c>
      <c r="D11414" s="56">
        <v>0.14831848188335303</v>
      </c>
      <c r="E11414" s="224" t="s">
        <v>2</v>
      </c>
      <c r="F11414" s="515" t="s">
        <v>12606</v>
      </c>
      <c r="G11414" s="52">
        <v>135237.68601974199</v>
      </c>
      <c r="H11414" s="56">
        <v>7.2251304329947058E-2</v>
      </c>
      <c r="I11414" s="224" t="s">
        <v>2</v>
      </c>
    </row>
    <row r="11415" spans="1:9" x14ac:dyDescent="0.25">
      <c r="A11415" s="515">
        <v>40380</v>
      </c>
      <c r="C11415" s="52">
        <v>124095.453737895</v>
      </c>
      <c r="D11415" s="56">
        <v>0.20331846920737079</v>
      </c>
      <c r="E11415" s="224" t="s">
        <v>2</v>
      </c>
      <c r="F11415" s="515" t="s">
        <v>12607</v>
      </c>
      <c r="G11415" s="52">
        <v>267998.13926188799</v>
      </c>
      <c r="H11415" s="56">
        <v>7.5122021850815554E-2</v>
      </c>
      <c r="I11415" s="224" t="s">
        <v>2</v>
      </c>
    </row>
    <row r="11416" spans="1:9" x14ac:dyDescent="0.25">
      <c r="A11416" s="515">
        <v>38075</v>
      </c>
      <c r="C11416" s="52">
        <v>123231.034719879</v>
      </c>
      <c r="D11416" s="56">
        <v>2.423286910280462E-2</v>
      </c>
      <c r="E11416" s="224" t="s">
        <v>2</v>
      </c>
      <c r="F11416" s="515" t="s">
        <v>12608</v>
      </c>
      <c r="G11416" s="52">
        <v>95552.168600887104</v>
      </c>
      <c r="H11416" s="56">
        <v>-8.9656697175425598E-2</v>
      </c>
      <c r="I11416" s="224" t="s">
        <v>2</v>
      </c>
    </row>
    <row r="11417" spans="1:9" x14ac:dyDescent="0.25">
      <c r="A11417" s="515">
        <v>81144</v>
      </c>
      <c r="C11417" s="52">
        <v>226521.98393298901</v>
      </c>
      <c r="D11417" s="56">
        <v>9.3944540031357687E-2</v>
      </c>
      <c r="E11417" s="224" t="s">
        <v>2</v>
      </c>
      <c r="F11417" s="515" t="s">
        <v>12609</v>
      </c>
      <c r="G11417" s="52">
        <v>293322.09602940799</v>
      </c>
      <c r="H11417" s="56">
        <v>1.8684302729090847E-2</v>
      </c>
      <c r="I11417" s="224" t="s">
        <v>2</v>
      </c>
    </row>
    <row r="11418" spans="1:9" x14ac:dyDescent="0.25">
      <c r="A11418" s="515">
        <v>33548</v>
      </c>
      <c r="B11418" s="515" t="s">
        <v>461</v>
      </c>
      <c r="C11418" s="52">
        <v>585875.85785374697</v>
      </c>
      <c r="D11418" s="56">
        <v>0.11694009469410575</v>
      </c>
      <c r="E11418" s="224">
        <v>2273.1666666666601</v>
      </c>
      <c r="F11418" s="515" t="s">
        <v>12610</v>
      </c>
      <c r="G11418" s="52">
        <v>262335.24272329401</v>
      </c>
      <c r="H11418" s="56">
        <v>0.10753944767948553</v>
      </c>
      <c r="I11418" s="224" t="s">
        <v>2</v>
      </c>
    </row>
    <row r="11419" spans="1:9" x14ac:dyDescent="0.25">
      <c r="A11419" s="515">
        <v>41041</v>
      </c>
      <c r="C11419" s="52">
        <v>141697.15836143901</v>
      </c>
      <c r="D11419" s="56">
        <v>0.18299289493193796</v>
      </c>
      <c r="E11419" s="224" t="s">
        <v>2</v>
      </c>
      <c r="F11419" s="515" t="s">
        <v>12611</v>
      </c>
      <c r="G11419" s="52">
        <v>431509.57426593802</v>
      </c>
      <c r="H11419" s="56">
        <v>9.2459293357476866E-2</v>
      </c>
      <c r="I11419" s="224" t="s">
        <v>2</v>
      </c>
    </row>
    <row r="11420" spans="1:9" x14ac:dyDescent="0.25">
      <c r="A11420" s="515">
        <v>53042</v>
      </c>
      <c r="B11420" s="515" t="s">
        <v>446</v>
      </c>
      <c r="C11420" s="52">
        <v>236087.59086557501</v>
      </c>
      <c r="D11420" s="56">
        <v>6.1988378469664929E-2</v>
      </c>
      <c r="E11420" s="224" t="s">
        <v>2</v>
      </c>
      <c r="F11420" s="515" t="s">
        <v>12612</v>
      </c>
      <c r="G11420" s="52">
        <v>174995.55662039499</v>
      </c>
      <c r="H11420" s="56">
        <v>6.6048589315218065E-2</v>
      </c>
      <c r="I11420" s="224" t="s">
        <v>2</v>
      </c>
    </row>
    <row r="11421" spans="1:9" x14ac:dyDescent="0.25">
      <c r="A11421" s="515">
        <v>27310</v>
      </c>
      <c r="B11421" s="515" t="s">
        <v>1148</v>
      </c>
      <c r="C11421" s="52">
        <v>470265.95943739603</v>
      </c>
      <c r="D11421" s="56">
        <v>8.6122915674257214E-2</v>
      </c>
      <c r="E11421" s="224" t="s">
        <v>2</v>
      </c>
      <c r="F11421" s="515" t="s">
        <v>12613</v>
      </c>
      <c r="G11421" s="52">
        <v>136647.324485441</v>
      </c>
      <c r="H11421" s="56">
        <v>8.5085236225584587E-2</v>
      </c>
      <c r="I11421" s="224" t="s">
        <v>2</v>
      </c>
    </row>
    <row r="11422" spans="1:9" x14ac:dyDescent="0.25">
      <c r="A11422" s="515">
        <v>78722</v>
      </c>
      <c r="B11422" s="515" t="s">
        <v>380</v>
      </c>
      <c r="C11422" s="52">
        <v>627443.08245879901</v>
      </c>
      <c r="D11422" s="56">
        <v>5.3096668572804193E-2</v>
      </c>
      <c r="E11422" s="224">
        <v>1875.9126984126899</v>
      </c>
      <c r="F11422" s="515" t="s">
        <v>12614</v>
      </c>
      <c r="G11422" s="52">
        <v>196847.87665712801</v>
      </c>
      <c r="H11422" s="56">
        <v>0.11873118718969347</v>
      </c>
      <c r="I11422" s="224" t="s">
        <v>2</v>
      </c>
    </row>
    <row r="11423" spans="1:9" x14ac:dyDescent="0.25">
      <c r="A11423" s="515">
        <v>15748</v>
      </c>
      <c r="B11423" s="515" t="s">
        <v>343</v>
      </c>
      <c r="C11423" s="52">
        <v>129087.00620344401</v>
      </c>
      <c r="D11423" s="56">
        <v>7.9631617032405941E-2</v>
      </c>
      <c r="E11423" s="224" t="s">
        <v>2</v>
      </c>
      <c r="F11423" s="515" t="s">
        <v>12615</v>
      </c>
      <c r="G11423" s="52">
        <v>75200.095659114595</v>
      </c>
      <c r="H11423" s="56">
        <v>5.9054035802906489E-2</v>
      </c>
      <c r="I11423" s="224" t="s">
        <v>2</v>
      </c>
    </row>
    <row r="11424" spans="1:9" x14ac:dyDescent="0.25">
      <c r="A11424" s="515">
        <v>2828</v>
      </c>
      <c r="B11424" s="515" t="s">
        <v>513</v>
      </c>
      <c r="C11424" s="52">
        <v>417115.19389023102</v>
      </c>
      <c r="D11424" s="56">
        <v>7.6718402990336554E-2</v>
      </c>
      <c r="E11424" s="224" t="s">
        <v>2</v>
      </c>
      <c r="F11424" s="515" t="s">
        <v>12616</v>
      </c>
      <c r="G11424" s="52">
        <v>142937.38148171199</v>
      </c>
      <c r="H11424" s="56">
        <v>0.19010025790495796</v>
      </c>
      <c r="I11424" s="224" t="s">
        <v>2</v>
      </c>
    </row>
    <row r="11425" spans="1:9" x14ac:dyDescent="0.25">
      <c r="A11425" s="515">
        <v>8084</v>
      </c>
      <c r="B11425" s="515" t="s">
        <v>294</v>
      </c>
      <c r="C11425" s="52">
        <v>259375.76420536</v>
      </c>
      <c r="D11425" s="56">
        <v>8.3817869272166778E-2</v>
      </c>
      <c r="E11425" s="224" t="s">
        <v>2</v>
      </c>
      <c r="F11425" s="515" t="s">
        <v>12617</v>
      </c>
      <c r="G11425" s="52">
        <v>156473.566746247</v>
      </c>
      <c r="H11425" s="56">
        <v>0.19040657863053201</v>
      </c>
      <c r="I11425" s="224" t="s">
        <v>2</v>
      </c>
    </row>
    <row r="11426" spans="1:9" x14ac:dyDescent="0.25">
      <c r="A11426" s="515">
        <v>54011</v>
      </c>
      <c r="B11426" s="515" t="s">
        <v>532</v>
      </c>
      <c r="C11426" s="52">
        <v>275613.40900443099</v>
      </c>
      <c r="D11426" s="56">
        <v>5.2776850770804941E-2</v>
      </c>
      <c r="E11426" s="224" t="s">
        <v>2</v>
      </c>
      <c r="F11426" s="515" t="s">
        <v>12618</v>
      </c>
      <c r="G11426" s="52">
        <v>162890.895823189</v>
      </c>
      <c r="H11426" s="56">
        <v>9.8295219024509328E-2</v>
      </c>
      <c r="I11426" s="224" t="s">
        <v>2</v>
      </c>
    </row>
    <row r="11427" spans="1:9" x14ac:dyDescent="0.25">
      <c r="A11427" s="515">
        <v>19333</v>
      </c>
      <c r="B11427" s="515" t="s">
        <v>294</v>
      </c>
      <c r="C11427" s="52">
        <v>667586.59897888999</v>
      </c>
      <c r="D11427" s="56">
        <v>9.5577723026035191E-2</v>
      </c>
      <c r="E11427" s="224">
        <v>1988.6111111111099</v>
      </c>
      <c r="F11427" s="515" t="s">
        <v>12619</v>
      </c>
      <c r="G11427" s="52">
        <v>252111.715710466</v>
      </c>
      <c r="H11427" s="56">
        <v>0.13704508618091726</v>
      </c>
      <c r="I11427" s="224" t="s">
        <v>2</v>
      </c>
    </row>
    <row r="11428" spans="1:9" x14ac:dyDescent="0.25">
      <c r="A11428" s="515">
        <v>55944</v>
      </c>
      <c r="B11428" s="515" t="s">
        <v>470</v>
      </c>
      <c r="C11428" s="52">
        <v>288542.08751704299</v>
      </c>
      <c r="D11428" s="56">
        <v>4.0665266071110311E-2</v>
      </c>
      <c r="E11428" s="224" t="s">
        <v>2</v>
      </c>
      <c r="F11428" s="515" t="s">
        <v>12620</v>
      </c>
      <c r="G11428" s="52">
        <v>293112.60489470902</v>
      </c>
      <c r="H11428" s="56">
        <v>0.10089310421971634</v>
      </c>
      <c r="I11428" s="224" t="s">
        <v>2</v>
      </c>
    </row>
    <row r="11429" spans="1:9" x14ac:dyDescent="0.25">
      <c r="A11429" s="515">
        <v>6374</v>
      </c>
      <c r="B11429" s="515" t="s">
        <v>751</v>
      </c>
      <c r="C11429" s="52">
        <v>263060.82846244198</v>
      </c>
      <c r="D11429" s="56">
        <v>7.81774660645599E-2</v>
      </c>
      <c r="E11429" s="224" t="s">
        <v>2</v>
      </c>
      <c r="F11429" s="515" t="s">
        <v>12621</v>
      </c>
      <c r="G11429" s="52">
        <v>252770.53830354501</v>
      </c>
      <c r="H11429" s="56">
        <v>7.2590369104142474E-2</v>
      </c>
      <c r="I11429" s="224" t="s">
        <v>2</v>
      </c>
    </row>
    <row r="11430" spans="1:9" x14ac:dyDescent="0.25">
      <c r="A11430" s="515">
        <v>3042</v>
      </c>
      <c r="B11430" s="515" t="s">
        <v>534</v>
      </c>
      <c r="C11430" s="52">
        <v>436354.427859766</v>
      </c>
      <c r="D11430" s="56">
        <v>9.475506605909885E-2</v>
      </c>
      <c r="E11430" s="224" t="s">
        <v>2</v>
      </c>
      <c r="F11430" s="515" t="s">
        <v>12622</v>
      </c>
      <c r="G11430" s="52">
        <v>231021.15687797099</v>
      </c>
      <c r="H11430" s="56">
        <v>3.3584562511942473E-2</v>
      </c>
      <c r="I11430" s="224" t="s">
        <v>2</v>
      </c>
    </row>
    <row r="11431" spans="1:9" x14ac:dyDescent="0.25">
      <c r="A11431" s="515">
        <v>98294</v>
      </c>
      <c r="B11431" s="515" t="s">
        <v>384</v>
      </c>
      <c r="C11431" s="52">
        <v>509530.91864888702</v>
      </c>
      <c r="D11431" s="56">
        <v>5.1384060232274945E-2</v>
      </c>
      <c r="E11431" s="224" t="s">
        <v>2</v>
      </c>
      <c r="F11431" s="515" t="s">
        <v>12623</v>
      </c>
      <c r="G11431" s="52">
        <v>3713493.2845289502</v>
      </c>
      <c r="H11431" s="56">
        <v>4.1112319245779919E-2</v>
      </c>
      <c r="I11431" s="224" t="s">
        <v>2</v>
      </c>
    </row>
    <row r="11432" spans="1:9" x14ac:dyDescent="0.25">
      <c r="A11432" s="515">
        <v>48616</v>
      </c>
      <c r="B11432" s="515" t="s">
        <v>904</v>
      </c>
      <c r="C11432" s="52">
        <v>164005.69810106099</v>
      </c>
      <c r="D11432" s="56">
        <v>0.13445110531770688</v>
      </c>
      <c r="E11432" s="224" t="s">
        <v>2</v>
      </c>
      <c r="F11432" s="515" t="s">
        <v>12624</v>
      </c>
      <c r="G11432" s="52">
        <v>165420.278520447</v>
      </c>
      <c r="H11432" s="56">
        <v>5.8430611100265505E-2</v>
      </c>
      <c r="I11432" s="224" t="s">
        <v>2</v>
      </c>
    </row>
    <row r="11433" spans="1:9" x14ac:dyDescent="0.25">
      <c r="A11433" s="515">
        <v>98331</v>
      </c>
      <c r="B11433" s="515" t="s">
        <v>781</v>
      </c>
      <c r="C11433" s="52">
        <v>304190.59382265998</v>
      </c>
      <c r="D11433" s="56">
        <v>2.885339504156206E-2</v>
      </c>
      <c r="E11433" s="224" t="s">
        <v>2</v>
      </c>
      <c r="F11433" s="515" t="s">
        <v>12625</v>
      </c>
      <c r="G11433" s="52">
        <v>218026.81158791299</v>
      </c>
      <c r="H11433" s="56">
        <v>5.0206505875855616E-2</v>
      </c>
      <c r="I11433" s="224" t="s">
        <v>2</v>
      </c>
    </row>
    <row r="11434" spans="1:9" x14ac:dyDescent="0.25">
      <c r="A11434" s="515">
        <v>39845</v>
      </c>
      <c r="C11434" s="52">
        <v>106076.203513837</v>
      </c>
      <c r="D11434" s="56">
        <v>6.7627177790549539E-2</v>
      </c>
      <c r="E11434" s="224" t="s">
        <v>2</v>
      </c>
      <c r="F11434" s="515" t="s">
        <v>12626</v>
      </c>
      <c r="G11434" s="52">
        <v>259470.744387296</v>
      </c>
      <c r="H11434" s="56">
        <v>1.5665375042550309E-2</v>
      </c>
      <c r="I11434" s="224" t="s">
        <v>2</v>
      </c>
    </row>
    <row r="11435" spans="1:9" x14ac:dyDescent="0.25">
      <c r="A11435" s="515">
        <v>33920</v>
      </c>
      <c r="B11435" s="515" t="s">
        <v>661</v>
      </c>
      <c r="C11435" s="52">
        <v>400082.091528819</v>
      </c>
      <c r="D11435" s="56">
        <v>0.17001547486049831</v>
      </c>
      <c r="E11435" s="224" t="s">
        <v>2</v>
      </c>
      <c r="F11435" s="515" t="s">
        <v>12627</v>
      </c>
      <c r="G11435" s="52">
        <v>130518.20195026499</v>
      </c>
      <c r="H11435" s="56">
        <v>0.19454515185691232</v>
      </c>
      <c r="I11435" s="224" t="s">
        <v>2</v>
      </c>
    </row>
    <row r="11436" spans="1:9" x14ac:dyDescent="0.25">
      <c r="A11436" s="515">
        <v>25213</v>
      </c>
      <c r="B11436" s="515" t="s">
        <v>602</v>
      </c>
      <c r="C11436" s="52">
        <v>249577.91534603701</v>
      </c>
      <c r="D11436" s="56">
        <v>5.001936416985895E-2</v>
      </c>
      <c r="E11436" s="224" t="s">
        <v>2</v>
      </c>
      <c r="F11436" s="515" t="s">
        <v>12628</v>
      </c>
      <c r="G11436" s="52">
        <v>212834.91875684701</v>
      </c>
      <c r="H11436" s="56">
        <v>0.15869805882260909</v>
      </c>
      <c r="I11436" s="224" t="s">
        <v>2</v>
      </c>
    </row>
    <row r="11437" spans="1:9" x14ac:dyDescent="0.25">
      <c r="A11437" s="515">
        <v>42717</v>
      </c>
      <c r="C11437" s="52">
        <v>110777.836878891</v>
      </c>
      <c r="D11437" s="56">
        <v>0.13181315800383855</v>
      </c>
      <c r="E11437" s="224" t="s">
        <v>2</v>
      </c>
      <c r="F11437" s="515" t="s">
        <v>12629</v>
      </c>
      <c r="G11437" s="52">
        <v>271362.38698590599</v>
      </c>
      <c r="H11437" s="56">
        <v>7.1167022613723985E-2</v>
      </c>
      <c r="I11437" s="224" t="s">
        <v>2</v>
      </c>
    </row>
    <row r="11438" spans="1:9" x14ac:dyDescent="0.25">
      <c r="A11438" s="515">
        <v>1860</v>
      </c>
      <c r="B11438" s="515" t="s">
        <v>534</v>
      </c>
      <c r="C11438" s="52">
        <v>543905.18230582203</v>
      </c>
      <c r="D11438" s="56">
        <v>4.7499876087570225E-2</v>
      </c>
      <c r="E11438" s="224" t="s">
        <v>2</v>
      </c>
      <c r="F11438" s="515" t="s">
        <v>12630</v>
      </c>
      <c r="G11438" s="52">
        <v>210335.19583915599</v>
      </c>
      <c r="H11438" s="56">
        <v>2.9690370860246361E-2</v>
      </c>
      <c r="I11438" s="224" t="s">
        <v>2</v>
      </c>
    </row>
    <row r="11439" spans="1:9" x14ac:dyDescent="0.25">
      <c r="A11439" s="515">
        <v>61282</v>
      </c>
      <c r="B11439" s="515" t="s">
        <v>439</v>
      </c>
      <c r="C11439" s="52">
        <v>126884.58982381799</v>
      </c>
      <c r="D11439" s="56">
        <v>3.9407217168069122E-2</v>
      </c>
      <c r="E11439" s="224" t="s">
        <v>2</v>
      </c>
      <c r="F11439" s="515" t="s">
        <v>12631</v>
      </c>
      <c r="G11439" s="52">
        <v>162969.04655137201</v>
      </c>
      <c r="H11439" s="56">
        <v>8.6289225287489418E-2</v>
      </c>
      <c r="I11439" s="224" t="s">
        <v>2</v>
      </c>
    </row>
    <row r="11440" spans="1:9" x14ac:dyDescent="0.25">
      <c r="A11440" s="515">
        <v>19041</v>
      </c>
      <c r="B11440" s="515" t="s">
        <v>294</v>
      </c>
      <c r="C11440" s="52">
        <v>920892.09204825503</v>
      </c>
      <c r="D11440" s="56">
        <v>7.0595515152000424E-2</v>
      </c>
      <c r="E11440" s="224" t="s">
        <v>2</v>
      </c>
      <c r="F11440" s="515" t="s">
        <v>12632</v>
      </c>
      <c r="G11440" s="52">
        <v>116076.060144938</v>
      </c>
      <c r="H11440" s="56">
        <v>6.6667015737376864E-2</v>
      </c>
      <c r="I11440" s="224" t="s">
        <v>2</v>
      </c>
    </row>
    <row r="11441" spans="1:9" x14ac:dyDescent="0.25">
      <c r="A11441" s="515">
        <v>49649</v>
      </c>
      <c r="B11441" s="515" t="s">
        <v>366</v>
      </c>
      <c r="C11441" s="52">
        <v>266577.190259139</v>
      </c>
      <c r="D11441" s="56">
        <v>0.10030147050983385</v>
      </c>
      <c r="E11441" s="224" t="s">
        <v>2</v>
      </c>
      <c r="F11441" s="515" t="s">
        <v>12633</v>
      </c>
      <c r="G11441" s="52">
        <v>389599.85835558601</v>
      </c>
      <c r="H11441" s="56">
        <v>0.1244540437144632</v>
      </c>
      <c r="I11441" s="224" t="s">
        <v>2</v>
      </c>
    </row>
    <row r="11442" spans="1:9" x14ac:dyDescent="0.25">
      <c r="A11442" s="515">
        <v>83660</v>
      </c>
      <c r="B11442" s="515" t="s">
        <v>500</v>
      </c>
      <c r="C11442" s="52">
        <v>403775.87958860298</v>
      </c>
      <c r="D11442" s="56">
        <v>7.1841633978073031E-3</v>
      </c>
      <c r="E11442" s="224" t="s">
        <v>2</v>
      </c>
      <c r="F11442" s="515" t="s">
        <v>12634</v>
      </c>
      <c r="G11442" s="52">
        <v>307335.806364524</v>
      </c>
      <c r="H11442" s="56">
        <v>8.9157096764117788E-2</v>
      </c>
      <c r="I11442" s="224" t="s">
        <v>2</v>
      </c>
    </row>
    <row r="11443" spans="1:9" x14ac:dyDescent="0.25">
      <c r="A11443" s="515">
        <v>97352</v>
      </c>
      <c r="B11443" s="515" t="s">
        <v>416</v>
      </c>
      <c r="C11443" s="52">
        <v>402729.67885829502</v>
      </c>
      <c r="D11443" s="56">
        <v>2.5164553164057919E-2</v>
      </c>
      <c r="E11443" s="224" t="s">
        <v>2</v>
      </c>
      <c r="F11443" s="515" t="s">
        <v>12635</v>
      </c>
      <c r="G11443" s="52">
        <v>220319.83084577101</v>
      </c>
      <c r="H11443" s="56">
        <v>0</v>
      </c>
      <c r="I11443" s="224" t="s">
        <v>2</v>
      </c>
    </row>
    <row r="11444" spans="1:9" x14ac:dyDescent="0.25">
      <c r="A11444" s="515">
        <v>30628</v>
      </c>
      <c r="B11444" s="515" t="s">
        <v>991</v>
      </c>
      <c r="C11444" s="52">
        <v>278330.37092991202</v>
      </c>
      <c r="D11444" s="56">
        <v>7.7931130825406855E-2</v>
      </c>
      <c r="E11444" s="224" t="s">
        <v>2</v>
      </c>
      <c r="F11444" s="515" t="s">
        <v>12636</v>
      </c>
      <c r="G11444" s="52">
        <v>180877.21896421901</v>
      </c>
      <c r="H11444" s="56">
        <v>7.6471819972163527E-2</v>
      </c>
      <c r="I11444" s="224" t="s">
        <v>2</v>
      </c>
    </row>
    <row r="11445" spans="1:9" x14ac:dyDescent="0.25">
      <c r="A11445" s="515">
        <v>37403</v>
      </c>
      <c r="B11445" s="515" t="s">
        <v>622</v>
      </c>
      <c r="C11445" s="52">
        <v>358820.28380128503</v>
      </c>
      <c r="D11445" s="56">
        <v>8.4652672651455679E-2</v>
      </c>
      <c r="E11445" s="224" t="s">
        <v>2</v>
      </c>
      <c r="F11445" s="515" t="s">
        <v>12637</v>
      </c>
      <c r="G11445" s="52">
        <v>489779.66938757797</v>
      </c>
      <c r="H11445" s="56">
        <v>4.5925233553073375E-2</v>
      </c>
      <c r="I11445" s="224" t="s">
        <v>2</v>
      </c>
    </row>
    <row r="11446" spans="1:9" x14ac:dyDescent="0.25">
      <c r="A11446" s="515">
        <v>43619</v>
      </c>
      <c r="B11446" s="515" t="s">
        <v>300</v>
      </c>
      <c r="C11446" s="52">
        <v>151231.12155585599</v>
      </c>
      <c r="D11446" s="56">
        <v>-1.2409610366424045E-2</v>
      </c>
      <c r="E11446" s="224" t="s">
        <v>2</v>
      </c>
      <c r="F11446" s="515" t="s">
        <v>12638</v>
      </c>
      <c r="G11446" s="52">
        <v>268483.029396103</v>
      </c>
      <c r="H11446" s="56">
        <v>4.6878116622561479E-2</v>
      </c>
      <c r="I11446" s="224" t="s">
        <v>2</v>
      </c>
    </row>
    <row r="11447" spans="1:9" x14ac:dyDescent="0.25">
      <c r="A11447" s="515">
        <v>28469</v>
      </c>
      <c r="B11447" s="515" t="s">
        <v>703</v>
      </c>
      <c r="C11447" s="52">
        <v>558734.34015044197</v>
      </c>
      <c r="D11447" s="56">
        <v>0.13266262033653292</v>
      </c>
      <c r="E11447" s="224" t="s">
        <v>2</v>
      </c>
      <c r="F11447" s="515" t="s">
        <v>12639</v>
      </c>
      <c r="G11447" s="52">
        <v>261763.51674870099</v>
      </c>
      <c r="H11447" s="56">
        <v>7.016357762078046E-2</v>
      </c>
      <c r="I11447" s="224" t="s">
        <v>2</v>
      </c>
    </row>
    <row r="11448" spans="1:9" x14ac:dyDescent="0.25">
      <c r="A11448" s="515">
        <v>3811</v>
      </c>
      <c r="B11448" s="515" t="s">
        <v>534</v>
      </c>
      <c r="C11448" s="52">
        <v>547047.51985338505</v>
      </c>
      <c r="D11448" s="56">
        <v>0.15467902576473411</v>
      </c>
      <c r="E11448" s="224" t="s">
        <v>2</v>
      </c>
      <c r="F11448" s="515" t="s">
        <v>12640</v>
      </c>
      <c r="G11448" s="52">
        <v>169712.43819059199</v>
      </c>
      <c r="H11448" s="56">
        <v>7.4947822534158839E-2</v>
      </c>
      <c r="I11448" s="224" t="s">
        <v>2</v>
      </c>
    </row>
    <row r="11449" spans="1:9" x14ac:dyDescent="0.25">
      <c r="A11449" s="515">
        <v>51632</v>
      </c>
      <c r="C11449" s="52">
        <v>126419.58546696301</v>
      </c>
      <c r="D11449" s="56">
        <v>8.3002777136528635E-2</v>
      </c>
      <c r="E11449" s="224" t="s">
        <v>2</v>
      </c>
      <c r="F11449" s="515" t="s">
        <v>12641</v>
      </c>
      <c r="G11449" s="52">
        <v>294561.77724114398</v>
      </c>
      <c r="H11449" s="56">
        <v>9.7331312681067844E-2</v>
      </c>
      <c r="I11449" s="224" t="s">
        <v>2</v>
      </c>
    </row>
    <row r="11450" spans="1:9" x14ac:dyDescent="0.25">
      <c r="A11450" s="515">
        <v>88242</v>
      </c>
      <c r="B11450" s="515" t="s">
        <v>1097</v>
      </c>
      <c r="C11450" s="52">
        <v>215079.83172475401</v>
      </c>
      <c r="D11450" s="56">
        <v>-2.7621738110195374E-2</v>
      </c>
      <c r="E11450" s="224" t="s">
        <v>2</v>
      </c>
      <c r="F11450" s="515" t="s">
        <v>12642</v>
      </c>
      <c r="G11450" s="52">
        <v>179271.14069501901</v>
      </c>
      <c r="H11450" s="56">
        <v>5.4492137555902709E-2</v>
      </c>
      <c r="I11450" s="224" t="s">
        <v>2</v>
      </c>
    </row>
    <row r="11451" spans="1:9" x14ac:dyDescent="0.25">
      <c r="A11451" s="515">
        <v>98675</v>
      </c>
      <c r="B11451" s="515" t="s">
        <v>659</v>
      </c>
      <c r="C11451" s="52">
        <v>564923.76512580004</v>
      </c>
      <c r="D11451" s="56">
        <v>5.0841168944442093E-2</v>
      </c>
      <c r="E11451" s="224" t="s">
        <v>2</v>
      </c>
      <c r="F11451" s="515" t="s">
        <v>12643</v>
      </c>
      <c r="G11451" s="52">
        <v>193902.57297558399</v>
      </c>
      <c r="H11451" s="56">
        <v>6.994226731451382E-2</v>
      </c>
      <c r="I11451" s="224" t="s">
        <v>2</v>
      </c>
    </row>
    <row r="11452" spans="1:9" x14ac:dyDescent="0.25">
      <c r="A11452" s="515">
        <v>37020</v>
      </c>
      <c r="B11452" s="515" t="s">
        <v>684</v>
      </c>
      <c r="C11452" s="52">
        <v>353664.08163668303</v>
      </c>
      <c r="D11452" s="56">
        <v>6.5617244619150805E-2</v>
      </c>
      <c r="E11452" s="224" t="s">
        <v>2</v>
      </c>
      <c r="F11452" s="515" t="s">
        <v>12644</v>
      </c>
      <c r="G11452" s="52">
        <v>386328.92457057501</v>
      </c>
      <c r="H11452" s="56">
        <v>7.517424367208482E-2</v>
      </c>
      <c r="I11452" s="224" t="s">
        <v>2</v>
      </c>
    </row>
    <row r="11453" spans="1:9" x14ac:dyDescent="0.25">
      <c r="A11453" s="515">
        <v>78017</v>
      </c>
      <c r="B11453" s="515" t="s">
        <v>1043</v>
      </c>
      <c r="C11453" s="52">
        <v>101346.476868556</v>
      </c>
      <c r="D11453" s="56">
        <v>0</v>
      </c>
      <c r="E11453" s="224" t="s">
        <v>2</v>
      </c>
      <c r="F11453" s="515" t="s">
        <v>12645</v>
      </c>
      <c r="G11453" s="52">
        <v>301144.078124705</v>
      </c>
      <c r="H11453" s="56">
        <v>6.4637353608538256E-2</v>
      </c>
      <c r="I11453" s="224" t="s">
        <v>2</v>
      </c>
    </row>
    <row r="11454" spans="1:9" x14ac:dyDescent="0.25">
      <c r="A11454" s="515">
        <v>15946</v>
      </c>
      <c r="B11454" s="515" t="s">
        <v>828</v>
      </c>
      <c r="C11454" s="52">
        <v>98362.384475325103</v>
      </c>
      <c r="D11454" s="56">
        <v>-7.351542130771823E-3</v>
      </c>
      <c r="E11454" s="224" t="s">
        <v>2</v>
      </c>
      <c r="F11454" s="515" t="s">
        <v>12646</v>
      </c>
      <c r="G11454" s="52">
        <v>368917.87579176202</v>
      </c>
      <c r="H11454" s="56">
        <v>6.3322942795853418E-2</v>
      </c>
      <c r="I11454" s="224" t="s">
        <v>2</v>
      </c>
    </row>
    <row r="11455" spans="1:9" x14ac:dyDescent="0.25">
      <c r="A11455" s="515">
        <v>17073</v>
      </c>
      <c r="B11455" s="515" t="s">
        <v>562</v>
      </c>
      <c r="C11455" s="52">
        <v>274777.66816442198</v>
      </c>
      <c r="D11455" s="56">
        <v>9.5317010258676421E-2</v>
      </c>
      <c r="E11455" s="224" t="s">
        <v>2</v>
      </c>
      <c r="F11455" s="515" t="s">
        <v>12647</v>
      </c>
      <c r="G11455" s="52">
        <v>352611.01892121398</v>
      </c>
      <c r="H11455" s="56">
        <v>8.9076331411373957E-2</v>
      </c>
      <c r="I11455" s="224" t="s">
        <v>2</v>
      </c>
    </row>
    <row r="11456" spans="1:9" x14ac:dyDescent="0.25">
      <c r="A11456" s="515">
        <v>97411</v>
      </c>
      <c r="B11456" s="515" t="s">
        <v>868</v>
      </c>
      <c r="C11456" s="52">
        <v>444300.19026631099</v>
      </c>
      <c r="D11456" s="56">
        <v>6.3997830061803346E-2</v>
      </c>
      <c r="E11456" s="224" t="s">
        <v>2</v>
      </c>
      <c r="F11456" s="515" t="s">
        <v>12648</v>
      </c>
      <c r="G11456" s="52">
        <v>155894.10955015401</v>
      </c>
      <c r="H11456" s="56">
        <v>3.5089180781699827E-2</v>
      </c>
      <c r="I11456" s="224" t="s">
        <v>2</v>
      </c>
    </row>
    <row r="11457" spans="1:9" x14ac:dyDescent="0.25">
      <c r="A11457" s="515">
        <v>98403</v>
      </c>
      <c r="B11457" s="515" t="s">
        <v>384</v>
      </c>
      <c r="C11457" s="52">
        <v>660763.87106295303</v>
      </c>
      <c r="D11457" s="56">
        <v>2.9762981580997846E-3</v>
      </c>
      <c r="E11457" s="224">
        <v>1625.4166666666599</v>
      </c>
      <c r="F11457" s="515" t="s">
        <v>12649</v>
      </c>
      <c r="G11457" s="52">
        <v>179129.28574950001</v>
      </c>
      <c r="H11457" s="56">
        <v>0.10063303983535536</v>
      </c>
      <c r="I11457" s="224" t="s">
        <v>2</v>
      </c>
    </row>
    <row r="11458" spans="1:9" x14ac:dyDescent="0.25">
      <c r="A11458" s="515">
        <v>19301</v>
      </c>
      <c r="B11458" s="515" t="s">
        <v>294</v>
      </c>
      <c r="C11458" s="52">
        <v>540926.09706948302</v>
      </c>
      <c r="D11458" s="56">
        <v>7.0416962087953686E-2</v>
      </c>
      <c r="E11458" s="224">
        <v>2193</v>
      </c>
      <c r="F11458" s="515" t="s">
        <v>12650</v>
      </c>
      <c r="G11458" s="52">
        <v>389241.61265576899</v>
      </c>
      <c r="H11458" s="56">
        <v>3.5806797679509846E-2</v>
      </c>
      <c r="I11458" s="224" t="s">
        <v>2</v>
      </c>
    </row>
    <row r="11459" spans="1:9" x14ac:dyDescent="0.25">
      <c r="A11459" s="515">
        <v>75603</v>
      </c>
      <c r="B11459" s="515" t="s">
        <v>319</v>
      </c>
      <c r="C11459" s="52">
        <v>211730.55163413001</v>
      </c>
      <c r="D11459" s="56">
        <v>5.3855076497358809E-2</v>
      </c>
      <c r="E11459" s="224" t="s">
        <v>2</v>
      </c>
      <c r="F11459" s="515" t="s">
        <v>12651</v>
      </c>
      <c r="G11459" s="52">
        <v>529717.59339614504</v>
      </c>
      <c r="H11459" s="56">
        <v>6.0131841252922966E-2</v>
      </c>
      <c r="I11459" s="224" t="s">
        <v>2</v>
      </c>
    </row>
    <row r="11460" spans="1:9" x14ac:dyDescent="0.25">
      <c r="A11460" s="515">
        <v>14085</v>
      </c>
      <c r="B11460" s="515" t="s">
        <v>336</v>
      </c>
      <c r="C11460" s="52">
        <v>303761.10907015798</v>
      </c>
      <c r="D11460" s="56">
        <v>5.7583024777198628E-2</v>
      </c>
      <c r="E11460" s="224" t="s">
        <v>2</v>
      </c>
      <c r="F11460" s="515" t="s">
        <v>12652</v>
      </c>
      <c r="G11460" s="52">
        <v>375644.95879874402</v>
      </c>
      <c r="H11460" s="56">
        <v>1.617697084146812E-2</v>
      </c>
      <c r="I11460" s="224" t="s">
        <v>2</v>
      </c>
    </row>
    <row r="11461" spans="1:9" x14ac:dyDescent="0.25">
      <c r="A11461" s="515">
        <v>48413</v>
      </c>
      <c r="C11461" s="52">
        <v>131260.16070747399</v>
      </c>
      <c r="D11461" s="56">
        <v>4.4053521589853963E-2</v>
      </c>
      <c r="E11461" s="224" t="s">
        <v>2</v>
      </c>
      <c r="F11461" s="515" t="s">
        <v>12653</v>
      </c>
      <c r="G11461" s="52">
        <v>354523.66844379797</v>
      </c>
      <c r="H11461" s="56">
        <v>9.2276164835930749E-2</v>
      </c>
      <c r="I11461" s="224" t="s">
        <v>2</v>
      </c>
    </row>
    <row r="11462" spans="1:9" x14ac:dyDescent="0.25">
      <c r="A11462" s="515">
        <v>40360</v>
      </c>
      <c r="B11462" s="515" t="s">
        <v>900</v>
      </c>
      <c r="C11462" s="52">
        <v>143734.86788650299</v>
      </c>
      <c r="D11462" s="56">
        <v>0.17733169991706274</v>
      </c>
      <c r="E11462" s="224" t="s">
        <v>2</v>
      </c>
      <c r="F11462" s="515" t="s">
        <v>12654</v>
      </c>
      <c r="G11462" s="52">
        <v>210364.52097189601</v>
      </c>
      <c r="H11462" s="56">
        <v>4.9493913304955971E-2</v>
      </c>
      <c r="I11462" s="224" t="s">
        <v>2</v>
      </c>
    </row>
    <row r="11463" spans="1:9" x14ac:dyDescent="0.25">
      <c r="A11463" s="515">
        <v>3835</v>
      </c>
      <c r="B11463" s="515" t="s">
        <v>534</v>
      </c>
      <c r="C11463" s="52">
        <v>320777.336006217</v>
      </c>
      <c r="D11463" s="56">
        <v>0.12650591508850012</v>
      </c>
      <c r="E11463" s="224" t="s">
        <v>2</v>
      </c>
      <c r="F11463" s="515" t="s">
        <v>12655</v>
      </c>
      <c r="G11463" s="52">
        <v>227711.80173512001</v>
      </c>
      <c r="H11463" s="56">
        <v>9.5615130834029657E-2</v>
      </c>
      <c r="I11463" s="224" t="s">
        <v>2</v>
      </c>
    </row>
    <row r="11464" spans="1:9" x14ac:dyDescent="0.25">
      <c r="A11464" s="515">
        <v>75076</v>
      </c>
      <c r="B11464" s="515" t="s">
        <v>553</v>
      </c>
      <c r="C11464" s="52">
        <v>305304.74740420398</v>
      </c>
      <c r="D11464" s="56">
        <v>0.11341949241695364</v>
      </c>
      <c r="E11464" s="224" t="s">
        <v>2</v>
      </c>
      <c r="F11464" s="515" t="s">
        <v>12656</v>
      </c>
      <c r="G11464" s="52">
        <v>443344.12898677</v>
      </c>
      <c r="H11464" s="56">
        <v>1.3944353724217862E-2</v>
      </c>
      <c r="I11464" s="224">
        <v>1854.5</v>
      </c>
    </row>
    <row r="11465" spans="1:9" x14ac:dyDescent="0.25">
      <c r="A11465" s="515">
        <v>98815</v>
      </c>
      <c r="B11465" s="515" t="s">
        <v>521</v>
      </c>
      <c r="C11465" s="52">
        <v>449284.897840861</v>
      </c>
      <c r="D11465" s="56">
        <v>4.3194661427856246E-2</v>
      </c>
      <c r="E11465" s="224" t="s">
        <v>2</v>
      </c>
      <c r="F11465" s="515" t="s">
        <v>12657</v>
      </c>
      <c r="G11465" s="52">
        <v>286021.38356908399</v>
      </c>
      <c r="H11465" s="56">
        <v>8.8642295514772651E-2</v>
      </c>
      <c r="I11465" s="224" t="s">
        <v>2</v>
      </c>
    </row>
    <row r="11466" spans="1:9" x14ac:dyDescent="0.25">
      <c r="A11466" s="515">
        <v>86315</v>
      </c>
      <c r="B11466" s="515" t="s">
        <v>332</v>
      </c>
      <c r="C11466" s="52">
        <v>561200.10199230502</v>
      </c>
      <c r="D11466" s="56">
        <v>2.4143153670291968E-2</v>
      </c>
      <c r="E11466" s="224" t="s">
        <v>2</v>
      </c>
      <c r="F11466" s="515" t="s">
        <v>12658</v>
      </c>
      <c r="G11466" s="52">
        <v>226866.74345315501</v>
      </c>
      <c r="H11466" s="56">
        <v>9.878829331748977E-2</v>
      </c>
      <c r="I11466" s="224" t="s">
        <v>2</v>
      </c>
    </row>
    <row r="11467" spans="1:9" x14ac:dyDescent="0.25">
      <c r="A11467" s="515">
        <v>42129</v>
      </c>
      <c r="B11467" s="515" t="s">
        <v>829</v>
      </c>
      <c r="C11467" s="52">
        <v>128899.83394837601</v>
      </c>
      <c r="D11467" s="56">
        <v>0.21210359789922065</v>
      </c>
      <c r="E11467" s="224" t="s">
        <v>2</v>
      </c>
      <c r="F11467" s="515" t="s">
        <v>12659</v>
      </c>
      <c r="G11467" s="52">
        <v>145705.16064319099</v>
      </c>
      <c r="H11467" s="56">
        <v>7.543434604188573E-2</v>
      </c>
      <c r="I11467" s="224" t="s">
        <v>2</v>
      </c>
    </row>
    <row r="11468" spans="1:9" x14ac:dyDescent="0.25">
      <c r="A11468" s="515">
        <v>38126</v>
      </c>
      <c r="B11468" s="515" t="s">
        <v>951</v>
      </c>
      <c r="C11468" s="52">
        <v>62067.872308067301</v>
      </c>
      <c r="D11468" s="56">
        <v>0.18236403619135066</v>
      </c>
      <c r="E11468" s="224" t="s">
        <v>2</v>
      </c>
      <c r="F11468" s="515" t="s">
        <v>12660</v>
      </c>
      <c r="G11468" s="52">
        <v>149931.870982714</v>
      </c>
      <c r="H11468" s="56">
        <v>5.3236758906361488E-2</v>
      </c>
      <c r="I11468" s="224" t="s">
        <v>2</v>
      </c>
    </row>
    <row r="11469" spans="1:9" x14ac:dyDescent="0.25">
      <c r="A11469" s="515">
        <v>35581</v>
      </c>
      <c r="C11469" s="52">
        <v>144905.313712042</v>
      </c>
      <c r="D11469" s="56">
        <v>9.8946278492221137E-2</v>
      </c>
      <c r="E11469" s="224" t="s">
        <v>2</v>
      </c>
      <c r="F11469" s="515" t="s">
        <v>12661</v>
      </c>
      <c r="G11469" s="52">
        <v>267032.15744038002</v>
      </c>
      <c r="H11469" s="56">
        <v>8.1632111148958186E-2</v>
      </c>
      <c r="I11469" s="224" t="s">
        <v>2</v>
      </c>
    </row>
    <row r="11470" spans="1:9" x14ac:dyDescent="0.25">
      <c r="A11470" s="515">
        <v>73077</v>
      </c>
      <c r="C11470" s="52">
        <v>109295.257033391</v>
      </c>
      <c r="D11470" s="56">
        <v>9.2821753313185762E-2</v>
      </c>
      <c r="E11470" s="224" t="s">
        <v>2</v>
      </c>
      <c r="F11470" s="515" t="s">
        <v>12662</v>
      </c>
      <c r="G11470" s="52">
        <v>500011.66909795802</v>
      </c>
      <c r="H11470" s="56">
        <v>2.8290977029448813E-2</v>
      </c>
      <c r="I11470" s="224" t="s">
        <v>2</v>
      </c>
    </row>
    <row r="11471" spans="1:9" x14ac:dyDescent="0.25">
      <c r="A11471" s="515">
        <v>37029</v>
      </c>
      <c r="B11471" s="515" t="s">
        <v>684</v>
      </c>
      <c r="C11471" s="52">
        <v>404292.32012491499</v>
      </c>
      <c r="D11471" s="56">
        <v>5.851680477119036E-2</v>
      </c>
      <c r="E11471" s="224" t="s">
        <v>2</v>
      </c>
      <c r="F11471" s="515" t="s">
        <v>12663</v>
      </c>
      <c r="G11471" s="52">
        <v>51869.883664662702</v>
      </c>
      <c r="H11471" s="56">
        <v>-6.6948863984180899E-3</v>
      </c>
      <c r="I11471" s="224" t="s">
        <v>2</v>
      </c>
    </row>
    <row r="11472" spans="1:9" x14ac:dyDescent="0.25">
      <c r="A11472" s="515">
        <v>6073</v>
      </c>
      <c r="B11472" s="515" t="s">
        <v>894</v>
      </c>
      <c r="C11472" s="52">
        <v>502674.46164563001</v>
      </c>
      <c r="D11472" s="56">
        <v>8.1525457975915219E-2</v>
      </c>
      <c r="E11472" s="224" t="s">
        <v>2</v>
      </c>
      <c r="F11472" s="515" t="s">
        <v>12664</v>
      </c>
      <c r="G11472" s="52">
        <v>243368.42419267801</v>
      </c>
      <c r="H11472" s="56">
        <v>0.17051714332239279</v>
      </c>
      <c r="I11472" s="224" t="s">
        <v>2</v>
      </c>
    </row>
    <row r="11473" spans="1:9" x14ac:dyDescent="0.25">
      <c r="A11473" s="515">
        <v>12077</v>
      </c>
      <c r="B11473" s="515" t="s">
        <v>609</v>
      </c>
      <c r="C11473" s="52">
        <v>383132.45475301601</v>
      </c>
      <c r="D11473" s="56">
        <v>5.6838428771744519E-2</v>
      </c>
      <c r="E11473" s="224" t="s">
        <v>2</v>
      </c>
      <c r="F11473" s="515" t="s">
        <v>12665</v>
      </c>
      <c r="G11473" s="52">
        <v>148990.91166761599</v>
      </c>
      <c r="H11473" s="56">
        <v>8.2748754299381472E-2</v>
      </c>
      <c r="I11473" s="224" t="s">
        <v>2</v>
      </c>
    </row>
    <row r="11474" spans="1:9" x14ac:dyDescent="0.25">
      <c r="A11474" s="515">
        <v>97707</v>
      </c>
      <c r="B11474" s="515" t="s">
        <v>1190</v>
      </c>
      <c r="C11474" s="52">
        <v>662222.47183563595</v>
      </c>
      <c r="D11474" s="56">
        <v>-1.0774214851740255E-2</v>
      </c>
      <c r="E11474" s="224" t="s">
        <v>2</v>
      </c>
      <c r="F11474" s="515" t="s">
        <v>12666</v>
      </c>
      <c r="G11474" s="52">
        <v>246249.18209583501</v>
      </c>
      <c r="H11474" s="56">
        <v>2.9169784645108419E-2</v>
      </c>
      <c r="I11474" s="224" t="s">
        <v>2</v>
      </c>
    </row>
    <row r="11475" spans="1:9" x14ac:dyDescent="0.25">
      <c r="A11475" s="515">
        <v>10507</v>
      </c>
      <c r="B11475" s="515" t="s">
        <v>324</v>
      </c>
      <c r="C11475" s="52">
        <v>650361.57211641001</v>
      </c>
      <c r="D11475" s="56">
        <v>6.5814231737762713E-2</v>
      </c>
      <c r="E11475" s="224" t="s">
        <v>2</v>
      </c>
      <c r="F11475" s="515" t="s">
        <v>12667</v>
      </c>
      <c r="G11475" s="52">
        <v>123187.171568555</v>
      </c>
      <c r="H11475" s="56">
        <v>6.5026883067059851E-2</v>
      </c>
      <c r="I11475" s="224" t="s">
        <v>2</v>
      </c>
    </row>
    <row r="11476" spans="1:9" x14ac:dyDescent="0.25">
      <c r="A11476" s="515">
        <v>12832</v>
      </c>
      <c r="B11476" s="515" t="s">
        <v>422</v>
      </c>
      <c r="C11476" s="52">
        <v>173715.355194659</v>
      </c>
      <c r="D11476" s="56">
        <v>8.4572507111866535E-2</v>
      </c>
      <c r="E11476" s="224" t="s">
        <v>2</v>
      </c>
      <c r="F11476" s="515" t="s">
        <v>12668</v>
      </c>
      <c r="G11476" s="52">
        <v>172158.53043510899</v>
      </c>
      <c r="H11476" s="56">
        <v>9.5759558734292514E-3</v>
      </c>
      <c r="I11476" s="224" t="s">
        <v>2</v>
      </c>
    </row>
    <row r="11477" spans="1:9" x14ac:dyDescent="0.25">
      <c r="A11477" s="515">
        <v>62233</v>
      </c>
      <c r="C11477" s="52">
        <v>97381.133594613697</v>
      </c>
      <c r="D11477" s="56">
        <v>6.7268024513097519E-2</v>
      </c>
      <c r="E11477" s="224" t="s">
        <v>2</v>
      </c>
      <c r="F11477" s="515" t="s">
        <v>12669</v>
      </c>
      <c r="G11477" s="52">
        <v>276731.12243816699</v>
      </c>
      <c r="H11477" s="56">
        <v>0.11581916323696261</v>
      </c>
      <c r="I11477" s="224" t="s">
        <v>2</v>
      </c>
    </row>
    <row r="11478" spans="1:9" x14ac:dyDescent="0.25">
      <c r="A11478" s="515">
        <v>61874</v>
      </c>
      <c r="B11478" s="515" t="s">
        <v>417</v>
      </c>
      <c r="C11478" s="52">
        <v>289935.49230085697</v>
      </c>
      <c r="D11478" s="56">
        <v>6.3593115640266179E-2</v>
      </c>
      <c r="E11478" s="224">
        <v>1187.5</v>
      </c>
      <c r="F11478" s="515" t="s">
        <v>12670</v>
      </c>
      <c r="G11478" s="52">
        <v>373732.06522431999</v>
      </c>
      <c r="H11478" s="56">
        <v>0.14127747408290936</v>
      </c>
      <c r="I11478" s="224" t="s">
        <v>2</v>
      </c>
    </row>
    <row r="11479" spans="1:9" x14ac:dyDescent="0.25">
      <c r="A11479" s="515">
        <v>48357</v>
      </c>
      <c r="B11479" s="515" t="s">
        <v>685</v>
      </c>
      <c r="C11479" s="52">
        <v>362326.95561709499</v>
      </c>
      <c r="D11479" s="56">
        <v>1.7525093923963217E-2</v>
      </c>
      <c r="E11479" s="224">
        <v>1199</v>
      </c>
      <c r="F11479" s="515" t="s">
        <v>12671</v>
      </c>
      <c r="G11479" s="52">
        <v>777436.84496551298</v>
      </c>
      <c r="H11479" s="56">
        <v>7.0064658520521683E-2</v>
      </c>
      <c r="I11479" s="224" t="s">
        <v>2</v>
      </c>
    </row>
    <row r="11480" spans="1:9" x14ac:dyDescent="0.25">
      <c r="A11480" s="515">
        <v>76023</v>
      </c>
      <c r="B11480" s="515" t="s">
        <v>458</v>
      </c>
      <c r="C11480" s="52">
        <v>357104.19597555097</v>
      </c>
      <c r="D11480" s="56">
        <v>5.2402047404774554E-2</v>
      </c>
      <c r="E11480" s="224" t="s">
        <v>2</v>
      </c>
      <c r="F11480" s="515" t="s">
        <v>12672</v>
      </c>
      <c r="G11480" s="52">
        <v>466415.84868918202</v>
      </c>
      <c r="H11480" s="56">
        <v>3.3672194923006424E-2</v>
      </c>
      <c r="I11480" s="224" t="s">
        <v>2</v>
      </c>
    </row>
    <row r="11481" spans="1:9" x14ac:dyDescent="0.25">
      <c r="A11481" s="515">
        <v>93625</v>
      </c>
      <c r="B11481" s="515" t="s">
        <v>541</v>
      </c>
      <c r="C11481" s="52">
        <v>400416.19360861799</v>
      </c>
      <c r="D11481" s="56">
        <v>3.6270686393377327E-2</v>
      </c>
      <c r="E11481" s="224" t="s">
        <v>2</v>
      </c>
      <c r="F11481" s="515" t="s">
        <v>12673</v>
      </c>
      <c r="G11481" s="52">
        <v>253859.14509268099</v>
      </c>
      <c r="H11481" s="56">
        <v>0.11663927683721433</v>
      </c>
      <c r="I11481" s="224" t="s">
        <v>2</v>
      </c>
    </row>
    <row r="11482" spans="1:9" x14ac:dyDescent="0.25">
      <c r="A11482" s="515">
        <v>42127</v>
      </c>
      <c r="B11482" s="515" t="s">
        <v>829</v>
      </c>
      <c r="C11482" s="52">
        <v>155180.569402797</v>
      </c>
      <c r="D11482" s="56">
        <v>7.2812418968740786E-2</v>
      </c>
      <c r="E11482" s="224" t="s">
        <v>2</v>
      </c>
      <c r="F11482" s="515" t="s">
        <v>12674</v>
      </c>
      <c r="G11482" s="52">
        <v>101092.671464024</v>
      </c>
      <c r="H11482" s="56">
        <v>0</v>
      </c>
      <c r="I11482" s="224" t="s">
        <v>2</v>
      </c>
    </row>
    <row r="11483" spans="1:9" x14ac:dyDescent="0.25">
      <c r="A11483" s="515">
        <v>7830</v>
      </c>
      <c r="B11483" s="515" t="s">
        <v>324</v>
      </c>
      <c r="C11483" s="52">
        <v>591068.05361246597</v>
      </c>
      <c r="D11483" s="56">
        <v>3.7303754968554231E-2</v>
      </c>
      <c r="E11483" s="224" t="s">
        <v>2</v>
      </c>
      <c r="F11483" s="515" t="s">
        <v>12675</v>
      </c>
      <c r="G11483" s="52">
        <v>153753.23303715399</v>
      </c>
      <c r="H11483" s="56">
        <v>1.02256951288689E-2</v>
      </c>
      <c r="I11483" s="224" t="s">
        <v>2</v>
      </c>
    </row>
    <row r="11484" spans="1:9" x14ac:dyDescent="0.25">
      <c r="A11484" s="515">
        <v>32266</v>
      </c>
      <c r="B11484" s="515" t="s">
        <v>1158</v>
      </c>
      <c r="C11484" s="52">
        <v>676296.68274102802</v>
      </c>
      <c r="D11484" s="56">
        <v>9.543002662546618E-2</v>
      </c>
      <c r="E11484" s="224">
        <v>1935.7222222222199</v>
      </c>
      <c r="F11484" s="515" t="s">
        <v>12676</v>
      </c>
      <c r="G11484" s="52">
        <v>402827.367004606</v>
      </c>
      <c r="H11484" s="56">
        <v>0.10620340609537254</v>
      </c>
      <c r="I11484" s="224" t="s">
        <v>2</v>
      </c>
    </row>
    <row r="11485" spans="1:9" x14ac:dyDescent="0.25">
      <c r="A11485" s="515">
        <v>55359</v>
      </c>
      <c r="B11485" s="515" t="s">
        <v>532</v>
      </c>
      <c r="C11485" s="52">
        <v>547372.88056154596</v>
      </c>
      <c r="D11485" s="56">
        <v>9.7633853896694364E-2</v>
      </c>
      <c r="E11485" s="224" t="s">
        <v>2</v>
      </c>
      <c r="F11485" s="515" t="s">
        <v>12677</v>
      </c>
      <c r="G11485" s="52">
        <v>129826.938909466</v>
      </c>
      <c r="H11485" s="56">
        <v>0.14939904222500375</v>
      </c>
      <c r="I11485" s="224" t="s">
        <v>2</v>
      </c>
    </row>
    <row r="11486" spans="1:9" x14ac:dyDescent="0.25">
      <c r="A11486" s="515">
        <v>45656</v>
      </c>
      <c r="B11486" s="515" t="s">
        <v>381</v>
      </c>
      <c r="C11486" s="52">
        <v>90142.6643545517</v>
      </c>
      <c r="D11486" s="56">
        <v>-3.5435285751418237E-2</v>
      </c>
      <c r="E11486" s="224" t="s">
        <v>2</v>
      </c>
      <c r="F11486" s="515" t="s">
        <v>12678</v>
      </c>
      <c r="G11486" s="52">
        <v>121491.114997991</v>
      </c>
      <c r="H11486" s="56">
        <v>-7.2585039252688319E-2</v>
      </c>
      <c r="I11486" s="224" t="s">
        <v>2</v>
      </c>
    </row>
    <row r="11487" spans="1:9" x14ac:dyDescent="0.25">
      <c r="A11487" s="515">
        <v>7823</v>
      </c>
      <c r="B11487" s="515" t="s">
        <v>327</v>
      </c>
      <c r="C11487" s="52">
        <v>320110.71684526303</v>
      </c>
      <c r="D11487" s="56">
        <v>5.4254083565959843E-2</v>
      </c>
      <c r="E11487" s="224" t="s">
        <v>2</v>
      </c>
      <c r="F11487" s="515" t="s">
        <v>12679</v>
      </c>
      <c r="G11487" s="52">
        <v>434670.77059248998</v>
      </c>
      <c r="H11487" s="56">
        <v>2.8240863598251731E-2</v>
      </c>
      <c r="I11487" s="224" t="s">
        <v>2</v>
      </c>
    </row>
    <row r="11488" spans="1:9" x14ac:dyDescent="0.25">
      <c r="A11488" s="515">
        <v>30546</v>
      </c>
      <c r="C11488" s="52">
        <v>339748.90337289602</v>
      </c>
      <c r="D11488" s="56">
        <v>6.8621233229903003E-2</v>
      </c>
      <c r="E11488" s="224" t="s">
        <v>2</v>
      </c>
      <c r="F11488" s="515" t="s">
        <v>12680</v>
      </c>
      <c r="G11488" s="52">
        <v>746973.76037316595</v>
      </c>
      <c r="H11488" s="56">
        <v>0.10002205693418399</v>
      </c>
      <c r="I11488" s="224" t="s">
        <v>2</v>
      </c>
    </row>
    <row r="11489" spans="1:9" x14ac:dyDescent="0.25">
      <c r="A11489" s="515">
        <v>93445</v>
      </c>
      <c r="B11489" s="515" t="s">
        <v>959</v>
      </c>
      <c r="C11489" s="52">
        <v>584678.63058032596</v>
      </c>
      <c r="D11489" s="56">
        <v>8.1145909771570754E-2</v>
      </c>
      <c r="E11489" s="224" t="s">
        <v>2</v>
      </c>
      <c r="F11489" s="515" t="s">
        <v>12681</v>
      </c>
      <c r="G11489" s="52">
        <v>467418.66782853001</v>
      </c>
      <c r="H11489" s="56">
        <v>-1.5887346962636311E-2</v>
      </c>
      <c r="I11489" s="224" t="s">
        <v>2</v>
      </c>
    </row>
    <row r="11490" spans="1:9" x14ac:dyDescent="0.25">
      <c r="A11490" s="515">
        <v>92548</v>
      </c>
      <c r="B11490" s="515" t="s">
        <v>599</v>
      </c>
      <c r="C11490" s="52">
        <v>399937.603557706</v>
      </c>
      <c r="D11490" s="56">
        <v>5.0036108299189939E-2</v>
      </c>
      <c r="E11490" s="224" t="s">
        <v>2</v>
      </c>
      <c r="F11490" s="515" t="s">
        <v>12682</v>
      </c>
      <c r="G11490" s="52">
        <v>590755.11605239403</v>
      </c>
      <c r="H11490" s="56">
        <v>0.11961535660982027</v>
      </c>
      <c r="I11490" s="224" t="s">
        <v>2</v>
      </c>
    </row>
    <row r="11491" spans="1:9" x14ac:dyDescent="0.25">
      <c r="A11491" s="515">
        <v>95018</v>
      </c>
      <c r="B11491" s="515" t="s">
        <v>596</v>
      </c>
      <c r="C11491" s="52">
        <v>819826.13069223205</v>
      </c>
      <c r="D11491" s="56">
        <v>1.8422889740116001E-2</v>
      </c>
      <c r="E11491" s="224" t="s">
        <v>2</v>
      </c>
      <c r="F11491" s="515" t="s">
        <v>12683</v>
      </c>
      <c r="G11491" s="52">
        <v>90960.958186747695</v>
      </c>
      <c r="H11491" s="56">
        <v>0.10421630855384442</v>
      </c>
      <c r="I11491" s="224" t="s">
        <v>2</v>
      </c>
    </row>
    <row r="11492" spans="1:9" x14ac:dyDescent="0.25">
      <c r="A11492" s="515">
        <v>46737</v>
      </c>
      <c r="B11492" s="515" t="s">
        <v>1072</v>
      </c>
      <c r="C11492" s="52">
        <v>313822.27167227701</v>
      </c>
      <c r="D11492" s="56">
        <v>4.6508729831764337E-2</v>
      </c>
      <c r="E11492" s="224" t="s">
        <v>2</v>
      </c>
      <c r="F11492" s="515" t="s">
        <v>12684</v>
      </c>
      <c r="G11492" s="52">
        <v>312765.25659720303</v>
      </c>
      <c r="H11492" s="56">
        <v>8.6886264914366448E-2</v>
      </c>
      <c r="I11492" s="224" t="s">
        <v>2</v>
      </c>
    </row>
    <row r="11493" spans="1:9" x14ac:dyDescent="0.25">
      <c r="A11493" s="515">
        <v>1524</v>
      </c>
      <c r="B11493" s="515" t="s">
        <v>751</v>
      </c>
      <c r="C11493" s="52">
        <v>382386.92753553297</v>
      </c>
      <c r="D11493" s="56">
        <v>8.7929548074825697E-2</v>
      </c>
      <c r="E11493" s="224" t="s">
        <v>2</v>
      </c>
      <c r="F11493" s="515" t="s">
        <v>12685</v>
      </c>
      <c r="G11493" s="52">
        <v>447391.69905439101</v>
      </c>
      <c r="H11493" s="56">
        <v>3.2340580475522171E-2</v>
      </c>
      <c r="I11493" s="224" t="s">
        <v>2</v>
      </c>
    </row>
    <row r="11494" spans="1:9" x14ac:dyDescent="0.25">
      <c r="A11494" s="515">
        <v>91708</v>
      </c>
      <c r="B11494" s="515" t="s">
        <v>599</v>
      </c>
      <c r="C11494" s="52">
        <v>677261.72479792498</v>
      </c>
      <c r="D11494" s="56">
        <v>6.0458956505772779E-2</v>
      </c>
      <c r="E11494" s="224">
        <v>3275.9398148148098</v>
      </c>
      <c r="F11494" s="515" t="s">
        <v>12686</v>
      </c>
      <c r="G11494" s="52">
        <v>272994.512960608</v>
      </c>
      <c r="H11494" s="56">
        <v>7.5122721007106416E-2</v>
      </c>
      <c r="I11494" s="224" t="s">
        <v>2</v>
      </c>
    </row>
    <row r="11495" spans="1:9" x14ac:dyDescent="0.25">
      <c r="A11495" s="515">
        <v>78014</v>
      </c>
      <c r="C11495" s="52">
        <v>93208.005816518606</v>
      </c>
      <c r="D11495" s="56">
        <v>0</v>
      </c>
      <c r="E11495" s="224" t="s">
        <v>2</v>
      </c>
      <c r="F11495" s="515" t="s">
        <v>12687</v>
      </c>
      <c r="G11495" s="52">
        <v>343856.37959597801</v>
      </c>
      <c r="H11495" s="56">
        <v>6.9502217427123952E-2</v>
      </c>
      <c r="I11495" s="224" t="s">
        <v>2</v>
      </c>
    </row>
    <row r="11496" spans="1:9" x14ac:dyDescent="0.25">
      <c r="A11496" s="515">
        <v>22580</v>
      </c>
      <c r="C11496" s="52">
        <v>289246.77409611299</v>
      </c>
      <c r="D11496" s="56">
        <v>0.12618525845933795</v>
      </c>
      <c r="E11496" s="224" t="s">
        <v>2</v>
      </c>
      <c r="F11496" s="515" t="s">
        <v>12688</v>
      </c>
      <c r="G11496" s="52">
        <v>415718.21484283998</v>
      </c>
      <c r="H11496" s="56">
        <v>0.10169132623650545</v>
      </c>
      <c r="I11496" s="224" t="s">
        <v>2</v>
      </c>
    </row>
    <row r="11497" spans="1:9" x14ac:dyDescent="0.25">
      <c r="A11497" s="515">
        <v>93022</v>
      </c>
      <c r="B11497" s="515" t="s">
        <v>1021</v>
      </c>
      <c r="C11497" s="52">
        <v>760571.54682876205</v>
      </c>
      <c r="D11497" s="56">
        <v>2.024224282708505E-2</v>
      </c>
      <c r="E11497" s="224" t="s">
        <v>2</v>
      </c>
      <c r="F11497" s="515" t="s">
        <v>12689</v>
      </c>
      <c r="G11497" s="52">
        <v>101568.174518827</v>
      </c>
      <c r="H11497" s="56">
        <v>0.19898930907196519</v>
      </c>
      <c r="I11497" s="224" t="s">
        <v>2</v>
      </c>
    </row>
    <row r="11498" spans="1:9" x14ac:dyDescent="0.25">
      <c r="A11498" s="515">
        <v>44618</v>
      </c>
      <c r="B11498" s="515" t="s">
        <v>1136</v>
      </c>
      <c r="C11498" s="52">
        <v>356382.63852735201</v>
      </c>
      <c r="D11498" s="56">
        <v>0.45835964237760451</v>
      </c>
      <c r="E11498" s="224" t="s">
        <v>2</v>
      </c>
      <c r="F11498" s="515" t="s">
        <v>12690</v>
      </c>
      <c r="G11498" s="52">
        <v>167493.255120154</v>
      </c>
      <c r="H11498" s="56">
        <v>0.10000512500459088</v>
      </c>
      <c r="I11498" s="224" t="s">
        <v>2</v>
      </c>
    </row>
    <row r="11499" spans="1:9" x14ac:dyDescent="0.25">
      <c r="A11499" s="515">
        <v>79104</v>
      </c>
      <c r="B11499" s="515" t="s">
        <v>869</v>
      </c>
      <c r="C11499" s="52">
        <v>92951.587796711698</v>
      </c>
      <c r="D11499" s="56">
        <v>0.17843259689960031</v>
      </c>
      <c r="E11499" s="224" t="s">
        <v>2</v>
      </c>
      <c r="F11499" s="515" t="s">
        <v>12691</v>
      </c>
      <c r="G11499" s="52">
        <v>193850.443876456</v>
      </c>
      <c r="H11499" s="56">
        <v>9.0851391382990768E-2</v>
      </c>
      <c r="I11499" s="224" t="s">
        <v>2</v>
      </c>
    </row>
    <row r="11500" spans="1:9" x14ac:dyDescent="0.25">
      <c r="A11500" s="515">
        <v>36089</v>
      </c>
      <c r="C11500" s="52">
        <v>90766.395958949302</v>
      </c>
      <c r="D11500" s="56">
        <v>1.6216961110250047E-2</v>
      </c>
      <c r="E11500" s="224" t="s">
        <v>2</v>
      </c>
      <c r="F11500" s="515" t="s">
        <v>12692</v>
      </c>
      <c r="G11500" s="52">
        <v>138785.958227152</v>
      </c>
      <c r="H11500" s="56">
        <v>2.4551991314262514E-2</v>
      </c>
      <c r="I11500" s="224" t="s">
        <v>2</v>
      </c>
    </row>
    <row r="11501" spans="1:9" x14ac:dyDescent="0.25">
      <c r="A11501" s="515">
        <v>37082</v>
      </c>
      <c r="B11501" s="515" t="s">
        <v>684</v>
      </c>
      <c r="C11501" s="52">
        <v>423390.16887627501</v>
      </c>
      <c r="D11501" s="56">
        <v>4.9694235102541638E-2</v>
      </c>
      <c r="E11501" s="224" t="s">
        <v>2</v>
      </c>
      <c r="F11501" s="515" t="s">
        <v>12693</v>
      </c>
      <c r="G11501" s="52">
        <v>215305.50132324101</v>
      </c>
      <c r="H11501" s="56">
        <v>6.2181468930927186E-2</v>
      </c>
      <c r="I11501" s="224" t="s">
        <v>2</v>
      </c>
    </row>
    <row r="11502" spans="1:9" x14ac:dyDescent="0.25">
      <c r="A11502" s="515">
        <v>37737</v>
      </c>
      <c r="B11502" s="515" t="s">
        <v>907</v>
      </c>
      <c r="C11502" s="52">
        <v>352509.83388332801</v>
      </c>
      <c r="D11502" s="56">
        <v>0.11462792615475817</v>
      </c>
      <c r="E11502" s="224" t="s">
        <v>2</v>
      </c>
      <c r="F11502" s="515" t="s">
        <v>12694</v>
      </c>
      <c r="G11502" s="52">
        <v>163639.343617829</v>
      </c>
      <c r="H11502" s="56">
        <v>6.3869506336180229E-2</v>
      </c>
      <c r="I11502" s="224" t="s">
        <v>2</v>
      </c>
    </row>
    <row r="11503" spans="1:9" x14ac:dyDescent="0.25">
      <c r="A11503" s="515">
        <v>78583</v>
      </c>
      <c r="B11503" s="515" t="s">
        <v>444</v>
      </c>
      <c r="C11503" s="52">
        <v>155154.340479106</v>
      </c>
      <c r="D11503" s="56">
        <v>7.3860009221746195E-2</v>
      </c>
      <c r="E11503" s="224" t="s">
        <v>2</v>
      </c>
      <c r="F11503" s="515" t="s">
        <v>12695</v>
      </c>
      <c r="G11503" s="52">
        <v>227903.86056138601</v>
      </c>
      <c r="H11503" s="56">
        <v>8.6526801644543669E-2</v>
      </c>
      <c r="I11503" s="224" t="s">
        <v>2</v>
      </c>
    </row>
    <row r="11504" spans="1:9" x14ac:dyDescent="0.25">
      <c r="A11504" s="515">
        <v>31096</v>
      </c>
      <c r="B11504" s="515" t="s">
        <v>929</v>
      </c>
      <c r="C11504" s="52">
        <v>92801.965136779894</v>
      </c>
      <c r="D11504" s="56">
        <v>3.5224707022103126E-2</v>
      </c>
      <c r="E11504" s="224" t="s">
        <v>2</v>
      </c>
      <c r="F11504" s="515" t="s">
        <v>12696</v>
      </c>
      <c r="G11504" s="52">
        <v>150579.09442905901</v>
      </c>
      <c r="H11504" s="56">
        <v>0.17896508977409664</v>
      </c>
      <c r="I11504" s="224" t="s">
        <v>2</v>
      </c>
    </row>
    <row r="11505" spans="1:9" x14ac:dyDescent="0.25">
      <c r="A11505" s="515">
        <v>35759</v>
      </c>
      <c r="B11505" s="515" t="s">
        <v>997</v>
      </c>
      <c r="C11505" s="52">
        <v>309581.05588664999</v>
      </c>
      <c r="D11505" s="56">
        <v>8.4799434042218763E-2</v>
      </c>
      <c r="E11505" s="224">
        <v>1725</v>
      </c>
      <c r="F11505" s="515" t="s">
        <v>12697</v>
      </c>
      <c r="G11505" s="52">
        <v>119989.635454107</v>
      </c>
      <c r="H11505" s="56">
        <v>0</v>
      </c>
      <c r="I11505" s="224" t="s">
        <v>2</v>
      </c>
    </row>
    <row r="11506" spans="1:9" x14ac:dyDescent="0.25">
      <c r="A11506" s="515">
        <v>62062</v>
      </c>
      <c r="B11506" s="515" t="s">
        <v>498</v>
      </c>
      <c r="C11506" s="52">
        <v>277855.93200681801</v>
      </c>
      <c r="D11506" s="56">
        <v>4.5555054434227242E-2</v>
      </c>
      <c r="E11506" s="224" t="s">
        <v>2</v>
      </c>
      <c r="F11506" s="515" t="s">
        <v>12698</v>
      </c>
      <c r="G11506" s="52">
        <v>282106.29901605699</v>
      </c>
      <c r="H11506" s="56">
        <v>3.9520296961689599E-2</v>
      </c>
      <c r="I11506" s="224" t="s">
        <v>2</v>
      </c>
    </row>
    <row r="11507" spans="1:9" x14ac:dyDescent="0.25">
      <c r="A11507" s="515">
        <v>28604</v>
      </c>
      <c r="C11507" s="52">
        <v>391740.43597613298</v>
      </c>
      <c r="D11507" s="56">
        <v>0.15403243465322924</v>
      </c>
      <c r="E11507" s="224" t="s">
        <v>2</v>
      </c>
      <c r="F11507" s="515" t="s">
        <v>12699</v>
      </c>
      <c r="G11507" s="52">
        <v>165982.404779075</v>
      </c>
      <c r="H11507" s="56">
        <v>0</v>
      </c>
      <c r="I11507" s="224" t="s">
        <v>2</v>
      </c>
    </row>
    <row r="11508" spans="1:9" x14ac:dyDescent="0.25">
      <c r="A11508" s="515">
        <v>8551</v>
      </c>
      <c r="B11508" s="515" t="s">
        <v>324</v>
      </c>
      <c r="C11508" s="52">
        <v>574094.22720179905</v>
      </c>
      <c r="D11508" s="56">
        <v>3.7863310333276001E-2</v>
      </c>
      <c r="E11508" s="224" t="s">
        <v>2</v>
      </c>
      <c r="F11508" s="515" t="s">
        <v>12700</v>
      </c>
      <c r="G11508" s="52">
        <v>123366.55467294301</v>
      </c>
      <c r="H11508" s="56">
        <v>5.0130446924697869E-2</v>
      </c>
      <c r="I11508" s="224" t="s">
        <v>2</v>
      </c>
    </row>
    <row r="11509" spans="1:9" x14ac:dyDescent="0.25">
      <c r="A11509" s="515">
        <v>97205</v>
      </c>
      <c r="B11509" s="515" t="s">
        <v>659</v>
      </c>
      <c r="C11509" s="52">
        <v>519115.45234106202</v>
      </c>
      <c r="D11509" s="56">
        <v>-4.5742413177022649E-2</v>
      </c>
      <c r="E11509" s="224">
        <v>1860.02272727272</v>
      </c>
      <c r="F11509" s="515" t="s">
        <v>12701</v>
      </c>
      <c r="G11509" s="52">
        <v>170091.11243800199</v>
      </c>
      <c r="H11509" s="56">
        <v>7.0287969385082652E-2</v>
      </c>
      <c r="I11509" s="224" t="s">
        <v>2</v>
      </c>
    </row>
    <row r="11510" spans="1:9" x14ac:dyDescent="0.25">
      <c r="A11510" s="515">
        <v>7716</v>
      </c>
      <c r="B11510" s="515" t="s">
        <v>324</v>
      </c>
      <c r="C11510" s="52">
        <v>616454.70215425396</v>
      </c>
      <c r="D11510" s="56">
        <v>7.2876026092781904E-2</v>
      </c>
      <c r="E11510" s="224" t="s">
        <v>2</v>
      </c>
      <c r="F11510" s="515" t="s">
        <v>12702</v>
      </c>
      <c r="G11510" s="52">
        <v>188418.38349587499</v>
      </c>
      <c r="H11510" s="56">
        <v>7.0189051548377637E-2</v>
      </c>
      <c r="I11510" s="224" t="s">
        <v>2</v>
      </c>
    </row>
    <row r="11511" spans="1:9" x14ac:dyDescent="0.25">
      <c r="A11511" s="515">
        <v>47106</v>
      </c>
      <c r="B11511" s="515" t="s">
        <v>479</v>
      </c>
      <c r="C11511" s="52">
        <v>250251.21288514699</v>
      </c>
      <c r="D11511" s="56">
        <v>6.3411699464125462E-2</v>
      </c>
      <c r="E11511" s="224" t="s">
        <v>2</v>
      </c>
      <c r="F11511" s="515" t="s">
        <v>12703</v>
      </c>
      <c r="G11511" s="52">
        <v>512992.04126748798</v>
      </c>
      <c r="H11511" s="56">
        <v>2.6665643648540939E-2</v>
      </c>
      <c r="I11511" s="224" t="s">
        <v>2</v>
      </c>
    </row>
    <row r="11512" spans="1:9" x14ac:dyDescent="0.25">
      <c r="A11512" s="515">
        <v>4021</v>
      </c>
      <c r="B11512" s="515" t="s">
        <v>570</v>
      </c>
      <c r="C11512" s="52">
        <v>575367.86742052098</v>
      </c>
      <c r="D11512" s="56">
        <v>4.0745325608947384E-2</v>
      </c>
      <c r="E11512" s="224" t="s">
        <v>2</v>
      </c>
      <c r="F11512" s="515" t="s">
        <v>12704</v>
      </c>
      <c r="G11512" s="52">
        <v>129280.09849274</v>
      </c>
      <c r="H11512" s="56">
        <v>0.11214559302457576</v>
      </c>
      <c r="I11512" s="224" t="s">
        <v>2</v>
      </c>
    </row>
    <row r="11513" spans="1:9" x14ac:dyDescent="0.25">
      <c r="A11513" s="515">
        <v>1464</v>
      </c>
      <c r="B11513" s="515" t="s">
        <v>534</v>
      </c>
      <c r="C11513" s="52">
        <v>446015.10459383298</v>
      </c>
      <c r="D11513" s="56">
        <v>3.7294775910116915E-2</v>
      </c>
      <c r="E11513" s="224" t="s">
        <v>2</v>
      </c>
      <c r="F11513" s="515" t="s">
        <v>12705</v>
      </c>
      <c r="G11513" s="52">
        <v>196597.08424448399</v>
      </c>
      <c r="H11513" s="56">
        <v>0.11210857415451471</v>
      </c>
      <c r="I11513" s="224" t="s">
        <v>2</v>
      </c>
    </row>
    <row r="11514" spans="1:9" x14ac:dyDescent="0.25">
      <c r="A11514" s="515">
        <v>63461</v>
      </c>
      <c r="B11514" s="515" t="s">
        <v>867</v>
      </c>
      <c r="C11514" s="52">
        <v>184737.78844879099</v>
      </c>
      <c r="D11514" s="56">
        <v>5.8163645848115175E-2</v>
      </c>
      <c r="E11514" s="224" t="s">
        <v>2</v>
      </c>
      <c r="F11514" s="515" t="s">
        <v>12706</v>
      </c>
      <c r="G11514" s="52">
        <v>162978.92619532399</v>
      </c>
      <c r="H11514" s="56">
        <v>0.10579045565203486</v>
      </c>
      <c r="I11514" s="224" t="s">
        <v>2</v>
      </c>
    </row>
    <row r="11515" spans="1:9" x14ac:dyDescent="0.25">
      <c r="A11515" s="515">
        <v>45217</v>
      </c>
      <c r="B11515" s="515" t="s">
        <v>344</v>
      </c>
      <c r="C11515" s="52">
        <v>166565.852677763</v>
      </c>
      <c r="D11515" s="56">
        <v>6.7960691710829552E-2</v>
      </c>
      <c r="E11515" s="224" t="s">
        <v>2</v>
      </c>
      <c r="F11515" s="515" t="s">
        <v>12707</v>
      </c>
      <c r="G11515" s="52">
        <v>120752.13238645101</v>
      </c>
      <c r="H11515" s="56">
        <v>-5.8333165878293153E-2</v>
      </c>
      <c r="I11515" s="224" t="s">
        <v>2</v>
      </c>
    </row>
    <row r="11516" spans="1:9" x14ac:dyDescent="0.25">
      <c r="A11516" s="515">
        <v>51108</v>
      </c>
      <c r="B11516" s="515" t="s">
        <v>649</v>
      </c>
      <c r="C11516" s="52">
        <v>206760.26138567101</v>
      </c>
      <c r="D11516" s="56">
        <v>7.499586363481052E-2</v>
      </c>
      <c r="E11516" s="224" t="s">
        <v>2</v>
      </c>
      <c r="F11516" s="515" t="s">
        <v>12708</v>
      </c>
      <c r="G11516" s="52">
        <v>306278.55399731302</v>
      </c>
      <c r="H11516" s="56">
        <v>8.7192747627991854E-2</v>
      </c>
      <c r="I11516" s="224" t="s">
        <v>2</v>
      </c>
    </row>
    <row r="11517" spans="1:9" x14ac:dyDescent="0.25">
      <c r="A11517" s="515">
        <v>94028</v>
      </c>
      <c r="B11517" s="515" t="s">
        <v>593</v>
      </c>
      <c r="C11517" s="52">
        <v>3730261.8396867299</v>
      </c>
      <c r="D11517" s="56">
        <v>-9.1143160807637576E-3</v>
      </c>
      <c r="E11517" s="224" t="s">
        <v>2</v>
      </c>
      <c r="F11517" s="515" t="s">
        <v>12709</v>
      </c>
      <c r="G11517" s="52">
        <v>297764.29891782999</v>
      </c>
      <c r="H11517" s="56">
        <v>0.10921515579357952</v>
      </c>
      <c r="I11517" s="224" t="s">
        <v>2</v>
      </c>
    </row>
    <row r="11518" spans="1:9" x14ac:dyDescent="0.25">
      <c r="A11518" s="515">
        <v>62565</v>
      </c>
      <c r="C11518" s="52">
        <v>117878.95306982</v>
      </c>
      <c r="D11518" s="56">
        <v>4.7234213190891147E-2</v>
      </c>
      <c r="E11518" s="224" t="s">
        <v>2</v>
      </c>
      <c r="F11518" s="515" t="s">
        <v>12710</v>
      </c>
      <c r="G11518" s="52">
        <v>237454.90995131401</v>
      </c>
      <c r="H11518" s="56">
        <v>0</v>
      </c>
      <c r="I11518" s="224" t="s">
        <v>2</v>
      </c>
    </row>
    <row r="11519" spans="1:9" x14ac:dyDescent="0.25">
      <c r="A11519" s="515">
        <v>66043</v>
      </c>
      <c r="B11519" s="515" t="s">
        <v>455</v>
      </c>
      <c r="C11519" s="52">
        <v>275360.87611605698</v>
      </c>
      <c r="D11519" s="56">
        <v>5.2770065483909709E-2</v>
      </c>
      <c r="E11519" s="224" t="s">
        <v>2</v>
      </c>
      <c r="F11519" s="515" t="s">
        <v>12711</v>
      </c>
      <c r="G11519" s="52">
        <v>237848.44532462899</v>
      </c>
      <c r="H11519" s="56">
        <v>7.8297894151605998E-2</v>
      </c>
      <c r="I11519" s="224" t="s">
        <v>2</v>
      </c>
    </row>
    <row r="11520" spans="1:9" x14ac:dyDescent="0.25">
      <c r="A11520" s="515">
        <v>10607</v>
      </c>
      <c r="B11520" s="515" t="s">
        <v>324</v>
      </c>
      <c r="C11520" s="52">
        <v>634014.24641399796</v>
      </c>
      <c r="D11520" s="56">
        <v>1.6796346765023958E-2</v>
      </c>
      <c r="E11520" s="224" t="s">
        <v>2</v>
      </c>
      <c r="F11520" s="515" t="s">
        <v>12712</v>
      </c>
      <c r="G11520" s="52">
        <v>148619.642190446</v>
      </c>
      <c r="H11520" s="56">
        <v>0.10746422878899131</v>
      </c>
      <c r="I11520" s="224">
        <v>1603.63888888888</v>
      </c>
    </row>
    <row r="11521" spans="1:9" x14ac:dyDescent="0.25">
      <c r="A11521" s="515">
        <v>37030</v>
      </c>
      <c r="B11521" s="515" t="s">
        <v>684</v>
      </c>
      <c r="C11521" s="52">
        <v>237094.725548382</v>
      </c>
      <c r="D11521" s="56">
        <v>6.3926681748127684E-2</v>
      </c>
      <c r="E11521" s="224" t="s">
        <v>2</v>
      </c>
      <c r="F11521" s="515" t="s">
        <v>12713</v>
      </c>
      <c r="G11521" s="52">
        <v>153911.06775119901</v>
      </c>
      <c r="H11521" s="56">
        <v>6.1604959388158994E-3</v>
      </c>
      <c r="I11521" s="224" t="s">
        <v>2</v>
      </c>
    </row>
    <row r="11522" spans="1:9" x14ac:dyDescent="0.25">
      <c r="A11522" s="515">
        <v>93510</v>
      </c>
      <c r="B11522" s="515" t="s">
        <v>375</v>
      </c>
      <c r="C11522" s="52">
        <v>784760.47871321102</v>
      </c>
      <c r="D11522" s="56">
        <v>2.0015881554008349E-2</v>
      </c>
      <c r="E11522" s="224" t="s">
        <v>2</v>
      </c>
      <c r="F11522" s="515" t="s">
        <v>12714</v>
      </c>
      <c r="G11522" s="52">
        <v>409431.57330897899</v>
      </c>
      <c r="H11522" s="56">
        <v>0.10798772902883776</v>
      </c>
      <c r="I11522" s="224" t="s">
        <v>2</v>
      </c>
    </row>
    <row r="11523" spans="1:9" x14ac:dyDescent="0.25">
      <c r="A11523" s="515">
        <v>84059</v>
      </c>
      <c r="B11523" s="515" t="s">
        <v>726</v>
      </c>
      <c r="C11523" s="52">
        <v>510637.15730928001</v>
      </c>
      <c r="D11523" s="56">
        <v>2.1459361153994761E-2</v>
      </c>
      <c r="E11523" s="224">
        <v>2191.6666666666601</v>
      </c>
      <c r="F11523" s="515" t="s">
        <v>12715</v>
      </c>
      <c r="G11523" s="52">
        <v>401130.71674791502</v>
      </c>
      <c r="H11523" s="56">
        <v>3.7550569229120395E-2</v>
      </c>
      <c r="I11523" s="224" t="s">
        <v>2</v>
      </c>
    </row>
    <row r="11524" spans="1:9" x14ac:dyDescent="0.25">
      <c r="A11524" s="515">
        <v>44307</v>
      </c>
      <c r="B11524" s="515" t="s">
        <v>1000</v>
      </c>
      <c r="C11524" s="52">
        <v>56580.098975052999</v>
      </c>
      <c r="D11524" s="56">
        <v>0.23011111634270159</v>
      </c>
      <c r="E11524" s="224" t="s">
        <v>2</v>
      </c>
      <c r="F11524" s="515" t="s">
        <v>12716</v>
      </c>
      <c r="G11524" s="52">
        <v>225303.31136981599</v>
      </c>
      <c r="H11524" s="56">
        <v>9.0297122325174325E-2</v>
      </c>
      <c r="I11524" s="224" t="s">
        <v>2</v>
      </c>
    </row>
    <row r="11525" spans="1:9" x14ac:dyDescent="0.25">
      <c r="A11525" s="515">
        <v>60425</v>
      </c>
      <c r="B11525" s="515" t="s">
        <v>394</v>
      </c>
      <c r="C11525" s="52">
        <v>187541.29323672099</v>
      </c>
      <c r="D11525" s="56">
        <v>8.5651330496015629E-2</v>
      </c>
      <c r="E11525" s="224" t="s">
        <v>2</v>
      </c>
      <c r="F11525" s="515" t="s">
        <v>12717</v>
      </c>
      <c r="G11525" s="52">
        <v>131714.961657468</v>
      </c>
      <c r="H11525" s="56">
        <v>0.14533127418192174</v>
      </c>
      <c r="I11525" s="224" t="s">
        <v>2</v>
      </c>
    </row>
    <row r="11526" spans="1:9" x14ac:dyDescent="0.25">
      <c r="A11526" s="515">
        <v>45817</v>
      </c>
      <c r="B11526" s="515" t="s">
        <v>299</v>
      </c>
      <c r="C11526" s="52">
        <v>224098.31024201401</v>
      </c>
      <c r="D11526" s="56">
        <v>7.508188716074779E-2</v>
      </c>
      <c r="E11526" s="224" t="s">
        <v>2</v>
      </c>
      <c r="F11526" s="515" t="s">
        <v>12718</v>
      </c>
      <c r="G11526" s="52">
        <v>242545.23840693801</v>
      </c>
      <c r="H11526" s="56">
        <v>0.17373873375124338</v>
      </c>
      <c r="I11526" s="224" t="s">
        <v>2</v>
      </c>
    </row>
    <row r="11527" spans="1:9" x14ac:dyDescent="0.25">
      <c r="A11527" s="515">
        <v>97423</v>
      </c>
      <c r="B11527" s="515" t="s">
        <v>868</v>
      </c>
      <c r="C11527" s="52">
        <v>305273.52990062302</v>
      </c>
      <c r="D11527" s="56">
        <v>5.1574944376747624E-2</v>
      </c>
      <c r="E11527" s="224" t="s">
        <v>2</v>
      </c>
      <c r="F11527" s="515" t="s">
        <v>12719</v>
      </c>
      <c r="G11527" s="52">
        <v>276469.74719052803</v>
      </c>
      <c r="H11527" s="56">
        <v>6.0694290327800118E-2</v>
      </c>
      <c r="I11527" s="224" t="s">
        <v>2</v>
      </c>
    </row>
    <row r="11528" spans="1:9" x14ac:dyDescent="0.25">
      <c r="A11528" s="515">
        <v>40390</v>
      </c>
      <c r="B11528" s="515" t="s">
        <v>515</v>
      </c>
      <c r="C11528" s="52">
        <v>248032.20860114801</v>
      </c>
      <c r="D11528" s="56">
        <v>0.10349385778695812</v>
      </c>
      <c r="E11528" s="224" t="s">
        <v>2</v>
      </c>
      <c r="F11528" s="515" t="s">
        <v>12720</v>
      </c>
      <c r="G11528" s="52">
        <v>388190.01454428898</v>
      </c>
      <c r="H11528" s="56">
        <v>2.506520337291579E-2</v>
      </c>
      <c r="I11528" s="224" t="s">
        <v>2</v>
      </c>
    </row>
    <row r="11529" spans="1:9" x14ac:dyDescent="0.25">
      <c r="A11529" s="515">
        <v>46167</v>
      </c>
      <c r="B11529" s="515" t="s">
        <v>403</v>
      </c>
      <c r="C11529" s="52">
        <v>320669.68227014103</v>
      </c>
      <c r="D11529" s="56">
        <v>6.8169692866928797E-2</v>
      </c>
      <c r="E11529" s="224" t="s">
        <v>2</v>
      </c>
      <c r="F11529" s="515" t="s">
        <v>12721</v>
      </c>
      <c r="G11529" s="52">
        <v>187461.90661065801</v>
      </c>
      <c r="H11529" s="56">
        <v>8.7636537657745275E-2</v>
      </c>
      <c r="I11529" s="224" t="s">
        <v>2</v>
      </c>
    </row>
    <row r="11530" spans="1:9" x14ac:dyDescent="0.25">
      <c r="A11530" s="515">
        <v>78355</v>
      </c>
      <c r="C11530" s="52">
        <v>65004.558961014198</v>
      </c>
      <c r="D11530" s="56">
        <v>-0.10292955578708327</v>
      </c>
      <c r="E11530" s="224" t="s">
        <v>2</v>
      </c>
      <c r="F11530" s="515" t="s">
        <v>12722</v>
      </c>
      <c r="G11530" s="52">
        <v>135823.746212347</v>
      </c>
      <c r="H11530" s="56">
        <v>-5.0467307248065321E-2</v>
      </c>
      <c r="I11530" s="224" t="s">
        <v>2</v>
      </c>
    </row>
    <row r="11531" spans="1:9" x14ac:dyDescent="0.25">
      <c r="A11531" s="515">
        <v>37331</v>
      </c>
      <c r="B11531" s="515" t="s">
        <v>1135</v>
      </c>
      <c r="C11531" s="52">
        <v>167699.824202232</v>
      </c>
      <c r="D11531" s="56">
        <v>7.2716166037815486E-2</v>
      </c>
      <c r="E11531" s="224" t="s">
        <v>2</v>
      </c>
      <c r="F11531" s="515" t="s">
        <v>12723</v>
      </c>
      <c r="G11531" s="52">
        <v>539418.53608247405</v>
      </c>
      <c r="H11531" s="56">
        <v>0</v>
      </c>
      <c r="I11531" s="224" t="s">
        <v>2</v>
      </c>
    </row>
    <row r="11532" spans="1:9" x14ac:dyDescent="0.25">
      <c r="A11532" s="515">
        <v>6759</v>
      </c>
      <c r="B11532" s="515" t="s">
        <v>559</v>
      </c>
      <c r="C11532" s="52">
        <v>450356.76182300801</v>
      </c>
      <c r="D11532" s="56">
        <v>0.13328157644121888</v>
      </c>
      <c r="E11532" s="224" t="s">
        <v>2</v>
      </c>
      <c r="F11532" s="515" t="s">
        <v>12724</v>
      </c>
      <c r="G11532" s="52">
        <v>451050.09015543899</v>
      </c>
      <c r="H11532" s="56">
        <v>7.4334051426193024E-2</v>
      </c>
      <c r="I11532" s="224" t="s">
        <v>2</v>
      </c>
    </row>
    <row r="11533" spans="1:9" x14ac:dyDescent="0.25">
      <c r="A11533" s="515">
        <v>26170</v>
      </c>
      <c r="C11533" s="52">
        <v>138542.06752339099</v>
      </c>
      <c r="D11533" s="56">
        <v>7.0840155101620242E-2</v>
      </c>
      <c r="E11533" s="224" t="s">
        <v>2</v>
      </c>
      <c r="F11533" s="515" t="s">
        <v>12725</v>
      </c>
      <c r="G11533" s="52">
        <v>291917.37088669499</v>
      </c>
      <c r="H11533" s="56">
        <v>7.6788794310163819E-2</v>
      </c>
      <c r="I11533" s="224" t="s">
        <v>2</v>
      </c>
    </row>
    <row r="11534" spans="1:9" x14ac:dyDescent="0.25">
      <c r="A11534" s="515">
        <v>40359</v>
      </c>
      <c r="C11534" s="52">
        <v>154927.69243339699</v>
      </c>
      <c r="D11534" s="56">
        <v>7.950145716169861E-2</v>
      </c>
      <c r="E11534" s="224" t="s">
        <v>2</v>
      </c>
      <c r="F11534" s="515" t="s">
        <v>12726</v>
      </c>
      <c r="G11534" s="52">
        <v>193026.32467532399</v>
      </c>
      <c r="H11534" s="56">
        <v>0</v>
      </c>
      <c r="I11534" s="224" t="s">
        <v>2</v>
      </c>
    </row>
    <row r="11535" spans="1:9" x14ac:dyDescent="0.25">
      <c r="A11535" s="515">
        <v>64730</v>
      </c>
      <c r="B11535" s="515" t="s">
        <v>455</v>
      </c>
      <c r="C11535" s="52">
        <v>158673.978475579</v>
      </c>
      <c r="D11535" s="56">
        <v>4.3696251250472821E-2</v>
      </c>
      <c r="E11535" s="224" t="s">
        <v>2</v>
      </c>
      <c r="F11535" s="515" t="s">
        <v>12727</v>
      </c>
      <c r="G11535" s="52">
        <v>328845.36796536797</v>
      </c>
      <c r="H11535" s="56">
        <v>0</v>
      </c>
      <c r="I11535" s="224" t="s">
        <v>2</v>
      </c>
    </row>
    <row r="11536" spans="1:9" x14ac:dyDescent="0.25">
      <c r="A11536" s="515">
        <v>53118</v>
      </c>
      <c r="B11536" s="515" t="s">
        <v>950</v>
      </c>
      <c r="C11536" s="52">
        <v>436695.76127672399</v>
      </c>
      <c r="D11536" s="56">
        <v>1.4172875550092294E-2</v>
      </c>
      <c r="E11536" s="224" t="s">
        <v>2</v>
      </c>
      <c r="F11536" s="515" t="s">
        <v>12728</v>
      </c>
      <c r="G11536" s="52">
        <v>125961.034884703</v>
      </c>
      <c r="H11536" s="56">
        <v>0.10123604792606176</v>
      </c>
      <c r="I11536" s="224" t="s">
        <v>2</v>
      </c>
    </row>
    <row r="11537" spans="1:9" x14ac:dyDescent="0.25">
      <c r="A11537" s="515">
        <v>33715</v>
      </c>
      <c r="B11537" s="515" t="s">
        <v>461</v>
      </c>
      <c r="C11537" s="52">
        <v>554186.77864660404</v>
      </c>
      <c r="D11537" s="56">
        <v>0.11901838177190961</v>
      </c>
      <c r="E11537" s="224">
        <v>3306.25</v>
      </c>
      <c r="F11537" s="515" t="s">
        <v>12729</v>
      </c>
      <c r="G11537" s="52">
        <v>258248.33096110899</v>
      </c>
      <c r="H11537" s="56">
        <v>0.17939328754057818</v>
      </c>
      <c r="I11537" s="224" t="s">
        <v>2</v>
      </c>
    </row>
    <row r="11538" spans="1:9" x14ac:dyDescent="0.25">
      <c r="A11538" s="515">
        <v>8008</v>
      </c>
      <c r="B11538" s="515" t="s">
        <v>324</v>
      </c>
      <c r="C11538" s="52">
        <v>1414231.6871154199</v>
      </c>
      <c r="D11538" s="56">
        <v>7.2727340018880426E-2</v>
      </c>
      <c r="E11538" s="224" t="s">
        <v>2</v>
      </c>
      <c r="F11538" s="515" t="s">
        <v>12730</v>
      </c>
      <c r="G11538" s="52">
        <v>374753.31216649403</v>
      </c>
      <c r="H11538" s="56">
        <v>0.15811334690575457</v>
      </c>
      <c r="I11538" s="224" t="s">
        <v>2</v>
      </c>
    </row>
    <row r="11539" spans="1:9" x14ac:dyDescent="0.25">
      <c r="A11539" s="515">
        <v>39203</v>
      </c>
      <c r="B11539" s="515" t="s">
        <v>851</v>
      </c>
      <c r="C11539" s="52">
        <v>28394.616929072799</v>
      </c>
      <c r="D11539" s="56">
        <v>3.4201120320874231E-2</v>
      </c>
      <c r="E11539" s="224" t="s">
        <v>2</v>
      </c>
      <c r="F11539" s="515" t="s">
        <v>12731</v>
      </c>
      <c r="G11539" s="52">
        <v>282771.05023311003</v>
      </c>
      <c r="H11539" s="56">
        <v>7.5047402330086388E-2</v>
      </c>
      <c r="I11539" s="224" t="s">
        <v>2</v>
      </c>
    </row>
    <row r="11540" spans="1:9" x14ac:dyDescent="0.25">
      <c r="A11540" s="515">
        <v>22572</v>
      </c>
      <c r="C11540" s="52">
        <v>209537.35615184999</v>
      </c>
      <c r="D11540" s="56">
        <v>0.10956278229846782</v>
      </c>
      <c r="E11540" s="224" t="s">
        <v>2</v>
      </c>
      <c r="F11540" s="515" t="s">
        <v>12732</v>
      </c>
      <c r="G11540" s="52">
        <v>296458.438305257</v>
      </c>
      <c r="H11540" s="56">
        <v>5.7550232101003337E-2</v>
      </c>
      <c r="I11540" s="224" t="s">
        <v>2</v>
      </c>
    </row>
    <row r="11541" spans="1:9" x14ac:dyDescent="0.25">
      <c r="A11541" s="515">
        <v>20769</v>
      </c>
      <c r="B11541" s="515" t="s">
        <v>321</v>
      </c>
      <c r="C11541" s="52">
        <v>552306.28796712705</v>
      </c>
      <c r="D11541" s="56">
        <v>2.0295102175465738E-2</v>
      </c>
      <c r="E11541" s="224" t="s">
        <v>2</v>
      </c>
      <c r="F11541" s="515" t="s">
        <v>12733</v>
      </c>
      <c r="G11541" s="52">
        <v>249597.36173492399</v>
      </c>
      <c r="H11541" s="56">
        <v>-2.1848411168115388E-2</v>
      </c>
      <c r="I11541" s="224" t="s">
        <v>2</v>
      </c>
    </row>
    <row r="11542" spans="1:9" x14ac:dyDescent="0.25">
      <c r="A11542" s="515">
        <v>83861</v>
      </c>
      <c r="C11542" s="52">
        <v>317993.95017592999</v>
      </c>
      <c r="D11542" s="56">
        <v>2.4594578332473315E-2</v>
      </c>
      <c r="E11542" s="224" t="s">
        <v>2</v>
      </c>
      <c r="F11542" s="515" t="s">
        <v>12734</v>
      </c>
      <c r="G11542" s="52">
        <v>90739.050990928794</v>
      </c>
      <c r="H11542" s="56">
        <v>0</v>
      </c>
      <c r="I11542" s="224" t="s">
        <v>2</v>
      </c>
    </row>
    <row r="11543" spans="1:9" x14ac:dyDescent="0.25">
      <c r="A11543" s="515">
        <v>68152</v>
      </c>
      <c r="B11543" s="515" t="s">
        <v>367</v>
      </c>
      <c r="C11543" s="52">
        <v>295353.96965796797</v>
      </c>
      <c r="D11543" s="56">
        <v>8.5857891660441152E-2</v>
      </c>
      <c r="E11543" s="224" t="s">
        <v>2</v>
      </c>
      <c r="F11543" s="515" t="s">
        <v>12735</v>
      </c>
      <c r="G11543" s="52">
        <v>144096.67320940099</v>
      </c>
      <c r="H11543" s="56">
        <v>8.1820002694465668E-2</v>
      </c>
      <c r="I11543" s="224" t="s">
        <v>2</v>
      </c>
    </row>
    <row r="11544" spans="1:9" x14ac:dyDescent="0.25">
      <c r="A11544" s="515">
        <v>75125</v>
      </c>
      <c r="B11544" s="515" t="s">
        <v>458</v>
      </c>
      <c r="C11544" s="52">
        <v>225007.504853416</v>
      </c>
      <c r="D11544" s="56">
        <v>4.5087796166237044E-2</v>
      </c>
      <c r="E11544" s="224" t="s">
        <v>2</v>
      </c>
      <c r="F11544" s="515" t="s">
        <v>12736</v>
      </c>
      <c r="G11544" s="52">
        <v>167613.12749919601</v>
      </c>
      <c r="H11544" s="56">
        <v>1.9852119448012001E-3</v>
      </c>
      <c r="I11544" s="224" t="s">
        <v>2</v>
      </c>
    </row>
    <row r="11545" spans="1:9" x14ac:dyDescent="0.25">
      <c r="A11545" s="515">
        <v>7072</v>
      </c>
      <c r="B11545" s="515" t="s">
        <v>324</v>
      </c>
      <c r="C11545" s="52">
        <v>519480.15166050999</v>
      </c>
      <c r="D11545" s="56">
        <v>1.9229262344255326E-2</v>
      </c>
      <c r="E11545" s="224" t="s">
        <v>2</v>
      </c>
      <c r="F11545" s="515" t="s">
        <v>12737</v>
      </c>
      <c r="G11545" s="52">
        <v>242005.56235868699</v>
      </c>
      <c r="H11545" s="56">
        <v>1.8759510382736967E-2</v>
      </c>
      <c r="I11545" s="224" t="s">
        <v>2</v>
      </c>
    </row>
    <row r="11546" spans="1:9" x14ac:dyDescent="0.25">
      <c r="A11546" s="515">
        <v>41097</v>
      </c>
      <c r="B11546" s="515" t="s">
        <v>344</v>
      </c>
      <c r="C11546" s="52">
        <v>193787.14186206699</v>
      </c>
      <c r="D11546" s="56">
        <v>7.7559291506140687E-2</v>
      </c>
      <c r="E11546" s="224" t="s">
        <v>2</v>
      </c>
      <c r="F11546" s="515" t="s">
        <v>12738</v>
      </c>
      <c r="G11546" s="52">
        <v>169748.87085400001</v>
      </c>
      <c r="H11546" s="56">
        <v>0.26090605588297361</v>
      </c>
      <c r="I11546" s="224" t="s">
        <v>2</v>
      </c>
    </row>
    <row r="11547" spans="1:9" x14ac:dyDescent="0.25">
      <c r="A11547" s="515">
        <v>24605</v>
      </c>
      <c r="B11547" s="515" t="s">
        <v>306</v>
      </c>
      <c r="C11547" s="52">
        <v>121108.992840783</v>
      </c>
      <c r="D11547" s="56">
        <v>7.1111789072311041E-2</v>
      </c>
      <c r="E11547" s="224" t="s">
        <v>2</v>
      </c>
      <c r="F11547" s="515" t="s">
        <v>12739</v>
      </c>
      <c r="G11547" s="52">
        <v>107680.157575757</v>
      </c>
      <c r="H11547" s="56">
        <v>0</v>
      </c>
      <c r="I11547" s="224" t="s">
        <v>2</v>
      </c>
    </row>
    <row r="11548" spans="1:9" x14ac:dyDescent="0.25">
      <c r="A11548" s="515">
        <v>54217</v>
      </c>
      <c r="B11548" s="515" t="s">
        <v>897</v>
      </c>
      <c r="C11548" s="52">
        <v>302387.66096302</v>
      </c>
      <c r="D11548" s="56">
        <v>9.890893449424018E-2</v>
      </c>
      <c r="E11548" s="224" t="s">
        <v>2</v>
      </c>
      <c r="F11548" s="515" t="s">
        <v>12740</v>
      </c>
      <c r="G11548" s="52">
        <v>821408.52333859704</v>
      </c>
      <c r="H11548" s="56">
        <v>9.9015001096946373E-2</v>
      </c>
      <c r="I11548" s="224" t="s">
        <v>2</v>
      </c>
    </row>
    <row r="11549" spans="1:9" x14ac:dyDescent="0.25">
      <c r="A11549" s="515">
        <v>46075</v>
      </c>
      <c r="B11549" s="515" t="s">
        <v>403</v>
      </c>
      <c r="C11549" s="52">
        <v>341751.515014873</v>
      </c>
      <c r="D11549" s="56">
        <v>6.8708603007792454E-2</v>
      </c>
      <c r="E11549" s="224">
        <v>1942.5</v>
      </c>
      <c r="F11549" s="515" t="s">
        <v>12741</v>
      </c>
      <c r="G11549" s="52">
        <v>210953.83467451599</v>
      </c>
      <c r="H11549" s="56">
        <v>4.0217819587421037E-2</v>
      </c>
      <c r="I11549" s="224" t="s">
        <v>2</v>
      </c>
    </row>
    <row r="11550" spans="1:9" x14ac:dyDescent="0.25">
      <c r="A11550" s="515">
        <v>93434</v>
      </c>
      <c r="B11550" s="515" t="s">
        <v>847</v>
      </c>
      <c r="C11550" s="52">
        <v>462863.45098260598</v>
      </c>
      <c r="D11550" s="56">
        <v>9.4585630100671281E-2</v>
      </c>
      <c r="E11550" s="224" t="s">
        <v>2</v>
      </c>
      <c r="F11550" s="515" t="s">
        <v>12742</v>
      </c>
      <c r="G11550" s="52">
        <v>197467.14438826899</v>
      </c>
      <c r="H11550" s="56">
        <v>0.12842867362981633</v>
      </c>
      <c r="I11550" s="224" t="s">
        <v>2</v>
      </c>
    </row>
    <row r="11551" spans="1:9" x14ac:dyDescent="0.25">
      <c r="A11551" s="515">
        <v>62441</v>
      </c>
      <c r="C11551" s="52">
        <v>122690.48379535299</v>
      </c>
      <c r="D11551" s="56">
        <v>6.0567947876054171E-2</v>
      </c>
      <c r="E11551" s="224" t="s">
        <v>2</v>
      </c>
      <c r="F11551" s="515" t="s">
        <v>12743</v>
      </c>
      <c r="G11551" s="52">
        <v>429325.87287298898</v>
      </c>
      <c r="H11551" s="56">
        <v>1.2858813985987651E-2</v>
      </c>
      <c r="I11551" s="224" t="s">
        <v>2</v>
      </c>
    </row>
    <row r="11552" spans="1:9" x14ac:dyDescent="0.25">
      <c r="A11552" s="515">
        <v>17074</v>
      </c>
      <c r="B11552" s="515" t="s">
        <v>428</v>
      </c>
      <c r="C11552" s="52">
        <v>203733.10153272</v>
      </c>
      <c r="D11552" s="56">
        <v>6.1749144888940725E-2</v>
      </c>
      <c r="E11552" s="224" t="s">
        <v>2</v>
      </c>
      <c r="F11552" s="515" t="s">
        <v>12744</v>
      </c>
      <c r="G11552" s="52">
        <v>152953.84905699501</v>
      </c>
      <c r="H11552" s="56">
        <v>8.0683617866329299E-2</v>
      </c>
      <c r="I11552" s="224" t="s">
        <v>2</v>
      </c>
    </row>
    <row r="11553" spans="1:9" x14ac:dyDescent="0.25">
      <c r="A11553" s="515">
        <v>7462</v>
      </c>
      <c r="B11553" s="515" t="s">
        <v>324</v>
      </c>
      <c r="C11553" s="52">
        <v>251495.80849022101</v>
      </c>
      <c r="D11553" s="56">
        <v>9.351463311198252E-2</v>
      </c>
      <c r="E11553" s="224" t="s">
        <v>2</v>
      </c>
      <c r="F11553" s="515" t="s">
        <v>12745</v>
      </c>
      <c r="G11553" s="52">
        <v>117190.988066281</v>
      </c>
      <c r="H11553" s="56">
        <v>0.11436017739708691</v>
      </c>
      <c r="I11553" s="224" t="s">
        <v>2</v>
      </c>
    </row>
    <row r="11554" spans="1:9" x14ac:dyDescent="0.25">
      <c r="A11554" s="515">
        <v>27306</v>
      </c>
      <c r="C11554" s="52">
        <v>218194.600717133</v>
      </c>
      <c r="D11554" s="56">
        <v>0.144044504926714</v>
      </c>
      <c r="E11554" s="224" t="s">
        <v>2</v>
      </c>
      <c r="F11554" s="515" t="s">
        <v>12746</v>
      </c>
      <c r="G11554" s="52">
        <v>270366.39362067601</v>
      </c>
      <c r="H11554" s="56">
        <v>0.13217169596092457</v>
      </c>
      <c r="I11554" s="224" t="s">
        <v>2</v>
      </c>
    </row>
    <row r="11555" spans="1:9" x14ac:dyDescent="0.25">
      <c r="A11555" s="515">
        <v>7403</v>
      </c>
      <c r="B11555" s="515" t="s">
        <v>324</v>
      </c>
      <c r="C11555" s="52">
        <v>411200.39201026497</v>
      </c>
      <c r="D11555" s="56">
        <v>5.3536323036052082E-2</v>
      </c>
      <c r="E11555" s="224" t="s">
        <v>2</v>
      </c>
      <c r="F11555" s="515" t="s">
        <v>12747</v>
      </c>
      <c r="G11555" s="52">
        <v>115989.832264781</v>
      </c>
      <c r="H11555" s="56">
        <v>-1.9905104250334444E-2</v>
      </c>
      <c r="I11555" s="224" t="s">
        <v>2</v>
      </c>
    </row>
    <row r="11556" spans="1:9" x14ac:dyDescent="0.25">
      <c r="A11556" s="515">
        <v>18403</v>
      </c>
      <c r="B11556" s="515" t="s">
        <v>512</v>
      </c>
      <c r="C11556" s="52">
        <v>204933.84378356399</v>
      </c>
      <c r="D11556" s="56">
        <v>5.5475250603267405E-2</v>
      </c>
      <c r="E11556" s="224" t="s">
        <v>2</v>
      </c>
      <c r="F11556" s="515" t="s">
        <v>12748</v>
      </c>
      <c r="G11556" s="52">
        <v>240211.79972844</v>
      </c>
      <c r="H11556" s="56">
        <v>0.12435921976836059</v>
      </c>
      <c r="I11556" s="224" t="s">
        <v>2</v>
      </c>
    </row>
    <row r="11557" spans="1:9" x14ac:dyDescent="0.25">
      <c r="A11557" s="515">
        <v>75972</v>
      </c>
      <c r="C11557" s="52"/>
      <c r="D11557" s="56">
        <v>0</v>
      </c>
      <c r="E11557" s="224" t="s">
        <v>2</v>
      </c>
      <c r="F11557" s="515" t="s">
        <v>12749</v>
      </c>
      <c r="G11557" s="52">
        <v>334222.84875398001</v>
      </c>
      <c r="H11557" s="56">
        <v>0.15324985129220275</v>
      </c>
      <c r="I11557" s="224" t="s">
        <v>2</v>
      </c>
    </row>
    <row r="11558" spans="1:9" x14ac:dyDescent="0.25">
      <c r="A11558" s="515">
        <v>42408</v>
      </c>
      <c r="B11558" s="515" t="s">
        <v>598</v>
      </c>
      <c r="C11558" s="52">
        <v>83213.172945148006</v>
      </c>
      <c r="D11558" s="56">
        <v>0.13253934091406286</v>
      </c>
      <c r="E11558" s="224" t="s">
        <v>2</v>
      </c>
      <c r="F11558" s="515" t="s">
        <v>12750</v>
      </c>
      <c r="G11558" s="52">
        <v>848690.10800420505</v>
      </c>
      <c r="H11558" s="56">
        <v>0.10580228465849767</v>
      </c>
      <c r="I11558" s="224" t="s">
        <v>2</v>
      </c>
    </row>
    <row r="11559" spans="1:9" x14ac:dyDescent="0.25">
      <c r="A11559" s="515">
        <v>16403</v>
      </c>
      <c r="B11559" s="515" t="s">
        <v>1042</v>
      </c>
      <c r="C11559" s="52">
        <v>143641.022613376</v>
      </c>
      <c r="D11559" s="56">
        <v>8.4944223331387125E-2</v>
      </c>
      <c r="E11559" s="224" t="s">
        <v>2</v>
      </c>
      <c r="F11559" s="515" t="s">
        <v>12751</v>
      </c>
      <c r="G11559" s="52">
        <v>198566.069901549</v>
      </c>
      <c r="H11559" s="56">
        <v>6.3115665076159705E-2</v>
      </c>
      <c r="I11559" s="224" t="s">
        <v>2</v>
      </c>
    </row>
    <row r="11560" spans="1:9" x14ac:dyDescent="0.25">
      <c r="A11560" s="515">
        <v>7041</v>
      </c>
      <c r="B11560" s="515" t="s">
        <v>324</v>
      </c>
      <c r="C11560" s="52">
        <v>960498.069991834</v>
      </c>
      <c r="D11560" s="56">
        <v>3.1617774779973434E-2</v>
      </c>
      <c r="E11560" s="224" t="s">
        <v>2</v>
      </c>
      <c r="F11560" s="515" t="s">
        <v>12752</v>
      </c>
      <c r="G11560" s="52">
        <v>308536.854525631</v>
      </c>
      <c r="H11560" s="56">
        <v>8.6184743932248578E-2</v>
      </c>
      <c r="I11560" s="224" t="s">
        <v>2</v>
      </c>
    </row>
    <row r="11561" spans="1:9" x14ac:dyDescent="0.25">
      <c r="A11561" s="515">
        <v>1834</v>
      </c>
      <c r="B11561" s="515" t="s">
        <v>534</v>
      </c>
      <c r="C11561" s="52">
        <v>571258.62095852999</v>
      </c>
      <c r="D11561" s="56">
        <v>5.3422909780642167E-2</v>
      </c>
      <c r="E11561" s="224" t="s">
        <v>2</v>
      </c>
      <c r="F11561" s="515" t="s">
        <v>12753</v>
      </c>
      <c r="G11561" s="52">
        <v>273758.67624146998</v>
      </c>
      <c r="H11561" s="56">
        <v>2.8420825117743451E-2</v>
      </c>
      <c r="I11561" s="224" t="s">
        <v>2</v>
      </c>
    </row>
    <row r="11562" spans="1:9" x14ac:dyDescent="0.25">
      <c r="A11562" s="515">
        <v>43502</v>
      </c>
      <c r="B11562" s="515" t="s">
        <v>300</v>
      </c>
      <c r="C11562" s="52">
        <v>197397.10133745999</v>
      </c>
      <c r="D11562" s="56">
        <v>7.7311081234677892E-2</v>
      </c>
      <c r="E11562" s="224" t="s">
        <v>2</v>
      </c>
      <c r="F11562" s="515" t="s">
        <v>12754</v>
      </c>
      <c r="G11562" s="52">
        <v>878990.32096517005</v>
      </c>
      <c r="H11562" s="56">
        <v>4.6079413546382203E-2</v>
      </c>
      <c r="I11562" s="224" t="s">
        <v>2</v>
      </c>
    </row>
    <row r="11563" spans="1:9" x14ac:dyDescent="0.25">
      <c r="A11563" s="515">
        <v>49643</v>
      </c>
      <c r="B11563" s="515" t="s">
        <v>366</v>
      </c>
      <c r="C11563" s="52">
        <v>283839.772483568</v>
      </c>
      <c r="D11563" s="56">
        <v>6.2169234484556093E-2</v>
      </c>
      <c r="E11563" s="224" t="s">
        <v>2</v>
      </c>
      <c r="F11563" s="515" t="s">
        <v>12755</v>
      </c>
      <c r="G11563" s="52">
        <v>200093.09409446799</v>
      </c>
      <c r="H11563" s="56">
        <v>0.10295900215438314</v>
      </c>
      <c r="I11563" s="224" t="s">
        <v>2</v>
      </c>
    </row>
    <row r="11564" spans="1:9" x14ac:dyDescent="0.25">
      <c r="A11564" s="515">
        <v>28651</v>
      </c>
      <c r="B11564" s="515" t="s">
        <v>1018</v>
      </c>
      <c r="C11564" s="52">
        <v>214925.004676426</v>
      </c>
      <c r="D11564" s="56">
        <v>0.18103064104018679</v>
      </c>
      <c r="E11564" s="224" t="s">
        <v>2</v>
      </c>
      <c r="F11564" s="515" t="s">
        <v>12756</v>
      </c>
      <c r="G11564" s="52">
        <v>82589.691319782898</v>
      </c>
      <c r="H11564" s="56">
        <v>0.17080308137391123</v>
      </c>
      <c r="I11564" s="224" t="s">
        <v>2</v>
      </c>
    </row>
    <row r="11565" spans="1:9" x14ac:dyDescent="0.25">
      <c r="A11565" s="515">
        <v>39451</v>
      </c>
      <c r="C11565" s="52">
        <v>138309.703158096</v>
      </c>
      <c r="D11565" s="56">
        <v>3.5363639654041698E-2</v>
      </c>
      <c r="E11565" s="224" t="s">
        <v>2</v>
      </c>
      <c r="F11565" s="515" t="s">
        <v>12757</v>
      </c>
      <c r="G11565" s="52">
        <v>229324.95042275201</v>
      </c>
      <c r="H11565" s="56">
        <v>6.6474003538828264E-2</v>
      </c>
      <c r="I11565" s="224" t="s">
        <v>2</v>
      </c>
    </row>
    <row r="11566" spans="1:9" x14ac:dyDescent="0.25">
      <c r="A11566" s="515">
        <v>85361</v>
      </c>
      <c r="B11566" s="515" t="s">
        <v>563</v>
      </c>
      <c r="C11566" s="52">
        <v>498013.72850446799</v>
      </c>
      <c r="D11566" s="56">
        <v>2.9142361113206582E-2</v>
      </c>
      <c r="E11566" s="224" t="s">
        <v>2</v>
      </c>
      <c r="F11566" s="515" t="s">
        <v>12758</v>
      </c>
      <c r="G11566" s="52">
        <v>275741.44604080502</v>
      </c>
      <c r="H11566" s="56">
        <v>0.17461126738036414</v>
      </c>
      <c r="I11566" s="224" t="s">
        <v>2</v>
      </c>
    </row>
    <row r="11567" spans="1:9" x14ac:dyDescent="0.25">
      <c r="A11567" s="515">
        <v>49053</v>
      </c>
      <c r="B11567" s="515" t="s">
        <v>1037</v>
      </c>
      <c r="C11567" s="52">
        <v>238737.13421648601</v>
      </c>
      <c r="D11567" s="56">
        <v>6.16536276355815E-2</v>
      </c>
      <c r="E11567" s="224" t="s">
        <v>2</v>
      </c>
      <c r="F11567" s="515" t="s">
        <v>12759</v>
      </c>
      <c r="G11567" s="52">
        <v>266429.41339992901</v>
      </c>
      <c r="H11567" s="56">
        <v>6.4050888720841706E-2</v>
      </c>
      <c r="I11567" s="224" t="s">
        <v>2</v>
      </c>
    </row>
    <row r="11568" spans="1:9" x14ac:dyDescent="0.25">
      <c r="A11568" s="515">
        <v>69337</v>
      </c>
      <c r="C11568" s="52">
        <v>162709.88963022499</v>
      </c>
      <c r="D11568" s="56">
        <v>5.3047592389944324E-2</v>
      </c>
      <c r="E11568" s="224" t="s">
        <v>2</v>
      </c>
      <c r="F11568" s="515" t="s">
        <v>12760</v>
      </c>
      <c r="G11568" s="52">
        <v>283695.865154912</v>
      </c>
      <c r="H11568" s="56">
        <v>9.4448246667631949E-2</v>
      </c>
      <c r="I11568" s="224" t="s">
        <v>2</v>
      </c>
    </row>
    <row r="11569" spans="1:9" x14ac:dyDescent="0.25">
      <c r="A11569" s="515">
        <v>18655</v>
      </c>
      <c r="B11569" s="515" t="s">
        <v>512</v>
      </c>
      <c r="C11569" s="52">
        <v>174296.21003955699</v>
      </c>
      <c r="D11569" s="56">
        <v>5.4460369666612315E-2</v>
      </c>
      <c r="E11569" s="224" t="s">
        <v>2</v>
      </c>
      <c r="F11569" s="515" t="s">
        <v>12761</v>
      </c>
      <c r="G11569" s="52">
        <v>307995.60377358401</v>
      </c>
      <c r="H11569" s="56">
        <v>0</v>
      </c>
      <c r="I11569" s="224" t="s">
        <v>2</v>
      </c>
    </row>
    <row r="11570" spans="1:9" x14ac:dyDescent="0.25">
      <c r="A11570" s="515">
        <v>50213</v>
      </c>
      <c r="C11570" s="52">
        <v>145020.207278969</v>
      </c>
      <c r="D11570" s="56">
        <v>7.7943995671679339E-2</v>
      </c>
      <c r="E11570" s="224" t="s">
        <v>2</v>
      </c>
      <c r="F11570" s="515" t="s">
        <v>12762</v>
      </c>
      <c r="G11570" s="52">
        <v>94810.045027617103</v>
      </c>
      <c r="H11570" s="56">
        <v>0.17064930695914735</v>
      </c>
      <c r="I11570" s="224" t="s">
        <v>2</v>
      </c>
    </row>
    <row r="11571" spans="1:9" x14ac:dyDescent="0.25">
      <c r="A11571" s="515">
        <v>7401</v>
      </c>
      <c r="B11571" s="515" t="s">
        <v>324</v>
      </c>
      <c r="C11571" s="52">
        <v>802527.76380011102</v>
      </c>
      <c r="D11571" s="56">
        <v>4.1627202498360841E-2</v>
      </c>
      <c r="E11571" s="224" t="s">
        <v>2</v>
      </c>
      <c r="F11571" s="515" t="s">
        <v>12763</v>
      </c>
      <c r="G11571" s="52">
        <v>259456.46590942601</v>
      </c>
      <c r="H11571" s="56">
        <v>8.8469846621954701E-2</v>
      </c>
      <c r="I11571" s="224" t="s">
        <v>2</v>
      </c>
    </row>
    <row r="11572" spans="1:9" x14ac:dyDescent="0.25">
      <c r="A11572" s="515">
        <v>15627</v>
      </c>
      <c r="B11572" s="515" t="s">
        <v>297</v>
      </c>
      <c r="C11572" s="52">
        <v>129222.523088161</v>
      </c>
      <c r="D11572" s="56">
        <v>-8.0613580757187692E-3</v>
      </c>
      <c r="E11572" s="224" t="s">
        <v>2</v>
      </c>
      <c r="F11572" s="515" t="s">
        <v>12764</v>
      </c>
      <c r="G11572" s="52">
        <v>71215.327271661503</v>
      </c>
      <c r="H11572" s="56">
        <v>-9.6426021405892043E-2</v>
      </c>
      <c r="I11572" s="224" t="s">
        <v>2</v>
      </c>
    </row>
    <row r="11573" spans="1:9" x14ac:dyDescent="0.25">
      <c r="A11573" s="515">
        <v>47060</v>
      </c>
      <c r="B11573" s="515" t="s">
        <v>344</v>
      </c>
      <c r="C11573" s="52">
        <v>301380.92397984699</v>
      </c>
      <c r="D11573" s="56">
        <v>8.7939923162149242E-2</v>
      </c>
      <c r="E11573" s="224" t="s">
        <v>2</v>
      </c>
      <c r="F11573" s="515" t="s">
        <v>12765</v>
      </c>
      <c r="G11573" s="52">
        <v>77618.612727194093</v>
      </c>
      <c r="H11573" s="56">
        <v>0.11901357679049125</v>
      </c>
      <c r="I11573" s="224" t="s">
        <v>2</v>
      </c>
    </row>
    <row r="11574" spans="1:9" x14ac:dyDescent="0.25">
      <c r="A11574" s="515">
        <v>21632</v>
      </c>
      <c r="C11574" s="52">
        <v>199851.27316900599</v>
      </c>
      <c r="D11574" s="56">
        <v>5.0274777613905988E-2</v>
      </c>
      <c r="E11574" s="224" t="s">
        <v>2</v>
      </c>
      <c r="F11574" s="515" t="s">
        <v>12766</v>
      </c>
      <c r="G11574" s="52">
        <v>302411.00342276198</v>
      </c>
      <c r="H11574" s="56">
        <v>8.9754418559530716E-2</v>
      </c>
      <c r="I11574" s="224" t="s">
        <v>2</v>
      </c>
    </row>
    <row r="11575" spans="1:9" x14ac:dyDescent="0.25">
      <c r="A11575" s="515">
        <v>25661</v>
      </c>
      <c r="C11575" s="52">
        <v>62686.753633716602</v>
      </c>
      <c r="D11575" s="56">
        <v>0.11499871294434294</v>
      </c>
      <c r="E11575" s="224" t="s">
        <v>2</v>
      </c>
      <c r="F11575" s="515" t="s">
        <v>12767</v>
      </c>
      <c r="G11575" s="52">
        <v>179187.559962737</v>
      </c>
      <c r="H11575" s="56">
        <v>7.3604181280259903E-2</v>
      </c>
      <c r="I11575" s="224" t="s">
        <v>2</v>
      </c>
    </row>
    <row r="11576" spans="1:9" x14ac:dyDescent="0.25">
      <c r="A11576" s="515">
        <v>36561</v>
      </c>
      <c r="B11576" s="515" t="s">
        <v>488</v>
      </c>
      <c r="C11576" s="52">
        <v>621690.00188035297</v>
      </c>
      <c r="D11576" s="56">
        <v>8.6891647422110141E-2</v>
      </c>
      <c r="E11576" s="224">
        <v>2670</v>
      </c>
      <c r="F11576" s="515" t="s">
        <v>12768</v>
      </c>
      <c r="G11576" s="52">
        <v>107755.499469389</v>
      </c>
      <c r="H11576" s="56">
        <v>0.18816349035949431</v>
      </c>
      <c r="I11576" s="224" t="s">
        <v>2</v>
      </c>
    </row>
    <row r="11577" spans="1:9" x14ac:dyDescent="0.25">
      <c r="A11577" s="515">
        <v>2461</v>
      </c>
      <c r="B11577" s="515" t="s">
        <v>534</v>
      </c>
      <c r="C11577" s="52">
        <v>1247684.14524319</v>
      </c>
      <c r="D11577" s="56">
        <v>5.2448946294534712E-2</v>
      </c>
      <c r="E11577" s="224">
        <v>3200</v>
      </c>
      <c r="F11577" s="515" t="s">
        <v>12769</v>
      </c>
      <c r="G11577" s="52">
        <v>526027.50327252899</v>
      </c>
      <c r="H11577" s="56">
        <v>4.9354360220913329E-2</v>
      </c>
      <c r="I11577" s="224" t="s">
        <v>2</v>
      </c>
    </row>
    <row r="11578" spans="1:9" x14ac:dyDescent="0.25">
      <c r="A11578" s="515">
        <v>33471</v>
      </c>
      <c r="C11578" s="52">
        <v>183826.10867487601</v>
      </c>
      <c r="D11578" s="56">
        <v>0.17689021487778026</v>
      </c>
      <c r="E11578" s="224" t="s">
        <v>2</v>
      </c>
      <c r="F11578" s="515" t="s">
        <v>12770</v>
      </c>
      <c r="G11578" s="52">
        <v>182922.43685090699</v>
      </c>
      <c r="H11578" s="56">
        <v>0.21301699661386883</v>
      </c>
      <c r="I11578" s="224" t="s">
        <v>2</v>
      </c>
    </row>
    <row r="11579" spans="1:9" x14ac:dyDescent="0.25">
      <c r="A11579" s="515">
        <v>55070</v>
      </c>
      <c r="B11579" s="515" t="s">
        <v>532</v>
      </c>
      <c r="C11579" s="52">
        <v>311500.913221144</v>
      </c>
      <c r="D11579" s="56">
        <v>4.0754112326802823E-2</v>
      </c>
      <c r="E11579" s="224" t="s">
        <v>2</v>
      </c>
      <c r="F11579" s="515" t="s">
        <v>12771</v>
      </c>
      <c r="G11579" s="52">
        <v>398290.639132287</v>
      </c>
      <c r="H11579" s="56">
        <v>6.7672146236923608E-2</v>
      </c>
      <c r="I11579" s="224" t="s">
        <v>2</v>
      </c>
    </row>
    <row r="11580" spans="1:9" x14ac:dyDescent="0.25">
      <c r="A11580" s="515">
        <v>39218</v>
      </c>
      <c r="B11580" s="515" t="s">
        <v>851</v>
      </c>
      <c r="C11580" s="52">
        <v>191231.06290416801</v>
      </c>
      <c r="D11580" s="56">
        <v>6.0773694344757254E-2</v>
      </c>
      <c r="E11580" s="224" t="s">
        <v>2</v>
      </c>
      <c r="F11580" s="515" t="s">
        <v>12772</v>
      </c>
      <c r="G11580" s="52">
        <v>149200.28571428501</v>
      </c>
      <c r="H11580" s="56">
        <v>0</v>
      </c>
      <c r="I11580" s="224" t="s">
        <v>2</v>
      </c>
    </row>
    <row r="11581" spans="1:9" x14ac:dyDescent="0.25">
      <c r="A11581" s="515">
        <v>2830</v>
      </c>
      <c r="B11581" s="515" t="s">
        <v>513</v>
      </c>
      <c r="C11581" s="52">
        <v>391933.48933819402</v>
      </c>
      <c r="D11581" s="56">
        <v>7.3437969987506582E-2</v>
      </c>
      <c r="E11581" s="224" t="s">
        <v>2</v>
      </c>
      <c r="F11581" s="515" t="s">
        <v>12773</v>
      </c>
      <c r="G11581" s="52">
        <v>53752.4109471708</v>
      </c>
      <c r="H11581" s="56">
        <v>-1.7283868275791425E-2</v>
      </c>
      <c r="I11581" s="224" t="s">
        <v>2</v>
      </c>
    </row>
    <row r="11582" spans="1:9" x14ac:dyDescent="0.25">
      <c r="A11582" s="515">
        <v>37022</v>
      </c>
      <c r="B11582" s="515" t="s">
        <v>684</v>
      </c>
      <c r="C11582" s="52">
        <v>255442.94546815599</v>
      </c>
      <c r="D11582" s="56">
        <v>5.4092416550174188E-2</v>
      </c>
      <c r="E11582" s="224" t="s">
        <v>2</v>
      </c>
      <c r="F11582" s="515" t="s">
        <v>12774</v>
      </c>
      <c r="G11582" s="52">
        <v>267664.48866969999</v>
      </c>
      <c r="H11582" s="56">
        <v>4.5682473279286741E-2</v>
      </c>
      <c r="I11582" s="224" t="s">
        <v>2</v>
      </c>
    </row>
    <row r="11583" spans="1:9" x14ac:dyDescent="0.25">
      <c r="A11583" s="515">
        <v>87008</v>
      </c>
      <c r="B11583" s="515" t="s">
        <v>406</v>
      </c>
      <c r="C11583" s="52">
        <v>398368.83676760801</v>
      </c>
      <c r="D11583" s="56">
        <v>5.7633473957626712E-2</v>
      </c>
      <c r="E11583" s="224" t="s">
        <v>2</v>
      </c>
      <c r="F11583" s="515" t="s">
        <v>12775</v>
      </c>
      <c r="G11583" s="52">
        <v>256488.78097990601</v>
      </c>
      <c r="H11583" s="56">
        <v>8.0469131723557186E-2</v>
      </c>
      <c r="I11583" s="224" t="s">
        <v>2</v>
      </c>
    </row>
    <row r="11584" spans="1:9" x14ac:dyDescent="0.25">
      <c r="A11584" s="515">
        <v>13309</v>
      </c>
      <c r="B11584" s="515" t="s">
        <v>543</v>
      </c>
      <c r="C11584" s="52">
        <v>164249.298078797</v>
      </c>
      <c r="D11584" s="56">
        <v>0.11673668459739998</v>
      </c>
      <c r="E11584" s="224" t="s">
        <v>2</v>
      </c>
      <c r="F11584" s="515" t="s">
        <v>12776</v>
      </c>
      <c r="G11584" s="52">
        <v>151004.12739725201</v>
      </c>
      <c r="H11584" s="56">
        <v>3.4560728220758563E-2</v>
      </c>
      <c r="I11584" s="224" t="s">
        <v>2</v>
      </c>
    </row>
    <row r="11585" spans="1:9" x14ac:dyDescent="0.25">
      <c r="A11585" s="515">
        <v>4280</v>
      </c>
      <c r="B11585" s="515" t="s">
        <v>1120</v>
      </c>
      <c r="C11585" s="52">
        <v>282593.692739202</v>
      </c>
      <c r="D11585" s="56">
        <v>8.81088335410177E-2</v>
      </c>
      <c r="E11585" s="224" t="s">
        <v>2</v>
      </c>
      <c r="F11585" s="515" t="s">
        <v>12777</v>
      </c>
      <c r="G11585" s="52">
        <v>365700.72302328597</v>
      </c>
      <c r="H11585" s="56">
        <v>4.607231955016608E-2</v>
      </c>
      <c r="I11585" s="224" t="s">
        <v>2</v>
      </c>
    </row>
    <row r="11586" spans="1:9" x14ac:dyDescent="0.25">
      <c r="A11586" s="515">
        <v>22712</v>
      </c>
      <c r="B11586" s="515" t="s">
        <v>321</v>
      </c>
      <c r="C11586" s="52">
        <v>426141.11919550499</v>
      </c>
      <c r="D11586" s="56">
        <v>4.8555087975555918E-2</v>
      </c>
      <c r="E11586" s="224" t="s">
        <v>2</v>
      </c>
      <c r="F11586" s="515" t="s">
        <v>12778</v>
      </c>
      <c r="G11586" s="52">
        <v>105146.78204404601</v>
      </c>
      <c r="H11586" s="56">
        <v>0.20029528910982575</v>
      </c>
      <c r="I11586" s="224" t="s">
        <v>2</v>
      </c>
    </row>
    <row r="11587" spans="1:9" x14ac:dyDescent="0.25">
      <c r="A11587" s="515">
        <v>54208</v>
      </c>
      <c r="B11587" s="515" t="s">
        <v>897</v>
      </c>
      <c r="C11587" s="52">
        <v>274429.655416872</v>
      </c>
      <c r="D11587" s="56">
        <v>6.3055629032530341E-2</v>
      </c>
      <c r="E11587" s="224" t="s">
        <v>2</v>
      </c>
      <c r="F11587" s="515" t="s">
        <v>12779</v>
      </c>
      <c r="G11587" s="52">
        <v>118210.774252549</v>
      </c>
      <c r="H11587" s="56">
        <v>5.0132254801946545E-2</v>
      </c>
      <c r="I11587" s="224" t="s">
        <v>2</v>
      </c>
    </row>
    <row r="11588" spans="1:9" x14ac:dyDescent="0.25">
      <c r="A11588" s="515">
        <v>45430</v>
      </c>
      <c r="B11588" s="515" t="s">
        <v>340</v>
      </c>
      <c r="C11588" s="52">
        <v>259317.77100785999</v>
      </c>
      <c r="D11588" s="56">
        <v>4.5122023895310941E-2</v>
      </c>
      <c r="E11588" s="224" t="s">
        <v>2</v>
      </c>
      <c r="F11588" s="515" t="s">
        <v>12780</v>
      </c>
      <c r="G11588" s="52">
        <v>165040.980582324</v>
      </c>
      <c r="H11588" s="56">
        <v>5.3847871600688699E-2</v>
      </c>
      <c r="I11588" s="224" t="s">
        <v>2</v>
      </c>
    </row>
    <row r="11589" spans="1:9" x14ac:dyDescent="0.25">
      <c r="A11589" s="515">
        <v>17519</v>
      </c>
      <c r="B11589" s="515" t="s">
        <v>537</v>
      </c>
      <c r="C11589" s="52">
        <v>358104.65749752801</v>
      </c>
      <c r="D11589" s="56">
        <v>9.2288268365919926E-2</v>
      </c>
      <c r="E11589" s="224" t="s">
        <v>2</v>
      </c>
      <c r="F11589" s="515" t="s">
        <v>12781</v>
      </c>
      <c r="G11589" s="52">
        <v>166040.96519016399</v>
      </c>
      <c r="H11589" s="56">
        <v>0.18932483794109398</v>
      </c>
      <c r="I11589" s="224" t="s">
        <v>2</v>
      </c>
    </row>
    <row r="11590" spans="1:9" x14ac:dyDescent="0.25">
      <c r="A11590" s="515">
        <v>71075</v>
      </c>
      <c r="B11590" s="515" t="s">
        <v>1093</v>
      </c>
      <c r="C11590" s="52">
        <v>55028.610803762902</v>
      </c>
      <c r="D11590" s="56">
        <v>0.10791769958295266</v>
      </c>
      <c r="E11590" s="224" t="s">
        <v>2</v>
      </c>
      <c r="F11590" s="515" t="s">
        <v>12782</v>
      </c>
      <c r="G11590" s="52">
        <v>442397.32846113498</v>
      </c>
      <c r="H11590" s="56">
        <v>8.8328742261683676E-2</v>
      </c>
      <c r="I11590" s="224" t="s">
        <v>2</v>
      </c>
    </row>
    <row r="11591" spans="1:9" x14ac:dyDescent="0.25">
      <c r="A11591" s="515">
        <v>5663</v>
      </c>
      <c r="B11591" s="515" t="s">
        <v>945</v>
      </c>
      <c r="C11591" s="52">
        <v>276655.39246139902</v>
      </c>
      <c r="D11591" s="56">
        <v>0.14117758151620177</v>
      </c>
      <c r="E11591" s="224" t="s">
        <v>2</v>
      </c>
      <c r="F11591" s="515" t="s">
        <v>12783</v>
      </c>
      <c r="G11591" s="52">
        <v>343100.601147371</v>
      </c>
      <c r="H11591" s="56">
        <v>3.6130868367307022E-2</v>
      </c>
      <c r="I11591" s="224" t="s">
        <v>2</v>
      </c>
    </row>
    <row r="11592" spans="1:9" x14ac:dyDescent="0.25">
      <c r="A11592" s="515">
        <v>48120</v>
      </c>
      <c r="B11592" s="515" t="s">
        <v>685</v>
      </c>
      <c r="C11592" s="52">
        <v>213435.159586594</v>
      </c>
      <c r="D11592" s="56">
        <v>8.8818702242011466E-2</v>
      </c>
      <c r="E11592" s="224" t="s">
        <v>2</v>
      </c>
      <c r="F11592" s="515" t="s">
        <v>12784</v>
      </c>
      <c r="G11592" s="52">
        <v>183871.98517307799</v>
      </c>
      <c r="H11592" s="56">
        <v>0.1099801086197094</v>
      </c>
      <c r="I11592" s="224" t="s">
        <v>2</v>
      </c>
    </row>
    <row r="11593" spans="1:9" x14ac:dyDescent="0.25">
      <c r="A11593" s="515">
        <v>6472</v>
      </c>
      <c r="B11593" s="515" t="s">
        <v>1172</v>
      </c>
      <c r="C11593" s="52">
        <v>387850.86595740501</v>
      </c>
      <c r="D11593" s="56">
        <v>0.11063098664090631</v>
      </c>
      <c r="E11593" s="224" t="s">
        <v>2</v>
      </c>
      <c r="F11593" s="515" t="s">
        <v>12785</v>
      </c>
      <c r="G11593" s="52">
        <v>250644.115099174</v>
      </c>
      <c r="H11593" s="56">
        <v>0.11915019198437814</v>
      </c>
      <c r="I11593" s="224" t="s">
        <v>2</v>
      </c>
    </row>
    <row r="11594" spans="1:9" x14ac:dyDescent="0.25">
      <c r="A11594" s="515">
        <v>80118</v>
      </c>
      <c r="B11594" s="515" t="s">
        <v>401</v>
      </c>
      <c r="C11594" s="52">
        <v>897640.42339160002</v>
      </c>
      <c r="D11594" s="56">
        <v>3.1071456158391613E-2</v>
      </c>
      <c r="E11594" s="224" t="s">
        <v>2</v>
      </c>
      <c r="F11594" s="515" t="s">
        <v>12786</v>
      </c>
      <c r="G11594" s="52">
        <v>191532.24831958499</v>
      </c>
      <c r="H11594" s="56">
        <v>6.4880197057980926E-2</v>
      </c>
      <c r="I11594" s="224" t="s">
        <v>2</v>
      </c>
    </row>
    <row r="11595" spans="1:9" x14ac:dyDescent="0.25">
      <c r="A11595" s="515">
        <v>21851</v>
      </c>
      <c r="B11595" s="515" t="s">
        <v>552</v>
      </c>
      <c r="C11595" s="52">
        <v>180348.66790206899</v>
      </c>
      <c r="D11595" s="56">
        <v>6.0071364905049655E-2</v>
      </c>
      <c r="E11595" s="224" t="s">
        <v>2</v>
      </c>
      <c r="F11595" s="515" t="s">
        <v>12787</v>
      </c>
      <c r="G11595" s="52">
        <v>678552.64951580297</v>
      </c>
      <c r="H11595" s="56">
        <v>6.4299541520820305E-2</v>
      </c>
      <c r="I11595" s="224" t="s">
        <v>2</v>
      </c>
    </row>
    <row r="11596" spans="1:9" x14ac:dyDescent="0.25">
      <c r="A11596" s="515">
        <v>72687</v>
      </c>
      <c r="C11596" s="52">
        <v>155949.40539547999</v>
      </c>
      <c r="D11596" s="56">
        <v>5.5573090354623315E-2</v>
      </c>
      <c r="E11596" s="224" t="s">
        <v>2</v>
      </c>
      <c r="F11596" s="515" t="s">
        <v>12788</v>
      </c>
      <c r="G11596" s="52">
        <v>91606.834333352395</v>
      </c>
      <c r="H11596" s="56">
        <v>0.10111680918666628</v>
      </c>
      <c r="I11596" s="224" t="s">
        <v>2</v>
      </c>
    </row>
    <row r="11597" spans="1:9" x14ac:dyDescent="0.25">
      <c r="A11597" s="515">
        <v>31714</v>
      </c>
      <c r="C11597" s="52">
        <v>96772.053879726402</v>
      </c>
      <c r="D11597" s="56">
        <v>3.9126524540441257E-2</v>
      </c>
      <c r="E11597" s="224" t="s">
        <v>2</v>
      </c>
      <c r="F11597" s="515" t="s">
        <v>12789</v>
      </c>
      <c r="G11597" s="52">
        <v>268780.55161048903</v>
      </c>
      <c r="H11597" s="56">
        <v>7.9809559134062721E-2</v>
      </c>
      <c r="I11597" s="224" t="s">
        <v>2</v>
      </c>
    </row>
    <row r="11598" spans="1:9" x14ac:dyDescent="0.25">
      <c r="A11598" s="515">
        <v>28073</v>
      </c>
      <c r="B11598" s="515" t="s">
        <v>310</v>
      </c>
      <c r="C11598" s="52">
        <v>122088.09567585999</v>
      </c>
      <c r="D11598" s="56">
        <v>0.173326747283923</v>
      </c>
      <c r="E11598" s="224" t="s">
        <v>2</v>
      </c>
      <c r="F11598" s="515" t="s">
        <v>12790</v>
      </c>
      <c r="G11598" s="52">
        <v>69131.956276616897</v>
      </c>
      <c r="H11598" s="56">
        <v>6.4664868919345614E-2</v>
      </c>
      <c r="I11598" s="224" t="s">
        <v>2</v>
      </c>
    </row>
    <row r="11599" spans="1:9" x14ac:dyDescent="0.25">
      <c r="A11599" s="515">
        <v>74631</v>
      </c>
      <c r="B11599" s="515" t="s">
        <v>758</v>
      </c>
      <c r="C11599" s="52">
        <v>53689.450318261202</v>
      </c>
      <c r="D11599" s="56">
        <v>9.8208436902762555E-2</v>
      </c>
      <c r="E11599" s="224" t="s">
        <v>2</v>
      </c>
      <c r="F11599" s="515" t="s">
        <v>12791</v>
      </c>
      <c r="G11599" s="52">
        <v>176193.30574334299</v>
      </c>
      <c r="H11599" s="56">
        <v>4.2951753234431933E-3</v>
      </c>
      <c r="I11599" s="224" t="s">
        <v>2</v>
      </c>
    </row>
    <row r="11600" spans="1:9" x14ac:dyDescent="0.25">
      <c r="A11600" s="515">
        <v>65793</v>
      </c>
      <c r="B11600" s="515" t="s">
        <v>984</v>
      </c>
      <c r="C11600" s="52">
        <v>160018.944203194</v>
      </c>
      <c r="D11600" s="56">
        <v>0.123806876579279</v>
      </c>
      <c r="E11600" s="224" t="s">
        <v>2</v>
      </c>
      <c r="F11600" s="515" t="s">
        <v>6933</v>
      </c>
      <c r="G11600" s="52">
        <v>115751.644467747</v>
      </c>
      <c r="H11600" s="56">
        <v>8.3302421482958758E-2</v>
      </c>
      <c r="I11600" s="224" t="s">
        <v>2</v>
      </c>
    </row>
    <row r="11601" spans="1:9" x14ac:dyDescent="0.25">
      <c r="A11601" s="515">
        <v>88401</v>
      </c>
      <c r="C11601" s="52">
        <v>75378.790984378298</v>
      </c>
      <c r="D11601" s="56">
        <v>5.1176651016605131E-2</v>
      </c>
      <c r="E11601" s="224" t="s">
        <v>2</v>
      </c>
      <c r="F11601" s="515" t="s">
        <v>12792</v>
      </c>
      <c r="G11601" s="52">
        <v>151556.473132163</v>
      </c>
      <c r="H11601" s="56">
        <v>4.7615577742112371E-2</v>
      </c>
      <c r="I11601" s="224" t="s">
        <v>2</v>
      </c>
    </row>
    <row r="11602" spans="1:9" x14ac:dyDescent="0.25">
      <c r="A11602" s="515">
        <v>37742</v>
      </c>
      <c r="B11602" s="515" t="s">
        <v>907</v>
      </c>
      <c r="C11602" s="52">
        <v>362361.32107193797</v>
      </c>
      <c r="D11602" s="56">
        <v>9.6492305390685082E-2</v>
      </c>
      <c r="E11602" s="224" t="s">
        <v>2</v>
      </c>
      <c r="F11602" s="515" t="s">
        <v>12793</v>
      </c>
      <c r="G11602" s="52">
        <v>166458.978520515</v>
      </c>
      <c r="H11602" s="56">
        <v>9.6949295717431494E-2</v>
      </c>
      <c r="I11602" s="224" t="s">
        <v>2</v>
      </c>
    </row>
    <row r="11603" spans="1:9" x14ac:dyDescent="0.25">
      <c r="A11603" s="515">
        <v>30292</v>
      </c>
      <c r="B11603" s="515" t="s">
        <v>957</v>
      </c>
      <c r="C11603" s="52">
        <v>329663.05389610003</v>
      </c>
      <c r="D11603" s="56">
        <v>6.3635615399277173E-2</v>
      </c>
      <c r="E11603" s="224" t="s">
        <v>2</v>
      </c>
      <c r="F11603" s="515" t="s">
        <v>12794</v>
      </c>
      <c r="G11603" s="52">
        <v>633671.43056261295</v>
      </c>
      <c r="H11603" s="56">
        <v>9.5512553385432963E-2</v>
      </c>
      <c r="I11603" s="224" t="s">
        <v>2</v>
      </c>
    </row>
    <row r="11604" spans="1:9" x14ac:dyDescent="0.25">
      <c r="A11604" s="515">
        <v>2779</v>
      </c>
      <c r="B11604" s="515" t="s">
        <v>513</v>
      </c>
      <c r="C11604" s="52">
        <v>526980.41662604397</v>
      </c>
      <c r="D11604" s="56">
        <v>7.9199846779175895E-2</v>
      </c>
      <c r="E11604" s="224" t="s">
        <v>2</v>
      </c>
      <c r="F11604" s="515" t="s">
        <v>12795</v>
      </c>
      <c r="G11604" s="52">
        <v>102141.601030292</v>
      </c>
      <c r="H11604" s="56">
        <v>2.6802012428536734E-2</v>
      </c>
      <c r="I11604" s="224" t="s">
        <v>2</v>
      </c>
    </row>
    <row r="11605" spans="1:9" x14ac:dyDescent="0.25">
      <c r="A11605" s="515">
        <v>54755</v>
      </c>
      <c r="C11605" s="52">
        <v>206259.96555615199</v>
      </c>
      <c r="D11605" s="56">
        <v>7.3740328312061398E-2</v>
      </c>
      <c r="E11605" s="224" t="s">
        <v>2</v>
      </c>
      <c r="F11605" s="515" t="s">
        <v>12796</v>
      </c>
      <c r="G11605" s="52">
        <v>1019151.53867275</v>
      </c>
      <c r="H11605" s="56">
        <v>9.2270083155518115E-2</v>
      </c>
      <c r="I11605" s="224" t="s">
        <v>2</v>
      </c>
    </row>
    <row r="11606" spans="1:9" x14ac:dyDescent="0.25">
      <c r="A11606" s="515">
        <v>19362</v>
      </c>
      <c r="B11606" s="515" t="s">
        <v>294</v>
      </c>
      <c r="C11606" s="52">
        <v>364600.43674426503</v>
      </c>
      <c r="D11606" s="56">
        <v>8.7680044484167607E-2</v>
      </c>
      <c r="E11606" s="224" t="s">
        <v>2</v>
      </c>
      <c r="F11606" s="515" t="s">
        <v>12797</v>
      </c>
      <c r="G11606" s="52">
        <v>218857.00844567001</v>
      </c>
      <c r="H11606" s="56">
        <v>0.15319572078497848</v>
      </c>
      <c r="I11606" s="224" t="s">
        <v>2</v>
      </c>
    </row>
    <row r="11607" spans="1:9" x14ac:dyDescent="0.25">
      <c r="A11607" s="515">
        <v>24078</v>
      </c>
      <c r="B11607" s="515" t="s">
        <v>1114</v>
      </c>
      <c r="C11607" s="52">
        <v>134109.609034305</v>
      </c>
      <c r="D11607" s="56">
        <v>0.13019488911953594</v>
      </c>
      <c r="E11607" s="224" t="s">
        <v>2</v>
      </c>
      <c r="F11607" s="515" t="s">
        <v>12798</v>
      </c>
      <c r="G11607" s="52">
        <v>391375.93842399702</v>
      </c>
      <c r="H11607" s="56">
        <v>3.7157120915889741E-2</v>
      </c>
      <c r="I11607" s="224" t="s">
        <v>2</v>
      </c>
    </row>
    <row r="11608" spans="1:9" x14ac:dyDescent="0.25">
      <c r="A11608" s="515">
        <v>29565</v>
      </c>
      <c r="C11608" s="52">
        <v>71150.640906793793</v>
      </c>
      <c r="D11608" s="56">
        <v>-3.6419809869384177E-3</v>
      </c>
      <c r="E11608" s="224" t="s">
        <v>2</v>
      </c>
      <c r="F11608" s="515" t="s">
        <v>12799</v>
      </c>
      <c r="G11608" s="52">
        <v>211572.78573137301</v>
      </c>
      <c r="H11608" s="56">
        <v>8.2713346755959968E-2</v>
      </c>
      <c r="I11608" s="224" t="s">
        <v>2</v>
      </c>
    </row>
    <row r="11609" spans="1:9" x14ac:dyDescent="0.25">
      <c r="A11609" s="515">
        <v>41301</v>
      </c>
      <c r="C11609" s="52">
        <v>137499.690223151</v>
      </c>
      <c r="D11609" s="56">
        <v>9.890275434994926E-2</v>
      </c>
      <c r="E11609" s="224" t="s">
        <v>2</v>
      </c>
      <c r="F11609" s="515" t="s">
        <v>12800</v>
      </c>
      <c r="G11609" s="52">
        <v>140361.16422748499</v>
      </c>
      <c r="H11609" s="56">
        <v>5.9961501987100679E-3</v>
      </c>
      <c r="I11609" s="224" t="s">
        <v>2</v>
      </c>
    </row>
    <row r="11610" spans="1:9" x14ac:dyDescent="0.25">
      <c r="A11610" s="515">
        <v>87740</v>
      </c>
      <c r="C11610" s="52">
        <v>131610.14182458099</v>
      </c>
      <c r="D11610" s="56">
        <v>5.839099087057914E-2</v>
      </c>
      <c r="E11610" s="224" t="s">
        <v>2</v>
      </c>
      <c r="F11610" s="515" t="s">
        <v>12801</v>
      </c>
      <c r="G11610" s="52">
        <v>78334.002947189598</v>
      </c>
      <c r="H11610" s="56">
        <v>-2.1035988764802858E-2</v>
      </c>
      <c r="I11610" s="224" t="s">
        <v>2</v>
      </c>
    </row>
    <row r="11611" spans="1:9" x14ac:dyDescent="0.25">
      <c r="A11611" s="515">
        <v>65781</v>
      </c>
      <c r="B11611" s="515" t="s">
        <v>603</v>
      </c>
      <c r="C11611" s="52">
        <v>237507.120938301</v>
      </c>
      <c r="D11611" s="56">
        <v>9.6687654294390968E-2</v>
      </c>
      <c r="E11611" s="224" t="s">
        <v>2</v>
      </c>
      <c r="F11611" s="515" t="s">
        <v>12802</v>
      </c>
      <c r="G11611" s="52">
        <v>193232.077458655</v>
      </c>
      <c r="H11611" s="56">
        <v>5.9395758579001076E-2</v>
      </c>
      <c r="I11611" s="224" t="s">
        <v>2</v>
      </c>
    </row>
    <row r="11612" spans="1:9" x14ac:dyDescent="0.25">
      <c r="A11612" s="515">
        <v>28789</v>
      </c>
      <c r="B11612" s="515" t="s">
        <v>487</v>
      </c>
      <c r="C11612" s="52">
        <v>297413.49641056999</v>
      </c>
      <c r="D11612" s="56">
        <v>0.17073890179258175</v>
      </c>
      <c r="E11612" s="224" t="s">
        <v>2</v>
      </c>
      <c r="F11612" s="515" t="s">
        <v>12803</v>
      </c>
      <c r="G11612" s="52">
        <v>255488.70009900001</v>
      </c>
      <c r="H11612" s="56">
        <v>0.10304076137768947</v>
      </c>
      <c r="I11612" s="224" t="s">
        <v>2</v>
      </c>
    </row>
    <row r="11613" spans="1:9" x14ac:dyDescent="0.25">
      <c r="A11613" s="515">
        <v>79339</v>
      </c>
      <c r="C11613" s="52">
        <v>78774.504469346197</v>
      </c>
      <c r="D11613" s="56">
        <v>4.2863938507638727E-2</v>
      </c>
      <c r="E11613" s="224" t="s">
        <v>2</v>
      </c>
      <c r="F11613" s="515" t="s">
        <v>12804</v>
      </c>
      <c r="G11613" s="52">
        <v>275051.573262544</v>
      </c>
      <c r="H11613" s="56">
        <v>4.1184749571882583E-2</v>
      </c>
      <c r="I11613" s="224" t="s">
        <v>2</v>
      </c>
    </row>
    <row r="11614" spans="1:9" x14ac:dyDescent="0.25">
      <c r="A11614" s="515">
        <v>43713</v>
      </c>
      <c r="B11614" s="515" t="s">
        <v>442</v>
      </c>
      <c r="C11614" s="52">
        <v>128978.789525317</v>
      </c>
      <c r="D11614" s="56">
        <v>6.9885736381431807E-2</v>
      </c>
      <c r="E11614" s="224" t="s">
        <v>2</v>
      </c>
      <c r="F11614" s="515" t="s">
        <v>12805</v>
      </c>
      <c r="G11614" s="52">
        <v>351250.410056995</v>
      </c>
      <c r="H11614" s="56">
        <v>6.7063626554202754E-2</v>
      </c>
      <c r="I11614" s="224" t="s">
        <v>2</v>
      </c>
    </row>
    <row r="11615" spans="1:9" x14ac:dyDescent="0.25">
      <c r="A11615" s="515">
        <v>50548</v>
      </c>
      <c r="C11615" s="52">
        <v>167676.53213217901</v>
      </c>
      <c r="D11615" s="56">
        <v>4.4538906160852543E-2</v>
      </c>
      <c r="E11615" s="224" t="s">
        <v>2</v>
      </c>
      <c r="F11615" s="515" t="s">
        <v>12806</v>
      </c>
      <c r="G11615" s="52">
        <v>84507.703219893898</v>
      </c>
      <c r="H11615" s="56">
        <v>0.14672129753277408</v>
      </c>
      <c r="I11615" s="224" t="s">
        <v>2</v>
      </c>
    </row>
    <row r="11616" spans="1:9" x14ac:dyDescent="0.25">
      <c r="A11616" s="515">
        <v>77859</v>
      </c>
      <c r="B11616" s="515" t="s">
        <v>346</v>
      </c>
      <c r="C11616" s="52">
        <v>142211.25281696199</v>
      </c>
      <c r="D11616" s="56">
        <v>-5.6394279197436122E-2</v>
      </c>
      <c r="E11616" s="224" t="s">
        <v>2</v>
      </c>
      <c r="F11616" s="515" t="s">
        <v>12807</v>
      </c>
      <c r="G11616" s="52">
        <v>107733.259131885</v>
      </c>
      <c r="H11616" s="56">
        <v>0.24507667699297198</v>
      </c>
      <c r="I11616" s="224" t="s">
        <v>2</v>
      </c>
    </row>
    <row r="11617" spans="1:9" x14ac:dyDescent="0.25">
      <c r="A11617" s="515">
        <v>3903</v>
      </c>
      <c r="B11617" s="515" t="s">
        <v>570</v>
      </c>
      <c r="C11617" s="52">
        <v>516141.297540784</v>
      </c>
      <c r="D11617" s="56">
        <v>6.4213885591880737E-2</v>
      </c>
      <c r="E11617" s="224" t="s">
        <v>2</v>
      </c>
      <c r="F11617" s="515" t="s">
        <v>12808</v>
      </c>
      <c r="G11617" s="52">
        <v>116486.198473282</v>
      </c>
      <c r="H11617" s="56">
        <v>0</v>
      </c>
      <c r="I11617" s="224" t="s">
        <v>2</v>
      </c>
    </row>
    <row r="11618" spans="1:9" x14ac:dyDescent="0.25">
      <c r="A11618" s="515">
        <v>12834</v>
      </c>
      <c r="B11618" s="515" t="s">
        <v>422</v>
      </c>
      <c r="C11618" s="52">
        <v>247116.93878893999</v>
      </c>
      <c r="D11618" s="56">
        <v>5.8954062841672018E-2</v>
      </c>
      <c r="E11618" s="224" t="s">
        <v>2</v>
      </c>
      <c r="F11618" s="515" t="s">
        <v>12809</v>
      </c>
      <c r="G11618" s="52">
        <v>223749.707021234</v>
      </c>
      <c r="H11618" s="56">
        <v>9.1364965425989278E-2</v>
      </c>
      <c r="I11618" s="224" t="s">
        <v>2</v>
      </c>
    </row>
    <row r="11619" spans="1:9" x14ac:dyDescent="0.25">
      <c r="A11619" s="515">
        <v>2648</v>
      </c>
      <c r="B11619" s="515" t="s">
        <v>427</v>
      </c>
      <c r="C11619" s="52">
        <v>572108.30844586994</v>
      </c>
      <c r="D11619" s="56">
        <v>0.10336305551671895</v>
      </c>
      <c r="E11619" s="224" t="s">
        <v>2</v>
      </c>
      <c r="F11619" s="515" t="s">
        <v>12810</v>
      </c>
      <c r="G11619" s="52">
        <v>255463.079388969</v>
      </c>
      <c r="H11619" s="56">
        <v>2.5792505903475295E-2</v>
      </c>
      <c r="I11619" s="224" t="s">
        <v>2</v>
      </c>
    </row>
    <row r="11620" spans="1:9" x14ac:dyDescent="0.25">
      <c r="A11620" s="515">
        <v>15089</v>
      </c>
      <c r="B11620" s="515" t="s">
        <v>297</v>
      </c>
      <c r="C11620" s="52">
        <v>138150.47760213999</v>
      </c>
      <c r="D11620" s="56">
        <v>3.0843275883836348E-2</v>
      </c>
      <c r="E11620" s="224" t="s">
        <v>2</v>
      </c>
      <c r="F11620" s="515" t="s">
        <v>12811</v>
      </c>
      <c r="G11620" s="52">
        <v>360925.61944813898</v>
      </c>
      <c r="H11620" s="56">
        <v>8.0630853392566523E-2</v>
      </c>
      <c r="I11620" s="224" t="s">
        <v>2</v>
      </c>
    </row>
    <row r="11621" spans="1:9" x14ac:dyDescent="0.25">
      <c r="A11621" s="515">
        <v>16870</v>
      </c>
      <c r="B11621" s="515" t="s">
        <v>491</v>
      </c>
      <c r="C11621" s="52">
        <v>380184.641729008</v>
      </c>
      <c r="D11621" s="56">
        <v>7.2116261135590068E-2</v>
      </c>
      <c r="E11621" s="224" t="s">
        <v>2</v>
      </c>
      <c r="F11621" s="515" t="s">
        <v>12812</v>
      </c>
      <c r="G11621" s="52">
        <v>173143.01435674401</v>
      </c>
      <c r="H11621" s="56">
        <v>6.7473301135684241E-2</v>
      </c>
      <c r="I11621" s="224" t="s">
        <v>2</v>
      </c>
    </row>
    <row r="11622" spans="1:9" x14ac:dyDescent="0.25">
      <c r="A11622" s="515">
        <v>75148</v>
      </c>
      <c r="B11622" s="515" t="s">
        <v>1088</v>
      </c>
      <c r="C11622" s="52">
        <v>265869.67161561601</v>
      </c>
      <c r="D11622" s="56">
        <v>7.0889451762132405E-2</v>
      </c>
      <c r="E11622" s="224" t="s">
        <v>2</v>
      </c>
      <c r="F11622" s="515" t="s">
        <v>12813</v>
      </c>
      <c r="G11622" s="52">
        <v>249381.77107495401</v>
      </c>
      <c r="H11622" s="56">
        <v>0.10127473090139517</v>
      </c>
      <c r="I11622" s="224" t="s">
        <v>2</v>
      </c>
    </row>
    <row r="11623" spans="1:9" x14ac:dyDescent="0.25">
      <c r="A11623" s="515">
        <v>6016</v>
      </c>
      <c r="B11623" s="515" t="s">
        <v>894</v>
      </c>
      <c r="C11623" s="52">
        <v>309590.64290963998</v>
      </c>
      <c r="D11623" s="56">
        <v>9.7508960475004597E-2</v>
      </c>
      <c r="E11623" s="224" t="s">
        <v>2</v>
      </c>
      <c r="F11623" s="515" t="s">
        <v>12814</v>
      </c>
      <c r="G11623" s="52">
        <v>272780.52201842901</v>
      </c>
      <c r="H11623" s="56">
        <v>7.3486815129681471E-2</v>
      </c>
      <c r="I11623" s="224" t="s">
        <v>2</v>
      </c>
    </row>
    <row r="11624" spans="1:9" x14ac:dyDescent="0.25">
      <c r="A11624" s="515">
        <v>68949</v>
      </c>
      <c r="C11624" s="52">
        <v>164809.14369213299</v>
      </c>
      <c r="D11624" s="56">
        <v>4.4293054117196536E-2</v>
      </c>
      <c r="E11624" s="224" t="s">
        <v>2</v>
      </c>
      <c r="F11624" s="515" t="s">
        <v>12815</v>
      </c>
      <c r="G11624" s="52">
        <v>188696.67938931199</v>
      </c>
      <c r="H11624" s="56">
        <v>0</v>
      </c>
      <c r="I11624" s="224" t="s">
        <v>2</v>
      </c>
    </row>
    <row r="11625" spans="1:9" x14ac:dyDescent="0.25">
      <c r="A11625" s="515">
        <v>36744</v>
      </c>
      <c r="B11625" s="515" t="s">
        <v>841</v>
      </c>
      <c r="C11625" s="52">
        <v>110346.07367915301</v>
      </c>
      <c r="D11625" s="56">
        <v>-5.0750444187938538E-2</v>
      </c>
      <c r="E11625" s="224" t="s">
        <v>2</v>
      </c>
      <c r="F11625" s="515" t="s">
        <v>12816</v>
      </c>
      <c r="G11625" s="52">
        <v>324514.272467167</v>
      </c>
      <c r="H11625" s="56">
        <v>8.4281925600932978E-2</v>
      </c>
      <c r="I11625" s="224" t="s">
        <v>2</v>
      </c>
    </row>
    <row r="11626" spans="1:9" x14ac:dyDescent="0.25">
      <c r="A11626" s="515">
        <v>55045</v>
      </c>
      <c r="B11626" s="515" t="s">
        <v>532</v>
      </c>
      <c r="C11626" s="52">
        <v>357128.04697839398</v>
      </c>
      <c r="D11626" s="56">
        <v>3.9312493029458884E-2</v>
      </c>
      <c r="E11626" s="224" t="s">
        <v>2</v>
      </c>
      <c r="F11626" s="515" t="s">
        <v>12817</v>
      </c>
      <c r="G11626" s="52">
        <v>120279.506868978</v>
      </c>
      <c r="H11626" s="56">
        <v>7.1598651528356233E-2</v>
      </c>
      <c r="I11626" s="224" t="s">
        <v>2</v>
      </c>
    </row>
    <row r="11627" spans="1:9" x14ac:dyDescent="0.25">
      <c r="A11627" s="515">
        <v>26047</v>
      </c>
      <c r="B11627" s="515" t="s">
        <v>389</v>
      </c>
      <c r="C11627" s="52">
        <v>142446.42290758001</v>
      </c>
      <c r="D11627" s="56">
        <v>0.11380557110251542</v>
      </c>
      <c r="E11627" s="224" t="s">
        <v>2</v>
      </c>
      <c r="F11627" s="515" t="s">
        <v>12818</v>
      </c>
      <c r="G11627" s="52">
        <v>249563.59560542199</v>
      </c>
      <c r="H11627" s="56">
        <v>6.0154871324993711E-2</v>
      </c>
      <c r="I11627" s="224" t="s">
        <v>2</v>
      </c>
    </row>
    <row r="11628" spans="1:9" x14ac:dyDescent="0.25">
      <c r="A11628" s="515">
        <v>17527</v>
      </c>
      <c r="B11628" s="515" t="s">
        <v>537</v>
      </c>
      <c r="C11628" s="52">
        <v>378087.80235710199</v>
      </c>
      <c r="D11628" s="56">
        <v>8.5955983151185758E-2</v>
      </c>
      <c r="E11628" s="224" t="s">
        <v>2</v>
      </c>
      <c r="F11628" s="515" t="s">
        <v>12819</v>
      </c>
      <c r="G11628" s="52">
        <v>299207.16082479001</v>
      </c>
      <c r="H11628" s="56">
        <v>5.41790462146697E-2</v>
      </c>
      <c r="I11628" s="224" t="s">
        <v>2</v>
      </c>
    </row>
    <row r="11629" spans="1:9" x14ac:dyDescent="0.25">
      <c r="A11629" s="515">
        <v>17339</v>
      </c>
      <c r="B11629" s="515" t="s">
        <v>509</v>
      </c>
      <c r="C11629" s="52">
        <v>310510.65164407098</v>
      </c>
      <c r="D11629" s="56">
        <v>7.0418353343942086E-2</v>
      </c>
      <c r="E11629" s="224" t="s">
        <v>2</v>
      </c>
      <c r="F11629" s="515" t="s">
        <v>12820</v>
      </c>
      <c r="G11629" s="52">
        <v>173858.514964437</v>
      </c>
      <c r="H11629" s="56">
        <v>7.467250782470175E-2</v>
      </c>
      <c r="I11629" s="224" t="s">
        <v>2</v>
      </c>
    </row>
    <row r="11630" spans="1:9" x14ac:dyDescent="0.25">
      <c r="A11630" s="515">
        <v>56362</v>
      </c>
      <c r="B11630" s="515" t="s">
        <v>418</v>
      </c>
      <c r="C11630" s="52">
        <v>272586.51190849597</v>
      </c>
      <c r="D11630" s="56">
        <v>8.5960977817763989E-2</v>
      </c>
      <c r="E11630" s="224" t="s">
        <v>2</v>
      </c>
      <c r="F11630" s="515" t="s">
        <v>12821</v>
      </c>
      <c r="G11630" s="52">
        <v>368908.02799934801</v>
      </c>
      <c r="H11630" s="56">
        <v>6.0620861478284029E-2</v>
      </c>
      <c r="I11630" s="224" t="s">
        <v>2</v>
      </c>
    </row>
    <row r="11631" spans="1:9" x14ac:dyDescent="0.25">
      <c r="A11631" s="515">
        <v>28705</v>
      </c>
      <c r="C11631" s="52">
        <v>208652.30378578999</v>
      </c>
      <c r="D11631" s="56">
        <v>0.1686835759040925</v>
      </c>
      <c r="E11631" s="224" t="s">
        <v>2</v>
      </c>
      <c r="F11631" s="515" t="s">
        <v>12822</v>
      </c>
      <c r="G11631" s="52">
        <v>454304.49161321</v>
      </c>
      <c r="H11631" s="56">
        <v>-1.3299687724959755E-2</v>
      </c>
      <c r="I11631" s="224" t="s">
        <v>2</v>
      </c>
    </row>
    <row r="11632" spans="1:9" x14ac:dyDescent="0.25">
      <c r="A11632" s="515">
        <v>81631</v>
      </c>
      <c r="B11632" s="515" t="s">
        <v>903</v>
      </c>
      <c r="C11632" s="52">
        <v>886750.88988062402</v>
      </c>
      <c r="D11632" s="56">
        <v>8.388753909862677E-2</v>
      </c>
      <c r="E11632" s="224" t="s">
        <v>2</v>
      </c>
      <c r="F11632" s="515" t="s">
        <v>12823</v>
      </c>
      <c r="G11632" s="52">
        <v>360912.88748532598</v>
      </c>
      <c r="H11632" s="56">
        <v>0.12971403250314165</v>
      </c>
      <c r="I11632" s="224" t="s">
        <v>2</v>
      </c>
    </row>
    <row r="11633" spans="1:9" x14ac:dyDescent="0.25">
      <c r="A11633" s="515">
        <v>13142</v>
      </c>
      <c r="B11633" s="515" t="s">
        <v>361</v>
      </c>
      <c r="C11633" s="52">
        <v>169588.15450245701</v>
      </c>
      <c r="D11633" s="56">
        <v>9.8032601703870945E-2</v>
      </c>
      <c r="E11633" s="224" t="s">
        <v>2</v>
      </c>
      <c r="F11633" s="515" t="s">
        <v>12824</v>
      </c>
      <c r="G11633" s="52">
        <v>220800.37871471501</v>
      </c>
      <c r="H11633" s="56">
        <v>0.13166152768010816</v>
      </c>
      <c r="I11633" s="224" t="s">
        <v>2</v>
      </c>
    </row>
    <row r="11634" spans="1:9" x14ac:dyDescent="0.25">
      <c r="A11634" s="515">
        <v>19012</v>
      </c>
      <c r="B11634" s="515" t="s">
        <v>294</v>
      </c>
      <c r="C11634" s="52">
        <v>334763.769545738</v>
      </c>
      <c r="D11634" s="56">
        <v>7.0688389751833836E-2</v>
      </c>
      <c r="E11634" s="224" t="s">
        <v>2</v>
      </c>
      <c r="F11634" s="515" t="s">
        <v>12825</v>
      </c>
      <c r="G11634" s="52">
        <v>138913.64822092399</v>
      </c>
      <c r="H11634" s="56">
        <v>0.10355099647057586</v>
      </c>
      <c r="I11634" s="224" t="s">
        <v>2</v>
      </c>
    </row>
    <row r="11635" spans="1:9" x14ac:dyDescent="0.25">
      <c r="A11635" s="515">
        <v>28428</v>
      </c>
      <c r="B11635" s="515" t="s">
        <v>1038</v>
      </c>
      <c r="C11635" s="52">
        <v>541373.40217796096</v>
      </c>
      <c r="D11635" s="56">
        <v>0.12927609975045454</v>
      </c>
      <c r="E11635" s="224">
        <v>1923.75</v>
      </c>
      <c r="F11635" s="515" t="s">
        <v>12826</v>
      </c>
      <c r="G11635" s="52">
        <v>477463.22586567601</v>
      </c>
      <c r="H11635" s="56">
        <v>7.5822408067766106E-2</v>
      </c>
      <c r="I11635" s="224" t="s">
        <v>2</v>
      </c>
    </row>
    <row r="11636" spans="1:9" x14ac:dyDescent="0.25">
      <c r="A11636" s="515">
        <v>27313</v>
      </c>
      <c r="B11636" s="515" t="s">
        <v>1148</v>
      </c>
      <c r="C11636" s="52">
        <v>254766.96021729</v>
      </c>
      <c r="D11636" s="56">
        <v>0.12456305289526332</v>
      </c>
      <c r="E11636" s="224" t="s">
        <v>2</v>
      </c>
      <c r="F11636" s="515" t="s">
        <v>12827</v>
      </c>
      <c r="G11636" s="52">
        <v>381937.78231460199</v>
      </c>
      <c r="H11636" s="56">
        <v>2.6106472467493504E-2</v>
      </c>
      <c r="I11636" s="224" t="s">
        <v>2</v>
      </c>
    </row>
    <row r="11637" spans="1:9" x14ac:dyDescent="0.25">
      <c r="A11637" s="515">
        <v>2113</v>
      </c>
      <c r="B11637" s="515" t="s">
        <v>534</v>
      </c>
      <c r="C11637" s="52">
        <v>587867.22941064299</v>
      </c>
      <c r="D11637" s="56">
        <v>-4.4051933527867626E-2</v>
      </c>
      <c r="E11637" s="224">
        <v>2764.4808201058199</v>
      </c>
      <c r="F11637" s="515" t="s">
        <v>12828</v>
      </c>
      <c r="G11637" s="52">
        <v>218553.166561741</v>
      </c>
      <c r="H11637" s="56">
        <v>0.15512673710270089</v>
      </c>
      <c r="I11637" s="224" t="s">
        <v>2</v>
      </c>
    </row>
    <row r="11638" spans="1:9" x14ac:dyDescent="0.25">
      <c r="A11638" s="515">
        <v>83860</v>
      </c>
      <c r="B11638" s="515" t="s">
        <v>623</v>
      </c>
      <c r="C11638" s="52">
        <v>670081.140601021</v>
      </c>
      <c r="D11638" s="56">
        <v>5.3567604368459963E-3</v>
      </c>
      <c r="E11638" s="224" t="s">
        <v>2</v>
      </c>
      <c r="F11638" s="515" t="s">
        <v>12829</v>
      </c>
      <c r="G11638" s="52">
        <v>289197.04317789199</v>
      </c>
      <c r="H11638" s="56">
        <v>0</v>
      </c>
      <c r="I11638" s="224" t="s">
        <v>2</v>
      </c>
    </row>
    <row r="11639" spans="1:9" x14ac:dyDescent="0.25">
      <c r="A11639" s="515">
        <v>28675</v>
      </c>
      <c r="C11639" s="52">
        <v>224039.091470249</v>
      </c>
      <c r="D11639" s="56">
        <v>0.1402281709337373</v>
      </c>
      <c r="E11639" s="224" t="s">
        <v>2</v>
      </c>
      <c r="F11639" s="515" t="s">
        <v>12830</v>
      </c>
      <c r="G11639" s="52">
        <v>544044.98849821195</v>
      </c>
      <c r="H11639" s="56">
        <v>0.111294662406831</v>
      </c>
      <c r="I11639" s="224" t="s">
        <v>2</v>
      </c>
    </row>
    <row r="11640" spans="1:9" x14ac:dyDescent="0.25">
      <c r="A11640" s="515">
        <v>37419</v>
      </c>
      <c r="B11640" s="515" t="s">
        <v>622</v>
      </c>
      <c r="C11640" s="52">
        <v>274293.51001298003</v>
      </c>
      <c r="D11640" s="56">
        <v>6.3450400403663607E-2</v>
      </c>
      <c r="E11640" s="224" t="s">
        <v>2</v>
      </c>
      <c r="F11640" s="515" t="s">
        <v>12831</v>
      </c>
      <c r="G11640" s="52">
        <v>239788.91165120201</v>
      </c>
      <c r="H11640" s="56">
        <v>0.12406380968247102</v>
      </c>
      <c r="I11640" s="224" t="s">
        <v>2</v>
      </c>
    </row>
    <row r="11641" spans="1:9" x14ac:dyDescent="0.25">
      <c r="A11641" s="515">
        <v>17976</v>
      </c>
      <c r="B11641" s="515" t="s">
        <v>994</v>
      </c>
      <c r="C11641" s="52">
        <v>31892.4306544598</v>
      </c>
      <c r="D11641" s="56">
        <v>0.12776373608535285</v>
      </c>
      <c r="E11641" s="224" t="s">
        <v>2</v>
      </c>
      <c r="F11641" s="515" t="s">
        <v>12832</v>
      </c>
      <c r="G11641" s="52">
        <v>208069.83005432601</v>
      </c>
      <c r="H11641" s="56">
        <v>2.4335584272601681E-2</v>
      </c>
      <c r="I11641" s="224" t="s">
        <v>2</v>
      </c>
    </row>
    <row r="11642" spans="1:9" x14ac:dyDescent="0.25">
      <c r="A11642" s="515">
        <v>24630</v>
      </c>
      <c r="B11642" s="515" t="s">
        <v>306</v>
      </c>
      <c r="C11642" s="52">
        <v>117757.910962687</v>
      </c>
      <c r="D11642" s="56">
        <v>5.0042782552341077E-2</v>
      </c>
      <c r="E11642" s="224" t="s">
        <v>2</v>
      </c>
      <c r="F11642" s="515" t="s">
        <v>12833</v>
      </c>
      <c r="G11642" s="52">
        <v>1502367.1237840001</v>
      </c>
      <c r="H11642" s="56">
        <v>5.7403564464017787E-2</v>
      </c>
      <c r="I11642" s="224" t="s">
        <v>2</v>
      </c>
    </row>
    <row r="11643" spans="1:9" x14ac:dyDescent="0.25">
      <c r="A11643" s="515">
        <v>99204</v>
      </c>
      <c r="B11643" s="515" t="s">
        <v>820</v>
      </c>
      <c r="C11643" s="52">
        <v>386018.345489987</v>
      </c>
      <c r="D11643" s="56">
        <v>3.5028528964425744E-2</v>
      </c>
      <c r="E11643" s="224">
        <v>1134.5999999999999</v>
      </c>
      <c r="F11643" s="515" t="s">
        <v>12834</v>
      </c>
      <c r="G11643" s="52">
        <v>335187.31298330601</v>
      </c>
      <c r="H11643" s="56">
        <v>7.5219088508964041E-2</v>
      </c>
      <c r="I11643" s="224" t="s">
        <v>2</v>
      </c>
    </row>
    <row r="11644" spans="1:9" x14ac:dyDescent="0.25">
      <c r="A11644" s="515">
        <v>13068</v>
      </c>
      <c r="B11644" s="515" t="s">
        <v>1115</v>
      </c>
      <c r="C11644" s="52">
        <v>243588.08667433099</v>
      </c>
      <c r="D11644" s="56">
        <v>7.0399728898307132E-2</v>
      </c>
      <c r="E11644" s="224" t="s">
        <v>2</v>
      </c>
      <c r="F11644" s="515" t="s">
        <v>12835</v>
      </c>
      <c r="G11644" s="52">
        <v>161113.61857086801</v>
      </c>
      <c r="H11644" s="56">
        <v>8.6584071425679587E-2</v>
      </c>
      <c r="I11644" s="224" t="s">
        <v>2</v>
      </c>
    </row>
    <row r="11645" spans="1:9" x14ac:dyDescent="0.25">
      <c r="A11645" s="515">
        <v>77665</v>
      </c>
      <c r="B11645" s="515" t="s">
        <v>314</v>
      </c>
      <c r="C11645" s="52">
        <v>211643.609569516</v>
      </c>
      <c r="D11645" s="56">
        <v>4.4849003290666087E-2</v>
      </c>
      <c r="E11645" s="224" t="s">
        <v>2</v>
      </c>
      <c r="F11645" s="515" t="s">
        <v>12836</v>
      </c>
      <c r="G11645" s="52">
        <v>287362.16009115602</v>
      </c>
      <c r="H11645" s="56">
        <v>8.0232717890817859E-2</v>
      </c>
      <c r="I11645" s="224" t="s">
        <v>2</v>
      </c>
    </row>
    <row r="11646" spans="1:9" x14ac:dyDescent="0.25">
      <c r="A11646" s="515">
        <v>59635</v>
      </c>
      <c r="B11646" s="515" t="s">
        <v>750</v>
      </c>
      <c r="C11646" s="52">
        <v>387575.22551185702</v>
      </c>
      <c r="D11646" s="56">
        <v>6.6765418006082974E-2</v>
      </c>
      <c r="E11646" s="224" t="s">
        <v>2</v>
      </c>
      <c r="F11646" s="515" t="s">
        <v>12837</v>
      </c>
      <c r="G11646" s="52">
        <v>212251.45311642901</v>
      </c>
      <c r="H11646" s="56">
        <v>1.045496901643932E-2</v>
      </c>
      <c r="I11646" s="224" t="s">
        <v>2</v>
      </c>
    </row>
    <row r="11647" spans="1:9" x14ac:dyDescent="0.25">
      <c r="A11647" s="515">
        <v>48211</v>
      </c>
      <c r="B11647" s="515" t="s">
        <v>685</v>
      </c>
      <c r="C11647" s="52">
        <v>50933.677000006603</v>
      </c>
      <c r="D11647" s="56">
        <v>0.19790552983113588</v>
      </c>
      <c r="E11647" s="224" t="s">
        <v>2</v>
      </c>
      <c r="F11647" s="515" t="s">
        <v>12838</v>
      </c>
      <c r="G11647" s="52">
        <v>286639.614104265</v>
      </c>
      <c r="H11647" s="56">
        <v>9.4527891315170837E-2</v>
      </c>
      <c r="I11647" s="224" t="s">
        <v>2</v>
      </c>
    </row>
    <row r="11648" spans="1:9" x14ac:dyDescent="0.25">
      <c r="A11648" s="515">
        <v>64831</v>
      </c>
      <c r="C11648" s="52">
        <v>163757.351396065</v>
      </c>
      <c r="D11648" s="56">
        <v>0.11270026260136576</v>
      </c>
      <c r="E11648" s="224" t="s">
        <v>2</v>
      </c>
      <c r="F11648" s="515" t="s">
        <v>12839</v>
      </c>
      <c r="G11648" s="52">
        <v>301849.90660602303</v>
      </c>
      <c r="H11648" s="56">
        <v>5.7492340330688736E-2</v>
      </c>
      <c r="I11648" s="224" t="s">
        <v>2</v>
      </c>
    </row>
    <row r="11649" spans="1:9" x14ac:dyDescent="0.25">
      <c r="A11649" s="515">
        <v>12090</v>
      </c>
      <c r="B11649" s="515" t="s">
        <v>609</v>
      </c>
      <c r="C11649" s="52">
        <v>179586.84799889199</v>
      </c>
      <c r="D11649" s="56">
        <v>7.1269468777860737E-2</v>
      </c>
      <c r="E11649" s="224" t="s">
        <v>2</v>
      </c>
      <c r="F11649" s="515" t="s">
        <v>12840</v>
      </c>
      <c r="G11649" s="52">
        <v>158556.43137254901</v>
      </c>
      <c r="H11649" s="56">
        <v>0</v>
      </c>
      <c r="I11649" s="224" t="s">
        <v>2</v>
      </c>
    </row>
    <row r="11650" spans="1:9" x14ac:dyDescent="0.25">
      <c r="A11650" s="515">
        <v>47454</v>
      </c>
      <c r="C11650" s="52">
        <v>143408.47693563701</v>
      </c>
      <c r="D11650" s="56">
        <v>7.4437080626825275E-2</v>
      </c>
      <c r="E11650" s="224" t="s">
        <v>2</v>
      </c>
      <c r="F11650" s="515" t="s">
        <v>12841</v>
      </c>
      <c r="G11650" s="52">
        <v>312082.57773814502</v>
      </c>
      <c r="H11650" s="56">
        <v>0.15837760444338864</v>
      </c>
      <c r="I11650" s="224" t="s">
        <v>2</v>
      </c>
    </row>
    <row r="11651" spans="1:9" x14ac:dyDescent="0.25">
      <c r="A11651" s="515">
        <v>2025</v>
      </c>
      <c r="B11651" s="515" t="s">
        <v>534</v>
      </c>
      <c r="C11651" s="52">
        <v>1158867.4783435401</v>
      </c>
      <c r="D11651" s="56">
        <v>5.4846375644701607E-2</v>
      </c>
      <c r="E11651" s="224" t="s">
        <v>2</v>
      </c>
      <c r="F11651" s="515" t="s">
        <v>12842</v>
      </c>
      <c r="G11651" s="52">
        <v>116089.570042145</v>
      </c>
      <c r="H11651" s="56">
        <v>0</v>
      </c>
      <c r="I11651" s="224" t="s">
        <v>2</v>
      </c>
    </row>
    <row r="11652" spans="1:9" x14ac:dyDescent="0.25">
      <c r="A11652" s="515">
        <v>61616</v>
      </c>
      <c r="B11652" s="515" t="s">
        <v>303</v>
      </c>
      <c r="C11652" s="52">
        <v>90897.929363882504</v>
      </c>
      <c r="D11652" s="56">
        <v>9.7810384411620807E-2</v>
      </c>
      <c r="E11652" s="224" t="s">
        <v>2</v>
      </c>
      <c r="F11652" s="515" t="s">
        <v>12843</v>
      </c>
      <c r="G11652" s="52">
        <v>98478.751140449895</v>
      </c>
      <c r="H11652" s="56">
        <v>0.17521858117842318</v>
      </c>
      <c r="I11652" s="224" t="s">
        <v>2</v>
      </c>
    </row>
    <row r="11653" spans="1:9" x14ac:dyDescent="0.25">
      <c r="A11653" s="515">
        <v>63830</v>
      </c>
      <c r="C11653" s="52">
        <v>86612.429866895807</v>
      </c>
      <c r="D11653" s="56">
        <v>4.4233913211510038E-2</v>
      </c>
      <c r="E11653" s="224" t="s">
        <v>2</v>
      </c>
      <c r="F11653" s="515" t="s">
        <v>12844</v>
      </c>
      <c r="G11653" s="52">
        <v>395266.92900733103</v>
      </c>
      <c r="H11653" s="56">
        <v>9.595881236705818E-2</v>
      </c>
      <c r="I11653" s="224" t="s">
        <v>2</v>
      </c>
    </row>
    <row r="11654" spans="1:9" x14ac:dyDescent="0.25">
      <c r="A11654" s="515">
        <v>36530</v>
      </c>
      <c r="B11654" s="515" t="s">
        <v>488</v>
      </c>
      <c r="C11654" s="52">
        <v>321166.51377707702</v>
      </c>
      <c r="D11654" s="56">
        <v>8.578433677893689E-2</v>
      </c>
      <c r="E11654" s="224" t="s">
        <v>2</v>
      </c>
      <c r="F11654" s="515" t="s">
        <v>12845</v>
      </c>
      <c r="G11654" s="52">
        <v>89659.026785169597</v>
      </c>
      <c r="H11654" s="56">
        <v>0.21475433539927</v>
      </c>
      <c r="I11654" s="224" t="s">
        <v>2</v>
      </c>
    </row>
    <row r="11655" spans="1:9" x14ac:dyDescent="0.25">
      <c r="A11655" s="515">
        <v>13316</v>
      </c>
      <c r="B11655" s="515" t="s">
        <v>543</v>
      </c>
      <c r="C11655" s="52">
        <v>157384.49029647699</v>
      </c>
      <c r="D11655" s="56">
        <v>0.12642669015054567</v>
      </c>
      <c r="E11655" s="224" t="s">
        <v>2</v>
      </c>
      <c r="F11655" s="515" t="s">
        <v>12846</v>
      </c>
      <c r="G11655" s="52">
        <v>152212.825960883</v>
      </c>
      <c r="H11655" s="56">
        <v>7.5876848179303041E-2</v>
      </c>
      <c r="I11655" s="224" t="s">
        <v>2</v>
      </c>
    </row>
    <row r="11656" spans="1:9" x14ac:dyDescent="0.25">
      <c r="A11656" s="515">
        <v>24263</v>
      </c>
      <c r="C11656" s="52">
        <v>97595.527783814599</v>
      </c>
      <c r="D11656" s="56">
        <v>6.3819865164181658E-2</v>
      </c>
      <c r="E11656" s="224" t="s">
        <v>2</v>
      </c>
      <c r="F11656" s="515" t="s">
        <v>12847</v>
      </c>
      <c r="G11656" s="52">
        <v>247930.88678966</v>
      </c>
      <c r="H11656" s="56">
        <v>9.3024755648723992E-2</v>
      </c>
      <c r="I11656" s="224" t="s">
        <v>2</v>
      </c>
    </row>
    <row r="11657" spans="1:9" x14ac:dyDescent="0.25">
      <c r="A11657" s="515">
        <v>46738</v>
      </c>
      <c r="B11657" s="515" t="s">
        <v>1008</v>
      </c>
      <c r="C11657" s="52">
        <v>156328.922691568</v>
      </c>
      <c r="D11657" s="56">
        <v>6.740798404741849E-2</v>
      </c>
      <c r="E11657" s="224" t="s">
        <v>2</v>
      </c>
      <c r="F11657" s="515" t="s">
        <v>12848</v>
      </c>
      <c r="G11657" s="52">
        <v>230701.865663481</v>
      </c>
      <c r="H11657" s="56">
        <v>0.10731253418927647</v>
      </c>
      <c r="I11657" s="224" t="s">
        <v>2</v>
      </c>
    </row>
    <row r="11658" spans="1:9" x14ac:dyDescent="0.25">
      <c r="A11658" s="515">
        <v>38676</v>
      </c>
      <c r="B11658" s="515" t="s">
        <v>951</v>
      </c>
      <c r="C11658" s="52">
        <v>101398.755262618</v>
      </c>
      <c r="D11658" s="56">
        <v>-8.0854419770019614E-2</v>
      </c>
      <c r="E11658" s="224" t="s">
        <v>2</v>
      </c>
      <c r="F11658" s="515" t="s">
        <v>12849</v>
      </c>
      <c r="G11658" s="52">
        <v>110515.678323785</v>
      </c>
      <c r="H11658" s="56">
        <v>0.1920596169658037</v>
      </c>
      <c r="I11658" s="224" t="s">
        <v>2</v>
      </c>
    </row>
    <row r="11659" spans="1:9" x14ac:dyDescent="0.25">
      <c r="A11659" s="515">
        <v>30753</v>
      </c>
      <c r="B11659" s="515" t="s">
        <v>622</v>
      </c>
      <c r="C11659" s="52">
        <v>121526.687987905</v>
      </c>
      <c r="D11659" s="56">
        <v>0.16940316231626668</v>
      </c>
      <c r="E11659" s="224" t="s">
        <v>2</v>
      </c>
      <c r="F11659" s="515" t="s">
        <v>12850</v>
      </c>
      <c r="G11659" s="52">
        <v>352469.233349516</v>
      </c>
      <c r="H11659" s="56">
        <v>2.8036798481980967E-2</v>
      </c>
      <c r="I11659" s="224" t="s">
        <v>2</v>
      </c>
    </row>
    <row r="11660" spans="1:9" x14ac:dyDescent="0.25">
      <c r="A11660" s="515">
        <v>95046</v>
      </c>
      <c r="B11660" s="515" t="s">
        <v>850</v>
      </c>
      <c r="C11660" s="52">
        <v>1357561.4070736</v>
      </c>
      <c r="D11660" s="56">
        <v>1.0441629976586759E-3</v>
      </c>
      <c r="E11660" s="224" t="s">
        <v>2</v>
      </c>
      <c r="F11660" s="515" t="s">
        <v>12851</v>
      </c>
      <c r="G11660" s="52">
        <v>109366.50140056</v>
      </c>
      <c r="H11660" s="56">
        <v>0</v>
      </c>
      <c r="I11660" s="224" t="s">
        <v>2</v>
      </c>
    </row>
    <row r="11661" spans="1:9" x14ac:dyDescent="0.25">
      <c r="A11661" s="515">
        <v>10005</v>
      </c>
      <c r="B11661" s="515" t="s">
        <v>324</v>
      </c>
      <c r="C11661" s="52">
        <v>1007111.04684667</v>
      </c>
      <c r="D11661" s="56">
        <v>-3.5018393804503174E-2</v>
      </c>
      <c r="E11661" s="224">
        <v>4209.3867816091897</v>
      </c>
      <c r="F11661" s="515" t="s">
        <v>12852</v>
      </c>
      <c r="G11661" s="52">
        <v>182268.19931755899</v>
      </c>
      <c r="H11661" s="56">
        <v>0.12970538113105237</v>
      </c>
      <c r="I11661" s="224" t="s">
        <v>2</v>
      </c>
    </row>
    <row r="11662" spans="1:9" x14ac:dyDescent="0.25">
      <c r="A11662" s="515">
        <v>2881</v>
      </c>
      <c r="B11662" s="515" t="s">
        <v>513</v>
      </c>
      <c r="C11662" s="52">
        <v>528761.125937353</v>
      </c>
      <c r="D11662" s="56">
        <v>9.7036807573472633E-2</v>
      </c>
      <c r="E11662" s="224" t="s">
        <v>2</v>
      </c>
      <c r="F11662" s="515" t="s">
        <v>12853</v>
      </c>
      <c r="G11662" s="52">
        <v>627451.86516263802</v>
      </c>
      <c r="H11662" s="56">
        <v>6.9079022041342059E-2</v>
      </c>
      <c r="I11662" s="224" t="s">
        <v>2</v>
      </c>
    </row>
    <row r="11663" spans="1:9" x14ac:dyDescent="0.25">
      <c r="A11663" s="515">
        <v>35114</v>
      </c>
      <c r="B11663" s="515" t="s">
        <v>640</v>
      </c>
      <c r="C11663" s="52">
        <v>310928.01382907399</v>
      </c>
      <c r="D11663" s="56">
        <v>7.2827830820220582E-2</v>
      </c>
      <c r="E11663" s="224" t="s">
        <v>2</v>
      </c>
      <c r="F11663" s="515" t="s">
        <v>12854</v>
      </c>
      <c r="G11663" s="52">
        <v>219930.80750947699</v>
      </c>
      <c r="H11663" s="56">
        <v>0.10257120833185272</v>
      </c>
      <c r="I11663" s="224" t="s">
        <v>2</v>
      </c>
    </row>
    <row r="11664" spans="1:9" x14ac:dyDescent="0.25">
      <c r="A11664" s="515">
        <v>18330</v>
      </c>
      <c r="B11664" s="515" t="s">
        <v>338</v>
      </c>
      <c r="C11664" s="52">
        <v>276355.61289149697</v>
      </c>
      <c r="D11664" s="56">
        <v>8.4313499179846041E-2</v>
      </c>
      <c r="E11664" s="224" t="s">
        <v>2</v>
      </c>
      <c r="F11664" s="515" t="s">
        <v>12855</v>
      </c>
      <c r="G11664" s="52">
        <v>386543.06242939399</v>
      </c>
      <c r="H11664" s="56">
        <v>0.15294250332279571</v>
      </c>
      <c r="I11664" s="224" t="s">
        <v>2</v>
      </c>
    </row>
    <row r="11665" spans="1:9" x14ac:dyDescent="0.25">
      <c r="A11665" s="515">
        <v>31803</v>
      </c>
      <c r="B11665" s="515" t="s">
        <v>778</v>
      </c>
      <c r="C11665" s="52">
        <v>102409.606017169</v>
      </c>
      <c r="D11665" s="56">
        <v>-3.9195645762616776E-2</v>
      </c>
      <c r="E11665" s="224" t="s">
        <v>2</v>
      </c>
      <c r="F11665" s="515" t="s">
        <v>12856</v>
      </c>
      <c r="G11665" s="52">
        <v>140191.57289542499</v>
      </c>
      <c r="H11665" s="56">
        <v>0.14287337622846524</v>
      </c>
      <c r="I11665" s="224" t="s">
        <v>2</v>
      </c>
    </row>
    <row r="11666" spans="1:9" x14ac:dyDescent="0.25">
      <c r="A11666" s="515">
        <v>70359</v>
      </c>
      <c r="B11666" s="515" t="s">
        <v>898</v>
      </c>
      <c r="C11666" s="52">
        <v>184525.99967481801</v>
      </c>
      <c r="D11666" s="56">
        <v>-6.2578189921856245E-3</v>
      </c>
      <c r="E11666" s="224" t="s">
        <v>2</v>
      </c>
      <c r="F11666" s="515" t="s">
        <v>12857</v>
      </c>
      <c r="G11666" s="52">
        <v>59861.693341077596</v>
      </c>
      <c r="H11666" s="56">
        <v>0.23288194042009622</v>
      </c>
      <c r="I11666" s="224" t="s">
        <v>2</v>
      </c>
    </row>
    <row r="11667" spans="1:9" x14ac:dyDescent="0.25">
      <c r="A11667" s="515">
        <v>16401</v>
      </c>
      <c r="B11667" s="515" t="s">
        <v>753</v>
      </c>
      <c r="C11667" s="52">
        <v>154710.770136345</v>
      </c>
      <c r="D11667" s="56">
        <v>6.4432827149198332E-2</v>
      </c>
      <c r="E11667" s="224" t="s">
        <v>2</v>
      </c>
      <c r="F11667" s="515" t="s">
        <v>12858</v>
      </c>
      <c r="G11667" s="52">
        <v>248997.131422957</v>
      </c>
      <c r="H11667" s="56">
        <v>0.15547322450052445</v>
      </c>
      <c r="I11667" s="224" t="s">
        <v>2</v>
      </c>
    </row>
    <row r="11668" spans="1:9" x14ac:dyDescent="0.25">
      <c r="A11668" s="515">
        <v>98051</v>
      </c>
      <c r="B11668" s="515" t="s">
        <v>384</v>
      </c>
      <c r="C11668" s="52">
        <v>823711.44439234806</v>
      </c>
      <c r="D11668" s="56">
        <v>5.0399442963772946E-2</v>
      </c>
      <c r="E11668" s="224" t="s">
        <v>2</v>
      </c>
      <c r="F11668" s="515" t="s">
        <v>12859</v>
      </c>
      <c r="G11668" s="52">
        <v>63372.946753333403</v>
      </c>
      <c r="H11668" s="56">
        <v>4.0985541419696889E-2</v>
      </c>
      <c r="I11668" s="224" t="s">
        <v>2</v>
      </c>
    </row>
    <row r="11669" spans="1:9" x14ac:dyDescent="0.25">
      <c r="A11669" s="515">
        <v>48217</v>
      </c>
      <c r="B11669" s="515" t="s">
        <v>685</v>
      </c>
      <c r="C11669" s="52">
        <v>44515.767865965703</v>
      </c>
      <c r="D11669" s="56">
        <v>0.14834017943636182</v>
      </c>
      <c r="E11669" s="224" t="s">
        <v>2</v>
      </c>
      <c r="F11669" s="515" t="s">
        <v>12860</v>
      </c>
      <c r="G11669" s="52">
        <v>408590.662241182</v>
      </c>
      <c r="H11669" s="56">
        <v>5.1167960671254703E-2</v>
      </c>
      <c r="I11669" s="224" t="s">
        <v>2</v>
      </c>
    </row>
    <row r="11670" spans="1:9" x14ac:dyDescent="0.25">
      <c r="A11670" s="515">
        <v>46996</v>
      </c>
      <c r="C11670" s="52">
        <v>154871.085187102</v>
      </c>
      <c r="D11670" s="56">
        <v>8.4778990889470621E-2</v>
      </c>
      <c r="E11670" s="224" t="s">
        <v>2</v>
      </c>
      <c r="F11670" s="515" t="s">
        <v>12861</v>
      </c>
      <c r="G11670" s="52">
        <v>280252.02221845801</v>
      </c>
      <c r="H11670" s="56">
        <v>7.9309040391030289E-2</v>
      </c>
      <c r="I11670" s="224" t="s">
        <v>2</v>
      </c>
    </row>
    <row r="11671" spans="1:9" x14ac:dyDescent="0.25">
      <c r="A11671" s="515">
        <v>29709</v>
      </c>
      <c r="C11671" s="52">
        <v>133033.581778739</v>
      </c>
      <c r="D11671" s="56">
        <v>0.1437057596332702</v>
      </c>
      <c r="E11671" s="224" t="s">
        <v>2</v>
      </c>
      <c r="F11671" s="515" t="s">
        <v>12862</v>
      </c>
      <c r="G11671" s="52">
        <v>130411.03169062801</v>
      </c>
      <c r="H11671" s="56">
        <v>0.16356853269853067</v>
      </c>
      <c r="I11671" s="224" t="s">
        <v>2</v>
      </c>
    </row>
    <row r="11672" spans="1:9" x14ac:dyDescent="0.25">
      <c r="A11672" s="515">
        <v>83330</v>
      </c>
      <c r="C11672" s="52">
        <v>280455.64122760098</v>
      </c>
      <c r="D11672" s="56">
        <v>4.8893440800884584E-2</v>
      </c>
      <c r="E11672" s="224" t="s">
        <v>2</v>
      </c>
      <c r="F11672" s="515" t="s">
        <v>12863</v>
      </c>
      <c r="G11672" s="52">
        <v>241807.83682886799</v>
      </c>
      <c r="H11672" s="56">
        <v>5.6215151997391549E-2</v>
      </c>
      <c r="I11672" s="224" t="s">
        <v>2</v>
      </c>
    </row>
    <row r="11673" spans="1:9" x14ac:dyDescent="0.25">
      <c r="A11673" s="515">
        <v>44889</v>
      </c>
      <c r="B11673" s="515" t="s">
        <v>1050</v>
      </c>
      <c r="C11673" s="52">
        <v>223564.53683993101</v>
      </c>
      <c r="D11673" s="56">
        <v>7.2601160077103224E-2</v>
      </c>
      <c r="E11673" s="224" t="s">
        <v>2</v>
      </c>
      <c r="F11673" s="515" t="s">
        <v>12864</v>
      </c>
      <c r="G11673" s="52">
        <v>501422.56088198401</v>
      </c>
      <c r="H11673" s="56">
        <v>2.2835374928245295E-2</v>
      </c>
      <c r="I11673" s="224" t="s">
        <v>2</v>
      </c>
    </row>
    <row r="11674" spans="1:9" x14ac:dyDescent="0.25">
      <c r="A11674" s="515">
        <v>46106</v>
      </c>
      <c r="B11674" s="515" t="s">
        <v>403</v>
      </c>
      <c r="C11674" s="52">
        <v>392196.862504046</v>
      </c>
      <c r="D11674" s="56">
        <v>4.7803824229816237E-2</v>
      </c>
      <c r="E11674" s="224" t="s">
        <v>2</v>
      </c>
      <c r="F11674" s="515" t="s">
        <v>12865</v>
      </c>
      <c r="G11674" s="52">
        <v>71649.289259436802</v>
      </c>
      <c r="H11674" s="56">
        <v>0.10735451869840823</v>
      </c>
      <c r="I11674" s="224" t="s">
        <v>2</v>
      </c>
    </row>
    <row r="11675" spans="1:9" x14ac:dyDescent="0.25">
      <c r="A11675" s="515">
        <v>72031</v>
      </c>
      <c r="C11675" s="52">
        <v>147363.74643658899</v>
      </c>
      <c r="D11675" s="56">
        <v>6.390667065360911E-2</v>
      </c>
      <c r="E11675" s="224" t="s">
        <v>2</v>
      </c>
      <c r="F11675" s="515" t="s">
        <v>12866</v>
      </c>
      <c r="G11675" s="52">
        <v>215869.666660007</v>
      </c>
      <c r="H11675" s="56">
        <v>0.10575825653378966</v>
      </c>
      <c r="I11675" s="224" t="s">
        <v>2</v>
      </c>
    </row>
    <row r="11676" spans="1:9" x14ac:dyDescent="0.25">
      <c r="A11676" s="515">
        <v>23487</v>
      </c>
      <c r="B11676" s="515" t="s">
        <v>301</v>
      </c>
      <c r="C11676" s="52">
        <v>290531.09311837499</v>
      </c>
      <c r="D11676" s="56">
        <v>-1.0221278279319474E-2</v>
      </c>
      <c r="E11676" s="224" t="s">
        <v>2</v>
      </c>
      <c r="F11676" s="515" t="s">
        <v>12867</v>
      </c>
      <c r="G11676" s="52">
        <v>1082354.9745042999</v>
      </c>
      <c r="H11676" s="56">
        <v>4.8375369752030571E-2</v>
      </c>
      <c r="I11676" s="224" t="s">
        <v>2</v>
      </c>
    </row>
    <row r="11677" spans="1:9" x14ac:dyDescent="0.25">
      <c r="A11677" s="515">
        <v>15223</v>
      </c>
      <c r="B11677" s="515" t="s">
        <v>297</v>
      </c>
      <c r="C11677" s="52">
        <v>171414.954523825</v>
      </c>
      <c r="D11677" s="56">
        <v>5.0344755402016751E-2</v>
      </c>
      <c r="E11677" s="224" t="s">
        <v>2</v>
      </c>
      <c r="F11677" s="515" t="s">
        <v>12868</v>
      </c>
      <c r="G11677" s="52">
        <v>73697.991529961306</v>
      </c>
      <c r="H11677" s="56">
        <v>2.4361557749209402E-2</v>
      </c>
      <c r="I11677" s="224" t="s">
        <v>2</v>
      </c>
    </row>
    <row r="11678" spans="1:9" x14ac:dyDescent="0.25">
      <c r="A11678" s="515">
        <v>54720</v>
      </c>
      <c r="B11678" s="515" t="s">
        <v>1028</v>
      </c>
      <c r="C11678" s="52">
        <v>279129.54429416999</v>
      </c>
      <c r="D11678" s="56">
        <v>3.4636812503032133E-2</v>
      </c>
      <c r="E11678" s="224" t="s">
        <v>2</v>
      </c>
      <c r="F11678" s="515" t="s">
        <v>12869</v>
      </c>
      <c r="G11678" s="52">
        <v>317717.583221198</v>
      </c>
      <c r="H11678" s="56">
        <v>9.9007109299171545E-2</v>
      </c>
      <c r="I11678" s="224" t="s">
        <v>2</v>
      </c>
    </row>
    <row r="11679" spans="1:9" x14ac:dyDescent="0.25">
      <c r="A11679" s="515">
        <v>57719</v>
      </c>
      <c r="B11679" s="515" t="s">
        <v>854</v>
      </c>
      <c r="C11679" s="52">
        <v>326056.56892499601</v>
      </c>
      <c r="D11679" s="56">
        <v>8.7241929713230568E-2</v>
      </c>
      <c r="E11679" s="224" t="s">
        <v>2</v>
      </c>
      <c r="F11679" s="515" t="s">
        <v>12870</v>
      </c>
      <c r="G11679" s="52">
        <v>221420.01436990499</v>
      </c>
      <c r="H11679" s="56">
        <v>9.3769012122582179E-2</v>
      </c>
      <c r="I11679" s="224" t="s">
        <v>2</v>
      </c>
    </row>
    <row r="11680" spans="1:9" x14ac:dyDescent="0.25">
      <c r="A11680" s="515">
        <v>44627</v>
      </c>
      <c r="C11680" s="52">
        <v>431893.00827694498</v>
      </c>
      <c r="D11680" s="56">
        <v>0.3286978487721719</v>
      </c>
      <c r="E11680" s="224" t="s">
        <v>2</v>
      </c>
      <c r="F11680" s="515" t="s">
        <v>12871</v>
      </c>
      <c r="G11680" s="52">
        <v>262698.90252275299</v>
      </c>
      <c r="H11680" s="56">
        <v>6.5074027446608576E-2</v>
      </c>
      <c r="I11680" s="224" t="s">
        <v>2</v>
      </c>
    </row>
    <row r="11681" spans="1:9" x14ac:dyDescent="0.25">
      <c r="A11681" s="515">
        <v>26757</v>
      </c>
      <c r="B11681" s="515" t="s">
        <v>629</v>
      </c>
      <c r="C11681" s="52">
        <v>185319.561015076</v>
      </c>
      <c r="D11681" s="56">
        <v>0.12234616976703408</v>
      </c>
      <c r="E11681" s="224" t="s">
        <v>2</v>
      </c>
      <c r="F11681" s="515" t="s">
        <v>12872</v>
      </c>
      <c r="G11681" s="52">
        <v>175776.87021016801</v>
      </c>
      <c r="H11681" s="56">
        <v>9.5395909861403186E-2</v>
      </c>
      <c r="I11681" s="224" t="s">
        <v>2</v>
      </c>
    </row>
    <row r="11682" spans="1:9" x14ac:dyDescent="0.25">
      <c r="A11682" s="515">
        <v>41030</v>
      </c>
      <c r="B11682" s="515" t="s">
        <v>344</v>
      </c>
      <c r="C11682" s="52">
        <v>224430.61862424301</v>
      </c>
      <c r="D11682" s="56">
        <v>9.0508275402238547E-2</v>
      </c>
      <c r="E11682" s="224" t="s">
        <v>2</v>
      </c>
      <c r="F11682" s="515" t="s">
        <v>12873</v>
      </c>
      <c r="G11682" s="52">
        <v>244536.12611779099</v>
      </c>
      <c r="H11682" s="56">
        <v>8.3897467993863634E-2</v>
      </c>
      <c r="I11682" s="224" t="s">
        <v>2</v>
      </c>
    </row>
    <row r="11683" spans="1:9" x14ac:dyDescent="0.25">
      <c r="A11683" s="515">
        <v>40013</v>
      </c>
      <c r="B11683" s="515" t="s">
        <v>866</v>
      </c>
      <c r="C11683" s="52">
        <v>270826.97819270898</v>
      </c>
      <c r="D11683" s="56">
        <v>8.0945367452611994E-2</v>
      </c>
      <c r="E11683" s="224" t="s">
        <v>2</v>
      </c>
      <c r="F11683" s="515" t="s">
        <v>12874</v>
      </c>
      <c r="G11683" s="52">
        <v>575694.02598947601</v>
      </c>
      <c r="H11683" s="56">
        <v>1.7515779043773924E-2</v>
      </c>
      <c r="I11683" s="224" t="s">
        <v>2</v>
      </c>
    </row>
    <row r="11684" spans="1:9" x14ac:dyDescent="0.25">
      <c r="A11684" s="515">
        <v>29544</v>
      </c>
      <c r="B11684" s="515" t="s">
        <v>703</v>
      </c>
      <c r="C11684" s="52">
        <v>284148.48650761897</v>
      </c>
      <c r="D11684" s="56">
        <v>0.15101509060838214</v>
      </c>
      <c r="E11684" s="224" t="s">
        <v>2</v>
      </c>
      <c r="F11684" s="515" t="s">
        <v>12875</v>
      </c>
      <c r="G11684" s="52">
        <v>179978.145756568</v>
      </c>
      <c r="H11684" s="56">
        <v>8.9671655608147757E-3</v>
      </c>
      <c r="I11684" s="224" t="s">
        <v>2</v>
      </c>
    </row>
    <row r="11685" spans="1:9" x14ac:dyDescent="0.25">
      <c r="A11685" s="515">
        <v>93615</v>
      </c>
      <c r="B11685" s="515" t="s">
        <v>358</v>
      </c>
      <c r="C11685" s="52">
        <v>225936.85781873099</v>
      </c>
      <c r="D11685" s="56">
        <v>7.0983499424053034E-2</v>
      </c>
      <c r="E11685" s="224" t="s">
        <v>2</v>
      </c>
      <c r="F11685" s="515" t="s">
        <v>12876</v>
      </c>
      <c r="G11685" s="52">
        <v>144894.099050816</v>
      </c>
      <c r="H11685" s="56">
        <v>0.15841910197735762</v>
      </c>
      <c r="I11685" s="224" t="s">
        <v>2</v>
      </c>
    </row>
    <row r="11686" spans="1:9" x14ac:dyDescent="0.25">
      <c r="A11686" s="515">
        <v>45879</v>
      </c>
      <c r="C11686" s="52">
        <v>125467.33461982</v>
      </c>
      <c r="D11686" s="56">
        <v>8.0588500683493006E-2</v>
      </c>
      <c r="E11686" s="224" t="s">
        <v>2</v>
      </c>
      <c r="F11686" s="515" t="s">
        <v>12877</v>
      </c>
      <c r="G11686" s="52">
        <v>118131.354050701</v>
      </c>
      <c r="H11686" s="56">
        <v>0.13681544963872919</v>
      </c>
      <c r="I11686" s="224" t="s">
        <v>2</v>
      </c>
    </row>
    <row r="11687" spans="1:9" x14ac:dyDescent="0.25">
      <c r="A11687" s="515">
        <v>72958</v>
      </c>
      <c r="C11687" s="52">
        <v>105460.83504366199</v>
      </c>
      <c r="D11687" s="56">
        <v>5.4453951371306368E-2</v>
      </c>
      <c r="E11687" s="224" t="s">
        <v>2</v>
      </c>
      <c r="F11687" s="515" t="s">
        <v>12878</v>
      </c>
      <c r="G11687" s="52">
        <v>218366.37249309701</v>
      </c>
      <c r="H11687" s="56">
        <v>4.6354462015943801E-2</v>
      </c>
      <c r="I11687" s="224" t="s">
        <v>2</v>
      </c>
    </row>
    <row r="11688" spans="1:9" x14ac:dyDescent="0.25">
      <c r="A11688" s="515">
        <v>52537</v>
      </c>
      <c r="C11688" s="52">
        <v>177534.54588777301</v>
      </c>
      <c r="D11688" s="56">
        <v>0.13434860678239377</v>
      </c>
      <c r="E11688" s="224" t="s">
        <v>2</v>
      </c>
      <c r="F11688" s="515" t="s">
        <v>12879</v>
      </c>
      <c r="G11688" s="52">
        <v>136478.72669131</v>
      </c>
      <c r="H11688" s="56">
        <v>7.4700865868401814E-2</v>
      </c>
      <c r="I11688" s="224" t="s">
        <v>2</v>
      </c>
    </row>
    <row r="11689" spans="1:9" x14ac:dyDescent="0.25">
      <c r="A11689" s="515">
        <v>42553</v>
      </c>
      <c r="B11689" s="515" t="s">
        <v>1145</v>
      </c>
      <c r="C11689" s="52">
        <v>168343.215090707</v>
      </c>
      <c r="D11689" s="56">
        <v>7.7127632770894169E-2</v>
      </c>
      <c r="E11689" s="224" t="s">
        <v>2</v>
      </c>
      <c r="F11689" s="515" t="s">
        <v>12880</v>
      </c>
      <c r="G11689" s="52">
        <v>157099.17891981799</v>
      </c>
      <c r="H11689" s="56">
        <v>2.0149830822489521E-2</v>
      </c>
      <c r="I11689" s="224" t="s">
        <v>2</v>
      </c>
    </row>
    <row r="11690" spans="1:9" x14ac:dyDescent="0.25">
      <c r="A11690" s="515">
        <v>98953</v>
      </c>
      <c r="B11690" s="515" t="s">
        <v>948</v>
      </c>
      <c r="C11690" s="52">
        <v>342497.26729811903</v>
      </c>
      <c r="D11690" s="56">
        <v>3.9038762364997717E-2</v>
      </c>
      <c r="E11690" s="224" t="s">
        <v>2</v>
      </c>
      <c r="F11690" s="515" t="s">
        <v>12881</v>
      </c>
      <c r="G11690" s="52">
        <v>205319.36027451101</v>
      </c>
      <c r="H11690" s="56">
        <v>0.1109677462450009</v>
      </c>
      <c r="I11690" s="224" t="s">
        <v>2</v>
      </c>
    </row>
    <row r="11691" spans="1:9" x14ac:dyDescent="0.25">
      <c r="A11691" s="515">
        <v>73052</v>
      </c>
      <c r="C11691" s="52">
        <v>121238.65467277099</v>
      </c>
      <c r="D11691" s="56">
        <v>0.13193197866822734</v>
      </c>
      <c r="E11691" s="224" t="s">
        <v>2</v>
      </c>
      <c r="F11691" s="515" t="s">
        <v>12882</v>
      </c>
      <c r="G11691" s="52">
        <v>140607.25013005699</v>
      </c>
      <c r="H11691" s="56">
        <v>4.0241859615771758E-2</v>
      </c>
      <c r="I11691" s="224" t="s">
        <v>2</v>
      </c>
    </row>
    <row r="11692" spans="1:9" x14ac:dyDescent="0.25">
      <c r="A11692" s="515">
        <v>84319</v>
      </c>
      <c r="B11692" s="515" t="s">
        <v>632</v>
      </c>
      <c r="C11692" s="52">
        <v>399845.10228063999</v>
      </c>
      <c r="D11692" s="56">
        <v>1.5309852619154719E-2</v>
      </c>
      <c r="E11692" s="224" t="s">
        <v>2</v>
      </c>
      <c r="F11692" s="515" t="s">
        <v>12883</v>
      </c>
      <c r="G11692" s="52">
        <v>320209.570242738</v>
      </c>
      <c r="H11692" s="56">
        <v>4.3392866430482839E-2</v>
      </c>
      <c r="I11692" s="224" t="s">
        <v>2</v>
      </c>
    </row>
    <row r="11693" spans="1:9" x14ac:dyDescent="0.25">
      <c r="A11693" s="515">
        <v>38558</v>
      </c>
      <c r="B11693" s="515" t="s">
        <v>1025</v>
      </c>
      <c r="C11693" s="52">
        <v>360056.67417941598</v>
      </c>
      <c r="D11693" s="56">
        <v>5.8433829862923448E-2</v>
      </c>
      <c r="E11693" s="224" t="s">
        <v>2</v>
      </c>
      <c r="F11693" s="515" t="s">
        <v>12884</v>
      </c>
      <c r="G11693" s="52">
        <v>364451.77177669102</v>
      </c>
      <c r="H11693" s="56">
        <v>0.19540470819349984</v>
      </c>
      <c r="I11693" s="224" t="s">
        <v>2</v>
      </c>
    </row>
    <row r="11694" spans="1:9" x14ac:dyDescent="0.25">
      <c r="A11694" s="515">
        <v>78643</v>
      </c>
      <c r="C11694" s="52">
        <v>386118.52019143198</v>
      </c>
      <c r="D11694" s="56">
        <v>3.535125217038413E-2</v>
      </c>
      <c r="E11694" s="224" t="s">
        <v>2</v>
      </c>
      <c r="F11694" s="515" t="s">
        <v>12885</v>
      </c>
      <c r="G11694" s="52">
        <v>311028.01234567899</v>
      </c>
      <c r="H11694" s="56">
        <v>0</v>
      </c>
      <c r="I11694" s="224" t="s">
        <v>2</v>
      </c>
    </row>
    <row r="11695" spans="1:9" x14ac:dyDescent="0.25">
      <c r="A11695" s="515">
        <v>70668</v>
      </c>
      <c r="B11695" s="515" t="s">
        <v>696</v>
      </c>
      <c r="C11695" s="52">
        <v>111610.985701514</v>
      </c>
      <c r="D11695" s="56">
        <v>2.9970910922525709E-2</v>
      </c>
      <c r="E11695" s="224" t="s">
        <v>2</v>
      </c>
      <c r="F11695" s="515" t="s">
        <v>12886</v>
      </c>
      <c r="G11695" s="52">
        <v>321964.406296484</v>
      </c>
      <c r="H11695" s="56">
        <v>9.3312322982389076E-2</v>
      </c>
      <c r="I11695" s="224" t="s">
        <v>2</v>
      </c>
    </row>
    <row r="11696" spans="1:9" x14ac:dyDescent="0.25">
      <c r="A11696" s="515">
        <v>67701</v>
      </c>
      <c r="C11696" s="52">
        <v>155874.98813366101</v>
      </c>
      <c r="D11696" s="56">
        <v>4.512552004543588E-2</v>
      </c>
      <c r="E11696" s="224" t="s">
        <v>2</v>
      </c>
      <c r="F11696" s="515" t="s">
        <v>12887</v>
      </c>
      <c r="G11696" s="52">
        <v>287664.02576802502</v>
      </c>
      <c r="H11696" s="56">
        <v>0.12802303298076501</v>
      </c>
      <c r="I11696" s="224" t="s">
        <v>2</v>
      </c>
    </row>
    <row r="11697" spans="1:9" x14ac:dyDescent="0.25">
      <c r="A11697" s="515">
        <v>13077</v>
      </c>
      <c r="B11697" s="515" t="s">
        <v>507</v>
      </c>
      <c r="C11697" s="52">
        <v>186629.41460286701</v>
      </c>
      <c r="D11697" s="56">
        <v>8.1696073580376657E-2</v>
      </c>
      <c r="E11697" s="224" t="s">
        <v>2</v>
      </c>
      <c r="F11697" s="515" t="s">
        <v>12888</v>
      </c>
      <c r="G11697" s="52">
        <v>186143.54545217901</v>
      </c>
      <c r="H11697" s="56">
        <v>0.13087113511515192</v>
      </c>
      <c r="I11697" s="224" t="s">
        <v>2</v>
      </c>
    </row>
    <row r="11698" spans="1:9" x14ac:dyDescent="0.25">
      <c r="A11698" s="515">
        <v>48438</v>
      </c>
      <c r="B11698" s="515" t="s">
        <v>759</v>
      </c>
      <c r="C11698" s="52">
        <v>314355.38989743899</v>
      </c>
      <c r="D11698" s="56">
        <v>4.1421943071171842E-2</v>
      </c>
      <c r="E11698" s="224" t="s">
        <v>2</v>
      </c>
      <c r="F11698" s="515" t="s">
        <v>12889</v>
      </c>
      <c r="G11698" s="52">
        <v>93249.299900497994</v>
      </c>
      <c r="H11698" s="56">
        <v>4.9057565865682932E-2</v>
      </c>
      <c r="I11698" s="224" t="s">
        <v>2</v>
      </c>
    </row>
    <row r="11699" spans="1:9" x14ac:dyDescent="0.25">
      <c r="A11699" s="515">
        <v>17737</v>
      </c>
      <c r="B11699" s="515" t="s">
        <v>296</v>
      </c>
      <c r="C11699" s="52">
        <v>210802.08868854601</v>
      </c>
      <c r="D11699" s="56">
        <v>5.3934094521720669E-2</v>
      </c>
      <c r="E11699" s="224" t="s">
        <v>2</v>
      </c>
      <c r="F11699" s="515" t="s">
        <v>12890</v>
      </c>
      <c r="G11699" s="52">
        <v>149270.25455097199</v>
      </c>
      <c r="H11699" s="56">
        <v>0.22773749003640636</v>
      </c>
      <c r="I11699" s="224" t="s">
        <v>2</v>
      </c>
    </row>
    <row r="11700" spans="1:9" x14ac:dyDescent="0.25">
      <c r="A11700" s="515">
        <v>70090</v>
      </c>
      <c r="B11700" s="515" t="s">
        <v>777</v>
      </c>
      <c r="C11700" s="52">
        <v>175098.42186628</v>
      </c>
      <c r="D11700" s="56">
        <v>7.8019088227270078E-2</v>
      </c>
      <c r="E11700" s="224" t="s">
        <v>2</v>
      </c>
      <c r="F11700" s="515" t="s">
        <v>12891</v>
      </c>
      <c r="G11700" s="52">
        <v>272238.15703749203</v>
      </c>
      <c r="H11700" s="56">
        <v>4.7438696527171233E-2</v>
      </c>
      <c r="I11700" s="224" t="s">
        <v>2</v>
      </c>
    </row>
    <row r="11701" spans="1:9" x14ac:dyDescent="0.25">
      <c r="A11701" s="515">
        <v>13073</v>
      </c>
      <c r="B11701" s="515" t="s">
        <v>1115</v>
      </c>
      <c r="C11701" s="52">
        <v>201895.24407639701</v>
      </c>
      <c r="D11701" s="56">
        <v>8.1244318427698831E-2</v>
      </c>
      <c r="E11701" s="224" t="s">
        <v>2</v>
      </c>
      <c r="F11701" s="515" t="s">
        <v>12892</v>
      </c>
      <c r="G11701" s="52">
        <v>370115.27731988003</v>
      </c>
      <c r="H11701" s="56">
        <v>0.17855092500024625</v>
      </c>
      <c r="I11701" s="224" t="s">
        <v>2</v>
      </c>
    </row>
    <row r="11702" spans="1:9" x14ac:dyDescent="0.25">
      <c r="A11702" s="515">
        <v>19330</v>
      </c>
      <c r="B11702" s="515" t="s">
        <v>294</v>
      </c>
      <c r="C11702" s="52">
        <v>415297.45652857498</v>
      </c>
      <c r="D11702" s="56">
        <v>9.6733633643309738E-2</v>
      </c>
      <c r="E11702" s="224" t="s">
        <v>2</v>
      </c>
      <c r="F11702" s="515" t="s">
        <v>12893</v>
      </c>
      <c r="G11702" s="52">
        <v>231259.220155716</v>
      </c>
      <c r="H11702" s="56">
        <v>4.521150337826859E-2</v>
      </c>
      <c r="I11702" s="224" t="s">
        <v>2</v>
      </c>
    </row>
    <row r="11703" spans="1:9" x14ac:dyDescent="0.25">
      <c r="A11703" s="515">
        <v>35905</v>
      </c>
      <c r="B11703" s="515" t="s">
        <v>978</v>
      </c>
      <c r="C11703" s="52">
        <v>175438.719031785</v>
      </c>
      <c r="D11703" s="56">
        <v>3.7428144961240459E-2</v>
      </c>
      <c r="E11703" s="224" t="s">
        <v>2</v>
      </c>
      <c r="F11703" s="515" t="s">
        <v>12894</v>
      </c>
      <c r="G11703" s="52">
        <v>70760.139633789804</v>
      </c>
      <c r="H11703" s="56">
        <v>4.7870457751910962E-2</v>
      </c>
      <c r="I11703" s="224" t="s">
        <v>2</v>
      </c>
    </row>
    <row r="11704" spans="1:9" x14ac:dyDescent="0.25">
      <c r="A11704" s="515">
        <v>93267</v>
      </c>
      <c r="B11704" s="515" t="s">
        <v>358</v>
      </c>
      <c r="C11704" s="52">
        <v>245307.29856169701</v>
      </c>
      <c r="D11704" s="56">
        <v>4.4654086409576882E-2</v>
      </c>
      <c r="E11704" s="224" t="s">
        <v>2</v>
      </c>
      <c r="F11704" s="515" t="s">
        <v>12895</v>
      </c>
      <c r="G11704" s="52">
        <v>160385.84287635499</v>
      </c>
      <c r="H11704" s="56">
        <v>8.7989653849214422E-2</v>
      </c>
      <c r="I11704" s="224" t="s">
        <v>2</v>
      </c>
    </row>
    <row r="11705" spans="1:9" x14ac:dyDescent="0.25">
      <c r="A11705" s="515">
        <v>83856</v>
      </c>
      <c r="B11705" s="515" t="s">
        <v>623</v>
      </c>
      <c r="C11705" s="52">
        <v>474361.205307336</v>
      </c>
      <c r="D11705" s="56">
        <v>7.5140753713725812E-4</v>
      </c>
      <c r="E11705" s="224" t="s">
        <v>2</v>
      </c>
      <c r="F11705" s="515" t="s">
        <v>12896</v>
      </c>
      <c r="G11705" s="52">
        <v>322400.68687641399</v>
      </c>
      <c r="H11705" s="56">
        <v>9.9994321971171533E-3</v>
      </c>
      <c r="I11705" s="224" t="s">
        <v>2</v>
      </c>
    </row>
    <row r="11706" spans="1:9" x14ac:dyDescent="0.25">
      <c r="A11706" s="515">
        <v>25303</v>
      </c>
      <c r="B11706" s="515" t="s">
        <v>322</v>
      </c>
      <c r="C11706" s="52">
        <v>149756.48808531</v>
      </c>
      <c r="D11706" s="56">
        <v>7.4032255500834504E-2</v>
      </c>
      <c r="E11706" s="224" t="s">
        <v>2</v>
      </c>
      <c r="F11706" s="515" t="s">
        <v>12897</v>
      </c>
      <c r="G11706" s="52">
        <v>343309.57990399998</v>
      </c>
      <c r="H11706" s="56">
        <v>8.2077674609573714E-2</v>
      </c>
      <c r="I11706" s="224" t="s">
        <v>2</v>
      </c>
    </row>
    <row r="11707" spans="1:9" x14ac:dyDescent="0.25">
      <c r="A11707" s="515">
        <v>12051</v>
      </c>
      <c r="C11707" s="52">
        <v>261642.746605405</v>
      </c>
      <c r="D11707" s="56">
        <v>8.7358588835262749E-2</v>
      </c>
      <c r="E11707" s="224" t="s">
        <v>2</v>
      </c>
      <c r="F11707" s="515" t="s">
        <v>12898</v>
      </c>
      <c r="G11707" s="52">
        <v>275200.444331137</v>
      </c>
      <c r="H11707" s="56">
        <v>8.7280733325733592E-2</v>
      </c>
      <c r="I11707" s="224" t="s">
        <v>2</v>
      </c>
    </row>
    <row r="11708" spans="1:9" x14ac:dyDescent="0.25">
      <c r="A11708" s="515">
        <v>93656</v>
      </c>
      <c r="B11708" s="515" t="s">
        <v>541</v>
      </c>
      <c r="C11708" s="52">
        <v>289813.93620744703</v>
      </c>
      <c r="D11708" s="56">
        <v>6.3885098374727514E-2</v>
      </c>
      <c r="E11708" s="224" t="s">
        <v>2</v>
      </c>
      <c r="F11708" s="515" t="s">
        <v>12899</v>
      </c>
      <c r="G11708" s="52">
        <v>157963.84311753901</v>
      </c>
      <c r="H11708" s="56">
        <v>0.15903237278350016</v>
      </c>
      <c r="I11708" s="224" t="s">
        <v>2</v>
      </c>
    </row>
    <row r="11709" spans="1:9" x14ac:dyDescent="0.25">
      <c r="A11709" s="515">
        <v>6057</v>
      </c>
      <c r="B11709" s="515" t="s">
        <v>559</v>
      </c>
      <c r="C11709" s="52">
        <v>368551.116941644</v>
      </c>
      <c r="D11709" s="56">
        <v>9.9529773526777207E-2</v>
      </c>
      <c r="E11709" s="224" t="s">
        <v>2</v>
      </c>
      <c r="F11709" s="515" t="s">
        <v>12900</v>
      </c>
      <c r="G11709" s="52">
        <v>137535.49359243401</v>
      </c>
      <c r="H11709" s="56">
        <v>7.9151487898472692E-2</v>
      </c>
      <c r="I11709" s="224" t="s">
        <v>2</v>
      </c>
    </row>
    <row r="11710" spans="1:9" x14ac:dyDescent="0.25">
      <c r="A11710" s="515">
        <v>78203</v>
      </c>
      <c r="B11710" s="515" t="s">
        <v>717</v>
      </c>
      <c r="C11710" s="52">
        <v>184222.41516792</v>
      </c>
      <c r="D11710" s="56">
        <v>0.11372720491271879</v>
      </c>
      <c r="E11710" s="224">
        <v>1344.5</v>
      </c>
      <c r="F11710" s="515" t="s">
        <v>12901</v>
      </c>
      <c r="G11710" s="52">
        <v>111446.329975168</v>
      </c>
      <c r="H11710" s="56">
        <v>-5.6308856672759353E-2</v>
      </c>
      <c r="I11710" s="224" t="s">
        <v>2</v>
      </c>
    </row>
    <row r="11711" spans="1:9" x14ac:dyDescent="0.25">
      <c r="A11711" s="515">
        <v>19520</v>
      </c>
      <c r="B11711" s="515" t="s">
        <v>294</v>
      </c>
      <c r="C11711" s="52">
        <v>400819.34098851698</v>
      </c>
      <c r="D11711" s="56">
        <v>9.5828342847871617E-2</v>
      </c>
      <c r="E11711" s="224" t="s">
        <v>2</v>
      </c>
      <c r="F11711" s="515" t="s">
        <v>12902</v>
      </c>
      <c r="G11711" s="52">
        <v>139048.77749197301</v>
      </c>
      <c r="H11711" s="56">
        <v>0.13326251279225304</v>
      </c>
      <c r="I11711" s="224" t="s">
        <v>2</v>
      </c>
    </row>
    <row r="11712" spans="1:9" x14ac:dyDescent="0.25">
      <c r="A11712" s="515">
        <v>28762</v>
      </c>
      <c r="B11712" s="515" t="s">
        <v>1189</v>
      </c>
      <c r="C11712" s="52">
        <v>250768.15789585101</v>
      </c>
      <c r="D11712" s="56">
        <v>0.12900088986362396</v>
      </c>
      <c r="E11712" s="224" t="s">
        <v>2</v>
      </c>
      <c r="F11712" s="515" t="s">
        <v>12903</v>
      </c>
      <c r="G11712" s="52">
        <v>100966.533903245</v>
      </c>
      <c r="H11712" s="56">
        <v>0.14501457272799026</v>
      </c>
      <c r="I11712" s="224" t="s">
        <v>2</v>
      </c>
    </row>
    <row r="11713" spans="1:9" x14ac:dyDescent="0.25">
      <c r="A11713" s="515">
        <v>32764</v>
      </c>
      <c r="B11713" s="515" t="s">
        <v>974</v>
      </c>
      <c r="C11713" s="52">
        <v>428046.00173972099</v>
      </c>
      <c r="D11713" s="56">
        <v>0.1535175328519375</v>
      </c>
      <c r="E11713" s="224" t="s">
        <v>2</v>
      </c>
      <c r="F11713" s="515" t="s">
        <v>12904</v>
      </c>
      <c r="G11713" s="52">
        <v>66076.173337955304</v>
      </c>
      <c r="H11713" s="56">
        <v>0.22220546827144844</v>
      </c>
      <c r="I11713" s="224" t="s">
        <v>2</v>
      </c>
    </row>
    <row r="11714" spans="1:9" x14ac:dyDescent="0.25">
      <c r="A11714" s="515">
        <v>18224</v>
      </c>
      <c r="B11714" s="515" t="s">
        <v>512</v>
      </c>
      <c r="C11714" s="52">
        <v>114404.80251321101</v>
      </c>
      <c r="D11714" s="56">
        <v>8.2095686685157696E-2</v>
      </c>
      <c r="E11714" s="224" t="s">
        <v>2</v>
      </c>
      <c r="F11714" s="515" t="s">
        <v>12905</v>
      </c>
      <c r="G11714" s="52">
        <v>108647.878015382</v>
      </c>
      <c r="H11714" s="56">
        <v>5.1057953644609702E-2</v>
      </c>
      <c r="I11714" s="224" t="s">
        <v>2</v>
      </c>
    </row>
    <row r="11715" spans="1:9" x14ac:dyDescent="0.25">
      <c r="A11715" s="515">
        <v>74441</v>
      </c>
      <c r="B11715" s="515" t="s">
        <v>899</v>
      </c>
      <c r="C11715" s="52">
        <v>178445.225869068</v>
      </c>
      <c r="D11715" s="56">
        <v>7.8159284166539833E-2</v>
      </c>
      <c r="E11715" s="224" t="s">
        <v>2</v>
      </c>
      <c r="F11715" s="515" t="s">
        <v>12906</v>
      </c>
      <c r="G11715" s="52">
        <v>165042.368799755</v>
      </c>
      <c r="H11715" s="56">
        <v>0</v>
      </c>
      <c r="I11715" s="224" t="s">
        <v>2</v>
      </c>
    </row>
    <row r="11716" spans="1:9" x14ac:dyDescent="0.25">
      <c r="A11716" s="515">
        <v>37353</v>
      </c>
      <c r="B11716" s="515" t="s">
        <v>918</v>
      </c>
      <c r="C11716" s="52">
        <v>338526.94308756199</v>
      </c>
      <c r="D11716" s="56">
        <v>7.8517590946368676E-2</v>
      </c>
      <c r="E11716" s="224" t="s">
        <v>2</v>
      </c>
      <c r="F11716" s="515" t="s">
        <v>12907</v>
      </c>
      <c r="G11716" s="52">
        <v>476962.30788908002</v>
      </c>
      <c r="H11716" s="56">
        <v>2.4004687431526724E-2</v>
      </c>
      <c r="I11716" s="224" t="s">
        <v>2</v>
      </c>
    </row>
    <row r="11717" spans="1:9" x14ac:dyDescent="0.25">
      <c r="A11717" s="515">
        <v>20637</v>
      </c>
      <c r="B11717" s="515" t="s">
        <v>321</v>
      </c>
      <c r="C11717" s="52">
        <v>522669.19888863299</v>
      </c>
      <c r="D11717" s="56">
        <v>2.7225480056009093E-2</v>
      </c>
      <c r="E11717" s="224" t="s">
        <v>2</v>
      </c>
      <c r="F11717" s="515" t="s">
        <v>12908</v>
      </c>
      <c r="G11717" s="52">
        <v>320892.14869101398</v>
      </c>
      <c r="H11717" s="56">
        <v>0.12911671896244806</v>
      </c>
      <c r="I11717" s="224" t="s">
        <v>2</v>
      </c>
    </row>
    <row r="11718" spans="1:9" x14ac:dyDescent="0.25">
      <c r="A11718" s="515">
        <v>2874</v>
      </c>
      <c r="B11718" s="515" t="s">
        <v>513</v>
      </c>
      <c r="C11718" s="52">
        <v>672446.41027876805</v>
      </c>
      <c r="D11718" s="56">
        <v>0.1169588594671674</v>
      </c>
      <c r="E11718" s="224" t="s">
        <v>2</v>
      </c>
      <c r="F11718" s="515" t="s">
        <v>12909</v>
      </c>
      <c r="G11718" s="52">
        <v>177210.70383089801</v>
      </c>
      <c r="H11718" s="56">
        <v>8.4733441367706289E-2</v>
      </c>
      <c r="I11718" s="224" t="s">
        <v>2</v>
      </c>
    </row>
    <row r="11719" spans="1:9" x14ac:dyDescent="0.25">
      <c r="A11719" s="515">
        <v>20754</v>
      </c>
      <c r="B11719" s="515" t="s">
        <v>321</v>
      </c>
      <c r="C11719" s="52">
        <v>560840.50524334004</v>
      </c>
      <c r="D11719" s="56">
        <v>1.7266227786966976E-2</v>
      </c>
      <c r="E11719" s="224" t="s">
        <v>2</v>
      </c>
      <c r="F11719" s="515" t="s">
        <v>12910</v>
      </c>
      <c r="G11719" s="52">
        <v>79564.308522614505</v>
      </c>
      <c r="H11719" s="56">
        <v>2.6196820715835137E-2</v>
      </c>
      <c r="I11719" s="224" t="s">
        <v>2</v>
      </c>
    </row>
    <row r="11720" spans="1:9" x14ac:dyDescent="0.25">
      <c r="A11720" s="515">
        <v>43112</v>
      </c>
      <c r="B11720" s="515" t="s">
        <v>345</v>
      </c>
      <c r="C11720" s="52">
        <v>352265.62692988402</v>
      </c>
      <c r="D11720" s="56">
        <v>9.2934110091135544E-2</v>
      </c>
      <c r="E11720" s="224" t="s">
        <v>2</v>
      </c>
      <c r="F11720" s="515" t="s">
        <v>12911</v>
      </c>
      <c r="G11720" s="52">
        <v>434809.23655169498</v>
      </c>
      <c r="H11720" s="56">
        <v>8.365839145461236E-2</v>
      </c>
      <c r="I11720" s="224" t="s">
        <v>2</v>
      </c>
    </row>
    <row r="11721" spans="1:9" x14ac:dyDescent="0.25">
      <c r="A11721" s="515">
        <v>36375</v>
      </c>
      <c r="B11721" s="515" t="s">
        <v>816</v>
      </c>
      <c r="C11721" s="52">
        <v>143688.58523661899</v>
      </c>
      <c r="D11721" s="56">
        <v>5.6097031488393088E-2</v>
      </c>
      <c r="E11721" s="224" t="s">
        <v>2</v>
      </c>
      <c r="F11721" s="515" t="s">
        <v>12912</v>
      </c>
      <c r="G11721" s="52">
        <v>80965.239495798305</v>
      </c>
      <c r="H11721" s="56">
        <v>0</v>
      </c>
      <c r="I11721" s="224" t="s">
        <v>2</v>
      </c>
    </row>
    <row r="11722" spans="1:9" x14ac:dyDescent="0.25">
      <c r="A11722" s="515">
        <v>48629</v>
      </c>
      <c r="C11722" s="52">
        <v>162129.18677186899</v>
      </c>
      <c r="D11722" s="56">
        <v>0.12115947785729655</v>
      </c>
      <c r="E11722" s="224" t="s">
        <v>2</v>
      </c>
      <c r="F11722" s="515" t="s">
        <v>12913</v>
      </c>
      <c r="G11722" s="52">
        <v>378746.976317894</v>
      </c>
      <c r="H11722" s="56">
        <v>0.10900725335260765</v>
      </c>
      <c r="I11722" s="224" t="s">
        <v>2</v>
      </c>
    </row>
    <row r="11723" spans="1:9" x14ac:dyDescent="0.25">
      <c r="A11723" s="515">
        <v>67026</v>
      </c>
      <c r="B11723" s="515" t="s">
        <v>485</v>
      </c>
      <c r="C11723" s="52">
        <v>247297.349226016</v>
      </c>
      <c r="D11723" s="56">
        <v>9.7957120312776397E-2</v>
      </c>
      <c r="E11723" s="224" t="s">
        <v>2</v>
      </c>
      <c r="F11723" s="515" t="s">
        <v>12914</v>
      </c>
      <c r="G11723" s="52">
        <v>199094.049217183</v>
      </c>
      <c r="H11723" s="56">
        <v>9.0565082806341901E-2</v>
      </c>
      <c r="I11723" s="224" t="s">
        <v>2</v>
      </c>
    </row>
    <row r="11724" spans="1:9" x14ac:dyDescent="0.25">
      <c r="A11724" s="515">
        <v>54002</v>
      </c>
      <c r="B11724" s="515" t="s">
        <v>532</v>
      </c>
      <c r="C11724" s="52">
        <v>287889.95823553798</v>
      </c>
      <c r="D11724" s="56">
        <v>5.7514892325200365E-2</v>
      </c>
      <c r="E11724" s="224" t="s">
        <v>2</v>
      </c>
      <c r="F11724" s="515" t="s">
        <v>12915</v>
      </c>
      <c r="G11724" s="52">
        <v>397639.17552938702</v>
      </c>
      <c r="H11724" s="56">
        <v>5.0180640485434184E-2</v>
      </c>
      <c r="I11724" s="224" t="s">
        <v>2</v>
      </c>
    </row>
    <row r="11725" spans="1:9" x14ac:dyDescent="0.25">
      <c r="A11725" s="515">
        <v>1983</v>
      </c>
      <c r="B11725" s="515" t="s">
        <v>534</v>
      </c>
      <c r="C11725" s="52">
        <v>813017.09618817305</v>
      </c>
      <c r="D11725" s="56">
        <v>2.8063370728009192E-2</v>
      </c>
      <c r="E11725" s="224" t="s">
        <v>2</v>
      </c>
      <c r="F11725" s="515" t="s">
        <v>12916</v>
      </c>
      <c r="G11725" s="52">
        <v>116000.685107071</v>
      </c>
      <c r="H11725" s="56">
        <v>0.11812175432796432</v>
      </c>
      <c r="I11725" s="224" t="s">
        <v>2</v>
      </c>
    </row>
    <row r="11726" spans="1:9" x14ac:dyDescent="0.25">
      <c r="A11726" s="515">
        <v>28431</v>
      </c>
      <c r="C11726" s="52">
        <v>135546.99021593801</v>
      </c>
      <c r="D11726" s="56">
        <v>0.1658686257704248</v>
      </c>
      <c r="E11726" s="224" t="s">
        <v>2</v>
      </c>
      <c r="F11726" s="515" t="s">
        <v>12917</v>
      </c>
      <c r="G11726" s="52">
        <v>264846.16091247601</v>
      </c>
      <c r="H11726" s="56">
        <v>9.6928452992577338E-2</v>
      </c>
      <c r="I11726" s="224" t="s">
        <v>2</v>
      </c>
    </row>
    <row r="11727" spans="1:9" x14ac:dyDescent="0.25">
      <c r="A11727" s="515">
        <v>48070</v>
      </c>
      <c r="B11727" s="515" t="s">
        <v>685</v>
      </c>
      <c r="C11727" s="52">
        <v>435228.42124045</v>
      </c>
      <c r="D11727" s="56">
        <v>1.55726501155076E-2</v>
      </c>
      <c r="E11727" s="224" t="s">
        <v>2</v>
      </c>
      <c r="F11727" s="515" t="s">
        <v>12918</v>
      </c>
      <c r="G11727" s="52">
        <v>96588.219121862901</v>
      </c>
      <c r="H11727" s="56">
        <v>9.7317795243415328E-2</v>
      </c>
      <c r="I11727" s="224" t="s">
        <v>2</v>
      </c>
    </row>
    <row r="11728" spans="1:9" x14ac:dyDescent="0.25">
      <c r="A11728" s="515">
        <v>51566</v>
      </c>
      <c r="C11728" s="52">
        <v>110154.158912963</v>
      </c>
      <c r="D11728" s="56">
        <v>0.1210549983382327</v>
      </c>
      <c r="E11728" s="224" t="s">
        <v>2</v>
      </c>
      <c r="F11728" s="515" t="s">
        <v>12919</v>
      </c>
      <c r="G11728" s="52">
        <v>195935.51941522799</v>
      </c>
      <c r="H11728" s="56">
        <v>6.8357652370493543E-2</v>
      </c>
      <c r="I11728" s="224" t="s">
        <v>2</v>
      </c>
    </row>
    <row r="11729" spans="1:9" x14ac:dyDescent="0.25">
      <c r="A11729" s="515">
        <v>74859</v>
      </c>
      <c r="C11729" s="52">
        <v>106229.33024371001</v>
      </c>
      <c r="D11729" s="56">
        <v>0.15229689931336385</v>
      </c>
      <c r="E11729" s="224" t="s">
        <v>2</v>
      </c>
      <c r="F11729" s="515" t="s">
        <v>12920</v>
      </c>
      <c r="G11729" s="52">
        <v>282453.571895651</v>
      </c>
      <c r="H11729" s="56">
        <v>4.505878298069145E-2</v>
      </c>
      <c r="I11729" s="224" t="s">
        <v>2</v>
      </c>
    </row>
    <row r="11730" spans="1:9" x14ac:dyDescent="0.25">
      <c r="A11730" s="515">
        <v>19076</v>
      </c>
      <c r="B11730" s="515" t="s">
        <v>294</v>
      </c>
      <c r="C11730" s="52">
        <v>253049.84679719599</v>
      </c>
      <c r="D11730" s="56">
        <v>8.0114999072867718E-2</v>
      </c>
      <c r="E11730" s="224">
        <v>1718.25</v>
      </c>
      <c r="F11730" s="515" t="s">
        <v>12921</v>
      </c>
      <c r="G11730" s="52">
        <v>190722.94834376499</v>
      </c>
      <c r="H11730" s="56">
        <v>6.3200137123960248E-2</v>
      </c>
      <c r="I11730" s="224" t="s">
        <v>2</v>
      </c>
    </row>
    <row r="11731" spans="1:9" x14ac:dyDescent="0.25">
      <c r="A11731" s="515">
        <v>37153</v>
      </c>
      <c r="B11731" s="515" t="s">
        <v>684</v>
      </c>
      <c r="C11731" s="52">
        <v>404312.16906522098</v>
      </c>
      <c r="D11731" s="56">
        <v>8.0794305347677509E-2</v>
      </c>
      <c r="E11731" s="224" t="s">
        <v>2</v>
      </c>
      <c r="F11731" s="515" t="s">
        <v>12922</v>
      </c>
      <c r="G11731" s="52">
        <v>133271.43200269301</v>
      </c>
      <c r="H11731" s="56">
        <v>9.5438367739523286E-2</v>
      </c>
      <c r="I11731" s="224" t="s">
        <v>2</v>
      </c>
    </row>
    <row r="11732" spans="1:9" x14ac:dyDescent="0.25">
      <c r="A11732" s="515">
        <v>75459</v>
      </c>
      <c r="B11732" s="515" t="s">
        <v>553</v>
      </c>
      <c r="C11732" s="52">
        <v>288853.11798731203</v>
      </c>
      <c r="D11732" s="56">
        <v>0.1107649973691593</v>
      </c>
      <c r="E11732" s="224" t="s">
        <v>2</v>
      </c>
      <c r="F11732" s="515" t="s">
        <v>12923</v>
      </c>
      <c r="G11732" s="52">
        <v>110481.030798411</v>
      </c>
      <c r="H11732" s="56">
        <v>8.3824758693108556E-2</v>
      </c>
      <c r="I11732" s="224" t="s">
        <v>2</v>
      </c>
    </row>
    <row r="11733" spans="1:9" x14ac:dyDescent="0.25">
      <c r="A11733" s="515">
        <v>71646</v>
      </c>
      <c r="C11733" s="52">
        <v>85877.694893530002</v>
      </c>
      <c r="D11733" s="56">
        <v>-2.9251146594049843E-2</v>
      </c>
      <c r="E11733" s="224" t="s">
        <v>2</v>
      </c>
      <c r="F11733" s="515" t="s">
        <v>12924</v>
      </c>
      <c r="G11733" s="52">
        <v>151433.60276783499</v>
      </c>
      <c r="H11733" s="56">
        <v>0.10923959842518594</v>
      </c>
      <c r="I11733" s="224" t="s">
        <v>2</v>
      </c>
    </row>
    <row r="11734" spans="1:9" x14ac:dyDescent="0.25">
      <c r="A11734" s="515">
        <v>4937</v>
      </c>
      <c r="C11734" s="52">
        <v>203324.312121467</v>
      </c>
      <c r="D11734" s="56">
        <v>0.13255052205364681</v>
      </c>
      <c r="E11734" s="224" t="s">
        <v>2</v>
      </c>
      <c r="F11734" s="515" t="s">
        <v>12925</v>
      </c>
      <c r="G11734" s="52">
        <v>92257.537691263104</v>
      </c>
      <c r="H11734" s="56">
        <v>0.12833289535879608</v>
      </c>
      <c r="I11734" s="224" t="s">
        <v>2</v>
      </c>
    </row>
    <row r="11735" spans="1:9" x14ac:dyDescent="0.25">
      <c r="A11735" s="515">
        <v>96756</v>
      </c>
      <c r="B11735" s="515" t="s">
        <v>452</v>
      </c>
      <c r="C11735" s="52">
        <v>1100332.7162447299</v>
      </c>
      <c r="D11735" s="56">
        <v>0.1634130185483636</v>
      </c>
      <c r="E11735" s="224" t="s">
        <v>2</v>
      </c>
      <c r="F11735" s="515" t="s">
        <v>12926</v>
      </c>
      <c r="G11735" s="52">
        <v>104482.296843303</v>
      </c>
      <c r="H11735" s="56">
        <v>0.11225132501029567</v>
      </c>
      <c r="I11735" s="224" t="s">
        <v>2</v>
      </c>
    </row>
    <row r="11736" spans="1:9" x14ac:dyDescent="0.25">
      <c r="A11736" s="515">
        <v>8886</v>
      </c>
      <c r="B11736" s="515" t="s">
        <v>327</v>
      </c>
      <c r="C11736" s="52">
        <v>411477.002169399</v>
      </c>
      <c r="D11736" s="56">
        <v>5.5901978598399051E-2</v>
      </c>
      <c r="E11736" s="224" t="s">
        <v>2</v>
      </c>
      <c r="F11736" s="515" t="s">
        <v>12927</v>
      </c>
      <c r="G11736" s="52">
        <v>185578.87479534099</v>
      </c>
      <c r="H11736" s="56">
        <v>9.2615343031652711E-2</v>
      </c>
      <c r="I11736" s="224" t="s">
        <v>2</v>
      </c>
    </row>
    <row r="11737" spans="1:9" x14ac:dyDescent="0.25">
      <c r="A11737" s="515">
        <v>11560</v>
      </c>
      <c r="B11737" s="515" t="s">
        <v>324</v>
      </c>
      <c r="C11737" s="52">
        <v>987148.22025689401</v>
      </c>
      <c r="D11737" s="56">
        <v>8.3183135662200161E-2</v>
      </c>
      <c r="E11737" s="224">
        <v>4000</v>
      </c>
      <c r="F11737" s="515" t="s">
        <v>12928</v>
      </c>
      <c r="G11737" s="52">
        <v>1175413.4274300199</v>
      </c>
      <c r="H11737" s="56">
        <v>3.7022499661220988E-2</v>
      </c>
      <c r="I11737" s="224" t="s">
        <v>2</v>
      </c>
    </row>
    <row r="11738" spans="1:9" x14ac:dyDescent="0.25">
      <c r="A11738" s="515">
        <v>24273</v>
      </c>
      <c r="B11738" s="515" t="s">
        <v>1150</v>
      </c>
      <c r="C11738" s="52">
        <v>99275.686822754797</v>
      </c>
      <c r="D11738" s="56">
        <v>2.6329988201590476E-2</v>
      </c>
      <c r="E11738" s="224" t="s">
        <v>2</v>
      </c>
      <c r="F11738" s="515" t="s">
        <v>12929</v>
      </c>
      <c r="G11738" s="52">
        <v>387338.19546578499</v>
      </c>
      <c r="H11738" s="56">
        <v>9.6294946478120189E-2</v>
      </c>
      <c r="I11738" s="224" t="s">
        <v>2</v>
      </c>
    </row>
    <row r="11739" spans="1:9" x14ac:dyDescent="0.25">
      <c r="A11739" s="515">
        <v>12946</v>
      </c>
      <c r="C11739" s="52">
        <v>299538.48160275101</v>
      </c>
      <c r="D11739" s="56">
        <v>0.18808084493274829</v>
      </c>
      <c r="E11739" s="224" t="s">
        <v>2</v>
      </c>
      <c r="F11739" s="515" t="s">
        <v>12930</v>
      </c>
      <c r="G11739" s="52">
        <v>269649.76587462501</v>
      </c>
      <c r="H11739" s="56">
        <v>7.7636930339754426E-2</v>
      </c>
      <c r="I11739" s="224" t="s">
        <v>2</v>
      </c>
    </row>
    <row r="11740" spans="1:9" x14ac:dyDescent="0.25">
      <c r="A11740" s="515">
        <v>71254</v>
      </c>
      <c r="C11740" s="52">
        <v>56191.785009861902</v>
      </c>
      <c r="D11740" s="56">
        <v>0</v>
      </c>
      <c r="E11740" s="224" t="s">
        <v>2</v>
      </c>
      <c r="F11740" s="515" t="s">
        <v>12931</v>
      </c>
      <c r="G11740" s="52">
        <v>199566.839486518</v>
      </c>
      <c r="H11740" s="56">
        <v>0.10838415236508413</v>
      </c>
      <c r="I11740" s="224" t="s">
        <v>2</v>
      </c>
    </row>
    <row r="11741" spans="1:9" x14ac:dyDescent="0.25">
      <c r="A11741" s="515">
        <v>46777</v>
      </c>
      <c r="B11741" s="515" t="s">
        <v>465</v>
      </c>
      <c r="C11741" s="52">
        <v>211550.04169942701</v>
      </c>
      <c r="D11741" s="56">
        <v>6.3753033593382566E-2</v>
      </c>
      <c r="E11741" s="224" t="s">
        <v>2</v>
      </c>
      <c r="F11741" s="515" t="s">
        <v>12932</v>
      </c>
      <c r="G11741" s="52">
        <v>163739.765507851</v>
      </c>
      <c r="H11741" s="56">
        <v>3.7824829496008634E-2</v>
      </c>
      <c r="I11741" s="224" t="s">
        <v>2</v>
      </c>
    </row>
    <row r="11742" spans="1:9" x14ac:dyDescent="0.25">
      <c r="A11742" s="515">
        <v>5443</v>
      </c>
      <c r="C11742" s="52">
        <v>344436.75398885697</v>
      </c>
      <c r="D11742" s="56">
        <v>8.0550274442446043E-2</v>
      </c>
      <c r="E11742" s="224" t="s">
        <v>2</v>
      </c>
      <c r="F11742" s="515" t="s">
        <v>12933</v>
      </c>
      <c r="G11742" s="52">
        <v>202248.62706529201</v>
      </c>
      <c r="H11742" s="56">
        <v>6.5832736020055863E-2</v>
      </c>
      <c r="I11742" s="224" t="s">
        <v>2</v>
      </c>
    </row>
    <row r="11743" spans="1:9" x14ac:dyDescent="0.25">
      <c r="A11743" s="515">
        <v>85736</v>
      </c>
      <c r="B11743" s="515" t="s">
        <v>368</v>
      </c>
      <c r="C11743" s="52">
        <v>245006.560853237</v>
      </c>
      <c r="D11743" s="56">
        <v>1.6522484520181461E-2</v>
      </c>
      <c r="E11743" s="224" t="s">
        <v>2</v>
      </c>
      <c r="F11743" s="515" t="s">
        <v>12934</v>
      </c>
      <c r="G11743" s="52">
        <v>403553.51543383999</v>
      </c>
      <c r="H11743" s="56">
        <v>5.1861414115737248E-2</v>
      </c>
      <c r="I11743" s="224" t="s">
        <v>2</v>
      </c>
    </row>
    <row r="11744" spans="1:9" x14ac:dyDescent="0.25">
      <c r="A11744" s="515">
        <v>73084</v>
      </c>
      <c r="B11744" s="515" t="s">
        <v>385</v>
      </c>
      <c r="C11744" s="52">
        <v>113753.09330417099</v>
      </c>
      <c r="D11744" s="56">
        <v>0.20089024156540547</v>
      </c>
      <c r="E11744" s="224" t="s">
        <v>2</v>
      </c>
      <c r="F11744" s="515" t="s">
        <v>12935</v>
      </c>
      <c r="G11744" s="52">
        <v>386316.48590912001</v>
      </c>
      <c r="H11744" s="56">
        <v>9.1652332187229332E-2</v>
      </c>
      <c r="I11744" s="224" t="s">
        <v>2</v>
      </c>
    </row>
    <row r="11745" spans="1:9" x14ac:dyDescent="0.25">
      <c r="A11745" s="515">
        <v>47429</v>
      </c>
      <c r="B11745" s="515" t="s">
        <v>554</v>
      </c>
      <c r="C11745" s="52">
        <v>242094.51026594601</v>
      </c>
      <c r="D11745" s="56">
        <v>6.8607839432073145E-2</v>
      </c>
      <c r="E11745" s="224" t="s">
        <v>2</v>
      </c>
      <c r="F11745" s="515" t="s">
        <v>12936</v>
      </c>
      <c r="G11745" s="52">
        <v>338079.53332291503</v>
      </c>
      <c r="H11745" s="56">
        <v>0.18820325192373957</v>
      </c>
      <c r="I11745" s="224" t="s">
        <v>2</v>
      </c>
    </row>
    <row r="11746" spans="1:9" x14ac:dyDescent="0.25">
      <c r="A11746" s="515">
        <v>71103</v>
      </c>
      <c r="B11746" s="515" t="s">
        <v>739</v>
      </c>
      <c r="C11746" s="52">
        <v>25608.891425543399</v>
      </c>
      <c r="D11746" s="56">
        <v>0.1583604160903137</v>
      </c>
      <c r="E11746" s="224" t="s">
        <v>2</v>
      </c>
      <c r="F11746" s="515" t="s">
        <v>12937</v>
      </c>
      <c r="G11746" s="52">
        <v>137490.801654446</v>
      </c>
      <c r="H11746" s="56">
        <v>4.7429977255778244E-2</v>
      </c>
      <c r="I11746" s="224" t="s">
        <v>2</v>
      </c>
    </row>
    <row r="11747" spans="1:9" x14ac:dyDescent="0.25">
      <c r="A11747" s="515">
        <v>62563</v>
      </c>
      <c r="B11747" s="515" t="s">
        <v>819</v>
      </c>
      <c r="C11747" s="52">
        <v>234235.316921625</v>
      </c>
      <c r="D11747" s="56">
        <v>5.788423480625212E-2</v>
      </c>
      <c r="E11747" s="224" t="s">
        <v>2</v>
      </c>
      <c r="F11747" s="515" t="s">
        <v>12938</v>
      </c>
      <c r="G11747" s="52">
        <v>98436.6215851546</v>
      </c>
      <c r="H11747" s="56">
        <v>0.19951860010356945</v>
      </c>
      <c r="I11747" s="224" t="s">
        <v>2</v>
      </c>
    </row>
    <row r="11748" spans="1:9" x14ac:dyDescent="0.25">
      <c r="A11748" s="515">
        <v>64040</v>
      </c>
      <c r="B11748" s="515" t="s">
        <v>1047</v>
      </c>
      <c r="C11748" s="52">
        <v>228598.03222732799</v>
      </c>
      <c r="D11748" s="56">
        <v>4.8950499695766099E-2</v>
      </c>
      <c r="E11748" s="224" t="s">
        <v>2</v>
      </c>
      <c r="F11748" s="515" t="s">
        <v>12939</v>
      </c>
      <c r="G11748" s="52">
        <v>325204.46656271501</v>
      </c>
      <c r="H11748" s="56">
        <v>2.8623298719121011E-2</v>
      </c>
      <c r="I11748" s="224" t="s">
        <v>2</v>
      </c>
    </row>
    <row r="11749" spans="1:9" x14ac:dyDescent="0.25">
      <c r="A11749" s="515">
        <v>28429</v>
      </c>
      <c r="B11749" s="515" t="s">
        <v>1038</v>
      </c>
      <c r="C11749" s="52">
        <v>294220.28648324002</v>
      </c>
      <c r="D11749" s="56">
        <v>0.13796908137073077</v>
      </c>
      <c r="E11749" s="224" t="s">
        <v>2</v>
      </c>
      <c r="F11749" s="515" t="s">
        <v>12940</v>
      </c>
      <c r="G11749" s="52">
        <v>207686.42996922499</v>
      </c>
      <c r="H11749" s="56">
        <v>6.0305745580311439E-2</v>
      </c>
      <c r="I11749" s="224" t="s">
        <v>2</v>
      </c>
    </row>
    <row r="11750" spans="1:9" x14ac:dyDescent="0.25">
      <c r="A11750" s="515">
        <v>95005</v>
      </c>
      <c r="B11750" s="515" t="s">
        <v>596</v>
      </c>
      <c r="C11750" s="52">
        <v>903392.41997861303</v>
      </c>
      <c r="D11750" s="56">
        <v>-3.239016379882094E-3</v>
      </c>
      <c r="E11750" s="224" t="s">
        <v>2</v>
      </c>
      <c r="F11750" s="515" t="s">
        <v>12941</v>
      </c>
      <c r="G11750" s="52">
        <v>431404.32103641401</v>
      </c>
      <c r="H11750" s="56">
        <v>4.8967655300866143E-2</v>
      </c>
      <c r="I11750" s="224" t="s">
        <v>2</v>
      </c>
    </row>
    <row r="11751" spans="1:9" x14ac:dyDescent="0.25">
      <c r="A11751" s="515">
        <v>37033</v>
      </c>
      <c r="C11751" s="52">
        <v>176536.05800274501</v>
      </c>
      <c r="D11751" s="56">
        <v>8.6485024142028438E-2</v>
      </c>
      <c r="E11751" s="224" t="s">
        <v>2</v>
      </c>
      <c r="F11751" s="515" t="s">
        <v>12942</v>
      </c>
      <c r="G11751" s="52">
        <v>496665.27466434299</v>
      </c>
      <c r="H11751" s="56">
        <v>7.1293887804459444E-2</v>
      </c>
      <c r="I11751" s="224" t="s">
        <v>2</v>
      </c>
    </row>
    <row r="11752" spans="1:9" x14ac:dyDescent="0.25">
      <c r="A11752" s="515">
        <v>17102</v>
      </c>
      <c r="B11752" s="515" t="s">
        <v>428</v>
      </c>
      <c r="C11752" s="52">
        <v>168554.50215779</v>
      </c>
      <c r="D11752" s="56">
        <v>8.3067247623802964E-2</v>
      </c>
      <c r="E11752" s="224">
        <v>1077.98888888888</v>
      </c>
      <c r="F11752" s="515" t="s">
        <v>12943</v>
      </c>
      <c r="G11752" s="52">
        <v>362609.88207689102</v>
      </c>
      <c r="H11752" s="56">
        <v>6.0013115226556189E-2</v>
      </c>
      <c r="I11752" s="224" t="s">
        <v>2</v>
      </c>
    </row>
    <row r="11753" spans="1:9" x14ac:dyDescent="0.25">
      <c r="A11753" s="515">
        <v>55013</v>
      </c>
      <c r="B11753" s="515" t="s">
        <v>532</v>
      </c>
      <c r="C11753" s="52">
        <v>389303.07683121698</v>
      </c>
      <c r="D11753" s="56">
        <v>3.3454997975006749E-2</v>
      </c>
      <c r="E11753" s="224" t="s">
        <v>2</v>
      </c>
      <c r="F11753" s="515" t="s">
        <v>12944</v>
      </c>
      <c r="G11753" s="52">
        <v>179268.94804762199</v>
      </c>
      <c r="H11753" s="56">
        <v>0.12436713638358361</v>
      </c>
      <c r="I11753" s="224" t="s">
        <v>2</v>
      </c>
    </row>
    <row r="11754" spans="1:9" x14ac:dyDescent="0.25">
      <c r="A11754" s="515">
        <v>65542</v>
      </c>
      <c r="C11754" s="52">
        <v>161011.116422069</v>
      </c>
      <c r="D11754" s="56">
        <v>9.186367008480828E-2</v>
      </c>
      <c r="E11754" s="224" t="s">
        <v>2</v>
      </c>
      <c r="F11754" s="515" t="s">
        <v>12945</v>
      </c>
      <c r="G11754" s="52">
        <v>221551.747109769</v>
      </c>
      <c r="H11754" s="56">
        <v>0.10732372645485916</v>
      </c>
      <c r="I11754" s="224" t="s">
        <v>2</v>
      </c>
    </row>
    <row r="11755" spans="1:9" x14ac:dyDescent="0.25">
      <c r="A11755" s="515">
        <v>44050</v>
      </c>
      <c r="B11755" s="515" t="s">
        <v>520</v>
      </c>
      <c r="C11755" s="52">
        <v>252863.30601082</v>
      </c>
      <c r="D11755" s="56">
        <v>8.1110454685123304E-2</v>
      </c>
      <c r="E11755" s="224" t="s">
        <v>2</v>
      </c>
      <c r="F11755" s="515" t="s">
        <v>12946</v>
      </c>
      <c r="G11755" s="52">
        <v>265559.94355687301</v>
      </c>
      <c r="H11755" s="56">
        <v>9.8426496802092783E-2</v>
      </c>
      <c r="I11755" s="224" t="s">
        <v>2</v>
      </c>
    </row>
    <row r="11756" spans="1:9" x14ac:dyDescent="0.25">
      <c r="A11756" s="515">
        <v>87529</v>
      </c>
      <c r="B11756" s="515" t="s">
        <v>481</v>
      </c>
      <c r="C11756" s="52">
        <v>421158.79287260398</v>
      </c>
      <c r="D11756" s="56">
        <v>3.0454167973096524E-2</v>
      </c>
      <c r="E11756" s="224" t="s">
        <v>2</v>
      </c>
      <c r="F11756" s="515" t="s">
        <v>12947</v>
      </c>
      <c r="G11756" s="52">
        <v>133351.009724378</v>
      </c>
      <c r="H11756" s="56">
        <v>1.807823206028061E-2</v>
      </c>
      <c r="I11756" s="224" t="s">
        <v>2</v>
      </c>
    </row>
    <row r="11757" spans="1:9" x14ac:dyDescent="0.25">
      <c r="A11757" s="515">
        <v>61036</v>
      </c>
      <c r="C11757" s="52">
        <v>254666.41352054899</v>
      </c>
      <c r="D11757" s="56">
        <v>0.13251262953476592</v>
      </c>
      <c r="E11757" s="224" t="s">
        <v>2</v>
      </c>
      <c r="F11757" s="515" t="s">
        <v>12948</v>
      </c>
      <c r="G11757" s="52">
        <v>70806.260315887994</v>
      </c>
      <c r="H11757" s="56">
        <v>3.1564796700436965E-2</v>
      </c>
      <c r="I11757" s="224" t="s">
        <v>2</v>
      </c>
    </row>
    <row r="11758" spans="1:9" x14ac:dyDescent="0.25">
      <c r="A11758" s="515">
        <v>3446</v>
      </c>
      <c r="B11758" s="515" t="s">
        <v>747</v>
      </c>
      <c r="C11758" s="52">
        <v>311175.78004965099</v>
      </c>
      <c r="D11758" s="56">
        <v>0.13069596486146812</v>
      </c>
      <c r="E11758" s="224" t="s">
        <v>2</v>
      </c>
      <c r="F11758" s="515" t="s">
        <v>12949</v>
      </c>
      <c r="G11758" s="52">
        <v>300676.95883080899</v>
      </c>
      <c r="H11758" s="56">
        <v>5.895269170294367E-2</v>
      </c>
      <c r="I11758" s="224" t="s">
        <v>2</v>
      </c>
    </row>
    <row r="11759" spans="1:9" x14ac:dyDescent="0.25">
      <c r="A11759" s="515">
        <v>37863</v>
      </c>
      <c r="B11759" s="515" t="s">
        <v>1183</v>
      </c>
      <c r="C11759" s="52">
        <v>446137.44033635297</v>
      </c>
      <c r="D11759" s="56">
        <v>9.9966892532969781E-2</v>
      </c>
      <c r="E11759" s="224" t="s">
        <v>2</v>
      </c>
      <c r="F11759" s="515" t="s">
        <v>12950</v>
      </c>
      <c r="G11759" s="52">
        <v>281373.35263759701</v>
      </c>
      <c r="H11759" s="56">
        <v>2.7224883517569538E-2</v>
      </c>
      <c r="I11759" s="224" t="s">
        <v>2</v>
      </c>
    </row>
    <row r="11760" spans="1:9" x14ac:dyDescent="0.25">
      <c r="A11760" s="515">
        <v>51537</v>
      </c>
      <c r="C11760" s="52">
        <v>161105.653100355</v>
      </c>
      <c r="D11760" s="56">
        <v>5.8325879957540218E-2</v>
      </c>
      <c r="E11760" s="224" t="s">
        <v>2</v>
      </c>
      <c r="F11760" s="515" t="s">
        <v>12951</v>
      </c>
      <c r="G11760" s="52">
        <v>133160.33806910799</v>
      </c>
      <c r="H11760" s="56">
        <v>6.0689867882299159E-2</v>
      </c>
      <c r="I11760" s="224" t="s">
        <v>2</v>
      </c>
    </row>
    <row r="11761" spans="1:9" x14ac:dyDescent="0.25">
      <c r="A11761" s="515">
        <v>29824</v>
      </c>
      <c r="B11761" s="515" t="s">
        <v>888</v>
      </c>
      <c r="C11761" s="52">
        <v>174068.482514031</v>
      </c>
      <c r="D11761" s="56">
        <v>8.9493919996855409E-2</v>
      </c>
      <c r="E11761" s="224" t="s">
        <v>2</v>
      </c>
      <c r="F11761" s="515" t="s">
        <v>12952</v>
      </c>
      <c r="G11761" s="52">
        <v>153874.55385763699</v>
      </c>
      <c r="H11761" s="56">
        <v>7.0317295652133682E-2</v>
      </c>
      <c r="I11761" s="224" t="s">
        <v>2</v>
      </c>
    </row>
    <row r="11762" spans="1:9" x14ac:dyDescent="0.25">
      <c r="A11762" s="515">
        <v>1226</v>
      </c>
      <c r="B11762" s="515" t="s">
        <v>497</v>
      </c>
      <c r="C11762" s="52">
        <v>283367.90012640198</v>
      </c>
      <c r="D11762" s="56">
        <v>8.4679487319565358E-2</v>
      </c>
      <c r="E11762" s="224" t="s">
        <v>2</v>
      </c>
      <c r="F11762" s="515" t="s">
        <v>12953</v>
      </c>
      <c r="G11762" s="52">
        <v>300632.03049872298</v>
      </c>
      <c r="H11762" s="56">
        <v>0.12732010674429525</v>
      </c>
      <c r="I11762" s="224" t="s">
        <v>2</v>
      </c>
    </row>
    <row r="11763" spans="1:9" x14ac:dyDescent="0.25">
      <c r="A11763" s="515">
        <v>38967</v>
      </c>
      <c r="C11763" s="52">
        <v>101874.25964128</v>
      </c>
      <c r="D11763" s="56">
        <v>-1.9621127585425068E-2</v>
      </c>
      <c r="E11763" s="224" t="s">
        <v>2</v>
      </c>
      <c r="F11763" s="515" t="s">
        <v>12954</v>
      </c>
      <c r="G11763" s="52">
        <v>112095.592233009</v>
      </c>
      <c r="H11763" s="56">
        <v>0</v>
      </c>
      <c r="I11763" s="224" t="s">
        <v>2</v>
      </c>
    </row>
    <row r="11764" spans="1:9" x14ac:dyDescent="0.25">
      <c r="A11764" s="515">
        <v>52314</v>
      </c>
      <c r="B11764" s="515" t="s">
        <v>404</v>
      </c>
      <c r="C11764" s="52">
        <v>296654.71973008098</v>
      </c>
      <c r="D11764" s="56">
        <v>8.4285960896379866E-2</v>
      </c>
      <c r="E11764" s="224" t="s">
        <v>2</v>
      </c>
      <c r="F11764" s="515" t="s">
        <v>12955</v>
      </c>
      <c r="G11764" s="52">
        <v>195956.150501458</v>
      </c>
      <c r="H11764" s="56">
        <v>0.11557241577909323</v>
      </c>
      <c r="I11764" s="224" t="s">
        <v>2</v>
      </c>
    </row>
    <row r="11765" spans="1:9" x14ac:dyDescent="0.25">
      <c r="A11765" s="515">
        <v>46120</v>
      </c>
      <c r="B11765" s="515" t="s">
        <v>403</v>
      </c>
      <c r="C11765" s="52">
        <v>204579.25666156301</v>
      </c>
      <c r="D11765" s="56">
        <v>5.9562903692309883E-2</v>
      </c>
      <c r="E11765" s="224" t="s">
        <v>2</v>
      </c>
      <c r="F11765" s="515" t="s">
        <v>12956</v>
      </c>
      <c r="G11765" s="52">
        <v>148768.274063205</v>
      </c>
      <c r="H11765" s="56">
        <v>9.8380603315853896E-2</v>
      </c>
      <c r="I11765" s="224" t="s">
        <v>2</v>
      </c>
    </row>
    <row r="11766" spans="1:9" x14ac:dyDescent="0.25">
      <c r="A11766" s="515">
        <v>92233</v>
      </c>
      <c r="B11766" s="515" t="s">
        <v>621</v>
      </c>
      <c r="C11766" s="52">
        <v>195597.94101623099</v>
      </c>
      <c r="D11766" s="56">
        <v>3.2367261373109878E-2</v>
      </c>
      <c r="E11766" s="224" t="s">
        <v>2</v>
      </c>
      <c r="F11766" s="515" t="s">
        <v>12957</v>
      </c>
      <c r="G11766" s="52">
        <v>116561.514940508</v>
      </c>
      <c r="H11766" s="56">
        <v>8.4071606676357963E-2</v>
      </c>
      <c r="I11766" s="224" t="s">
        <v>2</v>
      </c>
    </row>
    <row r="11767" spans="1:9" x14ac:dyDescent="0.25">
      <c r="A11767" s="515">
        <v>32113</v>
      </c>
      <c r="B11767" s="515" t="s">
        <v>475</v>
      </c>
      <c r="C11767" s="52">
        <v>261076.13108291599</v>
      </c>
      <c r="D11767" s="56">
        <v>0.19050956179456205</v>
      </c>
      <c r="E11767" s="224" t="s">
        <v>2</v>
      </c>
      <c r="F11767" s="515" t="s">
        <v>12958</v>
      </c>
      <c r="G11767" s="52">
        <v>219329.91747786599</v>
      </c>
      <c r="H11767" s="56">
        <v>6.1132053779806933E-2</v>
      </c>
      <c r="I11767" s="224" t="s">
        <v>2</v>
      </c>
    </row>
    <row r="11768" spans="1:9" x14ac:dyDescent="0.25">
      <c r="A11768" s="515">
        <v>60480</v>
      </c>
      <c r="B11768" s="515" t="s">
        <v>394</v>
      </c>
      <c r="C11768" s="52">
        <v>307866.27656372997</v>
      </c>
      <c r="D11768" s="56">
        <v>3.2014918736787738E-2</v>
      </c>
      <c r="E11768" s="224" t="s">
        <v>2</v>
      </c>
      <c r="F11768" s="515" t="s">
        <v>12959</v>
      </c>
      <c r="G11768" s="52">
        <v>523910.14269206702</v>
      </c>
      <c r="H11768" s="56">
        <v>5.8856019042346622E-2</v>
      </c>
      <c r="I11768" s="224" t="s">
        <v>2</v>
      </c>
    </row>
    <row r="11769" spans="1:9" x14ac:dyDescent="0.25">
      <c r="A11769" s="515">
        <v>38860</v>
      </c>
      <c r="C11769" s="52">
        <v>89317.995652476893</v>
      </c>
      <c r="D11769" s="56">
        <v>1.1623884649898242E-2</v>
      </c>
      <c r="E11769" s="224" t="s">
        <v>2</v>
      </c>
      <c r="F11769" s="515" t="s">
        <v>12960</v>
      </c>
      <c r="G11769" s="52">
        <v>394520.045513472</v>
      </c>
      <c r="H11769" s="56">
        <v>0.13067295327929393</v>
      </c>
      <c r="I11769" s="224" t="s">
        <v>2</v>
      </c>
    </row>
    <row r="11770" spans="1:9" x14ac:dyDescent="0.25">
      <c r="A11770" s="515">
        <v>43968</v>
      </c>
      <c r="B11770" s="515" t="s">
        <v>627</v>
      </c>
      <c r="C11770" s="52">
        <v>88153.817791140405</v>
      </c>
      <c r="D11770" s="56">
        <v>0.11288849182187292</v>
      </c>
      <c r="E11770" s="224" t="s">
        <v>2</v>
      </c>
      <c r="F11770" s="515" t="s">
        <v>12961</v>
      </c>
      <c r="G11770" s="52">
        <v>557791.60195013799</v>
      </c>
      <c r="H11770" s="56">
        <v>4.2029537157834369E-2</v>
      </c>
      <c r="I11770" s="224" t="s">
        <v>2</v>
      </c>
    </row>
    <row r="11771" spans="1:9" x14ac:dyDescent="0.25">
      <c r="A11771" s="515">
        <v>6281</v>
      </c>
      <c r="B11771" s="515" t="s">
        <v>751</v>
      </c>
      <c r="C11771" s="52">
        <v>375892.76550828601</v>
      </c>
      <c r="D11771" s="56">
        <v>9.4993726445862445E-2</v>
      </c>
      <c r="E11771" s="224" t="s">
        <v>2</v>
      </c>
      <c r="F11771" s="515" t="s">
        <v>12962</v>
      </c>
      <c r="G11771" s="52">
        <v>174510.22626944401</v>
      </c>
      <c r="H11771" s="56">
        <v>6.9473733872350563E-2</v>
      </c>
      <c r="I11771" s="224" t="s">
        <v>2</v>
      </c>
    </row>
    <row r="11772" spans="1:9" x14ac:dyDescent="0.25">
      <c r="A11772" s="515">
        <v>13202</v>
      </c>
      <c r="B11772" s="515" t="s">
        <v>361</v>
      </c>
      <c r="C11772" s="52">
        <v>179137.143093491</v>
      </c>
      <c r="D11772" s="56">
        <v>5.6253413834033365E-2</v>
      </c>
      <c r="E11772" s="224">
        <v>2025</v>
      </c>
      <c r="F11772" s="515" t="s">
        <v>12963</v>
      </c>
      <c r="G11772" s="52">
        <v>357042.99698596302</v>
      </c>
      <c r="H11772" s="56">
        <v>5.5119337619329155E-2</v>
      </c>
      <c r="I11772" s="224" t="s">
        <v>2</v>
      </c>
    </row>
    <row r="11773" spans="1:9" x14ac:dyDescent="0.25">
      <c r="A11773" s="515">
        <v>79821</v>
      </c>
      <c r="B11773" s="515" t="s">
        <v>1119</v>
      </c>
      <c r="C11773" s="52">
        <v>177954.75573583099</v>
      </c>
      <c r="D11773" s="56">
        <v>0.13737306068866978</v>
      </c>
      <c r="E11773" s="224" t="s">
        <v>2</v>
      </c>
      <c r="F11773" s="515" t="s">
        <v>12964</v>
      </c>
      <c r="G11773" s="52">
        <v>237219.46237680601</v>
      </c>
      <c r="H11773" s="56">
        <v>6.0405291015449433E-2</v>
      </c>
      <c r="I11773" s="224" t="s">
        <v>2</v>
      </c>
    </row>
    <row r="11774" spans="1:9" x14ac:dyDescent="0.25">
      <c r="A11774" s="515">
        <v>14068</v>
      </c>
      <c r="B11774" s="515" t="s">
        <v>336</v>
      </c>
      <c r="C11774" s="52">
        <v>376761.43239728699</v>
      </c>
      <c r="D11774" s="56">
        <v>6.3537521535774286E-2</v>
      </c>
      <c r="E11774" s="224" t="s">
        <v>2</v>
      </c>
      <c r="F11774" s="515" t="s">
        <v>12965</v>
      </c>
      <c r="G11774" s="52">
        <v>139087.79645705299</v>
      </c>
      <c r="H11774" s="56">
        <v>9.0825506728876668E-2</v>
      </c>
      <c r="I11774" s="224" t="s">
        <v>2</v>
      </c>
    </row>
    <row r="11775" spans="1:9" x14ac:dyDescent="0.25">
      <c r="A11775" s="515">
        <v>12582</v>
      </c>
      <c r="B11775" s="515" t="s">
        <v>529</v>
      </c>
      <c r="C11775" s="52">
        <v>469900.06090791803</v>
      </c>
      <c r="D11775" s="56">
        <v>5.2313578123161626E-2</v>
      </c>
      <c r="E11775" s="224" t="s">
        <v>2</v>
      </c>
      <c r="F11775" s="515" t="s">
        <v>12966</v>
      </c>
      <c r="G11775" s="52">
        <v>137807.06626632699</v>
      </c>
      <c r="H11775" s="56">
        <v>1.3934081263678517E-2</v>
      </c>
      <c r="I11775" s="224" t="s">
        <v>2</v>
      </c>
    </row>
    <row r="11776" spans="1:9" x14ac:dyDescent="0.25">
      <c r="A11776" s="515">
        <v>64153</v>
      </c>
      <c r="B11776" s="515" t="s">
        <v>455</v>
      </c>
      <c r="C11776" s="52">
        <v>324050.04556851002</v>
      </c>
      <c r="D11776" s="56">
        <v>3.8497077329429627E-2</v>
      </c>
      <c r="E11776" s="224">
        <v>1562.2777777777701</v>
      </c>
      <c r="F11776" s="515" t="s">
        <v>12967</v>
      </c>
      <c r="G11776" s="52">
        <v>396813.88222082797</v>
      </c>
      <c r="H11776" s="56">
        <v>3.7855650729740085E-2</v>
      </c>
      <c r="I11776" s="224" t="s">
        <v>2</v>
      </c>
    </row>
    <row r="11777" spans="1:9" x14ac:dyDescent="0.25">
      <c r="A11777" s="515">
        <v>48611</v>
      </c>
      <c r="B11777" s="515" t="s">
        <v>1022</v>
      </c>
      <c r="C11777" s="52">
        <v>180049.630634197</v>
      </c>
      <c r="D11777" s="56">
        <v>5.4827042040906486E-2</v>
      </c>
      <c r="E11777" s="224" t="s">
        <v>2</v>
      </c>
      <c r="F11777" s="515" t="s">
        <v>12968</v>
      </c>
      <c r="G11777" s="52">
        <v>289052.54031074198</v>
      </c>
      <c r="H11777" s="56">
        <v>0.10962313446150293</v>
      </c>
      <c r="I11777" s="224" t="s">
        <v>2</v>
      </c>
    </row>
    <row r="11778" spans="1:9" x14ac:dyDescent="0.25">
      <c r="A11778" s="515">
        <v>16033</v>
      </c>
      <c r="B11778" s="515" t="s">
        <v>297</v>
      </c>
      <c r="C11778" s="52">
        <v>278055.82896241499</v>
      </c>
      <c r="D11778" s="56">
        <v>8.9942495779599757E-2</v>
      </c>
      <c r="E11778" s="224" t="s">
        <v>2</v>
      </c>
      <c r="F11778" s="515" t="s">
        <v>12969</v>
      </c>
      <c r="G11778" s="52">
        <v>132314.696922189</v>
      </c>
      <c r="H11778" s="56">
        <v>0.13152381165907664</v>
      </c>
      <c r="I11778" s="224" t="s">
        <v>2</v>
      </c>
    </row>
    <row r="11779" spans="1:9" x14ac:dyDescent="0.25">
      <c r="A11779" s="515">
        <v>30336</v>
      </c>
      <c r="B11779" s="515" t="s">
        <v>957</v>
      </c>
      <c r="C11779" s="52">
        <v>298874.546283175</v>
      </c>
      <c r="D11779" s="56">
        <v>0.21620634762416038</v>
      </c>
      <c r="E11779" s="224" t="s">
        <v>2</v>
      </c>
      <c r="F11779" s="515" t="s">
        <v>12970</v>
      </c>
      <c r="G11779" s="52">
        <v>125477.75479053899</v>
      </c>
      <c r="H11779" s="56">
        <v>0.12837753528591345</v>
      </c>
      <c r="I11779" s="224" t="s">
        <v>2</v>
      </c>
    </row>
    <row r="11780" spans="1:9" x14ac:dyDescent="0.25">
      <c r="A11780" s="515">
        <v>47396</v>
      </c>
      <c r="B11780" s="515" t="s">
        <v>1154</v>
      </c>
      <c r="C11780" s="52">
        <v>198957.462851374</v>
      </c>
      <c r="D11780" s="56">
        <v>8.3232982782112983E-2</v>
      </c>
      <c r="E11780" s="224" t="s">
        <v>2</v>
      </c>
      <c r="F11780" s="515" t="s">
        <v>12971</v>
      </c>
      <c r="G11780" s="52">
        <v>213580.42411077599</v>
      </c>
      <c r="H11780" s="56">
        <v>0.13256695435486721</v>
      </c>
      <c r="I11780" s="224" t="s">
        <v>2</v>
      </c>
    </row>
    <row r="11781" spans="1:9" x14ac:dyDescent="0.25">
      <c r="A11781" s="515">
        <v>47041</v>
      </c>
      <c r="C11781" s="52">
        <v>285961.55359615298</v>
      </c>
      <c r="D11781" s="56">
        <v>6.1092336515174303E-2</v>
      </c>
      <c r="E11781" s="224" t="s">
        <v>2</v>
      </c>
      <c r="F11781" s="515" t="s">
        <v>12972</v>
      </c>
      <c r="G11781" s="52">
        <v>154892.335098282</v>
      </c>
      <c r="H11781" s="56">
        <v>0.13597369039144516</v>
      </c>
      <c r="I11781" s="224" t="s">
        <v>2</v>
      </c>
    </row>
    <row r="11782" spans="1:9" x14ac:dyDescent="0.25">
      <c r="A11782" s="515">
        <v>28420</v>
      </c>
      <c r="B11782" s="515" t="s">
        <v>703</v>
      </c>
      <c r="C11782" s="52">
        <v>221745.89257529899</v>
      </c>
      <c r="D11782" s="56">
        <v>0.19055588176951435</v>
      </c>
      <c r="E11782" s="224" t="s">
        <v>2</v>
      </c>
      <c r="F11782" s="515" t="s">
        <v>12973</v>
      </c>
      <c r="G11782" s="52">
        <v>175376.37088045001</v>
      </c>
      <c r="H11782" s="56">
        <v>6.1059952379573915E-2</v>
      </c>
      <c r="I11782" s="224" t="s">
        <v>2</v>
      </c>
    </row>
    <row r="11783" spans="1:9" x14ac:dyDescent="0.25">
      <c r="A11783" s="515">
        <v>37010</v>
      </c>
      <c r="B11783" s="515" t="s">
        <v>651</v>
      </c>
      <c r="C11783" s="52">
        <v>400308.79155607102</v>
      </c>
      <c r="D11783" s="56">
        <v>9.3170665224498531E-2</v>
      </c>
      <c r="E11783" s="224" t="s">
        <v>2</v>
      </c>
      <c r="F11783" s="515" t="s">
        <v>12974</v>
      </c>
      <c r="G11783" s="52">
        <v>539574.29776694998</v>
      </c>
      <c r="H11783" s="56">
        <v>3.4562975149304814E-2</v>
      </c>
      <c r="I11783" s="224" t="s">
        <v>2</v>
      </c>
    </row>
    <row r="11784" spans="1:9" x14ac:dyDescent="0.25">
      <c r="A11784" s="515">
        <v>54020</v>
      </c>
      <c r="C11784" s="52">
        <v>300332.52366225602</v>
      </c>
      <c r="D11784" s="56">
        <v>3.6045198651861531E-2</v>
      </c>
      <c r="E11784" s="224" t="s">
        <v>2</v>
      </c>
      <c r="F11784" s="515" t="s">
        <v>12975</v>
      </c>
      <c r="G11784" s="52">
        <v>164995.751825218</v>
      </c>
      <c r="H11784" s="56">
        <v>4.5261475486132602E-2</v>
      </c>
      <c r="I11784" s="224" t="s">
        <v>2</v>
      </c>
    </row>
    <row r="11785" spans="1:9" x14ac:dyDescent="0.25">
      <c r="A11785" s="515">
        <v>17370</v>
      </c>
      <c r="B11785" s="515" t="s">
        <v>509</v>
      </c>
      <c r="C11785" s="52">
        <v>252575.219517958</v>
      </c>
      <c r="D11785" s="56">
        <v>8.9515326109686849E-2</v>
      </c>
      <c r="E11785" s="224" t="s">
        <v>2</v>
      </c>
      <c r="F11785" s="515" t="s">
        <v>12976</v>
      </c>
      <c r="G11785" s="52">
        <v>121916.893989955</v>
      </c>
      <c r="H11785" s="56">
        <v>6.5318814599833921E-2</v>
      </c>
      <c r="I11785" s="224" t="s">
        <v>2</v>
      </c>
    </row>
    <row r="11786" spans="1:9" x14ac:dyDescent="0.25">
      <c r="A11786" s="515">
        <v>21084</v>
      </c>
      <c r="B11786" s="515" t="s">
        <v>582</v>
      </c>
      <c r="C11786" s="52">
        <v>469008.83949815301</v>
      </c>
      <c r="D11786" s="56">
        <v>3.059498775953581E-2</v>
      </c>
      <c r="E11786" s="224" t="s">
        <v>2</v>
      </c>
      <c r="F11786" s="515" t="s">
        <v>12977</v>
      </c>
      <c r="G11786" s="52">
        <v>188747.34587721701</v>
      </c>
      <c r="H11786" s="56">
        <v>2.1055786506217325E-2</v>
      </c>
      <c r="I11786" s="224" t="s">
        <v>2</v>
      </c>
    </row>
    <row r="11787" spans="1:9" x14ac:dyDescent="0.25">
      <c r="A11787" s="515">
        <v>54730</v>
      </c>
      <c r="B11787" s="515" t="s">
        <v>731</v>
      </c>
      <c r="C11787" s="52">
        <v>249408.14974212801</v>
      </c>
      <c r="D11787" s="56">
        <v>5.5062153405484288E-2</v>
      </c>
      <c r="E11787" s="224" t="s">
        <v>2</v>
      </c>
      <c r="F11787" s="515" t="s">
        <v>12978</v>
      </c>
      <c r="G11787" s="52">
        <v>157917.20324651699</v>
      </c>
      <c r="H11787" s="56">
        <v>6.8564759241715331E-2</v>
      </c>
      <c r="I11787" s="224" t="s">
        <v>2</v>
      </c>
    </row>
    <row r="11788" spans="1:9" x14ac:dyDescent="0.25">
      <c r="A11788" s="515">
        <v>28572</v>
      </c>
      <c r="B11788" s="515" t="s">
        <v>1163</v>
      </c>
      <c r="C11788" s="52">
        <v>142484.80064025999</v>
      </c>
      <c r="D11788" s="56">
        <v>0.29886633509946586</v>
      </c>
      <c r="E11788" s="224" t="s">
        <v>2</v>
      </c>
      <c r="F11788" s="515" t="s">
        <v>12979</v>
      </c>
      <c r="G11788" s="52">
        <v>312909.55826988397</v>
      </c>
      <c r="H11788" s="56">
        <v>0.10444995163905114</v>
      </c>
      <c r="I11788" s="224" t="s">
        <v>2</v>
      </c>
    </row>
    <row r="11789" spans="1:9" x14ac:dyDescent="0.25">
      <c r="A11789" s="515">
        <v>27962</v>
      </c>
      <c r="C11789" s="52">
        <v>85114.480284024103</v>
      </c>
      <c r="D11789" s="56">
        <v>0.11063587184442844</v>
      </c>
      <c r="E11789" s="224" t="s">
        <v>2</v>
      </c>
      <c r="F11789" s="515" t="s">
        <v>12980</v>
      </c>
      <c r="G11789" s="52">
        <v>153828.636861056</v>
      </c>
      <c r="H11789" s="56">
        <v>8.8975602530422498E-2</v>
      </c>
      <c r="I11789" s="224" t="s">
        <v>2</v>
      </c>
    </row>
    <row r="11790" spans="1:9" x14ac:dyDescent="0.25">
      <c r="A11790" s="515">
        <v>31092</v>
      </c>
      <c r="C11790" s="52">
        <v>104542.187908142</v>
      </c>
      <c r="D11790" s="56">
        <v>3.8023985134050649E-2</v>
      </c>
      <c r="E11790" s="224" t="s">
        <v>2</v>
      </c>
      <c r="F11790" s="515" t="s">
        <v>12981</v>
      </c>
      <c r="G11790" s="52">
        <v>168412.42656063201</v>
      </c>
      <c r="H11790" s="56">
        <v>7.5950507420389501E-2</v>
      </c>
      <c r="I11790" s="224" t="s">
        <v>2</v>
      </c>
    </row>
    <row r="11791" spans="1:9" x14ac:dyDescent="0.25">
      <c r="A11791" s="515">
        <v>30735</v>
      </c>
      <c r="B11791" s="515" t="s">
        <v>1056</v>
      </c>
      <c r="C11791" s="52">
        <v>196155.49710558099</v>
      </c>
      <c r="D11791" s="56">
        <v>7.6883802069471929E-2</v>
      </c>
      <c r="E11791" s="224" t="s">
        <v>2</v>
      </c>
      <c r="F11791" s="515" t="s">
        <v>12982</v>
      </c>
      <c r="G11791" s="52">
        <v>183113.30667697499</v>
      </c>
      <c r="H11791" s="56">
        <v>9.0116816012900003E-2</v>
      </c>
      <c r="I11791" s="224" t="s">
        <v>2</v>
      </c>
    </row>
    <row r="11792" spans="1:9" x14ac:dyDescent="0.25">
      <c r="A11792" s="515">
        <v>20141</v>
      </c>
      <c r="B11792" s="515" t="s">
        <v>321</v>
      </c>
      <c r="C11792" s="52">
        <v>714365.70595732296</v>
      </c>
      <c r="D11792" s="56">
        <v>3.4218698597850865E-2</v>
      </c>
      <c r="E11792" s="224" t="s">
        <v>2</v>
      </c>
      <c r="F11792" s="515" t="s">
        <v>12983</v>
      </c>
      <c r="G11792" s="52">
        <v>186231.410897169</v>
      </c>
      <c r="H11792" s="56">
        <v>9.5810873750427961E-2</v>
      </c>
      <c r="I11792" s="224" t="s">
        <v>2</v>
      </c>
    </row>
    <row r="11793" spans="1:9" x14ac:dyDescent="0.25">
      <c r="A11793" s="515">
        <v>62839</v>
      </c>
      <c r="C11793" s="52">
        <v>72550.4489011103</v>
      </c>
      <c r="D11793" s="56">
        <v>2.4243193476737021E-2</v>
      </c>
      <c r="E11793" s="224" t="s">
        <v>2</v>
      </c>
      <c r="F11793" s="515" t="s">
        <v>12984</v>
      </c>
      <c r="G11793" s="52">
        <v>258385.82446808199</v>
      </c>
      <c r="H11793" s="56">
        <v>0.1580965960385862</v>
      </c>
      <c r="I11793" s="224" t="s">
        <v>2</v>
      </c>
    </row>
    <row r="11794" spans="1:9" x14ac:dyDescent="0.25">
      <c r="A11794" s="515">
        <v>56482</v>
      </c>
      <c r="C11794" s="52">
        <v>167364.17513551901</v>
      </c>
      <c r="D11794" s="56">
        <v>1.3320240914940421E-2</v>
      </c>
      <c r="E11794" s="224" t="s">
        <v>2</v>
      </c>
      <c r="F11794" s="515" t="s">
        <v>12985</v>
      </c>
      <c r="G11794" s="52">
        <v>263257.08035044698</v>
      </c>
      <c r="H11794" s="56">
        <v>1.4754111384200814E-2</v>
      </c>
      <c r="I11794" s="224" t="s">
        <v>2</v>
      </c>
    </row>
    <row r="11795" spans="1:9" x14ac:dyDescent="0.25">
      <c r="A11795" s="515">
        <v>36572</v>
      </c>
      <c r="B11795" s="515" t="s">
        <v>815</v>
      </c>
      <c r="C11795" s="52">
        <v>216492.59568138199</v>
      </c>
      <c r="D11795" s="56">
        <v>8.699841799661602E-2</v>
      </c>
      <c r="E11795" s="224" t="s">
        <v>2</v>
      </c>
      <c r="F11795" s="515" t="s">
        <v>12986</v>
      </c>
      <c r="G11795" s="52">
        <v>338530.66651164897</v>
      </c>
      <c r="H11795" s="56">
        <v>7.3099485660392677E-3</v>
      </c>
      <c r="I11795" s="224" t="s">
        <v>2</v>
      </c>
    </row>
    <row r="11796" spans="1:9" x14ac:dyDescent="0.25">
      <c r="A11796" s="515">
        <v>62278</v>
      </c>
      <c r="C11796" s="52">
        <v>191265.506234122</v>
      </c>
      <c r="D11796" s="56">
        <v>7.0398749187280743E-2</v>
      </c>
      <c r="E11796" s="224" t="s">
        <v>2</v>
      </c>
      <c r="F11796" s="515" t="s">
        <v>12987</v>
      </c>
      <c r="G11796" s="52">
        <v>214736.056036956</v>
      </c>
      <c r="H11796" s="56">
        <v>8.1690524635706405E-2</v>
      </c>
      <c r="I11796" s="224" t="s">
        <v>2</v>
      </c>
    </row>
    <row r="11797" spans="1:9" x14ac:dyDescent="0.25">
      <c r="A11797" s="515">
        <v>11786</v>
      </c>
      <c r="B11797" s="515" t="s">
        <v>324</v>
      </c>
      <c r="C11797" s="52">
        <v>610620.26784109499</v>
      </c>
      <c r="D11797" s="56">
        <v>5.0662766403932351E-2</v>
      </c>
      <c r="E11797" s="224" t="s">
        <v>2</v>
      </c>
      <c r="F11797" s="515" t="s">
        <v>12988</v>
      </c>
      <c r="G11797" s="52">
        <v>102490.65823367699</v>
      </c>
      <c r="H11797" s="56">
        <v>-2.2828334435076123E-3</v>
      </c>
      <c r="I11797" s="224" t="s">
        <v>2</v>
      </c>
    </row>
    <row r="11798" spans="1:9" x14ac:dyDescent="0.25">
      <c r="A11798" s="515">
        <v>55388</v>
      </c>
      <c r="B11798" s="515" t="s">
        <v>532</v>
      </c>
      <c r="C11798" s="52">
        <v>341684.15832015302</v>
      </c>
      <c r="D11798" s="56">
        <v>4.3397515037400768E-2</v>
      </c>
      <c r="E11798" s="224" t="s">
        <v>2</v>
      </c>
      <c r="F11798" s="515" t="s">
        <v>12989</v>
      </c>
      <c r="G11798" s="52">
        <v>293145.55517389998</v>
      </c>
      <c r="H11798" s="56">
        <v>0.13148257286295739</v>
      </c>
      <c r="I11798" s="224">
        <v>1488.0333333333299</v>
      </c>
    </row>
    <row r="11799" spans="1:9" x14ac:dyDescent="0.25">
      <c r="A11799" s="515">
        <v>12186</v>
      </c>
      <c r="B11799" s="515" t="s">
        <v>609</v>
      </c>
      <c r="C11799" s="52">
        <v>334255.85476573498</v>
      </c>
      <c r="D11799" s="56">
        <v>4.3085757778635006E-2</v>
      </c>
      <c r="E11799" s="224" t="s">
        <v>2</v>
      </c>
      <c r="F11799" s="515" t="s">
        <v>12990</v>
      </c>
      <c r="G11799" s="52">
        <v>311607.11900877598</v>
      </c>
      <c r="H11799" s="56">
        <v>0.13023882027720649</v>
      </c>
      <c r="I11799" s="224" t="s">
        <v>2</v>
      </c>
    </row>
    <row r="11800" spans="1:9" x14ac:dyDescent="0.25">
      <c r="A11800" s="515">
        <v>47918</v>
      </c>
      <c r="C11800" s="52">
        <v>147375.65919790501</v>
      </c>
      <c r="D11800" s="56">
        <v>6.6128586773460715E-2</v>
      </c>
      <c r="E11800" s="224" t="s">
        <v>2</v>
      </c>
      <c r="F11800" s="515" t="s">
        <v>12991</v>
      </c>
      <c r="G11800" s="52">
        <v>147778.167331934</v>
      </c>
      <c r="H11800" s="56">
        <v>1.4724796865727705E-2</v>
      </c>
      <c r="I11800" s="224" t="s">
        <v>2</v>
      </c>
    </row>
    <row r="11801" spans="1:9" x14ac:dyDescent="0.25">
      <c r="A11801" s="515">
        <v>66220</v>
      </c>
      <c r="B11801" s="515" t="s">
        <v>455</v>
      </c>
      <c r="C11801" s="52">
        <v>582527.51060848695</v>
      </c>
      <c r="D11801" s="56">
        <v>5.5283388367782509E-2</v>
      </c>
      <c r="E11801" s="224" t="s">
        <v>2</v>
      </c>
      <c r="F11801" s="515" t="s">
        <v>12992</v>
      </c>
      <c r="G11801" s="52">
        <v>252385.95072982501</v>
      </c>
      <c r="H11801" s="56">
        <v>0.12953601758774028</v>
      </c>
      <c r="I11801" s="224" t="s">
        <v>2</v>
      </c>
    </row>
    <row r="11802" spans="1:9" x14ac:dyDescent="0.25">
      <c r="A11802" s="515">
        <v>1534</v>
      </c>
      <c r="B11802" s="515" t="s">
        <v>751</v>
      </c>
      <c r="C11802" s="52">
        <v>478595.02806638298</v>
      </c>
      <c r="D11802" s="56">
        <v>7.5611972167367952E-2</v>
      </c>
      <c r="E11802" s="224" t="s">
        <v>2</v>
      </c>
      <c r="F11802" s="515" t="s">
        <v>12993</v>
      </c>
      <c r="G11802" s="52">
        <v>187733.25241693601</v>
      </c>
      <c r="H11802" s="56">
        <v>7.6126016338477542E-2</v>
      </c>
      <c r="I11802" s="224" t="s">
        <v>2</v>
      </c>
    </row>
    <row r="11803" spans="1:9" x14ac:dyDescent="0.25">
      <c r="A11803" s="515">
        <v>54216</v>
      </c>
      <c r="B11803" s="515" t="s">
        <v>897</v>
      </c>
      <c r="C11803" s="52">
        <v>206688.99745447899</v>
      </c>
      <c r="D11803" s="56">
        <v>8.7921313781023053E-2</v>
      </c>
      <c r="E11803" s="224" t="s">
        <v>2</v>
      </c>
      <c r="F11803" s="515" t="s">
        <v>12994</v>
      </c>
      <c r="G11803" s="52">
        <v>97207.525315823499</v>
      </c>
      <c r="H11803" s="56">
        <v>6.1420211294018694E-2</v>
      </c>
      <c r="I11803" s="224" t="s">
        <v>2</v>
      </c>
    </row>
    <row r="11804" spans="1:9" x14ac:dyDescent="0.25">
      <c r="A11804" s="515">
        <v>31833</v>
      </c>
      <c r="B11804" s="515" t="s">
        <v>1066</v>
      </c>
      <c r="C11804" s="52">
        <v>159419.94658469601</v>
      </c>
      <c r="D11804" s="56">
        <v>0.13695416325056622</v>
      </c>
      <c r="E11804" s="224" t="s">
        <v>2</v>
      </c>
      <c r="F11804" s="515" t="s">
        <v>12995</v>
      </c>
      <c r="G11804" s="52">
        <v>347017.78781624202</v>
      </c>
      <c r="H11804" s="56">
        <v>4.8786372565100627E-2</v>
      </c>
      <c r="I11804" s="224" t="s">
        <v>2</v>
      </c>
    </row>
    <row r="11805" spans="1:9" x14ac:dyDescent="0.25">
      <c r="A11805" s="515">
        <v>17547</v>
      </c>
      <c r="B11805" s="515" t="s">
        <v>537</v>
      </c>
      <c r="C11805" s="52">
        <v>253734.135107624</v>
      </c>
      <c r="D11805" s="56">
        <v>0.10272671366765697</v>
      </c>
      <c r="E11805" s="224">
        <v>1100</v>
      </c>
      <c r="F11805" s="515" t="s">
        <v>12996</v>
      </c>
      <c r="G11805" s="52">
        <v>252501.582258426</v>
      </c>
      <c r="H11805" s="56">
        <v>7.5703745744572351E-2</v>
      </c>
      <c r="I11805" s="224" t="s">
        <v>2</v>
      </c>
    </row>
    <row r="11806" spans="1:9" x14ac:dyDescent="0.25">
      <c r="A11806" s="515">
        <v>42029</v>
      </c>
      <c r="C11806" s="52">
        <v>127682.62655401</v>
      </c>
      <c r="D11806" s="56">
        <v>4.082775302249575E-2</v>
      </c>
      <c r="E11806" s="224" t="s">
        <v>2</v>
      </c>
      <c r="F11806" s="515" t="s">
        <v>12997</v>
      </c>
      <c r="G11806" s="52">
        <v>163646.88951414399</v>
      </c>
      <c r="H11806" s="56">
        <v>0.21665264155251648</v>
      </c>
      <c r="I11806" s="224" t="s">
        <v>2</v>
      </c>
    </row>
    <row r="11807" spans="1:9" x14ac:dyDescent="0.25">
      <c r="A11807" s="515">
        <v>83619</v>
      </c>
      <c r="B11807" s="515" t="s">
        <v>825</v>
      </c>
      <c r="C11807" s="52">
        <v>384512.03362140001</v>
      </c>
      <c r="D11807" s="56">
        <v>1.7914851354778751E-2</v>
      </c>
      <c r="E11807" s="224" t="s">
        <v>2</v>
      </c>
      <c r="F11807" s="515" t="s">
        <v>12998</v>
      </c>
      <c r="G11807" s="52">
        <v>252250.01709784099</v>
      </c>
      <c r="H11807" s="56">
        <v>0.12696987740154128</v>
      </c>
      <c r="I11807" s="224" t="s">
        <v>2</v>
      </c>
    </row>
    <row r="11808" spans="1:9" x14ac:dyDescent="0.25">
      <c r="A11808" s="515">
        <v>10577</v>
      </c>
      <c r="B11808" s="515" t="s">
        <v>324</v>
      </c>
      <c r="C11808" s="52">
        <v>1718734.81221132</v>
      </c>
      <c r="D11808" s="56">
        <v>0.12037815196593557</v>
      </c>
      <c r="E11808" s="224" t="s">
        <v>2</v>
      </c>
      <c r="F11808" s="515" t="s">
        <v>12999</v>
      </c>
      <c r="G11808" s="52">
        <v>683366.79807996098</v>
      </c>
      <c r="H11808" s="56">
        <v>4.9192751393247879E-2</v>
      </c>
      <c r="I11808" s="224">
        <v>2550</v>
      </c>
    </row>
    <row r="11809" spans="1:9" x14ac:dyDescent="0.25">
      <c r="A11809" s="515">
        <v>28530</v>
      </c>
      <c r="B11809" s="515" t="s">
        <v>1101</v>
      </c>
      <c r="C11809" s="52">
        <v>145634.91283953999</v>
      </c>
      <c r="D11809" s="56">
        <v>0.17414879438765471</v>
      </c>
      <c r="E11809" s="224" t="s">
        <v>2</v>
      </c>
      <c r="F11809" s="515" t="s">
        <v>13000</v>
      </c>
      <c r="G11809" s="52">
        <v>237419.06018609501</v>
      </c>
      <c r="H11809" s="56">
        <v>0.1033677152511215</v>
      </c>
      <c r="I11809" s="224" t="s">
        <v>2</v>
      </c>
    </row>
    <row r="11810" spans="1:9" x14ac:dyDescent="0.25">
      <c r="A11810" s="515">
        <v>46280</v>
      </c>
      <c r="B11810" s="515" t="s">
        <v>403</v>
      </c>
      <c r="C11810" s="52">
        <v>289400.14270661701</v>
      </c>
      <c r="D11810" s="56">
        <v>9.6788936516575871E-2</v>
      </c>
      <c r="E11810" s="224">
        <v>1686.25</v>
      </c>
      <c r="F11810" s="515" t="s">
        <v>13001</v>
      </c>
      <c r="G11810" s="52">
        <v>138039.41373006799</v>
      </c>
      <c r="H11810" s="56">
        <v>9.6102212983207994E-2</v>
      </c>
      <c r="I11810" s="224" t="s">
        <v>2</v>
      </c>
    </row>
    <row r="11811" spans="1:9" x14ac:dyDescent="0.25">
      <c r="A11811" s="515">
        <v>44827</v>
      </c>
      <c r="B11811" s="515" t="s">
        <v>516</v>
      </c>
      <c r="C11811" s="52">
        <v>121732.529127598</v>
      </c>
      <c r="D11811" s="56">
        <v>0.13884775412910733</v>
      </c>
      <c r="E11811" s="224" t="s">
        <v>2</v>
      </c>
      <c r="F11811" s="515" t="s">
        <v>13002</v>
      </c>
      <c r="G11811" s="52">
        <v>138926.38071294301</v>
      </c>
      <c r="H11811" s="56">
        <v>7.5257641592243768E-2</v>
      </c>
      <c r="I11811" s="224" t="s">
        <v>2</v>
      </c>
    </row>
    <row r="11812" spans="1:9" x14ac:dyDescent="0.25">
      <c r="A11812" s="515">
        <v>7416</v>
      </c>
      <c r="B11812" s="515" t="s">
        <v>324</v>
      </c>
      <c r="C11812" s="52">
        <v>286355.01303409098</v>
      </c>
      <c r="D11812" s="56">
        <v>7.6582834174468178E-2</v>
      </c>
      <c r="E11812" s="224" t="s">
        <v>2</v>
      </c>
      <c r="F11812" s="515" t="s">
        <v>13003</v>
      </c>
      <c r="G11812" s="52">
        <v>114023.29929701101</v>
      </c>
      <c r="H11812" s="56">
        <v>8.4668092406440604E-2</v>
      </c>
      <c r="I11812" s="224" t="s">
        <v>2</v>
      </c>
    </row>
    <row r="11813" spans="1:9" x14ac:dyDescent="0.25">
      <c r="A11813" s="515">
        <v>73662</v>
      </c>
      <c r="B11813" s="515" t="s">
        <v>924</v>
      </c>
      <c r="C11813" s="52">
        <v>93358.135182363098</v>
      </c>
      <c r="D11813" s="56">
        <v>1.9220158154099717E-2</v>
      </c>
      <c r="E11813" s="224" t="s">
        <v>2</v>
      </c>
      <c r="F11813" s="515" t="s">
        <v>13004</v>
      </c>
      <c r="G11813" s="52">
        <v>206457.647988418</v>
      </c>
      <c r="H11813" s="56">
        <v>6.4408708759990954E-2</v>
      </c>
      <c r="I11813" s="224" t="s">
        <v>2</v>
      </c>
    </row>
    <row r="11814" spans="1:9" x14ac:dyDescent="0.25">
      <c r="A11814" s="515">
        <v>64126</v>
      </c>
      <c r="B11814" s="515" t="s">
        <v>455</v>
      </c>
      <c r="C11814" s="52">
        <v>80567.633886871103</v>
      </c>
      <c r="D11814" s="56">
        <v>0.20547549894582626</v>
      </c>
      <c r="E11814" s="224" t="s">
        <v>2</v>
      </c>
      <c r="F11814" s="515" t="s">
        <v>13005</v>
      </c>
      <c r="G11814" s="52">
        <v>266378.05826658598</v>
      </c>
      <c r="H11814" s="56">
        <v>6.6387950115700173E-2</v>
      </c>
      <c r="I11814" s="224" t="s">
        <v>2</v>
      </c>
    </row>
    <row r="11815" spans="1:9" x14ac:dyDescent="0.25">
      <c r="A11815" s="515">
        <v>71232</v>
      </c>
      <c r="C11815" s="52">
        <v>96311.683512670003</v>
      </c>
      <c r="D11815" s="56">
        <v>-1.342207927040025E-3</v>
      </c>
      <c r="E11815" s="224" t="s">
        <v>2</v>
      </c>
      <c r="F11815" s="515" t="s">
        <v>13006</v>
      </c>
      <c r="G11815" s="52">
        <v>147194.87751832799</v>
      </c>
      <c r="H11815" s="56">
        <v>0.12263448550426172</v>
      </c>
      <c r="I11815" s="224" t="s">
        <v>2</v>
      </c>
    </row>
    <row r="11816" spans="1:9" x14ac:dyDescent="0.25">
      <c r="A11816" s="515">
        <v>26836</v>
      </c>
      <c r="C11816" s="52">
        <v>163215.490131236</v>
      </c>
      <c r="D11816" s="56">
        <v>5.0763406449860736E-2</v>
      </c>
      <c r="E11816" s="224" t="s">
        <v>2</v>
      </c>
      <c r="F11816" s="515" t="s">
        <v>13007</v>
      </c>
      <c r="G11816" s="52">
        <v>256813.34139817199</v>
      </c>
      <c r="H11816" s="56">
        <v>0.13540865113619666</v>
      </c>
      <c r="I11816" s="224" t="s">
        <v>2</v>
      </c>
    </row>
    <row r="11817" spans="1:9" x14ac:dyDescent="0.25">
      <c r="A11817" s="515">
        <v>80446</v>
      </c>
      <c r="C11817" s="52">
        <v>709149.22165878804</v>
      </c>
      <c r="D11817" s="56">
        <v>6.7085006332742003E-2</v>
      </c>
      <c r="E11817" s="224" t="s">
        <v>2</v>
      </c>
      <c r="F11817" s="515" t="s">
        <v>13008</v>
      </c>
      <c r="G11817" s="52">
        <v>197744.77769632699</v>
      </c>
      <c r="H11817" s="56">
        <v>3.2135419543746227E-2</v>
      </c>
      <c r="I11817" s="224" t="s">
        <v>2</v>
      </c>
    </row>
    <row r="11818" spans="1:9" x14ac:dyDescent="0.25">
      <c r="A11818" s="515">
        <v>2675</v>
      </c>
      <c r="B11818" s="515" t="s">
        <v>427</v>
      </c>
      <c r="C11818" s="52">
        <v>595676.73415403895</v>
      </c>
      <c r="D11818" s="56">
        <v>9.3446624639761278E-2</v>
      </c>
      <c r="E11818" s="224" t="s">
        <v>2</v>
      </c>
      <c r="F11818" s="515" t="s">
        <v>13009</v>
      </c>
      <c r="G11818" s="52">
        <v>70257.716596643004</v>
      </c>
      <c r="H11818" s="56">
        <v>-6.616976080415804E-2</v>
      </c>
      <c r="I11818" s="224" t="s">
        <v>2</v>
      </c>
    </row>
    <row r="11819" spans="1:9" x14ac:dyDescent="0.25">
      <c r="A11819" s="515">
        <v>28673</v>
      </c>
      <c r="B11819" s="515" t="s">
        <v>638</v>
      </c>
      <c r="C11819" s="52">
        <v>509070.789361862</v>
      </c>
      <c r="D11819" s="56">
        <v>0.10080043025680702</v>
      </c>
      <c r="E11819" s="224" t="s">
        <v>2</v>
      </c>
      <c r="F11819" s="515" t="s">
        <v>13010</v>
      </c>
      <c r="G11819" s="52">
        <v>168978.63489758401</v>
      </c>
      <c r="H11819" s="56">
        <v>6.420148971114728E-2</v>
      </c>
      <c r="I11819" s="224" t="s">
        <v>2</v>
      </c>
    </row>
    <row r="11820" spans="1:9" x14ac:dyDescent="0.25">
      <c r="A11820" s="515">
        <v>81657</v>
      </c>
      <c r="B11820" s="515" t="s">
        <v>903</v>
      </c>
      <c r="C11820" s="52">
        <v>1632570.8158639299</v>
      </c>
      <c r="D11820" s="56">
        <v>0.18261612651173839</v>
      </c>
      <c r="E11820" s="224" t="s">
        <v>2</v>
      </c>
      <c r="F11820" s="515" t="s">
        <v>13011</v>
      </c>
      <c r="G11820" s="52">
        <v>49354.944548146203</v>
      </c>
      <c r="H11820" s="56">
        <v>4.1069605260894836E-2</v>
      </c>
      <c r="I11820" s="224" t="s">
        <v>2</v>
      </c>
    </row>
    <row r="11821" spans="1:9" x14ac:dyDescent="0.25">
      <c r="A11821" s="515">
        <v>23141</v>
      </c>
      <c r="B11821" s="515" t="s">
        <v>667</v>
      </c>
      <c r="C11821" s="52">
        <v>352878.23424687597</v>
      </c>
      <c r="D11821" s="56">
        <v>7.8395618782161086E-2</v>
      </c>
      <c r="E11821" s="224" t="s">
        <v>2</v>
      </c>
      <c r="F11821" s="515" t="s">
        <v>13012</v>
      </c>
      <c r="G11821" s="52">
        <v>149007.63149733501</v>
      </c>
      <c r="H11821" s="56">
        <v>6.5192738304809456E-2</v>
      </c>
      <c r="I11821" s="224" t="s">
        <v>2</v>
      </c>
    </row>
    <row r="11822" spans="1:9" x14ac:dyDescent="0.25">
      <c r="A11822" s="515">
        <v>31031</v>
      </c>
      <c r="C11822" s="52">
        <v>94908.839896817895</v>
      </c>
      <c r="D11822" s="56">
        <v>1.7982409403480292E-2</v>
      </c>
      <c r="E11822" s="224" t="s">
        <v>2</v>
      </c>
      <c r="F11822" s="515" t="s">
        <v>13013</v>
      </c>
      <c r="G11822" s="52">
        <v>128754.018333945</v>
      </c>
      <c r="H11822" s="56">
        <v>0.11450510483028813</v>
      </c>
      <c r="I11822" s="224" t="s">
        <v>2</v>
      </c>
    </row>
    <row r="11823" spans="1:9" x14ac:dyDescent="0.25">
      <c r="A11823" s="515">
        <v>76825</v>
      </c>
      <c r="C11823" s="52">
        <v>109061.51545770701</v>
      </c>
      <c r="D11823" s="56">
        <v>0.11187018564173866</v>
      </c>
      <c r="E11823" s="224" t="s">
        <v>2</v>
      </c>
      <c r="F11823" s="515" t="s">
        <v>13014</v>
      </c>
      <c r="G11823" s="52">
        <v>219476.53017787801</v>
      </c>
      <c r="H11823" s="56">
        <v>5.4896025677244956E-2</v>
      </c>
      <c r="I11823" s="224" t="s">
        <v>2</v>
      </c>
    </row>
    <row r="11824" spans="1:9" x14ac:dyDescent="0.25">
      <c r="A11824" s="515">
        <v>37885</v>
      </c>
      <c r="C11824" s="52">
        <v>405090.95176550403</v>
      </c>
      <c r="D11824" s="56">
        <v>8.3102342362378775E-2</v>
      </c>
      <c r="E11824" s="224" t="s">
        <v>2</v>
      </c>
      <c r="F11824" s="515" t="s">
        <v>13015</v>
      </c>
      <c r="G11824" s="52">
        <v>215995.09915852599</v>
      </c>
      <c r="H11824" s="56">
        <v>9.7395036025931178E-2</v>
      </c>
      <c r="I11824" s="224" t="s">
        <v>2</v>
      </c>
    </row>
    <row r="11825" spans="1:9" x14ac:dyDescent="0.25">
      <c r="A11825" s="515">
        <v>36607</v>
      </c>
      <c r="B11825" s="515" t="s">
        <v>815</v>
      </c>
      <c r="C11825" s="52">
        <v>90341.478074428494</v>
      </c>
      <c r="D11825" s="56">
        <v>6.6848502057032397E-2</v>
      </c>
      <c r="E11825" s="224" t="s">
        <v>2</v>
      </c>
      <c r="F11825" s="515" t="s">
        <v>13016</v>
      </c>
      <c r="G11825" s="52">
        <v>118848.932725124</v>
      </c>
      <c r="H11825" s="56">
        <v>4.8830149069798948E-2</v>
      </c>
      <c r="I11825" s="224" t="s">
        <v>2</v>
      </c>
    </row>
    <row r="11826" spans="1:9" x14ac:dyDescent="0.25">
      <c r="A11826" s="515">
        <v>27020</v>
      </c>
      <c r="B11826" s="515" t="s">
        <v>735</v>
      </c>
      <c r="C11826" s="52">
        <v>201755.19895631101</v>
      </c>
      <c r="D11826" s="56">
        <v>0.2005090623632558</v>
      </c>
      <c r="E11826" s="224" t="s">
        <v>2</v>
      </c>
      <c r="F11826" s="515" t="s">
        <v>13017</v>
      </c>
      <c r="G11826" s="52">
        <v>283620.37089681398</v>
      </c>
      <c r="H11826" s="56">
        <v>0.1503586977482316</v>
      </c>
      <c r="I11826" s="224" t="s">
        <v>2</v>
      </c>
    </row>
    <row r="11827" spans="1:9" x14ac:dyDescent="0.25">
      <c r="A11827" s="515">
        <v>98816</v>
      </c>
      <c r="B11827" s="515" t="s">
        <v>521</v>
      </c>
      <c r="C11827" s="52">
        <v>420743.65047462698</v>
      </c>
      <c r="D11827" s="56">
        <v>5.3956609996625028E-2</v>
      </c>
      <c r="E11827" s="224" t="s">
        <v>2</v>
      </c>
      <c r="F11827" s="515" t="s">
        <v>13018</v>
      </c>
      <c r="G11827" s="52">
        <v>187981.650315648</v>
      </c>
      <c r="H11827" s="56">
        <v>9.8046684880728735E-2</v>
      </c>
      <c r="I11827" s="224" t="s">
        <v>2</v>
      </c>
    </row>
    <row r="11828" spans="1:9" x14ac:dyDescent="0.25">
      <c r="A11828" s="515">
        <v>77963</v>
      </c>
      <c r="B11828" s="515" t="s">
        <v>1174</v>
      </c>
      <c r="C11828" s="52">
        <v>231053.58819521801</v>
      </c>
      <c r="D11828" s="56">
        <v>-0.11993686101130287</v>
      </c>
      <c r="E11828" s="224" t="s">
        <v>2</v>
      </c>
      <c r="F11828" s="515" t="s">
        <v>13019</v>
      </c>
      <c r="G11828" s="52">
        <v>238628.525250223</v>
      </c>
      <c r="H11828" s="56">
        <v>0.12927627006830694</v>
      </c>
      <c r="I11828" s="224" t="s">
        <v>2</v>
      </c>
    </row>
    <row r="11829" spans="1:9" x14ac:dyDescent="0.25">
      <c r="A11829" s="515">
        <v>79323</v>
      </c>
      <c r="C11829" s="52">
        <v>148788.31335041099</v>
      </c>
      <c r="D11829" s="56">
        <v>-2.7739530155897044E-2</v>
      </c>
      <c r="E11829" s="224" t="s">
        <v>2</v>
      </c>
      <c r="F11829" s="515" t="s">
        <v>13020</v>
      </c>
      <c r="G11829" s="52">
        <v>93774.640668223496</v>
      </c>
      <c r="H11829" s="56">
        <v>5.0523910803400372E-4</v>
      </c>
      <c r="I11829" s="224" t="s">
        <v>2</v>
      </c>
    </row>
    <row r="11830" spans="1:9" x14ac:dyDescent="0.25">
      <c r="A11830" s="515">
        <v>75491</v>
      </c>
      <c r="B11830" s="515" t="s">
        <v>553</v>
      </c>
      <c r="C11830" s="52">
        <v>292959.62757654698</v>
      </c>
      <c r="D11830" s="56">
        <v>0.11821335939732533</v>
      </c>
      <c r="E11830" s="224" t="s">
        <v>2</v>
      </c>
      <c r="F11830" s="515" t="s">
        <v>13021</v>
      </c>
      <c r="G11830" s="52">
        <v>127806.097404299</v>
      </c>
      <c r="H11830" s="56">
        <v>7.6332629744146327E-2</v>
      </c>
      <c r="I11830" s="224" t="s">
        <v>2</v>
      </c>
    </row>
    <row r="11831" spans="1:9" x14ac:dyDescent="0.25">
      <c r="A11831" s="515">
        <v>80829</v>
      </c>
      <c r="B11831" s="515" t="s">
        <v>701</v>
      </c>
      <c r="C11831" s="52">
        <v>535188.41688413406</v>
      </c>
      <c r="D11831" s="56">
        <v>4.7648468703407096E-2</v>
      </c>
      <c r="E11831" s="224">
        <v>1290.8333333333301</v>
      </c>
      <c r="F11831" s="515" t="s">
        <v>13022</v>
      </c>
      <c r="G11831" s="52">
        <v>294723.31594674703</v>
      </c>
      <c r="H11831" s="56">
        <v>5.1168266006139197E-2</v>
      </c>
      <c r="I11831" s="224" t="s">
        <v>2</v>
      </c>
    </row>
    <row r="11832" spans="1:9" x14ac:dyDescent="0.25">
      <c r="A11832" s="515">
        <v>48165</v>
      </c>
      <c r="B11832" s="515" t="s">
        <v>685</v>
      </c>
      <c r="C11832" s="52">
        <v>394560.56553857302</v>
      </c>
      <c r="D11832" s="56">
        <v>4.380401297917292E-2</v>
      </c>
      <c r="E11832" s="224" t="s">
        <v>2</v>
      </c>
      <c r="F11832" s="515" t="s">
        <v>13023</v>
      </c>
      <c r="G11832" s="52">
        <v>539826.697669819</v>
      </c>
      <c r="H11832" s="56">
        <v>6.1033100815286095E-2</v>
      </c>
      <c r="I11832" s="224" t="s">
        <v>2</v>
      </c>
    </row>
    <row r="11833" spans="1:9" x14ac:dyDescent="0.25">
      <c r="A11833" s="515">
        <v>74884</v>
      </c>
      <c r="C11833" s="52">
        <v>62149.8388703495</v>
      </c>
      <c r="D11833" s="56">
        <v>0.16972213054833091</v>
      </c>
      <c r="E11833" s="224" t="s">
        <v>2</v>
      </c>
      <c r="F11833" s="515" t="s">
        <v>13024</v>
      </c>
      <c r="G11833" s="52">
        <v>614973.81473494798</v>
      </c>
      <c r="H11833" s="56">
        <v>8.3549479032816218E-2</v>
      </c>
      <c r="I11833" s="224" t="s">
        <v>2</v>
      </c>
    </row>
    <row r="11834" spans="1:9" x14ac:dyDescent="0.25">
      <c r="A11834" s="515">
        <v>28578</v>
      </c>
      <c r="B11834" s="515" t="s">
        <v>1178</v>
      </c>
      <c r="C11834" s="52">
        <v>107968.901532483</v>
      </c>
      <c r="D11834" s="56">
        <v>0.1368776521522605</v>
      </c>
      <c r="E11834" s="224" t="s">
        <v>2</v>
      </c>
      <c r="F11834" s="515" t="s">
        <v>13025</v>
      </c>
      <c r="G11834" s="52">
        <v>145696.310854604</v>
      </c>
      <c r="H11834" s="56">
        <v>8.6679737802220477E-2</v>
      </c>
      <c r="I11834" s="224" t="s">
        <v>2</v>
      </c>
    </row>
    <row r="11835" spans="1:9" x14ac:dyDescent="0.25">
      <c r="A11835" s="515">
        <v>18433</v>
      </c>
      <c r="B11835" s="515" t="s">
        <v>512</v>
      </c>
      <c r="C11835" s="52">
        <v>174752.971387834</v>
      </c>
      <c r="D11835" s="56">
        <v>3.1713939073998838E-2</v>
      </c>
      <c r="E11835" s="224" t="s">
        <v>2</v>
      </c>
      <c r="F11835" s="515" t="s">
        <v>13026</v>
      </c>
      <c r="G11835" s="52">
        <v>178513.39271126801</v>
      </c>
      <c r="H11835" s="56">
        <v>0.11761917343501418</v>
      </c>
      <c r="I11835" s="224" t="s">
        <v>2</v>
      </c>
    </row>
    <row r="11836" spans="1:9" x14ac:dyDescent="0.25">
      <c r="A11836" s="515">
        <v>54136</v>
      </c>
      <c r="B11836" s="515" t="s">
        <v>821</v>
      </c>
      <c r="C11836" s="52">
        <v>222970.27431171801</v>
      </c>
      <c r="D11836" s="56">
        <v>8.9260038239995454E-2</v>
      </c>
      <c r="E11836" s="224" t="s">
        <v>2</v>
      </c>
      <c r="F11836" s="515" t="s">
        <v>13027</v>
      </c>
      <c r="G11836" s="52">
        <v>143364.715194146</v>
      </c>
      <c r="H11836" s="56">
        <v>8.111570861377114E-2</v>
      </c>
      <c r="I11836" s="224" t="s">
        <v>2</v>
      </c>
    </row>
    <row r="11837" spans="1:9" x14ac:dyDescent="0.25">
      <c r="A11837" s="515">
        <v>26181</v>
      </c>
      <c r="B11837" s="515" t="s">
        <v>956</v>
      </c>
      <c r="C11837" s="52">
        <v>202025.554013438</v>
      </c>
      <c r="D11837" s="56">
        <v>8.0553005574926409E-2</v>
      </c>
      <c r="E11837" s="224" t="s">
        <v>2</v>
      </c>
      <c r="F11837" s="515" t="s">
        <v>13028</v>
      </c>
      <c r="G11837" s="52">
        <v>352898.82612588798</v>
      </c>
      <c r="H11837" s="56">
        <v>0.12587759980241728</v>
      </c>
      <c r="I11837" s="224" t="s">
        <v>2</v>
      </c>
    </row>
    <row r="11838" spans="1:9" x14ac:dyDescent="0.25">
      <c r="A11838" s="515">
        <v>36344</v>
      </c>
      <c r="B11838" s="515" t="s">
        <v>816</v>
      </c>
      <c r="C11838" s="52">
        <v>143654.14528218401</v>
      </c>
      <c r="D11838" s="56">
        <v>9.7858133297075503E-2</v>
      </c>
      <c r="E11838" s="224" t="s">
        <v>2</v>
      </c>
      <c r="F11838" s="515" t="s">
        <v>13029</v>
      </c>
      <c r="G11838" s="52">
        <v>129919.348994553</v>
      </c>
      <c r="H11838" s="56">
        <v>2.4402783106562836E-2</v>
      </c>
      <c r="I11838" s="224" t="s">
        <v>2</v>
      </c>
    </row>
    <row r="11839" spans="1:9" x14ac:dyDescent="0.25">
      <c r="A11839" s="515">
        <v>62615</v>
      </c>
      <c r="B11839" s="515" t="s">
        <v>819</v>
      </c>
      <c r="C11839" s="52">
        <v>147631.75293184799</v>
      </c>
      <c r="D11839" s="56">
        <v>6.3780653165467549E-2</v>
      </c>
      <c r="E11839" s="224" t="s">
        <v>2</v>
      </c>
      <c r="F11839" s="515" t="s">
        <v>13030</v>
      </c>
      <c r="G11839" s="52">
        <v>200978.88045049101</v>
      </c>
      <c r="H11839" s="56">
        <v>8.4199269231032978E-2</v>
      </c>
      <c r="I11839" s="224" t="s">
        <v>2</v>
      </c>
    </row>
    <row r="11840" spans="1:9" x14ac:dyDescent="0.25">
      <c r="A11840" s="515">
        <v>19510</v>
      </c>
      <c r="B11840" s="515" t="s">
        <v>569</v>
      </c>
      <c r="C11840" s="52">
        <v>302346.86100648</v>
      </c>
      <c r="D11840" s="56">
        <v>0.10413052935235852</v>
      </c>
      <c r="E11840" s="224" t="s">
        <v>2</v>
      </c>
      <c r="F11840" s="515" t="s">
        <v>13031</v>
      </c>
      <c r="G11840" s="52">
        <v>62288.851410955896</v>
      </c>
      <c r="H11840" s="56">
        <v>6.3850943237673229E-3</v>
      </c>
      <c r="I11840" s="224" t="s">
        <v>2</v>
      </c>
    </row>
    <row r="11841" spans="1:9" x14ac:dyDescent="0.25">
      <c r="A11841" s="515">
        <v>49021</v>
      </c>
      <c r="B11841" s="515" t="s">
        <v>528</v>
      </c>
      <c r="C11841" s="52">
        <v>194342.90208530601</v>
      </c>
      <c r="D11841" s="56">
        <v>9.396064509894192E-2</v>
      </c>
      <c r="E11841" s="224" t="s">
        <v>2</v>
      </c>
      <c r="F11841" s="515" t="s">
        <v>13032</v>
      </c>
      <c r="G11841" s="52">
        <v>310514.05738830601</v>
      </c>
      <c r="H11841" s="56">
        <v>3.5208299834767566E-2</v>
      </c>
      <c r="I11841" s="224" t="s">
        <v>2</v>
      </c>
    </row>
    <row r="11842" spans="1:9" x14ac:dyDescent="0.25">
      <c r="A11842" s="515">
        <v>46017</v>
      </c>
      <c r="B11842" s="515" t="s">
        <v>403</v>
      </c>
      <c r="C11842" s="52">
        <v>165160.53177878601</v>
      </c>
      <c r="D11842" s="56">
        <v>9.98441954205007E-2</v>
      </c>
      <c r="E11842" s="224" t="s">
        <v>2</v>
      </c>
      <c r="F11842" s="515" t="s">
        <v>13033</v>
      </c>
      <c r="G11842" s="52">
        <v>183461.25809379801</v>
      </c>
      <c r="H11842" s="56">
        <v>5.9782657359115955E-2</v>
      </c>
      <c r="I11842" s="224" t="s">
        <v>2</v>
      </c>
    </row>
    <row r="11843" spans="1:9" x14ac:dyDescent="0.25">
      <c r="A11843" s="515">
        <v>65041</v>
      </c>
      <c r="C11843" s="52">
        <v>192514.47291243999</v>
      </c>
      <c r="D11843" s="56">
        <v>0.12485697918677967</v>
      </c>
      <c r="E11843" s="224" t="s">
        <v>2</v>
      </c>
      <c r="F11843" s="515" t="s">
        <v>13034</v>
      </c>
      <c r="G11843" s="52">
        <v>145632.92804759301</v>
      </c>
      <c r="H11843" s="56">
        <v>0.11461821998952479</v>
      </c>
      <c r="I11843" s="224" t="s">
        <v>2</v>
      </c>
    </row>
    <row r="11844" spans="1:9" x14ac:dyDescent="0.25">
      <c r="A11844" s="515">
        <v>77517</v>
      </c>
      <c r="B11844" s="515" t="s">
        <v>314</v>
      </c>
      <c r="C11844" s="52">
        <v>322294.30624158401</v>
      </c>
      <c r="D11844" s="56">
        <v>2.6418008392523073E-2</v>
      </c>
      <c r="E11844" s="224" t="s">
        <v>2</v>
      </c>
      <c r="F11844" s="515" t="s">
        <v>13035</v>
      </c>
      <c r="G11844" s="52">
        <v>267368.787687423</v>
      </c>
      <c r="H11844" s="56">
        <v>8.8587933632993693E-2</v>
      </c>
      <c r="I11844" s="224" t="s">
        <v>2</v>
      </c>
    </row>
    <row r="11845" spans="1:9" x14ac:dyDescent="0.25">
      <c r="A11845" s="515">
        <v>53528</v>
      </c>
      <c r="B11845" s="515" t="s">
        <v>727</v>
      </c>
      <c r="C11845" s="52">
        <v>407546.15928263398</v>
      </c>
      <c r="D11845" s="56">
        <v>4.9598303576344802E-2</v>
      </c>
      <c r="E11845" s="224" t="s">
        <v>2</v>
      </c>
      <c r="F11845" s="515" t="s">
        <v>13036</v>
      </c>
      <c r="G11845" s="52">
        <v>207698.605194409</v>
      </c>
      <c r="H11845" s="56">
        <v>5.4864775104406731E-2</v>
      </c>
      <c r="I11845" s="224" t="s">
        <v>2</v>
      </c>
    </row>
    <row r="11846" spans="1:9" x14ac:dyDescent="0.25">
      <c r="A11846" s="515">
        <v>24651</v>
      </c>
      <c r="B11846" s="515" t="s">
        <v>306</v>
      </c>
      <c r="C11846" s="52">
        <v>143920.75373438199</v>
      </c>
      <c r="D11846" s="56">
        <v>7.5973800508478198E-2</v>
      </c>
      <c r="E11846" s="224" t="s">
        <v>2</v>
      </c>
      <c r="F11846" s="515" t="s">
        <v>13037</v>
      </c>
      <c r="G11846" s="52">
        <v>181475.562821172</v>
      </c>
      <c r="H11846" s="56">
        <v>6.6417560962324956E-2</v>
      </c>
      <c r="I11846" s="224" t="s">
        <v>2</v>
      </c>
    </row>
    <row r="11847" spans="1:9" x14ac:dyDescent="0.25">
      <c r="A11847" s="515">
        <v>40311</v>
      </c>
      <c r="C11847" s="52">
        <v>128084.97804902001</v>
      </c>
      <c r="D11847" s="56">
        <v>0.15350203089164449</v>
      </c>
      <c r="E11847" s="224" t="s">
        <v>2</v>
      </c>
      <c r="F11847" s="515" t="s">
        <v>13038</v>
      </c>
      <c r="G11847" s="52">
        <v>135530.98480611801</v>
      </c>
      <c r="H11847" s="56">
        <v>0.23774325665253754</v>
      </c>
      <c r="I11847" s="224" t="s">
        <v>2</v>
      </c>
    </row>
    <row r="11848" spans="1:9" x14ac:dyDescent="0.25">
      <c r="A11848" s="515">
        <v>49415</v>
      </c>
      <c r="B11848" s="515" t="s">
        <v>943</v>
      </c>
      <c r="C11848" s="52">
        <v>273737.74782936199</v>
      </c>
      <c r="D11848" s="56">
        <v>9.0754854143253419E-2</v>
      </c>
      <c r="E11848" s="224" t="s">
        <v>2</v>
      </c>
      <c r="F11848" s="515" t="s">
        <v>13039</v>
      </c>
      <c r="G11848" s="52">
        <v>95098.937681186799</v>
      </c>
      <c r="H11848" s="56">
        <v>0.11097199315429759</v>
      </c>
      <c r="I11848" s="224" t="s">
        <v>2</v>
      </c>
    </row>
    <row r="11849" spans="1:9" x14ac:dyDescent="0.25">
      <c r="A11849" s="515">
        <v>56267</v>
      </c>
      <c r="C11849" s="52">
        <v>176485.11231864401</v>
      </c>
      <c r="D11849" s="56">
        <v>2.7342404805896003E-2</v>
      </c>
      <c r="E11849" s="224" t="s">
        <v>2</v>
      </c>
      <c r="F11849" s="515" t="s">
        <v>13040</v>
      </c>
      <c r="G11849" s="52">
        <v>75689.625534457693</v>
      </c>
      <c r="H11849" s="56">
        <v>0.14963073205267169</v>
      </c>
      <c r="I11849" s="224" t="s">
        <v>2</v>
      </c>
    </row>
    <row r="11850" spans="1:9" x14ac:dyDescent="0.25">
      <c r="A11850" s="515">
        <v>1840</v>
      </c>
      <c r="B11850" s="515" t="s">
        <v>534</v>
      </c>
      <c r="C11850" s="52">
        <v>251014.94941353099</v>
      </c>
      <c r="D11850" s="56">
        <v>0.13835711885767399</v>
      </c>
      <c r="E11850" s="224">
        <v>1972.5</v>
      </c>
      <c r="F11850" s="515" t="s">
        <v>13041</v>
      </c>
      <c r="G11850" s="52">
        <v>113894.108527131</v>
      </c>
      <c r="H11850" s="56">
        <v>0</v>
      </c>
      <c r="I11850" s="224" t="s">
        <v>2</v>
      </c>
    </row>
    <row r="11851" spans="1:9" x14ac:dyDescent="0.25">
      <c r="A11851" s="515">
        <v>93501</v>
      </c>
      <c r="B11851" s="515" t="s">
        <v>419</v>
      </c>
      <c r="C11851" s="52">
        <v>206242.62067762</v>
      </c>
      <c r="D11851" s="56">
        <v>5.1128609749838544E-2</v>
      </c>
      <c r="E11851" s="224" t="s">
        <v>2</v>
      </c>
      <c r="F11851" s="515" t="s">
        <v>13042</v>
      </c>
      <c r="G11851" s="52">
        <v>132734.10822826801</v>
      </c>
      <c r="H11851" s="56">
        <v>8.9557208943668892E-2</v>
      </c>
      <c r="I11851" s="224" t="s">
        <v>2</v>
      </c>
    </row>
    <row r="11852" spans="1:9" x14ac:dyDescent="0.25">
      <c r="A11852" s="515">
        <v>24065</v>
      </c>
      <c r="B11852" s="515" t="s">
        <v>861</v>
      </c>
      <c r="C11852" s="52">
        <v>267747.51662374899</v>
      </c>
      <c r="D11852" s="56">
        <v>8.2995680305961161E-2</v>
      </c>
      <c r="E11852" s="224" t="s">
        <v>2</v>
      </c>
      <c r="F11852" s="515" t="s">
        <v>13043</v>
      </c>
      <c r="G11852" s="52">
        <v>219060.70040488901</v>
      </c>
      <c r="H11852" s="56">
        <v>7.5471167047073628E-2</v>
      </c>
      <c r="I11852" s="224" t="s">
        <v>2</v>
      </c>
    </row>
    <row r="11853" spans="1:9" x14ac:dyDescent="0.25">
      <c r="A11853" s="515">
        <v>98577</v>
      </c>
      <c r="C11853" s="52">
        <v>263457.42800404999</v>
      </c>
      <c r="D11853" s="56">
        <v>7.2962032696384835E-2</v>
      </c>
      <c r="E11853" s="224" t="s">
        <v>2</v>
      </c>
      <c r="F11853" s="515" t="s">
        <v>13044</v>
      </c>
      <c r="G11853" s="52">
        <v>198501.146652778</v>
      </c>
      <c r="H11853" s="56">
        <v>7.997301926265353E-2</v>
      </c>
      <c r="I11853" s="224" t="s">
        <v>2</v>
      </c>
    </row>
    <row r="11854" spans="1:9" x14ac:dyDescent="0.25">
      <c r="A11854" s="515">
        <v>15139</v>
      </c>
      <c r="B11854" s="515" t="s">
        <v>297</v>
      </c>
      <c r="C11854" s="52">
        <v>280274.89666370302</v>
      </c>
      <c r="D11854" s="56">
        <v>4.6166682776063568E-2</v>
      </c>
      <c r="E11854" s="224">
        <v>1000</v>
      </c>
      <c r="F11854" s="515" t="s">
        <v>13045</v>
      </c>
      <c r="G11854" s="52">
        <v>175342.25514772299</v>
      </c>
      <c r="H11854" s="56">
        <v>4.3020190583735317E-2</v>
      </c>
      <c r="I11854" s="224" t="s">
        <v>2</v>
      </c>
    </row>
    <row r="11855" spans="1:9" x14ac:dyDescent="0.25">
      <c r="A11855" s="515">
        <v>76437</v>
      </c>
      <c r="C11855" s="52">
        <v>123420.108676962</v>
      </c>
      <c r="D11855" s="56">
        <v>0.1072528652858397</v>
      </c>
      <c r="E11855" s="224" t="s">
        <v>2</v>
      </c>
      <c r="F11855" s="515" t="s">
        <v>13046</v>
      </c>
      <c r="G11855" s="52">
        <v>102668.054932791</v>
      </c>
      <c r="H11855" s="56">
        <v>9.5731182024252293E-2</v>
      </c>
      <c r="I11855" s="224" t="s">
        <v>2</v>
      </c>
    </row>
    <row r="11856" spans="1:9" x14ac:dyDescent="0.25">
      <c r="A11856" s="515">
        <v>45769</v>
      </c>
      <c r="C11856" s="52">
        <v>69416.122873105502</v>
      </c>
      <c r="D11856" s="56">
        <v>2.2664424213495238E-2</v>
      </c>
      <c r="E11856" s="224" t="s">
        <v>2</v>
      </c>
      <c r="F11856" s="515" t="s">
        <v>13047</v>
      </c>
      <c r="G11856" s="52">
        <v>173566.368914702</v>
      </c>
      <c r="H11856" s="56">
        <v>0.15601799902280222</v>
      </c>
      <c r="I11856" s="224" t="s">
        <v>2</v>
      </c>
    </row>
    <row r="11857" spans="1:9" x14ac:dyDescent="0.25">
      <c r="A11857" s="515">
        <v>24609</v>
      </c>
      <c r="B11857" s="515" t="s">
        <v>306</v>
      </c>
      <c r="C11857" s="52">
        <v>130450.988394641</v>
      </c>
      <c r="D11857" s="56">
        <v>8.0298114429276091E-2</v>
      </c>
      <c r="E11857" s="224" t="s">
        <v>2</v>
      </c>
      <c r="F11857" s="515" t="s">
        <v>13048</v>
      </c>
      <c r="G11857" s="52">
        <v>246675.328326385</v>
      </c>
      <c r="H11857" s="56">
        <v>9.3102981325238518E-2</v>
      </c>
      <c r="I11857" s="224" t="s">
        <v>2</v>
      </c>
    </row>
    <row r="11858" spans="1:9" x14ac:dyDescent="0.25">
      <c r="A11858" s="515">
        <v>41008</v>
      </c>
      <c r="C11858" s="52">
        <v>157402.26264826799</v>
      </c>
      <c r="D11858" s="56">
        <v>0.15698192215946971</v>
      </c>
      <c r="E11858" s="224" t="s">
        <v>2</v>
      </c>
      <c r="F11858" s="515" t="s">
        <v>13049</v>
      </c>
      <c r="G11858" s="52">
        <v>73238.022058823495</v>
      </c>
      <c r="H11858" s="56">
        <v>0</v>
      </c>
      <c r="I11858" s="224" t="s">
        <v>2</v>
      </c>
    </row>
    <row r="11859" spans="1:9" x14ac:dyDescent="0.25">
      <c r="A11859" s="515">
        <v>10590</v>
      </c>
      <c r="B11859" s="515" t="s">
        <v>324</v>
      </c>
      <c r="C11859" s="52">
        <v>713795.94774100697</v>
      </c>
      <c r="D11859" s="56">
        <v>0.11785224190869843</v>
      </c>
      <c r="E11859" s="224" t="s">
        <v>2</v>
      </c>
      <c r="F11859" s="515" t="s">
        <v>13050</v>
      </c>
      <c r="G11859" s="52">
        <v>264088.185956634</v>
      </c>
      <c r="H11859" s="56">
        <v>0.14026050858919581</v>
      </c>
      <c r="I11859" s="224" t="s">
        <v>2</v>
      </c>
    </row>
    <row r="11860" spans="1:9" x14ac:dyDescent="0.25">
      <c r="A11860" s="515">
        <v>30646</v>
      </c>
      <c r="B11860" s="515" t="s">
        <v>991</v>
      </c>
      <c r="C11860" s="52">
        <v>274785.74742230901</v>
      </c>
      <c r="D11860" s="56">
        <v>6.9355452910397325E-2</v>
      </c>
      <c r="E11860" s="224" t="s">
        <v>2</v>
      </c>
      <c r="F11860" s="515" t="s">
        <v>13051</v>
      </c>
      <c r="G11860" s="52">
        <v>193163.47174687899</v>
      </c>
      <c r="H11860" s="56">
        <v>8.329162187191462E-2</v>
      </c>
      <c r="I11860" s="224" t="s">
        <v>2</v>
      </c>
    </row>
    <row r="11861" spans="1:9" x14ac:dyDescent="0.25">
      <c r="A11861" s="515">
        <v>26187</v>
      </c>
      <c r="B11861" s="515" t="s">
        <v>956</v>
      </c>
      <c r="C11861" s="52">
        <v>191829.87422616201</v>
      </c>
      <c r="D11861" s="56">
        <v>5.8400387460222983E-2</v>
      </c>
      <c r="E11861" s="224" t="s">
        <v>2</v>
      </c>
      <c r="F11861" s="515" t="s">
        <v>13052</v>
      </c>
      <c r="G11861" s="52">
        <v>225567.478582479</v>
      </c>
      <c r="H11861" s="56">
        <v>2.7507950128188911E-2</v>
      </c>
      <c r="I11861" s="224" t="s">
        <v>2</v>
      </c>
    </row>
    <row r="11862" spans="1:9" x14ac:dyDescent="0.25">
      <c r="A11862" s="515">
        <v>63357</v>
      </c>
      <c r="B11862" s="515" t="s">
        <v>498</v>
      </c>
      <c r="C11862" s="52">
        <v>282682.439397462</v>
      </c>
      <c r="D11862" s="56">
        <v>8.0144434267604425E-2</v>
      </c>
      <c r="E11862" s="224" t="s">
        <v>2</v>
      </c>
      <c r="F11862" s="515" t="s">
        <v>13053</v>
      </c>
      <c r="G11862" s="52">
        <v>103421.022235953</v>
      </c>
      <c r="H11862" s="56">
        <v>7.2941805026685361E-2</v>
      </c>
      <c r="I11862" s="224" t="s">
        <v>2</v>
      </c>
    </row>
    <row r="11863" spans="1:9" x14ac:dyDescent="0.25">
      <c r="A11863" s="515">
        <v>98465</v>
      </c>
      <c r="B11863" s="515" t="s">
        <v>384</v>
      </c>
      <c r="C11863" s="52">
        <v>521262.35183680902</v>
      </c>
      <c r="D11863" s="56">
        <v>6.8191073766521026E-4</v>
      </c>
      <c r="E11863" s="224">
        <v>1551.9166666666599</v>
      </c>
      <c r="F11863" s="515" t="s">
        <v>13054</v>
      </c>
      <c r="G11863" s="52">
        <v>270032.64241381199</v>
      </c>
      <c r="H11863" s="56">
        <v>0.13503945681537163</v>
      </c>
      <c r="I11863" s="224" t="s">
        <v>2</v>
      </c>
    </row>
    <row r="11864" spans="1:9" x14ac:dyDescent="0.25">
      <c r="A11864" s="515">
        <v>99026</v>
      </c>
      <c r="B11864" s="515" t="s">
        <v>820</v>
      </c>
      <c r="C11864" s="52">
        <v>518425.29072622198</v>
      </c>
      <c r="D11864" s="56">
        <v>3.5976551967071814E-2</v>
      </c>
      <c r="E11864" s="224" t="s">
        <v>2</v>
      </c>
      <c r="F11864" s="515" t="s">
        <v>13055</v>
      </c>
      <c r="G11864" s="52">
        <v>93238.129786092002</v>
      </c>
      <c r="H11864" s="56">
        <v>3.6233950763453378E-2</v>
      </c>
      <c r="I11864" s="224" t="s">
        <v>2</v>
      </c>
    </row>
    <row r="11865" spans="1:9" x14ac:dyDescent="0.25">
      <c r="A11865" s="515">
        <v>29653</v>
      </c>
      <c r="B11865" s="515" t="s">
        <v>1075</v>
      </c>
      <c r="C11865" s="52">
        <v>101325.30842903801</v>
      </c>
      <c r="D11865" s="56">
        <v>9.5859319834807402E-2</v>
      </c>
      <c r="E11865" s="224" t="s">
        <v>2</v>
      </c>
      <c r="F11865" s="515" t="s">
        <v>13056</v>
      </c>
      <c r="G11865" s="52">
        <v>259453.77885365201</v>
      </c>
      <c r="H11865" s="56">
        <v>0.11952289745133435</v>
      </c>
      <c r="I11865" s="224" t="s">
        <v>2</v>
      </c>
    </row>
    <row r="11866" spans="1:9" x14ac:dyDescent="0.25">
      <c r="A11866" s="515">
        <v>32435</v>
      </c>
      <c r="B11866" s="515" t="s">
        <v>1078</v>
      </c>
      <c r="C11866" s="52">
        <v>218849.033863619</v>
      </c>
      <c r="D11866" s="56">
        <v>0.12758287833583409</v>
      </c>
      <c r="E11866" s="224" t="s">
        <v>2</v>
      </c>
      <c r="F11866" s="515" t="s">
        <v>13057</v>
      </c>
      <c r="G11866" s="52">
        <v>314871.58175552997</v>
      </c>
      <c r="H11866" s="56">
        <v>7.1513186129164186E-2</v>
      </c>
      <c r="I11866" s="224" t="s">
        <v>2</v>
      </c>
    </row>
    <row r="11867" spans="1:9" x14ac:dyDescent="0.25">
      <c r="A11867" s="515">
        <v>3841</v>
      </c>
      <c r="B11867" s="515" t="s">
        <v>534</v>
      </c>
      <c r="C11867" s="52">
        <v>535702.979533709</v>
      </c>
      <c r="D11867" s="56">
        <v>0.10152195781535327</v>
      </c>
      <c r="E11867" s="224" t="s">
        <v>2</v>
      </c>
      <c r="F11867" s="515" t="s">
        <v>13058</v>
      </c>
      <c r="G11867" s="52">
        <v>188076.51020240001</v>
      </c>
      <c r="H11867" s="56">
        <v>0.16642374281667374</v>
      </c>
      <c r="I11867" s="224" t="s">
        <v>2</v>
      </c>
    </row>
    <row r="11868" spans="1:9" x14ac:dyDescent="0.25">
      <c r="A11868" s="515">
        <v>13865</v>
      </c>
      <c r="B11868" s="515" t="s">
        <v>840</v>
      </c>
      <c r="C11868" s="52">
        <v>158240.42677900099</v>
      </c>
      <c r="D11868" s="56">
        <v>7.6291350884402143E-2</v>
      </c>
      <c r="E11868" s="224" t="s">
        <v>2</v>
      </c>
      <c r="F11868" s="515" t="s">
        <v>13059</v>
      </c>
      <c r="G11868" s="52">
        <v>187130.26158567501</v>
      </c>
      <c r="H11868" s="56">
        <v>0.13692161000356076</v>
      </c>
      <c r="I11868" s="224" t="s">
        <v>2</v>
      </c>
    </row>
    <row r="11869" spans="1:9" x14ac:dyDescent="0.25">
      <c r="A11869" s="515">
        <v>50047</v>
      </c>
      <c r="B11869" s="515" t="s">
        <v>295</v>
      </c>
      <c r="C11869" s="52">
        <v>249703.54916956701</v>
      </c>
      <c r="D11869" s="56">
        <v>7.6734822188379084E-2</v>
      </c>
      <c r="E11869" s="224" t="s">
        <v>2</v>
      </c>
      <c r="F11869" s="515" t="s">
        <v>13060</v>
      </c>
      <c r="G11869" s="52">
        <v>229803.25548656</v>
      </c>
      <c r="H11869" s="56">
        <v>7.9721175354192583E-2</v>
      </c>
      <c r="I11869" s="224" t="s">
        <v>2</v>
      </c>
    </row>
    <row r="11870" spans="1:9" x14ac:dyDescent="0.25">
      <c r="A11870" s="515">
        <v>52310</v>
      </c>
      <c r="B11870" s="515" t="s">
        <v>404</v>
      </c>
      <c r="C11870" s="52">
        <v>182346.137385871</v>
      </c>
      <c r="D11870" s="56">
        <v>9.1473591897291123E-2</v>
      </c>
      <c r="E11870" s="224" t="s">
        <v>2</v>
      </c>
      <c r="F11870" s="515" t="s">
        <v>13061</v>
      </c>
      <c r="G11870" s="52">
        <v>403560.74906637502</v>
      </c>
      <c r="H11870" s="56">
        <v>7.4576268116684233E-2</v>
      </c>
      <c r="I11870" s="224" t="s">
        <v>2</v>
      </c>
    </row>
    <row r="11871" spans="1:9" x14ac:dyDescent="0.25">
      <c r="A11871" s="515">
        <v>33031</v>
      </c>
      <c r="B11871" s="515" t="s">
        <v>831</v>
      </c>
      <c r="C11871" s="52">
        <v>739363.60592285299</v>
      </c>
      <c r="D11871" s="56">
        <v>0.1665745734414624</v>
      </c>
      <c r="E11871" s="224" t="s">
        <v>2</v>
      </c>
      <c r="F11871" s="515" t="s">
        <v>13062</v>
      </c>
      <c r="G11871" s="52">
        <v>273673.79013237997</v>
      </c>
      <c r="H11871" s="56">
        <v>-2.1044860793935687E-2</v>
      </c>
      <c r="I11871" s="224" t="s">
        <v>2</v>
      </c>
    </row>
    <row r="11872" spans="1:9" x14ac:dyDescent="0.25">
      <c r="A11872" s="515">
        <v>36266</v>
      </c>
      <c r="C11872" s="52">
        <v>151245.37123712199</v>
      </c>
      <c r="D11872" s="56">
        <v>1.219228571197813E-2</v>
      </c>
      <c r="E11872" s="224" t="s">
        <v>2</v>
      </c>
      <c r="F11872" s="515" t="s">
        <v>13063</v>
      </c>
      <c r="G11872" s="52">
        <v>278729.43502037303</v>
      </c>
      <c r="H11872" s="56">
        <v>6.1712892717080435E-2</v>
      </c>
      <c r="I11872" s="224" t="s">
        <v>2</v>
      </c>
    </row>
    <row r="11873" spans="1:9" x14ac:dyDescent="0.25">
      <c r="A11873" s="515">
        <v>78101</v>
      </c>
      <c r="B11873" s="515" t="s">
        <v>717</v>
      </c>
      <c r="C11873" s="52">
        <v>402591.25956404599</v>
      </c>
      <c r="D11873" s="56">
        <v>6.9449857701131962E-2</v>
      </c>
      <c r="E11873" s="224" t="s">
        <v>2</v>
      </c>
      <c r="F11873" s="515" t="s">
        <v>13064</v>
      </c>
      <c r="G11873" s="52">
        <v>414900.48361046403</v>
      </c>
      <c r="H11873" s="56">
        <v>4.727268928888876E-2</v>
      </c>
      <c r="I11873" s="224" t="s">
        <v>2</v>
      </c>
    </row>
    <row r="11874" spans="1:9" x14ac:dyDescent="0.25">
      <c r="A11874" s="515">
        <v>53954</v>
      </c>
      <c r="B11874" s="515" t="s">
        <v>727</v>
      </c>
      <c r="C11874" s="52">
        <v>283546.487887886</v>
      </c>
      <c r="D11874" s="56">
        <v>2.6720002063673681E-2</v>
      </c>
      <c r="E11874" s="224" t="s">
        <v>2</v>
      </c>
      <c r="F11874" s="515" t="s">
        <v>13065</v>
      </c>
      <c r="G11874" s="52">
        <v>288494.38910985598</v>
      </c>
      <c r="H11874" s="56">
        <v>0.11986957659580097</v>
      </c>
      <c r="I11874" s="224" t="s">
        <v>2</v>
      </c>
    </row>
    <row r="11875" spans="1:9" x14ac:dyDescent="0.25">
      <c r="A11875" s="515">
        <v>39341</v>
      </c>
      <c r="C11875" s="52">
        <v>86494.097012332597</v>
      </c>
      <c r="D11875" s="56">
        <v>-9.9629786959470945E-2</v>
      </c>
      <c r="E11875" s="224" t="s">
        <v>2</v>
      </c>
      <c r="F11875" s="515" t="s">
        <v>13066</v>
      </c>
      <c r="G11875" s="52">
        <v>140440.83170887199</v>
      </c>
      <c r="H11875" s="56">
        <v>0.12344942119201022</v>
      </c>
      <c r="I11875" s="224" t="s">
        <v>2</v>
      </c>
    </row>
    <row r="11876" spans="1:9" x14ac:dyDescent="0.25">
      <c r="A11876" s="515">
        <v>50156</v>
      </c>
      <c r="B11876" s="515" t="s">
        <v>568</v>
      </c>
      <c r="C11876" s="52">
        <v>232646.888075114</v>
      </c>
      <c r="D11876" s="56">
        <v>6.2264117227515924E-2</v>
      </c>
      <c r="E11876" s="224" t="s">
        <v>2</v>
      </c>
      <c r="F11876" s="515" t="s">
        <v>13067</v>
      </c>
      <c r="G11876" s="52">
        <v>142793.14243891</v>
      </c>
      <c r="H11876" s="56">
        <v>4.242651285000295E-2</v>
      </c>
      <c r="I11876" s="224" t="s">
        <v>2</v>
      </c>
    </row>
    <row r="11877" spans="1:9" x14ac:dyDescent="0.25">
      <c r="A11877" s="515">
        <v>46795</v>
      </c>
      <c r="C11877" s="52">
        <v>307145.25650353002</v>
      </c>
      <c r="D11877" s="56">
        <v>5.2754587626970745E-2</v>
      </c>
      <c r="E11877" s="224" t="s">
        <v>2</v>
      </c>
      <c r="F11877" s="515" t="s">
        <v>13068</v>
      </c>
      <c r="G11877" s="52">
        <v>314808.94759763498</v>
      </c>
      <c r="H11877" s="56">
        <v>0.15500430205201618</v>
      </c>
      <c r="I11877" s="224" t="s">
        <v>2</v>
      </c>
    </row>
    <row r="11878" spans="1:9" x14ac:dyDescent="0.25">
      <c r="A11878" s="515">
        <v>23930</v>
      </c>
      <c r="C11878" s="52">
        <v>153791.85074951701</v>
      </c>
      <c r="D11878" s="56">
        <v>0.14367063673207908</v>
      </c>
      <c r="E11878" s="224" t="s">
        <v>2</v>
      </c>
      <c r="F11878" s="515" t="s">
        <v>13069</v>
      </c>
      <c r="G11878" s="52">
        <v>205461.78352513499</v>
      </c>
      <c r="H11878" s="56">
        <v>8.7661639885510526E-2</v>
      </c>
      <c r="I11878" s="224" t="s">
        <v>2</v>
      </c>
    </row>
    <row r="11879" spans="1:9" x14ac:dyDescent="0.25">
      <c r="A11879" s="515">
        <v>57033</v>
      </c>
      <c r="B11879" s="515" t="s">
        <v>579</v>
      </c>
      <c r="C11879" s="52">
        <v>373636.46488302603</v>
      </c>
      <c r="D11879" s="56">
        <v>6.4114805753825846E-2</v>
      </c>
      <c r="E11879" s="224" t="s">
        <v>2</v>
      </c>
      <c r="F11879" s="515" t="s">
        <v>13070</v>
      </c>
      <c r="G11879" s="52">
        <v>500526.41676211101</v>
      </c>
      <c r="H11879" s="56">
        <v>1.7382910109377175E-2</v>
      </c>
      <c r="I11879" s="224" t="s">
        <v>2</v>
      </c>
    </row>
    <row r="11880" spans="1:9" x14ac:dyDescent="0.25">
      <c r="A11880" s="515">
        <v>15853</v>
      </c>
      <c r="B11880" s="515" t="s">
        <v>954</v>
      </c>
      <c r="C11880" s="52">
        <v>82481.591743465702</v>
      </c>
      <c r="D11880" s="56">
        <v>1.2922169228888843E-2</v>
      </c>
      <c r="E11880" s="224" t="s">
        <v>2</v>
      </c>
      <c r="F11880" s="515" t="s">
        <v>13071</v>
      </c>
      <c r="G11880" s="52">
        <v>302417.97458785202</v>
      </c>
      <c r="H11880" s="56">
        <v>3.033798173980129E-2</v>
      </c>
      <c r="I11880" s="224" t="s">
        <v>2</v>
      </c>
    </row>
    <row r="11881" spans="1:9" x14ac:dyDescent="0.25">
      <c r="A11881" s="515">
        <v>21017</v>
      </c>
      <c r="B11881" s="515" t="s">
        <v>582</v>
      </c>
      <c r="C11881" s="52">
        <v>250599.74973490299</v>
      </c>
      <c r="D11881" s="56">
        <v>6.2463312122103931E-2</v>
      </c>
      <c r="E11881" s="224" t="s">
        <v>2</v>
      </c>
      <c r="F11881" s="515" t="s">
        <v>13072</v>
      </c>
      <c r="G11881" s="52">
        <v>419644.744699893</v>
      </c>
      <c r="H11881" s="56">
        <v>6.6180005200455028E-2</v>
      </c>
      <c r="I11881" s="224" t="s">
        <v>2</v>
      </c>
    </row>
    <row r="11882" spans="1:9" x14ac:dyDescent="0.25">
      <c r="A11882" s="515">
        <v>48003</v>
      </c>
      <c r="B11882" s="515" t="s">
        <v>685</v>
      </c>
      <c r="C11882" s="52">
        <v>285494.94111736899</v>
      </c>
      <c r="D11882" s="56">
        <v>3.2536994765106284E-3</v>
      </c>
      <c r="E11882" s="224" t="s">
        <v>2</v>
      </c>
      <c r="F11882" s="515" t="s">
        <v>13073</v>
      </c>
      <c r="G11882" s="52">
        <v>131233.354492649</v>
      </c>
      <c r="H11882" s="56">
        <v>0.2267663082842446</v>
      </c>
      <c r="I11882" s="224" t="s">
        <v>2</v>
      </c>
    </row>
    <row r="11883" spans="1:9" x14ac:dyDescent="0.25">
      <c r="A11883" s="515">
        <v>13108</v>
      </c>
      <c r="B11883" s="515" t="s">
        <v>361</v>
      </c>
      <c r="C11883" s="52">
        <v>250771.15944243001</v>
      </c>
      <c r="D11883" s="56">
        <v>0.11624763471546262</v>
      </c>
      <c r="E11883" s="224" t="s">
        <v>2</v>
      </c>
      <c r="F11883" s="515" t="s">
        <v>13074</v>
      </c>
      <c r="G11883" s="52">
        <v>504929.80291643698</v>
      </c>
      <c r="H11883" s="56">
        <v>0.10090439315144906</v>
      </c>
      <c r="I11883" s="224" t="s">
        <v>2</v>
      </c>
    </row>
    <row r="11884" spans="1:9" x14ac:dyDescent="0.25">
      <c r="A11884" s="515">
        <v>76633</v>
      </c>
      <c r="B11884" s="515" t="s">
        <v>1057</v>
      </c>
      <c r="C11884" s="52">
        <v>419326.99059965799</v>
      </c>
      <c r="D11884" s="56">
        <v>8.3314606489557644E-2</v>
      </c>
      <c r="E11884" s="224" t="s">
        <v>2</v>
      </c>
      <c r="F11884" s="515" t="s">
        <v>13075</v>
      </c>
      <c r="G11884" s="52">
        <v>196955.38943817699</v>
      </c>
      <c r="H11884" s="56">
        <v>5.7687175389677096E-2</v>
      </c>
      <c r="I11884" s="224" t="s">
        <v>2</v>
      </c>
    </row>
    <row r="11885" spans="1:9" x14ac:dyDescent="0.25">
      <c r="A11885" s="515">
        <v>24228</v>
      </c>
      <c r="C11885" s="52">
        <v>89675.678317627797</v>
      </c>
      <c r="D11885" s="56">
        <v>0.21063544960373015</v>
      </c>
      <c r="E11885" s="224" t="s">
        <v>2</v>
      </c>
      <c r="F11885" s="515" t="s">
        <v>13076</v>
      </c>
      <c r="G11885" s="52">
        <v>386147.48373651103</v>
      </c>
      <c r="H11885" s="56">
        <v>7.1194080397258497E-2</v>
      </c>
      <c r="I11885" s="224" t="s">
        <v>2</v>
      </c>
    </row>
    <row r="11886" spans="1:9" x14ac:dyDescent="0.25">
      <c r="A11886" s="515">
        <v>3253</v>
      </c>
      <c r="B11886" s="515" t="s">
        <v>1006</v>
      </c>
      <c r="C11886" s="52">
        <v>592818.39519345702</v>
      </c>
      <c r="D11886" s="56">
        <v>9.3520355386736045E-2</v>
      </c>
      <c r="E11886" s="224" t="s">
        <v>2</v>
      </c>
      <c r="F11886" s="515" t="s">
        <v>13077</v>
      </c>
      <c r="G11886" s="52">
        <v>426183.15187932499</v>
      </c>
      <c r="H11886" s="56">
        <v>3.906859069170291E-2</v>
      </c>
      <c r="I11886" s="224" t="s">
        <v>2</v>
      </c>
    </row>
    <row r="11887" spans="1:9" x14ac:dyDescent="0.25">
      <c r="A11887" s="515">
        <v>54801</v>
      </c>
      <c r="C11887" s="52">
        <v>249694.38467387899</v>
      </c>
      <c r="D11887" s="56">
        <v>0.10960124842559406</v>
      </c>
      <c r="E11887" s="224" t="s">
        <v>2</v>
      </c>
      <c r="F11887" s="515" t="s">
        <v>13078</v>
      </c>
      <c r="G11887" s="52">
        <v>202633.18226750399</v>
      </c>
      <c r="H11887" s="56">
        <v>0.14085269297504741</v>
      </c>
      <c r="I11887" s="224" t="s">
        <v>2</v>
      </c>
    </row>
    <row r="11888" spans="1:9" x14ac:dyDescent="0.25">
      <c r="A11888" s="515">
        <v>22821</v>
      </c>
      <c r="B11888" s="515" t="s">
        <v>1026</v>
      </c>
      <c r="C11888" s="52">
        <v>294121.438874643</v>
      </c>
      <c r="D11888" s="56">
        <v>8.2073475271376026E-2</v>
      </c>
      <c r="E11888" s="224" t="s">
        <v>2</v>
      </c>
      <c r="F11888" s="515" t="s">
        <v>13079</v>
      </c>
      <c r="G11888" s="52">
        <v>231317.019563957</v>
      </c>
      <c r="H11888" s="56">
        <v>8.6342618900547521E-2</v>
      </c>
      <c r="I11888" s="224" t="s">
        <v>2</v>
      </c>
    </row>
    <row r="11889" spans="1:9" x14ac:dyDescent="0.25">
      <c r="A11889" s="515">
        <v>6419</v>
      </c>
      <c r="B11889" s="515" t="s">
        <v>894</v>
      </c>
      <c r="C11889" s="52">
        <v>479800.53134037601</v>
      </c>
      <c r="D11889" s="56">
        <v>8.7041104618581097E-2</v>
      </c>
      <c r="E11889" s="224" t="s">
        <v>2</v>
      </c>
      <c r="F11889" s="515" t="s">
        <v>13080</v>
      </c>
      <c r="G11889" s="52">
        <v>121306.772202832</v>
      </c>
      <c r="H11889" s="56">
        <v>0</v>
      </c>
      <c r="I11889" s="224" t="s">
        <v>2</v>
      </c>
    </row>
    <row r="11890" spans="1:9" x14ac:dyDescent="0.25">
      <c r="A11890" s="515">
        <v>45383</v>
      </c>
      <c r="B11890" s="515" t="s">
        <v>340</v>
      </c>
      <c r="C11890" s="52">
        <v>184092.16261435399</v>
      </c>
      <c r="D11890" s="56">
        <v>8.3027580641537174E-2</v>
      </c>
      <c r="E11890" s="224" t="s">
        <v>2</v>
      </c>
      <c r="F11890" s="515" t="s">
        <v>13081</v>
      </c>
      <c r="G11890" s="52">
        <v>214784.948867928</v>
      </c>
      <c r="H11890" s="56">
        <v>8.1761483380168268E-2</v>
      </c>
      <c r="I11890" s="224" t="s">
        <v>2</v>
      </c>
    </row>
    <row r="11891" spans="1:9" x14ac:dyDescent="0.25">
      <c r="A11891" s="515">
        <v>40067</v>
      </c>
      <c r="B11891" s="515" t="s">
        <v>479</v>
      </c>
      <c r="C11891" s="52">
        <v>341865.76470838999</v>
      </c>
      <c r="D11891" s="56">
        <v>4.3354755852804058E-2</v>
      </c>
      <c r="E11891" s="224" t="s">
        <v>2</v>
      </c>
      <c r="F11891" s="515" t="s">
        <v>13082</v>
      </c>
      <c r="G11891" s="52">
        <v>137553.601656193</v>
      </c>
      <c r="H11891" s="56">
        <v>0.18507257915541528</v>
      </c>
      <c r="I11891" s="224" t="s">
        <v>2</v>
      </c>
    </row>
    <row r="11892" spans="1:9" x14ac:dyDescent="0.25">
      <c r="A11892" s="515">
        <v>18091</v>
      </c>
      <c r="B11892" s="515" t="s">
        <v>327</v>
      </c>
      <c r="C11892" s="52">
        <v>299088.24363588099</v>
      </c>
      <c r="D11892" s="56">
        <v>0.11679632050241201</v>
      </c>
      <c r="E11892" s="224" t="s">
        <v>2</v>
      </c>
      <c r="F11892" s="515" t="s">
        <v>13083</v>
      </c>
      <c r="G11892" s="52">
        <v>133072.74379723301</v>
      </c>
      <c r="H11892" s="56">
        <v>1.0708432113679176E-2</v>
      </c>
      <c r="I11892" s="224" t="s">
        <v>2</v>
      </c>
    </row>
    <row r="11893" spans="1:9" x14ac:dyDescent="0.25">
      <c r="A11893" s="515">
        <v>3873</v>
      </c>
      <c r="B11893" s="515" t="s">
        <v>534</v>
      </c>
      <c r="C11893" s="52">
        <v>455927.73409734498</v>
      </c>
      <c r="D11893" s="56">
        <v>9.9150731953883242E-2</v>
      </c>
      <c r="E11893" s="224" t="s">
        <v>2</v>
      </c>
      <c r="F11893" s="515" t="s">
        <v>13084</v>
      </c>
      <c r="G11893" s="52">
        <v>363797.82165263803</v>
      </c>
      <c r="H11893" s="56">
        <v>0.11216743024898189</v>
      </c>
      <c r="I11893" s="224" t="s">
        <v>2</v>
      </c>
    </row>
    <row r="11894" spans="1:9" x14ac:dyDescent="0.25">
      <c r="A11894" s="515">
        <v>71101</v>
      </c>
      <c r="B11894" s="515" t="s">
        <v>739</v>
      </c>
      <c r="C11894" s="52">
        <v>40619.0951891476</v>
      </c>
      <c r="D11894" s="56">
        <v>0.12978042919433577</v>
      </c>
      <c r="E11894" s="224" t="s">
        <v>2</v>
      </c>
      <c r="F11894" s="515" t="s">
        <v>13085</v>
      </c>
      <c r="G11894" s="52">
        <v>137229.143787949</v>
      </c>
      <c r="H11894" s="56">
        <v>4.8684130509757124E-2</v>
      </c>
      <c r="I11894" s="224" t="s">
        <v>2</v>
      </c>
    </row>
    <row r="11895" spans="1:9" x14ac:dyDescent="0.25">
      <c r="A11895" s="515">
        <v>77362</v>
      </c>
      <c r="B11895" s="515" t="s">
        <v>314</v>
      </c>
      <c r="C11895" s="52">
        <v>358774.38917259598</v>
      </c>
      <c r="D11895" s="56">
        <v>6.687803610057827E-2</v>
      </c>
      <c r="E11895" s="224" t="s">
        <v>2</v>
      </c>
      <c r="F11895" s="515" t="s">
        <v>13086</v>
      </c>
      <c r="G11895" s="52">
        <v>130284.835715327</v>
      </c>
      <c r="H11895" s="56">
        <v>7.7499954135350088E-2</v>
      </c>
      <c r="I11895" s="224" t="s">
        <v>2</v>
      </c>
    </row>
    <row r="11896" spans="1:9" x14ac:dyDescent="0.25">
      <c r="A11896" s="515">
        <v>74073</v>
      </c>
      <c r="B11896" s="515" t="s">
        <v>348</v>
      </c>
      <c r="C11896" s="52">
        <v>210103.54783987699</v>
      </c>
      <c r="D11896" s="56">
        <v>6.3935075100841773E-2</v>
      </c>
      <c r="E11896" s="224" t="s">
        <v>2</v>
      </c>
      <c r="F11896" s="515" t="s">
        <v>13087</v>
      </c>
      <c r="G11896" s="52">
        <v>337810.43543474103</v>
      </c>
      <c r="H11896" s="56">
        <v>0.12098224823691112</v>
      </c>
      <c r="I11896" s="224" t="s">
        <v>2</v>
      </c>
    </row>
    <row r="11897" spans="1:9" x14ac:dyDescent="0.25">
      <c r="A11897" s="515">
        <v>38562</v>
      </c>
      <c r="B11897" s="515" t="s">
        <v>833</v>
      </c>
      <c r="C11897" s="52">
        <v>173515.13783077101</v>
      </c>
      <c r="D11897" s="56">
        <v>0.11018503919920339</v>
      </c>
      <c r="E11897" s="224" t="s">
        <v>2</v>
      </c>
      <c r="F11897" s="515" t="s">
        <v>13088</v>
      </c>
      <c r="G11897" s="52">
        <v>257402.381123536</v>
      </c>
      <c r="H11897" s="56">
        <v>0.15833859059142558</v>
      </c>
      <c r="I11897" s="224" t="s">
        <v>2</v>
      </c>
    </row>
    <row r="11898" spans="1:9" x14ac:dyDescent="0.25">
      <c r="A11898" s="515">
        <v>43344</v>
      </c>
      <c r="B11898" s="515" t="s">
        <v>345</v>
      </c>
      <c r="C11898" s="52">
        <v>216723.56226407</v>
      </c>
      <c r="D11898" s="56">
        <v>8.8243230158513666E-2</v>
      </c>
      <c r="E11898" s="224" t="s">
        <v>2</v>
      </c>
      <c r="F11898" s="515" t="s">
        <v>13089</v>
      </c>
      <c r="G11898" s="52">
        <v>239040.759795791</v>
      </c>
      <c r="H11898" s="56">
        <v>8.0142105651994033E-2</v>
      </c>
      <c r="I11898" s="224" t="s">
        <v>2</v>
      </c>
    </row>
    <row r="11899" spans="1:9" x14ac:dyDescent="0.25">
      <c r="A11899" s="515">
        <v>30563</v>
      </c>
      <c r="B11899" s="515" t="s">
        <v>1188</v>
      </c>
      <c r="C11899" s="52">
        <v>244318.38185347701</v>
      </c>
      <c r="D11899" s="56">
        <v>0.11676747466163642</v>
      </c>
      <c r="E11899" s="224" t="s">
        <v>2</v>
      </c>
      <c r="F11899" s="515" t="s">
        <v>13090</v>
      </c>
      <c r="G11899" s="52">
        <v>197695.29031719099</v>
      </c>
      <c r="H11899" s="56">
        <v>0.17746423433374856</v>
      </c>
      <c r="I11899" s="224" t="s">
        <v>2</v>
      </c>
    </row>
    <row r="11900" spans="1:9" x14ac:dyDescent="0.25">
      <c r="A11900" s="515">
        <v>7757</v>
      </c>
      <c r="B11900" s="515" t="s">
        <v>324</v>
      </c>
      <c r="C11900" s="52">
        <v>714567.87086881394</v>
      </c>
      <c r="D11900" s="56">
        <v>6.5341000487893319E-2</v>
      </c>
      <c r="E11900" s="224" t="s">
        <v>2</v>
      </c>
      <c r="F11900" s="515" t="s">
        <v>13091</v>
      </c>
      <c r="G11900" s="52">
        <v>141585.06718585899</v>
      </c>
      <c r="H11900" s="56">
        <v>7.4409700381122656E-2</v>
      </c>
      <c r="I11900" s="224" t="s">
        <v>2</v>
      </c>
    </row>
    <row r="11901" spans="1:9" x14ac:dyDescent="0.25">
      <c r="A11901" s="515">
        <v>31569</v>
      </c>
      <c r="B11901" s="515" t="s">
        <v>946</v>
      </c>
      <c r="C11901" s="52">
        <v>256705.32547403299</v>
      </c>
      <c r="D11901" s="56">
        <v>0.11750177076100767</v>
      </c>
      <c r="E11901" s="224" t="s">
        <v>2</v>
      </c>
      <c r="F11901" s="515" t="s">
        <v>13092</v>
      </c>
      <c r="G11901" s="52">
        <v>403709.93111701298</v>
      </c>
      <c r="H11901" s="56">
        <v>8.7377769299529798E-2</v>
      </c>
      <c r="I11901" s="224" t="s">
        <v>2</v>
      </c>
    </row>
    <row r="11902" spans="1:9" x14ac:dyDescent="0.25">
      <c r="A11902" s="515">
        <v>12542</v>
      </c>
      <c r="B11902" s="515" t="s">
        <v>307</v>
      </c>
      <c r="C11902" s="52">
        <v>372748.50827805197</v>
      </c>
      <c r="D11902" s="56">
        <v>0.11596656455444508</v>
      </c>
      <c r="E11902" s="224" t="s">
        <v>2</v>
      </c>
      <c r="F11902" s="515" t="s">
        <v>13093</v>
      </c>
      <c r="G11902" s="52">
        <v>294188.59078372899</v>
      </c>
      <c r="H11902" s="56">
        <v>7.1365310684386646E-2</v>
      </c>
      <c r="I11902" s="224" t="s">
        <v>2</v>
      </c>
    </row>
    <row r="11903" spans="1:9" x14ac:dyDescent="0.25">
      <c r="A11903" s="515">
        <v>74436</v>
      </c>
      <c r="B11903" s="515" t="s">
        <v>538</v>
      </c>
      <c r="C11903" s="52">
        <v>161628.04795836599</v>
      </c>
      <c r="D11903" s="56">
        <v>6.5937934653812869E-2</v>
      </c>
      <c r="E11903" s="224" t="s">
        <v>2</v>
      </c>
      <c r="F11903" s="515" t="s">
        <v>13094</v>
      </c>
      <c r="G11903" s="52">
        <v>225198.68147970299</v>
      </c>
      <c r="H11903" s="56">
        <v>5.8430256801484136E-2</v>
      </c>
      <c r="I11903" s="224" t="s">
        <v>2</v>
      </c>
    </row>
    <row r="11904" spans="1:9" x14ac:dyDescent="0.25">
      <c r="A11904" s="515">
        <v>25703</v>
      </c>
      <c r="B11904" s="515" t="s">
        <v>602</v>
      </c>
      <c r="C11904" s="52">
        <v>49478.317301476702</v>
      </c>
      <c r="D11904" s="56">
        <v>3.3459174583567862E-2</v>
      </c>
      <c r="E11904" s="224" t="s">
        <v>2</v>
      </c>
      <c r="F11904" s="515" t="s">
        <v>13095</v>
      </c>
      <c r="G11904" s="52">
        <v>482521.11704312102</v>
      </c>
      <c r="H11904" s="56">
        <v>0</v>
      </c>
      <c r="I11904" s="224" t="s">
        <v>2</v>
      </c>
    </row>
    <row r="11905" spans="1:9" x14ac:dyDescent="0.25">
      <c r="A11905" s="515">
        <v>30543</v>
      </c>
      <c r="B11905" s="515" t="s">
        <v>1102</v>
      </c>
      <c r="C11905" s="52">
        <v>278621.29847201298</v>
      </c>
      <c r="D11905" s="56">
        <v>0.11608289989690504</v>
      </c>
      <c r="E11905" s="224" t="s">
        <v>2</v>
      </c>
      <c r="F11905" s="515" t="s">
        <v>13096</v>
      </c>
      <c r="G11905" s="52">
        <v>103618.25256164301</v>
      </c>
      <c r="H11905" s="56">
        <v>0.17809111921522161</v>
      </c>
      <c r="I11905" s="224" t="s">
        <v>2</v>
      </c>
    </row>
    <row r="11906" spans="1:9" x14ac:dyDescent="0.25">
      <c r="A11906" s="515">
        <v>38105</v>
      </c>
      <c r="B11906" s="515" t="s">
        <v>951</v>
      </c>
      <c r="C11906" s="52">
        <v>113550.21584477399</v>
      </c>
      <c r="D11906" s="56">
        <v>0.29028227219218872</v>
      </c>
      <c r="E11906" s="224">
        <v>675</v>
      </c>
      <c r="F11906" s="515" t="s">
        <v>13097</v>
      </c>
      <c r="G11906" s="52">
        <v>389884.44584231399</v>
      </c>
      <c r="H11906" s="56">
        <v>0.11629166324326162</v>
      </c>
      <c r="I11906" s="224" t="s">
        <v>2</v>
      </c>
    </row>
    <row r="11907" spans="1:9" x14ac:dyDescent="0.25">
      <c r="A11907" s="515">
        <v>6447</v>
      </c>
      <c r="B11907" s="515" t="s">
        <v>894</v>
      </c>
      <c r="C11907" s="52">
        <v>368614.76292356598</v>
      </c>
      <c r="D11907" s="56">
        <v>7.9856424724110989E-2</v>
      </c>
      <c r="E11907" s="224" t="s">
        <v>2</v>
      </c>
      <c r="F11907" s="515" t="s">
        <v>13098</v>
      </c>
      <c r="G11907" s="52">
        <v>212370.00065142699</v>
      </c>
      <c r="H11907" s="56">
        <v>7.9421247683907958E-2</v>
      </c>
      <c r="I11907" s="224" t="s">
        <v>2</v>
      </c>
    </row>
    <row r="11908" spans="1:9" x14ac:dyDescent="0.25">
      <c r="A11908" s="515">
        <v>51054</v>
      </c>
      <c r="B11908" s="515" t="s">
        <v>649</v>
      </c>
      <c r="C11908" s="52">
        <v>314291.012472676</v>
      </c>
      <c r="D11908" s="56">
        <v>9.7275045672164343E-2</v>
      </c>
      <c r="E11908" s="224" t="s">
        <v>2</v>
      </c>
      <c r="F11908" s="515" t="s">
        <v>13099</v>
      </c>
      <c r="G11908" s="52">
        <v>519083.47816206899</v>
      </c>
      <c r="H11908" s="56">
        <v>8.5032331368836159E-2</v>
      </c>
      <c r="I11908" s="224" t="s">
        <v>2</v>
      </c>
    </row>
    <row r="11909" spans="1:9" x14ac:dyDescent="0.25">
      <c r="A11909" s="515">
        <v>37036</v>
      </c>
      <c r="B11909" s="515" t="s">
        <v>684</v>
      </c>
      <c r="C11909" s="52">
        <v>289820.695592276</v>
      </c>
      <c r="D11909" s="56">
        <v>6.397762840020918E-2</v>
      </c>
      <c r="E11909" s="224" t="s">
        <v>2</v>
      </c>
      <c r="F11909" s="515" t="s">
        <v>13100</v>
      </c>
      <c r="G11909" s="52">
        <v>119500.757565817</v>
      </c>
      <c r="H11909" s="56">
        <v>0.10325478422874555</v>
      </c>
      <c r="I11909" s="224" t="s">
        <v>2</v>
      </c>
    </row>
    <row r="11910" spans="1:9" x14ac:dyDescent="0.25">
      <c r="A11910" s="515">
        <v>68787</v>
      </c>
      <c r="C11910" s="52">
        <v>186650.26009631899</v>
      </c>
      <c r="D11910" s="56">
        <v>7.4614384166848832E-2</v>
      </c>
      <c r="E11910" s="224" t="s">
        <v>2</v>
      </c>
      <c r="F11910" s="515" t="s">
        <v>13101</v>
      </c>
      <c r="G11910" s="52">
        <v>128044.51258961701</v>
      </c>
      <c r="H11910" s="56">
        <v>6.7183636310840095E-2</v>
      </c>
      <c r="I11910" s="224" t="s">
        <v>2</v>
      </c>
    </row>
    <row r="11911" spans="1:9" x14ac:dyDescent="0.25">
      <c r="A11911" s="515">
        <v>29128</v>
      </c>
      <c r="B11911" s="515" t="s">
        <v>1065</v>
      </c>
      <c r="C11911" s="52">
        <v>100444.967407905</v>
      </c>
      <c r="D11911" s="56">
        <v>2.0506120767076197E-2</v>
      </c>
      <c r="E11911" s="224" t="s">
        <v>2</v>
      </c>
      <c r="F11911" s="515" t="s">
        <v>13102</v>
      </c>
      <c r="G11911" s="52">
        <v>126907.470221357</v>
      </c>
      <c r="H11911" s="56">
        <v>9.0884086525796701E-2</v>
      </c>
      <c r="I11911" s="224" t="s">
        <v>2</v>
      </c>
    </row>
    <row r="11912" spans="1:9" x14ac:dyDescent="0.25">
      <c r="A11912" s="515">
        <v>56573</v>
      </c>
      <c r="B11912" s="515" t="s">
        <v>601</v>
      </c>
      <c r="C11912" s="52">
        <v>310798.282227922</v>
      </c>
      <c r="D11912" s="56">
        <v>7.8242082333341748E-2</v>
      </c>
      <c r="E11912" s="224" t="s">
        <v>2</v>
      </c>
      <c r="F11912" s="515" t="s">
        <v>13103</v>
      </c>
      <c r="G11912" s="52">
        <v>268166.44076876697</v>
      </c>
      <c r="H11912" s="56">
        <v>-2.8598850125343772E-2</v>
      </c>
      <c r="I11912" s="224" t="s">
        <v>2</v>
      </c>
    </row>
    <row r="11913" spans="1:9" x14ac:dyDescent="0.25">
      <c r="A11913" s="515">
        <v>6779</v>
      </c>
      <c r="B11913" s="515" t="s">
        <v>559</v>
      </c>
      <c r="C11913" s="52">
        <v>263068.669637807</v>
      </c>
      <c r="D11913" s="56">
        <v>0.11455658211002527</v>
      </c>
      <c r="E11913" s="224" t="s">
        <v>2</v>
      </c>
      <c r="F11913" s="515" t="s">
        <v>6933</v>
      </c>
      <c r="G11913" s="52">
        <v>189487.32775485501</v>
      </c>
      <c r="H11913" s="56">
        <v>7.7128170041397048E-2</v>
      </c>
      <c r="I11913" s="224" t="s">
        <v>2</v>
      </c>
    </row>
    <row r="11914" spans="1:9" x14ac:dyDescent="0.25">
      <c r="A11914" s="515">
        <v>7727</v>
      </c>
      <c r="B11914" s="515" t="s">
        <v>324</v>
      </c>
      <c r="C11914" s="52">
        <v>621537.60591972305</v>
      </c>
      <c r="D11914" s="56">
        <v>9.7827608449050904E-2</v>
      </c>
      <c r="E11914" s="224" t="s">
        <v>2</v>
      </c>
      <c r="F11914" s="515" t="s">
        <v>13104</v>
      </c>
      <c r="G11914" s="52">
        <v>150409.47519086101</v>
      </c>
      <c r="H11914" s="56">
        <v>6.7272820660323362E-2</v>
      </c>
      <c r="I11914" s="224" t="s">
        <v>2</v>
      </c>
    </row>
    <row r="11915" spans="1:9" x14ac:dyDescent="0.25">
      <c r="A11915" s="515">
        <v>79766</v>
      </c>
      <c r="B11915" s="515" t="s">
        <v>1001</v>
      </c>
      <c r="C11915" s="52">
        <v>226646.33885856901</v>
      </c>
      <c r="D11915" s="56">
        <v>-2.9996111803164222E-2</v>
      </c>
      <c r="E11915" s="224" t="s">
        <v>2</v>
      </c>
      <c r="F11915" s="515" t="s">
        <v>13105</v>
      </c>
      <c r="G11915" s="52">
        <v>342065.041378733</v>
      </c>
      <c r="H11915" s="56">
        <v>9.2964995277735635E-2</v>
      </c>
      <c r="I11915" s="224" t="s">
        <v>2</v>
      </c>
    </row>
    <row r="11916" spans="1:9" x14ac:dyDescent="0.25">
      <c r="A11916" s="515">
        <v>71225</v>
      </c>
      <c r="B11916" s="515" t="s">
        <v>695</v>
      </c>
      <c r="C11916" s="52">
        <v>215845.94498228701</v>
      </c>
      <c r="D11916" s="56">
        <v>3.5157384896277045E-2</v>
      </c>
      <c r="E11916" s="224" t="s">
        <v>2</v>
      </c>
      <c r="F11916" s="515" t="s">
        <v>13106</v>
      </c>
      <c r="G11916" s="52">
        <v>315349.62535897503</v>
      </c>
      <c r="H11916" s="56">
        <v>2.0397699274120204E-2</v>
      </c>
      <c r="I11916" s="224" t="s">
        <v>2</v>
      </c>
    </row>
    <row r="11917" spans="1:9" x14ac:dyDescent="0.25">
      <c r="A11917" s="515">
        <v>75755</v>
      </c>
      <c r="B11917" s="515" t="s">
        <v>319</v>
      </c>
      <c r="C11917" s="52">
        <v>195704.533034005</v>
      </c>
      <c r="D11917" s="56">
        <v>8.4374431001488698E-2</v>
      </c>
      <c r="E11917" s="224" t="s">
        <v>2</v>
      </c>
      <c r="F11917" s="515" t="s">
        <v>13107</v>
      </c>
      <c r="G11917" s="52">
        <v>273446.11097215599</v>
      </c>
      <c r="H11917" s="56">
        <v>9.1384143395166803E-2</v>
      </c>
      <c r="I11917" s="224" t="s">
        <v>2</v>
      </c>
    </row>
    <row r="11918" spans="1:9" x14ac:dyDescent="0.25">
      <c r="A11918" s="515">
        <v>72390</v>
      </c>
      <c r="B11918" s="515" t="s">
        <v>891</v>
      </c>
      <c r="C11918" s="52">
        <v>28236.478627244898</v>
      </c>
      <c r="D11918" s="56">
        <v>-4.8782899802842283E-2</v>
      </c>
      <c r="E11918" s="224" t="s">
        <v>2</v>
      </c>
      <c r="F11918" s="515" t="s">
        <v>13108</v>
      </c>
      <c r="G11918" s="52">
        <v>311826.43950002798</v>
      </c>
      <c r="H11918" s="56">
        <v>0.10598195830736203</v>
      </c>
      <c r="I11918" s="224" t="s">
        <v>2</v>
      </c>
    </row>
    <row r="11919" spans="1:9" x14ac:dyDescent="0.25">
      <c r="A11919" s="515">
        <v>74578</v>
      </c>
      <c r="C11919" s="52">
        <v>101170.53120524</v>
      </c>
      <c r="D11919" s="56">
        <v>2.843487576170815E-2</v>
      </c>
      <c r="E11919" s="224" t="s">
        <v>2</v>
      </c>
      <c r="F11919" s="515" t="s">
        <v>13109</v>
      </c>
      <c r="G11919" s="52">
        <v>238984.09864712501</v>
      </c>
      <c r="H11919" s="56">
        <v>0.13389810511092703</v>
      </c>
      <c r="I11919" s="224" t="s">
        <v>2</v>
      </c>
    </row>
    <row r="11920" spans="1:9" x14ac:dyDescent="0.25">
      <c r="A11920" s="515">
        <v>4270</v>
      </c>
      <c r="C11920" s="52">
        <v>274632.54619112401</v>
      </c>
      <c r="D11920" s="56">
        <v>9.3347623557116871E-2</v>
      </c>
      <c r="E11920" s="224" t="s">
        <v>2</v>
      </c>
      <c r="F11920" s="515" t="s">
        <v>13110</v>
      </c>
      <c r="G11920" s="52">
        <v>389987.680729296</v>
      </c>
      <c r="H11920" s="56">
        <v>3.5429750715341199E-2</v>
      </c>
      <c r="I11920" s="224" t="s">
        <v>2</v>
      </c>
    </row>
    <row r="11921" spans="1:9" x14ac:dyDescent="0.25">
      <c r="A11921" s="515">
        <v>45628</v>
      </c>
      <c r="B11921" s="515" t="s">
        <v>437</v>
      </c>
      <c r="C11921" s="52">
        <v>188116.58363738799</v>
      </c>
      <c r="D11921" s="56">
        <v>8.1344365636746518E-2</v>
      </c>
      <c r="E11921" s="224" t="s">
        <v>2</v>
      </c>
      <c r="F11921" s="515" t="s">
        <v>13111</v>
      </c>
      <c r="G11921" s="52">
        <v>281834.47008530499</v>
      </c>
      <c r="H11921" s="56">
        <v>4.6378568044351295E-2</v>
      </c>
      <c r="I11921" s="224" t="s">
        <v>2</v>
      </c>
    </row>
    <row r="11922" spans="1:9" x14ac:dyDescent="0.25">
      <c r="A11922" s="515">
        <v>12986</v>
      </c>
      <c r="B11922" s="515" t="s">
        <v>706</v>
      </c>
      <c r="C11922" s="52">
        <v>175227.70571926999</v>
      </c>
      <c r="D11922" s="56">
        <v>0.18075224891247987</v>
      </c>
      <c r="E11922" s="224" t="s">
        <v>2</v>
      </c>
      <c r="F11922" s="515" t="s">
        <v>13112</v>
      </c>
      <c r="G11922" s="52">
        <v>156115.313233311</v>
      </c>
      <c r="H11922" s="56">
        <v>7.7447610056116875E-2</v>
      </c>
      <c r="I11922" s="224" t="s">
        <v>2</v>
      </c>
    </row>
    <row r="11923" spans="1:9" x14ac:dyDescent="0.25">
      <c r="A11923" s="515">
        <v>53104</v>
      </c>
      <c r="B11923" s="515" t="s">
        <v>394</v>
      </c>
      <c r="C11923" s="52">
        <v>365224.67742283002</v>
      </c>
      <c r="D11923" s="56">
        <v>2.4696031065589322E-2</v>
      </c>
      <c r="E11923" s="224" t="s">
        <v>2</v>
      </c>
      <c r="F11923" s="515" t="s">
        <v>13113</v>
      </c>
      <c r="G11923" s="52">
        <v>98953.067490564194</v>
      </c>
      <c r="H11923" s="56">
        <v>6.7006463308210557E-3</v>
      </c>
      <c r="I11923" s="224" t="s">
        <v>2</v>
      </c>
    </row>
    <row r="11924" spans="1:9" x14ac:dyDescent="0.25">
      <c r="A11924" s="515">
        <v>33158</v>
      </c>
      <c r="B11924" s="515" t="s">
        <v>831</v>
      </c>
      <c r="C11924" s="52">
        <v>1060467.0615041901</v>
      </c>
      <c r="D11924" s="56">
        <v>0.16901517923346041</v>
      </c>
      <c r="E11924" s="224" t="s">
        <v>2</v>
      </c>
      <c r="F11924" s="515" t="s">
        <v>13114</v>
      </c>
      <c r="G11924" s="52">
        <v>1113579.15926408</v>
      </c>
      <c r="H11924" s="56">
        <v>9.3782344589306496E-2</v>
      </c>
      <c r="I11924" s="224" t="s">
        <v>2</v>
      </c>
    </row>
    <row r="11925" spans="1:9" x14ac:dyDescent="0.25">
      <c r="A11925" s="515">
        <v>28759</v>
      </c>
      <c r="B11925" s="515" t="s">
        <v>668</v>
      </c>
      <c r="C11925" s="52">
        <v>483558.64835537801</v>
      </c>
      <c r="D11925" s="56">
        <v>0.11334888457213108</v>
      </c>
      <c r="E11925" s="224" t="s">
        <v>2</v>
      </c>
      <c r="F11925" s="515" t="s">
        <v>13115</v>
      </c>
      <c r="G11925" s="52">
        <v>132087.24117840899</v>
      </c>
      <c r="H11925" s="56">
        <v>0.12492957833104792</v>
      </c>
      <c r="I11925" s="224" t="s">
        <v>2</v>
      </c>
    </row>
    <row r="11926" spans="1:9" x14ac:dyDescent="0.25">
      <c r="A11926" s="515">
        <v>49251</v>
      </c>
      <c r="B11926" s="515" t="s">
        <v>528</v>
      </c>
      <c r="C11926" s="52">
        <v>190416.360006895</v>
      </c>
      <c r="D11926" s="56">
        <v>8.8628879855877238E-2</v>
      </c>
      <c r="E11926" s="224" t="s">
        <v>2</v>
      </c>
      <c r="F11926" s="515" t="s">
        <v>13116</v>
      </c>
      <c r="G11926" s="52">
        <v>155537.20473663299</v>
      </c>
      <c r="H11926" s="56">
        <v>-2.0005662977822941E-3</v>
      </c>
      <c r="I11926" s="224" t="s">
        <v>2</v>
      </c>
    </row>
    <row r="11927" spans="1:9" x14ac:dyDescent="0.25">
      <c r="A11927" s="515">
        <v>27605</v>
      </c>
      <c r="B11927" s="515" t="s">
        <v>484</v>
      </c>
      <c r="C11927" s="52">
        <v>463072.01527465699</v>
      </c>
      <c r="D11927" s="56">
        <v>1.6203114948521176E-2</v>
      </c>
      <c r="E11927" s="224">
        <v>1776.5574074074</v>
      </c>
      <c r="F11927" s="515" t="s">
        <v>13117</v>
      </c>
      <c r="G11927" s="52">
        <v>144453.86256149001</v>
      </c>
      <c r="H11927" s="56">
        <v>0.2149697754412867</v>
      </c>
      <c r="I11927" s="224" t="s">
        <v>2</v>
      </c>
    </row>
    <row r="11928" spans="1:9" x14ac:dyDescent="0.25">
      <c r="A11928" s="515">
        <v>85034</v>
      </c>
      <c r="B11928" s="515" t="s">
        <v>563</v>
      </c>
      <c r="C11928" s="52">
        <v>283738.14276971499</v>
      </c>
      <c r="D11928" s="56">
        <v>2.0491859988237673E-2</v>
      </c>
      <c r="E11928" s="224">
        <v>1602.31111111111</v>
      </c>
      <c r="F11928" s="515" t="s">
        <v>13118</v>
      </c>
      <c r="G11928" s="52">
        <v>140074.18501295999</v>
      </c>
      <c r="H11928" s="56">
        <v>-9.2301407348605466E-2</v>
      </c>
      <c r="I11928" s="224" t="s">
        <v>2</v>
      </c>
    </row>
    <row r="11929" spans="1:9" x14ac:dyDescent="0.25">
      <c r="A11929" s="515">
        <v>77611</v>
      </c>
      <c r="B11929" s="515" t="s">
        <v>492</v>
      </c>
      <c r="C11929" s="52">
        <v>192678.16838808401</v>
      </c>
      <c r="D11929" s="56">
        <v>4.5489288484559529E-3</v>
      </c>
      <c r="E11929" s="224" t="s">
        <v>2</v>
      </c>
      <c r="F11929" s="515" t="s">
        <v>13119</v>
      </c>
      <c r="G11929" s="52">
        <v>97077.1100781696</v>
      </c>
      <c r="H11929" s="56">
        <v>4.7959610414552038E-2</v>
      </c>
      <c r="I11929" s="224" t="s">
        <v>2</v>
      </c>
    </row>
    <row r="11930" spans="1:9" x14ac:dyDescent="0.25">
      <c r="A11930" s="515">
        <v>73448</v>
      </c>
      <c r="B11930" s="515" t="s">
        <v>710</v>
      </c>
      <c r="C11930" s="52">
        <v>157713.037781933</v>
      </c>
      <c r="D11930" s="56">
        <v>0.16369967270023392</v>
      </c>
      <c r="E11930" s="224" t="s">
        <v>2</v>
      </c>
      <c r="F11930" s="515" t="s">
        <v>13120</v>
      </c>
      <c r="G11930" s="52">
        <v>239776.876708411</v>
      </c>
      <c r="H11930" s="56">
        <v>0.1745367800633694</v>
      </c>
      <c r="I11930" s="224" t="s">
        <v>2</v>
      </c>
    </row>
    <row r="11931" spans="1:9" x14ac:dyDescent="0.25">
      <c r="A11931" s="515">
        <v>68526</v>
      </c>
      <c r="B11931" s="515" t="s">
        <v>486</v>
      </c>
      <c r="C11931" s="52">
        <v>429675.24589234201</v>
      </c>
      <c r="D11931" s="56">
        <v>6.8815948902416949E-2</v>
      </c>
      <c r="E11931" s="224">
        <v>1252.8928571428501</v>
      </c>
      <c r="F11931" s="515" t="s">
        <v>13121</v>
      </c>
      <c r="G11931" s="52">
        <v>164441.56049102099</v>
      </c>
      <c r="H11931" s="56">
        <v>0.21120357160395858</v>
      </c>
      <c r="I11931" s="224" t="s">
        <v>2</v>
      </c>
    </row>
    <row r="11932" spans="1:9" x14ac:dyDescent="0.25">
      <c r="A11932" s="515">
        <v>8809</v>
      </c>
      <c r="B11932" s="515" t="s">
        <v>324</v>
      </c>
      <c r="C11932" s="52">
        <v>427593.12764937797</v>
      </c>
      <c r="D11932" s="56">
        <v>5.2609396215327765E-2</v>
      </c>
      <c r="E11932" s="224" t="s">
        <v>2</v>
      </c>
      <c r="F11932" s="515" t="s">
        <v>13122</v>
      </c>
      <c r="G11932" s="52">
        <v>184246.43917070501</v>
      </c>
      <c r="H11932" s="56">
        <v>0.2017701201409646</v>
      </c>
      <c r="I11932" s="224" t="s">
        <v>2</v>
      </c>
    </row>
    <row r="11933" spans="1:9" x14ac:dyDescent="0.25">
      <c r="A11933" s="515">
        <v>61011</v>
      </c>
      <c r="B11933" s="515" t="s">
        <v>1104</v>
      </c>
      <c r="C11933" s="52">
        <v>286543.85323877801</v>
      </c>
      <c r="D11933" s="56">
        <v>4.9034216963214416E-2</v>
      </c>
      <c r="E11933" s="224" t="s">
        <v>2</v>
      </c>
      <c r="F11933" s="515" t="s">
        <v>13123</v>
      </c>
      <c r="G11933" s="52">
        <v>124569.243580273</v>
      </c>
      <c r="H11933" s="56">
        <v>6.9597822272725152E-2</v>
      </c>
      <c r="I11933" s="224" t="s">
        <v>2</v>
      </c>
    </row>
    <row r="11934" spans="1:9" x14ac:dyDescent="0.25">
      <c r="A11934" s="515">
        <v>72751</v>
      </c>
      <c r="B11934" s="515" t="s">
        <v>675</v>
      </c>
      <c r="C11934" s="52">
        <v>283483.06929483701</v>
      </c>
      <c r="D11934" s="56">
        <v>0.12699504653464821</v>
      </c>
      <c r="E11934" s="224" t="s">
        <v>2</v>
      </c>
      <c r="F11934" s="515" t="s">
        <v>13124</v>
      </c>
      <c r="G11934" s="52">
        <v>191476.47794730699</v>
      </c>
      <c r="H11934" s="56">
        <v>0.10946248458978731</v>
      </c>
      <c r="I11934" s="224" t="s">
        <v>2</v>
      </c>
    </row>
    <row r="11935" spans="1:9" x14ac:dyDescent="0.25">
      <c r="A11935" s="515">
        <v>48726</v>
      </c>
      <c r="C11935" s="52">
        <v>139159.58026903399</v>
      </c>
      <c r="D11935" s="56">
        <v>3.7506766060601604E-2</v>
      </c>
      <c r="E11935" s="224" t="s">
        <v>2</v>
      </c>
      <c r="F11935" s="515" t="s">
        <v>13125</v>
      </c>
      <c r="G11935" s="52">
        <v>290778.603319888</v>
      </c>
      <c r="H11935" s="56">
        <v>0.12975121339455417</v>
      </c>
      <c r="I11935" s="224" t="s">
        <v>2</v>
      </c>
    </row>
    <row r="11936" spans="1:9" x14ac:dyDescent="0.25">
      <c r="A11936" s="515">
        <v>18066</v>
      </c>
      <c r="B11936" s="515" t="s">
        <v>327</v>
      </c>
      <c r="C11936" s="52">
        <v>366726.18414335197</v>
      </c>
      <c r="D11936" s="56">
        <v>7.6172422492422787E-2</v>
      </c>
      <c r="E11936" s="224" t="s">
        <v>2</v>
      </c>
      <c r="F11936" s="515" t="s">
        <v>13126</v>
      </c>
      <c r="G11936" s="52">
        <v>282385.72410677298</v>
      </c>
      <c r="H11936" s="56">
        <v>3.9991756146734378E-2</v>
      </c>
      <c r="I11936" s="224" t="s">
        <v>2</v>
      </c>
    </row>
    <row r="11937" spans="1:9" x14ac:dyDescent="0.25">
      <c r="A11937" s="515">
        <v>70374</v>
      </c>
      <c r="B11937" s="515" t="s">
        <v>898</v>
      </c>
      <c r="C11937" s="52">
        <v>135634.00962511799</v>
      </c>
      <c r="D11937" s="56">
        <v>-9.111361861724776E-2</v>
      </c>
      <c r="E11937" s="224" t="s">
        <v>2</v>
      </c>
      <c r="F11937" s="515" t="s">
        <v>13127</v>
      </c>
      <c r="G11937" s="52">
        <v>184698.99373252399</v>
      </c>
      <c r="H11937" s="56">
        <v>3.9594906696995995E-2</v>
      </c>
      <c r="I11937" s="224" t="s">
        <v>2</v>
      </c>
    </row>
    <row r="11938" spans="1:9" x14ac:dyDescent="0.25">
      <c r="A11938" s="515">
        <v>1566</v>
      </c>
      <c r="B11938" s="515" t="s">
        <v>751</v>
      </c>
      <c r="C11938" s="52">
        <v>418916.83711090201</v>
      </c>
      <c r="D11938" s="56">
        <v>7.518616438379136E-2</v>
      </c>
      <c r="E11938" s="224" t="s">
        <v>2</v>
      </c>
      <c r="F11938" s="515" t="s">
        <v>13128</v>
      </c>
      <c r="G11938" s="52">
        <v>328785.482829277</v>
      </c>
      <c r="H11938" s="56">
        <v>9.5938141358508491E-2</v>
      </c>
      <c r="I11938" s="224" t="s">
        <v>2</v>
      </c>
    </row>
    <row r="11939" spans="1:9" x14ac:dyDescent="0.25">
      <c r="A11939" s="515">
        <v>13856</v>
      </c>
      <c r="C11939" s="52">
        <v>176288.46780583099</v>
      </c>
      <c r="D11939" s="56">
        <v>0.15797510120090102</v>
      </c>
      <c r="E11939" s="224" t="s">
        <v>2</v>
      </c>
      <c r="F11939" s="515" t="s">
        <v>13129</v>
      </c>
      <c r="G11939" s="52">
        <v>212609.95362470101</v>
      </c>
      <c r="H11939" s="56">
        <v>5.6681293367091774E-2</v>
      </c>
      <c r="I11939" s="224" t="s">
        <v>2</v>
      </c>
    </row>
    <row r="11940" spans="1:9" x14ac:dyDescent="0.25">
      <c r="A11940" s="515">
        <v>20622</v>
      </c>
      <c r="B11940" s="515" t="s">
        <v>779</v>
      </c>
      <c r="C11940" s="52">
        <v>440817.84866466798</v>
      </c>
      <c r="D11940" s="56">
        <v>2.7675445984180237E-2</v>
      </c>
      <c r="E11940" s="224" t="s">
        <v>2</v>
      </c>
      <c r="F11940" s="515" t="s">
        <v>13130</v>
      </c>
      <c r="G11940" s="52">
        <v>389777.99944523798</v>
      </c>
      <c r="H11940" s="56">
        <v>9.4520792749528709E-2</v>
      </c>
      <c r="I11940" s="224" t="s">
        <v>2</v>
      </c>
    </row>
    <row r="11941" spans="1:9" x14ac:dyDescent="0.25">
      <c r="A11941" s="515">
        <v>28722</v>
      </c>
      <c r="C11941" s="52">
        <v>345940.158407546</v>
      </c>
      <c r="D11941" s="56">
        <v>0.1366374052871514</v>
      </c>
      <c r="E11941" s="224" t="s">
        <v>2</v>
      </c>
      <c r="F11941" s="515" t="s">
        <v>13131</v>
      </c>
      <c r="G11941" s="52">
        <v>66230.384952957102</v>
      </c>
      <c r="H11941" s="56">
        <v>0</v>
      </c>
      <c r="I11941" s="224" t="s">
        <v>2</v>
      </c>
    </row>
    <row r="11942" spans="1:9" x14ac:dyDescent="0.25">
      <c r="A11942" s="515">
        <v>1536</v>
      </c>
      <c r="B11942" s="515" t="s">
        <v>751</v>
      </c>
      <c r="C11942" s="52">
        <v>469253.320641406</v>
      </c>
      <c r="D11942" s="56">
        <v>8.2699840365684132E-2</v>
      </c>
      <c r="E11942" s="224" t="s">
        <v>2</v>
      </c>
      <c r="F11942" s="515" t="s">
        <v>13132</v>
      </c>
      <c r="G11942" s="52">
        <v>254137.974358974</v>
      </c>
      <c r="H11942" s="56">
        <v>0</v>
      </c>
      <c r="I11942" s="224" t="s">
        <v>2</v>
      </c>
    </row>
    <row r="11943" spans="1:9" x14ac:dyDescent="0.25">
      <c r="A11943" s="515">
        <v>48655</v>
      </c>
      <c r="B11943" s="515" t="s">
        <v>904</v>
      </c>
      <c r="C11943" s="52">
        <v>155954.849740326</v>
      </c>
      <c r="D11943" s="56">
        <v>0.13013286878255526</v>
      </c>
      <c r="E11943" s="224" t="s">
        <v>2</v>
      </c>
      <c r="F11943" s="515" t="s">
        <v>13133</v>
      </c>
      <c r="G11943" s="52">
        <v>176712.95449687101</v>
      </c>
      <c r="H11943" s="56">
        <v>3.9835632837700884E-2</v>
      </c>
      <c r="I11943" s="224" t="s">
        <v>2</v>
      </c>
    </row>
    <row r="11944" spans="1:9" x14ac:dyDescent="0.25">
      <c r="A11944" s="515">
        <v>14779</v>
      </c>
      <c r="B11944" s="515" t="s">
        <v>870</v>
      </c>
      <c r="C11944" s="52">
        <v>88497.958146930599</v>
      </c>
      <c r="D11944" s="56">
        <v>0.15883130989060507</v>
      </c>
      <c r="E11944" s="224" t="s">
        <v>2</v>
      </c>
      <c r="F11944" s="515" t="s">
        <v>13134</v>
      </c>
      <c r="G11944" s="52">
        <v>127291.56216900999</v>
      </c>
      <c r="H11944" s="56">
        <v>0.13632403825604114</v>
      </c>
      <c r="I11944" s="224" t="s">
        <v>2</v>
      </c>
    </row>
    <row r="11945" spans="1:9" x14ac:dyDescent="0.25">
      <c r="A11945" s="515">
        <v>14047</v>
      </c>
      <c r="B11945" s="515" t="s">
        <v>336</v>
      </c>
      <c r="C11945" s="52">
        <v>206487.07411928999</v>
      </c>
      <c r="D11945" s="56">
        <v>7.072168041232299E-2</v>
      </c>
      <c r="E11945" s="224" t="s">
        <v>2</v>
      </c>
      <c r="F11945" s="515" t="s">
        <v>13135</v>
      </c>
      <c r="G11945" s="52">
        <v>136850.04563096701</v>
      </c>
      <c r="H11945" s="56">
        <v>2.4059234154454275E-2</v>
      </c>
      <c r="I11945" s="224" t="s">
        <v>2</v>
      </c>
    </row>
    <row r="11946" spans="1:9" x14ac:dyDescent="0.25">
      <c r="A11946" s="515">
        <v>18925</v>
      </c>
      <c r="B11946" s="515" t="s">
        <v>294</v>
      </c>
      <c r="C11946" s="52">
        <v>612083.52220164204</v>
      </c>
      <c r="D11946" s="56">
        <v>6.4521720530616333E-2</v>
      </c>
      <c r="E11946" s="224" t="s">
        <v>2</v>
      </c>
      <c r="F11946" s="515" t="s">
        <v>13136</v>
      </c>
      <c r="G11946" s="52">
        <v>137564.88747449699</v>
      </c>
      <c r="H11946" s="56">
        <v>0.11513385720221049</v>
      </c>
      <c r="I11946" s="224" t="s">
        <v>2</v>
      </c>
    </row>
    <row r="11947" spans="1:9" x14ac:dyDescent="0.25">
      <c r="A11947" s="515">
        <v>23192</v>
      </c>
      <c r="B11947" s="515" t="s">
        <v>667</v>
      </c>
      <c r="C11947" s="52">
        <v>367029.80176078802</v>
      </c>
      <c r="D11947" s="56">
        <v>5.9898019223298758E-2</v>
      </c>
      <c r="E11947" s="224" t="s">
        <v>2</v>
      </c>
      <c r="F11947" s="515" t="s">
        <v>13137</v>
      </c>
      <c r="G11947" s="52">
        <v>236312.461153652</v>
      </c>
      <c r="H11947" s="56">
        <v>8.5480018901793908E-2</v>
      </c>
      <c r="I11947" s="224" t="s">
        <v>2</v>
      </c>
    </row>
    <row r="11948" spans="1:9" x14ac:dyDescent="0.25">
      <c r="A11948" s="515">
        <v>23507</v>
      </c>
      <c r="B11948" s="515" t="s">
        <v>301</v>
      </c>
      <c r="C11948" s="52">
        <v>438969.898680015</v>
      </c>
      <c r="D11948" s="56">
        <v>3.3333339728735402E-2</v>
      </c>
      <c r="E11948" s="224">
        <v>1533.5277777777701</v>
      </c>
      <c r="F11948" s="515" t="s">
        <v>13138</v>
      </c>
      <c r="G11948" s="52">
        <v>166323.636508942</v>
      </c>
      <c r="H11948" s="56">
        <v>4.5511633804511668E-2</v>
      </c>
      <c r="I11948" s="224" t="s">
        <v>2</v>
      </c>
    </row>
    <row r="11949" spans="1:9" x14ac:dyDescent="0.25">
      <c r="A11949" s="515">
        <v>18072</v>
      </c>
      <c r="B11949" s="515" t="s">
        <v>327</v>
      </c>
      <c r="C11949" s="52">
        <v>242589.55291970901</v>
      </c>
      <c r="D11949" s="56">
        <v>0.11754262283781614</v>
      </c>
      <c r="E11949" s="224" t="s">
        <v>2</v>
      </c>
      <c r="F11949" s="515" t="s">
        <v>13139</v>
      </c>
      <c r="G11949" s="52">
        <v>112191.209737208</v>
      </c>
      <c r="H11949" s="56">
        <v>0.1514286540814867</v>
      </c>
      <c r="I11949" s="224" t="s">
        <v>2</v>
      </c>
    </row>
    <row r="11950" spans="1:9" x14ac:dyDescent="0.25">
      <c r="A11950" s="515">
        <v>35968</v>
      </c>
      <c r="B11950" s="515" t="s">
        <v>979</v>
      </c>
      <c r="C11950" s="52">
        <v>187662.419900818</v>
      </c>
      <c r="D11950" s="56">
        <v>0.12089812779140342</v>
      </c>
      <c r="E11950" s="224" t="s">
        <v>2</v>
      </c>
      <c r="F11950" s="515" t="s">
        <v>13140</v>
      </c>
      <c r="G11950" s="52">
        <v>194481.932225333</v>
      </c>
      <c r="H11950" s="56">
        <v>0.10379409151862272</v>
      </c>
      <c r="I11950" s="224" t="s">
        <v>2</v>
      </c>
    </row>
    <row r="11951" spans="1:9" x14ac:dyDescent="0.25">
      <c r="A11951" s="515">
        <v>46635</v>
      </c>
      <c r="B11951" s="515" t="s">
        <v>1002</v>
      </c>
      <c r="C11951" s="52">
        <v>216538.720489395</v>
      </c>
      <c r="D11951" s="56">
        <v>5.7480260417450697E-2</v>
      </c>
      <c r="E11951" s="224" t="s">
        <v>2</v>
      </c>
      <c r="F11951" s="515" t="s">
        <v>13141</v>
      </c>
      <c r="G11951" s="52">
        <v>311362.295992892</v>
      </c>
      <c r="H11951" s="56">
        <v>0.10088250292592101</v>
      </c>
      <c r="I11951" s="224" t="s">
        <v>2</v>
      </c>
    </row>
    <row r="11952" spans="1:9" x14ac:dyDescent="0.25">
      <c r="A11952" s="515">
        <v>49802</v>
      </c>
      <c r="B11952" s="515" t="s">
        <v>990</v>
      </c>
      <c r="C11952" s="52">
        <v>111591.176120637</v>
      </c>
      <c r="D11952" s="56">
        <v>6.8855694116560673E-2</v>
      </c>
      <c r="E11952" s="224" t="s">
        <v>2</v>
      </c>
      <c r="F11952" s="515" t="s">
        <v>13142</v>
      </c>
      <c r="G11952" s="52">
        <v>354204.87323266501</v>
      </c>
      <c r="H11952" s="56">
        <v>8.9098645679556235E-2</v>
      </c>
      <c r="I11952" s="224" t="s">
        <v>2</v>
      </c>
    </row>
    <row r="11953" spans="1:9" x14ac:dyDescent="0.25">
      <c r="A11953" s="515">
        <v>14469</v>
      </c>
      <c r="B11953" s="515" t="s">
        <v>337</v>
      </c>
      <c r="C11953" s="52">
        <v>249977.17253984901</v>
      </c>
      <c r="D11953" s="56">
        <v>9.5521882264202024E-2</v>
      </c>
      <c r="E11953" s="224" t="s">
        <v>2</v>
      </c>
      <c r="F11953" s="515" t="s">
        <v>13143</v>
      </c>
      <c r="G11953" s="52">
        <v>136029.52941964701</v>
      </c>
      <c r="H11953" s="56">
        <v>0.16607985349642984</v>
      </c>
      <c r="I11953" s="224" t="s">
        <v>2</v>
      </c>
    </row>
    <row r="11954" spans="1:9" x14ac:dyDescent="0.25">
      <c r="A11954" s="515">
        <v>35042</v>
      </c>
      <c r="B11954" s="515" t="s">
        <v>640</v>
      </c>
      <c r="C11954" s="52">
        <v>175568.007832262</v>
      </c>
      <c r="D11954" s="56">
        <v>5.818134404247044E-2</v>
      </c>
      <c r="E11954" s="224" t="s">
        <v>2</v>
      </c>
      <c r="F11954" s="515" t="s">
        <v>13144</v>
      </c>
      <c r="G11954" s="52">
        <v>262850.09547602199</v>
      </c>
      <c r="H11954" s="56">
        <v>9.4876869617949194E-2</v>
      </c>
      <c r="I11954" s="224" t="s">
        <v>2</v>
      </c>
    </row>
    <row r="11955" spans="1:9" x14ac:dyDescent="0.25">
      <c r="A11955" s="515">
        <v>34981</v>
      </c>
      <c r="B11955" s="515" t="s">
        <v>1180</v>
      </c>
      <c r="C11955" s="52">
        <v>358047.48802271602</v>
      </c>
      <c r="D11955" s="56">
        <v>0.15215347416135272</v>
      </c>
      <c r="E11955" s="224" t="s">
        <v>2</v>
      </c>
      <c r="F11955" s="515" t="s">
        <v>13145</v>
      </c>
      <c r="G11955" s="52">
        <v>407643.51343164599</v>
      </c>
      <c r="H11955" s="56">
        <v>3.2189758830277956E-2</v>
      </c>
      <c r="I11955" s="224" t="s">
        <v>2</v>
      </c>
    </row>
    <row r="11956" spans="1:9" x14ac:dyDescent="0.25">
      <c r="A11956" s="515">
        <v>63089</v>
      </c>
      <c r="B11956" s="515" t="s">
        <v>498</v>
      </c>
      <c r="C11956" s="52">
        <v>239261.56581834899</v>
      </c>
      <c r="D11956" s="56">
        <v>5.0989002263790301E-2</v>
      </c>
      <c r="E11956" s="224" t="s">
        <v>2</v>
      </c>
      <c r="F11956" s="515" t="s">
        <v>13146</v>
      </c>
      <c r="G11956" s="52">
        <v>541812.77049803501</v>
      </c>
      <c r="H11956" s="56">
        <v>7.8977527713596146E-2</v>
      </c>
      <c r="I11956" s="224" t="s">
        <v>2</v>
      </c>
    </row>
    <row r="11957" spans="1:9" x14ac:dyDescent="0.25">
      <c r="A11957" s="515">
        <v>29477</v>
      </c>
      <c r="B11957" s="515" t="s">
        <v>1009</v>
      </c>
      <c r="C11957" s="52">
        <v>221656.49267046299</v>
      </c>
      <c r="D11957" s="56">
        <v>0.14755550631186037</v>
      </c>
      <c r="E11957" s="224" t="s">
        <v>2</v>
      </c>
      <c r="F11957" s="515" t="s">
        <v>13147</v>
      </c>
      <c r="G11957" s="52">
        <v>130051.899272023</v>
      </c>
      <c r="H11957" s="56">
        <v>-2.8454754789870303E-2</v>
      </c>
      <c r="I11957" s="224" t="s">
        <v>2</v>
      </c>
    </row>
    <row r="11958" spans="1:9" x14ac:dyDescent="0.25">
      <c r="A11958" s="515">
        <v>37184</v>
      </c>
      <c r="B11958" s="515" t="s">
        <v>684</v>
      </c>
      <c r="C11958" s="52">
        <v>356973.77976185898</v>
      </c>
      <c r="D11958" s="56">
        <v>0.11442263790426077</v>
      </c>
      <c r="E11958" s="224" t="s">
        <v>2</v>
      </c>
      <c r="F11958" s="515" t="s">
        <v>13148</v>
      </c>
      <c r="G11958" s="52">
        <v>166211.97469870999</v>
      </c>
      <c r="H11958" s="56">
        <v>0.1032580980396763</v>
      </c>
      <c r="I11958" s="224" t="s">
        <v>2</v>
      </c>
    </row>
    <row r="11959" spans="1:9" x14ac:dyDescent="0.25">
      <c r="A11959" s="515">
        <v>49451</v>
      </c>
      <c r="B11959" s="515" t="s">
        <v>943</v>
      </c>
      <c r="C11959" s="52">
        <v>236655.50070193401</v>
      </c>
      <c r="D11959" s="56">
        <v>8.6446549026105615E-2</v>
      </c>
      <c r="E11959" s="224" t="s">
        <v>2</v>
      </c>
      <c r="F11959" s="515" t="s">
        <v>13149</v>
      </c>
      <c r="G11959" s="52">
        <v>63562.1737649352</v>
      </c>
      <c r="H11959" s="56">
        <v>0.2838999145699409</v>
      </c>
      <c r="I11959" s="224" t="s">
        <v>2</v>
      </c>
    </row>
    <row r="11960" spans="1:9" x14ac:dyDescent="0.25">
      <c r="A11960" s="515">
        <v>54025</v>
      </c>
      <c r="B11960" s="515" t="s">
        <v>532</v>
      </c>
      <c r="C11960" s="52">
        <v>348544.08703727799</v>
      </c>
      <c r="D11960" s="56">
        <v>3.6637348050465021E-2</v>
      </c>
      <c r="E11960" s="224" t="s">
        <v>2</v>
      </c>
      <c r="F11960" s="515" t="s">
        <v>13150</v>
      </c>
      <c r="G11960" s="52">
        <v>172651.61308785499</v>
      </c>
      <c r="H11960" s="56">
        <v>9.9413464465911233E-2</v>
      </c>
      <c r="I11960" s="224" t="s">
        <v>2</v>
      </c>
    </row>
    <row r="11961" spans="1:9" x14ac:dyDescent="0.25">
      <c r="A11961" s="515">
        <v>72360</v>
      </c>
      <c r="C11961" s="52">
        <v>70626.314768833501</v>
      </c>
      <c r="D11961" s="56">
        <v>-1.7466028027279163E-2</v>
      </c>
      <c r="E11961" s="224" t="s">
        <v>2</v>
      </c>
      <c r="F11961" s="515" t="s">
        <v>13151</v>
      </c>
      <c r="G11961" s="52">
        <v>2309458.5055123302</v>
      </c>
      <c r="H11961" s="56">
        <v>5.1228324442346956E-2</v>
      </c>
      <c r="I11961" s="224" t="s">
        <v>2</v>
      </c>
    </row>
    <row r="11962" spans="1:9" x14ac:dyDescent="0.25">
      <c r="A11962" s="515">
        <v>94571</v>
      </c>
      <c r="B11962" s="515" t="s">
        <v>835</v>
      </c>
      <c r="C11962" s="52">
        <v>472573.75183472002</v>
      </c>
      <c r="D11962" s="56">
        <v>2.9673315190004358E-2</v>
      </c>
      <c r="E11962" s="224" t="s">
        <v>2</v>
      </c>
      <c r="F11962" s="515" t="s">
        <v>13152</v>
      </c>
      <c r="G11962" s="52">
        <v>130438.819891723</v>
      </c>
      <c r="H11962" s="56">
        <v>-2.2949970318699584E-2</v>
      </c>
      <c r="I11962" s="224" t="s">
        <v>2</v>
      </c>
    </row>
    <row r="11963" spans="1:9" x14ac:dyDescent="0.25">
      <c r="A11963" s="515">
        <v>85045</v>
      </c>
      <c r="B11963" s="515" t="s">
        <v>563</v>
      </c>
      <c r="C11963" s="52">
        <v>620388.60217476496</v>
      </c>
      <c r="D11963" s="56">
        <v>2.147005658989893E-2</v>
      </c>
      <c r="E11963" s="224" t="s">
        <v>2</v>
      </c>
      <c r="F11963" s="515" t="s">
        <v>13153</v>
      </c>
      <c r="G11963" s="52">
        <v>314567.73002603097</v>
      </c>
      <c r="H11963" s="56">
        <v>4.3376236926230258E-2</v>
      </c>
      <c r="I11963" s="224" t="s">
        <v>2</v>
      </c>
    </row>
    <row r="11964" spans="1:9" x14ac:dyDescent="0.25">
      <c r="A11964" s="515">
        <v>97024</v>
      </c>
      <c r="B11964" s="515" t="s">
        <v>659</v>
      </c>
      <c r="C11964" s="52">
        <v>450407.14402716601</v>
      </c>
      <c r="D11964" s="56">
        <v>4.1198426094661723E-3</v>
      </c>
      <c r="E11964" s="224">
        <v>1832.88333333333</v>
      </c>
      <c r="F11964" s="515" t="s">
        <v>13154</v>
      </c>
      <c r="G11964" s="52">
        <v>431491.480665076</v>
      </c>
      <c r="H11964" s="56">
        <v>7.6656651133691162E-2</v>
      </c>
      <c r="I11964" s="224" t="s">
        <v>2</v>
      </c>
    </row>
    <row r="11965" spans="1:9" x14ac:dyDescent="0.25">
      <c r="A11965" s="515">
        <v>35594</v>
      </c>
      <c r="C11965" s="52">
        <v>138779.883040018</v>
      </c>
      <c r="D11965" s="56">
        <v>7.964535012710687E-2</v>
      </c>
      <c r="E11965" s="224" t="s">
        <v>2</v>
      </c>
      <c r="F11965" s="515" t="s">
        <v>13155</v>
      </c>
      <c r="G11965" s="52">
        <v>149202.03349666699</v>
      </c>
      <c r="H11965" s="56">
        <v>-0.10472668806462694</v>
      </c>
      <c r="I11965" s="224" t="s">
        <v>2</v>
      </c>
    </row>
    <row r="11966" spans="1:9" x14ac:dyDescent="0.25">
      <c r="A11966" s="515">
        <v>16662</v>
      </c>
      <c r="B11966" s="515" t="s">
        <v>1086</v>
      </c>
      <c r="C11966" s="52">
        <v>225383.093965729</v>
      </c>
      <c r="D11966" s="56">
        <v>3.1705502445343425E-2</v>
      </c>
      <c r="E11966" s="224" t="s">
        <v>2</v>
      </c>
      <c r="F11966" s="515" t="s">
        <v>13156</v>
      </c>
      <c r="G11966" s="52">
        <v>116592.76940454901</v>
      </c>
      <c r="H11966" s="56">
        <v>0.25240322457371023</v>
      </c>
      <c r="I11966" s="224" t="s">
        <v>2</v>
      </c>
    </row>
    <row r="11967" spans="1:9" x14ac:dyDescent="0.25">
      <c r="A11967" s="515">
        <v>1451</v>
      </c>
      <c r="B11967" s="515" t="s">
        <v>751</v>
      </c>
      <c r="C11967" s="52">
        <v>834219.39747114596</v>
      </c>
      <c r="D11967" s="56">
        <v>7.4001981069767561E-2</v>
      </c>
      <c r="E11967" s="224" t="s">
        <v>2</v>
      </c>
      <c r="F11967" s="515" t="s">
        <v>13157</v>
      </c>
      <c r="G11967" s="52">
        <v>294967.45732077898</v>
      </c>
      <c r="H11967" s="56">
        <v>3.111443585850715E-2</v>
      </c>
      <c r="I11967" s="224" t="s">
        <v>2</v>
      </c>
    </row>
    <row r="11968" spans="1:9" x14ac:dyDescent="0.25">
      <c r="A11968" s="515">
        <v>21154</v>
      </c>
      <c r="B11968" s="515" t="s">
        <v>582</v>
      </c>
      <c r="C11968" s="52">
        <v>448954.70243020798</v>
      </c>
      <c r="D11968" s="56">
        <v>3.268339937046625E-2</v>
      </c>
      <c r="E11968" s="224" t="s">
        <v>2</v>
      </c>
      <c r="F11968" s="515" t="s">
        <v>13158</v>
      </c>
      <c r="G11968" s="52">
        <v>199118.47146848301</v>
      </c>
      <c r="H11968" s="56">
        <v>5.5549008419996652E-2</v>
      </c>
      <c r="I11968" s="224" t="s">
        <v>2</v>
      </c>
    </row>
    <row r="11969" spans="1:9" x14ac:dyDescent="0.25">
      <c r="A11969" s="515">
        <v>49250</v>
      </c>
      <c r="B11969" s="515" t="s">
        <v>971</v>
      </c>
      <c r="C11969" s="52">
        <v>177795.55441930299</v>
      </c>
      <c r="D11969" s="56">
        <v>5.5114036816306437E-2</v>
      </c>
      <c r="E11969" s="224" t="s">
        <v>2</v>
      </c>
      <c r="F11969" s="515" t="s">
        <v>13159</v>
      </c>
      <c r="G11969" s="52">
        <v>156303.643601761</v>
      </c>
      <c r="H11969" s="56">
        <v>7.2264598528007221E-2</v>
      </c>
      <c r="I11969" s="224" t="s">
        <v>2</v>
      </c>
    </row>
    <row r="11970" spans="1:9" x14ac:dyDescent="0.25">
      <c r="A11970" s="515">
        <v>72736</v>
      </c>
      <c r="B11970" s="515" t="s">
        <v>675</v>
      </c>
      <c r="C11970" s="52">
        <v>265696.16739872302</v>
      </c>
      <c r="D11970" s="56">
        <v>0.12980528594449947</v>
      </c>
      <c r="E11970" s="224" t="s">
        <v>2</v>
      </c>
      <c r="F11970" s="515" t="s">
        <v>13160</v>
      </c>
      <c r="G11970" s="52">
        <v>159767.66212237001</v>
      </c>
      <c r="H11970" s="56">
        <v>4.2780251273421867E-2</v>
      </c>
      <c r="I11970" s="224" t="s">
        <v>2</v>
      </c>
    </row>
    <row r="11971" spans="1:9" x14ac:dyDescent="0.25">
      <c r="A11971" s="515">
        <v>30173</v>
      </c>
      <c r="B11971" s="515" t="s">
        <v>1138</v>
      </c>
      <c r="C11971" s="52">
        <v>205347.19873425399</v>
      </c>
      <c r="D11971" s="56">
        <v>7.7759979015178213E-2</v>
      </c>
      <c r="E11971" s="224" t="s">
        <v>2</v>
      </c>
      <c r="F11971" s="515" t="s">
        <v>13161</v>
      </c>
      <c r="G11971" s="52">
        <v>454710.06615960097</v>
      </c>
      <c r="H11971" s="56">
        <v>2.9341998510697912E-2</v>
      </c>
      <c r="I11971" s="224" t="s">
        <v>2</v>
      </c>
    </row>
    <row r="11972" spans="1:9" x14ac:dyDescent="0.25">
      <c r="A11972" s="515">
        <v>31771</v>
      </c>
      <c r="B11972" s="515" t="s">
        <v>392</v>
      </c>
      <c r="C11972" s="52">
        <v>96537.703217564806</v>
      </c>
      <c r="D11972" s="56">
        <v>-1.9987416614962977E-2</v>
      </c>
      <c r="E11972" s="224" t="s">
        <v>2</v>
      </c>
      <c r="F11972" s="515" t="s">
        <v>13162</v>
      </c>
      <c r="G11972" s="52">
        <v>134691.32057264799</v>
      </c>
      <c r="H11972" s="56">
        <v>9.7183794950643276E-2</v>
      </c>
      <c r="I11972" s="224" t="s">
        <v>2</v>
      </c>
    </row>
    <row r="11973" spans="1:9" x14ac:dyDescent="0.25">
      <c r="A11973" s="515">
        <v>98388</v>
      </c>
      <c r="B11973" s="515" t="s">
        <v>384</v>
      </c>
      <c r="C11973" s="52">
        <v>582410.06022025004</v>
      </c>
      <c r="D11973" s="56">
        <v>4.7488027739206809E-3</v>
      </c>
      <c r="E11973" s="224">
        <v>1996.5</v>
      </c>
      <c r="F11973" s="515" t="s">
        <v>13163</v>
      </c>
      <c r="G11973" s="52">
        <v>196914.28955218999</v>
      </c>
      <c r="H11973" s="56">
        <v>0.10431687227112608</v>
      </c>
      <c r="I11973" s="224" t="s">
        <v>2</v>
      </c>
    </row>
    <row r="11974" spans="1:9" x14ac:dyDescent="0.25">
      <c r="A11974" s="515">
        <v>24441</v>
      </c>
      <c r="B11974" s="515" t="s">
        <v>728</v>
      </c>
      <c r="C11974" s="52">
        <v>264503.12822254299</v>
      </c>
      <c r="D11974" s="56">
        <v>0.10280417616303318</v>
      </c>
      <c r="E11974" s="224" t="s">
        <v>2</v>
      </c>
      <c r="F11974" s="515" t="s">
        <v>13164</v>
      </c>
      <c r="G11974" s="52">
        <v>368728.63713856298</v>
      </c>
      <c r="H11974" s="56">
        <v>7.988306796122395E-2</v>
      </c>
      <c r="I11974" s="224" t="s">
        <v>2</v>
      </c>
    </row>
    <row r="11975" spans="1:9" x14ac:dyDescent="0.25">
      <c r="A11975" s="515">
        <v>76073</v>
      </c>
      <c r="B11975" s="515" t="s">
        <v>458</v>
      </c>
      <c r="C11975" s="52">
        <v>427113.049108334</v>
      </c>
      <c r="D11975" s="56">
        <v>6.9555129553749664E-2</v>
      </c>
      <c r="E11975" s="224" t="s">
        <v>2</v>
      </c>
      <c r="F11975" s="515" t="s">
        <v>13165</v>
      </c>
      <c r="G11975" s="52">
        <v>164768.197510231</v>
      </c>
      <c r="H11975" s="56">
        <v>0.10967014705603136</v>
      </c>
      <c r="I11975" s="224" t="s">
        <v>2</v>
      </c>
    </row>
    <row r="11976" spans="1:9" x14ac:dyDescent="0.25">
      <c r="A11976" s="515">
        <v>57730</v>
      </c>
      <c r="C11976" s="52">
        <v>359173.54944133299</v>
      </c>
      <c r="D11976" s="56">
        <v>0.1326801326244974</v>
      </c>
      <c r="E11976" s="224" t="s">
        <v>2</v>
      </c>
      <c r="F11976" s="515" t="s">
        <v>13166</v>
      </c>
      <c r="G11976" s="52">
        <v>296946.78100379702</v>
      </c>
      <c r="H11976" s="56">
        <v>0.12289541096051247</v>
      </c>
      <c r="I11976" s="224" t="s">
        <v>2</v>
      </c>
    </row>
    <row r="11977" spans="1:9" x14ac:dyDescent="0.25">
      <c r="A11977" s="515">
        <v>32058</v>
      </c>
      <c r="C11977" s="52">
        <v>203375.71491303499</v>
      </c>
      <c r="D11977" s="56">
        <v>0.15077257960816709</v>
      </c>
      <c r="E11977" s="224" t="s">
        <v>2</v>
      </c>
      <c r="F11977" s="515" t="s">
        <v>13167</v>
      </c>
      <c r="G11977" s="52">
        <v>71874.971932113796</v>
      </c>
      <c r="H11977" s="56">
        <v>0.14036466460634586</v>
      </c>
      <c r="I11977" s="224" t="s">
        <v>2</v>
      </c>
    </row>
    <row r="11978" spans="1:9" x14ac:dyDescent="0.25">
      <c r="A11978" s="515">
        <v>45416</v>
      </c>
      <c r="B11978" s="515" t="s">
        <v>340</v>
      </c>
      <c r="C11978" s="52">
        <v>76454.267829390999</v>
      </c>
      <c r="D11978" s="56">
        <v>0.1482422741486909</v>
      </c>
      <c r="E11978" s="224" t="s">
        <v>2</v>
      </c>
      <c r="F11978" s="515" t="s">
        <v>13168</v>
      </c>
      <c r="G11978" s="52">
        <v>191736.57076562301</v>
      </c>
      <c r="H11978" s="56">
        <v>7.349811273376225E-2</v>
      </c>
      <c r="I11978" s="224" t="s">
        <v>2</v>
      </c>
    </row>
    <row r="11979" spans="1:9" x14ac:dyDescent="0.25">
      <c r="A11979" s="515">
        <v>76691</v>
      </c>
      <c r="B11979" s="515" t="s">
        <v>1057</v>
      </c>
      <c r="C11979" s="52">
        <v>271017.86460186198</v>
      </c>
      <c r="D11979" s="56">
        <v>8.9976401968710137E-2</v>
      </c>
      <c r="E11979" s="224" t="s">
        <v>2</v>
      </c>
      <c r="F11979" s="515" t="s">
        <v>13169</v>
      </c>
      <c r="G11979" s="52">
        <v>232745.74049534899</v>
      </c>
      <c r="H11979" s="56">
        <v>4.5671007255519355E-2</v>
      </c>
      <c r="I11979" s="224" t="s">
        <v>2</v>
      </c>
    </row>
    <row r="11980" spans="1:9" x14ac:dyDescent="0.25">
      <c r="A11980" s="515">
        <v>4027</v>
      </c>
      <c r="B11980" s="515" t="s">
        <v>570</v>
      </c>
      <c r="C11980" s="52">
        <v>331242.307879236</v>
      </c>
      <c r="D11980" s="56">
        <v>5.4307535491765327E-2</v>
      </c>
      <c r="E11980" s="224" t="s">
        <v>2</v>
      </c>
      <c r="F11980" s="515" t="s">
        <v>13170</v>
      </c>
      <c r="G11980" s="52">
        <v>311786.98714086303</v>
      </c>
      <c r="H11980" s="56">
        <v>6.6420515877007202E-2</v>
      </c>
      <c r="I11980" s="224" t="s">
        <v>2</v>
      </c>
    </row>
    <row r="11981" spans="1:9" x14ac:dyDescent="0.25">
      <c r="A11981" s="515">
        <v>17578</v>
      </c>
      <c r="B11981" s="515" t="s">
        <v>537</v>
      </c>
      <c r="C11981" s="52">
        <v>313997.98485536798</v>
      </c>
      <c r="D11981" s="56">
        <v>0.10309655696429813</v>
      </c>
      <c r="E11981" s="224" t="s">
        <v>2</v>
      </c>
      <c r="F11981" s="515" t="s">
        <v>13171</v>
      </c>
      <c r="G11981" s="52">
        <v>365688.02102355601</v>
      </c>
      <c r="H11981" s="56">
        <v>2.0114402350814069E-2</v>
      </c>
      <c r="I11981" s="224" t="s">
        <v>2</v>
      </c>
    </row>
    <row r="11982" spans="1:9" x14ac:dyDescent="0.25">
      <c r="A11982" s="515">
        <v>29059</v>
      </c>
      <c r="B11982" s="515" t="s">
        <v>1036</v>
      </c>
      <c r="C11982" s="52">
        <v>131127.61900475799</v>
      </c>
      <c r="D11982" s="56">
        <v>-2.5550067647902828E-2</v>
      </c>
      <c r="E11982" s="224" t="s">
        <v>2</v>
      </c>
      <c r="F11982" s="515" t="s">
        <v>13172</v>
      </c>
      <c r="G11982" s="52">
        <v>360954.92366417497</v>
      </c>
      <c r="H11982" s="56">
        <v>8.754965279646075E-2</v>
      </c>
      <c r="I11982" s="224" t="s">
        <v>2</v>
      </c>
    </row>
    <row r="11983" spans="1:9" x14ac:dyDescent="0.25">
      <c r="A11983" s="515">
        <v>53119</v>
      </c>
      <c r="B11983" s="515" t="s">
        <v>950</v>
      </c>
      <c r="C11983" s="52">
        <v>396158.877913128</v>
      </c>
      <c r="D11983" s="56">
        <v>3.2008477501718764E-2</v>
      </c>
      <c r="E11983" s="224" t="s">
        <v>2</v>
      </c>
      <c r="F11983" s="515" t="s">
        <v>13173</v>
      </c>
      <c r="G11983" s="52">
        <v>94861.228365801493</v>
      </c>
      <c r="H11983" s="56">
        <v>2.2282694107057591E-2</v>
      </c>
      <c r="I11983" s="224" t="s">
        <v>2</v>
      </c>
    </row>
    <row r="11984" spans="1:9" x14ac:dyDescent="0.25">
      <c r="A11984" s="515">
        <v>16142</v>
      </c>
      <c r="B11984" s="515" t="s">
        <v>397</v>
      </c>
      <c r="C11984" s="52">
        <v>219121.896079914</v>
      </c>
      <c r="D11984" s="56">
        <v>6.5082402684292509E-2</v>
      </c>
      <c r="E11984" s="224" t="s">
        <v>2</v>
      </c>
      <c r="F11984" s="515" t="s">
        <v>13174</v>
      </c>
      <c r="G11984" s="52">
        <v>110152.96362870499</v>
      </c>
      <c r="H11984" s="56">
        <v>-7.9158229595693963E-2</v>
      </c>
      <c r="I11984" s="224" t="s">
        <v>2</v>
      </c>
    </row>
    <row r="11985" spans="1:9" x14ac:dyDescent="0.25">
      <c r="A11985" s="515">
        <v>32730</v>
      </c>
      <c r="B11985" s="515" t="s">
        <v>517</v>
      </c>
      <c r="C11985" s="52">
        <v>305408.032413662</v>
      </c>
      <c r="D11985" s="56">
        <v>0.11416436254875977</v>
      </c>
      <c r="E11985" s="224" t="s">
        <v>2</v>
      </c>
      <c r="F11985" s="515" t="s">
        <v>13175</v>
      </c>
      <c r="G11985" s="52">
        <v>119491.89026999001</v>
      </c>
      <c r="H11985" s="56">
        <v>0.10940400966036896</v>
      </c>
      <c r="I11985" s="224" t="s">
        <v>2</v>
      </c>
    </row>
    <row r="11986" spans="1:9" x14ac:dyDescent="0.25">
      <c r="A11986" s="515">
        <v>27350</v>
      </c>
      <c r="B11986" s="515" t="s">
        <v>1148</v>
      </c>
      <c r="C11986" s="52">
        <v>224871.41359995201</v>
      </c>
      <c r="D11986" s="56">
        <v>5.3395280070766285E-2</v>
      </c>
      <c r="E11986" s="224" t="s">
        <v>2</v>
      </c>
      <c r="F11986" s="515" t="s">
        <v>13176</v>
      </c>
      <c r="G11986" s="52">
        <v>163889.653505792</v>
      </c>
      <c r="H11986" s="56">
        <v>3.2642117993751843E-2</v>
      </c>
      <c r="I11986" s="224" t="s">
        <v>2</v>
      </c>
    </row>
    <row r="11987" spans="1:9" x14ac:dyDescent="0.25">
      <c r="A11987" s="515">
        <v>3848</v>
      </c>
      <c r="B11987" s="515" t="s">
        <v>534</v>
      </c>
      <c r="C11987" s="52">
        <v>473412.87950952101</v>
      </c>
      <c r="D11987" s="56">
        <v>0.11563341865132817</v>
      </c>
      <c r="E11987" s="224" t="s">
        <v>2</v>
      </c>
      <c r="F11987" s="515" t="s">
        <v>13177</v>
      </c>
      <c r="G11987" s="52">
        <v>289123.150905355</v>
      </c>
      <c r="H11987" s="56">
        <v>7.9776066884008665E-2</v>
      </c>
      <c r="I11987" s="224" t="s">
        <v>2</v>
      </c>
    </row>
    <row r="11988" spans="1:9" x14ac:dyDescent="0.25">
      <c r="A11988" s="515">
        <v>14546</v>
      </c>
      <c r="B11988" s="515" t="s">
        <v>337</v>
      </c>
      <c r="C11988" s="52">
        <v>204484.684262094</v>
      </c>
      <c r="D11988" s="56">
        <v>7.7863646119426769E-2</v>
      </c>
      <c r="E11988" s="224" t="s">
        <v>2</v>
      </c>
      <c r="F11988" s="515" t="s">
        <v>13178</v>
      </c>
      <c r="G11988" s="52">
        <v>190922.332740351</v>
      </c>
      <c r="H11988" s="56">
        <v>8.9419562876595027E-2</v>
      </c>
      <c r="I11988" s="224" t="s">
        <v>2</v>
      </c>
    </row>
    <row r="11989" spans="1:9" x14ac:dyDescent="0.25">
      <c r="A11989" s="515">
        <v>75844</v>
      </c>
      <c r="C11989" s="52">
        <v>179081.59395976699</v>
      </c>
      <c r="D11989" s="56">
        <v>-4.0257664436573012E-2</v>
      </c>
      <c r="E11989" s="224" t="s">
        <v>2</v>
      </c>
      <c r="F11989" s="515" t="s">
        <v>13179</v>
      </c>
      <c r="G11989" s="52">
        <v>159033.96427027299</v>
      </c>
      <c r="H11989" s="56">
        <v>3.2229322113743568E-2</v>
      </c>
      <c r="I11989" s="224" t="s">
        <v>2</v>
      </c>
    </row>
    <row r="11990" spans="1:9" x14ac:dyDescent="0.25">
      <c r="A11990" s="515">
        <v>17961</v>
      </c>
      <c r="B11990" s="515" t="s">
        <v>994</v>
      </c>
      <c r="C11990" s="52">
        <v>228960.17053260299</v>
      </c>
      <c r="D11990" s="56">
        <v>8.6288961260702721E-2</v>
      </c>
      <c r="E11990" s="224" t="s">
        <v>2</v>
      </c>
      <c r="F11990" s="515" t="s">
        <v>13180</v>
      </c>
      <c r="G11990" s="52">
        <v>287461.60830709001</v>
      </c>
      <c r="H11990" s="56">
        <v>0.11333442908193953</v>
      </c>
      <c r="I11990" s="224" t="s">
        <v>2</v>
      </c>
    </row>
    <row r="11991" spans="1:9" x14ac:dyDescent="0.25">
      <c r="A11991" s="515">
        <v>45663</v>
      </c>
      <c r="B11991" s="515" t="s">
        <v>772</v>
      </c>
      <c r="C11991" s="52">
        <v>83127.006198775707</v>
      </c>
      <c r="D11991" s="56">
        <v>0.10542339976290654</v>
      </c>
      <c r="E11991" s="224" t="s">
        <v>2</v>
      </c>
      <c r="F11991" s="515" t="s">
        <v>13181</v>
      </c>
      <c r="G11991" s="52">
        <v>358133.14198421902</v>
      </c>
      <c r="H11991" s="56">
        <v>5.6521716809191207E-2</v>
      </c>
      <c r="I11991" s="224" t="s">
        <v>2</v>
      </c>
    </row>
    <row r="11992" spans="1:9" x14ac:dyDescent="0.25">
      <c r="A11992" s="515">
        <v>55322</v>
      </c>
      <c r="B11992" s="515" t="s">
        <v>532</v>
      </c>
      <c r="C11992" s="52">
        <v>410089.81656547898</v>
      </c>
      <c r="D11992" s="56">
        <v>4.0896372677094429E-2</v>
      </c>
      <c r="E11992" s="224" t="s">
        <v>2</v>
      </c>
      <c r="F11992" s="515" t="s">
        <v>13182</v>
      </c>
      <c r="G11992" s="52">
        <v>414912.63671017799</v>
      </c>
      <c r="H11992" s="56">
        <v>8.6084016807401187E-3</v>
      </c>
      <c r="I11992" s="224" t="s">
        <v>2</v>
      </c>
    </row>
    <row r="11993" spans="1:9" x14ac:dyDescent="0.25">
      <c r="A11993" s="515">
        <v>38310</v>
      </c>
      <c r="C11993" s="52">
        <v>142241.674947708</v>
      </c>
      <c r="D11993" s="56">
        <v>4.2465867537677893E-2</v>
      </c>
      <c r="E11993" s="224" t="s">
        <v>2</v>
      </c>
      <c r="F11993" s="515" t="s">
        <v>13183</v>
      </c>
      <c r="G11993" s="52">
        <v>345823.08273755701</v>
      </c>
      <c r="H11993" s="56">
        <v>6.3290072495120975E-2</v>
      </c>
      <c r="I11993" s="224" t="s">
        <v>2</v>
      </c>
    </row>
    <row r="11994" spans="1:9" x14ac:dyDescent="0.25">
      <c r="A11994" s="515">
        <v>53097</v>
      </c>
      <c r="B11994" s="515" t="s">
        <v>950</v>
      </c>
      <c r="C11994" s="52">
        <v>480790.55893336399</v>
      </c>
      <c r="D11994" s="56">
        <v>3.3298473157360897E-2</v>
      </c>
      <c r="E11994" s="224" t="s">
        <v>2</v>
      </c>
      <c r="F11994" s="515" t="s">
        <v>13184</v>
      </c>
      <c r="G11994" s="52">
        <v>255048.258505559</v>
      </c>
      <c r="H11994" s="56">
        <v>3.6857577968332451E-2</v>
      </c>
      <c r="I11994" s="224" t="s">
        <v>2</v>
      </c>
    </row>
    <row r="11995" spans="1:9" x14ac:dyDescent="0.25">
      <c r="A11995" s="515">
        <v>16063</v>
      </c>
      <c r="B11995" s="515" t="s">
        <v>297</v>
      </c>
      <c r="C11995" s="52">
        <v>300739.02216299699</v>
      </c>
      <c r="D11995" s="56">
        <v>4.1441634023860779E-2</v>
      </c>
      <c r="E11995" s="224" t="s">
        <v>2</v>
      </c>
      <c r="F11995" s="515" t="s">
        <v>13185</v>
      </c>
      <c r="G11995" s="52">
        <v>101163.15789336601</v>
      </c>
      <c r="H11995" s="56">
        <v>1.0451555980622619E-2</v>
      </c>
      <c r="I11995" s="224" t="s">
        <v>2</v>
      </c>
    </row>
    <row r="11996" spans="1:9" x14ac:dyDescent="0.25">
      <c r="A11996" s="515">
        <v>49099</v>
      </c>
      <c r="B11996" s="515" t="s">
        <v>892</v>
      </c>
      <c r="C11996" s="52">
        <v>189436.88026342899</v>
      </c>
      <c r="D11996" s="56">
        <v>7.2717533547835805E-2</v>
      </c>
      <c r="E11996" s="224" t="s">
        <v>2</v>
      </c>
      <c r="F11996" s="515" t="s">
        <v>13186</v>
      </c>
      <c r="G11996" s="52">
        <v>155175.56321644399</v>
      </c>
      <c r="H11996" s="56">
        <v>3.8061060609725366E-3</v>
      </c>
      <c r="I11996" s="224" t="s">
        <v>2</v>
      </c>
    </row>
    <row r="11997" spans="1:9" x14ac:dyDescent="0.25">
      <c r="A11997" s="515">
        <v>79363</v>
      </c>
      <c r="B11997" s="515" t="s">
        <v>354</v>
      </c>
      <c r="C11997" s="52">
        <v>254471.18151390899</v>
      </c>
      <c r="D11997" s="56">
        <v>6.1777522186549964E-2</v>
      </c>
      <c r="E11997" s="224" t="s">
        <v>2</v>
      </c>
      <c r="F11997" s="515" t="s">
        <v>13187</v>
      </c>
      <c r="G11997" s="52">
        <v>217292.368644067</v>
      </c>
      <c r="H11997" s="56">
        <v>0</v>
      </c>
      <c r="I11997" s="224" t="s">
        <v>2</v>
      </c>
    </row>
    <row r="11998" spans="1:9" x14ac:dyDescent="0.25">
      <c r="A11998" s="515">
        <v>38756</v>
      </c>
      <c r="B11998" s="515" t="s">
        <v>1204</v>
      </c>
      <c r="C11998" s="52">
        <v>90330.6420979377</v>
      </c>
      <c r="D11998" s="56">
        <v>-0.27600944329368426</v>
      </c>
      <c r="E11998" s="224" t="s">
        <v>2</v>
      </c>
      <c r="F11998" s="515" t="s">
        <v>13188</v>
      </c>
      <c r="G11998" s="52">
        <v>272412.89423939702</v>
      </c>
      <c r="H11998" s="56">
        <v>0.19814435777016259</v>
      </c>
      <c r="I11998" s="224" t="s">
        <v>2</v>
      </c>
    </row>
    <row r="11999" spans="1:9" x14ac:dyDescent="0.25">
      <c r="A11999" s="515">
        <v>56164</v>
      </c>
      <c r="C11999" s="52">
        <v>133819.24101808501</v>
      </c>
      <c r="D11999" s="56">
        <v>2.7686481307138747E-2</v>
      </c>
      <c r="E11999" s="224" t="s">
        <v>2</v>
      </c>
      <c r="F11999" s="515" t="s">
        <v>13189</v>
      </c>
      <c r="G11999" s="52">
        <v>122910.957485643</v>
      </c>
      <c r="H11999" s="56">
        <v>1.713299250445768E-2</v>
      </c>
      <c r="I11999" s="224" t="s">
        <v>2</v>
      </c>
    </row>
    <row r="12000" spans="1:9" x14ac:dyDescent="0.25">
      <c r="A12000" s="515">
        <v>18810</v>
      </c>
      <c r="B12000" s="515" t="s">
        <v>699</v>
      </c>
      <c r="C12000" s="52">
        <v>157415.31570404701</v>
      </c>
      <c r="D12000" s="56">
        <v>4.2091246327900185E-2</v>
      </c>
      <c r="E12000" s="224" t="s">
        <v>2</v>
      </c>
      <c r="F12000" s="515" t="s">
        <v>13190</v>
      </c>
      <c r="G12000" s="52">
        <v>295219.50675061799</v>
      </c>
      <c r="H12000" s="56">
        <v>6.0558731899540891E-2</v>
      </c>
      <c r="I12000" s="224" t="s">
        <v>2</v>
      </c>
    </row>
    <row r="12001" spans="1:9" x14ac:dyDescent="0.25">
      <c r="A12001" s="515">
        <v>84101</v>
      </c>
      <c r="B12001" s="515" t="s">
        <v>617</v>
      </c>
      <c r="C12001" s="52">
        <v>456312.36381189502</v>
      </c>
      <c r="D12001" s="56">
        <v>1.3582890185799466E-2</v>
      </c>
      <c r="E12001" s="224">
        <v>1730.4126984126899</v>
      </c>
      <c r="F12001" s="515" t="s">
        <v>13191</v>
      </c>
      <c r="G12001" s="52">
        <v>184317.49373446</v>
      </c>
      <c r="H12001" s="56">
        <v>4.9702169299146691E-2</v>
      </c>
      <c r="I12001" s="224" t="s">
        <v>2</v>
      </c>
    </row>
    <row r="12002" spans="1:9" x14ac:dyDescent="0.25">
      <c r="A12002" s="515">
        <v>61873</v>
      </c>
      <c r="B12002" s="515" t="s">
        <v>417</v>
      </c>
      <c r="C12002" s="52">
        <v>224184.42580568499</v>
      </c>
      <c r="D12002" s="56">
        <v>4.1197272657063924E-2</v>
      </c>
      <c r="E12002" s="224" t="s">
        <v>2</v>
      </c>
      <c r="F12002" s="515" t="s">
        <v>13192</v>
      </c>
      <c r="G12002" s="52">
        <v>182033.620594112</v>
      </c>
      <c r="H12002" s="56">
        <v>2.9602000712610384E-2</v>
      </c>
      <c r="I12002" s="224" t="s">
        <v>2</v>
      </c>
    </row>
    <row r="12003" spans="1:9" x14ac:dyDescent="0.25">
      <c r="A12003" s="515">
        <v>78593</v>
      </c>
      <c r="B12003" s="515" t="s">
        <v>444</v>
      </c>
      <c r="C12003" s="52">
        <v>114667.833051911</v>
      </c>
      <c r="D12003" s="56">
        <v>8.0290711554718522E-2</v>
      </c>
      <c r="E12003" s="224" t="s">
        <v>2</v>
      </c>
      <c r="F12003" s="515" t="s">
        <v>13193</v>
      </c>
      <c r="G12003" s="52">
        <v>272142.30714185903</v>
      </c>
      <c r="H12003" s="56">
        <v>6.0151016631628383E-2</v>
      </c>
      <c r="I12003" s="224" t="s">
        <v>2</v>
      </c>
    </row>
    <row r="12004" spans="1:9" x14ac:dyDescent="0.25">
      <c r="A12004" s="515">
        <v>39740</v>
      </c>
      <c r="B12004" s="515" t="s">
        <v>1040</v>
      </c>
      <c r="C12004" s="52">
        <v>202339.96620316201</v>
      </c>
      <c r="D12004" s="56">
        <v>-1.9922502502149792E-2</v>
      </c>
      <c r="E12004" s="224" t="s">
        <v>2</v>
      </c>
      <c r="F12004" s="515" t="s">
        <v>13194</v>
      </c>
      <c r="G12004" s="52">
        <v>1650787.37330748</v>
      </c>
      <c r="H12004" s="56">
        <v>0.2020056078512035</v>
      </c>
      <c r="I12004" s="224">
        <v>30238.8888888888</v>
      </c>
    </row>
    <row r="12005" spans="1:9" x14ac:dyDescent="0.25">
      <c r="A12005" s="515">
        <v>23089</v>
      </c>
      <c r="B12005" s="515" t="s">
        <v>667</v>
      </c>
      <c r="C12005" s="52">
        <v>363335.67772527499</v>
      </c>
      <c r="D12005" s="56">
        <v>8.8115311565821156E-2</v>
      </c>
      <c r="E12005" s="224" t="s">
        <v>2</v>
      </c>
      <c r="F12005" s="515" t="s">
        <v>13195</v>
      </c>
      <c r="G12005" s="52">
        <v>391058.54169082199</v>
      </c>
      <c r="H12005" s="56">
        <v>-6.4421604773578101E-4</v>
      </c>
      <c r="I12005" s="224" t="s">
        <v>2</v>
      </c>
    </row>
    <row r="12006" spans="1:9" x14ac:dyDescent="0.25">
      <c r="A12006" s="515">
        <v>21161</v>
      </c>
      <c r="B12006" s="515" t="s">
        <v>582</v>
      </c>
      <c r="C12006" s="52">
        <v>469148.58911334502</v>
      </c>
      <c r="D12006" s="56">
        <v>2.756080729959634E-2</v>
      </c>
      <c r="E12006" s="224" t="s">
        <v>2</v>
      </c>
      <c r="F12006" s="515" t="s">
        <v>13196</v>
      </c>
      <c r="G12006" s="52">
        <v>220041.25929669099</v>
      </c>
      <c r="H12006" s="56">
        <v>9.2703551970382422E-2</v>
      </c>
      <c r="I12006" s="224" t="s">
        <v>2</v>
      </c>
    </row>
    <row r="12007" spans="1:9" x14ac:dyDescent="0.25">
      <c r="A12007" s="515">
        <v>48421</v>
      </c>
      <c r="B12007" s="515" t="s">
        <v>685</v>
      </c>
      <c r="C12007" s="52">
        <v>204691.39014571399</v>
      </c>
      <c r="D12007" s="56">
        <v>2.9373166735839097E-3</v>
      </c>
      <c r="E12007" s="224" t="s">
        <v>2</v>
      </c>
      <c r="F12007" s="515" t="s">
        <v>13197</v>
      </c>
      <c r="G12007" s="52">
        <v>127173.558858035</v>
      </c>
      <c r="H12007" s="56">
        <v>0.11766325651501661</v>
      </c>
      <c r="I12007" s="224" t="s">
        <v>2</v>
      </c>
    </row>
    <row r="12008" spans="1:9" x14ac:dyDescent="0.25">
      <c r="A12008" s="515">
        <v>30739</v>
      </c>
      <c r="B12008" s="515" t="s">
        <v>622</v>
      </c>
      <c r="C12008" s="52">
        <v>269915.34693147999</v>
      </c>
      <c r="D12008" s="56">
        <v>9.4330442112096069E-2</v>
      </c>
      <c r="E12008" s="224" t="s">
        <v>2</v>
      </c>
      <c r="F12008" s="515" t="s">
        <v>13198</v>
      </c>
      <c r="G12008" s="52">
        <v>244139.298689697</v>
      </c>
      <c r="H12008" s="56">
        <v>6.460911447803222E-2</v>
      </c>
      <c r="I12008" s="224" t="s">
        <v>2</v>
      </c>
    </row>
    <row r="12009" spans="1:9" x14ac:dyDescent="0.25">
      <c r="A12009" s="515">
        <v>62286</v>
      </c>
      <c r="C12009" s="52">
        <v>94479.759126291203</v>
      </c>
      <c r="D12009" s="56">
        <v>5.2865329415092407E-2</v>
      </c>
      <c r="E12009" s="224" t="s">
        <v>2</v>
      </c>
      <c r="F12009" s="515" t="s">
        <v>13199</v>
      </c>
      <c r="G12009" s="52">
        <v>349187.48097487399</v>
      </c>
      <c r="H12009" s="56">
        <v>0.14107637732844336</v>
      </c>
      <c r="I12009" s="224" t="s">
        <v>2</v>
      </c>
    </row>
    <row r="12010" spans="1:9" x14ac:dyDescent="0.25">
      <c r="A12010" s="515">
        <v>54021</v>
      </c>
      <c r="B12010" s="515" t="s">
        <v>532</v>
      </c>
      <c r="C12010" s="52">
        <v>359765.20828672498</v>
      </c>
      <c r="D12010" s="56">
        <v>5.6044819208575167E-2</v>
      </c>
      <c r="E12010" s="224" t="s">
        <v>2</v>
      </c>
      <c r="F12010" s="515" t="s">
        <v>13200</v>
      </c>
      <c r="G12010" s="52">
        <v>138321.984678165</v>
      </c>
      <c r="H12010" s="56">
        <v>0.22036931002583729</v>
      </c>
      <c r="I12010" s="224" t="s">
        <v>2</v>
      </c>
    </row>
    <row r="12011" spans="1:9" x14ac:dyDescent="0.25">
      <c r="A12011" s="515">
        <v>2892</v>
      </c>
      <c r="B12011" s="515" t="s">
        <v>513</v>
      </c>
      <c r="C12011" s="52">
        <v>477894.53316630999</v>
      </c>
      <c r="D12011" s="56">
        <v>9.1230795805996676E-2</v>
      </c>
      <c r="E12011" s="224" t="s">
        <v>2</v>
      </c>
      <c r="F12011" s="515" t="s">
        <v>13201</v>
      </c>
      <c r="G12011" s="52">
        <v>203759.14951183001</v>
      </c>
      <c r="H12011" s="56">
        <v>2.3503327742924046E-2</v>
      </c>
      <c r="I12011" s="224" t="s">
        <v>2</v>
      </c>
    </row>
    <row r="12012" spans="1:9" x14ac:dyDescent="0.25">
      <c r="A12012" s="515">
        <v>15126</v>
      </c>
      <c r="B12012" s="515" t="s">
        <v>297</v>
      </c>
      <c r="C12012" s="52">
        <v>251105.24968926501</v>
      </c>
      <c r="D12012" s="56">
        <v>6.6183657521807576E-2</v>
      </c>
      <c r="E12012" s="224" t="s">
        <v>2</v>
      </c>
      <c r="F12012" s="515" t="s">
        <v>13202</v>
      </c>
      <c r="G12012" s="52">
        <v>146635.52040689901</v>
      </c>
      <c r="H12012" s="56">
        <v>0.12065322188329924</v>
      </c>
      <c r="I12012" s="224" t="s">
        <v>2</v>
      </c>
    </row>
    <row r="12013" spans="1:9" x14ac:dyDescent="0.25">
      <c r="A12013" s="515">
        <v>48422</v>
      </c>
      <c r="C12013" s="52">
        <v>169349.87904527099</v>
      </c>
      <c r="D12013" s="56">
        <v>7.1251450470601968E-5</v>
      </c>
      <c r="E12013" s="224" t="s">
        <v>2</v>
      </c>
      <c r="F12013" s="515" t="s">
        <v>13203</v>
      </c>
      <c r="G12013" s="52">
        <v>323336.08502568898</v>
      </c>
      <c r="H12013" s="56">
        <v>0.1101331595895343</v>
      </c>
      <c r="I12013" s="224" t="s">
        <v>2</v>
      </c>
    </row>
    <row r="12014" spans="1:9" x14ac:dyDescent="0.25">
      <c r="A12014" s="515">
        <v>55315</v>
      </c>
      <c r="B12014" s="515" t="s">
        <v>532</v>
      </c>
      <c r="C12014" s="52">
        <v>464639.51883720898</v>
      </c>
      <c r="D12014" s="56">
        <v>5.7678318873047321E-2</v>
      </c>
      <c r="E12014" s="224" t="s">
        <v>2</v>
      </c>
      <c r="F12014" s="515" t="s">
        <v>13204</v>
      </c>
      <c r="G12014" s="52">
        <v>239291.97866003899</v>
      </c>
      <c r="H12014" s="56">
        <v>0.21599939449222377</v>
      </c>
      <c r="I12014" s="224" t="s">
        <v>2</v>
      </c>
    </row>
    <row r="12015" spans="1:9" x14ac:dyDescent="0.25">
      <c r="A12015" s="515">
        <v>56058</v>
      </c>
      <c r="B12015" s="515" t="s">
        <v>532</v>
      </c>
      <c r="C12015" s="52">
        <v>262795.14268902398</v>
      </c>
      <c r="D12015" s="56">
        <v>7.0213949711769363E-2</v>
      </c>
      <c r="E12015" s="224" t="s">
        <v>2</v>
      </c>
      <c r="F12015" s="515" t="s">
        <v>13205</v>
      </c>
      <c r="G12015" s="52">
        <v>139650.89821633199</v>
      </c>
      <c r="H12015" s="56">
        <v>-2.959922077827349E-2</v>
      </c>
      <c r="I12015" s="224" t="s">
        <v>2</v>
      </c>
    </row>
    <row r="12016" spans="1:9" x14ac:dyDescent="0.25">
      <c r="A12016" s="515">
        <v>74421</v>
      </c>
      <c r="B12016" s="515" t="s">
        <v>348</v>
      </c>
      <c r="C12016" s="52">
        <v>193541.60423899101</v>
      </c>
      <c r="D12016" s="56">
        <v>9.3152407297595247E-2</v>
      </c>
      <c r="E12016" s="224" t="s">
        <v>2</v>
      </c>
      <c r="F12016" s="515" t="s">
        <v>13206</v>
      </c>
      <c r="G12016" s="52">
        <v>218698.170039321</v>
      </c>
      <c r="H12016" s="56">
        <v>0.13009146050987838</v>
      </c>
      <c r="I12016" s="224" t="s">
        <v>2</v>
      </c>
    </row>
    <row r="12017" spans="1:9" x14ac:dyDescent="0.25">
      <c r="A12017" s="515">
        <v>53578</v>
      </c>
      <c r="B12017" s="515" t="s">
        <v>916</v>
      </c>
      <c r="C12017" s="52">
        <v>363318.48835331702</v>
      </c>
      <c r="D12017" s="56">
        <v>2.9731993858419088E-2</v>
      </c>
      <c r="E12017" s="224" t="s">
        <v>2</v>
      </c>
      <c r="F12017" s="515" t="s">
        <v>13207</v>
      </c>
      <c r="G12017" s="52">
        <v>168363.58800701599</v>
      </c>
      <c r="H12017" s="56">
        <v>0.10213244494696574</v>
      </c>
      <c r="I12017" s="224" t="s">
        <v>2</v>
      </c>
    </row>
    <row r="12018" spans="1:9" x14ac:dyDescent="0.25">
      <c r="A12018" s="515">
        <v>85623</v>
      </c>
      <c r="B12018" s="515" t="s">
        <v>563</v>
      </c>
      <c r="C12018" s="52">
        <v>493732.70522683999</v>
      </c>
      <c r="D12018" s="56">
        <v>6.136688078670987E-2</v>
      </c>
      <c r="E12018" s="224" t="s">
        <v>2</v>
      </c>
      <c r="F12018" s="515" t="s">
        <v>13208</v>
      </c>
      <c r="G12018" s="52">
        <v>168503.493948352</v>
      </c>
      <c r="H12018" s="56">
        <v>0.13082918383064471</v>
      </c>
      <c r="I12018" s="224" t="s">
        <v>2</v>
      </c>
    </row>
    <row r="12019" spans="1:9" x14ac:dyDescent="0.25">
      <c r="A12019" s="515">
        <v>73149</v>
      </c>
      <c r="B12019" s="515" t="s">
        <v>385</v>
      </c>
      <c r="C12019" s="52">
        <v>98348.509854766802</v>
      </c>
      <c r="D12019" s="56">
        <v>0.14252330326878285</v>
      </c>
      <c r="E12019" s="224" t="s">
        <v>2</v>
      </c>
      <c r="F12019" s="515" t="s">
        <v>13209</v>
      </c>
      <c r="G12019" s="52">
        <v>85616.090464749301</v>
      </c>
      <c r="H12019" s="56">
        <v>0.26222109497801682</v>
      </c>
      <c r="I12019" s="224" t="s">
        <v>2</v>
      </c>
    </row>
    <row r="12020" spans="1:9" x14ac:dyDescent="0.25">
      <c r="A12020" s="515">
        <v>56310</v>
      </c>
      <c r="B12020" s="515" t="s">
        <v>418</v>
      </c>
      <c r="C12020" s="52">
        <v>330726.43769313599</v>
      </c>
      <c r="D12020" s="56">
        <v>5.2329293194455846E-2</v>
      </c>
      <c r="E12020" s="224" t="s">
        <v>2</v>
      </c>
      <c r="F12020" s="515" t="s">
        <v>13210</v>
      </c>
      <c r="G12020" s="52">
        <v>297165.95709676301</v>
      </c>
      <c r="H12020" s="56">
        <v>3.0038284926558998E-2</v>
      </c>
      <c r="I12020" s="224" t="s">
        <v>2</v>
      </c>
    </row>
    <row r="12021" spans="1:9" x14ac:dyDescent="0.25">
      <c r="A12021" s="515">
        <v>11024</v>
      </c>
      <c r="B12021" s="515" t="s">
        <v>324</v>
      </c>
      <c r="C12021" s="52">
        <v>1821291.43593605</v>
      </c>
      <c r="D12021" s="56">
        <v>5.2616301893958356E-2</v>
      </c>
      <c r="E12021" s="224" t="s">
        <v>2</v>
      </c>
      <c r="F12021" s="515" t="s">
        <v>13211</v>
      </c>
      <c r="G12021" s="52">
        <v>65814.679108325203</v>
      </c>
      <c r="H12021" s="56">
        <v>0.11389888892469191</v>
      </c>
      <c r="I12021" s="224" t="s">
        <v>2</v>
      </c>
    </row>
    <row r="12022" spans="1:9" x14ac:dyDescent="0.25">
      <c r="A12022" s="515">
        <v>21727</v>
      </c>
      <c r="B12022" s="515" t="s">
        <v>321</v>
      </c>
      <c r="C12022" s="52">
        <v>309106.51912901399</v>
      </c>
      <c r="D12022" s="56">
        <v>3.163037215592239E-2</v>
      </c>
      <c r="E12022" s="224" t="s">
        <v>2</v>
      </c>
      <c r="F12022" s="515" t="s">
        <v>13212</v>
      </c>
      <c r="G12022" s="52">
        <v>290201.54006724199</v>
      </c>
      <c r="H12022" s="56">
        <v>4.4769219440218722E-2</v>
      </c>
      <c r="I12022" s="224" t="s">
        <v>2</v>
      </c>
    </row>
    <row r="12023" spans="1:9" x14ac:dyDescent="0.25">
      <c r="A12023" s="515">
        <v>64865</v>
      </c>
      <c r="B12023" s="515" t="s">
        <v>784</v>
      </c>
      <c r="C12023" s="52">
        <v>165906.431425193</v>
      </c>
      <c r="D12023" s="56">
        <v>0.18495380126722616</v>
      </c>
      <c r="E12023" s="224" t="s">
        <v>2</v>
      </c>
      <c r="F12023" s="515" t="s">
        <v>13213</v>
      </c>
      <c r="G12023" s="52">
        <v>189977.30430863099</v>
      </c>
      <c r="H12023" s="56">
        <v>0.1607832209538263</v>
      </c>
      <c r="I12023" s="224" t="s">
        <v>2</v>
      </c>
    </row>
    <row r="12024" spans="1:9" x14ac:dyDescent="0.25">
      <c r="A12024" s="515">
        <v>39095</v>
      </c>
      <c r="B12024" s="515" t="s">
        <v>851</v>
      </c>
      <c r="C12024" s="52">
        <v>66418.508242464202</v>
      </c>
      <c r="D12024" s="56">
        <v>-0.12306420803090599</v>
      </c>
      <c r="E12024" s="224" t="s">
        <v>2</v>
      </c>
      <c r="F12024" s="515" t="s">
        <v>13214</v>
      </c>
      <c r="G12024" s="52">
        <v>263004.436236154</v>
      </c>
      <c r="H12024" s="56">
        <v>4.2134752043761638E-2</v>
      </c>
      <c r="I12024" s="224" t="s">
        <v>2</v>
      </c>
    </row>
    <row r="12025" spans="1:9" x14ac:dyDescent="0.25">
      <c r="A12025" s="515">
        <v>43526</v>
      </c>
      <c r="B12025" s="515" t="s">
        <v>583</v>
      </c>
      <c r="C12025" s="52">
        <v>150979.35738244801</v>
      </c>
      <c r="D12025" s="56">
        <v>8.4136805364303568E-2</v>
      </c>
      <c r="E12025" s="224" t="s">
        <v>2</v>
      </c>
      <c r="F12025" s="515" t="s">
        <v>13215</v>
      </c>
      <c r="G12025" s="52">
        <v>231422.153248438</v>
      </c>
      <c r="H12025" s="56">
        <v>0.10770181592922327</v>
      </c>
      <c r="I12025" s="224" t="s">
        <v>2</v>
      </c>
    </row>
    <row r="12026" spans="1:9" x14ac:dyDescent="0.25">
      <c r="A12026" s="515">
        <v>2817</v>
      </c>
      <c r="B12026" s="515" t="s">
        <v>513</v>
      </c>
      <c r="C12026" s="52">
        <v>474943.56030079501</v>
      </c>
      <c r="D12026" s="56">
        <v>9.1924861563548274E-2</v>
      </c>
      <c r="E12026" s="224">
        <v>2461.3333333333298</v>
      </c>
      <c r="F12026" s="515" t="s">
        <v>13216</v>
      </c>
      <c r="G12026" s="52">
        <v>379809.76760563301</v>
      </c>
      <c r="H12026" s="56">
        <v>0</v>
      </c>
      <c r="I12026" s="224" t="s">
        <v>2</v>
      </c>
    </row>
    <row r="12027" spans="1:9" x14ac:dyDescent="0.25">
      <c r="A12027" s="515">
        <v>55358</v>
      </c>
      <c r="B12027" s="515" t="s">
        <v>532</v>
      </c>
      <c r="C12027" s="52">
        <v>321593.61322174303</v>
      </c>
      <c r="D12027" s="56">
        <v>4.8097184842431355E-2</v>
      </c>
      <c r="E12027" s="224" t="s">
        <v>2</v>
      </c>
      <c r="F12027" s="515" t="s">
        <v>13217</v>
      </c>
      <c r="G12027" s="52">
        <v>534101.22469808604</v>
      </c>
      <c r="H12027" s="56">
        <v>2.2595264814125198E-4</v>
      </c>
      <c r="I12027" s="224" t="s">
        <v>2</v>
      </c>
    </row>
    <row r="12028" spans="1:9" x14ac:dyDescent="0.25">
      <c r="A12028" s="515">
        <v>49055</v>
      </c>
      <c r="C12028" s="52">
        <v>198159.42003157301</v>
      </c>
      <c r="D12028" s="56">
        <v>6.4618874615783958E-2</v>
      </c>
      <c r="E12028" s="224" t="s">
        <v>2</v>
      </c>
      <c r="F12028" s="515" t="s">
        <v>13218</v>
      </c>
      <c r="G12028" s="52">
        <v>228840.361012863</v>
      </c>
      <c r="H12028" s="56">
        <v>5.7308107378659053E-2</v>
      </c>
      <c r="I12028" s="224" t="s">
        <v>2</v>
      </c>
    </row>
    <row r="12029" spans="1:9" x14ac:dyDescent="0.25">
      <c r="A12029" s="515">
        <v>48847</v>
      </c>
      <c r="B12029" s="515" t="s">
        <v>1019</v>
      </c>
      <c r="C12029" s="52">
        <v>145024.60608246899</v>
      </c>
      <c r="D12029" s="56">
        <v>-3.1067226654778689E-4</v>
      </c>
      <c r="E12029" s="224" t="s">
        <v>2</v>
      </c>
      <c r="F12029" s="515" t="s">
        <v>13219</v>
      </c>
      <c r="G12029" s="52">
        <v>153145.872930176</v>
      </c>
      <c r="H12029" s="56">
        <v>7.5122160583831879E-2</v>
      </c>
      <c r="I12029" s="224" t="s">
        <v>2</v>
      </c>
    </row>
    <row r="12030" spans="1:9" x14ac:dyDescent="0.25">
      <c r="A12030" s="515">
        <v>55731</v>
      </c>
      <c r="B12030" s="515" t="s">
        <v>350</v>
      </c>
      <c r="C12030" s="52">
        <v>203878.24831949899</v>
      </c>
      <c r="D12030" s="56">
        <v>8.7516693805764753E-2</v>
      </c>
      <c r="E12030" s="224" t="s">
        <v>2</v>
      </c>
      <c r="F12030" s="515" t="s">
        <v>13220</v>
      </c>
      <c r="G12030" s="52">
        <v>110276.062834335</v>
      </c>
      <c r="H12030" s="56">
        <v>0.17953252221711016</v>
      </c>
      <c r="I12030" s="224" t="s">
        <v>2</v>
      </c>
    </row>
    <row r="12031" spans="1:9" x14ac:dyDescent="0.25">
      <c r="A12031" s="515">
        <v>42366</v>
      </c>
      <c r="B12031" s="515" t="s">
        <v>1024</v>
      </c>
      <c r="C12031" s="52">
        <v>217036.202784325</v>
      </c>
      <c r="D12031" s="56">
        <v>0.10978408029626688</v>
      </c>
      <c r="E12031" s="224" t="s">
        <v>2</v>
      </c>
      <c r="F12031" s="515" t="s">
        <v>13221</v>
      </c>
      <c r="G12031" s="52">
        <v>160891.26819183701</v>
      </c>
      <c r="H12031" s="56">
        <v>8.1626844582786587E-2</v>
      </c>
      <c r="I12031" s="224" t="s">
        <v>2</v>
      </c>
    </row>
    <row r="12032" spans="1:9" x14ac:dyDescent="0.25">
      <c r="A12032" s="515">
        <v>2822</v>
      </c>
      <c r="B12032" s="515" t="s">
        <v>513</v>
      </c>
      <c r="C12032" s="52">
        <v>500490.68308541999</v>
      </c>
      <c r="D12032" s="56">
        <v>0.12115200877191937</v>
      </c>
      <c r="E12032" s="224" t="s">
        <v>2</v>
      </c>
      <c r="F12032" s="515" t="s">
        <v>13222</v>
      </c>
      <c r="G12032" s="52">
        <v>95446.731900099898</v>
      </c>
      <c r="H12032" s="56">
        <v>0.11574163552054872</v>
      </c>
      <c r="I12032" s="224" t="s">
        <v>2</v>
      </c>
    </row>
    <row r="12033" spans="1:9" x14ac:dyDescent="0.25">
      <c r="A12033" s="515">
        <v>50126</v>
      </c>
      <c r="C12033" s="52">
        <v>129572.78215895301</v>
      </c>
      <c r="D12033" s="56">
        <v>4.4070106547737214E-2</v>
      </c>
      <c r="E12033" s="224" t="s">
        <v>2</v>
      </c>
      <c r="F12033" s="515" t="s">
        <v>13223</v>
      </c>
      <c r="G12033" s="52">
        <v>162226.05764032499</v>
      </c>
      <c r="H12033" s="56">
        <v>9.4834057949584272E-2</v>
      </c>
      <c r="I12033" s="224" t="s">
        <v>2</v>
      </c>
    </row>
    <row r="12034" spans="1:9" x14ac:dyDescent="0.25">
      <c r="A12034" s="515">
        <v>2718</v>
      </c>
      <c r="B12034" s="515" t="s">
        <v>513</v>
      </c>
      <c r="C12034" s="52">
        <v>437952.12297237501</v>
      </c>
      <c r="D12034" s="56">
        <v>9.8126243593169502E-2</v>
      </c>
      <c r="E12034" s="224" t="s">
        <v>2</v>
      </c>
      <c r="F12034" s="515" t="s">
        <v>13224</v>
      </c>
      <c r="G12034" s="52">
        <v>109167.292651692</v>
      </c>
      <c r="H12034" s="56">
        <v>7.112197866154242E-2</v>
      </c>
      <c r="I12034" s="224" t="s">
        <v>2</v>
      </c>
    </row>
    <row r="12035" spans="1:9" x14ac:dyDescent="0.25">
      <c r="A12035" s="515">
        <v>89124</v>
      </c>
      <c r="B12035" s="515" t="s">
        <v>323</v>
      </c>
      <c r="C12035" s="52">
        <v>531885.522436528</v>
      </c>
      <c r="D12035" s="56">
        <v>3.1933749491385541E-2</v>
      </c>
      <c r="E12035" s="224" t="s">
        <v>2</v>
      </c>
      <c r="F12035" s="515" t="s">
        <v>13225</v>
      </c>
      <c r="G12035" s="52">
        <v>77846.133987654801</v>
      </c>
      <c r="H12035" s="56">
        <v>7.0873758359703762E-2</v>
      </c>
      <c r="I12035" s="224" t="s">
        <v>2</v>
      </c>
    </row>
    <row r="12036" spans="1:9" x14ac:dyDescent="0.25">
      <c r="A12036" s="515">
        <v>79356</v>
      </c>
      <c r="C12036" s="52">
        <v>74181.363918768402</v>
      </c>
      <c r="D12036" s="56">
        <v>-9.0660286938234885E-2</v>
      </c>
      <c r="E12036" s="224" t="s">
        <v>2</v>
      </c>
      <c r="F12036" s="515" t="s">
        <v>13226</v>
      </c>
      <c r="G12036" s="52">
        <v>66516.402083689798</v>
      </c>
      <c r="H12036" s="56">
        <v>5.0944509292992282E-2</v>
      </c>
      <c r="I12036" s="224" t="s">
        <v>2</v>
      </c>
    </row>
    <row r="12037" spans="1:9" x14ac:dyDescent="0.25">
      <c r="A12037" s="515">
        <v>78606</v>
      </c>
      <c r="C12037" s="52">
        <v>513250.64514578698</v>
      </c>
      <c r="D12037" s="56">
        <v>6.8527197978358864E-2</v>
      </c>
      <c r="E12037" s="224" t="s">
        <v>2</v>
      </c>
      <c r="F12037" s="515" t="s">
        <v>13227</v>
      </c>
      <c r="G12037" s="52">
        <v>140501.41195025301</v>
      </c>
      <c r="H12037" s="56">
        <v>-2.6130250690369261E-3</v>
      </c>
      <c r="I12037" s="224" t="s">
        <v>2</v>
      </c>
    </row>
    <row r="12038" spans="1:9" x14ac:dyDescent="0.25">
      <c r="A12038" s="515">
        <v>16933</v>
      </c>
      <c r="C12038" s="52">
        <v>215740.333364247</v>
      </c>
      <c r="D12038" s="56">
        <v>6.4502686918348928E-2</v>
      </c>
      <c r="E12038" s="224" t="s">
        <v>2</v>
      </c>
      <c r="F12038" s="515" t="s">
        <v>13228</v>
      </c>
      <c r="G12038" s="52">
        <v>155047.5202571</v>
      </c>
      <c r="H12038" s="56">
        <v>8.0312410861892142E-2</v>
      </c>
      <c r="I12038" s="224" t="s">
        <v>2</v>
      </c>
    </row>
    <row r="12039" spans="1:9" x14ac:dyDescent="0.25">
      <c r="A12039" s="515">
        <v>22974</v>
      </c>
      <c r="B12039" s="515" t="s">
        <v>630</v>
      </c>
      <c r="C12039" s="52">
        <v>362855.39356863499</v>
      </c>
      <c r="D12039" s="56">
        <v>7.6356532792754339E-2</v>
      </c>
      <c r="E12039" s="224" t="s">
        <v>2</v>
      </c>
      <c r="F12039" s="515" t="s">
        <v>13229</v>
      </c>
      <c r="G12039" s="52">
        <v>386064.542269269</v>
      </c>
      <c r="H12039" s="56">
        <v>0.30938629207778701</v>
      </c>
      <c r="I12039" s="224" t="s">
        <v>2</v>
      </c>
    </row>
    <row r="12040" spans="1:9" x14ac:dyDescent="0.25">
      <c r="A12040" s="515">
        <v>45661</v>
      </c>
      <c r="C12040" s="52">
        <v>135054.35499097899</v>
      </c>
      <c r="D12040" s="56">
        <v>3.9200032014297878E-2</v>
      </c>
      <c r="E12040" s="224" t="s">
        <v>2</v>
      </c>
      <c r="F12040" s="515" t="s">
        <v>13230</v>
      </c>
      <c r="G12040" s="52">
        <v>723427.140227778</v>
      </c>
      <c r="H12040" s="56">
        <v>8.1371443987544159E-2</v>
      </c>
      <c r="I12040" s="224" t="s">
        <v>2</v>
      </c>
    </row>
    <row r="12041" spans="1:9" x14ac:dyDescent="0.25">
      <c r="A12041" s="515">
        <v>31811</v>
      </c>
      <c r="B12041" s="515" t="s">
        <v>778</v>
      </c>
      <c r="C12041" s="52">
        <v>322107.237230414</v>
      </c>
      <c r="D12041" s="56">
        <v>6.1683437603473487E-2</v>
      </c>
      <c r="E12041" s="224" t="s">
        <v>2</v>
      </c>
      <c r="F12041" s="515" t="s">
        <v>13231</v>
      </c>
      <c r="G12041" s="52">
        <v>144929.759004441</v>
      </c>
      <c r="H12041" s="56">
        <v>0.16635585438087414</v>
      </c>
      <c r="I12041" s="224" t="s">
        <v>2</v>
      </c>
    </row>
    <row r="12042" spans="1:9" x14ac:dyDescent="0.25">
      <c r="A12042" s="515">
        <v>55302</v>
      </c>
      <c r="B12042" s="515" t="s">
        <v>532</v>
      </c>
      <c r="C12042" s="52">
        <v>349186.40826177801</v>
      </c>
      <c r="D12042" s="56">
        <v>5.251064037797553E-2</v>
      </c>
      <c r="E12042" s="224" t="s">
        <v>2</v>
      </c>
      <c r="F12042" s="515" t="s">
        <v>13232</v>
      </c>
      <c r="G12042" s="52">
        <v>125693.188049959</v>
      </c>
      <c r="H12042" s="56">
        <v>-8.9012869152159408E-3</v>
      </c>
      <c r="I12042" s="224" t="s">
        <v>2</v>
      </c>
    </row>
    <row r="12043" spans="1:9" x14ac:dyDescent="0.25">
      <c r="A12043" s="515">
        <v>45318</v>
      </c>
      <c r="B12043" s="515" t="s">
        <v>340</v>
      </c>
      <c r="C12043" s="52">
        <v>195315.35786666101</v>
      </c>
      <c r="D12043" s="56">
        <v>9.7683202804388955E-2</v>
      </c>
      <c r="E12043" s="224" t="s">
        <v>2</v>
      </c>
      <c r="F12043" s="515" t="s">
        <v>13233</v>
      </c>
      <c r="G12043" s="52">
        <v>509410.440731365</v>
      </c>
      <c r="H12043" s="56">
        <v>9.5219319354611906E-2</v>
      </c>
      <c r="I12043" s="224" t="s">
        <v>2</v>
      </c>
    </row>
    <row r="12044" spans="1:9" x14ac:dyDescent="0.25">
      <c r="A12044" s="515">
        <v>42171</v>
      </c>
      <c r="B12044" s="515" t="s">
        <v>799</v>
      </c>
      <c r="C12044" s="52">
        <v>205398.65224485999</v>
      </c>
      <c r="D12044" s="56">
        <v>0.14942788571557122</v>
      </c>
      <c r="E12044" s="224" t="s">
        <v>2</v>
      </c>
      <c r="F12044" s="515" t="s">
        <v>13234</v>
      </c>
      <c r="G12044" s="52">
        <v>175692.41479120901</v>
      </c>
      <c r="H12044" s="56">
        <v>7.217589941524348E-2</v>
      </c>
      <c r="I12044" s="224" t="s">
        <v>2</v>
      </c>
    </row>
    <row r="12045" spans="1:9" x14ac:dyDescent="0.25">
      <c r="A12045" s="515">
        <v>18507</v>
      </c>
      <c r="B12045" s="515" t="s">
        <v>512</v>
      </c>
      <c r="C12045" s="52">
        <v>195383.37061694101</v>
      </c>
      <c r="D12045" s="56">
        <v>-1.8683321334130967E-3</v>
      </c>
      <c r="E12045" s="224" t="s">
        <v>2</v>
      </c>
      <c r="F12045" s="515" t="s">
        <v>13235</v>
      </c>
      <c r="G12045" s="52">
        <v>352035.37628486002</v>
      </c>
      <c r="H12045" s="56">
        <v>0.11063316083953575</v>
      </c>
      <c r="I12045" s="224" t="s">
        <v>2</v>
      </c>
    </row>
    <row r="12046" spans="1:9" x14ac:dyDescent="0.25">
      <c r="A12046" s="515">
        <v>47635</v>
      </c>
      <c r="C12046" s="52">
        <v>175783.725729253</v>
      </c>
      <c r="D12046" s="56">
        <v>8.4687245687043153E-2</v>
      </c>
      <c r="E12046" s="224" t="s">
        <v>2</v>
      </c>
      <c r="F12046" s="515" t="s">
        <v>13236</v>
      </c>
      <c r="G12046" s="52">
        <v>195226.612458649</v>
      </c>
      <c r="H12046" s="56">
        <v>0.1167291233723901</v>
      </c>
      <c r="I12046" s="224" t="s">
        <v>2</v>
      </c>
    </row>
    <row r="12047" spans="1:9" x14ac:dyDescent="0.25">
      <c r="A12047" s="515">
        <v>63863</v>
      </c>
      <c r="B12047" s="515" t="s">
        <v>910</v>
      </c>
      <c r="C12047" s="52">
        <v>69258.858808144694</v>
      </c>
      <c r="D12047" s="56">
        <v>-2.6799220977115111E-3</v>
      </c>
      <c r="E12047" s="224" t="s">
        <v>2</v>
      </c>
      <c r="F12047" s="515" t="s">
        <v>13237</v>
      </c>
      <c r="G12047" s="52">
        <v>179541.779967148</v>
      </c>
      <c r="H12047" s="56">
        <v>5.0179724301458499E-2</v>
      </c>
      <c r="I12047" s="224" t="s">
        <v>2</v>
      </c>
    </row>
    <row r="12048" spans="1:9" x14ac:dyDescent="0.25">
      <c r="A12048" s="515">
        <v>24340</v>
      </c>
      <c r="B12048" s="515" t="s">
        <v>902</v>
      </c>
      <c r="C12048" s="52">
        <v>170160.90436261901</v>
      </c>
      <c r="D12048" s="56">
        <v>0.1060253312080756</v>
      </c>
      <c r="E12048" s="224" t="s">
        <v>2</v>
      </c>
      <c r="F12048" s="515" t="s">
        <v>13238</v>
      </c>
      <c r="G12048" s="52">
        <v>88236.424064776496</v>
      </c>
      <c r="H12048" s="56">
        <v>1.4621125533177501E-2</v>
      </c>
      <c r="I12048" s="224" t="s">
        <v>2</v>
      </c>
    </row>
    <row r="12049" spans="1:9" x14ac:dyDescent="0.25">
      <c r="A12049" s="515">
        <v>53179</v>
      </c>
      <c r="B12049" s="515" t="s">
        <v>394</v>
      </c>
      <c r="C12049" s="52">
        <v>277217.55563008401</v>
      </c>
      <c r="D12049" s="56">
        <v>5.3308210540245184E-2</v>
      </c>
      <c r="E12049" s="224" t="s">
        <v>2</v>
      </c>
      <c r="F12049" s="515" t="s">
        <v>13239</v>
      </c>
      <c r="G12049" s="52">
        <v>152645.34901392701</v>
      </c>
      <c r="H12049" s="56">
        <v>0.11780173920710753</v>
      </c>
      <c r="I12049" s="224" t="s">
        <v>2</v>
      </c>
    </row>
    <row r="12050" spans="1:9" x14ac:dyDescent="0.25">
      <c r="A12050" s="515">
        <v>60135</v>
      </c>
      <c r="B12050" s="515" t="s">
        <v>394</v>
      </c>
      <c r="C12050" s="52">
        <v>232595.16567161001</v>
      </c>
      <c r="D12050" s="56">
        <v>6.5340211633819603E-2</v>
      </c>
      <c r="E12050" s="224" t="s">
        <v>2</v>
      </c>
      <c r="F12050" s="515" t="s">
        <v>13240</v>
      </c>
      <c r="G12050" s="52">
        <v>148795.68849974201</v>
      </c>
      <c r="H12050" s="56">
        <v>-3.7187375123739499E-2</v>
      </c>
      <c r="I12050" s="224" t="s">
        <v>2</v>
      </c>
    </row>
    <row r="12051" spans="1:9" x14ac:dyDescent="0.25">
      <c r="A12051" s="515">
        <v>17572</v>
      </c>
      <c r="B12051" s="515" t="s">
        <v>537</v>
      </c>
      <c r="C12051" s="52">
        <v>398568.10601561802</v>
      </c>
      <c r="D12051" s="56">
        <v>9.8919664533212479E-2</v>
      </c>
      <c r="E12051" s="224" t="s">
        <v>2</v>
      </c>
      <c r="F12051" s="515" t="s">
        <v>13241</v>
      </c>
      <c r="G12051" s="52">
        <v>246367.428114251</v>
      </c>
      <c r="H12051" s="56">
        <v>3.4583756651404042E-2</v>
      </c>
      <c r="I12051" s="224" t="s">
        <v>2</v>
      </c>
    </row>
    <row r="12052" spans="1:9" x14ac:dyDescent="0.25">
      <c r="A12052" s="515">
        <v>95220</v>
      </c>
      <c r="B12052" s="515" t="s">
        <v>852</v>
      </c>
      <c r="C12052" s="52">
        <v>704022.75018137798</v>
      </c>
      <c r="D12052" s="56">
        <v>-1.2692170504617186E-2</v>
      </c>
      <c r="E12052" s="224" t="s">
        <v>2</v>
      </c>
      <c r="F12052" s="515" t="s">
        <v>13242</v>
      </c>
      <c r="G12052" s="52">
        <v>1056512.81443593</v>
      </c>
      <c r="H12052" s="56">
        <v>-8.0813682427970573E-2</v>
      </c>
      <c r="I12052" s="224" t="s">
        <v>2</v>
      </c>
    </row>
    <row r="12053" spans="1:9" x14ac:dyDescent="0.25">
      <c r="A12053" s="515">
        <v>18041</v>
      </c>
      <c r="B12053" s="515" t="s">
        <v>294</v>
      </c>
      <c r="C12053" s="52">
        <v>293058.28706940898</v>
      </c>
      <c r="D12053" s="56">
        <v>9.6869875442669826E-2</v>
      </c>
      <c r="E12053" s="224" t="s">
        <v>2</v>
      </c>
      <c r="F12053" s="515" t="s">
        <v>13243</v>
      </c>
      <c r="G12053" s="52">
        <v>279995.660362455</v>
      </c>
      <c r="H12053" s="56">
        <v>3.8403341860404949E-2</v>
      </c>
      <c r="I12053" s="224" t="s">
        <v>2</v>
      </c>
    </row>
    <row r="12054" spans="1:9" x14ac:dyDescent="0.25">
      <c r="A12054" s="515">
        <v>27258</v>
      </c>
      <c r="B12054" s="515" t="s">
        <v>1186</v>
      </c>
      <c r="C12054" s="52">
        <v>281478.11553625402</v>
      </c>
      <c r="D12054" s="56">
        <v>0.12021678612481189</v>
      </c>
      <c r="E12054" s="224" t="s">
        <v>2</v>
      </c>
      <c r="F12054" s="515" t="s">
        <v>13244</v>
      </c>
      <c r="G12054" s="52">
        <v>310736.380756139</v>
      </c>
      <c r="H12054" s="56">
        <v>8.9431519571128743E-2</v>
      </c>
      <c r="I12054" s="224" t="s">
        <v>2</v>
      </c>
    </row>
    <row r="12055" spans="1:9" x14ac:dyDescent="0.25">
      <c r="A12055" s="515">
        <v>62274</v>
      </c>
      <c r="C12055" s="52">
        <v>92259.910810506102</v>
      </c>
      <c r="D12055" s="56">
        <v>0.12955482107609095</v>
      </c>
      <c r="E12055" s="224" t="s">
        <v>2</v>
      </c>
      <c r="F12055" s="515" t="s">
        <v>13245</v>
      </c>
      <c r="G12055" s="52">
        <v>223804.304954967</v>
      </c>
      <c r="H12055" s="56">
        <v>6.3874008214481748E-2</v>
      </c>
      <c r="I12055" s="224" t="s">
        <v>2</v>
      </c>
    </row>
    <row r="12056" spans="1:9" x14ac:dyDescent="0.25">
      <c r="A12056" s="515">
        <v>29853</v>
      </c>
      <c r="C12056" s="52">
        <v>90499.548611398801</v>
      </c>
      <c r="D12056" s="56">
        <v>-1.6223354068370322E-2</v>
      </c>
      <c r="E12056" s="224" t="s">
        <v>2</v>
      </c>
      <c r="F12056" s="515" t="s">
        <v>13246</v>
      </c>
      <c r="G12056" s="52">
        <v>119747.22775985399</v>
      </c>
      <c r="H12056" s="56">
        <v>0.13131960581986399</v>
      </c>
      <c r="I12056" s="224" t="s">
        <v>2</v>
      </c>
    </row>
    <row r="12057" spans="1:9" x14ac:dyDescent="0.25">
      <c r="A12057" s="515">
        <v>78605</v>
      </c>
      <c r="C12057" s="52">
        <v>426239.92746536602</v>
      </c>
      <c r="D12057" s="56">
        <v>5.9557736636179574E-2</v>
      </c>
      <c r="E12057" s="224" t="s">
        <v>2</v>
      </c>
      <c r="F12057" s="515" t="s">
        <v>13247</v>
      </c>
      <c r="G12057" s="52">
        <v>237348.26328828101</v>
      </c>
      <c r="H12057" s="56">
        <v>9.4993185143937134E-2</v>
      </c>
      <c r="I12057" s="224" t="s">
        <v>2</v>
      </c>
    </row>
    <row r="12058" spans="1:9" x14ac:dyDescent="0.25">
      <c r="A12058" s="515">
        <v>7738</v>
      </c>
      <c r="B12058" s="515" t="s">
        <v>324</v>
      </c>
      <c r="C12058" s="52">
        <v>799104.32038114697</v>
      </c>
      <c r="D12058" s="56">
        <v>6.1364278457210313E-2</v>
      </c>
      <c r="E12058" s="224" t="s">
        <v>2</v>
      </c>
      <c r="F12058" s="515" t="s">
        <v>13248</v>
      </c>
      <c r="G12058" s="52">
        <v>403012.326966936</v>
      </c>
      <c r="H12058" s="56">
        <v>8.6639456661991826E-2</v>
      </c>
      <c r="I12058" s="224" t="s">
        <v>2</v>
      </c>
    </row>
    <row r="12059" spans="1:9" x14ac:dyDescent="0.25">
      <c r="A12059" s="515">
        <v>12822</v>
      </c>
      <c r="B12059" s="515" t="s">
        <v>609</v>
      </c>
      <c r="C12059" s="52">
        <v>209545.551289453</v>
      </c>
      <c r="D12059" s="56">
        <v>7.2123212739287734E-2</v>
      </c>
      <c r="E12059" s="224" t="s">
        <v>2</v>
      </c>
      <c r="F12059" s="515" t="s">
        <v>13249</v>
      </c>
      <c r="G12059" s="52">
        <v>378603.00881664502</v>
      </c>
      <c r="H12059" s="56">
        <v>3.994195471989366E-2</v>
      </c>
      <c r="I12059" s="224" t="s">
        <v>2</v>
      </c>
    </row>
    <row r="12060" spans="1:9" x14ac:dyDescent="0.25">
      <c r="A12060" s="515">
        <v>67432</v>
      </c>
      <c r="C12060" s="52">
        <v>117707.529122184</v>
      </c>
      <c r="D12060" s="56">
        <v>2.2592182311420746E-2</v>
      </c>
      <c r="E12060" s="224" t="s">
        <v>2</v>
      </c>
      <c r="F12060" s="515" t="s">
        <v>13250</v>
      </c>
      <c r="G12060" s="52">
        <v>299311.675381815</v>
      </c>
      <c r="H12060" s="56">
        <v>8.1304538939200324E-2</v>
      </c>
      <c r="I12060" s="224" t="s">
        <v>2</v>
      </c>
    </row>
    <row r="12061" spans="1:9" x14ac:dyDescent="0.25">
      <c r="A12061" s="515">
        <v>44021</v>
      </c>
      <c r="B12061" s="515" t="s">
        <v>520</v>
      </c>
      <c r="C12061" s="52">
        <v>236673.66649638099</v>
      </c>
      <c r="D12061" s="56">
        <v>8.2693834154855164E-2</v>
      </c>
      <c r="E12061" s="224" t="s">
        <v>2</v>
      </c>
      <c r="F12061" s="515" t="s">
        <v>13251</v>
      </c>
      <c r="G12061" s="52">
        <v>86021.2861675647</v>
      </c>
      <c r="H12061" s="56">
        <v>2.5292088985415979E-2</v>
      </c>
      <c r="I12061" s="224" t="s">
        <v>2</v>
      </c>
    </row>
    <row r="12062" spans="1:9" x14ac:dyDescent="0.25">
      <c r="A12062" s="515">
        <v>58047</v>
      </c>
      <c r="B12062" s="515" t="s">
        <v>928</v>
      </c>
      <c r="C12062" s="52">
        <v>410322.40391040599</v>
      </c>
      <c r="D12062" s="56">
        <v>7.4822072467305767E-2</v>
      </c>
      <c r="E12062" s="224" t="s">
        <v>2</v>
      </c>
      <c r="F12062" s="515" t="s">
        <v>13252</v>
      </c>
      <c r="G12062" s="52">
        <v>609170.71061999304</v>
      </c>
      <c r="H12062" s="56">
        <v>6.0807050782362093E-2</v>
      </c>
      <c r="I12062" s="224" t="s">
        <v>2</v>
      </c>
    </row>
    <row r="12063" spans="1:9" x14ac:dyDescent="0.25">
      <c r="A12063" s="515">
        <v>85552</v>
      </c>
      <c r="B12063" s="515" t="s">
        <v>1167</v>
      </c>
      <c r="C12063" s="52">
        <v>286826.63490120397</v>
      </c>
      <c r="D12063" s="56">
        <v>3.3730251567292008E-2</v>
      </c>
      <c r="E12063" s="224" t="s">
        <v>2</v>
      </c>
      <c r="F12063" s="515" t="s">
        <v>13253</v>
      </c>
      <c r="G12063" s="52">
        <v>113477.13494894899</v>
      </c>
      <c r="H12063" s="56">
        <v>8.5517066921889456E-2</v>
      </c>
      <c r="I12063" s="224" t="s">
        <v>2</v>
      </c>
    </row>
    <row r="12064" spans="1:9" x14ac:dyDescent="0.25">
      <c r="A12064" s="515">
        <v>47567</v>
      </c>
      <c r="B12064" s="515" t="s">
        <v>544</v>
      </c>
      <c r="C12064" s="52">
        <v>140239.253847563</v>
      </c>
      <c r="D12064" s="56">
        <v>9.8690017215414441E-2</v>
      </c>
      <c r="E12064" s="224" t="s">
        <v>2</v>
      </c>
      <c r="F12064" s="515" t="s">
        <v>13254</v>
      </c>
      <c r="G12064" s="52">
        <v>354072.38866885199</v>
      </c>
      <c r="H12064" s="56">
        <v>0.13712650746725008</v>
      </c>
      <c r="I12064" s="224" t="s">
        <v>2</v>
      </c>
    </row>
    <row r="12065" spans="1:9" x14ac:dyDescent="0.25">
      <c r="A12065" s="515">
        <v>17322</v>
      </c>
      <c r="B12065" s="515" t="s">
        <v>509</v>
      </c>
      <c r="C12065" s="52">
        <v>278432.16297126602</v>
      </c>
      <c r="D12065" s="56">
        <v>9.7996690454102933E-2</v>
      </c>
      <c r="E12065" s="224" t="s">
        <v>2</v>
      </c>
      <c r="F12065" s="515" t="s">
        <v>13255</v>
      </c>
      <c r="G12065" s="52">
        <v>382582.67448454502</v>
      </c>
      <c r="H12065" s="56">
        <v>9.7075449978133305E-2</v>
      </c>
      <c r="I12065" s="224" t="s">
        <v>2</v>
      </c>
    </row>
    <row r="12066" spans="1:9" x14ac:dyDescent="0.25">
      <c r="A12066" s="515">
        <v>15552</v>
      </c>
      <c r="B12066" s="515" t="s">
        <v>370</v>
      </c>
      <c r="C12066" s="52">
        <v>125062.99756588</v>
      </c>
      <c r="D12066" s="56">
        <v>8.8650422350840918E-2</v>
      </c>
      <c r="E12066" s="224" t="s">
        <v>2</v>
      </c>
      <c r="F12066" s="515" t="s">
        <v>13256</v>
      </c>
      <c r="G12066" s="52">
        <v>175255.830058814</v>
      </c>
      <c r="H12066" s="56">
        <v>0.15297618207675778</v>
      </c>
      <c r="I12066" s="224" t="s">
        <v>2</v>
      </c>
    </row>
    <row r="12067" spans="1:9" x14ac:dyDescent="0.25">
      <c r="A12067" s="515">
        <v>19539</v>
      </c>
      <c r="B12067" s="515" t="s">
        <v>569</v>
      </c>
      <c r="C12067" s="52">
        <v>292498.68262925401</v>
      </c>
      <c r="D12067" s="56">
        <v>0.1274104781635958</v>
      </c>
      <c r="E12067" s="224" t="s">
        <v>2</v>
      </c>
      <c r="F12067" s="515" t="s">
        <v>13257</v>
      </c>
      <c r="G12067" s="52">
        <v>193254.80297183699</v>
      </c>
      <c r="H12067" s="56">
        <v>0.12534775724665273</v>
      </c>
      <c r="I12067" s="224" t="s">
        <v>2</v>
      </c>
    </row>
    <row r="12068" spans="1:9" x14ac:dyDescent="0.25">
      <c r="A12068" s="515">
        <v>24101</v>
      </c>
      <c r="B12068" s="515" t="s">
        <v>861</v>
      </c>
      <c r="C12068" s="52">
        <v>327886.75421089702</v>
      </c>
      <c r="D12068" s="56">
        <v>7.2167862048461984E-2</v>
      </c>
      <c r="E12068" s="224" t="s">
        <v>2</v>
      </c>
      <c r="F12068" s="515" t="s">
        <v>13258</v>
      </c>
      <c r="G12068" s="52">
        <v>634493.991062694</v>
      </c>
      <c r="H12068" s="56">
        <v>4.8195502316190346E-2</v>
      </c>
      <c r="I12068" s="224" t="s">
        <v>2</v>
      </c>
    </row>
    <row r="12069" spans="1:9" x14ac:dyDescent="0.25">
      <c r="A12069" s="515">
        <v>21875</v>
      </c>
      <c r="B12069" s="515" t="s">
        <v>552</v>
      </c>
      <c r="C12069" s="52">
        <v>250041.10774789899</v>
      </c>
      <c r="D12069" s="56">
        <v>7.7674853813855638E-2</v>
      </c>
      <c r="E12069" s="224" t="s">
        <v>2</v>
      </c>
      <c r="F12069" s="515" t="s">
        <v>13259</v>
      </c>
      <c r="G12069" s="52">
        <v>245279.57972872999</v>
      </c>
      <c r="H12069" s="56">
        <v>7.2282422204760083E-2</v>
      </c>
      <c r="I12069" s="224" t="s">
        <v>2</v>
      </c>
    </row>
    <row r="12070" spans="1:9" x14ac:dyDescent="0.25">
      <c r="A12070" s="515">
        <v>49285</v>
      </c>
      <c r="B12070" s="515" t="s">
        <v>528</v>
      </c>
      <c r="C12070" s="52">
        <v>230901.376043992</v>
      </c>
      <c r="D12070" s="56">
        <v>6.1248325315602231E-2</v>
      </c>
      <c r="E12070" s="224" t="s">
        <v>2</v>
      </c>
      <c r="F12070" s="515" t="s">
        <v>13260</v>
      </c>
      <c r="G12070" s="52">
        <v>138495.94782049701</v>
      </c>
      <c r="H12070" s="56">
        <v>-1.7519352273867566E-2</v>
      </c>
      <c r="I12070" s="224" t="s">
        <v>2</v>
      </c>
    </row>
    <row r="12071" spans="1:9" x14ac:dyDescent="0.25">
      <c r="A12071" s="515">
        <v>70075</v>
      </c>
      <c r="B12071" s="515" t="s">
        <v>777</v>
      </c>
      <c r="C12071" s="52">
        <v>226602.61223595601</v>
      </c>
      <c r="D12071" s="56">
        <v>3.0994345416541832E-2</v>
      </c>
      <c r="E12071" s="224" t="s">
        <v>2</v>
      </c>
      <c r="F12071" s="515" t="s">
        <v>13261</v>
      </c>
      <c r="G12071" s="52">
        <v>264479.91704841098</v>
      </c>
      <c r="H12071" s="56">
        <v>0.12109864026325906</v>
      </c>
      <c r="I12071" s="224" t="s">
        <v>2</v>
      </c>
    </row>
    <row r="12072" spans="1:9" x14ac:dyDescent="0.25">
      <c r="A12072" s="515">
        <v>24054</v>
      </c>
      <c r="B12072" s="515" t="s">
        <v>1114</v>
      </c>
      <c r="C12072" s="52">
        <v>89955.715153328594</v>
      </c>
      <c r="D12072" s="56">
        <v>0.10053355036909033</v>
      </c>
      <c r="E12072" s="224" t="s">
        <v>2</v>
      </c>
      <c r="F12072" s="515" t="s">
        <v>13262</v>
      </c>
      <c r="G12072" s="52">
        <v>806594.62628726999</v>
      </c>
      <c r="H12072" s="56">
        <v>7.2465833721078496E-2</v>
      </c>
      <c r="I12072" s="224" t="s">
        <v>2</v>
      </c>
    </row>
    <row r="12073" spans="1:9" x14ac:dyDescent="0.25">
      <c r="A12073" s="515">
        <v>37189</v>
      </c>
      <c r="B12073" s="515" t="s">
        <v>684</v>
      </c>
      <c r="C12073" s="52">
        <v>374948.32998128602</v>
      </c>
      <c r="D12073" s="56">
        <v>0.10064074013353343</v>
      </c>
      <c r="E12073" s="224" t="s">
        <v>2</v>
      </c>
      <c r="F12073" s="515" t="s">
        <v>13263</v>
      </c>
      <c r="G12073" s="52">
        <v>340699.32486391102</v>
      </c>
      <c r="H12073" s="56">
        <v>0.15546541424905125</v>
      </c>
      <c r="I12073" s="224" t="s">
        <v>2</v>
      </c>
    </row>
    <row r="12074" spans="1:9" x14ac:dyDescent="0.25">
      <c r="A12074" s="515">
        <v>6403</v>
      </c>
      <c r="B12074" s="515" t="s">
        <v>1172</v>
      </c>
      <c r="C12074" s="52">
        <v>327235.09657211998</v>
      </c>
      <c r="D12074" s="56">
        <v>8.3608680211599215E-2</v>
      </c>
      <c r="E12074" s="224" t="s">
        <v>2</v>
      </c>
      <c r="F12074" s="515" t="s">
        <v>13264</v>
      </c>
      <c r="G12074" s="52">
        <v>302108.71438670001</v>
      </c>
      <c r="H12074" s="56">
        <v>6.3923115200967148E-2</v>
      </c>
      <c r="I12074" s="224" t="s">
        <v>2</v>
      </c>
    </row>
    <row r="12075" spans="1:9" x14ac:dyDescent="0.25">
      <c r="A12075" s="515">
        <v>12721</v>
      </c>
      <c r="C12075" s="52">
        <v>366217.07549195603</v>
      </c>
      <c r="D12075" s="56">
        <v>8.4963286695326767E-2</v>
      </c>
      <c r="E12075" s="224" t="s">
        <v>2</v>
      </c>
      <c r="F12075" s="515" t="s">
        <v>13265</v>
      </c>
      <c r="G12075" s="52">
        <v>244668.47096020999</v>
      </c>
      <c r="H12075" s="56">
        <v>0.11137150555800314</v>
      </c>
      <c r="I12075" s="224" t="s">
        <v>2</v>
      </c>
    </row>
    <row r="12076" spans="1:9" x14ac:dyDescent="0.25">
      <c r="A12076" s="515">
        <v>1033</v>
      </c>
      <c r="B12076" s="515" t="s">
        <v>575</v>
      </c>
      <c r="C12076" s="52">
        <v>332133.18640223902</v>
      </c>
      <c r="D12076" s="56">
        <v>8.2408822974245247E-2</v>
      </c>
      <c r="E12076" s="224" t="s">
        <v>2</v>
      </c>
      <c r="F12076" s="515" t="s">
        <v>13266</v>
      </c>
      <c r="G12076" s="52">
        <v>149525.825276769</v>
      </c>
      <c r="H12076" s="56">
        <v>8.5293294706889719E-2</v>
      </c>
      <c r="I12076" s="224" t="s">
        <v>2</v>
      </c>
    </row>
    <row r="12077" spans="1:9" x14ac:dyDescent="0.25">
      <c r="A12077" s="515">
        <v>78052</v>
      </c>
      <c r="B12077" s="515" t="s">
        <v>717</v>
      </c>
      <c r="C12077" s="52">
        <v>271277.07314144098</v>
      </c>
      <c r="D12077" s="56">
        <v>3.2507687055913718E-2</v>
      </c>
      <c r="E12077" s="224" t="s">
        <v>2</v>
      </c>
      <c r="F12077" s="515" t="s">
        <v>13267</v>
      </c>
      <c r="G12077" s="52">
        <v>110709.567746139</v>
      </c>
      <c r="H12077" s="56">
        <v>0.15724342657999404</v>
      </c>
      <c r="I12077" s="224" t="s">
        <v>2</v>
      </c>
    </row>
    <row r="12078" spans="1:9" x14ac:dyDescent="0.25">
      <c r="A12078" s="515">
        <v>42567</v>
      </c>
      <c r="B12078" s="515" t="s">
        <v>1145</v>
      </c>
      <c r="C12078" s="52">
        <v>149039.127434945</v>
      </c>
      <c r="D12078" s="56">
        <v>0.15191453484449238</v>
      </c>
      <c r="E12078" s="224" t="s">
        <v>2</v>
      </c>
      <c r="F12078" s="515" t="s">
        <v>13268</v>
      </c>
      <c r="G12078" s="52">
        <v>233144.67858705501</v>
      </c>
      <c r="H12078" s="56">
        <v>0.12254685129854359</v>
      </c>
      <c r="I12078" s="224" t="s">
        <v>2</v>
      </c>
    </row>
    <row r="12079" spans="1:9" x14ac:dyDescent="0.25">
      <c r="A12079" s="515">
        <v>39345</v>
      </c>
      <c r="C12079" s="52">
        <v>107874.192490181</v>
      </c>
      <c r="D12079" s="56">
        <v>-3.6000130168909752E-2</v>
      </c>
      <c r="E12079" s="224" t="s">
        <v>2</v>
      </c>
      <c r="F12079" s="515" t="s">
        <v>13269</v>
      </c>
      <c r="G12079" s="52">
        <v>201319.61495375799</v>
      </c>
      <c r="H12079" s="56">
        <v>2.297061519241942E-2</v>
      </c>
      <c r="I12079" s="224" t="s">
        <v>2</v>
      </c>
    </row>
    <row r="12080" spans="1:9" x14ac:dyDescent="0.25">
      <c r="A12080" s="515">
        <v>17053</v>
      </c>
      <c r="B12080" s="515" t="s">
        <v>428</v>
      </c>
      <c r="C12080" s="52">
        <v>232831.46493812301</v>
      </c>
      <c r="D12080" s="56">
        <v>5.7486925983514695E-2</v>
      </c>
      <c r="E12080" s="224" t="s">
        <v>2</v>
      </c>
      <c r="F12080" s="515" t="s">
        <v>13270</v>
      </c>
      <c r="G12080" s="52">
        <v>111090.98343588501</v>
      </c>
      <c r="H12080" s="56">
        <v>0.11274517958163373</v>
      </c>
      <c r="I12080" s="224" t="s">
        <v>2</v>
      </c>
    </row>
    <row r="12081" spans="1:9" x14ac:dyDescent="0.25">
      <c r="A12081" s="515">
        <v>29555</v>
      </c>
      <c r="B12081" s="515" t="s">
        <v>1039</v>
      </c>
      <c r="C12081" s="52">
        <v>123242.72613293301</v>
      </c>
      <c r="D12081" s="56">
        <v>0.12476668013911621</v>
      </c>
      <c r="E12081" s="224" t="s">
        <v>2</v>
      </c>
      <c r="F12081" s="515" t="s">
        <v>13271</v>
      </c>
      <c r="G12081" s="52">
        <v>216240.36415893599</v>
      </c>
      <c r="H12081" s="56">
        <v>4.3084382683444819E-2</v>
      </c>
      <c r="I12081" s="224" t="s">
        <v>2</v>
      </c>
    </row>
    <row r="12082" spans="1:9" x14ac:dyDescent="0.25">
      <c r="A12082" s="515">
        <v>36312</v>
      </c>
      <c r="B12082" s="515" t="s">
        <v>816</v>
      </c>
      <c r="C12082" s="52">
        <v>160727.59554233801</v>
      </c>
      <c r="D12082" s="56">
        <v>0.11033734108359532</v>
      </c>
      <c r="E12082" s="224" t="s">
        <v>2</v>
      </c>
      <c r="F12082" s="515" t="s">
        <v>13272</v>
      </c>
      <c r="G12082" s="52">
        <v>295047.13409606199</v>
      </c>
      <c r="H12082" s="56">
        <v>0</v>
      </c>
      <c r="I12082" s="224" t="s">
        <v>2</v>
      </c>
    </row>
    <row r="12083" spans="1:9" x14ac:dyDescent="0.25">
      <c r="A12083" s="515">
        <v>92624</v>
      </c>
      <c r="B12083" s="515" t="s">
        <v>375</v>
      </c>
      <c r="C12083" s="52">
        <v>1405148.9744101099</v>
      </c>
      <c r="D12083" s="56">
        <v>8.2806768637427641E-2</v>
      </c>
      <c r="E12083" s="224" t="s">
        <v>2</v>
      </c>
      <c r="F12083" s="515" t="s">
        <v>13273</v>
      </c>
      <c r="G12083" s="52">
        <v>206360.63537432899</v>
      </c>
      <c r="H12083" s="56">
        <v>1.7210363629099262E-2</v>
      </c>
      <c r="I12083" s="224" t="s">
        <v>2</v>
      </c>
    </row>
    <row r="12084" spans="1:9" x14ac:dyDescent="0.25">
      <c r="A12084" s="515">
        <v>28609</v>
      </c>
      <c r="B12084" s="515" t="s">
        <v>638</v>
      </c>
      <c r="C12084" s="52">
        <v>254269.714336921</v>
      </c>
      <c r="D12084" s="56">
        <v>0.15363373225380253</v>
      </c>
      <c r="E12084" s="224" t="s">
        <v>2</v>
      </c>
      <c r="F12084" s="515" t="s">
        <v>13274</v>
      </c>
      <c r="G12084" s="52">
        <v>594917.34116917895</v>
      </c>
      <c r="H12084" s="56">
        <v>9.5870925057811807E-2</v>
      </c>
      <c r="I12084" s="224" t="s">
        <v>2</v>
      </c>
    </row>
    <row r="12085" spans="1:9" x14ac:dyDescent="0.25">
      <c r="A12085" s="515">
        <v>1969</v>
      </c>
      <c r="B12085" s="515" t="s">
        <v>534</v>
      </c>
      <c r="C12085" s="52">
        <v>659736.73554139899</v>
      </c>
      <c r="D12085" s="56">
        <v>7.0425914439087356E-2</v>
      </c>
      <c r="E12085" s="224" t="s">
        <v>2</v>
      </c>
      <c r="F12085" s="515" t="s">
        <v>13275</v>
      </c>
      <c r="G12085" s="52">
        <v>135263.48729657399</v>
      </c>
      <c r="H12085" s="56">
        <v>4.3683439326999217E-2</v>
      </c>
      <c r="I12085" s="224" t="s">
        <v>2</v>
      </c>
    </row>
    <row r="12086" spans="1:9" x14ac:dyDescent="0.25">
      <c r="A12086" s="515">
        <v>54456</v>
      </c>
      <c r="C12086" s="52">
        <v>140394.09789102199</v>
      </c>
      <c r="D12086" s="56">
        <v>6.7937179569711972E-2</v>
      </c>
      <c r="E12086" s="224" t="s">
        <v>2</v>
      </c>
      <c r="F12086" s="515" t="s">
        <v>13276</v>
      </c>
      <c r="G12086" s="52">
        <v>138717.91575354</v>
      </c>
      <c r="H12086" s="56">
        <v>8.1884221846348998E-2</v>
      </c>
      <c r="I12086" s="224" t="s">
        <v>2</v>
      </c>
    </row>
    <row r="12087" spans="1:9" x14ac:dyDescent="0.25">
      <c r="A12087" s="515">
        <v>95683</v>
      </c>
      <c r="B12087" s="515" t="s">
        <v>355</v>
      </c>
      <c r="C12087" s="52">
        <v>655999.81403700798</v>
      </c>
      <c r="D12087" s="56">
        <v>-2.2456797957757558E-2</v>
      </c>
      <c r="E12087" s="224" t="s">
        <v>2</v>
      </c>
      <c r="F12087" s="515" t="s">
        <v>13277</v>
      </c>
      <c r="G12087" s="52">
        <v>149311.78583990599</v>
      </c>
      <c r="H12087" s="56">
        <v>4.4643136862734127E-2</v>
      </c>
      <c r="I12087" s="224" t="s">
        <v>2</v>
      </c>
    </row>
    <row r="12088" spans="1:9" x14ac:dyDescent="0.25">
      <c r="A12088" s="515">
        <v>17345</v>
      </c>
      <c r="B12088" s="515" t="s">
        <v>509</v>
      </c>
      <c r="C12088" s="52">
        <v>219178.56880277701</v>
      </c>
      <c r="D12088" s="56">
        <v>8.9478178563045546E-2</v>
      </c>
      <c r="E12088" s="224" t="s">
        <v>2</v>
      </c>
      <c r="F12088" s="515" t="s">
        <v>13278</v>
      </c>
      <c r="G12088" s="52">
        <v>355641.38314095401</v>
      </c>
      <c r="H12088" s="56">
        <v>7.9974156998706067E-2</v>
      </c>
      <c r="I12088" s="224" t="s">
        <v>2</v>
      </c>
    </row>
    <row r="12089" spans="1:9" x14ac:dyDescent="0.25">
      <c r="A12089" s="515">
        <v>28478</v>
      </c>
      <c r="B12089" s="515" t="s">
        <v>1038</v>
      </c>
      <c r="C12089" s="52">
        <v>174531.49663065001</v>
      </c>
      <c r="D12089" s="56">
        <v>0.16921634999923627</v>
      </c>
      <c r="E12089" s="224" t="s">
        <v>2</v>
      </c>
      <c r="F12089" s="515" t="s">
        <v>13279</v>
      </c>
      <c r="G12089" s="52">
        <v>172253.31599751001</v>
      </c>
      <c r="H12089" s="56">
        <v>9.3627301818428807E-2</v>
      </c>
      <c r="I12089" s="224" t="s">
        <v>2</v>
      </c>
    </row>
    <row r="12090" spans="1:9" x14ac:dyDescent="0.25">
      <c r="A12090" s="515">
        <v>1073</v>
      </c>
      <c r="B12090" s="515" t="s">
        <v>575</v>
      </c>
      <c r="C12090" s="52">
        <v>415362.75654558698</v>
      </c>
      <c r="D12090" s="56">
        <v>7.9915335349177455E-2</v>
      </c>
      <c r="E12090" s="224" t="s">
        <v>2</v>
      </c>
      <c r="F12090" s="515" t="s">
        <v>13280</v>
      </c>
      <c r="G12090" s="52">
        <v>386730.29475502297</v>
      </c>
      <c r="H12090" s="56">
        <v>0.10356184459200064</v>
      </c>
      <c r="I12090" s="224" t="s">
        <v>2</v>
      </c>
    </row>
    <row r="12091" spans="1:9" x14ac:dyDescent="0.25">
      <c r="A12091" s="515">
        <v>16735</v>
      </c>
      <c r="B12091" s="515" t="s">
        <v>604</v>
      </c>
      <c r="C12091" s="52">
        <v>69306.299407853105</v>
      </c>
      <c r="D12091" s="56">
        <v>4.0417584775227451E-2</v>
      </c>
      <c r="E12091" s="224" t="s">
        <v>2</v>
      </c>
      <c r="F12091" s="515" t="s">
        <v>13281</v>
      </c>
      <c r="G12091" s="52">
        <v>172411.01071032899</v>
      </c>
      <c r="H12091" s="56">
        <v>5.1075572557502183E-2</v>
      </c>
      <c r="I12091" s="224" t="s">
        <v>2</v>
      </c>
    </row>
    <row r="12092" spans="1:9" x14ac:dyDescent="0.25">
      <c r="A12092" s="515">
        <v>48888</v>
      </c>
      <c r="B12092" s="515" t="s">
        <v>631</v>
      </c>
      <c r="C12092" s="52">
        <v>169236.74510173299</v>
      </c>
      <c r="D12092" s="56">
        <v>7.414340457755067E-2</v>
      </c>
      <c r="E12092" s="224" t="s">
        <v>2</v>
      </c>
      <c r="F12092" s="515" t="s">
        <v>13282</v>
      </c>
      <c r="G12092" s="52">
        <v>231897.27165354299</v>
      </c>
      <c r="H12092" s="56">
        <v>0</v>
      </c>
      <c r="I12092" s="224" t="s">
        <v>2</v>
      </c>
    </row>
    <row r="12093" spans="1:9" x14ac:dyDescent="0.25">
      <c r="A12093" s="515">
        <v>18011</v>
      </c>
      <c r="B12093" s="515" t="s">
        <v>569</v>
      </c>
      <c r="C12093" s="52">
        <v>292835.278291077</v>
      </c>
      <c r="D12093" s="56">
        <v>8.9123719363347356E-2</v>
      </c>
      <c r="E12093" s="224" t="s">
        <v>2</v>
      </c>
      <c r="F12093" s="515" t="s">
        <v>13283</v>
      </c>
      <c r="G12093" s="52">
        <v>296081.74388666399</v>
      </c>
      <c r="H12093" s="56">
        <v>0.20322451835774591</v>
      </c>
      <c r="I12093" s="224" t="s">
        <v>2</v>
      </c>
    </row>
    <row r="12094" spans="1:9" x14ac:dyDescent="0.25">
      <c r="A12094" s="515">
        <v>8501</v>
      </c>
      <c r="B12094" s="515" t="s">
        <v>324</v>
      </c>
      <c r="C12094" s="52">
        <v>558288.19715878798</v>
      </c>
      <c r="D12094" s="56">
        <v>6.1871249572912991E-2</v>
      </c>
      <c r="E12094" s="224" t="s">
        <v>2</v>
      </c>
      <c r="F12094" s="515" t="s">
        <v>13284</v>
      </c>
      <c r="G12094" s="52">
        <v>131823.04277827899</v>
      </c>
      <c r="H12094" s="56">
        <v>0.17901505979978261</v>
      </c>
      <c r="I12094" s="224" t="s">
        <v>2</v>
      </c>
    </row>
    <row r="12095" spans="1:9" x14ac:dyDescent="0.25">
      <c r="A12095" s="515">
        <v>17820</v>
      </c>
      <c r="B12095" s="515" t="s">
        <v>676</v>
      </c>
      <c r="C12095" s="52">
        <v>206338.537015629</v>
      </c>
      <c r="D12095" s="56">
        <v>2.9777946608271297E-2</v>
      </c>
      <c r="E12095" s="224" t="s">
        <v>2</v>
      </c>
      <c r="F12095" s="515" t="s">
        <v>13285</v>
      </c>
      <c r="G12095" s="52">
        <v>339713.37002261501</v>
      </c>
      <c r="H12095" s="56">
        <v>3.7113795672537149E-2</v>
      </c>
      <c r="I12095" s="224" t="s">
        <v>2</v>
      </c>
    </row>
    <row r="12096" spans="1:9" x14ac:dyDescent="0.25">
      <c r="A12096" s="515">
        <v>2537</v>
      </c>
      <c r="B12096" s="515" t="s">
        <v>427</v>
      </c>
      <c r="C12096" s="52">
        <v>683642.197849705</v>
      </c>
      <c r="D12096" s="56">
        <v>7.931414008625727E-2</v>
      </c>
      <c r="E12096" s="224" t="s">
        <v>2</v>
      </c>
      <c r="F12096" s="515" t="s">
        <v>13286</v>
      </c>
      <c r="G12096" s="52">
        <v>478661.96531969699</v>
      </c>
      <c r="H12096" s="56">
        <v>4.5935133840922598E-2</v>
      </c>
      <c r="I12096" s="224" t="s">
        <v>2</v>
      </c>
    </row>
    <row r="12097" spans="1:9" x14ac:dyDescent="0.25">
      <c r="A12097" s="515">
        <v>25438</v>
      </c>
      <c r="B12097" s="515" t="s">
        <v>321</v>
      </c>
      <c r="C12097" s="52">
        <v>260805.09942459801</v>
      </c>
      <c r="D12097" s="56">
        <v>6.3471839034085487E-2</v>
      </c>
      <c r="E12097" s="224">
        <v>1096.5</v>
      </c>
      <c r="F12097" s="515" t="s">
        <v>13287</v>
      </c>
      <c r="G12097" s="52">
        <v>383305.54090002697</v>
      </c>
      <c r="H12097" s="56">
        <v>6.6882725502152976E-2</v>
      </c>
      <c r="I12097" s="224" t="s">
        <v>2</v>
      </c>
    </row>
    <row r="12098" spans="1:9" x14ac:dyDescent="0.25">
      <c r="A12098" s="515">
        <v>54157</v>
      </c>
      <c r="B12098" s="515" t="s">
        <v>923</v>
      </c>
      <c r="C12098" s="52">
        <v>179236.80983068299</v>
      </c>
      <c r="D12098" s="56">
        <v>5.7221655962035496E-2</v>
      </c>
      <c r="E12098" s="224" t="s">
        <v>2</v>
      </c>
      <c r="F12098" s="515" t="s">
        <v>13288</v>
      </c>
      <c r="G12098" s="52">
        <v>182300.64385157701</v>
      </c>
      <c r="H12098" s="56">
        <v>6.6668682855705139E-2</v>
      </c>
      <c r="I12098" s="224" t="s">
        <v>2</v>
      </c>
    </row>
    <row r="12099" spans="1:9" x14ac:dyDescent="0.25">
      <c r="A12099" s="515">
        <v>55734</v>
      </c>
      <c r="B12099" s="515" t="s">
        <v>350</v>
      </c>
      <c r="C12099" s="52">
        <v>131919.15694806201</v>
      </c>
      <c r="D12099" s="56">
        <v>5.9669467582753434E-3</v>
      </c>
      <c r="E12099" s="224" t="s">
        <v>2</v>
      </c>
      <c r="F12099" s="515" t="s">
        <v>13289</v>
      </c>
      <c r="G12099" s="52">
        <v>332076.11491180997</v>
      </c>
      <c r="H12099" s="56">
        <v>7.1982174117619493E-2</v>
      </c>
      <c r="I12099" s="224" t="s">
        <v>2</v>
      </c>
    </row>
    <row r="12100" spans="1:9" x14ac:dyDescent="0.25">
      <c r="A12100" s="515">
        <v>3461</v>
      </c>
      <c r="B12100" s="515" t="s">
        <v>747</v>
      </c>
      <c r="C12100" s="52">
        <v>386351.68625207699</v>
      </c>
      <c r="D12100" s="56">
        <v>8.1808247504090437E-2</v>
      </c>
      <c r="E12100" s="224" t="s">
        <v>2</v>
      </c>
      <c r="F12100" s="515" t="s">
        <v>13290</v>
      </c>
      <c r="G12100" s="52">
        <v>149467.49787624599</v>
      </c>
      <c r="H12100" s="56">
        <v>6.537129520812654E-2</v>
      </c>
      <c r="I12100" s="224" t="s">
        <v>2</v>
      </c>
    </row>
    <row r="12101" spans="1:9" x14ac:dyDescent="0.25">
      <c r="A12101" s="515">
        <v>49028</v>
      </c>
      <c r="B12101" s="515" t="s">
        <v>1107</v>
      </c>
      <c r="C12101" s="52">
        <v>145240.016112727</v>
      </c>
      <c r="D12101" s="56">
        <v>2.1389743528719373E-2</v>
      </c>
      <c r="E12101" s="224" t="s">
        <v>2</v>
      </c>
      <c r="F12101" s="515" t="s">
        <v>13291</v>
      </c>
      <c r="G12101" s="52">
        <v>62974.398611337099</v>
      </c>
      <c r="H12101" s="56">
        <v>0.24517444732794946</v>
      </c>
      <c r="I12101" s="224" t="s">
        <v>2</v>
      </c>
    </row>
    <row r="12102" spans="1:9" x14ac:dyDescent="0.25">
      <c r="A12102" s="515">
        <v>53813</v>
      </c>
      <c r="B12102" s="515" t="s">
        <v>664</v>
      </c>
      <c r="C12102" s="52">
        <v>172750.45998409099</v>
      </c>
      <c r="D12102" s="56">
        <v>6.3464122514545321E-2</v>
      </c>
      <c r="E12102" s="224" t="s">
        <v>2</v>
      </c>
      <c r="F12102" s="515" t="s">
        <v>13292</v>
      </c>
      <c r="G12102" s="52">
        <v>159670.784051339</v>
      </c>
      <c r="H12102" s="56">
        <v>0.15636736430662088</v>
      </c>
      <c r="I12102" s="224" t="s">
        <v>2</v>
      </c>
    </row>
    <row r="12103" spans="1:9" x14ac:dyDescent="0.25">
      <c r="A12103" s="515">
        <v>13346</v>
      </c>
      <c r="B12103" s="515" t="s">
        <v>361</v>
      </c>
      <c r="C12103" s="52">
        <v>257490.00078990599</v>
      </c>
      <c r="D12103" s="56">
        <v>8.335904280512664E-2</v>
      </c>
      <c r="E12103" s="224" t="s">
        <v>2</v>
      </c>
      <c r="F12103" s="515" t="s">
        <v>13293</v>
      </c>
      <c r="G12103" s="52">
        <v>161954.954766782</v>
      </c>
      <c r="H12103" s="56">
        <v>7.4851382305012149E-2</v>
      </c>
      <c r="I12103" s="224" t="s">
        <v>2</v>
      </c>
    </row>
    <row r="12104" spans="1:9" x14ac:dyDescent="0.25">
      <c r="A12104" s="515">
        <v>8402</v>
      </c>
      <c r="B12104" s="515" t="s">
        <v>800</v>
      </c>
      <c r="C12104" s="52">
        <v>755629.29162673198</v>
      </c>
      <c r="D12104" s="56">
        <v>0.12064322690920039</v>
      </c>
      <c r="E12104" s="224">
        <v>17966.666666666599</v>
      </c>
      <c r="F12104" s="515" t="s">
        <v>13294</v>
      </c>
      <c r="G12104" s="52">
        <v>313569.91013190802</v>
      </c>
      <c r="H12104" s="56">
        <v>6.9618854895266466E-2</v>
      </c>
      <c r="I12104" s="224" t="s">
        <v>2</v>
      </c>
    </row>
    <row r="12105" spans="1:9" x14ac:dyDescent="0.25">
      <c r="A12105" s="515">
        <v>38006</v>
      </c>
      <c r="B12105" s="515" t="s">
        <v>691</v>
      </c>
      <c r="C12105" s="52">
        <v>155558.904802745</v>
      </c>
      <c r="D12105" s="56">
        <v>2.6222969413453846E-2</v>
      </c>
      <c r="E12105" s="224" t="s">
        <v>2</v>
      </c>
      <c r="F12105" s="515" t="s">
        <v>13295</v>
      </c>
      <c r="G12105" s="52">
        <v>118067.277790308</v>
      </c>
      <c r="H12105" s="56">
        <v>0.100372627440223</v>
      </c>
      <c r="I12105" s="224" t="s">
        <v>2</v>
      </c>
    </row>
    <row r="12106" spans="1:9" x14ac:dyDescent="0.25">
      <c r="A12106" s="515">
        <v>1756</v>
      </c>
      <c r="B12106" s="515" t="s">
        <v>751</v>
      </c>
      <c r="C12106" s="52">
        <v>598975.44289479195</v>
      </c>
      <c r="D12106" s="56">
        <v>8.8472801267970566E-2</v>
      </c>
      <c r="E12106" s="224" t="s">
        <v>2</v>
      </c>
      <c r="F12106" s="515" t="s">
        <v>13296</v>
      </c>
      <c r="G12106" s="52">
        <v>189465.87730182899</v>
      </c>
      <c r="H12106" s="56">
        <v>6.4910941519514403E-2</v>
      </c>
      <c r="I12106" s="224" t="s">
        <v>2</v>
      </c>
    </row>
    <row r="12107" spans="1:9" x14ac:dyDescent="0.25">
      <c r="A12107" s="515">
        <v>72774</v>
      </c>
      <c r="B12107" s="515" t="s">
        <v>675</v>
      </c>
      <c r="C12107" s="52">
        <v>232736.89526925501</v>
      </c>
      <c r="D12107" s="56">
        <v>8.9376673892569411E-2</v>
      </c>
      <c r="E12107" s="224" t="s">
        <v>2</v>
      </c>
      <c r="F12107" s="515" t="s">
        <v>13297</v>
      </c>
      <c r="G12107" s="52">
        <v>96990.267576028506</v>
      </c>
      <c r="H12107" s="56">
        <v>8.6488960562351364E-2</v>
      </c>
      <c r="I12107" s="224" t="s">
        <v>2</v>
      </c>
    </row>
    <row r="12108" spans="1:9" x14ac:dyDescent="0.25">
      <c r="A12108" s="515">
        <v>68818</v>
      </c>
      <c r="C12108" s="52">
        <v>218373.82506381901</v>
      </c>
      <c r="D12108" s="56">
        <v>5.033354953145925E-2</v>
      </c>
      <c r="E12108" s="224" t="s">
        <v>2</v>
      </c>
      <c r="F12108" s="515" t="s">
        <v>13298</v>
      </c>
      <c r="G12108" s="52">
        <v>372000.74814923399</v>
      </c>
      <c r="H12108" s="56">
        <v>1.8108043150956349E-2</v>
      </c>
      <c r="I12108" s="224" t="s">
        <v>2</v>
      </c>
    </row>
    <row r="12109" spans="1:9" x14ac:dyDescent="0.25">
      <c r="A12109" s="515">
        <v>53807</v>
      </c>
      <c r="B12109" s="515" t="s">
        <v>664</v>
      </c>
      <c r="C12109" s="52">
        <v>204145.080021681</v>
      </c>
      <c r="D12109" s="56">
        <v>3.9322097918644092E-2</v>
      </c>
      <c r="E12109" s="224" t="s">
        <v>2</v>
      </c>
      <c r="F12109" s="515" t="s">
        <v>13299</v>
      </c>
      <c r="G12109" s="52">
        <v>271882.23593369703</v>
      </c>
      <c r="H12109" s="56">
        <v>7.6010599610135149E-2</v>
      </c>
      <c r="I12109" s="224" t="s">
        <v>2</v>
      </c>
    </row>
    <row r="12110" spans="1:9" x14ac:dyDescent="0.25">
      <c r="A12110" s="515">
        <v>36611</v>
      </c>
      <c r="B12110" s="515" t="s">
        <v>815</v>
      </c>
      <c r="C12110" s="52">
        <v>93592.1065072161</v>
      </c>
      <c r="D12110" s="56">
        <v>0.1525156827026713</v>
      </c>
      <c r="E12110" s="224" t="s">
        <v>2</v>
      </c>
      <c r="F12110" s="515" t="s">
        <v>13300</v>
      </c>
      <c r="G12110" s="52">
        <v>223081.90372932199</v>
      </c>
      <c r="H12110" s="56">
        <v>0.10502144602708254</v>
      </c>
      <c r="I12110" s="224" t="s">
        <v>2</v>
      </c>
    </row>
    <row r="12111" spans="1:9" x14ac:dyDescent="0.25">
      <c r="A12111" s="515">
        <v>61241</v>
      </c>
      <c r="B12111" s="515" t="s">
        <v>439</v>
      </c>
      <c r="C12111" s="52">
        <v>150237.83512349799</v>
      </c>
      <c r="D12111" s="56">
        <v>0.12280695578250274</v>
      </c>
      <c r="E12111" s="224" t="s">
        <v>2</v>
      </c>
      <c r="F12111" s="515" t="s">
        <v>13301</v>
      </c>
      <c r="G12111" s="52">
        <v>126081.575993516</v>
      </c>
      <c r="H12111" s="56">
        <v>4.0670567001738996E-2</v>
      </c>
      <c r="I12111" s="224" t="s">
        <v>2</v>
      </c>
    </row>
    <row r="12112" spans="1:9" x14ac:dyDescent="0.25">
      <c r="A12112" s="515">
        <v>24558</v>
      </c>
      <c r="C12112" s="52">
        <v>132792.32590565999</v>
      </c>
      <c r="D12112" s="56">
        <v>0.12782513605409732</v>
      </c>
      <c r="E12112" s="224" t="s">
        <v>2</v>
      </c>
      <c r="F12112" s="515" t="s">
        <v>13302</v>
      </c>
      <c r="G12112" s="52">
        <v>287763.65677262598</v>
      </c>
      <c r="H12112" s="56">
        <v>7.9842576754530839E-2</v>
      </c>
      <c r="I12112" s="224" t="s">
        <v>2</v>
      </c>
    </row>
    <row r="12113" spans="1:9" x14ac:dyDescent="0.25">
      <c r="A12113" s="515">
        <v>39629</v>
      </c>
      <c r="B12113" s="515" t="s">
        <v>1118</v>
      </c>
      <c r="C12113" s="52">
        <v>161275.59533291901</v>
      </c>
      <c r="D12113" s="56">
        <v>-4.344100270650463E-3</v>
      </c>
      <c r="E12113" s="224" t="s">
        <v>2</v>
      </c>
      <c r="F12113" s="515" t="s">
        <v>13303</v>
      </c>
      <c r="G12113" s="52">
        <v>161000.57775639801</v>
      </c>
      <c r="H12113" s="56">
        <v>0.16548007582043744</v>
      </c>
      <c r="I12113" s="224" t="s">
        <v>2</v>
      </c>
    </row>
    <row r="12114" spans="1:9" x14ac:dyDescent="0.25">
      <c r="A12114" s="515">
        <v>56156</v>
      </c>
      <c r="C12114" s="52">
        <v>209520.01246847599</v>
      </c>
      <c r="D12114" s="56">
        <v>3.1990103015070485E-2</v>
      </c>
      <c r="E12114" s="224" t="s">
        <v>2</v>
      </c>
      <c r="F12114" s="515" t="s">
        <v>13304</v>
      </c>
      <c r="G12114" s="52">
        <v>72952.352367839398</v>
      </c>
      <c r="H12114" s="56">
        <v>8.3159771161910437E-2</v>
      </c>
      <c r="I12114" s="224" t="s">
        <v>2</v>
      </c>
    </row>
    <row r="12115" spans="1:9" x14ac:dyDescent="0.25">
      <c r="A12115" s="515">
        <v>11980</v>
      </c>
      <c r="B12115" s="515" t="s">
        <v>324</v>
      </c>
      <c r="C12115" s="52">
        <v>412289.73196460801</v>
      </c>
      <c r="D12115" s="56">
        <v>2.1126332581766515E-2</v>
      </c>
      <c r="E12115" s="224">
        <v>3483.7777777777701</v>
      </c>
      <c r="F12115" s="515" t="s">
        <v>13305</v>
      </c>
      <c r="G12115" s="52">
        <v>67813.011424524899</v>
      </c>
      <c r="H12115" s="56">
        <v>2.4253592230493958E-2</v>
      </c>
      <c r="I12115" s="224" t="s">
        <v>2</v>
      </c>
    </row>
    <row r="12116" spans="1:9" x14ac:dyDescent="0.25">
      <c r="A12116" s="515">
        <v>52136</v>
      </c>
      <c r="C12116" s="52">
        <v>154154.37511023201</v>
      </c>
      <c r="D12116" s="56">
        <v>0.11301565704081731</v>
      </c>
      <c r="E12116" s="224" t="s">
        <v>2</v>
      </c>
      <c r="F12116" s="515" t="s">
        <v>13306</v>
      </c>
      <c r="G12116" s="52">
        <v>129852.38638719299</v>
      </c>
      <c r="H12116" s="56">
        <v>0.10937920002814751</v>
      </c>
      <c r="I12116" s="224" t="s">
        <v>2</v>
      </c>
    </row>
    <row r="12117" spans="1:9" x14ac:dyDescent="0.25">
      <c r="A12117" s="515">
        <v>53122</v>
      </c>
      <c r="B12117" s="515" t="s">
        <v>950</v>
      </c>
      <c r="C12117" s="52">
        <v>522189.24600167898</v>
      </c>
      <c r="D12117" s="56">
        <v>2.0209467788022791E-2</v>
      </c>
      <c r="E12117" s="224" t="s">
        <v>2</v>
      </c>
      <c r="F12117" s="515" t="s">
        <v>13307</v>
      </c>
      <c r="G12117" s="52">
        <v>180126.56707317001</v>
      </c>
      <c r="H12117" s="56">
        <v>0</v>
      </c>
      <c r="I12117" s="224" t="s">
        <v>2</v>
      </c>
    </row>
    <row r="12118" spans="1:9" x14ac:dyDescent="0.25">
      <c r="A12118" s="515">
        <v>48226</v>
      </c>
      <c r="B12118" s="515" t="s">
        <v>685</v>
      </c>
      <c r="C12118" s="52">
        <v>300812.05179608898</v>
      </c>
      <c r="D12118" s="56">
        <v>-3.462422195497307E-2</v>
      </c>
      <c r="E12118" s="224">
        <v>1930.2777777777701</v>
      </c>
      <c r="F12118" s="515" t="s">
        <v>13308</v>
      </c>
      <c r="G12118" s="52">
        <v>196074.584966344</v>
      </c>
      <c r="H12118" s="56">
        <v>0.10208066931245754</v>
      </c>
      <c r="I12118" s="224" t="s">
        <v>2</v>
      </c>
    </row>
    <row r="12119" spans="1:9" x14ac:dyDescent="0.25">
      <c r="A12119" s="515">
        <v>61240</v>
      </c>
      <c r="B12119" s="515" t="s">
        <v>439</v>
      </c>
      <c r="C12119" s="52">
        <v>222912.08429277001</v>
      </c>
      <c r="D12119" s="56">
        <v>7.6998602256085361E-2</v>
      </c>
      <c r="E12119" s="224" t="s">
        <v>2</v>
      </c>
      <c r="F12119" s="515" t="s">
        <v>13309</v>
      </c>
      <c r="G12119" s="52">
        <v>102537.567298746</v>
      </c>
      <c r="H12119" s="56">
        <v>9.2331159782185757E-2</v>
      </c>
      <c r="I12119" s="224" t="s">
        <v>2</v>
      </c>
    </row>
    <row r="12120" spans="1:9" x14ac:dyDescent="0.25">
      <c r="A12120" s="515">
        <v>45830</v>
      </c>
      <c r="C12120" s="52">
        <v>192046.100977408</v>
      </c>
      <c r="D12120" s="56">
        <v>5.8580970916396635E-2</v>
      </c>
      <c r="E12120" s="224" t="s">
        <v>2</v>
      </c>
      <c r="F12120" s="515" t="s">
        <v>13310</v>
      </c>
      <c r="G12120" s="52">
        <v>196990.68482319001</v>
      </c>
      <c r="H12120" s="56">
        <v>0.14534845384391845</v>
      </c>
      <c r="I12120" s="224" t="s">
        <v>2</v>
      </c>
    </row>
    <row r="12121" spans="1:9" x14ac:dyDescent="0.25">
      <c r="A12121" s="515">
        <v>53949</v>
      </c>
      <c r="C12121" s="52">
        <v>196601.53416959199</v>
      </c>
      <c r="D12121" s="56">
        <v>0.10321589043708702</v>
      </c>
      <c r="E12121" s="224" t="s">
        <v>2</v>
      </c>
      <c r="F12121" s="515" t="s">
        <v>13311</v>
      </c>
      <c r="G12121" s="52">
        <v>158733.294799806</v>
      </c>
      <c r="H12121" s="56">
        <v>9.5947867293950759E-2</v>
      </c>
      <c r="I12121" s="224" t="s">
        <v>2</v>
      </c>
    </row>
    <row r="12122" spans="1:9" x14ac:dyDescent="0.25">
      <c r="A12122" s="515">
        <v>57022</v>
      </c>
      <c r="B12122" s="515" t="s">
        <v>579</v>
      </c>
      <c r="C12122" s="52">
        <v>329019.02155622799</v>
      </c>
      <c r="D12122" s="56">
        <v>8.417046957905841E-2</v>
      </c>
      <c r="E12122" s="224" t="s">
        <v>2</v>
      </c>
      <c r="F12122" s="515" t="s">
        <v>13312</v>
      </c>
      <c r="G12122" s="52">
        <v>193071.557404805</v>
      </c>
      <c r="H12122" s="56">
        <v>6.0990665250659333E-2</v>
      </c>
      <c r="I12122" s="224" t="s">
        <v>2</v>
      </c>
    </row>
    <row r="12123" spans="1:9" x14ac:dyDescent="0.25">
      <c r="A12123" s="515">
        <v>95666</v>
      </c>
      <c r="C12123" s="52">
        <v>341173.11379958497</v>
      </c>
      <c r="D12123" s="56">
        <v>-1.4023305585550549E-3</v>
      </c>
      <c r="E12123" s="224" t="s">
        <v>2</v>
      </c>
      <c r="F12123" s="515" t="s">
        <v>13313</v>
      </c>
      <c r="G12123" s="52">
        <v>162257.48787066599</v>
      </c>
      <c r="H12123" s="56">
        <v>0.12192485030836275</v>
      </c>
      <c r="I12123" s="224" t="s">
        <v>2</v>
      </c>
    </row>
    <row r="12124" spans="1:9" x14ac:dyDescent="0.25">
      <c r="A12124" s="515">
        <v>30457</v>
      </c>
      <c r="B12124" s="515" t="s">
        <v>929</v>
      </c>
      <c r="C12124" s="52">
        <v>85641.987198168907</v>
      </c>
      <c r="D12124" s="56">
        <v>-4.4880402165089466E-3</v>
      </c>
      <c r="E12124" s="224" t="s">
        <v>2</v>
      </c>
      <c r="F12124" s="515" t="s">
        <v>13314</v>
      </c>
      <c r="G12124" s="52">
        <v>190725.38035655799</v>
      </c>
      <c r="H12124" s="56">
        <v>0.11965084655942812</v>
      </c>
      <c r="I12124" s="224" t="s">
        <v>2</v>
      </c>
    </row>
    <row r="12125" spans="1:9" x14ac:dyDescent="0.25">
      <c r="A12125" s="515">
        <v>74016</v>
      </c>
      <c r="B12125" s="515" t="s">
        <v>348</v>
      </c>
      <c r="C12125" s="52">
        <v>172516.97960830099</v>
      </c>
      <c r="D12125" s="56">
        <v>0.16035448349061165</v>
      </c>
      <c r="E12125" s="224" t="s">
        <v>2</v>
      </c>
      <c r="F12125" s="515" t="s">
        <v>13315</v>
      </c>
      <c r="G12125" s="52">
        <v>152696.55525248501</v>
      </c>
      <c r="H12125" s="56">
        <v>0.12624615324293331</v>
      </c>
      <c r="I12125" s="224" t="s">
        <v>2</v>
      </c>
    </row>
    <row r="12126" spans="1:9" x14ac:dyDescent="0.25">
      <c r="A12126" s="515">
        <v>64053</v>
      </c>
      <c r="B12126" s="515" t="s">
        <v>455</v>
      </c>
      <c r="C12126" s="52">
        <v>113168.03520419799</v>
      </c>
      <c r="D12126" s="56">
        <v>0.17225594246950671</v>
      </c>
      <c r="E12126" s="224" t="s">
        <v>2</v>
      </c>
      <c r="F12126" s="515" t="s">
        <v>13316</v>
      </c>
      <c r="G12126" s="52">
        <v>96082.079124453594</v>
      </c>
      <c r="H12126" s="56">
        <v>5.0427235753104692E-3</v>
      </c>
      <c r="I12126" s="224" t="s">
        <v>2</v>
      </c>
    </row>
    <row r="12127" spans="1:9" x14ac:dyDescent="0.25">
      <c r="A12127" s="515">
        <v>29451</v>
      </c>
      <c r="B12127" s="515" t="s">
        <v>1009</v>
      </c>
      <c r="C12127" s="52">
        <v>1409486.2704714099</v>
      </c>
      <c r="D12127" s="56">
        <v>0.18214709743498331</v>
      </c>
      <c r="E12127" s="224" t="s">
        <v>2</v>
      </c>
      <c r="F12127" s="515" t="s">
        <v>13317</v>
      </c>
      <c r="G12127" s="52">
        <v>217080.751079476</v>
      </c>
      <c r="H12127" s="56">
        <v>9.2453752118464294E-2</v>
      </c>
      <c r="I12127" s="224" t="s">
        <v>2</v>
      </c>
    </row>
    <row r="12128" spans="1:9" x14ac:dyDescent="0.25">
      <c r="A12128" s="515">
        <v>87013</v>
      </c>
      <c r="B12128" s="515" t="s">
        <v>406</v>
      </c>
      <c r="C12128" s="52">
        <v>237011.21529816001</v>
      </c>
      <c r="D12128" s="56">
        <v>1.7864825038242785E-2</v>
      </c>
      <c r="E12128" s="224" t="s">
        <v>2</v>
      </c>
      <c r="F12128" s="515" t="s">
        <v>13318</v>
      </c>
      <c r="G12128" s="52">
        <v>485405.89892358403</v>
      </c>
      <c r="H12128" s="56">
        <v>2.2434658463860221E-2</v>
      </c>
      <c r="I12128" s="224" t="s">
        <v>2</v>
      </c>
    </row>
    <row r="12129" spans="1:9" x14ac:dyDescent="0.25">
      <c r="A12129" s="515">
        <v>95436</v>
      </c>
      <c r="B12129" s="515" t="s">
        <v>331</v>
      </c>
      <c r="C12129" s="52">
        <v>613052.72723863798</v>
      </c>
      <c r="D12129" s="56">
        <v>1.6971347246100128E-2</v>
      </c>
      <c r="E12129" s="224" t="s">
        <v>2</v>
      </c>
      <c r="F12129" s="515" t="s">
        <v>13319</v>
      </c>
      <c r="G12129" s="52">
        <v>187481.081358367</v>
      </c>
      <c r="H12129" s="56">
        <v>7.6557626147465627E-2</v>
      </c>
      <c r="I12129" s="224" t="s">
        <v>2</v>
      </c>
    </row>
    <row r="12130" spans="1:9" x14ac:dyDescent="0.25">
      <c r="A12130" s="515">
        <v>37329</v>
      </c>
      <c r="B12130" s="515" t="s">
        <v>1135</v>
      </c>
      <c r="C12130" s="52">
        <v>208427.482265859</v>
      </c>
      <c r="D12130" s="56">
        <v>5.6596694948078702E-2</v>
      </c>
      <c r="E12130" s="224" t="s">
        <v>2</v>
      </c>
      <c r="F12130" s="515" t="s">
        <v>13320</v>
      </c>
      <c r="G12130" s="52">
        <v>259820.52431111399</v>
      </c>
      <c r="H12130" s="56">
        <v>7.6001002878491181E-2</v>
      </c>
      <c r="I12130" s="224" t="s">
        <v>2</v>
      </c>
    </row>
    <row r="12131" spans="1:9" x14ac:dyDescent="0.25">
      <c r="A12131" s="515">
        <v>18249</v>
      </c>
      <c r="B12131" s="515" t="s">
        <v>512</v>
      </c>
      <c r="C12131" s="52">
        <v>251762.725654968</v>
      </c>
      <c r="D12131" s="56">
        <v>5.8827004354447522E-2</v>
      </c>
      <c r="E12131" s="224" t="s">
        <v>2</v>
      </c>
      <c r="F12131" s="515" t="s">
        <v>13321</v>
      </c>
      <c r="G12131" s="52">
        <v>132901.05764305699</v>
      </c>
      <c r="H12131" s="56">
        <v>8.2002115492409267E-2</v>
      </c>
      <c r="I12131" s="224" t="s">
        <v>2</v>
      </c>
    </row>
    <row r="12132" spans="1:9" x14ac:dyDescent="0.25">
      <c r="A12132" s="515">
        <v>87547</v>
      </c>
      <c r="B12132" s="515" t="s">
        <v>1187</v>
      </c>
      <c r="C12132" s="52">
        <v>465156.60743017198</v>
      </c>
      <c r="D12132" s="56">
        <v>2.7529189665076136E-2</v>
      </c>
      <c r="E12132" s="224" t="s">
        <v>2</v>
      </c>
      <c r="F12132" s="515" t="s">
        <v>13322</v>
      </c>
      <c r="G12132" s="52">
        <v>154883.30385091601</v>
      </c>
      <c r="H12132" s="56">
        <v>-5.1013819112434501E-2</v>
      </c>
      <c r="I12132" s="224" t="s">
        <v>2</v>
      </c>
    </row>
    <row r="12133" spans="1:9" x14ac:dyDescent="0.25">
      <c r="A12133" s="515">
        <v>50049</v>
      </c>
      <c r="C12133" s="52">
        <v>141283.41508369101</v>
      </c>
      <c r="D12133" s="56">
        <v>0.15606503586011139</v>
      </c>
      <c r="E12133" s="224" t="s">
        <v>2</v>
      </c>
      <c r="F12133" s="515" t="s">
        <v>13323</v>
      </c>
      <c r="G12133" s="52">
        <v>198269.25172945301</v>
      </c>
      <c r="H12133" s="56">
        <v>4.5840132001958515E-2</v>
      </c>
      <c r="I12133" s="224" t="s">
        <v>2</v>
      </c>
    </row>
    <row r="12134" spans="1:9" x14ac:dyDescent="0.25">
      <c r="A12134" s="515">
        <v>28382</v>
      </c>
      <c r="C12134" s="52">
        <v>102820.21443676901</v>
      </c>
      <c r="D12134" s="56">
        <v>0.17498852000339604</v>
      </c>
      <c r="E12134" s="224" t="s">
        <v>2</v>
      </c>
      <c r="F12134" s="515" t="s">
        <v>13324</v>
      </c>
      <c r="G12134" s="52">
        <v>170363.58049089901</v>
      </c>
      <c r="H12134" s="56">
        <v>7.4216927564619867E-2</v>
      </c>
      <c r="I12134" s="224" t="s">
        <v>2</v>
      </c>
    </row>
    <row r="12135" spans="1:9" x14ac:dyDescent="0.25">
      <c r="A12135" s="515">
        <v>76258</v>
      </c>
      <c r="B12135" s="515" t="s">
        <v>458</v>
      </c>
      <c r="C12135" s="52">
        <v>406962.87581284897</v>
      </c>
      <c r="D12135" s="56">
        <v>0.10178131260567619</v>
      </c>
      <c r="E12135" s="224" t="s">
        <v>2</v>
      </c>
      <c r="F12135" s="515" t="s">
        <v>13325</v>
      </c>
      <c r="G12135" s="52">
        <v>150890.40733272201</v>
      </c>
      <c r="H12135" s="56">
        <v>-3.5074895162086193E-2</v>
      </c>
      <c r="I12135" s="224" t="s">
        <v>2</v>
      </c>
    </row>
    <row r="12136" spans="1:9" x14ac:dyDescent="0.25">
      <c r="A12136" s="515">
        <v>66901</v>
      </c>
      <c r="C12136" s="52">
        <v>96641.551088487104</v>
      </c>
      <c r="D12136" s="56">
        <v>7.7436933083376513E-2</v>
      </c>
      <c r="E12136" s="224" t="s">
        <v>2</v>
      </c>
      <c r="F12136" s="515" t="s">
        <v>13326</v>
      </c>
      <c r="G12136" s="52">
        <v>328929.72918924602</v>
      </c>
      <c r="H12136" s="56">
        <v>2.4711303037386716E-2</v>
      </c>
      <c r="I12136" s="224" t="s">
        <v>2</v>
      </c>
    </row>
    <row r="12137" spans="1:9" x14ac:dyDescent="0.25">
      <c r="A12137" s="515">
        <v>57064</v>
      </c>
      <c r="B12137" s="515" t="s">
        <v>579</v>
      </c>
      <c r="C12137" s="52">
        <v>335708.77362158999</v>
      </c>
      <c r="D12137" s="56">
        <v>9.0427689001703129E-2</v>
      </c>
      <c r="E12137" s="224" t="s">
        <v>2</v>
      </c>
      <c r="F12137" s="515" t="s">
        <v>13327</v>
      </c>
      <c r="G12137" s="52">
        <v>367613.83930601098</v>
      </c>
      <c r="H12137" s="56">
        <v>0.30277580123492248</v>
      </c>
      <c r="I12137" s="224" t="s">
        <v>2</v>
      </c>
    </row>
    <row r="12138" spans="1:9" x14ac:dyDescent="0.25">
      <c r="A12138" s="515">
        <v>38355</v>
      </c>
      <c r="B12138" s="515" t="s">
        <v>691</v>
      </c>
      <c r="C12138" s="52">
        <v>275438.30236392701</v>
      </c>
      <c r="D12138" s="56">
        <v>8.1311678241469093E-2</v>
      </c>
      <c r="E12138" s="224" t="s">
        <v>2</v>
      </c>
      <c r="F12138" s="515" t="s">
        <v>13328</v>
      </c>
      <c r="G12138" s="52">
        <v>180011.03551734099</v>
      </c>
      <c r="H12138" s="56">
        <v>4.2008800584193595E-2</v>
      </c>
      <c r="I12138" s="224" t="s">
        <v>2</v>
      </c>
    </row>
    <row r="12139" spans="1:9" x14ac:dyDescent="0.25">
      <c r="A12139" s="515">
        <v>84765</v>
      </c>
      <c r="B12139" s="515" t="s">
        <v>522</v>
      </c>
      <c r="C12139" s="52">
        <v>548059.05081912596</v>
      </c>
      <c r="D12139" s="56">
        <v>-3.2313630426309102E-3</v>
      </c>
      <c r="E12139" s="224" t="s">
        <v>2</v>
      </c>
      <c r="F12139" s="515" t="s">
        <v>13329</v>
      </c>
      <c r="G12139" s="52">
        <v>79712.960409810999</v>
      </c>
      <c r="H12139" s="56">
        <v>5.3099579121467934E-2</v>
      </c>
      <c r="I12139" s="224" t="s">
        <v>2</v>
      </c>
    </row>
    <row r="12140" spans="1:9" x14ac:dyDescent="0.25">
      <c r="A12140" s="515">
        <v>47102</v>
      </c>
      <c r="B12140" s="515" t="s">
        <v>1071</v>
      </c>
      <c r="C12140" s="52">
        <v>134666.507643533</v>
      </c>
      <c r="D12140" s="56">
        <v>6.9309748466644353E-2</v>
      </c>
      <c r="E12140" s="224" t="s">
        <v>2</v>
      </c>
      <c r="F12140" s="515" t="s">
        <v>13330</v>
      </c>
      <c r="G12140" s="52">
        <v>146673.956964435</v>
      </c>
      <c r="H12140" s="56">
        <v>8.364331818181836E-2</v>
      </c>
      <c r="I12140" s="224" t="s">
        <v>2</v>
      </c>
    </row>
    <row r="12141" spans="1:9" x14ac:dyDescent="0.25">
      <c r="A12141" s="515">
        <v>78361</v>
      </c>
      <c r="C12141" s="52">
        <v>66774.758785124199</v>
      </c>
      <c r="D12141" s="56">
        <v>-9.0958816510540733E-2</v>
      </c>
      <c r="E12141" s="224" t="s">
        <v>2</v>
      </c>
      <c r="F12141" s="515" t="s">
        <v>13331</v>
      </c>
      <c r="G12141" s="52">
        <v>197073.83275334799</v>
      </c>
      <c r="H12141" s="56">
        <v>4.4483153345392129E-2</v>
      </c>
      <c r="I12141" s="224" t="s">
        <v>2</v>
      </c>
    </row>
    <row r="12142" spans="1:9" x14ac:dyDescent="0.25">
      <c r="A12142" s="515">
        <v>46933</v>
      </c>
      <c r="B12142" s="515" t="s">
        <v>472</v>
      </c>
      <c r="C12142" s="52">
        <v>123424.604889607</v>
      </c>
      <c r="D12142" s="56">
        <v>7.7325284364732738E-2</v>
      </c>
      <c r="E12142" s="224" t="s">
        <v>2</v>
      </c>
      <c r="F12142" s="515" t="s">
        <v>13332</v>
      </c>
      <c r="G12142" s="52">
        <v>77855.0433898146</v>
      </c>
      <c r="H12142" s="56">
        <v>0.12144462373843627</v>
      </c>
      <c r="I12142" s="224" t="s">
        <v>2</v>
      </c>
    </row>
    <row r="12143" spans="1:9" x14ac:dyDescent="0.25">
      <c r="A12143" s="515">
        <v>21755</v>
      </c>
      <c r="B12143" s="515" t="s">
        <v>321</v>
      </c>
      <c r="C12143" s="52">
        <v>497739.364621402</v>
      </c>
      <c r="D12143" s="56">
        <v>5.6350617752275317E-2</v>
      </c>
      <c r="E12143" s="224" t="s">
        <v>2</v>
      </c>
      <c r="F12143" s="515" t="s">
        <v>13333</v>
      </c>
      <c r="G12143" s="52">
        <v>313360.69307553401</v>
      </c>
      <c r="H12143" s="56">
        <v>5.4125045887283896E-2</v>
      </c>
      <c r="I12143" s="224" t="s">
        <v>2</v>
      </c>
    </row>
    <row r="12144" spans="1:9" x14ac:dyDescent="0.25">
      <c r="A12144" s="515">
        <v>65653</v>
      </c>
      <c r="B12144" s="515" t="s">
        <v>757</v>
      </c>
      <c r="C12144" s="52">
        <v>196502.89320100899</v>
      </c>
      <c r="D12144" s="56">
        <v>9.4456467158473126E-2</v>
      </c>
      <c r="E12144" s="224" t="s">
        <v>2</v>
      </c>
      <c r="F12144" s="515" t="s">
        <v>13334</v>
      </c>
      <c r="G12144" s="52">
        <v>330201.85101488099</v>
      </c>
      <c r="H12144" s="56">
        <v>5.357715332477804E-2</v>
      </c>
      <c r="I12144" s="224" t="s">
        <v>2</v>
      </c>
    </row>
    <row r="12145" spans="1:9" x14ac:dyDescent="0.25">
      <c r="A12145" s="515">
        <v>37708</v>
      </c>
      <c r="B12145" s="515" t="s">
        <v>786</v>
      </c>
      <c r="C12145" s="52">
        <v>208259.34729435999</v>
      </c>
      <c r="D12145" s="56">
        <v>9.2221925263683419E-2</v>
      </c>
      <c r="E12145" s="224" t="s">
        <v>2</v>
      </c>
      <c r="F12145" s="515" t="s">
        <v>13335</v>
      </c>
      <c r="G12145" s="52">
        <v>184977.354230336</v>
      </c>
      <c r="H12145" s="56">
        <v>8.3609576869873841E-3</v>
      </c>
      <c r="I12145" s="224" t="s">
        <v>2</v>
      </c>
    </row>
    <row r="12146" spans="1:9" x14ac:dyDescent="0.25">
      <c r="A12146" s="515">
        <v>52172</v>
      </c>
      <c r="C12146" s="52">
        <v>171625.02338181599</v>
      </c>
      <c r="D12146" s="56">
        <v>8.3369880609861224E-2</v>
      </c>
      <c r="E12146" s="224" t="s">
        <v>2</v>
      </c>
      <c r="F12146" s="515" t="s">
        <v>13336</v>
      </c>
      <c r="G12146" s="52">
        <v>135633.46916775001</v>
      </c>
      <c r="H12146" s="56">
        <v>0.17334362244541268</v>
      </c>
      <c r="I12146" s="224" t="s">
        <v>2</v>
      </c>
    </row>
    <row r="12147" spans="1:9" x14ac:dyDescent="0.25">
      <c r="A12147" s="515">
        <v>42347</v>
      </c>
      <c r="C12147" s="52">
        <v>135066.701253632</v>
      </c>
      <c r="D12147" s="56">
        <v>8.0968125136439681E-2</v>
      </c>
      <c r="E12147" s="224" t="s">
        <v>2</v>
      </c>
      <c r="F12147" s="515" t="s">
        <v>13337</v>
      </c>
      <c r="G12147" s="52">
        <v>106710.341446265</v>
      </c>
      <c r="H12147" s="56">
        <v>-0.10297355705363002</v>
      </c>
      <c r="I12147" s="224" t="s">
        <v>2</v>
      </c>
    </row>
    <row r="12148" spans="1:9" x14ac:dyDescent="0.25">
      <c r="A12148" s="515">
        <v>53955</v>
      </c>
      <c r="B12148" s="515" t="s">
        <v>727</v>
      </c>
      <c r="C12148" s="52">
        <v>322091.30316940002</v>
      </c>
      <c r="D12148" s="56">
        <v>4.7904897755355128E-2</v>
      </c>
      <c r="E12148" s="224" t="s">
        <v>2</v>
      </c>
      <c r="F12148" s="515" t="s">
        <v>13338</v>
      </c>
      <c r="G12148" s="52">
        <v>360450.59383966599</v>
      </c>
      <c r="H12148" s="56">
        <v>0.45838384583204067</v>
      </c>
      <c r="I12148" s="224" t="s">
        <v>2</v>
      </c>
    </row>
    <row r="12149" spans="1:9" x14ac:dyDescent="0.25">
      <c r="A12149" s="515">
        <v>47433</v>
      </c>
      <c r="B12149" s="515" t="s">
        <v>554</v>
      </c>
      <c r="C12149" s="52">
        <v>198172.27478081599</v>
      </c>
      <c r="D12149" s="56">
        <v>7.7376315389954792E-2</v>
      </c>
      <c r="E12149" s="224" t="s">
        <v>2</v>
      </c>
      <c r="F12149" s="515" t="s">
        <v>13339</v>
      </c>
      <c r="G12149" s="52">
        <v>110683.73986873</v>
      </c>
      <c r="H12149" s="56">
        <v>9.8813899327041071E-2</v>
      </c>
      <c r="I12149" s="224" t="s">
        <v>2</v>
      </c>
    </row>
    <row r="12150" spans="1:9" x14ac:dyDescent="0.25">
      <c r="A12150" s="515">
        <v>12446</v>
      </c>
      <c r="B12150" s="515" t="s">
        <v>307</v>
      </c>
      <c r="C12150" s="52">
        <v>336430.867460309</v>
      </c>
      <c r="D12150" s="56">
        <v>0.10405958512227072</v>
      </c>
      <c r="E12150" s="224" t="s">
        <v>2</v>
      </c>
      <c r="F12150" s="515" t="s">
        <v>13340</v>
      </c>
      <c r="G12150" s="52">
        <v>88317.250081844802</v>
      </c>
      <c r="H12150" s="56">
        <v>8.385819221936204E-2</v>
      </c>
      <c r="I12150" s="224" t="s">
        <v>2</v>
      </c>
    </row>
    <row r="12151" spans="1:9" x14ac:dyDescent="0.25">
      <c r="A12151" s="515">
        <v>2030</v>
      </c>
      <c r="B12151" s="515" t="s">
        <v>534</v>
      </c>
      <c r="C12151" s="52">
        <v>1445266.5252133701</v>
      </c>
      <c r="D12151" s="56">
        <v>5.0223211893441602E-2</v>
      </c>
      <c r="E12151" s="224" t="s">
        <v>2</v>
      </c>
      <c r="F12151" s="515" t="s">
        <v>13341</v>
      </c>
      <c r="G12151" s="52">
        <v>78492.865852078903</v>
      </c>
      <c r="H12151" s="56">
        <v>4.7598591282204339E-2</v>
      </c>
      <c r="I12151" s="224" t="s">
        <v>2</v>
      </c>
    </row>
    <row r="12152" spans="1:9" x14ac:dyDescent="0.25">
      <c r="A12152" s="515">
        <v>62230</v>
      </c>
      <c r="B12152" s="515" t="s">
        <v>498</v>
      </c>
      <c r="C12152" s="52">
        <v>201106.267582773</v>
      </c>
      <c r="D12152" s="56">
        <v>0.10056551641243253</v>
      </c>
      <c r="E12152" s="224" t="s">
        <v>2</v>
      </c>
      <c r="F12152" s="515" t="s">
        <v>13342</v>
      </c>
      <c r="G12152" s="52">
        <v>507813.01300351601</v>
      </c>
      <c r="H12152" s="56">
        <v>7.372752408622911E-2</v>
      </c>
      <c r="I12152" s="224" t="s">
        <v>2</v>
      </c>
    </row>
    <row r="12153" spans="1:9" x14ac:dyDescent="0.25">
      <c r="A12153" s="515">
        <v>26847</v>
      </c>
      <c r="C12153" s="52">
        <v>147001.26266472001</v>
      </c>
      <c r="D12153" s="56">
        <v>4.1739840062640927E-2</v>
      </c>
      <c r="E12153" s="224" t="s">
        <v>2</v>
      </c>
      <c r="F12153" s="515" t="s">
        <v>13343</v>
      </c>
      <c r="G12153" s="52">
        <v>181006.37282214899</v>
      </c>
      <c r="H12153" s="56">
        <v>8.2521497967947083E-2</v>
      </c>
      <c r="I12153" s="224" t="s">
        <v>2</v>
      </c>
    </row>
    <row r="12154" spans="1:9" x14ac:dyDescent="0.25">
      <c r="A12154" s="515">
        <v>96067</v>
      </c>
      <c r="C12154" s="52">
        <v>401038.85008369602</v>
      </c>
      <c r="D12154" s="56">
        <v>3.3526529069524177E-2</v>
      </c>
      <c r="E12154" s="224" t="s">
        <v>2</v>
      </c>
      <c r="F12154" s="515" t="s">
        <v>13344</v>
      </c>
      <c r="G12154" s="52">
        <v>169131.78539989301</v>
      </c>
      <c r="H12154" s="56">
        <v>4.1136674421697814E-2</v>
      </c>
      <c r="I12154" s="224" t="s">
        <v>2</v>
      </c>
    </row>
    <row r="12155" spans="1:9" x14ac:dyDescent="0.25">
      <c r="A12155" s="515">
        <v>84738</v>
      </c>
      <c r="B12155" s="515" t="s">
        <v>522</v>
      </c>
      <c r="C12155" s="52">
        <v>546461.38816235797</v>
      </c>
      <c r="D12155" s="56">
        <v>6.1074409769068258E-3</v>
      </c>
      <c r="E12155" s="224" t="s">
        <v>2</v>
      </c>
      <c r="F12155" s="515" t="s">
        <v>13345</v>
      </c>
      <c r="G12155" s="52">
        <v>112804.43194146101</v>
      </c>
      <c r="H12155" s="56">
        <v>4.7144323959138541E-2</v>
      </c>
      <c r="I12155" s="224" t="s">
        <v>2</v>
      </c>
    </row>
    <row r="12156" spans="1:9" x14ac:dyDescent="0.25">
      <c r="A12156" s="515">
        <v>75852</v>
      </c>
      <c r="C12156" s="52">
        <v>302794.99878012203</v>
      </c>
      <c r="D12156" s="56">
        <v>7.8758727632517331E-2</v>
      </c>
      <c r="E12156" s="224" t="s">
        <v>2</v>
      </c>
      <c r="F12156" s="515" t="s">
        <v>13346</v>
      </c>
      <c r="G12156" s="52">
        <v>239329.57225884899</v>
      </c>
      <c r="H12156" s="56">
        <v>-6.6902623614260998E-2</v>
      </c>
      <c r="I12156" s="224" t="s">
        <v>2</v>
      </c>
    </row>
    <row r="12157" spans="1:9" x14ac:dyDescent="0.25">
      <c r="A12157" s="515">
        <v>21104</v>
      </c>
      <c r="B12157" s="515" t="s">
        <v>582</v>
      </c>
      <c r="C12157" s="52">
        <v>644831.43861837406</v>
      </c>
      <c r="D12157" s="56">
        <v>4.0517883933066774E-2</v>
      </c>
      <c r="E12157" s="224" t="s">
        <v>2</v>
      </c>
      <c r="F12157" s="515" t="s">
        <v>13347</v>
      </c>
      <c r="G12157" s="52">
        <v>132152.937172109</v>
      </c>
      <c r="H12157" s="56">
        <v>5.6686963972720168E-2</v>
      </c>
      <c r="I12157" s="224" t="s">
        <v>2</v>
      </c>
    </row>
    <row r="12158" spans="1:9" x14ac:dyDescent="0.25">
      <c r="A12158" s="515">
        <v>14837</v>
      </c>
      <c r="B12158" s="515" t="s">
        <v>337</v>
      </c>
      <c r="C12158" s="52">
        <v>227670.789897257</v>
      </c>
      <c r="D12158" s="56">
        <v>0.12105879833629644</v>
      </c>
      <c r="E12158" s="224" t="s">
        <v>2</v>
      </c>
      <c r="F12158" s="515" t="s">
        <v>13348</v>
      </c>
      <c r="G12158" s="52">
        <v>278880.72280354798</v>
      </c>
      <c r="H12158" s="56">
        <v>-3.9842774657054027E-2</v>
      </c>
      <c r="I12158" s="224" t="s">
        <v>2</v>
      </c>
    </row>
    <row r="12159" spans="1:9" x14ac:dyDescent="0.25">
      <c r="A12159" s="515">
        <v>46118</v>
      </c>
      <c r="B12159" s="515" t="s">
        <v>403</v>
      </c>
      <c r="C12159" s="52">
        <v>281437.592472327</v>
      </c>
      <c r="D12159" s="56">
        <v>7.6453753722744808E-2</v>
      </c>
      <c r="E12159" s="224" t="s">
        <v>2</v>
      </c>
      <c r="F12159" s="515" t="s">
        <v>13349</v>
      </c>
      <c r="G12159" s="52">
        <v>597222.10638296604</v>
      </c>
      <c r="H12159" s="56">
        <v>6.840958751489766E-2</v>
      </c>
      <c r="I12159" s="224" t="s">
        <v>2</v>
      </c>
    </row>
    <row r="12160" spans="1:9" x14ac:dyDescent="0.25">
      <c r="A12160" s="515">
        <v>55069</v>
      </c>
      <c r="B12160" s="515" t="s">
        <v>532</v>
      </c>
      <c r="C12160" s="52">
        <v>287417.35424152401</v>
      </c>
      <c r="D12160" s="56">
        <v>6.5631699191509255E-2</v>
      </c>
      <c r="E12160" s="224" t="s">
        <v>2</v>
      </c>
      <c r="F12160" s="515" t="s">
        <v>13350</v>
      </c>
      <c r="G12160" s="52">
        <v>131381.95290667101</v>
      </c>
      <c r="H12160" s="56">
        <v>6.5742301084753027E-2</v>
      </c>
      <c r="I12160" s="224" t="s">
        <v>2</v>
      </c>
    </row>
    <row r="12161" spans="1:9" x14ac:dyDescent="0.25">
      <c r="A12161" s="515">
        <v>87417</v>
      </c>
      <c r="B12161" s="515" t="s">
        <v>893</v>
      </c>
      <c r="C12161" s="52">
        <v>164779.83481990499</v>
      </c>
      <c r="D12161" s="56">
        <v>7.2949039696269631E-3</v>
      </c>
      <c r="E12161" s="224" t="s">
        <v>2</v>
      </c>
      <c r="F12161" s="515" t="s">
        <v>13351</v>
      </c>
      <c r="G12161" s="52">
        <v>334637.586029478</v>
      </c>
      <c r="H12161" s="56">
        <v>5.9279492253724787E-2</v>
      </c>
      <c r="I12161" s="224" t="s">
        <v>2</v>
      </c>
    </row>
    <row r="12162" spans="1:9" x14ac:dyDescent="0.25">
      <c r="A12162" s="515">
        <v>29661</v>
      </c>
      <c r="B12162" s="515" t="s">
        <v>613</v>
      </c>
      <c r="C12162" s="52">
        <v>169334.84595053099</v>
      </c>
      <c r="D12162" s="56">
        <v>0.14746712092657807</v>
      </c>
      <c r="E12162" s="224" t="s">
        <v>2</v>
      </c>
      <c r="F12162" s="515" t="s">
        <v>13352</v>
      </c>
      <c r="G12162" s="52">
        <v>324610.716526979</v>
      </c>
      <c r="H12162" s="56">
        <v>0.17891947824726331</v>
      </c>
      <c r="I12162" s="224" t="s">
        <v>2</v>
      </c>
    </row>
    <row r="12163" spans="1:9" x14ac:dyDescent="0.25">
      <c r="A12163" s="515">
        <v>79838</v>
      </c>
      <c r="B12163" s="515" t="s">
        <v>1119</v>
      </c>
      <c r="C12163" s="52">
        <v>125461.81405908801</v>
      </c>
      <c r="D12163" s="56">
        <v>6.798929969741313E-2</v>
      </c>
      <c r="E12163" s="224" t="s">
        <v>2</v>
      </c>
      <c r="F12163" s="515" t="s">
        <v>13353</v>
      </c>
      <c r="G12163" s="52">
        <v>221052.78505479501</v>
      </c>
      <c r="H12163" s="56">
        <v>4.4140044813659726E-2</v>
      </c>
      <c r="I12163" s="224" t="s">
        <v>2</v>
      </c>
    </row>
    <row r="12164" spans="1:9" x14ac:dyDescent="0.25">
      <c r="A12164" s="515">
        <v>89301</v>
      </c>
      <c r="C12164" s="52">
        <v>181749.49524973601</v>
      </c>
      <c r="D12164" s="56">
        <v>5.1854251619669084E-2</v>
      </c>
      <c r="E12164" s="224" t="s">
        <v>2</v>
      </c>
      <c r="F12164" s="515" t="s">
        <v>13354</v>
      </c>
      <c r="G12164" s="52">
        <v>90263.330186166902</v>
      </c>
      <c r="H12164" s="56">
        <v>-5.6062586616875756E-2</v>
      </c>
      <c r="I12164" s="224" t="s">
        <v>2</v>
      </c>
    </row>
    <row r="12165" spans="1:9" x14ac:dyDescent="0.25">
      <c r="A12165" s="515">
        <v>16651</v>
      </c>
      <c r="B12165" s="515" t="s">
        <v>876</v>
      </c>
      <c r="C12165" s="52">
        <v>91493.722419165395</v>
      </c>
      <c r="D12165" s="56">
        <v>4.9002773729913129E-3</v>
      </c>
      <c r="E12165" s="224" t="s">
        <v>2</v>
      </c>
      <c r="F12165" s="515" t="s">
        <v>13355</v>
      </c>
      <c r="G12165" s="52">
        <v>220503.188385355</v>
      </c>
      <c r="H12165" s="56">
        <v>0.16658428843089307</v>
      </c>
      <c r="I12165" s="224" t="s">
        <v>2</v>
      </c>
    </row>
    <row r="12166" spans="1:9" x14ac:dyDescent="0.25">
      <c r="A12166" s="515">
        <v>71418</v>
      </c>
      <c r="C12166" s="52">
        <v>99277.621522228103</v>
      </c>
      <c r="D12166" s="56">
        <v>-1.7571917059558798E-2</v>
      </c>
      <c r="E12166" s="224" t="s">
        <v>2</v>
      </c>
      <c r="F12166" s="515" t="s">
        <v>13356</v>
      </c>
      <c r="G12166" s="52">
        <v>274990.60796511202</v>
      </c>
      <c r="H12166" s="56">
        <v>0.10155482124804108</v>
      </c>
      <c r="I12166" s="224" t="s">
        <v>2</v>
      </c>
    </row>
    <row r="12167" spans="1:9" x14ac:dyDescent="0.25">
      <c r="A12167" s="515">
        <v>45171</v>
      </c>
      <c r="B12167" s="515" t="s">
        <v>344</v>
      </c>
      <c r="C12167" s="52">
        <v>238563.53728974599</v>
      </c>
      <c r="D12167" s="56">
        <v>0.10642218072251672</v>
      </c>
      <c r="E12167" s="224" t="s">
        <v>2</v>
      </c>
      <c r="F12167" s="515" t="s">
        <v>13357</v>
      </c>
      <c r="G12167" s="52">
        <v>117633.42945222399</v>
      </c>
      <c r="H12167" s="56">
        <v>-2.0442298263007859E-3</v>
      </c>
      <c r="I12167" s="224" t="s">
        <v>2</v>
      </c>
    </row>
    <row r="12168" spans="1:9" x14ac:dyDescent="0.25">
      <c r="A12168" s="515">
        <v>31804</v>
      </c>
      <c r="B12168" s="515" t="s">
        <v>778</v>
      </c>
      <c r="C12168" s="52">
        <v>300238.18284719001</v>
      </c>
      <c r="D12168" s="56">
        <v>9.1656513146630952E-2</v>
      </c>
      <c r="E12168" s="224" t="s">
        <v>2</v>
      </c>
      <c r="F12168" s="515" t="s">
        <v>13358</v>
      </c>
      <c r="G12168" s="52">
        <v>297859.94818390399</v>
      </c>
      <c r="H12168" s="56">
        <v>0.14731697786417794</v>
      </c>
      <c r="I12168" s="224" t="s">
        <v>2</v>
      </c>
    </row>
    <row r="12169" spans="1:9" x14ac:dyDescent="0.25">
      <c r="A12169" s="515">
        <v>2660</v>
      </c>
      <c r="B12169" s="515" t="s">
        <v>427</v>
      </c>
      <c r="C12169" s="52">
        <v>550805.454784545</v>
      </c>
      <c r="D12169" s="56">
        <v>8.9617215305251685E-2</v>
      </c>
      <c r="E12169" s="224" t="s">
        <v>2</v>
      </c>
      <c r="F12169" s="515" t="s">
        <v>13359</v>
      </c>
      <c r="G12169" s="52">
        <v>209569.07505222</v>
      </c>
      <c r="H12169" s="56">
        <v>7.4657753995078568E-2</v>
      </c>
      <c r="I12169" s="224" t="s">
        <v>2</v>
      </c>
    </row>
    <row r="12170" spans="1:9" x14ac:dyDescent="0.25">
      <c r="A12170" s="515">
        <v>78002</v>
      </c>
      <c r="B12170" s="515" t="s">
        <v>717</v>
      </c>
      <c r="C12170" s="52">
        <v>267757.513557453</v>
      </c>
      <c r="D12170" s="56">
        <v>6.8259126435839618E-2</v>
      </c>
      <c r="E12170" s="224" t="s">
        <v>2</v>
      </c>
      <c r="F12170" s="515" t="s">
        <v>13360</v>
      </c>
      <c r="G12170" s="52">
        <v>162349.823624585</v>
      </c>
      <c r="H12170" s="56">
        <v>-2.1921145062747768E-2</v>
      </c>
      <c r="I12170" s="224" t="s">
        <v>2</v>
      </c>
    </row>
    <row r="12171" spans="1:9" x14ac:dyDescent="0.25">
      <c r="A12171" s="515">
        <v>72730</v>
      </c>
      <c r="B12171" s="515" t="s">
        <v>675</v>
      </c>
      <c r="C12171" s="52">
        <v>289392.795085577</v>
      </c>
      <c r="D12171" s="56">
        <v>0.11733152880473581</v>
      </c>
      <c r="E12171" s="224" t="s">
        <v>2</v>
      </c>
      <c r="F12171" s="515" t="s">
        <v>13361</v>
      </c>
      <c r="G12171" s="52">
        <v>446281.67378885398</v>
      </c>
      <c r="H12171" s="56">
        <v>4.0441391365471556E-2</v>
      </c>
      <c r="I12171" s="224" t="s">
        <v>2</v>
      </c>
    </row>
    <row r="12172" spans="1:9" x14ac:dyDescent="0.25">
      <c r="A12172" s="515">
        <v>59847</v>
      </c>
      <c r="B12172" s="515" t="s">
        <v>1060</v>
      </c>
      <c r="C12172" s="52">
        <v>483051.02416310302</v>
      </c>
      <c r="D12172" s="56">
        <v>3.3732219365689819E-2</v>
      </c>
      <c r="E12172" s="224" t="s">
        <v>2</v>
      </c>
      <c r="F12172" s="515" t="s">
        <v>13362</v>
      </c>
      <c r="G12172" s="52">
        <v>314144.92029464297</v>
      </c>
      <c r="H12172" s="56">
        <v>4.6934656303913171E-2</v>
      </c>
      <c r="I12172" s="224" t="s">
        <v>2</v>
      </c>
    </row>
    <row r="12173" spans="1:9" x14ac:dyDescent="0.25">
      <c r="A12173" s="515">
        <v>11721</v>
      </c>
      <c r="B12173" s="515" t="s">
        <v>324</v>
      </c>
      <c r="C12173" s="52">
        <v>736724.49892413395</v>
      </c>
      <c r="D12173" s="56">
        <v>1.6606885375385818E-2</v>
      </c>
      <c r="E12173" s="224" t="s">
        <v>2</v>
      </c>
      <c r="F12173" s="515" t="s">
        <v>13363</v>
      </c>
      <c r="G12173" s="52">
        <v>107238.46666832</v>
      </c>
      <c r="H12173" s="56">
        <v>3.4342038507084414E-2</v>
      </c>
      <c r="I12173" s="224" t="s">
        <v>2</v>
      </c>
    </row>
    <row r="12174" spans="1:9" x14ac:dyDescent="0.25">
      <c r="A12174" s="515">
        <v>20616</v>
      </c>
      <c r="B12174" s="515" t="s">
        <v>321</v>
      </c>
      <c r="C12174" s="52">
        <v>369919.33917073999</v>
      </c>
      <c r="D12174" s="56">
        <v>3.1701725268712233E-2</v>
      </c>
      <c r="E12174" s="224" t="s">
        <v>2</v>
      </c>
      <c r="F12174" s="515" t="s">
        <v>13364</v>
      </c>
      <c r="G12174" s="52">
        <v>284488.00625276403</v>
      </c>
      <c r="H12174" s="56">
        <v>8.7499500164326394E-2</v>
      </c>
      <c r="I12174" s="224" t="s">
        <v>2</v>
      </c>
    </row>
    <row r="12175" spans="1:9" x14ac:dyDescent="0.25">
      <c r="A12175" s="515">
        <v>71417</v>
      </c>
      <c r="B12175" s="515" t="s">
        <v>968</v>
      </c>
      <c r="C12175" s="52">
        <v>103512.544852602</v>
      </c>
      <c r="D12175" s="56">
        <v>7.9380119190144774E-2</v>
      </c>
      <c r="E12175" s="224" t="s">
        <v>2</v>
      </c>
      <c r="F12175" s="515" t="s">
        <v>13365</v>
      </c>
      <c r="G12175" s="52">
        <v>192547.672993666</v>
      </c>
      <c r="H12175" s="56">
        <v>6.9505108132312865E-2</v>
      </c>
      <c r="I12175" s="224" t="s">
        <v>2</v>
      </c>
    </row>
    <row r="12176" spans="1:9" x14ac:dyDescent="0.25">
      <c r="A12176" s="515">
        <v>14432</v>
      </c>
      <c r="B12176" s="515" t="s">
        <v>337</v>
      </c>
      <c r="C12176" s="52">
        <v>200462.62096388199</v>
      </c>
      <c r="D12176" s="56">
        <v>0.13006436281532591</v>
      </c>
      <c r="E12176" s="224" t="s">
        <v>2</v>
      </c>
      <c r="F12176" s="515" t="s">
        <v>13366</v>
      </c>
      <c r="G12176" s="52">
        <v>849669.15789473604</v>
      </c>
      <c r="H12176" s="56">
        <v>0</v>
      </c>
      <c r="I12176" s="224" t="s">
        <v>2</v>
      </c>
    </row>
    <row r="12177" spans="1:9" x14ac:dyDescent="0.25">
      <c r="A12177" s="515">
        <v>43830</v>
      </c>
      <c r="B12177" s="515" t="s">
        <v>518</v>
      </c>
      <c r="C12177" s="52">
        <v>245801.438443035</v>
      </c>
      <c r="D12177" s="56">
        <v>0.10318307226394294</v>
      </c>
      <c r="E12177" s="224" t="s">
        <v>2</v>
      </c>
      <c r="F12177" s="515" t="s">
        <v>13367</v>
      </c>
      <c r="G12177" s="52">
        <v>187481.310974817</v>
      </c>
      <c r="H12177" s="56">
        <v>-8.7514269379068386E-3</v>
      </c>
      <c r="I12177" s="224" t="s">
        <v>2</v>
      </c>
    </row>
    <row r="12178" spans="1:9" x14ac:dyDescent="0.25">
      <c r="A12178" s="515">
        <v>37769</v>
      </c>
      <c r="B12178" s="515" t="s">
        <v>907</v>
      </c>
      <c r="C12178" s="52">
        <v>182359.83405369599</v>
      </c>
      <c r="D12178" s="56">
        <v>9.4536760890681151E-2</v>
      </c>
      <c r="E12178" s="224" t="s">
        <v>2</v>
      </c>
      <c r="F12178" s="515" t="s">
        <v>13368</v>
      </c>
      <c r="G12178" s="52">
        <v>233798.769715011</v>
      </c>
      <c r="H12178" s="56">
        <v>0.10177634888250484</v>
      </c>
      <c r="I12178" s="224" t="s">
        <v>2</v>
      </c>
    </row>
    <row r="12179" spans="1:9" x14ac:dyDescent="0.25">
      <c r="A12179" s="515">
        <v>8036</v>
      </c>
      <c r="B12179" s="515" t="s">
        <v>294</v>
      </c>
      <c r="C12179" s="52">
        <v>414630.63589489798</v>
      </c>
      <c r="D12179" s="56">
        <v>8.6907400088124434E-2</v>
      </c>
      <c r="E12179" s="224" t="s">
        <v>2</v>
      </c>
      <c r="F12179" s="515" t="s">
        <v>13369</v>
      </c>
      <c r="G12179" s="52">
        <v>359372.29133524402</v>
      </c>
      <c r="H12179" s="56">
        <v>3.316444549237562E-2</v>
      </c>
      <c r="I12179" s="224" t="s">
        <v>2</v>
      </c>
    </row>
    <row r="12180" spans="1:9" x14ac:dyDescent="0.25">
      <c r="A12180" s="515">
        <v>35234</v>
      </c>
      <c r="B12180" s="515" t="s">
        <v>640</v>
      </c>
      <c r="C12180" s="52">
        <v>79078.266493797404</v>
      </c>
      <c r="D12180" s="56">
        <v>0.13068194650280873</v>
      </c>
      <c r="E12180" s="224" t="s">
        <v>2</v>
      </c>
      <c r="F12180" s="515" t="s">
        <v>13370</v>
      </c>
      <c r="G12180" s="52">
        <v>245790.249721147</v>
      </c>
      <c r="H12180" s="56">
        <v>0.13585276961264062</v>
      </c>
      <c r="I12180" s="224" t="s">
        <v>2</v>
      </c>
    </row>
    <row r="12181" spans="1:9" x14ac:dyDescent="0.25">
      <c r="A12181" s="515">
        <v>28386</v>
      </c>
      <c r="B12181" s="515" t="s">
        <v>1149</v>
      </c>
      <c r="C12181" s="52">
        <v>98362.118364580907</v>
      </c>
      <c r="D12181" s="56">
        <v>0.17685489745660357</v>
      </c>
      <c r="E12181" s="224" t="s">
        <v>2</v>
      </c>
      <c r="F12181" s="515" t="s">
        <v>13371</v>
      </c>
      <c r="G12181" s="52">
        <v>660365.35147795803</v>
      </c>
      <c r="H12181" s="56">
        <v>4.653538326083187E-2</v>
      </c>
      <c r="I12181" s="224" t="s">
        <v>2</v>
      </c>
    </row>
    <row r="12182" spans="1:9" x14ac:dyDescent="0.25">
      <c r="A12182" s="515">
        <v>99326</v>
      </c>
      <c r="B12182" s="515" t="s">
        <v>1068</v>
      </c>
      <c r="C12182" s="52">
        <v>283661.73931927298</v>
      </c>
      <c r="D12182" s="56">
        <v>9.6868403336605582E-2</v>
      </c>
      <c r="E12182" s="224" t="s">
        <v>2</v>
      </c>
      <c r="F12182" s="515" t="s">
        <v>13372</v>
      </c>
      <c r="G12182" s="52">
        <v>492177.721353292</v>
      </c>
      <c r="H12182" s="56">
        <v>9.9624692648048463E-2</v>
      </c>
      <c r="I12182" s="224" t="s">
        <v>2</v>
      </c>
    </row>
    <row r="12183" spans="1:9" x14ac:dyDescent="0.25">
      <c r="A12183" s="515">
        <v>97016</v>
      </c>
      <c r="B12183" s="515" t="s">
        <v>659</v>
      </c>
      <c r="C12183" s="52">
        <v>373012.95857900201</v>
      </c>
      <c r="D12183" s="56">
        <v>2.8681514954262109E-2</v>
      </c>
      <c r="E12183" s="224" t="s">
        <v>2</v>
      </c>
      <c r="F12183" s="515" t="s">
        <v>13373</v>
      </c>
      <c r="G12183" s="52">
        <v>178584.273648712</v>
      </c>
      <c r="H12183" s="56">
        <v>0</v>
      </c>
      <c r="I12183" s="224" t="s">
        <v>2</v>
      </c>
    </row>
    <row r="12184" spans="1:9" x14ac:dyDescent="0.25">
      <c r="A12184" s="515">
        <v>8221</v>
      </c>
      <c r="B12184" s="515" t="s">
        <v>800</v>
      </c>
      <c r="C12184" s="52">
        <v>369000.56290049298</v>
      </c>
      <c r="D12184" s="56">
        <v>6.9288573319322644E-2</v>
      </c>
      <c r="E12184" s="224" t="s">
        <v>2</v>
      </c>
      <c r="F12184" s="515" t="s">
        <v>13374</v>
      </c>
      <c r="G12184" s="52">
        <v>385853.161467308</v>
      </c>
      <c r="H12184" s="56">
        <v>6.1063712750989846E-2</v>
      </c>
      <c r="I12184" s="224" t="s">
        <v>2</v>
      </c>
    </row>
    <row r="12185" spans="1:9" x14ac:dyDescent="0.25">
      <c r="A12185" s="515">
        <v>72432</v>
      </c>
      <c r="B12185" s="515" t="s">
        <v>673</v>
      </c>
      <c r="C12185" s="52">
        <v>105420.99381888199</v>
      </c>
      <c r="D12185" s="56">
        <v>2.122356954299617E-2</v>
      </c>
      <c r="E12185" s="224" t="s">
        <v>2</v>
      </c>
      <c r="F12185" s="515" t="s">
        <v>13375</v>
      </c>
      <c r="G12185" s="52">
        <v>118982.43607213</v>
      </c>
      <c r="H12185" s="56">
        <v>0.1282649608709672</v>
      </c>
      <c r="I12185" s="224" t="s">
        <v>2</v>
      </c>
    </row>
    <row r="12186" spans="1:9" x14ac:dyDescent="0.25">
      <c r="A12186" s="515">
        <v>68066</v>
      </c>
      <c r="B12186" s="515" t="s">
        <v>367</v>
      </c>
      <c r="C12186" s="52">
        <v>234579.20896896801</v>
      </c>
      <c r="D12186" s="56">
        <v>8.2118022336000115E-2</v>
      </c>
      <c r="E12186" s="224" t="s">
        <v>2</v>
      </c>
      <c r="F12186" s="515" t="s">
        <v>13376</v>
      </c>
      <c r="G12186" s="52">
        <v>221514.140793356</v>
      </c>
      <c r="H12186" s="56">
        <v>0.11027744195957691</v>
      </c>
      <c r="I12186" s="224" t="s">
        <v>2</v>
      </c>
    </row>
    <row r="12187" spans="1:9" x14ac:dyDescent="0.25">
      <c r="A12187" s="515">
        <v>70426</v>
      </c>
      <c r="B12187" s="515" t="s">
        <v>1132</v>
      </c>
      <c r="C12187" s="52">
        <v>109618.149784739</v>
      </c>
      <c r="D12187" s="56">
        <v>3.6869615903982363E-2</v>
      </c>
      <c r="E12187" s="224" t="s">
        <v>2</v>
      </c>
      <c r="F12187" s="515" t="s">
        <v>13377</v>
      </c>
      <c r="G12187" s="52">
        <v>183547.79061418999</v>
      </c>
      <c r="H12187" s="56">
        <v>0.12775925408328984</v>
      </c>
      <c r="I12187" s="224" t="s">
        <v>2</v>
      </c>
    </row>
    <row r="12188" spans="1:9" x14ac:dyDescent="0.25">
      <c r="A12188" s="515">
        <v>19102</v>
      </c>
      <c r="B12188" s="515" t="s">
        <v>294</v>
      </c>
      <c r="C12188" s="52">
        <v>342105.15150423499</v>
      </c>
      <c r="D12188" s="56">
        <v>-1.3246056245095665E-2</v>
      </c>
      <c r="E12188" s="224">
        <v>2309.5477746654201</v>
      </c>
      <c r="F12188" s="515" t="s">
        <v>13378</v>
      </c>
      <c r="G12188" s="52">
        <v>199529.372851933</v>
      </c>
      <c r="H12188" s="56">
        <v>7.803557706740108E-2</v>
      </c>
      <c r="I12188" s="224" t="s">
        <v>2</v>
      </c>
    </row>
    <row r="12189" spans="1:9" x14ac:dyDescent="0.25">
      <c r="A12189" s="515">
        <v>65066</v>
      </c>
      <c r="C12189" s="52">
        <v>177011.04961582299</v>
      </c>
      <c r="D12189" s="56">
        <v>0.11948079779420924</v>
      </c>
      <c r="E12189" s="224" t="s">
        <v>2</v>
      </c>
      <c r="F12189" s="515" t="s">
        <v>13379</v>
      </c>
      <c r="G12189" s="52">
        <v>307121.04412785597</v>
      </c>
      <c r="H12189" s="56">
        <v>5.9477913854971705E-2</v>
      </c>
      <c r="I12189" s="224" t="s">
        <v>2</v>
      </c>
    </row>
    <row r="12190" spans="1:9" x14ac:dyDescent="0.25">
      <c r="A12190" s="515">
        <v>25159</v>
      </c>
      <c r="B12190" s="515" t="s">
        <v>602</v>
      </c>
      <c r="C12190" s="52">
        <v>155917.48429353899</v>
      </c>
      <c r="D12190" s="56">
        <v>4.8841743968996119E-2</v>
      </c>
      <c r="E12190" s="224" t="s">
        <v>2</v>
      </c>
      <c r="F12190" s="515" t="s">
        <v>13380</v>
      </c>
      <c r="G12190" s="52">
        <v>275205.353524226</v>
      </c>
      <c r="H12190" s="56">
        <v>3.3529082388924054E-2</v>
      </c>
      <c r="I12190" s="224" t="s">
        <v>2</v>
      </c>
    </row>
    <row r="12191" spans="1:9" x14ac:dyDescent="0.25">
      <c r="A12191" s="515">
        <v>95971</v>
      </c>
      <c r="C12191" s="52">
        <v>321355.63229469402</v>
      </c>
      <c r="D12191" s="56">
        <v>3.9073034134434546E-2</v>
      </c>
      <c r="E12191" s="224" t="s">
        <v>2</v>
      </c>
      <c r="F12191" s="515" t="s">
        <v>13381</v>
      </c>
      <c r="G12191" s="52">
        <v>214264.07047837399</v>
      </c>
      <c r="H12191" s="56">
        <v>0.11222099783483948</v>
      </c>
      <c r="I12191" s="224" t="s">
        <v>2</v>
      </c>
    </row>
    <row r="12192" spans="1:9" x14ac:dyDescent="0.25">
      <c r="A12192" s="515">
        <v>23517</v>
      </c>
      <c r="B12192" s="515" t="s">
        <v>301</v>
      </c>
      <c r="C12192" s="52">
        <v>308194.82990644302</v>
      </c>
      <c r="D12192" s="56">
        <v>3.0820007770405087E-2</v>
      </c>
      <c r="E12192" s="224">
        <v>1502.56944444444</v>
      </c>
      <c r="F12192" s="515" t="s">
        <v>13382</v>
      </c>
      <c r="G12192" s="52">
        <v>361604.04129793501</v>
      </c>
      <c r="H12192" s="56">
        <v>0</v>
      </c>
      <c r="I12192" s="224" t="s">
        <v>2</v>
      </c>
    </row>
    <row r="12193" spans="1:9" x14ac:dyDescent="0.25">
      <c r="A12193" s="515">
        <v>78657</v>
      </c>
      <c r="C12193" s="52">
        <v>609454.16273901402</v>
      </c>
      <c r="D12193" s="56">
        <v>6.6205051873665627E-2</v>
      </c>
      <c r="E12193" s="224" t="s">
        <v>2</v>
      </c>
      <c r="F12193" s="515" t="s">
        <v>13383</v>
      </c>
      <c r="G12193" s="52">
        <v>393977.81362842501</v>
      </c>
      <c r="H12193" s="56">
        <v>4.6762179735746166E-2</v>
      </c>
      <c r="I12193" s="224" t="s">
        <v>2</v>
      </c>
    </row>
    <row r="12194" spans="1:9" x14ac:dyDescent="0.25">
      <c r="A12194" s="515">
        <v>28135</v>
      </c>
      <c r="B12194" s="515" t="s">
        <v>360</v>
      </c>
      <c r="C12194" s="52">
        <v>120835.872998349</v>
      </c>
      <c r="D12194" s="56">
        <v>0.203796895843879</v>
      </c>
      <c r="E12194" s="224" t="s">
        <v>2</v>
      </c>
      <c r="F12194" s="515" t="s">
        <v>13384</v>
      </c>
      <c r="G12194" s="52">
        <v>263432.04952340998</v>
      </c>
      <c r="H12194" s="56">
        <v>0.12329192263582028</v>
      </c>
      <c r="I12194" s="224" t="s">
        <v>2</v>
      </c>
    </row>
    <row r="12195" spans="1:9" x14ac:dyDescent="0.25">
      <c r="A12195" s="515">
        <v>99027</v>
      </c>
      <c r="B12195" s="515" t="s">
        <v>820</v>
      </c>
      <c r="C12195" s="52">
        <v>462759.80769800802</v>
      </c>
      <c r="D12195" s="56">
        <v>3.7755297094753788E-2</v>
      </c>
      <c r="E12195" s="224" t="s">
        <v>2</v>
      </c>
      <c r="F12195" s="515" t="s">
        <v>13385</v>
      </c>
      <c r="G12195" s="52">
        <v>236034.70356597099</v>
      </c>
      <c r="H12195" s="56">
        <v>8.6617129548661478E-2</v>
      </c>
      <c r="I12195" s="224" t="s">
        <v>2</v>
      </c>
    </row>
    <row r="12196" spans="1:9" x14ac:dyDescent="0.25">
      <c r="A12196" s="515">
        <v>75860</v>
      </c>
      <c r="C12196" s="52">
        <v>147530.689933307</v>
      </c>
      <c r="D12196" s="56">
        <v>1.5455576076846994E-3</v>
      </c>
      <c r="E12196" s="224" t="s">
        <v>2</v>
      </c>
      <c r="F12196" s="515" t="s">
        <v>13386</v>
      </c>
      <c r="G12196" s="52">
        <v>125255.773995139</v>
      </c>
      <c r="H12196" s="56">
        <v>8.7202967001852802E-2</v>
      </c>
      <c r="I12196" s="224" t="s">
        <v>2</v>
      </c>
    </row>
    <row r="12197" spans="1:9" x14ac:dyDescent="0.25">
      <c r="A12197" s="515">
        <v>65441</v>
      </c>
      <c r="C12197" s="52">
        <v>177736.18726819599</v>
      </c>
      <c r="D12197" s="56">
        <v>3.0011865209386049E-2</v>
      </c>
      <c r="E12197" s="224" t="s">
        <v>2</v>
      </c>
      <c r="F12197" s="515" t="s">
        <v>13387</v>
      </c>
      <c r="G12197" s="52">
        <v>210533.23076922999</v>
      </c>
      <c r="H12197" s="56">
        <v>0</v>
      </c>
      <c r="I12197" s="224" t="s">
        <v>2</v>
      </c>
    </row>
    <row r="12198" spans="1:9" x14ac:dyDescent="0.25">
      <c r="A12198" s="515">
        <v>25530</v>
      </c>
      <c r="B12198" s="515" t="s">
        <v>602</v>
      </c>
      <c r="C12198" s="52">
        <v>108378.302097843</v>
      </c>
      <c r="D12198" s="56">
        <v>6.1786198715743187E-2</v>
      </c>
      <c r="E12198" s="224" t="s">
        <v>2</v>
      </c>
      <c r="F12198" s="515" t="s">
        <v>13388</v>
      </c>
      <c r="G12198" s="52">
        <v>83835.447181547905</v>
      </c>
      <c r="H12198" s="56">
        <v>0.12335031828740527</v>
      </c>
      <c r="I12198" s="224" t="s">
        <v>2</v>
      </c>
    </row>
    <row r="12199" spans="1:9" x14ac:dyDescent="0.25">
      <c r="A12199" s="515">
        <v>18621</v>
      </c>
      <c r="B12199" s="515" t="s">
        <v>512</v>
      </c>
      <c r="C12199" s="52">
        <v>178388.124169722</v>
      </c>
      <c r="D12199" s="56">
        <v>4.9009954900874085E-2</v>
      </c>
      <c r="E12199" s="224" t="s">
        <v>2</v>
      </c>
      <c r="F12199" s="515" t="s">
        <v>13389</v>
      </c>
      <c r="G12199" s="52">
        <v>237700.39841428999</v>
      </c>
      <c r="H12199" s="56">
        <v>9.5804763937850854E-2</v>
      </c>
      <c r="I12199" s="224" t="s">
        <v>2</v>
      </c>
    </row>
    <row r="12200" spans="1:9" x14ac:dyDescent="0.25">
      <c r="A12200" s="515">
        <v>48849</v>
      </c>
      <c r="B12200" s="515" t="s">
        <v>631</v>
      </c>
      <c r="C12200" s="52">
        <v>200431.954769181</v>
      </c>
      <c r="D12200" s="56">
        <v>6.8703295961485972E-2</v>
      </c>
      <c r="E12200" s="224" t="s">
        <v>2</v>
      </c>
      <c r="F12200" s="515" t="s">
        <v>13390</v>
      </c>
      <c r="G12200" s="52">
        <v>210669.91780931299</v>
      </c>
      <c r="H12200" s="56">
        <v>0.10103927827981721</v>
      </c>
      <c r="I12200" s="224" t="s">
        <v>2</v>
      </c>
    </row>
    <row r="12201" spans="1:9" x14ac:dyDescent="0.25">
      <c r="A12201" s="515">
        <v>49082</v>
      </c>
      <c r="B12201" s="515" t="s">
        <v>1107</v>
      </c>
      <c r="C12201" s="52">
        <v>181580.235117164</v>
      </c>
      <c r="D12201" s="56">
        <v>1.4378429711992989E-2</v>
      </c>
      <c r="E12201" s="224" t="s">
        <v>2</v>
      </c>
      <c r="F12201" s="515" t="s">
        <v>13391</v>
      </c>
      <c r="G12201" s="52">
        <v>87866.777687097405</v>
      </c>
      <c r="H12201" s="56">
        <v>0.43046813602935768</v>
      </c>
      <c r="I12201" s="224" t="s">
        <v>2</v>
      </c>
    </row>
    <row r="12202" spans="1:9" x14ac:dyDescent="0.25">
      <c r="A12202" s="515">
        <v>32668</v>
      </c>
      <c r="B12202" s="515" t="s">
        <v>577</v>
      </c>
      <c r="C12202" s="52">
        <v>368479.61165440403</v>
      </c>
      <c r="D12202" s="56">
        <v>0.13445062248069342</v>
      </c>
      <c r="E12202" s="224" t="s">
        <v>2</v>
      </c>
      <c r="F12202" s="515" t="s">
        <v>13392</v>
      </c>
      <c r="G12202" s="52">
        <v>245139.33783452201</v>
      </c>
      <c r="H12202" s="56">
        <v>8.1399763027032265E-2</v>
      </c>
      <c r="I12202" s="224" t="s">
        <v>2</v>
      </c>
    </row>
    <row r="12203" spans="1:9" x14ac:dyDescent="0.25">
      <c r="A12203" s="515">
        <v>19127</v>
      </c>
      <c r="B12203" s="515" t="s">
        <v>294</v>
      </c>
      <c r="C12203" s="52">
        <v>302885.22988846898</v>
      </c>
      <c r="D12203" s="56">
        <v>3.9268612544964374E-2</v>
      </c>
      <c r="E12203" s="224">
        <v>2112.00555555555</v>
      </c>
      <c r="F12203" s="515" t="s">
        <v>13393</v>
      </c>
      <c r="G12203" s="52">
        <v>166886.95522388001</v>
      </c>
      <c r="H12203" s="56">
        <v>0</v>
      </c>
      <c r="I12203" s="224" t="s">
        <v>2</v>
      </c>
    </row>
    <row r="12204" spans="1:9" x14ac:dyDescent="0.25">
      <c r="A12204" s="515">
        <v>1430</v>
      </c>
      <c r="B12204" s="515" t="s">
        <v>751</v>
      </c>
      <c r="C12204" s="52">
        <v>375006.22740813397</v>
      </c>
      <c r="D12204" s="56">
        <v>9.0074250239840808E-2</v>
      </c>
      <c r="E12204" s="224" t="s">
        <v>2</v>
      </c>
      <c r="F12204" s="515" t="s">
        <v>13394</v>
      </c>
      <c r="G12204" s="52">
        <v>157955.46358072601</v>
      </c>
      <c r="H12204" s="56">
        <v>7.1767476163810753E-2</v>
      </c>
      <c r="I12204" s="224" t="s">
        <v>2</v>
      </c>
    </row>
    <row r="12205" spans="1:9" x14ac:dyDescent="0.25">
      <c r="A12205" s="515">
        <v>4364</v>
      </c>
      <c r="B12205" s="515" t="s">
        <v>848</v>
      </c>
      <c r="C12205" s="52">
        <v>308768.51162195997</v>
      </c>
      <c r="D12205" s="56">
        <v>0.10733648282848451</v>
      </c>
      <c r="E12205" s="224" t="s">
        <v>2</v>
      </c>
      <c r="F12205" s="515" t="s">
        <v>13395</v>
      </c>
      <c r="G12205" s="52">
        <v>294180.44376623799</v>
      </c>
      <c r="H12205" s="56">
        <v>0.115370128911795</v>
      </c>
      <c r="I12205" s="224" t="s">
        <v>2</v>
      </c>
    </row>
    <row r="12206" spans="1:9" x14ac:dyDescent="0.25">
      <c r="A12206" s="515">
        <v>45865</v>
      </c>
      <c r="B12206" s="515" t="s">
        <v>480</v>
      </c>
      <c r="C12206" s="52">
        <v>259639.33834728799</v>
      </c>
      <c r="D12206" s="56">
        <v>3.6116883340168403E-2</v>
      </c>
      <c r="E12206" s="224" t="s">
        <v>2</v>
      </c>
      <c r="F12206" s="515" t="s">
        <v>13396</v>
      </c>
      <c r="G12206" s="52">
        <v>203289.36911640599</v>
      </c>
      <c r="H12206" s="56">
        <v>0</v>
      </c>
      <c r="I12206" s="224" t="s">
        <v>2</v>
      </c>
    </row>
    <row r="12207" spans="1:9" x14ac:dyDescent="0.25">
      <c r="A12207" s="515">
        <v>43912</v>
      </c>
      <c r="B12207" s="515" t="s">
        <v>442</v>
      </c>
      <c r="C12207" s="52">
        <v>85199.421724462896</v>
      </c>
      <c r="D12207" s="56">
        <v>2.6668669274805889E-2</v>
      </c>
      <c r="E12207" s="224" t="s">
        <v>2</v>
      </c>
      <c r="F12207" s="515" t="s">
        <v>13397</v>
      </c>
      <c r="G12207" s="52">
        <v>764172.822430389</v>
      </c>
      <c r="H12207" s="56">
        <v>8.907818136701437E-2</v>
      </c>
      <c r="I12207" s="224" t="s">
        <v>2</v>
      </c>
    </row>
    <row r="12208" spans="1:9" x14ac:dyDescent="0.25">
      <c r="A12208" s="515">
        <v>73527</v>
      </c>
      <c r="B12208" s="515" t="s">
        <v>364</v>
      </c>
      <c r="C12208" s="52">
        <v>178006.46778383901</v>
      </c>
      <c r="D12208" s="56">
        <v>9.770040517638319E-2</v>
      </c>
      <c r="E12208" s="224" t="s">
        <v>2</v>
      </c>
      <c r="F12208" s="515" t="s">
        <v>13398</v>
      </c>
      <c r="G12208" s="52">
        <v>323229.39277134201</v>
      </c>
      <c r="H12208" s="56">
        <v>0.10660963590326704</v>
      </c>
      <c r="I12208" s="224" t="s">
        <v>2</v>
      </c>
    </row>
    <row r="12209" spans="1:9" x14ac:dyDescent="0.25">
      <c r="A12209" s="515">
        <v>41311</v>
      </c>
      <c r="C12209" s="52">
        <v>110170.253966551</v>
      </c>
      <c r="D12209" s="56">
        <v>0.18319204588390739</v>
      </c>
      <c r="E12209" s="224" t="s">
        <v>2</v>
      </c>
      <c r="F12209" s="515" t="s">
        <v>13399</v>
      </c>
      <c r="G12209" s="52">
        <v>367863.22108382703</v>
      </c>
      <c r="H12209" s="56">
        <v>7.8000421614452878E-2</v>
      </c>
      <c r="I12209" s="224" t="s">
        <v>2</v>
      </c>
    </row>
    <row r="12210" spans="1:9" x14ac:dyDescent="0.25">
      <c r="A12210" s="515">
        <v>48821</v>
      </c>
      <c r="B12210" s="515" t="s">
        <v>528</v>
      </c>
      <c r="C12210" s="52">
        <v>258789.552383061</v>
      </c>
      <c r="D12210" s="56">
        <v>2.7361378942237568E-2</v>
      </c>
      <c r="E12210" s="224" t="s">
        <v>2</v>
      </c>
      <c r="F12210" s="515" t="s">
        <v>13400</v>
      </c>
      <c r="G12210" s="52">
        <v>161781.228570773</v>
      </c>
      <c r="H12210" s="56">
        <v>6.3123987703192372E-2</v>
      </c>
      <c r="I12210" s="224" t="s">
        <v>2</v>
      </c>
    </row>
    <row r="12211" spans="1:9" x14ac:dyDescent="0.25">
      <c r="A12211" s="515">
        <v>60942</v>
      </c>
      <c r="B12211" s="515" t="s">
        <v>999</v>
      </c>
      <c r="C12211" s="52">
        <v>61710.035764821703</v>
      </c>
      <c r="D12211" s="56">
        <v>4.6931960886148122E-2</v>
      </c>
      <c r="E12211" s="224" t="s">
        <v>2</v>
      </c>
      <c r="F12211" s="515" t="s">
        <v>13401</v>
      </c>
      <c r="G12211" s="52">
        <v>634455.12856163504</v>
      </c>
      <c r="H12211" s="56">
        <v>6.4538735210263555E-3</v>
      </c>
      <c r="I12211" s="224" t="s">
        <v>2</v>
      </c>
    </row>
    <row r="12212" spans="1:9" x14ac:dyDescent="0.25">
      <c r="A12212" s="515">
        <v>62012</v>
      </c>
      <c r="B12212" s="515" t="s">
        <v>498</v>
      </c>
      <c r="C12212" s="52">
        <v>166099.883245826</v>
      </c>
      <c r="D12212" s="56">
        <v>6.5648446222869847E-2</v>
      </c>
      <c r="E12212" s="224" t="s">
        <v>2</v>
      </c>
      <c r="F12212" s="515" t="s">
        <v>13402</v>
      </c>
      <c r="G12212" s="52">
        <v>1234099.0469039599</v>
      </c>
      <c r="H12212" s="56">
        <v>0.17070351871049178</v>
      </c>
      <c r="I12212" s="224" t="s">
        <v>2</v>
      </c>
    </row>
    <row r="12213" spans="1:9" x14ac:dyDescent="0.25">
      <c r="A12213" s="515">
        <v>64037</v>
      </c>
      <c r="B12213" s="515" t="s">
        <v>455</v>
      </c>
      <c r="C12213" s="52">
        <v>176087.276822402</v>
      </c>
      <c r="D12213" s="56">
        <v>7.1006760100838451E-2</v>
      </c>
      <c r="E12213" s="224" t="s">
        <v>2</v>
      </c>
      <c r="F12213" s="515" t="s">
        <v>13403</v>
      </c>
      <c r="G12213" s="52">
        <v>129026.03813477</v>
      </c>
      <c r="H12213" s="56">
        <v>8.6247475617398345E-2</v>
      </c>
      <c r="I12213" s="224" t="s">
        <v>2</v>
      </c>
    </row>
    <row r="12214" spans="1:9" x14ac:dyDescent="0.25">
      <c r="A12214" s="515">
        <v>22824</v>
      </c>
      <c r="C12214" s="52">
        <v>282541.46059775702</v>
      </c>
      <c r="D12214" s="56">
        <v>9.2968380924383906E-2</v>
      </c>
      <c r="E12214" s="224" t="s">
        <v>2</v>
      </c>
      <c r="F12214" s="515" t="s">
        <v>13404</v>
      </c>
      <c r="G12214" s="52">
        <v>154987.57180449201</v>
      </c>
      <c r="H12214" s="56">
        <v>-6.3757684480474822E-2</v>
      </c>
      <c r="I12214" s="224" t="s">
        <v>2</v>
      </c>
    </row>
    <row r="12215" spans="1:9" x14ac:dyDescent="0.25">
      <c r="A12215" s="515">
        <v>94939</v>
      </c>
      <c r="B12215" s="515" t="s">
        <v>593</v>
      </c>
      <c r="C12215" s="52">
        <v>1931128.44046046</v>
      </c>
      <c r="D12215" s="56">
        <v>4.1682822730912235E-2</v>
      </c>
      <c r="E12215" s="224" t="s">
        <v>2</v>
      </c>
      <c r="F12215" s="515" t="s">
        <v>13405</v>
      </c>
      <c r="G12215" s="52">
        <v>297982.83793255698</v>
      </c>
      <c r="H12215" s="56">
        <v>3.842330955293307E-2</v>
      </c>
      <c r="I12215" s="224" t="s">
        <v>2</v>
      </c>
    </row>
    <row r="12216" spans="1:9" x14ac:dyDescent="0.25">
      <c r="A12216" s="515">
        <v>49663</v>
      </c>
      <c r="B12216" s="515" t="s">
        <v>937</v>
      </c>
      <c r="C12216" s="52">
        <v>158525.39263592401</v>
      </c>
      <c r="D12216" s="56">
        <v>8.9142911845716724E-2</v>
      </c>
      <c r="E12216" s="224" t="s">
        <v>2</v>
      </c>
      <c r="F12216" s="515" t="s">
        <v>13406</v>
      </c>
      <c r="G12216" s="52">
        <v>561499.86841109698</v>
      </c>
      <c r="H12216" s="56">
        <v>0.10275743103589703</v>
      </c>
      <c r="I12216" s="224" t="s">
        <v>2</v>
      </c>
    </row>
    <row r="12217" spans="1:9" x14ac:dyDescent="0.25">
      <c r="A12217" s="515">
        <v>65656</v>
      </c>
      <c r="C12217" s="52">
        <v>267025.75690806599</v>
      </c>
      <c r="D12217" s="56">
        <v>0.11199519302621712</v>
      </c>
      <c r="E12217" s="224" t="s">
        <v>2</v>
      </c>
      <c r="F12217" s="515" t="s">
        <v>13407</v>
      </c>
      <c r="G12217" s="52">
        <v>366869.13398063998</v>
      </c>
      <c r="H12217" s="56">
        <v>0.11365197168860684</v>
      </c>
      <c r="I12217" s="224" t="s">
        <v>2</v>
      </c>
    </row>
    <row r="12218" spans="1:9" x14ac:dyDescent="0.25">
      <c r="A12218" s="515">
        <v>22560</v>
      </c>
      <c r="C12218" s="52">
        <v>255697.75142044801</v>
      </c>
      <c r="D12218" s="56">
        <v>0.12454138904717733</v>
      </c>
      <c r="E12218" s="224" t="s">
        <v>2</v>
      </c>
      <c r="F12218" s="515" t="s">
        <v>13408</v>
      </c>
      <c r="G12218" s="52">
        <v>44550.187433440296</v>
      </c>
      <c r="H12218" s="56">
        <v>2.6198954224402318E-3</v>
      </c>
      <c r="I12218" s="224" t="s">
        <v>2</v>
      </c>
    </row>
    <row r="12219" spans="1:9" x14ac:dyDescent="0.25">
      <c r="A12219" s="515">
        <v>34217</v>
      </c>
      <c r="B12219" s="515" t="s">
        <v>466</v>
      </c>
      <c r="C12219" s="52">
        <v>1024426.22487592</v>
      </c>
      <c r="D12219" s="56">
        <v>0.16464072477012293</v>
      </c>
      <c r="E12219" s="224" t="s">
        <v>2</v>
      </c>
      <c r="F12219" s="515" t="s">
        <v>13409</v>
      </c>
      <c r="G12219" s="52">
        <v>196320.55641887701</v>
      </c>
      <c r="H12219" s="56">
        <v>0.10276831739647753</v>
      </c>
      <c r="I12219" s="224" t="s">
        <v>2</v>
      </c>
    </row>
    <row r="12220" spans="1:9" x14ac:dyDescent="0.25">
      <c r="A12220" s="515">
        <v>92861</v>
      </c>
      <c r="B12220" s="515" t="s">
        <v>375</v>
      </c>
      <c r="C12220" s="52">
        <v>1870937.9535318399</v>
      </c>
      <c r="D12220" s="56">
        <v>8.5601346103468257E-2</v>
      </c>
      <c r="E12220" s="224" t="s">
        <v>2</v>
      </c>
      <c r="F12220" s="515" t="s">
        <v>13410</v>
      </c>
      <c r="G12220" s="52">
        <v>177952.822832167</v>
      </c>
      <c r="H12220" s="56">
        <v>0.13534767408586629</v>
      </c>
      <c r="I12220" s="224" t="s">
        <v>2</v>
      </c>
    </row>
    <row r="12221" spans="1:9" x14ac:dyDescent="0.25">
      <c r="A12221" s="515">
        <v>5661</v>
      </c>
      <c r="C12221" s="52">
        <v>367671.07222405</v>
      </c>
      <c r="D12221" s="56">
        <v>0.1037119983992783</v>
      </c>
      <c r="E12221" s="224" t="s">
        <v>2</v>
      </c>
      <c r="F12221" s="515" t="s">
        <v>13411</v>
      </c>
      <c r="G12221" s="52">
        <v>495154.34096814599</v>
      </c>
      <c r="H12221" s="56">
        <v>7.5971467067613138E-2</v>
      </c>
      <c r="I12221" s="224" t="s">
        <v>2</v>
      </c>
    </row>
    <row r="12222" spans="1:9" x14ac:dyDescent="0.25">
      <c r="A12222" s="515">
        <v>32628</v>
      </c>
      <c r="C12222" s="52">
        <v>132091.14241735</v>
      </c>
      <c r="D12222" s="56">
        <v>5.2931973667684666E-3</v>
      </c>
      <c r="E12222" s="224" t="s">
        <v>2</v>
      </c>
      <c r="F12222" s="515" t="s">
        <v>13412</v>
      </c>
      <c r="G12222" s="52">
        <v>316512.45433338801</v>
      </c>
      <c r="H12222" s="56">
        <v>6.1299395719544895E-2</v>
      </c>
      <c r="I12222" s="224" t="s">
        <v>2</v>
      </c>
    </row>
    <row r="12223" spans="1:9" x14ac:dyDescent="0.25">
      <c r="A12223" s="515">
        <v>71667</v>
      </c>
      <c r="B12223" s="515" t="s">
        <v>872</v>
      </c>
      <c r="C12223" s="52">
        <v>115902.005308779</v>
      </c>
      <c r="D12223" s="56">
        <v>-1.6873078942505764E-2</v>
      </c>
      <c r="E12223" s="224" t="s">
        <v>2</v>
      </c>
      <c r="F12223" s="515" t="s">
        <v>13413</v>
      </c>
      <c r="G12223" s="52">
        <v>56474.133630703698</v>
      </c>
      <c r="H12223" s="56">
        <v>6.8816151234119965E-2</v>
      </c>
      <c r="I12223" s="224" t="s">
        <v>2</v>
      </c>
    </row>
    <row r="12224" spans="1:9" x14ac:dyDescent="0.25">
      <c r="A12224" s="515">
        <v>64145</v>
      </c>
      <c r="B12224" s="515" t="s">
        <v>455</v>
      </c>
      <c r="C12224" s="52">
        <v>360303.00617992698</v>
      </c>
      <c r="D12224" s="56">
        <v>3.5616649383374173E-2</v>
      </c>
      <c r="E12224" s="224" t="s">
        <v>2</v>
      </c>
      <c r="F12224" s="515" t="s">
        <v>13414</v>
      </c>
      <c r="G12224" s="52">
        <v>158518.66594241801</v>
      </c>
      <c r="H12224" s="56">
        <v>-8.1679821324824441E-3</v>
      </c>
      <c r="I12224" s="224" t="s">
        <v>2</v>
      </c>
    </row>
    <row r="12225" spans="1:9" x14ac:dyDescent="0.25">
      <c r="A12225" s="515">
        <v>5450</v>
      </c>
      <c r="B12225" s="515" t="s">
        <v>441</v>
      </c>
      <c r="C12225" s="52">
        <v>271963.36299802898</v>
      </c>
      <c r="D12225" s="56">
        <v>9.406323357942474E-2</v>
      </c>
      <c r="E12225" s="224" t="s">
        <v>2</v>
      </c>
      <c r="F12225" s="515" t="s">
        <v>13415</v>
      </c>
      <c r="G12225" s="52">
        <v>92337.407713657798</v>
      </c>
      <c r="H12225" s="56">
        <v>8.9573502369463473E-2</v>
      </c>
      <c r="I12225" s="224" t="s">
        <v>2</v>
      </c>
    </row>
    <row r="12226" spans="1:9" x14ac:dyDescent="0.25">
      <c r="A12226" s="515">
        <v>46601</v>
      </c>
      <c r="B12226" s="515" t="s">
        <v>1002</v>
      </c>
      <c r="C12226" s="52">
        <v>121856.487493961</v>
      </c>
      <c r="D12226" s="56">
        <v>0.12531307813121115</v>
      </c>
      <c r="E12226" s="224" t="s">
        <v>2</v>
      </c>
      <c r="F12226" s="515" t="s">
        <v>13416</v>
      </c>
      <c r="G12226" s="52">
        <v>103735.88372093</v>
      </c>
      <c r="H12226" s="56">
        <v>0</v>
      </c>
      <c r="I12226" s="224" t="s">
        <v>2</v>
      </c>
    </row>
    <row r="12227" spans="1:9" x14ac:dyDescent="0.25">
      <c r="A12227" s="515">
        <v>79836</v>
      </c>
      <c r="B12227" s="515" t="s">
        <v>1119</v>
      </c>
      <c r="C12227" s="52">
        <v>158113.76779389</v>
      </c>
      <c r="D12227" s="56">
        <v>0.10862582314620467</v>
      </c>
      <c r="E12227" s="224" t="s">
        <v>2</v>
      </c>
      <c r="F12227" s="515" t="s">
        <v>13417</v>
      </c>
      <c r="G12227" s="52">
        <v>252317.04110408301</v>
      </c>
      <c r="H12227" s="56">
        <v>0.11068389233248306</v>
      </c>
      <c r="I12227" s="224" t="s">
        <v>2</v>
      </c>
    </row>
    <row r="12228" spans="1:9" x14ac:dyDescent="0.25">
      <c r="A12228" s="515">
        <v>49788</v>
      </c>
      <c r="B12228" s="515" t="s">
        <v>740</v>
      </c>
      <c r="C12228" s="52">
        <v>63836.025171449801</v>
      </c>
      <c r="D12228" s="56">
        <v>5.3105159367563999E-2</v>
      </c>
      <c r="E12228" s="224" t="s">
        <v>2</v>
      </c>
      <c r="F12228" s="515" t="s">
        <v>13418</v>
      </c>
      <c r="G12228" s="52">
        <v>243296.62966579199</v>
      </c>
      <c r="H12228" s="56">
        <v>7.212009509620626E-2</v>
      </c>
      <c r="I12228" s="224" t="s">
        <v>2</v>
      </c>
    </row>
    <row r="12229" spans="1:9" x14ac:dyDescent="0.25">
      <c r="A12229" s="515">
        <v>97446</v>
      </c>
      <c r="B12229" s="515" t="s">
        <v>591</v>
      </c>
      <c r="C12229" s="52">
        <v>384831.81073953799</v>
      </c>
      <c r="D12229" s="56">
        <v>3.8739110696747077E-2</v>
      </c>
      <c r="E12229" s="224" t="s">
        <v>2</v>
      </c>
      <c r="F12229" s="515" t="s">
        <v>13419</v>
      </c>
      <c r="G12229" s="52">
        <v>201246.947900881</v>
      </c>
      <c r="H12229" s="56">
        <v>0.12884756996861982</v>
      </c>
      <c r="I12229" s="224" t="s">
        <v>2</v>
      </c>
    </row>
    <row r="12230" spans="1:9" x14ac:dyDescent="0.25">
      <c r="A12230" s="515">
        <v>97530</v>
      </c>
      <c r="B12230" s="515" t="s">
        <v>775</v>
      </c>
      <c r="C12230" s="52">
        <v>579102.49239395198</v>
      </c>
      <c r="D12230" s="56">
        <v>8.5405709383014269E-3</v>
      </c>
      <c r="E12230" s="224" t="s">
        <v>2</v>
      </c>
      <c r="F12230" s="515" t="s">
        <v>13420</v>
      </c>
      <c r="G12230" s="52">
        <v>226438.27486159801</v>
      </c>
      <c r="H12230" s="56">
        <v>6.8874862027176478E-2</v>
      </c>
      <c r="I12230" s="224" t="s">
        <v>2</v>
      </c>
    </row>
    <row r="12231" spans="1:9" x14ac:dyDescent="0.25">
      <c r="A12231" s="515">
        <v>15320</v>
      </c>
      <c r="C12231" s="52">
        <v>130543.733318645</v>
      </c>
      <c r="D12231" s="56">
        <v>9.1944670449360846E-2</v>
      </c>
      <c r="E12231" s="224" t="s">
        <v>2</v>
      </c>
      <c r="F12231" s="515" t="s">
        <v>13421</v>
      </c>
      <c r="G12231" s="52">
        <v>187601.79787233999</v>
      </c>
      <c r="H12231" s="56">
        <v>0</v>
      </c>
      <c r="I12231" s="224" t="s">
        <v>2</v>
      </c>
    </row>
    <row r="12232" spans="1:9" x14ac:dyDescent="0.25">
      <c r="A12232" s="515">
        <v>39355</v>
      </c>
      <c r="B12232" s="515" t="s">
        <v>970</v>
      </c>
      <c r="C12232" s="52">
        <v>110011.636779094</v>
      </c>
      <c r="D12232" s="56">
        <v>-2.9881384278126824E-2</v>
      </c>
      <c r="E12232" s="224" t="s">
        <v>2</v>
      </c>
      <c r="F12232" s="515" t="s">
        <v>13422</v>
      </c>
      <c r="G12232" s="52">
        <v>131069.22695082299</v>
      </c>
      <c r="H12232" s="56">
        <v>8.4288731264567152E-2</v>
      </c>
      <c r="I12232" s="224" t="s">
        <v>2</v>
      </c>
    </row>
    <row r="12233" spans="1:9" x14ac:dyDescent="0.25">
      <c r="A12233" s="515">
        <v>77358</v>
      </c>
      <c r="B12233" s="515" t="s">
        <v>503</v>
      </c>
      <c r="C12233" s="52">
        <v>302352.10643907299</v>
      </c>
      <c r="D12233" s="56">
        <v>4.0826628866631784E-2</v>
      </c>
      <c r="E12233" s="224" t="s">
        <v>2</v>
      </c>
      <c r="F12233" s="515" t="s">
        <v>13423</v>
      </c>
      <c r="G12233" s="52">
        <v>135392.00407339699</v>
      </c>
      <c r="H12233" s="56">
        <v>-5.4952489834776429E-2</v>
      </c>
      <c r="I12233" s="224" t="s">
        <v>2</v>
      </c>
    </row>
    <row r="12234" spans="1:9" x14ac:dyDescent="0.25">
      <c r="A12234" s="515">
        <v>17810</v>
      </c>
      <c r="B12234" s="515" t="s">
        <v>794</v>
      </c>
      <c r="C12234" s="52">
        <v>212159.543579324</v>
      </c>
      <c r="D12234" s="56">
        <v>8.362746324095946E-2</v>
      </c>
      <c r="E12234" s="224" t="s">
        <v>2</v>
      </c>
      <c r="F12234" s="515" t="s">
        <v>13424</v>
      </c>
      <c r="G12234" s="52">
        <v>641217.38963880995</v>
      </c>
      <c r="H12234" s="56">
        <v>4.0831651675842885E-2</v>
      </c>
      <c r="I12234" s="224" t="s">
        <v>2</v>
      </c>
    </row>
    <row r="12235" spans="1:9" x14ac:dyDescent="0.25">
      <c r="A12235" s="515">
        <v>60461</v>
      </c>
      <c r="B12235" s="515" t="s">
        <v>394</v>
      </c>
      <c r="C12235" s="52">
        <v>298267.70673003898</v>
      </c>
      <c r="D12235" s="56">
        <v>4.1383617814033012E-2</v>
      </c>
      <c r="E12235" s="224" t="s">
        <v>2</v>
      </c>
      <c r="F12235" s="515" t="s">
        <v>13425</v>
      </c>
      <c r="G12235" s="52">
        <v>222132.22436657699</v>
      </c>
      <c r="H12235" s="56">
        <v>7.8838234841025423E-2</v>
      </c>
      <c r="I12235" s="224" t="s">
        <v>2</v>
      </c>
    </row>
    <row r="12236" spans="1:9" x14ac:dyDescent="0.25">
      <c r="A12236" s="515">
        <v>13114</v>
      </c>
      <c r="B12236" s="515" t="s">
        <v>361</v>
      </c>
      <c r="C12236" s="52">
        <v>166997.39510252301</v>
      </c>
      <c r="D12236" s="56">
        <v>6.5292164251344501E-2</v>
      </c>
      <c r="E12236" s="224" t="s">
        <v>2</v>
      </c>
      <c r="F12236" s="515" t="s">
        <v>13426</v>
      </c>
      <c r="G12236" s="52">
        <v>351455.81879094703</v>
      </c>
      <c r="H12236" s="56">
        <v>6.7711487771243598E-2</v>
      </c>
      <c r="I12236" s="224" t="s">
        <v>2</v>
      </c>
    </row>
    <row r="12237" spans="1:9" x14ac:dyDescent="0.25">
      <c r="A12237" s="515">
        <v>51012</v>
      </c>
      <c r="C12237" s="52">
        <v>122446.346536545</v>
      </c>
      <c r="D12237" s="56">
        <v>6.6188014346581059E-2</v>
      </c>
      <c r="E12237" s="224" t="s">
        <v>2</v>
      </c>
      <c r="F12237" s="515" t="s">
        <v>13427</v>
      </c>
      <c r="G12237" s="52">
        <v>77184.833803285903</v>
      </c>
      <c r="H12237" s="56">
        <v>-3.2266534732529714E-3</v>
      </c>
      <c r="I12237" s="224" t="s">
        <v>2</v>
      </c>
    </row>
    <row r="12238" spans="1:9" x14ac:dyDescent="0.25">
      <c r="A12238" s="515">
        <v>47165</v>
      </c>
      <c r="B12238" s="515" t="s">
        <v>479</v>
      </c>
      <c r="C12238" s="52">
        <v>189981.328998346</v>
      </c>
      <c r="D12238" s="56">
        <v>6.9846257686049115E-2</v>
      </c>
      <c r="E12238" s="224" t="s">
        <v>2</v>
      </c>
      <c r="F12238" s="515" t="s">
        <v>13428</v>
      </c>
      <c r="G12238" s="52">
        <v>111582.591009134</v>
      </c>
      <c r="H12238" s="56">
        <v>0.13809107007609503</v>
      </c>
      <c r="I12238" s="224" t="s">
        <v>2</v>
      </c>
    </row>
    <row r="12239" spans="1:9" x14ac:dyDescent="0.25">
      <c r="A12239" s="515">
        <v>43072</v>
      </c>
      <c r="B12239" s="515" t="s">
        <v>430</v>
      </c>
      <c r="C12239" s="52">
        <v>192313.55632130799</v>
      </c>
      <c r="D12239" s="56">
        <v>0.11571349251775342</v>
      </c>
      <c r="E12239" s="224" t="s">
        <v>2</v>
      </c>
      <c r="F12239" s="515" t="s">
        <v>13429</v>
      </c>
      <c r="G12239" s="52">
        <v>61443.524538231199</v>
      </c>
      <c r="H12239" s="56">
        <v>4.9704122505079217E-4</v>
      </c>
      <c r="I12239" s="224" t="s">
        <v>2</v>
      </c>
    </row>
    <row r="12240" spans="1:9" x14ac:dyDescent="0.25">
      <c r="A12240" s="515">
        <v>12827</v>
      </c>
      <c r="B12240" s="515" t="s">
        <v>422</v>
      </c>
      <c r="C12240" s="52">
        <v>217712.604724754</v>
      </c>
      <c r="D12240" s="56">
        <v>9.3580154603555871E-2</v>
      </c>
      <c r="E12240" s="224" t="s">
        <v>2</v>
      </c>
      <c r="F12240" s="515" t="s">
        <v>13430</v>
      </c>
      <c r="G12240" s="52">
        <v>189054.09759476499</v>
      </c>
      <c r="H12240" s="56">
        <v>4.9623969147435977E-2</v>
      </c>
      <c r="I12240" s="224" t="s">
        <v>2</v>
      </c>
    </row>
    <row r="12241" spans="1:9" x14ac:dyDescent="0.25">
      <c r="A12241" s="515">
        <v>93428</v>
      </c>
      <c r="B12241" s="515" t="s">
        <v>959</v>
      </c>
      <c r="C12241" s="52">
        <v>958037.69343340397</v>
      </c>
      <c r="D12241" s="56">
        <v>7.1157400913088212E-2</v>
      </c>
      <c r="E12241" s="224" t="s">
        <v>2</v>
      </c>
      <c r="F12241" s="515" t="s">
        <v>13431</v>
      </c>
      <c r="G12241" s="52">
        <v>278447.50297149399</v>
      </c>
      <c r="H12241" s="56">
        <v>9.6424866020927268E-3</v>
      </c>
      <c r="I12241" s="224" t="s">
        <v>2</v>
      </c>
    </row>
    <row r="12242" spans="1:9" x14ac:dyDescent="0.25">
      <c r="A12242" s="515">
        <v>79088</v>
      </c>
      <c r="C12242" s="52">
        <v>79971.396337841099</v>
      </c>
      <c r="D12242" s="56">
        <v>4.1363764762244341E-2</v>
      </c>
      <c r="E12242" s="224" t="s">
        <v>2</v>
      </c>
      <c r="F12242" s="515" t="s">
        <v>13432</v>
      </c>
      <c r="G12242" s="52">
        <v>193184.79360425199</v>
      </c>
      <c r="H12242" s="56">
        <v>0</v>
      </c>
      <c r="I12242" s="224" t="s">
        <v>2</v>
      </c>
    </row>
    <row r="12243" spans="1:9" x14ac:dyDescent="0.25">
      <c r="A12243" s="515">
        <v>1747</v>
      </c>
      <c r="B12243" s="515" t="s">
        <v>751</v>
      </c>
      <c r="C12243" s="52">
        <v>445218.48340819299</v>
      </c>
      <c r="D12243" s="56">
        <v>5.5326628039062957E-2</v>
      </c>
      <c r="E12243" s="224" t="s">
        <v>2</v>
      </c>
      <c r="F12243" s="515" t="s">
        <v>13433</v>
      </c>
      <c r="G12243" s="52">
        <v>125051.12010988699</v>
      </c>
      <c r="H12243" s="56">
        <v>0</v>
      </c>
      <c r="I12243" s="224" t="s">
        <v>2</v>
      </c>
    </row>
    <row r="12244" spans="1:9" x14ac:dyDescent="0.25">
      <c r="A12244" s="515">
        <v>19074</v>
      </c>
      <c r="B12244" s="515" t="s">
        <v>294</v>
      </c>
      <c r="C12244" s="52">
        <v>247329.06370369199</v>
      </c>
      <c r="D12244" s="56">
        <v>9.9473547952186575E-2</v>
      </c>
      <c r="E12244" s="224" t="s">
        <v>2</v>
      </c>
      <c r="F12244" s="515" t="s">
        <v>13434</v>
      </c>
      <c r="G12244" s="52">
        <v>357190.25328037102</v>
      </c>
      <c r="H12244" s="56">
        <v>-1.7274126429331856E-2</v>
      </c>
      <c r="I12244" s="224" t="s">
        <v>2</v>
      </c>
    </row>
    <row r="12245" spans="1:9" x14ac:dyDescent="0.25">
      <c r="A12245" s="515">
        <v>8510</v>
      </c>
      <c r="B12245" s="515" t="s">
        <v>324</v>
      </c>
      <c r="C12245" s="52">
        <v>757896.26439479401</v>
      </c>
      <c r="D12245" s="56">
        <v>8.2494755902764519E-2</v>
      </c>
      <c r="E12245" s="224" t="s">
        <v>2</v>
      </c>
      <c r="F12245" s="515" t="s">
        <v>13435</v>
      </c>
      <c r="G12245" s="52">
        <v>212053.88113654501</v>
      </c>
      <c r="H12245" s="56">
        <v>9.4962791864098284E-2</v>
      </c>
      <c r="I12245" s="224" t="s">
        <v>2</v>
      </c>
    </row>
    <row r="12246" spans="1:9" x14ac:dyDescent="0.25">
      <c r="A12246" s="515">
        <v>7069</v>
      </c>
      <c r="B12246" s="515" t="s">
        <v>324</v>
      </c>
      <c r="C12246" s="52">
        <v>826632.38335561706</v>
      </c>
      <c r="D12246" s="56">
        <v>5.1112571314080771E-2</v>
      </c>
      <c r="E12246" s="224" t="s">
        <v>2</v>
      </c>
      <c r="F12246" s="515" t="s">
        <v>13436</v>
      </c>
      <c r="G12246" s="52">
        <v>234103.975430552</v>
      </c>
      <c r="H12246" s="56">
        <v>7.0926137677021592E-2</v>
      </c>
      <c r="I12246" s="224" t="s">
        <v>2</v>
      </c>
    </row>
    <row r="12247" spans="1:9" x14ac:dyDescent="0.25">
      <c r="A12247" s="515">
        <v>38865</v>
      </c>
      <c r="B12247" s="515" t="s">
        <v>1123</v>
      </c>
      <c r="C12247" s="52">
        <v>122175.62740502899</v>
      </c>
      <c r="D12247" s="56">
        <v>-2.4824865408898934E-2</v>
      </c>
      <c r="E12247" s="224" t="s">
        <v>2</v>
      </c>
      <c r="F12247" s="515" t="s">
        <v>13437</v>
      </c>
      <c r="G12247" s="52">
        <v>219587.311432969</v>
      </c>
      <c r="H12247" s="56">
        <v>0.13048571294337821</v>
      </c>
      <c r="I12247" s="224" t="s">
        <v>2</v>
      </c>
    </row>
    <row r="12248" spans="1:9" x14ac:dyDescent="0.25">
      <c r="A12248" s="515">
        <v>31774</v>
      </c>
      <c r="C12248" s="52">
        <v>90059.926192571205</v>
      </c>
      <c r="D12248" s="56">
        <v>0.12789596944340173</v>
      </c>
      <c r="E12248" s="224" t="s">
        <v>2</v>
      </c>
      <c r="F12248" s="515" t="s">
        <v>13438</v>
      </c>
      <c r="G12248" s="52">
        <v>180963.48867319</v>
      </c>
      <c r="H12248" s="56">
        <v>6.8694404015282179E-2</v>
      </c>
      <c r="I12248" s="224" t="s">
        <v>2</v>
      </c>
    </row>
    <row r="12249" spans="1:9" x14ac:dyDescent="0.25">
      <c r="A12249" s="515">
        <v>12570</v>
      </c>
      <c r="B12249" s="515" t="s">
        <v>529</v>
      </c>
      <c r="C12249" s="52">
        <v>457109.26943647</v>
      </c>
      <c r="D12249" s="56">
        <v>5.7020571367350135E-2</v>
      </c>
      <c r="E12249" s="224" t="s">
        <v>2</v>
      </c>
      <c r="F12249" s="515" t="s">
        <v>13439</v>
      </c>
      <c r="G12249" s="52">
        <v>170337.11165321799</v>
      </c>
      <c r="H12249" s="56">
        <v>7.4153477559873435E-2</v>
      </c>
      <c r="I12249" s="224" t="s">
        <v>2</v>
      </c>
    </row>
    <row r="12250" spans="1:9" x14ac:dyDescent="0.25">
      <c r="A12250" s="515">
        <v>64628</v>
      </c>
      <c r="C12250" s="52">
        <v>101296.706603315</v>
      </c>
      <c r="D12250" s="56">
        <v>0.11285843326490562</v>
      </c>
      <c r="E12250" s="224" t="s">
        <v>2</v>
      </c>
      <c r="F12250" s="515" t="s">
        <v>13440</v>
      </c>
      <c r="G12250" s="52">
        <v>118777.617803887</v>
      </c>
      <c r="H12250" s="56">
        <v>0.20529695832801836</v>
      </c>
      <c r="I12250" s="224" t="s">
        <v>2</v>
      </c>
    </row>
    <row r="12251" spans="1:9" x14ac:dyDescent="0.25">
      <c r="A12251" s="515">
        <v>18847</v>
      </c>
      <c r="C12251" s="52">
        <v>125172.64701925</v>
      </c>
      <c r="D12251" s="56">
        <v>2.2219953195830953E-2</v>
      </c>
      <c r="E12251" s="224" t="s">
        <v>2</v>
      </c>
      <c r="F12251" s="515" t="s">
        <v>13441</v>
      </c>
      <c r="G12251" s="52">
        <v>288869.87099131697</v>
      </c>
      <c r="H12251" s="56">
        <v>0.11243231539392326</v>
      </c>
      <c r="I12251" s="224" t="s">
        <v>2</v>
      </c>
    </row>
    <row r="12252" spans="1:9" x14ac:dyDescent="0.25">
      <c r="A12252" s="515">
        <v>45204</v>
      </c>
      <c r="B12252" s="515" t="s">
        <v>344</v>
      </c>
      <c r="C12252" s="52">
        <v>106336.968173359</v>
      </c>
      <c r="D12252" s="56">
        <v>6.4266231499109344E-2</v>
      </c>
      <c r="E12252" s="224" t="s">
        <v>2</v>
      </c>
      <c r="F12252" s="515" t="s">
        <v>13442</v>
      </c>
      <c r="G12252" s="52">
        <v>523977.78220376902</v>
      </c>
      <c r="H12252" s="56">
        <v>0.13014174764871614</v>
      </c>
      <c r="I12252" s="224" t="s">
        <v>2</v>
      </c>
    </row>
    <row r="12253" spans="1:9" x14ac:dyDescent="0.25">
      <c r="A12253" s="515">
        <v>5491</v>
      </c>
      <c r="C12253" s="52">
        <v>361773.45560424897</v>
      </c>
      <c r="D12253" s="56">
        <v>8.9596536356085957E-2</v>
      </c>
      <c r="E12253" s="224" t="s">
        <v>2</v>
      </c>
      <c r="F12253" s="515" t="s">
        <v>13443</v>
      </c>
      <c r="G12253" s="52">
        <v>153885.52427184401</v>
      </c>
      <c r="H12253" s="56">
        <v>0</v>
      </c>
      <c r="I12253" s="224" t="s">
        <v>2</v>
      </c>
    </row>
    <row r="12254" spans="1:9" x14ac:dyDescent="0.25">
      <c r="A12254" s="515">
        <v>32565</v>
      </c>
      <c r="B12254" s="515" t="s">
        <v>1131</v>
      </c>
      <c r="C12254" s="52">
        <v>224690.437185235</v>
      </c>
      <c r="D12254" s="56">
        <v>0.21384477321361611</v>
      </c>
      <c r="E12254" s="224" t="s">
        <v>2</v>
      </c>
      <c r="F12254" s="515" t="s">
        <v>13444</v>
      </c>
      <c r="G12254" s="52">
        <v>170247.00783769501</v>
      </c>
      <c r="H12254" s="56">
        <v>8.4333562048628338E-2</v>
      </c>
      <c r="I12254" s="224" t="s">
        <v>2</v>
      </c>
    </row>
    <row r="12255" spans="1:9" x14ac:dyDescent="0.25">
      <c r="A12255" s="515">
        <v>36310</v>
      </c>
      <c r="B12255" s="515" t="s">
        <v>816</v>
      </c>
      <c r="C12255" s="52">
        <v>129727.810960109</v>
      </c>
      <c r="D12255" s="56">
        <v>1.7074838255883643E-2</v>
      </c>
      <c r="E12255" s="224" t="s">
        <v>2</v>
      </c>
      <c r="F12255" s="515" t="s">
        <v>13445</v>
      </c>
      <c r="G12255" s="52">
        <v>253240.351434618</v>
      </c>
      <c r="H12255" s="56">
        <v>6.4313463748181837E-2</v>
      </c>
      <c r="I12255" s="224" t="s">
        <v>2</v>
      </c>
    </row>
    <row r="12256" spans="1:9" x14ac:dyDescent="0.25">
      <c r="A12256" s="515">
        <v>43080</v>
      </c>
      <c r="B12256" s="515" t="s">
        <v>345</v>
      </c>
      <c r="C12256" s="52">
        <v>232758.11743866801</v>
      </c>
      <c r="D12256" s="56">
        <v>8.930217559941564E-2</v>
      </c>
      <c r="E12256" s="224" t="s">
        <v>2</v>
      </c>
      <c r="F12256" s="515" t="s">
        <v>13446</v>
      </c>
      <c r="G12256" s="52">
        <v>127440.90847598499</v>
      </c>
      <c r="H12256" s="56">
        <v>-3.1192577147435459E-3</v>
      </c>
      <c r="I12256" s="224" t="s">
        <v>2</v>
      </c>
    </row>
    <row r="12257" spans="1:9" x14ac:dyDescent="0.25">
      <c r="A12257" s="515">
        <v>51201</v>
      </c>
      <c r="C12257" s="52">
        <v>169256.33265811499</v>
      </c>
      <c r="D12257" s="56">
        <v>8.204120053633486E-2</v>
      </c>
      <c r="E12257" s="224" t="s">
        <v>2</v>
      </c>
      <c r="F12257" s="515" t="s">
        <v>13447</v>
      </c>
      <c r="G12257" s="52">
        <v>369880.304164264</v>
      </c>
      <c r="H12257" s="56">
        <v>0.11832873113970301</v>
      </c>
      <c r="I12257" s="224" t="s">
        <v>2</v>
      </c>
    </row>
    <row r="12258" spans="1:9" x14ac:dyDescent="0.25">
      <c r="A12258" s="515">
        <v>96094</v>
      </c>
      <c r="C12258" s="52">
        <v>300866.864963873</v>
      </c>
      <c r="D12258" s="56">
        <v>3.0716069611069888E-2</v>
      </c>
      <c r="E12258" s="224" t="s">
        <v>2</v>
      </c>
      <c r="F12258" s="515" t="s">
        <v>13448</v>
      </c>
      <c r="G12258" s="52">
        <v>154755.72646232601</v>
      </c>
      <c r="H12258" s="56">
        <v>8.5978591080075745E-2</v>
      </c>
      <c r="I12258" s="224" t="s">
        <v>2</v>
      </c>
    </row>
    <row r="12259" spans="1:9" x14ac:dyDescent="0.25">
      <c r="A12259" s="515">
        <v>62930</v>
      </c>
      <c r="C12259" s="52">
        <v>45324.025241704097</v>
      </c>
      <c r="D12259" s="56">
        <v>3.4839814090840762E-2</v>
      </c>
      <c r="E12259" s="224" t="s">
        <v>2</v>
      </c>
      <c r="F12259" s="515" t="s">
        <v>13449</v>
      </c>
      <c r="G12259" s="52">
        <v>308061.91917127598</v>
      </c>
      <c r="H12259" s="56">
        <v>-0.14195311137039032</v>
      </c>
      <c r="I12259" s="224" t="s">
        <v>2</v>
      </c>
    </row>
    <row r="12260" spans="1:9" x14ac:dyDescent="0.25">
      <c r="A12260" s="515">
        <v>10502</v>
      </c>
      <c r="B12260" s="515" t="s">
        <v>324</v>
      </c>
      <c r="C12260" s="52">
        <v>780359.67324648099</v>
      </c>
      <c r="D12260" s="56">
        <v>7.1962860494065445E-3</v>
      </c>
      <c r="E12260" s="224" t="s">
        <v>2</v>
      </c>
      <c r="F12260" s="515" t="s">
        <v>13450</v>
      </c>
      <c r="G12260" s="52">
        <v>65552.118619253495</v>
      </c>
      <c r="H12260" s="56">
        <v>0.16495319397367672</v>
      </c>
      <c r="I12260" s="224" t="s">
        <v>2</v>
      </c>
    </row>
    <row r="12261" spans="1:9" x14ac:dyDescent="0.25">
      <c r="A12261" s="515">
        <v>24224</v>
      </c>
      <c r="C12261" s="52">
        <v>103568.97729061999</v>
      </c>
      <c r="D12261" s="56">
        <v>0.1474167316034119</v>
      </c>
      <c r="E12261" s="224" t="s">
        <v>2</v>
      </c>
      <c r="F12261" s="515" t="s">
        <v>13451</v>
      </c>
      <c r="G12261" s="52">
        <v>855080.13485686004</v>
      </c>
      <c r="H12261" s="56">
        <v>8.2679156821410013E-2</v>
      </c>
      <c r="I12261" s="224" t="s">
        <v>2</v>
      </c>
    </row>
    <row r="12262" spans="1:9" x14ac:dyDescent="0.25">
      <c r="A12262" s="515">
        <v>72010</v>
      </c>
      <c r="B12262" s="515" t="s">
        <v>414</v>
      </c>
      <c r="C12262" s="52">
        <v>113372.349368417</v>
      </c>
      <c r="D12262" s="56">
        <v>3.8825688656289277E-2</v>
      </c>
      <c r="E12262" s="224" t="s">
        <v>2</v>
      </c>
      <c r="F12262" s="515" t="s">
        <v>13452</v>
      </c>
      <c r="G12262" s="52">
        <v>169501.02930270901</v>
      </c>
      <c r="H12262" s="56">
        <v>3.8941983032199902E-2</v>
      </c>
      <c r="I12262" s="224" t="s">
        <v>2</v>
      </c>
    </row>
    <row r="12263" spans="1:9" x14ac:dyDescent="0.25">
      <c r="A12263" s="515">
        <v>27521</v>
      </c>
      <c r="B12263" s="515" t="s">
        <v>1149</v>
      </c>
      <c r="C12263" s="52">
        <v>215042.66649639001</v>
      </c>
      <c r="D12263" s="56">
        <v>0.13229721916653056</v>
      </c>
      <c r="E12263" s="224" t="s">
        <v>2</v>
      </c>
      <c r="F12263" s="515" t="s">
        <v>13453</v>
      </c>
      <c r="G12263" s="52">
        <v>69276.914947950107</v>
      </c>
      <c r="H12263" s="56">
        <v>4.913022656475415E-4</v>
      </c>
      <c r="I12263" s="224" t="s">
        <v>2</v>
      </c>
    </row>
    <row r="12264" spans="1:9" x14ac:dyDescent="0.25">
      <c r="A12264" s="515">
        <v>3561</v>
      </c>
      <c r="B12264" s="515" t="s">
        <v>420</v>
      </c>
      <c r="C12264" s="52">
        <v>294350.26897454698</v>
      </c>
      <c r="D12264" s="56">
        <v>0.11642553637060381</v>
      </c>
      <c r="E12264" s="224" t="s">
        <v>2</v>
      </c>
      <c r="F12264" s="515" t="s">
        <v>13454</v>
      </c>
      <c r="G12264" s="52">
        <v>258245.41126147099</v>
      </c>
      <c r="H12264" s="56">
        <v>9.4972055222781779E-2</v>
      </c>
      <c r="I12264" s="224" t="s">
        <v>2</v>
      </c>
    </row>
    <row r="12265" spans="1:9" x14ac:dyDescent="0.25">
      <c r="A12265" s="515">
        <v>93451</v>
      </c>
      <c r="B12265" s="515" t="s">
        <v>443</v>
      </c>
      <c r="C12265" s="52">
        <v>543189.63555114099</v>
      </c>
      <c r="D12265" s="56">
        <v>5.1349551842821244E-2</v>
      </c>
      <c r="E12265" s="224" t="s">
        <v>2</v>
      </c>
      <c r="F12265" s="515" t="s">
        <v>13455</v>
      </c>
      <c r="G12265" s="52">
        <v>143751.52908693999</v>
      </c>
      <c r="H12265" s="56">
        <v>6.3411425467021137E-2</v>
      </c>
      <c r="I12265" s="224" t="s">
        <v>2</v>
      </c>
    </row>
    <row r="12266" spans="1:9" x14ac:dyDescent="0.25">
      <c r="A12266" s="515">
        <v>63957</v>
      </c>
      <c r="C12266" s="52">
        <v>116294.97129184499</v>
      </c>
      <c r="D12266" s="56">
        <v>2.5174603701328111E-3</v>
      </c>
      <c r="E12266" s="224" t="s">
        <v>2</v>
      </c>
      <c r="F12266" s="515" t="s">
        <v>13456</v>
      </c>
      <c r="G12266" s="52">
        <v>357964.98768685001</v>
      </c>
      <c r="H12266" s="56">
        <v>5.6388154208051572E-2</v>
      </c>
      <c r="I12266" s="224" t="s">
        <v>2</v>
      </c>
    </row>
    <row r="12267" spans="1:9" x14ac:dyDescent="0.25">
      <c r="A12267" s="515">
        <v>68524</v>
      </c>
      <c r="B12267" s="515" t="s">
        <v>486</v>
      </c>
      <c r="C12267" s="52">
        <v>222444.27764389801</v>
      </c>
      <c r="D12267" s="56">
        <v>6.8902903288194886E-2</v>
      </c>
      <c r="E12267" s="224" t="s">
        <v>2</v>
      </c>
      <c r="F12267" s="515" t="s">
        <v>13457</v>
      </c>
      <c r="G12267" s="52">
        <v>265445.59718095599</v>
      </c>
      <c r="H12267" s="56">
        <v>0.11915830196995739</v>
      </c>
      <c r="I12267" s="224" t="s">
        <v>2</v>
      </c>
    </row>
    <row r="12268" spans="1:9" x14ac:dyDescent="0.25">
      <c r="A12268" s="515">
        <v>52040</v>
      </c>
      <c r="B12268" s="515" t="s">
        <v>478</v>
      </c>
      <c r="C12268" s="52">
        <v>231354.13100149401</v>
      </c>
      <c r="D12268" s="56">
        <v>6.1549499608497461E-2</v>
      </c>
      <c r="E12268" s="224" t="s">
        <v>2</v>
      </c>
      <c r="F12268" s="515" t="s">
        <v>13458</v>
      </c>
      <c r="G12268" s="52">
        <v>254190.81401848901</v>
      </c>
      <c r="H12268" s="56">
        <v>0.14069351824491988</v>
      </c>
      <c r="I12268" s="224" t="s">
        <v>2</v>
      </c>
    </row>
    <row r="12269" spans="1:9" x14ac:dyDescent="0.25">
      <c r="A12269" s="515">
        <v>78343</v>
      </c>
      <c r="B12269" s="515" t="s">
        <v>415</v>
      </c>
      <c r="C12269" s="52">
        <v>119494.59604333001</v>
      </c>
      <c r="D12269" s="56">
        <v>-5.5494918261470287E-2</v>
      </c>
      <c r="E12269" s="224" t="s">
        <v>2</v>
      </c>
      <c r="F12269" s="515" t="s">
        <v>13459</v>
      </c>
      <c r="G12269" s="52">
        <v>184625.90734675099</v>
      </c>
      <c r="H12269" s="56">
        <v>9.3086830508554819E-2</v>
      </c>
      <c r="I12269" s="224" t="s">
        <v>2</v>
      </c>
    </row>
    <row r="12270" spans="1:9" x14ac:dyDescent="0.25">
      <c r="A12270" s="515">
        <v>55719</v>
      </c>
      <c r="B12270" s="515" t="s">
        <v>350</v>
      </c>
      <c r="C12270" s="52">
        <v>106865.947787014</v>
      </c>
      <c r="D12270" s="56">
        <v>7.8794610595863665E-2</v>
      </c>
      <c r="E12270" s="224" t="s">
        <v>2</v>
      </c>
      <c r="F12270" s="515" t="s">
        <v>13460</v>
      </c>
      <c r="G12270" s="52">
        <v>217720.64052417199</v>
      </c>
      <c r="H12270" s="56">
        <v>9.6217749032776495E-2</v>
      </c>
      <c r="I12270" s="224" t="s">
        <v>2</v>
      </c>
    </row>
    <row r="12271" spans="1:9" x14ac:dyDescent="0.25">
      <c r="A12271" s="515">
        <v>42765</v>
      </c>
      <c r="C12271" s="52">
        <v>156861.61622616099</v>
      </c>
      <c r="D12271" s="56">
        <v>0.1483048984375209</v>
      </c>
      <c r="E12271" s="224" t="s">
        <v>2</v>
      </c>
      <c r="F12271" s="515" t="s">
        <v>13461</v>
      </c>
      <c r="G12271" s="52">
        <v>199895.78894762599</v>
      </c>
      <c r="H12271" s="56">
        <v>9.7723374001320085E-2</v>
      </c>
      <c r="I12271" s="224" t="s">
        <v>2</v>
      </c>
    </row>
    <row r="12272" spans="1:9" x14ac:dyDescent="0.25">
      <c r="A12272" s="515">
        <v>14514</v>
      </c>
      <c r="B12272" s="515" t="s">
        <v>337</v>
      </c>
      <c r="C12272" s="52">
        <v>249756.600507686</v>
      </c>
      <c r="D12272" s="56">
        <v>5.9035911165538357E-2</v>
      </c>
      <c r="E12272" s="224" t="s">
        <v>2</v>
      </c>
      <c r="F12272" s="515" t="s">
        <v>13462</v>
      </c>
      <c r="G12272" s="52">
        <v>392007.35991750797</v>
      </c>
      <c r="H12272" s="56">
        <v>4.8696903447787418E-2</v>
      </c>
      <c r="I12272" s="224" t="s">
        <v>2</v>
      </c>
    </row>
    <row r="12273" spans="1:9" x14ac:dyDescent="0.25">
      <c r="A12273" s="515">
        <v>66725</v>
      </c>
      <c r="C12273" s="52">
        <v>102348.52486172</v>
      </c>
      <c r="D12273" s="56">
        <v>0.110712932704741</v>
      </c>
      <c r="E12273" s="224" t="s">
        <v>2</v>
      </c>
      <c r="F12273" s="515" t="s">
        <v>13463</v>
      </c>
      <c r="G12273" s="52">
        <v>128897.462648997</v>
      </c>
      <c r="H12273" s="56">
        <v>-4.5438140624142247E-2</v>
      </c>
      <c r="I12273" s="224" t="s">
        <v>2</v>
      </c>
    </row>
    <row r="12274" spans="1:9" x14ac:dyDescent="0.25">
      <c r="A12274" s="515">
        <v>61231</v>
      </c>
      <c r="B12274" s="515" t="s">
        <v>439</v>
      </c>
      <c r="C12274" s="52">
        <v>132819.95685704</v>
      </c>
      <c r="D12274" s="56">
        <v>2.6827402660987387E-2</v>
      </c>
      <c r="E12274" s="224" t="s">
        <v>2</v>
      </c>
      <c r="F12274" s="515" t="s">
        <v>13464</v>
      </c>
      <c r="G12274" s="52">
        <v>335145.51803997997</v>
      </c>
      <c r="H12274" s="56">
        <v>4.4381972759392228E-2</v>
      </c>
      <c r="I12274" s="224" t="s">
        <v>2</v>
      </c>
    </row>
    <row r="12275" spans="1:9" x14ac:dyDescent="0.25">
      <c r="A12275" s="515">
        <v>29835</v>
      </c>
      <c r="C12275" s="52">
        <v>277826.05794169701</v>
      </c>
      <c r="D12275" s="56">
        <v>6.4907372450432765E-2</v>
      </c>
      <c r="E12275" s="224" t="s">
        <v>2</v>
      </c>
      <c r="F12275" s="515" t="s">
        <v>13465</v>
      </c>
      <c r="G12275" s="52">
        <v>176955.55875992801</v>
      </c>
      <c r="H12275" s="56">
        <v>3.7134365160371545E-2</v>
      </c>
      <c r="I12275" s="224" t="s">
        <v>2</v>
      </c>
    </row>
    <row r="12276" spans="1:9" x14ac:dyDescent="0.25">
      <c r="A12276" s="515">
        <v>7648</v>
      </c>
      <c r="B12276" s="515" t="s">
        <v>324</v>
      </c>
      <c r="C12276" s="52">
        <v>683577.56247340597</v>
      </c>
      <c r="D12276" s="56">
        <v>3.9297210184242863E-2</v>
      </c>
      <c r="E12276" s="224" t="s">
        <v>2</v>
      </c>
      <c r="F12276" s="515" t="s">
        <v>13466</v>
      </c>
      <c r="G12276" s="52">
        <v>158279.89091812799</v>
      </c>
      <c r="H12276" s="56">
        <v>3.8300088023290976E-2</v>
      </c>
      <c r="I12276" s="224" t="s">
        <v>2</v>
      </c>
    </row>
    <row r="12277" spans="1:9" x14ac:dyDescent="0.25">
      <c r="A12277" s="515">
        <v>75147</v>
      </c>
      <c r="C12277" s="52">
        <v>264690.14614936803</v>
      </c>
      <c r="D12277" s="56">
        <v>5.5009774796023474E-2</v>
      </c>
      <c r="E12277" s="224" t="s">
        <v>2</v>
      </c>
      <c r="F12277" s="515" t="s">
        <v>13467</v>
      </c>
      <c r="G12277" s="52">
        <v>237485.64472684401</v>
      </c>
      <c r="H12277" s="56">
        <v>3.3136921922994576E-2</v>
      </c>
      <c r="I12277" s="224" t="s">
        <v>2</v>
      </c>
    </row>
    <row r="12278" spans="1:9" x14ac:dyDescent="0.25">
      <c r="A12278" s="515">
        <v>95912</v>
      </c>
      <c r="C12278" s="52">
        <v>390031.223144155</v>
      </c>
      <c r="D12278" s="56">
        <v>1.9599781640045468E-2</v>
      </c>
      <c r="E12278" s="224" t="s">
        <v>2</v>
      </c>
      <c r="F12278" s="515" t="s">
        <v>13468</v>
      </c>
      <c r="G12278" s="52">
        <v>869771.32845199294</v>
      </c>
      <c r="H12278" s="56">
        <v>2.4064736667780154E-2</v>
      </c>
      <c r="I12278" s="224" t="s">
        <v>2</v>
      </c>
    </row>
    <row r="12279" spans="1:9" x14ac:dyDescent="0.25">
      <c r="A12279" s="515">
        <v>53181</v>
      </c>
      <c r="B12279" s="515" t="s">
        <v>394</v>
      </c>
      <c r="C12279" s="52">
        <v>314823.617594524</v>
      </c>
      <c r="D12279" s="56">
        <v>6.3109731623222406E-2</v>
      </c>
      <c r="E12279" s="224" t="s">
        <v>2</v>
      </c>
      <c r="F12279" s="515" t="s">
        <v>13469</v>
      </c>
      <c r="G12279" s="52">
        <v>848198.08009788103</v>
      </c>
      <c r="H12279" s="56">
        <v>4.0175972445963569E-2</v>
      </c>
      <c r="I12279" s="224" t="s">
        <v>2</v>
      </c>
    </row>
    <row r="12280" spans="1:9" x14ac:dyDescent="0.25">
      <c r="A12280" s="515">
        <v>60096</v>
      </c>
      <c r="B12280" s="515" t="s">
        <v>394</v>
      </c>
      <c r="C12280" s="52">
        <v>234914.231026127</v>
      </c>
      <c r="D12280" s="56">
        <v>0.10002526608540642</v>
      </c>
      <c r="E12280" s="224" t="s">
        <v>2</v>
      </c>
      <c r="F12280" s="515" t="s">
        <v>13470</v>
      </c>
      <c r="G12280" s="52">
        <v>304832.24591547198</v>
      </c>
      <c r="H12280" s="56">
        <v>7.4415069967365535E-2</v>
      </c>
      <c r="I12280" s="224" t="s">
        <v>2</v>
      </c>
    </row>
    <row r="12281" spans="1:9" x14ac:dyDescent="0.25">
      <c r="A12281" s="515">
        <v>35754</v>
      </c>
      <c r="B12281" s="515" t="s">
        <v>1007</v>
      </c>
      <c r="C12281" s="52">
        <v>203182.84849888299</v>
      </c>
      <c r="D12281" s="56">
        <v>-3.347010892583512E-3</v>
      </c>
      <c r="E12281" s="224" t="s">
        <v>2</v>
      </c>
      <c r="F12281" s="515" t="s">
        <v>13471</v>
      </c>
      <c r="G12281" s="52">
        <v>141450.65866462901</v>
      </c>
      <c r="H12281" s="56">
        <v>4.1961840729165617E-2</v>
      </c>
      <c r="I12281" s="224" t="s">
        <v>2</v>
      </c>
    </row>
    <row r="12282" spans="1:9" x14ac:dyDescent="0.25">
      <c r="A12282" s="515">
        <v>48095</v>
      </c>
      <c r="B12282" s="515" t="s">
        <v>685</v>
      </c>
      <c r="C12282" s="52">
        <v>435904.60313514399</v>
      </c>
      <c r="D12282" s="56">
        <v>4.7122501667100858E-2</v>
      </c>
      <c r="E12282" s="224" t="s">
        <v>2</v>
      </c>
      <c r="F12282" s="515" t="s">
        <v>13472</v>
      </c>
      <c r="G12282" s="52">
        <v>194001.672234481</v>
      </c>
      <c r="H12282" s="56">
        <v>8.4137126223461992E-2</v>
      </c>
      <c r="I12282" s="224" t="s">
        <v>2</v>
      </c>
    </row>
    <row r="12283" spans="1:9" x14ac:dyDescent="0.25">
      <c r="A12283" s="515">
        <v>13135</v>
      </c>
      <c r="B12283" s="515" t="s">
        <v>361</v>
      </c>
      <c r="C12283" s="52">
        <v>177996.04708362799</v>
      </c>
      <c r="D12283" s="56">
        <v>7.9177188096101692E-2</v>
      </c>
      <c r="E12283" s="224" t="s">
        <v>2</v>
      </c>
      <c r="F12283" s="515" t="s">
        <v>13473</v>
      </c>
      <c r="G12283" s="52">
        <v>225895.51906528801</v>
      </c>
      <c r="H12283" s="56">
        <v>7.2691317862023597E-2</v>
      </c>
      <c r="I12283" s="224" t="s">
        <v>2</v>
      </c>
    </row>
    <row r="12284" spans="1:9" x14ac:dyDescent="0.25">
      <c r="A12284" s="515">
        <v>6423</v>
      </c>
      <c r="B12284" s="515" t="s">
        <v>894</v>
      </c>
      <c r="C12284" s="52">
        <v>359457.14350897103</v>
      </c>
      <c r="D12284" s="56">
        <v>0.10679933090039495</v>
      </c>
      <c r="E12284" s="224" t="s">
        <v>2</v>
      </c>
      <c r="F12284" s="515" t="s">
        <v>13474</v>
      </c>
      <c r="G12284" s="52">
        <v>751077.50716938497</v>
      </c>
      <c r="H12284" s="56">
        <v>0.1287843615751007</v>
      </c>
      <c r="I12284" s="224" t="s">
        <v>2</v>
      </c>
    </row>
    <row r="12285" spans="1:9" x14ac:dyDescent="0.25">
      <c r="A12285" s="515">
        <v>6279</v>
      </c>
      <c r="B12285" s="515" t="s">
        <v>894</v>
      </c>
      <c r="C12285" s="52">
        <v>295853.96821102197</v>
      </c>
      <c r="D12285" s="56">
        <v>9.1323534645444002E-2</v>
      </c>
      <c r="E12285" s="224" t="s">
        <v>2</v>
      </c>
      <c r="F12285" s="515" t="s">
        <v>13475</v>
      </c>
      <c r="G12285" s="52">
        <v>314611.09222846897</v>
      </c>
      <c r="H12285" s="56">
        <v>-7.1876614463184281E-3</v>
      </c>
      <c r="I12285" s="224" t="s">
        <v>2</v>
      </c>
    </row>
    <row r="12286" spans="1:9" x14ac:dyDescent="0.25">
      <c r="A12286" s="515">
        <v>70092</v>
      </c>
      <c r="B12286" s="515" t="s">
        <v>777</v>
      </c>
      <c r="C12286" s="52">
        <v>149316.27939423599</v>
      </c>
      <c r="D12286" s="56">
        <v>-4.5508924699747821E-3</v>
      </c>
      <c r="E12286" s="224" t="s">
        <v>2</v>
      </c>
      <c r="F12286" s="515" t="s">
        <v>13476</v>
      </c>
      <c r="G12286" s="52">
        <v>115504.042534529</v>
      </c>
      <c r="H12286" s="56">
        <v>0.22596043150496317</v>
      </c>
      <c r="I12286" s="224" t="s">
        <v>2</v>
      </c>
    </row>
    <row r="12287" spans="1:9" x14ac:dyDescent="0.25">
      <c r="A12287" s="515">
        <v>6498</v>
      </c>
      <c r="B12287" s="515" t="s">
        <v>894</v>
      </c>
      <c r="C12287" s="52">
        <v>459278.88957054098</v>
      </c>
      <c r="D12287" s="56">
        <v>9.8271755200481078E-2</v>
      </c>
      <c r="E12287" s="224" t="s">
        <v>2</v>
      </c>
      <c r="F12287" s="515" t="s">
        <v>13477</v>
      </c>
      <c r="G12287" s="52">
        <v>147974.424409203</v>
      </c>
      <c r="H12287" s="56">
        <v>7.159324253624863E-2</v>
      </c>
      <c r="I12287" s="224" t="s">
        <v>2</v>
      </c>
    </row>
    <row r="12288" spans="1:9" x14ac:dyDescent="0.25">
      <c r="A12288" s="515">
        <v>49935</v>
      </c>
      <c r="C12288" s="52">
        <v>95949.541613559893</v>
      </c>
      <c r="D12288" s="56">
        <v>7.3308926420170201E-2</v>
      </c>
      <c r="E12288" s="224" t="s">
        <v>2</v>
      </c>
      <c r="F12288" s="515" t="s">
        <v>13478</v>
      </c>
      <c r="G12288" s="52">
        <v>131224.22699050899</v>
      </c>
      <c r="H12288" s="56">
        <v>5.9756066499332371E-2</v>
      </c>
      <c r="I12288" s="224" t="s">
        <v>2</v>
      </c>
    </row>
    <row r="12289" spans="1:9" x14ac:dyDescent="0.25">
      <c r="A12289" s="515">
        <v>84017</v>
      </c>
      <c r="B12289" s="515" t="s">
        <v>502</v>
      </c>
      <c r="C12289" s="52">
        <v>636281.14443943603</v>
      </c>
      <c r="D12289" s="56">
        <v>5.6472005208963588E-2</v>
      </c>
      <c r="E12289" s="224" t="s">
        <v>2</v>
      </c>
      <c r="F12289" s="515" t="s">
        <v>13479</v>
      </c>
      <c r="G12289" s="52">
        <v>212461.62607298401</v>
      </c>
      <c r="H12289" s="56">
        <v>9.8464240289729013E-2</v>
      </c>
      <c r="I12289" s="224" t="s">
        <v>2</v>
      </c>
    </row>
    <row r="12290" spans="1:9" x14ac:dyDescent="0.25">
      <c r="A12290" s="515">
        <v>46936</v>
      </c>
      <c r="B12290" s="515" t="s">
        <v>1185</v>
      </c>
      <c r="C12290" s="52">
        <v>196123.212317108</v>
      </c>
      <c r="D12290" s="56">
        <v>4.782575361263567E-2</v>
      </c>
      <c r="E12290" s="224" t="s">
        <v>2</v>
      </c>
      <c r="F12290" s="515" t="s">
        <v>13480</v>
      </c>
      <c r="G12290" s="52">
        <v>76396.370637772707</v>
      </c>
      <c r="H12290" s="56">
        <v>-5.4792158098794508E-3</v>
      </c>
      <c r="I12290" s="224" t="s">
        <v>2</v>
      </c>
    </row>
    <row r="12291" spans="1:9" x14ac:dyDescent="0.25">
      <c r="A12291" s="515">
        <v>15133</v>
      </c>
      <c r="B12291" s="515" t="s">
        <v>297</v>
      </c>
      <c r="C12291" s="52">
        <v>112855.890127399</v>
      </c>
      <c r="D12291" s="56">
        <v>0.12882641459598129</v>
      </c>
      <c r="E12291" s="224" t="s">
        <v>2</v>
      </c>
      <c r="F12291" s="515" t="s">
        <v>13481</v>
      </c>
      <c r="G12291" s="52">
        <v>218196.07229069399</v>
      </c>
      <c r="H12291" s="56">
        <v>1.8909159193809076E-4</v>
      </c>
      <c r="I12291" s="224" t="s">
        <v>2</v>
      </c>
    </row>
    <row r="12292" spans="1:9" x14ac:dyDescent="0.25">
      <c r="A12292" s="515">
        <v>70554</v>
      </c>
      <c r="C12292" s="52">
        <v>82280.647935418907</v>
      </c>
      <c r="D12292" s="56">
        <v>-2.4308561009653774E-2</v>
      </c>
      <c r="E12292" s="224" t="s">
        <v>2</v>
      </c>
      <c r="F12292" s="515" t="s">
        <v>13482</v>
      </c>
      <c r="G12292" s="52">
        <v>145873.47215603499</v>
      </c>
      <c r="H12292" s="56">
        <v>0.1019773536673738</v>
      </c>
      <c r="I12292" s="224" t="s">
        <v>2</v>
      </c>
    </row>
    <row r="12293" spans="1:9" x14ac:dyDescent="0.25">
      <c r="A12293" s="515">
        <v>37754</v>
      </c>
      <c r="B12293" s="515" t="s">
        <v>907</v>
      </c>
      <c r="C12293" s="52">
        <v>260227.838861931</v>
      </c>
      <c r="D12293" s="56">
        <v>8.3835555334534947E-2</v>
      </c>
      <c r="E12293" s="224" t="s">
        <v>2</v>
      </c>
      <c r="F12293" s="515" t="s">
        <v>13483</v>
      </c>
      <c r="G12293" s="52">
        <v>119104.95915183501</v>
      </c>
      <c r="H12293" s="56">
        <v>0</v>
      </c>
      <c r="I12293" s="224" t="s">
        <v>2</v>
      </c>
    </row>
    <row r="12294" spans="1:9" x14ac:dyDescent="0.25">
      <c r="A12294" s="515">
        <v>18069</v>
      </c>
      <c r="B12294" s="515" t="s">
        <v>327</v>
      </c>
      <c r="C12294" s="52">
        <v>427713.25481274998</v>
      </c>
      <c r="D12294" s="56">
        <v>7.4021275667930916E-2</v>
      </c>
      <c r="E12294" s="224" t="s">
        <v>2</v>
      </c>
      <c r="F12294" s="515" t="s">
        <v>13484</v>
      </c>
      <c r="G12294" s="52">
        <v>206543.75567024201</v>
      </c>
      <c r="H12294" s="56">
        <v>6.3535926510563223E-2</v>
      </c>
      <c r="I12294" s="224" t="s">
        <v>2</v>
      </c>
    </row>
    <row r="12295" spans="1:9" x14ac:dyDescent="0.25">
      <c r="A12295" s="515">
        <v>48626</v>
      </c>
      <c r="B12295" s="515" t="s">
        <v>904</v>
      </c>
      <c r="C12295" s="52">
        <v>193443.613427495</v>
      </c>
      <c r="D12295" s="56">
        <v>0.10768590786524142</v>
      </c>
      <c r="E12295" s="224" t="s">
        <v>2</v>
      </c>
      <c r="F12295" s="515" t="s">
        <v>13485</v>
      </c>
      <c r="G12295" s="52">
        <v>174465.185801707</v>
      </c>
      <c r="H12295" s="56">
        <v>7.6954429626693424E-2</v>
      </c>
      <c r="I12295" s="224" t="s">
        <v>2</v>
      </c>
    </row>
    <row r="12296" spans="1:9" x14ac:dyDescent="0.25">
      <c r="A12296" s="515">
        <v>74056</v>
      </c>
      <c r="B12296" s="515" t="s">
        <v>348</v>
      </c>
      <c r="C12296" s="52">
        <v>88619.776861828301</v>
      </c>
      <c r="D12296" s="56">
        <v>1.2174268372602151E-2</v>
      </c>
      <c r="E12296" s="224" t="s">
        <v>2</v>
      </c>
      <c r="F12296" s="515" t="s">
        <v>13486</v>
      </c>
      <c r="G12296" s="52">
        <v>279549.03263442399</v>
      </c>
      <c r="H12296" s="56">
        <v>4.7708184519833767E-2</v>
      </c>
      <c r="I12296" s="224" t="s">
        <v>2</v>
      </c>
    </row>
    <row r="12297" spans="1:9" x14ac:dyDescent="0.25">
      <c r="A12297" s="515">
        <v>20036</v>
      </c>
      <c r="B12297" s="515" t="s">
        <v>321</v>
      </c>
      <c r="C12297" s="52">
        <v>379732.02691231098</v>
      </c>
      <c r="D12297" s="56">
        <v>-1.3088029903290383E-2</v>
      </c>
      <c r="E12297" s="224">
        <v>2294.4444444444398</v>
      </c>
      <c r="F12297" s="515" t="s">
        <v>13487</v>
      </c>
      <c r="G12297" s="52">
        <v>222456.57832505301</v>
      </c>
      <c r="H12297" s="56">
        <v>3.2408645550509235E-2</v>
      </c>
      <c r="I12297" s="224" t="s">
        <v>2</v>
      </c>
    </row>
    <row r="12298" spans="1:9" x14ac:dyDescent="0.25">
      <c r="A12298" s="515">
        <v>49098</v>
      </c>
      <c r="B12298" s="515" t="s">
        <v>698</v>
      </c>
      <c r="C12298" s="52">
        <v>178018.96005849799</v>
      </c>
      <c r="D12298" s="56">
        <v>9.802456316198746E-2</v>
      </c>
      <c r="E12298" s="224" t="s">
        <v>2</v>
      </c>
      <c r="F12298" s="515" t="s">
        <v>13488</v>
      </c>
      <c r="G12298" s="52">
        <v>122518.40438369699</v>
      </c>
      <c r="H12298" s="56">
        <v>4.1602970630850167E-2</v>
      </c>
      <c r="I12298" s="224" t="s">
        <v>2</v>
      </c>
    </row>
    <row r="12299" spans="1:9" x14ac:dyDescent="0.25">
      <c r="A12299" s="515">
        <v>29676</v>
      </c>
      <c r="B12299" s="515" t="s">
        <v>804</v>
      </c>
      <c r="C12299" s="52">
        <v>482857.49294664798</v>
      </c>
      <c r="D12299" s="56">
        <v>0.13375540700238625</v>
      </c>
      <c r="E12299" s="224" t="s">
        <v>2</v>
      </c>
      <c r="F12299" s="515" t="s">
        <v>13489</v>
      </c>
      <c r="G12299" s="52">
        <v>105548.45334417799</v>
      </c>
      <c r="H12299" s="56">
        <v>2.7141539001263519E-3</v>
      </c>
      <c r="I12299" s="224" t="s">
        <v>2</v>
      </c>
    </row>
    <row r="12300" spans="1:9" x14ac:dyDescent="0.25">
      <c r="A12300" s="515">
        <v>12754</v>
      </c>
      <c r="C12300" s="52">
        <v>189100.421842671</v>
      </c>
      <c r="D12300" s="56">
        <v>0.16443325684995688</v>
      </c>
      <c r="E12300" s="224" t="s">
        <v>2</v>
      </c>
      <c r="F12300" s="515" t="s">
        <v>13490</v>
      </c>
      <c r="G12300" s="52">
        <v>94547.7925429936</v>
      </c>
      <c r="H12300" s="56">
        <v>7.9571583611680333E-2</v>
      </c>
      <c r="I12300" s="224" t="s">
        <v>2</v>
      </c>
    </row>
    <row r="12301" spans="1:9" x14ac:dyDescent="0.25">
      <c r="A12301" s="515">
        <v>25306</v>
      </c>
      <c r="B12301" s="515" t="s">
        <v>322</v>
      </c>
      <c r="C12301" s="52">
        <v>88909.7287486594</v>
      </c>
      <c r="D12301" s="56">
        <v>0.15707348106442087</v>
      </c>
      <c r="E12301" s="224" t="s">
        <v>2</v>
      </c>
      <c r="F12301" s="515" t="s">
        <v>13491</v>
      </c>
      <c r="G12301" s="52">
        <v>216537.88948939001</v>
      </c>
      <c r="H12301" s="56">
        <v>-2.4674419609707492E-2</v>
      </c>
      <c r="I12301" s="224" t="s">
        <v>2</v>
      </c>
    </row>
    <row r="12302" spans="1:9" x14ac:dyDescent="0.25">
      <c r="A12302" s="515">
        <v>55071</v>
      </c>
      <c r="B12302" s="515" t="s">
        <v>532</v>
      </c>
      <c r="C12302" s="52">
        <v>281165.01939044701</v>
      </c>
      <c r="D12302" s="56">
        <v>6.2887903514597561E-3</v>
      </c>
      <c r="E12302" s="224" t="s">
        <v>2</v>
      </c>
      <c r="F12302" s="515" t="s">
        <v>13492</v>
      </c>
      <c r="G12302" s="52">
        <v>102951.258015946</v>
      </c>
      <c r="H12302" s="56">
        <v>8.6232601624190733E-2</v>
      </c>
      <c r="I12302" s="224" t="s">
        <v>2</v>
      </c>
    </row>
    <row r="12303" spans="1:9" x14ac:dyDescent="0.25">
      <c r="A12303" s="515">
        <v>43542</v>
      </c>
      <c r="B12303" s="515" t="s">
        <v>300</v>
      </c>
      <c r="C12303" s="52">
        <v>366928.69431596098</v>
      </c>
      <c r="D12303" s="56">
        <v>5.8859561944448142E-2</v>
      </c>
      <c r="E12303" s="224" t="s">
        <v>2</v>
      </c>
      <c r="F12303" s="515" t="s">
        <v>13493</v>
      </c>
      <c r="G12303" s="52">
        <v>236025.656703318</v>
      </c>
      <c r="H12303" s="56">
        <v>8.8547528711937717E-2</v>
      </c>
      <c r="I12303" s="224" t="s">
        <v>2</v>
      </c>
    </row>
    <row r="12304" spans="1:9" x14ac:dyDescent="0.25">
      <c r="A12304" s="515">
        <v>29148</v>
      </c>
      <c r="B12304" s="515" t="s">
        <v>1065</v>
      </c>
      <c r="C12304" s="52">
        <v>173087.851316196</v>
      </c>
      <c r="D12304" s="56">
        <v>6.7047044959204202E-2</v>
      </c>
      <c r="E12304" s="224" t="s">
        <v>2</v>
      </c>
      <c r="F12304" s="515" t="s">
        <v>13494</v>
      </c>
      <c r="G12304" s="52">
        <v>95900.238710331701</v>
      </c>
      <c r="H12304" s="56">
        <v>0.13193569906217664</v>
      </c>
      <c r="I12304" s="224" t="s">
        <v>2</v>
      </c>
    </row>
    <row r="12305" spans="1:9" x14ac:dyDescent="0.25">
      <c r="A12305" s="515">
        <v>43334</v>
      </c>
      <c r="B12305" s="515" t="s">
        <v>345</v>
      </c>
      <c r="C12305" s="52">
        <v>286508.06790068903</v>
      </c>
      <c r="D12305" s="56">
        <v>6.9649907808481834E-2</v>
      </c>
      <c r="E12305" s="224" t="s">
        <v>2</v>
      </c>
      <c r="F12305" s="515" t="s">
        <v>13495</v>
      </c>
      <c r="G12305" s="52">
        <v>142710.41773288199</v>
      </c>
      <c r="H12305" s="56">
        <v>6.7167143452424805E-2</v>
      </c>
      <c r="I12305" s="224" t="s">
        <v>2</v>
      </c>
    </row>
    <row r="12306" spans="1:9" x14ac:dyDescent="0.25">
      <c r="A12306" s="515">
        <v>7704</v>
      </c>
      <c r="B12306" s="515" t="s">
        <v>324</v>
      </c>
      <c r="C12306" s="52">
        <v>1108505.23006418</v>
      </c>
      <c r="D12306" s="56">
        <v>7.8628290829544867E-2</v>
      </c>
      <c r="E12306" s="224" t="s">
        <v>2</v>
      </c>
      <c r="F12306" s="515" t="s">
        <v>13496</v>
      </c>
      <c r="G12306" s="52">
        <v>170301.91200000001</v>
      </c>
      <c r="H12306" s="56">
        <v>0</v>
      </c>
      <c r="I12306" s="224" t="s">
        <v>2</v>
      </c>
    </row>
    <row r="12307" spans="1:9" x14ac:dyDescent="0.25">
      <c r="A12307" s="515">
        <v>85363</v>
      </c>
      <c r="B12307" s="515" t="s">
        <v>563</v>
      </c>
      <c r="C12307" s="52">
        <v>302118.876577991</v>
      </c>
      <c r="D12307" s="56">
        <v>4.8977507406515595E-2</v>
      </c>
      <c r="E12307" s="224" t="s">
        <v>2</v>
      </c>
      <c r="F12307" s="515" t="s">
        <v>13497</v>
      </c>
      <c r="G12307" s="52">
        <v>133886.51581028401</v>
      </c>
      <c r="H12307" s="56">
        <v>9.3144301861535092E-2</v>
      </c>
      <c r="I12307" s="224" t="s">
        <v>2</v>
      </c>
    </row>
    <row r="12308" spans="1:9" x14ac:dyDescent="0.25">
      <c r="A12308" s="515">
        <v>43938</v>
      </c>
      <c r="B12308" s="515" t="s">
        <v>389</v>
      </c>
      <c r="C12308" s="52">
        <v>82024.675799366101</v>
      </c>
      <c r="D12308" s="56">
        <v>0.13646307674849509</v>
      </c>
      <c r="E12308" s="224" t="s">
        <v>2</v>
      </c>
      <c r="F12308" s="515" t="s">
        <v>13498</v>
      </c>
      <c r="G12308" s="52">
        <v>105764.740190536</v>
      </c>
      <c r="H12308" s="56">
        <v>0.10103796812372745</v>
      </c>
      <c r="I12308" s="224" t="s">
        <v>2</v>
      </c>
    </row>
    <row r="12309" spans="1:9" x14ac:dyDescent="0.25">
      <c r="A12309" s="515">
        <v>84624</v>
      </c>
      <c r="C12309" s="52">
        <v>267793.75271361298</v>
      </c>
      <c r="D12309" s="56">
        <v>6.2930840741562036E-2</v>
      </c>
      <c r="E12309" s="224" t="s">
        <v>2</v>
      </c>
      <c r="F12309" s="515" t="s">
        <v>13499</v>
      </c>
      <c r="G12309" s="52">
        <v>355341.82753125398</v>
      </c>
      <c r="H12309" s="56">
        <v>5.458982372192895E-2</v>
      </c>
      <c r="I12309" s="224" t="s">
        <v>2</v>
      </c>
    </row>
    <row r="12310" spans="1:9" x14ac:dyDescent="0.25">
      <c r="A12310" s="515">
        <v>97114</v>
      </c>
      <c r="B12310" s="515" t="s">
        <v>659</v>
      </c>
      <c r="C12310" s="52">
        <v>476475.80678807199</v>
      </c>
      <c r="D12310" s="56">
        <v>3.4709553323056426E-2</v>
      </c>
      <c r="E12310" s="224" t="s">
        <v>2</v>
      </c>
      <c r="F12310" s="515" t="s">
        <v>13500</v>
      </c>
      <c r="G12310" s="52">
        <v>255463.867358694</v>
      </c>
      <c r="H12310" s="56">
        <v>7.3355843073815957E-2</v>
      </c>
      <c r="I12310" s="224" t="s">
        <v>2</v>
      </c>
    </row>
    <row r="12311" spans="1:9" x14ac:dyDescent="0.25">
      <c r="A12311" s="515">
        <v>62293</v>
      </c>
      <c r="B12311" s="515" t="s">
        <v>498</v>
      </c>
      <c r="C12311" s="52">
        <v>205869.492324786</v>
      </c>
      <c r="D12311" s="56">
        <v>6.9748669954744755E-2</v>
      </c>
      <c r="E12311" s="224" t="s">
        <v>2</v>
      </c>
      <c r="F12311" s="515" t="s">
        <v>13501</v>
      </c>
      <c r="G12311" s="52">
        <v>474063.59042266401</v>
      </c>
      <c r="H12311" s="56">
        <v>3.2263350859490447E-2</v>
      </c>
      <c r="I12311" s="224" t="s">
        <v>2</v>
      </c>
    </row>
    <row r="12312" spans="1:9" x14ac:dyDescent="0.25">
      <c r="A12312" s="515">
        <v>98010</v>
      </c>
      <c r="B12312" s="515" t="s">
        <v>384</v>
      </c>
      <c r="C12312" s="52">
        <v>728925.39483322203</v>
      </c>
      <c r="D12312" s="56">
        <v>3.7411368976857394E-2</v>
      </c>
      <c r="E12312" s="224" t="s">
        <v>2</v>
      </c>
      <c r="F12312" s="515" t="s">
        <v>13502</v>
      </c>
      <c r="G12312" s="52">
        <v>227330.06243226901</v>
      </c>
      <c r="H12312" s="56">
        <v>6.4846737349263814E-2</v>
      </c>
      <c r="I12312" s="224" t="s">
        <v>2</v>
      </c>
    </row>
    <row r="12313" spans="1:9" x14ac:dyDescent="0.25">
      <c r="A12313" s="515">
        <v>4457</v>
      </c>
      <c r="B12313" s="515" t="s">
        <v>792</v>
      </c>
      <c r="C12313" s="52">
        <v>174971.723355314</v>
      </c>
      <c r="D12313" s="56">
        <v>7.4663764849317818E-2</v>
      </c>
      <c r="E12313" s="224" t="s">
        <v>2</v>
      </c>
      <c r="F12313" s="515" t="s">
        <v>13503</v>
      </c>
      <c r="G12313" s="52">
        <v>341713.94160269399</v>
      </c>
      <c r="H12313" s="56">
        <v>7.9631318682177973E-2</v>
      </c>
      <c r="I12313" s="224" t="s">
        <v>2</v>
      </c>
    </row>
    <row r="12314" spans="1:9" x14ac:dyDescent="0.25">
      <c r="A12314" s="515">
        <v>49420</v>
      </c>
      <c r="C12314" s="52">
        <v>157602.46416937801</v>
      </c>
      <c r="D12314" s="56">
        <v>6.887795072222716E-2</v>
      </c>
      <c r="E12314" s="224" t="s">
        <v>2</v>
      </c>
      <c r="F12314" s="515" t="s">
        <v>13504</v>
      </c>
      <c r="G12314" s="52">
        <v>223227.62284600499</v>
      </c>
      <c r="H12314" s="56">
        <v>7.9328051472434227E-2</v>
      </c>
      <c r="I12314" s="224" t="s">
        <v>2</v>
      </c>
    </row>
    <row r="12315" spans="1:9" x14ac:dyDescent="0.25">
      <c r="A12315" s="515">
        <v>39325</v>
      </c>
      <c r="B12315" s="515" t="s">
        <v>970</v>
      </c>
      <c r="C12315" s="52">
        <v>199457.96772257</v>
      </c>
      <c r="D12315" s="56">
        <v>3.0024133735566529E-2</v>
      </c>
      <c r="E12315" s="224" t="s">
        <v>2</v>
      </c>
      <c r="F12315" s="515" t="s">
        <v>13505</v>
      </c>
      <c r="G12315" s="52">
        <v>140208.71695293501</v>
      </c>
      <c r="H12315" s="56">
        <v>1.3053911065325618E-2</v>
      </c>
      <c r="I12315" s="224" t="s">
        <v>2</v>
      </c>
    </row>
    <row r="12316" spans="1:9" x14ac:dyDescent="0.25">
      <c r="A12316" s="515">
        <v>42544</v>
      </c>
      <c r="B12316" s="515" t="s">
        <v>1145</v>
      </c>
      <c r="C12316" s="52">
        <v>141103.81313016301</v>
      </c>
      <c r="D12316" s="56">
        <v>0.18812147634255261</v>
      </c>
      <c r="E12316" s="224" t="s">
        <v>2</v>
      </c>
      <c r="F12316" s="515" t="s">
        <v>13506</v>
      </c>
      <c r="G12316" s="52">
        <v>309688.68784734001</v>
      </c>
      <c r="H12316" s="56">
        <v>8.9022482998508443E-2</v>
      </c>
      <c r="I12316" s="224" t="s">
        <v>2</v>
      </c>
    </row>
    <row r="12317" spans="1:9" x14ac:dyDescent="0.25">
      <c r="A12317" s="515">
        <v>60408</v>
      </c>
      <c r="B12317" s="515" t="s">
        <v>394</v>
      </c>
      <c r="C12317" s="52">
        <v>210195.85573879399</v>
      </c>
      <c r="D12317" s="56">
        <v>5.1708482791250232E-2</v>
      </c>
      <c r="E12317" s="224" t="s">
        <v>2</v>
      </c>
      <c r="F12317" s="515" t="s">
        <v>13507</v>
      </c>
      <c r="G12317" s="52">
        <v>492646.99164454697</v>
      </c>
      <c r="H12317" s="56">
        <v>4.9470669532047755E-2</v>
      </c>
      <c r="I12317" s="224" t="s">
        <v>2</v>
      </c>
    </row>
    <row r="12318" spans="1:9" x14ac:dyDescent="0.25">
      <c r="A12318" s="515">
        <v>98244</v>
      </c>
      <c r="B12318" s="515" t="s">
        <v>412</v>
      </c>
      <c r="C12318" s="52">
        <v>302593.71197492001</v>
      </c>
      <c r="D12318" s="56">
        <v>6.8844733208379666E-2</v>
      </c>
      <c r="E12318" s="224" t="s">
        <v>2</v>
      </c>
      <c r="F12318" s="515" t="s">
        <v>13508</v>
      </c>
      <c r="G12318" s="52">
        <v>209095.70366232301</v>
      </c>
      <c r="H12318" s="56">
        <v>6.100687620194821E-2</v>
      </c>
      <c r="I12318" s="224" t="s">
        <v>2</v>
      </c>
    </row>
    <row r="12319" spans="1:9" x14ac:dyDescent="0.25">
      <c r="A12319" s="515">
        <v>24279</v>
      </c>
      <c r="B12319" s="515" t="s">
        <v>1150</v>
      </c>
      <c r="C12319" s="52">
        <v>89764.983366783796</v>
      </c>
      <c r="D12319" s="56">
        <v>8.2195728844837404E-2</v>
      </c>
      <c r="E12319" s="224" t="s">
        <v>2</v>
      </c>
      <c r="F12319" s="515" t="s">
        <v>13509</v>
      </c>
      <c r="G12319" s="52">
        <v>144893.29111981299</v>
      </c>
      <c r="H12319" s="56">
        <v>-1.8033213060915269E-2</v>
      </c>
      <c r="I12319" s="224" t="s">
        <v>2</v>
      </c>
    </row>
    <row r="12320" spans="1:9" x14ac:dyDescent="0.25">
      <c r="A12320" s="515">
        <v>54848</v>
      </c>
      <c r="C12320" s="52">
        <v>136589.38410279201</v>
      </c>
      <c r="D12320" s="56">
        <v>6.8762954016214142E-2</v>
      </c>
      <c r="E12320" s="224" t="s">
        <v>2</v>
      </c>
      <c r="F12320" s="515" t="s">
        <v>13510</v>
      </c>
      <c r="G12320" s="52">
        <v>153667.829543623</v>
      </c>
      <c r="H12320" s="56">
        <v>4.5411347890693531E-2</v>
      </c>
      <c r="I12320" s="224" t="s">
        <v>2</v>
      </c>
    </row>
    <row r="12321" spans="1:9" x14ac:dyDescent="0.25">
      <c r="A12321" s="515">
        <v>35646</v>
      </c>
      <c r="B12321" s="515" t="s">
        <v>1100</v>
      </c>
      <c r="C12321" s="52">
        <v>118502.328753457</v>
      </c>
      <c r="D12321" s="56">
        <v>-1.4052673303798445E-2</v>
      </c>
      <c r="E12321" s="224" t="s">
        <v>2</v>
      </c>
      <c r="F12321" s="515" t="s">
        <v>13511</v>
      </c>
      <c r="G12321" s="52">
        <v>412328.68823945097</v>
      </c>
      <c r="H12321" s="56">
        <v>4.2783060615093488E-2</v>
      </c>
      <c r="I12321" s="224" t="s">
        <v>2</v>
      </c>
    </row>
    <row r="12322" spans="1:9" x14ac:dyDescent="0.25">
      <c r="A12322" s="515">
        <v>14510</v>
      </c>
      <c r="B12322" s="515" t="s">
        <v>337</v>
      </c>
      <c r="C12322" s="52">
        <v>129893.54994559</v>
      </c>
      <c r="D12322" s="56">
        <v>7.7400666241582081E-2</v>
      </c>
      <c r="E12322" s="224" t="s">
        <v>2</v>
      </c>
      <c r="F12322" s="515" t="s">
        <v>13512</v>
      </c>
      <c r="G12322" s="52">
        <v>163136.40758244399</v>
      </c>
      <c r="H12322" s="56">
        <v>3.2084603084029037E-2</v>
      </c>
      <c r="I12322" s="224" t="s">
        <v>2</v>
      </c>
    </row>
    <row r="12323" spans="1:9" x14ac:dyDescent="0.25">
      <c r="A12323" s="515">
        <v>28782</v>
      </c>
      <c r="C12323" s="52">
        <v>354130.97036035202</v>
      </c>
      <c r="D12323" s="56">
        <v>0.13028093930453996</v>
      </c>
      <c r="E12323" s="224" t="s">
        <v>2</v>
      </c>
      <c r="F12323" s="515" t="s">
        <v>13513</v>
      </c>
      <c r="G12323" s="52">
        <v>333427.78001780802</v>
      </c>
      <c r="H12323" s="56">
        <v>3.4041620560206626E-2</v>
      </c>
      <c r="I12323" s="224" t="s">
        <v>2</v>
      </c>
    </row>
    <row r="12324" spans="1:9" x14ac:dyDescent="0.25">
      <c r="A12324" s="515">
        <v>16102</v>
      </c>
      <c r="B12324" s="515" t="s">
        <v>652</v>
      </c>
      <c r="C12324" s="52">
        <v>105447.341860639</v>
      </c>
      <c r="D12324" s="56">
        <v>0.15816239673315174</v>
      </c>
      <c r="E12324" s="224" t="s">
        <v>2</v>
      </c>
      <c r="F12324" s="515" t="s">
        <v>13514</v>
      </c>
      <c r="G12324" s="52">
        <v>291634.120169406</v>
      </c>
      <c r="H12324" s="56">
        <v>1.0954796725800442E-2</v>
      </c>
      <c r="I12324" s="224" t="s">
        <v>2</v>
      </c>
    </row>
    <row r="12325" spans="1:9" x14ac:dyDescent="0.25">
      <c r="A12325" s="515">
        <v>53726</v>
      </c>
      <c r="B12325" s="515" t="s">
        <v>727</v>
      </c>
      <c r="C12325" s="52">
        <v>627893.921113524</v>
      </c>
      <c r="D12325" s="56">
        <v>3.6862083143998345E-2</v>
      </c>
      <c r="E12325" s="224" t="s">
        <v>2</v>
      </c>
      <c r="F12325" s="515" t="s">
        <v>13515</v>
      </c>
      <c r="G12325" s="52">
        <v>689666.48394320696</v>
      </c>
      <c r="H12325" s="56">
        <v>9.7990097890166356E-2</v>
      </c>
      <c r="I12325" s="224" t="s">
        <v>2</v>
      </c>
    </row>
    <row r="12326" spans="1:9" x14ac:dyDescent="0.25">
      <c r="A12326" s="515">
        <v>16915</v>
      </c>
      <c r="C12326" s="52">
        <v>153766.85231540599</v>
      </c>
      <c r="D12326" s="56">
        <v>0.11860188136491635</v>
      </c>
      <c r="E12326" s="224" t="s">
        <v>2</v>
      </c>
      <c r="F12326" s="515" t="s">
        <v>13516</v>
      </c>
      <c r="G12326" s="52">
        <v>289391.18402332999</v>
      </c>
      <c r="H12326" s="56">
        <v>0.15443711225325177</v>
      </c>
      <c r="I12326" s="224" t="s">
        <v>2</v>
      </c>
    </row>
    <row r="12327" spans="1:9" x14ac:dyDescent="0.25">
      <c r="A12327" s="515">
        <v>26150</v>
      </c>
      <c r="B12327" s="515" t="s">
        <v>956</v>
      </c>
      <c r="C12327" s="52">
        <v>196827.86634036899</v>
      </c>
      <c r="D12327" s="56">
        <v>7.8433848594035502E-2</v>
      </c>
      <c r="E12327" s="224" t="s">
        <v>2</v>
      </c>
      <c r="F12327" s="515" t="s">
        <v>13517</v>
      </c>
      <c r="G12327" s="52">
        <v>273047.428571428</v>
      </c>
      <c r="H12327" s="56">
        <v>0</v>
      </c>
      <c r="I12327" s="224" t="s">
        <v>2</v>
      </c>
    </row>
    <row r="12328" spans="1:9" x14ac:dyDescent="0.25">
      <c r="A12328" s="515">
        <v>96738</v>
      </c>
      <c r="B12328" s="515" t="s">
        <v>399</v>
      </c>
      <c r="C12328" s="52">
        <v>749225.31136043195</v>
      </c>
      <c r="D12328" s="56">
        <v>9.5880314938780714E-2</v>
      </c>
      <c r="E12328" s="224" t="s">
        <v>2</v>
      </c>
      <c r="F12328" s="515" t="s">
        <v>13518</v>
      </c>
      <c r="G12328" s="52">
        <v>203642.16851589299</v>
      </c>
      <c r="H12328" s="56">
        <v>4.0731116031184296E-2</v>
      </c>
      <c r="I12328" s="224" t="s">
        <v>2</v>
      </c>
    </row>
    <row r="12329" spans="1:9" x14ac:dyDescent="0.25">
      <c r="A12329" s="515">
        <v>21722</v>
      </c>
      <c r="B12329" s="515" t="s">
        <v>654</v>
      </c>
      <c r="C12329" s="52">
        <v>296648.25887445803</v>
      </c>
      <c r="D12329" s="56">
        <v>2.7903421364841925E-2</v>
      </c>
      <c r="E12329" s="224" t="s">
        <v>2</v>
      </c>
      <c r="F12329" s="515" t="s">
        <v>13519</v>
      </c>
      <c r="G12329" s="52">
        <v>155353.14856641399</v>
      </c>
      <c r="H12329" s="56">
        <v>5.4607435958624426E-2</v>
      </c>
      <c r="I12329" s="224" t="s">
        <v>2</v>
      </c>
    </row>
    <row r="12330" spans="1:9" x14ac:dyDescent="0.25">
      <c r="A12330" s="515">
        <v>32535</v>
      </c>
      <c r="B12330" s="515" t="s">
        <v>1131</v>
      </c>
      <c r="C12330" s="52">
        <v>165341.25344398699</v>
      </c>
      <c r="D12330" s="56">
        <v>8.6366928348709196E-2</v>
      </c>
      <c r="E12330" s="224" t="s">
        <v>2</v>
      </c>
      <c r="F12330" s="515" t="s">
        <v>13520</v>
      </c>
      <c r="G12330" s="52">
        <v>241345.79341700001</v>
      </c>
      <c r="H12330" s="56">
        <v>5.7101048081579509E-2</v>
      </c>
      <c r="I12330" s="224" t="s">
        <v>2</v>
      </c>
    </row>
    <row r="12331" spans="1:9" x14ac:dyDescent="0.25">
      <c r="A12331" s="515">
        <v>24986</v>
      </c>
      <c r="C12331" s="52">
        <v>137421.76528343899</v>
      </c>
      <c r="D12331" s="56">
        <v>0.10180656631773613</v>
      </c>
      <c r="E12331" s="224" t="s">
        <v>2</v>
      </c>
      <c r="F12331" s="515" t="s">
        <v>13521</v>
      </c>
      <c r="G12331" s="52">
        <v>217229.62901341799</v>
      </c>
      <c r="H12331" s="56">
        <v>0.15268614213497891</v>
      </c>
      <c r="I12331" s="224" t="s">
        <v>2</v>
      </c>
    </row>
    <row r="12332" spans="1:9" x14ac:dyDescent="0.25">
      <c r="A12332" s="515">
        <v>48618</v>
      </c>
      <c r="B12332" s="515" t="s">
        <v>1121</v>
      </c>
      <c r="C12332" s="52">
        <v>143098.81349677901</v>
      </c>
      <c r="D12332" s="56">
        <v>0.1171715653258488</v>
      </c>
      <c r="E12332" s="224" t="s">
        <v>2</v>
      </c>
      <c r="F12332" s="515" t="s">
        <v>13522</v>
      </c>
      <c r="G12332" s="52">
        <v>101535.85983651</v>
      </c>
      <c r="H12332" s="56">
        <v>4.6766881083602524E-2</v>
      </c>
      <c r="I12332" s="224" t="s">
        <v>2</v>
      </c>
    </row>
    <row r="12333" spans="1:9" x14ac:dyDescent="0.25">
      <c r="A12333" s="515">
        <v>54728</v>
      </c>
      <c r="C12333" s="52">
        <v>232050.04754982199</v>
      </c>
      <c r="D12333" s="56">
        <v>5.2598708284232985E-2</v>
      </c>
      <c r="E12333" s="224" t="s">
        <v>2</v>
      </c>
      <c r="F12333" s="515" t="s">
        <v>13523</v>
      </c>
      <c r="G12333" s="52">
        <v>126208.739612144</v>
      </c>
      <c r="H12333" s="56">
        <v>-2.4964564544376278E-4</v>
      </c>
      <c r="I12333" s="224" t="s">
        <v>2</v>
      </c>
    </row>
    <row r="12334" spans="1:9" x14ac:dyDescent="0.25">
      <c r="A12334" s="515">
        <v>95987</v>
      </c>
      <c r="C12334" s="52">
        <v>352770.29494353099</v>
      </c>
      <c r="D12334" s="56">
        <v>3.181465909404093E-2</v>
      </c>
      <c r="E12334" s="224" t="s">
        <v>2</v>
      </c>
      <c r="F12334" s="515" t="s">
        <v>13524</v>
      </c>
      <c r="G12334" s="52">
        <v>188479.686225493</v>
      </c>
      <c r="H12334" s="56">
        <v>0.11647806272045641</v>
      </c>
      <c r="I12334" s="224" t="s">
        <v>2</v>
      </c>
    </row>
    <row r="12335" spans="1:9" x14ac:dyDescent="0.25">
      <c r="A12335" s="515">
        <v>49247</v>
      </c>
      <c r="B12335" s="515" t="s">
        <v>958</v>
      </c>
      <c r="C12335" s="52">
        <v>153861.26058347701</v>
      </c>
      <c r="D12335" s="56">
        <v>7.8367267146189412E-2</v>
      </c>
      <c r="E12335" s="224" t="s">
        <v>2</v>
      </c>
      <c r="F12335" s="515" t="s">
        <v>13525</v>
      </c>
      <c r="G12335" s="52">
        <v>162696.140075006</v>
      </c>
      <c r="H12335" s="56">
        <v>3.5791794562390539E-2</v>
      </c>
      <c r="I12335" s="224" t="s">
        <v>2</v>
      </c>
    </row>
    <row r="12336" spans="1:9" x14ac:dyDescent="0.25">
      <c r="A12336" s="515">
        <v>28642</v>
      </c>
      <c r="B12336" s="515" t="s">
        <v>735</v>
      </c>
      <c r="C12336" s="52">
        <v>156433.42491249499</v>
      </c>
      <c r="D12336" s="56">
        <v>0.18263615003243167</v>
      </c>
      <c r="E12336" s="224" t="s">
        <v>2</v>
      </c>
      <c r="F12336" s="515" t="s">
        <v>13526</v>
      </c>
      <c r="G12336" s="52">
        <v>166537.81517514901</v>
      </c>
      <c r="H12336" s="56">
        <v>0.12603065118867934</v>
      </c>
      <c r="I12336" s="224" t="s">
        <v>2</v>
      </c>
    </row>
    <row r="12337" spans="1:9" x14ac:dyDescent="0.25">
      <c r="A12337" s="515">
        <v>7850</v>
      </c>
      <c r="B12337" s="515" t="s">
        <v>324</v>
      </c>
      <c r="C12337" s="52">
        <v>383542.85414702998</v>
      </c>
      <c r="D12337" s="56">
        <v>2.9224890868780523E-2</v>
      </c>
      <c r="E12337" s="224" t="s">
        <v>2</v>
      </c>
      <c r="F12337" s="515" t="s">
        <v>13527</v>
      </c>
      <c r="G12337" s="52">
        <v>72211.376033057793</v>
      </c>
      <c r="H12337" s="56">
        <v>0</v>
      </c>
      <c r="I12337" s="224" t="s">
        <v>2</v>
      </c>
    </row>
    <row r="12338" spans="1:9" x14ac:dyDescent="0.25">
      <c r="A12338" s="515">
        <v>7068</v>
      </c>
      <c r="B12338" s="515" t="s">
        <v>324</v>
      </c>
      <c r="C12338" s="52">
        <v>630356.13066903804</v>
      </c>
      <c r="D12338" s="56">
        <v>3.5822047783730077E-2</v>
      </c>
      <c r="E12338" s="224" t="s">
        <v>2</v>
      </c>
      <c r="F12338" s="515" t="s">
        <v>13528</v>
      </c>
      <c r="G12338" s="52">
        <v>73023.1550700113</v>
      </c>
      <c r="H12338" s="56">
        <v>-6.3927977943674844E-2</v>
      </c>
      <c r="I12338" s="224" t="s">
        <v>2</v>
      </c>
    </row>
    <row r="12339" spans="1:9" x14ac:dyDescent="0.25">
      <c r="A12339" s="515">
        <v>62675</v>
      </c>
      <c r="B12339" s="515" t="s">
        <v>819</v>
      </c>
      <c r="C12339" s="52">
        <v>168578.36064144399</v>
      </c>
      <c r="D12339" s="56">
        <v>3.4028973059497029E-2</v>
      </c>
      <c r="E12339" s="224" t="s">
        <v>2</v>
      </c>
      <c r="F12339" s="515" t="s">
        <v>13529</v>
      </c>
      <c r="G12339" s="52">
        <v>125855.729018603</v>
      </c>
      <c r="H12339" s="56">
        <v>3.6545085142722408E-2</v>
      </c>
      <c r="I12339" s="224" t="s">
        <v>2</v>
      </c>
    </row>
    <row r="12340" spans="1:9" x14ac:dyDescent="0.25">
      <c r="A12340" s="515">
        <v>78956</v>
      </c>
      <c r="C12340" s="52">
        <v>332935.01386116701</v>
      </c>
      <c r="D12340" s="56">
        <v>6.5845500699477005E-2</v>
      </c>
      <c r="E12340" s="224" t="s">
        <v>2</v>
      </c>
      <c r="F12340" s="515" t="s">
        <v>13530</v>
      </c>
      <c r="G12340" s="52">
        <v>175354.38271969801</v>
      </c>
      <c r="H12340" s="56">
        <v>0</v>
      </c>
      <c r="I12340" s="224" t="s">
        <v>2</v>
      </c>
    </row>
    <row r="12341" spans="1:9" x14ac:dyDescent="0.25">
      <c r="A12341" s="515">
        <v>35550</v>
      </c>
      <c r="B12341" s="515" t="s">
        <v>1087</v>
      </c>
      <c r="C12341" s="52">
        <v>128635.945403413</v>
      </c>
      <c r="D12341" s="56">
        <v>9.8999952339001857E-3</v>
      </c>
      <c r="E12341" s="224" t="s">
        <v>2</v>
      </c>
      <c r="F12341" s="515" t="s">
        <v>13531</v>
      </c>
      <c r="G12341" s="52">
        <v>122819.714314036</v>
      </c>
      <c r="H12341" s="56">
        <v>6.3027482379946487E-2</v>
      </c>
      <c r="I12341" s="224" t="s">
        <v>2</v>
      </c>
    </row>
    <row r="12342" spans="1:9" x14ac:dyDescent="0.25">
      <c r="A12342" s="515">
        <v>45311</v>
      </c>
      <c r="C12342" s="52">
        <v>176785.80375435401</v>
      </c>
      <c r="D12342" s="56">
        <v>5.2291710210251675E-2</v>
      </c>
      <c r="E12342" s="224" t="s">
        <v>2</v>
      </c>
      <c r="F12342" s="515" t="s">
        <v>13532</v>
      </c>
      <c r="G12342" s="52">
        <v>327320.18691007298</v>
      </c>
      <c r="H12342" s="56">
        <v>3.1365503392942071E-2</v>
      </c>
      <c r="I12342" s="224" t="s">
        <v>2</v>
      </c>
    </row>
    <row r="12343" spans="1:9" x14ac:dyDescent="0.25">
      <c r="A12343" s="515">
        <v>7677</v>
      </c>
      <c r="B12343" s="515" t="s">
        <v>324</v>
      </c>
      <c r="C12343" s="52">
        <v>925245.22811338597</v>
      </c>
      <c r="D12343" s="56">
        <v>3.45378715696254E-2</v>
      </c>
      <c r="E12343" s="224" t="s">
        <v>2</v>
      </c>
      <c r="F12343" s="515" t="s">
        <v>13533</v>
      </c>
      <c r="G12343" s="52">
        <v>139775.90714372799</v>
      </c>
      <c r="H12343" s="56">
        <v>-4.7706707996350139E-3</v>
      </c>
      <c r="I12343" s="224" t="s">
        <v>2</v>
      </c>
    </row>
    <row r="12344" spans="1:9" x14ac:dyDescent="0.25">
      <c r="A12344" s="515">
        <v>37046</v>
      </c>
      <c r="B12344" s="515" t="s">
        <v>684</v>
      </c>
      <c r="C12344" s="52">
        <v>989044.78472866095</v>
      </c>
      <c r="D12344" s="56">
        <v>0.13218805942313194</v>
      </c>
      <c r="E12344" s="224" t="s">
        <v>2</v>
      </c>
      <c r="F12344" s="515" t="s">
        <v>13534</v>
      </c>
      <c r="G12344" s="52">
        <v>169226.70040485801</v>
      </c>
      <c r="H12344" s="56">
        <v>0</v>
      </c>
      <c r="I12344" s="224" t="s">
        <v>2</v>
      </c>
    </row>
    <row r="12345" spans="1:9" x14ac:dyDescent="0.25">
      <c r="A12345" s="515">
        <v>99109</v>
      </c>
      <c r="B12345" s="515" t="s">
        <v>820</v>
      </c>
      <c r="C12345" s="52">
        <v>312403.64330577001</v>
      </c>
      <c r="D12345" s="56">
        <v>5.1864173715547204E-2</v>
      </c>
      <c r="E12345" s="224" t="s">
        <v>2</v>
      </c>
      <c r="F12345" s="515" t="s">
        <v>13535</v>
      </c>
      <c r="G12345" s="52">
        <v>263439.96759617899</v>
      </c>
      <c r="H12345" s="56">
        <v>0.11999939644125635</v>
      </c>
      <c r="I12345" s="224" t="s">
        <v>2</v>
      </c>
    </row>
    <row r="12346" spans="1:9" x14ac:dyDescent="0.25">
      <c r="A12346" s="515">
        <v>53559</v>
      </c>
      <c r="B12346" s="515" t="s">
        <v>727</v>
      </c>
      <c r="C12346" s="52">
        <v>324810.06508268701</v>
      </c>
      <c r="D12346" s="56">
        <v>5.4885777808973683E-2</v>
      </c>
      <c r="E12346" s="224" t="s">
        <v>2</v>
      </c>
      <c r="F12346" s="515" t="s">
        <v>13536</v>
      </c>
      <c r="G12346" s="52">
        <v>364386.44138813001</v>
      </c>
      <c r="H12346" s="56">
        <v>-2.916202394124591E-2</v>
      </c>
      <c r="I12346" s="224" t="s">
        <v>2</v>
      </c>
    </row>
    <row r="12347" spans="1:9" x14ac:dyDescent="0.25">
      <c r="A12347" s="515">
        <v>27349</v>
      </c>
      <c r="B12347" s="515" t="s">
        <v>1186</v>
      </c>
      <c r="C12347" s="52">
        <v>271816.60198349803</v>
      </c>
      <c r="D12347" s="56">
        <v>0.16512681512473087</v>
      </c>
      <c r="E12347" s="224" t="s">
        <v>2</v>
      </c>
      <c r="F12347" s="515" t="s">
        <v>13537</v>
      </c>
      <c r="G12347" s="52">
        <v>396044.39273952699</v>
      </c>
      <c r="H12347" s="56">
        <v>0.13381480705075718</v>
      </c>
      <c r="I12347" s="224" t="s">
        <v>2</v>
      </c>
    </row>
    <row r="12348" spans="1:9" x14ac:dyDescent="0.25">
      <c r="A12348" s="515">
        <v>18641</v>
      </c>
      <c r="B12348" s="515" t="s">
        <v>512</v>
      </c>
      <c r="C12348" s="52">
        <v>138189.623921108</v>
      </c>
      <c r="D12348" s="56">
        <v>6.3248666865151251E-2</v>
      </c>
      <c r="E12348" s="224" t="s">
        <v>2</v>
      </c>
      <c r="F12348" s="515" t="s">
        <v>13538</v>
      </c>
      <c r="G12348" s="52">
        <v>349481.28356225399</v>
      </c>
      <c r="H12348" s="56">
        <v>0.13093745788250019</v>
      </c>
      <c r="I12348" s="224" t="s">
        <v>2</v>
      </c>
    </row>
    <row r="12349" spans="1:9" x14ac:dyDescent="0.25">
      <c r="A12349" s="515">
        <v>56081</v>
      </c>
      <c r="C12349" s="52">
        <v>148007.47735549501</v>
      </c>
      <c r="D12349" s="56">
        <v>0.14229647922522817</v>
      </c>
      <c r="E12349" s="224" t="s">
        <v>2</v>
      </c>
      <c r="F12349" s="515" t="s">
        <v>13539</v>
      </c>
      <c r="G12349" s="52">
        <v>140496.856757434</v>
      </c>
      <c r="H12349" s="56">
        <v>-6.0367707853186993E-3</v>
      </c>
      <c r="I12349" s="224" t="s">
        <v>2</v>
      </c>
    </row>
    <row r="12350" spans="1:9" x14ac:dyDescent="0.25">
      <c r="A12350" s="515">
        <v>17007</v>
      </c>
      <c r="B12350" s="515" t="s">
        <v>428</v>
      </c>
      <c r="C12350" s="52">
        <v>346724.60187536897</v>
      </c>
      <c r="D12350" s="56">
        <v>7.4532658369210053E-2</v>
      </c>
      <c r="E12350" s="224" t="s">
        <v>2</v>
      </c>
      <c r="F12350" s="515" t="s">
        <v>13540</v>
      </c>
      <c r="G12350" s="52">
        <v>170561.02951908499</v>
      </c>
      <c r="H12350" s="56">
        <v>5.644388641685967E-2</v>
      </c>
      <c r="I12350" s="224" t="s">
        <v>2</v>
      </c>
    </row>
    <row r="12351" spans="1:9" x14ac:dyDescent="0.25">
      <c r="A12351" s="515">
        <v>45314</v>
      </c>
      <c r="B12351" s="515" t="s">
        <v>340</v>
      </c>
      <c r="C12351" s="52">
        <v>254646.583156298</v>
      </c>
      <c r="D12351" s="56">
        <v>7.7301629802586092E-2</v>
      </c>
      <c r="E12351" s="224" t="s">
        <v>2</v>
      </c>
      <c r="F12351" s="515" t="s">
        <v>13541</v>
      </c>
      <c r="G12351" s="52">
        <v>198969.71601798601</v>
      </c>
      <c r="H12351" s="56">
        <v>6.0624318709923505E-2</v>
      </c>
      <c r="I12351" s="224" t="s">
        <v>2</v>
      </c>
    </row>
    <row r="12352" spans="1:9" x14ac:dyDescent="0.25">
      <c r="A12352" s="515">
        <v>41073</v>
      </c>
      <c r="B12352" s="515" t="s">
        <v>344</v>
      </c>
      <c r="C12352" s="52">
        <v>208905.58664857</v>
      </c>
      <c r="D12352" s="56">
        <v>0.16478830175824977</v>
      </c>
      <c r="E12352" s="224">
        <v>1378.3333333333301</v>
      </c>
      <c r="F12352" s="515" t="s">
        <v>13542</v>
      </c>
      <c r="G12352" s="52">
        <v>370334.21961425198</v>
      </c>
      <c r="H12352" s="56">
        <v>0.12495350660046692</v>
      </c>
      <c r="I12352" s="224" t="s">
        <v>2</v>
      </c>
    </row>
    <row r="12353" spans="1:9" x14ac:dyDescent="0.25">
      <c r="A12353" s="515">
        <v>74338</v>
      </c>
      <c r="C12353" s="52">
        <v>164948.389341804</v>
      </c>
      <c r="D12353" s="56">
        <v>2.6055409539475324E-2</v>
      </c>
      <c r="E12353" s="224" t="s">
        <v>2</v>
      </c>
      <c r="F12353" s="515" t="s">
        <v>13543</v>
      </c>
      <c r="G12353" s="52">
        <v>488360.38241799502</v>
      </c>
      <c r="H12353" s="56">
        <v>2.0683387802811256E-2</v>
      </c>
      <c r="I12353" s="224" t="s">
        <v>2</v>
      </c>
    </row>
    <row r="12354" spans="1:9" x14ac:dyDescent="0.25">
      <c r="A12354" s="515">
        <v>56751</v>
      </c>
      <c r="C12354" s="52">
        <v>207621.590569639</v>
      </c>
      <c r="D12354" s="56">
        <v>0.1181071105036528</v>
      </c>
      <c r="E12354" s="224" t="s">
        <v>2</v>
      </c>
      <c r="F12354" s="515" t="s">
        <v>13544</v>
      </c>
      <c r="G12354" s="52">
        <v>264864.60964912199</v>
      </c>
      <c r="H12354" s="56">
        <v>0</v>
      </c>
      <c r="I12354" s="224" t="s">
        <v>2</v>
      </c>
    </row>
    <row r="12355" spans="1:9" x14ac:dyDescent="0.25">
      <c r="A12355" s="515">
        <v>14801</v>
      </c>
      <c r="B12355" s="515" t="s">
        <v>585</v>
      </c>
      <c r="C12355" s="52">
        <v>129153.912178364</v>
      </c>
      <c r="D12355" s="56">
        <v>0.11988327094847673</v>
      </c>
      <c r="E12355" s="224" t="s">
        <v>2</v>
      </c>
      <c r="F12355" s="515" t="s">
        <v>13545</v>
      </c>
      <c r="G12355" s="52">
        <v>134929.68657261899</v>
      </c>
      <c r="H12355" s="56">
        <v>2.5408530436841478E-2</v>
      </c>
      <c r="I12355" s="224" t="s">
        <v>2</v>
      </c>
    </row>
    <row r="12356" spans="1:9" x14ac:dyDescent="0.25">
      <c r="A12356" s="515">
        <v>23009</v>
      </c>
      <c r="B12356" s="515" t="s">
        <v>667</v>
      </c>
      <c r="C12356" s="52">
        <v>300181.08042666101</v>
      </c>
      <c r="D12356" s="56">
        <v>9.0253751604083499E-2</v>
      </c>
      <c r="E12356" s="224" t="s">
        <v>2</v>
      </c>
      <c r="F12356" s="515" t="s">
        <v>13546</v>
      </c>
      <c r="G12356" s="52">
        <v>298553.543434094</v>
      </c>
      <c r="H12356" s="56">
        <v>9.0957232565181262E-2</v>
      </c>
      <c r="I12356" s="224" t="s">
        <v>2</v>
      </c>
    </row>
    <row r="12357" spans="1:9" x14ac:dyDescent="0.25">
      <c r="A12357" s="515">
        <v>23890</v>
      </c>
      <c r="B12357" s="515" t="s">
        <v>667</v>
      </c>
      <c r="C12357" s="52">
        <v>171727.35594217401</v>
      </c>
      <c r="D12357" s="56">
        <v>0.25445571253802596</v>
      </c>
      <c r="E12357" s="224" t="s">
        <v>2</v>
      </c>
      <c r="F12357" s="515" t="s">
        <v>13547</v>
      </c>
      <c r="G12357" s="52">
        <v>699077.70402903005</v>
      </c>
      <c r="H12357" s="56">
        <v>0.15275510855354349</v>
      </c>
      <c r="I12357" s="224" t="s">
        <v>2</v>
      </c>
    </row>
    <row r="12358" spans="1:9" x14ac:dyDescent="0.25">
      <c r="A12358" s="515">
        <v>15531</v>
      </c>
      <c r="B12358" s="515" t="s">
        <v>370</v>
      </c>
      <c r="C12358" s="52">
        <v>139743.43084007999</v>
      </c>
      <c r="D12358" s="56">
        <v>9.4080390459846744E-2</v>
      </c>
      <c r="E12358" s="224" t="s">
        <v>2</v>
      </c>
      <c r="F12358" s="515" t="s">
        <v>13548</v>
      </c>
      <c r="G12358" s="52">
        <v>179845.73411404699</v>
      </c>
      <c r="H12358" s="56">
        <v>0.17769838508773975</v>
      </c>
      <c r="I12358" s="224" t="s">
        <v>2</v>
      </c>
    </row>
    <row r="12359" spans="1:9" x14ac:dyDescent="0.25">
      <c r="A12359" s="515">
        <v>40729</v>
      </c>
      <c r="B12359" s="515" t="s">
        <v>633</v>
      </c>
      <c r="C12359" s="52">
        <v>131535.35293944599</v>
      </c>
      <c r="D12359" s="56">
        <v>0.21776344404751738</v>
      </c>
      <c r="E12359" s="224" t="s">
        <v>2</v>
      </c>
      <c r="F12359" s="515" t="s">
        <v>13549</v>
      </c>
      <c r="G12359" s="52">
        <v>194296.27998133801</v>
      </c>
      <c r="H12359" s="56">
        <v>7.6272369820911776E-2</v>
      </c>
      <c r="I12359" s="224" t="s">
        <v>2</v>
      </c>
    </row>
    <row r="12360" spans="1:9" x14ac:dyDescent="0.25">
      <c r="A12360" s="515">
        <v>48817</v>
      </c>
      <c r="B12360" s="515" t="s">
        <v>528</v>
      </c>
      <c r="C12360" s="52">
        <v>157304.31907038399</v>
      </c>
      <c r="D12360" s="56">
        <v>5.1907384065606688E-2</v>
      </c>
      <c r="E12360" s="224" t="s">
        <v>2</v>
      </c>
      <c r="F12360" s="515" t="s">
        <v>13550</v>
      </c>
      <c r="G12360" s="52">
        <v>390150.805345406</v>
      </c>
      <c r="H12360" s="56">
        <v>0.12178763397131168</v>
      </c>
      <c r="I12360" s="224" t="s">
        <v>2</v>
      </c>
    </row>
    <row r="12361" spans="1:9" x14ac:dyDescent="0.25">
      <c r="A12361" s="515">
        <v>7755</v>
      </c>
      <c r="B12361" s="515" t="s">
        <v>324</v>
      </c>
      <c r="C12361" s="52">
        <v>765058.02711479703</v>
      </c>
      <c r="D12361" s="56">
        <v>0.13673703312629157</v>
      </c>
      <c r="E12361" s="224" t="s">
        <v>2</v>
      </c>
      <c r="F12361" s="515" t="s">
        <v>13551</v>
      </c>
      <c r="G12361" s="52">
        <v>215256.85687066201</v>
      </c>
      <c r="H12361" s="56">
        <v>6.6739793249564999E-2</v>
      </c>
      <c r="I12361" s="224" t="s">
        <v>2</v>
      </c>
    </row>
    <row r="12362" spans="1:9" x14ac:dyDescent="0.25">
      <c r="A12362" s="515">
        <v>95231</v>
      </c>
      <c r="B12362" s="515" t="s">
        <v>852</v>
      </c>
      <c r="C12362" s="52">
        <v>479845.65022055799</v>
      </c>
      <c r="D12362" s="56">
        <v>4.5453377223366884E-2</v>
      </c>
      <c r="E12362" s="224" t="s">
        <v>2</v>
      </c>
      <c r="F12362" s="515" t="s">
        <v>13552</v>
      </c>
      <c r="G12362" s="52">
        <v>867980.46306100301</v>
      </c>
      <c r="H12362" s="56">
        <v>9.6026744179781687E-2</v>
      </c>
      <c r="I12362" s="224" t="s">
        <v>2</v>
      </c>
    </row>
    <row r="12363" spans="1:9" x14ac:dyDescent="0.25">
      <c r="A12363" s="515">
        <v>21758</v>
      </c>
      <c r="B12363" s="515" t="s">
        <v>321</v>
      </c>
      <c r="C12363" s="52">
        <v>404379.64747088001</v>
      </c>
      <c r="D12363" s="56">
        <v>5.3257863842101433E-2</v>
      </c>
      <c r="E12363" s="224" t="s">
        <v>2</v>
      </c>
      <c r="F12363" s="515" t="s">
        <v>13553</v>
      </c>
      <c r="G12363" s="52">
        <v>58970.075240923601</v>
      </c>
      <c r="H12363" s="56">
        <v>-8.279541099255449E-3</v>
      </c>
      <c r="I12363" s="224" t="s">
        <v>2</v>
      </c>
    </row>
    <row r="12364" spans="1:9" x14ac:dyDescent="0.25">
      <c r="A12364" s="515">
        <v>86333</v>
      </c>
      <c r="B12364" s="515" t="s">
        <v>332</v>
      </c>
      <c r="C12364" s="52">
        <v>281377.621591011</v>
      </c>
      <c r="D12364" s="56">
        <v>2.8360351898171082E-2</v>
      </c>
      <c r="E12364" s="224" t="s">
        <v>2</v>
      </c>
      <c r="F12364" s="515" t="s">
        <v>13554</v>
      </c>
      <c r="G12364" s="52">
        <v>113830.147060323</v>
      </c>
      <c r="H12364" s="56">
        <v>6.9080522265353675E-2</v>
      </c>
      <c r="I12364" s="224" t="s">
        <v>2</v>
      </c>
    </row>
    <row r="12365" spans="1:9" x14ac:dyDescent="0.25">
      <c r="A12365" s="515">
        <v>3894</v>
      </c>
      <c r="C12365" s="52">
        <v>536029.68305539503</v>
      </c>
      <c r="D12365" s="56">
        <v>0.11692116693796627</v>
      </c>
      <c r="E12365" s="224" t="s">
        <v>2</v>
      </c>
      <c r="F12365" s="515" t="s">
        <v>13555</v>
      </c>
      <c r="G12365" s="52">
        <v>1042174.20852564</v>
      </c>
      <c r="H12365" s="56">
        <v>0.19553121379694352</v>
      </c>
      <c r="I12365" s="224" t="s">
        <v>2</v>
      </c>
    </row>
    <row r="12366" spans="1:9" x14ac:dyDescent="0.25">
      <c r="A12366" s="515">
        <v>3222</v>
      </c>
      <c r="B12366" s="515" t="s">
        <v>420</v>
      </c>
      <c r="C12366" s="52">
        <v>356953.60148796003</v>
      </c>
      <c r="D12366" s="56">
        <v>0.13341166732342316</v>
      </c>
      <c r="E12366" s="224" t="s">
        <v>2</v>
      </c>
      <c r="F12366" s="515" t="s">
        <v>13556</v>
      </c>
      <c r="G12366" s="52">
        <v>271714.74259451899</v>
      </c>
      <c r="H12366" s="56">
        <v>8.9237909392554174E-2</v>
      </c>
      <c r="I12366" s="224" t="s">
        <v>2</v>
      </c>
    </row>
    <row r="12367" spans="1:9" x14ac:dyDescent="0.25">
      <c r="A12367" s="515">
        <v>72416</v>
      </c>
      <c r="B12367" s="515" t="s">
        <v>673</v>
      </c>
      <c r="C12367" s="52">
        <v>169958.54300839899</v>
      </c>
      <c r="D12367" s="56">
        <v>7.4050508445994437E-2</v>
      </c>
      <c r="E12367" s="224" t="s">
        <v>2</v>
      </c>
      <c r="F12367" s="515" t="s">
        <v>13557</v>
      </c>
      <c r="G12367" s="52">
        <v>379984.44087485201</v>
      </c>
      <c r="H12367" s="56">
        <v>5.9769530493894669E-2</v>
      </c>
      <c r="I12367" s="224" t="s">
        <v>2</v>
      </c>
    </row>
    <row r="12368" spans="1:9" x14ac:dyDescent="0.25">
      <c r="A12368" s="515">
        <v>98260</v>
      </c>
      <c r="B12368" s="515" t="s">
        <v>1146</v>
      </c>
      <c r="C12368" s="52">
        <v>694552.25199776702</v>
      </c>
      <c r="D12368" s="56">
        <v>1.3951808261365487E-3</v>
      </c>
      <c r="E12368" s="224" t="s">
        <v>2</v>
      </c>
      <c r="F12368" s="515" t="s">
        <v>13558</v>
      </c>
      <c r="G12368" s="52">
        <v>298523.16721921199</v>
      </c>
      <c r="H12368" s="56">
        <v>5.3228030095584487E-2</v>
      </c>
      <c r="I12368" s="224" t="s">
        <v>2</v>
      </c>
    </row>
    <row r="12369" spans="1:9" x14ac:dyDescent="0.25">
      <c r="A12369" s="515">
        <v>62448</v>
      </c>
      <c r="C12369" s="52">
        <v>104175.114973768</v>
      </c>
      <c r="D12369" s="56">
        <v>5.9271801460980926E-3</v>
      </c>
      <c r="E12369" s="224" t="s">
        <v>2</v>
      </c>
      <c r="F12369" s="515" t="s">
        <v>13559</v>
      </c>
      <c r="G12369" s="52">
        <v>183318.129599045</v>
      </c>
      <c r="H12369" s="56">
        <v>9.268113573974264E-2</v>
      </c>
      <c r="I12369" s="224" t="s">
        <v>2</v>
      </c>
    </row>
    <row r="12370" spans="1:9" x14ac:dyDescent="0.25">
      <c r="A12370" s="515">
        <v>66616</v>
      </c>
      <c r="B12370" s="515" t="s">
        <v>549</v>
      </c>
      <c r="C12370" s="52">
        <v>90557.935130627593</v>
      </c>
      <c r="D12370" s="56">
        <v>0.17102539266430464</v>
      </c>
      <c r="E12370" s="224" t="s">
        <v>2</v>
      </c>
      <c r="F12370" s="515" t="s">
        <v>13560</v>
      </c>
      <c r="G12370" s="52">
        <v>159438.67147230401</v>
      </c>
      <c r="H12370" s="56">
        <v>6.8984737303103408E-2</v>
      </c>
      <c r="I12370" s="224" t="s">
        <v>2</v>
      </c>
    </row>
    <row r="12371" spans="1:9" x14ac:dyDescent="0.25">
      <c r="A12371" s="515">
        <v>45315</v>
      </c>
      <c r="B12371" s="515" t="s">
        <v>340</v>
      </c>
      <c r="C12371" s="52">
        <v>226334.24263513801</v>
      </c>
      <c r="D12371" s="56">
        <v>7.0257119449618224E-2</v>
      </c>
      <c r="E12371" s="224" t="s">
        <v>2</v>
      </c>
      <c r="F12371" s="515" t="s">
        <v>13561</v>
      </c>
      <c r="G12371" s="52">
        <v>56428.186131158101</v>
      </c>
      <c r="H12371" s="56">
        <v>2.8780136973462895E-2</v>
      </c>
      <c r="I12371" s="224" t="s">
        <v>2</v>
      </c>
    </row>
    <row r="12372" spans="1:9" x14ac:dyDescent="0.25">
      <c r="A12372" s="515">
        <v>36862</v>
      </c>
      <c r="B12372" s="515" t="s">
        <v>1066</v>
      </c>
      <c r="C12372" s="52">
        <v>107002.83976515901</v>
      </c>
      <c r="D12372" s="56">
        <v>3.0334323411580242E-2</v>
      </c>
      <c r="E12372" s="224" t="s">
        <v>2</v>
      </c>
      <c r="F12372" s="515" t="s">
        <v>13562</v>
      </c>
      <c r="G12372" s="52">
        <v>251753.41888643801</v>
      </c>
      <c r="H12372" s="56">
        <v>7.5576460834376621E-2</v>
      </c>
      <c r="I12372" s="224" t="s">
        <v>2</v>
      </c>
    </row>
    <row r="12373" spans="1:9" x14ac:dyDescent="0.25">
      <c r="A12373" s="515">
        <v>20722</v>
      </c>
      <c r="B12373" s="515" t="s">
        <v>321</v>
      </c>
      <c r="C12373" s="52">
        <v>361350.17439048103</v>
      </c>
      <c r="D12373" s="56">
        <v>2.0528042442193483E-2</v>
      </c>
      <c r="E12373" s="224" t="s">
        <v>2</v>
      </c>
      <c r="F12373" s="515" t="s">
        <v>13563</v>
      </c>
      <c r="G12373" s="52">
        <v>173778.42944785199</v>
      </c>
      <c r="H12373" s="56">
        <v>0</v>
      </c>
      <c r="I12373" s="224" t="s">
        <v>2</v>
      </c>
    </row>
    <row r="12374" spans="1:9" x14ac:dyDescent="0.25">
      <c r="A12374" s="515">
        <v>49045</v>
      </c>
      <c r="C12374" s="52">
        <v>159509.94947259501</v>
      </c>
      <c r="D12374" s="56">
        <v>4.819703943539249E-2</v>
      </c>
      <c r="E12374" s="224" t="s">
        <v>2</v>
      </c>
      <c r="F12374" s="515" t="s">
        <v>13564</v>
      </c>
      <c r="G12374" s="52">
        <v>277602.620583173</v>
      </c>
      <c r="H12374" s="56">
        <v>0.13655778109165387</v>
      </c>
      <c r="I12374" s="224" t="s">
        <v>2</v>
      </c>
    </row>
    <row r="12375" spans="1:9" x14ac:dyDescent="0.25">
      <c r="A12375" s="515">
        <v>66713</v>
      </c>
      <c r="C12375" s="52">
        <v>88659.601011104896</v>
      </c>
      <c r="D12375" s="56">
        <v>0.11972173202833256</v>
      </c>
      <c r="E12375" s="224" t="s">
        <v>2</v>
      </c>
      <c r="F12375" s="515" t="s">
        <v>9567</v>
      </c>
      <c r="G12375" s="52">
        <v>175926.46079034399</v>
      </c>
      <c r="H12375" s="56">
        <v>8.8018628198769641E-2</v>
      </c>
      <c r="I12375" s="224" t="s">
        <v>2</v>
      </c>
    </row>
    <row r="12376" spans="1:9" x14ac:dyDescent="0.25">
      <c r="A12376" s="515">
        <v>24244</v>
      </c>
      <c r="B12376" s="515" t="s">
        <v>902</v>
      </c>
      <c r="C12376" s="52">
        <v>119341.66615269201</v>
      </c>
      <c r="D12376" s="56">
        <v>0.12045377336893379</v>
      </c>
      <c r="E12376" s="224" t="s">
        <v>2</v>
      </c>
      <c r="F12376" s="515" t="s">
        <v>13565</v>
      </c>
      <c r="G12376" s="52">
        <v>138785.31247422899</v>
      </c>
      <c r="H12376" s="56">
        <v>6.36101258028441E-2</v>
      </c>
      <c r="I12376" s="224" t="s">
        <v>2</v>
      </c>
    </row>
    <row r="12377" spans="1:9" x14ac:dyDescent="0.25">
      <c r="A12377" s="515">
        <v>78372</v>
      </c>
      <c r="B12377" s="515" t="s">
        <v>709</v>
      </c>
      <c r="C12377" s="52">
        <v>166127.642303865</v>
      </c>
      <c r="D12377" s="56">
        <v>-6.6304320153832627E-2</v>
      </c>
      <c r="E12377" s="224" t="s">
        <v>2</v>
      </c>
      <c r="F12377" s="515" t="s">
        <v>13566</v>
      </c>
      <c r="G12377" s="52">
        <v>134410.28919894001</v>
      </c>
      <c r="H12377" s="56">
        <v>1.7342465926988362E-2</v>
      </c>
      <c r="I12377" s="224" t="s">
        <v>2</v>
      </c>
    </row>
    <row r="12378" spans="1:9" x14ac:dyDescent="0.25">
      <c r="A12378" s="515">
        <v>4282</v>
      </c>
      <c r="B12378" s="515" t="s">
        <v>1120</v>
      </c>
      <c r="C12378" s="52">
        <v>327326.89727063797</v>
      </c>
      <c r="D12378" s="56">
        <v>6.4977102965357011E-2</v>
      </c>
      <c r="E12378" s="224" t="s">
        <v>2</v>
      </c>
      <c r="F12378" s="515" t="s">
        <v>13567</v>
      </c>
      <c r="G12378" s="52">
        <v>158752.13085072301</v>
      </c>
      <c r="H12378" s="56">
        <v>0.11190546579818704</v>
      </c>
      <c r="I12378" s="224" t="s">
        <v>2</v>
      </c>
    </row>
    <row r="12379" spans="1:9" x14ac:dyDescent="0.25">
      <c r="A12379" s="515">
        <v>13118</v>
      </c>
      <c r="B12379" s="515" t="s">
        <v>986</v>
      </c>
      <c r="C12379" s="52">
        <v>190780.60135829501</v>
      </c>
      <c r="D12379" s="56">
        <v>7.1949755939205509E-2</v>
      </c>
      <c r="E12379" s="224" t="s">
        <v>2</v>
      </c>
      <c r="F12379" s="515" t="s">
        <v>13568</v>
      </c>
      <c r="G12379" s="52">
        <v>202102.293948126</v>
      </c>
      <c r="H12379" s="56">
        <v>0</v>
      </c>
      <c r="I12379" s="224" t="s">
        <v>2</v>
      </c>
    </row>
    <row r="12380" spans="1:9" x14ac:dyDescent="0.25">
      <c r="A12380" s="515">
        <v>14487</v>
      </c>
      <c r="B12380" s="515" t="s">
        <v>337</v>
      </c>
      <c r="C12380" s="52">
        <v>243556.76782041701</v>
      </c>
      <c r="D12380" s="56">
        <v>0.1071759191887792</v>
      </c>
      <c r="E12380" s="224" t="s">
        <v>2</v>
      </c>
      <c r="F12380" s="515" t="s">
        <v>13569</v>
      </c>
      <c r="G12380" s="52">
        <v>157328.154920656</v>
      </c>
      <c r="H12380" s="56">
        <v>5.5829780421791042E-2</v>
      </c>
      <c r="I12380" s="224" t="s">
        <v>2</v>
      </c>
    </row>
    <row r="12381" spans="1:9" x14ac:dyDescent="0.25">
      <c r="A12381" s="515">
        <v>35490</v>
      </c>
      <c r="B12381" s="515" t="s">
        <v>841</v>
      </c>
      <c r="C12381" s="52">
        <v>197783.715395557</v>
      </c>
      <c r="D12381" s="56">
        <v>8.5315115053711574E-2</v>
      </c>
      <c r="E12381" s="224" t="s">
        <v>2</v>
      </c>
      <c r="F12381" s="515" t="s">
        <v>13570</v>
      </c>
      <c r="G12381" s="52">
        <v>208057.382622454</v>
      </c>
      <c r="H12381" s="56">
        <v>1.3904539442822874E-2</v>
      </c>
      <c r="I12381" s="224" t="s">
        <v>2</v>
      </c>
    </row>
    <row r="12382" spans="1:9" x14ac:dyDescent="0.25">
      <c r="A12382" s="515">
        <v>93924</v>
      </c>
      <c r="B12382" s="515" t="s">
        <v>443</v>
      </c>
      <c r="C12382" s="52">
        <v>1311189.73032684</v>
      </c>
      <c r="D12382" s="56">
        <v>1.8901248174095161E-2</v>
      </c>
      <c r="E12382" s="224" t="s">
        <v>2</v>
      </c>
      <c r="F12382" s="515" t="s">
        <v>13571</v>
      </c>
      <c r="G12382" s="52">
        <v>157236.983067005</v>
      </c>
      <c r="H12382" s="56">
        <v>2.8918676959565317E-2</v>
      </c>
      <c r="I12382" s="224" t="s">
        <v>2</v>
      </c>
    </row>
    <row r="12383" spans="1:9" x14ac:dyDescent="0.25">
      <c r="A12383" s="515">
        <v>37146</v>
      </c>
      <c r="B12383" s="515" t="s">
        <v>684</v>
      </c>
      <c r="C12383" s="52">
        <v>384338.530509328</v>
      </c>
      <c r="D12383" s="56">
        <v>6.1939084273331668E-2</v>
      </c>
      <c r="E12383" s="224" t="s">
        <v>2</v>
      </c>
      <c r="F12383" s="515" t="s">
        <v>13572</v>
      </c>
      <c r="G12383" s="52">
        <v>353614.67766126798</v>
      </c>
      <c r="H12383" s="56">
        <v>5.6861934461200969E-2</v>
      </c>
      <c r="I12383" s="224" t="s">
        <v>2</v>
      </c>
    </row>
    <row r="12384" spans="1:9" x14ac:dyDescent="0.25">
      <c r="A12384" s="515">
        <v>3229</v>
      </c>
      <c r="B12384" s="515" t="s">
        <v>981</v>
      </c>
      <c r="C12384" s="52">
        <v>451601.90479307302</v>
      </c>
      <c r="D12384" s="56">
        <v>9.5967912401836331E-2</v>
      </c>
      <c r="E12384" s="224" t="s">
        <v>2</v>
      </c>
      <c r="F12384" s="515" t="s">
        <v>13573</v>
      </c>
      <c r="G12384" s="52">
        <v>205513.28793095099</v>
      </c>
      <c r="H12384" s="56">
        <v>2.9808254261691081E-2</v>
      </c>
      <c r="I12384" s="224" t="s">
        <v>2</v>
      </c>
    </row>
    <row r="12385" spans="1:9" x14ac:dyDescent="0.25">
      <c r="A12385" s="515">
        <v>10983</v>
      </c>
      <c r="B12385" s="515" t="s">
        <v>324</v>
      </c>
      <c r="C12385" s="52">
        <v>589965.39280557202</v>
      </c>
      <c r="D12385" s="56">
        <v>3.8138865956127893E-2</v>
      </c>
      <c r="E12385" s="224" t="s">
        <v>2</v>
      </c>
      <c r="F12385" s="515" t="s">
        <v>13574</v>
      </c>
      <c r="G12385" s="52">
        <v>96618.729168878403</v>
      </c>
      <c r="H12385" s="56">
        <v>-0.1138458777128761</v>
      </c>
      <c r="I12385" s="224" t="s">
        <v>2</v>
      </c>
    </row>
    <row r="12386" spans="1:9" x14ac:dyDescent="0.25">
      <c r="A12386" s="515">
        <v>36549</v>
      </c>
      <c r="B12386" s="515" t="s">
        <v>488</v>
      </c>
      <c r="C12386" s="52">
        <v>294959.244285769</v>
      </c>
      <c r="D12386" s="56">
        <v>9.0687925492726237E-2</v>
      </c>
      <c r="E12386" s="224" t="s">
        <v>2</v>
      </c>
      <c r="F12386" s="515" t="s">
        <v>13575</v>
      </c>
      <c r="G12386" s="52">
        <v>196992.362132054</v>
      </c>
      <c r="H12386" s="56">
        <v>5.1792101128294007E-2</v>
      </c>
      <c r="I12386" s="224" t="s">
        <v>2</v>
      </c>
    </row>
    <row r="12387" spans="1:9" x14ac:dyDescent="0.25">
      <c r="A12387" s="515">
        <v>65065</v>
      </c>
      <c r="C12387" s="52">
        <v>290507.19984884001</v>
      </c>
      <c r="D12387" s="56">
        <v>-1.5180710010813215E-2</v>
      </c>
      <c r="E12387" s="224" t="s">
        <v>2</v>
      </c>
      <c r="F12387" s="515" t="s">
        <v>13576</v>
      </c>
      <c r="G12387" s="52">
        <v>484911.86266350799</v>
      </c>
      <c r="H12387" s="56">
        <v>0.11420382121030696</v>
      </c>
      <c r="I12387" s="224" t="s">
        <v>2</v>
      </c>
    </row>
    <row r="12388" spans="1:9" x14ac:dyDescent="0.25">
      <c r="A12388" s="515">
        <v>93609</v>
      </c>
      <c r="B12388" s="515" t="s">
        <v>541</v>
      </c>
      <c r="C12388" s="52">
        <v>337987.41422709002</v>
      </c>
      <c r="D12388" s="56">
        <v>7.1532268024069784E-2</v>
      </c>
      <c r="E12388" s="224" t="s">
        <v>2</v>
      </c>
      <c r="F12388" s="515" t="s">
        <v>13577</v>
      </c>
      <c r="G12388" s="52">
        <v>216554.01678757099</v>
      </c>
      <c r="H12388" s="56">
        <v>5.4775296126802694E-2</v>
      </c>
      <c r="I12388" s="224" t="s">
        <v>2</v>
      </c>
    </row>
    <row r="12389" spans="1:9" x14ac:dyDescent="0.25">
      <c r="A12389" s="515">
        <v>24422</v>
      </c>
      <c r="C12389" s="52">
        <v>117104.362236724</v>
      </c>
      <c r="D12389" s="56">
        <v>5.2552225485685992E-2</v>
      </c>
      <c r="E12389" s="224" t="s">
        <v>2</v>
      </c>
      <c r="F12389" s="515" t="s">
        <v>13578</v>
      </c>
      <c r="G12389" s="52">
        <v>256802.84516110801</v>
      </c>
      <c r="H12389" s="56">
        <v>9.634718189019896E-2</v>
      </c>
      <c r="I12389" s="224" t="s">
        <v>2</v>
      </c>
    </row>
    <row r="12390" spans="1:9" x14ac:dyDescent="0.25">
      <c r="A12390" s="515">
        <v>26250</v>
      </c>
      <c r="C12390" s="52">
        <v>100136.16750876499</v>
      </c>
      <c r="D12390" s="56">
        <v>5.7242824771459901E-2</v>
      </c>
      <c r="E12390" s="224" t="s">
        <v>2</v>
      </c>
      <c r="F12390" s="515" t="s">
        <v>13579</v>
      </c>
      <c r="G12390" s="52">
        <v>302202.30413791799</v>
      </c>
      <c r="H12390" s="56">
        <v>0.19064795501087958</v>
      </c>
      <c r="I12390" s="224" t="s">
        <v>2</v>
      </c>
    </row>
    <row r="12391" spans="1:9" x14ac:dyDescent="0.25">
      <c r="A12391" s="515">
        <v>60606</v>
      </c>
      <c r="B12391" s="515" t="s">
        <v>394</v>
      </c>
      <c r="C12391" s="52">
        <v>308932.00028402399</v>
      </c>
      <c r="D12391" s="56">
        <v>9.1350348766860382E-3</v>
      </c>
      <c r="E12391" s="224">
        <v>2472.6447649572601</v>
      </c>
      <c r="F12391" s="515" t="s">
        <v>13580</v>
      </c>
      <c r="G12391" s="52">
        <v>133403.581359075</v>
      </c>
      <c r="H12391" s="56">
        <v>4.2156775284166496E-2</v>
      </c>
      <c r="I12391" s="224" t="s">
        <v>2</v>
      </c>
    </row>
    <row r="12392" spans="1:9" x14ac:dyDescent="0.25">
      <c r="A12392" s="515">
        <v>27583</v>
      </c>
      <c r="B12392" s="515" t="s">
        <v>467</v>
      </c>
      <c r="C12392" s="52">
        <v>265985.67936823802</v>
      </c>
      <c r="D12392" s="56">
        <v>0.12128042095452839</v>
      </c>
      <c r="E12392" s="224" t="s">
        <v>2</v>
      </c>
      <c r="F12392" s="515" t="s">
        <v>13581</v>
      </c>
      <c r="G12392" s="52">
        <v>155881.93390687901</v>
      </c>
      <c r="H12392" s="56">
        <v>1.3325464368562034E-2</v>
      </c>
      <c r="I12392" s="224" t="s">
        <v>2</v>
      </c>
    </row>
    <row r="12393" spans="1:9" x14ac:dyDescent="0.25">
      <c r="A12393" s="515">
        <v>25320</v>
      </c>
      <c r="B12393" s="515" t="s">
        <v>322</v>
      </c>
      <c r="C12393" s="52">
        <v>152691.020326364</v>
      </c>
      <c r="D12393" s="56">
        <v>7.6699344392935215E-2</v>
      </c>
      <c r="E12393" s="224" t="s">
        <v>2</v>
      </c>
      <c r="F12393" s="515" t="s">
        <v>13582</v>
      </c>
      <c r="G12393" s="52">
        <v>446235.40048623399</v>
      </c>
      <c r="H12393" s="56">
        <v>9.3895146563786433E-2</v>
      </c>
      <c r="I12393" s="224" t="s">
        <v>2</v>
      </c>
    </row>
    <row r="12394" spans="1:9" x14ac:dyDescent="0.25">
      <c r="A12394" s="515">
        <v>56352</v>
      </c>
      <c r="B12394" s="515" t="s">
        <v>418</v>
      </c>
      <c r="C12394" s="52">
        <v>251196.123731339</v>
      </c>
      <c r="D12394" s="56">
        <v>9.3010707567421747E-2</v>
      </c>
      <c r="E12394" s="224" t="s">
        <v>2</v>
      </c>
      <c r="F12394" s="515" t="s">
        <v>13583</v>
      </c>
      <c r="G12394" s="52">
        <v>189864.793762474</v>
      </c>
      <c r="H12394" s="56">
        <v>8.859501348477497E-2</v>
      </c>
      <c r="I12394" s="224" t="s">
        <v>2</v>
      </c>
    </row>
    <row r="12395" spans="1:9" x14ac:dyDescent="0.25">
      <c r="A12395" s="515">
        <v>43143</v>
      </c>
      <c r="B12395" s="515" t="s">
        <v>345</v>
      </c>
      <c r="C12395" s="52">
        <v>235897.59559345999</v>
      </c>
      <c r="D12395" s="56">
        <v>8.6149313215869383E-2</v>
      </c>
      <c r="E12395" s="224" t="s">
        <v>2</v>
      </c>
      <c r="F12395" s="515" t="s">
        <v>13584</v>
      </c>
      <c r="G12395" s="52">
        <v>185113.401935106</v>
      </c>
      <c r="H12395" s="56">
        <v>0.14455825926007054</v>
      </c>
      <c r="I12395" s="224" t="s">
        <v>2</v>
      </c>
    </row>
    <row r="12396" spans="1:9" x14ac:dyDescent="0.25">
      <c r="A12396" s="515">
        <v>48632</v>
      </c>
      <c r="C12396" s="52">
        <v>131304.751805151</v>
      </c>
      <c r="D12396" s="56">
        <v>0.10400965492244774</v>
      </c>
      <c r="E12396" s="224" t="s">
        <v>2</v>
      </c>
      <c r="F12396" s="515" t="s">
        <v>10166</v>
      </c>
      <c r="G12396" s="52">
        <v>197559.76252958601</v>
      </c>
      <c r="H12396" s="56">
        <v>2.5351678364333496E-2</v>
      </c>
      <c r="I12396" s="224" t="s">
        <v>2</v>
      </c>
    </row>
    <row r="12397" spans="1:9" x14ac:dyDescent="0.25">
      <c r="A12397" s="515">
        <v>94111</v>
      </c>
      <c r="B12397" s="515" t="s">
        <v>593</v>
      </c>
      <c r="C12397" s="52">
        <v>1083439.9480570201</v>
      </c>
      <c r="D12397" s="56">
        <v>-9.6950623410808887E-2</v>
      </c>
      <c r="E12397" s="224">
        <v>3214.2</v>
      </c>
      <c r="F12397" s="515" t="s">
        <v>13585</v>
      </c>
      <c r="G12397" s="52">
        <v>171837.78790457401</v>
      </c>
      <c r="H12397" s="56">
        <v>4.8623032169685547E-2</v>
      </c>
      <c r="I12397" s="224" t="s">
        <v>2</v>
      </c>
    </row>
    <row r="12398" spans="1:9" x14ac:dyDescent="0.25">
      <c r="A12398" s="515">
        <v>74044</v>
      </c>
      <c r="B12398" s="515" t="s">
        <v>348</v>
      </c>
      <c r="C12398" s="52">
        <v>186072.77051254601</v>
      </c>
      <c r="D12398" s="56">
        <v>3.1797873954666121E-2</v>
      </c>
      <c r="E12398" s="224" t="s">
        <v>2</v>
      </c>
      <c r="F12398" s="515" t="s">
        <v>13586</v>
      </c>
      <c r="G12398" s="52">
        <v>112734.158016567</v>
      </c>
      <c r="H12398" s="56">
        <v>6.257545139827328E-2</v>
      </c>
      <c r="I12398" s="224" t="s">
        <v>2</v>
      </c>
    </row>
    <row r="12399" spans="1:9" x14ac:dyDescent="0.25">
      <c r="A12399" s="515">
        <v>86025</v>
      </c>
      <c r="B12399" s="515" t="s">
        <v>533</v>
      </c>
      <c r="C12399" s="52">
        <v>162824.76540372299</v>
      </c>
      <c r="D12399" s="56">
        <v>4.3310795546618167E-2</v>
      </c>
      <c r="E12399" s="224" t="s">
        <v>2</v>
      </c>
      <c r="F12399" s="515" t="s">
        <v>13587</v>
      </c>
      <c r="G12399" s="52">
        <v>302344.46174066502</v>
      </c>
      <c r="H12399" s="56">
        <v>-2.5704732893357937E-2</v>
      </c>
      <c r="I12399" s="224" t="s">
        <v>2</v>
      </c>
    </row>
    <row r="12400" spans="1:9" x14ac:dyDescent="0.25">
      <c r="A12400" s="515">
        <v>56307</v>
      </c>
      <c r="B12400" s="515" t="s">
        <v>418</v>
      </c>
      <c r="C12400" s="52">
        <v>299617.945160417</v>
      </c>
      <c r="D12400" s="56">
        <v>6.5088991361366005E-2</v>
      </c>
      <c r="E12400" s="224" t="s">
        <v>2</v>
      </c>
      <c r="F12400" s="515" t="s">
        <v>13588</v>
      </c>
      <c r="G12400" s="52">
        <v>388937.69638823002</v>
      </c>
      <c r="H12400" s="56">
        <v>1.6382865221424073E-2</v>
      </c>
      <c r="I12400" s="224" t="s">
        <v>2</v>
      </c>
    </row>
    <row r="12401" spans="1:9" x14ac:dyDescent="0.25">
      <c r="A12401" s="515">
        <v>71342</v>
      </c>
      <c r="C12401" s="52">
        <v>127852.797927741</v>
      </c>
      <c r="D12401" s="56">
        <v>-2.9654559096904741E-3</v>
      </c>
      <c r="E12401" s="224" t="s">
        <v>2</v>
      </c>
      <c r="F12401" s="515" t="s">
        <v>13589</v>
      </c>
      <c r="G12401" s="52">
        <v>83263.441855173995</v>
      </c>
      <c r="H12401" s="56">
        <v>0.15729169494526835</v>
      </c>
      <c r="I12401" s="224" t="s">
        <v>2</v>
      </c>
    </row>
    <row r="12402" spans="1:9" x14ac:dyDescent="0.25">
      <c r="A12402" s="515">
        <v>7739</v>
      </c>
      <c r="B12402" s="515" t="s">
        <v>324</v>
      </c>
      <c r="C12402" s="52">
        <v>855147.69516915595</v>
      </c>
      <c r="D12402" s="56">
        <v>8.3439459976648825E-2</v>
      </c>
      <c r="E12402" s="224" t="s">
        <v>2</v>
      </c>
      <c r="F12402" s="515" t="s">
        <v>13590</v>
      </c>
      <c r="G12402" s="52">
        <v>197790.10820288601</v>
      </c>
      <c r="H12402" s="56">
        <v>9.73382865522021E-2</v>
      </c>
      <c r="I12402" s="224" t="s">
        <v>2</v>
      </c>
    </row>
    <row r="12403" spans="1:9" x14ac:dyDescent="0.25">
      <c r="A12403" s="515">
        <v>67133</v>
      </c>
      <c r="B12403" s="515" t="s">
        <v>485</v>
      </c>
      <c r="C12403" s="52">
        <v>239783.60835853399</v>
      </c>
      <c r="D12403" s="56">
        <v>7.6560637237750445E-2</v>
      </c>
      <c r="E12403" s="224" t="s">
        <v>2</v>
      </c>
      <c r="F12403" s="515" t="s">
        <v>13591</v>
      </c>
      <c r="G12403" s="52">
        <v>351489.89993970701</v>
      </c>
      <c r="H12403" s="56">
        <v>7.8753708724633678E-2</v>
      </c>
      <c r="I12403" s="224" t="s">
        <v>2</v>
      </c>
    </row>
    <row r="12404" spans="1:9" x14ac:dyDescent="0.25">
      <c r="A12404" s="515">
        <v>71837</v>
      </c>
      <c r="B12404" s="515" t="s">
        <v>390</v>
      </c>
      <c r="C12404" s="52">
        <v>157794.77816614599</v>
      </c>
      <c r="D12404" s="56">
        <v>7.1051170129099006E-4</v>
      </c>
      <c r="E12404" s="224" t="s">
        <v>2</v>
      </c>
      <c r="F12404" s="515" t="s">
        <v>13592</v>
      </c>
      <c r="G12404" s="52">
        <v>144970.933062486</v>
      </c>
      <c r="H12404" s="56">
        <v>5.7795180051768633E-2</v>
      </c>
      <c r="I12404" s="224" t="s">
        <v>2</v>
      </c>
    </row>
    <row r="12405" spans="1:9" x14ac:dyDescent="0.25">
      <c r="A12405" s="515">
        <v>47243</v>
      </c>
      <c r="B12405" s="515" t="s">
        <v>865</v>
      </c>
      <c r="C12405" s="52">
        <v>177527.421592456</v>
      </c>
      <c r="D12405" s="56">
        <v>8.1739333121897587E-2</v>
      </c>
      <c r="E12405" s="224" t="s">
        <v>2</v>
      </c>
      <c r="F12405" s="515" t="s">
        <v>13593</v>
      </c>
      <c r="G12405" s="52">
        <v>340551.83677238302</v>
      </c>
      <c r="H12405" s="56">
        <v>0.15928249806935035</v>
      </c>
      <c r="I12405" s="224" t="s">
        <v>2</v>
      </c>
    </row>
    <row r="12406" spans="1:9" x14ac:dyDescent="0.25">
      <c r="A12406" s="515">
        <v>45856</v>
      </c>
      <c r="C12406" s="52">
        <v>173398.44623097399</v>
      </c>
      <c r="D12406" s="56">
        <v>4.5051077192075864E-2</v>
      </c>
      <c r="E12406" s="224" t="s">
        <v>2</v>
      </c>
      <c r="F12406" s="515" t="s">
        <v>13594</v>
      </c>
      <c r="G12406" s="52">
        <v>513839.96396593802</v>
      </c>
      <c r="H12406" s="56">
        <v>9.6579934303524129E-2</v>
      </c>
      <c r="I12406" s="224" t="s">
        <v>2</v>
      </c>
    </row>
    <row r="12407" spans="1:9" x14ac:dyDescent="0.25">
      <c r="A12407" s="515">
        <v>21619</v>
      </c>
      <c r="B12407" s="515" t="s">
        <v>582</v>
      </c>
      <c r="C12407" s="52">
        <v>434027.16594725702</v>
      </c>
      <c r="D12407" s="56">
        <v>3.6178214899254907E-2</v>
      </c>
      <c r="E12407" s="224" t="s">
        <v>2</v>
      </c>
      <c r="F12407" s="515" t="s">
        <v>13595</v>
      </c>
      <c r="G12407" s="52">
        <v>104800.544042294</v>
      </c>
      <c r="H12407" s="56">
        <v>-1.3586041252972499E-2</v>
      </c>
      <c r="I12407" s="224" t="s">
        <v>2</v>
      </c>
    </row>
    <row r="12408" spans="1:9" x14ac:dyDescent="0.25">
      <c r="A12408" s="515">
        <v>46366</v>
      </c>
      <c r="C12408" s="52">
        <v>172666.57733406901</v>
      </c>
      <c r="D12408" s="56">
        <v>9.0115835042129833E-2</v>
      </c>
      <c r="E12408" s="224" t="s">
        <v>2</v>
      </c>
      <c r="F12408" s="515" t="s">
        <v>13596</v>
      </c>
      <c r="G12408" s="52">
        <v>272338.09572333802</v>
      </c>
      <c r="H12408" s="56">
        <v>0.15251625714727388</v>
      </c>
      <c r="I12408" s="224" t="s">
        <v>2</v>
      </c>
    </row>
    <row r="12409" spans="1:9" x14ac:dyDescent="0.25">
      <c r="A12409" s="515">
        <v>43762</v>
      </c>
      <c r="B12409" s="515" t="s">
        <v>518</v>
      </c>
      <c r="C12409" s="52">
        <v>199848.34157152</v>
      </c>
      <c r="D12409" s="56">
        <v>8.2687166052810249E-2</v>
      </c>
      <c r="E12409" s="224" t="s">
        <v>2</v>
      </c>
      <c r="F12409" s="515" t="s">
        <v>13597</v>
      </c>
      <c r="G12409" s="52">
        <v>247602.34723618999</v>
      </c>
      <c r="H12409" s="56">
        <v>4.5648462885893679E-2</v>
      </c>
      <c r="I12409" s="224" t="s">
        <v>2</v>
      </c>
    </row>
    <row r="12410" spans="1:9" x14ac:dyDescent="0.25">
      <c r="A12410" s="515">
        <v>44624</v>
      </c>
      <c r="B12410" s="515" t="s">
        <v>309</v>
      </c>
      <c r="C12410" s="52">
        <v>348977.48896953702</v>
      </c>
      <c r="D12410" s="56">
        <v>0.16426790351703049</v>
      </c>
      <c r="E12410" s="224" t="s">
        <v>2</v>
      </c>
      <c r="F12410" s="515" t="s">
        <v>13598</v>
      </c>
      <c r="G12410" s="52">
        <v>256222.54285587999</v>
      </c>
      <c r="H12410" s="56">
        <v>0.12641403718093047</v>
      </c>
      <c r="I12410" s="224" t="s">
        <v>2</v>
      </c>
    </row>
    <row r="12411" spans="1:9" x14ac:dyDescent="0.25">
      <c r="A12411" s="515">
        <v>2653</v>
      </c>
      <c r="B12411" s="515" t="s">
        <v>427</v>
      </c>
      <c r="C12411" s="52">
        <v>922720.90255414601</v>
      </c>
      <c r="D12411" s="56">
        <v>8.1641992832853977E-2</v>
      </c>
      <c r="E12411" s="224" t="s">
        <v>2</v>
      </c>
      <c r="F12411" s="515" t="s">
        <v>13599</v>
      </c>
      <c r="G12411" s="52">
        <v>333576.77138111298</v>
      </c>
      <c r="H12411" s="56">
        <v>4.0345961113002253E-2</v>
      </c>
      <c r="I12411" s="224" t="s">
        <v>2</v>
      </c>
    </row>
    <row r="12412" spans="1:9" x14ac:dyDescent="0.25">
      <c r="A12412" s="515">
        <v>83211</v>
      </c>
      <c r="B12412" s="515" t="s">
        <v>884</v>
      </c>
      <c r="C12412" s="52">
        <v>263545.39283906098</v>
      </c>
      <c r="D12412" s="56">
        <v>4.4017730931669594E-2</v>
      </c>
      <c r="E12412" s="224" t="s">
        <v>2</v>
      </c>
      <c r="F12412" s="515" t="s">
        <v>13600</v>
      </c>
      <c r="G12412" s="52">
        <v>100400.02999564901</v>
      </c>
      <c r="H12412" s="56">
        <v>-1.5343337835060724E-3</v>
      </c>
      <c r="I12412" s="224" t="s">
        <v>2</v>
      </c>
    </row>
    <row r="12413" spans="1:9" x14ac:dyDescent="0.25">
      <c r="A12413" s="515">
        <v>6791</v>
      </c>
      <c r="B12413" s="515" t="s">
        <v>559</v>
      </c>
      <c r="C12413" s="52">
        <v>358921.69572636002</v>
      </c>
      <c r="D12413" s="56">
        <v>0.11469943146318289</v>
      </c>
      <c r="E12413" s="224" t="s">
        <v>2</v>
      </c>
      <c r="F12413" s="515" t="s">
        <v>13601</v>
      </c>
      <c r="G12413" s="52">
        <v>216756.30605639401</v>
      </c>
      <c r="H12413" s="56">
        <v>0.13466664043219154</v>
      </c>
      <c r="I12413" s="224" t="s">
        <v>2</v>
      </c>
    </row>
    <row r="12414" spans="1:9" x14ac:dyDescent="0.25">
      <c r="A12414" s="515">
        <v>14174</v>
      </c>
      <c r="B12414" s="515" t="s">
        <v>336</v>
      </c>
      <c r="C12414" s="52">
        <v>271843.02450971899</v>
      </c>
      <c r="D12414" s="56">
        <v>7.7475950128203283E-2</v>
      </c>
      <c r="E12414" s="224" t="s">
        <v>2</v>
      </c>
      <c r="F12414" s="515" t="s">
        <v>13602</v>
      </c>
      <c r="G12414" s="52">
        <v>712478.41177721601</v>
      </c>
      <c r="H12414" s="56">
        <v>2.0004154623787648E-3</v>
      </c>
      <c r="I12414" s="224" t="s">
        <v>2</v>
      </c>
    </row>
    <row r="12415" spans="1:9" x14ac:dyDescent="0.25">
      <c r="A12415" s="515">
        <v>4260</v>
      </c>
      <c r="B12415" s="515" t="s">
        <v>570</v>
      </c>
      <c r="C12415" s="52">
        <v>382086.44654416601</v>
      </c>
      <c r="D12415" s="56">
        <v>3.6282320122957193E-2</v>
      </c>
      <c r="E12415" s="224" t="s">
        <v>2</v>
      </c>
      <c r="F12415" s="515" t="s">
        <v>13603</v>
      </c>
      <c r="G12415" s="52">
        <v>213277.20456109001</v>
      </c>
      <c r="H12415" s="56">
        <v>0.10774075744994603</v>
      </c>
      <c r="I12415" s="224" t="s">
        <v>2</v>
      </c>
    </row>
    <row r="12416" spans="1:9" x14ac:dyDescent="0.25">
      <c r="A12416" s="515">
        <v>35466</v>
      </c>
      <c r="B12416" s="515" t="s">
        <v>841</v>
      </c>
      <c r="C12416" s="52">
        <v>149919.91431027499</v>
      </c>
      <c r="D12416" s="56">
        <v>4.3045242798127881E-2</v>
      </c>
      <c r="E12416" s="224" t="s">
        <v>2</v>
      </c>
      <c r="F12416" s="515" t="s">
        <v>13604</v>
      </c>
      <c r="G12416" s="52">
        <v>269313.13858704502</v>
      </c>
      <c r="H12416" s="56">
        <v>4.8612262960270575E-2</v>
      </c>
      <c r="I12416" s="224" t="s">
        <v>2</v>
      </c>
    </row>
    <row r="12417" spans="1:9" x14ac:dyDescent="0.25">
      <c r="A12417" s="515">
        <v>36271</v>
      </c>
      <c r="B12417" s="515" t="s">
        <v>927</v>
      </c>
      <c r="C12417" s="52">
        <v>170639.22737188</v>
      </c>
      <c r="D12417" s="56">
        <v>4.0640368887895371E-2</v>
      </c>
      <c r="E12417" s="224" t="s">
        <v>2</v>
      </c>
      <c r="F12417" s="515" t="s">
        <v>13605</v>
      </c>
      <c r="G12417" s="52">
        <v>170505.08998051699</v>
      </c>
      <c r="H12417" s="56">
        <v>5.7217973878117404E-2</v>
      </c>
      <c r="I12417" s="224" t="s">
        <v>2</v>
      </c>
    </row>
    <row r="12418" spans="1:9" x14ac:dyDescent="0.25">
      <c r="A12418" s="515">
        <v>35116</v>
      </c>
      <c r="B12418" s="515" t="s">
        <v>640</v>
      </c>
      <c r="C12418" s="52">
        <v>239252.13909650699</v>
      </c>
      <c r="D12418" s="56">
        <v>0.13051719998469244</v>
      </c>
      <c r="E12418" s="224" t="s">
        <v>2</v>
      </c>
      <c r="F12418" s="515" t="s">
        <v>13606</v>
      </c>
      <c r="G12418" s="52">
        <v>412669.555750951</v>
      </c>
      <c r="H12418" s="56">
        <v>0.12513279054858376</v>
      </c>
      <c r="I12418" s="224" t="s">
        <v>2</v>
      </c>
    </row>
    <row r="12419" spans="1:9" x14ac:dyDescent="0.25">
      <c r="A12419" s="515">
        <v>49631</v>
      </c>
      <c r="C12419" s="52">
        <v>144243.318216485</v>
      </c>
      <c r="D12419" s="56">
        <v>0.10820244614202036</v>
      </c>
      <c r="E12419" s="224" t="s">
        <v>2</v>
      </c>
      <c r="F12419" s="515" t="s">
        <v>13607</v>
      </c>
      <c r="G12419" s="52">
        <v>65469.439211343</v>
      </c>
      <c r="H12419" s="56">
        <v>4.4257306064295517E-3</v>
      </c>
      <c r="I12419" s="224" t="s">
        <v>2</v>
      </c>
    </row>
    <row r="12420" spans="1:9" x14ac:dyDescent="0.25">
      <c r="A12420" s="515">
        <v>7082</v>
      </c>
      <c r="B12420" s="515" t="s">
        <v>324</v>
      </c>
      <c r="C12420" s="52">
        <v>676855.32690400502</v>
      </c>
      <c r="D12420" s="56">
        <v>4.8446333535853071E-2</v>
      </c>
      <c r="E12420" s="224" t="s">
        <v>2</v>
      </c>
      <c r="F12420" s="515" t="s">
        <v>13608</v>
      </c>
      <c r="G12420" s="52">
        <v>163075.53037601599</v>
      </c>
      <c r="H12420" s="56">
        <v>0.10210069218429095</v>
      </c>
      <c r="I12420" s="224" t="s">
        <v>2</v>
      </c>
    </row>
    <row r="12421" spans="1:9" x14ac:dyDescent="0.25">
      <c r="A12421" s="515">
        <v>4276</v>
      </c>
      <c r="C12421" s="52">
        <v>165677.68858151499</v>
      </c>
      <c r="D12421" s="56">
        <v>8.0185918027806266E-2</v>
      </c>
      <c r="E12421" s="224" t="s">
        <v>2</v>
      </c>
      <c r="F12421" s="515" t="s">
        <v>13609</v>
      </c>
      <c r="G12421" s="52">
        <v>229005.58572177199</v>
      </c>
      <c r="H12421" s="56">
        <v>0.11674526850107113</v>
      </c>
      <c r="I12421" s="224" t="s">
        <v>2</v>
      </c>
    </row>
    <row r="12422" spans="1:9" x14ac:dyDescent="0.25">
      <c r="A12422" s="515">
        <v>37310</v>
      </c>
      <c r="B12422" s="515" t="s">
        <v>918</v>
      </c>
      <c r="C12422" s="52">
        <v>297686.410005046</v>
      </c>
      <c r="D12422" s="56">
        <v>9.1049623520223194E-2</v>
      </c>
      <c r="E12422" s="224" t="s">
        <v>2</v>
      </c>
      <c r="F12422" s="515" t="s">
        <v>13610</v>
      </c>
      <c r="G12422" s="52">
        <v>135888.136621404</v>
      </c>
      <c r="H12422" s="56">
        <v>7.1478552020601105E-2</v>
      </c>
      <c r="I12422" s="224" t="s">
        <v>2</v>
      </c>
    </row>
    <row r="12423" spans="1:9" x14ac:dyDescent="0.25">
      <c r="A12423" s="515">
        <v>74059</v>
      </c>
      <c r="B12423" s="515" t="s">
        <v>969</v>
      </c>
      <c r="C12423" s="52">
        <v>174253.94687518501</v>
      </c>
      <c r="D12423" s="56">
        <v>7.5098043265775655E-2</v>
      </c>
      <c r="E12423" s="224" t="s">
        <v>2</v>
      </c>
      <c r="F12423" s="515" t="s">
        <v>13611</v>
      </c>
      <c r="G12423" s="52">
        <v>139835.10021485199</v>
      </c>
      <c r="H12423" s="56">
        <v>4.2657886277896573E-2</v>
      </c>
      <c r="I12423" s="224" t="s">
        <v>2</v>
      </c>
    </row>
    <row r="12424" spans="1:9" x14ac:dyDescent="0.25">
      <c r="A12424" s="515">
        <v>37616</v>
      </c>
      <c r="B12424" s="515" t="s">
        <v>1117</v>
      </c>
      <c r="C12424" s="52">
        <v>203689.58665249401</v>
      </c>
      <c r="D12424" s="56">
        <v>4.5038417985235342E-2</v>
      </c>
      <c r="E12424" s="224" t="s">
        <v>2</v>
      </c>
      <c r="F12424" s="515" t="s">
        <v>13612</v>
      </c>
      <c r="G12424" s="52">
        <v>421672.54747096798</v>
      </c>
      <c r="H12424" s="56">
        <v>6.6795651586576882E-2</v>
      </c>
      <c r="I12424" s="224" t="s">
        <v>2</v>
      </c>
    </row>
    <row r="12425" spans="1:9" x14ac:dyDescent="0.25">
      <c r="A12425" s="515">
        <v>97111</v>
      </c>
      <c r="B12425" s="515" t="s">
        <v>659</v>
      </c>
      <c r="C12425" s="52">
        <v>518275.10764496803</v>
      </c>
      <c r="D12425" s="56">
        <v>2.9837425022840706E-2</v>
      </c>
      <c r="E12425" s="224" t="s">
        <v>2</v>
      </c>
      <c r="F12425" s="515" t="s">
        <v>13613</v>
      </c>
      <c r="G12425" s="52">
        <v>295299.92004871398</v>
      </c>
      <c r="H12425" s="56">
        <v>-1.4389533367263733E-2</v>
      </c>
      <c r="I12425" s="224" t="s">
        <v>2</v>
      </c>
    </row>
    <row r="12426" spans="1:9" x14ac:dyDescent="0.25">
      <c r="A12426" s="515">
        <v>42122</v>
      </c>
      <c r="B12426" s="515" t="s">
        <v>799</v>
      </c>
      <c r="C12426" s="52">
        <v>334326.19403849501</v>
      </c>
      <c r="D12426" s="56">
        <v>0.11553788560080164</v>
      </c>
      <c r="E12426" s="224" t="s">
        <v>2</v>
      </c>
      <c r="F12426" s="515" t="s">
        <v>13614</v>
      </c>
      <c r="G12426" s="52">
        <v>429767.31986926898</v>
      </c>
      <c r="H12426" s="56">
        <v>8.2516793127381999E-2</v>
      </c>
      <c r="I12426" s="224" t="s">
        <v>2</v>
      </c>
    </row>
    <row r="12427" spans="1:9" x14ac:dyDescent="0.25">
      <c r="A12427" s="515">
        <v>24260</v>
      </c>
      <c r="C12427" s="52">
        <v>86204.098092559303</v>
      </c>
      <c r="D12427" s="56">
        <v>0.12610533218751832</v>
      </c>
      <c r="E12427" s="224" t="s">
        <v>2</v>
      </c>
      <c r="F12427" s="515" t="s">
        <v>13615</v>
      </c>
      <c r="G12427" s="52">
        <v>75340.371686597806</v>
      </c>
      <c r="H12427" s="56">
        <v>5.2833484397418008E-2</v>
      </c>
      <c r="I12427" s="224" t="s">
        <v>2</v>
      </c>
    </row>
    <row r="12428" spans="1:9" x14ac:dyDescent="0.25">
      <c r="A12428" s="515">
        <v>77879</v>
      </c>
      <c r="B12428" s="515" t="s">
        <v>346</v>
      </c>
      <c r="C12428" s="52">
        <v>164691.57583514601</v>
      </c>
      <c r="D12428" s="56">
        <v>-7.9294624461702823E-2</v>
      </c>
      <c r="E12428" s="224" t="s">
        <v>2</v>
      </c>
      <c r="F12428" s="515" t="s">
        <v>13616</v>
      </c>
      <c r="G12428" s="52">
        <v>227526.458694542</v>
      </c>
      <c r="H12428" s="56">
        <v>0.16490942502441056</v>
      </c>
      <c r="I12428" s="224" t="s">
        <v>2</v>
      </c>
    </row>
    <row r="12429" spans="1:9" x14ac:dyDescent="0.25">
      <c r="A12429" s="515">
        <v>45226</v>
      </c>
      <c r="B12429" s="515" t="s">
        <v>344</v>
      </c>
      <c r="C12429" s="52">
        <v>391205.05230360402</v>
      </c>
      <c r="D12429" s="56">
        <v>5.7851404003881834E-2</v>
      </c>
      <c r="E12429" s="224">
        <v>1396.75</v>
      </c>
      <c r="F12429" s="515" t="s">
        <v>13617</v>
      </c>
      <c r="G12429" s="52">
        <v>210491.027202036</v>
      </c>
      <c r="H12429" s="56">
        <v>4.7673445417929901E-2</v>
      </c>
      <c r="I12429" s="224" t="s">
        <v>2</v>
      </c>
    </row>
    <row r="12430" spans="1:9" x14ac:dyDescent="0.25">
      <c r="A12430" s="515">
        <v>29832</v>
      </c>
      <c r="B12430" s="515" t="s">
        <v>888</v>
      </c>
      <c r="C12430" s="52">
        <v>137221.22235774799</v>
      </c>
      <c r="D12430" s="56">
        <v>6.7541122980649584E-2</v>
      </c>
      <c r="E12430" s="224" t="s">
        <v>2</v>
      </c>
      <c r="F12430" s="515" t="s">
        <v>13618</v>
      </c>
      <c r="G12430" s="52">
        <v>177373.424556524</v>
      </c>
      <c r="H12430" s="56">
        <v>4.2570579167307838E-2</v>
      </c>
      <c r="I12430" s="224" t="s">
        <v>2</v>
      </c>
    </row>
    <row r="12431" spans="1:9" x14ac:dyDescent="0.25">
      <c r="A12431" s="515">
        <v>57013</v>
      </c>
      <c r="B12431" s="515" t="s">
        <v>579</v>
      </c>
      <c r="C12431" s="52">
        <v>251162.797443446</v>
      </c>
      <c r="D12431" s="56">
        <v>0.1050791893755242</v>
      </c>
      <c r="E12431" s="224" t="s">
        <v>2</v>
      </c>
      <c r="F12431" s="515" t="s">
        <v>13619</v>
      </c>
      <c r="G12431" s="52">
        <v>191980.66137293901</v>
      </c>
      <c r="H12431" s="56">
        <v>2.1607226650248071E-2</v>
      </c>
      <c r="I12431" s="224" t="s">
        <v>2</v>
      </c>
    </row>
    <row r="12432" spans="1:9" x14ac:dyDescent="0.25">
      <c r="A12432" s="515">
        <v>52531</v>
      </c>
      <c r="C12432" s="52">
        <v>134537.66143950101</v>
      </c>
      <c r="D12432" s="56">
        <v>0.15879826519617399</v>
      </c>
      <c r="E12432" s="224" t="s">
        <v>2</v>
      </c>
      <c r="F12432" s="515" t="s">
        <v>13620</v>
      </c>
      <c r="G12432" s="52">
        <v>472896.673082528</v>
      </c>
      <c r="H12432" s="56">
        <v>4.2571456583139301E-2</v>
      </c>
      <c r="I12432" s="224" t="s">
        <v>2</v>
      </c>
    </row>
    <row r="12433" spans="1:9" x14ac:dyDescent="0.25">
      <c r="A12433" s="515">
        <v>76537</v>
      </c>
      <c r="B12433" s="515" t="s">
        <v>380</v>
      </c>
      <c r="C12433" s="52">
        <v>302962.244335194</v>
      </c>
      <c r="D12433" s="56">
        <v>5.8531067083314084E-2</v>
      </c>
      <c r="E12433" s="224">
        <v>1859.5</v>
      </c>
      <c r="F12433" s="515" t="s">
        <v>13621</v>
      </c>
      <c r="G12433" s="52">
        <v>293448.64767254802</v>
      </c>
      <c r="H12433" s="56">
        <v>0.13398867322593858</v>
      </c>
      <c r="I12433" s="224" t="s">
        <v>2</v>
      </c>
    </row>
    <row r="12434" spans="1:9" x14ac:dyDescent="0.25">
      <c r="A12434" s="515">
        <v>10516</v>
      </c>
      <c r="B12434" s="515" t="s">
        <v>324</v>
      </c>
      <c r="C12434" s="52">
        <v>614668.27353570599</v>
      </c>
      <c r="D12434" s="56">
        <v>6.346135121291549E-2</v>
      </c>
      <c r="E12434" s="224" t="s">
        <v>2</v>
      </c>
      <c r="F12434" s="515" t="s">
        <v>13622</v>
      </c>
      <c r="G12434" s="52">
        <v>165212.700995269</v>
      </c>
      <c r="H12434" s="56">
        <v>0.10260444243849037</v>
      </c>
      <c r="I12434" s="224" t="s">
        <v>2</v>
      </c>
    </row>
    <row r="12435" spans="1:9" x14ac:dyDescent="0.25">
      <c r="A12435" s="515">
        <v>54110</v>
      </c>
      <c r="B12435" s="515" t="s">
        <v>821</v>
      </c>
      <c r="C12435" s="52">
        <v>223212.01199284301</v>
      </c>
      <c r="D12435" s="56">
        <v>7.3778982711083851E-2</v>
      </c>
      <c r="E12435" s="224" t="s">
        <v>2</v>
      </c>
      <c r="F12435" s="515" t="s">
        <v>13623</v>
      </c>
      <c r="G12435" s="52">
        <v>256878.59860592999</v>
      </c>
      <c r="H12435" s="56">
        <v>0.19433973096919857</v>
      </c>
      <c r="I12435" s="224" t="s">
        <v>2</v>
      </c>
    </row>
    <row r="12436" spans="1:9" x14ac:dyDescent="0.25">
      <c r="A12436" s="515">
        <v>65753</v>
      </c>
      <c r="B12436" s="515" t="s">
        <v>603</v>
      </c>
      <c r="C12436" s="52">
        <v>223798.487458063</v>
      </c>
      <c r="D12436" s="56">
        <v>0.11974662165348456</v>
      </c>
      <c r="E12436" s="224" t="s">
        <v>2</v>
      </c>
      <c r="F12436" s="515" t="s">
        <v>13624</v>
      </c>
      <c r="G12436" s="52">
        <v>158279.14581413701</v>
      </c>
      <c r="H12436" s="56">
        <v>2.2004548963623066E-2</v>
      </c>
      <c r="I12436" s="224" t="s">
        <v>2</v>
      </c>
    </row>
    <row r="12437" spans="1:9" x14ac:dyDescent="0.25">
      <c r="A12437" s="515">
        <v>78560</v>
      </c>
      <c r="B12437" s="515" t="s">
        <v>550</v>
      </c>
      <c r="C12437" s="52">
        <v>133515.22292214801</v>
      </c>
      <c r="D12437" s="56">
        <v>0.17239477456064084</v>
      </c>
      <c r="E12437" s="224" t="s">
        <v>2</v>
      </c>
      <c r="F12437" s="515" t="s">
        <v>13625</v>
      </c>
      <c r="G12437" s="52">
        <v>493483.634048526</v>
      </c>
      <c r="H12437" s="56">
        <v>6.3348855090783029E-2</v>
      </c>
      <c r="I12437" s="224" t="s">
        <v>2</v>
      </c>
    </row>
    <row r="12438" spans="1:9" x14ac:dyDescent="0.25">
      <c r="A12438" s="515">
        <v>37220</v>
      </c>
      <c r="B12438" s="515" t="s">
        <v>684</v>
      </c>
      <c r="C12438" s="52">
        <v>802796.94827576203</v>
      </c>
      <c r="D12438" s="56">
        <v>9.191461406694347E-2</v>
      </c>
      <c r="E12438" s="224" t="s">
        <v>2</v>
      </c>
      <c r="F12438" s="515" t="s">
        <v>13626</v>
      </c>
      <c r="G12438" s="52">
        <v>118994.435632682</v>
      </c>
      <c r="H12438" s="56">
        <v>-3.1480564859128687E-2</v>
      </c>
      <c r="I12438" s="224" t="s">
        <v>2</v>
      </c>
    </row>
    <row r="12439" spans="1:9" x14ac:dyDescent="0.25">
      <c r="A12439" s="515">
        <v>80651</v>
      </c>
      <c r="B12439" s="515" t="s">
        <v>382</v>
      </c>
      <c r="C12439" s="52">
        <v>499564.19752904202</v>
      </c>
      <c r="D12439" s="56">
        <v>3.306845588583502E-2</v>
      </c>
      <c r="E12439" s="224" t="s">
        <v>2</v>
      </c>
      <c r="F12439" s="515" t="s">
        <v>13627</v>
      </c>
      <c r="G12439" s="52">
        <v>150783.41904654299</v>
      </c>
      <c r="H12439" s="56">
        <v>2.1072202403688119E-2</v>
      </c>
      <c r="I12439" s="224" t="s">
        <v>2</v>
      </c>
    </row>
    <row r="12440" spans="1:9" x14ac:dyDescent="0.25">
      <c r="A12440" s="515">
        <v>75831</v>
      </c>
      <c r="C12440" s="52">
        <v>213235.75816590799</v>
      </c>
      <c r="D12440" s="56">
        <v>-1.2483594920523465E-3</v>
      </c>
      <c r="E12440" s="224" t="s">
        <v>2</v>
      </c>
      <c r="F12440" s="515" t="s">
        <v>13628</v>
      </c>
      <c r="G12440" s="52">
        <v>153155.604386341</v>
      </c>
      <c r="H12440" s="56">
        <v>5.4839076838663035E-2</v>
      </c>
      <c r="I12440" s="224" t="s">
        <v>2</v>
      </c>
    </row>
    <row r="12441" spans="1:9" x14ac:dyDescent="0.25">
      <c r="A12441" s="515">
        <v>3070</v>
      </c>
      <c r="B12441" s="515" t="s">
        <v>996</v>
      </c>
      <c r="C12441" s="52">
        <v>498143.09305929701</v>
      </c>
      <c r="D12441" s="56">
        <v>9.5531013754208555E-2</v>
      </c>
      <c r="E12441" s="224" t="s">
        <v>2</v>
      </c>
      <c r="F12441" s="515" t="s">
        <v>13629</v>
      </c>
      <c r="G12441" s="52">
        <v>144243.67016553701</v>
      </c>
      <c r="H12441" s="56">
        <v>2.9603075280317376E-2</v>
      </c>
      <c r="I12441" s="224" t="s">
        <v>2</v>
      </c>
    </row>
    <row r="12442" spans="1:9" x14ac:dyDescent="0.25">
      <c r="A12442" s="515">
        <v>18424</v>
      </c>
      <c r="C12442" s="52">
        <v>213510.383627459</v>
      </c>
      <c r="D12442" s="56">
        <v>0.13168373780160564</v>
      </c>
      <c r="E12442" s="224" t="s">
        <v>2</v>
      </c>
      <c r="F12442" s="515" t="s">
        <v>13630</v>
      </c>
      <c r="G12442" s="52">
        <v>102726.41058640199</v>
      </c>
      <c r="H12442" s="56">
        <v>6.8641987183866424E-2</v>
      </c>
      <c r="I12442" s="224" t="s">
        <v>2</v>
      </c>
    </row>
    <row r="12443" spans="1:9" x14ac:dyDescent="0.25">
      <c r="A12443" s="515">
        <v>55921</v>
      </c>
      <c r="B12443" s="515" t="s">
        <v>635</v>
      </c>
      <c r="C12443" s="52">
        <v>215672.66233245801</v>
      </c>
      <c r="D12443" s="56">
        <v>0.11094294399700938</v>
      </c>
      <c r="E12443" s="224" t="s">
        <v>2</v>
      </c>
      <c r="F12443" s="515" t="s">
        <v>13631</v>
      </c>
      <c r="G12443" s="52">
        <v>265450.93657460401</v>
      </c>
      <c r="H12443" s="56">
        <v>6.2842656169944403E-2</v>
      </c>
      <c r="I12443" s="224" t="s">
        <v>2</v>
      </c>
    </row>
    <row r="12444" spans="1:9" x14ac:dyDescent="0.25">
      <c r="A12444" s="515">
        <v>76557</v>
      </c>
      <c r="B12444" s="515" t="s">
        <v>1057</v>
      </c>
      <c r="C12444" s="52">
        <v>286407.778119592</v>
      </c>
      <c r="D12444" s="56">
        <v>0.1141778168815263</v>
      </c>
      <c r="E12444" s="224" t="s">
        <v>2</v>
      </c>
      <c r="F12444" s="515" t="s">
        <v>13632</v>
      </c>
      <c r="G12444" s="52">
        <v>307181.50610177702</v>
      </c>
      <c r="H12444" s="56">
        <v>3.6615891622841276E-2</v>
      </c>
      <c r="I12444" s="224" t="s">
        <v>2</v>
      </c>
    </row>
    <row r="12445" spans="1:9" x14ac:dyDescent="0.25">
      <c r="A12445" s="515">
        <v>32531</v>
      </c>
      <c r="B12445" s="515" t="s">
        <v>1078</v>
      </c>
      <c r="C12445" s="52">
        <v>305098.620524086</v>
      </c>
      <c r="D12445" s="56">
        <v>0.14798549681096473</v>
      </c>
      <c r="E12445" s="224" t="s">
        <v>2</v>
      </c>
      <c r="F12445" s="515" t="s">
        <v>13633</v>
      </c>
      <c r="G12445" s="52">
        <v>184167.16722308399</v>
      </c>
      <c r="H12445" s="56">
        <v>5.1228249098943322E-2</v>
      </c>
      <c r="I12445" s="224" t="s">
        <v>2</v>
      </c>
    </row>
    <row r="12446" spans="1:9" x14ac:dyDescent="0.25">
      <c r="A12446" s="515">
        <v>29944</v>
      </c>
      <c r="C12446" s="52">
        <v>125760.40375787301</v>
      </c>
      <c r="D12446" s="56">
        <v>0.10841157587525151</v>
      </c>
      <c r="E12446" s="224" t="s">
        <v>2</v>
      </c>
      <c r="F12446" s="515" t="s">
        <v>13634</v>
      </c>
      <c r="G12446" s="52">
        <v>229297.21367656899</v>
      </c>
      <c r="H12446" s="56">
        <v>5.3079820522855406E-3</v>
      </c>
      <c r="I12446" s="224" t="s">
        <v>2</v>
      </c>
    </row>
    <row r="12447" spans="1:9" x14ac:dyDescent="0.25">
      <c r="A12447" s="515">
        <v>5733</v>
      </c>
      <c r="B12447" s="515" t="s">
        <v>791</v>
      </c>
      <c r="C12447" s="52">
        <v>276989.35908814601</v>
      </c>
      <c r="D12447" s="56">
        <v>8.9686540971686809E-2</v>
      </c>
      <c r="E12447" s="224" t="s">
        <v>2</v>
      </c>
      <c r="F12447" s="515" t="s">
        <v>13635</v>
      </c>
      <c r="G12447" s="52">
        <v>648597.62310875801</v>
      </c>
      <c r="H12447" s="56">
        <v>8.9780469659219875E-2</v>
      </c>
      <c r="I12447" s="224" t="s">
        <v>2</v>
      </c>
    </row>
    <row r="12448" spans="1:9" x14ac:dyDescent="0.25">
      <c r="A12448" s="515">
        <v>27855</v>
      </c>
      <c r="C12448" s="52">
        <v>100925.201087729</v>
      </c>
      <c r="D12448" s="56">
        <v>2.3197423107513993E-2</v>
      </c>
      <c r="E12448" s="224" t="s">
        <v>2</v>
      </c>
      <c r="F12448" s="515" t="s">
        <v>13636</v>
      </c>
      <c r="G12448" s="52">
        <v>236946.76202905501</v>
      </c>
      <c r="H12448" s="56">
        <v>7.8783013069898516E-2</v>
      </c>
      <c r="I12448" s="224" t="s">
        <v>2</v>
      </c>
    </row>
    <row r="12449" spans="1:9" x14ac:dyDescent="0.25">
      <c r="A12449" s="515">
        <v>45345</v>
      </c>
      <c r="B12449" s="515" t="s">
        <v>340</v>
      </c>
      <c r="C12449" s="52">
        <v>144794.68318845599</v>
      </c>
      <c r="D12449" s="56">
        <v>6.1216184029471807E-2</v>
      </c>
      <c r="E12449" s="224" t="s">
        <v>2</v>
      </c>
      <c r="F12449" s="515" t="s">
        <v>13637</v>
      </c>
      <c r="G12449" s="52">
        <v>200165.60240857699</v>
      </c>
      <c r="H12449" s="56">
        <v>5.0998330347510043E-2</v>
      </c>
      <c r="I12449" s="224" t="s">
        <v>2</v>
      </c>
    </row>
    <row r="12450" spans="1:9" x14ac:dyDescent="0.25">
      <c r="A12450" s="515">
        <v>55960</v>
      </c>
      <c r="B12450" s="515" t="s">
        <v>470</v>
      </c>
      <c r="C12450" s="52">
        <v>462663.20707703498</v>
      </c>
      <c r="D12450" s="56">
        <v>7.3846012033236055E-2</v>
      </c>
      <c r="E12450" s="224" t="s">
        <v>2</v>
      </c>
      <c r="F12450" s="515" t="s">
        <v>13638</v>
      </c>
      <c r="G12450" s="52">
        <v>226768.24003685301</v>
      </c>
      <c r="H12450" s="56">
        <v>6.0235941470707682E-2</v>
      </c>
      <c r="I12450" s="224" t="s">
        <v>2</v>
      </c>
    </row>
    <row r="12451" spans="1:9" x14ac:dyDescent="0.25">
      <c r="A12451" s="515">
        <v>13753</v>
      </c>
      <c r="C12451" s="52">
        <v>237509.75773245899</v>
      </c>
      <c r="D12451" s="56">
        <v>8.8162212133692186E-2</v>
      </c>
      <c r="E12451" s="224" t="s">
        <v>2</v>
      </c>
      <c r="F12451" s="515" t="s">
        <v>13639</v>
      </c>
      <c r="G12451" s="52">
        <v>187951.89327824899</v>
      </c>
      <c r="H12451" s="56">
        <v>0.17139661299994255</v>
      </c>
      <c r="I12451" s="224" t="s">
        <v>2</v>
      </c>
    </row>
    <row r="12452" spans="1:9" x14ac:dyDescent="0.25">
      <c r="A12452" s="515">
        <v>45308</v>
      </c>
      <c r="B12452" s="515" t="s">
        <v>316</v>
      </c>
      <c r="C12452" s="52">
        <v>166755.24811169901</v>
      </c>
      <c r="D12452" s="56">
        <v>8.3283718871033627E-2</v>
      </c>
      <c r="E12452" s="224" t="s">
        <v>2</v>
      </c>
      <c r="F12452" s="515" t="s">
        <v>13640</v>
      </c>
      <c r="G12452" s="52">
        <v>319039.88521644298</v>
      </c>
      <c r="H12452" s="56">
        <v>8.0558527018341902E-2</v>
      </c>
      <c r="I12452" s="224" t="s">
        <v>2</v>
      </c>
    </row>
    <row r="12453" spans="1:9" x14ac:dyDescent="0.25">
      <c r="A12453" s="515">
        <v>49270</v>
      </c>
      <c r="B12453" s="515" t="s">
        <v>1033</v>
      </c>
      <c r="C12453" s="52">
        <v>245415.82935790101</v>
      </c>
      <c r="D12453" s="56">
        <v>6.6120268494354789E-2</v>
      </c>
      <c r="E12453" s="224" t="s">
        <v>2</v>
      </c>
      <c r="F12453" s="515" t="s">
        <v>13641</v>
      </c>
      <c r="G12453" s="52">
        <v>210264.33340056601</v>
      </c>
      <c r="H12453" s="56">
        <v>4.5770353637709288E-2</v>
      </c>
      <c r="I12453" s="224" t="s">
        <v>2</v>
      </c>
    </row>
    <row r="12454" spans="1:9" x14ac:dyDescent="0.25">
      <c r="A12454" s="515">
        <v>50659</v>
      </c>
      <c r="C12454" s="52">
        <v>177068.57272204099</v>
      </c>
      <c r="D12454" s="56">
        <v>0.10042240710034231</v>
      </c>
      <c r="E12454" s="224" t="s">
        <v>2</v>
      </c>
      <c r="F12454" s="515" t="s">
        <v>13642</v>
      </c>
      <c r="G12454" s="52">
        <v>235412.79718199201</v>
      </c>
      <c r="H12454" s="56">
        <v>8.6584290437839231E-2</v>
      </c>
      <c r="I12454" s="224" t="s">
        <v>2</v>
      </c>
    </row>
    <row r="12455" spans="1:9" x14ac:dyDescent="0.25">
      <c r="A12455" s="515">
        <v>80645</v>
      </c>
      <c r="B12455" s="515" t="s">
        <v>382</v>
      </c>
      <c r="C12455" s="52">
        <v>423908.09922029497</v>
      </c>
      <c r="D12455" s="56">
        <v>3.3878383276026804E-2</v>
      </c>
      <c r="E12455" s="224" t="s">
        <v>2</v>
      </c>
      <c r="F12455" s="515" t="s">
        <v>13643</v>
      </c>
      <c r="G12455" s="52">
        <v>176106.30328341501</v>
      </c>
      <c r="H12455" s="56">
        <v>3.7237455301963471E-2</v>
      </c>
      <c r="I12455" s="224" t="s">
        <v>2</v>
      </c>
    </row>
    <row r="12456" spans="1:9" x14ac:dyDescent="0.25">
      <c r="A12456" s="515">
        <v>83638</v>
      </c>
      <c r="C12456" s="52">
        <v>699761.946180742</v>
      </c>
      <c r="D12456" s="56">
        <v>3.5783797423457601E-2</v>
      </c>
      <c r="E12456" s="224" t="s">
        <v>2</v>
      </c>
      <c r="F12456" s="515" t="s">
        <v>13644</v>
      </c>
      <c r="G12456" s="52">
        <v>174496.329947975</v>
      </c>
      <c r="H12456" s="56">
        <v>0.12804683008808207</v>
      </c>
      <c r="I12456" s="224" t="s">
        <v>2</v>
      </c>
    </row>
    <row r="12457" spans="1:9" x14ac:dyDescent="0.25">
      <c r="A12457" s="515">
        <v>42053</v>
      </c>
      <c r="B12457" s="515" t="s">
        <v>846</v>
      </c>
      <c r="C12457" s="52">
        <v>140417.061094595</v>
      </c>
      <c r="D12457" s="56">
        <v>8.8930345581272274E-2</v>
      </c>
      <c r="E12457" s="224" t="s">
        <v>2</v>
      </c>
      <c r="F12457" s="515" t="s">
        <v>13645</v>
      </c>
      <c r="G12457" s="52">
        <v>248773.07802525701</v>
      </c>
      <c r="H12457" s="56">
        <v>9.3786028342459915E-2</v>
      </c>
      <c r="I12457" s="224" t="s">
        <v>2</v>
      </c>
    </row>
    <row r="12458" spans="1:9" x14ac:dyDescent="0.25">
      <c r="A12458" s="515">
        <v>30113</v>
      </c>
      <c r="B12458" s="515" t="s">
        <v>957</v>
      </c>
      <c r="C12458" s="52">
        <v>221936.921653814</v>
      </c>
      <c r="D12458" s="56">
        <v>0.14354453298939115</v>
      </c>
      <c r="E12458" s="224" t="s">
        <v>2</v>
      </c>
      <c r="F12458" s="515" t="s">
        <v>13646</v>
      </c>
      <c r="G12458" s="52">
        <v>293934.261088064</v>
      </c>
      <c r="H12458" s="56">
        <v>0.12839458101298518</v>
      </c>
      <c r="I12458" s="224" t="s">
        <v>2</v>
      </c>
    </row>
    <row r="12459" spans="1:9" x14ac:dyDescent="0.25">
      <c r="A12459" s="515">
        <v>53805</v>
      </c>
      <c r="B12459" s="515" t="s">
        <v>664</v>
      </c>
      <c r="C12459" s="52">
        <v>141602.57576615701</v>
      </c>
      <c r="D12459" s="56">
        <v>9.086761095542524E-2</v>
      </c>
      <c r="E12459" s="224" t="s">
        <v>2</v>
      </c>
      <c r="F12459" s="515" t="s">
        <v>13647</v>
      </c>
      <c r="G12459" s="52">
        <v>311057.30489238002</v>
      </c>
      <c r="H12459" s="56">
        <v>5.2478646415131017E-2</v>
      </c>
      <c r="I12459" s="224" t="s">
        <v>2</v>
      </c>
    </row>
    <row r="12460" spans="1:9" x14ac:dyDescent="0.25">
      <c r="A12460" s="515">
        <v>14727</v>
      </c>
      <c r="C12460" s="52">
        <v>126445.481071951</v>
      </c>
      <c r="D12460" s="56">
        <v>9.4318085827775594E-2</v>
      </c>
      <c r="E12460" s="224" t="s">
        <v>2</v>
      </c>
      <c r="F12460" s="515" t="s">
        <v>13648</v>
      </c>
      <c r="G12460" s="52">
        <v>248247.66610236699</v>
      </c>
      <c r="H12460" s="56">
        <v>0.10873876328818134</v>
      </c>
      <c r="I12460" s="224" t="s">
        <v>2</v>
      </c>
    </row>
    <row r="12461" spans="1:9" x14ac:dyDescent="0.25">
      <c r="A12461" s="515">
        <v>11514</v>
      </c>
      <c r="B12461" s="515" t="s">
        <v>324</v>
      </c>
      <c r="C12461" s="52">
        <v>665284.05721184495</v>
      </c>
      <c r="D12461" s="56">
        <v>4.6044983222762841E-2</v>
      </c>
      <c r="E12461" s="224" t="s">
        <v>2</v>
      </c>
      <c r="F12461" s="515" t="s">
        <v>13649</v>
      </c>
      <c r="G12461" s="52">
        <v>69751.086550716602</v>
      </c>
      <c r="H12461" s="56">
        <v>2.8061422412137983E-2</v>
      </c>
      <c r="I12461" s="224" t="s">
        <v>2</v>
      </c>
    </row>
    <row r="12462" spans="1:9" x14ac:dyDescent="0.25">
      <c r="A12462" s="515">
        <v>60184</v>
      </c>
      <c r="B12462" s="515" t="s">
        <v>394</v>
      </c>
      <c r="C12462" s="52">
        <v>591010.24572155101</v>
      </c>
      <c r="D12462" s="56">
        <v>7.6275475258578807E-2</v>
      </c>
      <c r="E12462" s="224" t="s">
        <v>2</v>
      </c>
      <c r="F12462" s="515" t="s">
        <v>13650</v>
      </c>
      <c r="G12462" s="52">
        <v>179129.01617157701</v>
      </c>
      <c r="H12462" s="56">
        <v>4.7242411585533252E-2</v>
      </c>
      <c r="I12462" s="224" t="s">
        <v>2</v>
      </c>
    </row>
    <row r="12463" spans="1:9" x14ac:dyDescent="0.25">
      <c r="A12463" s="515">
        <v>97227</v>
      </c>
      <c r="B12463" s="515" t="s">
        <v>659</v>
      </c>
      <c r="C12463" s="52">
        <v>581073.43679744401</v>
      </c>
      <c r="D12463" s="56">
        <v>-3.3111391131228088E-2</v>
      </c>
      <c r="E12463" s="224">
        <v>1689.01018518518</v>
      </c>
      <c r="F12463" s="515" t="s">
        <v>13651</v>
      </c>
      <c r="G12463" s="52">
        <v>110590.416941134</v>
      </c>
      <c r="H12463" s="56">
        <v>0.17391393941985667</v>
      </c>
      <c r="I12463" s="224" t="s">
        <v>2</v>
      </c>
    </row>
    <row r="12464" spans="1:9" x14ac:dyDescent="0.25">
      <c r="A12464" s="515">
        <v>22520</v>
      </c>
      <c r="C12464" s="52">
        <v>261828.67261669601</v>
      </c>
      <c r="D12464" s="56">
        <v>7.0637026344037165E-2</v>
      </c>
      <c r="E12464" s="224" t="s">
        <v>2</v>
      </c>
      <c r="F12464" s="515" t="s">
        <v>13652</v>
      </c>
      <c r="G12464" s="52">
        <v>180392.07746478799</v>
      </c>
      <c r="H12464" s="56">
        <v>0</v>
      </c>
      <c r="I12464" s="224" t="s">
        <v>2</v>
      </c>
    </row>
    <row r="12465" spans="1:9" x14ac:dyDescent="0.25">
      <c r="A12465" s="515">
        <v>49343</v>
      </c>
      <c r="B12465" s="515" t="s">
        <v>631</v>
      </c>
      <c r="C12465" s="52">
        <v>232939.890083707</v>
      </c>
      <c r="D12465" s="56">
        <v>4.9610963779731336E-2</v>
      </c>
      <c r="E12465" s="224" t="s">
        <v>2</v>
      </c>
      <c r="F12465" s="515" t="s">
        <v>13653</v>
      </c>
      <c r="G12465" s="52">
        <v>204296.78345750901</v>
      </c>
      <c r="H12465" s="56">
        <v>5.9538768255754E-2</v>
      </c>
      <c r="I12465" s="224" t="s">
        <v>2</v>
      </c>
    </row>
    <row r="12466" spans="1:9" x14ac:dyDescent="0.25">
      <c r="A12466" s="515">
        <v>66436</v>
      </c>
      <c r="B12466" s="515" t="s">
        <v>549</v>
      </c>
      <c r="C12466" s="52">
        <v>181234.23507045599</v>
      </c>
      <c r="D12466" s="56">
        <v>0.1059623613652443</v>
      </c>
      <c r="E12466" s="224" t="s">
        <v>2</v>
      </c>
      <c r="F12466" s="515" t="s">
        <v>13654</v>
      </c>
      <c r="G12466" s="52">
        <v>495095.61868251301</v>
      </c>
      <c r="H12466" s="56">
        <v>5.1927905174213737E-2</v>
      </c>
      <c r="I12466" s="224" t="s">
        <v>2</v>
      </c>
    </row>
    <row r="12467" spans="1:9" x14ac:dyDescent="0.25">
      <c r="A12467" s="515">
        <v>51601</v>
      </c>
      <c r="C12467" s="52">
        <v>105472.863307028</v>
      </c>
      <c r="D12467" s="56">
        <v>9.142853027539051E-2</v>
      </c>
      <c r="E12467" s="224" t="s">
        <v>2</v>
      </c>
      <c r="F12467" s="515" t="s">
        <v>13655</v>
      </c>
      <c r="G12467" s="52">
        <v>263881.607843137</v>
      </c>
      <c r="H12467" s="56">
        <v>0</v>
      </c>
      <c r="I12467" s="224" t="s">
        <v>2</v>
      </c>
    </row>
    <row r="12468" spans="1:9" x14ac:dyDescent="0.25">
      <c r="A12468" s="515">
        <v>60151</v>
      </c>
      <c r="B12468" s="515" t="s">
        <v>394</v>
      </c>
      <c r="C12468" s="52">
        <v>322622.12160178501</v>
      </c>
      <c r="D12468" s="56">
        <v>5.6861606098917182E-2</v>
      </c>
      <c r="E12468" s="224" t="s">
        <v>2</v>
      </c>
      <c r="F12468" s="515" t="s">
        <v>13656</v>
      </c>
      <c r="G12468" s="52">
        <v>369082.11327194999</v>
      </c>
      <c r="H12468" s="56">
        <v>6.4802279314630409E-2</v>
      </c>
      <c r="I12468" s="224" t="s">
        <v>2</v>
      </c>
    </row>
    <row r="12469" spans="1:9" x14ac:dyDescent="0.25">
      <c r="A12469" s="515">
        <v>8007</v>
      </c>
      <c r="B12469" s="515" t="s">
        <v>294</v>
      </c>
      <c r="C12469" s="52">
        <v>269525.617931502</v>
      </c>
      <c r="D12469" s="56">
        <v>9.13575887871729E-2</v>
      </c>
      <c r="E12469" s="224" t="s">
        <v>2</v>
      </c>
      <c r="F12469" s="515" t="s">
        <v>13657</v>
      </c>
      <c r="G12469" s="52">
        <v>423575.68170413299</v>
      </c>
      <c r="H12469" s="56">
        <v>0.14396693955218862</v>
      </c>
      <c r="I12469" s="224" t="s">
        <v>2</v>
      </c>
    </row>
    <row r="12470" spans="1:9" x14ac:dyDescent="0.25">
      <c r="A12470" s="515">
        <v>98359</v>
      </c>
      <c r="B12470" s="515" t="s">
        <v>620</v>
      </c>
      <c r="C12470" s="52">
        <v>651845.40671112202</v>
      </c>
      <c r="D12470" s="56">
        <v>4.4698946334887808E-2</v>
      </c>
      <c r="E12470" s="224" t="s">
        <v>2</v>
      </c>
      <c r="F12470" s="515" t="s">
        <v>13658</v>
      </c>
      <c r="G12470" s="52">
        <v>179423.33230178501</v>
      </c>
      <c r="H12470" s="56">
        <v>6.8320586739466366E-2</v>
      </c>
      <c r="I12470" s="224" t="s">
        <v>2</v>
      </c>
    </row>
    <row r="12471" spans="1:9" x14ac:dyDescent="0.25">
      <c r="A12471" s="515">
        <v>24124</v>
      </c>
      <c r="B12471" s="515" t="s">
        <v>597</v>
      </c>
      <c r="C12471" s="52">
        <v>139500.721977646</v>
      </c>
      <c r="D12471" s="56">
        <v>6.5766803656482603E-2</v>
      </c>
      <c r="E12471" s="224" t="s">
        <v>2</v>
      </c>
      <c r="F12471" s="515" t="s">
        <v>13659</v>
      </c>
      <c r="G12471" s="52">
        <v>164032.69342934701</v>
      </c>
      <c r="H12471" s="56">
        <v>2.7812583426394918E-2</v>
      </c>
      <c r="I12471" s="224" t="s">
        <v>2</v>
      </c>
    </row>
    <row r="12472" spans="1:9" x14ac:dyDescent="0.25">
      <c r="A12472" s="515">
        <v>72417</v>
      </c>
      <c r="B12472" s="515" t="s">
        <v>673</v>
      </c>
      <c r="C12472" s="52">
        <v>200023.59546972101</v>
      </c>
      <c r="D12472" s="56">
        <v>7.3272247132647794E-2</v>
      </c>
      <c r="E12472" s="224" t="s">
        <v>2</v>
      </c>
      <c r="F12472" s="515" t="s">
        <v>13660</v>
      </c>
      <c r="G12472" s="52">
        <v>368547.61474002502</v>
      </c>
      <c r="H12472" s="56">
        <v>2.2575030600345665E-2</v>
      </c>
      <c r="I12472" s="224" t="s">
        <v>2</v>
      </c>
    </row>
    <row r="12473" spans="1:9" x14ac:dyDescent="0.25">
      <c r="A12473" s="515">
        <v>22473</v>
      </c>
      <c r="C12473" s="52">
        <v>303007.08226129599</v>
      </c>
      <c r="D12473" s="56">
        <v>3.9827994091743389E-2</v>
      </c>
      <c r="E12473" s="224" t="s">
        <v>2</v>
      </c>
      <c r="F12473" s="515" t="s">
        <v>13661</v>
      </c>
      <c r="G12473" s="52">
        <v>160211.392945681</v>
      </c>
      <c r="H12473" s="56">
        <v>7.6184969626895832E-2</v>
      </c>
      <c r="I12473" s="224" t="s">
        <v>2</v>
      </c>
    </row>
    <row r="12474" spans="1:9" x14ac:dyDescent="0.25">
      <c r="A12474" s="515">
        <v>49868</v>
      </c>
      <c r="C12474" s="52">
        <v>73924.500324418696</v>
      </c>
      <c r="D12474" s="56">
        <v>7.8727117130593077E-2</v>
      </c>
      <c r="E12474" s="224" t="s">
        <v>2</v>
      </c>
      <c r="F12474" s="515" t="s">
        <v>13662</v>
      </c>
      <c r="G12474" s="52">
        <v>391791.96741569397</v>
      </c>
      <c r="H12474" s="56">
        <v>0.13542263456862946</v>
      </c>
      <c r="I12474" s="224" t="s">
        <v>2</v>
      </c>
    </row>
    <row r="12475" spans="1:9" x14ac:dyDescent="0.25">
      <c r="A12475" s="515">
        <v>3032</v>
      </c>
      <c r="B12475" s="515" t="s">
        <v>534</v>
      </c>
      <c r="C12475" s="52">
        <v>545578.15363412001</v>
      </c>
      <c r="D12475" s="56">
        <v>9.0977808544079442E-2</v>
      </c>
      <c r="E12475" s="224" t="s">
        <v>2</v>
      </c>
      <c r="F12475" s="515" t="s">
        <v>13663</v>
      </c>
      <c r="G12475" s="52">
        <v>232207.101958913</v>
      </c>
      <c r="H12475" s="56">
        <v>7.4856936098943089E-2</v>
      </c>
      <c r="I12475" s="224" t="s">
        <v>2</v>
      </c>
    </row>
    <row r="12476" spans="1:9" x14ac:dyDescent="0.25">
      <c r="A12476" s="515">
        <v>27299</v>
      </c>
      <c r="B12476" s="515" t="s">
        <v>735</v>
      </c>
      <c r="C12476" s="52">
        <v>208857.43343416101</v>
      </c>
      <c r="D12476" s="56">
        <v>0.22287175218231386</v>
      </c>
      <c r="E12476" s="224" t="s">
        <v>2</v>
      </c>
      <c r="F12476" s="515" t="s">
        <v>13664</v>
      </c>
      <c r="G12476" s="52">
        <v>245368.26100018801</v>
      </c>
      <c r="H12476" s="56">
        <v>6.4694704625277252E-2</v>
      </c>
      <c r="I12476" s="224" t="s">
        <v>2</v>
      </c>
    </row>
    <row r="12477" spans="1:9" x14ac:dyDescent="0.25">
      <c r="A12477" s="515">
        <v>39038</v>
      </c>
      <c r="C12477" s="52">
        <v>92066.932173897905</v>
      </c>
      <c r="D12477" s="56">
        <v>1.4089381170484489E-2</v>
      </c>
      <c r="E12477" s="224" t="s">
        <v>2</v>
      </c>
      <c r="F12477" s="515" t="s">
        <v>13665</v>
      </c>
      <c r="G12477" s="52">
        <v>288827.77719194198</v>
      </c>
      <c r="H12477" s="56">
        <v>0.1050255086438618</v>
      </c>
      <c r="I12477" s="224" t="s">
        <v>2</v>
      </c>
    </row>
    <row r="12478" spans="1:9" x14ac:dyDescent="0.25">
      <c r="A12478" s="515">
        <v>30742</v>
      </c>
      <c r="B12478" s="515" t="s">
        <v>622</v>
      </c>
      <c r="C12478" s="52">
        <v>213099.018916264</v>
      </c>
      <c r="D12478" s="56">
        <v>0.10100090981344532</v>
      </c>
      <c r="E12478" s="224" t="s">
        <v>2</v>
      </c>
      <c r="F12478" s="515" t="s">
        <v>13666</v>
      </c>
      <c r="G12478" s="52">
        <v>215968.114068753</v>
      </c>
      <c r="H12478" s="56">
        <v>8.2370999113014501E-2</v>
      </c>
      <c r="I12478" s="224" t="s">
        <v>2</v>
      </c>
    </row>
    <row r="12479" spans="1:9" x14ac:dyDescent="0.25">
      <c r="A12479" s="515">
        <v>55319</v>
      </c>
      <c r="B12479" s="515" t="s">
        <v>532</v>
      </c>
      <c r="C12479" s="52">
        <v>358220.20192985202</v>
      </c>
      <c r="D12479" s="56">
        <v>5.9886656979144824E-2</v>
      </c>
      <c r="E12479" s="224" t="s">
        <v>2</v>
      </c>
      <c r="F12479" s="515" t="s">
        <v>13667</v>
      </c>
      <c r="G12479" s="52">
        <v>40654.103678794701</v>
      </c>
      <c r="H12479" s="56">
        <v>-0.13281614365216468</v>
      </c>
      <c r="I12479" s="224" t="s">
        <v>2</v>
      </c>
    </row>
    <row r="12480" spans="1:9" x14ac:dyDescent="0.25">
      <c r="A12480" s="515">
        <v>75765</v>
      </c>
      <c r="C12480" s="52">
        <v>240384.314146002</v>
      </c>
      <c r="D12480" s="56">
        <v>3.9788766466874306E-2</v>
      </c>
      <c r="E12480" s="224" t="s">
        <v>2</v>
      </c>
      <c r="F12480" s="515" t="s">
        <v>13668</v>
      </c>
      <c r="G12480" s="52">
        <v>82241.488325692902</v>
      </c>
      <c r="H12480" s="56">
        <v>9.8582698609036137E-2</v>
      </c>
      <c r="I12480" s="224" t="s">
        <v>2</v>
      </c>
    </row>
    <row r="12481" spans="1:9" x14ac:dyDescent="0.25">
      <c r="A12481" s="515">
        <v>28555</v>
      </c>
      <c r="B12481" s="515" t="s">
        <v>1153</v>
      </c>
      <c r="C12481" s="52">
        <v>192846.31949264</v>
      </c>
      <c r="D12481" s="56">
        <v>0.1997431835200334</v>
      </c>
      <c r="E12481" s="224" t="s">
        <v>2</v>
      </c>
      <c r="F12481" s="515" t="s">
        <v>13669</v>
      </c>
      <c r="G12481" s="52">
        <v>142914.043012968</v>
      </c>
      <c r="H12481" s="56">
        <v>7.2744868209697652E-2</v>
      </c>
      <c r="I12481" s="224" t="s">
        <v>2</v>
      </c>
    </row>
    <row r="12482" spans="1:9" x14ac:dyDescent="0.25">
      <c r="A12482" s="515">
        <v>8059</v>
      </c>
      <c r="B12482" s="515" t="s">
        <v>294</v>
      </c>
      <c r="C12482" s="52">
        <v>232393.707992868</v>
      </c>
      <c r="D12482" s="56">
        <v>0.1071589277905283</v>
      </c>
      <c r="E12482" s="224" t="s">
        <v>2</v>
      </c>
      <c r="F12482" s="515" t="s">
        <v>13670</v>
      </c>
      <c r="G12482" s="52">
        <v>88599.621399176904</v>
      </c>
      <c r="H12482" s="56">
        <v>0</v>
      </c>
      <c r="I12482" s="224" t="s">
        <v>2</v>
      </c>
    </row>
    <row r="12483" spans="1:9" x14ac:dyDescent="0.25">
      <c r="A12483" s="515">
        <v>35221</v>
      </c>
      <c r="B12483" s="515" t="s">
        <v>640</v>
      </c>
      <c r="C12483" s="52">
        <v>49536.341135018898</v>
      </c>
      <c r="D12483" s="56">
        <v>0.24708143412738601</v>
      </c>
      <c r="E12483" s="224" t="s">
        <v>2</v>
      </c>
      <c r="F12483" s="515" t="s">
        <v>13671</v>
      </c>
      <c r="G12483" s="52">
        <v>122494.599713285</v>
      </c>
      <c r="H12483" s="56">
        <v>8.125051457025613E-3</v>
      </c>
      <c r="I12483" s="224" t="s">
        <v>2</v>
      </c>
    </row>
    <row r="12484" spans="1:9" x14ac:dyDescent="0.25">
      <c r="A12484" s="515">
        <v>52213</v>
      </c>
      <c r="B12484" s="515" t="s">
        <v>404</v>
      </c>
      <c r="C12484" s="52">
        <v>260069.94426632201</v>
      </c>
      <c r="D12484" s="56">
        <v>8.3901538625246422E-2</v>
      </c>
      <c r="E12484" s="224" t="s">
        <v>2</v>
      </c>
      <c r="F12484" s="515" t="s">
        <v>13672</v>
      </c>
      <c r="G12484" s="52">
        <v>111641.195935665</v>
      </c>
      <c r="H12484" s="56">
        <v>6.0795570568075226E-2</v>
      </c>
      <c r="I12484" s="224" t="s">
        <v>2</v>
      </c>
    </row>
    <row r="12485" spans="1:9" x14ac:dyDescent="0.25">
      <c r="A12485" s="515">
        <v>74120</v>
      </c>
      <c r="B12485" s="515" t="s">
        <v>348</v>
      </c>
      <c r="C12485" s="52">
        <v>277490.999309876</v>
      </c>
      <c r="D12485" s="56">
        <v>8.7316370379049907E-2</v>
      </c>
      <c r="E12485" s="224">
        <v>830.41666666666595</v>
      </c>
      <c r="F12485" s="515" t="s">
        <v>13673</v>
      </c>
      <c r="G12485" s="52">
        <v>139386.820015287</v>
      </c>
      <c r="H12485" s="56">
        <v>6.1564654849511673E-2</v>
      </c>
      <c r="I12485" s="224" t="s">
        <v>2</v>
      </c>
    </row>
    <row r="12486" spans="1:9" x14ac:dyDescent="0.25">
      <c r="A12486" s="515">
        <v>48216</v>
      </c>
      <c r="B12486" s="515" t="s">
        <v>685</v>
      </c>
      <c r="C12486" s="52">
        <v>184894.278814194</v>
      </c>
      <c r="D12486" s="56">
        <v>-1.5546542587774189E-2</v>
      </c>
      <c r="E12486" s="224" t="s">
        <v>2</v>
      </c>
      <c r="F12486" s="515" t="s">
        <v>13674</v>
      </c>
      <c r="G12486" s="52">
        <v>143247.29317227699</v>
      </c>
      <c r="H12486" s="56">
        <v>5.0815217239161957E-2</v>
      </c>
      <c r="I12486" s="224" t="s">
        <v>2</v>
      </c>
    </row>
    <row r="12487" spans="1:9" x14ac:dyDescent="0.25">
      <c r="A12487" s="515">
        <v>23924</v>
      </c>
      <c r="C12487" s="52">
        <v>101097.16988046899</v>
      </c>
      <c r="D12487" s="56">
        <v>0.19666251286490102</v>
      </c>
      <c r="E12487" s="224" t="s">
        <v>2</v>
      </c>
      <c r="F12487" s="515" t="s">
        <v>13675</v>
      </c>
      <c r="G12487" s="52">
        <v>230481.75687938</v>
      </c>
      <c r="H12487" s="56">
        <v>2.2860544562073905E-2</v>
      </c>
      <c r="I12487" s="224" t="s">
        <v>2</v>
      </c>
    </row>
    <row r="12488" spans="1:9" x14ac:dyDescent="0.25">
      <c r="A12488" s="515">
        <v>61362</v>
      </c>
      <c r="B12488" s="515" t="s">
        <v>556</v>
      </c>
      <c r="C12488" s="52">
        <v>94300.055975449504</v>
      </c>
      <c r="D12488" s="56">
        <v>2.6236265442043383E-2</v>
      </c>
      <c r="E12488" s="224" t="s">
        <v>2</v>
      </c>
      <c r="F12488" s="515" t="s">
        <v>13676</v>
      </c>
      <c r="G12488" s="52">
        <v>124880.244242008</v>
      </c>
      <c r="H12488" s="56">
        <v>0.10793897766353819</v>
      </c>
      <c r="I12488" s="224" t="s">
        <v>2</v>
      </c>
    </row>
    <row r="12489" spans="1:9" x14ac:dyDescent="0.25">
      <c r="A12489" s="515">
        <v>63845</v>
      </c>
      <c r="C12489" s="52">
        <v>99182.029947646399</v>
      </c>
      <c r="D12489" s="56">
        <v>1.4325567232923274E-2</v>
      </c>
      <c r="E12489" s="224" t="s">
        <v>2</v>
      </c>
      <c r="F12489" s="515" t="s">
        <v>13677</v>
      </c>
      <c r="G12489" s="52">
        <v>138789.222349549</v>
      </c>
      <c r="H12489" s="56">
        <v>0.14511053975347823</v>
      </c>
      <c r="I12489" s="224" t="s">
        <v>2</v>
      </c>
    </row>
    <row r="12490" spans="1:9" x14ac:dyDescent="0.25">
      <c r="A12490" s="515">
        <v>28605</v>
      </c>
      <c r="B12490" s="515" t="s">
        <v>1103</v>
      </c>
      <c r="C12490" s="52">
        <v>609095.99607335497</v>
      </c>
      <c r="D12490" s="56">
        <v>9.6321915835072908E-2</v>
      </c>
      <c r="E12490" s="224" t="s">
        <v>2</v>
      </c>
      <c r="F12490" s="515" t="s">
        <v>13678</v>
      </c>
      <c r="G12490" s="52">
        <v>146723.209755299</v>
      </c>
      <c r="H12490" s="56">
        <v>8.0805671606212298E-2</v>
      </c>
      <c r="I12490" s="224" t="s">
        <v>2</v>
      </c>
    </row>
    <row r="12491" spans="1:9" x14ac:dyDescent="0.25">
      <c r="A12491" s="515">
        <v>49330</v>
      </c>
      <c r="B12491" s="515" t="s">
        <v>631</v>
      </c>
      <c r="C12491" s="52">
        <v>266429.30206648202</v>
      </c>
      <c r="D12491" s="56">
        <v>6.8641024554446955E-2</v>
      </c>
      <c r="E12491" s="224" t="s">
        <v>2</v>
      </c>
      <c r="F12491" s="515" t="s">
        <v>13679</v>
      </c>
      <c r="G12491" s="52">
        <v>85508.101951098099</v>
      </c>
      <c r="H12491" s="56">
        <v>0.15309737357922476</v>
      </c>
      <c r="I12491" s="224" t="s">
        <v>2</v>
      </c>
    </row>
    <row r="12492" spans="1:9" x14ac:dyDescent="0.25">
      <c r="A12492" s="515">
        <v>39328</v>
      </c>
      <c r="B12492" s="515" t="s">
        <v>970</v>
      </c>
      <c r="C12492" s="52">
        <v>116589.616671754</v>
      </c>
      <c r="D12492" s="56">
        <v>-8.2097437118192357E-3</v>
      </c>
      <c r="E12492" s="224" t="s">
        <v>2</v>
      </c>
      <c r="F12492" s="515" t="s">
        <v>13680</v>
      </c>
      <c r="G12492" s="52">
        <v>319501.658376618</v>
      </c>
      <c r="H12492" s="56">
        <v>5.73752433964409E-2</v>
      </c>
      <c r="I12492" s="224" t="s">
        <v>2</v>
      </c>
    </row>
    <row r="12493" spans="1:9" x14ac:dyDescent="0.25">
      <c r="A12493" s="515">
        <v>35563</v>
      </c>
      <c r="C12493" s="52">
        <v>126135.004313508</v>
      </c>
      <c r="D12493" s="56">
        <v>0.15046199861826759</v>
      </c>
      <c r="E12493" s="224" t="s">
        <v>2</v>
      </c>
      <c r="F12493" s="515" t="s">
        <v>13681</v>
      </c>
      <c r="G12493" s="52">
        <v>157287.168063349</v>
      </c>
      <c r="H12493" s="56">
        <v>7.5601736081849086E-2</v>
      </c>
      <c r="I12493" s="224" t="s">
        <v>2</v>
      </c>
    </row>
    <row r="12494" spans="1:9" x14ac:dyDescent="0.25">
      <c r="A12494" s="515">
        <v>44436</v>
      </c>
      <c r="B12494" s="515" t="s">
        <v>397</v>
      </c>
      <c r="C12494" s="52">
        <v>142982.28474478601</v>
      </c>
      <c r="D12494" s="56">
        <v>0.11433211502254456</v>
      </c>
      <c r="E12494" s="224" t="s">
        <v>2</v>
      </c>
      <c r="F12494" s="515" t="s">
        <v>13682</v>
      </c>
      <c r="G12494" s="52">
        <v>143718.54462019599</v>
      </c>
      <c r="H12494" s="56">
        <v>0</v>
      </c>
      <c r="I12494" s="224" t="s">
        <v>2</v>
      </c>
    </row>
    <row r="12495" spans="1:9" x14ac:dyDescent="0.25">
      <c r="A12495" s="515">
        <v>17324</v>
      </c>
      <c r="B12495" s="515" t="s">
        <v>428</v>
      </c>
      <c r="C12495" s="52">
        <v>239425.46552162201</v>
      </c>
      <c r="D12495" s="56">
        <v>0.10427518143091458</v>
      </c>
      <c r="E12495" s="224" t="s">
        <v>2</v>
      </c>
      <c r="F12495" s="515" t="s">
        <v>13683</v>
      </c>
      <c r="G12495" s="52">
        <v>125800.123515873</v>
      </c>
      <c r="H12495" s="56">
        <v>0.12555490235650033</v>
      </c>
      <c r="I12495" s="224" t="s">
        <v>2</v>
      </c>
    </row>
    <row r="12496" spans="1:9" x14ac:dyDescent="0.25">
      <c r="A12496" s="515">
        <v>37722</v>
      </c>
      <c r="B12496" s="515" t="s">
        <v>1083</v>
      </c>
      <c r="C12496" s="52">
        <v>217976.63282902099</v>
      </c>
      <c r="D12496" s="56">
        <v>9.4870995094567728E-2</v>
      </c>
      <c r="E12496" s="224" t="s">
        <v>2</v>
      </c>
      <c r="F12496" s="515" t="s">
        <v>13684</v>
      </c>
      <c r="G12496" s="52">
        <v>153655.51653930201</v>
      </c>
      <c r="H12496" s="56">
        <v>6.1079990302800334E-2</v>
      </c>
      <c r="I12496" s="224" t="s">
        <v>2</v>
      </c>
    </row>
    <row r="12497" spans="1:9" x14ac:dyDescent="0.25">
      <c r="A12497" s="515">
        <v>50441</v>
      </c>
      <c r="C12497" s="52">
        <v>116294.91238095801</v>
      </c>
      <c r="D12497" s="56">
        <v>5.7069057907788448E-2</v>
      </c>
      <c r="E12497" s="224" t="s">
        <v>2</v>
      </c>
      <c r="F12497" s="515" t="s">
        <v>13685</v>
      </c>
      <c r="G12497" s="52">
        <v>230001.292111166</v>
      </c>
      <c r="H12497" s="56">
        <v>0.12320283452705312</v>
      </c>
      <c r="I12497" s="224" t="s">
        <v>2</v>
      </c>
    </row>
    <row r="12498" spans="1:9" x14ac:dyDescent="0.25">
      <c r="A12498" s="515">
        <v>70760</v>
      </c>
      <c r="B12498" s="515" t="s">
        <v>610</v>
      </c>
      <c r="C12498" s="52">
        <v>128462.46006523599</v>
      </c>
      <c r="D12498" s="56">
        <v>-6.6338334571375661E-3</v>
      </c>
      <c r="E12498" s="224" t="s">
        <v>2</v>
      </c>
      <c r="F12498" s="515" t="s">
        <v>13686</v>
      </c>
      <c r="G12498" s="52">
        <v>130516.879059921</v>
      </c>
      <c r="H12498" s="56">
        <v>8.5610747835906414E-2</v>
      </c>
      <c r="I12498" s="224" t="s">
        <v>2</v>
      </c>
    </row>
    <row r="12499" spans="1:9" x14ac:dyDescent="0.25">
      <c r="A12499" s="515">
        <v>28129</v>
      </c>
      <c r="B12499" s="515" t="s">
        <v>1168</v>
      </c>
      <c r="C12499" s="52">
        <v>292102.38623646903</v>
      </c>
      <c r="D12499" s="56">
        <v>0.16706189396076429</v>
      </c>
      <c r="E12499" s="224" t="s">
        <v>2</v>
      </c>
      <c r="F12499" s="515" t="s">
        <v>13687</v>
      </c>
      <c r="G12499" s="52">
        <v>324868.80164879898</v>
      </c>
      <c r="H12499" s="56">
        <v>3.8093125105662783E-2</v>
      </c>
      <c r="I12499" s="224" t="s">
        <v>2</v>
      </c>
    </row>
    <row r="12500" spans="1:9" x14ac:dyDescent="0.25">
      <c r="A12500" s="515">
        <v>33838</v>
      </c>
      <c r="B12500" s="515" t="s">
        <v>359</v>
      </c>
      <c r="C12500" s="52">
        <v>281526.67020860902</v>
      </c>
      <c r="D12500" s="56">
        <v>0.1117745848073959</v>
      </c>
      <c r="E12500" s="224" t="s">
        <v>2</v>
      </c>
      <c r="F12500" s="515" t="s">
        <v>13688</v>
      </c>
      <c r="G12500" s="52">
        <v>145858.89698797901</v>
      </c>
      <c r="H12500" s="56">
        <v>0.17396796917101137</v>
      </c>
      <c r="I12500" s="224" t="s">
        <v>2</v>
      </c>
    </row>
    <row r="12501" spans="1:9" x14ac:dyDescent="0.25">
      <c r="A12501" s="515">
        <v>49455</v>
      </c>
      <c r="C12501" s="52">
        <v>181119.379856908</v>
      </c>
      <c r="D12501" s="56">
        <v>6.4902919153479094E-2</v>
      </c>
      <c r="E12501" s="224" t="s">
        <v>2</v>
      </c>
      <c r="F12501" s="515" t="s">
        <v>13689</v>
      </c>
      <c r="G12501" s="52">
        <v>156504.847615356</v>
      </c>
      <c r="H12501" s="56">
        <v>2.0675277016556224E-2</v>
      </c>
      <c r="I12501" s="224" t="s">
        <v>2</v>
      </c>
    </row>
    <row r="12502" spans="1:9" x14ac:dyDescent="0.25">
      <c r="A12502" s="515">
        <v>20115</v>
      </c>
      <c r="B12502" s="515" t="s">
        <v>321</v>
      </c>
      <c r="C12502" s="52">
        <v>607798.63030381198</v>
      </c>
      <c r="D12502" s="56">
        <v>6.5505146189612742E-2</v>
      </c>
      <c r="E12502" s="224" t="s">
        <v>2</v>
      </c>
      <c r="F12502" s="515" t="s">
        <v>13690</v>
      </c>
      <c r="G12502" s="52">
        <v>409496.24388021498</v>
      </c>
      <c r="H12502" s="56">
        <v>9.9410805899114496E-2</v>
      </c>
      <c r="I12502" s="224" t="s">
        <v>2</v>
      </c>
    </row>
    <row r="12503" spans="1:9" x14ac:dyDescent="0.25">
      <c r="A12503" s="515">
        <v>50461</v>
      </c>
      <c r="C12503" s="52">
        <v>157932.502407653</v>
      </c>
      <c r="D12503" s="56">
        <v>8.8616456783432482E-2</v>
      </c>
      <c r="E12503" s="224" t="s">
        <v>2</v>
      </c>
      <c r="F12503" s="515" t="s">
        <v>13691</v>
      </c>
      <c r="G12503" s="52">
        <v>352579.08083809097</v>
      </c>
      <c r="H12503" s="56">
        <v>-1.7175277040667743E-2</v>
      </c>
      <c r="I12503" s="224" t="s">
        <v>2</v>
      </c>
    </row>
    <row r="12504" spans="1:9" x14ac:dyDescent="0.25">
      <c r="A12504" s="515">
        <v>48416</v>
      </c>
      <c r="C12504" s="52">
        <v>186001.92165963101</v>
      </c>
      <c r="D12504" s="56">
        <v>2.8285207947897708E-2</v>
      </c>
      <c r="E12504" s="224" t="s">
        <v>2</v>
      </c>
      <c r="F12504" s="515" t="s">
        <v>13692</v>
      </c>
      <c r="G12504" s="52">
        <v>151421.50069904001</v>
      </c>
      <c r="H12504" s="56">
        <v>9.8682245178532274E-2</v>
      </c>
      <c r="I12504" s="224" t="s">
        <v>2</v>
      </c>
    </row>
    <row r="12505" spans="1:9" x14ac:dyDescent="0.25">
      <c r="A12505" s="515">
        <v>30567</v>
      </c>
      <c r="B12505" s="515" t="s">
        <v>1175</v>
      </c>
      <c r="C12505" s="52">
        <v>342244.92224112898</v>
      </c>
      <c r="D12505" s="56">
        <v>9.9386390196561369E-2</v>
      </c>
      <c r="E12505" s="224" t="s">
        <v>2</v>
      </c>
      <c r="F12505" s="515" t="s">
        <v>13693</v>
      </c>
      <c r="G12505" s="52">
        <v>130677.46242774501</v>
      </c>
      <c r="H12505" s="56">
        <v>0</v>
      </c>
      <c r="I12505" s="224" t="s">
        <v>2</v>
      </c>
    </row>
    <row r="12506" spans="1:9" x14ac:dyDescent="0.25">
      <c r="A12506" s="515">
        <v>36580</v>
      </c>
      <c r="B12506" s="515" t="s">
        <v>488</v>
      </c>
      <c r="C12506" s="52">
        <v>259764.131858504</v>
      </c>
      <c r="D12506" s="56">
        <v>0.1002026641677775</v>
      </c>
      <c r="E12506" s="224" t="s">
        <v>2</v>
      </c>
      <c r="F12506" s="515" t="s">
        <v>13694</v>
      </c>
      <c r="G12506" s="52">
        <v>233147.38337831301</v>
      </c>
      <c r="H12506" s="56">
        <v>4.3875645786084494E-2</v>
      </c>
      <c r="I12506" s="224" t="s">
        <v>2</v>
      </c>
    </row>
    <row r="12507" spans="1:9" x14ac:dyDescent="0.25">
      <c r="A12507" s="515">
        <v>53594</v>
      </c>
      <c r="B12507" s="515" t="s">
        <v>955</v>
      </c>
      <c r="C12507" s="52">
        <v>266423.52122816897</v>
      </c>
      <c r="D12507" s="56">
        <v>5.9438385021197346E-2</v>
      </c>
      <c r="E12507" s="224" t="s">
        <v>2</v>
      </c>
      <c r="F12507" s="515" t="s">
        <v>13695</v>
      </c>
      <c r="G12507" s="52">
        <v>273702.51676226902</v>
      </c>
      <c r="H12507" s="56">
        <v>0.15029420485943967</v>
      </c>
      <c r="I12507" s="224" t="s">
        <v>2</v>
      </c>
    </row>
    <row r="12508" spans="1:9" x14ac:dyDescent="0.25">
      <c r="A12508" s="515">
        <v>81240</v>
      </c>
      <c r="B12508" s="515" t="s">
        <v>925</v>
      </c>
      <c r="C12508" s="52">
        <v>352698.52425572899</v>
      </c>
      <c r="D12508" s="56">
        <v>5.2787201525944204E-2</v>
      </c>
      <c r="E12508" s="224" t="s">
        <v>2</v>
      </c>
      <c r="F12508" s="515" t="s">
        <v>13696</v>
      </c>
      <c r="G12508" s="52">
        <v>290086.66024638398</v>
      </c>
      <c r="H12508" s="56">
        <v>9.9894728519185516E-2</v>
      </c>
      <c r="I12508" s="224" t="s">
        <v>2</v>
      </c>
    </row>
    <row r="12509" spans="1:9" x14ac:dyDescent="0.25">
      <c r="A12509" s="515">
        <v>93234</v>
      </c>
      <c r="B12509" s="515" t="s">
        <v>541</v>
      </c>
      <c r="C12509" s="52">
        <v>234732.70615913099</v>
      </c>
      <c r="D12509" s="56">
        <v>0.17150282501216813</v>
      </c>
      <c r="E12509" s="224" t="s">
        <v>2</v>
      </c>
      <c r="F12509" s="515" t="s">
        <v>13697</v>
      </c>
      <c r="G12509" s="52">
        <v>58977.863960183196</v>
      </c>
      <c r="H12509" s="56">
        <v>-3.0556875993586342E-2</v>
      </c>
      <c r="I12509" s="224" t="s">
        <v>2</v>
      </c>
    </row>
    <row r="12510" spans="1:9" x14ac:dyDescent="0.25">
      <c r="A12510" s="515">
        <v>17307</v>
      </c>
      <c r="B12510" s="515" t="s">
        <v>457</v>
      </c>
      <c r="C12510" s="52">
        <v>261713.72279903101</v>
      </c>
      <c r="D12510" s="56">
        <v>8.6883470804597546E-2</v>
      </c>
      <c r="E12510" s="224" t="s">
        <v>2</v>
      </c>
      <c r="F12510" s="515" t="s">
        <v>13698</v>
      </c>
      <c r="G12510" s="52">
        <v>312378.30606051401</v>
      </c>
      <c r="H12510" s="56">
        <v>0.16407453700705277</v>
      </c>
      <c r="I12510" s="224" t="s">
        <v>2</v>
      </c>
    </row>
    <row r="12511" spans="1:9" x14ac:dyDescent="0.25">
      <c r="A12511" s="515">
        <v>39150</v>
      </c>
      <c r="C12511" s="52">
        <v>79020.842487708098</v>
      </c>
      <c r="D12511" s="56">
        <v>0</v>
      </c>
      <c r="E12511" s="224" t="s">
        <v>2</v>
      </c>
      <c r="F12511" s="515" t="s">
        <v>13699</v>
      </c>
      <c r="G12511" s="52">
        <v>167993.195020746</v>
      </c>
      <c r="H12511" s="56">
        <v>0</v>
      </c>
      <c r="I12511" s="224" t="s">
        <v>2</v>
      </c>
    </row>
    <row r="12512" spans="1:9" x14ac:dyDescent="0.25">
      <c r="A12512" s="515">
        <v>62363</v>
      </c>
      <c r="C12512" s="52">
        <v>101505.58176409701</v>
      </c>
      <c r="D12512" s="56">
        <v>0.11603215514908349</v>
      </c>
      <c r="E12512" s="224" t="s">
        <v>2</v>
      </c>
      <c r="F12512" s="515" t="s">
        <v>13700</v>
      </c>
      <c r="G12512" s="52">
        <v>232462.52005005901</v>
      </c>
      <c r="H12512" s="56">
        <v>2.0360439259803038E-2</v>
      </c>
      <c r="I12512" s="224" t="s">
        <v>2</v>
      </c>
    </row>
    <row r="12513" spans="1:9" x14ac:dyDescent="0.25">
      <c r="A12513" s="515">
        <v>35117</v>
      </c>
      <c r="B12513" s="515" t="s">
        <v>640</v>
      </c>
      <c r="C12513" s="52">
        <v>232371.28687287099</v>
      </c>
      <c r="D12513" s="56">
        <v>9.9801041742958993E-2</v>
      </c>
      <c r="E12513" s="224" t="s">
        <v>2</v>
      </c>
      <c r="F12513" s="515" t="s">
        <v>13701</v>
      </c>
      <c r="G12513" s="52">
        <v>297541.24260062899</v>
      </c>
      <c r="H12513" s="56">
        <v>8.6920790886586774E-2</v>
      </c>
      <c r="I12513" s="224" t="s">
        <v>2</v>
      </c>
    </row>
    <row r="12514" spans="1:9" x14ac:dyDescent="0.25">
      <c r="A12514" s="515">
        <v>35133</v>
      </c>
      <c r="B12514" s="515" t="s">
        <v>640</v>
      </c>
      <c r="C12514" s="52">
        <v>221445.43652720601</v>
      </c>
      <c r="D12514" s="56">
        <v>8.808468262697812E-2</v>
      </c>
      <c r="E12514" s="224" t="s">
        <v>2</v>
      </c>
      <c r="F12514" s="515" t="s">
        <v>13702</v>
      </c>
      <c r="G12514" s="52">
        <v>498542.08966823301</v>
      </c>
      <c r="H12514" s="56">
        <v>0.15228409941164059</v>
      </c>
      <c r="I12514" s="224" t="s">
        <v>2</v>
      </c>
    </row>
    <row r="12515" spans="1:9" x14ac:dyDescent="0.25">
      <c r="A12515" s="515">
        <v>43777</v>
      </c>
      <c r="B12515" s="515" t="s">
        <v>518</v>
      </c>
      <c r="C12515" s="52">
        <v>114557.38447332301</v>
      </c>
      <c r="D12515" s="56">
        <v>0.11979512152490986</v>
      </c>
      <c r="E12515" s="224" t="s">
        <v>2</v>
      </c>
      <c r="F12515" s="515" t="s">
        <v>13703</v>
      </c>
      <c r="G12515" s="52">
        <v>307099.89400225697</v>
      </c>
      <c r="H12515" s="56">
        <v>6.5857223030136067E-2</v>
      </c>
      <c r="I12515" s="224" t="s">
        <v>2</v>
      </c>
    </row>
    <row r="12516" spans="1:9" x14ac:dyDescent="0.25">
      <c r="A12516" s="515">
        <v>73179</v>
      </c>
      <c r="B12516" s="515" t="s">
        <v>385</v>
      </c>
      <c r="C12516" s="52">
        <v>249288.286582336</v>
      </c>
      <c r="D12516" s="56">
        <v>5.6490200621938928E-2</v>
      </c>
      <c r="E12516" s="224">
        <v>1695</v>
      </c>
      <c r="F12516" s="515" t="s">
        <v>13704</v>
      </c>
      <c r="G12516" s="52">
        <v>466733.19523457898</v>
      </c>
      <c r="H12516" s="56">
        <v>-1.9856001398631442E-2</v>
      </c>
      <c r="I12516" s="224" t="s">
        <v>2</v>
      </c>
    </row>
    <row r="12517" spans="1:9" x14ac:dyDescent="0.25">
      <c r="A12517" s="515">
        <v>43044</v>
      </c>
      <c r="B12517" s="515" t="s">
        <v>430</v>
      </c>
      <c r="C12517" s="52">
        <v>210655.05939420999</v>
      </c>
      <c r="D12517" s="56">
        <v>0.11834849988963721</v>
      </c>
      <c r="E12517" s="224" t="s">
        <v>2</v>
      </c>
      <c r="F12517" s="515" t="s">
        <v>13705</v>
      </c>
      <c r="G12517" s="52">
        <v>122527.12414435099</v>
      </c>
      <c r="H12517" s="56">
        <v>-3.6246638006109818E-3</v>
      </c>
      <c r="I12517" s="224" t="s">
        <v>2</v>
      </c>
    </row>
    <row r="12518" spans="1:9" x14ac:dyDescent="0.25">
      <c r="A12518" s="515">
        <v>45732</v>
      </c>
      <c r="B12518" s="515" t="s">
        <v>578</v>
      </c>
      <c r="C12518" s="52">
        <v>75266.592204610206</v>
      </c>
      <c r="D12518" s="56">
        <v>0.10457311706423689</v>
      </c>
      <c r="E12518" s="224" t="s">
        <v>2</v>
      </c>
      <c r="F12518" s="515" t="s">
        <v>13706</v>
      </c>
      <c r="G12518" s="52">
        <v>197157.088280836</v>
      </c>
      <c r="H12518" s="56">
        <v>8.4931861774470777E-2</v>
      </c>
      <c r="I12518" s="224" t="s">
        <v>2</v>
      </c>
    </row>
    <row r="12519" spans="1:9" x14ac:dyDescent="0.25">
      <c r="A12519" s="515">
        <v>75141</v>
      </c>
      <c r="B12519" s="515" t="s">
        <v>458</v>
      </c>
      <c r="C12519" s="52">
        <v>229812.033639234</v>
      </c>
      <c r="D12519" s="56">
        <v>0.14008181976949718</v>
      </c>
      <c r="E12519" s="224" t="s">
        <v>2</v>
      </c>
      <c r="F12519" s="515" t="s">
        <v>13707</v>
      </c>
      <c r="G12519" s="52">
        <v>269669.96250597102</v>
      </c>
      <c r="H12519" s="56">
        <v>0.11631820462780759</v>
      </c>
      <c r="I12519" s="224" t="s">
        <v>2</v>
      </c>
    </row>
    <row r="12520" spans="1:9" x14ac:dyDescent="0.25">
      <c r="A12520" s="515">
        <v>14706</v>
      </c>
      <c r="B12520" s="515" t="s">
        <v>870</v>
      </c>
      <c r="C12520" s="52">
        <v>163696.284779507</v>
      </c>
      <c r="D12520" s="56">
        <v>0.11271785396310079</v>
      </c>
      <c r="E12520" s="224" t="s">
        <v>2</v>
      </c>
      <c r="F12520" s="515" t="s">
        <v>13708</v>
      </c>
      <c r="G12520" s="52">
        <v>97418.502334852703</v>
      </c>
      <c r="H12520" s="56">
        <v>0.12651854938221876</v>
      </c>
      <c r="I12520" s="224" t="s">
        <v>2</v>
      </c>
    </row>
    <row r="12521" spans="1:9" x14ac:dyDescent="0.25">
      <c r="A12521" s="515">
        <v>33785</v>
      </c>
      <c r="B12521" s="515" t="s">
        <v>461</v>
      </c>
      <c r="C12521" s="52">
        <v>792310.00360096095</v>
      </c>
      <c r="D12521" s="56">
        <v>0.11358381185460233</v>
      </c>
      <c r="E12521" s="224">
        <v>3475</v>
      </c>
      <c r="F12521" s="515" t="s">
        <v>13709</v>
      </c>
      <c r="G12521" s="52">
        <v>284135.449781659</v>
      </c>
      <c r="H12521" s="56">
        <v>0</v>
      </c>
      <c r="I12521" s="224" t="s">
        <v>2</v>
      </c>
    </row>
    <row r="12522" spans="1:9" x14ac:dyDescent="0.25">
      <c r="A12522" s="515">
        <v>63740</v>
      </c>
      <c r="B12522" s="515" t="s">
        <v>356</v>
      </c>
      <c r="C12522" s="52">
        <v>121977.479412652</v>
      </c>
      <c r="D12522" s="56">
        <v>8.5055429984271014E-2</v>
      </c>
      <c r="E12522" s="224" t="s">
        <v>2</v>
      </c>
      <c r="F12522" s="515" t="s">
        <v>13710</v>
      </c>
      <c r="G12522" s="52">
        <v>146858.26711274401</v>
      </c>
      <c r="H12522" s="56">
        <v>5.7115121330202717E-2</v>
      </c>
      <c r="I12522" s="224" t="s">
        <v>2</v>
      </c>
    </row>
    <row r="12523" spans="1:9" x14ac:dyDescent="0.25">
      <c r="A12523" s="515">
        <v>49854</v>
      </c>
      <c r="C12523" s="52">
        <v>128794.70538460099</v>
      </c>
      <c r="D12523" s="56">
        <v>6.9094363579619247E-2</v>
      </c>
      <c r="E12523" s="224" t="s">
        <v>2</v>
      </c>
      <c r="F12523" s="515" t="s">
        <v>13711</v>
      </c>
      <c r="G12523" s="52">
        <v>257313.01831842301</v>
      </c>
      <c r="H12523" s="56">
        <v>4.3652485349404559E-2</v>
      </c>
      <c r="I12523" s="224" t="s">
        <v>2</v>
      </c>
    </row>
    <row r="12524" spans="1:9" x14ac:dyDescent="0.25">
      <c r="A12524" s="515">
        <v>12170</v>
      </c>
      <c r="B12524" s="515" t="s">
        <v>609</v>
      </c>
      <c r="C12524" s="52">
        <v>299821.96344901097</v>
      </c>
      <c r="D12524" s="56">
        <v>8.5854800265614206E-2</v>
      </c>
      <c r="E12524" s="224" t="s">
        <v>2</v>
      </c>
      <c r="F12524" s="515" t="s">
        <v>13712</v>
      </c>
      <c r="G12524" s="52">
        <v>114515.31846876899</v>
      </c>
      <c r="H12524" s="56">
        <v>9.5419639665362641E-2</v>
      </c>
      <c r="I12524" s="224" t="s">
        <v>2</v>
      </c>
    </row>
    <row r="12525" spans="1:9" x14ac:dyDescent="0.25">
      <c r="A12525" s="515">
        <v>59864</v>
      </c>
      <c r="C12525" s="52">
        <v>377657.26232713403</v>
      </c>
      <c r="D12525" s="56">
        <v>9.4770938009203415E-2</v>
      </c>
      <c r="E12525" s="224" t="s">
        <v>2</v>
      </c>
      <c r="F12525" s="515" t="s">
        <v>13713</v>
      </c>
      <c r="G12525" s="52">
        <v>124743.08698911</v>
      </c>
      <c r="H12525" s="56">
        <v>1.0936606511080501E-3</v>
      </c>
      <c r="I12525" s="224" t="s">
        <v>2</v>
      </c>
    </row>
    <row r="12526" spans="1:9" x14ac:dyDescent="0.25">
      <c r="A12526" s="515">
        <v>75158</v>
      </c>
      <c r="B12526" s="515" t="s">
        <v>458</v>
      </c>
      <c r="C12526" s="52">
        <v>317337.01796503598</v>
      </c>
      <c r="D12526" s="56">
        <v>2.9598247259653963E-2</v>
      </c>
      <c r="E12526" s="224" t="s">
        <v>2</v>
      </c>
      <c r="F12526" s="515" t="s">
        <v>13714</v>
      </c>
      <c r="G12526" s="52">
        <v>138318.41778143001</v>
      </c>
      <c r="H12526" s="56">
        <v>5.4353383952749967E-2</v>
      </c>
      <c r="I12526" s="224" t="s">
        <v>2</v>
      </c>
    </row>
    <row r="12527" spans="1:9" x14ac:dyDescent="0.25">
      <c r="A12527" s="515">
        <v>70431</v>
      </c>
      <c r="B12527" s="515" t="s">
        <v>777</v>
      </c>
      <c r="C12527" s="52">
        <v>230201.925372147</v>
      </c>
      <c r="D12527" s="56">
        <v>6.4956942859289053E-3</v>
      </c>
      <c r="E12527" s="224" t="s">
        <v>2</v>
      </c>
      <c r="F12527" s="515" t="s">
        <v>13715</v>
      </c>
      <c r="G12527" s="52">
        <v>138876.793151716</v>
      </c>
      <c r="H12527" s="56">
        <v>0.16845171980936399</v>
      </c>
      <c r="I12527" s="224" t="s">
        <v>2</v>
      </c>
    </row>
    <row r="12528" spans="1:9" x14ac:dyDescent="0.25">
      <c r="A12528" s="515">
        <v>32567</v>
      </c>
      <c r="B12528" s="515" t="s">
        <v>1078</v>
      </c>
      <c r="C12528" s="52">
        <v>278590.94057795499</v>
      </c>
      <c r="D12528" s="56">
        <v>0.14437214555065464</v>
      </c>
      <c r="E12528" s="224" t="s">
        <v>2</v>
      </c>
      <c r="F12528" s="515" t="s">
        <v>13716</v>
      </c>
      <c r="G12528" s="52">
        <v>302980.72973558301</v>
      </c>
      <c r="H12528" s="56">
        <v>8.0662789067501628E-2</v>
      </c>
      <c r="I12528" s="224" t="s">
        <v>2</v>
      </c>
    </row>
    <row r="12529" spans="1:9" x14ac:dyDescent="0.25">
      <c r="A12529" s="515">
        <v>3307</v>
      </c>
      <c r="B12529" s="515" t="s">
        <v>981</v>
      </c>
      <c r="C12529" s="52">
        <v>408203.64126494498</v>
      </c>
      <c r="D12529" s="56">
        <v>0.13758542232352161</v>
      </c>
      <c r="E12529" s="224" t="s">
        <v>2</v>
      </c>
      <c r="F12529" s="515" t="s">
        <v>13717</v>
      </c>
      <c r="G12529" s="52">
        <v>197722.97083951099</v>
      </c>
      <c r="H12529" s="56">
        <v>8.2857720140874738E-2</v>
      </c>
      <c r="I12529" s="224" t="s">
        <v>2</v>
      </c>
    </row>
    <row r="12530" spans="1:9" x14ac:dyDescent="0.25">
      <c r="A12530" s="515">
        <v>24088</v>
      </c>
      <c r="B12530" s="515" t="s">
        <v>861</v>
      </c>
      <c r="C12530" s="52">
        <v>205990.98834034501</v>
      </c>
      <c r="D12530" s="56">
        <v>9.4231444118614741E-2</v>
      </c>
      <c r="E12530" s="224" t="s">
        <v>2</v>
      </c>
      <c r="F12530" s="515" t="s">
        <v>13718</v>
      </c>
      <c r="G12530" s="52">
        <v>213216.19548764901</v>
      </c>
      <c r="H12530" s="56">
        <v>5.8901800690187696E-2</v>
      </c>
      <c r="I12530" s="224" t="s">
        <v>2</v>
      </c>
    </row>
    <row r="12531" spans="1:9" x14ac:dyDescent="0.25">
      <c r="A12531" s="515">
        <v>81067</v>
      </c>
      <c r="C12531" s="52">
        <v>144005.20585527099</v>
      </c>
      <c r="D12531" s="56">
        <v>0.15201228067250655</v>
      </c>
      <c r="E12531" s="224" t="s">
        <v>2</v>
      </c>
      <c r="F12531" s="515" t="s">
        <v>13719</v>
      </c>
      <c r="G12531" s="52">
        <v>144423.528003819</v>
      </c>
      <c r="H12531" s="56">
        <v>8.2385707061083266E-2</v>
      </c>
      <c r="I12531" s="224" t="s">
        <v>2</v>
      </c>
    </row>
    <row r="12532" spans="1:9" x14ac:dyDescent="0.25">
      <c r="A12532" s="515">
        <v>5851</v>
      </c>
      <c r="C12532" s="52">
        <v>228223.579161701</v>
      </c>
      <c r="D12532" s="56">
        <v>7.8220569910359347E-2</v>
      </c>
      <c r="E12532" s="224" t="s">
        <v>2</v>
      </c>
      <c r="F12532" s="515" t="s">
        <v>13720</v>
      </c>
      <c r="G12532" s="52">
        <v>184942.72303090201</v>
      </c>
      <c r="H12532" s="56">
        <v>9.9114051972929565E-2</v>
      </c>
      <c r="I12532" s="224" t="s">
        <v>2</v>
      </c>
    </row>
    <row r="12533" spans="1:9" x14ac:dyDescent="0.25">
      <c r="A12533" s="515">
        <v>61348</v>
      </c>
      <c r="B12533" s="515" t="s">
        <v>556</v>
      </c>
      <c r="C12533" s="52">
        <v>120940.441007007</v>
      </c>
      <c r="D12533" s="56">
        <v>2.0270165070488195E-2</v>
      </c>
      <c r="E12533" s="224" t="s">
        <v>2</v>
      </c>
      <c r="F12533" s="515" t="s">
        <v>13721</v>
      </c>
      <c r="G12533" s="52">
        <v>98640.103110239696</v>
      </c>
      <c r="H12533" s="56">
        <v>7.5537579625534201E-2</v>
      </c>
      <c r="I12533" s="224" t="s">
        <v>2</v>
      </c>
    </row>
    <row r="12534" spans="1:9" x14ac:dyDescent="0.25">
      <c r="A12534" s="515">
        <v>95202</v>
      </c>
      <c r="B12534" s="515" t="s">
        <v>852</v>
      </c>
      <c r="C12534" s="52">
        <v>329901.47658213001</v>
      </c>
      <c r="D12534" s="56">
        <v>-4.3204419966697325E-4</v>
      </c>
      <c r="E12534" s="224" t="s">
        <v>2</v>
      </c>
      <c r="F12534" s="515" t="s">
        <v>13722</v>
      </c>
      <c r="G12534" s="52">
        <v>524970.91717630206</v>
      </c>
      <c r="H12534" s="56">
        <v>7.7866638733920385E-2</v>
      </c>
      <c r="I12534" s="224" t="s">
        <v>2</v>
      </c>
    </row>
    <row r="12535" spans="1:9" x14ac:dyDescent="0.25">
      <c r="A12535" s="515">
        <v>19567</v>
      </c>
      <c r="B12535" s="515" t="s">
        <v>569</v>
      </c>
      <c r="C12535" s="52">
        <v>247056.62295922</v>
      </c>
      <c r="D12535" s="56">
        <v>0.12571983075148269</v>
      </c>
      <c r="E12535" s="224" t="s">
        <v>2</v>
      </c>
      <c r="F12535" s="515" t="s">
        <v>13723</v>
      </c>
      <c r="G12535" s="52">
        <v>165913.83333333299</v>
      </c>
      <c r="H12535" s="56">
        <v>0</v>
      </c>
      <c r="I12535" s="224" t="s">
        <v>2</v>
      </c>
    </row>
    <row r="12536" spans="1:9" x14ac:dyDescent="0.25">
      <c r="A12536" s="515">
        <v>63023</v>
      </c>
      <c r="B12536" s="515" t="s">
        <v>498</v>
      </c>
      <c r="C12536" s="52">
        <v>207290.589293217</v>
      </c>
      <c r="D12536" s="56">
        <v>1.2482910797640049E-2</v>
      </c>
      <c r="E12536" s="224" t="s">
        <v>2</v>
      </c>
      <c r="F12536" s="515" t="s">
        <v>13724</v>
      </c>
      <c r="G12536" s="52">
        <v>195397.23724232099</v>
      </c>
      <c r="H12536" s="56">
        <v>0.12428982914704376</v>
      </c>
      <c r="I12536" s="224" t="s">
        <v>2</v>
      </c>
    </row>
    <row r="12537" spans="1:9" x14ac:dyDescent="0.25">
      <c r="A12537" s="515">
        <v>65049</v>
      </c>
      <c r="C12537" s="52">
        <v>316842.91225301899</v>
      </c>
      <c r="D12537" s="56">
        <v>1.3603859046303426E-2</v>
      </c>
      <c r="E12537" s="224" t="s">
        <v>2</v>
      </c>
      <c r="F12537" s="515" t="s">
        <v>13725</v>
      </c>
      <c r="G12537" s="52">
        <v>268508.78444019402</v>
      </c>
      <c r="H12537" s="56">
        <v>8.8238303955970154E-2</v>
      </c>
      <c r="I12537" s="224" t="s">
        <v>2</v>
      </c>
    </row>
    <row r="12538" spans="1:9" x14ac:dyDescent="0.25">
      <c r="A12538" s="515">
        <v>83544</v>
      </c>
      <c r="C12538" s="52">
        <v>296285.929444401</v>
      </c>
      <c r="D12538" s="56">
        <v>7.0990586761605828E-2</v>
      </c>
      <c r="E12538" s="224" t="s">
        <v>2</v>
      </c>
      <c r="F12538" s="515" t="s">
        <v>13726</v>
      </c>
      <c r="G12538" s="52">
        <v>196800.36134802</v>
      </c>
      <c r="H12538" s="56">
        <v>-8.1146327893600323E-3</v>
      </c>
      <c r="I12538" s="224" t="s">
        <v>2</v>
      </c>
    </row>
    <row r="12539" spans="1:9" x14ac:dyDescent="0.25">
      <c r="A12539" s="515">
        <v>56364</v>
      </c>
      <c r="C12539" s="52">
        <v>282092.57699341601</v>
      </c>
      <c r="D12539" s="56">
        <v>0.16323401999652049</v>
      </c>
      <c r="E12539" s="224" t="s">
        <v>2</v>
      </c>
      <c r="F12539" s="515" t="s">
        <v>13727</v>
      </c>
      <c r="G12539" s="52">
        <v>185541.26837832099</v>
      </c>
      <c r="H12539" s="56">
        <v>0.11348761331563184</v>
      </c>
      <c r="I12539" s="224" t="s">
        <v>2</v>
      </c>
    </row>
    <row r="12540" spans="1:9" x14ac:dyDescent="0.25">
      <c r="A12540" s="515">
        <v>54812</v>
      </c>
      <c r="C12540" s="52">
        <v>173437.71011181301</v>
      </c>
      <c r="D12540" s="56">
        <v>7.620322052188748E-2</v>
      </c>
      <c r="E12540" s="224" t="s">
        <v>2</v>
      </c>
      <c r="F12540" s="515" t="s">
        <v>13728</v>
      </c>
      <c r="G12540" s="52">
        <v>326005.35342630697</v>
      </c>
      <c r="H12540" s="56">
        <v>0.1161964436433631</v>
      </c>
      <c r="I12540" s="224" t="s">
        <v>2</v>
      </c>
    </row>
    <row r="12541" spans="1:9" x14ac:dyDescent="0.25">
      <c r="A12541" s="515">
        <v>4274</v>
      </c>
      <c r="B12541" s="515" t="s">
        <v>1120</v>
      </c>
      <c r="C12541" s="52">
        <v>347550.73995135701</v>
      </c>
      <c r="D12541" s="56">
        <v>8.0755773252254553E-2</v>
      </c>
      <c r="E12541" s="224" t="s">
        <v>2</v>
      </c>
      <c r="F12541" s="515" t="s">
        <v>13729</v>
      </c>
      <c r="G12541" s="52">
        <v>288451.24135686801</v>
      </c>
      <c r="H12541" s="56">
        <v>0.13754074666749255</v>
      </c>
      <c r="I12541" s="224" t="s">
        <v>2</v>
      </c>
    </row>
    <row r="12542" spans="1:9" x14ac:dyDescent="0.25">
      <c r="A12542" s="515">
        <v>30434</v>
      </c>
      <c r="C12542" s="52">
        <v>87154.881525307603</v>
      </c>
      <c r="D12542" s="56">
        <v>4.3348972634012582E-3</v>
      </c>
      <c r="E12542" s="224" t="s">
        <v>2</v>
      </c>
      <c r="F12542" s="515" t="s">
        <v>13730</v>
      </c>
      <c r="G12542" s="52">
        <v>700206.15346577601</v>
      </c>
      <c r="H12542" s="56">
        <v>9.4988949608278028E-2</v>
      </c>
      <c r="I12542" s="224" t="s">
        <v>2</v>
      </c>
    </row>
    <row r="12543" spans="1:9" x14ac:dyDescent="0.25">
      <c r="A12543" s="515">
        <v>80816</v>
      </c>
      <c r="B12543" s="515" t="s">
        <v>701</v>
      </c>
      <c r="C12543" s="52">
        <v>436121.031247331</v>
      </c>
      <c r="D12543" s="56">
        <v>3.9358916335814918E-2</v>
      </c>
      <c r="E12543" s="224" t="s">
        <v>2</v>
      </c>
      <c r="F12543" s="515" t="s">
        <v>13731</v>
      </c>
      <c r="G12543" s="52">
        <v>186307.090239604</v>
      </c>
      <c r="H12543" s="56">
        <v>7.457010705221509E-2</v>
      </c>
      <c r="I12543" s="224" t="s">
        <v>2</v>
      </c>
    </row>
    <row r="12544" spans="1:9" x14ac:dyDescent="0.25">
      <c r="A12544" s="515">
        <v>21643</v>
      </c>
      <c r="B12544" s="515" t="s">
        <v>388</v>
      </c>
      <c r="C12544" s="52">
        <v>224505.61162337699</v>
      </c>
      <c r="D12544" s="56">
        <v>6.0306480120238745E-2</v>
      </c>
      <c r="E12544" s="224" t="s">
        <v>2</v>
      </c>
      <c r="F12544" s="515" t="s">
        <v>13732</v>
      </c>
      <c r="G12544" s="52">
        <v>590634.43063364294</v>
      </c>
      <c r="H12544" s="56">
        <v>5.5636327326930926E-2</v>
      </c>
      <c r="I12544" s="224" t="s">
        <v>2</v>
      </c>
    </row>
    <row r="12545" spans="1:9" x14ac:dyDescent="0.25">
      <c r="A12545" s="515">
        <v>55020</v>
      </c>
      <c r="B12545" s="515" t="s">
        <v>532</v>
      </c>
      <c r="C12545" s="52">
        <v>468512.16139602999</v>
      </c>
      <c r="D12545" s="56">
        <v>4.0622976300524721E-2</v>
      </c>
      <c r="E12545" s="224" t="s">
        <v>2</v>
      </c>
      <c r="F12545" s="515" t="s">
        <v>13733</v>
      </c>
      <c r="G12545" s="52">
        <v>80372.996493401704</v>
      </c>
      <c r="H12545" s="56">
        <v>0.13519434259363189</v>
      </c>
      <c r="I12545" s="224" t="s">
        <v>2</v>
      </c>
    </row>
    <row r="12546" spans="1:9" x14ac:dyDescent="0.25">
      <c r="A12546" s="515">
        <v>44286</v>
      </c>
      <c r="B12546" s="515" t="s">
        <v>1000</v>
      </c>
      <c r="C12546" s="52">
        <v>392901.48213432898</v>
      </c>
      <c r="D12546" s="56">
        <v>5.0470626210800278E-2</v>
      </c>
      <c r="E12546" s="224" t="s">
        <v>2</v>
      </c>
      <c r="F12546" s="515" t="s">
        <v>13734</v>
      </c>
      <c r="G12546" s="52">
        <v>182680.48629313399</v>
      </c>
      <c r="H12546" s="56">
        <v>0.10173020400039823</v>
      </c>
      <c r="I12546" s="224" t="s">
        <v>2</v>
      </c>
    </row>
    <row r="12547" spans="1:9" x14ac:dyDescent="0.25">
      <c r="A12547" s="515">
        <v>41074</v>
      </c>
      <c r="B12547" s="515" t="s">
        <v>344</v>
      </c>
      <c r="C12547" s="52">
        <v>170486.992692311</v>
      </c>
      <c r="D12547" s="56">
        <v>0.12552635633645309</v>
      </c>
      <c r="E12547" s="224" t="s">
        <v>2</v>
      </c>
      <c r="F12547" s="515" t="s">
        <v>13735</v>
      </c>
      <c r="G12547" s="52">
        <v>62365.617113491302</v>
      </c>
      <c r="H12547" s="56">
        <v>0</v>
      </c>
      <c r="I12547" s="224" t="s">
        <v>2</v>
      </c>
    </row>
    <row r="12548" spans="1:9" x14ac:dyDescent="0.25">
      <c r="A12548" s="515">
        <v>98569</v>
      </c>
      <c r="B12548" s="515" t="s">
        <v>683</v>
      </c>
      <c r="C12548" s="52">
        <v>358732.01520302199</v>
      </c>
      <c r="D12548" s="56">
        <v>1.9738047781568336E-2</v>
      </c>
      <c r="E12548" s="224" t="s">
        <v>2</v>
      </c>
      <c r="F12548" s="515" t="s">
        <v>13736</v>
      </c>
      <c r="G12548" s="52">
        <v>177033.670868332</v>
      </c>
      <c r="H12548" s="56">
        <v>5.92336955260492E-2</v>
      </c>
      <c r="I12548" s="224" t="s">
        <v>2</v>
      </c>
    </row>
    <row r="12549" spans="1:9" x14ac:dyDescent="0.25">
      <c r="A12549" s="515">
        <v>27235</v>
      </c>
      <c r="B12549" s="515" t="s">
        <v>1148</v>
      </c>
      <c r="C12549" s="52">
        <v>362331.86754917301</v>
      </c>
      <c r="D12549" s="56">
        <v>0.1250469064693123</v>
      </c>
      <c r="E12549" s="224" t="s">
        <v>2</v>
      </c>
      <c r="F12549" s="515" t="s">
        <v>13737</v>
      </c>
      <c r="G12549" s="52">
        <v>200550.4476174</v>
      </c>
      <c r="H12549" s="56">
        <v>8.6287395685986548E-2</v>
      </c>
      <c r="I12549" s="224" t="s">
        <v>2</v>
      </c>
    </row>
    <row r="12550" spans="1:9" x14ac:dyDescent="0.25">
      <c r="A12550" s="515">
        <v>92315</v>
      </c>
      <c r="B12550" s="515" t="s">
        <v>599</v>
      </c>
      <c r="C12550" s="52">
        <v>594557.58758853399</v>
      </c>
      <c r="D12550" s="56">
        <v>4.8769820666508944E-2</v>
      </c>
      <c r="E12550" s="224">
        <v>1900</v>
      </c>
      <c r="F12550" s="515" t="s">
        <v>13738</v>
      </c>
      <c r="G12550" s="52">
        <v>157165.375136388</v>
      </c>
      <c r="H12550" s="56">
        <v>9.9841980114141526E-2</v>
      </c>
      <c r="I12550" s="224" t="s">
        <v>2</v>
      </c>
    </row>
    <row r="12551" spans="1:9" x14ac:dyDescent="0.25">
      <c r="A12551" s="515">
        <v>25670</v>
      </c>
      <c r="C12551" s="52">
        <v>69477.917602352303</v>
      </c>
      <c r="D12551" s="56">
        <v>0.10430682926946412</v>
      </c>
      <c r="E12551" s="224" t="s">
        <v>2</v>
      </c>
      <c r="F12551" s="515" t="s">
        <v>13739</v>
      </c>
      <c r="G12551" s="52">
        <v>148519.01652832099</v>
      </c>
      <c r="H12551" s="56">
        <v>9.2812673315891922E-2</v>
      </c>
      <c r="I12551" s="224" t="s">
        <v>2</v>
      </c>
    </row>
    <row r="12552" spans="1:9" x14ac:dyDescent="0.25">
      <c r="A12552" s="515">
        <v>43316</v>
      </c>
      <c r="C12552" s="52">
        <v>157033.20021163399</v>
      </c>
      <c r="D12552" s="56">
        <v>7.7424064976395285E-2</v>
      </c>
      <c r="E12552" s="224" t="s">
        <v>2</v>
      </c>
      <c r="F12552" s="515" t="s">
        <v>13740</v>
      </c>
      <c r="G12552" s="52">
        <v>133462.723250207</v>
      </c>
      <c r="H12552" s="56">
        <v>3.681629444823889E-2</v>
      </c>
      <c r="I12552" s="224" t="s">
        <v>2</v>
      </c>
    </row>
    <row r="12553" spans="1:9" x14ac:dyDescent="0.25">
      <c r="A12553" s="515">
        <v>39483</v>
      </c>
      <c r="C12553" s="52">
        <v>121850.07338490601</v>
      </c>
      <c r="D12553" s="56">
        <v>-2.6721128916615672E-2</v>
      </c>
      <c r="E12553" s="224" t="s">
        <v>2</v>
      </c>
      <c r="F12553" s="515" t="s">
        <v>13741</v>
      </c>
      <c r="G12553" s="52">
        <v>191703.20052335199</v>
      </c>
      <c r="H12553" s="56">
        <v>8.4004750092884536E-2</v>
      </c>
      <c r="I12553" s="224" t="s">
        <v>2</v>
      </c>
    </row>
    <row r="12554" spans="1:9" x14ac:dyDescent="0.25">
      <c r="A12554" s="515">
        <v>79035</v>
      </c>
      <c r="C12554" s="52">
        <v>116845.317112103</v>
      </c>
      <c r="D12554" s="56">
        <v>-2.8412150265373338E-2</v>
      </c>
      <c r="E12554" s="224" t="s">
        <v>2</v>
      </c>
      <c r="F12554" s="515" t="s">
        <v>13742</v>
      </c>
      <c r="G12554" s="52">
        <v>618217.17875678698</v>
      </c>
      <c r="H12554" s="56">
        <v>8.1803646884719708E-2</v>
      </c>
      <c r="I12554" s="224" t="s">
        <v>2</v>
      </c>
    </row>
    <row r="12555" spans="1:9" x14ac:dyDescent="0.25">
      <c r="A12555" s="515">
        <v>43222</v>
      </c>
      <c r="B12555" s="515" t="s">
        <v>345</v>
      </c>
      <c r="C12555" s="52">
        <v>152261.75133973599</v>
      </c>
      <c r="D12555" s="56">
        <v>0.14738973164571145</v>
      </c>
      <c r="E12555" s="224">
        <v>961.66666666666595</v>
      </c>
      <c r="F12555" s="515" t="s">
        <v>13743</v>
      </c>
      <c r="G12555" s="52">
        <v>184083.337917108</v>
      </c>
      <c r="H12555" s="56">
        <v>0.12338833013832105</v>
      </c>
      <c r="I12555" s="224" t="s">
        <v>2</v>
      </c>
    </row>
    <row r="12556" spans="1:9" x14ac:dyDescent="0.25">
      <c r="A12556" s="515">
        <v>57262</v>
      </c>
      <c r="C12556" s="52">
        <v>167950.09329243301</v>
      </c>
      <c r="D12556" s="56">
        <v>8.6735105863397846E-2</v>
      </c>
      <c r="E12556" s="224" t="s">
        <v>2</v>
      </c>
      <c r="F12556" s="515" t="s">
        <v>13744</v>
      </c>
      <c r="G12556" s="52">
        <v>561868.38662647898</v>
      </c>
      <c r="H12556" s="56">
        <v>4.2696383508170531E-2</v>
      </c>
      <c r="I12556" s="224" t="s">
        <v>2</v>
      </c>
    </row>
    <row r="12557" spans="1:9" x14ac:dyDescent="0.25">
      <c r="A12557" s="515">
        <v>42220</v>
      </c>
      <c r="C12557" s="52">
        <v>150819.08682058199</v>
      </c>
      <c r="D12557" s="56">
        <v>0.10878915863484058</v>
      </c>
      <c r="E12557" s="224" t="s">
        <v>2</v>
      </c>
      <c r="F12557" s="515" t="s">
        <v>13745</v>
      </c>
      <c r="G12557" s="52">
        <v>3428052.4887780501</v>
      </c>
      <c r="H12557" s="56">
        <v>2.1127579110879553E-2</v>
      </c>
      <c r="I12557" s="224" t="s">
        <v>2</v>
      </c>
    </row>
    <row r="12558" spans="1:9" x14ac:dyDescent="0.25">
      <c r="A12558" s="515">
        <v>35672</v>
      </c>
      <c r="B12558" s="515" t="s">
        <v>1007</v>
      </c>
      <c r="C12558" s="52">
        <v>181215.71011746299</v>
      </c>
      <c r="D12558" s="56">
        <v>4.3739446455747351E-2</v>
      </c>
      <c r="E12558" s="224" t="s">
        <v>2</v>
      </c>
      <c r="F12558" s="515" t="s">
        <v>13746</v>
      </c>
      <c r="G12558" s="52">
        <v>173274.213867752</v>
      </c>
      <c r="H12558" s="56">
        <v>2.0599301411182495E-2</v>
      </c>
      <c r="I12558" s="224" t="s">
        <v>2</v>
      </c>
    </row>
    <row r="12559" spans="1:9" x14ac:dyDescent="0.25">
      <c r="A12559" s="515">
        <v>82701</v>
      </c>
      <c r="B12559" s="515" t="s">
        <v>589</v>
      </c>
      <c r="C12559" s="52">
        <v>214142.111349549</v>
      </c>
      <c r="D12559" s="56">
        <v>9.3456213570040733E-2</v>
      </c>
      <c r="E12559" s="224" t="s">
        <v>2</v>
      </c>
      <c r="F12559" s="515" t="s">
        <v>13747</v>
      </c>
      <c r="G12559" s="52">
        <v>216028.170495542</v>
      </c>
      <c r="H12559" s="56">
        <v>7.3794706333869031E-2</v>
      </c>
      <c r="I12559" s="224" t="s">
        <v>2</v>
      </c>
    </row>
    <row r="12560" spans="1:9" x14ac:dyDescent="0.25">
      <c r="A12560" s="515">
        <v>59201</v>
      </c>
      <c r="C12560" s="52">
        <v>302220.56770143501</v>
      </c>
      <c r="D12560" s="56">
        <v>0.13378643717360583</v>
      </c>
      <c r="E12560" s="224" t="s">
        <v>2</v>
      </c>
      <c r="F12560" s="515" t="s">
        <v>13748</v>
      </c>
      <c r="G12560" s="52">
        <v>239604.88173324801</v>
      </c>
      <c r="H12560" s="56">
        <v>4.8961398768754834E-2</v>
      </c>
      <c r="I12560" s="224" t="s">
        <v>2</v>
      </c>
    </row>
    <row r="12561" spans="1:9" x14ac:dyDescent="0.25">
      <c r="A12561" s="515">
        <v>12305</v>
      </c>
      <c r="B12561" s="515" t="s">
        <v>609</v>
      </c>
      <c r="C12561" s="52">
        <v>206197.43212719599</v>
      </c>
      <c r="D12561" s="56">
        <v>3.5257083875821389E-2</v>
      </c>
      <c r="E12561" s="224">
        <v>1162.2222222222199</v>
      </c>
      <c r="F12561" s="515" t="s">
        <v>13749</v>
      </c>
      <c r="G12561" s="52">
        <v>82464.051724137898</v>
      </c>
      <c r="H12561" s="56">
        <v>0</v>
      </c>
      <c r="I12561" s="224" t="s">
        <v>2</v>
      </c>
    </row>
    <row r="12562" spans="1:9" x14ac:dyDescent="0.25">
      <c r="A12562" s="515">
        <v>39837</v>
      </c>
      <c r="C12562" s="52">
        <v>120304.206335567</v>
      </c>
      <c r="D12562" s="56">
        <v>0.10297667680923964</v>
      </c>
      <c r="E12562" s="224" t="s">
        <v>2</v>
      </c>
      <c r="F12562" s="515" t="s">
        <v>13750</v>
      </c>
      <c r="G12562" s="52">
        <v>163134.69359685</v>
      </c>
      <c r="H12562" s="56">
        <v>0.11064469188422055</v>
      </c>
      <c r="I12562" s="224" t="s">
        <v>2</v>
      </c>
    </row>
    <row r="12563" spans="1:9" x14ac:dyDescent="0.25">
      <c r="A12563" s="515">
        <v>28163</v>
      </c>
      <c r="B12563" s="515" t="s">
        <v>1168</v>
      </c>
      <c r="C12563" s="52">
        <v>327703.44551879598</v>
      </c>
      <c r="D12563" s="56">
        <v>0.13441731596980905</v>
      </c>
      <c r="E12563" s="224" t="s">
        <v>2</v>
      </c>
      <c r="F12563" s="515" t="s">
        <v>13751</v>
      </c>
      <c r="G12563" s="52">
        <v>144217.683253664</v>
      </c>
      <c r="H12563" s="56">
        <v>0.15354641189064352</v>
      </c>
      <c r="I12563" s="224" t="s">
        <v>2</v>
      </c>
    </row>
    <row r="12564" spans="1:9" x14ac:dyDescent="0.25">
      <c r="A12564" s="515">
        <v>98851</v>
      </c>
      <c r="B12564" s="515" t="s">
        <v>666</v>
      </c>
      <c r="C12564" s="52">
        <v>279726.810983326</v>
      </c>
      <c r="D12564" s="56">
        <v>6.6246225745975884E-2</v>
      </c>
      <c r="E12564" s="224" t="s">
        <v>2</v>
      </c>
      <c r="F12564" s="515" t="s">
        <v>13752</v>
      </c>
      <c r="G12564" s="52">
        <v>173945.31350581499</v>
      </c>
      <c r="H12564" s="56">
        <v>0.11587886044702263</v>
      </c>
      <c r="I12564" s="224" t="s">
        <v>2</v>
      </c>
    </row>
    <row r="12565" spans="1:9" x14ac:dyDescent="0.25">
      <c r="A12565" s="515">
        <v>14867</v>
      </c>
      <c r="B12565" s="515" t="s">
        <v>1115</v>
      </c>
      <c r="C12565" s="52">
        <v>221121.73428100499</v>
      </c>
      <c r="D12565" s="56">
        <v>9.0817773821506909E-2</v>
      </c>
      <c r="E12565" s="224" t="s">
        <v>2</v>
      </c>
      <c r="F12565" s="515" t="s">
        <v>13753</v>
      </c>
      <c r="G12565" s="52">
        <v>162007.47478362601</v>
      </c>
      <c r="H12565" s="56">
        <v>8.4757597534436804E-2</v>
      </c>
      <c r="I12565" s="224" t="s">
        <v>2</v>
      </c>
    </row>
    <row r="12566" spans="1:9" x14ac:dyDescent="0.25">
      <c r="A12566" s="515">
        <v>8559</v>
      </c>
      <c r="B12566" s="515" t="s">
        <v>324</v>
      </c>
      <c r="C12566" s="52">
        <v>530806.32933546905</v>
      </c>
      <c r="D12566" s="56">
        <v>6.7979907575976703E-2</v>
      </c>
      <c r="E12566" s="224" t="s">
        <v>2</v>
      </c>
      <c r="F12566" s="515" t="s">
        <v>13754</v>
      </c>
      <c r="G12566" s="52">
        <v>555738.172974466</v>
      </c>
      <c r="H12566" s="56">
        <v>4.0018658897118441E-2</v>
      </c>
      <c r="I12566" s="224" t="s">
        <v>2</v>
      </c>
    </row>
    <row r="12567" spans="1:9" x14ac:dyDescent="0.25">
      <c r="A12567" s="515">
        <v>48412</v>
      </c>
      <c r="B12567" s="515" t="s">
        <v>685</v>
      </c>
      <c r="C12567" s="52">
        <v>254156.779644858</v>
      </c>
      <c r="D12567" s="56">
        <v>7.6708597758460883E-3</v>
      </c>
      <c r="E12567" s="224" t="s">
        <v>2</v>
      </c>
      <c r="F12567" s="515" t="s">
        <v>13755</v>
      </c>
      <c r="G12567" s="52">
        <v>131594.106941128</v>
      </c>
      <c r="H12567" s="56">
        <v>3.2962172997443126E-2</v>
      </c>
      <c r="I12567" s="224" t="s">
        <v>2</v>
      </c>
    </row>
    <row r="12568" spans="1:9" x14ac:dyDescent="0.25">
      <c r="A12568" s="515">
        <v>15714</v>
      </c>
      <c r="B12568" s="515" t="s">
        <v>828</v>
      </c>
      <c r="C12568" s="52">
        <v>61291.996946662402</v>
      </c>
      <c r="D12568" s="56">
        <v>-4.4982753641242872E-2</v>
      </c>
      <c r="E12568" s="224" t="s">
        <v>2</v>
      </c>
      <c r="F12568" s="515" t="s">
        <v>13756</v>
      </c>
      <c r="G12568" s="52">
        <v>199010.150570389</v>
      </c>
      <c r="H12568" s="56">
        <v>4.5502373823064712E-2</v>
      </c>
      <c r="I12568" s="224" t="s">
        <v>2</v>
      </c>
    </row>
    <row r="12569" spans="1:9" x14ac:dyDescent="0.25">
      <c r="A12569" s="515">
        <v>32195</v>
      </c>
      <c r="B12569" s="515" t="s">
        <v>475</v>
      </c>
      <c r="C12569" s="52">
        <v>350872.423831894</v>
      </c>
      <c r="D12569" s="56">
        <v>0.1428043746039844</v>
      </c>
      <c r="E12569" s="224" t="s">
        <v>2</v>
      </c>
      <c r="F12569" s="515" t="s">
        <v>13757</v>
      </c>
      <c r="G12569" s="52">
        <v>232774.72770045701</v>
      </c>
      <c r="H12569" s="56">
        <v>2.490225586467289E-2</v>
      </c>
      <c r="I12569" s="224" t="s">
        <v>2</v>
      </c>
    </row>
    <row r="12570" spans="1:9" x14ac:dyDescent="0.25">
      <c r="A12570" s="515">
        <v>15330</v>
      </c>
      <c r="B12570" s="515" t="s">
        <v>297</v>
      </c>
      <c r="C12570" s="52">
        <v>334824.23301668698</v>
      </c>
      <c r="D12570" s="56">
        <v>8.487179069005607E-2</v>
      </c>
      <c r="E12570" s="224" t="s">
        <v>2</v>
      </c>
      <c r="F12570" s="515" t="s">
        <v>13758</v>
      </c>
      <c r="G12570" s="52">
        <v>183186.78966951801</v>
      </c>
      <c r="H12570" s="56">
        <v>5.5899868315598761E-2</v>
      </c>
      <c r="I12570" s="224" t="s">
        <v>2</v>
      </c>
    </row>
    <row r="12571" spans="1:9" x14ac:dyDescent="0.25">
      <c r="A12571" s="515">
        <v>63650</v>
      </c>
      <c r="C12571" s="52">
        <v>107263.130262696</v>
      </c>
      <c r="D12571" s="56">
        <v>0.13545620774044329</v>
      </c>
      <c r="E12571" s="224" t="s">
        <v>2</v>
      </c>
      <c r="F12571" s="515" t="s">
        <v>13759</v>
      </c>
      <c r="G12571" s="52">
        <v>357207.61638632702</v>
      </c>
      <c r="H12571" s="56">
        <v>0.10203765369037435</v>
      </c>
      <c r="I12571" s="224" t="s">
        <v>2</v>
      </c>
    </row>
    <row r="12572" spans="1:9" x14ac:dyDescent="0.25">
      <c r="A12572" s="515">
        <v>45651</v>
      </c>
      <c r="C12572" s="52">
        <v>117182.522751492</v>
      </c>
      <c r="D12572" s="56">
        <v>9.4098047266557183E-2</v>
      </c>
      <c r="E12572" s="224" t="s">
        <v>2</v>
      </c>
      <c r="F12572" s="515" t="s">
        <v>13760</v>
      </c>
      <c r="G12572" s="52">
        <v>148957.14729082299</v>
      </c>
      <c r="H12572" s="56">
        <v>-2.0975490999537287E-3</v>
      </c>
      <c r="I12572" s="224" t="s">
        <v>2</v>
      </c>
    </row>
    <row r="12573" spans="1:9" x14ac:dyDescent="0.25">
      <c r="A12573" s="515">
        <v>10282</v>
      </c>
      <c r="B12573" s="515" t="s">
        <v>324</v>
      </c>
      <c r="C12573" s="52">
        <v>1987194.72493914</v>
      </c>
      <c r="D12573" s="56">
        <v>5.9771701378540494E-2</v>
      </c>
      <c r="E12573" s="224">
        <v>6665.7777777777701</v>
      </c>
      <c r="F12573" s="515" t="s">
        <v>13761</v>
      </c>
      <c r="G12573" s="52">
        <v>225044.668919263</v>
      </c>
      <c r="H12573" s="56">
        <v>0.12003121525615679</v>
      </c>
      <c r="I12573" s="224" t="s">
        <v>2</v>
      </c>
    </row>
    <row r="12574" spans="1:9" x14ac:dyDescent="0.25">
      <c r="A12574" s="515">
        <v>25570</v>
      </c>
      <c r="B12574" s="515" t="s">
        <v>602</v>
      </c>
      <c r="C12574" s="52">
        <v>105814.11020138999</v>
      </c>
      <c r="D12574" s="56">
        <v>5.1855558567424909E-2</v>
      </c>
      <c r="E12574" s="224" t="s">
        <v>2</v>
      </c>
      <c r="F12574" s="515" t="s">
        <v>13762</v>
      </c>
      <c r="G12574" s="52">
        <v>66279.492244868496</v>
      </c>
      <c r="H12574" s="56">
        <v>0.23134726282591775</v>
      </c>
      <c r="I12574" s="224" t="s">
        <v>2</v>
      </c>
    </row>
    <row r="12575" spans="1:9" x14ac:dyDescent="0.25">
      <c r="A12575" s="515">
        <v>74962</v>
      </c>
      <c r="B12575" s="515" t="s">
        <v>326</v>
      </c>
      <c r="C12575" s="52">
        <v>162918.001066375</v>
      </c>
      <c r="D12575" s="56">
        <v>0.13011256096410076</v>
      </c>
      <c r="E12575" s="224" t="s">
        <v>2</v>
      </c>
      <c r="F12575" s="515" t="s">
        <v>13763</v>
      </c>
      <c r="G12575" s="52">
        <v>151596.60859307001</v>
      </c>
      <c r="H12575" s="56">
        <v>6.5380624113164781E-2</v>
      </c>
      <c r="I12575" s="224" t="s">
        <v>2</v>
      </c>
    </row>
    <row r="12576" spans="1:9" x14ac:dyDescent="0.25">
      <c r="A12576" s="515">
        <v>66739</v>
      </c>
      <c r="C12576" s="52">
        <v>83020.071058363901</v>
      </c>
      <c r="D12576" s="56">
        <v>0.16097030455192868</v>
      </c>
      <c r="E12576" s="224" t="s">
        <v>2</v>
      </c>
      <c r="F12576" s="515" t="s">
        <v>13764</v>
      </c>
      <c r="G12576" s="52">
        <v>228555.86880102201</v>
      </c>
      <c r="H12576" s="56">
        <v>4.688676169803338E-2</v>
      </c>
      <c r="I12576" s="224" t="s">
        <v>2</v>
      </c>
    </row>
    <row r="12577" spans="1:9" x14ac:dyDescent="0.25">
      <c r="A12577" s="515">
        <v>17314</v>
      </c>
      <c r="B12577" s="515" t="s">
        <v>509</v>
      </c>
      <c r="C12577" s="52">
        <v>260266.57658245799</v>
      </c>
      <c r="D12577" s="56">
        <v>9.6244900871269037E-2</v>
      </c>
      <c r="E12577" s="224" t="s">
        <v>2</v>
      </c>
      <c r="F12577" s="515" t="s">
        <v>13765</v>
      </c>
      <c r="G12577" s="52">
        <v>120784.059605623</v>
      </c>
      <c r="H12577" s="56">
        <v>-4.5419729309594762E-3</v>
      </c>
      <c r="I12577" s="224" t="s">
        <v>2</v>
      </c>
    </row>
    <row r="12578" spans="1:9" x14ac:dyDescent="0.25">
      <c r="A12578" s="515">
        <v>17752</v>
      </c>
      <c r="B12578" s="515" t="s">
        <v>296</v>
      </c>
      <c r="C12578" s="52">
        <v>183374.51634933299</v>
      </c>
      <c r="D12578" s="56">
        <v>6.9278799222415172E-2</v>
      </c>
      <c r="E12578" s="224" t="s">
        <v>2</v>
      </c>
      <c r="F12578" s="515" t="s">
        <v>13766</v>
      </c>
      <c r="G12578" s="52">
        <v>164819.79377467401</v>
      </c>
      <c r="H12578" s="56">
        <v>0.15520225372835678</v>
      </c>
      <c r="I12578" s="224" t="s">
        <v>2</v>
      </c>
    </row>
    <row r="12579" spans="1:9" x14ac:dyDescent="0.25">
      <c r="A12579" s="515">
        <v>49228</v>
      </c>
      <c r="B12579" s="515" t="s">
        <v>958</v>
      </c>
      <c r="C12579" s="52">
        <v>194775.98048381601</v>
      </c>
      <c r="D12579" s="56">
        <v>7.4088345799340483E-2</v>
      </c>
      <c r="E12579" s="224" t="s">
        <v>2</v>
      </c>
      <c r="F12579" s="515" t="s">
        <v>13767</v>
      </c>
      <c r="G12579" s="52">
        <v>145213.64349266401</v>
      </c>
      <c r="H12579" s="56">
        <v>0.17804722463006709</v>
      </c>
      <c r="I12579" s="224" t="s">
        <v>2</v>
      </c>
    </row>
    <row r="12580" spans="1:9" x14ac:dyDescent="0.25">
      <c r="A12580" s="515">
        <v>66064</v>
      </c>
      <c r="B12580" s="515" t="s">
        <v>455</v>
      </c>
      <c r="C12580" s="52">
        <v>161176.60113187399</v>
      </c>
      <c r="D12580" s="56">
        <v>0.13325669970452664</v>
      </c>
      <c r="E12580" s="224" t="s">
        <v>2</v>
      </c>
      <c r="F12580" s="515" t="s">
        <v>13768</v>
      </c>
      <c r="G12580" s="52">
        <v>159728.265642035</v>
      </c>
      <c r="H12580" s="56">
        <v>1.9204255102753812E-2</v>
      </c>
      <c r="I12580" s="224" t="s">
        <v>2</v>
      </c>
    </row>
    <row r="12581" spans="1:9" x14ac:dyDescent="0.25">
      <c r="A12581" s="515">
        <v>87068</v>
      </c>
      <c r="B12581" s="515" t="s">
        <v>406</v>
      </c>
      <c r="C12581" s="52">
        <v>341602.11670801201</v>
      </c>
      <c r="D12581" s="56">
        <v>6.1584496011122716E-2</v>
      </c>
      <c r="E12581" s="224" t="s">
        <v>2</v>
      </c>
      <c r="F12581" s="515" t="s">
        <v>13769</v>
      </c>
      <c r="G12581" s="52">
        <v>162537.53715241101</v>
      </c>
      <c r="H12581" s="56">
        <v>7.3085056449622487E-2</v>
      </c>
      <c r="I12581" s="224" t="s">
        <v>2</v>
      </c>
    </row>
    <row r="12582" spans="1:9" x14ac:dyDescent="0.25">
      <c r="A12582" s="515">
        <v>22973</v>
      </c>
      <c r="B12582" s="515" t="s">
        <v>630</v>
      </c>
      <c r="C12582" s="52">
        <v>274383.61722934601</v>
      </c>
      <c r="D12582" s="56">
        <v>9.1837998897353765E-2</v>
      </c>
      <c r="E12582" s="224" t="s">
        <v>2</v>
      </c>
      <c r="F12582" s="515" t="s">
        <v>13770</v>
      </c>
      <c r="G12582" s="52">
        <v>186385.07615013901</v>
      </c>
      <c r="H12582" s="56">
        <v>6.5043072489364778E-2</v>
      </c>
      <c r="I12582" s="224" t="s">
        <v>2</v>
      </c>
    </row>
    <row r="12583" spans="1:9" x14ac:dyDescent="0.25">
      <c r="A12583" s="515">
        <v>83110</v>
      </c>
      <c r="C12583" s="52">
        <v>433892.24695504003</v>
      </c>
      <c r="D12583" s="56">
        <v>0.1793984531005684</v>
      </c>
      <c r="E12583" s="224" t="s">
        <v>2</v>
      </c>
      <c r="F12583" s="515" t="s">
        <v>13771</v>
      </c>
      <c r="G12583" s="52">
        <v>203735.61984140601</v>
      </c>
      <c r="H12583" s="56">
        <v>3.6342590011903347E-2</v>
      </c>
      <c r="I12583" s="224" t="s">
        <v>2</v>
      </c>
    </row>
    <row r="12584" spans="1:9" x14ac:dyDescent="0.25">
      <c r="A12584" s="515">
        <v>8056</v>
      </c>
      <c r="B12584" s="515" t="s">
        <v>294</v>
      </c>
      <c r="C12584" s="52">
        <v>487585.20454790001</v>
      </c>
      <c r="D12584" s="56">
        <v>5.5830598686684177E-2</v>
      </c>
      <c r="E12584" s="224" t="s">
        <v>2</v>
      </c>
      <c r="F12584" s="515" t="s">
        <v>13772</v>
      </c>
      <c r="G12584" s="52">
        <v>1411639.7340967399</v>
      </c>
      <c r="H12584" s="56">
        <v>9.4307667364130265E-2</v>
      </c>
      <c r="I12584" s="224" t="s">
        <v>2</v>
      </c>
    </row>
    <row r="12585" spans="1:9" x14ac:dyDescent="0.25">
      <c r="A12585" s="515">
        <v>71857</v>
      </c>
      <c r="B12585" s="515" t="s">
        <v>764</v>
      </c>
      <c r="C12585" s="52">
        <v>67870.416304448197</v>
      </c>
      <c r="D12585" s="56">
        <v>6.7008111923804001E-2</v>
      </c>
      <c r="E12585" s="224" t="s">
        <v>2</v>
      </c>
      <c r="F12585" s="515" t="s">
        <v>13773</v>
      </c>
      <c r="G12585" s="52">
        <v>133347.533902458</v>
      </c>
      <c r="H12585" s="56">
        <v>8.8961023196319142E-2</v>
      </c>
      <c r="I12585" s="224" t="s">
        <v>2</v>
      </c>
    </row>
    <row r="12586" spans="1:9" x14ac:dyDescent="0.25">
      <c r="A12586" s="515">
        <v>8091</v>
      </c>
      <c r="B12586" s="515" t="s">
        <v>294</v>
      </c>
      <c r="C12586" s="52">
        <v>273784.24844860501</v>
      </c>
      <c r="D12586" s="56">
        <v>9.6089423767010254E-2</v>
      </c>
      <c r="E12586" s="224" t="s">
        <v>2</v>
      </c>
      <c r="F12586" s="515" t="s">
        <v>13774</v>
      </c>
      <c r="G12586" s="52">
        <v>231285.54618366199</v>
      </c>
      <c r="H12586" s="56">
        <v>3.8320693852551102E-2</v>
      </c>
      <c r="I12586" s="224" t="s">
        <v>2</v>
      </c>
    </row>
    <row r="12587" spans="1:9" x14ac:dyDescent="0.25">
      <c r="A12587" s="515">
        <v>75948</v>
      </c>
      <c r="C12587" s="52">
        <v>179137.774138106</v>
      </c>
      <c r="D12587" s="56">
        <v>-7.896879074565084E-3</v>
      </c>
      <c r="E12587" s="224" t="s">
        <v>2</v>
      </c>
      <c r="F12587" s="515" t="s">
        <v>13775</v>
      </c>
      <c r="G12587" s="52">
        <v>289168.53170942701</v>
      </c>
      <c r="H12587" s="56">
        <v>4.7541338591848753E-2</v>
      </c>
      <c r="I12587" s="224" t="s">
        <v>2</v>
      </c>
    </row>
    <row r="12588" spans="1:9" x14ac:dyDescent="0.25">
      <c r="A12588" s="515">
        <v>14009</v>
      </c>
      <c r="C12588" s="52">
        <v>188874.28255145799</v>
      </c>
      <c r="D12588" s="56">
        <v>9.4491360037131975E-2</v>
      </c>
      <c r="E12588" s="224" t="s">
        <v>2</v>
      </c>
      <c r="F12588" s="515" t="s">
        <v>13776</v>
      </c>
      <c r="G12588" s="52">
        <v>227213.58404853899</v>
      </c>
      <c r="H12588" s="56">
        <v>7.6372573879516931E-2</v>
      </c>
      <c r="I12588" s="224" t="s">
        <v>2</v>
      </c>
    </row>
    <row r="12589" spans="1:9" x14ac:dyDescent="0.25">
      <c r="A12589" s="515">
        <v>30183</v>
      </c>
      <c r="B12589" s="515" t="s">
        <v>957</v>
      </c>
      <c r="C12589" s="52">
        <v>396555.86059676</v>
      </c>
      <c r="D12589" s="56">
        <v>9.0759702163885611E-2</v>
      </c>
      <c r="E12589" s="224" t="s">
        <v>2</v>
      </c>
      <c r="F12589" s="515" t="s">
        <v>13777</v>
      </c>
      <c r="G12589" s="52">
        <v>136931.449312438</v>
      </c>
      <c r="H12589" s="56">
        <v>0</v>
      </c>
      <c r="I12589" s="224" t="s">
        <v>2</v>
      </c>
    </row>
    <row r="12590" spans="1:9" x14ac:dyDescent="0.25">
      <c r="A12590" s="515">
        <v>56544</v>
      </c>
      <c r="C12590" s="52">
        <v>299995.75848294602</v>
      </c>
      <c r="D12590" s="56">
        <v>0.10594293149296861</v>
      </c>
      <c r="E12590" s="224" t="s">
        <v>2</v>
      </c>
      <c r="F12590" s="515" t="s">
        <v>13778</v>
      </c>
      <c r="G12590" s="52">
        <v>182448.21735953799</v>
      </c>
      <c r="H12590" s="56">
        <v>0.12019537972930169</v>
      </c>
      <c r="I12590" s="224" t="s">
        <v>2</v>
      </c>
    </row>
    <row r="12591" spans="1:9" x14ac:dyDescent="0.25">
      <c r="A12591" s="515">
        <v>26037</v>
      </c>
      <c r="B12591" s="515" t="s">
        <v>389</v>
      </c>
      <c r="C12591" s="52">
        <v>112032.841031107</v>
      </c>
      <c r="D12591" s="56">
        <v>0.10852923741637602</v>
      </c>
      <c r="E12591" s="224" t="s">
        <v>2</v>
      </c>
      <c r="F12591" s="515" t="s">
        <v>13779</v>
      </c>
      <c r="G12591" s="52">
        <v>101744.55109285</v>
      </c>
      <c r="H12591" s="56">
        <v>6.7834672118886399E-2</v>
      </c>
      <c r="I12591" s="224" t="s">
        <v>2</v>
      </c>
    </row>
    <row r="12592" spans="1:9" x14ac:dyDescent="0.25">
      <c r="A12592" s="515">
        <v>37096</v>
      </c>
      <c r="C12592" s="52">
        <v>144774.23983931399</v>
      </c>
      <c r="D12592" s="56">
        <v>5.0197881197551288E-2</v>
      </c>
      <c r="E12592" s="224" t="s">
        <v>2</v>
      </c>
      <c r="F12592" s="515" t="s">
        <v>13780</v>
      </c>
      <c r="G12592" s="52">
        <v>702639.77014387795</v>
      </c>
      <c r="H12592" s="56">
        <v>0.19146902764783411</v>
      </c>
      <c r="I12592" s="224" t="s">
        <v>2</v>
      </c>
    </row>
    <row r="12593" spans="1:9" x14ac:dyDescent="0.25">
      <c r="A12593" s="515">
        <v>99025</v>
      </c>
      <c r="B12593" s="515" t="s">
        <v>820</v>
      </c>
      <c r="C12593" s="52">
        <v>455025.10736869503</v>
      </c>
      <c r="D12593" s="56">
        <v>3.1768780272614039E-2</v>
      </c>
      <c r="E12593" s="224" t="s">
        <v>2</v>
      </c>
      <c r="F12593" s="515" t="s">
        <v>13781</v>
      </c>
      <c r="G12593" s="52">
        <v>65306.1959782634</v>
      </c>
      <c r="H12593" s="56">
        <v>0</v>
      </c>
      <c r="I12593" s="224" t="s">
        <v>2</v>
      </c>
    </row>
    <row r="12594" spans="1:9" x14ac:dyDescent="0.25">
      <c r="A12594" s="515">
        <v>36268</v>
      </c>
      <c r="B12594" s="515" t="s">
        <v>523</v>
      </c>
      <c r="C12594" s="52">
        <v>142029.20612668499</v>
      </c>
      <c r="D12594" s="56">
        <v>3.4620010555408203E-3</v>
      </c>
      <c r="E12594" s="224" t="s">
        <v>2</v>
      </c>
      <c r="F12594" s="515" t="s">
        <v>13782</v>
      </c>
      <c r="G12594" s="52">
        <v>341711.06899066502</v>
      </c>
      <c r="H12594" s="56">
        <v>0.10462380927196939</v>
      </c>
      <c r="I12594" s="224" t="s">
        <v>2</v>
      </c>
    </row>
    <row r="12595" spans="1:9" x14ac:dyDescent="0.25">
      <c r="A12595" s="515">
        <v>74881</v>
      </c>
      <c r="B12595" s="515" t="s">
        <v>385</v>
      </c>
      <c r="C12595" s="52">
        <v>147909.67205322499</v>
      </c>
      <c r="D12595" s="56">
        <v>6.8588728382389275E-2</v>
      </c>
      <c r="E12595" s="224" t="s">
        <v>2</v>
      </c>
      <c r="F12595" s="515" t="s">
        <v>13783</v>
      </c>
      <c r="G12595" s="52">
        <v>111706.22143443501</v>
      </c>
      <c r="H12595" s="56">
        <v>0.1622482002232172</v>
      </c>
      <c r="I12595" s="224" t="s">
        <v>2</v>
      </c>
    </row>
    <row r="12596" spans="1:9" x14ac:dyDescent="0.25">
      <c r="A12596" s="515">
        <v>55963</v>
      </c>
      <c r="B12596" s="515" t="s">
        <v>663</v>
      </c>
      <c r="C12596" s="52">
        <v>332077.183753221</v>
      </c>
      <c r="D12596" s="56">
        <v>8.212495585050586E-2</v>
      </c>
      <c r="E12596" s="224" t="s">
        <v>2</v>
      </c>
      <c r="F12596" s="515" t="s">
        <v>13784</v>
      </c>
      <c r="G12596" s="52">
        <v>185269.60994994399</v>
      </c>
      <c r="H12596" s="56">
        <v>0.14974271928869937</v>
      </c>
      <c r="I12596" s="224" t="s">
        <v>2</v>
      </c>
    </row>
    <row r="12597" spans="1:9" x14ac:dyDescent="0.25">
      <c r="A12597" s="515">
        <v>38849</v>
      </c>
      <c r="B12597" s="515" t="s">
        <v>1010</v>
      </c>
      <c r="C12597" s="52">
        <v>174756.23381850999</v>
      </c>
      <c r="D12597" s="56">
        <v>5.040374337878447E-2</v>
      </c>
      <c r="E12597" s="224" t="s">
        <v>2</v>
      </c>
      <c r="F12597" s="515" t="s">
        <v>13785</v>
      </c>
      <c r="G12597" s="52">
        <v>165490.87826969201</v>
      </c>
      <c r="H12597" s="56">
        <v>5.2859329068911554E-2</v>
      </c>
      <c r="I12597" s="224" t="s">
        <v>2</v>
      </c>
    </row>
    <row r="12598" spans="1:9" x14ac:dyDescent="0.25">
      <c r="A12598" s="515">
        <v>71327</v>
      </c>
      <c r="C12598" s="52">
        <v>88717.082067759897</v>
      </c>
      <c r="D12598" s="56">
        <v>6.5569970083152213E-2</v>
      </c>
      <c r="E12598" s="224" t="s">
        <v>2</v>
      </c>
      <c r="F12598" s="515" t="s">
        <v>13786</v>
      </c>
      <c r="G12598" s="52">
        <v>431142.71051491698</v>
      </c>
      <c r="H12598" s="56">
        <v>6.1707081826811262E-2</v>
      </c>
      <c r="I12598" s="224" t="s">
        <v>2</v>
      </c>
    </row>
    <row r="12599" spans="1:9" x14ac:dyDescent="0.25">
      <c r="A12599" s="515">
        <v>62906</v>
      </c>
      <c r="C12599" s="52">
        <v>97778.0481573297</v>
      </c>
      <c r="D12599" s="56">
        <v>0.14201961375126587</v>
      </c>
      <c r="E12599" s="224" t="s">
        <v>2</v>
      </c>
      <c r="F12599" s="515" t="s">
        <v>13787</v>
      </c>
      <c r="G12599" s="52">
        <v>196092.75963627701</v>
      </c>
      <c r="H12599" s="56">
        <v>5.9782713549403461E-2</v>
      </c>
      <c r="I12599" s="224" t="s">
        <v>2</v>
      </c>
    </row>
    <row r="12600" spans="1:9" x14ac:dyDescent="0.25">
      <c r="A12600" s="515">
        <v>39119</v>
      </c>
      <c r="B12600" s="515" t="s">
        <v>1074</v>
      </c>
      <c r="C12600" s="52">
        <v>113405.613873326</v>
      </c>
      <c r="D12600" s="56">
        <v>-3.8497539769261034E-2</v>
      </c>
      <c r="E12600" s="224" t="s">
        <v>2</v>
      </c>
      <c r="F12600" s="515" t="s">
        <v>13788</v>
      </c>
      <c r="G12600" s="52">
        <v>108217.749584317</v>
      </c>
      <c r="H12600" s="56">
        <v>2.2337224303425482E-2</v>
      </c>
      <c r="I12600" s="224" t="s">
        <v>2</v>
      </c>
    </row>
    <row r="12601" spans="1:9" x14ac:dyDescent="0.25">
      <c r="A12601" s="515">
        <v>48353</v>
      </c>
      <c r="B12601" s="515" t="s">
        <v>685</v>
      </c>
      <c r="C12601" s="52">
        <v>341766.897986011</v>
      </c>
      <c r="D12601" s="56">
        <v>7.7089420544188839E-2</v>
      </c>
      <c r="E12601" s="224" t="s">
        <v>2</v>
      </c>
      <c r="F12601" s="515" t="s">
        <v>13789</v>
      </c>
      <c r="G12601" s="52">
        <v>159121.202697687</v>
      </c>
      <c r="H12601" s="56">
        <v>8.7986850180601234E-2</v>
      </c>
      <c r="I12601" s="224" t="s">
        <v>2</v>
      </c>
    </row>
    <row r="12602" spans="1:9" x14ac:dyDescent="0.25">
      <c r="A12602" s="515">
        <v>29511</v>
      </c>
      <c r="B12602" s="515" t="s">
        <v>703</v>
      </c>
      <c r="C12602" s="52">
        <v>279446.16685462999</v>
      </c>
      <c r="D12602" s="56">
        <v>0.13318995414743867</v>
      </c>
      <c r="E12602" s="224" t="s">
        <v>2</v>
      </c>
      <c r="F12602" s="515" t="s">
        <v>13790</v>
      </c>
      <c r="G12602" s="52">
        <v>240540.13680970899</v>
      </c>
      <c r="H12602" s="56">
        <v>0.14122911293336468</v>
      </c>
      <c r="I12602" s="224" t="s">
        <v>2</v>
      </c>
    </row>
    <row r="12603" spans="1:9" x14ac:dyDescent="0.25">
      <c r="A12603" s="515">
        <v>68822</v>
      </c>
      <c r="C12603" s="52">
        <v>159367.935510957</v>
      </c>
      <c r="D12603" s="56">
        <v>4.5676494667933146E-4</v>
      </c>
      <c r="E12603" s="224" t="s">
        <v>2</v>
      </c>
      <c r="F12603" s="515" t="s">
        <v>13791</v>
      </c>
      <c r="G12603" s="52">
        <v>414252.085052807</v>
      </c>
      <c r="H12603" s="56">
        <v>0.12358528499504391</v>
      </c>
      <c r="I12603" s="224" t="s">
        <v>2</v>
      </c>
    </row>
    <row r="12604" spans="1:9" x14ac:dyDescent="0.25">
      <c r="A12604" s="515">
        <v>21791</v>
      </c>
      <c r="B12604" s="515" t="s">
        <v>321</v>
      </c>
      <c r="C12604" s="52">
        <v>374394.12161062</v>
      </c>
      <c r="D12604" s="56">
        <v>3.9994225646260484E-2</v>
      </c>
      <c r="E12604" s="224" t="s">
        <v>2</v>
      </c>
      <c r="F12604" s="515" t="s">
        <v>13792</v>
      </c>
      <c r="G12604" s="52">
        <v>226943.230159564</v>
      </c>
      <c r="H12604" s="56">
        <v>0.14528988983097652</v>
      </c>
      <c r="I12604" s="224" t="s">
        <v>2</v>
      </c>
    </row>
    <row r="12605" spans="1:9" x14ac:dyDescent="0.25">
      <c r="A12605" s="515">
        <v>96064</v>
      </c>
      <c r="C12605" s="52">
        <v>238762.880504156</v>
      </c>
      <c r="D12605" s="56">
        <v>9.1792625829945299E-3</v>
      </c>
      <c r="E12605" s="224" t="s">
        <v>2</v>
      </c>
      <c r="F12605" s="515" t="s">
        <v>13793</v>
      </c>
      <c r="G12605" s="52">
        <v>172188.72953234901</v>
      </c>
      <c r="H12605" s="56">
        <v>-5.2193891020465462E-3</v>
      </c>
      <c r="I12605" s="224" t="s">
        <v>2</v>
      </c>
    </row>
    <row r="12606" spans="1:9" x14ac:dyDescent="0.25">
      <c r="A12606" s="515">
        <v>60954</v>
      </c>
      <c r="B12606" s="515" t="s">
        <v>774</v>
      </c>
      <c r="C12606" s="52">
        <v>133835.85432679101</v>
      </c>
      <c r="D12606" s="56">
        <v>3.8064217091571532E-2</v>
      </c>
      <c r="E12606" s="224" t="s">
        <v>2</v>
      </c>
      <c r="F12606" s="515" t="s">
        <v>13794</v>
      </c>
      <c r="G12606" s="52">
        <v>108541.82081253</v>
      </c>
      <c r="H12606" s="56">
        <v>1.6333183463352084E-2</v>
      </c>
      <c r="I12606" s="224" t="s">
        <v>2</v>
      </c>
    </row>
    <row r="12607" spans="1:9" x14ac:dyDescent="0.25">
      <c r="A12607" s="515">
        <v>54114</v>
      </c>
      <c r="B12607" s="515" t="s">
        <v>923</v>
      </c>
      <c r="C12607" s="52">
        <v>162768.184222212</v>
      </c>
      <c r="D12607" s="56">
        <v>0.10634911522568194</v>
      </c>
      <c r="E12607" s="224" t="s">
        <v>2</v>
      </c>
      <c r="F12607" s="515" t="s">
        <v>13795</v>
      </c>
      <c r="G12607" s="52">
        <v>134679.958129362</v>
      </c>
      <c r="H12607" s="56">
        <v>0.10897542390660329</v>
      </c>
      <c r="I12607" s="224" t="s">
        <v>2</v>
      </c>
    </row>
    <row r="12608" spans="1:9" x14ac:dyDescent="0.25">
      <c r="A12608" s="515">
        <v>54612</v>
      </c>
      <c r="C12608" s="52">
        <v>196120.59980328401</v>
      </c>
      <c r="D12608" s="56">
        <v>1.4992590834201156E-2</v>
      </c>
      <c r="E12608" s="224" t="s">
        <v>2</v>
      </c>
      <c r="F12608" s="515" t="s">
        <v>13796</v>
      </c>
      <c r="G12608" s="52">
        <v>122566.824734134</v>
      </c>
      <c r="H12608" s="56">
        <v>0.21229491519459814</v>
      </c>
      <c r="I12608" s="224" t="s">
        <v>2</v>
      </c>
    </row>
    <row r="12609" spans="1:9" x14ac:dyDescent="0.25">
      <c r="A12609" s="515">
        <v>47246</v>
      </c>
      <c r="B12609" s="515" t="s">
        <v>729</v>
      </c>
      <c r="C12609" s="52">
        <v>210129.26400086601</v>
      </c>
      <c r="D12609" s="56">
        <v>0.13675610668486932</v>
      </c>
      <c r="E12609" s="224" t="s">
        <v>2</v>
      </c>
      <c r="F12609" s="515" t="s">
        <v>13797</v>
      </c>
      <c r="G12609" s="52">
        <v>208274.19322925899</v>
      </c>
      <c r="H12609" s="56">
        <v>4.0457025255710259E-2</v>
      </c>
      <c r="I12609" s="224" t="s">
        <v>2</v>
      </c>
    </row>
    <row r="12610" spans="1:9" x14ac:dyDescent="0.25">
      <c r="A12610" s="515">
        <v>44676</v>
      </c>
      <c r="B12610" s="515" t="s">
        <v>1136</v>
      </c>
      <c r="C12610" s="52">
        <v>303509.86584048002</v>
      </c>
      <c r="D12610" s="56">
        <v>0.48920598347654398</v>
      </c>
      <c r="E12610" s="224" t="s">
        <v>2</v>
      </c>
      <c r="F12610" s="515" t="s">
        <v>13798</v>
      </c>
      <c r="G12610" s="52">
        <v>163521.25982971099</v>
      </c>
      <c r="H12610" s="56">
        <v>7.8469878750721089E-2</v>
      </c>
      <c r="I12610" s="224" t="s">
        <v>2</v>
      </c>
    </row>
    <row r="12611" spans="1:9" x14ac:dyDescent="0.25">
      <c r="A12611" s="515">
        <v>12518</v>
      </c>
      <c r="B12611" s="515" t="s">
        <v>529</v>
      </c>
      <c r="C12611" s="52">
        <v>437801.349374365</v>
      </c>
      <c r="D12611" s="56">
        <v>8.3808353754342493E-2</v>
      </c>
      <c r="E12611" s="224" t="s">
        <v>2</v>
      </c>
      <c r="F12611" s="515" t="s">
        <v>13799</v>
      </c>
      <c r="G12611" s="52">
        <v>145270.22808257901</v>
      </c>
      <c r="H12611" s="56">
        <v>9.2058881111266685E-2</v>
      </c>
      <c r="I12611" s="224" t="s">
        <v>2</v>
      </c>
    </row>
    <row r="12612" spans="1:9" x14ac:dyDescent="0.25">
      <c r="A12612" s="515">
        <v>70591</v>
      </c>
      <c r="B12612" s="515" t="s">
        <v>1156</v>
      </c>
      <c r="C12612" s="52">
        <v>112472.189858714</v>
      </c>
      <c r="D12612" s="56">
        <v>-4.4449063982054039E-2</v>
      </c>
      <c r="E12612" s="224" t="s">
        <v>2</v>
      </c>
      <c r="F12612" s="515" t="s">
        <v>13800</v>
      </c>
      <c r="G12612" s="52">
        <v>164378.62759592399</v>
      </c>
      <c r="H12612" s="56">
        <v>0.15184281892296289</v>
      </c>
      <c r="I12612" s="224" t="s">
        <v>2</v>
      </c>
    </row>
    <row r="12613" spans="1:9" x14ac:dyDescent="0.25">
      <c r="A12613" s="515">
        <v>76834</v>
      </c>
      <c r="C12613" s="52">
        <v>72206.605181478095</v>
      </c>
      <c r="D12613" s="56">
        <v>-3.6052271857483615E-3</v>
      </c>
      <c r="E12613" s="224" t="s">
        <v>2</v>
      </c>
      <c r="F12613" s="515" t="s">
        <v>13801</v>
      </c>
      <c r="G12613" s="52">
        <v>164505.08378672801</v>
      </c>
      <c r="H12613" s="56">
        <v>2.1695270685587409E-2</v>
      </c>
      <c r="I12613" s="224" t="s">
        <v>2</v>
      </c>
    </row>
    <row r="12614" spans="1:9" x14ac:dyDescent="0.25">
      <c r="A12614" s="515">
        <v>18414</v>
      </c>
      <c r="B12614" s="515" t="s">
        <v>512</v>
      </c>
      <c r="C12614" s="52">
        <v>250103.88166680501</v>
      </c>
      <c r="D12614" s="56">
        <v>1.6172196796603363E-2</v>
      </c>
      <c r="E12614" s="224" t="s">
        <v>2</v>
      </c>
      <c r="F12614" s="515" t="s">
        <v>13802</v>
      </c>
      <c r="G12614" s="52">
        <v>153953.42013218699</v>
      </c>
      <c r="H12614" s="56">
        <v>4.1956914715511461E-2</v>
      </c>
      <c r="I12614" s="224" t="s">
        <v>2</v>
      </c>
    </row>
    <row r="12615" spans="1:9" x14ac:dyDescent="0.25">
      <c r="A12615" s="515">
        <v>47356</v>
      </c>
      <c r="B12615" s="515" t="s">
        <v>421</v>
      </c>
      <c r="C12615" s="52">
        <v>195542.23006602301</v>
      </c>
      <c r="D12615" s="56">
        <v>9.2458233815392282E-2</v>
      </c>
      <c r="E12615" s="224" t="s">
        <v>2</v>
      </c>
      <c r="F12615" s="515" t="s">
        <v>13803</v>
      </c>
      <c r="G12615" s="52">
        <v>231117.57635496199</v>
      </c>
      <c r="H12615" s="56">
        <v>0.12349333440738838</v>
      </c>
      <c r="I12615" s="224" t="s">
        <v>2</v>
      </c>
    </row>
    <row r="12616" spans="1:9" x14ac:dyDescent="0.25">
      <c r="A12616" s="515">
        <v>18661</v>
      </c>
      <c r="B12616" s="515" t="s">
        <v>512</v>
      </c>
      <c r="C12616" s="52">
        <v>184161.70581880401</v>
      </c>
      <c r="D12616" s="56">
        <v>0.10039311821525788</v>
      </c>
      <c r="E12616" s="224" t="s">
        <v>2</v>
      </c>
      <c r="F12616" s="515" t="s">
        <v>13804</v>
      </c>
      <c r="G12616" s="52">
        <v>215646.88964614499</v>
      </c>
      <c r="H12616" s="56">
        <v>9.3223737516987731E-2</v>
      </c>
      <c r="I12616" s="224" t="s">
        <v>2</v>
      </c>
    </row>
    <row r="12617" spans="1:9" x14ac:dyDescent="0.25">
      <c r="A12617" s="515">
        <v>60469</v>
      </c>
      <c r="B12617" s="515" t="s">
        <v>394</v>
      </c>
      <c r="C12617" s="52">
        <v>175755.905573233</v>
      </c>
      <c r="D12617" s="56">
        <v>7.7570427140752574E-2</v>
      </c>
      <c r="E12617" s="224" t="s">
        <v>2</v>
      </c>
      <c r="F12617" s="515" t="s">
        <v>13805</v>
      </c>
      <c r="G12617" s="52">
        <v>219250.95709767099</v>
      </c>
      <c r="H12617" s="56">
        <v>3.679095067516281E-2</v>
      </c>
      <c r="I12617" s="224" t="s">
        <v>2</v>
      </c>
    </row>
    <row r="12618" spans="1:9" x14ac:dyDescent="0.25">
      <c r="A12618" s="515">
        <v>99003</v>
      </c>
      <c r="B12618" s="515" t="s">
        <v>820</v>
      </c>
      <c r="C12618" s="52">
        <v>544960.74854298995</v>
      </c>
      <c r="D12618" s="56">
        <v>3.8508544004079569E-2</v>
      </c>
      <c r="E12618" s="224" t="s">
        <v>2</v>
      </c>
      <c r="F12618" s="515" t="s">
        <v>13806</v>
      </c>
      <c r="G12618" s="52">
        <v>179538.10997406399</v>
      </c>
      <c r="H12618" s="56">
        <v>8.7629295872305668E-2</v>
      </c>
      <c r="I12618" s="224" t="s">
        <v>2</v>
      </c>
    </row>
    <row r="12619" spans="1:9" x14ac:dyDescent="0.25">
      <c r="A12619" s="515">
        <v>54983</v>
      </c>
      <c r="C12619" s="52">
        <v>201595.87732181701</v>
      </c>
      <c r="D12619" s="56">
        <v>4.1270258024365791E-2</v>
      </c>
      <c r="E12619" s="224" t="s">
        <v>2</v>
      </c>
      <c r="F12619" s="515" t="s">
        <v>13807</v>
      </c>
      <c r="G12619" s="52">
        <v>141686.55472753299</v>
      </c>
      <c r="H12619" s="56">
        <v>8.3336632900657057E-2</v>
      </c>
      <c r="I12619" s="224" t="s">
        <v>2</v>
      </c>
    </row>
    <row r="12620" spans="1:9" x14ac:dyDescent="0.25">
      <c r="A12620" s="515">
        <v>55808</v>
      </c>
      <c r="B12620" s="515" t="s">
        <v>350</v>
      </c>
      <c r="C12620" s="52">
        <v>180990.08406713701</v>
      </c>
      <c r="D12620" s="56">
        <v>2.2721488167033069E-2</v>
      </c>
      <c r="E12620" s="224" t="s">
        <v>2</v>
      </c>
      <c r="F12620" s="515" t="s">
        <v>13808</v>
      </c>
      <c r="G12620" s="52">
        <v>192257.466477145</v>
      </c>
      <c r="H12620" s="56">
        <v>0</v>
      </c>
      <c r="I12620" s="224" t="s">
        <v>2</v>
      </c>
    </row>
    <row r="12621" spans="1:9" x14ac:dyDescent="0.25">
      <c r="A12621" s="515">
        <v>75457</v>
      </c>
      <c r="C12621" s="52">
        <v>243922.54720552801</v>
      </c>
      <c r="D12621" s="56">
        <v>3.6236401433054392E-2</v>
      </c>
      <c r="E12621" s="224" t="s">
        <v>2</v>
      </c>
      <c r="F12621" s="515" t="s">
        <v>13809</v>
      </c>
      <c r="G12621" s="52">
        <v>520121.08786200703</v>
      </c>
      <c r="H12621" s="56">
        <v>0.11283813349440242</v>
      </c>
      <c r="I12621" s="224" t="s">
        <v>2</v>
      </c>
    </row>
    <row r="12622" spans="1:9" x14ac:dyDescent="0.25">
      <c r="A12622" s="515">
        <v>92372</v>
      </c>
      <c r="B12622" s="515" t="s">
        <v>599</v>
      </c>
      <c r="C12622" s="52">
        <v>417976.91211034998</v>
      </c>
      <c r="D12622" s="56">
        <v>1.7660362579707302E-2</v>
      </c>
      <c r="E12622" s="224" t="s">
        <v>2</v>
      </c>
      <c r="F12622" s="515" t="s">
        <v>13810</v>
      </c>
      <c r="G12622" s="52">
        <v>209569.340410037</v>
      </c>
      <c r="H12622" s="56">
        <v>8.3737217751752149E-2</v>
      </c>
      <c r="I12622" s="224" t="s">
        <v>2</v>
      </c>
    </row>
    <row r="12623" spans="1:9" x14ac:dyDescent="0.25">
      <c r="A12623" s="515">
        <v>77856</v>
      </c>
      <c r="B12623" s="515" t="s">
        <v>346</v>
      </c>
      <c r="C12623" s="52">
        <v>285415.38847554597</v>
      </c>
      <c r="D12623" s="56">
        <v>-5.4759250224899289E-2</v>
      </c>
      <c r="E12623" s="224" t="s">
        <v>2</v>
      </c>
      <c r="F12623" s="515" t="s">
        <v>13811</v>
      </c>
      <c r="G12623" s="52">
        <v>267582.78344067303</v>
      </c>
      <c r="H12623" s="56">
        <v>9.0104729752979465E-2</v>
      </c>
      <c r="I12623" s="224" t="s">
        <v>2</v>
      </c>
    </row>
    <row r="12624" spans="1:9" x14ac:dyDescent="0.25">
      <c r="A12624" s="515">
        <v>6524</v>
      </c>
      <c r="B12624" s="515" t="s">
        <v>1172</v>
      </c>
      <c r="C12624" s="52">
        <v>441331.84125477198</v>
      </c>
      <c r="D12624" s="56">
        <v>9.3520047188665995E-2</v>
      </c>
      <c r="E12624" s="224" t="s">
        <v>2</v>
      </c>
      <c r="F12624" s="515" t="s">
        <v>13812</v>
      </c>
      <c r="G12624" s="52">
        <v>184917.86035018301</v>
      </c>
      <c r="H12624" s="56">
        <v>3.9102141144605182E-2</v>
      </c>
      <c r="I12624" s="224" t="s">
        <v>2</v>
      </c>
    </row>
    <row r="12625" spans="1:9" x14ac:dyDescent="0.25">
      <c r="A12625" s="515">
        <v>60957</v>
      </c>
      <c r="C12625" s="52">
        <v>112076.233402981</v>
      </c>
      <c r="D12625" s="56">
        <v>3.0152946532011886E-2</v>
      </c>
      <c r="E12625" s="224" t="s">
        <v>2</v>
      </c>
      <c r="F12625" s="515" t="s">
        <v>13813</v>
      </c>
      <c r="G12625" s="52">
        <v>86497.324762598</v>
      </c>
      <c r="H12625" s="56">
        <v>8.2233709013332532E-2</v>
      </c>
      <c r="I12625" s="224" t="s">
        <v>2</v>
      </c>
    </row>
    <row r="12626" spans="1:9" x14ac:dyDescent="0.25">
      <c r="A12626" s="515">
        <v>7662</v>
      </c>
      <c r="B12626" s="515" t="s">
        <v>324</v>
      </c>
      <c r="C12626" s="52">
        <v>481898.47834398702</v>
      </c>
      <c r="D12626" s="56">
        <v>4.2165805374362181E-2</v>
      </c>
      <c r="E12626" s="224" t="s">
        <v>2</v>
      </c>
      <c r="F12626" s="515" t="s">
        <v>13814</v>
      </c>
      <c r="G12626" s="52">
        <v>688456.74259931804</v>
      </c>
      <c r="H12626" s="56">
        <v>6.6958784216958944E-2</v>
      </c>
      <c r="I12626" s="224" t="s">
        <v>2</v>
      </c>
    </row>
    <row r="12627" spans="1:9" x14ac:dyDescent="0.25">
      <c r="A12627" s="515">
        <v>97523</v>
      </c>
      <c r="B12627" s="515" t="s">
        <v>626</v>
      </c>
      <c r="C12627" s="52">
        <v>295481.25033465499</v>
      </c>
      <c r="D12627" s="56">
        <v>-7.2838833669890144E-3</v>
      </c>
      <c r="E12627" s="224" t="s">
        <v>2</v>
      </c>
      <c r="F12627" s="515" t="s">
        <v>13815</v>
      </c>
      <c r="G12627" s="52">
        <v>1254792.87551486</v>
      </c>
      <c r="H12627" s="56">
        <v>3.6026514072327091E-2</v>
      </c>
      <c r="I12627" s="224" t="s">
        <v>2</v>
      </c>
    </row>
    <row r="12628" spans="1:9" x14ac:dyDescent="0.25">
      <c r="A12628" s="515">
        <v>19953</v>
      </c>
      <c r="B12628" s="515" t="s">
        <v>410</v>
      </c>
      <c r="C12628" s="52">
        <v>309018.93292427802</v>
      </c>
      <c r="D12628" s="56">
        <v>9.422129128369805E-2</v>
      </c>
      <c r="E12628" s="224" t="s">
        <v>2</v>
      </c>
      <c r="F12628" s="515" t="s">
        <v>13816</v>
      </c>
      <c r="G12628" s="52">
        <v>116792.845499831</v>
      </c>
      <c r="H12628" s="56">
        <v>-1.4344602258427227E-2</v>
      </c>
      <c r="I12628" s="224" t="s">
        <v>2</v>
      </c>
    </row>
    <row r="12629" spans="1:9" x14ac:dyDescent="0.25">
      <c r="A12629" s="515">
        <v>7420</v>
      </c>
      <c r="B12629" s="515" t="s">
        <v>324</v>
      </c>
      <c r="C12629" s="52">
        <v>374595.44206295098</v>
      </c>
      <c r="D12629" s="56">
        <v>5.5066806217756031E-2</v>
      </c>
      <c r="E12629" s="224" t="s">
        <v>2</v>
      </c>
      <c r="F12629" s="515" t="s">
        <v>13817</v>
      </c>
      <c r="G12629" s="52">
        <v>624133.29799328896</v>
      </c>
      <c r="H12629" s="56">
        <v>0.16397668565174486</v>
      </c>
      <c r="I12629" s="224" t="s">
        <v>2</v>
      </c>
    </row>
    <row r="12630" spans="1:9" x14ac:dyDescent="0.25">
      <c r="A12630" s="515">
        <v>53039</v>
      </c>
      <c r="B12630" s="515" t="s">
        <v>955</v>
      </c>
      <c r="C12630" s="52">
        <v>240401.06750568299</v>
      </c>
      <c r="D12630" s="56">
        <v>4.7598980745136056E-2</v>
      </c>
      <c r="E12630" s="224" t="s">
        <v>2</v>
      </c>
      <c r="F12630" s="515" t="s">
        <v>13818</v>
      </c>
      <c r="G12630" s="52">
        <v>192874.26047201801</v>
      </c>
      <c r="H12630" s="56">
        <v>9.4163377247351035E-2</v>
      </c>
      <c r="I12630" s="224" t="s">
        <v>2</v>
      </c>
    </row>
    <row r="12631" spans="1:9" x14ac:dyDescent="0.25">
      <c r="A12631" s="515">
        <v>30521</v>
      </c>
      <c r="C12631" s="52">
        <v>268201.328133401</v>
      </c>
      <c r="D12631" s="56">
        <v>0.13198309204721512</v>
      </c>
      <c r="E12631" s="224" t="s">
        <v>2</v>
      </c>
      <c r="F12631" s="515" t="s">
        <v>13819</v>
      </c>
      <c r="G12631" s="52">
        <v>119003.969710506</v>
      </c>
      <c r="H12631" s="56">
        <v>3.5396882775989781E-4</v>
      </c>
      <c r="I12631" s="224" t="s">
        <v>2</v>
      </c>
    </row>
    <row r="12632" spans="1:9" x14ac:dyDescent="0.25">
      <c r="A12632" s="515">
        <v>48005</v>
      </c>
      <c r="B12632" s="515" t="s">
        <v>685</v>
      </c>
      <c r="C12632" s="52">
        <v>298898.661214575</v>
      </c>
      <c r="D12632" s="56">
        <v>5.6971943596825156E-2</v>
      </c>
      <c r="E12632" s="224" t="s">
        <v>2</v>
      </c>
      <c r="F12632" s="515" t="s">
        <v>13820</v>
      </c>
      <c r="G12632" s="52">
        <v>96892.923237463503</v>
      </c>
      <c r="H12632" s="56">
        <v>0.20968426031648685</v>
      </c>
      <c r="I12632" s="224" t="s">
        <v>2</v>
      </c>
    </row>
    <row r="12633" spans="1:9" x14ac:dyDescent="0.25">
      <c r="A12633" s="515">
        <v>16828</v>
      </c>
      <c r="B12633" s="515" t="s">
        <v>491</v>
      </c>
      <c r="C12633" s="52">
        <v>296669.85844721203</v>
      </c>
      <c r="D12633" s="56">
        <v>8.2217146959045834E-2</v>
      </c>
      <c r="E12633" s="224" t="s">
        <v>2</v>
      </c>
      <c r="F12633" s="515" t="s">
        <v>13821</v>
      </c>
      <c r="G12633" s="52">
        <v>275956.56141730503</v>
      </c>
      <c r="H12633" s="56">
        <v>4.2578437798177583E-2</v>
      </c>
      <c r="I12633" s="224" t="s">
        <v>2</v>
      </c>
    </row>
    <row r="12634" spans="1:9" x14ac:dyDescent="0.25">
      <c r="A12634" s="515">
        <v>67550</v>
      </c>
      <c r="C12634" s="52">
        <v>86928.896974891293</v>
      </c>
      <c r="D12634" s="56">
        <v>0.13562029829588634</v>
      </c>
      <c r="E12634" s="224" t="s">
        <v>2</v>
      </c>
      <c r="F12634" s="515" t="s">
        <v>13822</v>
      </c>
      <c r="G12634" s="52">
        <v>270557.59457720403</v>
      </c>
      <c r="H12634" s="56">
        <v>8.8399147993371993E-2</v>
      </c>
      <c r="I12634" s="224" t="s">
        <v>2</v>
      </c>
    </row>
    <row r="12635" spans="1:9" x14ac:dyDescent="0.25">
      <c r="A12635" s="515">
        <v>2835</v>
      </c>
      <c r="B12635" s="515" t="s">
        <v>513</v>
      </c>
      <c r="C12635" s="52">
        <v>910563.37537170702</v>
      </c>
      <c r="D12635" s="56">
        <v>7.7290850712602943E-2</v>
      </c>
      <c r="E12635" s="224" t="s">
        <v>2</v>
      </c>
      <c r="F12635" s="515" t="s">
        <v>13823</v>
      </c>
      <c r="G12635" s="52">
        <v>199530.38184710799</v>
      </c>
      <c r="H12635" s="56">
        <v>5.3744778721260045E-2</v>
      </c>
      <c r="I12635" s="224" t="s">
        <v>2</v>
      </c>
    </row>
    <row r="12636" spans="1:9" x14ac:dyDescent="0.25">
      <c r="A12636" s="515">
        <v>49065</v>
      </c>
      <c r="C12636" s="52">
        <v>225758.494549581</v>
      </c>
      <c r="D12636" s="56">
        <v>7.6039613607244497E-2</v>
      </c>
      <c r="E12636" s="224" t="s">
        <v>2</v>
      </c>
      <c r="F12636" s="515" t="s">
        <v>13824</v>
      </c>
      <c r="G12636" s="52">
        <v>237715.41993601801</v>
      </c>
      <c r="H12636" s="56">
        <v>4.3006560268819806E-2</v>
      </c>
      <c r="I12636" s="224" t="s">
        <v>2</v>
      </c>
    </row>
    <row r="12637" spans="1:9" x14ac:dyDescent="0.25">
      <c r="A12637" s="515">
        <v>98047</v>
      </c>
      <c r="B12637" s="515" t="s">
        <v>384</v>
      </c>
      <c r="C12637" s="52">
        <v>496855.85980374197</v>
      </c>
      <c r="D12637" s="56">
        <v>3.1551112357855911E-2</v>
      </c>
      <c r="E12637" s="224">
        <v>1816.6111111111099</v>
      </c>
      <c r="F12637" s="515" t="s">
        <v>13825</v>
      </c>
      <c r="G12637" s="52">
        <v>238677.283585692</v>
      </c>
      <c r="H12637" s="56">
        <v>6.5091117430802203E-2</v>
      </c>
      <c r="I12637" s="224" t="s">
        <v>2</v>
      </c>
    </row>
    <row r="12638" spans="1:9" x14ac:dyDescent="0.25">
      <c r="A12638" s="515">
        <v>4009</v>
      </c>
      <c r="B12638" s="515" t="s">
        <v>570</v>
      </c>
      <c r="C12638" s="52">
        <v>361712.77190941601</v>
      </c>
      <c r="D12638" s="56">
        <v>7.3406854120067838E-2</v>
      </c>
      <c r="E12638" s="224" t="s">
        <v>2</v>
      </c>
      <c r="F12638" s="515" t="s">
        <v>13826</v>
      </c>
      <c r="G12638" s="52">
        <v>268532.89924206998</v>
      </c>
      <c r="H12638" s="56">
        <v>8.5452756316110656E-2</v>
      </c>
      <c r="I12638" s="224" t="s">
        <v>2</v>
      </c>
    </row>
    <row r="12639" spans="1:9" x14ac:dyDescent="0.25">
      <c r="A12639" s="515">
        <v>21871</v>
      </c>
      <c r="B12639" s="515" t="s">
        <v>552</v>
      </c>
      <c r="C12639" s="52">
        <v>192125.79641834399</v>
      </c>
      <c r="D12639" s="56">
        <v>4.2917150926804086E-2</v>
      </c>
      <c r="E12639" s="224" t="s">
        <v>2</v>
      </c>
      <c r="F12639" s="515" t="s">
        <v>13827</v>
      </c>
      <c r="G12639" s="52">
        <v>279431.582724682</v>
      </c>
      <c r="H12639" s="56">
        <v>0.17148401415479539</v>
      </c>
      <c r="I12639" s="224" t="s">
        <v>2</v>
      </c>
    </row>
    <row r="12640" spans="1:9" x14ac:dyDescent="0.25">
      <c r="A12640" s="515">
        <v>15110</v>
      </c>
      <c r="B12640" s="515" t="s">
        <v>297</v>
      </c>
      <c r="C12640" s="52">
        <v>54581.419226933198</v>
      </c>
      <c r="D12640" s="56">
        <v>0.30795809689125769</v>
      </c>
      <c r="E12640" s="224" t="s">
        <v>2</v>
      </c>
      <c r="F12640" s="515" t="s">
        <v>13828</v>
      </c>
      <c r="G12640" s="52">
        <v>258770.33089363601</v>
      </c>
      <c r="H12640" s="56">
        <v>2.1909722851132445E-2</v>
      </c>
      <c r="I12640" s="224" t="s">
        <v>2</v>
      </c>
    </row>
    <row r="12641" spans="1:9" x14ac:dyDescent="0.25">
      <c r="A12641" s="515">
        <v>16673</v>
      </c>
      <c r="B12641" s="515" t="s">
        <v>1086</v>
      </c>
      <c r="C12641" s="52">
        <v>169952.66110477201</v>
      </c>
      <c r="D12641" s="56">
        <v>-1.7926051035036137E-3</v>
      </c>
      <c r="E12641" s="224" t="s">
        <v>2</v>
      </c>
      <c r="F12641" s="515" t="s">
        <v>13829</v>
      </c>
      <c r="G12641" s="52">
        <v>214850.680592591</v>
      </c>
      <c r="H12641" s="56">
        <v>5.723302878167047E-2</v>
      </c>
      <c r="I12641" s="224" t="s">
        <v>2</v>
      </c>
    </row>
    <row r="12642" spans="1:9" x14ac:dyDescent="0.25">
      <c r="A12642" s="515">
        <v>5346</v>
      </c>
      <c r="C12642" s="52">
        <v>314359.00406019599</v>
      </c>
      <c r="D12642" s="56">
        <v>6.4550634600696016E-2</v>
      </c>
      <c r="E12642" s="224" t="s">
        <v>2</v>
      </c>
      <c r="F12642" s="515" t="s">
        <v>13830</v>
      </c>
      <c r="G12642" s="52">
        <v>506531.93405980099</v>
      </c>
      <c r="H12642" s="56">
        <v>3.6801635550303476E-2</v>
      </c>
      <c r="I12642" s="224" t="s">
        <v>2</v>
      </c>
    </row>
    <row r="12643" spans="1:9" x14ac:dyDescent="0.25">
      <c r="A12643" s="515">
        <v>54727</v>
      </c>
      <c r="B12643" s="515" t="s">
        <v>1028</v>
      </c>
      <c r="C12643" s="52">
        <v>243448.19016264699</v>
      </c>
      <c r="D12643" s="56">
        <v>5.9919561591282929E-2</v>
      </c>
      <c r="E12643" s="224" t="s">
        <v>2</v>
      </c>
      <c r="F12643" s="515" t="s">
        <v>13831</v>
      </c>
      <c r="G12643" s="52">
        <v>348305.19250763598</v>
      </c>
      <c r="H12643" s="56">
        <v>6.4011277233703784E-2</v>
      </c>
      <c r="I12643" s="224" t="s">
        <v>2</v>
      </c>
    </row>
    <row r="12644" spans="1:9" x14ac:dyDescent="0.25">
      <c r="A12644" s="515">
        <v>46979</v>
      </c>
      <c r="B12644" s="515" t="s">
        <v>1185</v>
      </c>
      <c r="C12644" s="52">
        <v>212047.846688908</v>
      </c>
      <c r="D12644" s="56">
        <v>3.6226282635031685E-2</v>
      </c>
      <c r="E12644" s="224" t="s">
        <v>2</v>
      </c>
      <c r="F12644" s="515" t="s">
        <v>13832</v>
      </c>
      <c r="G12644" s="52">
        <v>285854.25839796301</v>
      </c>
      <c r="H12644" s="56">
        <v>6.729284316413435E-2</v>
      </c>
      <c r="I12644" s="224" t="s">
        <v>2</v>
      </c>
    </row>
    <row r="12645" spans="1:9" x14ac:dyDescent="0.25">
      <c r="A12645" s="515">
        <v>43571</v>
      </c>
      <c r="B12645" s="515" t="s">
        <v>300</v>
      </c>
      <c r="C12645" s="52">
        <v>306125.22491471597</v>
      </c>
      <c r="D12645" s="56">
        <v>8.4326035204904989E-2</v>
      </c>
      <c r="E12645" s="224" t="s">
        <v>2</v>
      </c>
      <c r="F12645" s="515" t="s">
        <v>723</v>
      </c>
      <c r="G12645" s="52">
        <v>156986.76919355299</v>
      </c>
      <c r="H12645" s="56">
        <v>8.0361869366162436E-2</v>
      </c>
      <c r="I12645" s="224" t="s">
        <v>2</v>
      </c>
    </row>
    <row r="12646" spans="1:9" x14ac:dyDescent="0.25">
      <c r="A12646" s="515">
        <v>1035</v>
      </c>
      <c r="B12646" s="515" t="s">
        <v>575</v>
      </c>
      <c r="C12646" s="52">
        <v>447118.82064992801</v>
      </c>
      <c r="D12646" s="56">
        <v>8.4437606668299553E-2</v>
      </c>
      <c r="E12646" s="224" t="s">
        <v>2</v>
      </c>
      <c r="F12646" s="515" t="s">
        <v>13833</v>
      </c>
      <c r="G12646" s="52">
        <v>267717.86063633702</v>
      </c>
      <c r="H12646" s="56">
        <v>0.11778281629352237</v>
      </c>
      <c r="I12646" s="224" t="s">
        <v>2</v>
      </c>
    </row>
    <row r="12647" spans="1:9" x14ac:dyDescent="0.25">
      <c r="A12647" s="515">
        <v>98236</v>
      </c>
      <c r="B12647" s="515" t="s">
        <v>1146</v>
      </c>
      <c r="C12647" s="52">
        <v>646873.42592556297</v>
      </c>
      <c r="D12647" s="56">
        <v>3.3803077917593717E-2</v>
      </c>
      <c r="E12647" s="224" t="s">
        <v>2</v>
      </c>
      <c r="F12647" s="515" t="s">
        <v>13834</v>
      </c>
      <c r="G12647" s="52">
        <v>487104.32131376001</v>
      </c>
      <c r="H12647" s="56">
        <v>3.7469899384958739E-2</v>
      </c>
      <c r="I12647" s="224" t="s">
        <v>2</v>
      </c>
    </row>
    <row r="12648" spans="1:9" x14ac:dyDescent="0.25">
      <c r="A12648" s="515">
        <v>74965</v>
      </c>
      <c r="C12648" s="52">
        <v>161076.59891981899</v>
      </c>
      <c r="D12648" s="56">
        <v>0.11605103400422201</v>
      </c>
      <c r="E12648" s="224" t="s">
        <v>2</v>
      </c>
      <c r="F12648" s="515" t="s">
        <v>13835</v>
      </c>
      <c r="G12648" s="52">
        <v>163794.987895214</v>
      </c>
      <c r="H12648" s="56">
        <v>0.26047113777109793</v>
      </c>
      <c r="I12648" s="224" t="s">
        <v>2</v>
      </c>
    </row>
    <row r="12649" spans="1:9" x14ac:dyDescent="0.25">
      <c r="A12649" s="515">
        <v>77360</v>
      </c>
      <c r="C12649" s="52">
        <v>157630.51413491799</v>
      </c>
      <c r="D12649" s="56">
        <v>5.5450353541924395E-2</v>
      </c>
      <c r="E12649" s="224" t="s">
        <v>2</v>
      </c>
      <c r="F12649" s="515" t="s">
        <v>13836</v>
      </c>
      <c r="G12649" s="52">
        <v>307064.43576845899</v>
      </c>
      <c r="H12649" s="56">
        <v>7.4400166637094423E-2</v>
      </c>
      <c r="I12649" s="224" t="s">
        <v>2</v>
      </c>
    </row>
    <row r="12650" spans="1:9" x14ac:dyDescent="0.25">
      <c r="A12650" s="515">
        <v>39840</v>
      </c>
      <c r="C12650" s="52">
        <v>63640.598689470302</v>
      </c>
      <c r="D12650" s="56">
        <v>2.1144533568733817E-2</v>
      </c>
      <c r="E12650" s="224" t="s">
        <v>2</v>
      </c>
      <c r="F12650" s="515" t="s">
        <v>13837</v>
      </c>
      <c r="G12650" s="52">
        <v>328013.00395153201</v>
      </c>
      <c r="H12650" s="56">
        <v>0.16696220142163756</v>
      </c>
      <c r="I12650" s="224" t="s">
        <v>2</v>
      </c>
    </row>
    <row r="12651" spans="1:9" x14ac:dyDescent="0.25">
      <c r="A12651" s="515">
        <v>32145</v>
      </c>
      <c r="B12651" s="515" t="s">
        <v>1158</v>
      </c>
      <c r="C12651" s="52">
        <v>242247.13431257199</v>
      </c>
      <c r="D12651" s="56">
        <v>4.2431163095783937E-2</v>
      </c>
      <c r="E12651" s="224" t="s">
        <v>2</v>
      </c>
      <c r="F12651" s="515" t="s">
        <v>13838</v>
      </c>
      <c r="G12651" s="52">
        <v>294567.61099629197</v>
      </c>
      <c r="H12651" s="56">
        <v>0.15439728839226263</v>
      </c>
      <c r="I12651" s="224" t="s">
        <v>2</v>
      </c>
    </row>
    <row r="12652" spans="1:9" x14ac:dyDescent="0.25">
      <c r="A12652" s="515">
        <v>45338</v>
      </c>
      <c r="C12652" s="52">
        <v>193813.08711409001</v>
      </c>
      <c r="D12652" s="56">
        <v>7.113735756905569E-2</v>
      </c>
      <c r="E12652" s="224" t="s">
        <v>2</v>
      </c>
      <c r="F12652" s="515" t="s">
        <v>13839</v>
      </c>
      <c r="G12652" s="52">
        <v>405064.51308814401</v>
      </c>
      <c r="H12652" s="56">
        <v>7.03739848295592E-2</v>
      </c>
      <c r="I12652" s="224" t="s">
        <v>2</v>
      </c>
    </row>
    <row r="12653" spans="1:9" x14ac:dyDescent="0.25">
      <c r="A12653" s="515">
        <v>45828</v>
      </c>
      <c r="B12653" s="515" t="s">
        <v>432</v>
      </c>
      <c r="C12653" s="52">
        <v>234980.370971336</v>
      </c>
      <c r="D12653" s="56">
        <v>5.8512243535041739E-2</v>
      </c>
      <c r="E12653" s="224" t="s">
        <v>2</v>
      </c>
      <c r="F12653" s="515" t="s">
        <v>13840</v>
      </c>
      <c r="G12653" s="52">
        <v>262334.85208766302</v>
      </c>
      <c r="H12653" s="56">
        <v>4.5023152595679711E-2</v>
      </c>
      <c r="I12653" s="224" t="s">
        <v>2</v>
      </c>
    </row>
    <row r="12654" spans="1:9" x14ac:dyDescent="0.25">
      <c r="A12654" s="515">
        <v>72046</v>
      </c>
      <c r="B12654" s="515" t="s">
        <v>393</v>
      </c>
      <c r="C12654" s="52">
        <v>106919.949992182</v>
      </c>
      <c r="D12654" s="56">
        <v>7.6397213734765157E-3</v>
      </c>
      <c r="E12654" s="224" t="s">
        <v>2</v>
      </c>
      <c r="F12654" s="515" t="s">
        <v>13841</v>
      </c>
      <c r="G12654" s="52">
        <v>379048.607244946</v>
      </c>
      <c r="H12654" s="56">
        <v>7.0877182321286133E-2</v>
      </c>
      <c r="I12654" s="224" t="s">
        <v>2</v>
      </c>
    </row>
    <row r="12655" spans="1:9" x14ac:dyDescent="0.25">
      <c r="A12655" s="515">
        <v>7647</v>
      </c>
      <c r="B12655" s="515" t="s">
        <v>324</v>
      </c>
      <c r="C12655" s="52">
        <v>577927.97436989401</v>
      </c>
      <c r="D12655" s="56">
        <v>4.8217830481627443E-2</v>
      </c>
      <c r="E12655" s="224" t="s">
        <v>2</v>
      </c>
      <c r="F12655" s="515" t="s">
        <v>13842</v>
      </c>
      <c r="G12655" s="52">
        <v>139875.388017669</v>
      </c>
      <c r="H12655" s="56">
        <v>1.4705302520499716E-2</v>
      </c>
      <c r="I12655" s="224" t="s">
        <v>2</v>
      </c>
    </row>
    <row r="12656" spans="1:9" x14ac:dyDescent="0.25">
      <c r="A12656" s="515">
        <v>72732</v>
      </c>
      <c r="B12656" s="515" t="s">
        <v>675</v>
      </c>
      <c r="C12656" s="52">
        <v>325359.27475428203</v>
      </c>
      <c r="D12656" s="56">
        <v>0.15054903879987086</v>
      </c>
      <c r="E12656" s="224" t="s">
        <v>2</v>
      </c>
      <c r="F12656" s="515" t="s">
        <v>13843</v>
      </c>
      <c r="G12656" s="52">
        <v>309158.346302094</v>
      </c>
      <c r="H12656" s="56">
        <v>0.12518680666144325</v>
      </c>
      <c r="I12656" s="224" t="s">
        <v>2</v>
      </c>
    </row>
    <row r="12657" spans="1:9" x14ac:dyDescent="0.25">
      <c r="A12657" s="515">
        <v>85936</v>
      </c>
      <c r="C12657" s="52">
        <v>191713.94626410701</v>
      </c>
      <c r="D12657" s="56">
        <v>4.4672889498944261E-2</v>
      </c>
      <c r="E12657" s="224" t="s">
        <v>2</v>
      </c>
      <c r="F12657" s="515" t="s">
        <v>13844</v>
      </c>
      <c r="G12657" s="52">
        <v>187545.43349664201</v>
      </c>
      <c r="H12657" s="56">
        <v>5.4519278676943991E-2</v>
      </c>
      <c r="I12657" s="224" t="s">
        <v>2</v>
      </c>
    </row>
    <row r="12658" spans="1:9" x14ac:dyDescent="0.25">
      <c r="A12658" s="515">
        <v>59722</v>
      </c>
      <c r="C12658" s="52">
        <v>243982.814893067</v>
      </c>
      <c r="D12658" s="56">
        <v>0.10364651230336999</v>
      </c>
      <c r="E12658" s="224" t="s">
        <v>2</v>
      </c>
      <c r="F12658" s="515" t="s">
        <v>13845</v>
      </c>
      <c r="G12658" s="52">
        <v>379166.005807193</v>
      </c>
      <c r="H12658" s="56">
        <v>0.11802371380448423</v>
      </c>
      <c r="I12658" s="224" t="s">
        <v>2</v>
      </c>
    </row>
    <row r="12659" spans="1:9" x14ac:dyDescent="0.25">
      <c r="A12659" s="515">
        <v>20837</v>
      </c>
      <c r="B12659" s="515" t="s">
        <v>321</v>
      </c>
      <c r="C12659" s="52">
        <v>629623.94138753798</v>
      </c>
      <c r="D12659" s="56">
        <v>4.3379580265307596E-2</v>
      </c>
      <c r="E12659" s="224" t="s">
        <v>2</v>
      </c>
      <c r="F12659" s="515" t="s">
        <v>13846</v>
      </c>
      <c r="G12659" s="52">
        <v>175980.90697152799</v>
      </c>
      <c r="H12659" s="56">
        <v>-0.11455442509368298</v>
      </c>
      <c r="I12659" s="224" t="s">
        <v>2</v>
      </c>
    </row>
    <row r="12660" spans="1:9" x14ac:dyDescent="0.25">
      <c r="A12660" s="515">
        <v>62859</v>
      </c>
      <c r="C12660" s="52">
        <v>64756.919326632596</v>
      </c>
      <c r="D12660" s="56">
        <v>3.3555731244144342E-2</v>
      </c>
      <c r="E12660" s="224" t="s">
        <v>2</v>
      </c>
      <c r="F12660" s="515" t="s">
        <v>13847</v>
      </c>
      <c r="G12660" s="52">
        <v>127800.78304536401</v>
      </c>
      <c r="H12660" s="56">
        <v>3.4766647282445849E-2</v>
      </c>
      <c r="I12660" s="224" t="s">
        <v>2</v>
      </c>
    </row>
    <row r="12661" spans="1:9" x14ac:dyDescent="0.25">
      <c r="A12661" s="515">
        <v>32619</v>
      </c>
      <c r="B12661" s="515" t="s">
        <v>577</v>
      </c>
      <c r="C12661" s="52">
        <v>267971.88194581697</v>
      </c>
      <c r="D12661" s="56">
        <v>0.16199218492833434</v>
      </c>
      <c r="E12661" s="224" t="s">
        <v>2</v>
      </c>
      <c r="F12661" s="515" t="s">
        <v>13848</v>
      </c>
      <c r="G12661" s="52">
        <v>348905.49924372998</v>
      </c>
      <c r="H12661" s="56">
        <v>0.10191806993812312</v>
      </c>
      <c r="I12661" s="224" t="s">
        <v>2</v>
      </c>
    </row>
    <row r="12662" spans="1:9" x14ac:dyDescent="0.25">
      <c r="A12662" s="515">
        <v>13166</v>
      </c>
      <c r="B12662" s="515" t="s">
        <v>986</v>
      </c>
      <c r="C12662" s="52">
        <v>183803.64704592101</v>
      </c>
      <c r="D12662" s="56">
        <v>9.8147325361793644E-2</v>
      </c>
      <c r="E12662" s="224" t="s">
        <v>2</v>
      </c>
      <c r="F12662" s="515" t="s">
        <v>13849</v>
      </c>
      <c r="G12662" s="52">
        <v>238674.52507633399</v>
      </c>
      <c r="H12662" s="56">
        <v>2.4187318499858529E-2</v>
      </c>
      <c r="I12662" s="224" t="s">
        <v>2</v>
      </c>
    </row>
    <row r="12663" spans="1:9" x14ac:dyDescent="0.25">
      <c r="A12663" s="515">
        <v>27243</v>
      </c>
      <c r="B12663" s="515" t="s">
        <v>467</v>
      </c>
      <c r="C12663" s="52">
        <v>319802.19973336498</v>
      </c>
      <c r="D12663" s="56">
        <v>0.13213824223187046</v>
      </c>
      <c r="E12663" s="224" t="s">
        <v>2</v>
      </c>
      <c r="F12663" s="515" t="s">
        <v>13850</v>
      </c>
      <c r="G12663" s="52">
        <v>126879.71249393999</v>
      </c>
      <c r="H12663" s="56">
        <v>2.39411700023478E-2</v>
      </c>
      <c r="I12663" s="224" t="s">
        <v>2</v>
      </c>
    </row>
    <row r="12664" spans="1:9" x14ac:dyDescent="0.25">
      <c r="A12664" s="515">
        <v>19032</v>
      </c>
      <c r="B12664" s="515" t="s">
        <v>294</v>
      </c>
      <c r="C12664" s="52">
        <v>185487.12899549099</v>
      </c>
      <c r="D12664" s="56">
        <v>0.10732605297007806</v>
      </c>
      <c r="E12664" s="224" t="s">
        <v>2</v>
      </c>
      <c r="F12664" s="515" t="s">
        <v>13851</v>
      </c>
      <c r="G12664" s="52">
        <v>327866.67201076797</v>
      </c>
      <c r="H12664" s="56">
        <v>9.9107476200684455E-2</v>
      </c>
      <c r="I12664" s="224" t="s">
        <v>2</v>
      </c>
    </row>
    <row r="12665" spans="1:9" x14ac:dyDescent="0.25">
      <c r="A12665" s="515">
        <v>30582</v>
      </c>
      <c r="C12665" s="52">
        <v>340744.504017687</v>
      </c>
      <c r="D12665" s="56">
        <v>7.1948735612670164E-2</v>
      </c>
      <c r="E12665" s="224" t="s">
        <v>2</v>
      </c>
      <c r="F12665" s="515" t="s">
        <v>13852</v>
      </c>
      <c r="G12665" s="52">
        <v>85658.030357843396</v>
      </c>
      <c r="H12665" s="56">
        <v>0.43350618147663106</v>
      </c>
      <c r="I12665" s="224" t="s">
        <v>2</v>
      </c>
    </row>
    <row r="12666" spans="1:9" x14ac:dyDescent="0.25">
      <c r="A12666" s="515">
        <v>43460</v>
      </c>
      <c r="B12666" s="515" t="s">
        <v>300</v>
      </c>
      <c r="C12666" s="52">
        <v>172186.59914451599</v>
      </c>
      <c r="D12666" s="56">
        <v>5.1790769838401855E-2</v>
      </c>
      <c r="E12666" s="224" t="s">
        <v>2</v>
      </c>
      <c r="F12666" s="515" t="s">
        <v>13853</v>
      </c>
      <c r="G12666" s="52">
        <v>507413.688632807</v>
      </c>
      <c r="H12666" s="56">
        <v>0.12239160594447399</v>
      </c>
      <c r="I12666" s="224" t="s">
        <v>2</v>
      </c>
    </row>
    <row r="12667" spans="1:9" x14ac:dyDescent="0.25">
      <c r="A12667" s="515">
        <v>27248</v>
      </c>
      <c r="B12667" s="515" t="s">
        <v>1148</v>
      </c>
      <c r="C12667" s="52">
        <v>184251.19868648</v>
      </c>
      <c r="D12667" s="56">
        <v>4.3722110473307436E-2</v>
      </c>
      <c r="E12667" s="224" t="s">
        <v>2</v>
      </c>
      <c r="F12667" s="515" t="s">
        <v>13854</v>
      </c>
      <c r="G12667" s="52">
        <v>521955.37486627803</v>
      </c>
      <c r="H12667" s="56">
        <v>7.5356432369605861E-2</v>
      </c>
      <c r="I12667" s="224" t="s">
        <v>2</v>
      </c>
    </row>
    <row r="12668" spans="1:9" x14ac:dyDescent="0.25">
      <c r="A12668" s="515">
        <v>38079</v>
      </c>
      <c r="C12668" s="52">
        <v>74019.474235647096</v>
      </c>
      <c r="D12668" s="56">
        <v>5.4903071943940666E-2</v>
      </c>
      <c r="E12668" s="224" t="s">
        <v>2</v>
      </c>
      <c r="F12668" s="515" t="s">
        <v>13855</v>
      </c>
      <c r="G12668" s="52">
        <v>781347.09547561698</v>
      </c>
      <c r="H12668" s="56">
        <v>2.1515120619758597E-2</v>
      </c>
      <c r="I12668" s="224" t="s">
        <v>2</v>
      </c>
    </row>
    <row r="12669" spans="1:9" x14ac:dyDescent="0.25">
      <c r="A12669" s="515">
        <v>47610</v>
      </c>
      <c r="B12669" s="515" t="s">
        <v>911</v>
      </c>
      <c r="C12669" s="52">
        <v>173685.25546069801</v>
      </c>
      <c r="D12669" s="56">
        <v>6.2578853852051128E-2</v>
      </c>
      <c r="E12669" s="224" t="s">
        <v>2</v>
      </c>
      <c r="F12669" s="515" t="s">
        <v>13856</v>
      </c>
      <c r="G12669" s="52">
        <v>202656.78218085799</v>
      </c>
      <c r="H12669" s="56">
        <v>4.0089022798820512E-2</v>
      </c>
      <c r="I12669" s="224" t="s">
        <v>2</v>
      </c>
    </row>
    <row r="12670" spans="1:9" x14ac:dyDescent="0.25">
      <c r="A12670" s="515">
        <v>44076</v>
      </c>
      <c r="B12670" s="515" t="s">
        <v>592</v>
      </c>
      <c r="C12670" s="52">
        <v>186184.449235532</v>
      </c>
      <c r="D12670" s="56">
        <v>9.3032425665668883E-2</v>
      </c>
      <c r="E12670" s="224" t="s">
        <v>2</v>
      </c>
      <c r="F12670" s="515" t="s">
        <v>13857</v>
      </c>
      <c r="G12670" s="52">
        <v>225765.84669914801</v>
      </c>
      <c r="H12670" s="56">
        <v>8.8514751116058096E-2</v>
      </c>
      <c r="I12670" s="224" t="s">
        <v>2</v>
      </c>
    </row>
    <row r="12671" spans="1:9" x14ac:dyDescent="0.25">
      <c r="A12671" s="515">
        <v>22849</v>
      </c>
      <c r="C12671" s="52">
        <v>238500.424537168</v>
      </c>
      <c r="D12671" s="56">
        <v>7.5890348926053952E-2</v>
      </c>
      <c r="E12671" s="224" t="s">
        <v>2</v>
      </c>
      <c r="F12671" s="515" t="s">
        <v>13858</v>
      </c>
      <c r="G12671" s="52">
        <v>198808.43601144699</v>
      </c>
      <c r="H12671" s="56">
        <v>4.9289427180517952E-2</v>
      </c>
      <c r="I12671" s="224" t="s">
        <v>2</v>
      </c>
    </row>
    <row r="12672" spans="1:9" x14ac:dyDescent="0.25">
      <c r="A12672" s="515">
        <v>56479</v>
      </c>
      <c r="C12672" s="52">
        <v>173933.49940994199</v>
      </c>
      <c r="D12672" s="56">
        <v>3.9376509709794262E-2</v>
      </c>
      <c r="E12672" s="224" t="s">
        <v>2</v>
      </c>
      <c r="F12672" s="515" t="s">
        <v>13859</v>
      </c>
      <c r="G12672" s="52">
        <v>163802.45551229999</v>
      </c>
      <c r="H12672" s="56">
        <v>0.15905973836107964</v>
      </c>
      <c r="I12672" s="224" t="s">
        <v>2</v>
      </c>
    </row>
    <row r="12673" spans="1:9" x14ac:dyDescent="0.25">
      <c r="A12673" s="515">
        <v>62353</v>
      </c>
      <c r="C12673" s="52"/>
      <c r="D12673" s="56">
        <v>0</v>
      </c>
      <c r="E12673" s="224" t="s">
        <v>2</v>
      </c>
      <c r="F12673" s="515" t="s">
        <v>13860</v>
      </c>
      <c r="G12673" s="52">
        <v>255809.02921452199</v>
      </c>
      <c r="H12673" s="56">
        <v>4.8319486230235763E-2</v>
      </c>
      <c r="I12673" s="224" t="s">
        <v>2</v>
      </c>
    </row>
    <row r="12674" spans="1:9" x14ac:dyDescent="0.25">
      <c r="A12674" s="515">
        <v>93427</v>
      </c>
      <c r="B12674" s="515" t="s">
        <v>847</v>
      </c>
      <c r="C12674" s="52">
        <v>807157.526688374</v>
      </c>
      <c r="D12674" s="56">
        <v>5.1973684004525504E-2</v>
      </c>
      <c r="E12674" s="224" t="s">
        <v>2</v>
      </c>
      <c r="F12674" s="515" t="s">
        <v>13861</v>
      </c>
      <c r="G12674" s="52">
        <v>217899.58149988099</v>
      </c>
      <c r="H12674" s="56">
        <v>8.9234530189417335E-2</v>
      </c>
      <c r="I12674" s="224" t="s">
        <v>2</v>
      </c>
    </row>
    <row r="12675" spans="1:9" x14ac:dyDescent="0.25">
      <c r="A12675" s="515">
        <v>33493</v>
      </c>
      <c r="B12675" s="515" t="s">
        <v>831</v>
      </c>
      <c r="C12675" s="52">
        <v>164059.120697028</v>
      </c>
      <c r="D12675" s="56">
        <v>0.17588975389818964</v>
      </c>
      <c r="E12675" s="224" t="s">
        <v>2</v>
      </c>
      <c r="F12675" s="515" t="s">
        <v>13862</v>
      </c>
      <c r="G12675" s="52">
        <v>127249.146309095</v>
      </c>
      <c r="H12675" s="56">
        <v>6.0981540122056248E-2</v>
      </c>
      <c r="I12675" s="224" t="s">
        <v>2</v>
      </c>
    </row>
    <row r="12676" spans="1:9" x14ac:dyDescent="0.25">
      <c r="A12676" s="515">
        <v>37752</v>
      </c>
      <c r="C12676" s="52">
        <v>185577.36536462899</v>
      </c>
      <c r="D12676" s="56">
        <v>6.8430541402040482E-2</v>
      </c>
      <c r="E12676" s="224" t="s">
        <v>2</v>
      </c>
      <c r="F12676" s="515" t="s">
        <v>13863</v>
      </c>
      <c r="G12676" s="52">
        <v>136401.41513315999</v>
      </c>
      <c r="H12676" s="56">
        <v>2.8989301956416934E-2</v>
      </c>
      <c r="I12676" s="224" t="s">
        <v>2</v>
      </c>
    </row>
    <row r="12677" spans="1:9" x14ac:dyDescent="0.25">
      <c r="A12677" s="515">
        <v>48881</v>
      </c>
      <c r="B12677" s="515" t="s">
        <v>631</v>
      </c>
      <c r="C12677" s="52">
        <v>234641.08121962499</v>
      </c>
      <c r="D12677" s="56">
        <v>8.7119173276468856E-2</v>
      </c>
      <c r="E12677" s="224" t="s">
        <v>2</v>
      </c>
      <c r="F12677" s="515" t="s">
        <v>13864</v>
      </c>
      <c r="G12677" s="52">
        <v>72584.194641490802</v>
      </c>
      <c r="H12677" s="56">
        <v>4.7684000169891675E-4</v>
      </c>
      <c r="I12677" s="224" t="s">
        <v>2</v>
      </c>
    </row>
    <row r="12678" spans="1:9" x14ac:dyDescent="0.25">
      <c r="A12678" s="515">
        <v>70446</v>
      </c>
      <c r="B12678" s="515" t="s">
        <v>814</v>
      </c>
      <c r="C12678" s="52">
        <v>213829.95167429399</v>
      </c>
      <c r="D12678" s="56">
        <v>5.9188453029006133E-2</v>
      </c>
      <c r="E12678" s="224" t="s">
        <v>2</v>
      </c>
      <c r="F12678" s="515" t="s">
        <v>13865</v>
      </c>
      <c r="G12678" s="52">
        <v>278514.34423259198</v>
      </c>
      <c r="H12678" s="56">
        <v>7.2005749574710051E-2</v>
      </c>
      <c r="I12678" s="224" t="s">
        <v>2</v>
      </c>
    </row>
    <row r="12679" spans="1:9" x14ac:dyDescent="0.25">
      <c r="A12679" s="515">
        <v>37870</v>
      </c>
      <c r="C12679" s="52">
        <v>168970.638303532</v>
      </c>
      <c r="D12679" s="56">
        <v>3.6837200723093155E-2</v>
      </c>
      <c r="E12679" s="224" t="s">
        <v>2</v>
      </c>
      <c r="F12679" s="515" t="s">
        <v>13866</v>
      </c>
      <c r="G12679" s="52">
        <v>211895.50601244401</v>
      </c>
      <c r="H12679" s="56">
        <v>3.4461594090585641E-2</v>
      </c>
      <c r="I12679" s="224" t="s">
        <v>2</v>
      </c>
    </row>
    <row r="12680" spans="1:9" x14ac:dyDescent="0.25">
      <c r="A12680" s="515">
        <v>37324</v>
      </c>
      <c r="B12680" s="515" t="s">
        <v>977</v>
      </c>
      <c r="C12680" s="52">
        <v>201103.21955652101</v>
      </c>
      <c r="D12680" s="56">
        <v>0.10619784206356356</v>
      </c>
      <c r="E12680" s="224" t="s">
        <v>2</v>
      </c>
      <c r="F12680" s="515" t="s">
        <v>13867</v>
      </c>
      <c r="G12680" s="52">
        <v>466570.21163333103</v>
      </c>
      <c r="H12680" s="56">
        <v>-2.808626736888746E-2</v>
      </c>
      <c r="I12680" s="224" t="s">
        <v>2</v>
      </c>
    </row>
    <row r="12681" spans="1:9" x14ac:dyDescent="0.25">
      <c r="A12681" s="515">
        <v>39422</v>
      </c>
      <c r="B12681" s="515" t="s">
        <v>793</v>
      </c>
      <c r="C12681" s="52">
        <v>126055.668568604</v>
      </c>
      <c r="D12681" s="56">
        <v>-6.5122206543417618E-2</v>
      </c>
      <c r="E12681" s="224" t="s">
        <v>2</v>
      </c>
      <c r="F12681" s="515" t="s">
        <v>13868</v>
      </c>
      <c r="G12681" s="52">
        <v>375409.78124426998</v>
      </c>
      <c r="H12681" s="56">
        <v>0.1604024273102386</v>
      </c>
      <c r="I12681" s="224" t="s">
        <v>2</v>
      </c>
    </row>
    <row r="12682" spans="1:9" x14ac:dyDescent="0.25">
      <c r="A12682" s="515">
        <v>36756</v>
      </c>
      <c r="C12682" s="52">
        <v>109976.006242173</v>
      </c>
      <c r="D12682" s="56">
        <v>-3.1579142205220963E-2</v>
      </c>
      <c r="E12682" s="224" t="s">
        <v>2</v>
      </c>
      <c r="F12682" s="515" t="s">
        <v>13869</v>
      </c>
      <c r="G12682" s="52">
        <v>150714.75103168501</v>
      </c>
      <c r="H12682" s="56">
        <v>4.9265093396438156E-2</v>
      </c>
      <c r="I12682" s="224" t="s">
        <v>2</v>
      </c>
    </row>
    <row r="12683" spans="1:9" x14ac:dyDescent="0.25">
      <c r="A12683" s="515">
        <v>23140</v>
      </c>
      <c r="B12683" s="515" t="s">
        <v>667</v>
      </c>
      <c r="C12683" s="52">
        <v>356709.24488249299</v>
      </c>
      <c r="D12683" s="56">
        <v>7.6138808153884269E-2</v>
      </c>
      <c r="E12683" s="224" t="s">
        <v>2</v>
      </c>
      <c r="F12683" s="515" t="s">
        <v>13870</v>
      </c>
      <c r="G12683" s="52">
        <v>64746.503987610602</v>
      </c>
      <c r="H12683" s="56">
        <v>6.0314392431971717E-2</v>
      </c>
      <c r="I12683" s="224" t="s">
        <v>2</v>
      </c>
    </row>
    <row r="12684" spans="1:9" x14ac:dyDescent="0.25">
      <c r="A12684" s="515">
        <v>48049</v>
      </c>
      <c r="B12684" s="515" t="s">
        <v>685</v>
      </c>
      <c r="C12684" s="52">
        <v>237005.64794543499</v>
      </c>
      <c r="D12684" s="56">
        <v>6.0321539131904307E-2</v>
      </c>
      <c r="E12684" s="224" t="s">
        <v>2</v>
      </c>
      <c r="F12684" s="515" t="s">
        <v>13871</v>
      </c>
      <c r="G12684" s="52">
        <v>189761.55853605599</v>
      </c>
      <c r="H12684" s="56">
        <v>0.10930980463040195</v>
      </c>
      <c r="I12684" s="224" t="s">
        <v>2</v>
      </c>
    </row>
    <row r="12685" spans="1:9" x14ac:dyDescent="0.25">
      <c r="A12685" s="515">
        <v>10506</v>
      </c>
      <c r="B12685" s="515" t="s">
        <v>324</v>
      </c>
      <c r="C12685" s="52">
        <v>1220457.63045891</v>
      </c>
      <c r="D12685" s="56">
        <v>0.12197706999505147</v>
      </c>
      <c r="E12685" s="224" t="s">
        <v>2</v>
      </c>
      <c r="F12685" s="515" t="s">
        <v>13872</v>
      </c>
      <c r="G12685" s="52">
        <v>91188.899933195498</v>
      </c>
      <c r="H12685" s="56">
        <v>2.7524482121490862E-2</v>
      </c>
      <c r="I12685" s="224" t="s">
        <v>2</v>
      </c>
    </row>
    <row r="12686" spans="1:9" x14ac:dyDescent="0.25">
      <c r="A12686" s="515">
        <v>43822</v>
      </c>
      <c r="B12686" s="515" t="s">
        <v>905</v>
      </c>
      <c r="C12686" s="52">
        <v>190437.00284582601</v>
      </c>
      <c r="D12686" s="56">
        <v>0.11177686286506933</v>
      </c>
      <c r="E12686" s="224" t="s">
        <v>2</v>
      </c>
      <c r="F12686" s="515" t="s">
        <v>13873</v>
      </c>
      <c r="G12686" s="52">
        <v>161237.469526214</v>
      </c>
      <c r="H12686" s="56">
        <v>0.12024334039309027</v>
      </c>
      <c r="I12686" s="224" t="s">
        <v>2</v>
      </c>
    </row>
    <row r="12687" spans="1:9" x14ac:dyDescent="0.25">
      <c r="A12687" s="515">
        <v>41522</v>
      </c>
      <c r="C12687" s="52">
        <v>71474.577341598604</v>
      </c>
      <c r="D12687" s="56">
        <v>0.21239841078886332</v>
      </c>
      <c r="E12687" s="224" t="s">
        <v>2</v>
      </c>
      <c r="F12687" s="515" t="s">
        <v>13874</v>
      </c>
      <c r="G12687" s="52">
        <v>262602.16265186202</v>
      </c>
      <c r="H12687" s="56">
        <v>6.5962502073598037E-2</v>
      </c>
      <c r="I12687" s="224" t="s">
        <v>2</v>
      </c>
    </row>
    <row r="12688" spans="1:9" x14ac:dyDescent="0.25">
      <c r="A12688" s="515">
        <v>83336</v>
      </c>
      <c r="B12688" s="515" t="s">
        <v>719</v>
      </c>
      <c r="C12688" s="52">
        <v>271203.08654729801</v>
      </c>
      <c r="D12688" s="56">
        <v>5.746412913435521E-2</v>
      </c>
      <c r="E12688" s="224" t="s">
        <v>2</v>
      </c>
      <c r="F12688" s="515" t="s">
        <v>13875</v>
      </c>
      <c r="G12688" s="52">
        <v>283740.89205355302</v>
      </c>
      <c r="H12688" s="56">
        <v>0.13082753175024425</v>
      </c>
      <c r="I12688" s="224" t="s">
        <v>2</v>
      </c>
    </row>
    <row r="12689" spans="1:9" x14ac:dyDescent="0.25">
      <c r="A12689" s="515">
        <v>71665</v>
      </c>
      <c r="B12689" s="515" t="s">
        <v>872</v>
      </c>
      <c r="C12689" s="52">
        <v>127059.411394701</v>
      </c>
      <c r="D12689" s="56">
        <v>-2.3276551372924292E-2</v>
      </c>
      <c r="E12689" s="224" t="s">
        <v>2</v>
      </c>
      <c r="F12689" s="515" t="s">
        <v>13876</v>
      </c>
      <c r="G12689" s="52">
        <v>350752.33278647799</v>
      </c>
      <c r="H12689" s="56">
        <v>3.7199242038125538E-2</v>
      </c>
      <c r="I12689" s="224" t="s">
        <v>2</v>
      </c>
    </row>
    <row r="12690" spans="1:9" x14ac:dyDescent="0.25">
      <c r="A12690" s="515">
        <v>29805</v>
      </c>
      <c r="B12690" s="515" t="s">
        <v>888</v>
      </c>
      <c r="C12690" s="52">
        <v>156931.77744535601</v>
      </c>
      <c r="D12690" s="56">
        <v>2.9167935027635553E-2</v>
      </c>
      <c r="E12690" s="224" t="s">
        <v>2</v>
      </c>
      <c r="F12690" s="515" t="s">
        <v>13877</v>
      </c>
      <c r="G12690" s="52">
        <v>157227.00575664701</v>
      </c>
      <c r="H12690" s="56">
        <v>7.4795438245447377E-2</v>
      </c>
      <c r="I12690" s="224" t="s">
        <v>2</v>
      </c>
    </row>
    <row r="12691" spans="1:9" x14ac:dyDescent="0.25">
      <c r="A12691" s="515">
        <v>14568</v>
      </c>
      <c r="B12691" s="515" t="s">
        <v>337</v>
      </c>
      <c r="C12691" s="52">
        <v>221626.926285336</v>
      </c>
      <c r="D12691" s="56">
        <v>8.9996678665468927E-2</v>
      </c>
      <c r="E12691" s="224" t="s">
        <v>2</v>
      </c>
      <c r="F12691" s="515" t="s">
        <v>13878</v>
      </c>
      <c r="G12691" s="52">
        <v>333089.13421097799</v>
      </c>
      <c r="H12691" s="56">
        <v>7.772329178633014E-2</v>
      </c>
      <c r="I12691" s="224" t="s">
        <v>2</v>
      </c>
    </row>
    <row r="12692" spans="1:9" x14ac:dyDescent="0.25">
      <c r="A12692" s="515">
        <v>12790</v>
      </c>
      <c r="C12692" s="52">
        <v>259356.57686452201</v>
      </c>
      <c r="D12692" s="56">
        <v>0.20605153716876637</v>
      </c>
      <c r="E12692" s="224" t="s">
        <v>2</v>
      </c>
      <c r="F12692" s="515" t="s">
        <v>13879</v>
      </c>
      <c r="G12692" s="52">
        <v>212021.67919632699</v>
      </c>
      <c r="H12692" s="56">
        <v>0.22775971522525451</v>
      </c>
      <c r="I12692" s="224" t="s">
        <v>2</v>
      </c>
    </row>
    <row r="12693" spans="1:9" x14ac:dyDescent="0.25">
      <c r="A12693" s="515">
        <v>27809</v>
      </c>
      <c r="B12693" s="515" t="s">
        <v>1152</v>
      </c>
      <c r="C12693" s="52">
        <v>177203.44850534599</v>
      </c>
      <c r="D12693" s="56">
        <v>0.17819067004676994</v>
      </c>
      <c r="E12693" s="224" t="s">
        <v>2</v>
      </c>
      <c r="F12693" s="515" t="s">
        <v>13880</v>
      </c>
      <c r="G12693" s="52">
        <v>881869.53061430203</v>
      </c>
      <c r="H12693" s="56">
        <v>5.0987910984616677E-2</v>
      </c>
      <c r="I12693" s="224" t="s">
        <v>2</v>
      </c>
    </row>
    <row r="12694" spans="1:9" x14ac:dyDescent="0.25">
      <c r="A12694" s="515">
        <v>76365</v>
      </c>
      <c r="B12694" s="515" t="s">
        <v>328</v>
      </c>
      <c r="C12694" s="52">
        <v>144516.03441924599</v>
      </c>
      <c r="D12694" s="56">
        <v>7.4523942935084866E-2</v>
      </c>
      <c r="E12694" s="224" t="s">
        <v>2</v>
      </c>
      <c r="F12694" s="515" t="s">
        <v>13881</v>
      </c>
      <c r="G12694" s="52">
        <v>177625.11252250901</v>
      </c>
      <c r="H12694" s="56">
        <v>8.3909186052104373E-2</v>
      </c>
      <c r="I12694" s="224" t="s">
        <v>2</v>
      </c>
    </row>
    <row r="12695" spans="1:9" x14ac:dyDescent="0.25">
      <c r="A12695" s="515">
        <v>39744</v>
      </c>
      <c r="B12695" s="515" t="s">
        <v>722</v>
      </c>
      <c r="C12695" s="52">
        <v>129672.399307523</v>
      </c>
      <c r="D12695" s="56">
        <v>5.9719172679790072E-3</v>
      </c>
      <c r="E12695" s="224" t="s">
        <v>2</v>
      </c>
      <c r="F12695" s="515" t="s">
        <v>13882</v>
      </c>
      <c r="G12695" s="52">
        <v>244361.88119078201</v>
      </c>
      <c r="H12695" s="56">
        <v>0.11275826233647196</v>
      </c>
      <c r="I12695" s="224" t="s">
        <v>2</v>
      </c>
    </row>
    <row r="12696" spans="1:9" x14ac:dyDescent="0.25">
      <c r="A12696" s="515">
        <v>67665</v>
      </c>
      <c r="C12696" s="52">
        <v>92740.613892726295</v>
      </c>
      <c r="D12696" s="56">
        <v>7.355406391397204E-2</v>
      </c>
      <c r="E12696" s="224" t="s">
        <v>2</v>
      </c>
      <c r="F12696" s="515" t="s">
        <v>13883</v>
      </c>
      <c r="G12696" s="52">
        <v>202161.48528166901</v>
      </c>
      <c r="H12696" s="56">
        <v>9.7042637537627707E-2</v>
      </c>
      <c r="I12696" s="224" t="s">
        <v>2</v>
      </c>
    </row>
    <row r="12697" spans="1:9" x14ac:dyDescent="0.25">
      <c r="A12697" s="515">
        <v>49013</v>
      </c>
      <c r="C12697" s="52">
        <v>133372.931174225</v>
      </c>
      <c r="D12697" s="56">
        <v>4.5829566417842089E-2</v>
      </c>
      <c r="E12697" s="224" t="s">
        <v>2</v>
      </c>
      <c r="F12697" s="515" t="s">
        <v>13884</v>
      </c>
      <c r="G12697" s="52">
        <v>187636.533717363</v>
      </c>
      <c r="H12697" s="56">
        <v>0.11044012420737688</v>
      </c>
      <c r="I12697" s="224" t="s">
        <v>2</v>
      </c>
    </row>
    <row r="12698" spans="1:9" x14ac:dyDescent="0.25">
      <c r="A12698" s="515">
        <v>4416</v>
      </c>
      <c r="C12698" s="52">
        <v>236951.09668666299</v>
      </c>
      <c r="D12698" s="56">
        <v>0.11173912731463219</v>
      </c>
      <c r="E12698" s="224" t="s">
        <v>2</v>
      </c>
      <c r="F12698" s="515" t="s">
        <v>13885</v>
      </c>
      <c r="G12698" s="52">
        <v>142794.963414634</v>
      </c>
      <c r="H12698" s="56">
        <v>0</v>
      </c>
      <c r="I12698" s="224" t="s">
        <v>2</v>
      </c>
    </row>
    <row r="12699" spans="1:9" x14ac:dyDescent="0.25">
      <c r="A12699" s="515">
        <v>75638</v>
      </c>
      <c r="C12699" s="52">
        <v>136323.236073754</v>
      </c>
      <c r="D12699" s="56">
        <v>1.0522389846831655E-2</v>
      </c>
      <c r="E12699" s="224" t="s">
        <v>2</v>
      </c>
      <c r="F12699" s="515" t="s">
        <v>13886</v>
      </c>
      <c r="G12699" s="52">
        <v>132346.07199896901</v>
      </c>
      <c r="H12699" s="56">
        <v>0.14634333783426579</v>
      </c>
      <c r="I12699" s="224" t="s">
        <v>2</v>
      </c>
    </row>
    <row r="12700" spans="1:9" x14ac:dyDescent="0.25">
      <c r="A12700" s="515">
        <v>39669</v>
      </c>
      <c r="C12700" s="52">
        <v>95193.064451459199</v>
      </c>
      <c r="D12700" s="56">
        <v>-5.7511270198380871E-2</v>
      </c>
      <c r="E12700" s="224" t="s">
        <v>2</v>
      </c>
      <c r="F12700" s="515" t="s">
        <v>13887</v>
      </c>
      <c r="G12700" s="52">
        <v>171344.622895837</v>
      </c>
      <c r="H12700" s="56">
        <v>6.7606187619032268E-2</v>
      </c>
      <c r="I12700" s="224" t="s">
        <v>2</v>
      </c>
    </row>
    <row r="12701" spans="1:9" x14ac:dyDescent="0.25">
      <c r="A12701" s="515">
        <v>54230</v>
      </c>
      <c r="B12701" s="515" t="s">
        <v>446</v>
      </c>
      <c r="C12701" s="52">
        <v>232956.55564154501</v>
      </c>
      <c r="D12701" s="56">
        <v>8.6668650550401474E-2</v>
      </c>
      <c r="E12701" s="224" t="s">
        <v>2</v>
      </c>
      <c r="F12701" s="515" t="s">
        <v>13888</v>
      </c>
      <c r="G12701" s="52">
        <v>185993.63633691601</v>
      </c>
      <c r="H12701" s="56">
        <v>0.13207721595447447</v>
      </c>
      <c r="I12701" s="224" t="s">
        <v>2</v>
      </c>
    </row>
    <row r="12702" spans="1:9" x14ac:dyDescent="0.25">
      <c r="A12702" s="515">
        <v>13407</v>
      </c>
      <c r="B12702" s="515" t="s">
        <v>543</v>
      </c>
      <c r="C12702" s="52">
        <v>143232.04578899001</v>
      </c>
      <c r="D12702" s="56">
        <v>0.1614009658502463</v>
      </c>
      <c r="E12702" s="224" t="s">
        <v>2</v>
      </c>
      <c r="F12702" s="515" t="s">
        <v>13889</v>
      </c>
      <c r="G12702" s="52">
        <v>359753.28115327202</v>
      </c>
      <c r="H12702" s="56">
        <v>8.5346121965747271E-2</v>
      </c>
      <c r="I12702" s="224" t="s">
        <v>2</v>
      </c>
    </row>
    <row r="12703" spans="1:9" x14ac:dyDescent="0.25">
      <c r="A12703" s="515">
        <v>97391</v>
      </c>
      <c r="B12703" s="515" t="s">
        <v>618</v>
      </c>
      <c r="C12703" s="52">
        <v>364177.96487845998</v>
      </c>
      <c r="D12703" s="56">
        <v>6.4471764704266951E-2</v>
      </c>
      <c r="E12703" s="224" t="s">
        <v>2</v>
      </c>
      <c r="F12703" s="515" t="s">
        <v>13890</v>
      </c>
      <c r="G12703" s="52">
        <v>277195.23600871599</v>
      </c>
      <c r="H12703" s="56">
        <v>6.0523526528343828E-2</v>
      </c>
      <c r="I12703" s="224" t="s">
        <v>2</v>
      </c>
    </row>
    <row r="12704" spans="1:9" x14ac:dyDescent="0.25">
      <c r="A12704" s="515">
        <v>1985</v>
      </c>
      <c r="B12704" s="515" t="s">
        <v>534</v>
      </c>
      <c r="C12704" s="52">
        <v>785003.22748812905</v>
      </c>
      <c r="D12704" s="56">
        <v>5.687331300370628E-2</v>
      </c>
      <c r="E12704" s="224" t="s">
        <v>2</v>
      </c>
      <c r="F12704" s="515" t="s">
        <v>13891</v>
      </c>
      <c r="G12704" s="52">
        <v>168842.479993143</v>
      </c>
      <c r="H12704" s="56">
        <v>7.2437110326516604E-2</v>
      </c>
      <c r="I12704" s="224" t="s">
        <v>2</v>
      </c>
    </row>
    <row r="12705" spans="1:9" x14ac:dyDescent="0.25">
      <c r="A12705" s="515">
        <v>46616</v>
      </c>
      <c r="B12705" s="515" t="s">
        <v>1002</v>
      </c>
      <c r="C12705" s="52">
        <v>125829.455633709</v>
      </c>
      <c r="D12705" s="56">
        <v>0.17243547023762534</v>
      </c>
      <c r="E12705" s="224" t="s">
        <v>2</v>
      </c>
      <c r="F12705" s="515" t="s">
        <v>13892</v>
      </c>
      <c r="G12705" s="52">
        <v>186878.92307692301</v>
      </c>
      <c r="H12705" s="56">
        <v>0</v>
      </c>
      <c r="I12705" s="224" t="s">
        <v>2</v>
      </c>
    </row>
    <row r="12706" spans="1:9" x14ac:dyDescent="0.25">
      <c r="A12706" s="515">
        <v>45380</v>
      </c>
      <c r="B12706" s="515" t="s">
        <v>316</v>
      </c>
      <c r="C12706" s="52">
        <v>250990.92626159801</v>
      </c>
      <c r="D12706" s="56">
        <v>8.3547597527742878E-2</v>
      </c>
      <c r="E12706" s="224" t="s">
        <v>2</v>
      </c>
      <c r="F12706" s="515" t="s">
        <v>13893</v>
      </c>
      <c r="G12706" s="52">
        <v>356732.299466222</v>
      </c>
      <c r="H12706" s="56">
        <v>7.7229596074506912E-2</v>
      </c>
      <c r="I12706" s="224" t="s">
        <v>2</v>
      </c>
    </row>
    <row r="12707" spans="1:9" x14ac:dyDescent="0.25">
      <c r="A12707" s="515">
        <v>33538</v>
      </c>
      <c r="B12707" s="515" t="s">
        <v>558</v>
      </c>
      <c r="C12707" s="52">
        <v>207614.73964914901</v>
      </c>
      <c r="D12707" s="56">
        <v>0.14308636139277117</v>
      </c>
      <c r="E12707" s="224" t="s">
        <v>2</v>
      </c>
      <c r="F12707" s="515" t="s">
        <v>13894</v>
      </c>
      <c r="G12707" s="52">
        <v>522371.56371592701</v>
      </c>
      <c r="H12707" s="56">
        <v>3.3958568121819105E-2</v>
      </c>
      <c r="I12707" s="224" t="s">
        <v>2</v>
      </c>
    </row>
    <row r="12708" spans="1:9" x14ac:dyDescent="0.25">
      <c r="A12708" s="515">
        <v>55320</v>
      </c>
      <c r="B12708" s="515" t="s">
        <v>532</v>
      </c>
      <c r="C12708" s="52">
        <v>318274.58908588701</v>
      </c>
      <c r="D12708" s="56">
        <v>4.4147715013452285E-2</v>
      </c>
      <c r="E12708" s="224" t="s">
        <v>2</v>
      </c>
      <c r="F12708" s="515" t="s">
        <v>13895</v>
      </c>
      <c r="G12708" s="52">
        <v>347622.64295014599</v>
      </c>
      <c r="H12708" s="56">
        <v>2.1383736116818142E-2</v>
      </c>
      <c r="I12708" s="224" t="s">
        <v>2</v>
      </c>
    </row>
    <row r="12709" spans="1:9" x14ac:dyDescent="0.25">
      <c r="A12709" s="515">
        <v>77659</v>
      </c>
      <c r="B12709" s="515" t="s">
        <v>492</v>
      </c>
      <c r="C12709" s="52">
        <v>232866.97549404</v>
      </c>
      <c r="D12709" s="56">
        <v>1.1449988475359805E-2</v>
      </c>
      <c r="E12709" s="224" t="s">
        <v>2</v>
      </c>
      <c r="F12709" s="515" t="s">
        <v>13896</v>
      </c>
      <c r="G12709" s="52">
        <v>424853.19100134098</v>
      </c>
      <c r="H12709" s="56">
        <v>0.1267308038443179</v>
      </c>
      <c r="I12709" s="224" t="s">
        <v>2</v>
      </c>
    </row>
    <row r="12710" spans="1:9" x14ac:dyDescent="0.25">
      <c r="A12710" s="515">
        <v>75559</v>
      </c>
      <c r="B12710" s="515" t="s">
        <v>390</v>
      </c>
      <c r="C12710" s="52">
        <v>147240.78050834901</v>
      </c>
      <c r="D12710" s="56">
        <v>2.0565490134597037E-2</v>
      </c>
      <c r="E12710" s="224" t="s">
        <v>2</v>
      </c>
      <c r="F12710" s="515" t="s">
        <v>13897</v>
      </c>
      <c r="G12710" s="52">
        <v>186360.73482693001</v>
      </c>
      <c r="H12710" s="56">
        <v>4.4296793177974442E-2</v>
      </c>
      <c r="I12710" s="224" t="s">
        <v>2</v>
      </c>
    </row>
    <row r="12711" spans="1:9" x14ac:dyDescent="0.25">
      <c r="A12711" s="515">
        <v>70344</v>
      </c>
      <c r="B12711" s="515" t="s">
        <v>898</v>
      </c>
      <c r="C12711" s="52">
        <v>76088.634344870006</v>
      </c>
      <c r="D12711" s="56">
        <v>-0.21289774635053341</v>
      </c>
      <c r="E12711" s="224" t="s">
        <v>2</v>
      </c>
      <c r="F12711" s="515" t="s">
        <v>13898</v>
      </c>
      <c r="G12711" s="52">
        <v>116566.01381444</v>
      </c>
      <c r="H12711" s="56">
        <v>6.8735661275686921E-2</v>
      </c>
      <c r="I12711" s="224" t="s">
        <v>2</v>
      </c>
    </row>
    <row r="12712" spans="1:9" x14ac:dyDescent="0.25">
      <c r="A12712" s="515">
        <v>93256</v>
      </c>
      <c r="B12712" s="515" t="s">
        <v>358</v>
      </c>
      <c r="C12712" s="52">
        <v>222137.41931637199</v>
      </c>
      <c r="D12712" s="56">
        <v>8.839155155768387E-2</v>
      </c>
      <c r="E12712" s="224" t="s">
        <v>2</v>
      </c>
      <c r="F12712" s="515" t="s">
        <v>13899</v>
      </c>
      <c r="G12712" s="52">
        <v>124560.29147256201</v>
      </c>
      <c r="H12712" s="56">
        <v>0.14914995682494656</v>
      </c>
      <c r="I12712" s="224" t="s">
        <v>2</v>
      </c>
    </row>
    <row r="12713" spans="1:9" x14ac:dyDescent="0.25">
      <c r="A12713" s="515">
        <v>32202</v>
      </c>
      <c r="B12713" s="515" t="s">
        <v>1158</v>
      </c>
      <c r="C12713" s="52">
        <v>160792.04056815899</v>
      </c>
      <c r="D12713" s="56">
        <v>0.16911872638931996</v>
      </c>
      <c r="E12713" s="224">
        <v>1559.3333333333301</v>
      </c>
      <c r="F12713" s="515" t="s">
        <v>13900</v>
      </c>
      <c r="G12713" s="52">
        <v>189626.09038781299</v>
      </c>
      <c r="H12713" s="56">
        <v>3.1412393274014724E-2</v>
      </c>
      <c r="I12713" s="224" t="s">
        <v>2</v>
      </c>
    </row>
    <row r="12714" spans="1:9" x14ac:dyDescent="0.25">
      <c r="A12714" s="515">
        <v>37330</v>
      </c>
      <c r="B12714" s="515" t="s">
        <v>977</v>
      </c>
      <c r="C12714" s="52">
        <v>258921.71245604299</v>
      </c>
      <c r="D12714" s="56">
        <v>8.2183866011944717E-2</v>
      </c>
      <c r="E12714" s="224" t="s">
        <v>2</v>
      </c>
      <c r="F12714" s="515" t="s">
        <v>13901</v>
      </c>
      <c r="G12714" s="52">
        <v>149845.04969903399</v>
      </c>
      <c r="H12714" s="56">
        <v>1.4891618102242755E-2</v>
      </c>
      <c r="I12714" s="224" t="s">
        <v>2</v>
      </c>
    </row>
    <row r="12715" spans="1:9" x14ac:dyDescent="0.25">
      <c r="A12715" s="515">
        <v>75763</v>
      </c>
      <c r="B12715" s="515" t="s">
        <v>1088</v>
      </c>
      <c r="C12715" s="52">
        <v>249157.54588941101</v>
      </c>
      <c r="D12715" s="56">
        <v>0.11282745287493401</v>
      </c>
      <c r="E12715" s="224" t="s">
        <v>2</v>
      </c>
      <c r="F12715" s="515" t="s">
        <v>13902</v>
      </c>
      <c r="G12715" s="52">
        <v>173184.30997410699</v>
      </c>
      <c r="H12715" s="56">
        <v>0.11538436648667354</v>
      </c>
      <c r="I12715" s="224" t="s">
        <v>2</v>
      </c>
    </row>
    <row r="12716" spans="1:9" x14ac:dyDescent="0.25">
      <c r="A12716" s="515">
        <v>30002</v>
      </c>
      <c r="B12716" s="515" t="s">
        <v>957</v>
      </c>
      <c r="C12716" s="52">
        <v>493042.96039586898</v>
      </c>
      <c r="D12716" s="56">
        <v>7.7103597474525817E-2</v>
      </c>
      <c r="E12716" s="224" t="s">
        <v>2</v>
      </c>
      <c r="F12716" s="515" t="s">
        <v>13903</v>
      </c>
      <c r="G12716" s="52">
        <v>171439.90825688001</v>
      </c>
      <c r="H12716" s="56">
        <v>0</v>
      </c>
      <c r="I12716" s="224" t="s">
        <v>2</v>
      </c>
    </row>
    <row r="12717" spans="1:9" x14ac:dyDescent="0.25">
      <c r="A12717" s="515">
        <v>47532</v>
      </c>
      <c r="B12717" s="515" t="s">
        <v>544</v>
      </c>
      <c r="C12717" s="52">
        <v>230669.02033688701</v>
      </c>
      <c r="D12717" s="56">
        <v>6.5735246827821989E-2</v>
      </c>
      <c r="E12717" s="224" t="s">
        <v>2</v>
      </c>
      <c r="F12717" s="515" t="s">
        <v>13904</v>
      </c>
      <c r="G12717" s="52">
        <v>228396.21815787299</v>
      </c>
      <c r="H12717" s="56">
        <v>0.15071247703869639</v>
      </c>
      <c r="I12717" s="224" t="s">
        <v>2</v>
      </c>
    </row>
    <row r="12718" spans="1:9" x14ac:dyDescent="0.25">
      <c r="A12718" s="515">
        <v>5676</v>
      </c>
      <c r="B12718" s="515" t="s">
        <v>945</v>
      </c>
      <c r="C12718" s="52">
        <v>383577.0533109</v>
      </c>
      <c r="D12718" s="56">
        <v>4.7557982628549857E-2</v>
      </c>
      <c r="E12718" s="224" t="s">
        <v>2</v>
      </c>
      <c r="F12718" s="515" t="s">
        <v>13905</v>
      </c>
      <c r="G12718" s="52">
        <v>90180.013475109605</v>
      </c>
      <c r="H12718" s="56">
        <v>0.10786612247898639</v>
      </c>
      <c r="I12718" s="224" t="s">
        <v>2</v>
      </c>
    </row>
    <row r="12719" spans="1:9" x14ac:dyDescent="0.25">
      <c r="A12719" s="515">
        <v>32744</v>
      </c>
      <c r="B12719" s="515" t="s">
        <v>974</v>
      </c>
      <c r="C12719" s="52">
        <v>308080.37650841702</v>
      </c>
      <c r="D12719" s="56">
        <v>0.15339378174118931</v>
      </c>
      <c r="E12719" s="224" t="s">
        <v>2</v>
      </c>
      <c r="F12719" s="515" t="s">
        <v>13906</v>
      </c>
      <c r="G12719" s="52">
        <v>287631.11184329703</v>
      </c>
      <c r="H12719" s="56">
        <v>7.3303243468549079E-2</v>
      </c>
      <c r="I12719" s="224" t="s">
        <v>2</v>
      </c>
    </row>
    <row r="12720" spans="1:9" x14ac:dyDescent="0.25">
      <c r="A12720" s="515">
        <v>54154</v>
      </c>
      <c r="B12720" s="515" t="s">
        <v>897</v>
      </c>
      <c r="C12720" s="52">
        <v>203770.28759332601</v>
      </c>
      <c r="D12720" s="56">
        <v>6.2752148622955889E-2</v>
      </c>
      <c r="E12720" s="224" t="s">
        <v>2</v>
      </c>
      <c r="F12720" s="515" t="s">
        <v>13907</v>
      </c>
      <c r="G12720" s="52">
        <v>3251208.9898636001</v>
      </c>
      <c r="H12720" s="56">
        <v>7.2933506618036131E-2</v>
      </c>
      <c r="I12720" s="224">
        <v>44907.333333333299</v>
      </c>
    </row>
    <row r="12721" spans="1:9" x14ac:dyDescent="0.25">
      <c r="A12721" s="515">
        <v>37779</v>
      </c>
      <c r="B12721" s="515" t="s">
        <v>907</v>
      </c>
      <c r="C12721" s="52">
        <v>202092.30022966801</v>
      </c>
      <c r="D12721" s="56">
        <v>4.6745374493821878E-2</v>
      </c>
      <c r="E12721" s="224" t="s">
        <v>2</v>
      </c>
      <c r="F12721" s="515" t="s">
        <v>13908</v>
      </c>
      <c r="G12721" s="52">
        <v>174694.83515038001</v>
      </c>
      <c r="H12721" s="56">
        <v>7.0037702765300761E-2</v>
      </c>
      <c r="I12721" s="224" t="s">
        <v>2</v>
      </c>
    </row>
    <row r="12722" spans="1:9" x14ac:dyDescent="0.25">
      <c r="A12722" s="515">
        <v>92655</v>
      </c>
      <c r="B12722" s="515" t="s">
        <v>375</v>
      </c>
      <c r="C12722" s="52">
        <v>830458.66338892304</v>
      </c>
      <c r="D12722" s="56">
        <v>7.3056705692433471E-2</v>
      </c>
      <c r="E12722" s="224" t="s">
        <v>2</v>
      </c>
      <c r="F12722" s="515" t="s">
        <v>13909</v>
      </c>
      <c r="G12722" s="52">
        <v>137342.91247850499</v>
      </c>
      <c r="H12722" s="56">
        <v>7.5130250882364899E-2</v>
      </c>
      <c r="I12722" s="224" t="s">
        <v>2</v>
      </c>
    </row>
    <row r="12723" spans="1:9" x14ac:dyDescent="0.25">
      <c r="A12723" s="515">
        <v>79536</v>
      </c>
      <c r="B12723" s="515" t="s">
        <v>704</v>
      </c>
      <c r="C12723" s="52">
        <v>143592.108252757</v>
      </c>
      <c r="D12723" s="56">
        <v>4.3831993914881781E-2</v>
      </c>
      <c r="E12723" s="224" t="s">
        <v>2</v>
      </c>
      <c r="F12723" s="515" t="s">
        <v>13910</v>
      </c>
      <c r="G12723" s="52">
        <v>226264.14393541199</v>
      </c>
      <c r="H12723" s="56">
        <v>8.3049107851530218E-2</v>
      </c>
      <c r="I12723" s="224" t="s">
        <v>2</v>
      </c>
    </row>
    <row r="12724" spans="1:9" x14ac:dyDescent="0.25">
      <c r="A12724" s="515">
        <v>38468</v>
      </c>
      <c r="B12724" s="515" t="s">
        <v>873</v>
      </c>
      <c r="C12724" s="52">
        <v>210433.348562675</v>
      </c>
      <c r="D12724" s="56">
        <v>6.9890763783536106E-2</v>
      </c>
      <c r="E12724" s="224" t="s">
        <v>2</v>
      </c>
      <c r="F12724" s="515" t="s">
        <v>13911</v>
      </c>
      <c r="G12724" s="52">
        <v>213416.0171804</v>
      </c>
      <c r="H12724" s="56">
        <v>8.5256021142288321E-2</v>
      </c>
      <c r="I12724" s="224" t="s">
        <v>2</v>
      </c>
    </row>
    <row r="12725" spans="1:9" x14ac:dyDescent="0.25">
      <c r="A12725" s="515">
        <v>46571</v>
      </c>
      <c r="C12725" s="52">
        <v>357012.170217557</v>
      </c>
      <c r="D12725" s="56">
        <v>7.5487340314910792E-2</v>
      </c>
      <c r="E12725" s="224" t="s">
        <v>2</v>
      </c>
      <c r="F12725" s="515" t="s">
        <v>13912</v>
      </c>
      <c r="G12725" s="52">
        <v>257926.97098203699</v>
      </c>
      <c r="H12725" s="56">
        <v>5.917071194518652E-2</v>
      </c>
      <c r="I12725" s="224" t="s">
        <v>2</v>
      </c>
    </row>
    <row r="12726" spans="1:9" x14ac:dyDescent="0.25">
      <c r="A12726" s="515">
        <v>6237</v>
      </c>
      <c r="B12726" s="515" t="s">
        <v>894</v>
      </c>
      <c r="C12726" s="52">
        <v>332698.93899426801</v>
      </c>
      <c r="D12726" s="56">
        <v>6.2122929077794924E-2</v>
      </c>
      <c r="E12726" s="224" t="s">
        <v>2</v>
      </c>
      <c r="F12726" s="515" t="s">
        <v>13913</v>
      </c>
      <c r="G12726" s="52">
        <v>157093.057251908</v>
      </c>
      <c r="H12726" s="56">
        <v>5.2561832326315762E-2</v>
      </c>
      <c r="I12726" s="224" t="s">
        <v>2</v>
      </c>
    </row>
    <row r="12727" spans="1:9" x14ac:dyDescent="0.25">
      <c r="A12727" s="515">
        <v>77435</v>
      </c>
      <c r="B12727" s="515" t="s">
        <v>320</v>
      </c>
      <c r="C12727" s="52">
        <v>279991.24110641598</v>
      </c>
      <c r="D12727" s="56">
        <v>4.0701466579546208E-2</v>
      </c>
      <c r="E12727" s="224" t="s">
        <v>2</v>
      </c>
      <c r="F12727" s="515" t="s">
        <v>13914</v>
      </c>
      <c r="G12727" s="52">
        <v>132565.003813349</v>
      </c>
      <c r="H12727" s="56">
        <v>3.2645694170301533E-2</v>
      </c>
      <c r="I12727" s="224" t="s">
        <v>2</v>
      </c>
    </row>
    <row r="12728" spans="1:9" x14ac:dyDescent="0.25">
      <c r="A12728" s="515">
        <v>46741</v>
      </c>
      <c r="B12728" s="515" t="s">
        <v>1031</v>
      </c>
      <c r="C12728" s="52">
        <v>296749.13064707501</v>
      </c>
      <c r="D12728" s="56">
        <v>6.703848894705558E-2</v>
      </c>
      <c r="E12728" s="224" t="s">
        <v>2</v>
      </c>
      <c r="F12728" s="515" t="s">
        <v>13915</v>
      </c>
      <c r="G12728" s="52">
        <v>245625.222192138</v>
      </c>
      <c r="H12728" s="56">
        <v>7.9349885289535391E-2</v>
      </c>
      <c r="I12728" s="224" t="s">
        <v>2</v>
      </c>
    </row>
    <row r="12729" spans="1:9" x14ac:dyDescent="0.25">
      <c r="A12729" s="515">
        <v>61610</v>
      </c>
      <c r="B12729" s="515" t="s">
        <v>303</v>
      </c>
      <c r="C12729" s="52">
        <v>78566.309203806406</v>
      </c>
      <c r="D12729" s="56">
        <v>6.4135577207391034E-2</v>
      </c>
      <c r="E12729" s="224" t="s">
        <v>2</v>
      </c>
      <c r="F12729" s="515" t="s">
        <v>13916</v>
      </c>
      <c r="G12729" s="52">
        <v>209309.09366005301</v>
      </c>
      <c r="H12729" s="56">
        <v>5.7033365582526044E-2</v>
      </c>
      <c r="I12729" s="224" t="s">
        <v>2</v>
      </c>
    </row>
    <row r="12730" spans="1:9" x14ac:dyDescent="0.25">
      <c r="A12730" s="515">
        <v>64062</v>
      </c>
      <c r="B12730" s="515" t="s">
        <v>455</v>
      </c>
      <c r="C12730" s="52">
        <v>263200.01112068701</v>
      </c>
      <c r="D12730" s="56">
        <v>9.6099138407885032E-2</v>
      </c>
      <c r="E12730" s="224" t="s">
        <v>2</v>
      </c>
      <c r="F12730" s="515" t="s">
        <v>13917</v>
      </c>
      <c r="G12730" s="52">
        <v>424158.76100861502</v>
      </c>
      <c r="H12730" s="56">
        <v>4.7940522108373677E-2</v>
      </c>
      <c r="I12730" s="224" t="s">
        <v>2</v>
      </c>
    </row>
    <row r="12731" spans="1:9" x14ac:dyDescent="0.25">
      <c r="A12731" s="515">
        <v>34773</v>
      </c>
      <c r="B12731" s="515" t="s">
        <v>517</v>
      </c>
      <c r="C12731" s="52">
        <v>395077.371250108</v>
      </c>
      <c r="D12731" s="56">
        <v>8.9490055906000801E-2</v>
      </c>
      <c r="E12731" s="224" t="s">
        <v>2</v>
      </c>
      <c r="F12731" s="515" t="s">
        <v>13918</v>
      </c>
      <c r="G12731" s="52">
        <v>49774.306675965003</v>
      </c>
      <c r="H12731" s="56">
        <v>-1.0131923407932845E-4</v>
      </c>
      <c r="I12731" s="224" t="s">
        <v>2</v>
      </c>
    </row>
    <row r="12732" spans="1:9" x14ac:dyDescent="0.25">
      <c r="A12732" s="515">
        <v>95722</v>
      </c>
      <c r="B12732" s="515" t="s">
        <v>355</v>
      </c>
      <c r="C12732" s="52">
        <v>650514.76250410604</v>
      </c>
      <c r="D12732" s="56">
        <v>-4.4918995103544419E-2</v>
      </c>
      <c r="E12732" s="224" t="s">
        <v>2</v>
      </c>
      <c r="F12732" s="515" t="s">
        <v>13919</v>
      </c>
      <c r="G12732" s="52">
        <v>417851.55785690597</v>
      </c>
      <c r="H12732" s="56">
        <v>6.4833940134337659E-2</v>
      </c>
      <c r="I12732" s="224" t="s">
        <v>2</v>
      </c>
    </row>
    <row r="12733" spans="1:9" x14ac:dyDescent="0.25">
      <c r="A12733" s="515">
        <v>78401</v>
      </c>
      <c r="B12733" s="515" t="s">
        <v>415</v>
      </c>
      <c r="C12733" s="52"/>
      <c r="D12733" s="56">
        <v>0</v>
      </c>
      <c r="E12733" s="224">
        <v>1325.2777777777701</v>
      </c>
      <c r="F12733" s="515" t="s">
        <v>13920</v>
      </c>
      <c r="G12733" s="52">
        <v>245033.80691451099</v>
      </c>
      <c r="H12733" s="56">
        <v>7.8385811790792209E-2</v>
      </c>
      <c r="I12733" s="224" t="s">
        <v>2</v>
      </c>
    </row>
    <row r="12734" spans="1:9" x14ac:dyDescent="0.25">
      <c r="A12734" s="515">
        <v>95693</v>
      </c>
      <c r="B12734" s="515" t="s">
        <v>355</v>
      </c>
      <c r="C12734" s="52">
        <v>839831.84833715495</v>
      </c>
      <c r="D12734" s="56">
        <v>-2.2189479634430069E-2</v>
      </c>
      <c r="E12734" s="224" t="s">
        <v>2</v>
      </c>
      <c r="F12734" s="515" t="s">
        <v>13921</v>
      </c>
      <c r="G12734" s="52">
        <v>169826.89544405101</v>
      </c>
      <c r="H12734" s="56">
        <v>8.9060413545760664E-2</v>
      </c>
      <c r="I12734" s="224" t="s">
        <v>2</v>
      </c>
    </row>
    <row r="12735" spans="1:9" x14ac:dyDescent="0.25">
      <c r="A12735" s="515">
        <v>28018</v>
      </c>
      <c r="B12735" s="515" t="s">
        <v>1128</v>
      </c>
      <c r="C12735" s="52">
        <v>187630.48370696299</v>
      </c>
      <c r="D12735" s="56">
        <v>0.17281722694041229</v>
      </c>
      <c r="E12735" s="224" t="s">
        <v>2</v>
      </c>
      <c r="F12735" s="515" t="s">
        <v>13922</v>
      </c>
      <c r="G12735" s="52">
        <v>751094.27340794797</v>
      </c>
      <c r="H12735" s="56">
        <v>0.2055796990250256</v>
      </c>
      <c r="I12735" s="224" t="s">
        <v>2</v>
      </c>
    </row>
    <row r="12736" spans="1:9" x14ac:dyDescent="0.25">
      <c r="A12736" s="515">
        <v>55321</v>
      </c>
      <c r="B12736" s="515" t="s">
        <v>532</v>
      </c>
      <c r="C12736" s="52">
        <v>279819.44515430601</v>
      </c>
      <c r="D12736" s="56">
        <v>1.907123482609574E-2</v>
      </c>
      <c r="E12736" s="224" t="s">
        <v>2</v>
      </c>
      <c r="F12736" s="515" t="s">
        <v>13923</v>
      </c>
      <c r="G12736" s="52">
        <v>210007.78518626801</v>
      </c>
      <c r="H12736" s="56">
        <v>5.0598309528400387E-2</v>
      </c>
      <c r="I12736" s="224" t="s">
        <v>2</v>
      </c>
    </row>
    <row r="12737" spans="1:9" x14ac:dyDescent="0.25">
      <c r="A12737" s="515">
        <v>47327</v>
      </c>
      <c r="B12737" s="515" t="s">
        <v>883</v>
      </c>
      <c r="C12737" s="52">
        <v>138969.42030611099</v>
      </c>
      <c r="D12737" s="56">
        <v>6.8280355803032225E-2</v>
      </c>
      <c r="E12737" s="224" t="s">
        <v>2</v>
      </c>
      <c r="F12737" s="515" t="s">
        <v>13924</v>
      </c>
      <c r="G12737" s="52">
        <v>336629.07523817202</v>
      </c>
      <c r="H12737" s="56">
        <v>7.9469471752096399E-2</v>
      </c>
      <c r="I12737" s="224" t="s">
        <v>2</v>
      </c>
    </row>
    <row r="12738" spans="1:9" x14ac:dyDescent="0.25">
      <c r="A12738" s="515">
        <v>45135</v>
      </c>
      <c r="C12738" s="52">
        <v>197378.14893334199</v>
      </c>
      <c r="D12738" s="56">
        <v>9.1679569387174087E-2</v>
      </c>
      <c r="E12738" s="224" t="s">
        <v>2</v>
      </c>
      <c r="F12738" s="515" t="s">
        <v>13925</v>
      </c>
      <c r="G12738" s="52">
        <v>206584.13539654599</v>
      </c>
      <c r="H12738" s="56">
        <v>8.9956401623451185E-2</v>
      </c>
      <c r="I12738" s="224" t="s">
        <v>2</v>
      </c>
    </row>
    <row r="12739" spans="1:9" x14ac:dyDescent="0.25">
      <c r="A12739" s="515">
        <v>77485</v>
      </c>
      <c r="B12739" s="515" t="s">
        <v>314</v>
      </c>
      <c r="C12739" s="52">
        <v>252282.780395332</v>
      </c>
      <c r="D12739" s="56">
        <v>2.4053373425680546E-2</v>
      </c>
      <c r="E12739" s="224" t="s">
        <v>2</v>
      </c>
      <c r="F12739" s="515" t="s">
        <v>13926</v>
      </c>
      <c r="G12739" s="52">
        <v>239760.98786851199</v>
      </c>
      <c r="H12739" s="56">
        <v>9.1842803146497967E-2</v>
      </c>
      <c r="I12739" s="224" t="s">
        <v>2</v>
      </c>
    </row>
    <row r="12740" spans="1:9" x14ac:dyDescent="0.25">
      <c r="A12740" s="515">
        <v>53565</v>
      </c>
      <c r="B12740" s="515" t="s">
        <v>727</v>
      </c>
      <c r="C12740" s="52">
        <v>249215.69683664999</v>
      </c>
      <c r="D12740" s="56">
        <v>0.14329927325198288</v>
      </c>
      <c r="E12740" s="224" t="s">
        <v>2</v>
      </c>
      <c r="F12740" s="515" t="s">
        <v>13927</v>
      </c>
      <c r="G12740" s="52">
        <v>207534.491333346</v>
      </c>
      <c r="H12740" s="56">
        <v>0.10474989360460114</v>
      </c>
      <c r="I12740" s="224" t="s">
        <v>2</v>
      </c>
    </row>
    <row r="12741" spans="1:9" x14ac:dyDescent="0.25">
      <c r="A12741" s="515">
        <v>95668</v>
      </c>
      <c r="B12741" s="515" t="s">
        <v>355</v>
      </c>
      <c r="C12741" s="52">
        <v>708225.384362382</v>
      </c>
      <c r="D12741" s="56">
        <v>-1.0833502694319378E-2</v>
      </c>
      <c r="E12741" s="224" t="s">
        <v>2</v>
      </c>
      <c r="F12741" s="515" t="s">
        <v>13928</v>
      </c>
      <c r="G12741" s="52">
        <v>189406.73469387699</v>
      </c>
      <c r="H12741" s="56">
        <v>0</v>
      </c>
      <c r="I12741" s="224" t="s">
        <v>2</v>
      </c>
    </row>
    <row r="12742" spans="1:9" x14ac:dyDescent="0.25">
      <c r="A12742" s="515">
        <v>38828</v>
      </c>
      <c r="C12742" s="52">
        <v>145626.66053132099</v>
      </c>
      <c r="D12742" s="56">
        <v>2.6350649343201339E-2</v>
      </c>
      <c r="E12742" s="224" t="s">
        <v>2</v>
      </c>
      <c r="F12742" s="515" t="s">
        <v>13929</v>
      </c>
      <c r="G12742" s="52">
        <v>270523.77272027102</v>
      </c>
      <c r="H12742" s="56">
        <v>0.12065037522805043</v>
      </c>
      <c r="I12742" s="224" t="s">
        <v>2</v>
      </c>
    </row>
    <row r="12743" spans="1:9" x14ac:dyDescent="0.25">
      <c r="A12743" s="515">
        <v>39216</v>
      </c>
      <c r="B12743" s="515" t="s">
        <v>851</v>
      </c>
      <c r="C12743" s="52">
        <v>190958.580597116</v>
      </c>
      <c r="D12743" s="56">
        <v>1.6237942935829817E-3</v>
      </c>
      <c r="E12743" s="224" t="s">
        <v>2</v>
      </c>
      <c r="F12743" s="515" t="s">
        <v>13930</v>
      </c>
      <c r="G12743" s="52">
        <v>137742.73255086201</v>
      </c>
      <c r="H12743" s="56">
        <v>0.1026004493348581</v>
      </c>
      <c r="I12743" s="224" t="s">
        <v>2</v>
      </c>
    </row>
    <row r="12744" spans="1:9" x14ac:dyDescent="0.25">
      <c r="A12744" s="515">
        <v>29372</v>
      </c>
      <c r="B12744" s="515" t="s">
        <v>447</v>
      </c>
      <c r="C12744" s="52">
        <v>124379.999955141</v>
      </c>
      <c r="D12744" s="56">
        <v>0.17779137423204625</v>
      </c>
      <c r="E12744" s="224" t="s">
        <v>2</v>
      </c>
      <c r="F12744" s="515" t="s">
        <v>13931</v>
      </c>
      <c r="G12744" s="52">
        <v>468041.10183286999</v>
      </c>
      <c r="H12744" s="56">
        <v>-2.3420512072994245E-3</v>
      </c>
      <c r="I12744" s="224" t="s">
        <v>2</v>
      </c>
    </row>
    <row r="12745" spans="1:9" x14ac:dyDescent="0.25">
      <c r="A12745" s="515">
        <v>81635</v>
      </c>
      <c r="B12745" s="515" t="s">
        <v>725</v>
      </c>
      <c r="C12745" s="52">
        <v>356311.92884142703</v>
      </c>
      <c r="D12745" s="56">
        <v>8.7743146505270958E-2</v>
      </c>
      <c r="E12745" s="224" t="s">
        <v>2</v>
      </c>
      <c r="F12745" s="515" t="s">
        <v>13932</v>
      </c>
      <c r="G12745" s="52">
        <v>137325.430018869</v>
      </c>
      <c r="H12745" s="56">
        <v>8.1834391498292303E-2</v>
      </c>
      <c r="I12745" s="224" t="s">
        <v>2</v>
      </c>
    </row>
    <row r="12746" spans="1:9" x14ac:dyDescent="0.25">
      <c r="A12746" s="515">
        <v>6378</v>
      </c>
      <c r="B12746" s="515" t="s">
        <v>1091</v>
      </c>
      <c r="C12746" s="52">
        <v>601960.32661521202</v>
      </c>
      <c r="D12746" s="56">
        <v>0.10814515968884027</v>
      </c>
      <c r="E12746" s="224" t="s">
        <v>2</v>
      </c>
      <c r="F12746" s="515" t="s">
        <v>13933</v>
      </c>
      <c r="G12746" s="52">
        <v>261751.44056674201</v>
      </c>
      <c r="H12746" s="56">
        <v>4.9108936960395422E-2</v>
      </c>
      <c r="I12746" s="224" t="s">
        <v>2</v>
      </c>
    </row>
    <row r="12747" spans="1:9" x14ac:dyDescent="0.25">
      <c r="A12747" s="515">
        <v>26431</v>
      </c>
      <c r="B12747" s="515" t="s">
        <v>347</v>
      </c>
      <c r="C12747" s="52">
        <v>124788.28801294199</v>
      </c>
      <c r="D12747" s="56">
        <v>-1.2445623744620233E-2</v>
      </c>
      <c r="E12747" s="224" t="s">
        <v>2</v>
      </c>
      <c r="F12747" s="515" t="s">
        <v>13934</v>
      </c>
      <c r="G12747" s="52">
        <v>311031.82069873199</v>
      </c>
      <c r="H12747" s="56">
        <v>0.20709560618018649</v>
      </c>
      <c r="I12747" s="224" t="s">
        <v>2</v>
      </c>
    </row>
    <row r="12748" spans="1:9" x14ac:dyDescent="0.25">
      <c r="A12748" s="515">
        <v>70342</v>
      </c>
      <c r="B12748" s="515" t="s">
        <v>1184</v>
      </c>
      <c r="C12748" s="52">
        <v>144548.207587999</v>
      </c>
      <c r="D12748" s="56">
        <v>3.7334443279995258E-2</v>
      </c>
      <c r="E12748" s="224" t="s">
        <v>2</v>
      </c>
      <c r="F12748" s="515" t="s">
        <v>13935</v>
      </c>
      <c r="G12748" s="52">
        <v>313400.393356702</v>
      </c>
      <c r="H12748" s="56">
        <v>8.5999263581204841E-2</v>
      </c>
      <c r="I12748" s="224" t="s">
        <v>2</v>
      </c>
    </row>
    <row r="12749" spans="1:9" x14ac:dyDescent="0.25">
      <c r="A12749" s="515">
        <v>56334</v>
      </c>
      <c r="C12749" s="52">
        <v>272226.38450492203</v>
      </c>
      <c r="D12749" s="56">
        <v>7.6552560316800189E-2</v>
      </c>
      <c r="E12749" s="224" t="s">
        <v>2</v>
      </c>
      <c r="F12749" s="515" t="s">
        <v>13936</v>
      </c>
      <c r="G12749" s="52">
        <v>805539.60274373298</v>
      </c>
      <c r="H12749" s="56">
        <v>-9.1078091983129481E-2</v>
      </c>
      <c r="I12749" s="224" t="s">
        <v>2</v>
      </c>
    </row>
    <row r="12750" spans="1:9" x14ac:dyDescent="0.25">
      <c r="A12750" s="515">
        <v>80514</v>
      </c>
      <c r="B12750" s="515" t="s">
        <v>382</v>
      </c>
      <c r="C12750" s="52">
        <v>487427.59104090102</v>
      </c>
      <c r="D12750" s="56">
        <v>7.4365310458846895E-2</v>
      </c>
      <c r="E12750" s="224" t="s">
        <v>2</v>
      </c>
      <c r="F12750" s="515" t="s">
        <v>13937</v>
      </c>
      <c r="G12750" s="52">
        <v>448406.26072727301</v>
      </c>
      <c r="H12750" s="56">
        <v>0.1148125710731752</v>
      </c>
      <c r="I12750" s="224" t="s">
        <v>2</v>
      </c>
    </row>
    <row r="12751" spans="1:9" x14ac:dyDescent="0.25">
      <c r="A12751" s="515">
        <v>22923</v>
      </c>
      <c r="C12751" s="52">
        <v>361679.18167804403</v>
      </c>
      <c r="D12751" s="56">
        <v>5.6929691742319842E-2</v>
      </c>
      <c r="E12751" s="224" t="s">
        <v>2</v>
      </c>
      <c r="F12751" s="515" t="s">
        <v>13938</v>
      </c>
      <c r="G12751" s="52">
        <v>255960.275670545</v>
      </c>
      <c r="H12751" s="56">
        <v>6.1518562610368845E-2</v>
      </c>
      <c r="I12751" s="224" t="s">
        <v>2</v>
      </c>
    </row>
    <row r="12752" spans="1:9" x14ac:dyDescent="0.25">
      <c r="A12752" s="515">
        <v>42206</v>
      </c>
      <c r="C12752" s="52">
        <v>187053.392793379</v>
      </c>
      <c r="D12752" s="56">
        <v>0.1166909712556549</v>
      </c>
      <c r="E12752" s="224" t="s">
        <v>2</v>
      </c>
      <c r="F12752" s="515" t="s">
        <v>13939</v>
      </c>
      <c r="G12752" s="52">
        <v>157018.182936778</v>
      </c>
      <c r="H12752" s="56">
        <v>8.3411390472616517E-2</v>
      </c>
      <c r="I12752" s="224" t="s">
        <v>2</v>
      </c>
    </row>
    <row r="12753" spans="1:9" x14ac:dyDescent="0.25">
      <c r="A12753" s="515">
        <v>97026</v>
      </c>
      <c r="B12753" s="515" t="s">
        <v>416</v>
      </c>
      <c r="C12753" s="52">
        <v>382853.93007669202</v>
      </c>
      <c r="D12753" s="56">
        <v>2.1354636407688424E-2</v>
      </c>
      <c r="E12753" s="224" t="s">
        <v>2</v>
      </c>
      <c r="F12753" s="515" t="s">
        <v>13940</v>
      </c>
      <c r="G12753" s="52">
        <v>270449.33424327301</v>
      </c>
      <c r="H12753" s="56">
        <v>6.8999564539323155E-2</v>
      </c>
      <c r="I12753" s="224" t="s">
        <v>2</v>
      </c>
    </row>
    <row r="12754" spans="1:9" x14ac:dyDescent="0.25">
      <c r="A12754" s="515">
        <v>53950</v>
      </c>
      <c r="C12754" s="52">
        <v>213318.21112530801</v>
      </c>
      <c r="D12754" s="56">
        <v>4.6692817243431828E-2</v>
      </c>
      <c r="E12754" s="224" t="s">
        <v>2</v>
      </c>
      <c r="F12754" s="515" t="s">
        <v>13941</v>
      </c>
      <c r="G12754" s="52">
        <v>123594.603146764</v>
      </c>
      <c r="H12754" s="56">
        <v>-6.3363781318750742E-2</v>
      </c>
      <c r="I12754" s="224" t="s">
        <v>2</v>
      </c>
    </row>
    <row r="12755" spans="1:9" x14ac:dyDescent="0.25">
      <c r="A12755" s="515">
        <v>78370</v>
      </c>
      <c r="B12755" s="515" t="s">
        <v>415</v>
      </c>
      <c r="C12755" s="52">
        <v>178028.13114725199</v>
      </c>
      <c r="D12755" s="56">
        <v>-2.756270781244469E-2</v>
      </c>
      <c r="E12755" s="224" t="s">
        <v>2</v>
      </c>
      <c r="F12755" s="515" t="s">
        <v>13942</v>
      </c>
      <c r="G12755" s="52">
        <v>124667.501841982</v>
      </c>
      <c r="H12755" s="56">
        <v>4.4697276932289184E-2</v>
      </c>
      <c r="I12755" s="224" t="s">
        <v>2</v>
      </c>
    </row>
    <row r="12756" spans="1:9" x14ac:dyDescent="0.25">
      <c r="A12756" s="515">
        <v>24538</v>
      </c>
      <c r="B12756" s="515" t="s">
        <v>705</v>
      </c>
      <c r="C12756" s="52">
        <v>239185.58655080301</v>
      </c>
      <c r="D12756" s="56">
        <v>0.11081640445062514</v>
      </c>
      <c r="E12756" s="224" t="s">
        <v>2</v>
      </c>
      <c r="F12756" s="515" t="s">
        <v>13943</v>
      </c>
      <c r="G12756" s="52">
        <v>194169.97534335399</v>
      </c>
      <c r="H12756" s="56">
        <v>8.8476567337211043E-2</v>
      </c>
      <c r="I12756" s="224" t="s">
        <v>2</v>
      </c>
    </row>
    <row r="12757" spans="1:9" x14ac:dyDescent="0.25">
      <c r="A12757" s="515">
        <v>46347</v>
      </c>
      <c r="B12757" s="515" t="s">
        <v>394</v>
      </c>
      <c r="C12757" s="52">
        <v>267010.37655694003</v>
      </c>
      <c r="D12757" s="56">
        <v>5.5217463172043936E-2</v>
      </c>
      <c r="E12757" s="224" t="s">
        <v>2</v>
      </c>
      <c r="F12757" s="515" t="s">
        <v>13944</v>
      </c>
      <c r="G12757" s="52">
        <v>160882.30761642699</v>
      </c>
      <c r="H12757" s="56">
        <v>5.6770925586956664E-2</v>
      </c>
      <c r="I12757" s="224" t="s">
        <v>2</v>
      </c>
    </row>
    <row r="12758" spans="1:9" x14ac:dyDescent="0.25">
      <c r="A12758" s="515">
        <v>77514</v>
      </c>
      <c r="B12758" s="515" t="s">
        <v>314</v>
      </c>
      <c r="C12758" s="52">
        <v>228369.61331158399</v>
      </c>
      <c r="D12758" s="56">
        <v>3.0584737759398271E-2</v>
      </c>
      <c r="E12758" s="224" t="s">
        <v>2</v>
      </c>
      <c r="F12758" s="515" t="s">
        <v>13945</v>
      </c>
      <c r="G12758" s="52">
        <v>540364.97363773605</v>
      </c>
      <c r="H12758" s="56">
        <v>0.10111943077053948</v>
      </c>
      <c r="I12758" s="224" t="s">
        <v>2</v>
      </c>
    </row>
    <row r="12759" spans="1:9" x14ac:dyDescent="0.25">
      <c r="A12759" s="515">
        <v>21776</v>
      </c>
      <c r="B12759" s="515" t="s">
        <v>582</v>
      </c>
      <c r="C12759" s="52">
        <v>412723.88953276997</v>
      </c>
      <c r="D12759" s="56">
        <v>2.938669389390729E-2</v>
      </c>
      <c r="E12759" s="224" t="s">
        <v>2</v>
      </c>
      <c r="F12759" s="515" t="s">
        <v>13946</v>
      </c>
      <c r="G12759" s="52">
        <v>171151.42094611199</v>
      </c>
      <c r="H12759" s="56">
        <v>0.13214483976001393</v>
      </c>
      <c r="I12759" s="224" t="s">
        <v>2</v>
      </c>
    </row>
    <row r="12760" spans="1:9" x14ac:dyDescent="0.25">
      <c r="A12760" s="515">
        <v>37915</v>
      </c>
      <c r="B12760" s="515" t="s">
        <v>907</v>
      </c>
      <c r="C12760" s="52">
        <v>170670.22730010701</v>
      </c>
      <c r="D12760" s="56">
        <v>0.29489261792865457</v>
      </c>
      <c r="E12760" s="224" t="s">
        <v>2</v>
      </c>
      <c r="F12760" s="515" t="s">
        <v>13947</v>
      </c>
      <c r="G12760" s="52">
        <v>138582.84496815701</v>
      </c>
      <c r="H12760" s="56">
        <v>9.9783266184771957E-2</v>
      </c>
      <c r="I12760" s="224" t="s">
        <v>2</v>
      </c>
    </row>
    <row r="12761" spans="1:9" x14ac:dyDescent="0.25">
      <c r="A12761" s="515">
        <v>34734</v>
      </c>
      <c r="B12761" s="515" t="s">
        <v>517</v>
      </c>
      <c r="C12761" s="52">
        <v>451197.435142476</v>
      </c>
      <c r="D12761" s="56">
        <v>0.11178858259890309</v>
      </c>
      <c r="E12761" s="224" t="s">
        <v>2</v>
      </c>
      <c r="F12761" s="515" t="s">
        <v>13948</v>
      </c>
      <c r="G12761" s="52">
        <v>235160.742477019</v>
      </c>
      <c r="H12761" s="56">
        <v>8.1348766357795102E-2</v>
      </c>
      <c r="I12761" s="224" t="s">
        <v>2</v>
      </c>
    </row>
    <row r="12762" spans="1:9" x14ac:dyDescent="0.25">
      <c r="A12762" s="515">
        <v>17004</v>
      </c>
      <c r="B12762" s="515" t="s">
        <v>714</v>
      </c>
      <c r="C12762" s="52">
        <v>216469.22867104999</v>
      </c>
      <c r="D12762" s="56">
        <v>9.1622307841474918E-2</v>
      </c>
      <c r="E12762" s="224" t="s">
        <v>2</v>
      </c>
      <c r="F12762" s="515" t="s">
        <v>13949</v>
      </c>
      <c r="G12762" s="52">
        <v>77964.848180920395</v>
      </c>
      <c r="H12762" s="56">
        <v>8.8427440653828487E-2</v>
      </c>
      <c r="I12762" s="224" t="s">
        <v>2</v>
      </c>
    </row>
    <row r="12763" spans="1:9" x14ac:dyDescent="0.25">
      <c r="A12763" s="515">
        <v>42376</v>
      </c>
      <c r="B12763" s="515" t="s">
        <v>1024</v>
      </c>
      <c r="C12763" s="52">
        <v>196194.51733713501</v>
      </c>
      <c r="D12763" s="56">
        <v>9.9872715746285978E-2</v>
      </c>
      <c r="E12763" s="224" t="s">
        <v>2</v>
      </c>
      <c r="F12763" s="515" t="s">
        <v>13950</v>
      </c>
      <c r="G12763" s="52">
        <v>145767.97194337301</v>
      </c>
      <c r="H12763" s="56">
        <v>0</v>
      </c>
      <c r="I12763" s="224" t="s">
        <v>2</v>
      </c>
    </row>
    <row r="12764" spans="1:9" x14ac:dyDescent="0.25">
      <c r="A12764" s="515">
        <v>48651</v>
      </c>
      <c r="C12764" s="52">
        <v>151800.92265983799</v>
      </c>
      <c r="D12764" s="56">
        <v>0.16177711211727511</v>
      </c>
      <c r="E12764" s="224" t="s">
        <v>2</v>
      </c>
      <c r="F12764" s="515" t="s">
        <v>13951</v>
      </c>
      <c r="G12764" s="52">
        <v>129743.08344375499</v>
      </c>
      <c r="H12764" s="56">
        <v>4.6615903858927769E-2</v>
      </c>
      <c r="I12764" s="224" t="s">
        <v>2</v>
      </c>
    </row>
    <row r="12765" spans="1:9" x14ac:dyDescent="0.25">
      <c r="A12765" s="515">
        <v>54201</v>
      </c>
      <c r="B12765" s="515" t="s">
        <v>897</v>
      </c>
      <c r="C12765" s="52">
        <v>192106.259269392</v>
      </c>
      <c r="D12765" s="56">
        <v>9.7363982403248769E-2</v>
      </c>
      <c r="E12765" s="224" t="s">
        <v>2</v>
      </c>
      <c r="F12765" s="515" t="s">
        <v>13952</v>
      </c>
      <c r="G12765" s="52">
        <v>117832.277475749</v>
      </c>
      <c r="H12765" s="56">
        <v>4.6607890742993664E-3</v>
      </c>
      <c r="I12765" s="224" t="s">
        <v>2</v>
      </c>
    </row>
    <row r="12766" spans="1:9" x14ac:dyDescent="0.25">
      <c r="A12766" s="515">
        <v>30738</v>
      </c>
      <c r="B12766" s="515" t="s">
        <v>622</v>
      </c>
      <c r="C12766" s="52">
        <v>245714.273212434</v>
      </c>
      <c r="D12766" s="56">
        <v>4.1074870218653532E-2</v>
      </c>
      <c r="E12766" s="224" t="s">
        <v>2</v>
      </c>
      <c r="F12766" s="515" t="s">
        <v>13953</v>
      </c>
      <c r="G12766" s="52">
        <v>116430.5808752</v>
      </c>
      <c r="H12766" s="56">
        <v>4.7411717672731085E-2</v>
      </c>
      <c r="I12766" s="224" t="s">
        <v>2</v>
      </c>
    </row>
    <row r="12767" spans="1:9" x14ac:dyDescent="0.25">
      <c r="A12767" s="515">
        <v>43947</v>
      </c>
      <c r="B12767" s="515" t="s">
        <v>442</v>
      </c>
      <c r="C12767" s="52">
        <v>132832.327325305</v>
      </c>
      <c r="D12767" s="56">
        <v>6.4221652840594293E-2</v>
      </c>
      <c r="E12767" s="224" t="s">
        <v>2</v>
      </c>
      <c r="F12767" s="515" t="s">
        <v>13954</v>
      </c>
      <c r="G12767" s="52">
        <v>145646.277340873</v>
      </c>
      <c r="H12767" s="56">
        <v>6.3746518467597518E-2</v>
      </c>
      <c r="I12767" s="224" t="s">
        <v>2</v>
      </c>
    </row>
    <row r="12768" spans="1:9" x14ac:dyDescent="0.25">
      <c r="A12768" s="515">
        <v>97882</v>
      </c>
      <c r="B12768" s="515" t="s">
        <v>733</v>
      </c>
      <c r="C12768" s="52">
        <v>264301.15752031299</v>
      </c>
      <c r="D12768" s="56">
        <v>6.4098945993839571E-2</v>
      </c>
      <c r="E12768" s="224" t="s">
        <v>2</v>
      </c>
      <c r="F12768" s="515" t="s">
        <v>13955</v>
      </c>
      <c r="G12768" s="52">
        <v>200261.08077943299</v>
      </c>
      <c r="H12768" s="56">
        <v>8.520197157044436E-2</v>
      </c>
      <c r="I12768" s="224" t="s">
        <v>2</v>
      </c>
    </row>
    <row r="12769" spans="1:9" x14ac:dyDescent="0.25">
      <c r="A12769" s="515">
        <v>7632</v>
      </c>
      <c r="B12769" s="515" t="s">
        <v>324</v>
      </c>
      <c r="C12769" s="52">
        <v>1306310.3200825199</v>
      </c>
      <c r="D12769" s="56">
        <v>4.8573449550873046E-2</v>
      </c>
      <c r="E12769" s="224" t="s">
        <v>2</v>
      </c>
      <c r="F12769" s="515" t="s">
        <v>13956</v>
      </c>
      <c r="G12769" s="52">
        <v>149369.61565728299</v>
      </c>
      <c r="H12769" s="56">
        <v>7.8000815872991097E-2</v>
      </c>
      <c r="I12769" s="224" t="s">
        <v>2</v>
      </c>
    </row>
    <row r="12770" spans="1:9" x14ac:dyDescent="0.25">
      <c r="A12770" s="515">
        <v>39145</v>
      </c>
      <c r="B12770" s="515" t="s">
        <v>851</v>
      </c>
      <c r="C12770" s="52">
        <v>175734.30512131599</v>
      </c>
      <c r="D12770" s="56">
        <v>5.0257677657773378E-2</v>
      </c>
      <c r="E12770" s="224" t="s">
        <v>2</v>
      </c>
      <c r="F12770" s="515" t="s">
        <v>13957</v>
      </c>
      <c r="G12770" s="52">
        <v>137540.56409134899</v>
      </c>
      <c r="H12770" s="56">
        <v>0.12505773286902702</v>
      </c>
      <c r="I12770" s="224" t="s">
        <v>2</v>
      </c>
    </row>
    <row r="12771" spans="1:9" x14ac:dyDescent="0.25">
      <c r="A12771" s="515">
        <v>47353</v>
      </c>
      <c r="B12771" s="515" t="s">
        <v>344</v>
      </c>
      <c r="C12771" s="52">
        <v>191427.79886474399</v>
      </c>
      <c r="D12771" s="56">
        <v>2.4516727275354831E-2</v>
      </c>
      <c r="E12771" s="224" t="s">
        <v>2</v>
      </c>
      <c r="F12771" s="515" t="s">
        <v>13958</v>
      </c>
      <c r="G12771" s="52">
        <v>446646.68709255703</v>
      </c>
      <c r="H12771" s="56">
        <v>6.6266521401072169E-3</v>
      </c>
      <c r="I12771" s="224" t="s">
        <v>2</v>
      </c>
    </row>
    <row r="12772" spans="1:9" x14ac:dyDescent="0.25">
      <c r="A12772" s="515">
        <v>13211</v>
      </c>
      <c r="B12772" s="515" t="s">
        <v>361</v>
      </c>
      <c r="C12772" s="52">
        <v>136081.098639598</v>
      </c>
      <c r="D12772" s="56">
        <v>8.2716207886204235E-2</v>
      </c>
      <c r="E12772" s="224" t="s">
        <v>2</v>
      </c>
      <c r="F12772" s="515" t="s">
        <v>13959</v>
      </c>
      <c r="G12772" s="52">
        <v>539255.292481713</v>
      </c>
      <c r="H12772" s="56">
        <v>0.14517390582556472</v>
      </c>
      <c r="I12772" s="224" t="s">
        <v>2</v>
      </c>
    </row>
    <row r="12773" spans="1:9" x14ac:dyDescent="0.25">
      <c r="A12773" s="515">
        <v>67735</v>
      </c>
      <c r="C12773" s="52">
        <v>128244.30906956601</v>
      </c>
      <c r="D12773" s="56">
        <v>9.0221189560843254E-2</v>
      </c>
      <c r="E12773" s="224" t="s">
        <v>2</v>
      </c>
      <c r="F12773" s="515" t="s">
        <v>13960</v>
      </c>
      <c r="G12773" s="52">
        <v>138127.067933577</v>
      </c>
      <c r="H12773" s="56">
        <v>9.9244583348842327E-2</v>
      </c>
      <c r="I12773" s="224" t="s">
        <v>2</v>
      </c>
    </row>
    <row r="12774" spans="1:9" x14ac:dyDescent="0.25">
      <c r="A12774" s="515">
        <v>2739</v>
      </c>
      <c r="B12774" s="515" t="s">
        <v>534</v>
      </c>
      <c r="C12774" s="52">
        <v>635162.64781763498</v>
      </c>
      <c r="D12774" s="56">
        <v>0.10180890043092893</v>
      </c>
      <c r="E12774" s="224" t="s">
        <v>2</v>
      </c>
      <c r="F12774" s="515" t="s">
        <v>13961</v>
      </c>
      <c r="G12774" s="52">
        <v>440730.08694697701</v>
      </c>
      <c r="H12774" s="56">
        <v>9.4536831632473242E-2</v>
      </c>
      <c r="I12774" s="224" t="s">
        <v>2</v>
      </c>
    </row>
    <row r="12775" spans="1:9" x14ac:dyDescent="0.25">
      <c r="A12775" s="515">
        <v>76689</v>
      </c>
      <c r="B12775" s="515" t="s">
        <v>1057</v>
      </c>
      <c r="C12775" s="52">
        <v>312059.756751757</v>
      </c>
      <c r="D12775" s="56">
        <v>7.7420743990755408E-2</v>
      </c>
      <c r="E12775" s="224" t="s">
        <v>2</v>
      </c>
      <c r="F12775" s="515" t="s">
        <v>13962</v>
      </c>
      <c r="G12775" s="52">
        <v>300474.27896318497</v>
      </c>
      <c r="H12775" s="56">
        <v>6.5037177341491392E-2</v>
      </c>
      <c r="I12775" s="224" t="s">
        <v>2</v>
      </c>
    </row>
    <row r="12776" spans="1:9" x14ac:dyDescent="0.25">
      <c r="A12776" s="515">
        <v>24064</v>
      </c>
      <c r="B12776" s="515" t="s">
        <v>861</v>
      </c>
      <c r="C12776" s="52">
        <v>259024.85975682599</v>
      </c>
      <c r="D12776" s="56">
        <v>8.2903012970622914E-2</v>
      </c>
      <c r="E12776" s="224" t="s">
        <v>2</v>
      </c>
      <c r="F12776" s="515" t="s">
        <v>13963</v>
      </c>
      <c r="G12776" s="52">
        <v>207743.509429736</v>
      </c>
      <c r="H12776" s="56">
        <v>9.3512191210626622E-2</v>
      </c>
      <c r="I12776" s="224" t="s">
        <v>2</v>
      </c>
    </row>
    <row r="12777" spans="1:9" x14ac:dyDescent="0.25">
      <c r="A12777" s="515">
        <v>29112</v>
      </c>
      <c r="B12777" s="515" t="s">
        <v>1036</v>
      </c>
      <c r="C12777" s="52">
        <v>84322.177799245401</v>
      </c>
      <c r="D12777" s="56">
        <v>-4.946161867678122E-2</v>
      </c>
      <c r="E12777" s="224" t="s">
        <v>2</v>
      </c>
      <c r="F12777" s="515" t="s">
        <v>13964</v>
      </c>
      <c r="G12777" s="52">
        <v>161278.986704109</v>
      </c>
      <c r="H12777" s="56">
        <v>0.1044610995507622</v>
      </c>
      <c r="I12777" s="224" t="s">
        <v>2</v>
      </c>
    </row>
    <row r="12778" spans="1:9" x14ac:dyDescent="0.25">
      <c r="A12778" s="515">
        <v>17560</v>
      </c>
      <c r="B12778" s="515" t="s">
        <v>537</v>
      </c>
      <c r="C12778" s="52">
        <v>347883.33100558998</v>
      </c>
      <c r="D12778" s="56">
        <v>7.86845118021475E-2</v>
      </c>
      <c r="E12778" s="224" t="s">
        <v>2</v>
      </c>
      <c r="F12778" s="515" t="s">
        <v>13965</v>
      </c>
      <c r="G12778" s="52">
        <v>228072.815014149</v>
      </c>
      <c r="H12778" s="56">
        <v>8.1426990138615721E-2</v>
      </c>
      <c r="I12778" s="224" t="s">
        <v>2</v>
      </c>
    </row>
    <row r="12779" spans="1:9" x14ac:dyDescent="0.25">
      <c r="A12779" s="515">
        <v>2825</v>
      </c>
      <c r="B12779" s="515" t="s">
        <v>513</v>
      </c>
      <c r="C12779" s="52">
        <v>447632.78408046003</v>
      </c>
      <c r="D12779" s="56">
        <v>0.12707114178520398</v>
      </c>
      <c r="E12779" s="224" t="s">
        <v>2</v>
      </c>
      <c r="F12779" s="515" t="s">
        <v>13966</v>
      </c>
      <c r="G12779" s="52">
        <v>88388.424672108798</v>
      </c>
      <c r="H12779" s="56">
        <v>2.6835344133232734E-2</v>
      </c>
      <c r="I12779" s="224" t="s">
        <v>2</v>
      </c>
    </row>
    <row r="12780" spans="1:9" x14ac:dyDescent="0.25">
      <c r="A12780" s="515">
        <v>11963</v>
      </c>
      <c r="B12780" s="515" t="s">
        <v>324</v>
      </c>
      <c r="C12780" s="52">
        <v>1871352.73507421</v>
      </c>
      <c r="D12780" s="56">
        <v>9.2907437240037569E-2</v>
      </c>
      <c r="E12780" s="224">
        <v>30853.515151515101</v>
      </c>
      <c r="F12780" s="515" t="s">
        <v>13967</v>
      </c>
      <c r="G12780" s="52">
        <v>536549.56695921102</v>
      </c>
      <c r="H12780" s="56">
        <v>4.3021418201912943E-2</v>
      </c>
      <c r="I12780" s="224" t="s">
        <v>2</v>
      </c>
    </row>
    <row r="12781" spans="1:9" x14ac:dyDescent="0.25">
      <c r="A12781" s="515">
        <v>30139</v>
      </c>
      <c r="B12781" s="515" t="s">
        <v>1056</v>
      </c>
      <c r="C12781" s="52">
        <v>257090.74213084599</v>
      </c>
      <c r="D12781" s="56">
        <v>8.4052146032828123E-2</v>
      </c>
      <c r="E12781" s="224" t="s">
        <v>2</v>
      </c>
      <c r="F12781" s="515" t="s">
        <v>13968</v>
      </c>
      <c r="G12781" s="52">
        <v>251874.47973675601</v>
      </c>
      <c r="H12781" s="56">
        <v>4.7745709198487217E-2</v>
      </c>
      <c r="I12781" s="224" t="s">
        <v>2</v>
      </c>
    </row>
    <row r="12782" spans="1:9" x14ac:dyDescent="0.25">
      <c r="A12782" s="515">
        <v>83455</v>
      </c>
      <c r="B12782" s="515" t="s">
        <v>490</v>
      </c>
      <c r="C12782" s="52">
        <v>647802.49778003304</v>
      </c>
      <c r="D12782" s="56">
        <v>4.097821681477689E-2</v>
      </c>
      <c r="E12782" s="224" t="s">
        <v>2</v>
      </c>
      <c r="F12782" s="515" t="s">
        <v>13969</v>
      </c>
      <c r="G12782" s="52">
        <v>310495.76328203699</v>
      </c>
      <c r="H12782" s="56">
        <v>1.5260821777333332E-2</v>
      </c>
      <c r="I12782" s="224" t="s">
        <v>2</v>
      </c>
    </row>
    <row r="12783" spans="1:9" x14ac:dyDescent="0.25">
      <c r="A12783" s="515">
        <v>27807</v>
      </c>
      <c r="B12783" s="515" t="s">
        <v>1152</v>
      </c>
      <c r="C12783" s="52">
        <v>210458.17594998601</v>
      </c>
      <c r="D12783" s="56">
        <v>0.16740497160217896</v>
      </c>
      <c r="E12783" s="224" t="s">
        <v>2</v>
      </c>
      <c r="F12783" s="515" t="s">
        <v>13970</v>
      </c>
      <c r="G12783" s="52">
        <v>85282.725278093494</v>
      </c>
      <c r="H12783" s="56">
        <v>0.19157238518689604</v>
      </c>
      <c r="I12783" s="224" t="s">
        <v>2</v>
      </c>
    </row>
    <row r="12784" spans="1:9" x14ac:dyDescent="0.25">
      <c r="A12784" s="515">
        <v>56572</v>
      </c>
      <c r="B12784" s="515" t="s">
        <v>601</v>
      </c>
      <c r="C12784" s="52">
        <v>373297.32257208799</v>
      </c>
      <c r="D12784" s="56">
        <v>8.708967131715302E-2</v>
      </c>
      <c r="E12784" s="224" t="s">
        <v>2</v>
      </c>
      <c r="F12784" s="515" t="s">
        <v>13971</v>
      </c>
      <c r="G12784" s="52">
        <v>201887.98470781001</v>
      </c>
      <c r="H12784" s="56">
        <v>8.2661197676355505E-2</v>
      </c>
      <c r="I12784" s="224" t="s">
        <v>2</v>
      </c>
    </row>
    <row r="12785" spans="1:9" x14ac:dyDescent="0.25">
      <c r="A12785" s="515">
        <v>55356</v>
      </c>
      <c r="B12785" s="515" t="s">
        <v>532</v>
      </c>
      <c r="C12785" s="52">
        <v>686831.83224276698</v>
      </c>
      <c r="D12785" s="56">
        <v>5.9346060999111272E-2</v>
      </c>
      <c r="E12785" s="224" t="s">
        <v>2</v>
      </c>
      <c r="F12785" s="515" t="s">
        <v>13972</v>
      </c>
      <c r="G12785" s="52">
        <v>240509.132546668</v>
      </c>
      <c r="H12785" s="56">
        <v>9.2107696178789E-2</v>
      </c>
      <c r="I12785" s="224" t="s">
        <v>2</v>
      </c>
    </row>
    <row r="12786" spans="1:9" x14ac:dyDescent="0.25">
      <c r="A12786" s="515">
        <v>54768</v>
      </c>
      <c r="C12786" s="52">
        <v>177402.01425863101</v>
      </c>
      <c r="D12786" s="56">
        <v>8.6014288108379452E-2</v>
      </c>
      <c r="E12786" s="224" t="s">
        <v>2</v>
      </c>
      <c r="F12786" s="515" t="s">
        <v>13973</v>
      </c>
      <c r="G12786" s="52">
        <v>75436.480264084996</v>
      </c>
      <c r="H12786" s="56">
        <v>-2.7048660384141034E-2</v>
      </c>
      <c r="I12786" s="224" t="s">
        <v>2</v>
      </c>
    </row>
    <row r="12787" spans="1:9" x14ac:dyDescent="0.25">
      <c r="A12787" s="515">
        <v>37645</v>
      </c>
      <c r="B12787" s="515" t="s">
        <v>902</v>
      </c>
      <c r="C12787" s="52">
        <v>222331.72418279701</v>
      </c>
      <c r="D12787" s="56">
        <v>0.1604097208183087</v>
      </c>
      <c r="E12787" s="224" t="s">
        <v>2</v>
      </c>
      <c r="F12787" s="515" t="s">
        <v>13974</v>
      </c>
      <c r="G12787" s="52">
        <v>125812.709222534</v>
      </c>
      <c r="H12787" s="56">
        <v>-9.1702591867936899E-3</v>
      </c>
      <c r="I12787" s="224" t="s">
        <v>2</v>
      </c>
    </row>
    <row r="12788" spans="1:9" x14ac:dyDescent="0.25">
      <c r="A12788" s="515">
        <v>13778</v>
      </c>
      <c r="C12788" s="52">
        <v>173845.22553177501</v>
      </c>
      <c r="D12788" s="56">
        <v>5.9836169887198171E-2</v>
      </c>
      <c r="E12788" s="224" t="s">
        <v>2</v>
      </c>
      <c r="F12788" s="515" t="s">
        <v>13975</v>
      </c>
      <c r="G12788" s="52">
        <v>169924.91381872099</v>
      </c>
      <c r="H12788" s="56">
        <v>6.5340197675795922E-2</v>
      </c>
      <c r="I12788" s="224" t="s">
        <v>2</v>
      </c>
    </row>
    <row r="12789" spans="1:9" x14ac:dyDescent="0.25">
      <c r="A12789" s="515">
        <v>72442</v>
      </c>
      <c r="B12789" s="515" t="s">
        <v>1122</v>
      </c>
      <c r="C12789" s="52">
        <v>142032.625504233</v>
      </c>
      <c r="D12789" s="56">
        <v>-4.3548642683962871E-2</v>
      </c>
      <c r="E12789" s="224" t="s">
        <v>2</v>
      </c>
      <c r="F12789" s="515" t="s">
        <v>13976</v>
      </c>
      <c r="G12789" s="52">
        <v>842191.48721960804</v>
      </c>
      <c r="H12789" s="56">
        <v>9.5788134472565206E-2</v>
      </c>
      <c r="I12789" s="224" t="s">
        <v>2</v>
      </c>
    </row>
    <row r="12790" spans="1:9" x14ac:dyDescent="0.25">
      <c r="A12790" s="515">
        <v>44902</v>
      </c>
      <c r="B12790" s="515" t="s">
        <v>1140</v>
      </c>
      <c r="C12790" s="52">
        <v>47551.672518972497</v>
      </c>
      <c r="D12790" s="56">
        <v>0.25079467156541613</v>
      </c>
      <c r="E12790" s="224" t="s">
        <v>2</v>
      </c>
      <c r="F12790" s="515" t="s">
        <v>13977</v>
      </c>
      <c r="G12790" s="52">
        <v>615472.45452179096</v>
      </c>
      <c r="H12790" s="56">
        <v>0.14441382019646026</v>
      </c>
      <c r="I12790" s="224" t="s">
        <v>2</v>
      </c>
    </row>
    <row r="12791" spans="1:9" x14ac:dyDescent="0.25">
      <c r="A12791" s="515">
        <v>2770</v>
      </c>
      <c r="B12791" s="515" t="s">
        <v>534</v>
      </c>
      <c r="C12791" s="52">
        <v>575594.90055237</v>
      </c>
      <c r="D12791" s="56">
        <v>7.7090553828302322E-2</v>
      </c>
      <c r="E12791" s="224" t="s">
        <v>2</v>
      </c>
      <c r="F12791" s="515" t="s">
        <v>13978</v>
      </c>
      <c r="G12791" s="52">
        <v>275974.82537619601</v>
      </c>
      <c r="H12791" s="56">
        <v>3.4587506631034028E-2</v>
      </c>
      <c r="I12791" s="224" t="s">
        <v>2</v>
      </c>
    </row>
    <row r="12792" spans="1:9" x14ac:dyDescent="0.25">
      <c r="A12792" s="515">
        <v>54411</v>
      </c>
      <c r="B12792" s="515" t="s">
        <v>940</v>
      </c>
      <c r="C12792" s="52">
        <v>165746.635217092</v>
      </c>
      <c r="D12792" s="56">
        <v>2.1165613041109487E-2</v>
      </c>
      <c r="E12792" s="224" t="s">
        <v>2</v>
      </c>
      <c r="F12792" s="515" t="s">
        <v>13979</v>
      </c>
      <c r="G12792" s="52">
        <v>117443.018158406</v>
      </c>
      <c r="H12792" s="56">
        <v>7.6109748436860677E-2</v>
      </c>
      <c r="I12792" s="224" t="s">
        <v>2</v>
      </c>
    </row>
    <row r="12793" spans="1:9" x14ac:dyDescent="0.25">
      <c r="A12793" s="515">
        <v>3033</v>
      </c>
      <c r="B12793" s="515" t="s">
        <v>996</v>
      </c>
      <c r="C12793" s="52">
        <v>541077.24206200405</v>
      </c>
      <c r="D12793" s="56">
        <v>6.3052998999144433E-2</v>
      </c>
      <c r="E12793" s="224" t="s">
        <v>2</v>
      </c>
      <c r="F12793" s="515" t="s">
        <v>13980</v>
      </c>
      <c r="G12793" s="52">
        <v>153850.51622943301</v>
      </c>
      <c r="H12793" s="56">
        <v>-6.2031155466252784E-2</v>
      </c>
      <c r="I12793" s="224" t="s">
        <v>2</v>
      </c>
    </row>
    <row r="12794" spans="1:9" x14ac:dyDescent="0.25">
      <c r="A12794" s="515">
        <v>32550</v>
      </c>
      <c r="B12794" s="515" t="s">
        <v>1078</v>
      </c>
      <c r="C12794" s="52">
        <v>690630.93859518995</v>
      </c>
      <c r="D12794" s="56">
        <v>0.10802568973729058</v>
      </c>
      <c r="E12794" s="224">
        <v>2756.88888888888</v>
      </c>
      <c r="F12794" s="515" t="s">
        <v>13981</v>
      </c>
      <c r="G12794" s="52">
        <v>291140.22694342397</v>
      </c>
      <c r="H12794" s="56">
        <v>3.8770736116392458E-2</v>
      </c>
      <c r="I12794" s="224" t="s">
        <v>2</v>
      </c>
    </row>
    <row r="12795" spans="1:9" x14ac:dyDescent="0.25">
      <c r="A12795" s="515">
        <v>53080</v>
      </c>
      <c r="B12795" s="515" t="s">
        <v>950</v>
      </c>
      <c r="C12795" s="52">
        <v>286357.38359449297</v>
      </c>
      <c r="D12795" s="56">
        <v>1.4513793934736745E-2</v>
      </c>
      <c r="E12795" s="224" t="s">
        <v>2</v>
      </c>
      <c r="F12795" s="515" t="s">
        <v>13982</v>
      </c>
      <c r="G12795" s="52">
        <v>71769.713935110005</v>
      </c>
      <c r="H12795" s="56">
        <v>0</v>
      </c>
      <c r="I12795" s="224" t="s">
        <v>2</v>
      </c>
    </row>
    <row r="12796" spans="1:9" x14ac:dyDescent="0.25">
      <c r="A12796" s="515">
        <v>38868</v>
      </c>
      <c r="B12796" s="515" t="s">
        <v>1010</v>
      </c>
      <c r="C12796" s="52">
        <v>131801.25116638199</v>
      </c>
      <c r="D12796" s="56">
        <v>-3.4111354298153526E-2</v>
      </c>
      <c r="E12796" s="224" t="s">
        <v>2</v>
      </c>
      <c r="F12796" s="515" t="s">
        <v>13983</v>
      </c>
      <c r="G12796" s="52">
        <v>91997.9100423817</v>
      </c>
      <c r="H12796" s="56">
        <v>0.10028981701391525</v>
      </c>
      <c r="I12796" s="224" t="s">
        <v>2</v>
      </c>
    </row>
    <row r="12797" spans="1:9" x14ac:dyDescent="0.25">
      <c r="A12797" s="515">
        <v>50436</v>
      </c>
      <c r="C12797" s="52">
        <v>155036.696722733</v>
      </c>
      <c r="D12797" s="56">
        <v>3.8357644693262562E-2</v>
      </c>
      <c r="E12797" s="224" t="s">
        <v>2</v>
      </c>
      <c r="F12797" s="515" t="s">
        <v>13984</v>
      </c>
      <c r="G12797" s="52">
        <v>125738.743241897</v>
      </c>
      <c r="H12797" s="56">
        <v>6.2202942291805383E-2</v>
      </c>
      <c r="I12797" s="224" t="s">
        <v>2</v>
      </c>
    </row>
    <row r="12798" spans="1:9" x14ac:dyDescent="0.25">
      <c r="A12798" s="515">
        <v>69153</v>
      </c>
      <c r="C12798" s="52">
        <v>175482.64136638699</v>
      </c>
      <c r="D12798" s="56">
        <v>4.9293011152185061E-2</v>
      </c>
      <c r="E12798" s="224" t="s">
        <v>2</v>
      </c>
      <c r="F12798" s="515" t="s">
        <v>13985</v>
      </c>
      <c r="G12798" s="52">
        <v>317517.17972164199</v>
      </c>
      <c r="H12798" s="56">
        <v>0.12689536272394281</v>
      </c>
      <c r="I12798" s="224" t="s">
        <v>2</v>
      </c>
    </row>
    <row r="12799" spans="1:9" x14ac:dyDescent="0.25">
      <c r="A12799" s="515">
        <v>86334</v>
      </c>
      <c r="B12799" s="515" t="s">
        <v>332</v>
      </c>
      <c r="C12799" s="52">
        <v>396912.300687665</v>
      </c>
      <c r="D12799" s="56">
        <v>-1.2410566112506995E-2</v>
      </c>
      <c r="E12799" s="224" t="s">
        <v>2</v>
      </c>
      <c r="F12799" s="515" t="s">
        <v>13986</v>
      </c>
      <c r="G12799" s="52">
        <v>264290.966195199</v>
      </c>
      <c r="H12799" s="56">
        <v>3.4492029578198122E-2</v>
      </c>
      <c r="I12799" s="224" t="s">
        <v>2</v>
      </c>
    </row>
    <row r="12800" spans="1:9" x14ac:dyDescent="0.25">
      <c r="A12800" s="515">
        <v>31028</v>
      </c>
      <c r="B12800" s="515" t="s">
        <v>1067</v>
      </c>
      <c r="C12800" s="52">
        <v>201424.06406908599</v>
      </c>
      <c r="D12800" s="56">
        <v>0.15830309711946669</v>
      </c>
      <c r="E12800" s="224" t="s">
        <v>2</v>
      </c>
      <c r="F12800" s="515" t="s">
        <v>13987</v>
      </c>
      <c r="G12800" s="52">
        <v>153078.44248258299</v>
      </c>
      <c r="H12800" s="56">
        <v>0</v>
      </c>
      <c r="I12800" s="224" t="s">
        <v>2</v>
      </c>
    </row>
    <row r="12801" spans="1:9" x14ac:dyDescent="0.25">
      <c r="A12801" s="515">
        <v>14303</v>
      </c>
      <c r="B12801" s="515" t="s">
        <v>336</v>
      </c>
      <c r="C12801" s="52">
        <v>87760.624272302593</v>
      </c>
      <c r="D12801" s="56">
        <v>0.16021816285269391</v>
      </c>
      <c r="E12801" s="224">
        <v>883.33333333333303</v>
      </c>
      <c r="F12801" s="515" t="s">
        <v>13988</v>
      </c>
      <c r="G12801" s="52">
        <v>205918.57520925699</v>
      </c>
      <c r="H12801" s="56">
        <v>0.19000614502256766</v>
      </c>
      <c r="I12801" s="224" t="s">
        <v>2</v>
      </c>
    </row>
    <row r="12802" spans="1:9" x14ac:dyDescent="0.25">
      <c r="A12802" s="515">
        <v>74048</v>
      </c>
      <c r="C12802" s="52">
        <v>94622.893836151401</v>
      </c>
      <c r="D12802" s="56">
        <v>6.7841446449347767E-2</v>
      </c>
      <c r="E12802" s="224" t="s">
        <v>2</v>
      </c>
      <c r="F12802" s="515" t="s">
        <v>13989</v>
      </c>
      <c r="G12802" s="52">
        <v>411968.21316467598</v>
      </c>
      <c r="H12802" s="56">
        <v>0.10966999935155342</v>
      </c>
      <c r="I12802" s="224" t="s">
        <v>2</v>
      </c>
    </row>
    <row r="12803" spans="1:9" x14ac:dyDescent="0.25">
      <c r="A12803" s="515">
        <v>16314</v>
      </c>
      <c r="B12803" s="515" t="s">
        <v>1042</v>
      </c>
      <c r="C12803" s="52">
        <v>148413.84382105499</v>
      </c>
      <c r="D12803" s="56">
        <v>6.8440421899265552E-2</v>
      </c>
      <c r="E12803" s="224" t="s">
        <v>2</v>
      </c>
      <c r="F12803" s="515" t="s">
        <v>13990</v>
      </c>
      <c r="G12803" s="52">
        <v>170537.56747552799</v>
      </c>
      <c r="H12803" s="56">
        <v>0.11866365063865814</v>
      </c>
      <c r="I12803" s="224" t="s">
        <v>2</v>
      </c>
    </row>
    <row r="12804" spans="1:9" x14ac:dyDescent="0.25">
      <c r="A12804" s="515">
        <v>56101</v>
      </c>
      <c r="C12804" s="52">
        <v>158108.36496062501</v>
      </c>
      <c r="D12804" s="56">
        <v>9.6358444706379068E-2</v>
      </c>
      <c r="E12804" s="224" t="s">
        <v>2</v>
      </c>
      <c r="F12804" s="515" t="s">
        <v>13991</v>
      </c>
      <c r="G12804" s="52">
        <v>394129.85338345799</v>
      </c>
      <c r="H12804" s="56">
        <v>0</v>
      </c>
      <c r="I12804" s="224" t="s">
        <v>2</v>
      </c>
    </row>
    <row r="12805" spans="1:9" x14ac:dyDescent="0.25">
      <c r="A12805" s="515">
        <v>43756</v>
      </c>
      <c r="C12805" s="52">
        <v>136730.07035625499</v>
      </c>
      <c r="D12805" s="56">
        <v>0.11549510460143785</v>
      </c>
      <c r="E12805" s="224" t="s">
        <v>2</v>
      </c>
      <c r="F12805" s="515" t="s">
        <v>13992</v>
      </c>
      <c r="G12805" s="52">
        <v>344106.04709062399</v>
      </c>
      <c r="H12805" s="56">
        <v>0.11268391513312015</v>
      </c>
      <c r="I12805" s="224" t="s">
        <v>2</v>
      </c>
    </row>
    <row r="12806" spans="1:9" x14ac:dyDescent="0.25">
      <c r="A12806" s="515">
        <v>37098</v>
      </c>
      <c r="C12806" s="52">
        <v>192180.02834617801</v>
      </c>
      <c r="D12806" s="56">
        <v>6.5047470300310578E-2</v>
      </c>
      <c r="E12806" s="224" t="s">
        <v>2</v>
      </c>
      <c r="F12806" s="515" t="s">
        <v>13993</v>
      </c>
      <c r="G12806" s="52">
        <v>326159.67081117601</v>
      </c>
      <c r="H12806" s="56">
        <v>9.0460668752827364E-2</v>
      </c>
      <c r="I12806" s="224" t="s">
        <v>2</v>
      </c>
    </row>
    <row r="12807" spans="1:9" x14ac:dyDescent="0.25">
      <c r="A12807" s="515">
        <v>21152</v>
      </c>
      <c r="B12807" s="515" t="s">
        <v>582</v>
      </c>
      <c r="C12807" s="52">
        <v>444906.92014056299</v>
      </c>
      <c r="D12807" s="56">
        <v>2.3929318144893418E-2</v>
      </c>
      <c r="E12807" s="224" t="s">
        <v>2</v>
      </c>
      <c r="F12807" s="515" t="s">
        <v>13994</v>
      </c>
      <c r="G12807" s="52">
        <v>147726.11510751999</v>
      </c>
      <c r="H12807" s="56">
        <v>5.7928954900502268E-2</v>
      </c>
      <c r="I12807" s="224" t="s">
        <v>2</v>
      </c>
    </row>
    <row r="12808" spans="1:9" x14ac:dyDescent="0.25">
      <c r="A12808" s="515">
        <v>66211</v>
      </c>
      <c r="B12808" s="515" t="s">
        <v>455</v>
      </c>
      <c r="C12808" s="52">
        <v>545442.29654002795</v>
      </c>
      <c r="D12808" s="56">
        <v>7.7141689167980851E-2</v>
      </c>
      <c r="E12808" s="224" t="s">
        <v>2</v>
      </c>
      <c r="F12808" s="515" t="s">
        <v>13995</v>
      </c>
      <c r="G12808" s="52">
        <v>105866.169904814</v>
      </c>
      <c r="H12808" s="56">
        <v>0.10485554030963139</v>
      </c>
      <c r="I12808" s="224" t="s">
        <v>2</v>
      </c>
    </row>
    <row r="12809" spans="1:9" x14ac:dyDescent="0.25">
      <c r="A12809" s="515">
        <v>67215</v>
      </c>
      <c r="B12809" s="515" t="s">
        <v>485</v>
      </c>
      <c r="C12809" s="52">
        <v>240472.56503555799</v>
      </c>
      <c r="D12809" s="56">
        <v>7.4366200018041145E-2</v>
      </c>
      <c r="E12809" s="224" t="s">
        <v>2</v>
      </c>
      <c r="F12809" s="515" t="s">
        <v>13996</v>
      </c>
      <c r="G12809" s="52">
        <v>227200.53594531</v>
      </c>
      <c r="H12809" s="56">
        <v>7.5815918916399383E-2</v>
      </c>
      <c r="I12809" s="224" t="s">
        <v>2</v>
      </c>
    </row>
    <row r="12810" spans="1:9" x14ac:dyDescent="0.25">
      <c r="A12810" s="515">
        <v>71350</v>
      </c>
      <c r="C12810" s="52">
        <v>104185.394397778</v>
      </c>
      <c r="D12810" s="56">
        <v>5.5585639974473237E-2</v>
      </c>
      <c r="E12810" s="224" t="s">
        <v>2</v>
      </c>
      <c r="F12810" s="515" t="s">
        <v>13997</v>
      </c>
      <c r="G12810" s="52">
        <v>153682.971753052</v>
      </c>
      <c r="H12810" s="56">
        <v>7.3901710180456742E-2</v>
      </c>
      <c r="I12810" s="224" t="s">
        <v>2</v>
      </c>
    </row>
    <row r="12811" spans="1:9" x14ac:dyDescent="0.25">
      <c r="A12811" s="515">
        <v>17366</v>
      </c>
      <c r="B12811" s="515" t="s">
        <v>509</v>
      </c>
      <c r="C12811" s="52">
        <v>232464.221865648</v>
      </c>
      <c r="D12811" s="56">
        <v>9.1877955796970695E-2</v>
      </c>
      <c r="E12811" s="224" t="s">
        <v>2</v>
      </c>
      <c r="F12811" s="515" t="s">
        <v>13998</v>
      </c>
      <c r="G12811" s="52">
        <v>170737.917854689</v>
      </c>
      <c r="H12811" s="56">
        <v>8.0478181140898039E-2</v>
      </c>
      <c r="I12811" s="224" t="s">
        <v>2</v>
      </c>
    </row>
    <row r="12812" spans="1:9" x14ac:dyDescent="0.25">
      <c r="A12812" s="515">
        <v>36352</v>
      </c>
      <c r="B12812" s="515" t="s">
        <v>816</v>
      </c>
      <c r="C12812" s="52">
        <v>206821.60101034399</v>
      </c>
      <c r="D12812" s="56">
        <v>0.12079335796127361</v>
      </c>
      <c r="E12812" s="224" t="s">
        <v>2</v>
      </c>
      <c r="F12812" s="515" t="s">
        <v>13999</v>
      </c>
      <c r="G12812" s="52">
        <v>345095.08667611599</v>
      </c>
      <c r="H12812" s="56">
        <v>4.8595288899107671E-2</v>
      </c>
      <c r="I12812" s="224" t="s">
        <v>2</v>
      </c>
    </row>
    <row r="12813" spans="1:9" x14ac:dyDescent="0.25">
      <c r="A12813" s="515">
        <v>54739</v>
      </c>
      <c r="B12813" s="515" t="s">
        <v>731</v>
      </c>
      <c r="C12813" s="52">
        <v>295507.12599168997</v>
      </c>
      <c r="D12813" s="56">
        <v>4.7099035266819481E-2</v>
      </c>
      <c r="E12813" s="224" t="s">
        <v>2</v>
      </c>
      <c r="F12813" s="515" t="s">
        <v>14000</v>
      </c>
      <c r="G12813" s="52">
        <v>174130.09360032601</v>
      </c>
      <c r="H12813" s="56">
        <v>8.5687877637329338E-2</v>
      </c>
      <c r="I12813" s="224" t="s">
        <v>2</v>
      </c>
    </row>
    <row r="12814" spans="1:9" x14ac:dyDescent="0.25">
      <c r="A12814" s="515">
        <v>44612</v>
      </c>
      <c r="B12814" s="515" t="s">
        <v>309</v>
      </c>
      <c r="C12814" s="52">
        <v>242693.73901950399</v>
      </c>
      <c r="D12814" s="56">
        <v>3.2853992910980234E-2</v>
      </c>
      <c r="E12814" s="224" t="s">
        <v>2</v>
      </c>
      <c r="F12814" s="515" t="s">
        <v>14001</v>
      </c>
      <c r="G12814" s="52">
        <v>29733.231329279999</v>
      </c>
      <c r="H12814" s="56">
        <v>1.8894113673444787E-2</v>
      </c>
      <c r="I12814" s="224" t="s">
        <v>2</v>
      </c>
    </row>
    <row r="12815" spans="1:9" x14ac:dyDescent="0.25">
      <c r="A12815" s="515">
        <v>19940</v>
      </c>
      <c r="B12815" s="515" t="s">
        <v>552</v>
      </c>
      <c r="C12815" s="52">
        <v>279783.312382581</v>
      </c>
      <c r="D12815" s="56">
        <v>7.245378129278543E-2</v>
      </c>
      <c r="E12815" s="224" t="s">
        <v>2</v>
      </c>
      <c r="F12815" s="515" t="s">
        <v>14002</v>
      </c>
      <c r="G12815" s="52">
        <v>128951.120879711</v>
      </c>
      <c r="H12815" s="56">
        <v>8.0957775617940916E-2</v>
      </c>
      <c r="I12815" s="224" t="s">
        <v>2</v>
      </c>
    </row>
    <row r="12816" spans="1:9" x14ac:dyDescent="0.25">
      <c r="A12816" s="515">
        <v>53070</v>
      </c>
      <c r="B12816" s="515" t="s">
        <v>1063</v>
      </c>
      <c r="C12816" s="52">
        <v>268183.526212556</v>
      </c>
      <c r="D12816" s="56">
        <v>6.5552854894277146E-2</v>
      </c>
      <c r="E12816" s="224" t="s">
        <v>2</v>
      </c>
      <c r="F12816" s="515" t="s">
        <v>14003</v>
      </c>
      <c r="G12816" s="52">
        <v>182942.77744927799</v>
      </c>
      <c r="H12816" s="56">
        <v>7.4058436080199519E-2</v>
      </c>
      <c r="I12816" s="224" t="s">
        <v>2</v>
      </c>
    </row>
    <row r="12817" spans="1:9" x14ac:dyDescent="0.25">
      <c r="A12817" s="515">
        <v>12025</v>
      </c>
      <c r="B12817" s="515" t="s">
        <v>744</v>
      </c>
      <c r="C12817" s="52">
        <v>250434.98099196301</v>
      </c>
      <c r="D12817" s="56">
        <v>6.5640050766953104E-2</v>
      </c>
      <c r="E12817" s="224" t="s">
        <v>2</v>
      </c>
      <c r="F12817" s="515" t="s">
        <v>14004</v>
      </c>
      <c r="G12817" s="52">
        <v>602305.58179142803</v>
      </c>
      <c r="H12817" s="56">
        <v>6.4309285835713034E-2</v>
      </c>
      <c r="I12817" s="224" t="s">
        <v>2</v>
      </c>
    </row>
    <row r="12818" spans="1:9" x14ac:dyDescent="0.25">
      <c r="A12818" s="515">
        <v>27503</v>
      </c>
      <c r="B12818" s="515" t="s">
        <v>467</v>
      </c>
      <c r="C12818" s="52">
        <v>412941.54562428599</v>
      </c>
      <c r="D12818" s="56">
        <v>9.4632684438052533E-2</v>
      </c>
      <c r="E12818" s="224" t="s">
        <v>2</v>
      </c>
      <c r="F12818" s="515" t="s">
        <v>14005</v>
      </c>
      <c r="G12818" s="52">
        <v>94776.6409979569</v>
      </c>
      <c r="H12818" s="56">
        <v>9.62653848974208E-2</v>
      </c>
      <c r="I12818" s="224" t="s">
        <v>2</v>
      </c>
    </row>
    <row r="12819" spans="1:9" x14ac:dyDescent="0.25">
      <c r="A12819" s="515">
        <v>3071</v>
      </c>
      <c r="B12819" s="515" t="s">
        <v>996</v>
      </c>
      <c r="C12819" s="52">
        <v>378780.18014323001</v>
      </c>
      <c r="D12819" s="56">
        <v>0.10510502573609853</v>
      </c>
      <c r="E12819" s="224" t="s">
        <v>2</v>
      </c>
      <c r="F12819" s="515" t="s">
        <v>14006</v>
      </c>
      <c r="G12819" s="52">
        <v>205869.58712384</v>
      </c>
      <c r="H12819" s="56">
        <v>0.11805050487152162</v>
      </c>
      <c r="I12819" s="224" t="s">
        <v>2</v>
      </c>
    </row>
    <row r="12820" spans="1:9" x14ac:dyDescent="0.25">
      <c r="A12820" s="515">
        <v>55709</v>
      </c>
      <c r="B12820" s="515" t="s">
        <v>590</v>
      </c>
      <c r="C12820" s="52">
        <v>202651.916751671</v>
      </c>
      <c r="D12820" s="56">
        <v>5.0059999590981348E-2</v>
      </c>
      <c r="E12820" s="224" t="s">
        <v>2</v>
      </c>
      <c r="F12820" s="515" t="s">
        <v>14007</v>
      </c>
      <c r="G12820" s="52">
        <v>387108.17184572102</v>
      </c>
      <c r="H12820" s="56">
        <v>1.8632625330124497E-2</v>
      </c>
      <c r="I12820" s="224" t="s">
        <v>2</v>
      </c>
    </row>
    <row r="12821" spans="1:9" x14ac:dyDescent="0.25">
      <c r="A12821" s="515">
        <v>78160</v>
      </c>
      <c r="B12821" s="515" t="s">
        <v>717</v>
      </c>
      <c r="C12821" s="52">
        <v>311185.06499261601</v>
      </c>
      <c r="D12821" s="56">
        <v>2.7925644526146799E-2</v>
      </c>
      <c r="E12821" s="224" t="s">
        <v>2</v>
      </c>
      <c r="F12821" s="515" t="s">
        <v>14008</v>
      </c>
      <c r="G12821" s="52">
        <v>166702.89475459501</v>
      </c>
      <c r="H12821" s="56">
        <v>5.6708580169681708E-2</v>
      </c>
      <c r="I12821" s="224" t="s">
        <v>2</v>
      </c>
    </row>
    <row r="12822" spans="1:9" x14ac:dyDescent="0.25">
      <c r="A12822" s="515">
        <v>56085</v>
      </c>
      <c r="B12822" s="515" t="s">
        <v>896</v>
      </c>
      <c r="C12822" s="52">
        <v>181941.715980009</v>
      </c>
      <c r="D12822" s="56">
        <v>7.0082316031032599E-2</v>
      </c>
      <c r="E12822" s="224" t="s">
        <v>2</v>
      </c>
      <c r="F12822" s="515" t="s">
        <v>14009</v>
      </c>
      <c r="G12822" s="52">
        <v>284742.45393653098</v>
      </c>
      <c r="H12822" s="56">
        <v>6.0301794577789961E-2</v>
      </c>
      <c r="I12822" s="224" t="s">
        <v>2</v>
      </c>
    </row>
    <row r="12823" spans="1:9" x14ac:dyDescent="0.25">
      <c r="A12823" s="515">
        <v>19066</v>
      </c>
      <c r="B12823" s="515" t="s">
        <v>294</v>
      </c>
      <c r="C12823" s="52">
        <v>871534.81926744303</v>
      </c>
      <c r="D12823" s="56">
        <v>0.12026195230395731</v>
      </c>
      <c r="E12823" s="224" t="s">
        <v>2</v>
      </c>
      <c r="F12823" s="515" t="s">
        <v>14010</v>
      </c>
      <c r="G12823" s="52">
        <v>435843.23884993902</v>
      </c>
      <c r="H12823" s="56">
        <v>5.768269569200677E-2</v>
      </c>
      <c r="I12823" s="224" t="s">
        <v>2</v>
      </c>
    </row>
    <row r="12824" spans="1:9" x14ac:dyDescent="0.25">
      <c r="A12824" s="515">
        <v>80452</v>
      </c>
      <c r="B12824" s="515" t="s">
        <v>401</v>
      </c>
      <c r="C12824" s="52">
        <v>491374.75467832299</v>
      </c>
      <c r="D12824" s="56">
        <v>0.10740987763659599</v>
      </c>
      <c r="E12824" s="224" t="s">
        <v>2</v>
      </c>
      <c r="F12824" s="515" t="s">
        <v>14011</v>
      </c>
      <c r="G12824" s="52">
        <v>128210.059852654</v>
      </c>
      <c r="H12824" s="56">
        <v>7.740480938479101E-2</v>
      </c>
      <c r="I12824" s="224" t="s">
        <v>2</v>
      </c>
    </row>
    <row r="12825" spans="1:9" x14ac:dyDescent="0.25">
      <c r="A12825" s="515">
        <v>97537</v>
      </c>
      <c r="B12825" s="515" t="s">
        <v>775</v>
      </c>
      <c r="C12825" s="52">
        <v>444414.244313606</v>
      </c>
      <c r="D12825" s="56">
        <v>1.5213497100104627E-2</v>
      </c>
      <c r="E12825" s="224" t="s">
        <v>2</v>
      </c>
      <c r="F12825" s="515" t="s">
        <v>14012</v>
      </c>
      <c r="G12825" s="52">
        <v>213590.14001443199</v>
      </c>
      <c r="H12825" s="56">
        <v>5.0416546815370125E-2</v>
      </c>
      <c r="I12825" s="224" t="s">
        <v>2</v>
      </c>
    </row>
    <row r="12826" spans="1:9" x14ac:dyDescent="0.25">
      <c r="A12826" s="515">
        <v>62561</v>
      </c>
      <c r="B12826" s="515" t="s">
        <v>819</v>
      </c>
      <c r="C12826" s="52">
        <v>159720.26488746199</v>
      </c>
      <c r="D12826" s="56">
        <v>3.0933203720202071E-2</v>
      </c>
      <c r="E12826" s="224" t="s">
        <v>2</v>
      </c>
      <c r="F12826" s="515" t="s">
        <v>14013</v>
      </c>
      <c r="G12826" s="52">
        <v>288356.54227575398</v>
      </c>
      <c r="H12826" s="56">
        <v>0.11647767777960183</v>
      </c>
      <c r="I12826" s="224" t="s">
        <v>2</v>
      </c>
    </row>
    <row r="12827" spans="1:9" x14ac:dyDescent="0.25">
      <c r="A12827" s="515">
        <v>1944</v>
      </c>
      <c r="B12827" s="515" t="s">
        <v>534</v>
      </c>
      <c r="C12827" s="52">
        <v>1109552.5369458899</v>
      </c>
      <c r="D12827" s="56">
        <v>8.499100236846964E-2</v>
      </c>
      <c r="E12827" s="224" t="s">
        <v>2</v>
      </c>
      <c r="F12827" s="515" t="s">
        <v>14014</v>
      </c>
      <c r="G12827" s="52">
        <v>95614.109806531895</v>
      </c>
      <c r="H12827" s="56">
        <v>0.14906535672008775</v>
      </c>
      <c r="I12827" s="224" t="s">
        <v>2</v>
      </c>
    </row>
    <row r="12828" spans="1:9" x14ac:dyDescent="0.25">
      <c r="A12828" s="515">
        <v>75693</v>
      </c>
      <c r="B12828" s="515" t="s">
        <v>319</v>
      </c>
      <c r="C12828" s="52">
        <v>224828.78516039401</v>
      </c>
      <c r="D12828" s="56">
        <v>8.9569174833337761E-2</v>
      </c>
      <c r="E12828" s="224" t="s">
        <v>2</v>
      </c>
      <c r="F12828" s="515" t="s">
        <v>14015</v>
      </c>
      <c r="G12828" s="52">
        <v>229105.457730603</v>
      </c>
      <c r="H12828" s="56">
        <v>5.8312185942040892E-2</v>
      </c>
      <c r="I12828" s="224" t="s">
        <v>2</v>
      </c>
    </row>
    <row r="12829" spans="1:9" x14ac:dyDescent="0.25">
      <c r="A12829" s="515">
        <v>73150</v>
      </c>
      <c r="B12829" s="515" t="s">
        <v>385</v>
      </c>
      <c r="C12829" s="52">
        <v>326783.60719141999</v>
      </c>
      <c r="D12829" s="56">
        <v>9.4034503752826862E-2</v>
      </c>
      <c r="E12829" s="224" t="s">
        <v>2</v>
      </c>
      <c r="F12829" s="515" t="s">
        <v>14016</v>
      </c>
      <c r="G12829" s="52">
        <v>249955.05114432701</v>
      </c>
      <c r="H12829" s="56">
        <v>0.13736715733272861</v>
      </c>
      <c r="I12829" s="224" t="s">
        <v>2</v>
      </c>
    </row>
    <row r="12830" spans="1:9" x14ac:dyDescent="0.25">
      <c r="A12830" s="515">
        <v>2468</v>
      </c>
      <c r="B12830" s="515" t="s">
        <v>534</v>
      </c>
      <c r="C12830" s="52">
        <v>1780566.1967345199</v>
      </c>
      <c r="D12830" s="56">
        <v>5.7830095738447225E-2</v>
      </c>
      <c r="E12830" s="224" t="s">
        <v>2</v>
      </c>
      <c r="F12830" s="515" t="s">
        <v>14017</v>
      </c>
      <c r="G12830" s="52">
        <v>467214.87323101202</v>
      </c>
      <c r="H12830" s="56">
        <v>0.10530024833381858</v>
      </c>
      <c r="I12830" s="224" t="s">
        <v>2</v>
      </c>
    </row>
    <row r="12831" spans="1:9" x14ac:dyDescent="0.25">
      <c r="A12831" s="515">
        <v>75152</v>
      </c>
      <c r="B12831" s="515" t="s">
        <v>458</v>
      </c>
      <c r="C12831" s="52">
        <v>266929.53865430801</v>
      </c>
      <c r="D12831" s="56">
        <v>6.1135306094598621E-2</v>
      </c>
      <c r="E12831" s="224" t="s">
        <v>2</v>
      </c>
      <c r="F12831" s="515" t="s">
        <v>14018</v>
      </c>
      <c r="G12831" s="52">
        <v>155445.62557253399</v>
      </c>
      <c r="H12831" s="56">
        <v>7.8542453275920715E-2</v>
      </c>
      <c r="I12831" s="224" t="s">
        <v>2</v>
      </c>
    </row>
    <row r="12832" spans="1:9" x14ac:dyDescent="0.25">
      <c r="A12832" s="515">
        <v>95631</v>
      </c>
      <c r="B12832" s="515" t="s">
        <v>355</v>
      </c>
      <c r="C12832" s="52">
        <v>476840.71493159299</v>
      </c>
      <c r="D12832" s="56">
        <v>-5.3954383046569496E-3</v>
      </c>
      <c r="E12832" s="224" t="s">
        <v>2</v>
      </c>
      <c r="F12832" s="515" t="s">
        <v>14019</v>
      </c>
      <c r="G12832" s="52">
        <v>180362.86536974201</v>
      </c>
      <c r="H12832" s="56">
        <v>0.12336609820947265</v>
      </c>
      <c r="I12832" s="224" t="s">
        <v>2</v>
      </c>
    </row>
    <row r="12833" spans="1:9" x14ac:dyDescent="0.25">
      <c r="A12833" s="515">
        <v>12962</v>
      </c>
      <c r="B12833" s="515" t="s">
        <v>395</v>
      </c>
      <c r="C12833" s="52">
        <v>224444.527664311</v>
      </c>
      <c r="D12833" s="56">
        <v>6.4342849689029313E-2</v>
      </c>
      <c r="E12833" s="224" t="s">
        <v>2</v>
      </c>
      <c r="F12833" s="515" t="s">
        <v>14020</v>
      </c>
      <c r="G12833" s="52">
        <v>304498.71835024498</v>
      </c>
      <c r="H12833" s="56">
        <v>2.3103752800889044E-2</v>
      </c>
      <c r="I12833" s="224" t="s">
        <v>2</v>
      </c>
    </row>
    <row r="12834" spans="1:9" x14ac:dyDescent="0.25">
      <c r="A12834" s="515">
        <v>89429</v>
      </c>
      <c r="B12834" s="515" t="s">
        <v>718</v>
      </c>
      <c r="C12834" s="52">
        <v>294215.08884483401</v>
      </c>
      <c r="D12834" s="56">
        <v>-2.9894194998585123E-2</v>
      </c>
      <c r="E12834" s="224" t="s">
        <v>2</v>
      </c>
      <c r="F12834" s="515" t="s">
        <v>14021</v>
      </c>
      <c r="G12834" s="52">
        <v>121611.187094857</v>
      </c>
      <c r="H12834" s="56">
        <v>-1.0003758126235104E-2</v>
      </c>
      <c r="I12834" s="224" t="s">
        <v>2</v>
      </c>
    </row>
    <row r="12835" spans="1:9" x14ac:dyDescent="0.25">
      <c r="A12835" s="515">
        <v>47660</v>
      </c>
      <c r="C12835" s="52">
        <v>127666.88533105201</v>
      </c>
      <c r="D12835" s="56">
        <v>5.0860427300045898E-2</v>
      </c>
      <c r="E12835" s="224" t="s">
        <v>2</v>
      </c>
      <c r="F12835" s="515" t="s">
        <v>14022</v>
      </c>
      <c r="G12835" s="52">
        <v>190709.293146054</v>
      </c>
      <c r="H12835" s="56">
        <v>6.662802757459256E-2</v>
      </c>
      <c r="I12835" s="224" t="s">
        <v>2</v>
      </c>
    </row>
    <row r="12836" spans="1:9" x14ac:dyDescent="0.25">
      <c r="A12836" s="515">
        <v>18074</v>
      </c>
      <c r="B12836" s="515" t="s">
        <v>294</v>
      </c>
      <c r="C12836" s="52">
        <v>379072.12452088803</v>
      </c>
      <c r="D12836" s="56">
        <v>9.3588032024999768E-2</v>
      </c>
      <c r="E12836" s="224" t="s">
        <v>2</v>
      </c>
      <c r="F12836" s="515" t="s">
        <v>14023</v>
      </c>
      <c r="G12836" s="52">
        <v>191082.664897423</v>
      </c>
      <c r="H12836" s="56">
        <v>1.0658390126457159E-2</v>
      </c>
      <c r="I12836" s="224" t="s">
        <v>2</v>
      </c>
    </row>
    <row r="12837" spans="1:9" x14ac:dyDescent="0.25">
      <c r="A12837" s="515">
        <v>30520</v>
      </c>
      <c r="C12837" s="52">
        <v>218080.69369614299</v>
      </c>
      <c r="D12837" s="56">
        <v>0.13385201011355066</v>
      </c>
      <c r="E12837" s="224" t="s">
        <v>2</v>
      </c>
      <c r="F12837" s="515" t="s">
        <v>14024</v>
      </c>
      <c r="G12837" s="52">
        <v>375244.48617035197</v>
      </c>
      <c r="H12837" s="56">
        <v>4.1839476045600281E-2</v>
      </c>
      <c r="I12837" s="224" t="s">
        <v>2</v>
      </c>
    </row>
    <row r="12838" spans="1:9" x14ac:dyDescent="0.25">
      <c r="A12838" s="515">
        <v>10560</v>
      </c>
      <c r="B12838" s="515" t="s">
        <v>324</v>
      </c>
      <c r="C12838" s="52">
        <v>641802.64279017795</v>
      </c>
      <c r="D12838" s="56">
        <v>6.7610712010788138E-2</v>
      </c>
      <c r="E12838" s="224" t="s">
        <v>2</v>
      </c>
      <c r="F12838" s="515" t="s">
        <v>14025</v>
      </c>
      <c r="G12838" s="52">
        <v>200178.70787328499</v>
      </c>
      <c r="H12838" s="56">
        <v>7.927890848787239E-2</v>
      </c>
      <c r="I12838" s="224" t="s">
        <v>2</v>
      </c>
    </row>
    <row r="12839" spans="1:9" x14ac:dyDescent="0.25">
      <c r="A12839" s="515">
        <v>14871</v>
      </c>
      <c r="B12839" s="515" t="s">
        <v>724</v>
      </c>
      <c r="C12839" s="52">
        <v>171161.41374625301</v>
      </c>
      <c r="D12839" s="56">
        <v>8.8172376801098309E-2</v>
      </c>
      <c r="E12839" s="224" t="s">
        <v>2</v>
      </c>
      <c r="F12839" s="515" t="s">
        <v>14026</v>
      </c>
      <c r="G12839" s="52">
        <v>429907.137705006</v>
      </c>
      <c r="H12839" s="56">
        <v>4.6498758984496971E-2</v>
      </c>
      <c r="I12839" s="224" t="s">
        <v>2</v>
      </c>
    </row>
    <row r="12840" spans="1:9" x14ac:dyDescent="0.25">
      <c r="A12840" s="515">
        <v>1740</v>
      </c>
      <c r="B12840" s="515" t="s">
        <v>751</v>
      </c>
      <c r="C12840" s="52">
        <v>746741.91474481905</v>
      </c>
      <c r="D12840" s="56">
        <v>5.0961908451319766E-2</v>
      </c>
      <c r="E12840" s="224" t="s">
        <v>2</v>
      </c>
      <c r="F12840" s="515" t="s">
        <v>14027</v>
      </c>
      <c r="G12840" s="52">
        <v>1032340.76048445</v>
      </c>
      <c r="H12840" s="56">
        <v>-1.5152853831054958E-2</v>
      </c>
      <c r="I12840" s="224" t="s">
        <v>2</v>
      </c>
    </row>
    <row r="12841" spans="1:9" x14ac:dyDescent="0.25">
      <c r="A12841" s="515">
        <v>29431</v>
      </c>
      <c r="B12841" s="515" t="s">
        <v>1009</v>
      </c>
      <c r="C12841" s="52">
        <v>293368.848423252</v>
      </c>
      <c r="D12841" s="56">
        <v>0.12558442983113666</v>
      </c>
      <c r="E12841" s="224" t="s">
        <v>2</v>
      </c>
      <c r="F12841" s="515" t="s">
        <v>14028</v>
      </c>
      <c r="G12841" s="52">
        <v>259152.41587877</v>
      </c>
      <c r="H12841" s="56">
        <v>0.113847437710119</v>
      </c>
      <c r="I12841" s="224" t="s">
        <v>2</v>
      </c>
    </row>
    <row r="12842" spans="1:9" x14ac:dyDescent="0.25">
      <c r="A12842" s="515">
        <v>73030</v>
      </c>
      <c r="C12842" s="52">
        <v>146471.404862859</v>
      </c>
      <c r="D12842" s="56">
        <v>0.17401301979635761</v>
      </c>
      <c r="E12842" s="224" t="s">
        <v>2</v>
      </c>
      <c r="F12842" s="515" t="s">
        <v>14029</v>
      </c>
      <c r="G12842" s="52">
        <v>403042.03445304598</v>
      </c>
      <c r="H12842" s="56">
        <v>9.3984855641073242E-2</v>
      </c>
      <c r="I12842" s="224" t="s">
        <v>2</v>
      </c>
    </row>
    <row r="12843" spans="1:9" x14ac:dyDescent="0.25">
      <c r="A12843" s="515">
        <v>17538</v>
      </c>
      <c r="B12843" s="515" t="s">
        <v>537</v>
      </c>
      <c r="C12843" s="52">
        <v>361982.65256598103</v>
      </c>
      <c r="D12843" s="56">
        <v>7.0560776569718348E-2</v>
      </c>
      <c r="E12843" s="224" t="s">
        <v>2</v>
      </c>
      <c r="F12843" s="515" t="s">
        <v>14030</v>
      </c>
      <c r="G12843" s="52">
        <v>133331.56274675799</v>
      </c>
      <c r="H12843" s="56">
        <v>0.11396505045183136</v>
      </c>
      <c r="I12843" s="224" t="s">
        <v>2</v>
      </c>
    </row>
    <row r="12844" spans="1:9" x14ac:dyDescent="0.25">
      <c r="A12844" s="515">
        <v>21830</v>
      </c>
      <c r="B12844" s="515" t="s">
        <v>552</v>
      </c>
      <c r="C12844" s="52">
        <v>262781.57093868701</v>
      </c>
      <c r="D12844" s="56">
        <v>7.1218538311097479E-2</v>
      </c>
      <c r="E12844" s="224" t="s">
        <v>2</v>
      </c>
      <c r="F12844" s="515" t="s">
        <v>14031</v>
      </c>
      <c r="G12844" s="52">
        <v>130012.662386821</v>
      </c>
      <c r="H12844" s="56">
        <v>8.9810654506658968E-2</v>
      </c>
      <c r="I12844" s="224" t="s">
        <v>2</v>
      </c>
    </row>
    <row r="12845" spans="1:9" x14ac:dyDescent="0.25">
      <c r="A12845" s="515">
        <v>52776</v>
      </c>
      <c r="B12845" s="515" t="s">
        <v>755</v>
      </c>
      <c r="C12845" s="52">
        <v>195375.82041319099</v>
      </c>
      <c r="D12845" s="56">
        <v>7.8162730616542955E-2</v>
      </c>
      <c r="E12845" s="224" t="s">
        <v>2</v>
      </c>
      <c r="F12845" s="515" t="s">
        <v>14032</v>
      </c>
      <c r="G12845" s="52">
        <v>66977.365137639106</v>
      </c>
      <c r="H12845" s="56">
        <v>0.13891614251860734</v>
      </c>
      <c r="I12845" s="224" t="s">
        <v>2</v>
      </c>
    </row>
    <row r="12846" spans="1:9" x14ac:dyDescent="0.25">
      <c r="A12846" s="515">
        <v>21903</v>
      </c>
      <c r="B12846" s="515" t="s">
        <v>294</v>
      </c>
      <c r="C12846" s="52">
        <v>297660.31913219602</v>
      </c>
      <c r="D12846" s="56">
        <v>5.5768672195716351E-2</v>
      </c>
      <c r="E12846" s="224" t="s">
        <v>2</v>
      </c>
      <c r="F12846" s="515" t="s">
        <v>14033</v>
      </c>
      <c r="G12846" s="52">
        <v>439974.43088890897</v>
      </c>
      <c r="H12846" s="56">
        <v>8.2585341977074192E-2</v>
      </c>
      <c r="I12846" s="224" t="s">
        <v>2</v>
      </c>
    </row>
    <row r="12847" spans="1:9" x14ac:dyDescent="0.25">
      <c r="A12847" s="515">
        <v>47558</v>
      </c>
      <c r="B12847" s="515" t="s">
        <v>922</v>
      </c>
      <c r="C12847" s="52">
        <v>310579.89279431698</v>
      </c>
      <c r="D12847" s="56">
        <v>7.3623473007757706E-2</v>
      </c>
      <c r="E12847" s="224" t="s">
        <v>2</v>
      </c>
      <c r="F12847" s="515" t="s">
        <v>14034</v>
      </c>
      <c r="G12847" s="52">
        <v>223973.48221788101</v>
      </c>
      <c r="H12847" s="56">
        <v>0</v>
      </c>
      <c r="I12847" s="224" t="s">
        <v>2</v>
      </c>
    </row>
    <row r="12848" spans="1:9" x14ac:dyDescent="0.25">
      <c r="A12848" s="515">
        <v>48453</v>
      </c>
      <c r="C12848" s="52">
        <v>152500.68421222299</v>
      </c>
      <c r="D12848" s="56">
        <v>-1.1462990182226926E-2</v>
      </c>
      <c r="E12848" s="224" t="s">
        <v>2</v>
      </c>
      <c r="F12848" s="515" t="s">
        <v>14035</v>
      </c>
      <c r="G12848" s="52">
        <v>213020.256779772</v>
      </c>
      <c r="H12848" s="56">
        <v>3.4751316370523581E-2</v>
      </c>
      <c r="I12848" s="224" t="s">
        <v>2</v>
      </c>
    </row>
    <row r="12849" spans="1:9" x14ac:dyDescent="0.25">
      <c r="A12849" s="515">
        <v>13830</v>
      </c>
      <c r="C12849" s="52">
        <v>138690.34711949201</v>
      </c>
      <c r="D12849" s="56">
        <v>0.10565308097405045</v>
      </c>
      <c r="E12849" s="224" t="s">
        <v>2</v>
      </c>
      <c r="F12849" s="515" t="s">
        <v>14036</v>
      </c>
      <c r="G12849" s="52">
        <v>378352.76351839001</v>
      </c>
      <c r="H12849" s="56">
        <v>-1.4493243375369752E-3</v>
      </c>
      <c r="I12849" s="224" t="s">
        <v>2</v>
      </c>
    </row>
    <row r="12850" spans="1:9" x14ac:dyDescent="0.25">
      <c r="A12850" s="515">
        <v>28305</v>
      </c>
      <c r="B12850" s="515" t="s">
        <v>1149</v>
      </c>
      <c r="C12850" s="52">
        <v>233462.14572535999</v>
      </c>
      <c r="D12850" s="56">
        <v>0.16013467118093966</v>
      </c>
      <c r="E12850" s="224" t="s">
        <v>2</v>
      </c>
      <c r="F12850" s="515" t="s">
        <v>14037</v>
      </c>
      <c r="G12850" s="52">
        <v>182831.046933334</v>
      </c>
      <c r="H12850" s="56">
        <v>8.9228875476000252E-2</v>
      </c>
      <c r="I12850" s="224" t="s">
        <v>2</v>
      </c>
    </row>
    <row r="12851" spans="1:9" x14ac:dyDescent="0.25">
      <c r="A12851" s="515">
        <v>48097</v>
      </c>
      <c r="B12851" s="515" t="s">
        <v>685</v>
      </c>
      <c r="C12851" s="52">
        <v>200627.31739146699</v>
      </c>
      <c r="D12851" s="56">
        <v>6.2675354193030192E-2</v>
      </c>
      <c r="E12851" s="224" t="s">
        <v>2</v>
      </c>
      <c r="F12851" s="515" t="s">
        <v>14038</v>
      </c>
      <c r="G12851" s="52">
        <v>302586.16104204999</v>
      </c>
      <c r="H12851" s="56">
        <v>0.10695625606081487</v>
      </c>
      <c r="I12851" s="224" t="s">
        <v>2</v>
      </c>
    </row>
    <row r="12852" spans="1:9" x14ac:dyDescent="0.25">
      <c r="A12852" s="515">
        <v>79782</v>
      </c>
      <c r="B12852" s="515" t="s">
        <v>802</v>
      </c>
      <c r="C12852" s="52">
        <v>211020.06294477201</v>
      </c>
      <c r="D12852" s="56">
        <v>-4.7160517334057517E-2</v>
      </c>
      <c r="E12852" s="224" t="s">
        <v>2</v>
      </c>
      <c r="F12852" s="515" t="s">
        <v>14039</v>
      </c>
      <c r="G12852" s="52">
        <v>178017.477842628</v>
      </c>
      <c r="H12852" s="56">
        <v>8.407778085060727E-2</v>
      </c>
      <c r="I12852" s="224" t="s">
        <v>2</v>
      </c>
    </row>
    <row r="12853" spans="1:9" x14ac:dyDescent="0.25">
      <c r="A12853" s="515">
        <v>43620</v>
      </c>
      <c r="B12853" s="515" t="s">
        <v>300</v>
      </c>
      <c r="C12853" s="52">
        <v>74307.810905921695</v>
      </c>
      <c r="D12853" s="56">
        <v>0.11256525837756017</v>
      </c>
      <c r="E12853" s="224" t="s">
        <v>2</v>
      </c>
      <c r="F12853" s="515" t="s">
        <v>14040</v>
      </c>
      <c r="G12853" s="52">
        <v>104839.766387607</v>
      </c>
      <c r="H12853" s="56">
        <v>0.1279338368097733</v>
      </c>
      <c r="I12853" s="224" t="s">
        <v>2</v>
      </c>
    </row>
    <row r="12854" spans="1:9" x14ac:dyDescent="0.25">
      <c r="A12854" s="515">
        <v>48471</v>
      </c>
      <c r="C12854" s="52">
        <v>142372.54983863601</v>
      </c>
      <c r="D12854" s="56">
        <v>1.3469312780929783E-2</v>
      </c>
      <c r="E12854" s="224" t="s">
        <v>2</v>
      </c>
      <c r="F12854" s="515" t="s">
        <v>14041</v>
      </c>
      <c r="G12854" s="52">
        <v>346894.804567513</v>
      </c>
      <c r="H12854" s="56">
        <v>0.1252147167764007</v>
      </c>
      <c r="I12854" s="224" t="s">
        <v>2</v>
      </c>
    </row>
    <row r="12855" spans="1:9" x14ac:dyDescent="0.25">
      <c r="A12855" s="515">
        <v>29817</v>
      </c>
      <c r="C12855" s="52">
        <v>73080.073321324206</v>
      </c>
      <c r="D12855" s="56">
        <v>-2.7469472981507471E-2</v>
      </c>
      <c r="E12855" s="224" t="s">
        <v>2</v>
      </c>
      <c r="F12855" s="515" t="s">
        <v>14042</v>
      </c>
      <c r="G12855" s="52">
        <v>311993.17959066603</v>
      </c>
      <c r="H12855" s="56">
        <v>0.10725405031661502</v>
      </c>
      <c r="I12855" s="224" t="s">
        <v>2</v>
      </c>
    </row>
    <row r="12856" spans="1:9" x14ac:dyDescent="0.25">
      <c r="A12856" s="515">
        <v>19543</v>
      </c>
      <c r="B12856" s="515" t="s">
        <v>569</v>
      </c>
      <c r="C12856" s="52">
        <v>366069.62679822702</v>
      </c>
      <c r="D12856" s="56">
        <v>9.4307299506330239E-2</v>
      </c>
      <c r="E12856" s="224" t="s">
        <v>2</v>
      </c>
      <c r="F12856" s="515" t="s">
        <v>14043</v>
      </c>
      <c r="G12856" s="52">
        <v>158374.28038847999</v>
      </c>
      <c r="H12856" s="56">
        <v>9.2500293716458765E-2</v>
      </c>
      <c r="I12856" s="224" t="s">
        <v>2</v>
      </c>
    </row>
    <row r="12857" spans="1:9" x14ac:dyDescent="0.25">
      <c r="A12857" s="515">
        <v>65648</v>
      </c>
      <c r="B12857" s="515" t="s">
        <v>603</v>
      </c>
      <c r="C12857" s="52">
        <v>256471.66266371901</v>
      </c>
      <c r="D12857" s="56">
        <v>0.11243685186012078</v>
      </c>
      <c r="E12857" s="224" t="s">
        <v>2</v>
      </c>
      <c r="F12857" s="515" t="s">
        <v>14044</v>
      </c>
      <c r="G12857" s="52">
        <v>789910.44668791303</v>
      </c>
      <c r="H12857" s="56">
        <v>8.5140144691033398E-2</v>
      </c>
      <c r="I12857" s="224" t="s">
        <v>2</v>
      </c>
    </row>
    <row r="12858" spans="1:9" x14ac:dyDescent="0.25">
      <c r="A12858" s="515">
        <v>7718</v>
      </c>
      <c r="B12858" s="515" t="s">
        <v>324</v>
      </c>
      <c r="C12858" s="52">
        <v>469819.13175520202</v>
      </c>
      <c r="D12858" s="56">
        <v>4.8329510375334096E-2</v>
      </c>
      <c r="E12858" s="224" t="s">
        <v>2</v>
      </c>
      <c r="F12858" s="515" t="s">
        <v>14045</v>
      </c>
      <c r="G12858" s="52">
        <v>216514.44207488399</v>
      </c>
      <c r="H12858" s="56">
        <v>-5.7056025632332433E-2</v>
      </c>
      <c r="I12858" s="224" t="s">
        <v>2</v>
      </c>
    </row>
    <row r="12859" spans="1:9" x14ac:dyDescent="0.25">
      <c r="A12859" s="515">
        <v>35470</v>
      </c>
      <c r="C12859" s="52">
        <v>133657.418326693</v>
      </c>
      <c r="D12859" s="56">
        <v>0</v>
      </c>
      <c r="E12859" s="224" t="s">
        <v>2</v>
      </c>
      <c r="F12859" s="515" t="s">
        <v>14046</v>
      </c>
      <c r="G12859" s="52">
        <v>595699.30320407799</v>
      </c>
      <c r="H12859" s="56">
        <v>9.3231495827125074E-2</v>
      </c>
      <c r="I12859" s="224" t="s">
        <v>2</v>
      </c>
    </row>
    <row r="12860" spans="1:9" x14ac:dyDescent="0.25">
      <c r="A12860" s="515">
        <v>63382</v>
      </c>
      <c r="B12860" s="515" t="s">
        <v>867</v>
      </c>
      <c r="C12860" s="52">
        <v>89334.618846140904</v>
      </c>
      <c r="D12860" s="56">
        <v>7.3926565653103987E-2</v>
      </c>
      <c r="E12860" s="224" t="s">
        <v>2</v>
      </c>
      <c r="F12860" s="515" t="s">
        <v>14047</v>
      </c>
      <c r="G12860" s="52">
        <v>181576.152265674</v>
      </c>
      <c r="H12860" s="56">
        <v>0.11410246908447644</v>
      </c>
      <c r="I12860" s="224" t="s">
        <v>2</v>
      </c>
    </row>
    <row r="12861" spans="1:9" x14ac:dyDescent="0.25">
      <c r="A12861" s="515">
        <v>15222</v>
      </c>
      <c r="B12861" s="515" t="s">
        <v>297</v>
      </c>
      <c r="C12861" s="52">
        <v>436864.73137307097</v>
      </c>
      <c r="D12861" s="56">
        <v>-3.1288589733848085E-2</v>
      </c>
      <c r="E12861" s="224">
        <v>1804.9075091575</v>
      </c>
      <c r="F12861" s="515" t="s">
        <v>14048</v>
      </c>
      <c r="G12861" s="52">
        <v>71091.550701417102</v>
      </c>
      <c r="H12861" s="56">
        <v>3.7377540801459323E-2</v>
      </c>
      <c r="I12861" s="224" t="s">
        <v>2</v>
      </c>
    </row>
    <row r="12862" spans="1:9" x14ac:dyDescent="0.25">
      <c r="A12862" s="515">
        <v>44851</v>
      </c>
      <c r="B12862" s="515" t="s">
        <v>1050</v>
      </c>
      <c r="C12862" s="52">
        <v>150238.30177961799</v>
      </c>
      <c r="D12862" s="56">
        <v>7.0680174504257176E-2</v>
      </c>
      <c r="E12862" s="224" t="s">
        <v>2</v>
      </c>
      <c r="F12862" s="515" t="s">
        <v>14049</v>
      </c>
      <c r="G12862" s="52">
        <v>235885.210102376</v>
      </c>
      <c r="H12862" s="56">
        <v>8.6148408061286721E-2</v>
      </c>
      <c r="I12862" s="224" t="s">
        <v>2</v>
      </c>
    </row>
    <row r="12863" spans="1:9" x14ac:dyDescent="0.25">
      <c r="A12863" s="515">
        <v>37085</v>
      </c>
      <c r="B12863" s="515" t="s">
        <v>684</v>
      </c>
      <c r="C12863" s="52">
        <v>471810.10195625998</v>
      </c>
      <c r="D12863" s="56">
        <v>7.5295326620414521E-2</v>
      </c>
      <c r="E12863" s="224" t="s">
        <v>2</v>
      </c>
      <c r="F12863" s="515" t="s">
        <v>14050</v>
      </c>
      <c r="G12863" s="52">
        <v>151810.264590026</v>
      </c>
      <c r="H12863" s="56">
        <v>2.5151190865022925E-2</v>
      </c>
      <c r="I12863" s="224" t="s">
        <v>2</v>
      </c>
    </row>
    <row r="12864" spans="1:9" x14ac:dyDescent="0.25">
      <c r="A12864" s="515">
        <v>38619</v>
      </c>
      <c r="C12864" s="52">
        <v>133871.84088362401</v>
      </c>
      <c r="D12864" s="56">
        <v>1.9275636248031275E-2</v>
      </c>
      <c r="E12864" s="224" t="s">
        <v>2</v>
      </c>
      <c r="F12864" s="515" t="s">
        <v>14051</v>
      </c>
      <c r="G12864" s="52">
        <v>30086.160026316498</v>
      </c>
      <c r="H12864" s="56">
        <v>3.2176934479506425E-2</v>
      </c>
      <c r="I12864" s="224" t="s">
        <v>2</v>
      </c>
    </row>
    <row r="12865" spans="1:9" x14ac:dyDescent="0.25">
      <c r="A12865" s="515">
        <v>47874</v>
      </c>
      <c r="B12865" s="515" t="s">
        <v>318</v>
      </c>
      <c r="C12865" s="52">
        <v>143075.614356912</v>
      </c>
      <c r="D12865" s="56">
        <v>8.5692821204111383E-2</v>
      </c>
      <c r="E12865" s="224" t="s">
        <v>2</v>
      </c>
      <c r="F12865" s="515" t="s">
        <v>14052</v>
      </c>
      <c r="G12865" s="52">
        <v>323184.88854108698</v>
      </c>
      <c r="H12865" s="56">
        <v>0.10003328374802636</v>
      </c>
      <c r="I12865" s="224" t="s">
        <v>2</v>
      </c>
    </row>
    <row r="12866" spans="1:9" x14ac:dyDescent="0.25">
      <c r="A12866" s="515">
        <v>14464</v>
      </c>
      <c r="B12866" s="515" t="s">
        <v>337</v>
      </c>
      <c r="C12866" s="52">
        <v>185455.757060276</v>
      </c>
      <c r="D12866" s="56">
        <v>9.6385957214535925E-2</v>
      </c>
      <c r="E12866" s="224" t="s">
        <v>2</v>
      </c>
      <c r="F12866" s="515" t="s">
        <v>14053</v>
      </c>
      <c r="G12866" s="52">
        <v>398107.72053840797</v>
      </c>
      <c r="H12866" s="56">
        <v>3.5413412215237292E-2</v>
      </c>
      <c r="I12866" s="224" t="s">
        <v>2</v>
      </c>
    </row>
    <row r="12867" spans="1:9" x14ac:dyDescent="0.25">
      <c r="A12867" s="515">
        <v>65610</v>
      </c>
      <c r="B12867" s="515" t="s">
        <v>603</v>
      </c>
      <c r="C12867" s="52">
        <v>285842.89192212903</v>
      </c>
      <c r="D12867" s="56">
        <v>0.14668310807299828</v>
      </c>
      <c r="E12867" s="224" t="s">
        <v>2</v>
      </c>
      <c r="F12867" s="515" t="s">
        <v>14054</v>
      </c>
      <c r="G12867" s="52">
        <v>566643.03826975299</v>
      </c>
      <c r="H12867" s="56">
        <v>-5.446431607550957E-2</v>
      </c>
      <c r="I12867" s="224" t="s">
        <v>2</v>
      </c>
    </row>
    <row r="12868" spans="1:9" x14ac:dyDescent="0.25">
      <c r="A12868" s="515">
        <v>43137</v>
      </c>
      <c r="B12868" s="515" t="s">
        <v>345</v>
      </c>
      <c r="C12868" s="52">
        <v>277521.40787848597</v>
      </c>
      <c r="D12868" s="56">
        <v>9.2839236303435851E-2</v>
      </c>
      <c r="E12868" s="224" t="s">
        <v>2</v>
      </c>
      <c r="F12868" s="515" t="s">
        <v>14055</v>
      </c>
      <c r="G12868" s="52">
        <v>304894.82977975497</v>
      </c>
      <c r="H12868" s="56">
        <v>8.6968401175651119E-2</v>
      </c>
      <c r="I12868" s="224" t="s">
        <v>2</v>
      </c>
    </row>
    <row r="12869" spans="1:9" x14ac:dyDescent="0.25">
      <c r="A12869" s="515">
        <v>5465</v>
      </c>
      <c r="B12869" s="515" t="s">
        <v>441</v>
      </c>
      <c r="C12869" s="52">
        <v>448131.11076597101</v>
      </c>
      <c r="D12869" s="56">
        <v>8.4491089910911935E-2</v>
      </c>
      <c r="E12869" s="224" t="s">
        <v>2</v>
      </c>
      <c r="F12869" s="515" t="s">
        <v>14056</v>
      </c>
      <c r="G12869" s="52">
        <v>446132.46543778799</v>
      </c>
      <c r="H12869" s="56">
        <v>0</v>
      </c>
      <c r="I12869" s="224" t="s">
        <v>2</v>
      </c>
    </row>
    <row r="12870" spans="1:9" x14ac:dyDescent="0.25">
      <c r="A12870" s="515">
        <v>48133</v>
      </c>
      <c r="B12870" s="515" t="s">
        <v>1033</v>
      </c>
      <c r="C12870" s="52">
        <v>191043.35406302899</v>
      </c>
      <c r="D12870" s="56">
        <v>7.2088378342114817E-2</v>
      </c>
      <c r="E12870" s="224" t="s">
        <v>2</v>
      </c>
      <c r="F12870" s="515" t="s">
        <v>14057</v>
      </c>
      <c r="G12870" s="52">
        <v>299330.94798268197</v>
      </c>
      <c r="H12870" s="56">
        <v>5.9858841762197711E-2</v>
      </c>
      <c r="I12870" s="224" t="s">
        <v>2</v>
      </c>
    </row>
    <row r="12871" spans="1:9" x14ac:dyDescent="0.25">
      <c r="A12871" s="515">
        <v>48658</v>
      </c>
      <c r="C12871" s="52">
        <v>113647.44792867699</v>
      </c>
      <c r="D12871" s="56">
        <v>3.9980845100850676E-2</v>
      </c>
      <c r="E12871" s="224" t="s">
        <v>2</v>
      </c>
      <c r="F12871" s="515" t="s">
        <v>14058</v>
      </c>
      <c r="G12871" s="52">
        <v>104177.169137972</v>
      </c>
      <c r="H12871" s="56">
        <v>0.14985296835119047</v>
      </c>
      <c r="I12871" s="224" t="s">
        <v>2</v>
      </c>
    </row>
    <row r="12872" spans="1:9" x14ac:dyDescent="0.25">
      <c r="A12872" s="515">
        <v>28341</v>
      </c>
      <c r="C12872" s="52">
        <v>109794.783189162</v>
      </c>
      <c r="D12872" s="56">
        <v>0.15403756082293762</v>
      </c>
      <c r="E12872" s="224" t="s">
        <v>2</v>
      </c>
      <c r="F12872" s="515" t="s">
        <v>14059</v>
      </c>
      <c r="G12872" s="52">
        <v>476353.80244335002</v>
      </c>
      <c r="H12872" s="56">
        <v>0.11260019455062874</v>
      </c>
      <c r="I12872" s="224" t="s">
        <v>2</v>
      </c>
    </row>
    <row r="12873" spans="1:9" x14ac:dyDescent="0.25">
      <c r="A12873" s="515">
        <v>41537</v>
      </c>
      <c r="C12873" s="52">
        <v>76193.380986117598</v>
      </c>
      <c r="D12873" s="56">
        <v>0.21108593308597573</v>
      </c>
      <c r="E12873" s="224" t="s">
        <v>2</v>
      </c>
      <c r="F12873" s="515" t="s">
        <v>14060</v>
      </c>
      <c r="G12873" s="52">
        <v>283837.34477043297</v>
      </c>
      <c r="H12873" s="56">
        <v>0.15181318567369367</v>
      </c>
      <c r="I12873" s="224" t="s">
        <v>2</v>
      </c>
    </row>
    <row r="12874" spans="1:9" x14ac:dyDescent="0.25">
      <c r="A12874" s="515">
        <v>17051</v>
      </c>
      <c r="B12874" s="515" t="s">
        <v>714</v>
      </c>
      <c r="C12874" s="52">
        <v>172163.397047887</v>
      </c>
      <c r="D12874" s="56">
        <v>0.12749063823989662</v>
      </c>
      <c r="E12874" s="224" t="s">
        <v>2</v>
      </c>
      <c r="F12874" s="515" t="s">
        <v>14061</v>
      </c>
      <c r="G12874" s="52">
        <v>306081.53125</v>
      </c>
      <c r="H12874" s="56">
        <v>0</v>
      </c>
      <c r="I12874" s="224" t="s">
        <v>2</v>
      </c>
    </row>
    <row r="12875" spans="1:9" x14ac:dyDescent="0.25">
      <c r="A12875" s="515">
        <v>24360</v>
      </c>
      <c r="C12875" s="52">
        <v>168563.35672629601</v>
      </c>
      <c r="D12875" s="56">
        <v>0.12431334799304995</v>
      </c>
      <c r="E12875" s="224" t="s">
        <v>2</v>
      </c>
      <c r="F12875" s="515" t="s">
        <v>14062</v>
      </c>
      <c r="G12875" s="52">
        <v>301173.90546962502</v>
      </c>
      <c r="H12875" s="56">
        <v>3.686514783004495E-2</v>
      </c>
      <c r="I12875" s="224" t="s">
        <v>2</v>
      </c>
    </row>
    <row r="12876" spans="1:9" x14ac:dyDescent="0.25">
      <c r="A12876" s="515">
        <v>8343</v>
      </c>
      <c r="B12876" s="515" t="s">
        <v>294</v>
      </c>
      <c r="C12876" s="52">
        <v>304680.92569820298</v>
      </c>
      <c r="D12876" s="56">
        <v>3.7186560051318027E-2</v>
      </c>
      <c r="E12876" s="224" t="s">
        <v>2</v>
      </c>
      <c r="F12876" s="515" t="s">
        <v>14063</v>
      </c>
      <c r="G12876" s="52">
        <v>114392.511688693</v>
      </c>
      <c r="H12876" s="56">
        <v>3.3073634717279879E-2</v>
      </c>
      <c r="I12876" s="224" t="s">
        <v>2</v>
      </c>
    </row>
    <row r="12877" spans="1:9" x14ac:dyDescent="0.25">
      <c r="A12877" s="515">
        <v>46148</v>
      </c>
      <c r="B12877" s="515" t="s">
        <v>421</v>
      </c>
      <c r="C12877" s="52">
        <v>180895.633095939</v>
      </c>
      <c r="D12877" s="56">
        <v>6.2791080747543151E-2</v>
      </c>
      <c r="E12877" s="224" t="s">
        <v>2</v>
      </c>
      <c r="F12877" s="515" t="s">
        <v>14064</v>
      </c>
      <c r="G12877" s="52">
        <v>132268.52567020999</v>
      </c>
      <c r="H12877" s="56">
        <v>3.955147552291223E-2</v>
      </c>
      <c r="I12877" s="224" t="s">
        <v>2</v>
      </c>
    </row>
    <row r="12878" spans="1:9" x14ac:dyDescent="0.25">
      <c r="A12878" s="515">
        <v>21639</v>
      </c>
      <c r="C12878" s="52">
        <v>267679.267502915</v>
      </c>
      <c r="D12878" s="56">
        <v>2.2515554881902582E-2</v>
      </c>
      <c r="E12878" s="224" t="s">
        <v>2</v>
      </c>
      <c r="F12878" s="515" t="s">
        <v>14065</v>
      </c>
      <c r="G12878" s="52">
        <v>174194.26076151599</v>
      </c>
      <c r="H12878" s="56">
        <v>0.12245337528821332</v>
      </c>
      <c r="I12878" s="224" t="s">
        <v>2</v>
      </c>
    </row>
    <row r="12879" spans="1:9" x14ac:dyDescent="0.25">
      <c r="A12879" s="515">
        <v>18054</v>
      </c>
      <c r="B12879" s="515" t="s">
        <v>294</v>
      </c>
      <c r="C12879" s="52">
        <v>402600.036113679</v>
      </c>
      <c r="D12879" s="56">
        <v>8.5158766799905264E-2</v>
      </c>
      <c r="E12879" s="224" t="s">
        <v>2</v>
      </c>
      <c r="F12879" s="515" t="s">
        <v>14066</v>
      </c>
      <c r="G12879" s="52">
        <v>216893.33029740601</v>
      </c>
      <c r="H12879" s="56">
        <v>0.11220037272943797</v>
      </c>
      <c r="I12879" s="224" t="s">
        <v>2</v>
      </c>
    </row>
    <row r="12880" spans="1:9" x14ac:dyDescent="0.25">
      <c r="A12880" s="515">
        <v>24586</v>
      </c>
      <c r="B12880" s="515" t="s">
        <v>901</v>
      </c>
      <c r="C12880" s="52">
        <v>146931.47332880099</v>
      </c>
      <c r="D12880" s="56">
        <v>0.16466175506064648</v>
      </c>
      <c r="E12880" s="224" t="s">
        <v>2</v>
      </c>
      <c r="F12880" s="515" t="s">
        <v>14067</v>
      </c>
      <c r="G12880" s="52">
        <v>331991.12769172399</v>
      </c>
      <c r="H12880" s="56">
        <v>0.24783102767825715</v>
      </c>
      <c r="I12880" s="224" t="s">
        <v>2</v>
      </c>
    </row>
    <row r="12881" spans="1:9" x14ac:dyDescent="0.25">
      <c r="A12881" s="515">
        <v>12123</v>
      </c>
      <c r="B12881" s="515" t="s">
        <v>609</v>
      </c>
      <c r="C12881" s="52">
        <v>264184.37725226098</v>
      </c>
      <c r="D12881" s="56">
        <v>6.2843453126956356E-2</v>
      </c>
      <c r="E12881" s="224" t="s">
        <v>2</v>
      </c>
      <c r="F12881" s="515" t="s">
        <v>14068</v>
      </c>
      <c r="G12881" s="52">
        <v>166075.546136255</v>
      </c>
      <c r="H12881" s="56">
        <v>9.6638752145071657E-2</v>
      </c>
      <c r="I12881" s="224" t="s">
        <v>2</v>
      </c>
    </row>
    <row r="12882" spans="1:9" x14ac:dyDescent="0.25">
      <c r="A12882" s="515">
        <v>45381</v>
      </c>
      <c r="C12882" s="52">
        <v>187809.40851191501</v>
      </c>
      <c r="D12882" s="56">
        <v>7.8288462604158976E-2</v>
      </c>
      <c r="E12882" s="224" t="s">
        <v>2</v>
      </c>
      <c r="F12882" s="515" t="s">
        <v>14069</v>
      </c>
      <c r="G12882" s="52">
        <v>311953.67053795297</v>
      </c>
      <c r="H12882" s="56">
        <v>8.2715597944667429E-2</v>
      </c>
      <c r="I12882" s="224" t="s">
        <v>2</v>
      </c>
    </row>
    <row r="12883" spans="1:9" x14ac:dyDescent="0.25">
      <c r="A12883" s="515">
        <v>49346</v>
      </c>
      <c r="B12883" s="515" t="s">
        <v>494</v>
      </c>
      <c r="C12883" s="52">
        <v>244928.851987895</v>
      </c>
      <c r="D12883" s="56">
        <v>5.9882402014887322E-2</v>
      </c>
      <c r="E12883" s="224" t="s">
        <v>2</v>
      </c>
      <c r="F12883" s="515" t="s">
        <v>14070</v>
      </c>
      <c r="G12883" s="52">
        <v>235181.56052106799</v>
      </c>
      <c r="H12883" s="56">
        <v>8.4450799350470757E-2</v>
      </c>
      <c r="I12883" s="224" t="s">
        <v>2</v>
      </c>
    </row>
    <row r="12884" spans="1:9" x14ac:dyDescent="0.25">
      <c r="A12884" s="515">
        <v>76360</v>
      </c>
      <c r="B12884" s="515" t="s">
        <v>328</v>
      </c>
      <c r="C12884" s="52">
        <v>68007.919307033502</v>
      </c>
      <c r="D12884" s="56">
        <v>5.3568117996977693E-2</v>
      </c>
      <c r="E12884" s="224" t="s">
        <v>2</v>
      </c>
      <c r="F12884" s="515" t="s">
        <v>14071</v>
      </c>
      <c r="G12884" s="52">
        <v>196126.63395834301</v>
      </c>
      <c r="H12884" s="56">
        <v>0.14769183642003164</v>
      </c>
      <c r="I12884" s="224" t="s">
        <v>2</v>
      </c>
    </row>
    <row r="12885" spans="1:9" x14ac:dyDescent="0.25">
      <c r="A12885" s="515">
        <v>39645</v>
      </c>
      <c r="C12885" s="52">
        <v>134951.178630888</v>
      </c>
      <c r="D12885" s="56">
        <v>-7.165834084295554E-2</v>
      </c>
      <c r="E12885" s="224" t="s">
        <v>2</v>
      </c>
      <c r="F12885" s="515" t="s">
        <v>14072</v>
      </c>
      <c r="G12885" s="52">
        <v>154230.53165204899</v>
      </c>
      <c r="H12885" s="56">
        <v>0.18897483568948578</v>
      </c>
      <c r="I12885" s="224" t="s">
        <v>2</v>
      </c>
    </row>
    <row r="12886" spans="1:9" x14ac:dyDescent="0.25">
      <c r="A12886" s="515">
        <v>60040</v>
      </c>
      <c r="B12886" s="515" t="s">
        <v>394</v>
      </c>
      <c r="C12886" s="52">
        <v>367335.93916798203</v>
      </c>
      <c r="D12886" s="56">
        <v>6.9360645164315241E-2</v>
      </c>
      <c r="E12886" s="224">
        <v>1820</v>
      </c>
      <c r="F12886" s="515" t="s">
        <v>14073</v>
      </c>
      <c r="G12886" s="52">
        <v>154264.35141804101</v>
      </c>
      <c r="H12886" s="56">
        <v>2.5011642445424517E-2</v>
      </c>
      <c r="I12886" s="224" t="s">
        <v>2</v>
      </c>
    </row>
    <row r="12887" spans="1:9" x14ac:dyDescent="0.25">
      <c r="A12887" s="515">
        <v>53525</v>
      </c>
      <c r="B12887" s="515" t="s">
        <v>379</v>
      </c>
      <c r="C12887" s="52">
        <v>236823.74831789199</v>
      </c>
      <c r="D12887" s="56">
        <v>6.2717423022575394E-2</v>
      </c>
      <c r="E12887" s="224" t="s">
        <v>2</v>
      </c>
      <c r="F12887" s="515" t="s">
        <v>14074</v>
      </c>
      <c r="G12887" s="52">
        <v>226390.17617024499</v>
      </c>
      <c r="H12887" s="56">
        <v>6.623629564633704E-2</v>
      </c>
      <c r="I12887" s="224" t="s">
        <v>2</v>
      </c>
    </row>
    <row r="12888" spans="1:9" x14ac:dyDescent="0.25">
      <c r="A12888" s="515">
        <v>97392</v>
      </c>
      <c r="B12888" s="515" t="s">
        <v>416</v>
      </c>
      <c r="C12888" s="52">
        <v>521128.197450404</v>
      </c>
      <c r="D12888" s="56">
        <v>5.3072057961827117E-2</v>
      </c>
      <c r="E12888" s="224" t="s">
        <v>2</v>
      </c>
      <c r="F12888" s="515" t="s">
        <v>14075</v>
      </c>
      <c r="G12888" s="52">
        <v>144879.45112439999</v>
      </c>
      <c r="H12888" s="56">
        <v>5.868678006633446E-2</v>
      </c>
      <c r="I12888" s="224" t="s">
        <v>2</v>
      </c>
    </row>
    <row r="12889" spans="1:9" x14ac:dyDescent="0.25">
      <c r="A12889" s="515">
        <v>36277</v>
      </c>
      <c r="B12889" s="515" t="s">
        <v>927</v>
      </c>
      <c r="C12889" s="52">
        <v>142373.70262859101</v>
      </c>
      <c r="D12889" s="56">
        <v>6.258883305367352E-2</v>
      </c>
      <c r="E12889" s="224" t="s">
        <v>2</v>
      </c>
      <c r="F12889" s="515" t="s">
        <v>14076</v>
      </c>
      <c r="G12889" s="52">
        <v>237496.387818416</v>
      </c>
      <c r="H12889" s="56">
        <v>0.14873481261356528</v>
      </c>
      <c r="I12889" s="224" t="s">
        <v>2</v>
      </c>
    </row>
    <row r="12890" spans="1:9" x14ac:dyDescent="0.25">
      <c r="A12890" s="515">
        <v>38040</v>
      </c>
      <c r="C12890" s="52">
        <v>121458.42144535801</v>
      </c>
      <c r="D12890" s="56">
        <v>6.4755786061797979E-2</v>
      </c>
      <c r="E12890" s="224" t="s">
        <v>2</v>
      </c>
      <c r="F12890" s="515" t="s">
        <v>14077</v>
      </c>
      <c r="G12890" s="52">
        <v>631742.98634937603</v>
      </c>
      <c r="H12890" s="56">
        <v>2.6570193774933398E-2</v>
      </c>
      <c r="I12890" s="224" t="s">
        <v>2</v>
      </c>
    </row>
    <row r="12891" spans="1:9" x14ac:dyDescent="0.25">
      <c r="A12891" s="515">
        <v>97525</v>
      </c>
      <c r="B12891" s="515" t="s">
        <v>775</v>
      </c>
      <c r="C12891" s="52">
        <v>437714.64010147599</v>
      </c>
      <c r="D12891" s="56">
        <v>1.6163164217862989E-2</v>
      </c>
      <c r="E12891" s="224" t="s">
        <v>2</v>
      </c>
      <c r="F12891" s="515" t="s">
        <v>14078</v>
      </c>
      <c r="G12891" s="52">
        <v>88921.7814313993</v>
      </c>
      <c r="H12891" s="56">
        <v>0</v>
      </c>
      <c r="I12891" s="224" t="s">
        <v>2</v>
      </c>
    </row>
    <row r="12892" spans="1:9" x14ac:dyDescent="0.25">
      <c r="A12892" s="515">
        <v>33576</v>
      </c>
      <c r="B12892" s="515" t="s">
        <v>461</v>
      </c>
      <c r="C12892" s="52">
        <v>365217.01809303701</v>
      </c>
      <c r="D12892" s="56">
        <v>0.12890433429552542</v>
      </c>
      <c r="E12892" s="224" t="s">
        <v>2</v>
      </c>
      <c r="F12892" s="515" t="s">
        <v>14079</v>
      </c>
      <c r="G12892" s="52">
        <v>100724.401991273</v>
      </c>
      <c r="H12892" s="56">
        <v>0.1286284620495606</v>
      </c>
      <c r="I12892" s="224" t="s">
        <v>2</v>
      </c>
    </row>
    <row r="12893" spans="1:9" x14ac:dyDescent="0.25">
      <c r="A12893" s="515">
        <v>63873</v>
      </c>
      <c r="C12893" s="52">
        <v>104566.745693212</v>
      </c>
      <c r="D12893" s="56">
        <v>0.14014887571756077</v>
      </c>
      <c r="E12893" s="224" t="s">
        <v>2</v>
      </c>
      <c r="F12893" s="515" t="s">
        <v>14080</v>
      </c>
      <c r="G12893" s="52">
        <v>373537.07721604401</v>
      </c>
      <c r="H12893" s="56">
        <v>4.9669474678545253E-2</v>
      </c>
      <c r="I12893" s="224" t="s">
        <v>2</v>
      </c>
    </row>
    <row r="12894" spans="1:9" x14ac:dyDescent="0.25">
      <c r="A12894" s="515">
        <v>13159</v>
      </c>
      <c r="B12894" s="515" t="s">
        <v>361</v>
      </c>
      <c r="C12894" s="52">
        <v>243120.535371568</v>
      </c>
      <c r="D12894" s="56">
        <v>8.8837218416661951E-2</v>
      </c>
      <c r="E12894" s="224" t="s">
        <v>2</v>
      </c>
      <c r="F12894" s="515" t="s">
        <v>14081</v>
      </c>
      <c r="G12894" s="52">
        <v>141852.189200692</v>
      </c>
      <c r="H12894" s="56">
        <v>7.2121018938486617E-2</v>
      </c>
      <c r="I12894" s="224" t="s">
        <v>2</v>
      </c>
    </row>
    <row r="12895" spans="1:9" x14ac:dyDescent="0.25">
      <c r="A12895" s="515">
        <v>43465</v>
      </c>
      <c r="B12895" s="515" t="s">
        <v>300</v>
      </c>
      <c r="C12895" s="52">
        <v>167647.320447962</v>
      </c>
      <c r="D12895" s="56">
        <v>3.4143703690682724E-2</v>
      </c>
      <c r="E12895" s="224" t="s">
        <v>2</v>
      </c>
      <c r="F12895" s="515" t="s">
        <v>14082</v>
      </c>
      <c r="G12895" s="52">
        <v>314461.12618223799</v>
      </c>
      <c r="H12895" s="56">
        <v>6.4882001283743995E-2</v>
      </c>
      <c r="I12895" s="224" t="s">
        <v>2</v>
      </c>
    </row>
    <row r="12896" spans="1:9" x14ac:dyDescent="0.25">
      <c r="A12896" s="515">
        <v>65360</v>
      </c>
      <c r="C12896" s="52">
        <v>138889.978996611</v>
      </c>
      <c r="D12896" s="56">
        <v>9.027208834627358E-2</v>
      </c>
      <c r="E12896" s="224" t="s">
        <v>2</v>
      </c>
      <c r="F12896" s="515" t="s">
        <v>14083</v>
      </c>
      <c r="G12896" s="52">
        <v>215762.84840346299</v>
      </c>
      <c r="H12896" s="56">
        <v>0.21570267650319003</v>
      </c>
      <c r="I12896" s="224" t="s">
        <v>2</v>
      </c>
    </row>
    <row r="12897" spans="1:9" x14ac:dyDescent="0.25">
      <c r="A12897" s="515">
        <v>71409</v>
      </c>
      <c r="B12897" s="515" t="s">
        <v>968</v>
      </c>
      <c r="C12897" s="52">
        <v>161259.24330264999</v>
      </c>
      <c r="D12897" s="56">
        <v>3.8964482466048306E-2</v>
      </c>
      <c r="E12897" s="224" t="s">
        <v>2</v>
      </c>
      <c r="F12897" s="515" t="s">
        <v>14084</v>
      </c>
      <c r="G12897" s="52">
        <v>63392.705695483797</v>
      </c>
      <c r="H12897" s="56">
        <v>0.1929665560303751</v>
      </c>
      <c r="I12897" s="224" t="s">
        <v>2</v>
      </c>
    </row>
    <row r="12898" spans="1:9" x14ac:dyDescent="0.25">
      <c r="A12898" s="515">
        <v>35046</v>
      </c>
      <c r="B12898" s="515" t="s">
        <v>640</v>
      </c>
      <c r="C12898" s="52">
        <v>225668.36216869901</v>
      </c>
      <c r="D12898" s="56">
        <v>8.9115852270838694E-2</v>
      </c>
      <c r="E12898" s="224" t="s">
        <v>2</v>
      </c>
      <c r="F12898" s="515" t="s">
        <v>14085</v>
      </c>
      <c r="G12898" s="52">
        <v>507173.73555016197</v>
      </c>
      <c r="H12898" s="56">
        <v>9.6682643925203884E-2</v>
      </c>
      <c r="I12898" s="224" t="s">
        <v>2</v>
      </c>
    </row>
    <row r="12899" spans="1:9" x14ac:dyDescent="0.25">
      <c r="A12899" s="515">
        <v>14132</v>
      </c>
      <c r="B12899" s="515" t="s">
        <v>336</v>
      </c>
      <c r="C12899" s="52">
        <v>253746.65390748699</v>
      </c>
      <c r="D12899" s="56">
        <v>6.3362114787340995E-2</v>
      </c>
      <c r="E12899" s="224" t="s">
        <v>2</v>
      </c>
      <c r="F12899" s="515" t="s">
        <v>14086</v>
      </c>
      <c r="G12899" s="52">
        <v>134083.325948691</v>
      </c>
      <c r="H12899" s="56">
        <v>5.5856510821062397E-2</v>
      </c>
      <c r="I12899" s="224" t="s">
        <v>2</v>
      </c>
    </row>
    <row r="12900" spans="1:9" x14ac:dyDescent="0.25">
      <c r="A12900" s="515">
        <v>1984</v>
      </c>
      <c r="B12900" s="515" t="s">
        <v>534</v>
      </c>
      <c r="C12900" s="52">
        <v>843609.876224646</v>
      </c>
      <c r="D12900" s="56">
        <v>6.1074046060577952E-2</v>
      </c>
      <c r="E12900" s="224" t="s">
        <v>2</v>
      </c>
      <c r="F12900" s="515" t="s">
        <v>14087</v>
      </c>
      <c r="G12900" s="52">
        <v>383884.33285853098</v>
      </c>
      <c r="H12900" s="56">
        <v>2.1354819233041875E-2</v>
      </c>
      <c r="I12900" s="224" t="s">
        <v>2</v>
      </c>
    </row>
    <row r="12901" spans="1:9" x14ac:dyDescent="0.25">
      <c r="A12901" s="515">
        <v>21770</v>
      </c>
      <c r="B12901" s="515" t="s">
        <v>321</v>
      </c>
      <c r="C12901" s="52">
        <v>588075.59512366401</v>
      </c>
      <c r="D12901" s="56">
        <v>4.6923742368209544E-2</v>
      </c>
      <c r="E12901" s="224" t="s">
        <v>2</v>
      </c>
      <c r="F12901" s="515" t="s">
        <v>14088</v>
      </c>
      <c r="G12901" s="52">
        <v>826389.68849732005</v>
      </c>
      <c r="H12901" s="56">
        <v>-2.8802078325070764E-2</v>
      </c>
      <c r="I12901" s="224" t="s">
        <v>2</v>
      </c>
    </row>
    <row r="12902" spans="1:9" x14ac:dyDescent="0.25">
      <c r="A12902" s="515">
        <v>47462</v>
      </c>
      <c r="B12902" s="515" t="s">
        <v>881</v>
      </c>
      <c r="C12902" s="52">
        <v>215629.66914184799</v>
      </c>
      <c r="D12902" s="56">
        <v>6.7247339820556182E-2</v>
      </c>
      <c r="E12902" s="224" t="s">
        <v>2</v>
      </c>
      <c r="F12902" s="515" t="s">
        <v>14089</v>
      </c>
      <c r="G12902" s="52">
        <v>172636.22393571501</v>
      </c>
      <c r="H12902" s="56">
        <v>0.10822307335977617</v>
      </c>
      <c r="I12902" s="224" t="s">
        <v>2</v>
      </c>
    </row>
    <row r="12903" spans="1:9" x14ac:dyDescent="0.25">
      <c r="A12903" s="515">
        <v>25045</v>
      </c>
      <c r="B12903" s="515" t="s">
        <v>322</v>
      </c>
      <c r="C12903" s="52">
        <v>114271.86618152801</v>
      </c>
      <c r="D12903" s="56">
        <v>0.14052684176936603</v>
      </c>
      <c r="E12903" s="224" t="s">
        <v>2</v>
      </c>
      <c r="F12903" s="515" t="s">
        <v>14090</v>
      </c>
      <c r="G12903" s="52">
        <v>114966.644475922</v>
      </c>
      <c r="H12903" s="56">
        <v>8.6527298197669439E-2</v>
      </c>
      <c r="I12903" s="224" t="s">
        <v>2</v>
      </c>
    </row>
    <row r="12904" spans="1:9" x14ac:dyDescent="0.25">
      <c r="A12904" s="515">
        <v>93460</v>
      </c>
      <c r="B12904" s="515" t="s">
        <v>847</v>
      </c>
      <c r="C12904" s="52">
        <v>1451934.9893409901</v>
      </c>
      <c r="D12904" s="56">
        <v>1.8999598472789748E-2</v>
      </c>
      <c r="E12904" s="224" t="s">
        <v>2</v>
      </c>
      <c r="F12904" s="515" t="s">
        <v>14091</v>
      </c>
      <c r="G12904" s="52">
        <v>134417.001358526</v>
      </c>
      <c r="H12904" s="56">
        <v>0.18539352500711051</v>
      </c>
      <c r="I12904" s="224" t="s">
        <v>2</v>
      </c>
    </row>
    <row r="12905" spans="1:9" x14ac:dyDescent="0.25">
      <c r="A12905" s="515">
        <v>47452</v>
      </c>
      <c r="C12905" s="52">
        <v>157344.73021234301</v>
      </c>
      <c r="D12905" s="56">
        <v>4.2216765935774787E-2</v>
      </c>
      <c r="E12905" s="224" t="s">
        <v>2</v>
      </c>
      <c r="F12905" s="515" t="s">
        <v>14092</v>
      </c>
      <c r="G12905" s="52">
        <v>154713.53969564199</v>
      </c>
      <c r="H12905" s="56">
        <v>7.7498797570807132E-2</v>
      </c>
      <c r="I12905" s="224" t="s">
        <v>2</v>
      </c>
    </row>
    <row r="12906" spans="1:9" x14ac:dyDescent="0.25">
      <c r="A12906" s="515">
        <v>15824</v>
      </c>
      <c r="C12906" s="52">
        <v>110099.59125169901</v>
      </c>
      <c r="D12906" s="56">
        <v>-6.8493494908418995E-3</v>
      </c>
      <c r="E12906" s="224" t="s">
        <v>2</v>
      </c>
      <c r="F12906" s="515" t="s">
        <v>14093</v>
      </c>
      <c r="G12906" s="52">
        <v>483836.931428571</v>
      </c>
      <c r="H12906" s="56">
        <v>0</v>
      </c>
      <c r="I12906" s="224" t="s">
        <v>2</v>
      </c>
    </row>
    <row r="12907" spans="1:9" x14ac:dyDescent="0.25">
      <c r="A12907" s="515">
        <v>53560</v>
      </c>
      <c r="B12907" s="515" t="s">
        <v>727</v>
      </c>
      <c r="C12907" s="52">
        <v>322888.66168050101</v>
      </c>
      <c r="D12907" s="56">
        <v>5.7268807510114594E-2</v>
      </c>
      <c r="E12907" s="224" t="s">
        <v>2</v>
      </c>
      <c r="F12907" s="515" t="s">
        <v>14094</v>
      </c>
      <c r="G12907" s="52">
        <v>452817.48263391899</v>
      </c>
      <c r="H12907" s="56">
        <v>1.2314881849097835E-2</v>
      </c>
      <c r="I12907" s="224" t="s">
        <v>2</v>
      </c>
    </row>
    <row r="12908" spans="1:9" x14ac:dyDescent="0.25">
      <c r="A12908" s="515">
        <v>17361</v>
      </c>
      <c r="B12908" s="515" t="s">
        <v>509</v>
      </c>
      <c r="C12908" s="52">
        <v>301198.44612127298</v>
      </c>
      <c r="D12908" s="56">
        <v>5.1464994802171246E-2</v>
      </c>
      <c r="E12908" s="224" t="s">
        <v>2</v>
      </c>
      <c r="F12908" s="515" t="s">
        <v>14095</v>
      </c>
      <c r="G12908" s="52">
        <v>147393.28790637801</v>
      </c>
      <c r="H12908" s="56">
        <v>4.3325417110753821E-2</v>
      </c>
      <c r="I12908" s="224" t="s">
        <v>2</v>
      </c>
    </row>
    <row r="12909" spans="1:9" x14ac:dyDescent="0.25">
      <c r="A12909" s="515">
        <v>42749</v>
      </c>
      <c r="C12909" s="52">
        <v>140791.34640717399</v>
      </c>
      <c r="D12909" s="56">
        <v>0.16493378936661826</v>
      </c>
      <c r="E12909" s="224" t="s">
        <v>2</v>
      </c>
      <c r="F12909" s="515" t="s">
        <v>14096</v>
      </c>
      <c r="G12909" s="52">
        <v>67653.725529461997</v>
      </c>
      <c r="H12909" s="56">
        <v>0</v>
      </c>
      <c r="I12909" s="224" t="s">
        <v>2</v>
      </c>
    </row>
    <row r="12910" spans="1:9" x14ac:dyDescent="0.25">
      <c r="A12910" s="515">
        <v>28468</v>
      </c>
      <c r="B12910" s="515" t="s">
        <v>703</v>
      </c>
      <c r="C12910" s="52">
        <v>411184.656440711</v>
      </c>
      <c r="D12910" s="56">
        <v>0.12452303649177751</v>
      </c>
      <c r="E12910" s="224" t="s">
        <v>2</v>
      </c>
      <c r="F12910" s="515" t="s">
        <v>14097</v>
      </c>
      <c r="G12910" s="52">
        <v>306409.37132997601</v>
      </c>
      <c r="H12910" s="56">
        <v>7.6015289246568876E-2</v>
      </c>
      <c r="I12910" s="224" t="s">
        <v>2</v>
      </c>
    </row>
    <row r="12911" spans="1:9" x14ac:dyDescent="0.25">
      <c r="A12911" s="515">
        <v>48320</v>
      </c>
      <c r="B12911" s="515" t="s">
        <v>685</v>
      </c>
      <c r="C12911" s="52">
        <v>264611.72327799798</v>
      </c>
      <c r="D12911" s="56">
        <v>5.6597971669814381E-2</v>
      </c>
      <c r="E12911" s="224" t="s">
        <v>2</v>
      </c>
      <c r="F12911" s="515" t="s">
        <v>14098</v>
      </c>
      <c r="G12911" s="52">
        <v>192108.153682893</v>
      </c>
      <c r="H12911" s="56">
        <v>9.0780495235393124E-2</v>
      </c>
      <c r="I12911" s="224" t="s">
        <v>2</v>
      </c>
    </row>
    <row r="12912" spans="1:9" x14ac:dyDescent="0.25">
      <c r="A12912" s="515">
        <v>63127</v>
      </c>
      <c r="B12912" s="515" t="s">
        <v>498</v>
      </c>
      <c r="C12912" s="52">
        <v>544972.60765912698</v>
      </c>
      <c r="D12912" s="56">
        <v>9.0399430021150931E-2</v>
      </c>
      <c r="E12912" s="224" t="s">
        <v>2</v>
      </c>
      <c r="F12912" s="515" t="s">
        <v>14099</v>
      </c>
      <c r="G12912" s="52">
        <v>150906.54083206001</v>
      </c>
      <c r="H12912" s="56">
        <v>4.0994129749211988E-2</v>
      </c>
      <c r="I12912" s="224" t="s">
        <v>2</v>
      </c>
    </row>
    <row r="12913" spans="1:9" x14ac:dyDescent="0.25">
      <c r="A12913" s="515">
        <v>4281</v>
      </c>
      <c r="C12913" s="52">
        <v>240004.463576676</v>
      </c>
      <c r="D12913" s="56">
        <v>0.11549426713883952</v>
      </c>
      <c r="E12913" s="224" t="s">
        <v>2</v>
      </c>
      <c r="F12913" s="515" t="s">
        <v>14100</v>
      </c>
      <c r="G12913" s="52">
        <v>205832.682394995</v>
      </c>
      <c r="H12913" s="56">
        <v>0</v>
      </c>
      <c r="I12913" s="224" t="s">
        <v>2</v>
      </c>
    </row>
    <row r="12914" spans="1:9" x14ac:dyDescent="0.25">
      <c r="A12914" s="515">
        <v>10532</v>
      </c>
      <c r="B12914" s="515" t="s">
        <v>324</v>
      </c>
      <c r="C12914" s="52">
        <v>653806.80668902898</v>
      </c>
      <c r="D12914" s="56">
        <v>3.1049971048442631E-2</v>
      </c>
      <c r="E12914" s="224" t="s">
        <v>2</v>
      </c>
      <c r="F12914" s="515" t="s">
        <v>14101</v>
      </c>
      <c r="G12914" s="52">
        <v>239110.0912965</v>
      </c>
      <c r="H12914" s="56">
        <v>6.9761263295139958E-2</v>
      </c>
      <c r="I12914" s="224" t="s">
        <v>2</v>
      </c>
    </row>
    <row r="12915" spans="1:9" x14ac:dyDescent="0.25">
      <c r="A12915" s="515">
        <v>22851</v>
      </c>
      <c r="C12915" s="52">
        <v>246269.56672</v>
      </c>
      <c r="D12915" s="56">
        <v>0.12191060774736937</v>
      </c>
      <c r="E12915" s="224" t="s">
        <v>2</v>
      </c>
      <c r="F12915" s="515" t="s">
        <v>14102</v>
      </c>
      <c r="G12915" s="52">
        <v>296793.23058435298</v>
      </c>
      <c r="H12915" s="56">
        <v>0.12490692710639391</v>
      </c>
      <c r="I12915" s="224" t="s">
        <v>2</v>
      </c>
    </row>
    <row r="12916" spans="1:9" x14ac:dyDescent="0.25">
      <c r="A12916" s="515">
        <v>1741</v>
      </c>
      <c r="B12916" s="515" t="s">
        <v>534</v>
      </c>
      <c r="C12916" s="52">
        <v>1125031.3418777101</v>
      </c>
      <c r="D12916" s="56">
        <v>8.1924491101102045E-2</v>
      </c>
      <c r="E12916" s="224" t="s">
        <v>2</v>
      </c>
      <c r="F12916" s="515" t="s">
        <v>14103</v>
      </c>
      <c r="G12916" s="52">
        <v>110986.793954483</v>
      </c>
      <c r="H12916" s="56">
        <v>0.12185785910394387</v>
      </c>
      <c r="I12916" s="224" t="s">
        <v>2</v>
      </c>
    </row>
    <row r="12917" spans="1:9" x14ac:dyDescent="0.25">
      <c r="A12917" s="515">
        <v>6359</v>
      </c>
      <c r="B12917" s="515" t="s">
        <v>1091</v>
      </c>
      <c r="C12917" s="52">
        <v>368536.16779461002</v>
      </c>
      <c r="D12917" s="56">
        <v>0.10738917765580552</v>
      </c>
      <c r="E12917" s="224" t="s">
        <v>2</v>
      </c>
      <c r="F12917" s="515" t="s">
        <v>14104</v>
      </c>
      <c r="G12917" s="52">
        <v>129231.408844926</v>
      </c>
      <c r="H12917" s="56">
        <v>0.16021811816401207</v>
      </c>
      <c r="I12917" s="224" t="s">
        <v>2</v>
      </c>
    </row>
    <row r="12918" spans="1:9" x14ac:dyDescent="0.25">
      <c r="A12918" s="515">
        <v>43821</v>
      </c>
      <c r="B12918" s="515" t="s">
        <v>518</v>
      </c>
      <c r="C12918" s="52">
        <v>166528.63043014001</v>
      </c>
      <c r="D12918" s="56">
        <v>9.6981590697102535E-2</v>
      </c>
      <c r="E12918" s="224" t="s">
        <v>2</v>
      </c>
      <c r="F12918" s="515" t="s">
        <v>14105</v>
      </c>
      <c r="G12918" s="52">
        <v>203217.75996510699</v>
      </c>
      <c r="H12918" s="56">
        <v>9.825807836691447E-2</v>
      </c>
      <c r="I12918" s="224" t="s">
        <v>2</v>
      </c>
    </row>
    <row r="12919" spans="1:9" x14ac:dyDescent="0.25">
      <c r="A12919" s="515">
        <v>68352</v>
      </c>
      <c r="C12919" s="52">
        <v>98243.243588909798</v>
      </c>
      <c r="D12919" s="56">
        <v>0.10609660496028112</v>
      </c>
      <c r="E12919" s="224" t="s">
        <v>2</v>
      </c>
      <c r="F12919" s="515" t="s">
        <v>14106</v>
      </c>
      <c r="G12919" s="52">
        <v>148870.068661297</v>
      </c>
      <c r="H12919" s="56">
        <v>4.6621701010971281E-2</v>
      </c>
      <c r="I12919" s="224" t="s">
        <v>2</v>
      </c>
    </row>
    <row r="12920" spans="1:9" x14ac:dyDescent="0.25">
      <c r="A12920" s="515">
        <v>98443</v>
      </c>
      <c r="B12920" s="515" t="s">
        <v>384</v>
      </c>
      <c r="C12920" s="52">
        <v>517287.79653055401</v>
      </c>
      <c r="D12920" s="56">
        <v>3.2953529977690015E-2</v>
      </c>
      <c r="E12920" s="224" t="s">
        <v>2</v>
      </c>
      <c r="F12920" s="515" t="s">
        <v>14107</v>
      </c>
      <c r="G12920" s="52">
        <v>115608.430997173</v>
      </c>
      <c r="H12920" s="56">
        <v>0.12278026697821223</v>
      </c>
      <c r="I12920" s="224" t="s">
        <v>2</v>
      </c>
    </row>
    <row r="12921" spans="1:9" x14ac:dyDescent="0.25">
      <c r="A12921" s="515">
        <v>56368</v>
      </c>
      <c r="B12921" s="515" t="s">
        <v>418</v>
      </c>
      <c r="C12921" s="52">
        <v>337144.72420876502</v>
      </c>
      <c r="D12921" s="56">
        <v>6.2750279138574089E-2</v>
      </c>
      <c r="E12921" s="224" t="s">
        <v>2</v>
      </c>
      <c r="F12921" s="515" t="s">
        <v>14108</v>
      </c>
      <c r="G12921" s="52">
        <v>437677.81485372398</v>
      </c>
      <c r="H12921" s="56">
        <v>5.5705865861592815E-3</v>
      </c>
      <c r="I12921" s="224" t="s">
        <v>2</v>
      </c>
    </row>
    <row r="12922" spans="1:9" x14ac:dyDescent="0.25">
      <c r="A12922" s="515">
        <v>3603</v>
      </c>
      <c r="B12922" s="515" t="s">
        <v>420</v>
      </c>
      <c r="C12922" s="52">
        <v>249720.15638901899</v>
      </c>
      <c r="D12922" s="56">
        <v>0.16307964645899739</v>
      </c>
      <c r="E12922" s="224" t="s">
        <v>2</v>
      </c>
      <c r="F12922" s="515" t="s">
        <v>14109</v>
      </c>
      <c r="G12922" s="52">
        <v>161090.387773322</v>
      </c>
      <c r="H12922" s="56">
        <v>7.2844637484044392E-2</v>
      </c>
      <c r="I12922" s="224" t="s">
        <v>2</v>
      </c>
    </row>
    <row r="12923" spans="1:9" x14ac:dyDescent="0.25">
      <c r="A12923" s="515">
        <v>65785</v>
      </c>
      <c r="C12923" s="52">
        <v>200001.77823187</v>
      </c>
      <c r="D12923" s="56">
        <v>0.14212564556643023</v>
      </c>
      <c r="E12923" s="224" t="s">
        <v>2</v>
      </c>
      <c r="F12923" s="515" t="s">
        <v>14110</v>
      </c>
      <c r="G12923" s="52">
        <v>83799.888480943904</v>
      </c>
      <c r="H12923" s="56">
        <v>6.8092281509984101E-2</v>
      </c>
      <c r="I12923" s="224" t="s">
        <v>2</v>
      </c>
    </row>
    <row r="12924" spans="1:9" x14ac:dyDescent="0.25">
      <c r="A12924" s="515">
        <v>53508</v>
      </c>
      <c r="B12924" s="515" t="s">
        <v>727</v>
      </c>
      <c r="C12924" s="52">
        <v>339433.66700587602</v>
      </c>
      <c r="D12924" s="56">
        <v>4.6634950670289999E-2</v>
      </c>
      <c r="E12924" s="224" t="s">
        <v>2</v>
      </c>
      <c r="F12924" s="515" t="s">
        <v>14111</v>
      </c>
      <c r="G12924" s="52">
        <v>170262.590597995</v>
      </c>
      <c r="H12924" s="56">
        <v>8.2516564391562686E-2</v>
      </c>
      <c r="I12924" s="224" t="s">
        <v>2</v>
      </c>
    </row>
    <row r="12925" spans="1:9" x14ac:dyDescent="0.25">
      <c r="A12925" s="515">
        <v>21013</v>
      </c>
      <c r="B12925" s="515" t="s">
        <v>582</v>
      </c>
      <c r="C12925" s="52">
        <v>561893.29995876795</v>
      </c>
      <c r="D12925" s="56">
        <v>5.8342588521239053E-2</v>
      </c>
      <c r="E12925" s="224" t="s">
        <v>2</v>
      </c>
      <c r="F12925" s="515" t="s">
        <v>14112</v>
      </c>
      <c r="G12925" s="52">
        <v>121683.52227764</v>
      </c>
      <c r="H12925" s="56">
        <v>-1.8150398285202464E-2</v>
      </c>
      <c r="I12925" s="224" t="s">
        <v>2</v>
      </c>
    </row>
    <row r="12926" spans="1:9" x14ac:dyDescent="0.25">
      <c r="A12926" s="515">
        <v>3452</v>
      </c>
      <c r="B12926" s="515" t="s">
        <v>747</v>
      </c>
      <c r="C12926" s="52">
        <v>334661.149875634</v>
      </c>
      <c r="D12926" s="56">
        <v>8.8822392998072999E-2</v>
      </c>
      <c r="E12926" s="224" t="s">
        <v>2</v>
      </c>
      <c r="F12926" s="515" t="s">
        <v>14113</v>
      </c>
      <c r="G12926" s="52">
        <v>121705.610430045</v>
      </c>
      <c r="H12926" s="56">
        <v>5.0813089689924755E-2</v>
      </c>
      <c r="I12926" s="224" t="s">
        <v>2</v>
      </c>
    </row>
    <row r="12927" spans="1:9" x14ac:dyDescent="0.25">
      <c r="A12927" s="515">
        <v>21111</v>
      </c>
      <c r="B12927" s="515" t="s">
        <v>582</v>
      </c>
      <c r="C12927" s="52">
        <v>615397.11650037102</v>
      </c>
      <c r="D12927" s="56">
        <v>3.2992524514558738E-2</v>
      </c>
      <c r="E12927" s="224" t="s">
        <v>2</v>
      </c>
      <c r="F12927" s="515" t="s">
        <v>14114</v>
      </c>
      <c r="G12927" s="52">
        <v>184789.803880561</v>
      </c>
      <c r="H12927" s="56">
        <v>8.9616922817604458E-2</v>
      </c>
      <c r="I12927" s="224" t="s">
        <v>2</v>
      </c>
    </row>
    <row r="12928" spans="1:9" x14ac:dyDescent="0.25">
      <c r="A12928" s="515">
        <v>13326</v>
      </c>
      <c r="B12928" s="515" t="s">
        <v>460</v>
      </c>
      <c r="C12928" s="52">
        <v>362266.46814513701</v>
      </c>
      <c r="D12928" s="56">
        <v>9.4278006861478081E-2</v>
      </c>
      <c r="E12928" s="224" t="s">
        <v>2</v>
      </c>
      <c r="F12928" s="515" t="s">
        <v>14115</v>
      </c>
      <c r="G12928" s="52">
        <v>368753.56299742498</v>
      </c>
      <c r="H12928" s="56">
        <v>0.10106597144833551</v>
      </c>
      <c r="I12928" s="224" t="s">
        <v>2</v>
      </c>
    </row>
    <row r="12929" spans="1:9" x14ac:dyDescent="0.25">
      <c r="A12929" s="515">
        <v>27341</v>
      </c>
      <c r="B12929" s="515" t="s">
        <v>1148</v>
      </c>
      <c r="C12929" s="52">
        <v>189936.78613698899</v>
      </c>
      <c r="D12929" s="56">
        <v>0.10368251600790056</v>
      </c>
      <c r="E12929" s="224" t="s">
        <v>2</v>
      </c>
      <c r="F12929" s="515" t="s">
        <v>14116</v>
      </c>
      <c r="G12929" s="52">
        <v>56211.309654036697</v>
      </c>
      <c r="H12929" s="56">
        <v>0.17617432334277727</v>
      </c>
      <c r="I12929" s="224" t="s">
        <v>2</v>
      </c>
    </row>
    <row r="12930" spans="1:9" x14ac:dyDescent="0.25">
      <c r="A12930" s="515">
        <v>78384</v>
      </c>
      <c r="B12930" s="515" t="s">
        <v>709</v>
      </c>
      <c r="C12930" s="52">
        <v>67329.568357101904</v>
      </c>
      <c r="D12930" s="56">
        <v>-0.16667729330646355</v>
      </c>
      <c r="E12930" s="224" t="s">
        <v>2</v>
      </c>
      <c r="F12930" s="515" t="s">
        <v>14117</v>
      </c>
      <c r="G12930" s="52">
        <v>332611.69517231599</v>
      </c>
      <c r="H12930" s="56">
        <v>9.3040818732594094E-2</v>
      </c>
      <c r="I12930" s="224" t="s">
        <v>2</v>
      </c>
    </row>
    <row r="12931" spans="1:9" x14ac:dyDescent="0.25">
      <c r="A12931" s="515">
        <v>47390</v>
      </c>
      <c r="C12931" s="52">
        <v>99765.483444985395</v>
      </c>
      <c r="D12931" s="56">
        <v>5.9312503344630035E-2</v>
      </c>
      <c r="E12931" s="224" t="s">
        <v>2</v>
      </c>
      <c r="F12931" s="515" t="s">
        <v>14118</v>
      </c>
      <c r="G12931" s="52">
        <v>140205.869124235</v>
      </c>
      <c r="H12931" s="56">
        <v>4.1063040543689679E-2</v>
      </c>
      <c r="I12931" s="224" t="s">
        <v>2</v>
      </c>
    </row>
    <row r="12932" spans="1:9" x14ac:dyDescent="0.25">
      <c r="A12932" s="515">
        <v>49269</v>
      </c>
      <c r="B12932" s="515" t="s">
        <v>1125</v>
      </c>
      <c r="C12932" s="52">
        <v>212362.26717072399</v>
      </c>
      <c r="D12932" s="56">
        <v>4.7529295873153465E-2</v>
      </c>
      <c r="E12932" s="224" t="s">
        <v>2</v>
      </c>
      <c r="F12932" s="515" t="s">
        <v>14119</v>
      </c>
      <c r="G12932" s="52">
        <v>988640.02459499496</v>
      </c>
      <c r="H12932" s="56">
        <v>7.7397404175990822E-2</v>
      </c>
      <c r="I12932" s="224" t="s">
        <v>2</v>
      </c>
    </row>
    <row r="12933" spans="1:9" x14ac:dyDescent="0.25">
      <c r="A12933" s="515">
        <v>47043</v>
      </c>
      <c r="C12933" s="52">
        <v>169893.40707411099</v>
      </c>
      <c r="D12933" s="56">
        <v>0.12259630023913007</v>
      </c>
      <c r="E12933" s="224" t="s">
        <v>2</v>
      </c>
      <c r="F12933" s="515" t="s">
        <v>14120</v>
      </c>
      <c r="G12933" s="52">
        <v>344071.70851083501</v>
      </c>
      <c r="H12933" s="56">
        <v>5.8545058185991775E-2</v>
      </c>
      <c r="I12933" s="224" t="s">
        <v>2</v>
      </c>
    </row>
    <row r="12934" spans="1:9" x14ac:dyDescent="0.25">
      <c r="A12934" s="515">
        <v>75839</v>
      </c>
      <c r="B12934" s="515" t="s">
        <v>1020</v>
      </c>
      <c r="C12934" s="52">
        <v>204516.49436454801</v>
      </c>
      <c r="D12934" s="56">
        <v>7.2632771722119779E-2</v>
      </c>
      <c r="E12934" s="224" t="s">
        <v>2</v>
      </c>
      <c r="F12934" s="515" t="s">
        <v>14121</v>
      </c>
      <c r="G12934" s="52">
        <v>142110.72682081201</v>
      </c>
      <c r="H12934" s="56">
        <v>0.12157551612145934</v>
      </c>
      <c r="I12934" s="224" t="s">
        <v>2</v>
      </c>
    </row>
    <row r="12935" spans="1:9" x14ac:dyDescent="0.25">
      <c r="A12935" s="515">
        <v>58237</v>
      </c>
      <c r="C12935" s="52">
        <v>119075.697605512</v>
      </c>
      <c r="D12935" s="56">
        <v>0.13323339215770857</v>
      </c>
      <c r="E12935" s="224" t="s">
        <v>2</v>
      </c>
      <c r="F12935" s="515" t="s">
        <v>14122</v>
      </c>
      <c r="G12935" s="52">
        <v>69861.578450641799</v>
      </c>
      <c r="H12935" s="56">
        <v>-2.0042058574875156E-2</v>
      </c>
      <c r="I12935" s="224" t="s">
        <v>2</v>
      </c>
    </row>
    <row r="12936" spans="1:9" x14ac:dyDescent="0.25">
      <c r="A12936" s="515">
        <v>13624</v>
      </c>
      <c r="B12936" s="515" t="s">
        <v>431</v>
      </c>
      <c r="C12936" s="52">
        <v>230404.63874161901</v>
      </c>
      <c r="D12936" s="56">
        <v>0.10465146070503734</v>
      </c>
      <c r="E12936" s="224" t="s">
        <v>2</v>
      </c>
      <c r="F12936" s="515" t="s">
        <v>14123</v>
      </c>
      <c r="G12936" s="52">
        <v>207420.85196485199</v>
      </c>
      <c r="H12936" s="56">
        <v>9.851966566039641E-2</v>
      </c>
      <c r="I12936" s="224" t="s">
        <v>2</v>
      </c>
    </row>
    <row r="12937" spans="1:9" x14ac:dyDescent="0.25">
      <c r="A12937" s="515">
        <v>6043</v>
      </c>
      <c r="B12937" s="515" t="s">
        <v>894</v>
      </c>
      <c r="C12937" s="52">
        <v>347247.10860926402</v>
      </c>
      <c r="D12937" s="56">
        <v>6.122892889472413E-2</v>
      </c>
      <c r="E12937" s="224" t="s">
        <v>2</v>
      </c>
      <c r="F12937" s="515" t="s">
        <v>14124</v>
      </c>
      <c r="G12937" s="52">
        <v>665212.18467393296</v>
      </c>
      <c r="H12937" s="56">
        <v>3.1901105411729566E-2</v>
      </c>
      <c r="I12937" s="224" t="s">
        <v>2</v>
      </c>
    </row>
    <row r="12938" spans="1:9" x14ac:dyDescent="0.25">
      <c r="A12938" s="515">
        <v>65548</v>
      </c>
      <c r="B12938" s="515" t="s">
        <v>984</v>
      </c>
      <c r="C12938" s="52">
        <v>151127.83648999099</v>
      </c>
      <c r="D12938" s="56">
        <v>0.14251497138795111</v>
      </c>
      <c r="E12938" s="224" t="s">
        <v>2</v>
      </c>
      <c r="F12938" s="515" t="s">
        <v>14125</v>
      </c>
      <c r="G12938" s="52">
        <v>178031.63035382301</v>
      </c>
      <c r="H12938" s="56">
        <v>7.0106472144678994E-2</v>
      </c>
      <c r="I12938" s="224" t="s">
        <v>2</v>
      </c>
    </row>
    <row r="12939" spans="1:9" x14ac:dyDescent="0.25">
      <c r="A12939" s="515">
        <v>63630</v>
      </c>
      <c r="C12939" s="52">
        <v>150310.77976953701</v>
      </c>
      <c r="D12939" s="56">
        <v>4.3482997265539086E-2</v>
      </c>
      <c r="E12939" s="224" t="s">
        <v>2</v>
      </c>
      <c r="F12939" s="515" t="s">
        <v>14126</v>
      </c>
      <c r="G12939" s="52">
        <v>234312.576808805</v>
      </c>
      <c r="H12939" s="56">
        <v>0.16727375127809002</v>
      </c>
      <c r="I12939" s="224" t="s">
        <v>2</v>
      </c>
    </row>
    <row r="12940" spans="1:9" x14ac:dyDescent="0.25">
      <c r="A12940" s="515">
        <v>86351</v>
      </c>
      <c r="B12940" s="515" t="s">
        <v>332</v>
      </c>
      <c r="C12940" s="52">
        <v>761328.80186135694</v>
      </c>
      <c r="D12940" s="56">
        <v>4.9604590230092636E-2</v>
      </c>
      <c r="E12940" s="224" t="s">
        <v>2</v>
      </c>
      <c r="F12940" s="515" t="s">
        <v>14127</v>
      </c>
      <c r="G12940" s="52">
        <v>1219412.4431055901</v>
      </c>
      <c r="H12940" s="56">
        <v>-7.4290901999960052E-2</v>
      </c>
      <c r="I12940" s="224" t="s">
        <v>2</v>
      </c>
    </row>
    <row r="12941" spans="1:9" x14ac:dyDescent="0.25">
      <c r="A12941" s="515">
        <v>28742</v>
      </c>
      <c r="B12941" s="515" t="s">
        <v>668</v>
      </c>
      <c r="C12941" s="52">
        <v>417560.27306643099</v>
      </c>
      <c r="D12941" s="56">
        <v>0.12288321009667875</v>
      </c>
      <c r="E12941" s="224" t="s">
        <v>2</v>
      </c>
      <c r="F12941" s="515" t="s">
        <v>14128</v>
      </c>
      <c r="G12941" s="52">
        <v>270365.40125775698</v>
      </c>
      <c r="H12941" s="56">
        <v>5.6564682719830103E-2</v>
      </c>
      <c r="I12941" s="224" t="s">
        <v>2</v>
      </c>
    </row>
    <row r="12942" spans="1:9" x14ac:dyDescent="0.25">
      <c r="A12942" s="515">
        <v>18517</v>
      </c>
      <c r="B12942" s="515" t="s">
        <v>512</v>
      </c>
      <c r="C12942" s="52">
        <v>172852.103959328</v>
      </c>
      <c r="D12942" s="56">
        <v>9.507378573428997E-2</v>
      </c>
      <c r="E12942" s="224" t="s">
        <v>2</v>
      </c>
      <c r="F12942" s="515" t="s">
        <v>14129</v>
      </c>
      <c r="G12942" s="52">
        <v>112496.074931539</v>
      </c>
      <c r="H12942" s="56">
        <v>0</v>
      </c>
      <c r="I12942" s="224" t="s">
        <v>2</v>
      </c>
    </row>
    <row r="12943" spans="1:9" x14ac:dyDescent="0.25">
      <c r="A12943" s="515">
        <v>97467</v>
      </c>
      <c r="B12943" s="515" t="s">
        <v>449</v>
      </c>
      <c r="C12943" s="52">
        <v>288839.90655363002</v>
      </c>
      <c r="D12943" s="56">
        <v>4.7303673169464218E-2</v>
      </c>
      <c r="E12943" s="224" t="s">
        <v>2</v>
      </c>
      <c r="F12943" s="515" t="s">
        <v>14130</v>
      </c>
      <c r="G12943" s="52">
        <v>363426.804273399</v>
      </c>
      <c r="H12943" s="56">
        <v>6.6328932467815876E-2</v>
      </c>
      <c r="I12943" s="224" t="s">
        <v>2</v>
      </c>
    </row>
    <row r="12944" spans="1:9" x14ac:dyDescent="0.25">
      <c r="A12944" s="515">
        <v>21638</v>
      </c>
      <c r="B12944" s="515" t="s">
        <v>582</v>
      </c>
      <c r="C12944" s="52">
        <v>511308.67890204699</v>
      </c>
      <c r="D12944" s="56">
        <v>3.4312112947529359E-2</v>
      </c>
      <c r="E12944" s="224" t="s">
        <v>2</v>
      </c>
      <c r="F12944" s="515" t="s">
        <v>14131</v>
      </c>
      <c r="G12944" s="52">
        <v>105370.355099594</v>
      </c>
      <c r="H12944" s="56">
        <v>0.10666635732634688</v>
      </c>
      <c r="I12944" s="224" t="s">
        <v>2</v>
      </c>
    </row>
    <row r="12945" spans="1:9" x14ac:dyDescent="0.25">
      <c r="A12945" s="515">
        <v>28366</v>
      </c>
      <c r="C12945" s="52">
        <v>135085.00805168899</v>
      </c>
      <c r="D12945" s="56">
        <v>0.14622362194032681</v>
      </c>
      <c r="E12945" s="224" t="s">
        <v>2</v>
      </c>
      <c r="F12945" s="515" t="s">
        <v>14132</v>
      </c>
      <c r="G12945" s="52">
        <v>265045.73596056597</v>
      </c>
      <c r="H12945" s="56">
        <v>0.1025291498729333</v>
      </c>
      <c r="I12945" s="224" t="s">
        <v>2</v>
      </c>
    </row>
    <row r="12946" spans="1:9" x14ac:dyDescent="0.25">
      <c r="A12946" s="515">
        <v>35578</v>
      </c>
      <c r="B12946" s="515" t="s">
        <v>1087</v>
      </c>
      <c r="C12946" s="52">
        <v>147274.75598429801</v>
      </c>
      <c r="D12946" s="56">
        <v>1.0438115616074746E-2</v>
      </c>
      <c r="E12946" s="224" t="s">
        <v>2</v>
      </c>
      <c r="F12946" s="515" t="s">
        <v>14133</v>
      </c>
      <c r="G12946" s="52">
        <v>82235.176659593199</v>
      </c>
      <c r="H12946" s="56">
        <v>0.10137174114369052</v>
      </c>
      <c r="I12946" s="224" t="s">
        <v>2</v>
      </c>
    </row>
    <row r="12947" spans="1:9" x14ac:dyDescent="0.25">
      <c r="A12947" s="515">
        <v>45644</v>
      </c>
      <c r="B12947" s="515" t="s">
        <v>437</v>
      </c>
      <c r="C12947" s="52">
        <v>209233.70950569701</v>
      </c>
      <c r="D12947" s="56">
        <v>8.0838866822621952E-2</v>
      </c>
      <c r="E12947" s="224" t="s">
        <v>2</v>
      </c>
      <c r="F12947" s="515" t="s">
        <v>14134</v>
      </c>
      <c r="G12947" s="52">
        <v>175211.001386335</v>
      </c>
      <c r="H12947" s="56">
        <v>3.2607888623229414E-2</v>
      </c>
      <c r="I12947" s="224" t="s">
        <v>2</v>
      </c>
    </row>
    <row r="12948" spans="1:9" x14ac:dyDescent="0.25">
      <c r="A12948" s="515">
        <v>7931</v>
      </c>
      <c r="B12948" s="515" t="s">
        <v>324</v>
      </c>
      <c r="C12948" s="52">
        <v>1094370.3224860199</v>
      </c>
      <c r="D12948" s="56">
        <v>5.8370213977833901E-2</v>
      </c>
      <c r="E12948" s="224" t="s">
        <v>2</v>
      </c>
      <c r="F12948" s="515" t="s">
        <v>14135</v>
      </c>
      <c r="G12948" s="52">
        <v>227434.47832728599</v>
      </c>
      <c r="H12948" s="56">
        <v>-9.3299128114576347E-3</v>
      </c>
      <c r="I12948" s="224" t="s">
        <v>2</v>
      </c>
    </row>
    <row r="12949" spans="1:9" x14ac:dyDescent="0.25">
      <c r="A12949" s="515">
        <v>12871</v>
      </c>
      <c r="B12949" s="515" t="s">
        <v>609</v>
      </c>
      <c r="C12949" s="52">
        <v>255084.40169782599</v>
      </c>
      <c r="D12949" s="56">
        <v>6.3719981471082779E-2</v>
      </c>
      <c r="E12949" s="224" t="s">
        <v>2</v>
      </c>
      <c r="F12949" s="515" t="s">
        <v>14136</v>
      </c>
      <c r="G12949" s="52">
        <v>110530.478203279</v>
      </c>
      <c r="H12949" s="56">
        <v>4.6121188106445457E-2</v>
      </c>
      <c r="I12949" s="224" t="s">
        <v>2</v>
      </c>
    </row>
    <row r="12950" spans="1:9" x14ac:dyDescent="0.25">
      <c r="A12950" s="515">
        <v>35619</v>
      </c>
      <c r="B12950" s="515" t="s">
        <v>1007</v>
      </c>
      <c r="C12950" s="52">
        <v>191749.724159909</v>
      </c>
      <c r="D12950" s="56">
        <v>3.3930402566579997E-2</v>
      </c>
      <c r="E12950" s="224" t="s">
        <v>2</v>
      </c>
      <c r="F12950" s="515" t="s">
        <v>14137</v>
      </c>
      <c r="G12950" s="52">
        <v>226706.595847007</v>
      </c>
      <c r="H12950" s="56">
        <v>9.9775092231950593E-2</v>
      </c>
      <c r="I12950" s="224" t="s">
        <v>2</v>
      </c>
    </row>
    <row r="12951" spans="1:9" x14ac:dyDescent="0.25">
      <c r="A12951" s="515">
        <v>22642</v>
      </c>
      <c r="B12951" s="515" t="s">
        <v>321</v>
      </c>
      <c r="C12951" s="52">
        <v>331104.41712545801</v>
      </c>
      <c r="D12951" s="56">
        <v>4.4899233335201086E-2</v>
      </c>
      <c r="E12951" s="224" t="s">
        <v>2</v>
      </c>
      <c r="F12951" s="515" t="s">
        <v>14138</v>
      </c>
      <c r="G12951" s="52">
        <v>159501.199356247</v>
      </c>
      <c r="H12951" s="56">
        <v>0.10513421104517119</v>
      </c>
      <c r="I12951" s="224" t="s">
        <v>2</v>
      </c>
    </row>
    <row r="12952" spans="1:9" x14ac:dyDescent="0.25">
      <c r="A12952" s="515">
        <v>52753</v>
      </c>
      <c r="B12952" s="515" t="s">
        <v>439</v>
      </c>
      <c r="C12952" s="52">
        <v>312145.65813383303</v>
      </c>
      <c r="D12952" s="56">
        <v>6.7173579437505695E-2</v>
      </c>
      <c r="E12952" s="224" t="s">
        <v>2</v>
      </c>
      <c r="F12952" s="515" t="s">
        <v>14139</v>
      </c>
      <c r="G12952" s="52">
        <v>217695.54672004099</v>
      </c>
      <c r="H12952" s="56">
        <v>9.6572702482980999E-2</v>
      </c>
      <c r="I12952" s="224" t="s">
        <v>2</v>
      </c>
    </row>
    <row r="12953" spans="1:9" x14ac:dyDescent="0.25">
      <c r="A12953" s="515">
        <v>16025</v>
      </c>
      <c r="B12953" s="515" t="s">
        <v>297</v>
      </c>
      <c r="C12953" s="52">
        <v>194577.729072129</v>
      </c>
      <c r="D12953" s="56">
        <v>7.0452391921466503E-2</v>
      </c>
      <c r="E12953" s="224" t="s">
        <v>2</v>
      </c>
      <c r="F12953" s="515" t="s">
        <v>14140</v>
      </c>
      <c r="G12953" s="52">
        <v>162763.28703703699</v>
      </c>
      <c r="H12953" s="56">
        <v>0</v>
      </c>
      <c r="I12953" s="224" t="s">
        <v>2</v>
      </c>
    </row>
    <row r="12954" spans="1:9" x14ac:dyDescent="0.25">
      <c r="A12954" s="515">
        <v>22842</v>
      </c>
      <c r="C12954" s="52">
        <v>259716.88345655799</v>
      </c>
      <c r="D12954" s="56">
        <v>0.12741355920554856</v>
      </c>
      <c r="E12954" s="224" t="s">
        <v>2</v>
      </c>
      <c r="F12954" s="515" t="s">
        <v>14141</v>
      </c>
      <c r="G12954" s="52">
        <v>121470.38815789401</v>
      </c>
      <c r="H12954" s="56">
        <v>0</v>
      </c>
      <c r="I12954" s="224" t="s">
        <v>2</v>
      </c>
    </row>
    <row r="12955" spans="1:9" x14ac:dyDescent="0.25">
      <c r="A12955" s="515">
        <v>17922</v>
      </c>
      <c r="B12955" s="515" t="s">
        <v>994</v>
      </c>
      <c r="C12955" s="52">
        <v>239310.94429954101</v>
      </c>
      <c r="D12955" s="56">
        <v>6.217762871404689E-2</v>
      </c>
      <c r="E12955" s="224" t="s">
        <v>2</v>
      </c>
      <c r="F12955" s="515" t="s">
        <v>14142</v>
      </c>
      <c r="G12955" s="52">
        <v>391042.87324135401</v>
      </c>
      <c r="H12955" s="56">
        <v>0.1590743028938135</v>
      </c>
      <c r="I12955" s="224" t="s">
        <v>2</v>
      </c>
    </row>
    <row r="12956" spans="1:9" x14ac:dyDescent="0.25">
      <c r="A12956" s="515">
        <v>29581</v>
      </c>
      <c r="B12956" s="515" t="s">
        <v>703</v>
      </c>
      <c r="C12956" s="52">
        <v>167586.17363407899</v>
      </c>
      <c r="D12956" s="56">
        <v>0.15598371769493391</v>
      </c>
      <c r="E12956" s="224" t="s">
        <v>2</v>
      </c>
      <c r="F12956" s="515" t="s">
        <v>14143</v>
      </c>
      <c r="G12956" s="52">
        <v>352699.96677769802</v>
      </c>
      <c r="H12956" s="56">
        <v>2.4085415438179939E-2</v>
      </c>
      <c r="I12956" s="224" t="s">
        <v>2</v>
      </c>
    </row>
    <row r="12957" spans="1:9" x14ac:dyDescent="0.25">
      <c r="A12957" s="515">
        <v>52031</v>
      </c>
      <c r="C12957" s="52">
        <v>253016.13846237399</v>
      </c>
      <c r="D12957" s="56">
        <v>0.10689934254906598</v>
      </c>
      <c r="E12957" s="224" t="s">
        <v>2</v>
      </c>
      <c r="F12957" s="515" t="s">
        <v>14144</v>
      </c>
      <c r="G12957" s="52">
        <v>142487.78416439801</v>
      </c>
      <c r="H12957" s="56">
        <v>4.6028279385968429E-3</v>
      </c>
      <c r="I12957" s="224" t="s">
        <v>2</v>
      </c>
    </row>
    <row r="12958" spans="1:9" x14ac:dyDescent="0.25">
      <c r="A12958" s="515">
        <v>99141</v>
      </c>
      <c r="C12958" s="52">
        <v>305794.75277867698</v>
      </c>
      <c r="D12958" s="56">
        <v>2.5274042265233346E-2</v>
      </c>
      <c r="E12958" s="224" t="s">
        <v>2</v>
      </c>
      <c r="F12958" s="515" t="s">
        <v>14145</v>
      </c>
      <c r="G12958" s="52">
        <v>304182.75664948102</v>
      </c>
      <c r="H12958" s="56">
        <v>0.13512512021987219</v>
      </c>
      <c r="I12958" s="224" t="s">
        <v>2</v>
      </c>
    </row>
    <row r="12959" spans="1:9" x14ac:dyDescent="0.25">
      <c r="A12959" s="515">
        <v>35442</v>
      </c>
      <c r="B12959" s="515" t="s">
        <v>841</v>
      </c>
      <c r="C12959" s="52">
        <v>83530.773334619604</v>
      </c>
      <c r="D12959" s="56">
        <v>2.9490180414409095E-2</v>
      </c>
      <c r="E12959" s="224" t="s">
        <v>2</v>
      </c>
      <c r="F12959" s="515" t="s">
        <v>14146</v>
      </c>
      <c r="G12959" s="52">
        <v>131829.83538991201</v>
      </c>
      <c r="H12959" s="56">
        <v>7.8391190023878038E-2</v>
      </c>
      <c r="I12959" s="224" t="s">
        <v>2</v>
      </c>
    </row>
    <row r="12960" spans="1:9" x14ac:dyDescent="0.25">
      <c r="A12960" s="515">
        <v>27379</v>
      </c>
      <c r="C12960" s="52">
        <v>141038.28319128699</v>
      </c>
      <c r="D12960" s="56">
        <v>0.20110855374379805</v>
      </c>
      <c r="E12960" s="224" t="s">
        <v>2</v>
      </c>
      <c r="F12960" s="515" t="s">
        <v>14147</v>
      </c>
      <c r="G12960" s="52">
        <v>217538.06327865101</v>
      </c>
      <c r="H12960" s="56">
        <v>0.10711226830258651</v>
      </c>
      <c r="I12960" s="224" t="s">
        <v>2</v>
      </c>
    </row>
    <row r="12961" spans="1:9" x14ac:dyDescent="0.25">
      <c r="A12961" s="515">
        <v>98840</v>
      </c>
      <c r="C12961" s="52">
        <v>257338.276313849</v>
      </c>
      <c r="D12961" s="56">
        <v>6.9113184661951613E-2</v>
      </c>
      <c r="E12961" s="224" t="s">
        <v>2</v>
      </c>
      <c r="F12961" s="515" t="s">
        <v>14148</v>
      </c>
      <c r="G12961" s="52">
        <v>125995.74739804299</v>
      </c>
      <c r="H12961" s="56">
        <v>-2.4350633188608105E-2</v>
      </c>
      <c r="I12961" s="224" t="s">
        <v>2</v>
      </c>
    </row>
    <row r="12962" spans="1:9" x14ac:dyDescent="0.25">
      <c r="A12962" s="515">
        <v>26537</v>
      </c>
      <c r="B12962" s="515" t="s">
        <v>643</v>
      </c>
      <c r="C12962" s="52">
        <v>145498.46602030401</v>
      </c>
      <c r="D12962" s="56">
        <v>5.0705216080581275E-2</v>
      </c>
      <c r="E12962" s="224" t="s">
        <v>2</v>
      </c>
      <c r="F12962" s="515" t="s">
        <v>14149</v>
      </c>
      <c r="G12962" s="52">
        <v>170218.451222687</v>
      </c>
      <c r="H12962" s="56">
        <v>0</v>
      </c>
      <c r="I12962" s="224" t="s">
        <v>2</v>
      </c>
    </row>
    <row r="12963" spans="1:9" x14ac:dyDescent="0.25">
      <c r="A12963" s="515">
        <v>29696</v>
      </c>
      <c r="B12963" s="515" t="s">
        <v>804</v>
      </c>
      <c r="C12963" s="52">
        <v>288266.92258627102</v>
      </c>
      <c r="D12963" s="56">
        <v>0.12906097791393553</v>
      </c>
      <c r="E12963" s="224" t="s">
        <v>2</v>
      </c>
      <c r="F12963" s="515" t="s">
        <v>14150</v>
      </c>
      <c r="G12963" s="52">
        <v>123854.984321072</v>
      </c>
      <c r="H12963" s="56">
        <v>-1.6988414288402351E-2</v>
      </c>
      <c r="I12963" s="224" t="s">
        <v>2</v>
      </c>
    </row>
    <row r="12964" spans="1:9" x14ac:dyDescent="0.25">
      <c r="A12964" s="515">
        <v>74523</v>
      </c>
      <c r="C12964" s="52">
        <v>116653.539634442</v>
      </c>
      <c r="D12964" s="56">
        <v>0.15883015841005177</v>
      </c>
      <c r="E12964" s="224" t="s">
        <v>2</v>
      </c>
      <c r="F12964" s="515" t="s">
        <v>14151</v>
      </c>
      <c r="G12964" s="52">
        <v>101184.54455982499</v>
      </c>
      <c r="H12964" s="56">
        <v>-5.4089283507685196E-3</v>
      </c>
      <c r="I12964" s="224" t="s">
        <v>2</v>
      </c>
    </row>
    <row r="12965" spans="1:9" x14ac:dyDescent="0.25">
      <c r="A12965" s="515">
        <v>52730</v>
      </c>
      <c r="B12965" s="515" t="s">
        <v>330</v>
      </c>
      <c r="C12965" s="52">
        <v>178349.288434872</v>
      </c>
      <c r="D12965" s="56">
        <v>6.6305363286062277E-2</v>
      </c>
      <c r="E12965" s="224" t="s">
        <v>2</v>
      </c>
      <c r="F12965" s="515" t="s">
        <v>14152</v>
      </c>
      <c r="G12965" s="52">
        <v>157896.07975596501</v>
      </c>
      <c r="H12965" s="56">
        <v>0.21883000403929845</v>
      </c>
      <c r="I12965" s="224" t="s">
        <v>2</v>
      </c>
    </row>
    <row r="12966" spans="1:9" x14ac:dyDescent="0.25">
      <c r="A12966" s="515">
        <v>55046</v>
      </c>
      <c r="B12966" s="515" t="s">
        <v>504</v>
      </c>
      <c r="C12966" s="52">
        <v>331250.700434517</v>
      </c>
      <c r="D12966" s="56">
        <v>5.4149827188642877E-2</v>
      </c>
      <c r="E12966" s="224" t="s">
        <v>2</v>
      </c>
      <c r="F12966" s="515" t="s">
        <v>14153</v>
      </c>
      <c r="G12966" s="52">
        <v>178774.70725386901</v>
      </c>
      <c r="H12966" s="56">
        <v>0.12512247671017629</v>
      </c>
      <c r="I12966" s="224" t="s">
        <v>2</v>
      </c>
    </row>
    <row r="12967" spans="1:9" x14ac:dyDescent="0.25">
      <c r="A12967" s="515">
        <v>97374</v>
      </c>
      <c r="B12967" s="515" t="s">
        <v>591</v>
      </c>
      <c r="C12967" s="52">
        <v>531809.01966401201</v>
      </c>
      <c r="D12967" s="56">
        <v>9.1372392124912438E-2</v>
      </c>
      <c r="E12967" s="224" t="s">
        <v>2</v>
      </c>
      <c r="F12967" s="515" t="s">
        <v>14154</v>
      </c>
      <c r="G12967" s="52">
        <v>423853.35708592599</v>
      </c>
      <c r="H12967" s="56">
        <v>2.8891404220079556E-3</v>
      </c>
      <c r="I12967" s="224" t="s">
        <v>2</v>
      </c>
    </row>
    <row r="12968" spans="1:9" x14ac:dyDescent="0.25">
      <c r="A12968" s="515">
        <v>6026</v>
      </c>
      <c r="B12968" s="515" t="s">
        <v>894</v>
      </c>
      <c r="C12968" s="52">
        <v>333719.01306859398</v>
      </c>
      <c r="D12968" s="56">
        <v>8.4407677906192566E-2</v>
      </c>
      <c r="E12968" s="224" t="s">
        <v>2</v>
      </c>
      <c r="F12968" s="515" t="s">
        <v>14155</v>
      </c>
      <c r="G12968" s="52">
        <v>639727.980881089</v>
      </c>
      <c r="H12968" s="56">
        <v>7.1253850849534339E-2</v>
      </c>
      <c r="I12968" s="224" t="s">
        <v>2</v>
      </c>
    </row>
    <row r="12969" spans="1:9" x14ac:dyDescent="0.25">
      <c r="A12969" s="515">
        <v>1036</v>
      </c>
      <c r="B12969" s="515" t="s">
        <v>575</v>
      </c>
      <c r="C12969" s="52">
        <v>357021.66841774603</v>
      </c>
      <c r="D12969" s="56">
        <v>9.1746243038451733E-2</v>
      </c>
      <c r="E12969" s="224" t="s">
        <v>2</v>
      </c>
      <c r="F12969" s="515" t="s">
        <v>14156</v>
      </c>
      <c r="G12969" s="52">
        <v>127435.081655516</v>
      </c>
      <c r="H12969" s="56">
        <v>0</v>
      </c>
      <c r="I12969" s="224" t="s">
        <v>2</v>
      </c>
    </row>
    <row r="12970" spans="1:9" x14ac:dyDescent="0.25">
      <c r="A12970" s="515">
        <v>26753</v>
      </c>
      <c r="B12970" s="515" t="s">
        <v>362</v>
      </c>
      <c r="C12970" s="52">
        <v>164961.958447065</v>
      </c>
      <c r="D12970" s="56">
        <v>6.5529660969367534E-2</v>
      </c>
      <c r="E12970" s="224" t="s">
        <v>2</v>
      </c>
      <c r="F12970" s="515" t="s">
        <v>14157</v>
      </c>
      <c r="G12970" s="52">
        <v>160401.60533684201</v>
      </c>
      <c r="H12970" s="56">
        <v>8.4729610557862614E-2</v>
      </c>
      <c r="I12970" s="224" t="s">
        <v>2</v>
      </c>
    </row>
    <row r="12971" spans="1:9" x14ac:dyDescent="0.25">
      <c r="A12971" s="515">
        <v>54106</v>
      </c>
      <c r="B12971" s="515" t="s">
        <v>821</v>
      </c>
      <c r="C12971" s="52">
        <v>234922.52835506099</v>
      </c>
      <c r="D12971" s="56">
        <v>0.10611156063202683</v>
      </c>
      <c r="E12971" s="224" t="s">
        <v>2</v>
      </c>
      <c r="F12971" s="515" t="s">
        <v>14158</v>
      </c>
      <c r="G12971" s="52">
        <v>209887.08232529301</v>
      </c>
      <c r="H12971" s="56">
        <v>0.14771194600976228</v>
      </c>
      <c r="I12971" s="224" t="s">
        <v>2</v>
      </c>
    </row>
    <row r="12972" spans="1:9" x14ac:dyDescent="0.25">
      <c r="A12972" s="515">
        <v>15681</v>
      </c>
      <c r="B12972" s="515" t="s">
        <v>343</v>
      </c>
      <c r="C12972" s="52">
        <v>133706.094003404</v>
      </c>
      <c r="D12972" s="56">
        <v>2.8652386165895431E-2</v>
      </c>
      <c r="E12972" s="224" t="s">
        <v>2</v>
      </c>
      <c r="F12972" s="515" t="s">
        <v>14159</v>
      </c>
      <c r="G12972" s="52">
        <v>274859.77707901399</v>
      </c>
      <c r="H12972" s="56">
        <v>0.10129747614263764</v>
      </c>
      <c r="I12972" s="224" t="s">
        <v>2</v>
      </c>
    </row>
    <row r="12973" spans="1:9" x14ac:dyDescent="0.25">
      <c r="A12973" s="515">
        <v>56636</v>
      </c>
      <c r="B12973" s="515" t="s">
        <v>590</v>
      </c>
      <c r="C12973" s="52">
        <v>214401.48084656501</v>
      </c>
      <c r="D12973" s="56">
        <v>6.8046740263687108E-2</v>
      </c>
      <c r="E12973" s="224" t="s">
        <v>2</v>
      </c>
      <c r="F12973" s="515" t="s">
        <v>14160</v>
      </c>
      <c r="G12973" s="52">
        <v>130810.440507744</v>
      </c>
      <c r="H12973" s="56">
        <v>9.7831231170707994E-2</v>
      </c>
      <c r="I12973" s="224" t="s">
        <v>2</v>
      </c>
    </row>
    <row r="12974" spans="1:9" x14ac:dyDescent="0.25">
      <c r="A12974" s="515">
        <v>20634</v>
      </c>
      <c r="B12974" s="515" t="s">
        <v>779</v>
      </c>
      <c r="C12974" s="52">
        <v>316510.50014588202</v>
      </c>
      <c r="D12974" s="56">
        <v>1.5486805114023098E-2</v>
      </c>
      <c r="E12974" s="224" t="s">
        <v>2</v>
      </c>
      <c r="F12974" s="515" t="s">
        <v>14161</v>
      </c>
      <c r="G12974" s="52">
        <v>29547.800547445899</v>
      </c>
      <c r="H12974" s="56">
        <v>0.22979059256278869</v>
      </c>
      <c r="I12974" s="224" t="s">
        <v>2</v>
      </c>
    </row>
    <row r="12975" spans="1:9" x14ac:dyDescent="0.25">
      <c r="A12975" s="515">
        <v>16242</v>
      </c>
      <c r="B12975" s="515" t="s">
        <v>297</v>
      </c>
      <c r="C12975" s="52">
        <v>113163.88974809799</v>
      </c>
      <c r="D12975" s="56">
        <v>8.5647513012929832E-2</v>
      </c>
      <c r="E12975" s="224" t="s">
        <v>2</v>
      </c>
      <c r="F12975" s="515" t="s">
        <v>14162</v>
      </c>
      <c r="G12975" s="52">
        <v>66082.383147819797</v>
      </c>
      <c r="H12975" s="56">
        <v>0.1250169167827771</v>
      </c>
      <c r="I12975" s="224" t="s">
        <v>2</v>
      </c>
    </row>
    <row r="12976" spans="1:9" x14ac:dyDescent="0.25">
      <c r="A12976" s="515">
        <v>8344</v>
      </c>
      <c r="B12976" s="515" t="s">
        <v>294</v>
      </c>
      <c r="C12976" s="52">
        <v>251770.52106385099</v>
      </c>
      <c r="D12976" s="56">
        <v>7.7850561078963987E-2</v>
      </c>
      <c r="E12976" s="224" t="s">
        <v>2</v>
      </c>
      <c r="F12976" s="515" t="s">
        <v>14163</v>
      </c>
      <c r="G12976" s="52">
        <v>250117.91487065799</v>
      </c>
      <c r="H12976" s="56">
        <v>5.5362083873148608E-2</v>
      </c>
      <c r="I12976" s="224" t="s">
        <v>2</v>
      </c>
    </row>
    <row r="12977" spans="1:9" x14ac:dyDescent="0.25">
      <c r="A12977" s="515">
        <v>45612</v>
      </c>
      <c r="B12977" s="515" t="s">
        <v>437</v>
      </c>
      <c r="C12977" s="52">
        <v>152095.902978292</v>
      </c>
      <c r="D12977" s="56">
        <v>6.2549113022505154E-2</v>
      </c>
      <c r="E12977" s="224" t="s">
        <v>2</v>
      </c>
      <c r="F12977" s="515" t="s">
        <v>14164</v>
      </c>
      <c r="G12977" s="52">
        <v>234414.87551235201</v>
      </c>
      <c r="H12977" s="56">
        <v>8.4872523747924242E-2</v>
      </c>
      <c r="I12977" s="224" t="s">
        <v>2</v>
      </c>
    </row>
    <row r="12978" spans="1:9" x14ac:dyDescent="0.25">
      <c r="A12978" s="515">
        <v>76802</v>
      </c>
      <c r="B12978" s="515" t="s">
        <v>947</v>
      </c>
      <c r="C12978" s="52">
        <v>212928.538711489</v>
      </c>
      <c r="D12978" s="56">
        <v>4.8545683362293514E-2</v>
      </c>
      <c r="E12978" s="224" t="s">
        <v>2</v>
      </c>
      <c r="F12978" s="515" t="s">
        <v>14165</v>
      </c>
      <c r="G12978" s="52">
        <v>160275.79825034001</v>
      </c>
      <c r="H12978" s="56">
        <v>0.14211272707392764</v>
      </c>
      <c r="I12978" s="224" t="s">
        <v>2</v>
      </c>
    </row>
    <row r="12979" spans="1:9" x14ac:dyDescent="0.25">
      <c r="A12979" s="515">
        <v>31806</v>
      </c>
      <c r="B12979" s="515" t="s">
        <v>763</v>
      </c>
      <c r="C12979" s="52">
        <v>136270.29603337901</v>
      </c>
      <c r="D12979" s="56">
        <v>9.4050066534793975E-2</v>
      </c>
      <c r="E12979" s="224" t="s">
        <v>2</v>
      </c>
      <c r="F12979" s="515" t="s">
        <v>14166</v>
      </c>
      <c r="G12979" s="52">
        <v>108992.953691245</v>
      </c>
      <c r="H12979" s="56">
        <v>0</v>
      </c>
      <c r="I12979" s="224" t="s">
        <v>2</v>
      </c>
    </row>
    <row r="12980" spans="1:9" x14ac:dyDescent="0.25">
      <c r="A12980" s="515">
        <v>47040</v>
      </c>
      <c r="B12980" s="515" t="s">
        <v>344</v>
      </c>
      <c r="C12980" s="52">
        <v>206154.146509071</v>
      </c>
      <c r="D12980" s="56">
        <v>9.0639815529922729E-2</v>
      </c>
      <c r="E12980" s="224" t="s">
        <v>2</v>
      </c>
      <c r="F12980" s="515" t="s">
        <v>14167</v>
      </c>
      <c r="G12980" s="52">
        <v>157176.48734871199</v>
      </c>
      <c r="H12980" s="56">
        <v>5.3791656226157933E-2</v>
      </c>
      <c r="I12980" s="224" t="s">
        <v>2</v>
      </c>
    </row>
    <row r="12981" spans="1:9" x14ac:dyDescent="0.25">
      <c r="A12981" s="515">
        <v>27871</v>
      </c>
      <c r="C12981" s="52">
        <v>90780.296546567304</v>
      </c>
      <c r="D12981" s="56">
        <v>-8.8695679742143169E-3</v>
      </c>
      <c r="E12981" s="224" t="s">
        <v>2</v>
      </c>
      <c r="F12981" s="515" t="s">
        <v>14168</v>
      </c>
      <c r="G12981" s="52">
        <v>286031.42074560397</v>
      </c>
      <c r="H12981" s="56">
        <v>0.11279475068334231</v>
      </c>
      <c r="I12981" s="224" t="s">
        <v>2</v>
      </c>
    </row>
    <row r="12982" spans="1:9" x14ac:dyDescent="0.25">
      <c r="A12982" s="515">
        <v>23868</v>
      </c>
      <c r="C12982" s="52">
        <v>73508.243319134504</v>
      </c>
      <c r="D12982" s="56">
        <v>3.0011927130324294E-2</v>
      </c>
      <c r="E12982" s="224" t="s">
        <v>2</v>
      </c>
      <c r="F12982" s="515" t="s">
        <v>14169</v>
      </c>
      <c r="G12982" s="52">
        <v>4060103.7890293999</v>
      </c>
      <c r="H12982" s="56">
        <v>1.0612981468283758E-2</v>
      </c>
      <c r="I12982" s="224" t="s">
        <v>2</v>
      </c>
    </row>
    <row r="12983" spans="1:9" x14ac:dyDescent="0.25">
      <c r="A12983" s="515">
        <v>81054</v>
      </c>
      <c r="C12983" s="52">
        <v>102593.636656931</v>
      </c>
      <c r="D12983" s="56">
        <v>6.1290921466411373E-2</v>
      </c>
      <c r="E12983" s="224" t="s">
        <v>2</v>
      </c>
      <c r="F12983" s="515" t="s">
        <v>14170</v>
      </c>
      <c r="G12983" s="52">
        <v>244132.419126703</v>
      </c>
      <c r="H12983" s="56">
        <v>4.0492975041497889E-2</v>
      </c>
      <c r="I12983" s="224" t="s">
        <v>2</v>
      </c>
    </row>
    <row r="12984" spans="1:9" x14ac:dyDescent="0.25">
      <c r="A12984" s="515">
        <v>52227</v>
      </c>
      <c r="B12984" s="515" t="s">
        <v>404</v>
      </c>
      <c r="C12984" s="52">
        <v>314130.75752172899</v>
      </c>
      <c r="D12984" s="56">
        <v>8.9200026484324332E-2</v>
      </c>
      <c r="E12984" s="224" t="s">
        <v>2</v>
      </c>
      <c r="F12984" s="515" t="s">
        <v>14171</v>
      </c>
      <c r="G12984" s="52">
        <v>211243.49721070199</v>
      </c>
      <c r="H12984" s="56">
        <v>7.3498090032447949E-2</v>
      </c>
      <c r="I12984" s="224" t="s">
        <v>2</v>
      </c>
    </row>
    <row r="12985" spans="1:9" x14ac:dyDescent="0.25">
      <c r="A12985" s="515">
        <v>39474</v>
      </c>
      <c r="C12985" s="52">
        <v>91170.029794193906</v>
      </c>
      <c r="D12985" s="56">
        <v>-0.10075328783469552</v>
      </c>
      <c r="E12985" s="224" t="s">
        <v>2</v>
      </c>
      <c r="F12985" s="515" t="s">
        <v>14172</v>
      </c>
      <c r="G12985" s="52">
        <v>191779.45161117901</v>
      </c>
      <c r="H12985" s="56">
        <v>4.5904474333132023E-2</v>
      </c>
      <c r="I12985" s="224" t="s">
        <v>2</v>
      </c>
    </row>
    <row r="12986" spans="1:9" x14ac:dyDescent="0.25">
      <c r="A12986" s="515">
        <v>14505</v>
      </c>
      <c r="B12986" s="515" t="s">
        <v>337</v>
      </c>
      <c r="C12986" s="52">
        <v>189401.21833494501</v>
      </c>
      <c r="D12986" s="56">
        <v>0.10873245140681451</v>
      </c>
      <c r="E12986" s="224" t="s">
        <v>2</v>
      </c>
      <c r="F12986" s="515" t="s">
        <v>14173</v>
      </c>
      <c r="G12986" s="52">
        <v>240365.89268467599</v>
      </c>
      <c r="H12986" s="56">
        <v>8.6762182335872462E-2</v>
      </c>
      <c r="I12986" s="224" t="s">
        <v>2</v>
      </c>
    </row>
    <row r="12987" spans="1:9" x14ac:dyDescent="0.25">
      <c r="A12987" s="515">
        <v>67951</v>
      </c>
      <c r="C12987" s="52">
        <v>132939.591317566</v>
      </c>
      <c r="D12987" s="56">
        <v>7.7404540473653194E-2</v>
      </c>
      <c r="E12987" s="224" t="s">
        <v>2</v>
      </c>
      <c r="F12987" s="515" t="s">
        <v>14174</v>
      </c>
      <c r="G12987" s="52">
        <v>254413.20062939901</v>
      </c>
      <c r="H12987" s="56">
        <v>0.13737808685804431</v>
      </c>
      <c r="I12987" s="224" t="s">
        <v>2</v>
      </c>
    </row>
    <row r="12988" spans="1:9" x14ac:dyDescent="0.25">
      <c r="A12988" s="515">
        <v>71405</v>
      </c>
      <c r="B12988" s="515" t="s">
        <v>968</v>
      </c>
      <c r="C12988" s="52">
        <v>154090.16828861501</v>
      </c>
      <c r="D12988" s="56">
        <v>5.0285503582789361E-2</v>
      </c>
      <c r="E12988" s="224" t="s">
        <v>2</v>
      </c>
      <c r="F12988" s="515" t="s">
        <v>14175</v>
      </c>
      <c r="G12988" s="52">
        <v>357440.36468056799</v>
      </c>
      <c r="H12988" s="56">
        <v>0.12728067347155866</v>
      </c>
      <c r="I12988" s="224" t="s">
        <v>2</v>
      </c>
    </row>
    <row r="12989" spans="1:9" x14ac:dyDescent="0.25">
      <c r="A12989" s="515">
        <v>45387</v>
      </c>
      <c r="B12989" s="515" t="s">
        <v>340</v>
      </c>
      <c r="C12989" s="52">
        <v>315209.75097495399</v>
      </c>
      <c r="D12989" s="56">
        <v>6.6231832380031122E-2</v>
      </c>
      <c r="E12989" s="224" t="s">
        <v>2</v>
      </c>
      <c r="F12989" s="515" t="s">
        <v>14176</v>
      </c>
      <c r="G12989" s="52">
        <v>1032852.35715581</v>
      </c>
      <c r="H12989" s="56">
        <v>1.5197354049099551E-2</v>
      </c>
      <c r="I12989" s="224" t="s">
        <v>2</v>
      </c>
    </row>
    <row r="12990" spans="1:9" x14ac:dyDescent="0.25">
      <c r="A12990" s="515">
        <v>32455</v>
      </c>
      <c r="B12990" s="515" t="s">
        <v>1078</v>
      </c>
      <c r="C12990" s="52">
        <v>195420.65251572401</v>
      </c>
      <c r="D12990" s="56">
        <v>0.12860638920958783</v>
      </c>
      <c r="E12990" s="224" t="s">
        <v>2</v>
      </c>
      <c r="F12990" s="515" t="s">
        <v>14177</v>
      </c>
      <c r="G12990" s="52">
        <v>75043.776189666198</v>
      </c>
      <c r="H12990" s="56">
        <v>0.18721404354342094</v>
      </c>
      <c r="I12990" s="224" t="s">
        <v>2</v>
      </c>
    </row>
    <row r="12991" spans="1:9" x14ac:dyDescent="0.25">
      <c r="A12991" s="515">
        <v>85342</v>
      </c>
      <c r="B12991" s="515" t="s">
        <v>563</v>
      </c>
      <c r="C12991" s="52">
        <v>404133.02324838098</v>
      </c>
      <c r="D12991" s="56">
        <v>2.507940998332615E-2</v>
      </c>
      <c r="E12991" s="224" t="s">
        <v>2</v>
      </c>
      <c r="F12991" s="515" t="s">
        <v>14178</v>
      </c>
      <c r="G12991" s="52">
        <v>103811.092461127</v>
      </c>
      <c r="H12991" s="56">
        <v>0.11269745762901381</v>
      </c>
      <c r="I12991" s="224" t="s">
        <v>2</v>
      </c>
    </row>
    <row r="12992" spans="1:9" x14ac:dyDescent="0.25">
      <c r="A12992" s="515">
        <v>28433</v>
      </c>
      <c r="C12992" s="52">
        <v>96965.326401068203</v>
      </c>
      <c r="D12992" s="56">
        <v>5.1134739957367177E-2</v>
      </c>
      <c r="E12992" s="224" t="s">
        <v>2</v>
      </c>
      <c r="F12992" s="515" t="s">
        <v>14179</v>
      </c>
      <c r="G12992" s="52">
        <v>2581221.0126564498</v>
      </c>
      <c r="H12992" s="56">
        <v>6.0613667323708598E-2</v>
      </c>
      <c r="I12992" s="224" t="s">
        <v>2</v>
      </c>
    </row>
    <row r="12993" spans="1:9" x14ac:dyDescent="0.25">
      <c r="A12993" s="515">
        <v>8751</v>
      </c>
      <c r="B12993" s="515" t="s">
        <v>324</v>
      </c>
      <c r="C12993" s="52">
        <v>580451.92159657006</v>
      </c>
      <c r="D12993" s="56">
        <v>0.11670989831686913</v>
      </c>
      <c r="E12993" s="224" t="s">
        <v>2</v>
      </c>
      <c r="F12993" s="515" t="s">
        <v>14180</v>
      </c>
      <c r="G12993" s="52">
        <v>68842.651330656794</v>
      </c>
      <c r="H12993" s="56">
        <v>0.20386528991806327</v>
      </c>
      <c r="I12993" s="224" t="s">
        <v>2</v>
      </c>
    </row>
    <row r="12994" spans="1:9" x14ac:dyDescent="0.25">
      <c r="A12994" s="515">
        <v>6255</v>
      </c>
      <c r="B12994" s="515" t="s">
        <v>751</v>
      </c>
      <c r="C12994" s="52">
        <v>295082.89226001903</v>
      </c>
      <c r="D12994" s="56">
        <v>7.3895764257836602E-2</v>
      </c>
      <c r="E12994" s="224" t="s">
        <v>2</v>
      </c>
      <c r="F12994" s="515" t="s">
        <v>14181</v>
      </c>
      <c r="G12994" s="52">
        <v>363575.19904269802</v>
      </c>
      <c r="H12994" s="56">
        <v>0.11951270180600394</v>
      </c>
      <c r="I12994" s="224" t="s">
        <v>2</v>
      </c>
    </row>
    <row r="12995" spans="1:9" x14ac:dyDescent="0.25">
      <c r="A12995" s="515">
        <v>39479</v>
      </c>
      <c r="B12995" s="515" t="s">
        <v>1074</v>
      </c>
      <c r="C12995" s="52">
        <v>154220.926780029</v>
      </c>
      <c r="D12995" s="56">
        <v>-7.4701240518217976E-3</v>
      </c>
      <c r="E12995" s="224" t="s">
        <v>2</v>
      </c>
      <c r="F12995" s="515" t="s">
        <v>14182</v>
      </c>
      <c r="G12995" s="52">
        <v>331278.599228037</v>
      </c>
      <c r="H12995" s="56">
        <v>1.058314390191693E-2</v>
      </c>
      <c r="I12995" s="224" t="s">
        <v>2</v>
      </c>
    </row>
    <row r="12996" spans="1:9" x14ac:dyDescent="0.25">
      <c r="A12996" s="515">
        <v>31642</v>
      </c>
      <c r="B12996" s="515" t="s">
        <v>917</v>
      </c>
      <c r="C12996" s="52">
        <v>85291.9720801574</v>
      </c>
      <c r="D12996" s="56">
        <v>-4.6589202542059192E-2</v>
      </c>
      <c r="E12996" s="224" t="s">
        <v>2</v>
      </c>
      <c r="F12996" s="515" t="s">
        <v>14183</v>
      </c>
      <c r="G12996" s="52">
        <v>290541.501054511</v>
      </c>
      <c r="H12996" s="56">
        <v>8.8544347562654391E-2</v>
      </c>
      <c r="I12996" s="224" t="s">
        <v>2</v>
      </c>
    </row>
    <row r="12997" spans="1:9" x14ac:dyDescent="0.25">
      <c r="A12997" s="515">
        <v>14067</v>
      </c>
      <c r="B12997" s="515" t="s">
        <v>336</v>
      </c>
      <c r="C12997" s="52">
        <v>196097.25329456199</v>
      </c>
      <c r="D12997" s="56">
        <v>9.1731351978246403E-2</v>
      </c>
      <c r="E12997" s="224" t="s">
        <v>2</v>
      </c>
      <c r="F12997" s="515" t="s">
        <v>14184</v>
      </c>
      <c r="G12997" s="52">
        <v>157753.587971676</v>
      </c>
      <c r="H12997" s="56">
        <v>0.10277841925512833</v>
      </c>
      <c r="I12997" s="224" t="s">
        <v>2</v>
      </c>
    </row>
    <row r="12998" spans="1:9" x14ac:dyDescent="0.25">
      <c r="A12998" s="515">
        <v>67101</v>
      </c>
      <c r="B12998" s="515" t="s">
        <v>485</v>
      </c>
      <c r="C12998" s="52">
        <v>281235.70778359898</v>
      </c>
      <c r="D12998" s="56">
        <v>5.5836280470234603E-2</v>
      </c>
      <c r="E12998" s="224" t="s">
        <v>2</v>
      </c>
      <c r="F12998" s="515" t="s">
        <v>14185</v>
      </c>
      <c r="G12998" s="52">
        <v>414674.74938409199</v>
      </c>
      <c r="H12998" s="56">
        <v>5.5567434817926038E-2</v>
      </c>
      <c r="I12998" s="224" t="s">
        <v>2</v>
      </c>
    </row>
    <row r="12999" spans="1:9" x14ac:dyDescent="0.25">
      <c r="A12999" s="515">
        <v>72521</v>
      </c>
      <c r="B12999" s="515" t="s">
        <v>693</v>
      </c>
      <c r="C12999" s="52">
        <v>129417.997705956</v>
      </c>
      <c r="D12999" s="56">
        <v>3.4316112285495068E-3</v>
      </c>
      <c r="E12999" s="224" t="s">
        <v>2</v>
      </c>
      <c r="F12999" s="515" t="s">
        <v>14186</v>
      </c>
      <c r="G12999" s="52">
        <v>303182.85862899403</v>
      </c>
      <c r="H12999" s="56">
        <v>0.18610027591101605</v>
      </c>
      <c r="I12999" s="224" t="s">
        <v>2</v>
      </c>
    </row>
    <row r="13000" spans="1:9" x14ac:dyDescent="0.25">
      <c r="A13000" s="515">
        <v>53523</v>
      </c>
      <c r="B13000" s="515" t="s">
        <v>727</v>
      </c>
      <c r="C13000" s="52">
        <v>326803.39059483499</v>
      </c>
      <c r="D13000" s="56">
        <v>3.6496031909796361E-2</v>
      </c>
      <c r="E13000" s="224" t="s">
        <v>2</v>
      </c>
      <c r="F13000" s="515" t="s">
        <v>14187</v>
      </c>
      <c r="G13000" s="52">
        <v>173595.74541030699</v>
      </c>
      <c r="H13000" s="56">
        <v>0.11238116013345784</v>
      </c>
      <c r="I13000" s="224" t="s">
        <v>2</v>
      </c>
    </row>
    <row r="13001" spans="1:9" x14ac:dyDescent="0.25">
      <c r="A13001" s="515">
        <v>25951</v>
      </c>
      <c r="C13001" s="52">
        <v>97714.155740028204</v>
      </c>
      <c r="D13001" s="56">
        <v>7.8455689877744678E-2</v>
      </c>
      <c r="E13001" s="224" t="s">
        <v>2</v>
      </c>
      <c r="F13001" s="515" t="s">
        <v>14188</v>
      </c>
      <c r="G13001" s="52">
        <v>84449.994349634697</v>
      </c>
      <c r="H13001" s="56">
        <v>-4.8017952108591486E-2</v>
      </c>
      <c r="I13001" s="224" t="s">
        <v>2</v>
      </c>
    </row>
    <row r="13002" spans="1:9" x14ac:dyDescent="0.25">
      <c r="A13002" s="515">
        <v>72065</v>
      </c>
      <c r="B13002" s="515" t="s">
        <v>393</v>
      </c>
      <c r="C13002" s="52">
        <v>191384.81439886001</v>
      </c>
      <c r="D13002" s="56">
        <v>2.6389572290597154E-2</v>
      </c>
      <c r="E13002" s="224" t="s">
        <v>2</v>
      </c>
      <c r="F13002" s="515" t="s">
        <v>14189</v>
      </c>
      <c r="G13002" s="52">
        <v>254201.19817208199</v>
      </c>
      <c r="H13002" s="56">
        <v>0.10820026584015442</v>
      </c>
      <c r="I13002" s="224" t="s">
        <v>2</v>
      </c>
    </row>
    <row r="13003" spans="1:9" x14ac:dyDescent="0.25">
      <c r="A13003" s="515">
        <v>30629</v>
      </c>
      <c r="B13003" s="515" t="s">
        <v>991</v>
      </c>
      <c r="C13003" s="52">
        <v>232791.323246043</v>
      </c>
      <c r="D13003" s="56">
        <v>8.767212892280575E-2</v>
      </c>
      <c r="E13003" s="224" t="s">
        <v>2</v>
      </c>
      <c r="F13003" s="515" t="s">
        <v>14190</v>
      </c>
      <c r="G13003" s="52">
        <v>187115.98512262799</v>
      </c>
      <c r="H13003" s="56">
        <v>2.845617795126552E-2</v>
      </c>
      <c r="I13003" s="224" t="s">
        <v>2</v>
      </c>
    </row>
    <row r="13004" spans="1:9" x14ac:dyDescent="0.25">
      <c r="A13004" s="515">
        <v>20106</v>
      </c>
      <c r="B13004" s="515" t="s">
        <v>321</v>
      </c>
      <c r="C13004" s="52">
        <v>493218.21778851002</v>
      </c>
      <c r="D13004" s="56">
        <v>5.5909383455349217E-2</v>
      </c>
      <c r="E13004" s="224" t="s">
        <v>2</v>
      </c>
      <c r="F13004" s="515" t="s">
        <v>14191</v>
      </c>
      <c r="G13004" s="52">
        <v>333192.52004253498</v>
      </c>
      <c r="H13004" s="56">
        <v>0</v>
      </c>
      <c r="I13004" s="224" t="s">
        <v>2</v>
      </c>
    </row>
    <row r="13005" spans="1:9" x14ac:dyDescent="0.25">
      <c r="A13005" s="515">
        <v>53946</v>
      </c>
      <c r="C13005" s="52">
        <v>235587.82940213801</v>
      </c>
      <c r="D13005" s="56">
        <v>0.12127377864163799</v>
      </c>
      <c r="E13005" s="224" t="s">
        <v>2</v>
      </c>
      <c r="F13005" s="515" t="s">
        <v>14192</v>
      </c>
      <c r="G13005" s="52">
        <v>86188.478216601696</v>
      </c>
      <c r="H13005" s="56">
        <v>-0.16997831743790492</v>
      </c>
      <c r="I13005" s="224" t="s">
        <v>2</v>
      </c>
    </row>
    <row r="13006" spans="1:9" x14ac:dyDescent="0.25">
      <c r="A13006" s="515">
        <v>32686</v>
      </c>
      <c r="B13006" s="515" t="s">
        <v>475</v>
      </c>
      <c r="C13006" s="52">
        <v>297750.65516698902</v>
      </c>
      <c r="D13006" s="56">
        <v>0.20226231644813034</v>
      </c>
      <c r="E13006" s="224" t="s">
        <v>2</v>
      </c>
      <c r="F13006" s="515" t="s">
        <v>14193</v>
      </c>
      <c r="G13006" s="52">
        <v>149792.73561581899</v>
      </c>
      <c r="H13006" s="56">
        <v>3.4265050877093396E-2</v>
      </c>
      <c r="I13006" s="224" t="s">
        <v>2</v>
      </c>
    </row>
    <row r="13007" spans="1:9" x14ac:dyDescent="0.25">
      <c r="A13007" s="515">
        <v>8826</v>
      </c>
      <c r="B13007" s="515" t="s">
        <v>324</v>
      </c>
      <c r="C13007" s="52">
        <v>433071.93083678198</v>
      </c>
      <c r="D13007" s="56">
        <v>3.2426226270718735E-2</v>
      </c>
      <c r="E13007" s="224" t="s">
        <v>2</v>
      </c>
      <c r="F13007" s="515" t="s">
        <v>14194</v>
      </c>
      <c r="G13007" s="52">
        <v>296932.95800496102</v>
      </c>
      <c r="H13007" s="56">
        <v>0.12109972275887</v>
      </c>
      <c r="I13007" s="224" t="s">
        <v>2</v>
      </c>
    </row>
    <row r="13008" spans="1:9" x14ac:dyDescent="0.25">
      <c r="A13008" s="515">
        <v>64067</v>
      </c>
      <c r="B13008" s="515" t="s">
        <v>455</v>
      </c>
      <c r="C13008" s="52">
        <v>159775.64826348799</v>
      </c>
      <c r="D13008" s="56">
        <v>7.8554378479831308E-2</v>
      </c>
      <c r="E13008" s="224" t="s">
        <v>2</v>
      </c>
      <c r="F13008" s="515" t="s">
        <v>14195</v>
      </c>
      <c r="G13008" s="52">
        <v>284156.22413718997</v>
      </c>
      <c r="H13008" s="56">
        <v>9.5975819600079865E-2</v>
      </c>
      <c r="I13008" s="224" t="s">
        <v>2</v>
      </c>
    </row>
    <row r="13009" spans="1:9" x14ac:dyDescent="0.25">
      <c r="A13009" s="515">
        <v>7832</v>
      </c>
      <c r="B13009" s="515" t="s">
        <v>327</v>
      </c>
      <c r="C13009" s="52">
        <v>370509.626889796</v>
      </c>
      <c r="D13009" s="56">
        <v>4.7203141809420042E-2</v>
      </c>
      <c r="E13009" s="224" t="s">
        <v>2</v>
      </c>
      <c r="F13009" s="515" t="s">
        <v>14196</v>
      </c>
      <c r="G13009" s="52">
        <v>162107.22327171601</v>
      </c>
      <c r="H13009" s="56">
        <v>2.3414801121310544E-2</v>
      </c>
      <c r="I13009" s="224" t="s">
        <v>2</v>
      </c>
    </row>
    <row r="13010" spans="1:9" x14ac:dyDescent="0.25">
      <c r="A13010" s="515">
        <v>51555</v>
      </c>
      <c r="B13010" s="515" t="s">
        <v>367</v>
      </c>
      <c r="C13010" s="52">
        <v>183108.07260424699</v>
      </c>
      <c r="D13010" s="56">
        <v>4.8264894200460789E-2</v>
      </c>
      <c r="E13010" s="224" t="s">
        <v>2</v>
      </c>
      <c r="F13010" s="515" t="s">
        <v>14197</v>
      </c>
      <c r="G13010" s="52">
        <v>123833.782733713</v>
      </c>
      <c r="H13010" s="56">
        <v>0</v>
      </c>
      <c r="I13010" s="224" t="s">
        <v>2</v>
      </c>
    </row>
    <row r="13011" spans="1:9" x14ac:dyDescent="0.25">
      <c r="A13011" s="515">
        <v>30564</v>
      </c>
      <c r="C13011" s="52">
        <v>318645.08410204801</v>
      </c>
      <c r="D13011" s="56">
        <v>6.672514323845434E-2</v>
      </c>
      <c r="E13011" s="224" t="s">
        <v>2</v>
      </c>
      <c r="F13011" s="515" t="s">
        <v>14198</v>
      </c>
      <c r="G13011" s="52">
        <v>187098.84876013</v>
      </c>
      <c r="H13011" s="56">
        <v>0.14785011323064673</v>
      </c>
      <c r="I13011" s="224" t="s">
        <v>2</v>
      </c>
    </row>
    <row r="13012" spans="1:9" x14ac:dyDescent="0.25">
      <c r="A13012" s="515">
        <v>41175</v>
      </c>
      <c r="B13012" s="515" t="s">
        <v>602</v>
      </c>
      <c r="C13012" s="52">
        <v>99445.128767777103</v>
      </c>
      <c r="D13012" s="56">
        <v>7.5435020605142081E-2</v>
      </c>
      <c r="E13012" s="224" t="s">
        <v>2</v>
      </c>
      <c r="F13012" s="515" t="s">
        <v>14199</v>
      </c>
      <c r="G13012" s="52">
        <v>107940.7446699</v>
      </c>
      <c r="H13012" s="56">
        <v>-3.8839841337973503E-2</v>
      </c>
      <c r="I13012" s="224" t="s">
        <v>2</v>
      </c>
    </row>
    <row r="13013" spans="1:9" x14ac:dyDescent="0.25">
      <c r="A13013" s="515">
        <v>37826</v>
      </c>
      <c r="B13013" s="515" t="s">
        <v>1135</v>
      </c>
      <c r="C13013" s="52">
        <v>219333.854577811</v>
      </c>
      <c r="D13013" s="56">
        <v>6.3357947609872192E-2</v>
      </c>
      <c r="E13013" s="224" t="s">
        <v>2</v>
      </c>
      <c r="F13013" s="515" t="s">
        <v>14200</v>
      </c>
      <c r="G13013" s="52">
        <v>166257.701087497</v>
      </c>
      <c r="H13013" s="56">
        <v>0.11696185827478699</v>
      </c>
      <c r="I13013" s="224" t="s">
        <v>2</v>
      </c>
    </row>
    <row r="13014" spans="1:9" x14ac:dyDescent="0.25">
      <c r="A13014" s="515">
        <v>74035</v>
      </c>
      <c r="B13014" s="515" t="s">
        <v>348</v>
      </c>
      <c r="C13014" s="52">
        <v>87564.262796240306</v>
      </c>
      <c r="D13014" s="56">
        <v>8.4474033581558125E-2</v>
      </c>
      <c r="E13014" s="224" t="s">
        <v>2</v>
      </c>
      <c r="F13014" s="515" t="s">
        <v>14201</v>
      </c>
      <c r="G13014" s="52">
        <v>284528.892581149</v>
      </c>
      <c r="H13014" s="56">
        <v>0.15260103253716695</v>
      </c>
      <c r="I13014" s="224" t="s">
        <v>2</v>
      </c>
    </row>
    <row r="13015" spans="1:9" x14ac:dyDescent="0.25">
      <c r="A13015" s="515">
        <v>19551</v>
      </c>
      <c r="B13015" s="515" t="s">
        <v>569</v>
      </c>
      <c r="C13015" s="52">
        <v>272077.38154850702</v>
      </c>
      <c r="D13015" s="56">
        <v>0.11167120341641998</v>
      </c>
      <c r="E13015" s="224" t="s">
        <v>2</v>
      </c>
      <c r="F13015" s="515" t="s">
        <v>14202</v>
      </c>
      <c r="G13015" s="52">
        <v>219434.03483680799</v>
      </c>
      <c r="H13015" s="56">
        <v>3.3442532228142668E-2</v>
      </c>
      <c r="I13015" s="224" t="s">
        <v>2</v>
      </c>
    </row>
    <row r="13016" spans="1:9" x14ac:dyDescent="0.25">
      <c r="A13016" s="515">
        <v>98576</v>
      </c>
      <c r="B13016" s="515" t="s">
        <v>527</v>
      </c>
      <c r="C13016" s="52">
        <v>457490.48360843002</v>
      </c>
      <c r="D13016" s="56">
        <v>2.6173228945653645E-2</v>
      </c>
      <c r="E13016" s="224" t="s">
        <v>2</v>
      </c>
      <c r="F13016" s="515" t="s">
        <v>14203</v>
      </c>
      <c r="G13016" s="52">
        <v>107887.37027248699</v>
      </c>
      <c r="H13016" s="56">
        <v>-4.310286880891484E-2</v>
      </c>
      <c r="I13016" s="224" t="s">
        <v>2</v>
      </c>
    </row>
    <row r="13017" spans="1:9" x14ac:dyDescent="0.25">
      <c r="A13017" s="515">
        <v>48892</v>
      </c>
      <c r="B13017" s="515" t="s">
        <v>528</v>
      </c>
      <c r="C13017" s="52">
        <v>231087.96336554</v>
      </c>
      <c r="D13017" s="56">
        <v>7.6215312825396536E-2</v>
      </c>
      <c r="E13017" s="224" t="s">
        <v>2</v>
      </c>
      <c r="F13017" s="515" t="s">
        <v>14204</v>
      </c>
      <c r="G13017" s="52">
        <v>87752.549623502404</v>
      </c>
      <c r="H13017" s="56">
        <v>7.6280813336538009E-2</v>
      </c>
      <c r="I13017" s="224" t="s">
        <v>2</v>
      </c>
    </row>
    <row r="13018" spans="1:9" x14ac:dyDescent="0.25">
      <c r="A13018" s="515">
        <v>47330</v>
      </c>
      <c r="B13018" s="515" t="s">
        <v>883</v>
      </c>
      <c r="C13018" s="52">
        <v>162776.89745802101</v>
      </c>
      <c r="D13018" s="56">
        <v>7.4871723411056454E-2</v>
      </c>
      <c r="E13018" s="224" t="s">
        <v>2</v>
      </c>
      <c r="F13018" s="515" t="s">
        <v>14205</v>
      </c>
      <c r="G13018" s="52">
        <v>148756.552783922</v>
      </c>
      <c r="H13018" s="56">
        <v>3.6251546868866835E-2</v>
      </c>
      <c r="I13018" s="224" t="s">
        <v>2</v>
      </c>
    </row>
    <row r="13019" spans="1:9" x14ac:dyDescent="0.25">
      <c r="A13019" s="515">
        <v>3036</v>
      </c>
      <c r="B13019" s="515" t="s">
        <v>534</v>
      </c>
      <c r="C13019" s="52">
        <v>555609.28746496001</v>
      </c>
      <c r="D13019" s="56">
        <v>0.13981434596114381</v>
      </c>
      <c r="E13019" s="224" t="s">
        <v>2</v>
      </c>
      <c r="F13019" s="515" t="s">
        <v>14206</v>
      </c>
      <c r="G13019" s="52">
        <v>269787.24217750097</v>
      </c>
      <c r="H13019" s="56">
        <v>0.11857761072251975</v>
      </c>
      <c r="I13019" s="224" t="s">
        <v>2</v>
      </c>
    </row>
    <row r="13020" spans="1:9" x14ac:dyDescent="0.25">
      <c r="A13020" s="515">
        <v>35747</v>
      </c>
      <c r="B13020" s="515" t="s">
        <v>1182</v>
      </c>
      <c r="C13020" s="52">
        <v>237996.07760128501</v>
      </c>
      <c r="D13020" s="56">
        <v>0.12215975053080637</v>
      </c>
      <c r="E13020" s="224" t="s">
        <v>2</v>
      </c>
      <c r="F13020" s="515" t="s">
        <v>14207</v>
      </c>
      <c r="G13020" s="52">
        <v>191584.006941823</v>
      </c>
      <c r="H13020" s="56">
        <v>0.11225140931179677</v>
      </c>
      <c r="I13020" s="224" t="s">
        <v>2</v>
      </c>
    </row>
    <row r="13021" spans="1:9" x14ac:dyDescent="0.25">
      <c r="A13021" s="515">
        <v>84036</v>
      </c>
      <c r="B13021" s="515" t="s">
        <v>502</v>
      </c>
      <c r="C13021" s="52">
        <v>771368.32459467906</v>
      </c>
      <c r="D13021" s="56">
        <v>5.8073446192852235E-2</v>
      </c>
      <c r="E13021" s="224" t="s">
        <v>2</v>
      </c>
      <c r="F13021" s="515" t="s">
        <v>14208</v>
      </c>
      <c r="G13021" s="52">
        <v>326360.65411779098</v>
      </c>
      <c r="H13021" s="56">
        <v>8.9645156274779189E-2</v>
      </c>
      <c r="I13021" s="224" t="s">
        <v>2</v>
      </c>
    </row>
    <row r="13022" spans="1:9" x14ac:dyDescent="0.25">
      <c r="A13022" s="515">
        <v>16316</v>
      </c>
      <c r="B13022" s="515" t="s">
        <v>1042</v>
      </c>
      <c r="C13022" s="52">
        <v>176058.107445901</v>
      </c>
      <c r="D13022" s="56">
        <v>7.7518049658400534E-2</v>
      </c>
      <c r="E13022" s="224" t="s">
        <v>2</v>
      </c>
      <c r="F13022" s="515" t="s">
        <v>14209</v>
      </c>
      <c r="G13022" s="52">
        <v>150407.577098348</v>
      </c>
      <c r="H13022" s="56">
        <v>8.8139325702319318E-2</v>
      </c>
      <c r="I13022" s="224" t="s">
        <v>2</v>
      </c>
    </row>
    <row r="13023" spans="1:9" x14ac:dyDescent="0.25">
      <c r="A13023" s="515">
        <v>29335</v>
      </c>
      <c r="B13023" s="515" t="s">
        <v>447</v>
      </c>
      <c r="C13023" s="52">
        <v>144333.67349480299</v>
      </c>
      <c r="D13023" s="56">
        <v>0.17578713875639601</v>
      </c>
      <c r="E13023" s="224" t="s">
        <v>2</v>
      </c>
      <c r="F13023" s="515" t="s">
        <v>14210</v>
      </c>
      <c r="G13023" s="52">
        <v>109156.77560704001</v>
      </c>
      <c r="H13023" s="56">
        <v>2.7871722253807317E-2</v>
      </c>
      <c r="I13023" s="224" t="s">
        <v>2</v>
      </c>
    </row>
    <row r="13024" spans="1:9" x14ac:dyDescent="0.25">
      <c r="A13024" s="515">
        <v>29058</v>
      </c>
      <c r="B13024" s="515" t="s">
        <v>360</v>
      </c>
      <c r="C13024" s="52">
        <v>171486.18316140899</v>
      </c>
      <c r="D13024" s="56">
        <v>4.2741794816170561E-2</v>
      </c>
      <c r="E13024" s="224" t="s">
        <v>2</v>
      </c>
      <c r="F13024" s="515" t="s">
        <v>14211</v>
      </c>
      <c r="G13024" s="52">
        <v>598192.33998565399</v>
      </c>
      <c r="H13024" s="56">
        <v>0.13103190548404386</v>
      </c>
      <c r="I13024" s="224" t="s">
        <v>2</v>
      </c>
    </row>
    <row r="13025" spans="1:9" x14ac:dyDescent="0.25">
      <c r="A13025" s="515">
        <v>1238</v>
      </c>
      <c r="B13025" s="515" t="s">
        <v>497</v>
      </c>
      <c r="C13025" s="52">
        <v>355215.29714533902</v>
      </c>
      <c r="D13025" s="56">
        <v>9.6536533243421568E-2</v>
      </c>
      <c r="E13025" s="224" t="s">
        <v>2</v>
      </c>
      <c r="F13025" s="515" t="s">
        <v>14212</v>
      </c>
      <c r="G13025" s="52">
        <v>800561.57307398703</v>
      </c>
      <c r="H13025" s="56">
        <v>3.3344159942010933E-2</v>
      </c>
      <c r="I13025" s="224" t="s">
        <v>2</v>
      </c>
    </row>
    <row r="13026" spans="1:9" x14ac:dyDescent="0.25">
      <c r="A13026" s="515">
        <v>49042</v>
      </c>
      <c r="B13026" s="515" t="s">
        <v>892</v>
      </c>
      <c r="C13026" s="52">
        <v>156545.70487744699</v>
      </c>
      <c r="D13026" s="56">
        <v>4.5587035376364576E-2</v>
      </c>
      <c r="E13026" s="224" t="s">
        <v>2</v>
      </c>
      <c r="F13026" s="515" t="s">
        <v>14213</v>
      </c>
      <c r="G13026" s="52">
        <v>146983.50655021399</v>
      </c>
      <c r="H13026" s="56">
        <v>8.4183378217777841E-2</v>
      </c>
      <c r="I13026" s="224" t="s">
        <v>2</v>
      </c>
    </row>
    <row r="13027" spans="1:9" x14ac:dyDescent="0.25">
      <c r="A13027" s="515">
        <v>17090</v>
      </c>
      <c r="B13027" s="515" t="s">
        <v>428</v>
      </c>
      <c r="C13027" s="52">
        <v>272793.56859620201</v>
      </c>
      <c r="D13027" s="56">
        <v>4.3753334294780198E-2</v>
      </c>
      <c r="E13027" s="224" t="s">
        <v>2</v>
      </c>
      <c r="F13027" s="515" t="s">
        <v>14214</v>
      </c>
      <c r="G13027" s="52">
        <v>190608.31256939299</v>
      </c>
      <c r="H13027" s="56">
        <v>0.12043564666931572</v>
      </c>
      <c r="I13027" s="224" t="s">
        <v>2</v>
      </c>
    </row>
    <row r="13028" spans="1:9" x14ac:dyDescent="0.25">
      <c r="A13028" s="515">
        <v>97004</v>
      </c>
      <c r="B13028" s="515" t="s">
        <v>659</v>
      </c>
      <c r="C13028" s="52">
        <v>705269.10293587996</v>
      </c>
      <c r="D13028" s="56">
        <v>4.6055657525716276E-2</v>
      </c>
      <c r="E13028" s="224" t="s">
        <v>2</v>
      </c>
      <c r="F13028" s="515" t="s">
        <v>14215</v>
      </c>
      <c r="G13028" s="52">
        <v>240305.035921131</v>
      </c>
      <c r="H13028" s="56">
        <v>6.9386589831082479E-2</v>
      </c>
      <c r="I13028" s="224" t="s">
        <v>2</v>
      </c>
    </row>
    <row r="13029" spans="1:9" x14ac:dyDescent="0.25">
      <c r="A13029" s="515">
        <v>60472</v>
      </c>
      <c r="B13029" s="515" t="s">
        <v>394</v>
      </c>
      <c r="C13029" s="52">
        <v>86729.094399697206</v>
      </c>
      <c r="D13029" s="56">
        <v>0.2636517512171751</v>
      </c>
      <c r="E13029" s="224" t="s">
        <v>2</v>
      </c>
      <c r="F13029" s="515" t="s">
        <v>14216</v>
      </c>
      <c r="G13029" s="52">
        <v>220763.768975502</v>
      </c>
      <c r="H13029" s="56">
        <v>0.19276231233823163</v>
      </c>
      <c r="I13029" s="224" t="s">
        <v>2</v>
      </c>
    </row>
    <row r="13030" spans="1:9" x14ac:dyDescent="0.25">
      <c r="A13030" s="515">
        <v>40312</v>
      </c>
      <c r="C13030" s="52">
        <v>105117.656433146</v>
      </c>
      <c r="D13030" s="56">
        <v>0.21305481443726559</v>
      </c>
      <c r="E13030" s="224" t="s">
        <v>2</v>
      </c>
      <c r="F13030" s="515" t="s">
        <v>14217</v>
      </c>
      <c r="G13030" s="52">
        <v>131488.036221143</v>
      </c>
      <c r="H13030" s="56">
        <v>6.8966553059179647E-2</v>
      </c>
      <c r="I13030" s="224" t="s">
        <v>2</v>
      </c>
    </row>
    <row r="13031" spans="1:9" x14ac:dyDescent="0.25">
      <c r="A13031" s="515">
        <v>46554</v>
      </c>
      <c r="B13031" s="515" t="s">
        <v>1002</v>
      </c>
      <c r="C13031" s="52">
        <v>211186.41005877301</v>
      </c>
      <c r="D13031" s="56">
        <v>8.051554631442745E-2</v>
      </c>
      <c r="E13031" s="224" t="s">
        <v>2</v>
      </c>
      <c r="F13031" s="515" t="s">
        <v>14218</v>
      </c>
      <c r="G13031" s="52">
        <v>90681.556681469796</v>
      </c>
      <c r="H13031" s="56">
        <v>2.9203262399104982E-2</v>
      </c>
      <c r="I13031" s="224" t="s">
        <v>2</v>
      </c>
    </row>
    <row r="13032" spans="1:9" x14ac:dyDescent="0.25">
      <c r="A13032" s="515">
        <v>85616</v>
      </c>
      <c r="B13032" s="515" t="s">
        <v>374</v>
      </c>
      <c r="C13032" s="52">
        <v>180497.13417356601</v>
      </c>
      <c r="D13032" s="56">
        <v>0.11019279465611458</v>
      </c>
      <c r="E13032" s="224" t="s">
        <v>2</v>
      </c>
      <c r="F13032" s="515" t="s">
        <v>14219</v>
      </c>
      <c r="G13032" s="52">
        <v>161192.59099970301</v>
      </c>
      <c r="H13032" s="56">
        <v>0</v>
      </c>
      <c r="I13032" s="224" t="s">
        <v>2</v>
      </c>
    </row>
    <row r="13033" spans="1:9" x14ac:dyDescent="0.25">
      <c r="A13033" s="515">
        <v>6248</v>
      </c>
      <c r="B13033" s="515" t="s">
        <v>894</v>
      </c>
      <c r="C13033" s="52">
        <v>367788.55920707399</v>
      </c>
      <c r="D13033" s="56">
        <v>7.4285944550444322E-2</v>
      </c>
      <c r="E13033" s="224" t="s">
        <v>2</v>
      </c>
      <c r="F13033" s="515" t="s">
        <v>14220</v>
      </c>
      <c r="G13033" s="52">
        <v>169546.54335001099</v>
      </c>
      <c r="H13033" s="56">
        <v>7.8681195952821373E-2</v>
      </c>
      <c r="I13033" s="224" t="s">
        <v>2</v>
      </c>
    </row>
    <row r="13034" spans="1:9" x14ac:dyDescent="0.25">
      <c r="A13034" s="515">
        <v>62466</v>
      </c>
      <c r="C13034" s="52">
        <v>64290.615233206001</v>
      </c>
      <c r="D13034" s="56">
        <v>4.1699026749103946E-2</v>
      </c>
      <c r="E13034" s="224" t="s">
        <v>2</v>
      </c>
      <c r="F13034" s="515" t="s">
        <v>14221</v>
      </c>
      <c r="G13034" s="52">
        <v>189510.96553460701</v>
      </c>
      <c r="H13034" s="56">
        <v>5.9867903756123803E-2</v>
      </c>
      <c r="I13034" s="224" t="s">
        <v>2</v>
      </c>
    </row>
    <row r="13035" spans="1:9" x14ac:dyDescent="0.25">
      <c r="A13035" s="515">
        <v>8514</v>
      </c>
      <c r="B13035" s="515" t="s">
        <v>324</v>
      </c>
      <c r="C13035" s="52">
        <v>559374.55442177097</v>
      </c>
      <c r="D13035" s="56">
        <v>6.7002641459371598E-2</v>
      </c>
      <c r="E13035" s="224" t="s">
        <v>2</v>
      </c>
      <c r="F13035" s="515" t="s">
        <v>14222</v>
      </c>
      <c r="G13035" s="52">
        <v>395540.37565171398</v>
      </c>
      <c r="H13035" s="56">
        <v>7.0596219029728527E-2</v>
      </c>
      <c r="I13035" s="224" t="s">
        <v>2</v>
      </c>
    </row>
    <row r="13036" spans="1:9" x14ac:dyDescent="0.25">
      <c r="A13036" s="515">
        <v>24066</v>
      </c>
      <c r="B13036" s="515" t="s">
        <v>861</v>
      </c>
      <c r="C13036" s="52">
        <v>184292.36267868799</v>
      </c>
      <c r="D13036" s="56">
        <v>1.4608938957448622E-2</v>
      </c>
      <c r="E13036" s="224" t="s">
        <v>2</v>
      </c>
      <c r="F13036" s="515" t="s">
        <v>14223</v>
      </c>
      <c r="G13036" s="52">
        <v>190063.63605689799</v>
      </c>
      <c r="H13036" s="56">
        <v>0.13989175114422514</v>
      </c>
      <c r="I13036" s="224" t="s">
        <v>2</v>
      </c>
    </row>
    <row r="13037" spans="1:9" x14ac:dyDescent="0.25">
      <c r="A13037" s="515">
        <v>37873</v>
      </c>
      <c r="B13037" s="515" t="s">
        <v>902</v>
      </c>
      <c r="C13037" s="52">
        <v>179329.37866465899</v>
      </c>
      <c r="D13037" s="56">
        <v>0.1180458984559301</v>
      </c>
      <c r="E13037" s="224" t="s">
        <v>2</v>
      </c>
      <c r="F13037" s="515" t="s">
        <v>14224</v>
      </c>
      <c r="G13037" s="52">
        <v>419177.49201421498</v>
      </c>
      <c r="H13037" s="56">
        <v>8.1088526699218302E-2</v>
      </c>
      <c r="I13037" s="224" t="s">
        <v>2</v>
      </c>
    </row>
    <row r="13038" spans="1:9" x14ac:dyDescent="0.25">
      <c r="A13038" s="515">
        <v>28901</v>
      </c>
      <c r="C13038" s="52">
        <v>213116.131059779</v>
      </c>
      <c r="D13038" s="56">
        <v>0.15058621808133069</v>
      </c>
      <c r="E13038" s="224" t="s">
        <v>2</v>
      </c>
      <c r="F13038" s="515" t="s">
        <v>14225</v>
      </c>
      <c r="G13038" s="52">
        <v>154012.59323122099</v>
      </c>
      <c r="H13038" s="56">
        <v>7.0234196446450778E-2</v>
      </c>
      <c r="I13038" s="224" t="s">
        <v>2</v>
      </c>
    </row>
    <row r="13039" spans="1:9" x14ac:dyDescent="0.25">
      <c r="A13039" s="515">
        <v>7014</v>
      </c>
      <c r="B13039" s="515" t="s">
        <v>324</v>
      </c>
      <c r="C13039" s="52">
        <v>457379.57626003597</v>
      </c>
      <c r="D13039" s="56">
        <v>6.2290541655329816E-2</v>
      </c>
      <c r="E13039" s="224" t="s">
        <v>2</v>
      </c>
      <c r="F13039" s="515" t="s">
        <v>14226</v>
      </c>
      <c r="G13039" s="52">
        <v>437518.78096659802</v>
      </c>
      <c r="H13039" s="56">
        <v>2.4910831963123707E-2</v>
      </c>
      <c r="I13039" s="224" t="s">
        <v>2</v>
      </c>
    </row>
    <row r="13040" spans="1:9" x14ac:dyDescent="0.25">
      <c r="A13040" s="515">
        <v>24563</v>
      </c>
      <c r="B13040" s="515" t="s">
        <v>901</v>
      </c>
      <c r="C13040" s="52">
        <v>143996.2333388</v>
      </c>
      <c r="D13040" s="56">
        <v>0.12299702085003901</v>
      </c>
      <c r="E13040" s="224" t="s">
        <v>2</v>
      </c>
      <c r="F13040" s="515" t="s">
        <v>14227</v>
      </c>
      <c r="G13040" s="52">
        <v>151096.585422576</v>
      </c>
      <c r="H13040" s="56">
        <v>4.7778209938455322E-2</v>
      </c>
      <c r="I13040" s="224" t="s">
        <v>2</v>
      </c>
    </row>
    <row r="13041" spans="1:9" x14ac:dyDescent="0.25">
      <c r="A13041" s="515">
        <v>36477</v>
      </c>
      <c r="B13041" s="515" t="s">
        <v>816</v>
      </c>
      <c r="C13041" s="52">
        <v>114791.431791743</v>
      </c>
      <c r="D13041" s="56">
        <v>7.3082707222746485E-2</v>
      </c>
      <c r="E13041" s="224" t="s">
        <v>2</v>
      </c>
      <c r="F13041" s="515" t="s">
        <v>14228</v>
      </c>
      <c r="G13041" s="52">
        <v>452410.74910287798</v>
      </c>
      <c r="H13041" s="56">
        <v>9.0443345752086231E-3</v>
      </c>
      <c r="I13041" s="224" t="s">
        <v>2</v>
      </c>
    </row>
    <row r="13042" spans="1:9" x14ac:dyDescent="0.25">
      <c r="A13042" s="515">
        <v>29918</v>
      </c>
      <c r="C13042" s="52">
        <v>80766.912593629997</v>
      </c>
      <c r="D13042" s="56">
        <v>6.166926644229468E-2</v>
      </c>
      <c r="E13042" s="224" t="s">
        <v>2</v>
      </c>
      <c r="F13042" s="515" t="s">
        <v>14229</v>
      </c>
      <c r="G13042" s="52">
        <v>190971.996271223</v>
      </c>
      <c r="H13042" s="56">
        <v>7.0322651438882E-2</v>
      </c>
      <c r="I13042" s="224" t="s">
        <v>2</v>
      </c>
    </row>
    <row r="13043" spans="1:9" x14ac:dyDescent="0.25">
      <c r="A13043" s="515">
        <v>38683</v>
      </c>
      <c r="B13043" s="515" t="s">
        <v>1123</v>
      </c>
      <c r="C13043" s="52">
        <v>99612.817995562102</v>
      </c>
      <c r="D13043" s="56">
        <v>2.5691867337569326E-3</v>
      </c>
      <c r="E13043" s="224" t="s">
        <v>2</v>
      </c>
      <c r="F13043" s="515" t="s">
        <v>14230</v>
      </c>
      <c r="G13043" s="52">
        <v>119111.625453983</v>
      </c>
      <c r="H13043" s="56">
        <v>4.8191999845312153E-2</v>
      </c>
      <c r="I13043" s="224" t="s">
        <v>2</v>
      </c>
    </row>
    <row r="13044" spans="1:9" x14ac:dyDescent="0.25">
      <c r="A13044" s="515">
        <v>32621</v>
      </c>
      <c r="B13044" s="515" t="s">
        <v>577</v>
      </c>
      <c r="C13044" s="52">
        <v>212116.86168960901</v>
      </c>
      <c r="D13044" s="56">
        <v>9.2985161158692722E-2</v>
      </c>
      <c r="E13044" s="224" t="s">
        <v>2</v>
      </c>
      <c r="F13044" s="515" t="s">
        <v>14231</v>
      </c>
      <c r="G13044" s="52">
        <v>152753.69451314799</v>
      </c>
      <c r="H13044" s="56">
        <v>8.4221327621295444E-2</v>
      </c>
      <c r="I13044" s="224" t="s">
        <v>2</v>
      </c>
    </row>
    <row r="13045" spans="1:9" x14ac:dyDescent="0.25">
      <c r="A13045" s="515">
        <v>95470</v>
      </c>
      <c r="B13045" s="515" t="s">
        <v>644</v>
      </c>
      <c r="C13045" s="52">
        <v>518552.06819561397</v>
      </c>
      <c r="D13045" s="56">
        <v>-9.9116321275721411E-2</v>
      </c>
      <c r="E13045" s="224" t="s">
        <v>2</v>
      </c>
      <c r="F13045" s="515" t="s">
        <v>14232</v>
      </c>
      <c r="G13045" s="52">
        <v>115577.271535326</v>
      </c>
      <c r="H13045" s="56">
        <v>1.8839679478558014E-2</v>
      </c>
      <c r="I13045" s="224" t="s">
        <v>2</v>
      </c>
    </row>
    <row r="13046" spans="1:9" x14ac:dyDescent="0.25">
      <c r="A13046" s="515">
        <v>74108</v>
      </c>
      <c r="B13046" s="515" t="s">
        <v>348</v>
      </c>
      <c r="C13046" s="52">
        <v>139338.80257130001</v>
      </c>
      <c r="D13046" s="56">
        <v>8.9901151029360568E-2</v>
      </c>
      <c r="E13046" s="224" t="s">
        <v>2</v>
      </c>
      <c r="F13046" s="515" t="s">
        <v>14233</v>
      </c>
      <c r="G13046" s="52">
        <v>195889.416303904</v>
      </c>
      <c r="H13046" s="56">
        <v>8.0873736635974025E-2</v>
      </c>
      <c r="I13046" s="224" t="s">
        <v>2</v>
      </c>
    </row>
    <row r="13047" spans="1:9" x14ac:dyDescent="0.25">
      <c r="A13047" s="515">
        <v>97444</v>
      </c>
      <c r="B13047" s="515" t="s">
        <v>614</v>
      </c>
      <c r="C13047" s="52">
        <v>438479.80529188103</v>
      </c>
      <c r="D13047" s="56">
        <v>6.9008698308320834E-2</v>
      </c>
      <c r="E13047" s="224" t="s">
        <v>2</v>
      </c>
      <c r="F13047" s="515" t="s">
        <v>14234</v>
      </c>
      <c r="G13047" s="52">
        <v>349129.98932137497</v>
      </c>
      <c r="H13047" s="56">
        <v>3.3596764000100636E-2</v>
      </c>
      <c r="I13047" s="224" t="s">
        <v>2</v>
      </c>
    </row>
    <row r="13048" spans="1:9" x14ac:dyDescent="0.25">
      <c r="A13048" s="515">
        <v>23030</v>
      </c>
      <c r="B13048" s="515" t="s">
        <v>667</v>
      </c>
      <c r="C13048" s="52">
        <v>233041.386926762</v>
      </c>
      <c r="D13048" s="56">
        <v>0.25414401884357429</v>
      </c>
      <c r="E13048" s="224" t="s">
        <v>2</v>
      </c>
      <c r="F13048" s="515" t="s">
        <v>14235</v>
      </c>
      <c r="G13048" s="52">
        <v>129145.985216977</v>
      </c>
      <c r="H13048" s="56">
        <v>7.7077347255762499E-2</v>
      </c>
      <c r="I13048" s="224" t="s">
        <v>2</v>
      </c>
    </row>
    <row r="13049" spans="1:9" x14ac:dyDescent="0.25">
      <c r="A13049" s="515">
        <v>70343</v>
      </c>
      <c r="B13049" s="515" t="s">
        <v>898</v>
      </c>
      <c r="C13049" s="52">
        <v>200598.25268002</v>
      </c>
      <c r="D13049" s="56">
        <v>-4.0511794309995741E-2</v>
      </c>
      <c r="E13049" s="224" t="s">
        <v>2</v>
      </c>
      <c r="F13049" s="515" t="s">
        <v>14236</v>
      </c>
      <c r="G13049" s="52">
        <v>133522.157490668</v>
      </c>
      <c r="H13049" s="56">
        <v>-5.0594669527478438E-2</v>
      </c>
      <c r="I13049" s="224" t="s">
        <v>2</v>
      </c>
    </row>
    <row r="13050" spans="1:9" x14ac:dyDescent="0.25">
      <c r="A13050" s="515">
        <v>44507</v>
      </c>
      <c r="B13050" s="515" t="s">
        <v>397</v>
      </c>
      <c r="C13050" s="52">
        <v>34202.196014472502</v>
      </c>
      <c r="D13050" s="56">
        <v>0.13387418523649389</v>
      </c>
      <c r="E13050" s="224" t="s">
        <v>2</v>
      </c>
      <c r="F13050" s="515" t="s">
        <v>14237</v>
      </c>
      <c r="G13050" s="52">
        <v>158000.36754444501</v>
      </c>
      <c r="H13050" s="56">
        <v>4.4816369090856789E-3</v>
      </c>
      <c r="I13050" s="224" t="s">
        <v>2</v>
      </c>
    </row>
    <row r="13051" spans="1:9" x14ac:dyDescent="0.25">
      <c r="A13051" s="515">
        <v>86325</v>
      </c>
      <c r="B13051" s="515" t="s">
        <v>332</v>
      </c>
      <c r="C13051" s="52">
        <v>476814.44391152699</v>
      </c>
      <c r="D13051" s="56">
        <v>4.475913352911895E-2</v>
      </c>
      <c r="E13051" s="224" t="s">
        <v>2</v>
      </c>
      <c r="F13051" s="515" t="s">
        <v>14238</v>
      </c>
      <c r="G13051" s="52">
        <v>156701.98738804099</v>
      </c>
      <c r="H13051" s="56">
        <v>9.3602187435549072E-2</v>
      </c>
      <c r="I13051" s="224" t="s">
        <v>2</v>
      </c>
    </row>
    <row r="13052" spans="1:9" x14ac:dyDescent="0.25">
      <c r="A13052" s="515">
        <v>80808</v>
      </c>
      <c r="B13052" s="515" t="s">
        <v>701</v>
      </c>
      <c r="C13052" s="52">
        <v>429599.48454309802</v>
      </c>
      <c r="D13052" s="56">
        <v>3.3016829643012689E-2</v>
      </c>
      <c r="E13052" s="224" t="s">
        <v>2</v>
      </c>
      <c r="F13052" s="515" t="s">
        <v>14239</v>
      </c>
      <c r="G13052" s="52">
        <v>79346.418818231294</v>
      </c>
      <c r="H13052" s="56">
        <v>-5.1616103531830673E-2</v>
      </c>
      <c r="I13052" s="224" t="s">
        <v>2</v>
      </c>
    </row>
    <row r="13053" spans="1:9" x14ac:dyDescent="0.25">
      <c r="A13053" s="515">
        <v>10913</v>
      </c>
      <c r="B13053" s="515" t="s">
        <v>324</v>
      </c>
      <c r="C13053" s="52">
        <v>640801.31348367</v>
      </c>
      <c r="D13053" s="56">
        <v>4.3102587035634674E-2</v>
      </c>
      <c r="E13053" s="224" t="s">
        <v>2</v>
      </c>
      <c r="F13053" s="515" t="s">
        <v>14240</v>
      </c>
      <c r="G13053" s="52">
        <v>141271.43781347101</v>
      </c>
      <c r="H13053" s="56">
        <v>6.4493401773528525E-2</v>
      </c>
      <c r="I13053" s="224" t="s">
        <v>2</v>
      </c>
    </row>
    <row r="13054" spans="1:9" x14ac:dyDescent="0.25">
      <c r="A13054" s="515">
        <v>48622</v>
      </c>
      <c r="C13054" s="52">
        <v>147759.65186929001</v>
      </c>
      <c r="D13054" s="56">
        <v>0.10499183524303153</v>
      </c>
      <c r="E13054" s="224" t="s">
        <v>2</v>
      </c>
      <c r="F13054" s="515" t="s">
        <v>14241</v>
      </c>
      <c r="G13054" s="52">
        <v>123962.17470387599</v>
      </c>
      <c r="H13054" s="56">
        <v>0.1324126022267372</v>
      </c>
      <c r="I13054" s="224" t="s">
        <v>2</v>
      </c>
    </row>
    <row r="13055" spans="1:9" x14ac:dyDescent="0.25">
      <c r="A13055" s="515">
        <v>14548</v>
      </c>
      <c r="B13055" s="515" t="s">
        <v>337</v>
      </c>
      <c r="C13055" s="52">
        <v>191628.32612148701</v>
      </c>
      <c r="D13055" s="56">
        <v>0.12001850709041803</v>
      </c>
      <c r="E13055" s="224" t="s">
        <v>2</v>
      </c>
      <c r="F13055" s="515" t="s">
        <v>14242</v>
      </c>
      <c r="G13055" s="52">
        <v>329872.49183278403</v>
      </c>
      <c r="H13055" s="56">
        <v>0.14623090817762649</v>
      </c>
      <c r="I13055" s="224" t="s">
        <v>2</v>
      </c>
    </row>
    <row r="13056" spans="1:9" x14ac:dyDescent="0.25">
      <c r="A13056" s="515">
        <v>8049</v>
      </c>
      <c r="B13056" s="515" t="s">
        <v>294</v>
      </c>
      <c r="C13056" s="52">
        <v>243806.47146200601</v>
      </c>
      <c r="D13056" s="56">
        <v>0.10494639429487754</v>
      </c>
      <c r="E13056" s="224" t="s">
        <v>2</v>
      </c>
      <c r="F13056" s="515" t="s">
        <v>14243</v>
      </c>
      <c r="G13056" s="52">
        <v>188451.07800519399</v>
      </c>
      <c r="H13056" s="56">
        <v>0.14823334533049354</v>
      </c>
      <c r="I13056" s="224" t="s">
        <v>2</v>
      </c>
    </row>
    <row r="13057" spans="1:9" x14ac:dyDescent="0.25">
      <c r="A13057" s="515">
        <v>14131</v>
      </c>
      <c r="B13057" s="515" t="s">
        <v>336</v>
      </c>
      <c r="C13057" s="52">
        <v>233698.56077922499</v>
      </c>
      <c r="D13057" s="56">
        <v>8.2921133331062089E-2</v>
      </c>
      <c r="E13057" s="224" t="s">
        <v>2</v>
      </c>
      <c r="F13057" s="515" t="s">
        <v>14244</v>
      </c>
      <c r="G13057" s="52">
        <v>192538.13975778499</v>
      </c>
      <c r="H13057" s="56">
        <v>4.7267709628482743E-2</v>
      </c>
      <c r="I13057" s="224" t="s">
        <v>2</v>
      </c>
    </row>
    <row r="13058" spans="1:9" x14ac:dyDescent="0.25">
      <c r="A13058" s="515">
        <v>65037</v>
      </c>
      <c r="C13058" s="52">
        <v>291510.57597285998</v>
      </c>
      <c r="D13058" s="56">
        <v>3.1984733273393108E-2</v>
      </c>
      <c r="E13058" s="224" t="s">
        <v>2</v>
      </c>
      <c r="F13058" s="515" t="s">
        <v>14245</v>
      </c>
      <c r="G13058" s="52">
        <v>578525.05440433905</v>
      </c>
      <c r="H13058" s="56">
        <v>9.4491404924428285E-2</v>
      </c>
      <c r="I13058" s="224" t="s">
        <v>2</v>
      </c>
    </row>
    <row r="13059" spans="1:9" x14ac:dyDescent="0.25">
      <c r="A13059" s="515">
        <v>62263</v>
      </c>
      <c r="C13059" s="52">
        <v>137887.128032348</v>
      </c>
      <c r="D13059" s="56">
        <v>6.8109020201485959E-2</v>
      </c>
      <c r="E13059" s="224" t="s">
        <v>2</v>
      </c>
      <c r="F13059" s="515" t="s">
        <v>14246</v>
      </c>
      <c r="G13059" s="52">
        <v>271810.91800409002</v>
      </c>
      <c r="H13059" s="56">
        <v>4.5818343353413296E-2</v>
      </c>
      <c r="I13059" s="224" t="s">
        <v>2</v>
      </c>
    </row>
    <row r="13060" spans="1:9" x14ac:dyDescent="0.25">
      <c r="A13060" s="515">
        <v>33070</v>
      </c>
      <c r="B13060" s="515" t="s">
        <v>572</v>
      </c>
      <c r="C13060" s="52">
        <v>855590.56277723506</v>
      </c>
      <c r="D13060" s="56">
        <v>0.13163595349552512</v>
      </c>
      <c r="E13060" s="224">
        <v>5000</v>
      </c>
      <c r="F13060" s="515" t="s">
        <v>14247</v>
      </c>
      <c r="G13060" s="52">
        <v>139062.90018226899</v>
      </c>
      <c r="H13060" s="56">
        <v>7.6600996880015787E-2</v>
      </c>
      <c r="I13060" s="224" t="s">
        <v>2</v>
      </c>
    </row>
    <row r="13061" spans="1:9" x14ac:dyDescent="0.25">
      <c r="A13061" s="515">
        <v>57747</v>
      </c>
      <c r="C13061" s="52">
        <v>260143.170091498</v>
      </c>
      <c r="D13061" s="56">
        <v>8.1948959588032819E-2</v>
      </c>
      <c r="E13061" s="224" t="s">
        <v>2</v>
      </c>
      <c r="F13061" s="515" t="s">
        <v>14248</v>
      </c>
      <c r="G13061" s="52">
        <v>218629.14773954899</v>
      </c>
      <c r="H13061" s="56">
        <v>5.4317803813998908E-2</v>
      </c>
      <c r="I13061" s="224" t="s">
        <v>2</v>
      </c>
    </row>
    <row r="13062" spans="1:9" x14ac:dyDescent="0.25">
      <c r="A13062" s="515">
        <v>14530</v>
      </c>
      <c r="C13062" s="52">
        <v>133193.27718656199</v>
      </c>
      <c r="D13062" s="56">
        <v>5.9075844091389565E-2</v>
      </c>
      <c r="E13062" s="224" t="s">
        <v>2</v>
      </c>
      <c r="F13062" s="515" t="s">
        <v>14249</v>
      </c>
      <c r="G13062" s="52">
        <v>322474.12659066799</v>
      </c>
      <c r="H13062" s="56">
        <v>9.9118239241217251E-2</v>
      </c>
      <c r="I13062" s="224" t="s">
        <v>2</v>
      </c>
    </row>
    <row r="13063" spans="1:9" x14ac:dyDescent="0.25">
      <c r="A13063" s="515">
        <v>10576</v>
      </c>
      <c r="B13063" s="515" t="s">
        <v>324</v>
      </c>
      <c r="C13063" s="52">
        <v>1066229.30840061</v>
      </c>
      <c r="D13063" s="56">
        <v>0.10726710685720904</v>
      </c>
      <c r="E13063" s="224" t="s">
        <v>2</v>
      </c>
      <c r="F13063" s="515" t="s">
        <v>14250</v>
      </c>
      <c r="G13063" s="52">
        <v>118198.852509877</v>
      </c>
      <c r="H13063" s="56">
        <v>2.7620288154536914E-2</v>
      </c>
      <c r="I13063" s="224" t="s">
        <v>2</v>
      </c>
    </row>
    <row r="13064" spans="1:9" x14ac:dyDescent="0.25">
      <c r="A13064" s="515">
        <v>95709</v>
      </c>
      <c r="B13064" s="515" t="s">
        <v>355</v>
      </c>
      <c r="C13064" s="52">
        <v>493377.96286394697</v>
      </c>
      <c r="D13064" s="56">
        <v>-2.8717737401644107E-2</v>
      </c>
      <c r="E13064" s="224" t="s">
        <v>2</v>
      </c>
      <c r="F13064" s="515" t="s">
        <v>14251</v>
      </c>
      <c r="G13064" s="52">
        <v>172116.71881234599</v>
      </c>
      <c r="H13064" s="56">
        <v>0.11864195380359484</v>
      </c>
      <c r="I13064" s="224" t="s">
        <v>2</v>
      </c>
    </row>
    <row r="13065" spans="1:9" x14ac:dyDescent="0.25">
      <c r="A13065" s="515">
        <v>30558</v>
      </c>
      <c r="C13065" s="52">
        <v>278024.965323949</v>
      </c>
      <c r="D13065" s="56">
        <v>8.1434145496151661E-2</v>
      </c>
      <c r="E13065" s="224" t="s">
        <v>2</v>
      </c>
      <c r="F13065" s="515" t="s">
        <v>14252</v>
      </c>
      <c r="G13065" s="52">
        <v>289514.60618959001</v>
      </c>
      <c r="H13065" s="56">
        <v>5.7834325831052455E-2</v>
      </c>
      <c r="I13065" s="224" t="s">
        <v>2</v>
      </c>
    </row>
    <row r="13066" spans="1:9" x14ac:dyDescent="0.25">
      <c r="A13066" s="515">
        <v>32460</v>
      </c>
      <c r="C13066" s="52">
        <v>152511.402463732</v>
      </c>
      <c r="D13066" s="56">
        <v>0.17925435643980064</v>
      </c>
      <c r="E13066" s="224" t="s">
        <v>2</v>
      </c>
      <c r="F13066" s="515" t="s">
        <v>14253</v>
      </c>
      <c r="G13066" s="52">
        <v>456521.22124858201</v>
      </c>
      <c r="H13066" s="56">
        <v>0.16512658950090153</v>
      </c>
      <c r="I13066" s="224" t="s">
        <v>2</v>
      </c>
    </row>
    <row r="13067" spans="1:9" x14ac:dyDescent="0.25">
      <c r="A13067" s="515">
        <v>7732</v>
      </c>
      <c r="B13067" s="515" t="s">
        <v>324</v>
      </c>
      <c r="C13067" s="52">
        <v>445376.92782151198</v>
      </c>
      <c r="D13067" s="56">
        <v>0.11144259906939388</v>
      </c>
      <c r="E13067" s="224" t="s">
        <v>2</v>
      </c>
      <c r="F13067" s="515" t="s">
        <v>14254</v>
      </c>
      <c r="G13067" s="52">
        <v>320165.57031630498</v>
      </c>
      <c r="H13067" s="56">
        <v>4.246725685976787E-2</v>
      </c>
      <c r="I13067" s="224" t="s">
        <v>2</v>
      </c>
    </row>
    <row r="13068" spans="1:9" x14ac:dyDescent="0.25">
      <c r="A13068" s="515">
        <v>70778</v>
      </c>
      <c r="B13068" s="515" t="s">
        <v>610</v>
      </c>
      <c r="C13068" s="52">
        <v>227697.957543039</v>
      </c>
      <c r="D13068" s="56">
        <v>4.1451439876802131E-2</v>
      </c>
      <c r="E13068" s="224" t="s">
        <v>2</v>
      </c>
      <c r="F13068" s="515" t="s">
        <v>14255</v>
      </c>
      <c r="G13068" s="52">
        <v>236819.990636531</v>
      </c>
      <c r="H13068" s="56">
        <v>0.10143343562501146</v>
      </c>
      <c r="I13068" s="224" t="s">
        <v>2</v>
      </c>
    </row>
    <row r="13069" spans="1:9" x14ac:dyDescent="0.25">
      <c r="A13069" s="515">
        <v>10993</v>
      </c>
      <c r="B13069" s="515" t="s">
        <v>324</v>
      </c>
      <c r="C13069" s="52">
        <v>352024.503380662</v>
      </c>
      <c r="D13069" s="56">
        <v>7.089542574123267E-2</v>
      </c>
      <c r="E13069" s="224" t="s">
        <v>2</v>
      </c>
      <c r="F13069" s="515" t="s">
        <v>14256</v>
      </c>
      <c r="G13069" s="52">
        <v>276594.271634745</v>
      </c>
      <c r="H13069" s="56">
        <v>9.3244092653316707E-2</v>
      </c>
      <c r="I13069" s="224" t="s">
        <v>2</v>
      </c>
    </row>
    <row r="13070" spans="1:9" x14ac:dyDescent="0.25">
      <c r="A13070" s="515">
        <v>35978</v>
      </c>
      <c r="B13070" s="515" t="s">
        <v>979</v>
      </c>
      <c r="C13070" s="52">
        <v>172911.02025193701</v>
      </c>
      <c r="D13070" s="56">
        <v>0.12983492299018826</v>
      </c>
      <c r="E13070" s="224" t="s">
        <v>2</v>
      </c>
      <c r="F13070" s="515" t="s">
        <v>14257</v>
      </c>
      <c r="G13070" s="52">
        <v>131475.80249613299</v>
      </c>
      <c r="H13070" s="56">
        <v>0.10756198333293802</v>
      </c>
      <c r="I13070" s="224" t="s">
        <v>2</v>
      </c>
    </row>
    <row r="13071" spans="1:9" x14ac:dyDescent="0.25">
      <c r="A13071" s="515">
        <v>65039</v>
      </c>
      <c r="B13071" s="515" t="s">
        <v>785</v>
      </c>
      <c r="C13071" s="52">
        <v>331480.32826349302</v>
      </c>
      <c r="D13071" s="56">
        <v>7.3179632178315426E-2</v>
      </c>
      <c r="E13071" s="224" t="s">
        <v>2</v>
      </c>
      <c r="F13071" s="515" t="s">
        <v>14258</v>
      </c>
      <c r="G13071" s="52">
        <v>215100.01126956299</v>
      </c>
      <c r="H13071" s="56">
        <v>7.650028430420891E-2</v>
      </c>
      <c r="I13071" s="224" t="s">
        <v>2</v>
      </c>
    </row>
    <row r="13072" spans="1:9" x14ac:dyDescent="0.25">
      <c r="A13072" s="515">
        <v>43783</v>
      </c>
      <c r="B13072" s="515" t="s">
        <v>345</v>
      </c>
      <c r="C13072" s="52">
        <v>238342.511248308</v>
      </c>
      <c r="D13072" s="56">
        <v>0.13007310312279577</v>
      </c>
      <c r="E13072" s="224" t="s">
        <v>2</v>
      </c>
      <c r="F13072" s="515" t="s">
        <v>14259</v>
      </c>
      <c r="G13072" s="52">
        <v>1088489.2146993</v>
      </c>
      <c r="H13072" s="56">
        <v>8.3062007186376852E-2</v>
      </c>
      <c r="I13072" s="224" t="s">
        <v>2</v>
      </c>
    </row>
    <row r="13073" spans="1:9" x14ac:dyDescent="0.25">
      <c r="A13073" s="515">
        <v>47932</v>
      </c>
      <c r="C13073" s="52">
        <v>185126.91012745001</v>
      </c>
      <c r="D13073" s="56">
        <v>4.3125904144315913E-2</v>
      </c>
      <c r="E13073" s="224" t="s">
        <v>2</v>
      </c>
      <c r="F13073" s="515" t="s">
        <v>14260</v>
      </c>
      <c r="G13073" s="52">
        <v>416002.19569704001</v>
      </c>
      <c r="H13073" s="56">
        <v>0.12983598741879737</v>
      </c>
      <c r="I13073" s="224" t="s">
        <v>2</v>
      </c>
    </row>
    <row r="13074" spans="1:9" x14ac:dyDescent="0.25">
      <c r="A13074" s="515">
        <v>80759</v>
      </c>
      <c r="C13074" s="52">
        <v>223320.599791385</v>
      </c>
      <c r="D13074" s="56">
        <v>5.4099406000494156E-2</v>
      </c>
      <c r="E13074" s="224" t="s">
        <v>2</v>
      </c>
      <c r="F13074" s="515" t="s">
        <v>14261</v>
      </c>
      <c r="G13074" s="52">
        <v>155134.45772804299</v>
      </c>
      <c r="H13074" s="56">
        <v>0.15082328627105079</v>
      </c>
      <c r="I13074" s="224" t="s">
        <v>2</v>
      </c>
    </row>
    <row r="13075" spans="1:9" x14ac:dyDescent="0.25">
      <c r="A13075" s="515">
        <v>22939</v>
      </c>
      <c r="B13075" s="515" t="s">
        <v>728</v>
      </c>
      <c r="C13075" s="52">
        <v>343372.93573708698</v>
      </c>
      <c r="D13075" s="56">
        <v>5.0951389699517E-2</v>
      </c>
      <c r="E13075" s="224" t="s">
        <v>2</v>
      </c>
      <c r="F13075" s="515" t="s">
        <v>14262</v>
      </c>
      <c r="G13075" s="52">
        <v>136058.62632636301</v>
      </c>
      <c r="H13075" s="56">
        <v>5.482221227081456E-2</v>
      </c>
      <c r="I13075" s="224" t="s">
        <v>2</v>
      </c>
    </row>
    <row r="13076" spans="1:9" x14ac:dyDescent="0.25">
      <c r="A13076" s="515">
        <v>43447</v>
      </c>
      <c r="B13076" s="515" t="s">
        <v>300</v>
      </c>
      <c r="C13076" s="52">
        <v>186034.674270997</v>
      </c>
      <c r="D13076" s="56">
        <v>5.7139386039093805E-2</v>
      </c>
      <c r="E13076" s="224" t="s">
        <v>2</v>
      </c>
      <c r="F13076" s="515" t="s">
        <v>14263</v>
      </c>
      <c r="G13076" s="52">
        <v>170165.96847587</v>
      </c>
      <c r="H13076" s="56">
        <v>0.1371424904123206</v>
      </c>
      <c r="I13076" s="224" t="s">
        <v>2</v>
      </c>
    </row>
    <row r="13077" spans="1:9" x14ac:dyDescent="0.25">
      <c r="A13077" s="515">
        <v>24517</v>
      </c>
      <c r="B13077" s="515" t="s">
        <v>705</v>
      </c>
      <c r="C13077" s="52">
        <v>174169.31017921201</v>
      </c>
      <c r="D13077" s="56">
        <v>0.14561682159400127</v>
      </c>
      <c r="E13077" s="224" t="s">
        <v>2</v>
      </c>
      <c r="F13077" s="515" t="s">
        <v>14264</v>
      </c>
      <c r="G13077" s="52">
        <v>542634.08475986996</v>
      </c>
      <c r="H13077" s="56">
        <v>0.19243147089259927</v>
      </c>
      <c r="I13077" s="224" t="s">
        <v>2</v>
      </c>
    </row>
    <row r="13078" spans="1:9" x14ac:dyDescent="0.25">
      <c r="A13078" s="515">
        <v>46181</v>
      </c>
      <c r="B13078" s="515" t="s">
        <v>403</v>
      </c>
      <c r="C13078" s="52">
        <v>318998.96932753897</v>
      </c>
      <c r="D13078" s="56">
        <v>6.8350165484294206E-2</v>
      </c>
      <c r="E13078" s="224" t="s">
        <v>2</v>
      </c>
      <c r="F13078" s="515" t="s">
        <v>14265</v>
      </c>
      <c r="G13078" s="52">
        <v>189706.15784267601</v>
      </c>
      <c r="H13078" s="56">
        <v>4.6592658509742327E-2</v>
      </c>
      <c r="I13078" s="224" t="s">
        <v>2</v>
      </c>
    </row>
    <row r="13079" spans="1:9" x14ac:dyDescent="0.25">
      <c r="A13079" s="515">
        <v>72933</v>
      </c>
      <c r="B13079" s="515" t="s">
        <v>326</v>
      </c>
      <c r="C13079" s="52">
        <v>147873.76477354401</v>
      </c>
      <c r="D13079" s="56">
        <v>2.7003730734702903E-2</v>
      </c>
      <c r="E13079" s="224" t="s">
        <v>2</v>
      </c>
      <c r="F13079" s="515" t="s">
        <v>14266</v>
      </c>
      <c r="G13079" s="52">
        <v>84995.984207169007</v>
      </c>
      <c r="H13079" s="56">
        <v>6.5033367689389235E-2</v>
      </c>
      <c r="I13079" s="224" t="s">
        <v>2</v>
      </c>
    </row>
    <row r="13080" spans="1:9" x14ac:dyDescent="0.25">
      <c r="A13080" s="515">
        <v>4429</v>
      </c>
      <c r="B13080" s="515" t="s">
        <v>792</v>
      </c>
      <c r="C13080" s="52">
        <v>312245.070687801</v>
      </c>
      <c r="D13080" s="56">
        <v>4.9615684958971291E-2</v>
      </c>
      <c r="E13080" s="224" t="s">
        <v>2</v>
      </c>
      <c r="F13080" s="515" t="s">
        <v>14267</v>
      </c>
      <c r="G13080" s="52">
        <v>313784.16327113</v>
      </c>
      <c r="H13080" s="56">
        <v>9.2612797919385065E-2</v>
      </c>
      <c r="I13080" s="224" t="s">
        <v>2</v>
      </c>
    </row>
    <row r="13081" spans="1:9" x14ac:dyDescent="0.25">
      <c r="A13081" s="515">
        <v>71465</v>
      </c>
      <c r="C13081" s="52">
        <v>105663.991425284</v>
      </c>
      <c r="D13081" s="56">
        <v>0</v>
      </c>
      <c r="E13081" s="224" t="s">
        <v>2</v>
      </c>
      <c r="F13081" s="515" t="s">
        <v>14268</v>
      </c>
      <c r="G13081" s="52">
        <v>81645.539375072898</v>
      </c>
      <c r="H13081" s="56">
        <v>0</v>
      </c>
      <c r="I13081" s="224" t="s">
        <v>2</v>
      </c>
    </row>
    <row r="13082" spans="1:9" x14ac:dyDescent="0.25">
      <c r="A13082" s="515">
        <v>76448</v>
      </c>
      <c r="C13082" s="52">
        <v>148596.64332319601</v>
      </c>
      <c r="D13082" s="56">
        <v>7.3804814047198075E-2</v>
      </c>
      <c r="E13082" s="224" t="s">
        <v>2</v>
      </c>
      <c r="F13082" s="515" t="s">
        <v>14269</v>
      </c>
      <c r="G13082" s="52">
        <v>472089.50496161898</v>
      </c>
      <c r="H13082" s="56">
        <v>5.1670261168504733E-2</v>
      </c>
      <c r="I13082" s="224" t="s">
        <v>2</v>
      </c>
    </row>
    <row r="13083" spans="1:9" x14ac:dyDescent="0.25">
      <c r="A13083" s="515">
        <v>92003</v>
      </c>
      <c r="B13083" s="515" t="s">
        <v>396</v>
      </c>
      <c r="C13083" s="52">
        <v>913639.73976092995</v>
      </c>
      <c r="D13083" s="56">
        <v>1.9977840247350994E-2</v>
      </c>
      <c r="E13083" s="224">
        <v>2525</v>
      </c>
      <c r="F13083" s="515" t="s">
        <v>14270</v>
      </c>
      <c r="G13083" s="52">
        <v>107519.22545628301</v>
      </c>
      <c r="H13083" s="56">
        <v>0</v>
      </c>
      <c r="I13083" s="224" t="s">
        <v>2</v>
      </c>
    </row>
    <row r="13084" spans="1:9" x14ac:dyDescent="0.25">
      <c r="A13084" s="515">
        <v>27050</v>
      </c>
      <c r="B13084" s="515" t="s">
        <v>735</v>
      </c>
      <c r="C13084" s="52">
        <v>223155.58304884101</v>
      </c>
      <c r="D13084" s="56">
        <v>0.12668278149270662</v>
      </c>
      <c r="E13084" s="224" t="s">
        <v>2</v>
      </c>
      <c r="F13084" s="515" t="s">
        <v>14271</v>
      </c>
      <c r="G13084" s="52">
        <v>342394.61719270301</v>
      </c>
      <c r="H13084" s="56">
        <v>5.954594754625106E-2</v>
      </c>
      <c r="I13084" s="224" t="s">
        <v>2</v>
      </c>
    </row>
    <row r="13085" spans="1:9" x14ac:dyDescent="0.25">
      <c r="A13085" s="515">
        <v>35772</v>
      </c>
      <c r="B13085" s="515" t="s">
        <v>748</v>
      </c>
      <c r="C13085" s="52">
        <v>149392.89217396601</v>
      </c>
      <c r="D13085" s="56">
        <v>0.12573152907279103</v>
      </c>
      <c r="E13085" s="224" t="s">
        <v>2</v>
      </c>
      <c r="F13085" s="515" t="s">
        <v>14272</v>
      </c>
      <c r="G13085" s="52">
        <v>140993.24084893701</v>
      </c>
      <c r="H13085" s="56">
        <v>0.12737850333170694</v>
      </c>
      <c r="I13085" s="224" t="s">
        <v>2</v>
      </c>
    </row>
    <row r="13086" spans="1:9" x14ac:dyDescent="0.25">
      <c r="A13086" s="515">
        <v>78026</v>
      </c>
      <c r="B13086" s="515" t="s">
        <v>717</v>
      </c>
      <c r="C13086" s="52">
        <v>232198.79406843099</v>
      </c>
      <c r="D13086" s="56">
        <v>8.1292028159275949E-3</v>
      </c>
      <c r="E13086" s="224" t="s">
        <v>2</v>
      </c>
      <c r="F13086" s="515" t="s">
        <v>14273</v>
      </c>
      <c r="G13086" s="52">
        <v>79110.911354204101</v>
      </c>
      <c r="H13086" s="56">
        <v>1.0213032292638214E-2</v>
      </c>
      <c r="I13086" s="224" t="s">
        <v>2</v>
      </c>
    </row>
    <row r="13087" spans="1:9" x14ac:dyDescent="0.25">
      <c r="A13087" s="515">
        <v>37738</v>
      </c>
      <c r="B13087" s="515" t="s">
        <v>1183</v>
      </c>
      <c r="C13087" s="52">
        <v>510804.841165055</v>
      </c>
      <c r="D13087" s="56">
        <v>8.2126432542450611E-2</v>
      </c>
      <c r="E13087" s="224" t="s">
        <v>2</v>
      </c>
      <c r="F13087" s="515" t="s">
        <v>14274</v>
      </c>
      <c r="G13087" s="52">
        <v>334531.89667764597</v>
      </c>
      <c r="H13087" s="56">
        <v>0.10464419843933741</v>
      </c>
      <c r="I13087" s="224" t="s">
        <v>2</v>
      </c>
    </row>
    <row r="13088" spans="1:9" x14ac:dyDescent="0.25">
      <c r="A13088" s="515">
        <v>98932</v>
      </c>
      <c r="B13088" s="515" t="s">
        <v>948</v>
      </c>
      <c r="C13088" s="52">
        <v>265525.15093541698</v>
      </c>
      <c r="D13088" s="56">
        <v>6.2319701973486345E-2</v>
      </c>
      <c r="E13088" s="224" t="s">
        <v>2</v>
      </c>
      <c r="F13088" s="515" t="s">
        <v>14275</v>
      </c>
      <c r="G13088" s="52">
        <v>203153.53487012201</v>
      </c>
      <c r="H13088" s="56">
        <v>0.11621583477829468</v>
      </c>
      <c r="I13088" s="224" t="s">
        <v>2</v>
      </c>
    </row>
    <row r="13089" spans="1:9" x14ac:dyDescent="0.25">
      <c r="A13089" s="515">
        <v>95672</v>
      </c>
      <c r="B13089" s="515" t="s">
        <v>355</v>
      </c>
      <c r="C13089" s="52">
        <v>713165.377625603</v>
      </c>
      <c r="D13089" s="56">
        <v>-3.8597228677202201E-2</v>
      </c>
      <c r="E13089" s="224" t="s">
        <v>2</v>
      </c>
      <c r="F13089" s="515" t="s">
        <v>14276</v>
      </c>
      <c r="G13089" s="52">
        <v>224050.36042822199</v>
      </c>
      <c r="H13089" s="56">
        <v>4.2573664512611555E-2</v>
      </c>
      <c r="I13089" s="224" t="s">
        <v>2</v>
      </c>
    </row>
    <row r="13090" spans="1:9" x14ac:dyDescent="0.25">
      <c r="A13090" s="515">
        <v>40337</v>
      </c>
      <c r="B13090" s="515" t="s">
        <v>900</v>
      </c>
      <c r="C13090" s="52">
        <v>168786.208494333</v>
      </c>
      <c r="D13090" s="56">
        <v>8.6836917149123172E-2</v>
      </c>
      <c r="E13090" s="224" t="s">
        <v>2</v>
      </c>
      <c r="F13090" s="515" t="s">
        <v>14277</v>
      </c>
      <c r="G13090" s="52">
        <v>199530.98079330899</v>
      </c>
      <c r="H13090" s="56">
        <v>0.11936275450144505</v>
      </c>
      <c r="I13090" s="224" t="s">
        <v>2</v>
      </c>
    </row>
    <row r="13091" spans="1:9" x14ac:dyDescent="0.25">
      <c r="A13091" s="515">
        <v>37387</v>
      </c>
      <c r="C13091" s="52">
        <v>134200.933901524</v>
      </c>
      <c r="D13091" s="56">
        <v>3.9585173374636733E-2</v>
      </c>
      <c r="E13091" s="224" t="s">
        <v>2</v>
      </c>
      <c r="F13091" s="515" t="s">
        <v>14278</v>
      </c>
      <c r="G13091" s="52">
        <v>110062.355844283</v>
      </c>
      <c r="H13091" s="56">
        <v>1.8435970112077468E-2</v>
      </c>
      <c r="I13091" s="224" t="s">
        <v>2</v>
      </c>
    </row>
    <row r="13092" spans="1:9" x14ac:dyDescent="0.25">
      <c r="A13092" s="515">
        <v>78962</v>
      </c>
      <c r="C13092" s="52">
        <v>264838.336868054</v>
      </c>
      <c r="D13092" s="56">
        <v>-5.3730205236133935E-2</v>
      </c>
      <c r="E13092" s="224" t="s">
        <v>2</v>
      </c>
      <c r="F13092" s="515" t="s">
        <v>14279</v>
      </c>
      <c r="G13092" s="52">
        <v>408887.02218411799</v>
      </c>
      <c r="H13092" s="56">
        <v>-2.7985900472207052E-2</v>
      </c>
      <c r="I13092" s="224" t="s">
        <v>2</v>
      </c>
    </row>
    <row r="13093" spans="1:9" x14ac:dyDescent="0.25">
      <c r="A13093" s="515">
        <v>97630</v>
      </c>
      <c r="C13093" s="52">
        <v>172437.00848299501</v>
      </c>
      <c r="D13093" s="56">
        <v>-4.9122013049744014E-2</v>
      </c>
      <c r="E13093" s="224" t="s">
        <v>2</v>
      </c>
      <c r="F13093" s="515" t="s">
        <v>14280</v>
      </c>
      <c r="G13093" s="52">
        <v>187427.27272727201</v>
      </c>
      <c r="H13093" s="56">
        <v>0</v>
      </c>
      <c r="I13093" s="224" t="s">
        <v>2</v>
      </c>
    </row>
    <row r="13094" spans="1:9" x14ac:dyDescent="0.25">
      <c r="A13094" s="515">
        <v>75440</v>
      </c>
      <c r="C13094" s="52">
        <v>278886.54655089398</v>
      </c>
      <c r="D13094" s="56">
        <v>2.1459782305456303E-2</v>
      </c>
      <c r="E13094" s="224" t="s">
        <v>2</v>
      </c>
      <c r="F13094" s="515" t="s">
        <v>14281</v>
      </c>
      <c r="G13094" s="52">
        <v>159567.03827394999</v>
      </c>
      <c r="H13094" s="56">
        <v>0.10069523294163416</v>
      </c>
      <c r="I13094" s="224" t="s">
        <v>2</v>
      </c>
    </row>
    <row r="13095" spans="1:9" x14ac:dyDescent="0.25">
      <c r="A13095" s="515">
        <v>42629</v>
      </c>
      <c r="C13095" s="52">
        <v>127921.979947699</v>
      </c>
      <c r="D13095" s="56">
        <v>0.23774615960016687</v>
      </c>
      <c r="E13095" s="224" t="s">
        <v>2</v>
      </c>
      <c r="F13095" s="515" t="s">
        <v>14282</v>
      </c>
      <c r="G13095" s="52">
        <v>577954.32459476602</v>
      </c>
      <c r="H13095" s="56">
        <v>0.14008545392492405</v>
      </c>
      <c r="I13095" s="224" t="s">
        <v>2</v>
      </c>
    </row>
    <row r="13096" spans="1:9" x14ac:dyDescent="0.25">
      <c r="A13096" s="515">
        <v>66032</v>
      </c>
      <c r="C13096" s="52">
        <v>148063.832094796</v>
      </c>
      <c r="D13096" s="56">
        <v>0.11634267268324401</v>
      </c>
      <c r="E13096" s="224" t="s">
        <v>2</v>
      </c>
      <c r="F13096" s="515" t="s">
        <v>14283</v>
      </c>
      <c r="G13096" s="52">
        <v>95547.8720240455</v>
      </c>
      <c r="H13096" s="56">
        <v>0.18748531912509925</v>
      </c>
      <c r="I13096" s="224" t="s">
        <v>2</v>
      </c>
    </row>
    <row r="13097" spans="1:9" x14ac:dyDescent="0.25">
      <c r="A13097" s="515">
        <v>4609</v>
      </c>
      <c r="C13097" s="52">
        <v>583916.98915546702</v>
      </c>
      <c r="D13097" s="56">
        <v>0.12647896928045871</v>
      </c>
      <c r="E13097" s="224" t="s">
        <v>2</v>
      </c>
      <c r="F13097" s="515" t="s">
        <v>14284</v>
      </c>
      <c r="G13097" s="52">
        <v>346044.97868329799</v>
      </c>
      <c r="H13097" s="56">
        <v>5.9174317008195412E-3</v>
      </c>
      <c r="I13097" s="224" t="s">
        <v>2</v>
      </c>
    </row>
    <row r="13098" spans="1:9" x14ac:dyDescent="0.25">
      <c r="A13098" s="515">
        <v>6331</v>
      </c>
      <c r="B13098" s="515" t="s">
        <v>751</v>
      </c>
      <c r="C13098" s="52">
        <v>320216.63471068599</v>
      </c>
      <c r="D13098" s="56">
        <v>8.2021970819988368E-2</v>
      </c>
      <c r="E13098" s="224" t="s">
        <v>2</v>
      </c>
      <c r="F13098" s="515" t="s">
        <v>14285</v>
      </c>
      <c r="G13098" s="52">
        <v>355585.58194027498</v>
      </c>
      <c r="H13098" s="56">
        <v>0.14797697876547009</v>
      </c>
      <c r="I13098" s="224" t="s">
        <v>2</v>
      </c>
    </row>
    <row r="13099" spans="1:9" x14ac:dyDescent="0.25">
      <c r="A13099" s="515">
        <v>54484</v>
      </c>
      <c r="B13099" s="515" t="s">
        <v>940</v>
      </c>
      <c r="C13099" s="52">
        <v>198782.15296397399</v>
      </c>
      <c r="D13099" s="56">
        <v>2.9815638206464674E-2</v>
      </c>
      <c r="E13099" s="224" t="s">
        <v>2</v>
      </c>
      <c r="F13099" s="515" t="s">
        <v>14286</v>
      </c>
      <c r="G13099" s="52">
        <v>325694.71209622698</v>
      </c>
      <c r="H13099" s="56">
        <v>0.12819537616815824</v>
      </c>
      <c r="I13099" s="224" t="s">
        <v>2</v>
      </c>
    </row>
    <row r="13100" spans="1:9" x14ac:dyDescent="0.25">
      <c r="A13100" s="515">
        <v>1612</v>
      </c>
      <c r="B13100" s="515" t="s">
        <v>751</v>
      </c>
      <c r="C13100" s="52">
        <v>448291.938211728</v>
      </c>
      <c r="D13100" s="56">
        <v>5.9189931839712717E-2</v>
      </c>
      <c r="E13100" s="224" t="s">
        <v>2</v>
      </c>
      <c r="F13100" s="515" t="s">
        <v>14287</v>
      </c>
      <c r="G13100" s="52">
        <v>140470.00228417901</v>
      </c>
      <c r="H13100" s="56">
        <v>0.12905620967738285</v>
      </c>
      <c r="I13100" s="224" t="s">
        <v>2</v>
      </c>
    </row>
    <row r="13101" spans="1:9" x14ac:dyDescent="0.25">
      <c r="A13101" s="515">
        <v>30411</v>
      </c>
      <c r="C13101" s="52">
        <v>101517.003701305</v>
      </c>
      <c r="D13101" s="56">
        <v>1.0541603037695501E-2</v>
      </c>
      <c r="E13101" s="224" t="s">
        <v>2</v>
      </c>
      <c r="F13101" s="515" t="s">
        <v>14288</v>
      </c>
      <c r="G13101" s="52">
        <v>151566.512446687</v>
      </c>
      <c r="H13101" s="56">
        <v>0</v>
      </c>
      <c r="I13101" s="224" t="s">
        <v>2</v>
      </c>
    </row>
    <row r="13102" spans="1:9" x14ac:dyDescent="0.25">
      <c r="A13102" s="515">
        <v>92342</v>
      </c>
      <c r="B13102" s="515" t="s">
        <v>599</v>
      </c>
      <c r="C13102" s="52">
        <v>356499.79131532501</v>
      </c>
      <c r="D13102" s="56">
        <v>4.7271594192022363E-2</v>
      </c>
      <c r="E13102" s="224" t="s">
        <v>2</v>
      </c>
      <c r="F13102" s="515" t="s">
        <v>14289</v>
      </c>
      <c r="G13102" s="52">
        <v>172972.09080075001</v>
      </c>
      <c r="H13102" s="56">
        <v>0.1310522460435187</v>
      </c>
      <c r="I13102" s="224" t="s">
        <v>2</v>
      </c>
    </row>
    <row r="13103" spans="1:9" x14ac:dyDescent="0.25">
      <c r="A13103" s="515">
        <v>79121</v>
      </c>
      <c r="B13103" s="515" t="s">
        <v>869</v>
      </c>
      <c r="C13103" s="52">
        <v>270204.91224552703</v>
      </c>
      <c r="D13103" s="56">
        <v>5.6775387232161495E-2</v>
      </c>
      <c r="E13103" s="224" t="s">
        <v>2</v>
      </c>
      <c r="F13103" s="515" t="s">
        <v>14290</v>
      </c>
      <c r="G13103" s="52">
        <v>226748.59492973299</v>
      </c>
      <c r="H13103" s="56">
        <v>0.12425456300050661</v>
      </c>
      <c r="I13103" s="224" t="s">
        <v>2</v>
      </c>
    </row>
    <row r="13104" spans="1:9" x14ac:dyDescent="0.25">
      <c r="A13104" s="515">
        <v>3290</v>
      </c>
      <c r="B13104" s="515" t="s">
        <v>534</v>
      </c>
      <c r="C13104" s="52">
        <v>500700.015246825</v>
      </c>
      <c r="D13104" s="56">
        <v>9.9199922000077767E-2</v>
      </c>
      <c r="E13104" s="224" t="s">
        <v>2</v>
      </c>
      <c r="F13104" s="515" t="s">
        <v>14291</v>
      </c>
      <c r="G13104" s="52">
        <v>158190.03482320401</v>
      </c>
      <c r="H13104" s="56">
        <v>4.1542903967751281E-2</v>
      </c>
      <c r="I13104" s="224" t="s">
        <v>2</v>
      </c>
    </row>
    <row r="13105" spans="1:9" x14ac:dyDescent="0.25">
      <c r="A13105" s="515">
        <v>45697</v>
      </c>
      <c r="C13105" s="52">
        <v>189401.00517715799</v>
      </c>
      <c r="D13105" s="56">
        <v>7.1570912800481182E-2</v>
      </c>
      <c r="E13105" s="224" t="s">
        <v>2</v>
      </c>
      <c r="F13105" s="515" t="s">
        <v>14292</v>
      </c>
      <c r="G13105" s="52">
        <v>144755.469882882</v>
      </c>
      <c r="H13105" s="56">
        <v>5.6788908449085275E-2</v>
      </c>
      <c r="I13105" s="224" t="s">
        <v>2</v>
      </c>
    </row>
    <row r="13106" spans="1:9" x14ac:dyDescent="0.25">
      <c r="A13106" s="515">
        <v>46721</v>
      </c>
      <c r="B13106" s="515" t="s">
        <v>1008</v>
      </c>
      <c r="C13106" s="52">
        <v>161026.55712363799</v>
      </c>
      <c r="D13106" s="56">
        <v>7.6959347027148628E-2</v>
      </c>
      <c r="E13106" s="224" t="s">
        <v>2</v>
      </c>
      <c r="F13106" s="515" t="s">
        <v>14293</v>
      </c>
      <c r="G13106" s="52">
        <v>111436.068488978</v>
      </c>
      <c r="H13106" s="56">
        <v>1.6966379207410398E-2</v>
      </c>
      <c r="I13106" s="224" t="s">
        <v>2</v>
      </c>
    </row>
    <row r="13107" spans="1:9" x14ac:dyDescent="0.25">
      <c r="A13107" s="515">
        <v>21863</v>
      </c>
      <c r="B13107" s="515" t="s">
        <v>552</v>
      </c>
      <c r="C13107" s="52">
        <v>230522.499423564</v>
      </c>
      <c r="D13107" s="56">
        <v>5.6643769314219723E-2</v>
      </c>
      <c r="E13107" s="224" t="s">
        <v>2</v>
      </c>
      <c r="F13107" s="515" t="s">
        <v>14294</v>
      </c>
      <c r="G13107" s="52">
        <v>237947.21121537601</v>
      </c>
      <c r="H13107" s="56">
        <v>3.9128540054517401E-2</v>
      </c>
      <c r="I13107" s="224" t="s">
        <v>2</v>
      </c>
    </row>
    <row r="13108" spans="1:9" x14ac:dyDescent="0.25">
      <c r="A13108" s="515">
        <v>84526</v>
      </c>
      <c r="B13108" s="515" t="s">
        <v>1202</v>
      </c>
      <c r="C13108" s="52">
        <v>233341.94787189201</v>
      </c>
      <c r="D13108" s="56">
        <v>0.10385787000984061</v>
      </c>
      <c r="E13108" s="224" t="s">
        <v>2</v>
      </c>
      <c r="F13108" s="515" t="s">
        <v>14295</v>
      </c>
      <c r="G13108" s="52">
        <v>208763.54275123199</v>
      </c>
      <c r="H13108" s="56">
        <v>0.10017319664460213</v>
      </c>
      <c r="I13108" s="224" t="s">
        <v>2</v>
      </c>
    </row>
    <row r="13109" spans="1:9" x14ac:dyDescent="0.25">
      <c r="A13109" s="515">
        <v>35034</v>
      </c>
      <c r="B13109" s="515" t="s">
        <v>640</v>
      </c>
      <c r="C13109" s="52">
        <v>157856.95130518699</v>
      </c>
      <c r="D13109" s="56">
        <v>8.6791933663030008E-2</v>
      </c>
      <c r="E13109" s="224" t="s">
        <v>2</v>
      </c>
      <c r="F13109" s="515" t="s">
        <v>14296</v>
      </c>
      <c r="G13109" s="52">
        <v>185897.97427251001</v>
      </c>
      <c r="H13109" s="56">
        <v>0</v>
      </c>
      <c r="I13109" s="224" t="s">
        <v>2</v>
      </c>
    </row>
    <row r="13110" spans="1:9" x14ac:dyDescent="0.25">
      <c r="A13110" s="515">
        <v>83676</v>
      </c>
      <c r="B13110" s="515" t="s">
        <v>500</v>
      </c>
      <c r="C13110" s="52">
        <v>425671.619562293</v>
      </c>
      <c r="D13110" s="56">
        <v>-2.1109106077254703E-3</v>
      </c>
      <c r="E13110" s="224" t="s">
        <v>2</v>
      </c>
      <c r="F13110" s="515" t="s">
        <v>14297</v>
      </c>
      <c r="G13110" s="52">
        <v>192490.17204248099</v>
      </c>
      <c r="H13110" s="56">
        <v>9.237789195101781E-2</v>
      </c>
      <c r="I13110" s="224" t="s">
        <v>2</v>
      </c>
    </row>
    <row r="13111" spans="1:9" x14ac:dyDescent="0.25">
      <c r="A13111" s="515">
        <v>59634</v>
      </c>
      <c r="B13111" s="515" t="s">
        <v>750</v>
      </c>
      <c r="C13111" s="52">
        <v>579638.80791566498</v>
      </c>
      <c r="D13111" s="56">
        <v>7.8257978288086422E-2</v>
      </c>
      <c r="E13111" s="224" t="s">
        <v>2</v>
      </c>
      <c r="F13111" s="515" t="s">
        <v>14298</v>
      </c>
      <c r="G13111" s="52">
        <v>206361.174554286</v>
      </c>
      <c r="H13111" s="56">
        <v>6.8595786872240438E-2</v>
      </c>
      <c r="I13111" s="224" t="s">
        <v>2</v>
      </c>
    </row>
    <row r="13112" spans="1:9" x14ac:dyDescent="0.25">
      <c r="A13112" s="515">
        <v>41169</v>
      </c>
      <c r="B13112" s="515" t="s">
        <v>602</v>
      </c>
      <c r="C13112" s="52">
        <v>142119.09633696501</v>
      </c>
      <c r="D13112" s="56">
        <v>7.280361088396009E-2</v>
      </c>
      <c r="E13112" s="224" t="s">
        <v>2</v>
      </c>
      <c r="F13112" s="515" t="s">
        <v>14299</v>
      </c>
      <c r="G13112" s="52">
        <v>410516.676619921</v>
      </c>
      <c r="H13112" s="56">
        <v>6.7753277998927247E-2</v>
      </c>
      <c r="I13112" s="224" t="s">
        <v>2</v>
      </c>
    </row>
    <row r="13113" spans="1:9" x14ac:dyDescent="0.25">
      <c r="A13113" s="515">
        <v>24801</v>
      </c>
      <c r="C13113" s="52">
        <v>32077.6034085758</v>
      </c>
      <c r="D13113" s="56">
        <v>-2.1602070488757643E-2</v>
      </c>
      <c r="E13113" s="224" t="s">
        <v>2</v>
      </c>
      <c r="F13113" s="515" t="s">
        <v>14300</v>
      </c>
      <c r="G13113" s="52">
        <v>297242.51953172398</v>
      </c>
      <c r="H13113" s="56">
        <v>0.20128210383280623</v>
      </c>
      <c r="I13113" s="224" t="s">
        <v>2</v>
      </c>
    </row>
    <row r="13114" spans="1:9" x14ac:dyDescent="0.25">
      <c r="A13114" s="515">
        <v>54568</v>
      </c>
      <c r="C13114" s="52">
        <v>255483.874766575</v>
      </c>
      <c r="D13114" s="56">
        <v>8.457018965888026E-2</v>
      </c>
      <c r="E13114" s="224" t="s">
        <v>2</v>
      </c>
      <c r="F13114" s="515" t="s">
        <v>14301</v>
      </c>
      <c r="G13114" s="52">
        <v>135570.10697694801</v>
      </c>
      <c r="H13114" s="56">
        <v>8.2133766943614905E-2</v>
      </c>
      <c r="I13114" s="224" t="s">
        <v>2</v>
      </c>
    </row>
    <row r="13115" spans="1:9" x14ac:dyDescent="0.25">
      <c r="A13115" s="515">
        <v>14590</v>
      </c>
      <c r="B13115" s="515" t="s">
        <v>337</v>
      </c>
      <c r="C13115" s="52">
        <v>151935.472266722</v>
      </c>
      <c r="D13115" s="56">
        <v>0.12151772275468438</v>
      </c>
      <c r="E13115" s="224" t="s">
        <v>2</v>
      </c>
      <c r="F13115" s="515" t="s">
        <v>14302</v>
      </c>
      <c r="G13115" s="52">
        <v>154001.323863636</v>
      </c>
      <c r="H13115" s="56">
        <v>0</v>
      </c>
      <c r="I13115" s="224" t="s">
        <v>2</v>
      </c>
    </row>
    <row r="13116" spans="1:9" x14ac:dyDescent="0.25">
      <c r="A13116" s="515">
        <v>84318</v>
      </c>
      <c r="B13116" s="515" t="s">
        <v>632</v>
      </c>
      <c r="C13116" s="52">
        <v>524284.046446828</v>
      </c>
      <c r="D13116" s="56">
        <v>1.930709374066205E-2</v>
      </c>
      <c r="E13116" s="224" t="s">
        <v>2</v>
      </c>
      <c r="F13116" s="515" t="s">
        <v>14303</v>
      </c>
      <c r="G13116" s="52">
        <v>143067.55184414299</v>
      </c>
      <c r="H13116" s="56">
        <v>5.8881387629734945E-2</v>
      </c>
      <c r="I13116" s="224" t="s">
        <v>2</v>
      </c>
    </row>
    <row r="13117" spans="1:9" x14ac:dyDescent="0.25">
      <c r="A13117" s="515">
        <v>79036</v>
      </c>
      <c r="B13117" s="515" t="s">
        <v>425</v>
      </c>
      <c r="C13117" s="52">
        <v>113379.528572585</v>
      </c>
      <c r="D13117" s="56">
        <v>3.2101234635692401E-2</v>
      </c>
      <c r="E13117" s="224" t="s">
        <v>2</v>
      </c>
      <c r="F13117" s="515" t="s">
        <v>14304</v>
      </c>
      <c r="G13117" s="52">
        <v>259527.70971392901</v>
      </c>
      <c r="H13117" s="56">
        <v>8.9400532927609661E-2</v>
      </c>
      <c r="I13117" s="224" t="s">
        <v>2</v>
      </c>
    </row>
    <row r="13118" spans="1:9" x14ac:dyDescent="0.25">
      <c r="A13118" s="515">
        <v>43357</v>
      </c>
      <c r="B13118" s="515" t="s">
        <v>973</v>
      </c>
      <c r="C13118" s="52">
        <v>238966.53294449</v>
      </c>
      <c r="D13118" s="56">
        <v>8.4703944641777607E-2</v>
      </c>
      <c r="E13118" s="224" t="s">
        <v>2</v>
      </c>
      <c r="F13118" s="515" t="s">
        <v>14305</v>
      </c>
      <c r="G13118" s="52">
        <v>309230.54247862002</v>
      </c>
      <c r="H13118" s="56">
        <v>0.13139307471106079</v>
      </c>
      <c r="I13118" s="224" t="s">
        <v>2</v>
      </c>
    </row>
    <row r="13119" spans="1:9" x14ac:dyDescent="0.25">
      <c r="A13119" s="515">
        <v>50324</v>
      </c>
      <c r="B13119" s="515" t="s">
        <v>295</v>
      </c>
      <c r="C13119" s="52">
        <v>251152.484313389</v>
      </c>
      <c r="D13119" s="56">
        <v>7.1533905518106539E-2</v>
      </c>
      <c r="E13119" s="224">
        <v>1215</v>
      </c>
      <c r="F13119" s="515" t="s">
        <v>14306</v>
      </c>
      <c r="G13119" s="52">
        <v>410865.466294126</v>
      </c>
      <c r="H13119" s="56">
        <v>6.522596508537909E-2</v>
      </c>
      <c r="I13119" s="224" t="s">
        <v>2</v>
      </c>
    </row>
    <row r="13120" spans="1:9" x14ac:dyDescent="0.25">
      <c r="A13120" s="515">
        <v>74864</v>
      </c>
      <c r="B13120" s="515" t="s">
        <v>385</v>
      </c>
      <c r="C13120" s="52">
        <v>144988.71804611199</v>
      </c>
      <c r="D13120" s="56">
        <v>0.1045263131431102</v>
      </c>
      <c r="E13120" s="224" t="s">
        <v>2</v>
      </c>
      <c r="F13120" s="515" t="s">
        <v>14307</v>
      </c>
      <c r="G13120" s="52">
        <v>306823.05839342403</v>
      </c>
      <c r="H13120" s="56">
        <v>3.934025814925305E-2</v>
      </c>
      <c r="I13120" s="224" t="s">
        <v>2</v>
      </c>
    </row>
    <row r="13121" spans="1:9" x14ac:dyDescent="0.25">
      <c r="A13121" s="515">
        <v>25506</v>
      </c>
      <c r="B13121" s="515" t="s">
        <v>322</v>
      </c>
      <c r="C13121" s="52">
        <v>92582.116909368793</v>
      </c>
      <c r="D13121" s="56">
        <v>0.1276944043609422</v>
      </c>
      <c r="E13121" s="224" t="s">
        <v>2</v>
      </c>
      <c r="F13121" s="515" t="s">
        <v>14308</v>
      </c>
      <c r="G13121" s="52">
        <v>112044.04544694501</v>
      </c>
      <c r="H13121" s="56">
        <v>8.684196051741383E-2</v>
      </c>
      <c r="I13121" s="224" t="s">
        <v>2</v>
      </c>
    </row>
    <row r="13122" spans="1:9" x14ac:dyDescent="0.25">
      <c r="A13122" s="515">
        <v>46748</v>
      </c>
      <c r="B13122" s="515" t="s">
        <v>1031</v>
      </c>
      <c r="C13122" s="52">
        <v>278168.90307162201</v>
      </c>
      <c r="D13122" s="56">
        <v>6.48895822135966E-2</v>
      </c>
      <c r="E13122" s="224" t="s">
        <v>2</v>
      </c>
      <c r="F13122" s="515" t="s">
        <v>14309</v>
      </c>
      <c r="G13122" s="52">
        <v>230836.95554719301</v>
      </c>
      <c r="H13122" s="56">
        <v>0.12928629277874298</v>
      </c>
      <c r="I13122" s="224" t="s">
        <v>2</v>
      </c>
    </row>
    <row r="13123" spans="1:9" x14ac:dyDescent="0.25">
      <c r="A13123" s="515">
        <v>22844</v>
      </c>
      <c r="C13123" s="52">
        <v>274300.631498612</v>
      </c>
      <c r="D13123" s="56">
        <v>0.11807083437573986</v>
      </c>
      <c r="E13123" s="224" t="s">
        <v>2</v>
      </c>
      <c r="F13123" s="515" t="s">
        <v>14310</v>
      </c>
      <c r="G13123" s="52">
        <v>545121.30542869202</v>
      </c>
      <c r="H13123" s="56">
        <v>2.1466972794259645E-2</v>
      </c>
      <c r="I13123" s="224" t="s">
        <v>2</v>
      </c>
    </row>
    <row r="13124" spans="1:9" x14ac:dyDescent="0.25">
      <c r="A13124" s="515">
        <v>5454</v>
      </c>
      <c r="B13124" s="515" t="s">
        <v>441</v>
      </c>
      <c r="C13124" s="52">
        <v>372748.04268038902</v>
      </c>
      <c r="D13124" s="56">
        <v>9.5009113284942173E-2</v>
      </c>
      <c r="E13124" s="224" t="s">
        <v>2</v>
      </c>
      <c r="F13124" s="515" t="s">
        <v>14311</v>
      </c>
      <c r="G13124" s="52">
        <v>184370.82790621501</v>
      </c>
      <c r="H13124" s="56">
        <v>0.1408886728431</v>
      </c>
      <c r="I13124" s="224" t="s">
        <v>2</v>
      </c>
    </row>
    <row r="13125" spans="1:9" x14ac:dyDescent="0.25">
      <c r="A13125" s="515">
        <v>33042</v>
      </c>
      <c r="B13125" s="515" t="s">
        <v>572</v>
      </c>
      <c r="C13125" s="52">
        <v>996251.79529406002</v>
      </c>
      <c r="D13125" s="56">
        <v>0.16015136770977031</v>
      </c>
      <c r="E13125" s="224" t="s">
        <v>2</v>
      </c>
      <c r="F13125" s="515" t="s">
        <v>14312</v>
      </c>
      <c r="G13125" s="52">
        <v>192639.27196737099</v>
      </c>
      <c r="H13125" s="56">
        <v>9.1656450994114388E-2</v>
      </c>
      <c r="I13125" s="224" t="s">
        <v>2</v>
      </c>
    </row>
    <row r="13126" spans="1:9" x14ac:dyDescent="0.25">
      <c r="A13126" s="515">
        <v>31063</v>
      </c>
      <c r="C13126" s="52">
        <v>64208.862797415699</v>
      </c>
      <c r="D13126" s="56">
        <v>6.8156299121572964E-2</v>
      </c>
      <c r="E13126" s="224" t="s">
        <v>2</v>
      </c>
      <c r="F13126" s="515" t="s">
        <v>14313</v>
      </c>
      <c r="G13126" s="52">
        <v>341341.49570167501</v>
      </c>
      <c r="H13126" s="56">
        <v>4.5844263837622669E-2</v>
      </c>
      <c r="I13126" s="224" t="s">
        <v>2</v>
      </c>
    </row>
    <row r="13127" spans="1:9" x14ac:dyDescent="0.25">
      <c r="A13127" s="515">
        <v>75426</v>
      </c>
      <c r="C13127" s="52">
        <v>89036.888104638099</v>
      </c>
      <c r="D13127" s="56">
        <v>1.1375168656503157E-2</v>
      </c>
      <c r="E13127" s="224" t="s">
        <v>2</v>
      </c>
      <c r="F13127" s="515" t="s">
        <v>14314</v>
      </c>
      <c r="G13127" s="52">
        <v>316843.35787755501</v>
      </c>
      <c r="H13127" s="56">
        <v>4.1485529430257816E-2</v>
      </c>
      <c r="I13127" s="224" t="s">
        <v>2</v>
      </c>
    </row>
    <row r="13128" spans="1:9" x14ac:dyDescent="0.25">
      <c r="A13128" s="515">
        <v>65631</v>
      </c>
      <c r="B13128" s="515" t="s">
        <v>603</v>
      </c>
      <c r="C13128" s="52">
        <v>236125.94948051401</v>
      </c>
      <c r="D13128" s="56">
        <v>0.12680132307504383</v>
      </c>
      <c r="E13128" s="224" t="s">
        <v>2</v>
      </c>
      <c r="F13128" s="515" t="s">
        <v>14315</v>
      </c>
      <c r="G13128" s="52">
        <v>138917.56932772201</v>
      </c>
      <c r="H13128" s="56">
        <v>7.3006630956327506E-2</v>
      </c>
      <c r="I13128" s="224" t="s">
        <v>2</v>
      </c>
    </row>
    <row r="13129" spans="1:9" x14ac:dyDescent="0.25">
      <c r="A13129" s="515">
        <v>85935</v>
      </c>
      <c r="B13129" s="515" t="s">
        <v>533</v>
      </c>
      <c r="C13129" s="52">
        <v>486644.10808366002</v>
      </c>
      <c r="D13129" s="56">
        <v>6.6871667960104325E-2</v>
      </c>
      <c r="E13129" s="224" t="s">
        <v>2</v>
      </c>
      <c r="F13129" s="515" t="s">
        <v>14316</v>
      </c>
      <c r="G13129" s="52">
        <v>258895.84085354899</v>
      </c>
      <c r="H13129" s="56">
        <v>7.1028582328599099E-2</v>
      </c>
      <c r="I13129" s="224" t="s">
        <v>2</v>
      </c>
    </row>
    <row r="13130" spans="1:9" x14ac:dyDescent="0.25">
      <c r="A13130" s="515">
        <v>62951</v>
      </c>
      <c r="B13130" s="515" t="s">
        <v>471</v>
      </c>
      <c r="C13130" s="52">
        <v>78011.877628708098</v>
      </c>
      <c r="D13130" s="56">
        <v>4.470547649421848E-2</v>
      </c>
      <c r="E13130" s="224" t="s">
        <v>2</v>
      </c>
      <c r="F13130" s="515" t="s">
        <v>14317</v>
      </c>
      <c r="G13130" s="52">
        <v>161200.6311149</v>
      </c>
      <c r="H13130" s="56">
        <v>6.8458341718211857E-2</v>
      </c>
      <c r="I13130" s="224" t="s">
        <v>2</v>
      </c>
    </row>
    <row r="13131" spans="1:9" x14ac:dyDescent="0.25">
      <c r="A13131" s="515">
        <v>28097</v>
      </c>
      <c r="B13131" s="515" t="s">
        <v>1168</v>
      </c>
      <c r="C13131" s="52">
        <v>348374.99041808199</v>
      </c>
      <c r="D13131" s="56">
        <v>0.11168520789807958</v>
      </c>
      <c r="E13131" s="224" t="s">
        <v>2</v>
      </c>
      <c r="F13131" s="515" t="s">
        <v>14318</v>
      </c>
      <c r="G13131" s="52">
        <v>186743.29607859001</v>
      </c>
      <c r="H13131" s="56">
        <v>3.715657569477631E-2</v>
      </c>
      <c r="I13131" s="224" t="s">
        <v>2</v>
      </c>
    </row>
    <row r="13132" spans="1:9" x14ac:dyDescent="0.25">
      <c r="A13132" s="515">
        <v>41007</v>
      </c>
      <c r="B13132" s="515" t="s">
        <v>344</v>
      </c>
      <c r="C13132" s="52">
        <v>240321.96859304101</v>
      </c>
      <c r="D13132" s="56">
        <v>0.12022951946151117</v>
      </c>
      <c r="E13132" s="224" t="s">
        <v>2</v>
      </c>
      <c r="F13132" s="515" t="s">
        <v>14319</v>
      </c>
      <c r="G13132" s="52">
        <v>199051.87098218501</v>
      </c>
      <c r="H13132" s="56">
        <v>0.12741227293846549</v>
      </c>
      <c r="I13132" s="224" t="s">
        <v>2</v>
      </c>
    </row>
    <row r="13133" spans="1:9" x14ac:dyDescent="0.25">
      <c r="A13133" s="515">
        <v>56547</v>
      </c>
      <c r="B13133" s="515" t="s">
        <v>928</v>
      </c>
      <c r="C13133" s="52">
        <v>298631.32707936701</v>
      </c>
      <c r="D13133" s="56">
        <v>5.1485810865790342E-2</v>
      </c>
      <c r="E13133" s="224" t="s">
        <v>2</v>
      </c>
      <c r="F13133" s="515" t="s">
        <v>14320</v>
      </c>
      <c r="G13133" s="52">
        <v>126857.436742518</v>
      </c>
      <c r="H13133" s="56">
        <v>1.3305357022107833E-2</v>
      </c>
      <c r="I13133" s="224" t="s">
        <v>2</v>
      </c>
    </row>
    <row r="13134" spans="1:9" x14ac:dyDescent="0.25">
      <c r="A13134" s="515">
        <v>50648</v>
      </c>
      <c r="B13134" s="515" t="s">
        <v>315</v>
      </c>
      <c r="C13134" s="52">
        <v>219253.190293402</v>
      </c>
      <c r="D13134" s="56">
        <v>0.10292854212230822</v>
      </c>
      <c r="E13134" s="224" t="s">
        <v>2</v>
      </c>
      <c r="F13134" s="515" t="s">
        <v>14321</v>
      </c>
      <c r="G13134" s="52">
        <v>244351.72419799899</v>
      </c>
      <c r="H13134" s="56">
        <v>6.4605783679145865E-2</v>
      </c>
      <c r="I13134" s="224" t="s">
        <v>2</v>
      </c>
    </row>
    <row r="13135" spans="1:9" x14ac:dyDescent="0.25">
      <c r="A13135" s="515">
        <v>73529</v>
      </c>
      <c r="B13135" s="515" t="s">
        <v>474</v>
      </c>
      <c r="C13135" s="52">
        <v>106079.33406855501</v>
      </c>
      <c r="D13135" s="56">
        <v>0.1188046631336631</v>
      </c>
      <c r="E13135" s="224" t="s">
        <v>2</v>
      </c>
      <c r="F13135" s="515" t="s">
        <v>14322</v>
      </c>
      <c r="G13135" s="52">
        <v>286729.986979804</v>
      </c>
      <c r="H13135" s="56">
        <v>9.7854080464602256E-2</v>
      </c>
      <c r="I13135" s="224" t="s">
        <v>2</v>
      </c>
    </row>
    <row r="13136" spans="1:9" x14ac:dyDescent="0.25">
      <c r="A13136" s="515">
        <v>62670</v>
      </c>
      <c r="B13136" s="515" t="s">
        <v>819</v>
      </c>
      <c r="C13136" s="52">
        <v>185592.64366735201</v>
      </c>
      <c r="D13136" s="56">
        <v>7.6985104822680603E-2</v>
      </c>
      <c r="E13136" s="224" t="s">
        <v>2</v>
      </c>
      <c r="F13136" s="515" t="s">
        <v>14323</v>
      </c>
      <c r="G13136" s="52">
        <v>161818.265517044</v>
      </c>
      <c r="H13136" s="56">
        <v>1.0015198156550695E-2</v>
      </c>
      <c r="I13136" s="224" t="s">
        <v>2</v>
      </c>
    </row>
    <row r="13137" spans="1:9" x14ac:dyDescent="0.25">
      <c r="A13137" s="515">
        <v>38225</v>
      </c>
      <c r="B13137" s="515" t="s">
        <v>788</v>
      </c>
      <c r="C13137" s="52">
        <v>126189.296410657</v>
      </c>
      <c r="D13137" s="56">
        <v>5.3318419827691407E-2</v>
      </c>
      <c r="E13137" s="224" t="s">
        <v>2</v>
      </c>
      <c r="F13137" s="515" t="s">
        <v>14324</v>
      </c>
      <c r="G13137" s="52">
        <v>170355.784802562</v>
      </c>
      <c r="H13137" s="56">
        <v>8.4186731290703101E-2</v>
      </c>
      <c r="I13137" s="224" t="s">
        <v>2</v>
      </c>
    </row>
    <row r="13138" spans="1:9" x14ac:dyDescent="0.25">
      <c r="A13138" s="515">
        <v>98855</v>
      </c>
      <c r="C13138" s="52">
        <v>257993.410605821</v>
      </c>
      <c r="D13138" s="56">
        <v>4.5074641523722474E-2</v>
      </c>
      <c r="E13138" s="224" t="s">
        <v>2</v>
      </c>
      <c r="F13138" s="515" t="s">
        <v>14325</v>
      </c>
      <c r="G13138" s="52">
        <v>149105.273197462</v>
      </c>
      <c r="H13138" s="56">
        <v>4.1291050163077284E-2</v>
      </c>
      <c r="I13138" s="224" t="s">
        <v>2</v>
      </c>
    </row>
    <row r="13139" spans="1:9" x14ac:dyDescent="0.25">
      <c r="A13139" s="515">
        <v>44254</v>
      </c>
      <c r="B13139" s="515" t="s">
        <v>520</v>
      </c>
      <c r="C13139" s="52">
        <v>205268.826796535</v>
      </c>
      <c r="D13139" s="56">
        <v>8.9142319785949581E-2</v>
      </c>
      <c r="E13139" s="224" t="s">
        <v>2</v>
      </c>
      <c r="F13139" s="515" t="s">
        <v>14326</v>
      </c>
      <c r="G13139" s="52">
        <v>189709.09815183401</v>
      </c>
      <c r="H13139" s="56">
        <v>0.11503286030012898</v>
      </c>
      <c r="I13139" s="224" t="s">
        <v>2</v>
      </c>
    </row>
    <row r="13140" spans="1:9" x14ac:dyDescent="0.25">
      <c r="A13140" s="515">
        <v>17724</v>
      </c>
      <c r="B13140" s="515" t="s">
        <v>699</v>
      </c>
      <c r="C13140" s="52">
        <v>139258.49014009401</v>
      </c>
      <c r="D13140" s="56">
        <v>5.4885720471059329E-2</v>
      </c>
      <c r="E13140" s="224" t="s">
        <v>2</v>
      </c>
      <c r="F13140" s="515" t="s">
        <v>14327</v>
      </c>
      <c r="G13140" s="52">
        <v>250764.12094511499</v>
      </c>
      <c r="H13140" s="56">
        <v>6.0637576693894898E-2</v>
      </c>
      <c r="I13140" s="224" t="s">
        <v>2</v>
      </c>
    </row>
    <row r="13141" spans="1:9" x14ac:dyDescent="0.25">
      <c r="A13141" s="515">
        <v>2142</v>
      </c>
      <c r="B13141" s="515" t="s">
        <v>534</v>
      </c>
      <c r="C13141" s="52">
        <v>1189672.8766097899</v>
      </c>
      <c r="D13141" s="56">
        <v>1.9408541331813904E-2</v>
      </c>
      <c r="E13141" s="224">
        <v>3813.5849567099499</v>
      </c>
      <c r="F13141" s="515" t="s">
        <v>14328</v>
      </c>
      <c r="G13141" s="52">
        <v>594349.98224321101</v>
      </c>
      <c r="H13141" s="56">
        <v>9.9011882695229883E-2</v>
      </c>
      <c r="I13141" s="224" t="s">
        <v>2</v>
      </c>
    </row>
    <row r="13142" spans="1:9" x14ac:dyDescent="0.25">
      <c r="A13142" s="515">
        <v>44280</v>
      </c>
      <c r="B13142" s="515" t="s">
        <v>520</v>
      </c>
      <c r="C13142" s="52">
        <v>398622.01545085199</v>
      </c>
      <c r="D13142" s="56">
        <v>8.4852946690484057E-2</v>
      </c>
      <c r="E13142" s="224" t="s">
        <v>2</v>
      </c>
      <c r="F13142" s="515" t="s">
        <v>14329</v>
      </c>
      <c r="G13142" s="52">
        <v>264440.67137912498</v>
      </c>
      <c r="H13142" s="56">
        <v>8.6679387102463354E-2</v>
      </c>
      <c r="I13142" s="224" t="s">
        <v>2</v>
      </c>
    </row>
    <row r="13143" spans="1:9" x14ac:dyDescent="0.25">
      <c r="A13143" s="515">
        <v>36576</v>
      </c>
      <c r="B13143" s="515" t="s">
        <v>488</v>
      </c>
      <c r="C13143" s="52">
        <v>276895.19801253697</v>
      </c>
      <c r="D13143" s="56">
        <v>7.1545813449212237E-2</v>
      </c>
      <c r="E13143" s="224" t="s">
        <v>2</v>
      </c>
      <c r="F13143" s="515" t="s">
        <v>14330</v>
      </c>
      <c r="G13143" s="52">
        <v>306824.86742112401</v>
      </c>
      <c r="H13143" s="56">
        <v>0.1293980651582769</v>
      </c>
      <c r="I13143" s="224" t="s">
        <v>2</v>
      </c>
    </row>
    <row r="13144" spans="1:9" x14ac:dyDescent="0.25">
      <c r="A13144" s="515">
        <v>4572</v>
      </c>
      <c r="C13144" s="52">
        <v>284404.15615427803</v>
      </c>
      <c r="D13144" s="56">
        <v>0.10224270483982961</v>
      </c>
      <c r="E13144" s="224" t="s">
        <v>2</v>
      </c>
      <c r="F13144" s="515" t="s">
        <v>14331</v>
      </c>
      <c r="G13144" s="52">
        <v>222660.250605654</v>
      </c>
      <c r="H13144" s="56">
        <v>0.14083954755979008</v>
      </c>
      <c r="I13144" s="224" t="s">
        <v>2</v>
      </c>
    </row>
    <row r="13145" spans="1:9" x14ac:dyDescent="0.25">
      <c r="A13145" s="515">
        <v>63389</v>
      </c>
      <c r="B13145" s="515" t="s">
        <v>498</v>
      </c>
      <c r="C13145" s="52">
        <v>235315.710474981</v>
      </c>
      <c r="D13145" s="56">
        <v>0.10141064034492141</v>
      </c>
      <c r="E13145" s="224" t="s">
        <v>2</v>
      </c>
      <c r="F13145" s="515" t="s">
        <v>14332</v>
      </c>
      <c r="G13145" s="52">
        <v>823161.24034805899</v>
      </c>
      <c r="H13145" s="56">
        <v>-9.5902201183586458E-3</v>
      </c>
      <c r="I13145" s="224" t="s">
        <v>2</v>
      </c>
    </row>
    <row r="13146" spans="1:9" x14ac:dyDescent="0.25">
      <c r="A13146" s="515">
        <v>27209</v>
      </c>
      <c r="C13146" s="52">
        <v>148214.05296977601</v>
      </c>
      <c r="D13146" s="56">
        <v>0.1070348495369329</v>
      </c>
      <c r="E13146" s="224" t="s">
        <v>2</v>
      </c>
      <c r="F13146" s="515" t="s">
        <v>14333</v>
      </c>
      <c r="G13146" s="52">
        <v>105204.061822213</v>
      </c>
      <c r="H13146" s="56">
        <v>4.3603316236470353E-2</v>
      </c>
      <c r="I13146" s="224" t="s">
        <v>2</v>
      </c>
    </row>
    <row r="13147" spans="1:9" x14ac:dyDescent="0.25">
      <c r="A13147" s="515">
        <v>30185</v>
      </c>
      <c r="B13147" s="515" t="s">
        <v>957</v>
      </c>
      <c r="C13147" s="52">
        <v>276933.112436047</v>
      </c>
      <c r="D13147" s="56">
        <v>0.13212679010836453</v>
      </c>
      <c r="E13147" s="224" t="s">
        <v>2</v>
      </c>
      <c r="F13147" s="515" t="s">
        <v>14334</v>
      </c>
      <c r="G13147" s="52">
        <v>167740.86979166599</v>
      </c>
      <c r="H13147" s="56">
        <v>0</v>
      </c>
      <c r="I13147" s="224" t="s">
        <v>2</v>
      </c>
    </row>
    <row r="13148" spans="1:9" x14ac:dyDescent="0.25">
      <c r="A13148" s="515">
        <v>24381</v>
      </c>
      <c r="C13148" s="52">
        <v>139101.95764764099</v>
      </c>
      <c r="D13148" s="56">
        <v>2.3537173476909451E-2</v>
      </c>
      <c r="E13148" s="224" t="s">
        <v>2</v>
      </c>
      <c r="F13148" s="515" t="s">
        <v>14335</v>
      </c>
      <c r="G13148" s="52">
        <v>257266.62203405399</v>
      </c>
      <c r="H13148" s="56">
        <v>0.16641462130036916</v>
      </c>
      <c r="I13148" s="224" t="s">
        <v>2</v>
      </c>
    </row>
    <row r="13149" spans="1:9" x14ac:dyDescent="0.25">
      <c r="A13149" s="515">
        <v>81413</v>
      </c>
      <c r="C13149" s="52">
        <v>369993.29446359002</v>
      </c>
      <c r="D13149" s="56">
        <v>8.1634636636769745E-2</v>
      </c>
      <c r="E13149" s="224" t="s">
        <v>2</v>
      </c>
      <c r="F13149" s="515" t="s">
        <v>14336</v>
      </c>
      <c r="G13149" s="52">
        <v>140488.78028426401</v>
      </c>
      <c r="H13149" s="56">
        <v>8.0666062616947087E-2</v>
      </c>
      <c r="I13149" s="224" t="s">
        <v>2</v>
      </c>
    </row>
    <row r="13150" spans="1:9" x14ac:dyDescent="0.25">
      <c r="A13150" s="515">
        <v>76255</v>
      </c>
      <c r="C13150" s="52">
        <v>161224.64883113801</v>
      </c>
      <c r="D13150" s="56">
        <v>6.490006025214215E-2</v>
      </c>
      <c r="E13150" s="224" t="s">
        <v>2</v>
      </c>
      <c r="F13150" s="515" t="s">
        <v>14337</v>
      </c>
      <c r="G13150" s="52">
        <v>658742.398530434</v>
      </c>
      <c r="H13150" s="56">
        <v>-5.9532892376769134E-3</v>
      </c>
      <c r="I13150" s="224" t="s">
        <v>2</v>
      </c>
    </row>
    <row r="13151" spans="1:9" x14ac:dyDescent="0.25">
      <c r="A13151" s="515">
        <v>19405</v>
      </c>
      <c r="B13151" s="515" t="s">
        <v>294</v>
      </c>
      <c r="C13151" s="52">
        <v>277951.26497952902</v>
      </c>
      <c r="D13151" s="56">
        <v>7.6794963149150561E-2</v>
      </c>
      <c r="E13151" s="224" t="s">
        <v>2</v>
      </c>
      <c r="F13151" s="515" t="s">
        <v>14338</v>
      </c>
      <c r="G13151" s="52">
        <v>289749.40743999602</v>
      </c>
      <c r="H13151" s="56">
        <v>0.1114962556757013</v>
      </c>
      <c r="I13151" s="224" t="s">
        <v>2</v>
      </c>
    </row>
    <row r="13152" spans="1:9" x14ac:dyDescent="0.25">
      <c r="A13152" s="515">
        <v>56069</v>
      </c>
      <c r="B13152" s="515" t="s">
        <v>532</v>
      </c>
      <c r="C13152" s="52">
        <v>278291.590522844</v>
      </c>
      <c r="D13152" s="56">
        <v>7.0724052285586897E-2</v>
      </c>
      <c r="E13152" s="224" t="s">
        <v>2</v>
      </c>
      <c r="F13152" s="515" t="s">
        <v>14339</v>
      </c>
      <c r="G13152" s="52">
        <v>535635.14093021199</v>
      </c>
      <c r="H13152" s="56">
        <v>7.5753614692587581E-2</v>
      </c>
      <c r="I13152" s="224" t="s">
        <v>2</v>
      </c>
    </row>
    <row r="13153" spans="1:9" x14ac:dyDescent="0.25">
      <c r="A13153" s="515">
        <v>97913</v>
      </c>
      <c r="B13153" s="515" t="s">
        <v>825</v>
      </c>
      <c r="C13153" s="52">
        <v>219552.08327923901</v>
      </c>
      <c r="D13153" s="56">
        <v>0.10970643648177701</v>
      </c>
      <c r="E13153" s="224" t="s">
        <v>2</v>
      </c>
      <c r="F13153" s="515" t="s">
        <v>14340</v>
      </c>
      <c r="G13153" s="52">
        <v>105378.864762456</v>
      </c>
      <c r="H13153" s="56">
        <v>1.4539951101830886E-2</v>
      </c>
      <c r="I13153" s="224" t="s">
        <v>2</v>
      </c>
    </row>
    <row r="13154" spans="1:9" x14ac:dyDescent="0.25">
      <c r="A13154" s="515">
        <v>29583</v>
      </c>
      <c r="B13154" s="515" t="s">
        <v>1039</v>
      </c>
      <c r="C13154" s="52">
        <v>123858.29542412001</v>
      </c>
      <c r="D13154" s="56">
        <v>0.14273942427195951</v>
      </c>
      <c r="E13154" s="224" t="s">
        <v>2</v>
      </c>
      <c r="F13154" s="515" t="s">
        <v>14341</v>
      </c>
      <c r="G13154" s="52">
        <v>723074.82959483401</v>
      </c>
      <c r="H13154" s="56">
        <v>4.6084878522782216E-2</v>
      </c>
      <c r="I13154" s="224" t="s">
        <v>2</v>
      </c>
    </row>
    <row r="13155" spans="1:9" x14ac:dyDescent="0.25">
      <c r="A13155" s="515">
        <v>1608</v>
      </c>
      <c r="B13155" s="515" t="s">
        <v>751</v>
      </c>
      <c r="C13155" s="52">
        <v>151516.61303764599</v>
      </c>
      <c r="D13155" s="56">
        <v>0.15084882511941228</v>
      </c>
      <c r="E13155" s="224">
        <v>1895.44444444444</v>
      </c>
      <c r="F13155" s="515" t="s">
        <v>14342</v>
      </c>
      <c r="G13155" s="52">
        <v>369985.52622500702</v>
      </c>
      <c r="H13155" s="56">
        <v>9.3840226389958439E-2</v>
      </c>
      <c r="I13155" s="224" t="s">
        <v>2</v>
      </c>
    </row>
    <row r="13156" spans="1:9" x14ac:dyDescent="0.25">
      <c r="A13156" s="515">
        <v>18419</v>
      </c>
      <c r="B13156" s="515" t="s">
        <v>512</v>
      </c>
      <c r="C13156" s="52">
        <v>207497.43707598301</v>
      </c>
      <c r="D13156" s="56">
        <v>3.8266186911239293E-2</v>
      </c>
      <c r="E13156" s="224" t="s">
        <v>2</v>
      </c>
      <c r="F13156" s="515" t="s">
        <v>14343</v>
      </c>
      <c r="G13156" s="52">
        <v>302338.95586970402</v>
      </c>
      <c r="H13156" s="56">
        <v>0.10721683259250374</v>
      </c>
      <c r="I13156" s="224" t="s">
        <v>2</v>
      </c>
    </row>
    <row r="13157" spans="1:9" x14ac:dyDescent="0.25">
      <c r="A13157" s="515">
        <v>56048</v>
      </c>
      <c r="C13157" s="52">
        <v>245675.21327797099</v>
      </c>
      <c r="D13157" s="56">
        <v>1.8908396225552491E-2</v>
      </c>
      <c r="E13157" s="224" t="s">
        <v>2</v>
      </c>
      <c r="F13157" s="515" t="s">
        <v>14344</v>
      </c>
      <c r="G13157" s="52">
        <v>363530.40152638999</v>
      </c>
      <c r="H13157" s="56">
        <v>0.17761661470639956</v>
      </c>
      <c r="I13157" s="224" t="s">
        <v>2</v>
      </c>
    </row>
    <row r="13158" spans="1:9" x14ac:dyDescent="0.25">
      <c r="A13158" s="515">
        <v>54024</v>
      </c>
      <c r="C13158" s="52">
        <v>261071.989588141</v>
      </c>
      <c r="D13158" s="56">
        <v>4.7205618314044136E-2</v>
      </c>
      <c r="E13158" s="224" t="s">
        <v>2</v>
      </c>
      <c r="F13158" s="515" t="s">
        <v>14345</v>
      </c>
      <c r="G13158" s="52">
        <v>132572.91847825999</v>
      </c>
      <c r="H13158" s="56">
        <v>0</v>
      </c>
      <c r="I13158" s="224" t="s">
        <v>2</v>
      </c>
    </row>
    <row r="13159" spans="1:9" x14ac:dyDescent="0.25">
      <c r="A13159" s="515">
        <v>42256</v>
      </c>
      <c r="C13159" s="52">
        <v>160208.45948305499</v>
      </c>
      <c r="D13159" s="56">
        <v>0.13535190550330273</v>
      </c>
      <c r="E13159" s="224" t="s">
        <v>2</v>
      </c>
      <c r="F13159" s="515" t="s">
        <v>14346</v>
      </c>
      <c r="G13159" s="52">
        <v>221447.117829013</v>
      </c>
      <c r="H13159" s="56">
        <v>7.8107986785704686E-2</v>
      </c>
      <c r="I13159" s="224" t="s">
        <v>2</v>
      </c>
    </row>
    <row r="13160" spans="1:9" x14ac:dyDescent="0.25">
      <c r="A13160" s="515">
        <v>95446</v>
      </c>
      <c r="B13160" s="515" t="s">
        <v>331</v>
      </c>
      <c r="C13160" s="52">
        <v>560885.63001762598</v>
      </c>
      <c r="D13160" s="56">
        <v>6.2972557443422743E-3</v>
      </c>
      <c r="E13160" s="224" t="s">
        <v>2</v>
      </c>
      <c r="F13160" s="515" t="s">
        <v>14347</v>
      </c>
      <c r="G13160" s="52">
        <v>193306.48888888801</v>
      </c>
      <c r="H13160" s="56">
        <v>0</v>
      </c>
      <c r="I13160" s="224" t="s">
        <v>2</v>
      </c>
    </row>
    <row r="13161" spans="1:9" x14ac:dyDescent="0.25">
      <c r="A13161" s="515">
        <v>27891</v>
      </c>
      <c r="B13161" s="515" t="s">
        <v>1152</v>
      </c>
      <c r="C13161" s="52">
        <v>145339.11758454499</v>
      </c>
      <c r="D13161" s="56">
        <v>0.21603491565552344</v>
      </c>
      <c r="E13161" s="224" t="s">
        <v>2</v>
      </c>
      <c r="F13161" s="515" t="s">
        <v>14348</v>
      </c>
      <c r="G13161" s="52">
        <v>202318.537205525</v>
      </c>
      <c r="H13161" s="56">
        <v>0.18638903526163419</v>
      </c>
      <c r="I13161" s="224" t="s">
        <v>2</v>
      </c>
    </row>
    <row r="13162" spans="1:9" x14ac:dyDescent="0.25">
      <c r="A13162" s="515">
        <v>1452</v>
      </c>
      <c r="B13162" s="515" t="s">
        <v>751</v>
      </c>
      <c r="C13162" s="52">
        <v>387980.29052990797</v>
      </c>
      <c r="D13162" s="56">
        <v>6.0001006763847821E-2</v>
      </c>
      <c r="E13162" s="224" t="s">
        <v>2</v>
      </c>
      <c r="F13162" s="515" t="s">
        <v>14349</v>
      </c>
      <c r="G13162" s="52">
        <v>170546.26218533199</v>
      </c>
      <c r="H13162" s="56">
        <v>8.3611372699405356E-2</v>
      </c>
      <c r="I13162" s="224" t="s">
        <v>2</v>
      </c>
    </row>
    <row r="13163" spans="1:9" x14ac:dyDescent="0.25">
      <c r="A13163" s="515">
        <v>27851</v>
      </c>
      <c r="B13163" s="515" t="s">
        <v>780</v>
      </c>
      <c r="C13163" s="52">
        <v>161428.34633905001</v>
      </c>
      <c r="D13163" s="56">
        <v>0.19510445987892128</v>
      </c>
      <c r="E13163" s="224" t="s">
        <v>2</v>
      </c>
      <c r="F13163" s="515" t="s">
        <v>14350</v>
      </c>
      <c r="G13163" s="52">
        <v>119593.27343378399</v>
      </c>
      <c r="H13163" s="56">
        <v>5.1719647068148092E-2</v>
      </c>
      <c r="I13163" s="224" t="s">
        <v>2</v>
      </c>
    </row>
    <row r="13164" spans="1:9" x14ac:dyDescent="0.25">
      <c r="A13164" s="515">
        <v>36024</v>
      </c>
      <c r="B13164" s="515" t="s">
        <v>806</v>
      </c>
      <c r="C13164" s="52">
        <v>342540.854547052</v>
      </c>
      <c r="D13164" s="56">
        <v>9.1964042788051079E-2</v>
      </c>
      <c r="E13164" s="224" t="s">
        <v>2</v>
      </c>
      <c r="F13164" s="515" t="s">
        <v>14351</v>
      </c>
      <c r="G13164" s="52">
        <v>131363.39350499099</v>
      </c>
      <c r="H13164" s="56">
        <v>-2.7141637355400466E-2</v>
      </c>
      <c r="I13164" s="224" t="s">
        <v>2</v>
      </c>
    </row>
    <row r="13165" spans="1:9" x14ac:dyDescent="0.25">
      <c r="A13165" s="515">
        <v>65010</v>
      </c>
      <c r="B13165" s="515" t="s">
        <v>785</v>
      </c>
      <c r="C13165" s="52">
        <v>292752.53245143098</v>
      </c>
      <c r="D13165" s="56">
        <v>6.9738577902383789E-2</v>
      </c>
      <c r="E13165" s="224" t="s">
        <v>2</v>
      </c>
      <c r="F13165" s="515" t="s">
        <v>14352</v>
      </c>
      <c r="G13165" s="52">
        <v>173258.25311484901</v>
      </c>
      <c r="H13165" s="56">
        <v>8.2481078887324033E-2</v>
      </c>
      <c r="I13165" s="224" t="s">
        <v>2</v>
      </c>
    </row>
    <row r="13166" spans="1:9" x14ac:dyDescent="0.25">
      <c r="A13166" s="515">
        <v>19504</v>
      </c>
      <c r="B13166" s="515" t="s">
        <v>569</v>
      </c>
      <c r="C13166" s="52">
        <v>371314.67631981499</v>
      </c>
      <c r="D13166" s="56">
        <v>9.393617288504931E-2</v>
      </c>
      <c r="E13166" s="224" t="s">
        <v>2</v>
      </c>
      <c r="F13166" s="515" t="s">
        <v>14353</v>
      </c>
      <c r="G13166" s="52">
        <v>78477.757569880399</v>
      </c>
      <c r="H13166" s="56">
        <v>0.11387053678947476</v>
      </c>
      <c r="I13166" s="224" t="s">
        <v>2</v>
      </c>
    </row>
    <row r="13167" spans="1:9" x14ac:dyDescent="0.25">
      <c r="A13167" s="515">
        <v>95692</v>
      </c>
      <c r="B13167" s="515" t="s">
        <v>796</v>
      </c>
      <c r="C13167" s="52">
        <v>429630.952417169</v>
      </c>
      <c r="D13167" s="56">
        <v>2.2800451967832933E-3</v>
      </c>
      <c r="E13167" s="224" t="s">
        <v>2</v>
      </c>
      <c r="F13167" s="515" t="s">
        <v>14354</v>
      </c>
      <c r="G13167" s="52">
        <v>130604.304932142</v>
      </c>
      <c r="H13167" s="56">
        <v>5.3603091859411502E-3</v>
      </c>
      <c r="I13167" s="224" t="s">
        <v>2</v>
      </c>
    </row>
    <row r="13168" spans="1:9" x14ac:dyDescent="0.25">
      <c r="A13168" s="515">
        <v>81526</v>
      </c>
      <c r="B13168" s="515" t="s">
        <v>619</v>
      </c>
      <c r="C13168" s="52">
        <v>484165.60211525299</v>
      </c>
      <c r="D13168" s="56">
        <v>7.152609473853544E-2</v>
      </c>
      <c r="E13168" s="224" t="s">
        <v>2</v>
      </c>
      <c r="F13168" s="515" t="s">
        <v>14355</v>
      </c>
      <c r="G13168" s="52">
        <v>194584.563967113</v>
      </c>
      <c r="H13168" s="56">
        <v>0.20899880630579984</v>
      </c>
      <c r="I13168" s="224" t="s">
        <v>2</v>
      </c>
    </row>
    <row r="13169" spans="1:9" x14ac:dyDescent="0.25">
      <c r="A13169" s="515">
        <v>32462</v>
      </c>
      <c r="C13169" s="52">
        <v>171189.03025886801</v>
      </c>
      <c r="D13169" s="56">
        <v>0.10009034308306515</v>
      </c>
      <c r="E13169" s="224" t="s">
        <v>2</v>
      </c>
      <c r="F13169" s="515" t="s">
        <v>14356</v>
      </c>
      <c r="G13169" s="52">
        <v>272686.508799078</v>
      </c>
      <c r="H13169" s="56">
        <v>2.4269461615940527E-2</v>
      </c>
      <c r="I13169" s="224" t="s">
        <v>2</v>
      </c>
    </row>
    <row r="13170" spans="1:9" x14ac:dyDescent="0.25">
      <c r="A13170" s="515">
        <v>35175</v>
      </c>
      <c r="B13170" s="515" t="s">
        <v>1182</v>
      </c>
      <c r="C13170" s="52">
        <v>217067.01964659701</v>
      </c>
      <c r="D13170" s="56">
        <v>6.3018915069878612E-2</v>
      </c>
      <c r="E13170" s="224" t="s">
        <v>2</v>
      </c>
      <c r="F13170" s="515" t="s">
        <v>14357</v>
      </c>
      <c r="G13170" s="52">
        <v>209552.81274795401</v>
      </c>
      <c r="H13170" s="56">
        <v>0.15228752208356691</v>
      </c>
      <c r="I13170" s="224" t="s">
        <v>2</v>
      </c>
    </row>
    <row r="13171" spans="1:9" x14ac:dyDescent="0.25">
      <c r="A13171" s="515">
        <v>32033</v>
      </c>
      <c r="B13171" s="515" t="s">
        <v>1158</v>
      </c>
      <c r="C13171" s="52">
        <v>380392.19106458401</v>
      </c>
      <c r="D13171" s="56">
        <v>8.8740269750705827E-2</v>
      </c>
      <c r="E13171" s="224" t="s">
        <v>2</v>
      </c>
      <c r="F13171" s="515" t="s">
        <v>14358</v>
      </c>
      <c r="G13171" s="52">
        <v>300136.866559471</v>
      </c>
      <c r="H13171" s="56">
        <v>9.8267852154732382E-2</v>
      </c>
      <c r="I13171" s="224" t="s">
        <v>2</v>
      </c>
    </row>
    <row r="13172" spans="1:9" x14ac:dyDescent="0.25">
      <c r="A13172" s="515">
        <v>30557</v>
      </c>
      <c r="B13172" s="515" t="s">
        <v>1165</v>
      </c>
      <c r="C13172" s="52">
        <v>255420.357371294</v>
      </c>
      <c r="D13172" s="56">
        <v>8.1199116003821931E-2</v>
      </c>
      <c r="E13172" s="224" t="s">
        <v>2</v>
      </c>
      <c r="F13172" s="515" t="s">
        <v>14359</v>
      </c>
      <c r="G13172" s="52">
        <v>238914.12823748999</v>
      </c>
      <c r="H13172" s="56">
        <v>0.11267143919244502</v>
      </c>
      <c r="I13172" s="224" t="s">
        <v>2</v>
      </c>
    </row>
    <row r="13173" spans="1:9" x14ac:dyDescent="0.25">
      <c r="A13173" s="515">
        <v>66434</v>
      </c>
      <c r="C13173" s="52">
        <v>132593.907957307</v>
      </c>
      <c r="D13173" s="56">
        <v>0.1300832072978074</v>
      </c>
      <c r="E13173" s="224" t="s">
        <v>2</v>
      </c>
      <c r="F13173" s="515" t="s">
        <v>14360</v>
      </c>
      <c r="G13173" s="52">
        <v>106235.55737771001</v>
      </c>
      <c r="H13173" s="56">
        <v>0.11272451573347411</v>
      </c>
      <c r="I13173" s="224" t="s">
        <v>2</v>
      </c>
    </row>
    <row r="13174" spans="1:9" x14ac:dyDescent="0.25">
      <c r="A13174" s="515">
        <v>20759</v>
      </c>
      <c r="B13174" s="515" t="s">
        <v>582</v>
      </c>
      <c r="C13174" s="52">
        <v>869373.31134405697</v>
      </c>
      <c r="D13174" s="56">
        <v>4.2696541156231053E-2</v>
      </c>
      <c r="E13174" s="224" t="s">
        <v>2</v>
      </c>
      <c r="F13174" s="515" t="s">
        <v>14361</v>
      </c>
      <c r="G13174" s="52">
        <v>240605.82978723399</v>
      </c>
      <c r="H13174" s="56">
        <v>0</v>
      </c>
      <c r="I13174" s="224" t="s">
        <v>2</v>
      </c>
    </row>
    <row r="13175" spans="1:9" x14ac:dyDescent="0.25">
      <c r="A13175" s="515">
        <v>97231</v>
      </c>
      <c r="B13175" s="515" t="s">
        <v>659</v>
      </c>
      <c r="C13175" s="52">
        <v>680993.73778859898</v>
      </c>
      <c r="D13175" s="56">
        <v>1.7890264508864523E-2</v>
      </c>
      <c r="E13175" s="224" t="s">
        <v>2</v>
      </c>
      <c r="F13175" s="515" t="s">
        <v>14362</v>
      </c>
      <c r="G13175" s="52">
        <v>179676.74105108</v>
      </c>
      <c r="H13175" s="56">
        <v>3.5142524955547844E-2</v>
      </c>
      <c r="I13175" s="224" t="s">
        <v>2</v>
      </c>
    </row>
    <row r="13176" spans="1:9" x14ac:dyDescent="0.25">
      <c r="A13176" s="515">
        <v>71001</v>
      </c>
      <c r="C13176" s="52">
        <v>92345.560602483194</v>
      </c>
      <c r="D13176" s="56">
        <v>0.11655354804903181</v>
      </c>
      <c r="E13176" s="224" t="s">
        <v>2</v>
      </c>
      <c r="F13176" s="515" t="s">
        <v>14363</v>
      </c>
      <c r="G13176" s="52">
        <v>485853.36810373398</v>
      </c>
      <c r="H13176" s="56">
        <v>6.5196515011618925E-2</v>
      </c>
      <c r="I13176" s="224" t="s">
        <v>2</v>
      </c>
    </row>
    <row r="13177" spans="1:9" x14ac:dyDescent="0.25">
      <c r="A13177" s="515">
        <v>12545</v>
      </c>
      <c r="B13177" s="515" t="s">
        <v>529</v>
      </c>
      <c r="C13177" s="52">
        <v>543357.57170757605</v>
      </c>
      <c r="D13177" s="56">
        <v>9.7193829040642402E-2</v>
      </c>
      <c r="E13177" s="224" t="s">
        <v>2</v>
      </c>
      <c r="F13177" s="515" t="s">
        <v>14364</v>
      </c>
      <c r="G13177" s="52">
        <v>200894.543560544</v>
      </c>
      <c r="H13177" s="56">
        <v>0.10742577025910531</v>
      </c>
      <c r="I13177" s="224" t="s">
        <v>2</v>
      </c>
    </row>
    <row r="13178" spans="1:9" x14ac:dyDescent="0.25">
      <c r="A13178" s="515">
        <v>75939</v>
      </c>
      <c r="C13178" s="52">
        <v>133249.87862831901</v>
      </c>
      <c r="D13178" s="56">
        <v>9.4472558643604043E-2</v>
      </c>
      <c r="E13178" s="224" t="s">
        <v>2</v>
      </c>
      <c r="F13178" s="515" t="s">
        <v>14365</v>
      </c>
      <c r="G13178" s="52">
        <v>164197.62613958999</v>
      </c>
      <c r="H13178" s="56">
        <v>0.15893233712383295</v>
      </c>
      <c r="I13178" s="224" t="s">
        <v>2</v>
      </c>
    </row>
    <row r="13179" spans="1:9" x14ac:dyDescent="0.25">
      <c r="A13179" s="515">
        <v>35741</v>
      </c>
      <c r="B13179" s="515" t="s">
        <v>997</v>
      </c>
      <c r="C13179" s="52">
        <v>365013.67629678402</v>
      </c>
      <c r="D13179" s="56">
        <v>5.2523137761466686E-2</v>
      </c>
      <c r="E13179" s="224" t="s">
        <v>2</v>
      </c>
      <c r="F13179" s="515" t="s">
        <v>14366</v>
      </c>
      <c r="G13179" s="52">
        <v>263210.762043736</v>
      </c>
      <c r="H13179" s="56">
        <v>2.5659528991484118E-2</v>
      </c>
      <c r="I13179" s="224" t="s">
        <v>2</v>
      </c>
    </row>
    <row r="13180" spans="1:9" x14ac:dyDescent="0.25">
      <c r="A13180" s="515">
        <v>24134</v>
      </c>
      <c r="B13180" s="515" t="s">
        <v>597</v>
      </c>
      <c r="C13180" s="52">
        <v>184053.99199309299</v>
      </c>
      <c r="D13180" s="56">
        <v>6.9694844816892754E-2</v>
      </c>
      <c r="E13180" s="224" t="s">
        <v>2</v>
      </c>
      <c r="F13180" s="515" t="s">
        <v>14367</v>
      </c>
      <c r="G13180" s="52">
        <v>37172.105727964699</v>
      </c>
      <c r="H13180" s="56">
        <v>0</v>
      </c>
      <c r="I13180" s="224" t="s">
        <v>2</v>
      </c>
    </row>
    <row r="13181" spans="1:9" x14ac:dyDescent="0.25">
      <c r="A13181" s="515">
        <v>21842</v>
      </c>
      <c r="B13181" s="515" t="s">
        <v>552</v>
      </c>
      <c r="C13181" s="52">
        <v>422262.10175183701</v>
      </c>
      <c r="D13181" s="56">
        <v>7.7860197685072755E-2</v>
      </c>
      <c r="E13181" s="224" t="s">
        <v>2</v>
      </c>
      <c r="F13181" s="515" t="s">
        <v>14368</v>
      </c>
      <c r="G13181" s="52">
        <v>217241.74189860001</v>
      </c>
      <c r="H13181" s="56">
        <v>9.3156702147768625E-2</v>
      </c>
      <c r="I13181" s="224" t="s">
        <v>2</v>
      </c>
    </row>
    <row r="13182" spans="1:9" x14ac:dyDescent="0.25">
      <c r="A13182" s="515">
        <v>98937</v>
      </c>
      <c r="B13182" s="515" t="s">
        <v>948</v>
      </c>
      <c r="C13182" s="52">
        <v>326178.80696515099</v>
      </c>
      <c r="D13182" s="56">
        <v>5.6651179978288446E-2</v>
      </c>
      <c r="E13182" s="224" t="s">
        <v>2</v>
      </c>
      <c r="F13182" s="515" t="s">
        <v>14369</v>
      </c>
      <c r="G13182" s="52">
        <v>181428.16837687101</v>
      </c>
      <c r="H13182" s="56">
        <v>2.1411678847682983E-2</v>
      </c>
      <c r="I13182" s="224" t="s">
        <v>2</v>
      </c>
    </row>
    <row r="13183" spans="1:9" x14ac:dyDescent="0.25">
      <c r="A13183" s="515">
        <v>1719</v>
      </c>
      <c r="B13183" s="515" t="s">
        <v>534</v>
      </c>
      <c r="C13183" s="52">
        <v>622302.05124266399</v>
      </c>
      <c r="D13183" s="56">
        <v>6.6909213560993719E-2</v>
      </c>
      <c r="E13183" s="224">
        <v>1750</v>
      </c>
      <c r="F13183" s="515" t="s">
        <v>14370</v>
      </c>
      <c r="G13183" s="52">
        <v>241479.89979508601</v>
      </c>
      <c r="H13183" s="56">
        <v>5.1849212198240999E-2</v>
      </c>
      <c r="I13183" s="224" t="s">
        <v>2</v>
      </c>
    </row>
    <row r="13184" spans="1:9" x14ac:dyDescent="0.25">
      <c r="A13184" s="515">
        <v>38451</v>
      </c>
      <c r="B13184" s="515" t="s">
        <v>684</v>
      </c>
      <c r="C13184" s="52">
        <v>361707.44539981801</v>
      </c>
      <c r="D13184" s="56">
        <v>7.6964942672046496E-2</v>
      </c>
      <c r="E13184" s="224" t="s">
        <v>2</v>
      </c>
      <c r="F13184" s="515" t="s">
        <v>14371</v>
      </c>
      <c r="G13184" s="52">
        <v>231251.39544407499</v>
      </c>
      <c r="H13184" s="56">
        <v>6.152749443164756E-2</v>
      </c>
      <c r="I13184" s="224" t="s">
        <v>2</v>
      </c>
    </row>
    <row r="13185" spans="1:9" x14ac:dyDescent="0.25">
      <c r="A13185" s="515">
        <v>72635</v>
      </c>
      <c r="B13185" s="515" t="s">
        <v>679</v>
      </c>
      <c r="C13185" s="52">
        <v>152220.32321958599</v>
      </c>
      <c r="D13185" s="56">
        <v>3.6403247744047094E-2</v>
      </c>
      <c r="E13185" s="224" t="s">
        <v>2</v>
      </c>
      <c r="F13185" s="515" t="s">
        <v>14372</v>
      </c>
      <c r="G13185" s="52">
        <v>507670.73005560797</v>
      </c>
      <c r="H13185" s="56">
        <v>2.3438552828520441E-2</v>
      </c>
      <c r="I13185" s="224" t="s">
        <v>2</v>
      </c>
    </row>
    <row r="13186" spans="1:9" x14ac:dyDescent="0.25">
      <c r="A13186" s="515">
        <v>49073</v>
      </c>
      <c r="C13186" s="52">
        <v>170809.12000543901</v>
      </c>
      <c r="D13186" s="56">
        <v>8.2061884799731047E-2</v>
      </c>
      <c r="E13186" s="224" t="s">
        <v>2</v>
      </c>
      <c r="F13186" s="515" t="s">
        <v>14373</v>
      </c>
      <c r="G13186" s="52">
        <v>150092.218722383</v>
      </c>
      <c r="H13186" s="56">
        <v>2.1083482648623832E-2</v>
      </c>
      <c r="I13186" s="224" t="s">
        <v>2</v>
      </c>
    </row>
    <row r="13187" spans="1:9" x14ac:dyDescent="0.25">
      <c r="A13187" s="515">
        <v>74131</v>
      </c>
      <c r="B13187" s="515" t="s">
        <v>348</v>
      </c>
      <c r="C13187" s="52">
        <v>224413.951657256</v>
      </c>
      <c r="D13187" s="56">
        <v>4.2235870663463439E-2</v>
      </c>
      <c r="E13187" s="224" t="s">
        <v>2</v>
      </c>
      <c r="F13187" s="515" t="s">
        <v>14374</v>
      </c>
      <c r="G13187" s="52">
        <v>238254.018819752</v>
      </c>
      <c r="H13187" s="56">
        <v>4.6368897855924442E-2</v>
      </c>
      <c r="I13187" s="224" t="s">
        <v>2</v>
      </c>
    </row>
    <row r="13188" spans="1:9" x14ac:dyDescent="0.25">
      <c r="A13188" s="515">
        <v>29048</v>
      </c>
      <c r="B13188" s="515" t="s">
        <v>1036</v>
      </c>
      <c r="C13188" s="52">
        <v>161572.33461962701</v>
      </c>
      <c r="D13188" s="56">
        <v>-7.265009174823396E-4</v>
      </c>
      <c r="E13188" s="224" t="s">
        <v>2</v>
      </c>
      <c r="F13188" s="515" t="s">
        <v>14375</v>
      </c>
      <c r="G13188" s="52">
        <v>648889.36473539798</v>
      </c>
      <c r="H13188" s="56">
        <v>0.1160527059856393</v>
      </c>
      <c r="I13188" s="224" t="s">
        <v>2</v>
      </c>
    </row>
    <row r="13189" spans="1:9" x14ac:dyDescent="0.25">
      <c r="A13189" s="515">
        <v>3860</v>
      </c>
      <c r="C13189" s="52">
        <v>408826.14990450803</v>
      </c>
      <c r="D13189" s="56">
        <v>0.13449925371488786</v>
      </c>
      <c r="E13189" s="224" t="s">
        <v>2</v>
      </c>
      <c r="F13189" s="515" t="s">
        <v>14376</v>
      </c>
      <c r="G13189" s="52">
        <v>223671.24527092301</v>
      </c>
      <c r="H13189" s="56">
        <v>0.15075897025300497</v>
      </c>
      <c r="I13189" s="224" t="s">
        <v>2</v>
      </c>
    </row>
    <row r="13190" spans="1:9" x14ac:dyDescent="0.25">
      <c r="A13190" s="515">
        <v>56474</v>
      </c>
      <c r="B13190" s="515" t="s">
        <v>674</v>
      </c>
      <c r="C13190" s="52">
        <v>223520.754559414</v>
      </c>
      <c r="D13190" s="56">
        <v>7.8728901904682624E-2</v>
      </c>
      <c r="E13190" s="224" t="s">
        <v>2</v>
      </c>
      <c r="F13190" s="515" t="s">
        <v>14377</v>
      </c>
      <c r="G13190" s="52">
        <v>133462.36903000501</v>
      </c>
      <c r="H13190" s="56">
        <v>5.1751134936645966E-2</v>
      </c>
      <c r="I13190" s="224" t="s">
        <v>2</v>
      </c>
    </row>
    <row r="13191" spans="1:9" x14ac:dyDescent="0.25">
      <c r="A13191" s="515">
        <v>54840</v>
      </c>
      <c r="C13191" s="52">
        <v>190182.81513192799</v>
      </c>
      <c r="D13191" s="56">
        <v>4.6797771486844858E-2</v>
      </c>
      <c r="E13191" s="224" t="s">
        <v>2</v>
      </c>
      <c r="F13191" s="515" t="s">
        <v>14378</v>
      </c>
      <c r="G13191" s="52">
        <v>1067971.65339788</v>
      </c>
      <c r="H13191" s="56">
        <v>8.1813824903082338E-2</v>
      </c>
      <c r="I13191" s="224" t="s">
        <v>2</v>
      </c>
    </row>
    <row r="13192" spans="1:9" x14ac:dyDescent="0.25">
      <c r="A13192" s="515">
        <v>14108</v>
      </c>
      <c r="B13192" s="515" t="s">
        <v>336</v>
      </c>
      <c r="C13192" s="52">
        <v>192969.06094392799</v>
      </c>
      <c r="D13192" s="56">
        <v>0.10546434983146633</v>
      </c>
      <c r="E13192" s="224" t="s">
        <v>2</v>
      </c>
      <c r="F13192" s="515" t="s">
        <v>14379</v>
      </c>
      <c r="G13192" s="52">
        <v>124406.877777777</v>
      </c>
      <c r="H13192" s="56">
        <v>0</v>
      </c>
      <c r="I13192" s="224" t="s">
        <v>2</v>
      </c>
    </row>
    <row r="13193" spans="1:9" x14ac:dyDescent="0.25">
      <c r="A13193" s="515">
        <v>32732</v>
      </c>
      <c r="B13193" s="515" t="s">
        <v>517</v>
      </c>
      <c r="C13193" s="52">
        <v>487517.88855528901</v>
      </c>
      <c r="D13193" s="56">
        <v>0.10431769140840814</v>
      </c>
      <c r="E13193" s="224" t="s">
        <v>2</v>
      </c>
      <c r="F13193" s="515" t="s">
        <v>14380</v>
      </c>
      <c r="G13193" s="52">
        <v>181523.699181112</v>
      </c>
      <c r="H13193" s="56">
        <v>7.0012435311572238E-2</v>
      </c>
      <c r="I13193" s="224" t="s">
        <v>2</v>
      </c>
    </row>
    <row r="13194" spans="1:9" x14ac:dyDescent="0.25">
      <c r="A13194" s="515">
        <v>38916</v>
      </c>
      <c r="C13194" s="52">
        <v>96670.093217140806</v>
      </c>
      <c r="D13194" s="56">
        <v>-4.2163508890452157E-3</v>
      </c>
      <c r="E13194" s="224" t="s">
        <v>2</v>
      </c>
      <c r="F13194" s="515" t="s">
        <v>14381</v>
      </c>
      <c r="G13194" s="52">
        <v>23923.3427690516</v>
      </c>
      <c r="H13194" s="56">
        <v>-0.30853678547175989</v>
      </c>
      <c r="I13194" s="224" t="s">
        <v>2</v>
      </c>
    </row>
    <row r="13195" spans="1:9" x14ac:dyDescent="0.25">
      <c r="A13195" s="515">
        <v>14551</v>
      </c>
      <c r="B13195" s="515" t="s">
        <v>337</v>
      </c>
      <c r="C13195" s="52">
        <v>138131.635487255</v>
      </c>
      <c r="D13195" s="56">
        <v>0.10975044712159822</v>
      </c>
      <c r="E13195" s="224" t="s">
        <v>2</v>
      </c>
      <c r="F13195" s="515" t="s">
        <v>14382</v>
      </c>
      <c r="G13195" s="52">
        <v>103887.68127069301</v>
      </c>
      <c r="H13195" s="56">
        <v>8.9001914411684174E-2</v>
      </c>
      <c r="I13195" s="224" t="s">
        <v>2</v>
      </c>
    </row>
    <row r="13196" spans="1:9" x14ac:dyDescent="0.25">
      <c r="A13196" s="515">
        <v>17814</v>
      </c>
      <c r="B13196" s="515" t="s">
        <v>676</v>
      </c>
      <c r="C13196" s="52">
        <v>207452.828390182</v>
      </c>
      <c r="D13196" s="56">
        <v>9.1461724435039957E-2</v>
      </c>
      <c r="E13196" s="224" t="s">
        <v>2</v>
      </c>
      <c r="F13196" s="515" t="s">
        <v>14383</v>
      </c>
      <c r="G13196" s="52">
        <v>156684.630352498</v>
      </c>
      <c r="H13196" s="56">
        <v>5.1127098104333794E-2</v>
      </c>
      <c r="I13196" s="224" t="s">
        <v>2</v>
      </c>
    </row>
    <row r="13197" spans="1:9" x14ac:dyDescent="0.25">
      <c r="A13197" s="515">
        <v>63343</v>
      </c>
      <c r="B13197" s="515" t="s">
        <v>498</v>
      </c>
      <c r="C13197" s="52">
        <v>166697.98132514401</v>
      </c>
      <c r="D13197" s="56">
        <v>-4.2465362266687103E-2</v>
      </c>
      <c r="E13197" s="224" t="s">
        <v>2</v>
      </c>
      <c r="F13197" s="515" t="s">
        <v>14384</v>
      </c>
      <c r="G13197" s="52">
        <v>80442.314115263303</v>
      </c>
      <c r="H13197" s="56">
        <v>9.945018888675991E-2</v>
      </c>
      <c r="I13197" s="224" t="s">
        <v>2</v>
      </c>
    </row>
    <row r="13198" spans="1:9" x14ac:dyDescent="0.25">
      <c r="A13198" s="515">
        <v>4268</v>
      </c>
      <c r="C13198" s="52">
        <v>281637.3991869</v>
      </c>
      <c r="D13198" s="56">
        <v>9.5010932732595615E-2</v>
      </c>
      <c r="E13198" s="224" t="s">
        <v>2</v>
      </c>
      <c r="F13198" s="515" t="s">
        <v>14385</v>
      </c>
      <c r="G13198" s="52">
        <v>128099.617878041</v>
      </c>
      <c r="H13198" s="56">
        <v>8.3465192482134368E-2</v>
      </c>
      <c r="I13198" s="224" t="s">
        <v>2</v>
      </c>
    </row>
    <row r="13199" spans="1:9" x14ac:dyDescent="0.25">
      <c r="A13199" s="515">
        <v>30559</v>
      </c>
      <c r="C13199" s="52">
        <v>438708.85515574698</v>
      </c>
      <c r="D13199" s="56">
        <v>6.0894094792825197E-2</v>
      </c>
      <c r="E13199" s="224" t="s">
        <v>2</v>
      </c>
      <c r="F13199" s="515" t="s">
        <v>14386</v>
      </c>
      <c r="G13199" s="52">
        <v>121805.345468151</v>
      </c>
      <c r="H13199" s="56">
        <v>4.0514897105555378E-2</v>
      </c>
      <c r="I13199" s="224" t="s">
        <v>2</v>
      </c>
    </row>
    <row r="13200" spans="1:9" x14ac:dyDescent="0.25">
      <c r="A13200" s="515">
        <v>60420</v>
      </c>
      <c r="B13200" s="515" t="s">
        <v>678</v>
      </c>
      <c r="C13200" s="52">
        <v>161147.3647332</v>
      </c>
      <c r="D13200" s="56">
        <v>6.0349167210432146E-2</v>
      </c>
      <c r="E13200" s="224" t="s">
        <v>2</v>
      </c>
      <c r="F13200" s="515" t="s">
        <v>14387</v>
      </c>
      <c r="G13200" s="52">
        <v>151333.11784930099</v>
      </c>
      <c r="H13200" s="56">
        <v>8.2135012094680493E-2</v>
      </c>
      <c r="I13200" s="224" t="s">
        <v>2</v>
      </c>
    </row>
    <row r="13201" spans="1:9" x14ac:dyDescent="0.25">
      <c r="A13201" s="515">
        <v>29470</v>
      </c>
      <c r="B13201" s="515" t="s">
        <v>1009</v>
      </c>
      <c r="C13201" s="52">
        <v>487522.57578746299</v>
      </c>
      <c r="D13201" s="56">
        <v>0.12076240498489858</v>
      </c>
      <c r="E13201" s="224" t="s">
        <v>2</v>
      </c>
      <c r="F13201" s="515" t="s">
        <v>14388</v>
      </c>
      <c r="G13201" s="52">
        <v>441617.38277550403</v>
      </c>
      <c r="H13201" s="56">
        <v>7.8979459870093194E-2</v>
      </c>
      <c r="I13201" s="224" t="s">
        <v>2</v>
      </c>
    </row>
    <row r="13202" spans="1:9" x14ac:dyDescent="0.25">
      <c r="A13202" s="515">
        <v>21087</v>
      </c>
      <c r="B13202" s="515" t="s">
        <v>582</v>
      </c>
      <c r="C13202" s="52">
        <v>473386.61471871898</v>
      </c>
      <c r="D13202" s="56">
        <v>4.2331186808161808E-2</v>
      </c>
      <c r="E13202" s="224" t="s">
        <v>2</v>
      </c>
      <c r="F13202" s="515" t="s">
        <v>14389</v>
      </c>
      <c r="G13202" s="52">
        <v>402610.373854306</v>
      </c>
      <c r="H13202" s="56">
        <v>9.6752892520703501E-2</v>
      </c>
      <c r="I13202" s="224" t="s">
        <v>2</v>
      </c>
    </row>
    <row r="13203" spans="1:9" x14ac:dyDescent="0.25">
      <c r="A13203" s="515">
        <v>39654</v>
      </c>
      <c r="C13203" s="52">
        <v>117064.629927049</v>
      </c>
      <c r="D13203" s="56">
        <v>-1.9082381199305967E-2</v>
      </c>
      <c r="E13203" s="224" t="s">
        <v>2</v>
      </c>
      <c r="F13203" s="515" t="s">
        <v>14390</v>
      </c>
      <c r="G13203" s="52">
        <v>66243.474258874005</v>
      </c>
      <c r="H13203" s="56">
        <v>-6.0574936376620459E-4</v>
      </c>
      <c r="I13203" s="224" t="s">
        <v>2</v>
      </c>
    </row>
    <row r="13204" spans="1:9" x14ac:dyDescent="0.25">
      <c r="A13204" s="515">
        <v>1005</v>
      </c>
      <c r="B13204" s="515" t="s">
        <v>751</v>
      </c>
      <c r="C13204" s="52">
        <v>340913.15447547601</v>
      </c>
      <c r="D13204" s="56">
        <v>0.10715272896802341</v>
      </c>
      <c r="E13204" s="224" t="s">
        <v>2</v>
      </c>
      <c r="F13204" s="515" t="s">
        <v>14391</v>
      </c>
      <c r="G13204" s="52">
        <v>251079.039573116</v>
      </c>
      <c r="H13204" s="56">
        <v>9.0358539206460434E-2</v>
      </c>
      <c r="I13204" s="224" t="s">
        <v>2</v>
      </c>
    </row>
    <row r="13205" spans="1:9" x14ac:dyDescent="0.25">
      <c r="A13205" s="515">
        <v>61088</v>
      </c>
      <c r="B13205" s="515" t="s">
        <v>1104</v>
      </c>
      <c r="C13205" s="52">
        <v>214156.696986578</v>
      </c>
      <c r="D13205" s="56">
        <v>7.5018769757096704E-2</v>
      </c>
      <c r="E13205" s="224" t="s">
        <v>2</v>
      </c>
      <c r="F13205" s="515" t="s">
        <v>14392</v>
      </c>
      <c r="G13205" s="52">
        <v>190207.311424688</v>
      </c>
      <c r="H13205" s="56">
        <v>9.8974802790387298E-2</v>
      </c>
      <c r="I13205" s="224" t="s">
        <v>2</v>
      </c>
    </row>
    <row r="13206" spans="1:9" x14ac:dyDescent="0.25">
      <c r="A13206" s="515">
        <v>28394</v>
      </c>
      <c r="B13206" s="515" t="s">
        <v>1090</v>
      </c>
      <c r="C13206" s="52">
        <v>317762.13980783499</v>
      </c>
      <c r="D13206" s="56">
        <v>0.1733238854463518</v>
      </c>
      <c r="E13206" s="224" t="s">
        <v>2</v>
      </c>
      <c r="F13206" s="515" t="s">
        <v>14393</v>
      </c>
      <c r="G13206" s="52">
        <v>163143.01585024601</v>
      </c>
      <c r="H13206" s="56">
        <v>9.8209375522842091E-2</v>
      </c>
      <c r="I13206" s="224" t="s">
        <v>2</v>
      </c>
    </row>
    <row r="13207" spans="1:9" x14ac:dyDescent="0.25">
      <c r="A13207" s="515">
        <v>46538</v>
      </c>
      <c r="B13207" s="515" t="s">
        <v>1127</v>
      </c>
      <c r="C13207" s="52">
        <v>316916.37347807299</v>
      </c>
      <c r="D13207" s="56">
        <v>8.8882166236129018E-2</v>
      </c>
      <c r="E13207" s="224" t="s">
        <v>2</v>
      </c>
      <c r="F13207" s="515" t="s">
        <v>14394</v>
      </c>
      <c r="G13207" s="52">
        <v>119387.03836695</v>
      </c>
      <c r="H13207" s="56">
        <v>7.7327870844482005E-2</v>
      </c>
      <c r="I13207" s="224" t="s">
        <v>2</v>
      </c>
    </row>
    <row r="13208" spans="1:9" x14ac:dyDescent="0.25">
      <c r="A13208" s="515">
        <v>67420</v>
      </c>
      <c r="C13208" s="52">
        <v>131906.67942075399</v>
      </c>
      <c r="D13208" s="56">
        <v>0.12928424913738809</v>
      </c>
      <c r="E13208" s="224" t="s">
        <v>2</v>
      </c>
      <c r="F13208" s="515" t="s">
        <v>14395</v>
      </c>
      <c r="G13208" s="52">
        <v>56375.8174037157</v>
      </c>
      <c r="H13208" s="56">
        <v>0.12987665440765417</v>
      </c>
      <c r="I13208" s="224" t="s">
        <v>2</v>
      </c>
    </row>
    <row r="13209" spans="1:9" x14ac:dyDescent="0.25">
      <c r="A13209" s="515">
        <v>32064</v>
      </c>
      <c r="C13209" s="52">
        <v>143664.93295021501</v>
      </c>
      <c r="D13209" s="56">
        <v>3.0100299529043452E-2</v>
      </c>
      <c r="E13209" s="224" t="s">
        <v>2</v>
      </c>
      <c r="F13209" s="515" t="s">
        <v>14396</v>
      </c>
      <c r="G13209" s="52">
        <v>203232.70997002101</v>
      </c>
      <c r="H13209" s="56">
        <v>0.11094133362179687</v>
      </c>
      <c r="I13209" s="224" t="s">
        <v>2</v>
      </c>
    </row>
    <row r="13210" spans="1:9" x14ac:dyDescent="0.25">
      <c r="A13210" s="515">
        <v>7826</v>
      </c>
      <c r="B13210" s="515" t="s">
        <v>324</v>
      </c>
      <c r="C13210" s="52">
        <v>363472.83602375101</v>
      </c>
      <c r="D13210" s="56">
        <v>2.1094790373256126E-2</v>
      </c>
      <c r="E13210" s="224" t="s">
        <v>2</v>
      </c>
      <c r="F13210" s="515" t="s">
        <v>14397</v>
      </c>
      <c r="G13210" s="52">
        <v>361279.91978330602</v>
      </c>
      <c r="H13210" s="56">
        <v>8.9738612606300838E-2</v>
      </c>
      <c r="I13210" s="224" t="s">
        <v>2</v>
      </c>
    </row>
    <row r="13211" spans="1:9" x14ac:dyDescent="0.25">
      <c r="A13211" s="515">
        <v>50248</v>
      </c>
      <c r="B13211" s="515" t="s">
        <v>568</v>
      </c>
      <c r="C13211" s="52">
        <v>229334.42319091101</v>
      </c>
      <c r="D13211" s="56">
        <v>8.7654375934348605E-2</v>
      </c>
      <c r="E13211" s="224" t="s">
        <v>2</v>
      </c>
      <c r="F13211" s="515" t="s">
        <v>14398</v>
      </c>
      <c r="G13211" s="52">
        <v>83743.674471871302</v>
      </c>
      <c r="H13211" s="56">
        <v>5.7593690147968432E-2</v>
      </c>
      <c r="I13211" s="224" t="s">
        <v>2</v>
      </c>
    </row>
    <row r="13212" spans="1:9" x14ac:dyDescent="0.25">
      <c r="A13212" s="515">
        <v>55037</v>
      </c>
      <c r="C13212" s="52">
        <v>221517.57914091399</v>
      </c>
      <c r="D13212" s="56">
        <v>0.16772187537144137</v>
      </c>
      <c r="E13212" s="224" t="s">
        <v>2</v>
      </c>
      <c r="F13212" s="515" t="s">
        <v>14399</v>
      </c>
      <c r="G13212" s="52">
        <v>666741.92929904198</v>
      </c>
      <c r="H13212" s="56">
        <v>7.1760607654196562E-2</v>
      </c>
      <c r="I13212" s="224" t="s">
        <v>2</v>
      </c>
    </row>
    <row r="13213" spans="1:9" x14ac:dyDescent="0.25">
      <c r="A13213" s="515">
        <v>50651</v>
      </c>
      <c r="B13213" s="515" t="s">
        <v>315</v>
      </c>
      <c r="C13213" s="52">
        <v>178068.12076014699</v>
      </c>
      <c r="D13213" s="56">
        <v>9.3754702051802336E-2</v>
      </c>
      <c r="E13213" s="224" t="s">
        <v>2</v>
      </c>
      <c r="F13213" s="515" t="s">
        <v>14400</v>
      </c>
      <c r="G13213" s="52">
        <v>80072.828685258894</v>
      </c>
      <c r="H13213" s="56">
        <v>0</v>
      </c>
      <c r="I13213" s="224" t="s">
        <v>2</v>
      </c>
    </row>
    <row r="13214" spans="1:9" x14ac:dyDescent="0.25">
      <c r="A13214" s="515">
        <v>54758</v>
      </c>
      <c r="C13214" s="52">
        <v>210312.634258479</v>
      </c>
      <c r="D13214" s="56">
        <v>-2.7177960931831155E-3</v>
      </c>
      <c r="E13214" s="224" t="s">
        <v>2</v>
      </c>
      <c r="F13214" s="515" t="s">
        <v>14401</v>
      </c>
      <c r="G13214" s="52">
        <v>136056.62200956899</v>
      </c>
      <c r="H13214" s="56">
        <v>0</v>
      </c>
      <c r="I13214" s="224" t="s">
        <v>2</v>
      </c>
    </row>
    <row r="13215" spans="1:9" x14ac:dyDescent="0.25">
      <c r="A13215" s="515">
        <v>1468</v>
      </c>
      <c r="B13215" s="515" t="s">
        <v>751</v>
      </c>
      <c r="C13215" s="52">
        <v>344278.00452936301</v>
      </c>
      <c r="D13215" s="56">
        <v>9.9338741985243104E-2</v>
      </c>
      <c r="E13215" s="224" t="s">
        <v>2</v>
      </c>
      <c r="F13215" s="515" t="s">
        <v>14402</v>
      </c>
      <c r="G13215" s="52">
        <v>404375.23983963701</v>
      </c>
      <c r="H13215" s="56">
        <v>5.8590863681780424E-2</v>
      </c>
      <c r="I13215" s="224" t="s">
        <v>2</v>
      </c>
    </row>
    <row r="13216" spans="1:9" x14ac:dyDescent="0.25">
      <c r="A13216" s="515">
        <v>2717</v>
      </c>
      <c r="B13216" s="515" t="s">
        <v>513</v>
      </c>
      <c r="C13216" s="52">
        <v>487859.66797688598</v>
      </c>
      <c r="D13216" s="56">
        <v>8.1619513361078214E-2</v>
      </c>
      <c r="E13216" s="224" t="s">
        <v>2</v>
      </c>
      <c r="F13216" s="515" t="s">
        <v>14403</v>
      </c>
      <c r="G13216" s="52">
        <v>162643.52953516701</v>
      </c>
      <c r="H13216" s="56">
        <v>4.8202409722557529E-2</v>
      </c>
      <c r="I13216" s="224" t="s">
        <v>2</v>
      </c>
    </row>
    <row r="13217" spans="1:9" x14ac:dyDescent="0.25">
      <c r="A13217" s="515">
        <v>21773</v>
      </c>
      <c r="B13217" s="515" t="s">
        <v>321</v>
      </c>
      <c r="C13217" s="52">
        <v>460245.32719009003</v>
      </c>
      <c r="D13217" s="56">
        <v>4.8004437000753894E-2</v>
      </c>
      <c r="E13217" s="224" t="s">
        <v>2</v>
      </c>
      <c r="F13217" s="515" t="s">
        <v>14404</v>
      </c>
      <c r="G13217" s="52">
        <v>287524.51728506398</v>
      </c>
      <c r="H13217" s="56">
        <v>8.4000378857253796E-2</v>
      </c>
      <c r="I13217" s="224" t="s">
        <v>2</v>
      </c>
    </row>
    <row r="13218" spans="1:9" x14ac:dyDescent="0.25">
      <c r="A13218" s="515">
        <v>6784</v>
      </c>
      <c r="B13218" s="515" t="s">
        <v>1173</v>
      </c>
      <c r="C13218" s="52">
        <v>595606.54403583403</v>
      </c>
      <c r="D13218" s="56">
        <v>8.7939752424794598E-2</v>
      </c>
      <c r="E13218" s="224" t="s">
        <v>2</v>
      </c>
      <c r="F13218" s="515" t="s">
        <v>14405</v>
      </c>
      <c r="G13218" s="52">
        <v>417659.69600635901</v>
      </c>
      <c r="H13218" s="56">
        <v>2.5406806212166278E-2</v>
      </c>
      <c r="I13218" s="224" t="s">
        <v>2</v>
      </c>
    </row>
    <row r="13219" spans="1:9" x14ac:dyDescent="0.25">
      <c r="A13219" s="515">
        <v>59230</v>
      </c>
      <c r="C13219" s="52">
        <v>171014.28541410199</v>
      </c>
      <c r="D13219" s="56">
        <v>6.4021480921618176E-2</v>
      </c>
      <c r="E13219" s="224" t="s">
        <v>2</v>
      </c>
      <c r="F13219" s="515" t="s">
        <v>14406</v>
      </c>
      <c r="G13219" s="52">
        <v>143153.12972992301</v>
      </c>
      <c r="H13219" s="56">
        <v>8.2890708257789797E-2</v>
      </c>
      <c r="I13219" s="224" t="s">
        <v>2</v>
      </c>
    </row>
    <row r="13220" spans="1:9" x14ac:dyDescent="0.25">
      <c r="A13220" s="515">
        <v>7627</v>
      </c>
      <c r="B13220" s="515" t="s">
        <v>324</v>
      </c>
      <c r="C13220" s="52">
        <v>983358.71501040994</v>
      </c>
      <c r="D13220" s="56">
        <v>6.6791041655671041E-2</v>
      </c>
      <c r="E13220" s="224" t="s">
        <v>2</v>
      </c>
      <c r="F13220" s="515" t="s">
        <v>14407</v>
      </c>
      <c r="G13220" s="52">
        <v>592716.85988150595</v>
      </c>
      <c r="H13220" s="56">
        <v>9.1718881739182967E-2</v>
      </c>
      <c r="I13220" s="224" t="s">
        <v>2</v>
      </c>
    </row>
    <row r="13221" spans="1:9" x14ac:dyDescent="0.25">
      <c r="A13221" s="515">
        <v>14572</v>
      </c>
      <c r="B13221" s="515" t="s">
        <v>585</v>
      </c>
      <c r="C13221" s="52">
        <v>134477.70413638299</v>
      </c>
      <c r="D13221" s="56">
        <v>9.2493095366067077E-2</v>
      </c>
      <c r="E13221" s="224" t="s">
        <v>2</v>
      </c>
      <c r="F13221" s="515" t="s">
        <v>14408</v>
      </c>
      <c r="G13221" s="52">
        <v>120444.364005782</v>
      </c>
      <c r="H13221" s="56">
        <v>2.3132170299047825E-2</v>
      </c>
      <c r="I13221" s="224" t="s">
        <v>2</v>
      </c>
    </row>
    <row r="13222" spans="1:9" x14ac:dyDescent="0.25">
      <c r="A13222" s="515">
        <v>75692</v>
      </c>
      <c r="B13222" s="515" t="s">
        <v>319</v>
      </c>
      <c r="C13222" s="52">
        <v>165264.45666594099</v>
      </c>
      <c r="D13222" s="56">
        <v>1.4894739505900511E-2</v>
      </c>
      <c r="E13222" s="224" t="s">
        <v>2</v>
      </c>
      <c r="F13222" s="515" t="s">
        <v>14409</v>
      </c>
      <c r="G13222" s="52">
        <v>207743.92027666001</v>
      </c>
      <c r="H13222" s="56">
        <v>0.10185338970596312</v>
      </c>
      <c r="I13222" s="224" t="s">
        <v>2</v>
      </c>
    </row>
    <row r="13223" spans="1:9" x14ac:dyDescent="0.25">
      <c r="A13223" s="515">
        <v>64016</v>
      </c>
      <c r="B13223" s="515" t="s">
        <v>455</v>
      </c>
      <c r="C13223" s="52">
        <v>219060.25897914101</v>
      </c>
      <c r="D13223" s="56">
        <v>8.3544775976708535E-2</v>
      </c>
      <c r="E13223" s="224" t="s">
        <v>2</v>
      </c>
      <c r="F13223" s="515" t="s">
        <v>14410</v>
      </c>
      <c r="G13223" s="52">
        <v>152949.08377281399</v>
      </c>
      <c r="H13223" s="56">
        <v>0.19698941453169047</v>
      </c>
      <c r="I13223" s="224" t="s">
        <v>2</v>
      </c>
    </row>
    <row r="13224" spans="1:9" x14ac:dyDescent="0.25">
      <c r="A13224" s="515">
        <v>38483</v>
      </c>
      <c r="B13224" s="515" t="s">
        <v>873</v>
      </c>
      <c r="C13224" s="52">
        <v>240605.47118302999</v>
      </c>
      <c r="D13224" s="56">
        <v>0.11238436709687748</v>
      </c>
      <c r="E13224" s="224" t="s">
        <v>2</v>
      </c>
      <c r="F13224" s="515" t="s">
        <v>14411</v>
      </c>
      <c r="G13224" s="52">
        <v>153943.27426654799</v>
      </c>
      <c r="H13224" s="56">
        <v>0.13003720709231231</v>
      </c>
      <c r="I13224" s="224" t="s">
        <v>2</v>
      </c>
    </row>
    <row r="13225" spans="1:9" x14ac:dyDescent="0.25">
      <c r="A13225" s="515">
        <v>29945</v>
      </c>
      <c r="B13225" s="515" t="s">
        <v>734</v>
      </c>
      <c r="C13225" s="52">
        <v>141673.24426480499</v>
      </c>
      <c r="D13225" s="56">
        <v>0.11730592179416528</v>
      </c>
      <c r="E13225" s="224" t="s">
        <v>2</v>
      </c>
      <c r="F13225" s="515" t="s">
        <v>14412</v>
      </c>
      <c r="G13225" s="52">
        <v>158325.64806518599</v>
      </c>
      <c r="H13225" s="56">
        <v>9.4716203491139669E-2</v>
      </c>
      <c r="I13225" s="224" t="s">
        <v>2</v>
      </c>
    </row>
    <row r="13226" spans="1:9" x14ac:dyDescent="0.25">
      <c r="A13226" s="515">
        <v>60964</v>
      </c>
      <c r="B13226" s="515" t="s">
        <v>774</v>
      </c>
      <c r="C13226" s="52">
        <v>154413.269236544</v>
      </c>
      <c r="D13226" s="56">
        <v>5.6803327755717566E-2</v>
      </c>
      <c r="E13226" s="224" t="s">
        <v>2</v>
      </c>
      <c r="F13226" s="515" t="s">
        <v>14413</v>
      </c>
      <c r="G13226" s="52">
        <v>309613.26769691397</v>
      </c>
      <c r="H13226" s="56">
        <v>6.6910078728796188E-2</v>
      </c>
      <c r="I13226" s="224" t="s">
        <v>2</v>
      </c>
    </row>
    <row r="13227" spans="1:9" x14ac:dyDescent="0.25">
      <c r="A13227" s="515">
        <v>48850</v>
      </c>
      <c r="B13227" s="515" t="s">
        <v>631</v>
      </c>
      <c r="C13227" s="52">
        <v>173317.41871093499</v>
      </c>
      <c r="D13227" s="56">
        <v>3.3055428156953531E-2</v>
      </c>
      <c r="E13227" s="224" t="s">
        <v>2</v>
      </c>
      <c r="F13227" s="515" t="s">
        <v>14414</v>
      </c>
      <c r="G13227" s="52">
        <v>298554.73343510099</v>
      </c>
      <c r="H13227" s="56">
        <v>0.13285074247666065</v>
      </c>
      <c r="I13227" s="224" t="s">
        <v>2</v>
      </c>
    </row>
    <row r="13228" spans="1:9" x14ac:dyDescent="0.25">
      <c r="A13228" s="515">
        <v>35760</v>
      </c>
      <c r="B13228" s="515" t="s">
        <v>997</v>
      </c>
      <c r="C13228" s="52">
        <v>179074.70343421499</v>
      </c>
      <c r="D13228" s="56">
        <v>9.4425295610694626E-2</v>
      </c>
      <c r="E13228" s="224" t="s">
        <v>2</v>
      </c>
      <c r="F13228" s="515" t="s">
        <v>14415</v>
      </c>
      <c r="G13228" s="52">
        <v>280439.12001472799</v>
      </c>
      <c r="H13228" s="56">
        <v>0.11282207458082252</v>
      </c>
      <c r="I13228" s="224" t="s">
        <v>2</v>
      </c>
    </row>
    <row r="13229" spans="1:9" x14ac:dyDescent="0.25">
      <c r="A13229" s="515">
        <v>25015</v>
      </c>
      <c r="B13229" s="515" t="s">
        <v>322</v>
      </c>
      <c r="C13229" s="52">
        <v>107337.346650133</v>
      </c>
      <c r="D13229" s="56">
        <v>6.7011590128438256E-2</v>
      </c>
      <c r="E13229" s="224" t="s">
        <v>2</v>
      </c>
      <c r="F13229" s="515" t="s">
        <v>14416</v>
      </c>
      <c r="G13229" s="52">
        <v>181602.464029706</v>
      </c>
      <c r="H13229" s="56">
        <v>7.4121914697686087E-2</v>
      </c>
      <c r="I13229" s="224" t="s">
        <v>2</v>
      </c>
    </row>
    <row r="13230" spans="1:9" x14ac:dyDescent="0.25">
      <c r="A13230" s="515">
        <v>54667</v>
      </c>
      <c r="C13230" s="52">
        <v>201748.66696812201</v>
      </c>
      <c r="D13230" s="56">
        <v>1.4860067175974472E-2</v>
      </c>
      <c r="E13230" s="224" t="s">
        <v>2</v>
      </c>
      <c r="F13230" s="515" t="s">
        <v>14417</v>
      </c>
      <c r="G13230" s="52">
        <v>305356.81827080803</v>
      </c>
      <c r="H13230" s="56">
        <v>5.529180319407808E-2</v>
      </c>
      <c r="I13230" s="224" t="s">
        <v>2</v>
      </c>
    </row>
    <row r="13231" spans="1:9" x14ac:dyDescent="0.25">
      <c r="A13231" s="515">
        <v>12883</v>
      </c>
      <c r="C13231" s="52">
        <v>191865.44929463099</v>
      </c>
      <c r="D13231" s="56">
        <v>9.1045124888986792E-2</v>
      </c>
      <c r="E13231" s="224" t="s">
        <v>2</v>
      </c>
      <c r="F13231" s="515" t="s">
        <v>14418</v>
      </c>
      <c r="G13231" s="52">
        <v>161921.433732367</v>
      </c>
      <c r="H13231" s="56">
        <v>5.304832635794543E-2</v>
      </c>
      <c r="I13231" s="224" t="s">
        <v>2</v>
      </c>
    </row>
    <row r="13232" spans="1:9" x14ac:dyDescent="0.25">
      <c r="A13232" s="515">
        <v>30055</v>
      </c>
      <c r="B13232" s="515" t="s">
        <v>957</v>
      </c>
      <c r="C13232" s="52">
        <v>322210.25651308103</v>
      </c>
      <c r="D13232" s="56">
        <v>7.2483786223227681E-2</v>
      </c>
      <c r="E13232" s="224" t="s">
        <v>2</v>
      </c>
      <c r="F13232" s="515" t="s">
        <v>14419</v>
      </c>
      <c r="G13232" s="52">
        <v>148632.286446062</v>
      </c>
      <c r="H13232" s="56">
        <v>8.6667853877100437E-2</v>
      </c>
      <c r="I13232" s="224" t="s">
        <v>2</v>
      </c>
    </row>
    <row r="13233" spans="1:9" x14ac:dyDescent="0.25">
      <c r="A13233" s="515">
        <v>44262</v>
      </c>
      <c r="B13233" s="515" t="s">
        <v>1000</v>
      </c>
      <c r="C13233" s="52">
        <v>228256.81235056001</v>
      </c>
      <c r="D13233" s="56">
        <v>4.4221571052564947E-2</v>
      </c>
      <c r="E13233" s="224" t="s">
        <v>2</v>
      </c>
      <c r="F13233" s="515" t="s">
        <v>14420</v>
      </c>
      <c r="G13233" s="52">
        <v>308961.337982219</v>
      </c>
      <c r="H13233" s="56">
        <v>0.15589210577682128</v>
      </c>
      <c r="I13233" s="224" t="s">
        <v>2</v>
      </c>
    </row>
    <row r="13234" spans="1:9" x14ac:dyDescent="0.25">
      <c r="A13234" s="515">
        <v>24910</v>
      </c>
      <c r="C13234" s="52">
        <v>137270.90844735299</v>
      </c>
      <c r="D13234" s="56">
        <v>9.5987415437824297E-2</v>
      </c>
      <c r="E13234" s="224" t="s">
        <v>2</v>
      </c>
      <c r="F13234" s="515" t="s">
        <v>14421</v>
      </c>
      <c r="G13234" s="52">
        <v>84485.365182252397</v>
      </c>
      <c r="H13234" s="56">
        <v>0.25168813690933078</v>
      </c>
      <c r="I13234" s="224" t="s">
        <v>2</v>
      </c>
    </row>
    <row r="13235" spans="1:9" x14ac:dyDescent="0.25">
      <c r="A13235" s="515">
        <v>43022</v>
      </c>
      <c r="B13235" s="515" t="s">
        <v>341</v>
      </c>
      <c r="C13235" s="52">
        <v>308155.64977094799</v>
      </c>
      <c r="D13235" s="56">
        <v>8.755960599507745E-2</v>
      </c>
      <c r="E13235" s="224" t="s">
        <v>2</v>
      </c>
      <c r="F13235" s="515" t="s">
        <v>14422</v>
      </c>
      <c r="G13235" s="52">
        <v>186907.92658492801</v>
      </c>
      <c r="H13235" s="56">
        <v>1.1400030340393857E-2</v>
      </c>
      <c r="I13235" s="224" t="s">
        <v>2</v>
      </c>
    </row>
    <row r="13236" spans="1:9" x14ac:dyDescent="0.25">
      <c r="A13236" s="515">
        <v>72744</v>
      </c>
      <c r="B13236" s="515" t="s">
        <v>675</v>
      </c>
      <c r="C13236" s="52">
        <v>193671.85252029699</v>
      </c>
      <c r="D13236" s="56">
        <v>7.2453226048761643E-2</v>
      </c>
      <c r="E13236" s="224" t="s">
        <v>2</v>
      </c>
      <c r="F13236" s="515" t="s">
        <v>14423</v>
      </c>
      <c r="G13236" s="52">
        <v>325355.97223584302</v>
      </c>
      <c r="H13236" s="56">
        <v>0.11007132388680387</v>
      </c>
      <c r="I13236" s="224" t="s">
        <v>2</v>
      </c>
    </row>
    <row r="13237" spans="1:9" x14ac:dyDescent="0.25">
      <c r="A13237" s="515">
        <v>35671</v>
      </c>
      <c r="B13237" s="515" t="s">
        <v>997</v>
      </c>
      <c r="C13237" s="52">
        <v>246954.240963855</v>
      </c>
      <c r="D13237" s="56">
        <v>0</v>
      </c>
      <c r="E13237" s="224" t="s">
        <v>2</v>
      </c>
      <c r="F13237" s="515" t="s">
        <v>14424</v>
      </c>
      <c r="G13237" s="52">
        <v>229608.72314203199</v>
      </c>
      <c r="H13237" s="56">
        <v>0.12359288111641371</v>
      </c>
      <c r="I13237" s="224" t="s">
        <v>2</v>
      </c>
    </row>
    <row r="13238" spans="1:9" x14ac:dyDescent="0.25">
      <c r="A13238" s="515">
        <v>74079</v>
      </c>
      <c r="B13238" s="515" t="s">
        <v>385</v>
      </c>
      <c r="C13238" s="52">
        <v>118931.00045533301</v>
      </c>
      <c r="D13238" s="56">
        <v>0.12613574578434567</v>
      </c>
      <c r="E13238" s="224" t="s">
        <v>2</v>
      </c>
      <c r="F13238" s="515" t="s">
        <v>14425</v>
      </c>
      <c r="G13238" s="52">
        <v>213940.505954869</v>
      </c>
      <c r="H13238" s="56">
        <v>4.7143323762145452E-2</v>
      </c>
      <c r="I13238" s="224" t="s">
        <v>2</v>
      </c>
    </row>
    <row r="13239" spans="1:9" x14ac:dyDescent="0.25">
      <c r="A13239" s="515">
        <v>24482</v>
      </c>
      <c r="B13239" s="515" t="s">
        <v>728</v>
      </c>
      <c r="C13239" s="52">
        <v>256065.00805447801</v>
      </c>
      <c r="D13239" s="56">
        <v>7.1420457150357691E-2</v>
      </c>
      <c r="E13239" s="224" t="s">
        <v>2</v>
      </c>
      <c r="F13239" s="515" t="s">
        <v>14426</v>
      </c>
      <c r="G13239" s="52">
        <v>107324.343898276</v>
      </c>
      <c r="H13239" s="56">
        <v>0.151157633799094</v>
      </c>
      <c r="I13239" s="224" t="s">
        <v>2</v>
      </c>
    </row>
    <row r="13240" spans="1:9" x14ac:dyDescent="0.25">
      <c r="A13240" s="515">
        <v>76531</v>
      </c>
      <c r="C13240" s="52">
        <v>190028.66777303501</v>
      </c>
      <c r="D13240" s="56">
        <v>-3.4939413810460783E-3</v>
      </c>
      <c r="E13240" s="224" t="s">
        <v>2</v>
      </c>
      <c r="F13240" s="515" t="s">
        <v>14427</v>
      </c>
      <c r="G13240" s="52">
        <v>75856.594206170397</v>
      </c>
      <c r="H13240" s="56">
        <v>0.12103183621281979</v>
      </c>
      <c r="I13240" s="224" t="s">
        <v>2</v>
      </c>
    </row>
    <row r="13241" spans="1:9" x14ac:dyDescent="0.25">
      <c r="A13241" s="515">
        <v>67456</v>
      </c>
      <c r="B13241" s="515" t="s">
        <v>812</v>
      </c>
      <c r="C13241" s="52">
        <v>196797.328508468</v>
      </c>
      <c r="D13241" s="56">
        <v>4.0419523456667973E-2</v>
      </c>
      <c r="E13241" s="224" t="s">
        <v>2</v>
      </c>
      <c r="F13241" s="515" t="s">
        <v>14428</v>
      </c>
      <c r="G13241" s="52">
        <v>179380.50774697299</v>
      </c>
      <c r="H13241" s="56">
        <v>3.6318612427406367E-2</v>
      </c>
      <c r="I13241" s="224" t="s">
        <v>2</v>
      </c>
    </row>
    <row r="13242" spans="1:9" x14ac:dyDescent="0.25">
      <c r="A13242" s="515">
        <v>15342</v>
      </c>
      <c r="B13242" s="515" t="s">
        <v>297</v>
      </c>
      <c r="C13242" s="52">
        <v>217557.92836318299</v>
      </c>
      <c r="D13242" s="56">
        <v>5.5804376800613592E-2</v>
      </c>
      <c r="E13242" s="224" t="s">
        <v>2</v>
      </c>
      <c r="F13242" s="515" t="s">
        <v>14429</v>
      </c>
      <c r="G13242" s="52">
        <v>268773.79874378699</v>
      </c>
      <c r="H13242" s="56">
        <v>8.8454348086651119E-2</v>
      </c>
      <c r="I13242" s="224" t="s">
        <v>2</v>
      </c>
    </row>
    <row r="13243" spans="1:9" x14ac:dyDescent="0.25">
      <c r="A13243" s="515">
        <v>63068</v>
      </c>
      <c r="B13243" s="515" t="s">
        <v>498</v>
      </c>
      <c r="C13243" s="52">
        <v>219001.73305815001</v>
      </c>
      <c r="D13243" s="56">
        <v>8.5084353268410434E-2</v>
      </c>
      <c r="E13243" s="224" t="s">
        <v>2</v>
      </c>
      <c r="F13243" s="515" t="s">
        <v>14430</v>
      </c>
      <c r="G13243" s="52">
        <v>281715.93110371701</v>
      </c>
      <c r="H13243" s="56">
        <v>0.21732286257028932</v>
      </c>
      <c r="I13243" s="224" t="s">
        <v>2</v>
      </c>
    </row>
    <row r="13244" spans="1:9" x14ac:dyDescent="0.25">
      <c r="A13244" s="515">
        <v>3858</v>
      </c>
      <c r="B13244" s="515" t="s">
        <v>534</v>
      </c>
      <c r="C13244" s="52">
        <v>481310.99704762601</v>
      </c>
      <c r="D13244" s="56">
        <v>6.8610122478652197E-2</v>
      </c>
      <c r="E13244" s="224" t="s">
        <v>2</v>
      </c>
      <c r="F13244" s="515" t="s">
        <v>14431</v>
      </c>
      <c r="G13244" s="52">
        <v>433613.95166406198</v>
      </c>
      <c r="H13244" s="56">
        <v>3.6691641358247026E-2</v>
      </c>
      <c r="I13244" s="224" t="s">
        <v>2</v>
      </c>
    </row>
    <row r="13245" spans="1:9" x14ac:dyDescent="0.25">
      <c r="A13245" s="515">
        <v>60163</v>
      </c>
      <c r="B13245" s="515" t="s">
        <v>394</v>
      </c>
      <c r="C13245" s="52">
        <v>247671.941032189</v>
      </c>
      <c r="D13245" s="56">
        <v>6.0284175144884398E-2</v>
      </c>
      <c r="E13245" s="224" t="s">
        <v>2</v>
      </c>
      <c r="F13245" s="515" t="s">
        <v>14432</v>
      </c>
      <c r="G13245" s="52">
        <v>129046.56566375399</v>
      </c>
      <c r="H13245" s="56">
        <v>7.0856610251703783E-2</v>
      </c>
      <c r="I13245" s="224" t="s">
        <v>2</v>
      </c>
    </row>
    <row r="13246" spans="1:9" x14ac:dyDescent="0.25">
      <c r="A13246" s="515">
        <v>75640</v>
      </c>
      <c r="B13246" s="515" t="s">
        <v>319</v>
      </c>
      <c r="C13246" s="52">
        <v>257995.16517922201</v>
      </c>
      <c r="D13246" s="56">
        <v>7.8743180235209792E-2</v>
      </c>
      <c r="E13246" s="224" t="s">
        <v>2</v>
      </c>
      <c r="F13246" s="515" t="s">
        <v>14433</v>
      </c>
      <c r="G13246" s="52">
        <v>282187.14772683301</v>
      </c>
      <c r="H13246" s="56">
        <v>5.094953465888527E-2</v>
      </c>
      <c r="I13246" s="224" t="s">
        <v>2</v>
      </c>
    </row>
    <row r="13247" spans="1:9" x14ac:dyDescent="0.25">
      <c r="A13247" s="515">
        <v>39069</v>
      </c>
      <c r="C13247" s="52">
        <v>108207.84950075499</v>
      </c>
      <c r="D13247" s="56">
        <v>-8.3460961652103816E-2</v>
      </c>
      <c r="E13247" s="224" t="s">
        <v>2</v>
      </c>
      <c r="F13247" s="515" t="s">
        <v>14434</v>
      </c>
      <c r="G13247" s="52">
        <v>495659.86733138002</v>
      </c>
      <c r="H13247" s="56">
        <v>4.4501987084109122E-2</v>
      </c>
      <c r="I13247" s="224" t="s">
        <v>2</v>
      </c>
    </row>
    <row r="13248" spans="1:9" x14ac:dyDescent="0.25">
      <c r="A13248" s="515">
        <v>74937</v>
      </c>
      <c r="C13248" s="52">
        <v>90314.818384480997</v>
      </c>
      <c r="D13248" s="56">
        <v>7.7241738914366032E-2</v>
      </c>
      <c r="E13248" s="224" t="s">
        <v>2</v>
      </c>
      <c r="F13248" s="515" t="s">
        <v>14435</v>
      </c>
      <c r="G13248" s="52">
        <v>537147.96480440395</v>
      </c>
      <c r="H13248" s="56">
        <v>-4.182247932482968E-2</v>
      </c>
      <c r="I13248" s="224" t="s">
        <v>2</v>
      </c>
    </row>
    <row r="13249" spans="1:9" x14ac:dyDescent="0.25">
      <c r="A13249" s="515">
        <v>61016</v>
      </c>
      <c r="B13249" s="515" t="s">
        <v>1104</v>
      </c>
      <c r="C13249" s="52">
        <v>218620.374448955</v>
      </c>
      <c r="D13249" s="56">
        <v>8.1565278665856111E-2</v>
      </c>
      <c r="E13249" s="224" t="s">
        <v>2</v>
      </c>
      <c r="F13249" s="515" t="s">
        <v>14436</v>
      </c>
      <c r="G13249" s="52">
        <v>312297.03188683698</v>
      </c>
      <c r="H13249" s="56">
        <v>0.12052933185041607</v>
      </c>
      <c r="I13249" s="224" t="s">
        <v>2</v>
      </c>
    </row>
    <row r="13250" spans="1:9" x14ac:dyDescent="0.25">
      <c r="A13250" s="515">
        <v>17931</v>
      </c>
      <c r="B13250" s="515" t="s">
        <v>994</v>
      </c>
      <c r="C13250" s="52">
        <v>94100.525538634698</v>
      </c>
      <c r="D13250" s="56">
        <v>8.5204807655291176E-2</v>
      </c>
      <c r="E13250" s="224" t="s">
        <v>2</v>
      </c>
      <c r="F13250" s="515" t="s">
        <v>14437</v>
      </c>
      <c r="G13250" s="52">
        <v>170140.07632798399</v>
      </c>
      <c r="H13250" s="56">
        <v>7.1741639879077945E-2</v>
      </c>
      <c r="I13250" s="224" t="s">
        <v>2</v>
      </c>
    </row>
    <row r="13251" spans="1:9" x14ac:dyDescent="0.25">
      <c r="A13251" s="515">
        <v>1240</v>
      </c>
      <c r="B13251" s="515" t="s">
        <v>497</v>
      </c>
      <c r="C13251" s="52">
        <v>521733.23637714499</v>
      </c>
      <c r="D13251" s="56">
        <v>0.10060297139870328</v>
      </c>
      <c r="E13251" s="224" t="s">
        <v>2</v>
      </c>
      <c r="F13251" s="515" t="s">
        <v>14438</v>
      </c>
      <c r="G13251" s="52">
        <v>309288.57495057298</v>
      </c>
      <c r="H13251" s="56">
        <v>-1.8208126478820155E-2</v>
      </c>
      <c r="I13251" s="224" t="s">
        <v>2</v>
      </c>
    </row>
    <row r="13252" spans="1:9" x14ac:dyDescent="0.25">
      <c r="A13252" s="515">
        <v>11940</v>
      </c>
      <c r="B13252" s="515" t="s">
        <v>324</v>
      </c>
      <c r="C13252" s="52">
        <v>600186.88366111706</v>
      </c>
      <c r="D13252" s="56">
        <v>3.3036348935758082E-2</v>
      </c>
      <c r="E13252" s="224" t="s">
        <v>2</v>
      </c>
      <c r="F13252" s="515" t="s">
        <v>14439</v>
      </c>
      <c r="G13252" s="52">
        <v>184040.103384457</v>
      </c>
      <c r="H13252" s="56">
        <v>0.1206184000122731</v>
      </c>
      <c r="I13252" s="224" t="s">
        <v>2</v>
      </c>
    </row>
    <row r="13253" spans="1:9" x14ac:dyDescent="0.25">
      <c r="A13253" s="515">
        <v>75472</v>
      </c>
      <c r="C13253" s="52">
        <v>223655.20739715401</v>
      </c>
      <c r="D13253" s="56">
        <v>2.6416817299158749E-2</v>
      </c>
      <c r="E13253" s="224" t="s">
        <v>2</v>
      </c>
      <c r="F13253" s="515" t="s">
        <v>14440</v>
      </c>
      <c r="G13253" s="52">
        <v>403545.551365497</v>
      </c>
      <c r="H13253" s="56">
        <v>0.11657846093198437</v>
      </c>
      <c r="I13253" s="224" t="s">
        <v>2</v>
      </c>
    </row>
    <row r="13254" spans="1:9" x14ac:dyDescent="0.25">
      <c r="A13254" s="515">
        <v>69130</v>
      </c>
      <c r="B13254" s="515" t="s">
        <v>680</v>
      </c>
      <c r="C13254" s="52">
        <v>136622.78527007299</v>
      </c>
      <c r="D13254" s="56">
        <v>7.4913076304849224E-2</v>
      </c>
      <c r="E13254" s="224" t="s">
        <v>2</v>
      </c>
      <c r="F13254" s="515" t="s">
        <v>14441</v>
      </c>
      <c r="G13254" s="52">
        <v>298722.07888156001</v>
      </c>
      <c r="H13254" s="56">
        <v>8.3161898660989705E-2</v>
      </c>
      <c r="I13254" s="224" t="s">
        <v>2</v>
      </c>
    </row>
    <row r="13255" spans="1:9" x14ac:dyDescent="0.25">
      <c r="A13255" s="515">
        <v>8867</v>
      </c>
      <c r="B13255" s="515" t="s">
        <v>324</v>
      </c>
      <c r="C13255" s="52">
        <v>577661.08285388898</v>
      </c>
      <c r="D13255" s="56">
        <v>3.2800524141524033E-2</v>
      </c>
      <c r="E13255" s="224" t="s">
        <v>2</v>
      </c>
      <c r="F13255" s="515" t="s">
        <v>14442</v>
      </c>
      <c r="G13255" s="52">
        <v>131653.654937332</v>
      </c>
      <c r="H13255" s="56">
        <v>0.31192234607707259</v>
      </c>
      <c r="I13255" s="224" t="s">
        <v>2</v>
      </c>
    </row>
    <row r="13256" spans="1:9" x14ac:dyDescent="0.25">
      <c r="A13256" s="515">
        <v>61910</v>
      </c>
      <c r="C13256" s="52">
        <v>128012.694922579</v>
      </c>
      <c r="D13256" s="56">
        <v>4.0835096232105829E-2</v>
      </c>
      <c r="E13256" s="224" t="s">
        <v>2</v>
      </c>
      <c r="F13256" s="515" t="s">
        <v>14443</v>
      </c>
      <c r="G13256" s="52">
        <v>139205.05274374501</v>
      </c>
      <c r="H13256" s="56">
        <v>0.12195775438043902</v>
      </c>
      <c r="I13256" s="224" t="s">
        <v>2</v>
      </c>
    </row>
    <row r="13257" spans="1:9" x14ac:dyDescent="0.25">
      <c r="A13257" s="515">
        <v>42726</v>
      </c>
      <c r="C13257" s="52">
        <v>185151.33859507201</v>
      </c>
      <c r="D13257" s="56">
        <v>0.24851791265011777</v>
      </c>
      <c r="E13257" s="224" t="s">
        <v>2</v>
      </c>
      <c r="F13257" s="515" t="s">
        <v>14444</v>
      </c>
      <c r="G13257" s="52">
        <v>228915.61229408599</v>
      </c>
      <c r="H13257" s="56">
        <v>0.12043223736395239</v>
      </c>
      <c r="I13257" s="224" t="s">
        <v>2</v>
      </c>
    </row>
    <row r="13258" spans="1:9" x14ac:dyDescent="0.25">
      <c r="A13258" s="515">
        <v>62264</v>
      </c>
      <c r="B13258" s="515" t="s">
        <v>498</v>
      </c>
      <c r="C13258" s="52">
        <v>126075.307122781</v>
      </c>
      <c r="D13258" s="56">
        <v>3.7442729596323859E-2</v>
      </c>
      <c r="E13258" s="224" t="s">
        <v>2</v>
      </c>
      <c r="F13258" s="515" t="s">
        <v>14445</v>
      </c>
      <c r="G13258" s="52">
        <v>49103.158064845004</v>
      </c>
      <c r="H13258" s="56">
        <v>1.193660746565378E-2</v>
      </c>
      <c r="I13258" s="224" t="s">
        <v>2</v>
      </c>
    </row>
    <row r="13259" spans="1:9" x14ac:dyDescent="0.25">
      <c r="A13259" s="515">
        <v>17841</v>
      </c>
      <c r="B13259" s="515" t="s">
        <v>714</v>
      </c>
      <c r="C13259" s="52">
        <v>171767.68551932901</v>
      </c>
      <c r="D13259" s="56">
        <v>8.0540560092708505E-2</v>
      </c>
      <c r="E13259" s="224" t="s">
        <v>2</v>
      </c>
      <c r="F13259" s="515" t="s">
        <v>14446</v>
      </c>
      <c r="G13259" s="52">
        <v>584199.70638357499</v>
      </c>
      <c r="H13259" s="56">
        <v>-4.7124942517781116E-3</v>
      </c>
      <c r="I13259" s="224" t="s">
        <v>2</v>
      </c>
    </row>
    <row r="13260" spans="1:9" x14ac:dyDescent="0.25">
      <c r="A13260" s="515">
        <v>78208</v>
      </c>
      <c r="B13260" s="515" t="s">
        <v>717</v>
      </c>
      <c r="C13260" s="52">
        <v>205104.691940491</v>
      </c>
      <c r="D13260" s="56">
        <v>6.5400624130643487E-2</v>
      </c>
      <c r="E13260" s="224" t="s">
        <v>2</v>
      </c>
      <c r="F13260" s="515" t="s">
        <v>14447</v>
      </c>
      <c r="G13260" s="52">
        <v>197823.176334841</v>
      </c>
      <c r="H13260" s="56">
        <v>0.20281630782650228</v>
      </c>
      <c r="I13260" s="224" t="s">
        <v>2</v>
      </c>
    </row>
    <row r="13261" spans="1:9" x14ac:dyDescent="0.25">
      <c r="A13261" s="515">
        <v>38456</v>
      </c>
      <c r="B13261" s="515" t="s">
        <v>873</v>
      </c>
      <c r="C13261" s="52">
        <v>215534.79493730699</v>
      </c>
      <c r="D13261" s="56">
        <v>6.8034768699585454E-2</v>
      </c>
      <c r="E13261" s="224" t="s">
        <v>2</v>
      </c>
      <c r="F13261" s="515" t="s">
        <v>14448</v>
      </c>
      <c r="G13261" s="52">
        <v>104201.970193557</v>
      </c>
      <c r="H13261" s="56">
        <v>0.17933906413854916</v>
      </c>
      <c r="I13261" s="224" t="s">
        <v>2</v>
      </c>
    </row>
    <row r="13262" spans="1:9" x14ac:dyDescent="0.25">
      <c r="A13262" s="515">
        <v>72106</v>
      </c>
      <c r="B13262" s="515" t="s">
        <v>393</v>
      </c>
      <c r="C13262" s="52">
        <v>165563.37325984699</v>
      </c>
      <c r="D13262" s="56">
        <v>5.9561686708560165E-2</v>
      </c>
      <c r="E13262" s="224" t="s">
        <v>2</v>
      </c>
      <c r="F13262" s="515" t="s">
        <v>14449</v>
      </c>
      <c r="G13262" s="52">
        <v>121533.88418183</v>
      </c>
      <c r="H13262" s="56">
        <v>0.20041291481111478</v>
      </c>
      <c r="I13262" s="224" t="s">
        <v>2</v>
      </c>
    </row>
    <row r="13263" spans="1:9" x14ac:dyDescent="0.25">
      <c r="A13263" s="515">
        <v>38826</v>
      </c>
      <c r="B13263" s="515" t="s">
        <v>1010</v>
      </c>
      <c r="C13263" s="52">
        <v>217952.15108643199</v>
      </c>
      <c r="D13263" s="56">
        <v>4.2275875720039283E-2</v>
      </c>
      <c r="E13263" s="224" t="s">
        <v>2</v>
      </c>
      <c r="F13263" s="515" t="s">
        <v>14450</v>
      </c>
      <c r="G13263" s="52">
        <v>292326.83747717901</v>
      </c>
      <c r="H13263" s="56">
        <v>6.0381637250812331E-2</v>
      </c>
      <c r="I13263" s="224" t="s">
        <v>2</v>
      </c>
    </row>
    <row r="13264" spans="1:9" x14ac:dyDescent="0.25">
      <c r="A13264" s="515">
        <v>43431</v>
      </c>
      <c r="B13264" s="515" t="s">
        <v>878</v>
      </c>
      <c r="C13264" s="52">
        <v>163846.256715603</v>
      </c>
      <c r="D13264" s="56">
        <v>4.6614715142526346E-2</v>
      </c>
      <c r="E13264" s="224" t="s">
        <v>2</v>
      </c>
      <c r="F13264" s="515" t="s">
        <v>14451</v>
      </c>
      <c r="G13264" s="52">
        <v>86447.879751588305</v>
      </c>
      <c r="H13264" s="56">
        <v>4.9812363389175766E-2</v>
      </c>
      <c r="I13264" s="224" t="s">
        <v>2</v>
      </c>
    </row>
    <row r="13265" spans="1:9" x14ac:dyDescent="0.25">
      <c r="A13265" s="515">
        <v>92352</v>
      </c>
      <c r="B13265" s="515" t="s">
        <v>599</v>
      </c>
      <c r="C13265" s="52">
        <v>655157.06860261399</v>
      </c>
      <c r="D13265" s="56">
        <v>2.995261400366123E-2</v>
      </c>
      <c r="E13265" s="224" t="s">
        <v>2</v>
      </c>
      <c r="F13265" s="515" t="s">
        <v>14452</v>
      </c>
      <c r="G13265" s="52">
        <v>792752.10419349</v>
      </c>
      <c r="H13265" s="56">
        <v>9.4486091206720565E-2</v>
      </c>
      <c r="I13265" s="224" t="s">
        <v>2</v>
      </c>
    </row>
    <row r="13266" spans="1:9" x14ac:dyDescent="0.25">
      <c r="A13266" s="515">
        <v>72454</v>
      </c>
      <c r="C13266" s="52">
        <v>97486.370031825994</v>
      </c>
      <c r="D13266" s="56">
        <v>0.11802379232219577</v>
      </c>
      <c r="E13266" s="224" t="s">
        <v>2</v>
      </c>
      <c r="F13266" s="515" t="s">
        <v>14453</v>
      </c>
      <c r="G13266" s="52">
        <v>229575.226917983</v>
      </c>
      <c r="H13266" s="56">
        <v>0.1046640138566108</v>
      </c>
      <c r="I13266" s="224" t="s">
        <v>2</v>
      </c>
    </row>
    <row r="13267" spans="1:9" x14ac:dyDescent="0.25">
      <c r="A13267" s="515">
        <v>15530</v>
      </c>
      <c r="B13267" s="515" t="s">
        <v>370</v>
      </c>
      <c r="C13267" s="52">
        <v>163443.81518888101</v>
      </c>
      <c r="D13267" s="56">
        <v>8.0334073270941234E-2</v>
      </c>
      <c r="E13267" s="224" t="s">
        <v>2</v>
      </c>
      <c r="F13267" s="515" t="s">
        <v>14454</v>
      </c>
      <c r="G13267" s="52">
        <v>245679.04867256599</v>
      </c>
      <c r="H13267" s="56">
        <v>0</v>
      </c>
      <c r="I13267" s="224" t="s">
        <v>2</v>
      </c>
    </row>
    <row r="13268" spans="1:9" x14ac:dyDescent="0.25">
      <c r="A13268" s="515">
        <v>97133</v>
      </c>
      <c r="B13268" s="515" t="s">
        <v>659</v>
      </c>
      <c r="C13268" s="52">
        <v>587439.22962439805</v>
      </c>
      <c r="D13268" s="56">
        <v>5.3048720866691629E-2</v>
      </c>
      <c r="E13268" s="224" t="s">
        <v>2</v>
      </c>
      <c r="F13268" s="515" t="s">
        <v>14455</v>
      </c>
      <c r="G13268" s="52">
        <v>283449.99741439702</v>
      </c>
      <c r="H13268" s="56">
        <v>0.11488889591680651</v>
      </c>
      <c r="I13268" s="224" t="s">
        <v>2</v>
      </c>
    </row>
    <row r="13269" spans="1:9" x14ac:dyDescent="0.25">
      <c r="A13269" s="515">
        <v>48730</v>
      </c>
      <c r="C13269" s="52">
        <v>155107.02324289401</v>
      </c>
      <c r="D13269" s="56">
        <v>0.1015730951638029</v>
      </c>
      <c r="E13269" s="224" t="s">
        <v>2</v>
      </c>
      <c r="F13269" s="515" t="s">
        <v>14456</v>
      </c>
      <c r="G13269" s="52">
        <v>206318.363779017</v>
      </c>
      <c r="H13269" s="56">
        <v>0.11497527441824405</v>
      </c>
      <c r="I13269" s="224" t="s">
        <v>2</v>
      </c>
    </row>
    <row r="13270" spans="1:9" x14ac:dyDescent="0.25">
      <c r="A13270" s="515">
        <v>78069</v>
      </c>
      <c r="B13270" s="515" t="s">
        <v>717</v>
      </c>
      <c r="C13270" s="52">
        <v>219148.67590465501</v>
      </c>
      <c r="D13270" s="56">
        <v>2.6249983657830749E-2</v>
      </c>
      <c r="E13270" s="224" t="s">
        <v>2</v>
      </c>
      <c r="F13270" s="515" t="s">
        <v>14457</v>
      </c>
      <c r="G13270" s="52">
        <v>157575.655963798</v>
      </c>
      <c r="H13270" s="56">
        <v>0.13990020332851646</v>
      </c>
      <c r="I13270" s="224" t="s">
        <v>2</v>
      </c>
    </row>
    <row r="13271" spans="1:9" x14ac:dyDescent="0.25">
      <c r="A13271" s="515">
        <v>44431</v>
      </c>
      <c r="B13271" s="515" t="s">
        <v>627</v>
      </c>
      <c r="C13271" s="52">
        <v>138539.968299795</v>
      </c>
      <c r="D13271" s="56">
        <v>9.5990289076624505E-2</v>
      </c>
      <c r="E13271" s="224" t="s">
        <v>2</v>
      </c>
      <c r="F13271" s="515" t="s">
        <v>14458</v>
      </c>
      <c r="G13271" s="52">
        <v>403475.83001931402</v>
      </c>
      <c r="H13271" s="56">
        <v>6.8994718179869435E-2</v>
      </c>
      <c r="I13271" s="224" t="s">
        <v>2</v>
      </c>
    </row>
    <row r="13272" spans="1:9" x14ac:dyDescent="0.25">
      <c r="A13272" s="515">
        <v>70722</v>
      </c>
      <c r="B13272" s="515" t="s">
        <v>610</v>
      </c>
      <c r="C13272" s="52">
        <v>183082.55699116801</v>
      </c>
      <c r="D13272" s="56">
        <v>3.2950845460050011E-2</v>
      </c>
      <c r="E13272" s="224" t="s">
        <v>2</v>
      </c>
      <c r="F13272" s="515" t="s">
        <v>14459</v>
      </c>
      <c r="G13272" s="52">
        <v>89527.9316062094</v>
      </c>
      <c r="H13272" s="56">
        <v>0</v>
      </c>
      <c r="I13272" s="224" t="s">
        <v>2</v>
      </c>
    </row>
    <row r="13273" spans="1:9" x14ac:dyDescent="0.25">
      <c r="A13273" s="515">
        <v>37362</v>
      </c>
      <c r="B13273" s="515" t="s">
        <v>918</v>
      </c>
      <c r="C13273" s="52">
        <v>198445.142094685</v>
      </c>
      <c r="D13273" s="56">
        <v>7.4812846444920839E-2</v>
      </c>
      <c r="E13273" s="224" t="s">
        <v>2</v>
      </c>
      <c r="F13273" s="515" t="s">
        <v>14460</v>
      </c>
      <c r="G13273" s="52">
        <v>125040.737052136</v>
      </c>
      <c r="H13273" s="56">
        <v>0</v>
      </c>
      <c r="I13273" s="224" t="s">
        <v>2</v>
      </c>
    </row>
    <row r="13274" spans="1:9" x14ac:dyDescent="0.25">
      <c r="A13274" s="515">
        <v>23310</v>
      </c>
      <c r="C13274" s="52">
        <v>305370.16659393598</v>
      </c>
      <c r="D13274" s="56">
        <v>0.12316083476818852</v>
      </c>
      <c r="E13274" s="224" t="s">
        <v>2</v>
      </c>
      <c r="F13274" s="515" t="s">
        <v>14461</v>
      </c>
      <c r="G13274" s="52">
        <v>162341.92151886699</v>
      </c>
      <c r="H13274" s="56">
        <v>0.10518109499788994</v>
      </c>
      <c r="I13274" s="224" t="s">
        <v>2</v>
      </c>
    </row>
    <row r="13275" spans="1:9" x14ac:dyDescent="0.25">
      <c r="A13275" s="515">
        <v>28318</v>
      </c>
      <c r="C13275" s="52">
        <v>145985.05832386599</v>
      </c>
      <c r="D13275" s="56">
        <v>0.12740543901337811</v>
      </c>
      <c r="E13275" s="224" t="s">
        <v>2</v>
      </c>
      <c r="F13275" s="515" t="s">
        <v>14462</v>
      </c>
      <c r="G13275" s="52">
        <v>460325.712977927</v>
      </c>
      <c r="H13275" s="56">
        <v>5.9971660304734178E-2</v>
      </c>
      <c r="I13275" s="224" t="s">
        <v>2</v>
      </c>
    </row>
    <row r="13276" spans="1:9" x14ac:dyDescent="0.25">
      <c r="A13276" s="515">
        <v>35971</v>
      </c>
      <c r="B13276" s="515" t="s">
        <v>979</v>
      </c>
      <c r="C13276" s="52">
        <v>165943.65735416699</v>
      </c>
      <c r="D13276" s="56">
        <v>0.15142538518775278</v>
      </c>
      <c r="E13276" s="224" t="s">
        <v>2</v>
      </c>
      <c r="F13276" s="515" t="s">
        <v>14463</v>
      </c>
      <c r="G13276" s="52">
        <v>125584.201643163</v>
      </c>
      <c r="H13276" s="56">
        <v>6.2036144640945499E-2</v>
      </c>
      <c r="I13276" s="224" t="s">
        <v>2</v>
      </c>
    </row>
    <row r="13277" spans="1:9" x14ac:dyDescent="0.25">
      <c r="A13277" s="515">
        <v>36726</v>
      </c>
      <c r="C13277" s="52">
        <v>125458.812660543</v>
      </c>
      <c r="D13277" s="56">
        <v>-1.4738422576304683E-3</v>
      </c>
      <c r="E13277" s="224" t="s">
        <v>2</v>
      </c>
      <c r="F13277" s="515" t="s">
        <v>14464</v>
      </c>
      <c r="G13277" s="52">
        <v>206574.37469931701</v>
      </c>
      <c r="H13277" s="56">
        <v>0.21660156420144072</v>
      </c>
      <c r="I13277" s="224" t="s">
        <v>2</v>
      </c>
    </row>
    <row r="13278" spans="1:9" x14ac:dyDescent="0.25">
      <c r="A13278" s="515">
        <v>37370</v>
      </c>
      <c r="B13278" s="515" t="s">
        <v>1135</v>
      </c>
      <c r="C13278" s="52">
        <v>252647.59644185699</v>
      </c>
      <c r="D13278" s="56">
        <v>7.3923896630785163E-2</v>
      </c>
      <c r="E13278" s="224" t="s">
        <v>2</v>
      </c>
      <c r="F13278" s="515" t="s">
        <v>14465</v>
      </c>
      <c r="G13278" s="52">
        <v>264442.41839510301</v>
      </c>
      <c r="H13278" s="56">
        <v>5.1199412502230632E-2</v>
      </c>
      <c r="I13278" s="224" t="s">
        <v>2</v>
      </c>
    </row>
    <row r="13279" spans="1:9" x14ac:dyDescent="0.25">
      <c r="A13279" s="515">
        <v>81326</v>
      </c>
      <c r="B13279" s="515" t="s">
        <v>1181</v>
      </c>
      <c r="C13279" s="52">
        <v>582782.32187556894</v>
      </c>
      <c r="D13279" s="56">
        <v>0.11359366555554729</v>
      </c>
      <c r="E13279" s="224" t="s">
        <v>2</v>
      </c>
      <c r="F13279" s="515" t="s">
        <v>14466</v>
      </c>
      <c r="G13279" s="52">
        <v>108090.853453991</v>
      </c>
      <c r="H13279" s="56">
        <v>-0.12784882616216986</v>
      </c>
      <c r="I13279" s="224" t="s">
        <v>2</v>
      </c>
    </row>
    <row r="13280" spans="1:9" x14ac:dyDescent="0.25">
      <c r="A13280" s="515">
        <v>68763</v>
      </c>
      <c r="C13280" s="52">
        <v>150024.66326364499</v>
      </c>
      <c r="D13280" s="56">
        <v>0.10350920390007463</v>
      </c>
      <c r="E13280" s="224" t="s">
        <v>2</v>
      </c>
      <c r="F13280" s="515" t="s">
        <v>14467</v>
      </c>
      <c r="G13280" s="52">
        <v>596567.92448214395</v>
      </c>
      <c r="H13280" s="56">
        <v>-2.229448244052663E-2</v>
      </c>
      <c r="I13280" s="224" t="s">
        <v>2</v>
      </c>
    </row>
    <row r="13281" spans="1:9" x14ac:dyDescent="0.25">
      <c r="A13281" s="515">
        <v>89086</v>
      </c>
      <c r="B13281" s="515" t="s">
        <v>323</v>
      </c>
      <c r="C13281" s="52">
        <v>407103.28544105199</v>
      </c>
      <c r="D13281" s="56">
        <v>4.3941897731872605E-2</v>
      </c>
      <c r="E13281" s="224">
        <v>1534.80555555555</v>
      </c>
      <c r="F13281" s="515" t="s">
        <v>14468</v>
      </c>
      <c r="G13281" s="52">
        <v>213114.306250842</v>
      </c>
      <c r="H13281" s="56">
        <v>8.0286945444054736E-2</v>
      </c>
      <c r="I13281" s="224" t="s">
        <v>2</v>
      </c>
    </row>
    <row r="13282" spans="1:9" x14ac:dyDescent="0.25">
      <c r="A13282" s="515">
        <v>35739</v>
      </c>
      <c r="B13282" s="515" t="s">
        <v>997</v>
      </c>
      <c r="C13282" s="52">
        <v>213013.32579114</v>
      </c>
      <c r="D13282" s="56">
        <v>7.1566707483111877E-2</v>
      </c>
      <c r="E13282" s="224" t="s">
        <v>2</v>
      </c>
      <c r="F13282" s="515" t="s">
        <v>14469</v>
      </c>
      <c r="G13282" s="52">
        <v>294851.62888115301</v>
      </c>
      <c r="H13282" s="56">
        <v>5.154349270739593E-2</v>
      </c>
      <c r="I13282" s="224" t="s">
        <v>2</v>
      </c>
    </row>
    <row r="13283" spans="1:9" x14ac:dyDescent="0.25">
      <c r="A13283" s="515">
        <v>27563</v>
      </c>
      <c r="C13283" s="52">
        <v>139692.54450382001</v>
      </c>
      <c r="D13283" s="56">
        <v>0.23928397342284397</v>
      </c>
      <c r="E13283" s="224" t="s">
        <v>2</v>
      </c>
      <c r="F13283" s="515" t="s">
        <v>14470</v>
      </c>
      <c r="G13283" s="52">
        <v>283571.43020962598</v>
      </c>
      <c r="H13283" s="56">
        <v>7.0840936520579018E-2</v>
      </c>
      <c r="I13283" s="224" t="s">
        <v>2</v>
      </c>
    </row>
    <row r="13284" spans="1:9" x14ac:dyDescent="0.25">
      <c r="A13284" s="515">
        <v>1376</v>
      </c>
      <c r="B13284" s="515" t="s">
        <v>575</v>
      </c>
      <c r="C13284" s="52">
        <v>265597.07766801602</v>
      </c>
      <c r="D13284" s="56">
        <v>9.6049327314656638E-2</v>
      </c>
      <c r="E13284" s="224" t="s">
        <v>2</v>
      </c>
      <c r="F13284" s="515" t="s">
        <v>14471</v>
      </c>
      <c r="G13284" s="52">
        <v>89768.570123077807</v>
      </c>
      <c r="H13284" s="56">
        <v>-8.5719607502206002E-2</v>
      </c>
      <c r="I13284" s="224" t="s">
        <v>2</v>
      </c>
    </row>
    <row r="13285" spans="1:9" x14ac:dyDescent="0.25">
      <c r="A13285" s="515">
        <v>11971</v>
      </c>
      <c r="B13285" s="515" t="s">
        <v>324</v>
      </c>
      <c r="C13285" s="52">
        <v>896613.00039205397</v>
      </c>
      <c r="D13285" s="56">
        <v>6.1404936335482177E-2</v>
      </c>
      <c r="E13285" s="224" t="s">
        <v>2</v>
      </c>
      <c r="F13285" s="515" t="s">
        <v>14472</v>
      </c>
      <c r="G13285" s="52">
        <v>174304.94955279399</v>
      </c>
      <c r="H13285" s="56">
        <v>0.11116253810942012</v>
      </c>
      <c r="I13285" s="224" t="s">
        <v>2</v>
      </c>
    </row>
    <row r="13286" spans="1:9" x14ac:dyDescent="0.25">
      <c r="A13286" s="515">
        <v>29638</v>
      </c>
      <c r="C13286" s="52">
        <v>161360.67452721001</v>
      </c>
      <c r="D13286" s="56">
        <v>0.13262410889185414</v>
      </c>
      <c r="E13286" s="224" t="s">
        <v>2</v>
      </c>
      <c r="F13286" s="515" t="s">
        <v>14473</v>
      </c>
      <c r="G13286" s="52">
        <v>114336.736954896</v>
      </c>
      <c r="H13286" s="56">
        <v>2.4397955044531062E-2</v>
      </c>
      <c r="I13286" s="224" t="s">
        <v>2</v>
      </c>
    </row>
    <row r="13287" spans="1:9" x14ac:dyDescent="0.25">
      <c r="A13287" s="515">
        <v>64465</v>
      </c>
      <c r="B13287" s="515" t="s">
        <v>455</v>
      </c>
      <c r="C13287" s="52">
        <v>233240.13296126499</v>
      </c>
      <c r="D13287" s="56">
        <v>7.8787291885644692E-2</v>
      </c>
      <c r="E13287" s="224" t="s">
        <v>2</v>
      </c>
      <c r="F13287" s="515" t="s">
        <v>14474</v>
      </c>
      <c r="G13287" s="52">
        <v>87491.721645630998</v>
      </c>
      <c r="H13287" s="56">
        <v>0.12847720151430045</v>
      </c>
      <c r="I13287" s="224" t="s">
        <v>2</v>
      </c>
    </row>
    <row r="13288" spans="1:9" x14ac:dyDescent="0.25">
      <c r="A13288" s="515">
        <v>18434</v>
      </c>
      <c r="B13288" s="515" t="s">
        <v>512</v>
      </c>
      <c r="C13288" s="52">
        <v>157841.63393449999</v>
      </c>
      <c r="D13288" s="56">
        <v>7.1324615137646361E-2</v>
      </c>
      <c r="E13288" s="224" t="s">
        <v>2</v>
      </c>
      <c r="F13288" s="515" t="s">
        <v>14475</v>
      </c>
      <c r="G13288" s="52">
        <v>366706.86716215499</v>
      </c>
      <c r="H13288" s="56">
        <v>5.2566294856943731E-2</v>
      </c>
      <c r="I13288" s="224" t="s">
        <v>2</v>
      </c>
    </row>
    <row r="13289" spans="1:9" x14ac:dyDescent="0.25">
      <c r="A13289" s="515">
        <v>14105</v>
      </c>
      <c r="B13289" s="515" t="s">
        <v>336</v>
      </c>
      <c r="C13289" s="52">
        <v>169837.44220028701</v>
      </c>
      <c r="D13289" s="56">
        <v>9.3392307322326049E-2</v>
      </c>
      <c r="E13289" s="224" t="s">
        <v>2</v>
      </c>
      <c r="F13289" s="515" t="s">
        <v>14476</v>
      </c>
      <c r="G13289" s="52">
        <v>98815.097744717903</v>
      </c>
      <c r="H13289" s="56">
        <v>-3.11949333750251E-3</v>
      </c>
      <c r="I13289" s="224" t="s">
        <v>2</v>
      </c>
    </row>
    <row r="13290" spans="1:9" x14ac:dyDescent="0.25">
      <c r="A13290" s="515">
        <v>78059</v>
      </c>
      <c r="B13290" s="515" t="s">
        <v>717</v>
      </c>
      <c r="C13290" s="52">
        <v>279348.26819803502</v>
      </c>
      <c r="D13290" s="56">
        <v>-2.8228504268461973E-3</v>
      </c>
      <c r="E13290" s="224" t="s">
        <v>2</v>
      </c>
      <c r="F13290" s="515" t="s">
        <v>14477</v>
      </c>
      <c r="G13290" s="52">
        <v>170243.98509874399</v>
      </c>
      <c r="H13290" s="56">
        <v>0.12511746137209509</v>
      </c>
      <c r="I13290" s="224" t="s">
        <v>2</v>
      </c>
    </row>
    <row r="13291" spans="1:9" x14ac:dyDescent="0.25">
      <c r="A13291" s="515">
        <v>26704</v>
      </c>
      <c r="B13291" s="515" t="s">
        <v>629</v>
      </c>
      <c r="C13291" s="52">
        <v>228433.04015910599</v>
      </c>
      <c r="D13291" s="56">
        <v>0.15228757766698811</v>
      </c>
      <c r="E13291" s="224" t="s">
        <v>2</v>
      </c>
      <c r="F13291" s="515" t="s">
        <v>14478</v>
      </c>
      <c r="G13291" s="52">
        <v>271089.61134863499</v>
      </c>
      <c r="H13291" s="56">
        <v>7.659925378385242E-2</v>
      </c>
      <c r="I13291" s="224" t="s">
        <v>2</v>
      </c>
    </row>
    <row r="13292" spans="1:9" x14ac:dyDescent="0.25">
      <c r="A13292" s="515">
        <v>1773</v>
      </c>
      <c r="B13292" s="515" t="s">
        <v>534</v>
      </c>
      <c r="C13292" s="52">
        <v>1242057.22336776</v>
      </c>
      <c r="D13292" s="56">
        <v>6.1954286930292111E-2</v>
      </c>
      <c r="E13292" s="224" t="s">
        <v>2</v>
      </c>
      <c r="F13292" s="515" t="s">
        <v>14479</v>
      </c>
      <c r="G13292" s="52">
        <v>221227.400697242</v>
      </c>
      <c r="H13292" s="56">
        <v>0.15866420454955399</v>
      </c>
      <c r="I13292" s="224" t="s">
        <v>2</v>
      </c>
    </row>
    <row r="13293" spans="1:9" x14ac:dyDescent="0.25">
      <c r="A13293" s="515">
        <v>51247</v>
      </c>
      <c r="C13293" s="52">
        <v>238888.31406469701</v>
      </c>
      <c r="D13293" s="56">
        <v>0</v>
      </c>
      <c r="E13293" s="224" t="s">
        <v>2</v>
      </c>
      <c r="F13293" s="515" t="s">
        <v>14480</v>
      </c>
      <c r="G13293" s="52">
        <v>204402.91423736099</v>
      </c>
      <c r="H13293" s="56">
        <v>6.3644694268924051E-2</v>
      </c>
      <c r="I13293" s="224" t="s">
        <v>2</v>
      </c>
    </row>
    <row r="13294" spans="1:9" x14ac:dyDescent="0.25">
      <c r="A13294" s="515">
        <v>16433</v>
      </c>
      <c r="B13294" s="515" t="s">
        <v>1042</v>
      </c>
      <c r="C13294" s="52">
        <v>162119.74541538401</v>
      </c>
      <c r="D13294" s="56">
        <v>4.0785110180771425E-2</v>
      </c>
      <c r="E13294" s="224" t="s">
        <v>2</v>
      </c>
      <c r="F13294" s="515" t="s">
        <v>14481</v>
      </c>
      <c r="G13294" s="52">
        <v>196575.258823529</v>
      </c>
      <c r="H13294" s="56">
        <v>0</v>
      </c>
      <c r="I13294" s="224" t="s">
        <v>2</v>
      </c>
    </row>
    <row r="13295" spans="1:9" x14ac:dyDescent="0.25">
      <c r="A13295" s="515">
        <v>33876</v>
      </c>
      <c r="B13295" s="515" t="s">
        <v>1099</v>
      </c>
      <c r="C13295" s="52">
        <v>245922.95385510701</v>
      </c>
      <c r="D13295" s="56">
        <v>0.12971238161457527</v>
      </c>
      <c r="E13295" s="224" t="s">
        <v>2</v>
      </c>
      <c r="F13295" s="515" t="s">
        <v>14482</v>
      </c>
      <c r="G13295" s="52">
        <v>63773.325399321198</v>
      </c>
      <c r="H13295" s="56">
        <v>-0.14374620843915173</v>
      </c>
      <c r="I13295" s="224" t="s">
        <v>2</v>
      </c>
    </row>
    <row r="13296" spans="1:9" x14ac:dyDescent="0.25">
      <c r="A13296" s="515">
        <v>24361</v>
      </c>
      <c r="B13296" s="515" t="s">
        <v>902</v>
      </c>
      <c r="C13296" s="52">
        <v>184805.964506975</v>
      </c>
      <c r="D13296" s="56">
        <v>0.1120993715170347</v>
      </c>
      <c r="E13296" s="224" t="s">
        <v>2</v>
      </c>
      <c r="F13296" s="515" t="s">
        <v>14483</v>
      </c>
      <c r="G13296" s="52">
        <v>279551.66276639898</v>
      </c>
      <c r="H13296" s="56">
        <v>2.8690873126045811E-2</v>
      </c>
      <c r="I13296" s="224" t="s">
        <v>2</v>
      </c>
    </row>
    <row r="13297" spans="1:9" x14ac:dyDescent="0.25">
      <c r="A13297" s="515">
        <v>4252</v>
      </c>
      <c r="B13297" s="515" t="s">
        <v>1120</v>
      </c>
      <c r="C13297" s="52">
        <v>269843.36478344398</v>
      </c>
      <c r="D13297" s="56">
        <v>7.5135528688234185E-2</v>
      </c>
      <c r="E13297" s="224" t="s">
        <v>2</v>
      </c>
      <c r="F13297" s="515" t="s">
        <v>14484</v>
      </c>
      <c r="G13297" s="52">
        <v>149369.33057851199</v>
      </c>
      <c r="H13297" s="56">
        <v>0</v>
      </c>
      <c r="I13297" s="224" t="s">
        <v>2</v>
      </c>
    </row>
    <row r="13298" spans="1:9" x14ac:dyDescent="0.25">
      <c r="A13298" s="515">
        <v>46121</v>
      </c>
      <c r="B13298" s="515" t="s">
        <v>403</v>
      </c>
      <c r="C13298" s="52">
        <v>283095.63457719999</v>
      </c>
      <c r="D13298" s="56">
        <v>8.1355566887401629E-2</v>
      </c>
      <c r="E13298" s="224" t="s">
        <v>2</v>
      </c>
      <c r="F13298" s="515" t="s">
        <v>14485</v>
      </c>
      <c r="G13298" s="52">
        <v>253126.24880755399</v>
      </c>
      <c r="H13298" s="56">
        <v>7.4433846427822692E-2</v>
      </c>
      <c r="I13298" s="224" t="s">
        <v>2</v>
      </c>
    </row>
    <row r="13299" spans="1:9" x14ac:dyDescent="0.25">
      <c r="A13299" s="515">
        <v>79731</v>
      </c>
      <c r="C13299" s="52">
        <v>145006.48878793599</v>
      </c>
      <c r="D13299" s="56">
        <v>5.2703583399258177E-3</v>
      </c>
      <c r="E13299" s="224" t="s">
        <v>2</v>
      </c>
      <c r="F13299" s="515" t="s">
        <v>14486</v>
      </c>
      <c r="G13299" s="52">
        <v>192616.99234845699</v>
      </c>
      <c r="H13299" s="56">
        <v>3.5864814507533295E-2</v>
      </c>
      <c r="I13299" s="224" t="s">
        <v>2</v>
      </c>
    </row>
    <row r="13300" spans="1:9" x14ac:dyDescent="0.25">
      <c r="A13300" s="515">
        <v>71742</v>
      </c>
      <c r="C13300" s="52">
        <v>64713.499834829498</v>
      </c>
      <c r="D13300" s="56">
        <v>-5.2514996446536275E-2</v>
      </c>
      <c r="E13300" s="224" t="s">
        <v>2</v>
      </c>
      <c r="F13300" s="515" t="s">
        <v>14487</v>
      </c>
      <c r="G13300" s="52">
        <v>1115881.9507206399</v>
      </c>
      <c r="H13300" s="56">
        <v>4.4967766551432024E-2</v>
      </c>
      <c r="I13300" s="224" t="s">
        <v>2</v>
      </c>
    </row>
    <row r="13301" spans="1:9" x14ac:dyDescent="0.25">
      <c r="A13301" s="515">
        <v>61063</v>
      </c>
      <c r="B13301" s="515" t="s">
        <v>1104</v>
      </c>
      <c r="C13301" s="52">
        <v>170132.55392250899</v>
      </c>
      <c r="D13301" s="56">
        <v>6.6296657793665503E-2</v>
      </c>
      <c r="E13301" s="224" t="s">
        <v>2</v>
      </c>
      <c r="F13301" s="515" t="s">
        <v>14488</v>
      </c>
      <c r="G13301" s="52">
        <v>151033.555481863</v>
      </c>
      <c r="H13301" s="56">
        <v>5.6645751448629919E-2</v>
      </c>
      <c r="I13301" s="224" t="s">
        <v>2</v>
      </c>
    </row>
    <row r="13302" spans="1:9" x14ac:dyDescent="0.25">
      <c r="A13302" s="515">
        <v>48367</v>
      </c>
      <c r="B13302" s="515" t="s">
        <v>685</v>
      </c>
      <c r="C13302" s="52">
        <v>409365.28453832201</v>
      </c>
      <c r="D13302" s="56">
        <v>3.6695622419608519E-2</v>
      </c>
      <c r="E13302" s="224" t="s">
        <v>2</v>
      </c>
      <c r="F13302" s="515" t="s">
        <v>14489</v>
      </c>
      <c r="G13302" s="52">
        <v>326301.92032850499</v>
      </c>
      <c r="H13302" s="56">
        <v>0.19484173147853168</v>
      </c>
      <c r="I13302" s="224" t="s">
        <v>2</v>
      </c>
    </row>
    <row r="13303" spans="1:9" x14ac:dyDescent="0.25">
      <c r="A13303" s="515">
        <v>95039</v>
      </c>
      <c r="B13303" s="515" t="s">
        <v>443</v>
      </c>
      <c r="C13303" s="52">
        <v>986811.09417594003</v>
      </c>
      <c r="D13303" s="56">
        <v>3.4423237266486405E-2</v>
      </c>
      <c r="E13303" s="224" t="s">
        <v>2</v>
      </c>
      <c r="F13303" s="515" t="s">
        <v>14490</v>
      </c>
      <c r="G13303" s="52">
        <v>145984.30168911201</v>
      </c>
      <c r="H13303" s="56">
        <v>6.5556773076873881E-2</v>
      </c>
      <c r="I13303" s="224" t="s">
        <v>2</v>
      </c>
    </row>
    <row r="13304" spans="1:9" x14ac:dyDescent="0.25">
      <c r="A13304" s="515">
        <v>35186</v>
      </c>
      <c r="B13304" s="515" t="s">
        <v>640</v>
      </c>
      <c r="C13304" s="52">
        <v>314200.47365721798</v>
      </c>
      <c r="D13304" s="56">
        <v>6.7761136948892908E-2</v>
      </c>
      <c r="E13304" s="224" t="s">
        <v>2</v>
      </c>
      <c r="F13304" s="515" t="s">
        <v>14491</v>
      </c>
      <c r="G13304" s="52">
        <v>630937.03091930901</v>
      </c>
      <c r="H13304" s="56">
        <v>5.2142074385474316E-2</v>
      </c>
      <c r="I13304" s="224" t="s">
        <v>2</v>
      </c>
    </row>
    <row r="13305" spans="1:9" x14ac:dyDescent="0.25">
      <c r="A13305" s="515">
        <v>37818</v>
      </c>
      <c r="B13305" s="515" t="s">
        <v>1117</v>
      </c>
      <c r="C13305" s="52">
        <v>163328.72937002301</v>
      </c>
      <c r="D13305" s="56">
        <v>7.4032327322797631E-2</v>
      </c>
      <c r="E13305" s="224" t="s">
        <v>2</v>
      </c>
      <c r="F13305" s="515" t="s">
        <v>14492</v>
      </c>
      <c r="G13305" s="52">
        <v>227583.133914437</v>
      </c>
      <c r="H13305" s="56">
        <v>5.8723616370350701E-2</v>
      </c>
      <c r="I13305" s="224" t="s">
        <v>2</v>
      </c>
    </row>
    <row r="13306" spans="1:9" x14ac:dyDescent="0.25">
      <c r="A13306" s="515">
        <v>68462</v>
      </c>
      <c r="B13306" s="515" t="s">
        <v>486</v>
      </c>
      <c r="C13306" s="52">
        <v>304627.327391984</v>
      </c>
      <c r="D13306" s="56">
        <v>7.452877380132597E-2</v>
      </c>
      <c r="E13306" s="224" t="s">
        <v>2</v>
      </c>
      <c r="F13306" s="515" t="s">
        <v>14493</v>
      </c>
      <c r="G13306" s="52">
        <v>174930.369116991</v>
      </c>
      <c r="H13306" s="56">
        <v>0.20137379851419637</v>
      </c>
      <c r="I13306" s="224" t="s">
        <v>2</v>
      </c>
    </row>
    <row r="13307" spans="1:9" x14ac:dyDescent="0.25">
      <c r="A13307" s="515">
        <v>4426</v>
      </c>
      <c r="C13307" s="52">
        <v>198011.856999993</v>
      </c>
      <c r="D13307" s="56">
        <v>0.11025090468562697</v>
      </c>
      <c r="E13307" s="224" t="s">
        <v>2</v>
      </c>
      <c r="F13307" s="515" t="s">
        <v>14494</v>
      </c>
      <c r="G13307" s="52">
        <v>416477.89619801397</v>
      </c>
      <c r="H13307" s="56">
        <v>4.0547124044597552E-2</v>
      </c>
      <c r="I13307" s="224" t="s">
        <v>2</v>
      </c>
    </row>
    <row r="13308" spans="1:9" x14ac:dyDescent="0.25">
      <c r="A13308" s="515">
        <v>12992</v>
      </c>
      <c r="B13308" s="515" t="s">
        <v>395</v>
      </c>
      <c r="C13308" s="52">
        <v>184496.74871438</v>
      </c>
      <c r="D13308" s="56">
        <v>0.10670227857644105</v>
      </c>
      <c r="E13308" s="224" t="s">
        <v>2</v>
      </c>
      <c r="F13308" s="515" t="s">
        <v>14495</v>
      </c>
      <c r="G13308" s="52">
        <v>120025.753057668</v>
      </c>
      <c r="H13308" s="56">
        <v>0.10694606155823795</v>
      </c>
      <c r="I13308" s="224" t="s">
        <v>2</v>
      </c>
    </row>
    <row r="13309" spans="1:9" x14ac:dyDescent="0.25">
      <c r="A13309" s="515">
        <v>30560</v>
      </c>
      <c r="C13309" s="52">
        <v>440594.03350596502</v>
      </c>
      <c r="D13309" s="56">
        <v>2.3108349870126155E-2</v>
      </c>
      <c r="E13309" s="224" t="s">
        <v>2</v>
      </c>
      <c r="F13309" s="515" t="s">
        <v>14496</v>
      </c>
      <c r="G13309" s="52">
        <v>193527.12966309601</v>
      </c>
      <c r="H13309" s="56">
        <v>8.4925111696734598E-2</v>
      </c>
      <c r="I13309" s="224" t="s">
        <v>2</v>
      </c>
    </row>
    <row r="13310" spans="1:9" x14ac:dyDescent="0.25">
      <c r="A13310" s="515">
        <v>12758</v>
      </c>
      <c r="C13310" s="52">
        <v>283133.90813441999</v>
      </c>
      <c r="D13310" s="56">
        <v>0.22171125074666032</v>
      </c>
      <c r="E13310" s="224" t="s">
        <v>2</v>
      </c>
      <c r="F13310" s="515" t="s">
        <v>14497</v>
      </c>
      <c r="G13310" s="52">
        <v>203997.526902318</v>
      </c>
      <c r="H13310" s="56">
        <v>0.11121731310525199</v>
      </c>
      <c r="I13310" s="224" t="s">
        <v>2</v>
      </c>
    </row>
    <row r="13311" spans="1:9" x14ac:dyDescent="0.25">
      <c r="A13311" s="515">
        <v>13849</v>
      </c>
      <c r="B13311" s="515" t="s">
        <v>460</v>
      </c>
      <c r="C13311" s="52">
        <v>158864.32753364</v>
      </c>
      <c r="D13311" s="56">
        <v>0.10820709919854155</v>
      </c>
      <c r="E13311" s="224" t="s">
        <v>2</v>
      </c>
      <c r="F13311" s="515" t="s">
        <v>14498</v>
      </c>
      <c r="G13311" s="52">
        <v>383299.71353465097</v>
      </c>
      <c r="H13311" s="56">
        <v>5.9681734651221036E-2</v>
      </c>
      <c r="I13311" s="224" t="s">
        <v>2</v>
      </c>
    </row>
    <row r="13312" spans="1:9" x14ac:dyDescent="0.25">
      <c r="A13312" s="515">
        <v>29935</v>
      </c>
      <c r="B13312" s="515" t="s">
        <v>734</v>
      </c>
      <c r="C13312" s="52">
        <v>283611.97645271401</v>
      </c>
      <c r="D13312" s="56">
        <v>0.12322761189394291</v>
      </c>
      <c r="E13312" s="224" t="s">
        <v>2</v>
      </c>
      <c r="F13312" s="515" t="s">
        <v>14499</v>
      </c>
      <c r="G13312" s="52">
        <v>162147.07947019799</v>
      </c>
      <c r="H13312" s="56">
        <v>0</v>
      </c>
      <c r="I13312" s="224" t="s">
        <v>2</v>
      </c>
    </row>
    <row r="13313" spans="1:9" x14ac:dyDescent="0.25">
      <c r="A13313" s="515">
        <v>26582</v>
      </c>
      <c r="B13313" s="515" t="s">
        <v>302</v>
      </c>
      <c r="C13313" s="52">
        <v>107022.59259237201</v>
      </c>
      <c r="D13313" s="56">
        <v>5.6775695018324489E-2</v>
      </c>
      <c r="E13313" s="224" t="s">
        <v>2</v>
      </c>
      <c r="F13313" s="515" t="s">
        <v>14500</v>
      </c>
      <c r="G13313" s="52">
        <v>198690.377636066</v>
      </c>
      <c r="H13313" s="56">
        <v>6.4038740981382625E-2</v>
      </c>
      <c r="I13313" s="224" t="s">
        <v>2</v>
      </c>
    </row>
    <row r="13314" spans="1:9" x14ac:dyDescent="0.25">
      <c r="A13314" s="515">
        <v>27544</v>
      </c>
      <c r="B13314" s="515" t="s">
        <v>1112</v>
      </c>
      <c r="C13314" s="52">
        <v>190525.349908214</v>
      </c>
      <c r="D13314" s="56">
        <v>0.15848712935094481</v>
      </c>
      <c r="E13314" s="224" t="s">
        <v>2</v>
      </c>
      <c r="F13314" s="515" t="s">
        <v>14501</v>
      </c>
      <c r="G13314" s="52">
        <v>93850.616266823796</v>
      </c>
      <c r="H13314" s="56">
        <v>3.9804437663715116E-2</v>
      </c>
      <c r="I13314" s="224" t="s">
        <v>2</v>
      </c>
    </row>
    <row r="13315" spans="1:9" x14ac:dyDescent="0.25">
      <c r="A13315" s="515">
        <v>53017</v>
      </c>
      <c r="B13315" s="515" t="s">
        <v>950</v>
      </c>
      <c r="C13315" s="52">
        <v>428857.40784920502</v>
      </c>
      <c r="D13315" s="56">
        <v>6.8946550060456469E-2</v>
      </c>
      <c r="E13315" s="224" t="s">
        <v>2</v>
      </c>
      <c r="F13315" s="515" t="s">
        <v>14502</v>
      </c>
      <c r="G13315" s="52">
        <v>259332.558954824</v>
      </c>
      <c r="H13315" s="56">
        <v>0.14391403669833885</v>
      </c>
      <c r="I13315" s="224" t="s">
        <v>2</v>
      </c>
    </row>
    <row r="13316" spans="1:9" x14ac:dyDescent="0.25">
      <c r="A13316" s="515">
        <v>62902</v>
      </c>
      <c r="B13316" s="515" t="s">
        <v>471</v>
      </c>
      <c r="C13316" s="52">
        <v>158735.07635168801</v>
      </c>
      <c r="D13316" s="56">
        <v>2.9694796440195834E-2</v>
      </c>
      <c r="E13316" s="224" t="s">
        <v>2</v>
      </c>
      <c r="F13316" s="515" t="s">
        <v>14503</v>
      </c>
      <c r="G13316" s="52">
        <v>446887.81989189202</v>
      </c>
      <c r="H13316" s="56">
        <v>6.0963218603471104E-3</v>
      </c>
      <c r="I13316" s="224" t="s">
        <v>2</v>
      </c>
    </row>
    <row r="13317" spans="1:9" x14ac:dyDescent="0.25">
      <c r="A13317" s="515">
        <v>16947</v>
      </c>
      <c r="B13317" s="515" t="s">
        <v>699</v>
      </c>
      <c r="C13317" s="52">
        <v>169029.88020287699</v>
      </c>
      <c r="D13317" s="56">
        <v>6.6753589461978402E-2</v>
      </c>
      <c r="E13317" s="224" t="s">
        <v>2</v>
      </c>
      <c r="F13317" s="515" t="s">
        <v>14504</v>
      </c>
      <c r="G13317" s="52">
        <v>174860.620874021</v>
      </c>
      <c r="H13317" s="56">
        <v>9.1740458282069989E-2</v>
      </c>
      <c r="I13317" s="224" t="s">
        <v>2</v>
      </c>
    </row>
    <row r="13318" spans="1:9" x14ac:dyDescent="0.25">
      <c r="A13318" s="515">
        <v>24184</v>
      </c>
      <c r="B13318" s="515" t="s">
        <v>861</v>
      </c>
      <c r="C13318" s="52">
        <v>389096.59880151902</v>
      </c>
      <c r="D13318" s="56">
        <v>7.6703805608571554E-2</v>
      </c>
      <c r="E13318" s="224" t="s">
        <v>2</v>
      </c>
      <c r="F13318" s="515" t="s">
        <v>14505</v>
      </c>
      <c r="G13318" s="52">
        <v>126111.318892168</v>
      </c>
      <c r="H13318" s="56">
        <v>0.1305193629222898</v>
      </c>
      <c r="I13318" s="224" t="s">
        <v>2</v>
      </c>
    </row>
    <row r="13319" spans="1:9" x14ac:dyDescent="0.25">
      <c r="A13319" s="515">
        <v>45169</v>
      </c>
      <c r="B13319" s="515" t="s">
        <v>489</v>
      </c>
      <c r="C13319" s="52">
        <v>154861.69930153701</v>
      </c>
      <c r="D13319" s="56">
        <v>6.3676181499738291E-2</v>
      </c>
      <c r="E13319" s="224" t="s">
        <v>2</v>
      </c>
      <c r="F13319" s="515" t="s">
        <v>14506</v>
      </c>
      <c r="G13319" s="52">
        <v>475336.39109226398</v>
      </c>
      <c r="H13319" s="56">
        <v>5.9077265570887279E-2</v>
      </c>
      <c r="I13319" s="224" t="s">
        <v>2</v>
      </c>
    </row>
    <row r="13320" spans="1:9" x14ac:dyDescent="0.25">
      <c r="A13320" s="515">
        <v>12845</v>
      </c>
      <c r="B13320" s="515" t="s">
        <v>422</v>
      </c>
      <c r="C13320" s="52">
        <v>412642.39037637401</v>
      </c>
      <c r="D13320" s="56">
        <v>5.9642562667330097E-2</v>
      </c>
      <c r="E13320" s="224" t="s">
        <v>2</v>
      </c>
      <c r="F13320" s="515" t="s">
        <v>14507</v>
      </c>
      <c r="G13320" s="52">
        <v>314838.01964603201</v>
      </c>
      <c r="H13320" s="56">
        <v>8.7309611364068205E-3</v>
      </c>
      <c r="I13320" s="224" t="s">
        <v>2</v>
      </c>
    </row>
    <row r="13321" spans="1:9" x14ac:dyDescent="0.25">
      <c r="A13321" s="515">
        <v>17579</v>
      </c>
      <c r="B13321" s="515" t="s">
        <v>537</v>
      </c>
      <c r="C13321" s="52">
        <v>348045.92276738602</v>
      </c>
      <c r="D13321" s="56">
        <v>8.0207820581755879E-2</v>
      </c>
      <c r="E13321" s="224" t="s">
        <v>2</v>
      </c>
      <c r="F13321" s="515" t="s">
        <v>14508</v>
      </c>
      <c r="G13321" s="52">
        <v>424190.94102440297</v>
      </c>
      <c r="H13321" s="56">
        <v>8.5615765814948452E-2</v>
      </c>
      <c r="I13321" s="224" t="s">
        <v>2</v>
      </c>
    </row>
    <row r="13322" spans="1:9" x14ac:dyDescent="0.25">
      <c r="A13322" s="515">
        <v>45710</v>
      </c>
      <c r="B13322" s="515" t="s">
        <v>578</v>
      </c>
      <c r="C13322" s="52">
        <v>160513.18800195499</v>
      </c>
      <c r="D13322" s="56">
        <v>7.1047878486562285E-2</v>
      </c>
      <c r="E13322" s="224" t="s">
        <v>2</v>
      </c>
      <c r="F13322" s="515" t="s">
        <v>14509</v>
      </c>
      <c r="G13322" s="52">
        <v>436293.82552766002</v>
      </c>
      <c r="H13322" s="56">
        <v>0.11205262216644189</v>
      </c>
      <c r="I13322" s="224" t="s">
        <v>2</v>
      </c>
    </row>
    <row r="13323" spans="1:9" x14ac:dyDescent="0.25">
      <c r="A13323" s="515">
        <v>77962</v>
      </c>
      <c r="C13323" s="52">
        <v>192838.407801097</v>
      </c>
      <c r="D13323" s="56">
        <v>-6.0987958822748531E-2</v>
      </c>
      <c r="E13323" s="224" t="s">
        <v>2</v>
      </c>
      <c r="F13323" s="515" t="s">
        <v>14510</v>
      </c>
      <c r="G13323" s="52">
        <v>375921.57800509402</v>
      </c>
      <c r="H13323" s="56">
        <v>3.4131646975757879E-2</v>
      </c>
      <c r="I13323" s="224" t="s">
        <v>2</v>
      </c>
    </row>
    <row r="13324" spans="1:9" x14ac:dyDescent="0.25">
      <c r="A13324" s="515">
        <v>43331</v>
      </c>
      <c r="B13324" s="515" t="s">
        <v>973</v>
      </c>
      <c r="C13324" s="52">
        <v>153230.55436057001</v>
      </c>
      <c r="D13324" s="56">
        <v>3.9502835821123024E-2</v>
      </c>
      <c r="E13324" s="224" t="s">
        <v>2</v>
      </c>
      <c r="F13324" s="515" t="s">
        <v>14511</v>
      </c>
      <c r="G13324" s="52">
        <v>246014.13554574701</v>
      </c>
      <c r="H13324" s="56">
        <v>9.6544068418164153E-2</v>
      </c>
      <c r="I13324" s="224" t="s">
        <v>2</v>
      </c>
    </row>
    <row r="13325" spans="1:9" x14ac:dyDescent="0.25">
      <c r="A13325" s="515">
        <v>74855</v>
      </c>
      <c r="B13325" s="515" t="s">
        <v>385</v>
      </c>
      <c r="C13325" s="52">
        <v>175101.99347101001</v>
      </c>
      <c r="D13325" s="56">
        <v>6.2237972364594198E-2</v>
      </c>
      <c r="E13325" s="224" t="s">
        <v>2</v>
      </c>
      <c r="F13325" s="515" t="s">
        <v>14512</v>
      </c>
      <c r="G13325" s="52">
        <v>253673.85432186999</v>
      </c>
      <c r="H13325" s="56">
        <v>7.5441492556377568E-2</v>
      </c>
      <c r="I13325" s="224" t="s">
        <v>2</v>
      </c>
    </row>
    <row r="13326" spans="1:9" x14ac:dyDescent="0.25">
      <c r="A13326" s="515">
        <v>3242</v>
      </c>
      <c r="B13326" s="515" t="s">
        <v>981</v>
      </c>
      <c r="C13326" s="52">
        <v>397578.21517564199</v>
      </c>
      <c r="D13326" s="56">
        <v>0.12869847239888021</v>
      </c>
      <c r="E13326" s="224" t="s">
        <v>2</v>
      </c>
      <c r="F13326" s="515" t="s">
        <v>14513</v>
      </c>
      <c r="G13326" s="52">
        <v>594534.849431996</v>
      </c>
      <c r="H13326" s="56">
        <v>3.7766964689805206E-2</v>
      </c>
      <c r="I13326" s="224" t="s">
        <v>2</v>
      </c>
    </row>
    <row r="13327" spans="1:9" x14ac:dyDescent="0.25">
      <c r="A13327" s="515">
        <v>2108</v>
      </c>
      <c r="B13327" s="515" t="s">
        <v>534</v>
      </c>
      <c r="C13327" s="52">
        <v>1369100.1040433601</v>
      </c>
      <c r="D13327" s="56">
        <v>-3.4501758455677309E-2</v>
      </c>
      <c r="E13327" s="224">
        <v>2990</v>
      </c>
      <c r="F13327" s="515" t="s">
        <v>14514</v>
      </c>
      <c r="G13327" s="52">
        <v>817864.71228488698</v>
      </c>
      <c r="H13327" s="56">
        <v>0.10286960324821758</v>
      </c>
      <c r="I13327" s="224" t="s">
        <v>2</v>
      </c>
    </row>
    <row r="13328" spans="1:9" x14ac:dyDescent="0.25">
      <c r="A13328" s="515">
        <v>52772</v>
      </c>
      <c r="C13328" s="52">
        <v>200930.01561664001</v>
      </c>
      <c r="D13328" s="56">
        <v>8.5200096727561916E-2</v>
      </c>
      <c r="E13328" s="224" t="s">
        <v>2</v>
      </c>
      <c r="F13328" s="515" t="s">
        <v>14515</v>
      </c>
      <c r="G13328" s="52">
        <v>351554.92526589701</v>
      </c>
      <c r="H13328" s="56">
        <v>0.13681153478666064</v>
      </c>
      <c r="I13328" s="224" t="s">
        <v>2</v>
      </c>
    </row>
    <row r="13329" spans="1:9" x14ac:dyDescent="0.25">
      <c r="A13329" s="515">
        <v>65565</v>
      </c>
      <c r="C13329" s="52">
        <v>164284.30255873501</v>
      </c>
      <c r="D13329" s="56">
        <v>3.4535587835587585E-2</v>
      </c>
      <c r="E13329" s="224" t="s">
        <v>2</v>
      </c>
      <c r="F13329" s="515" t="s">
        <v>14516</v>
      </c>
      <c r="G13329" s="52">
        <v>555653.20710175799</v>
      </c>
      <c r="H13329" s="56">
        <v>7.4884660157614538E-2</v>
      </c>
      <c r="I13329" s="224" t="s">
        <v>2</v>
      </c>
    </row>
    <row r="13330" spans="1:9" x14ac:dyDescent="0.25">
      <c r="A13330" s="515">
        <v>7460</v>
      </c>
      <c r="B13330" s="515" t="s">
        <v>324</v>
      </c>
      <c r="C13330" s="52">
        <v>337768.20490588201</v>
      </c>
      <c r="D13330" s="56">
        <v>5.1937215179301915E-2</v>
      </c>
      <c r="E13330" s="224" t="s">
        <v>2</v>
      </c>
      <c r="F13330" s="515" t="s">
        <v>14517</v>
      </c>
      <c r="G13330" s="52">
        <v>176472.43987812899</v>
      </c>
      <c r="H13330" s="56">
        <v>9.3102491140862817E-2</v>
      </c>
      <c r="I13330" s="224" t="s">
        <v>2</v>
      </c>
    </row>
    <row r="13331" spans="1:9" x14ac:dyDescent="0.25">
      <c r="A13331" s="515">
        <v>48428</v>
      </c>
      <c r="B13331" s="515" t="s">
        <v>685</v>
      </c>
      <c r="C13331" s="52">
        <v>318971.305865245</v>
      </c>
      <c r="D13331" s="56">
        <v>-2.9119175280335383E-3</v>
      </c>
      <c r="E13331" s="224" t="s">
        <v>2</v>
      </c>
      <c r="F13331" s="515" t="s">
        <v>14518</v>
      </c>
      <c r="G13331" s="52">
        <v>121160.908304827</v>
      </c>
      <c r="H13331" s="56">
        <v>0.11191955634070196</v>
      </c>
      <c r="I13331" s="224" t="s">
        <v>2</v>
      </c>
    </row>
    <row r="13332" spans="1:9" x14ac:dyDescent="0.25">
      <c r="A13332" s="515">
        <v>67871</v>
      </c>
      <c r="C13332" s="52">
        <v>140931.80296008801</v>
      </c>
      <c r="D13332" s="56">
        <v>0.10928090808520352</v>
      </c>
      <c r="E13332" s="224" t="s">
        <v>2</v>
      </c>
      <c r="F13332" s="515" t="s">
        <v>14519</v>
      </c>
      <c r="G13332" s="52">
        <v>151069.93343766799</v>
      </c>
      <c r="H13332" s="56">
        <v>9.9128010153731017E-2</v>
      </c>
      <c r="I13332" s="224" t="s">
        <v>2</v>
      </c>
    </row>
    <row r="13333" spans="1:9" x14ac:dyDescent="0.25">
      <c r="A13333" s="515">
        <v>72342</v>
      </c>
      <c r="B13333" s="515" t="s">
        <v>891</v>
      </c>
      <c r="C13333" s="52">
        <v>39083.7169572083</v>
      </c>
      <c r="D13333" s="56">
        <v>-0.14532182053744483</v>
      </c>
      <c r="E13333" s="224" t="s">
        <v>2</v>
      </c>
      <c r="F13333" s="515" t="s">
        <v>14520</v>
      </c>
      <c r="G13333" s="52">
        <v>533514.995025696</v>
      </c>
      <c r="H13333" s="56">
        <v>7.3543507455757509E-2</v>
      </c>
      <c r="I13333" s="224" t="s">
        <v>2</v>
      </c>
    </row>
    <row r="13334" spans="1:9" x14ac:dyDescent="0.25">
      <c r="A13334" s="515">
        <v>31553</v>
      </c>
      <c r="B13334" s="515" t="s">
        <v>871</v>
      </c>
      <c r="C13334" s="52">
        <v>92738.991166445703</v>
      </c>
      <c r="D13334" s="56">
        <v>1.5021971608161305E-2</v>
      </c>
      <c r="E13334" s="224" t="s">
        <v>2</v>
      </c>
      <c r="F13334" s="515" t="s">
        <v>14521</v>
      </c>
      <c r="G13334" s="52">
        <v>66272.040071893105</v>
      </c>
      <c r="H13334" s="56">
        <v>8.1439042647616769E-2</v>
      </c>
      <c r="I13334" s="224" t="s">
        <v>2</v>
      </c>
    </row>
    <row r="13335" spans="1:9" x14ac:dyDescent="0.25">
      <c r="A13335" s="515">
        <v>98303</v>
      </c>
      <c r="B13335" s="515" t="s">
        <v>384</v>
      </c>
      <c r="C13335" s="52">
        <v>453154.308100997</v>
      </c>
      <c r="D13335" s="56">
        <v>4.5394617766178119E-2</v>
      </c>
      <c r="E13335" s="224" t="s">
        <v>2</v>
      </c>
      <c r="F13335" s="515" t="s">
        <v>14522</v>
      </c>
      <c r="G13335" s="52">
        <v>133529.41908316701</v>
      </c>
      <c r="H13335" s="56">
        <v>3.4025431140231634E-2</v>
      </c>
      <c r="I13335" s="224" t="s">
        <v>2</v>
      </c>
    </row>
    <row r="13336" spans="1:9" x14ac:dyDescent="0.25">
      <c r="A13336" s="515">
        <v>72941</v>
      </c>
      <c r="B13336" s="515" t="s">
        <v>326</v>
      </c>
      <c r="C13336" s="52">
        <v>182179.78796155399</v>
      </c>
      <c r="D13336" s="56">
        <v>-1.4299346748459954E-3</v>
      </c>
      <c r="E13336" s="224" t="s">
        <v>2</v>
      </c>
      <c r="F13336" s="515" t="s">
        <v>14523</v>
      </c>
      <c r="G13336" s="52">
        <v>937713.58994672506</v>
      </c>
      <c r="H13336" s="56">
        <v>9.9866766665315521E-2</v>
      </c>
      <c r="I13336" s="224" t="s">
        <v>2</v>
      </c>
    </row>
    <row r="13337" spans="1:9" x14ac:dyDescent="0.25">
      <c r="A13337" s="515">
        <v>59427</v>
      </c>
      <c r="C13337" s="52">
        <v>164542.084734579</v>
      </c>
      <c r="D13337" s="56">
        <v>0.20922865117005418</v>
      </c>
      <c r="E13337" s="224" t="s">
        <v>2</v>
      </c>
      <c r="F13337" s="515" t="s">
        <v>14524</v>
      </c>
      <c r="G13337" s="52">
        <v>186984.79596261101</v>
      </c>
      <c r="H13337" s="56">
        <v>8.7496703736411843E-2</v>
      </c>
      <c r="I13337" s="224" t="s">
        <v>2</v>
      </c>
    </row>
    <row r="13338" spans="1:9" x14ac:dyDescent="0.25">
      <c r="A13338" s="515">
        <v>71968</v>
      </c>
      <c r="B13338" s="515" t="s">
        <v>1082</v>
      </c>
      <c r="C13338" s="52">
        <v>259736.930974077</v>
      </c>
      <c r="D13338" s="56">
        <v>0.10958136975255665</v>
      </c>
      <c r="E13338" s="224" t="s">
        <v>2</v>
      </c>
      <c r="F13338" s="515" t="s">
        <v>14525</v>
      </c>
      <c r="G13338" s="52">
        <v>250312.96341712601</v>
      </c>
      <c r="H13338" s="56">
        <v>0.1582004701639145</v>
      </c>
      <c r="I13338" s="224" t="s">
        <v>2</v>
      </c>
    </row>
    <row r="13339" spans="1:9" x14ac:dyDescent="0.25">
      <c r="A13339" s="515">
        <v>17728</v>
      </c>
      <c r="B13339" s="515" t="s">
        <v>296</v>
      </c>
      <c r="C13339" s="52">
        <v>235538.30534354501</v>
      </c>
      <c r="D13339" s="56">
        <v>5.9257050282997568E-2</v>
      </c>
      <c r="E13339" s="224" t="s">
        <v>2</v>
      </c>
      <c r="F13339" s="515" t="s">
        <v>14526</v>
      </c>
      <c r="G13339" s="52">
        <v>157751.82582292499</v>
      </c>
      <c r="H13339" s="56">
        <v>6.2076479040447385E-2</v>
      </c>
      <c r="I13339" s="224" t="s">
        <v>2</v>
      </c>
    </row>
    <row r="13340" spans="1:9" x14ac:dyDescent="0.25">
      <c r="A13340" s="515">
        <v>85356</v>
      </c>
      <c r="B13340" s="515" t="s">
        <v>524</v>
      </c>
      <c r="C13340" s="52">
        <v>217682.51734452401</v>
      </c>
      <c r="D13340" s="56">
        <v>0.12219262867382644</v>
      </c>
      <c r="E13340" s="224" t="s">
        <v>2</v>
      </c>
      <c r="F13340" s="515" t="s">
        <v>14527</v>
      </c>
      <c r="G13340" s="52">
        <v>124138.460120765</v>
      </c>
      <c r="H13340" s="56">
        <v>0.1605306228433083</v>
      </c>
      <c r="I13340" s="224" t="s">
        <v>2</v>
      </c>
    </row>
    <row r="13341" spans="1:9" x14ac:dyDescent="0.25">
      <c r="A13341" s="515">
        <v>39044</v>
      </c>
      <c r="B13341" s="515" t="s">
        <v>851</v>
      </c>
      <c r="C13341" s="52">
        <v>154688.31732335599</v>
      </c>
      <c r="D13341" s="56">
        <v>-3.6280542144190089E-2</v>
      </c>
      <c r="E13341" s="224" t="s">
        <v>2</v>
      </c>
      <c r="F13341" s="515" t="s">
        <v>14528</v>
      </c>
      <c r="G13341" s="52">
        <v>115668.06253944599</v>
      </c>
      <c r="H13341" s="56">
        <v>9.9098090466553379E-2</v>
      </c>
      <c r="I13341" s="224" t="s">
        <v>2</v>
      </c>
    </row>
    <row r="13342" spans="1:9" x14ac:dyDescent="0.25">
      <c r="A13342" s="515">
        <v>28351</v>
      </c>
      <c r="B13342" s="515" t="s">
        <v>1048</v>
      </c>
      <c r="C13342" s="52">
        <v>89038.707481687496</v>
      </c>
      <c r="D13342" s="56">
        <v>0.34558664800930661</v>
      </c>
      <c r="E13342" s="224" t="s">
        <v>2</v>
      </c>
      <c r="F13342" s="515" t="s">
        <v>14529</v>
      </c>
      <c r="G13342" s="52">
        <v>207029.54837043001</v>
      </c>
      <c r="H13342" s="56">
        <v>7.256138662434404E-2</v>
      </c>
      <c r="I13342" s="224" t="s">
        <v>2</v>
      </c>
    </row>
    <row r="13343" spans="1:9" x14ac:dyDescent="0.25">
      <c r="A13343" s="515">
        <v>6441</v>
      </c>
      <c r="B13343" s="515" t="s">
        <v>894</v>
      </c>
      <c r="C13343" s="52">
        <v>385560.78600741702</v>
      </c>
      <c r="D13343" s="56">
        <v>8.6533253685749351E-2</v>
      </c>
      <c r="E13343" s="224" t="s">
        <v>2</v>
      </c>
      <c r="F13343" s="515" t="s">
        <v>14530</v>
      </c>
      <c r="G13343" s="52">
        <v>508103.83279547701</v>
      </c>
      <c r="H13343" s="56">
        <v>6.0140246844058956E-2</v>
      </c>
      <c r="I13343" s="224" t="s">
        <v>2</v>
      </c>
    </row>
    <row r="13344" spans="1:9" x14ac:dyDescent="0.25">
      <c r="A13344" s="515">
        <v>44430</v>
      </c>
      <c r="B13344" s="515" t="s">
        <v>397</v>
      </c>
      <c r="C13344" s="52">
        <v>90747.115615297502</v>
      </c>
      <c r="D13344" s="56">
        <v>0.12876750520354857</v>
      </c>
      <c r="E13344" s="224" t="s">
        <v>2</v>
      </c>
      <c r="F13344" s="515" t="s">
        <v>14531</v>
      </c>
      <c r="G13344" s="52">
        <v>192016.216391008</v>
      </c>
      <c r="H13344" s="56">
        <v>0.15273417295793942</v>
      </c>
      <c r="I13344" s="224" t="s">
        <v>2</v>
      </c>
    </row>
    <row r="13345" spans="1:9" x14ac:dyDescent="0.25">
      <c r="A13345" s="515">
        <v>48756</v>
      </c>
      <c r="C13345" s="52">
        <v>77354.488717169996</v>
      </c>
      <c r="D13345" s="56">
        <v>3.492895546031248E-2</v>
      </c>
      <c r="E13345" s="224" t="s">
        <v>2</v>
      </c>
      <c r="F13345" s="515" t="s">
        <v>14532</v>
      </c>
      <c r="G13345" s="52">
        <v>207537.630136986</v>
      </c>
      <c r="H13345" s="56">
        <v>0</v>
      </c>
      <c r="I13345" s="224" t="s">
        <v>2</v>
      </c>
    </row>
    <row r="13346" spans="1:9" x14ac:dyDescent="0.25">
      <c r="A13346" s="515">
        <v>65248</v>
      </c>
      <c r="B13346" s="515" t="s">
        <v>785</v>
      </c>
      <c r="C13346" s="52">
        <v>166124.34696060099</v>
      </c>
      <c r="D13346" s="56">
        <v>0.12426155453918569</v>
      </c>
      <c r="E13346" s="224" t="s">
        <v>2</v>
      </c>
      <c r="F13346" s="515" t="s">
        <v>14533</v>
      </c>
      <c r="G13346" s="52">
        <v>118199.44758064501</v>
      </c>
      <c r="H13346" s="56">
        <v>0</v>
      </c>
      <c r="I13346" s="224" t="s">
        <v>2</v>
      </c>
    </row>
    <row r="13347" spans="1:9" x14ac:dyDescent="0.25">
      <c r="A13347" s="515">
        <v>97535</v>
      </c>
      <c r="B13347" s="515" t="s">
        <v>775</v>
      </c>
      <c r="C13347" s="52">
        <v>370649.303417844</v>
      </c>
      <c r="D13347" s="56">
        <v>9.7411525682711119E-3</v>
      </c>
      <c r="E13347" s="224" t="s">
        <v>2</v>
      </c>
      <c r="F13347" s="515" t="s">
        <v>14534</v>
      </c>
      <c r="G13347" s="52">
        <v>81374.724146730106</v>
      </c>
      <c r="H13347" s="56">
        <v>9.7792065529003186E-2</v>
      </c>
      <c r="I13347" s="224" t="s">
        <v>2</v>
      </c>
    </row>
    <row r="13348" spans="1:9" x14ac:dyDescent="0.25">
      <c r="A13348" s="515">
        <v>2642</v>
      </c>
      <c r="B13348" s="515" t="s">
        <v>427</v>
      </c>
      <c r="C13348" s="52">
        <v>704349.39629378996</v>
      </c>
      <c r="D13348" s="56">
        <v>0.10534174714997245</v>
      </c>
      <c r="E13348" s="224" t="s">
        <v>2</v>
      </c>
      <c r="F13348" s="515" t="s">
        <v>14535</v>
      </c>
      <c r="G13348" s="52">
        <v>153628.35631104701</v>
      </c>
      <c r="H13348" s="56">
        <v>4.509486351938144E-2</v>
      </c>
      <c r="I13348" s="224" t="s">
        <v>2</v>
      </c>
    </row>
    <row r="13349" spans="1:9" x14ac:dyDescent="0.25">
      <c r="A13349" s="515">
        <v>8525</v>
      </c>
      <c r="B13349" s="515" t="s">
        <v>938</v>
      </c>
      <c r="C13349" s="52">
        <v>538733.34109539306</v>
      </c>
      <c r="D13349" s="56">
        <v>5.1515212509660437E-2</v>
      </c>
      <c r="E13349" s="224" t="s">
        <v>2</v>
      </c>
      <c r="F13349" s="515" t="s">
        <v>14536</v>
      </c>
      <c r="G13349" s="52">
        <v>95834.222222222204</v>
      </c>
      <c r="H13349" s="56">
        <v>0</v>
      </c>
      <c r="I13349" s="224" t="s">
        <v>2</v>
      </c>
    </row>
    <row r="13350" spans="1:9" x14ac:dyDescent="0.25">
      <c r="A13350" s="515">
        <v>75966</v>
      </c>
      <c r="C13350" s="52">
        <v>134773.460157049</v>
      </c>
      <c r="D13350" s="56">
        <v>1.4280168747310461E-2</v>
      </c>
      <c r="E13350" s="224" t="s">
        <v>2</v>
      </c>
      <c r="F13350" s="515" t="s">
        <v>14537</v>
      </c>
      <c r="G13350" s="52">
        <v>156665.78662660101</v>
      </c>
      <c r="H13350" s="56">
        <v>0.10029494472590866</v>
      </c>
      <c r="I13350" s="224" t="s">
        <v>2</v>
      </c>
    </row>
    <row r="13351" spans="1:9" x14ac:dyDescent="0.25">
      <c r="A13351" s="515">
        <v>92823</v>
      </c>
      <c r="B13351" s="515" t="s">
        <v>375</v>
      </c>
      <c r="C13351" s="52">
        <v>1065200.25104678</v>
      </c>
      <c r="D13351" s="56">
        <v>4.6364068527772778E-2</v>
      </c>
      <c r="E13351" s="224">
        <v>3465</v>
      </c>
      <c r="F13351" s="515" t="s">
        <v>14538</v>
      </c>
      <c r="G13351" s="52">
        <v>137160.02877606501</v>
      </c>
      <c r="H13351" s="56">
        <v>6.6579723569123492E-2</v>
      </c>
      <c r="I13351" s="224" t="s">
        <v>2</v>
      </c>
    </row>
    <row r="13352" spans="1:9" x14ac:dyDescent="0.25">
      <c r="A13352" s="515">
        <v>62684</v>
      </c>
      <c r="B13352" s="515" t="s">
        <v>819</v>
      </c>
      <c r="C13352" s="52">
        <v>258951.86213511601</v>
      </c>
      <c r="D13352" s="56">
        <v>8.7002602641502572E-2</v>
      </c>
      <c r="E13352" s="224" t="s">
        <v>2</v>
      </c>
      <c r="F13352" s="515" t="s">
        <v>14539</v>
      </c>
      <c r="G13352" s="52">
        <v>254354.099835245</v>
      </c>
      <c r="H13352" s="56">
        <v>3.903696448254091E-2</v>
      </c>
      <c r="I13352" s="224" t="s">
        <v>2</v>
      </c>
    </row>
    <row r="13353" spans="1:9" x14ac:dyDescent="0.25">
      <c r="A13353" s="515">
        <v>16037</v>
      </c>
      <c r="B13353" s="515" t="s">
        <v>297</v>
      </c>
      <c r="C13353" s="52">
        <v>332409.00316399999</v>
      </c>
      <c r="D13353" s="56">
        <v>8.6455833912970265E-2</v>
      </c>
      <c r="E13353" s="224" t="s">
        <v>2</v>
      </c>
      <c r="F13353" s="515" t="s">
        <v>14540</v>
      </c>
      <c r="G13353" s="52">
        <v>171618.422870546</v>
      </c>
      <c r="H13353" s="56">
        <v>0.16759207966317627</v>
      </c>
      <c r="I13353" s="224" t="s">
        <v>2</v>
      </c>
    </row>
    <row r="13354" spans="1:9" x14ac:dyDescent="0.25">
      <c r="A13354" s="515">
        <v>38921</v>
      </c>
      <c r="C13354" s="52">
        <v>90565.811851574894</v>
      </c>
      <c r="D13354" s="56">
        <v>-6.372559129690776E-2</v>
      </c>
      <c r="E13354" s="224" t="s">
        <v>2</v>
      </c>
      <c r="F13354" s="515" t="s">
        <v>14541</v>
      </c>
      <c r="G13354" s="52">
        <v>443777.360361295</v>
      </c>
      <c r="H13354" s="56">
        <v>-0.15810768115775201</v>
      </c>
      <c r="I13354" s="224" t="s">
        <v>2</v>
      </c>
    </row>
    <row r="13355" spans="1:9" x14ac:dyDescent="0.25">
      <c r="A13355" s="515">
        <v>32071</v>
      </c>
      <c r="C13355" s="52">
        <v>260480.87043073701</v>
      </c>
      <c r="D13355" s="56">
        <v>7.2149208929773889E-2</v>
      </c>
      <c r="E13355" s="224" t="s">
        <v>2</v>
      </c>
      <c r="F13355" s="515" t="s">
        <v>14542</v>
      </c>
      <c r="G13355" s="52">
        <v>155388.999574096</v>
      </c>
      <c r="H13355" s="56">
        <v>0.16887206043494943</v>
      </c>
      <c r="I13355" s="224" t="s">
        <v>2</v>
      </c>
    </row>
    <row r="13356" spans="1:9" x14ac:dyDescent="0.25">
      <c r="A13356" s="515">
        <v>72634</v>
      </c>
      <c r="C13356" s="52">
        <v>185437.854062389</v>
      </c>
      <c r="D13356" s="56">
        <v>9.293839330690816E-2</v>
      </c>
      <c r="E13356" s="224" t="s">
        <v>2</v>
      </c>
      <c r="F13356" s="515" t="s">
        <v>14543</v>
      </c>
      <c r="G13356" s="52">
        <v>102550.027477939</v>
      </c>
      <c r="H13356" s="56">
        <v>7.5395356260396174E-2</v>
      </c>
      <c r="I13356" s="224" t="s">
        <v>2</v>
      </c>
    </row>
    <row r="13357" spans="1:9" x14ac:dyDescent="0.25">
      <c r="A13357" s="515">
        <v>95249</v>
      </c>
      <c r="C13357" s="52">
        <v>349805.697229677</v>
      </c>
      <c r="D13357" s="56">
        <v>1.1707975407977848E-2</v>
      </c>
      <c r="E13357" s="224" t="s">
        <v>2</v>
      </c>
      <c r="F13357" s="515" t="s">
        <v>14544</v>
      </c>
      <c r="G13357" s="52">
        <v>155443.10965252001</v>
      </c>
      <c r="H13357" s="56">
        <v>-2.2449579023565074E-2</v>
      </c>
      <c r="I13357" s="224" t="s">
        <v>2</v>
      </c>
    </row>
    <row r="13358" spans="1:9" x14ac:dyDescent="0.25">
      <c r="A13358" s="515">
        <v>75452</v>
      </c>
      <c r="B13358" s="515" t="s">
        <v>298</v>
      </c>
      <c r="C13358" s="52">
        <v>280109.95609752298</v>
      </c>
      <c r="D13358" s="56">
        <v>8.9714524538107188E-2</v>
      </c>
      <c r="E13358" s="224" t="s">
        <v>2</v>
      </c>
      <c r="F13358" s="515" t="s">
        <v>14545</v>
      </c>
      <c r="G13358" s="52">
        <v>344342.70255939203</v>
      </c>
      <c r="H13358" s="56">
        <v>2.7746795133001812E-2</v>
      </c>
      <c r="I13358" s="224" t="s">
        <v>2</v>
      </c>
    </row>
    <row r="13359" spans="1:9" x14ac:dyDescent="0.25">
      <c r="A13359" s="515">
        <v>13053</v>
      </c>
      <c r="B13359" s="515" t="s">
        <v>1115</v>
      </c>
      <c r="C13359" s="52">
        <v>238376.63154581201</v>
      </c>
      <c r="D13359" s="56">
        <v>8.034130155299006E-2</v>
      </c>
      <c r="E13359" s="224" t="s">
        <v>2</v>
      </c>
      <c r="F13359" s="515" t="s">
        <v>14546</v>
      </c>
      <c r="G13359" s="52">
        <v>325051.90864543302</v>
      </c>
      <c r="H13359" s="56">
        <v>0.10618224908098543</v>
      </c>
      <c r="I13359" s="224" t="s">
        <v>2</v>
      </c>
    </row>
    <row r="13360" spans="1:9" x14ac:dyDescent="0.25">
      <c r="A13360" s="515">
        <v>72846</v>
      </c>
      <c r="C13360" s="52">
        <v>146926.857288253</v>
      </c>
      <c r="D13360" s="56">
        <v>3.7094952447344405E-2</v>
      </c>
      <c r="E13360" s="224" t="s">
        <v>2</v>
      </c>
      <c r="F13360" s="515" t="s">
        <v>14547</v>
      </c>
      <c r="G13360" s="52">
        <v>140334.19872730001</v>
      </c>
      <c r="H13360" s="56">
        <v>0.14817351230504136</v>
      </c>
      <c r="I13360" s="224" t="s">
        <v>2</v>
      </c>
    </row>
    <row r="13361" spans="1:9" x14ac:dyDescent="0.25">
      <c r="A13361" s="515">
        <v>12833</v>
      </c>
      <c r="B13361" s="515" t="s">
        <v>609</v>
      </c>
      <c r="C13361" s="52">
        <v>344418.63518441003</v>
      </c>
      <c r="D13361" s="56">
        <v>6.3737366840711046E-2</v>
      </c>
      <c r="E13361" s="224" t="s">
        <v>2</v>
      </c>
      <c r="F13361" s="515" t="s">
        <v>14548</v>
      </c>
      <c r="G13361" s="52">
        <v>270616.46043165401</v>
      </c>
      <c r="H13361" s="56">
        <v>0</v>
      </c>
      <c r="I13361" s="224" t="s">
        <v>2</v>
      </c>
    </row>
    <row r="13362" spans="1:9" x14ac:dyDescent="0.25">
      <c r="A13362" s="515">
        <v>55120</v>
      </c>
      <c r="B13362" s="515" t="s">
        <v>532</v>
      </c>
      <c r="C13362" s="52">
        <v>450445.58359112998</v>
      </c>
      <c r="D13362" s="56">
        <v>1.7578293915988474E-2</v>
      </c>
      <c r="E13362" s="224" t="s">
        <v>2</v>
      </c>
      <c r="F13362" s="515" t="s">
        <v>14549</v>
      </c>
      <c r="G13362" s="52">
        <v>117617.960646423</v>
      </c>
      <c r="H13362" s="56">
        <v>-3.426429865692688E-2</v>
      </c>
      <c r="I13362" s="224" t="s">
        <v>2</v>
      </c>
    </row>
    <row r="13363" spans="1:9" x14ac:dyDescent="0.25">
      <c r="A13363" s="515">
        <v>7856</v>
      </c>
      <c r="B13363" s="515" t="s">
        <v>324</v>
      </c>
      <c r="C13363" s="52">
        <v>407010.62928351603</v>
      </c>
      <c r="D13363" s="56">
        <v>5.7570484121754181E-2</v>
      </c>
      <c r="E13363" s="224">
        <v>2555</v>
      </c>
      <c r="F13363" s="515" t="s">
        <v>14550</v>
      </c>
      <c r="G13363" s="52">
        <v>178638.15259334599</v>
      </c>
      <c r="H13363" s="56">
        <v>4.7578698882053252E-2</v>
      </c>
      <c r="I13363" s="224" t="s">
        <v>2</v>
      </c>
    </row>
    <row r="13364" spans="1:9" x14ac:dyDescent="0.25">
      <c r="A13364" s="515">
        <v>56273</v>
      </c>
      <c r="B13364" s="515" t="s">
        <v>803</v>
      </c>
      <c r="C13364" s="52">
        <v>260988.19667551399</v>
      </c>
      <c r="D13364" s="56">
        <v>4.2082826931921856E-2</v>
      </c>
      <c r="E13364" s="224" t="s">
        <v>2</v>
      </c>
      <c r="F13364" s="515" t="s">
        <v>14551</v>
      </c>
      <c r="G13364" s="52">
        <v>331654.73439263401</v>
      </c>
      <c r="H13364" s="56">
        <v>0.11814783911598516</v>
      </c>
      <c r="I13364" s="224" t="s">
        <v>2</v>
      </c>
    </row>
    <row r="13365" spans="1:9" x14ac:dyDescent="0.25">
      <c r="A13365" s="515">
        <v>17747</v>
      </c>
      <c r="B13365" s="515" t="s">
        <v>776</v>
      </c>
      <c r="C13365" s="52">
        <v>205995.35187860799</v>
      </c>
      <c r="D13365" s="56">
        <v>8.7697545817531516E-2</v>
      </c>
      <c r="E13365" s="224" t="s">
        <v>2</v>
      </c>
      <c r="F13365" s="515" t="s">
        <v>14552</v>
      </c>
      <c r="G13365" s="52">
        <v>152661.55542765601</v>
      </c>
      <c r="H13365" s="56">
        <v>0.18350956441702793</v>
      </c>
      <c r="I13365" s="224" t="s">
        <v>2</v>
      </c>
    </row>
    <row r="13366" spans="1:9" x14ac:dyDescent="0.25">
      <c r="A13366" s="515">
        <v>71235</v>
      </c>
      <c r="B13366" s="515" t="s">
        <v>1155</v>
      </c>
      <c r="C13366" s="52">
        <v>168298.44714027899</v>
      </c>
      <c r="D13366" s="56">
        <v>1.9388787885071E-2</v>
      </c>
      <c r="E13366" s="224" t="s">
        <v>2</v>
      </c>
      <c r="F13366" s="515" t="s">
        <v>14553</v>
      </c>
      <c r="G13366" s="52">
        <v>269366.12576011702</v>
      </c>
      <c r="H13366" s="56">
        <v>6.2582203836604441E-2</v>
      </c>
      <c r="I13366" s="224" t="s">
        <v>2</v>
      </c>
    </row>
    <row r="13367" spans="1:9" x14ac:dyDescent="0.25">
      <c r="A13367" s="515">
        <v>17233</v>
      </c>
      <c r="C13367" s="52">
        <v>180042.006050856</v>
      </c>
      <c r="D13367" s="56">
        <v>0.13356409939876357</v>
      </c>
      <c r="E13367" s="224" t="s">
        <v>2</v>
      </c>
      <c r="F13367" s="515" t="s">
        <v>14554</v>
      </c>
      <c r="G13367" s="52">
        <v>83401.2930981963</v>
      </c>
      <c r="H13367" s="56">
        <v>8.1039703852890277E-2</v>
      </c>
      <c r="I13367" s="224" t="s">
        <v>2</v>
      </c>
    </row>
    <row r="13368" spans="1:9" x14ac:dyDescent="0.25">
      <c r="A13368" s="515">
        <v>18326</v>
      </c>
      <c r="B13368" s="515" t="s">
        <v>338</v>
      </c>
      <c r="C13368" s="52">
        <v>257519.353921375</v>
      </c>
      <c r="D13368" s="56">
        <v>0.11583223672290008</v>
      </c>
      <c r="E13368" s="224" t="s">
        <v>2</v>
      </c>
      <c r="F13368" s="515" t="s">
        <v>14555</v>
      </c>
      <c r="G13368" s="52">
        <v>248112.84854030699</v>
      </c>
      <c r="H13368" s="56">
        <v>2.4309874496110533E-2</v>
      </c>
      <c r="I13368" s="224" t="s">
        <v>2</v>
      </c>
    </row>
    <row r="13369" spans="1:9" x14ac:dyDescent="0.25">
      <c r="A13369" s="515">
        <v>8880</v>
      </c>
      <c r="B13369" s="515" t="s">
        <v>324</v>
      </c>
      <c r="C13369" s="52">
        <v>358111.04018892802</v>
      </c>
      <c r="D13369" s="56">
        <v>5.5386642352224104E-2</v>
      </c>
      <c r="E13369" s="224" t="s">
        <v>2</v>
      </c>
      <c r="F13369" s="515" t="s">
        <v>14556</v>
      </c>
      <c r="G13369" s="52">
        <v>174001.522016843</v>
      </c>
      <c r="H13369" s="56">
        <v>0.17987517725874921</v>
      </c>
      <c r="I13369" s="224" t="s">
        <v>2</v>
      </c>
    </row>
    <row r="13370" spans="1:9" x14ac:dyDescent="0.25">
      <c r="A13370" s="515">
        <v>30346</v>
      </c>
      <c r="B13370" s="515" t="s">
        <v>957</v>
      </c>
      <c r="C13370" s="52">
        <v>467700.21581825701</v>
      </c>
      <c r="D13370" s="56">
        <v>3.9850605034398995E-2</v>
      </c>
      <c r="E13370" s="224">
        <v>1977.72348484848</v>
      </c>
      <c r="F13370" s="515" t="s">
        <v>14557</v>
      </c>
      <c r="G13370" s="52">
        <v>185970.801873652</v>
      </c>
      <c r="H13370" s="56">
        <v>-2.2320540427379458E-2</v>
      </c>
      <c r="I13370" s="224" t="s">
        <v>2</v>
      </c>
    </row>
    <row r="13371" spans="1:9" x14ac:dyDescent="0.25">
      <c r="A13371" s="515">
        <v>41016</v>
      </c>
      <c r="B13371" s="515" t="s">
        <v>344</v>
      </c>
      <c r="C13371" s="52">
        <v>158519.68182747299</v>
      </c>
      <c r="D13371" s="56">
        <v>6.0652359271849365E-2</v>
      </c>
      <c r="E13371" s="224" t="s">
        <v>2</v>
      </c>
      <c r="F13371" s="515" t="s">
        <v>14558</v>
      </c>
      <c r="G13371" s="52">
        <v>307223.77680226997</v>
      </c>
      <c r="H13371" s="56">
        <v>8.0359820785545877E-2</v>
      </c>
      <c r="I13371" s="224" t="s">
        <v>2</v>
      </c>
    </row>
    <row r="13372" spans="1:9" x14ac:dyDescent="0.25">
      <c r="A13372" s="515">
        <v>66018</v>
      </c>
      <c r="B13372" s="515" t="s">
        <v>455</v>
      </c>
      <c r="C13372" s="52">
        <v>357881.22535962297</v>
      </c>
      <c r="D13372" s="56">
        <v>5.4812551578113607E-2</v>
      </c>
      <c r="E13372" s="224" t="s">
        <v>2</v>
      </c>
      <c r="F13372" s="515" t="s">
        <v>14559</v>
      </c>
      <c r="G13372" s="52">
        <v>254687.96101128199</v>
      </c>
      <c r="H13372" s="56">
        <v>0.16336614494232171</v>
      </c>
      <c r="I13372" s="224" t="s">
        <v>2</v>
      </c>
    </row>
    <row r="13373" spans="1:9" x14ac:dyDescent="0.25">
      <c r="A13373" s="515">
        <v>17554</v>
      </c>
      <c r="B13373" s="515" t="s">
        <v>537</v>
      </c>
      <c r="C13373" s="52">
        <v>290702.80672888202</v>
      </c>
      <c r="D13373" s="56">
        <v>9.3353651708659266E-2</v>
      </c>
      <c r="E13373" s="224" t="s">
        <v>2</v>
      </c>
      <c r="F13373" s="515" t="s">
        <v>14560</v>
      </c>
      <c r="G13373" s="52">
        <v>317811.53114427201</v>
      </c>
      <c r="H13373" s="56">
        <v>3.0905383489195803E-2</v>
      </c>
      <c r="I13373" s="224" t="s">
        <v>2</v>
      </c>
    </row>
    <row r="13374" spans="1:9" x14ac:dyDescent="0.25">
      <c r="A13374" s="515">
        <v>46710</v>
      </c>
      <c r="B13374" s="515" t="s">
        <v>1058</v>
      </c>
      <c r="C13374" s="52">
        <v>230934.26951870401</v>
      </c>
      <c r="D13374" s="56">
        <v>7.2330129914321362E-2</v>
      </c>
      <c r="E13374" s="224" t="s">
        <v>2</v>
      </c>
      <c r="F13374" s="515" t="s">
        <v>14561</v>
      </c>
      <c r="G13374" s="52">
        <v>88526.445137249</v>
      </c>
      <c r="H13374" s="56">
        <v>0.15699236385749621</v>
      </c>
      <c r="I13374" s="224" t="s">
        <v>2</v>
      </c>
    </row>
    <row r="13375" spans="1:9" x14ac:dyDescent="0.25">
      <c r="A13375" s="515">
        <v>8535</v>
      </c>
      <c r="B13375" s="515" t="s">
        <v>324</v>
      </c>
      <c r="C13375" s="52">
        <v>760749.64800019201</v>
      </c>
      <c r="D13375" s="56">
        <v>7.7554574678046648E-2</v>
      </c>
      <c r="E13375" s="224" t="s">
        <v>2</v>
      </c>
      <c r="F13375" s="515" t="s">
        <v>14562</v>
      </c>
      <c r="G13375" s="52">
        <v>142996.326616087</v>
      </c>
      <c r="H13375" s="56">
        <v>0.12232800829399909</v>
      </c>
      <c r="I13375" s="224" t="s">
        <v>2</v>
      </c>
    </row>
    <row r="13376" spans="1:9" x14ac:dyDescent="0.25">
      <c r="A13376" s="515">
        <v>32131</v>
      </c>
      <c r="B13376" s="515" t="s">
        <v>920</v>
      </c>
      <c r="C13376" s="52">
        <v>242441.02483785301</v>
      </c>
      <c r="D13376" s="56">
        <v>9.221785093300526E-2</v>
      </c>
      <c r="E13376" s="224" t="s">
        <v>2</v>
      </c>
      <c r="F13376" s="515" t="s">
        <v>14563</v>
      </c>
      <c r="G13376" s="52">
        <v>339328.33055643999</v>
      </c>
      <c r="H13376" s="56">
        <v>8.4291872375014815E-2</v>
      </c>
      <c r="I13376" s="224" t="s">
        <v>2</v>
      </c>
    </row>
    <row r="13377" spans="1:9" x14ac:dyDescent="0.25">
      <c r="A13377" s="515">
        <v>2210</v>
      </c>
      <c r="B13377" s="515" t="s">
        <v>534</v>
      </c>
      <c r="C13377" s="52">
        <v>1311738.58924208</v>
      </c>
      <c r="D13377" s="56">
        <v>-3.3807476694255621E-2</v>
      </c>
      <c r="E13377" s="224">
        <v>3837.8884313725398</v>
      </c>
      <c r="F13377" s="515" t="s">
        <v>14564</v>
      </c>
      <c r="G13377" s="52">
        <v>70493.818108543201</v>
      </c>
      <c r="H13377" s="56">
        <v>6.0367017748813964E-2</v>
      </c>
      <c r="I13377" s="224" t="s">
        <v>2</v>
      </c>
    </row>
    <row r="13378" spans="1:9" x14ac:dyDescent="0.25">
      <c r="A13378" s="515">
        <v>43102</v>
      </c>
      <c r="B13378" s="515" t="s">
        <v>345</v>
      </c>
      <c r="C13378" s="52">
        <v>259887.718246337</v>
      </c>
      <c r="D13378" s="56">
        <v>0.11295604273344115</v>
      </c>
      <c r="E13378" s="224" t="s">
        <v>2</v>
      </c>
      <c r="F13378" s="515" t="s">
        <v>14565</v>
      </c>
      <c r="G13378" s="52">
        <v>141613.77691121501</v>
      </c>
      <c r="H13378" s="56">
        <v>0.21514012638412899</v>
      </c>
      <c r="I13378" s="224" t="s">
        <v>2</v>
      </c>
    </row>
    <row r="13379" spans="1:9" x14ac:dyDescent="0.25">
      <c r="A13379" s="515">
        <v>64158</v>
      </c>
      <c r="B13379" s="515" t="s">
        <v>455</v>
      </c>
      <c r="C13379" s="52">
        <v>349054.19962244597</v>
      </c>
      <c r="D13379" s="56">
        <v>7.1339237733817271E-2</v>
      </c>
      <c r="E13379" s="224" t="s">
        <v>2</v>
      </c>
      <c r="F13379" s="515" t="s">
        <v>14566</v>
      </c>
      <c r="G13379" s="52">
        <v>121828.649492554</v>
      </c>
      <c r="H13379" s="56">
        <v>5.8941709978245944E-2</v>
      </c>
      <c r="I13379" s="224" t="s">
        <v>2</v>
      </c>
    </row>
    <row r="13380" spans="1:9" x14ac:dyDescent="0.25">
      <c r="A13380" s="515">
        <v>60551</v>
      </c>
      <c r="B13380" s="515" t="s">
        <v>556</v>
      </c>
      <c r="C13380" s="52">
        <v>239586.92259427701</v>
      </c>
      <c r="D13380" s="56">
        <v>2.7642132225802547E-2</v>
      </c>
      <c r="E13380" s="224" t="s">
        <v>2</v>
      </c>
      <c r="F13380" s="515" t="s">
        <v>14567</v>
      </c>
      <c r="G13380" s="52">
        <v>203024.76511752</v>
      </c>
      <c r="H13380" s="56">
        <v>7.3090979037486528E-2</v>
      </c>
      <c r="I13380" s="224" t="s">
        <v>2</v>
      </c>
    </row>
    <row r="13381" spans="1:9" x14ac:dyDescent="0.25">
      <c r="A13381" s="515">
        <v>29164</v>
      </c>
      <c r="B13381" s="515" t="s">
        <v>888</v>
      </c>
      <c r="C13381" s="52">
        <v>77321.950169456497</v>
      </c>
      <c r="D13381" s="56">
        <v>-9.0876864604577754E-3</v>
      </c>
      <c r="E13381" s="224" t="s">
        <v>2</v>
      </c>
      <c r="F13381" s="515" t="s">
        <v>14568</v>
      </c>
      <c r="G13381" s="52">
        <v>65487.042179215699</v>
      </c>
      <c r="H13381" s="56">
        <v>-4.2134667906646807E-2</v>
      </c>
      <c r="I13381" s="224" t="s">
        <v>2</v>
      </c>
    </row>
    <row r="13382" spans="1:9" x14ac:dyDescent="0.25">
      <c r="A13382" s="515">
        <v>49336</v>
      </c>
      <c r="B13382" s="515" t="s">
        <v>494</v>
      </c>
      <c r="C13382" s="52">
        <v>151875.275144457</v>
      </c>
      <c r="D13382" s="56">
        <v>6.4097532181731434E-2</v>
      </c>
      <c r="E13382" s="224" t="s">
        <v>2</v>
      </c>
      <c r="F13382" s="515" t="s">
        <v>14569</v>
      </c>
      <c r="G13382" s="52">
        <v>122068.080213415</v>
      </c>
      <c r="H13382" s="56">
        <v>1.1953141005796128E-2</v>
      </c>
      <c r="I13382" s="224" t="s">
        <v>2</v>
      </c>
    </row>
    <row r="13383" spans="1:9" x14ac:dyDescent="0.25">
      <c r="A13383" s="515">
        <v>37692</v>
      </c>
      <c r="B13383" s="515" t="s">
        <v>988</v>
      </c>
      <c r="C13383" s="52">
        <v>211498.76070974901</v>
      </c>
      <c r="D13383" s="56">
        <v>4.04379979443159E-2</v>
      </c>
      <c r="E13383" s="224" t="s">
        <v>2</v>
      </c>
      <c r="F13383" s="515" t="s">
        <v>14570</v>
      </c>
      <c r="G13383" s="52">
        <v>187478.566778357</v>
      </c>
      <c r="H13383" s="56">
        <v>2.7551719738390195E-2</v>
      </c>
      <c r="I13383" s="224" t="s">
        <v>2</v>
      </c>
    </row>
    <row r="13384" spans="1:9" x14ac:dyDescent="0.25">
      <c r="A13384" s="515">
        <v>52726</v>
      </c>
      <c r="B13384" s="515" t="s">
        <v>439</v>
      </c>
      <c r="C13384" s="52">
        <v>284990.82844261802</v>
      </c>
      <c r="D13384" s="56">
        <v>6.7410492084631179E-2</v>
      </c>
      <c r="E13384" s="224" t="s">
        <v>2</v>
      </c>
      <c r="F13384" s="515" t="s">
        <v>14571</v>
      </c>
      <c r="G13384" s="52">
        <v>80502.805483419201</v>
      </c>
      <c r="H13384" s="56">
        <v>0.14113231322856487</v>
      </c>
      <c r="I13384" s="224" t="s">
        <v>2</v>
      </c>
    </row>
    <row r="13385" spans="1:9" x14ac:dyDescent="0.25">
      <c r="A13385" s="515">
        <v>38041</v>
      </c>
      <c r="C13385" s="52">
        <v>102173.672736874</v>
      </c>
      <c r="D13385" s="56">
        <v>2.7235208623501945E-2</v>
      </c>
      <c r="E13385" s="224" t="s">
        <v>2</v>
      </c>
      <c r="F13385" s="515" t="s">
        <v>14572</v>
      </c>
      <c r="G13385" s="52">
        <v>168813.760880427</v>
      </c>
      <c r="H13385" s="56">
        <v>9.7229599442814618E-2</v>
      </c>
      <c r="I13385" s="224" t="s">
        <v>2</v>
      </c>
    </row>
    <row r="13386" spans="1:9" x14ac:dyDescent="0.25">
      <c r="A13386" s="515">
        <v>41314</v>
      </c>
      <c r="C13386" s="52">
        <v>118570.312114734</v>
      </c>
      <c r="D13386" s="56">
        <v>0.15024650597682299</v>
      </c>
      <c r="E13386" s="224" t="s">
        <v>2</v>
      </c>
      <c r="F13386" s="515" t="s">
        <v>14573</v>
      </c>
      <c r="G13386" s="52">
        <v>435997.35616171302</v>
      </c>
      <c r="H13386" s="56">
        <v>7.9371227220646545E-2</v>
      </c>
      <c r="I13386" s="224" t="s">
        <v>2</v>
      </c>
    </row>
    <row r="13387" spans="1:9" x14ac:dyDescent="0.25">
      <c r="A13387" s="515">
        <v>75124</v>
      </c>
      <c r="C13387" s="52">
        <v>279338.98368583299</v>
      </c>
      <c r="D13387" s="56">
        <v>4.6446373925934599E-2</v>
      </c>
      <c r="E13387" s="224" t="s">
        <v>2</v>
      </c>
      <c r="F13387" s="515" t="s">
        <v>14574</v>
      </c>
      <c r="G13387" s="52">
        <v>333134.54778030002</v>
      </c>
      <c r="H13387" s="56">
        <v>9.9059087339952737E-2</v>
      </c>
      <c r="I13387" s="224" t="s">
        <v>2</v>
      </c>
    </row>
    <row r="13388" spans="1:9" x14ac:dyDescent="0.25">
      <c r="A13388" s="515">
        <v>52778</v>
      </c>
      <c r="B13388" s="515" t="s">
        <v>755</v>
      </c>
      <c r="C13388" s="52">
        <v>202244.834984204</v>
      </c>
      <c r="D13388" s="56">
        <v>6.8600601274259321E-2</v>
      </c>
      <c r="E13388" s="224" t="s">
        <v>2</v>
      </c>
      <c r="F13388" s="515" t="s">
        <v>14575</v>
      </c>
      <c r="G13388" s="52">
        <v>190956.12512154301</v>
      </c>
      <c r="H13388" s="56">
        <v>8.1456614057622626E-2</v>
      </c>
      <c r="I13388" s="224" t="s">
        <v>2</v>
      </c>
    </row>
    <row r="13389" spans="1:9" x14ac:dyDescent="0.25">
      <c r="A13389" s="515">
        <v>62681</v>
      </c>
      <c r="C13389" s="52">
        <v>111706.856787759</v>
      </c>
      <c r="D13389" s="56">
        <v>0.15653675822008814</v>
      </c>
      <c r="E13389" s="224" t="s">
        <v>2</v>
      </c>
      <c r="F13389" s="515" t="s">
        <v>14576</v>
      </c>
      <c r="G13389" s="52">
        <v>93826.089490636499</v>
      </c>
      <c r="H13389" s="56">
        <v>-2.6096113519354643E-2</v>
      </c>
      <c r="I13389" s="224" t="s">
        <v>2</v>
      </c>
    </row>
    <row r="13390" spans="1:9" x14ac:dyDescent="0.25">
      <c r="A13390" s="515">
        <v>28323</v>
      </c>
      <c r="B13390" s="515" t="s">
        <v>1149</v>
      </c>
      <c r="C13390" s="52">
        <v>263452.71620300499</v>
      </c>
      <c r="D13390" s="56">
        <v>0.13011274218859242</v>
      </c>
      <c r="E13390" s="224" t="s">
        <v>2</v>
      </c>
      <c r="F13390" s="515" t="s">
        <v>14577</v>
      </c>
      <c r="G13390" s="52">
        <v>203629.51457858901</v>
      </c>
      <c r="H13390" s="56">
        <v>6.5001878771532101E-2</v>
      </c>
      <c r="I13390" s="224" t="s">
        <v>2</v>
      </c>
    </row>
    <row r="13391" spans="1:9" x14ac:dyDescent="0.25">
      <c r="A13391" s="515">
        <v>71403</v>
      </c>
      <c r="B13391" s="515" t="s">
        <v>889</v>
      </c>
      <c r="C13391" s="52">
        <v>132288.500842421</v>
      </c>
      <c r="D13391" s="56">
        <v>-5.7206776532121627E-3</v>
      </c>
      <c r="E13391" s="224" t="s">
        <v>2</v>
      </c>
      <c r="F13391" s="515" t="s">
        <v>14578</v>
      </c>
      <c r="G13391" s="52">
        <v>134256.45489337301</v>
      </c>
      <c r="H13391" s="56">
        <v>6.8134870553487492E-2</v>
      </c>
      <c r="I13391" s="224" t="s">
        <v>2</v>
      </c>
    </row>
    <row r="13392" spans="1:9" x14ac:dyDescent="0.25">
      <c r="A13392" s="515">
        <v>56461</v>
      </c>
      <c r="C13392" s="52">
        <v>262155.976492305</v>
      </c>
      <c r="D13392" s="56">
        <v>0.10279321577719794</v>
      </c>
      <c r="E13392" s="224" t="s">
        <v>2</v>
      </c>
      <c r="F13392" s="515" t="s">
        <v>14579</v>
      </c>
      <c r="G13392" s="52">
        <v>514585.93334901199</v>
      </c>
      <c r="H13392" s="56">
        <v>6.8698844024855613E-2</v>
      </c>
      <c r="I13392" s="224" t="s">
        <v>2</v>
      </c>
    </row>
    <row r="13393" spans="1:9" x14ac:dyDescent="0.25">
      <c r="A13393" s="515">
        <v>22134</v>
      </c>
      <c r="B13393" s="515" t="s">
        <v>321</v>
      </c>
      <c r="C13393" s="52">
        <v>309898.30132587499</v>
      </c>
      <c r="D13393" s="56">
        <v>2.7874058298885524E-2</v>
      </c>
      <c r="E13393" s="224" t="s">
        <v>2</v>
      </c>
      <c r="F13393" s="515" t="s">
        <v>14580</v>
      </c>
      <c r="G13393" s="52">
        <v>221011.26403555699</v>
      </c>
      <c r="H13393" s="56">
        <v>6.4097927018333542E-2</v>
      </c>
      <c r="I13393" s="224" t="s">
        <v>2</v>
      </c>
    </row>
    <row r="13394" spans="1:9" x14ac:dyDescent="0.25">
      <c r="A13394" s="515">
        <v>3101</v>
      </c>
      <c r="B13394" s="515" t="s">
        <v>996</v>
      </c>
      <c r="C13394" s="52">
        <v>363313.03619400098</v>
      </c>
      <c r="D13394" s="56">
        <v>6.4869610164036182E-2</v>
      </c>
      <c r="E13394" s="224" t="s">
        <v>2</v>
      </c>
      <c r="F13394" s="515" t="s">
        <v>14581</v>
      </c>
      <c r="G13394" s="52">
        <v>129168.55570136099</v>
      </c>
      <c r="H13394" s="56">
        <v>7.5684403028609931E-2</v>
      </c>
      <c r="I13394" s="224" t="s">
        <v>2</v>
      </c>
    </row>
    <row r="13395" spans="1:9" x14ac:dyDescent="0.25">
      <c r="A13395" s="515">
        <v>55005</v>
      </c>
      <c r="B13395" s="515" t="s">
        <v>532</v>
      </c>
      <c r="C13395" s="52">
        <v>359708.08390627097</v>
      </c>
      <c r="D13395" s="56">
        <v>3.887420962218429E-2</v>
      </c>
      <c r="E13395" s="224" t="s">
        <v>2</v>
      </c>
      <c r="F13395" s="515" t="s">
        <v>14582</v>
      </c>
      <c r="G13395" s="52">
        <v>185219.80634473899</v>
      </c>
      <c r="H13395" s="56">
        <v>0.12765944640724719</v>
      </c>
      <c r="I13395" s="224" t="s">
        <v>2</v>
      </c>
    </row>
    <row r="13396" spans="1:9" x14ac:dyDescent="0.25">
      <c r="A13396" s="515">
        <v>15033</v>
      </c>
      <c r="B13396" s="515" t="s">
        <v>297</v>
      </c>
      <c r="C13396" s="52">
        <v>47318.905793019498</v>
      </c>
      <c r="D13396" s="56">
        <v>0.17670040163212697</v>
      </c>
      <c r="E13396" s="224" t="s">
        <v>2</v>
      </c>
      <c r="F13396" s="515" t="s">
        <v>14583</v>
      </c>
      <c r="G13396" s="52">
        <v>87001.200980392096</v>
      </c>
      <c r="H13396" s="56">
        <v>0</v>
      </c>
      <c r="I13396" s="224" t="s">
        <v>2</v>
      </c>
    </row>
    <row r="13397" spans="1:9" x14ac:dyDescent="0.25">
      <c r="A13397" s="515">
        <v>44440</v>
      </c>
      <c r="B13397" s="515" t="s">
        <v>397</v>
      </c>
      <c r="C13397" s="52">
        <v>166900.787376719</v>
      </c>
      <c r="D13397" s="56">
        <v>7.3868067633679146E-2</v>
      </c>
      <c r="E13397" s="224" t="s">
        <v>2</v>
      </c>
      <c r="F13397" s="515" t="s">
        <v>14584</v>
      </c>
      <c r="G13397" s="52">
        <v>195064.42287835199</v>
      </c>
      <c r="H13397" s="56">
        <v>0.12516126845953743</v>
      </c>
      <c r="I13397" s="224" t="s">
        <v>2</v>
      </c>
    </row>
    <row r="13398" spans="1:9" x14ac:dyDescent="0.25">
      <c r="A13398" s="515">
        <v>8029</v>
      </c>
      <c r="B13398" s="515" t="s">
        <v>294</v>
      </c>
      <c r="C13398" s="52">
        <v>253628.131011494</v>
      </c>
      <c r="D13398" s="56">
        <v>9.3527575017571002E-2</v>
      </c>
      <c r="E13398" s="224" t="s">
        <v>2</v>
      </c>
      <c r="F13398" s="515" t="s">
        <v>14585</v>
      </c>
      <c r="G13398" s="52">
        <v>403277.38254484499</v>
      </c>
      <c r="H13398" s="56">
        <v>6.3702994578176658E-2</v>
      </c>
      <c r="I13398" s="224" t="s">
        <v>2</v>
      </c>
    </row>
    <row r="13399" spans="1:9" x14ac:dyDescent="0.25">
      <c r="A13399" s="515">
        <v>44842</v>
      </c>
      <c r="B13399" s="515" t="s">
        <v>305</v>
      </c>
      <c r="C13399" s="52">
        <v>199871.186752804</v>
      </c>
      <c r="D13399" s="56">
        <v>0.11816005404386613</v>
      </c>
      <c r="E13399" s="224" t="s">
        <v>2</v>
      </c>
      <c r="F13399" s="515" t="s">
        <v>14586</v>
      </c>
      <c r="G13399" s="52">
        <v>288156.40920916502</v>
      </c>
      <c r="H13399" s="56">
        <v>0.12972668854223621</v>
      </c>
      <c r="I13399" s="224" t="s">
        <v>2</v>
      </c>
    </row>
    <row r="13400" spans="1:9" x14ac:dyDescent="0.25">
      <c r="A13400" s="515">
        <v>57580</v>
      </c>
      <c r="C13400" s="52">
        <v>184898.48785023601</v>
      </c>
      <c r="D13400" s="56">
        <v>0.10702409377117073</v>
      </c>
      <c r="E13400" s="224" t="s">
        <v>2</v>
      </c>
      <c r="F13400" s="515" t="s">
        <v>14587</v>
      </c>
      <c r="G13400" s="52">
        <v>59621.003486376299</v>
      </c>
      <c r="H13400" s="56">
        <v>0.14337238073908642</v>
      </c>
      <c r="I13400" s="224" t="s">
        <v>2</v>
      </c>
    </row>
    <row r="13401" spans="1:9" x14ac:dyDescent="0.25">
      <c r="A13401" s="515">
        <v>50129</v>
      </c>
      <c r="C13401" s="52">
        <v>140043.32484025499</v>
      </c>
      <c r="D13401" s="56">
        <v>0.13588564327589819</v>
      </c>
      <c r="E13401" s="224" t="s">
        <v>2</v>
      </c>
      <c r="F13401" s="515" t="s">
        <v>14588</v>
      </c>
      <c r="G13401" s="52">
        <v>278366.85093831498</v>
      </c>
      <c r="H13401" s="56">
        <v>4.0424092624568649E-2</v>
      </c>
      <c r="I13401" s="224" t="s">
        <v>2</v>
      </c>
    </row>
    <row r="13402" spans="1:9" x14ac:dyDescent="0.25">
      <c r="A13402" s="515">
        <v>54552</v>
      </c>
      <c r="C13402" s="52">
        <v>151234.53535819601</v>
      </c>
      <c r="D13402" s="56">
        <v>0.11525227847190352</v>
      </c>
      <c r="E13402" s="224" t="s">
        <v>2</v>
      </c>
      <c r="F13402" s="515" t="s">
        <v>14589</v>
      </c>
      <c r="G13402" s="52">
        <v>441517.64878048701</v>
      </c>
      <c r="H13402" s="56">
        <v>0</v>
      </c>
      <c r="I13402" s="224" t="s">
        <v>2</v>
      </c>
    </row>
    <row r="13403" spans="1:9" x14ac:dyDescent="0.25">
      <c r="A13403" s="515">
        <v>85622</v>
      </c>
      <c r="B13403" s="515" t="s">
        <v>368</v>
      </c>
      <c r="C13403" s="52">
        <v>356056.38758355402</v>
      </c>
      <c r="D13403" s="56">
        <v>7.2487974004592073E-2</v>
      </c>
      <c r="E13403" s="224" t="s">
        <v>2</v>
      </c>
      <c r="F13403" s="515" t="s">
        <v>14590</v>
      </c>
      <c r="G13403" s="52">
        <v>366906.19037484698</v>
      </c>
      <c r="H13403" s="56">
        <v>9.4294630208354269E-2</v>
      </c>
      <c r="I13403" s="224" t="s">
        <v>2</v>
      </c>
    </row>
    <row r="13404" spans="1:9" x14ac:dyDescent="0.25">
      <c r="A13404" s="515">
        <v>62549</v>
      </c>
      <c r="B13404" s="515" t="s">
        <v>540</v>
      </c>
      <c r="C13404" s="52">
        <v>159304.55413306301</v>
      </c>
      <c r="D13404" s="56">
        <v>2.3048688078615039E-2</v>
      </c>
      <c r="E13404" s="224" t="s">
        <v>2</v>
      </c>
      <c r="F13404" s="515" t="s">
        <v>14591</v>
      </c>
      <c r="G13404" s="52">
        <v>100705.415849386</v>
      </c>
      <c r="H13404" s="56">
        <v>5.3956595867672631E-2</v>
      </c>
      <c r="I13404" s="224" t="s">
        <v>2</v>
      </c>
    </row>
    <row r="13405" spans="1:9" x14ac:dyDescent="0.25">
      <c r="A13405" s="515">
        <v>53033</v>
      </c>
      <c r="B13405" s="515" t="s">
        <v>950</v>
      </c>
      <c r="C13405" s="52">
        <v>396866.54035991599</v>
      </c>
      <c r="D13405" s="56">
        <v>6.8379505296542978E-2</v>
      </c>
      <c r="E13405" s="224" t="s">
        <v>2</v>
      </c>
      <c r="F13405" s="515" t="s">
        <v>14592</v>
      </c>
      <c r="G13405" s="52">
        <v>301117.16974780901</v>
      </c>
      <c r="H13405" s="56">
        <v>7.0975721560984362E-2</v>
      </c>
      <c r="I13405" s="224" t="s">
        <v>2</v>
      </c>
    </row>
    <row r="13406" spans="1:9" x14ac:dyDescent="0.25">
      <c r="A13406" s="515">
        <v>95247</v>
      </c>
      <c r="C13406" s="52">
        <v>498391.780551659</v>
      </c>
      <c r="D13406" s="56">
        <v>1.8662889480083031E-2</v>
      </c>
      <c r="E13406" s="224" t="s">
        <v>2</v>
      </c>
      <c r="F13406" s="515" t="s">
        <v>14593</v>
      </c>
      <c r="G13406" s="52">
        <v>194128.49988208301</v>
      </c>
      <c r="H13406" s="56">
        <v>9.0257655795007691E-2</v>
      </c>
      <c r="I13406" s="224" t="s">
        <v>2</v>
      </c>
    </row>
    <row r="13407" spans="1:9" x14ac:dyDescent="0.25">
      <c r="A13407" s="515">
        <v>64633</v>
      </c>
      <c r="C13407" s="52">
        <v>108639.431395027</v>
      </c>
      <c r="D13407" s="56">
        <v>6.9991219757444059E-2</v>
      </c>
      <c r="E13407" s="224" t="s">
        <v>2</v>
      </c>
      <c r="F13407" s="515" t="s">
        <v>14594</v>
      </c>
      <c r="G13407" s="52">
        <v>76407.462877543599</v>
      </c>
      <c r="H13407" s="56">
        <v>0</v>
      </c>
      <c r="I13407" s="224" t="s">
        <v>2</v>
      </c>
    </row>
    <row r="13408" spans="1:9" x14ac:dyDescent="0.25">
      <c r="A13408" s="515">
        <v>46562</v>
      </c>
      <c r="B13408" s="515" t="s">
        <v>1127</v>
      </c>
      <c r="C13408" s="52">
        <v>206878.93514432301</v>
      </c>
      <c r="D13408" s="56">
        <v>7.5473770510233462E-2</v>
      </c>
      <c r="E13408" s="224" t="s">
        <v>2</v>
      </c>
      <c r="F13408" s="515" t="s">
        <v>14595</v>
      </c>
      <c r="G13408" s="52">
        <v>145373.73611111101</v>
      </c>
      <c r="H13408" s="56">
        <v>0</v>
      </c>
      <c r="I13408" s="224" t="s">
        <v>2</v>
      </c>
    </row>
    <row r="13409" spans="1:9" x14ac:dyDescent="0.25">
      <c r="A13409" s="515">
        <v>8730</v>
      </c>
      <c r="B13409" s="515" t="s">
        <v>324</v>
      </c>
      <c r="C13409" s="52">
        <v>901491.78157239105</v>
      </c>
      <c r="D13409" s="56">
        <v>0.11535544255448774</v>
      </c>
      <c r="E13409" s="224" t="s">
        <v>2</v>
      </c>
      <c r="F13409" s="515" t="s">
        <v>14596</v>
      </c>
      <c r="G13409" s="52">
        <v>111930.609240506</v>
      </c>
      <c r="H13409" s="56">
        <v>0</v>
      </c>
      <c r="I13409" s="224" t="s">
        <v>2</v>
      </c>
    </row>
    <row r="13410" spans="1:9" x14ac:dyDescent="0.25">
      <c r="A13410" s="515">
        <v>70763</v>
      </c>
      <c r="B13410" s="515" t="s">
        <v>777</v>
      </c>
      <c r="C13410" s="52">
        <v>288839.07334649202</v>
      </c>
      <c r="D13410" s="56">
        <v>3.6173318064193979E-2</v>
      </c>
      <c r="E13410" s="224" t="s">
        <v>2</v>
      </c>
      <c r="F13410" s="515" t="s">
        <v>14597</v>
      </c>
      <c r="G13410" s="52">
        <v>382696.389252519</v>
      </c>
      <c r="H13410" s="56">
        <v>6.595278149294205E-2</v>
      </c>
      <c r="I13410" s="224" t="s">
        <v>2</v>
      </c>
    </row>
    <row r="13411" spans="1:9" x14ac:dyDescent="0.25">
      <c r="A13411" s="515">
        <v>8853</v>
      </c>
      <c r="B13411" s="515" t="s">
        <v>324</v>
      </c>
      <c r="C13411" s="52">
        <v>662489.48028221796</v>
      </c>
      <c r="D13411" s="56">
        <v>4.802758049582033E-2</v>
      </c>
      <c r="E13411" s="224" t="s">
        <v>2</v>
      </c>
      <c r="F13411" s="515" t="s">
        <v>14598</v>
      </c>
      <c r="G13411" s="52">
        <v>136866.11958305899</v>
      </c>
      <c r="H13411" s="56">
        <v>0.15401820160981158</v>
      </c>
      <c r="I13411" s="224" t="s">
        <v>2</v>
      </c>
    </row>
    <row r="13412" spans="1:9" x14ac:dyDescent="0.25">
      <c r="A13412" s="515">
        <v>19946</v>
      </c>
      <c r="B13412" s="515" t="s">
        <v>410</v>
      </c>
      <c r="C13412" s="52">
        <v>319618.34758626402</v>
      </c>
      <c r="D13412" s="56">
        <v>7.5700033565414424E-2</v>
      </c>
      <c r="E13412" s="224" t="s">
        <v>2</v>
      </c>
      <c r="F13412" s="515" t="s">
        <v>14599</v>
      </c>
      <c r="G13412" s="52">
        <v>162188.12763716199</v>
      </c>
      <c r="H13412" s="56">
        <v>0.1200298917052563</v>
      </c>
      <c r="I13412" s="224" t="s">
        <v>2</v>
      </c>
    </row>
    <row r="13413" spans="1:9" x14ac:dyDescent="0.25">
      <c r="A13413" s="515">
        <v>18642</v>
      </c>
      <c r="B13413" s="515" t="s">
        <v>512</v>
      </c>
      <c r="C13413" s="52">
        <v>146209.34006197899</v>
      </c>
      <c r="D13413" s="56">
        <v>6.2304130001010573E-2</v>
      </c>
      <c r="E13413" s="224" t="s">
        <v>2</v>
      </c>
      <c r="F13413" s="515" t="s">
        <v>14600</v>
      </c>
      <c r="G13413" s="52">
        <v>806013.22399447497</v>
      </c>
      <c r="H13413" s="56">
        <v>6.3311771172458189E-2</v>
      </c>
      <c r="I13413" s="224" t="s">
        <v>2</v>
      </c>
    </row>
    <row r="13414" spans="1:9" x14ac:dyDescent="0.25">
      <c r="A13414" s="515">
        <v>36250</v>
      </c>
      <c r="B13414" s="515" t="s">
        <v>927</v>
      </c>
      <c r="C13414" s="52">
        <v>182661.47164145601</v>
      </c>
      <c r="D13414" s="56">
        <v>9.0205895435773481E-2</v>
      </c>
      <c r="E13414" s="224" t="s">
        <v>2</v>
      </c>
      <c r="F13414" s="515" t="s">
        <v>14601</v>
      </c>
      <c r="G13414" s="52">
        <v>389415.77138106799</v>
      </c>
      <c r="H13414" s="56">
        <v>0.10202956598184318</v>
      </c>
      <c r="I13414" s="224" t="s">
        <v>2</v>
      </c>
    </row>
    <row r="13415" spans="1:9" x14ac:dyDescent="0.25">
      <c r="A13415" s="515">
        <v>54126</v>
      </c>
      <c r="B13415" s="515" t="s">
        <v>897</v>
      </c>
      <c r="C13415" s="52">
        <v>286648.41884698998</v>
      </c>
      <c r="D13415" s="56">
        <v>4.2285401930857898E-2</v>
      </c>
      <c r="E13415" s="224" t="s">
        <v>2</v>
      </c>
      <c r="F13415" s="515" t="s">
        <v>14602</v>
      </c>
      <c r="G13415" s="52">
        <v>1119790.94072732</v>
      </c>
      <c r="H13415" s="56">
        <v>2.0927713826860629E-2</v>
      </c>
      <c r="I13415" s="224" t="s">
        <v>2</v>
      </c>
    </row>
    <row r="13416" spans="1:9" x14ac:dyDescent="0.25">
      <c r="A13416" s="515">
        <v>29374</v>
      </c>
      <c r="B13416" s="515" t="s">
        <v>447</v>
      </c>
      <c r="C13416" s="52">
        <v>257437.30919526701</v>
      </c>
      <c r="D13416" s="56">
        <v>0.1787001461832948</v>
      </c>
      <c r="E13416" s="224" t="s">
        <v>2</v>
      </c>
      <c r="F13416" s="515" t="s">
        <v>14603</v>
      </c>
      <c r="G13416" s="52">
        <v>79172.516392235004</v>
      </c>
      <c r="H13416" s="56">
        <v>-5.1578616353144334E-2</v>
      </c>
      <c r="I13416" s="224" t="s">
        <v>2</v>
      </c>
    </row>
    <row r="13417" spans="1:9" x14ac:dyDescent="0.25">
      <c r="A13417" s="515">
        <v>1535</v>
      </c>
      <c r="B13417" s="515" t="s">
        <v>751</v>
      </c>
      <c r="C13417" s="52">
        <v>325100.54084145499</v>
      </c>
      <c r="D13417" s="56">
        <v>9.7773088520113682E-2</v>
      </c>
      <c r="E13417" s="224" t="s">
        <v>2</v>
      </c>
      <c r="F13417" s="515" t="s">
        <v>14604</v>
      </c>
      <c r="G13417" s="52">
        <v>351168.657557884</v>
      </c>
      <c r="H13417" s="56">
        <v>1.4107309807050163E-2</v>
      </c>
      <c r="I13417" s="224" t="s">
        <v>2</v>
      </c>
    </row>
    <row r="13418" spans="1:9" x14ac:dyDescent="0.25">
      <c r="A13418" s="515">
        <v>73098</v>
      </c>
      <c r="C13418" s="52">
        <v>120776.05307131</v>
      </c>
      <c r="D13418" s="56">
        <v>0.13837892727134796</v>
      </c>
      <c r="E13418" s="224" t="s">
        <v>2</v>
      </c>
      <c r="F13418" s="515" t="s">
        <v>14605</v>
      </c>
      <c r="G13418" s="52">
        <v>193932.52130798099</v>
      </c>
      <c r="H13418" s="56">
        <v>7.0216488984141928E-2</v>
      </c>
      <c r="I13418" s="224" t="s">
        <v>2</v>
      </c>
    </row>
    <row r="13419" spans="1:9" x14ac:dyDescent="0.25">
      <c r="A13419" s="515">
        <v>28356</v>
      </c>
      <c r="B13419" s="515" t="s">
        <v>1149</v>
      </c>
      <c r="C13419" s="52">
        <v>236897.27837203699</v>
      </c>
      <c r="D13419" s="56">
        <v>0.16497284786369221</v>
      </c>
      <c r="E13419" s="224" t="s">
        <v>2</v>
      </c>
      <c r="F13419" s="515" t="s">
        <v>14606</v>
      </c>
      <c r="G13419" s="52">
        <v>73568.887130960298</v>
      </c>
      <c r="H13419" s="56">
        <v>0.12264125863834456</v>
      </c>
      <c r="I13419" s="224" t="s">
        <v>2</v>
      </c>
    </row>
    <row r="13420" spans="1:9" x14ac:dyDescent="0.25">
      <c r="A13420" s="515">
        <v>61252</v>
      </c>
      <c r="B13420" s="515" t="s">
        <v>756</v>
      </c>
      <c r="C13420" s="52">
        <v>135666.66157557699</v>
      </c>
      <c r="D13420" s="56">
        <v>8.2485143402779057E-2</v>
      </c>
      <c r="E13420" s="224" t="s">
        <v>2</v>
      </c>
      <c r="F13420" s="515" t="s">
        <v>14607</v>
      </c>
      <c r="G13420" s="52">
        <v>160956.08860748899</v>
      </c>
      <c r="H13420" s="56">
        <v>9.7054627263804677E-2</v>
      </c>
      <c r="I13420" s="224" t="s">
        <v>2</v>
      </c>
    </row>
    <row r="13421" spans="1:9" x14ac:dyDescent="0.25">
      <c r="A13421" s="515">
        <v>11020</v>
      </c>
      <c r="B13421" s="515" t="s">
        <v>324</v>
      </c>
      <c r="C13421" s="52">
        <v>1253584.6323831801</v>
      </c>
      <c r="D13421" s="56">
        <v>3.0552794515049855E-2</v>
      </c>
      <c r="E13421" s="224" t="s">
        <v>2</v>
      </c>
      <c r="F13421" s="515" t="s">
        <v>14608</v>
      </c>
      <c r="G13421" s="52">
        <v>140003.348847102</v>
      </c>
      <c r="H13421" s="56">
        <v>2.5705793094803146E-2</v>
      </c>
      <c r="I13421" s="224" t="s">
        <v>2</v>
      </c>
    </row>
    <row r="13422" spans="1:9" x14ac:dyDescent="0.25">
      <c r="A13422" s="515">
        <v>98232</v>
      </c>
      <c r="B13422" s="515" t="s">
        <v>454</v>
      </c>
      <c r="C13422" s="52">
        <v>743783.39591312804</v>
      </c>
      <c r="D13422" s="56">
        <v>5.5748351833706952E-2</v>
      </c>
      <c r="E13422" s="224" t="s">
        <v>2</v>
      </c>
      <c r="F13422" s="515" t="s">
        <v>14609</v>
      </c>
      <c r="G13422" s="52">
        <v>222935.570181299</v>
      </c>
      <c r="H13422" s="56">
        <v>-3.8299859362885927E-5</v>
      </c>
      <c r="I13422" s="224" t="s">
        <v>2</v>
      </c>
    </row>
    <row r="13423" spans="1:9" x14ac:dyDescent="0.25">
      <c r="A13423" s="515">
        <v>54829</v>
      </c>
      <c r="C13423" s="52">
        <v>251366.056794245</v>
      </c>
      <c r="D13423" s="56">
        <v>5.7864347422869881E-2</v>
      </c>
      <c r="E13423" s="224" t="s">
        <v>2</v>
      </c>
      <c r="F13423" s="515" t="s">
        <v>14610</v>
      </c>
      <c r="G13423" s="52">
        <v>193396.58195906601</v>
      </c>
      <c r="H13423" s="56">
        <v>5.7813006407261891E-2</v>
      </c>
      <c r="I13423" s="224" t="s">
        <v>2</v>
      </c>
    </row>
    <row r="13424" spans="1:9" x14ac:dyDescent="0.25">
      <c r="A13424" s="515">
        <v>44302</v>
      </c>
      <c r="B13424" s="515" t="s">
        <v>1000</v>
      </c>
      <c r="C13424" s="52">
        <v>115403.408799714</v>
      </c>
      <c r="D13424" s="56">
        <v>9.1701615473863934E-2</v>
      </c>
      <c r="E13424" s="224" t="s">
        <v>2</v>
      </c>
      <c r="F13424" s="515" t="s">
        <v>14611</v>
      </c>
      <c r="G13424" s="52">
        <v>772578.04906255403</v>
      </c>
      <c r="H13424" s="56">
        <v>9.9038433634812337E-2</v>
      </c>
      <c r="I13424" s="224" t="s">
        <v>2</v>
      </c>
    </row>
    <row r="13425" spans="1:9" x14ac:dyDescent="0.25">
      <c r="A13425" s="515">
        <v>46542</v>
      </c>
      <c r="B13425" s="515" t="s">
        <v>1127</v>
      </c>
      <c r="C13425" s="52">
        <v>231948.35166463401</v>
      </c>
      <c r="D13425" s="56">
        <v>7.7501268648324559E-2</v>
      </c>
      <c r="E13425" s="224" t="s">
        <v>2</v>
      </c>
      <c r="F13425" s="515" t="s">
        <v>14612</v>
      </c>
      <c r="G13425" s="52">
        <v>175048.37820263</v>
      </c>
      <c r="H13425" s="56">
        <v>9.5514706576909872E-2</v>
      </c>
      <c r="I13425" s="224" t="s">
        <v>2</v>
      </c>
    </row>
    <row r="13426" spans="1:9" x14ac:dyDescent="0.25">
      <c r="A13426" s="515">
        <v>65051</v>
      </c>
      <c r="B13426" s="515" t="s">
        <v>711</v>
      </c>
      <c r="C13426" s="52">
        <v>195691.62315130199</v>
      </c>
      <c r="D13426" s="56">
        <v>0.1225466723793943</v>
      </c>
      <c r="E13426" s="224" t="s">
        <v>2</v>
      </c>
      <c r="F13426" s="515" t="s">
        <v>14613</v>
      </c>
      <c r="G13426" s="52">
        <v>401599.02417471999</v>
      </c>
      <c r="H13426" s="56">
        <v>7.963014849578455E-2</v>
      </c>
      <c r="I13426" s="224" t="s">
        <v>2</v>
      </c>
    </row>
    <row r="13427" spans="1:9" x14ac:dyDescent="0.25">
      <c r="A13427" s="515">
        <v>28391</v>
      </c>
      <c r="B13427" s="515" t="s">
        <v>1149</v>
      </c>
      <c r="C13427" s="52">
        <v>211694.37631071801</v>
      </c>
      <c r="D13427" s="56">
        <v>0.1562014951957704</v>
      </c>
      <c r="E13427" s="224" t="s">
        <v>2</v>
      </c>
      <c r="F13427" s="515" t="s">
        <v>14614</v>
      </c>
      <c r="G13427" s="52">
        <v>178303.78818763699</v>
      </c>
      <c r="H13427" s="56">
        <v>9.7331676879917603E-2</v>
      </c>
      <c r="I13427" s="224" t="s">
        <v>2</v>
      </c>
    </row>
    <row r="13428" spans="1:9" x14ac:dyDescent="0.25">
      <c r="A13428" s="515">
        <v>57754</v>
      </c>
      <c r="B13428" s="515" t="s">
        <v>934</v>
      </c>
      <c r="C13428" s="52">
        <v>264671.69627523603</v>
      </c>
      <c r="D13428" s="56">
        <v>0.1094031251840531</v>
      </c>
      <c r="E13428" s="224" t="s">
        <v>2</v>
      </c>
      <c r="F13428" s="515" t="s">
        <v>14615</v>
      </c>
      <c r="G13428" s="52">
        <v>151469.49505433999</v>
      </c>
      <c r="H13428" s="56">
        <v>0.12734559334668755</v>
      </c>
      <c r="I13428" s="224" t="s">
        <v>2</v>
      </c>
    </row>
    <row r="13429" spans="1:9" x14ac:dyDescent="0.25">
      <c r="A13429" s="515">
        <v>32324</v>
      </c>
      <c r="B13429" s="515" t="s">
        <v>335</v>
      </c>
      <c r="C13429" s="52">
        <v>104967.611122895</v>
      </c>
      <c r="D13429" s="56">
        <v>0.34780273882189683</v>
      </c>
      <c r="E13429" s="224" t="s">
        <v>2</v>
      </c>
      <c r="F13429" s="515" t="s">
        <v>14616</v>
      </c>
      <c r="G13429" s="52">
        <v>178936.15703083901</v>
      </c>
      <c r="H13429" s="56">
        <v>0.12126695608727511</v>
      </c>
      <c r="I13429" s="224" t="s">
        <v>2</v>
      </c>
    </row>
    <row r="13430" spans="1:9" x14ac:dyDescent="0.25">
      <c r="A13430" s="515">
        <v>36340</v>
      </c>
      <c r="B13430" s="515" t="s">
        <v>816</v>
      </c>
      <c r="C13430" s="52">
        <v>109790.64223457599</v>
      </c>
      <c r="D13430" s="56">
        <v>5.0969981110046525E-2</v>
      </c>
      <c r="E13430" s="224" t="s">
        <v>2</v>
      </c>
      <c r="F13430" s="515" t="s">
        <v>14617</v>
      </c>
      <c r="G13430" s="52">
        <v>188623.14418045999</v>
      </c>
      <c r="H13430" s="56">
        <v>8.5213751256131426E-2</v>
      </c>
      <c r="I13430" s="224" t="s">
        <v>2</v>
      </c>
    </row>
    <row r="13431" spans="1:9" x14ac:dyDescent="0.25">
      <c r="A13431" s="515">
        <v>82431</v>
      </c>
      <c r="C13431" s="52">
        <v>239667.54977648699</v>
      </c>
      <c r="D13431" s="56">
        <v>8.78763744175068E-2</v>
      </c>
      <c r="E13431" s="224" t="s">
        <v>2</v>
      </c>
      <c r="F13431" s="515" t="s">
        <v>14618</v>
      </c>
      <c r="G13431" s="52">
        <v>146579.848384162</v>
      </c>
      <c r="H13431" s="56">
        <v>8.5213678802739376E-2</v>
      </c>
      <c r="I13431" s="224" t="s">
        <v>2</v>
      </c>
    </row>
    <row r="13432" spans="1:9" x14ac:dyDescent="0.25">
      <c r="A13432" s="515">
        <v>61880</v>
      </c>
      <c r="B13432" s="515" t="s">
        <v>417</v>
      </c>
      <c r="C13432" s="52">
        <v>188518.47087915399</v>
      </c>
      <c r="D13432" s="56">
        <v>1.8564060583740671E-2</v>
      </c>
      <c r="E13432" s="224" t="s">
        <v>2</v>
      </c>
      <c r="F13432" s="515" t="s">
        <v>14619</v>
      </c>
      <c r="G13432" s="52">
        <v>117694.38804597899</v>
      </c>
      <c r="H13432" s="56">
        <v>0</v>
      </c>
      <c r="I13432" s="224" t="s">
        <v>2</v>
      </c>
    </row>
    <row r="13433" spans="1:9" x14ac:dyDescent="0.25">
      <c r="A13433" s="515">
        <v>74538</v>
      </c>
      <c r="C13433" s="52">
        <v>101474.775444816</v>
      </c>
      <c r="D13433" s="56">
        <v>0.16579400693421381</v>
      </c>
      <c r="E13433" s="224" t="s">
        <v>2</v>
      </c>
      <c r="F13433" s="515" t="s">
        <v>14620</v>
      </c>
      <c r="G13433" s="52">
        <v>100692.577795084</v>
      </c>
      <c r="H13433" s="56">
        <v>3.8891284334996522E-2</v>
      </c>
      <c r="I13433" s="224" t="s">
        <v>2</v>
      </c>
    </row>
    <row r="13434" spans="1:9" x14ac:dyDescent="0.25">
      <c r="A13434" s="515">
        <v>20119</v>
      </c>
      <c r="B13434" s="515" t="s">
        <v>321</v>
      </c>
      <c r="C13434" s="52">
        <v>537439.26331601397</v>
      </c>
      <c r="D13434" s="56">
        <v>5.9433507735429644E-2</v>
      </c>
      <c r="E13434" s="224" t="s">
        <v>2</v>
      </c>
      <c r="F13434" s="515" t="s">
        <v>14621</v>
      </c>
      <c r="G13434" s="52">
        <v>638590.49516264698</v>
      </c>
      <c r="H13434" s="56">
        <v>-4.6412951000472616E-2</v>
      </c>
      <c r="I13434" s="224" t="s">
        <v>2</v>
      </c>
    </row>
    <row r="13435" spans="1:9" x14ac:dyDescent="0.25">
      <c r="A13435" s="515">
        <v>14433</v>
      </c>
      <c r="B13435" s="515" t="s">
        <v>337</v>
      </c>
      <c r="C13435" s="52">
        <v>116755.882769634</v>
      </c>
      <c r="D13435" s="56">
        <v>7.775808808874643E-2</v>
      </c>
      <c r="E13435" s="224" t="s">
        <v>2</v>
      </c>
      <c r="F13435" s="515" t="s">
        <v>14622</v>
      </c>
      <c r="G13435" s="52">
        <v>154677.093333333</v>
      </c>
      <c r="H13435" s="56">
        <v>0</v>
      </c>
      <c r="I13435" s="224" t="s">
        <v>2</v>
      </c>
    </row>
    <row r="13436" spans="1:9" x14ac:dyDescent="0.25">
      <c r="A13436" s="515">
        <v>49236</v>
      </c>
      <c r="B13436" s="515" t="s">
        <v>783</v>
      </c>
      <c r="C13436" s="52">
        <v>234172.757045946</v>
      </c>
      <c r="D13436" s="56">
        <v>6.1444538601486999E-2</v>
      </c>
      <c r="E13436" s="224" t="s">
        <v>2</v>
      </c>
      <c r="F13436" s="515" t="s">
        <v>14623</v>
      </c>
      <c r="G13436" s="52">
        <v>498481.31066125399</v>
      </c>
      <c r="H13436" s="56">
        <v>0.14838342697989246</v>
      </c>
      <c r="I13436" s="224" t="s">
        <v>2</v>
      </c>
    </row>
    <row r="13437" spans="1:9" x14ac:dyDescent="0.25">
      <c r="A13437" s="515">
        <v>18334</v>
      </c>
      <c r="B13437" s="515" t="s">
        <v>338</v>
      </c>
      <c r="C13437" s="52">
        <v>294101.26491839398</v>
      </c>
      <c r="D13437" s="56">
        <v>0.12375584803415916</v>
      </c>
      <c r="E13437" s="224" t="s">
        <v>2</v>
      </c>
      <c r="F13437" s="515" t="s">
        <v>14624</v>
      </c>
      <c r="G13437" s="52">
        <v>116613.442025492</v>
      </c>
      <c r="H13437" s="56">
        <v>9.6870222622661623E-2</v>
      </c>
      <c r="I13437" s="224" t="s">
        <v>2</v>
      </c>
    </row>
    <row r="13438" spans="1:9" x14ac:dyDescent="0.25">
      <c r="A13438" s="515">
        <v>83355</v>
      </c>
      <c r="C13438" s="52">
        <v>295300.70845667197</v>
      </c>
      <c r="D13438" s="56">
        <v>5.3330909271731196E-2</v>
      </c>
      <c r="E13438" s="224" t="s">
        <v>2</v>
      </c>
      <c r="F13438" s="515" t="s">
        <v>14625</v>
      </c>
      <c r="G13438" s="52">
        <v>137602.311312387</v>
      </c>
      <c r="H13438" s="56">
        <v>8.6930337241946862E-2</v>
      </c>
      <c r="I13438" s="224" t="s">
        <v>2</v>
      </c>
    </row>
    <row r="13439" spans="1:9" x14ac:dyDescent="0.25">
      <c r="A13439" s="515">
        <v>35980</v>
      </c>
      <c r="B13439" s="515" t="s">
        <v>1182</v>
      </c>
      <c r="C13439" s="52">
        <v>171839.34162435401</v>
      </c>
      <c r="D13439" s="56">
        <v>2.7336524844699738E-2</v>
      </c>
      <c r="E13439" s="224" t="s">
        <v>2</v>
      </c>
      <c r="F13439" s="515" t="s">
        <v>14626</v>
      </c>
      <c r="G13439" s="52">
        <v>245171.155476935</v>
      </c>
      <c r="H13439" s="56">
        <v>0.15435733468475588</v>
      </c>
      <c r="I13439" s="224" t="s">
        <v>2</v>
      </c>
    </row>
    <row r="13440" spans="1:9" x14ac:dyDescent="0.25">
      <c r="A13440" s="515">
        <v>39175</v>
      </c>
      <c r="B13440" s="515" t="s">
        <v>851</v>
      </c>
      <c r="C13440" s="52">
        <v>95997.258068484298</v>
      </c>
      <c r="D13440" s="56">
        <v>2.5865999878262404E-2</v>
      </c>
      <c r="E13440" s="224" t="s">
        <v>2</v>
      </c>
      <c r="F13440" s="515" t="s">
        <v>14627</v>
      </c>
      <c r="G13440" s="52">
        <v>185181.99493770301</v>
      </c>
      <c r="H13440" s="56">
        <v>0.12977957467490117</v>
      </c>
      <c r="I13440" s="224" t="s">
        <v>2</v>
      </c>
    </row>
    <row r="13441" spans="1:9" x14ac:dyDescent="0.25">
      <c r="A13441" s="515">
        <v>4864</v>
      </c>
      <c r="C13441" s="52">
        <v>280604.52163174102</v>
      </c>
      <c r="D13441" s="56">
        <v>0.12926083057747159</v>
      </c>
      <c r="E13441" s="224" t="s">
        <v>2</v>
      </c>
      <c r="F13441" s="515" t="s">
        <v>14628</v>
      </c>
      <c r="G13441" s="52">
        <v>223278.200771281</v>
      </c>
      <c r="H13441" s="56">
        <v>4.7477374766307416E-2</v>
      </c>
      <c r="I13441" s="224" t="s">
        <v>2</v>
      </c>
    </row>
    <row r="13442" spans="1:9" x14ac:dyDescent="0.25">
      <c r="A13442" s="515">
        <v>49245</v>
      </c>
      <c r="B13442" s="515" t="s">
        <v>1062</v>
      </c>
      <c r="C13442" s="52">
        <v>146997.73740679701</v>
      </c>
      <c r="D13442" s="56">
        <v>2.1437037504361371E-2</v>
      </c>
      <c r="E13442" s="224" t="s">
        <v>2</v>
      </c>
      <c r="F13442" s="515" t="s">
        <v>14629</v>
      </c>
      <c r="G13442" s="52">
        <v>131353.775013181</v>
      </c>
      <c r="H13442" s="56">
        <v>0.20844790112654818</v>
      </c>
      <c r="I13442" s="224" t="s">
        <v>2</v>
      </c>
    </row>
    <row r="13443" spans="1:9" x14ac:dyDescent="0.25">
      <c r="A13443" s="515">
        <v>55992</v>
      </c>
      <c r="B13443" s="515" t="s">
        <v>663</v>
      </c>
      <c r="C13443" s="52">
        <v>296308.82229742501</v>
      </c>
      <c r="D13443" s="56">
        <v>4.213689192649632E-2</v>
      </c>
      <c r="E13443" s="224" t="s">
        <v>2</v>
      </c>
      <c r="F13443" s="515" t="s">
        <v>14630</v>
      </c>
      <c r="G13443" s="52">
        <v>186986.09694133399</v>
      </c>
      <c r="H13443" s="56">
        <v>0.26878630421949667</v>
      </c>
      <c r="I13443" s="224" t="s">
        <v>2</v>
      </c>
    </row>
    <row r="13444" spans="1:9" x14ac:dyDescent="0.25">
      <c r="A13444" s="515">
        <v>55382</v>
      </c>
      <c r="B13444" s="515" t="s">
        <v>418</v>
      </c>
      <c r="C13444" s="52">
        <v>355364.07361707097</v>
      </c>
      <c r="D13444" s="56">
        <v>5.2973270621161486E-2</v>
      </c>
      <c r="E13444" s="224" t="s">
        <v>2</v>
      </c>
      <c r="F13444" s="515" t="s">
        <v>14631</v>
      </c>
      <c r="G13444" s="52">
        <v>149750.92698596299</v>
      </c>
      <c r="H13444" s="56">
        <v>0.16734926725648799</v>
      </c>
      <c r="I13444" s="224" t="s">
        <v>2</v>
      </c>
    </row>
    <row r="13445" spans="1:9" x14ac:dyDescent="0.25">
      <c r="A13445" s="515">
        <v>97462</v>
      </c>
      <c r="B13445" s="515" t="s">
        <v>449</v>
      </c>
      <c r="C13445" s="52">
        <v>415544.35136829299</v>
      </c>
      <c r="D13445" s="56">
        <v>9.2593484789262465E-2</v>
      </c>
      <c r="E13445" s="224" t="s">
        <v>2</v>
      </c>
      <c r="F13445" s="515" t="s">
        <v>14632</v>
      </c>
      <c r="G13445" s="52">
        <v>156772.244871573</v>
      </c>
      <c r="H13445" s="56">
        <v>0.10428731132078617</v>
      </c>
      <c r="I13445" s="224" t="s">
        <v>2</v>
      </c>
    </row>
    <row r="13446" spans="1:9" x14ac:dyDescent="0.25">
      <c r="A13446" s="515">
        <v>32189</v>
      </c>
      <c r="B13446" s="515" t="s">
        <v>920</v>
      </c>
      <c r="C13446" s="52">
        <v>181866.43371368601</v>
      </c>
      <c r="D13446" s="56">
        <v>0.13389419840914588</v>
      </c>
      <c r="E13446" s="224" t="s">
        <v>2</v>
      </c>
      <c r="F13446" s="515" t="s">
        <v>14633</v>
      </c>
      <c r="G13446" s="52">
        <v>259712.645674931</v>
      </c>
      <c r="H13446" s="56">
        <v>0.11547491159392891</v>
      </c>
      <c r="I13446" s="224" t="s">
        <v>2</v>
      </c>
    </row>
    <row r="13447" spans="1:9" x14ac:dyDescent="0.25">
      <c r="A13447" s="515">
        <v>32180</v>
      </c>
      <c r="B13447" s="515" t="s">
        <v>974</v>
      </c>
      <c r="C13447" s="52">
        <v>307866.33143900201</v>
      </c>
      <c r="D13447" s="56">
        <v>0.19783796538020146</v>
      </c>
      <c r="E13447" s="224" t="s">
        <v>2</v>
      </c>
      <c r="F13447" s="515" t="s">
        <v>14634</v>
      </c>
      <c r="G13447" s="52">
        <v>221288.09198651701</v>
      </c>
      <c r="H13447" s="56">
        <v>-2.3737896945663067E-2</v>
      </c>
      <c r="I13447" s="224" t="s">
        <v>2</v>
      </c>
    </row>
    <row r="13448" spans="1:9" x14ac:dyDescent="0.25">
      <c r="A13448" s="515">
        <v>17062</v>
      </c>
      <c r="B13448" s="515" t="s">
        <v>428</v>
      </c>
      <c r="C13448" s="52">
        <v>235490.34352117701</v>
      </c>
      <c r="D13448" s="56">
        <v>4.5375520497370925E-2</v>
      </c>
      <c r="E13448" s="224" t="s">
        <v>2</v>
      </c>
      <c r="F13448" s="515" t="s">
        <v>14635</v>
      </c>
      <c r="G13448" s="52">
        <v>242324.44576080999</v>
      </c>
      <c r="H13448" s="56">
        <v>-7.2139367018474093E-2</v>
      </c>
      <c r="I13448" s="224" t="s">
        <v>2</v>
      </c>
    </row>
    <row r="13449" spans="1:9" x14ac:dyDescent="0.25">
      <c r="A13449" s="515">
        <v>25545</v>
      </c>
      <c r="B13449" s="515" t="s">
        <v>602</v>
      </c>
      <c r="C13449" s="52">
        <v>184941.57755618799</v>
      </c>
      <c r="D13449" s="56">
        <v>5.7008167690387836E-2</v>
      </c>
      <c r="E13449" s="224" t="s">
        <v>2</v>
      </c>
      <c r="F13449" s="515" t="s">
        <v>14636</v>
      </c>
      <c r="G13449" s="52">
        <v>168925.17590009101</v>
      </c>
      <c r="H13449" s="56">
        <v>8.2554890887028221E-2</v>
      </c>
      <c r="I13449" s="224" t="s">
        <v>2</v>
      </c>
    </row>
    <row r="13450" spans="1:9" x14ac:dyDescent="0.25">
      <c r="A13450" s="515">
        <v>23437</v>
      </c>
      <c r="B13450" s="515" t="s">
        <v>301</v>
      </c>
      <c r="C13450" s="52">
        <v>291309.233057604</v>
      </c>
      <c r="D13450" s="56">
        <v>8.0028607720169051E-2</v>
      </c>
      <c r="E13450" s="224" t="s">
        <v>2</v>
      </c>
      <c r="F13450" s="515" t="s">
        <v>14637</v>
      </c>
      <c r="G13450" s="52">
        <v>392797.97316644999</v>
      </c>
      <c r="H13450" s="56">
        <v>5.3836851605692668E-2</v>
      </c>
      <c r="I13450" s="224" t="s">
        <v>2</v>
      </c>
    </row>
    <row r="13451" spans="1:9" x14ac:dyDescent="0.25">
      <c r="A13451" s="515">
        <v>89820</v>
      </c>
      <c r="C13451" s="52">
        <v>223899.42537091</v>
      </c>
      <c r="D13451" s="56">
        <v>4.6765704107984953E-2</v>
      </c>
      <c r="E13451" s="224" t="s">
        <v>2</v>
      </c>
      <c r="F13451" s="515" t="s">
        <v>14638</v>
      </c>
      <c r="G13451" s="52">
        <v>397788.790626587</v>
      </c>
      <c r="H13451" s="56">
        <v>0.10308804128715102</v>
      </c>
      <c r="I13451" s="224" t="s">
        <v>2</v>
      </c>
    </row>
    <row r="13452" spans="1:9" x14ac:dyDescent="0.25">
      <c r="A13452" s="515">
        <v>4743</v>
      </c>
      <c r="C13452" s="52">
        <v>188928.611578946</v>
      </c>
      <c r="D13452" s="56">
        <v>5.9030648376812801E-2</v>
      </c>
      <c r="E13452" s="224" t="s">
        <v>2</v>
      </c>
      <c r="F13452" s="515" t="s">
        <v>14639</v>
      </c>
      <c r="G13452" s="52">
        <v>82584.192938893</v>
      </c>
      <c r="H13452" s="56">
        <v>4.3472965038246318E-2</v>
      </c>
      <c r="I13452" s="224" t="s">
        <v>2</v>
      </c>
    </row>
    <row r="13453" spans="1:9" x14ac:dyDescent="0.25">
      <c r="A13453" s="515">
        <v>70057</v>
      </c>
      <c r="B13453" s="515" t="s">
        <v>777</v>
      </c>
      <c r="C13453" s="52">
        <v>188256.21366919199</v>
      </c>
      <c r="D13453" s="56">
        <v>-3.8161842266039726E-2</v>
      </c>
      <c r="E13453" s="224" t="s">
        <v>2</v>
      </c>
      <c r="F13453" s="515" t="s">
        <v>14640</v>
      </c>
      <c r="G13453" s="52">
        <v>109551.924760945</v>
      </c>
      <c r="H13453" s="56">
        <v>7.9186362961231785E-2</v>
      </c>
      <c r="I13453" s="224" t="s">
        <v>2</v>
      </c>
    </row>
    <row r="13454" spans="1:9" x14ac:dyDescent="0.25">
      <c r="A13454" s="515">
        <v>87557</v>
      </c>
      <c r="B13454" s="515" t="s">
        <v>481</v>
      </c>
      <c r="C13454" s="52">
        <v>348066.32307756803</v>
      </c>
      <c r="D13454" s="56">
        <v>4.542977311487674E-2</v>
      </c>
      <c r="E13454" s="224" t="s">
        <v>2</v>
      </c>
      <c r="F13454" s="515" t="s">
        <v>14641</v>
      </c>
      <c r="G13454" s="52">
        <v>913436.18476431305</v>
      </c>
      <c r="H13454" s="56">
        <v>8.7986793835450494E-2</v>
      </c>
      <c r="I13454" s="224" t="s">
        <v>2</v>
      </c>
    </row>
    <row r="13455" spans="1:9" x14ac:dyDescent="0.25">
      <c r="A13455" s="515">
        <v>98936</v>
      </c>
      <c r="B13455" s="515" t="s">
        <v>948</v>
      </c>
      <c r="C13455" s="52">
        <v>357272.34971706697</v>
      </c>
      <c r="D13455" s="56">
        <v>2.8710118032262227E-2</v>
      </c>
      <c r="E13455" s="224" t="s">
        <v>2</v>
      </c>
      <c r="F13455" s="515" t="s">
        <v>14642</v>
      </c>
      <c r="G13455" s="52">
        <v>162062.535259489</v>
      </c>
      <c r="H13455" s="56">
        <v>4.9042732336566482E-2</v>
      </c>
      <c r="I13455" s="224" t="s">
        <v>2</v>
      </c>
    </row>
    <row r="13456" spans="1:9" x14ac:dyDescent="0.25">
      <c r="A13456" s="515">
        <v>8825</v>
      </c>
      <c r="B13456" s="515" t="s">
        <v>324</v>
      </c>
      <c r="C13456" s="52">
        <v>453842.19278976298</v>
      </c>
      <c r="D13456" s="56">
        <v>3.883004014535564E-2</v>
      </c>
      <c r="E13456" s="224" t="s">
        <v>2</v>
      </c>
      <c r="F13456" s="515" t="s">
        <v>14643</v>
      </c>
      <c r="G13456" s="52">
        <v>296449.59343178198</v>
      </c>
      <c r="H13456" s="56">
        <v>0.1266793579506201</v>
      </c>
      <c r="I13456" s="224" t="s">
        <v>2</v>
      </c>
    </row>
    <row r="13457" spans="1:9" x14ac:dyDescent="0.25">
      <c r="A13457" s="515">
        <v>19547</v>
      </c>
      <c r="B13457" s="515" t="s">
        <v>569</v>
      </c>
      <c r="C13457" s="52">
        <v>328839.51610567397</v>
      </c>
      <c r="D13457" s="56">
        <v>0.10988091137588199</v>
      </c>
      <c r="E13457" s="224" t="s">
        <v>2</v>
      </c>
      <c r="F13457" s="515" t="s">
        <v>14644</v>
      </c>
      <c r="G13457" s="52">
        <v>140008.835736893</v>
      </c>
      <c r="H13457" s="56">
        <v>0.11984000337519797</v>
      </c>
      <c r="I13457" s="224" t="s">
        <v>2</v>
      </c>
    </row>
    <row r="13458" spans="1:9" x14ac:dyDescent="0.25">
      <c r="A13458" s="515">
        <v>6088</v>
      </c>
      <c r="B13458" s="515" t="s">
        <v>894</v>
      </c>
      <c r="C13458" s="52">
        <v>241056.51601323401</v>
      </c>
      <c r="D13458" s="56">
        <v>0.12198201192568923</v>
      </c>
      <c r="E13458" s="224" t="s">
        <v>2</v>
      </c>
      <c r="F13458" s="515" t="s">
        <v>14645</v>
      </c>
      <c r="G13458" s="52">
        <v>420736.34533735598</v>
      </c>
      <c r="H13458" s="56">
        <v>0.11199174248326496</v>
      </c>
      <c r="I13458" s="224" t="s">
        <v>2</v>
      </c>
    </row>
    <row r="13459" spans="1:9" x14ac:dyDescent="0.25">
      <c r="A13459" s="515">
        <v>13082</v>
      </c>
      <c r="B13459" s="515" t="s">
        <v>361</v>
      </c>
      <c r="C13459" s="52">
        <v>203008.99138478801</v>
      </c>
      <c r="D13459" s="56">
        <v>0.10607669037676229</v>
      </c>
      <c r="E13459" s="224" t="s">
        <v>2</v>
      </c>
      <c r="F13459" s="515" t="s">
        <v>14646</v>
      </c>
      <c r="G13459" s="52">
        <v>286496.51199529</v>
      </c>
      <c r="H13459" s="56">
        <v>0.10370311177570019</v>
      </c>
      <c r="I13459" s="224" t="s">
        <v>2</v>
      </c>
    </row>
    <row r="13460" spans="1:9" x14ac:dyDescent="0.25">
      <c r="A13460" s="515">
        <v>26378</v>
      </c>
      <c r="C13460" s="52">
        <v>159364.98711832199</v>
      </c>
      <c r="D13460" s="56">
        <v>8.1605506774796322E-3</v>
      </c>
      <c r="E13460" s="224" t="s">
        <v>2</v>
      </c>
      <c r="F13460" s="515" t="s">
        <v>14647</v>
      </c>
      <c r="G13460" s="52">
        <v>223671.665988989</v>
      </c>
      <c r="H13460" s="56">
        <v>4.4205599014135684E-2</v>
      </c>
      <c r="I13460" s="224" t="s">
        <v>2</v>
      </c>
    </row>
    <row r="13461" spans="1:9" x14ac:dyDescent="0.25">
      <c r="A13461" s="515">
        <v>72727</v>
      </c>
      <c r="B13461" s="515" t="s">
        <v>675</v>
      </c>
      <c r="C13461" s="52">
        <v>229862.172112139</v>
      </c>
      <c r="D13461" s="56">
        <v>0.12825877603305111</v>
      </c>
      <c r="E13461" s="224" t="s">
        <v>2</v>
      </c>
      <c r="F13461" s="515" t="s">
        <v>14648</v>
      </c>
      <c r="G13461" s="52">
        <v>111994.67905947</v>
      </c>
      <c r="H13461" s="56">
        <v>0.10546550214494142</v>
      </c>
      <c r="I13461" s="224" t="s">
        <v>2</v>
      </c>
    </row>
    <row r="13462" spans="1:9" x14ac:dyDescent="0.25">
      <c r="A13462" s="515">
        <v>73460</v>
      </c>
      <c r="C13462" s="52">
        <v>148704.20607184101</v>
      </c>
      <c r="D13462" s="56">
        <v>0.19986077656769161</v>
      </c>
      <c r="E13462" s="224" t="s">
        <v>2</v>
      </c>
      <c r="F13462" s="515" t="s">
        <v>14649</v>
      </c>
      <c r="G13462" s="52">
        <v>182731.96302697001</v>
      </c>
      <c r="H13462" s="56">
        <v>6.6186713995521285E-2</v>
      </c>
      <c r="I13462" s="224" t="s">
        <v>2</v>
      </c>
    </row>
    <row r="13463" spans="1:9" x14ac:dyDescent="0.25">
      <c r="A13463" s="515">
        <v>85701</v>
      </c>
      <c r="B13463" s="515" t="s">
        <v>368</v>
      </c>
      <c r="C13463" s="52">
        <v>406898.51817850099</v>
      </c>
      <c r="D13463" s="56">
        <v>3.9314547710328294E-2</v>
      </c>
      <c r="E13463" s="224">
        <v>1344.05555555555</v>
      </c>
      <c r="F13463" s="515" t="s">
        <v>14650</v>
      </c>
      <c r="G13463" s="52">
        <v>159847.595534266</v>
      </c>
      <c r="H13463" s="56">
        <v>0.11298850791588395</v>
      </c>
      <c r="I13463" s="224" t="s">
        <v>2</v>
      </c>
    </row>
    <row r="13464" spans="1:9" x14ac:dyDescent="0.25">
      <c r="A13464" s="515">
        <v>74730</v>
      </c>
      <c r="B13464" s="515" t="s">
        <v>1052</v>
      </c>
      <c r="C13464" s="52">
        <v>208983.07538985601</v>
      </c>
      <c r="D13464" s="56">
        <v>0.11507276699115479</v>
      </c>
      <c r="E13464" s="224" t="s">
        <v>2</v>
      </c>
      <c r="F13464" s="515" t="s">
        <v>14651</v>
      </c>
      <c r="G13464" s="52">
        <v>109649.771428211</v>
      </c>
      <c r="H13464" s="56">
        <v>3.4912265684017355E-2</v>
      </c>
      <c r="I13464" s="224" t="s">
        <v>2</v>
      </c>
    </row>
    <row r="13465" spans="1:9" x14ac:dyDescent="0.25">
      <c r="A13465" s="515">
        <v>86335</v>
      </c>
      <c r="B13465" s="515" t="s">
        <v>332</v>
      </c>
      <c r="C13465" s="52">
        <v>325646.52234175999</v>
      </c>
      <c r="D13465" s="56">
        <v>2.2310597776086877E-2</v>
      </c>
      <c r="E13465" s="224" t="s">
        <v>2</v>
      </c>
      <c r="F13465" s="515" t="s">
        <v>14652</v>
      </c>
      <c r="G13465" s="52">
        <v>130711.992756202</v>
      </c>
      <c r="H13465" s="56">
        <v>-2.9604227002012894E-2</v>
      </c>
      <c r="I13465" s="224" t="s">
        <v>2</v>
      </c>
    </row>
    <row r="13466" spans="1:9" x14ac:dyDescent="0.25">
      <c r="A13466" s="515">
        <v>81435</v>
      </c>
      <c r="C13466" s="52">
        <v>1857415.03647365</v>
      </c>
      <c r="D13466" s="56">
        <v>0.16473969945829814</v>
      </c>
      <c r="E13466" s="224" t="s">
        <v>2</v>
      </c>
      <c r="F13466" s="515" t="s">
        <v>14653</v>
      </c>
      <c r="G13466" s="52">
        <v>174344.151355476</v>
      </c>
      <c r="H13466" s="56">
        <v>0.11996740859143798</v>
      </c>
      <c r="I13466" s="224" t="s">
        <v>2</v>
      </c>
    </row>
    <row r="13467" spans="1:9" x14ac:dyDescent="0.25">
      <c r="A13467" s="515">
        <v>97146</v>
      </c>
      <c r="B13467" s="515" t="s">
        <v>742</v>
      </c>
      <c r="C13467" s="52">
        <v>464614.71395765402</v>
      </c>
      <c r="D13467" s="56">
        <v>8.1083430089809991E-2</v>
      </c>
      <c r="E13467" s="224">
        <v>2300</v>
      </c>
      <c r="F13467" s="515" t="s">
        <v>14654</v>
      </c>
      <c r="G13467" s="52">
        <v>1173084.16652814</v>
      </c>
      <c r="H13467" s="56">
        <v>0.16142080241039175</v>
      </c>
      <c r="I13467" s="224" t="s">
        <v>2</v>
      </c>
    </row>
    <row r="13468" spans="1:9" x14ac:dyDescent="0.25">
      <c r="A13468" s="515">
        <v>40143</v>
      </c>
      <c r="C13468" s="52">
        <v>148047.54827791499</v>
      </c>
      <c r="D13468" s="56">
        <v>0.14236801377627153</v>
      </c>
      <c r="E13468" s="224" t="s">
        <v>2</v>
      </c>
      <c r="F13468" s="515" t="s">
        <v>14655</v>
      </c>
      <c r="G13468" s="52">
        <v>201890.07390149799</v>
      </c>
      <c r="H13468" s="56">
        <v>2.6970404074902827E-2</v>
      </c>
      <c r="I13468" s="224" t="s">
        <v>2</v>
      </c>
    </row>
    <row r="13469" spans="1:9" x14ac:dyDescent="0.25">
      <c r="A13469" s="515">
        <v>4071</v>
      </c>
      <c r="B13469" s="515" t="s">
        <v>570</v>
      </c>
      <c r="C13469" s="52">
        <v>471465.528495576</v>
      </c>
      <c r="D13469" s="56">
        <v>5.5072322902453494E-2</v>
      </c>
      <c r="E13469" s="224" t="s">
        <v>2</v>
      </c>
      <c r="F13469" s="515" t="s">
        <v>14656</v>
      </c>
      <c r="G13469" s="52">
        <v>256693.103526661</v>
      </c>
      <c r="H13469" s="56">
        <v>2.4659481966692123E-2</v>
      </c>
      <c r="I13469" s="224" t="s">
        <v>2</v>
      </c>
    </row>
    <row r="13470" spans="1:9" x14ac:dyDescent="0.25">
      <c r="A13470" s="515">
        <v>62420</v>
      </c>
      <c r="C13470" s="52">
        <v>88955.775978408201</v>
      </c>
      <c r="D13470" s="56">
        <v>0.10497965985513251</v>
      </c>
      <c r="E13470" s="224" t="s">
        <v>2</v>
      </c>
      <c r="F13470" s="515" t="s">
        <v>14657</v>
      </c>
      <c r="G13470" s="52">
        <v>315163.556812166</v>
      </c>
      <c r="H13470" s="56">
        <v>8.9411209301183237E-2</v>
      </c>
      <c r="I13470" s="224" t="s">
        <v>2</v>
      </c>
    </row>
    <row r="13471" spans="1:9" x14ac:dyDescent="0.25">
      <c r="A13471" s="515">
        <v>37886</v>
      </c>
      <c r="B13471" s="515" t="s">
        <v>907</v>
      </c>
      <c r="C13471" s="52">
        <v>354521.93826801598</v>
      </c>
      <c r="D13471" s="56">
        <v>9.3877516282447587E-2</v>
      </c>
      <c r="E13471" s="224" t="s">
        <v>2</v>
      </c>
      <c r="F13471" s="515" t="s">
        <v>14658</v>
      </c>
      <c r="G13471" s="52">
        <v>202763.713510759</v>
      </c>
      <c r="H13471" s="56">
        <v>6.5456215967876402E-2</v>
      </c>
      <c r="I13471" s="224" t="s">
        <v>2</v>
      </c>
    </row>
    <row r="13472" spans="1:9" x14ac:dyDescent="0.25">
      <c r="A13472" s="515">
        <v>89019</v>
      </c>
      <c r="B13472" s="515" t="s">
        <v>323</v>
      </c>
      <c r="C13472" s="52">
        <v>216163.01202352601</v>
      </c>
      <c r="D13472" s="56">
        <v>1.0155763398637364E-2</v>
      </c>
      <c r="E13472" s="224" t="s">
        <v>2</v>
      </c>
      <c r="F13472" s="515" t="s">
        <v>14659</v>
      </c>
      <c r="G13472" s="52">
        <v>567943.90186085796</v>
      </c>
      <c r="H13472" s="56">
        <v>2.1114441045311603E-2</v>
      </c>
      <c r="I13472" s="224" t="s">
        <v>2</v>
      </c>
    </row>
    <row r="13473" spans="1:9" x14ac:dyDescent="0.25">
      <c r="A13473" s="515">
        <v>83628</v>
      </c>
      <c r="B13473" s="515" t="s">
        <v>500</v>
      </c>
      <c r="C13473" s="52">
        <v>319923.91554849298</v>
      </c>
      <c r="D13473" s="56">
        <v>-1.1140296261406503E-2</v>
      </c>
      <c r="E13473" s="224" t="s">
        <v>2</v>
      </c>
      <c r="F13473" s="515" t="s">
        <v>14660</v>
      </c>
      <c r="G13473" s="52">
        <v>335573.04797269002</v>
      </c>
      <c r="H13473" s="56">
        <v>6.0866267311307898E-2</v>
      </c>
      <c r="I13473" s="224" t="s">
        <v>2</v>
      </c>
    </row>
    <row r="13474" spans="1:9" x14ac:dyDescent="0.25">
      <c r="A13474" s="515">
        <v>47220</v>
      </c>
      <c r="B13474" s="515" t="s">
        <v>1016</v>
      </c>
      <c r="C13474" s="52">
        <v>198451.784671834</v>
      </c>
      <c r="D13474" s="56">
        <v>5.660287226496883E-2</v>
      </c>
      <c r="E13474" s="224" t="s">
        <v>2</v>
      </c>
      <c r="F13474" s="515" t="s">
        <v>14661</v>
      </c>
      <c r="G13474" s="52">
        <v>481292.21761756099</v>
      </c>
      <c r="H13474" s="56">
        <v>0.11699528778912041</v>
      </c>
      <c r="I13474" s="224" t="s">
        <v>2</v>
      </c>
    </row>
    <row r="13475" spans="1:9" x14ac:dyDescent="0.25">
      <c r="A13475" s="515">
        <v>81303</v>
      </c>
      <c r="B13475" s="515" t="s">
        <v>1181</v>
      </c>
      <c r="C13475" s="52">
        <v>602061.59570803598</v>
      </c>
      <c r="D13475" s="56">
        <v>0.11483259547960131</v>
      </c>
      <c r="E13475" s="224">
        <v>1854.3333333333301</v>
      </c>
      <c r="F13475" s="515" t="s">
        <v>14662</v>
      </c>
      <c r="G13475" s="52">
        <v>161246.00088637599</v>
      </c>
      <c r="H13475" s="56">
        <v>0.21268404674067037</v>
      </c>
      <c r="I13475" s="224" t="s">
        <v>2</v>
      </c>
    </row>
    <row r="13476" spans="1:9" x14ac:dyDescent="0.25">
      <c r="A13476" s="515">
        <v>59034</v>
      </c>
      <c r="C13476" s="52">
        <v>225883.97930815199</v>
      </c>
      <c r="D13476" s="56">
        <v>8.8827022642518655E-2</v>
      </c>
      <c r="E13476" s="224" t="s">
        <v>2</v>
      </c>
      <c r="F13476" s="515" t="s">
        <v>14663</v>
      </c>
      <c r="G13476" s="52">
        <v>121010.114640527</v>
      </c>
      <c r="H13476" s="56">
        <v>1.7780765164957243E-2</v>
      </c>
      <c r="I13476" s="224" t="s">
        <v>2</v>
      </c>
    </row>
    <row r="13477" spans="1:9" x14ac:dyDescent="0.25">
      <c r="A13477" s="515">
        <v>23181</v>
      </c>
      <c r="B13477" s="515" t="s">
        <v>667</v>
      </c>
      <c r="C13477" s="52">
        <v>285455.086150338</v>
      </c>
      <c r="D13477" s="56">
        <v>0.12892708068331979</v>
      </c>
      <c r="E13477" s="224" t="s">
        <v>2</v>
      </c>
      <c r="F13477" s="515" t="s">
        <v>14664</v>
      </c>
      <c r="G13477" s="52">
        <v>133233.49342807499</v>
      </c>
      <c r="H13477" s="56">
        <v>5.6303625910397254E-2</v>
      </c>
      <c r="I13477" s="224" t="s">
        <v>2</v>
      </c>
    </row>
    <row r="13478" spans="1:9" x14ac:dyDescent="0.25">
      <c r="A13478" s="515">
        <v>3234</v>
      </c>
      <c r="B13478" s="515" t="s">
        <v>981</v>
      </c>
      <c r="C13478" s="52">
        <v>400908.78088593902</v>
      </c>
      <c r="D13478" s="56">
        <v>9.7456568377232058E-2</v>
      </c>
      <c r="E13478" s="224" t="s">
        <v>2</v>
      </c>
      <c r="F13478" s="515" t="s">
        <v>14665</v>
      </c>
      <c r="G13478" s="52">
        <v>648290.99411553098</v>
      </c>
      <c r="H13478" s="56">
        <v>-5.0393818371840059E-2</v>
      </c>
      <c r="I13478" s="224" t="s">
        <v>2</v>
      </c>
    </row>
    <row r="13479" spans="1:9" x14ac:dyDescent="0.25">
      <c r="A13479" s="515">
        <v>37846</v>
      </c>
      <c r="B13479" s="515" t="s">
        <v>907</v>
      </c>
      <c r="C13479" s="52">
        <v>219892.87804735999</v>
      </c>
      <c r="D13479" s="56">
        <v>8.7740451122353624E-2</v>
      </c>
      <c r="E13479" s="224" t="s">
        <v>2</v>
      </c>
      <c r="F13479" s="515" t="s">
        <v>14666</v>
      </c>
      <c r="G13479" s="52">
        <v>179220.239865129</v>
      </c>
      <c r="H13479" s="56">
        <v>5.5894326562605977E-2</v>
      </c>
      <c r="I13479" s="224" t="s">
        <v>2</v>
      </c>
    </row>
    <row r="13480" spans="1:9" x14ac:dyDescent="0.25">
      <c r="A13480" s="515">
        <v>23920</v>
      </c>
      <c r="C13480" s="52">
        <v>89272.918979513503</v>
      </c>
      <c r="D13480" s="56">
        <v>4.3791617394037009E-2</v>
      </c>
      <c r="E13480" s="224" t="s">
        <v>2</v>
      </c>
      <c r="F13480" s="515" t="s">
        <v>14667</v>
      </c>
      <c r="G13480" s="52">
        <v>123900.305912079</v>
      </c>
      <c r="H13480" s="56">
        <v>0.1469322499603942</v>
      </c>
      <c r="I13480" s="224" t="s">
        <v>2</v>
      </c>
    </row>
    <row r="13481" spans="1:9" x14ac:dyDescent="0.25">
      <c r="A13481" s="515">
        <v>31543</v>
      </c>
      <c r="B13481" s="515" t="s">
        <v>871</v>
      </c>
      <c r="C13481" s="52">
        <v>92225.358976302698</v>
      </c>
      <c r="D13481" s="56">
        <v>3.9456011464271315E-2</v>
      </c>
      <c r="E13481" s="224" t="s">
        <v>2</v>
      </c>
      <c r="F13481" s="515" t="s">
        <v>14668</v>
      </c>
      <c r="G13481" s="52">
        <v>168303.53909639199</v>
      </c>
      <c r="H13481" s="56">
        <v>0.1350459901774626</v>
      </c>
      <c r="I13481" s="224" t="s">
        <v>2</v>
      </c>
    </row>
    <row r="13482" spans="1:9" x14ac:dyDescent="0.25">
      <c r="A13482" s="515">
        <v>50237</v>
      </c>
      <c r="B13482" s="515" t="s">
        <v>295</v>
      </c>
      <c r="C13482" s="52">
        <v>341797.40863375698</v>
      </c>
      <c r="D13482" s="56">
        <v>9.8030212122712748E-2</v>
      </c>
      <c r="E13482" s="224" t="s">
        <v>2</v>
      </c>
      <c r="F13482" s="515" t="s">
        <v>14669</v>
      </c>
      <c r="G13482" s="52">
        <v>97170.702806270507</v>
      </c>
      <c r="H13482" s="56">
        <v>9.5153337389993591E-3</v>
      </c>
      <c r="I13482" s="224" t="s">
        <v>2</v>
      </c>
    </row>
    <row r="13483" spans="1:9" x14ac:dyDescent="0.25">
      <c r="A13483" s="515">
        <v>37869</v>
      </c>
      <c r="C13483" s="52">
        <v>134258.90520424701</v>
      </c>
      <c r="D13483" s="56">
        <v>1.8304452494161176E-2</v>
      </c>
      <c r="E13483" s="224" t="s">
        <v>2</v>
      </c>
      <c r="F13483" s="515" t="s">
        <v>14670</v>
      </c>
      <c r="G13483" s="52">
        <v>183464.369186347</v>
      </c>
      <c r="H13483" s="56">
        <v>8.9989218767396489E-2</v>
      </c>
      <c r="I13483" s="224" t="s">
        <v>2</v>
      </c>
    </row>
    <row r="13484" spans="1:9" x14ac:dyDescent="0.25">
      <c r="A13484" s="515">
        <v>13803</v>
      </c>
      <c r="B13484" s="515" t="s">
        <v>507</v>
      </c>
      <c r="C13484" s="52">
        <v>156707.77288022899</v>
      </c>
      <c r="D13484" s="56">
        <v>7.5889489519193359E-2</v>
      </c>
      <c r="E13484" s="224" t="s">
        <v>2</v>
      </c>
      <c r="F13484" s="515" t="s">
        <v>14671</v>
      </c>
      <c r="G13484" s="52">
        <v>101235.82879883</v>
      </c>
      <c r="H13484" s="56">
        <v>3.9329039749001274E-2</v>
      </c>
      <c r="I13484" s="224" t="s">
        <v>2</v>
      </c>
    </row>
    <row r="13485" spans="1:9" x14ac:dyDescent="0.25">
      <c r="A13485" s="515">
        <v>40437</v>
      </c>
      <c r="B13485" s="515" t="s">
        <v>1015</v>
      </c>
      <c r="C13485" s="52">
        <v>152464.45349477499</v>
      </c>
      <c r="D13485" s="56">
        <v>0.13810602364644115</v>
      </c>
      <c r="E13485" s="224" t="s">
        <v>2</v>
      </c>
      <c r="F13485" s="515" t="s">
        <v>14672</v>
      </c>
      <c r="G13485" s="52">
        <v>57145.370474886397</v>
      </c>
      <c r="H13485" s="56">
        <v>1.8996977465654742E-2</v>
      </c>
      <c r="I13485" s="224" t="s">
        <v>2</v>
      </c>
    </row>
    <row r="13486" spans="1:9" x14ac:dyDescent="0.25">
      <c r="A13486" s="515">
        <v>8027</v>
      </c>
      <c r="B13486" s="515" t="s">
        <v>294</v>
      </c>
      <c r="C13486" s="52">
        <v>252780.29087095201</v>
      </c>
      <c r="D13486" s="56">
        <v>6.2986822031011427E-2</v>
      </c>
      <c r="E13486" s="224" t="s">
        <v>2</v>
      </c>
      <c r="F13486" s="515" t="s">
        <v>14673</v>
      </c>
      <c r="G13486" s="52">
        <v>266063.50951655401</v>
      </c>
      <c r="H13486" s="56">
        <v>-6.9100682838944369E-2</v>
      </c>
      <c r="I13486" s="224" t="s">
        <v>2</v>
      </c>
    </row>
    <row r="13487" spans="1:9" x14ac:dyDescent="0.25">
      <c r="A13487" s="515">
        <v>4239</v>
      </c>
      <c r="C13487" s="52">
        <v>191355.46830197799</v>
      </c>
      <c r="D13487" s="56">
        <v>6.972369476418569E-2</v>
      </c>
      <c r="E13487" s="224" t="s">
        <v>2</v>
      </c>
      <c r="F13487" s="515" t="s">
        <v>14674</v>
      </c>
      <c r="G13487" s="52">
        <v>113361.856669234</v>
      </c>
      <c r="H13487" s="56">
        <v>5.6797942741272138E-2</v>
      </c>
      <c r="I13487" s="224" t="s">
        <v>2</v>
      </c>
    </row>
    <row r="13488" spans="1:9" x14ac:dyDescent="0.25">
      <c r="A13488" s="515">
        <v>29032</v>
      </c>
      <c r="B13488" s="515" t="s">
        <v>762</v>
      </c>
      <c r="C13488" s="52">
        <v>109746.73312977199</v>
      </c>
      <c r="D13488" s="56">
        <v>7.7273770900347205E-2</v>
      </c>
      <c r="E13488" s="224" t="s">
        <v>2</v>
      </c>
      <c r="F13488" s="515" t="s">
        <v>14675</v>
      </c>
      <c r="G13488" s="52">
        <v>184671.29218118501</v>
      </c>
      <c r="H13488" s="56">
        <v>0</v>
      </c>
      <c r="I13488" s="224" t="s">
        <v>2</v>
      </c>
    </row>
    <row r="13489" spans="1:9" x14ac:dyDescent="0.25">
      <c r="A13489" s="515">
        <v>14036</v>
      </c>
      <c r="B13489" s="515" t="s">
        <v>1014</v>
      </c>
      <c r="C13489" s="52">
        <v>218215.90774299399</v>
      </c>
      <c r="D13489" s="56">
        <v>0.10200811915199091</v>
      </c>
      <c r="E13489" s="224" t="s">
        <v>2</v>
      </c>
      <c r="F13489" s="515" t="s">
        <v>14676</v>
      </c>
      <c r="G13489" s="52">
        <v>203114.73455429901</v>
      </c>
      <c r="H13489" s="56">
        <v>7.6200217086240002E-2</v>
      </c>
      <c r="I13489" s="224" t="s">
        <v>2</v>
      </c>
    </row>
    <row r="13490" spans="1:9" x14ac:dyDescent="0.25">
      <c r="A13490" s="515">
        <v>44072</v>
      </c>
      <c r="B13490" s="515" t="s">
        <v>520</v>
      </c>
      <c r="C13490" s="52">
        <v>363254.469387224</v>
      </c>
      <c r="D13490" s="56">
        <v>5.6833201493243918E-2</v>
      </c>
      <c r="E13490" s="224" t="s">
        <v>2</v>
      </c>
      <c r="F13490" s="515" t="s">
        <v>14677</v>
      </c>
      <c r="G13490" s="52">
        <v>102915.123882481</v>
      </c>
      <c r="H13490" s="56">
        <v>0.27192526713146448</v>
      </c>
      <c r="I13490" s="224" t="s">
        <v>2</v>
      </c>
    </row>
    <row r="13491" spans="1:9" x14ac:dyDescent="0.25">
      <c r="A13491" s="515">
        <v>68355</v>
      </c>
      <c r="C13491" s="52">
        <v>94725.309239163194</v>
      </c>
      <c r="D13491" s="56">
        <v>0.10550676869861211</v>
      </c>
      <c r="E13491" s="224" t="s">
        <v>2</v>
      </c>
      <c r="F13491" s="515" t="s">
        <v>14678</v>
      </c>
      <c r="G13491" s="52">
        <v>341231.326124796</v>
      </c>
      <c r="H13491" s="56">
        <v>7.3413007974470118E-2</v>
      </c>
      <c r="I13491" s="224" t="s">
        <v>2</v>
      </c>
    </row>
    <row r="13492" spans="1:9" x14ac:dyDescent="0.25">
      <c r="A13492" s="515">
        <v>46740</v>
      </c>
      <c r="B13492" s="515" t="s">
        <v>1166</v>
      </c>
      <c r="C13492" s="52">
        <v>190490.86936875901</v>
      </c>
      <c r="D13492" s="56">
        <v>8.8027757405464396E-2</v>
      </c>
      <c r="E13492" s="224" t="s">
        <v>2</v>
      </c>
      <c r="F13492" s="515" t="s">
        <v>14679</v>
      </c>
      <c r="G13492" s="52">
        <v>354550.34871841798</v>
      </c>
      <c r="H13492" s="56">
        <v>7.1297562323552291E-2</v>
      </c>
      <c r="I13492" s="224" t="s">
        <v>2</v>
      </c>
    </row>
    <row r="13493" spans="1:9" x14ac:dyDescent="0.25">
      <c r="A13493" s="515">
        <v>62690</v>
      </c>
      <c r="B13493" s="515" t="s">
        <v>498</v>
      </c>
      <c r="C13493" s="52">
        <v>88682.613167871605</v>
      </c>
      <c r="D13493" s="56">
        <v>2.3371709698808633E-2</v>
      </c>
      <c r="E13493" s="224" t="s">
        <v>2</v>
      </c>
      <c r="F13493" s="515" t="s">
        <v>14680</v>
      </c>
      <c r="G13493" s="52">
        <v>131227.98822199099</v>
      </c>
      <c r="H13493" s="56">
        <v>0.13682504626965386</v>
      </c>
      <c r="I13493" s="224" t="s">
        <v>2</v>
      </c>
    </row>
    <row r="13494" spans="1:9" x14ac:dyDescent="0.25">
      <c r="A13494" s="515">
        <v>25387</v>
      </c>
      <c r="B13494" s="515" t="s">
        <v>322</v>
      </c>
      <c r="C13494" s="52">
        <v>60768.3985564104</v>
      </c>
      <c r="D13494" s="56">
        <v>0.12864473753976249</v>
      </c>
      <c r="E13494" s="224" t="s">
        <v>2</v>
      </c>
      <c r="F13494" s="515" t="s">
        <v>14681</v>
      </c>
      <c r="G13494" s="52">
        <v>340629.45172754797</v>
      </c>
      <c r="H13494" s="56">
        <v>4.7764158140652234E-2</v>
      </c>
      <c r="I13494" s="224" t="s">
        <v>2</v>
      </c>
    </row>
    <row r="13495" spans="1:9" x14ac:dyDescent="0.25">
      <c r="A13495" s="515">
        <v>13634</v>
      </c>
      <c r="B13495" s="515" t="s">
        <v>431</v>
      </c>
      <c r="C13495" s="52">
        <v>211596.46502088901</v>
      </c>
      <c r="D13495" s="56">
        <v>7.1820493362057466E-2</v>
      </c>
      <c r="E13495" s="224" t="s">
        <v>2</v>
      </c>
      <c r="F13495" s="515" t="s">
        <v>14682</v>
      </c>
      <c r="G13495" s="52">
        <v>163541.05704007801</v>
      </c>
      <c r="H13495" s="56">
        <v>8.3194431433933638E-2</v>
      </c>
      <c r="I13495" s="224" t="s">
        <v>2</v>
      </c>
    </row>
    <row r="13496" spans="1:9" x14ac:dyDescent="0.25">
      <c r="A13496" s="515">
        <v>95236</v>
      </c>
      <c r="B13496" s="515" t="s">
        <v>852</v>
      </c>
      <c r="C13496" s="52">
        <v>607775.21679944301</v>
      </c>
      <c r="D13496" s="56">
        <v>-1.215719746075794E-2</v>
      </c>
      <c r="E13496" s="224" t="s">
        <v>2</v>
      </c>
      <c r="F13496" s="515" t="s">
        <v>14683</v>
      </c>
      <c r="G13496" s="52">
        <v>131205.763993272</v>
      </c>
      <c r="H13496" s="56">
        <v>7.2965869260016983E-2</v>
      </c>
      <c r="I13496" s="224" t="s">
        <v>2</v>
      </c>
    </row>
    <row r="13497" spans="1:9" x14ac:dyDescent="0.25">
      <c r="A13497" s="515">
        <v>4843</v>
      </c>
      <c r="C13497" s="52">
        <v>591728.92831449897</v>
      </c>
      <c r="D13497" s="56">
        <v>0.13603827871343097</v>
      </c>
      <c r="E13497" s="224" t="s">
        <v>2</v>
      </c>
      <c r="F13497" s="515" t="s">
        <v>14684</v>
      </c>
      <c r="G13497" s="52">
        <v>1452954.6549734899</v>
      </c>
      <c r="H13497" s="56">
        <v>0.14759503158006365</v>
      </c>
      <c r="I13497" s="224" t="s">
        <v>2</v>
      </c>
    </row>
    <row r="13498" spans="1:9" x14ac:dyDescent="0.25">
      <c r="A13498" s="515">
        <v>30295</v>
      </c>
      <c r="B13498" s="515" t="s">
        <v>957</v>
      </c>
      <c r="C13498" s="52">
        <v>274408.26372489898</v>
      </c>
      <c r="D13498" s="56">
        <v>6.0536853515705397E-2</v>
      </c>
      <c r="E13498" s="224" t="s">
        <v>2</v>
      </c>
      <c r="F13498" s="515" t="s">
        <v>14685</v>
      </c>
      <c r="G13498" s="52">
        <v>276279.65792615002</v>
      </c>
      <c r="H13498" s="56">
        <v>4.7250624087010688E-2</v>
      </c>
      <c r="I13498" s="224" t="s">
        <v>2</v>
      </c>
    </row>
    <row r="13499" spans="1:9" x14ac:dyDescent="0.25">
      <c r="A13499" s="515">
        <v>75946</v>
      </c>
      <c r="B13499" s="515" t="s">
        <v>1035</v>
      </c>
      <c r="C13499" s="52">
        <v>181405.86155731999</v>
      </c>
      <c r="D13499" s="56">
        <v>4.5045571658277946E-2</v>
      </c>
      <c r="E13499" s="224" t="s">
        <v>2</v>
      </c>
      <c r="F13499" s="515" t="s">
        <v>14686</v>
      </c>
      <c r="G13499" s="52">
        <v>238457.06058351599</v>
      </c>
      <c r="H13499" s="56">
        <v>8.5536172496296609E-2</v>
      </c>
      <c r="I13499" s="224" t="s">
        <v>2</v>
      </c>
    </row>
    <row r="13500" spans="1:9" x14ac:dyDescent="0.25">
      <c r="A13500" s="515">
        <v>83313</v>
      </c>
      <c r="B13500" s="515" t="s">
        <v>595</v>
      </c>
      <c r="C13500" s="52">
        <v>597630.16525996802</v>
      </c>
      <c r="D13500" s="56">
        <v>4.1460341740762574E-2</v>
      </c>
      <c r="E13500" s="224" t="s">
        <v>2</v>
      </c>
      <c r="F13500" s="515" t="s">
        <v>14687</v>
      </c>
      <c r="G13500" s="52">
        <v>394639.57236842101</v>
      </c>
      <c r="H13500" s="56">
        <v>0</v>
      </c>
      <c r="I13500" s="224" t="s">
        <v>2</v>
      </c>
    </row>
    <row r="13501" spans="1:9" x14ac:dyDescent="0.25">
      <c r="A13501" s="515">
        <v>65723</v>
      </c>
      <c r="C13501" s="52">
        <v>170217.61694109</v>
      </c>
      <c r="D13501" s="56">
        <v>0.12331110574985418</v>
      </c>
      <c r="E13501" s="224" t="s">
        <v>2</v>
      </c>
      <c r="F13501" s="515" t="s">
        <v>14688</v>
      </c>
      <c r="G13501" s="52">
        <v>831812.78833920904</v>
      </c>
      <c r="H13501" s="56">
        <v>0.13148410817177639</v>
      </c>
      <c r="I13501" s="224" t="s">
        <v>2</v>
      </c>
    </row>
    <row r="13502" spans="1:9" x14ac:dyDescent="0.25">
      <c r="A13502" s="515">
        <v>78383</v>
      </c>
      <c r="B13502" s="515" t="s">
        <v>709</v>
      </c>
      <c r="C13502" s="52">
        <v>215158.28435154899</v>
      </c>
      <c r="D13502" s="56">
        <v>7.1491443698104326E-2</v>
      </c>
      <c r="E13502" s="224" t="s">
        <v>2</v>
      </c>
      <c r="F13502" s="515" t="s">
        <v>14689</v>
      </c>
      <c r="G13502" s="52">
        <v>323028.87486920803</v>
      </c>
      <c r="H13502" s="56">
        <v>8.9922394988138823E-2</v>
      </c>
      <c r="I13502" s="224" t="s">
        <v>2</v>
      </c>
    </row>
    <row r="13503" spans="1:9" x14ac:dyDescent="0.25">
      <c r="A13503" s="515">
        <v>40006</v>
      </c>
      <c r="C13503" s="52">
        <v>186450.44919885401</v>
      </c>
      <c r="D13503" s="56">
        <v>0.13114526761541501</v>
      </c>
      <c r="E13503" s="224" t="s">
        <v>2</v>
      </c>
      <c r="F13503" s="515" t="s">
        <v>14690</v>
      </c>
      <c r="G13503" s="52">
        <v>170372.57233401801</v>
      </c>
      <c r="H13503" s="56">
        <v>8.3794268121359497E-2</v>
      </c>
      <c r="I13503" s="224" t="s">
        <v>2</v>
      </c>
    </row>
    <row r="13504" spans="1:9" x14ac:dyDescent="0.25">
      <c r="A13504" s="515">
        <v>31773</v>
      </c>
      <c r="B13504" s="515" t="s">
        <v>402</v>
      </c>
      <c r="C13504" s="52">
        <v>195365.79870529601</v>
      </c>
      <c r="D13504" s="56">
        <v>6.083457649906672E-2</v>
      </c>
      <c r="E13504" s="224" t="s">
        <v>2</v>
      </c>
      <c r="F13504" s="515" t="s">
        <v>14691</v>
      </c>
      <c r="G13504" s="52">
        <v>119534.88192426501</v>
      </c>
      <c r="H13504" s="56">
        <v>9.0214898291833906E-2</v>
      </c>
      <c r="I13504" s="224" t="s">
        <v>2</v>
      </c>
    </row>
    <row r="13505" spans="1:9" x14ac:dyDescent="0.25">
      <c r="A13505" s="515">
        <v>3906</v>
      </c>
      <c r="B13505" s="515" t="s">
        <v>570</v>
      </c>
      <c r="C13505" s="52">
        <v>409456.41768764</v>
      </c>
      <c r="D13505" s="56">
        <v>7.9966027515576035E-2</v>
      </c>
      <c r="E13505" s="224" t="s">
        <v>2</v>
      </c>
      <c r="F13505" s="515" t="s">
        <v>14692</v>
      </c>
      <c r="G13505" s="52">
        <v>136983.93954654</v>
      </c>
      <c r="H13505" s="56">
        <v>0.16294056730688872</v>
      </c>
      <c r="I13505" s="224" t="s">
        <v>2</v>
      </c>
    </row>
    <row r="13506" spans="1:9" x14ac:dyDescent="0.25">
      <c r="A13506" s="515">
        <v>59828</v>
      </c>
      <c r="C13506" s="52">
        <v>556152.06196836103</v>
      </c>
      <c r="D13506" s="56">
        <v>6.7347397842072915E-2</v>
      </c>
      <c r="E13506" s="224" t="s">
        <v>2</v>
      </c>
      <c r="F13506" s="515" t="s">
        <v>14693</v>
      </c>
      <c r="G13506" s="52">
        <v>134717.861538461</v>
      </c>
      <c r="H13506" s="56">
        <v>0</v>
      </c>
      <c r="I13506" s="224" t="s">
        <v>2</v>
      </c>
    </row>
    <row r="13507" spans="1:9" x14ac:dyDescent="0.25">
      <c r="A13507" s="515">
        <v>49637</v>
      </c>
      <c r="B13507" s="515" t="s">
        <v>366</v>
      </c>
      <c r="C13507" s="52">
        <v>271073.62628036499</v>
      </c>
      <c r="D13507" s="56">
        <v>0.12423852246311308</v>
      </c>
      <c r="E13507" s="224" t="s">
        <v>2</v>
      </c>
      <c r="F13507" s="515" t="s">
        <v>14694</v>
      </c>
      <c r="G13507" s="52">
        <v>142743.81183999599</v>
      </c>
      <c r="H13507" s="56">
        <v>8.1582104816498802E-2</v>
      </c>
      <c r="I13507" s="224" t="s">
        <v>2</v>
      </c>
    </row>
    <row r="13508" spans="1:9" x14ac:dyDescent="0.25">
      <c r="A13508" s="515">
        <v>47438</v>
      </c>
      <c r="C13508" s="52">
        <v>105008.476738688</v>
      </c>
      <c r="D13508" s="56">
        <v>9.6953744182487214E-2</v>
      </c>
      <c r="E13508" s="224" t="s">
        <v>2</v>
      </c>
      <c r="F13508" s="515" t="s">
        <v>14695</v>
      </c>
      <c r="G13508" s="52">
        <v>110179.913454892</v>
      </c>
      <c r="H13508" s="56">
        <v>3.0035089669339071E-2</v>
      </c>
      <c r="I13508" s="224" t="s">
        <v>2</v>
      </c>
    </row>
    <row r="13509" spans="1:9" x14ac:dyDescent="0.25">
      <c r="A13509" s="515">
        <v>36451</v>
      </c>
      <c r="C13509" s="52">
        <v>132158.64387545601</v>
      </c>
      <c r="D13509" s="56">
        <v>-3.9021911596685568E-2</v>
      </c>
      <c r="E13509" s="224" t="s">
        <v>2</v>
      </c>
      <c r="F13509" s="515" t="s">
        <v>14696</v>
      </c>
      <c r="G13509" s="52">
        <v>470088.11290927901</v>
      </c>
      <c r="H13509" s="56">
        <v>0.12561307183656445</v>
      </c>
      <c r="I13509" s="224" t="s">
        <v>2</v>
      </c>
    </row>
    <row r="13510" spans="1:9" x14ac:dyDescent="0.25">
      <c r="A13510" s="515">
        <v>70656</v>
      </c>
      <c r="B13510" s="515" t="s">
        <v>889</v>
      </c>
      <c r="C13510" s="52">
        <v>89951.002029020397</v>
      </c>
      <c r="D13510" s="56">
        <v>2.0638731410456655E-2</v>
      </c>
      <c r="E13510" s="224" t="s">
        <v>2</v>
      </c>
      <c r="F13510" s="515" t="s">
        <v>14697</v>
      </c>
      <c r="G13510" s="52">
        <v>106922.830208416</v>
      </c>
      <c r="H13510" s="56">
        <v>4.6062912414124094E-3</v>
      </c>
      <c r="I13510" s="224" t="s">
        <v>2</v>
      </c>
    </row>
    <row r="13511" spans="1:9" x14ac:dyDescent="0.25">
      <c r="A13511" s="515">
        <v>14532</v>
      </c>
      <c r="B13511" s="515" t="s">
        <v>337</v>
      </c>
      <c r="C13511" s="52">
        <v>190962.35861107701</v>
      </c>
      <c r="D13511" s="56">
        <v>0.11107693064930313</v>
      </c>
      <c r="E13511" s="224" t="s">
        <v>2</v>
      </c>
      <c r="F13511" s="515" t="s">
        <v>14698</v>
      </c>
      <c r="G13511" s="52">
        <v>187322.80475168501</v>
      </c>
      <c r="H13511" s="56">
        <v>0.11148848447376579</v>
      </c>
      <c r="I13511" s="224" t="s">
        <v>2</v>
      </c>
    </row>
    <row r="13512" spans="1:9" x14ac:dyDescent="0.25">
      <c r="A13512" s="515">
        <v>42348</v>
      </c>
      <c r="B13512" s="515" t="s">
        <v>1024</v>
      </c>
      <c r="C13512" s="52">
        <v>165090.37313278401</v>
      </c>
      <c r="D13512" s="56">
        <v>0.18119713984703864</v>
      </c>
      <c r="E13512" s="224" t="s">
        <v>2</v>
      </c>
      <c r="F13512" s="515" t="s">
        <v>14699</v>
      </c>
      <c r="G13512" s="52">
        <v>323548.53392857098</v>
      </c>
      <c r="H13512" s="56">
        <v>0</v>
      </c>
      <c r="I13512" s="224" t="s">
        <v>2</v>
      </c>
    </row>
    <row r="13513" spans="1:9" x14ac:dyDescent="0.25">
      <c r="A13513" s="515">
        <v>23063</v>
      </c>
      <c r="B13513" s="515" t="s">
        <v>667</v>
      </c>
      <c r="C13513" s="52">
        <v>328229.77529332298</v>
      </c>
      <c r="D13513" s="56">
        <v>9.8289098500649638E-2</v>
      </c>
      <c r="E13513" s="224" t="s">
        <v>2</v>
      </c>
      <c r="F13513" s="515" t="s">
        <v>14700</v>
      </c>
      <c r="G13513" s="52">
        <v>174449.22865827201</v>
      </c>
      <c r="H13513" s="56">
        <v>8.6387682606813967E-2</v>
      </c>
      <c r="I13513" s="224" t="s">
        <v>2</v>
      </c>
    </row>
    <row r="13514" spans="1:9" x14ac:dyDescent="0.25">
      <c r="A13514" s="515">
        <v>73047</v>
      </c>
      <c r="C13514" s="52">
        <v>111801.307741485</v>
      </c>
      <c r="D13514" s="56">
        <v>-1.6963438656279757E-2</v>
      </c>
      <c r="E13514" s="224" t="s">
        <v>2</v>
      </c>
      <c r="F13514" s="515" t="s">
        <v>14701</v>
      </c>
      <c r="G13514" s="52">
        <v>183884.467861905</v>
      </c>
      <c r="H13514" s="56">
        <v>5.7572903028012538E-2</v>
      </c>
      <c r="I13514" s="224" t="s">
        <v>2</v>
      </c>
    </row>
    <row r="13515" spans="1:9" x14ac:dyDescent="0.25">
      <c r="A13515" s="515">
        <v>46989</v>
      </c>
      <c r="B13515" s="515" t="s">
        <v>472</v>
      </c>
      <c r="C13515" s="52">
        <v>178758.616299416</v>
      </c>
      <c r="D13515" s="56">
        <v>7.2524990469269565E-2</v>
      </c>
      <c r="E13515" s="224" t="s">
        <v>2</v>
      </c>
      <c r="F13515" s="515" t="s">
        <v>14702</v>
      </c>
      <c r="G13515" s="52">
        <v>109292.780641973</v>
      </c>
      <c r="H13515" s="56">
        <v>0.10301766699218926</v>
      </c>
      <c r="I13515" s="224" t="s">
        <v>2</v>
      </c>
    </row>
    <row r="13516" spans="1:9" x14ac:dyDescent="0.25">
      <c r="A13516" s="515">
        <v>5101</v>
      </c>
      <c r="C13516" s="52">
        <v>211694.16406389599</v>
      </c>
      <c r="D13516" s="56">
        <v>6.0760731323415224E-2</v>
      </c>
      <c r="E13516" s="224" t="s">
        <v>2</v>
      </c>
      <c r="F13516" s="515" t="s">
        <v>14703</v>
      </c>
      <c r="G13516" s="52">
        <v>220041.85993357399</v>
      </c>
      <c r="H13516" s="56">
        <v>0</v>
      </c>
      <c r="I13516" s="224" t="s">
        <v>2</v>
      </c>
    </row>
    <row r="13517" spans="1:9" x14ac:dyDescent="0.25">
      <c r="A13517" s="515">
        <v>48463</v>
      </c>
      <c r="B13517" s="515" t="s">
        <v>759</v>
      </c>
      <c r="C13517" s="52">
        <v>193764.945089744</v>
      </c>
      <c r="D13517" s="56">
        <v>3.9190981899971514E-2</v>
      </c>
      <c r="E13517" s="224" t="s">
        <v>2</v>
      </c>
      <c r="F13517" s="515" t="s">
        <v>14704</v>
      </c>
      <c r="G13517" s="52">
        <v>70714.149602424295</v>
      </c>
      <c r="H13517" s="56">
        <v>6.3320943684611344E-2</v>
      </c>
      <c r="I13517" s="224" t="s">
        <v>2</v>
      </c>
    </row>
    <row r="13518" spans="1:9" x14ac:dyDescent="0.25">
      <c r="A13518" s="515">
        <v>18255</v>
      </c>
      <c r="B13518" s="515" t="s">
        <v>327</v>
      </c>
      <c r="C13518" s="52">
        <v>184843.552219665</v>
      </c>
      <c r="D13518" s="56">
        <v>0.10802727162836888</v>
      </c>
      <c r="E13518" s="224" t="s">
        <v>2</v>
      </c>
      <c r="F13518" s="515" t="s">
        <v>14705</v>
      </c>
      <c r="G13518" s="52">
        <v>122522.751898816</v>
      </c>
      <c r="H13518" s="56">
        <v>5.2392093083254418E-2</v>
      </c>
      <c r="I13518" s="224" t="s">
        <v>2</v>
      </c>
    </row>
    <row r="13519" spans="1:9" x14ac:dyDescent="0.25">
      <c r="A13519" s="515">
        <v>62411</v>
      </c>
      <c r="B13519" s="515" t="s">
        <v>952</v>
      </c>
      <c r="C13519" s="52">
        <v>140183.393996812</v>
      </c>
      <c r="D13519" s="56">
        <v>7.2175890410948296E-2</v>
      </c>
      <c r="E13519" s="224" t="s">
        <v>2</v>
      </c>
      <c r="F13519" s="515" t="s">
        <v>14706</v>
      </c>
      <c r="G13519" s="52">
        <v>119417.63109709301</v>
      </c>
      <c r="H13519" s="56">
        <v>0.24555631973531267</v>
      </c>
      <c r="I13519" s="224" t="s">
        <v>2</v>
      </c>
    </row>
    <row r="13520" spans="1:9" x14ac:dyDescent="0.25">
      <c r="A13520" s="515">
        <v>83467</v>
      </c>
      <c r="C13520" s="52">
        <v>316656.45523582702</v>
      </c>
      <c r="D13520" s="56">
        <v>9.8017616137875643E-2</v>
      </c>
      <c r="E13520" s="224" t="s">
        <v>2</v>
      </c>
      <c r="F13520" s="515" t="s">
        <v>14707</v>
      </c>
      <c r="G13520" s="52">
        <v>731989.22079219704</v>
      </c>
      <c r="H13520" s="56">
        <v>4.1585278190779396E-2</v>
      </c>
      <c r="I13520" s="224" t="s">
        <v>2</v>
      </c>
    </row>
    <row r="13521" spans="1:9" x14ac:dyDescent="0.25">
      <c r="A13521" s="515">
        <v>70577</v>
      </c>
      <c r="B13521" s="515" t="s">
        <v>1162</v>
      </c>
      <c r="C13521" s="52">
        <v>99133.499552178997</v>
      </c>
      <c r="D13521" s="56">
        <v>-1.6876956960342363E-2</v>
      </c>
      <c r="E13521" s="224" t="s">
        <v>2</v>
      </c>
      <c r="F13521" s="515" t="s">
        <v>14708</v>
      </c>
      <c r="G13521" s="52">
        <v>187278.33427832799</v>
      </c>
      <c r="H13521" s="56">
        <v>6.2262230250376138E-2</v>
      </c>
      <c r="I13521" s="224" t="s">
        <v>2</v>
      </c>
    </row>
    <row r="13522" spans="1:9" x14ac:dyDescent="0.25">
      <c r="A13522" s="515">
        <v>98648</v>
      </c>
      <c r="B13522" s="515" t="s">
        <v>659</v>
      </c>
      <c r="C13522" s="52">
        <v>499718.34507269901</v>
      </c>
      <c r="D13522" s="56">
        <v>6.9277128627137363E-2</v>
      </c>
      <c r="E13522" s="224" t="s">
        <v>2</v>
      </c>
      <c r="F13522" s="515" t="s">
        <v>14709</v>
      </c>
      <c r="G13522" s="52">
        <v>197044.051868373</v>
      </c>
      <c r="H13522" s="56">
        <v>8.0513812862929898E-2</v>
      </c>
      <c r="I13522" s="224" t="s">
        <v>2</v>
      </c>
    </row>
    <row r="13523" spans="1:9" x14ac:dyDescent="0.25">
      <c r="A13523" s="515">
        <v>84511</v>
      </c>
      <c r="C13523" s="52">
        <v>286459.80484537297</v>
      </c>
      <c r="D13523" s="56">
        <v>4.7941371899467899E-2</v>
      </c>
      <c r="E13523" s="224" t="s">
        <v>2</v>
      </c>
      <c r="F13523" s="515" t="s">
        <v>14710</v>
      </c>
      <c r="G13523" s="52">
        <v>155337.262805437</v>
      </c>
      <c r="H13523" s="56">
        <v>6.6827065948509262E-2</v>
      </c>
      <c r="I13523" s="224" t="s">
        <v>2</v>
      </c>
    </row>
    <row r="13524" spans="1:9" x14ac:dyDescent="0.25">
      <c r="A13524" s="515">
        <v>37711</v>
      </c>
      <c r="B13524" s="515" t="s">
        <v>902</v>
      </c>
      <c r="C13524" s="52">
        <v>173558.14417843401</v>
      </c>
      <c r="D13524" s="56">
        <v>8.5467457083981582E-2</v>
      </c>
      <c r="E13524" s="224" t="s">
        <v>2</v>
      </c>
      <c r="F13524" s="515" t="s">
        <v>14711</v>
      </c>
      <c r="G13524" s="52">
        <v>158146.72972972901</v>
      </c>
      <c r="H13524" s="56">
        <v>0</v>
      </c>
      <c r="I13524" s="224" t="s">
        <v>2</v>
      </c>
    </row>
    <row r="13525" spans="1:9" x14ac:dyDescent="0.25">
      <c r="A13525" s="515">
        <v>54822</v>
      </c>
      <c r="C13525" s="52">
        <v>240650.041045869</v>
      </c>
      <c r="D13525" s="56">
        <v>4.5630934313511104E-2</v>
      </c>
      <c r="E13525" s="224" t="s">
        <v>2</v>
      </c>
      <c r="F13525" s="515" t="s">
        <v>14712</v>
      </c>
      <c r="G13525" s="52">
        <v>524457.07280349999</v>
      </c>
      <c r="H13525" s="56">
        <v>0.11180456518286337</v>
      </c>
      <c r="I13525" s="224" t="s">
        <v>2</v>
      </c>
    </row>
    <row r="13526" spans="1:9" x14ac:dyDescent="0.25">
      <c r="A13526" s="515">
        <v>76043</v>
      </c>
      <c r="C13526" s="52">
        <v>340607.23682597</v>
      </c>
      <c r="D13526" s="56">
        <v>0.11591277714888935</v>
      </c>
      <c r="E13526" s="224" t="s">
        <v>2</v>
      </c>
      <c r="F13526" s="515" t="s">
        <v>14713</v>
      </c>
      <c r="G13526" s="52">
        <v>224402.53007403301</v>
      </c>
      <c r="H13526" s="56">
        <v>7.4664725933249326E-2</v>
      </c>
      <c r="I13526" s="224" t="s">
        <v>2</v>
      </c>
    </row>
    <row r="13527" spans="1:9" x14ac:dyDescent="0.25">
      <c r="A13527" s="515">
        <v>88072</v>
      </c>
      <c r="B13527" s="515" t="s">
        <v>317</v>
      </c>
      <c r="C13527" s="52">
        <v>237152.91669028701</v>
      </c>
      <c r="D13527" s="56">
        <v>0.13776684945210035</v>
      </c>
      <c r="E13527" s="224" t="s">
        <v>2</v>
      </c>
      <c r="F13527" s="515" t="s">
        <v>14714</v>
      </c>
      <c r="G13527" s="52">
        <v>166956.555668471</v>
      </c>
      <c r="H13527" s="56">
        <v>0</v>
      </c>
      <c r="I13527" s="224" t="s">
        <v>2</v>
      </c>
    </row>
    <row r="13528" spans="1:9" x14ac:dyDescent="0.25">
      <c r="A13528" s="515">
        <v>76579</v>
      </c>
      <c r="B13528" s="515" t="s">
        <v>859</v>
      </c>
      <c r="C13528" s="52">
        <v>262954.54232348199</v>
      </c>
      <c r="D13528" s="56">
        <v>9.9342247251856891E-2</v>
      </c>
      <c r="E13528" s="224" t="s">
        <v>2</v>
      </c>
      <c r="F13528" s="515" t="s">
        <v>14715</v>
      </c>
      <c r="G13528" s="52">
        <v>141409.344334177</v>
      </c>
      <c r="H13528" s="56">
        <v>1.1829153872951664E-2</v>
      </c>
      <c r="I13528" s="224" t="s">
        <v>2</v>
      </c>
    </row>
    <row r="13529" spans="1:9" x14ac:dyDescent="0.25">
      <c r="A13529" s="515">
        <v>34945</v>
      </c>
      <c r="B13529" s="515" t="s">
        <v>1180</v>
      </c>
      <c r="C13529" s="52">
        <v>384451.71820623701</v>
      </c>
      <c r="D13529" s="56">
        <v>0.14263671245144757</v>
      </c>
      <c r="E13529" s="224" t="s">
        <v>2</v>
      </c>
      <c r="F13529" s="515" t="s">
        <v>14716</v>
      </c>
      <c r="G13529" s="52">
        <v>247662.97328278801</v>
      </c>
      <c r="H13529" s="56">
        <v>8.9654570163931357E-2</v>
      </c>
      <c r="I13529" s="224" t="s">
        <v>2</v>
      </c>
    </row>
    <row r="13530" spans="1:9" x14ac:dyDescent="0.25">
      <c r="A13530" s="515">
        <v>13140</v>
      </c>
      <c r="B13530" s="515" t="s">
        <v>986</v>
      </c>
      <c r="C13530" s="52">
        <v>146718.50432357701</v>
      </c>
      <c r="D13530" s="56">
        <v>4.8510792988772394E-2</v>
      </c>
      <c r="E13530" s="224" t="s">
        <v>2</v>
      </c>
      <c r="F13530" s="515" t="s">
        <v>14717</v>
      </c>
      <c r="G13530" s="52">
        <v>80903.437796971193</v>
      </c>
      <c r="H13530" s="56">
        <v>5.0393973882428562E-2</v>
      </c>
      <c r="I13530" s="224" t="s">
        <v>2</v>
      </c>
    </row>
    <row r="13531" spans="1:9" x14ac:dyDescent="0.25">
      <c r="A13531" s="515">
        <v>81652</v>
      </c>
      <c r="B13531" s="515" t="s">
        <v>725</v>
      </c>
      <c r="C13531" s="52">
        <v>514115.526049593</v>
      </c>
      <c r="D13531" s="56">
        <v>8.24710747983156E-2</v>
      </c>
      <c r="E13531" s="224" t="s">
        <v>2</v>
      </c>
      <c r="F13531" s="515" t="s">
        <v>14718</v>
      </c>
      <c r="G13531" s="52">
        <v>177095.95599045599</v>
      </c>
      <c r="H13531" s="56">
        <v>0.10622595920707785</v>
      </c>
      <c r="I13531" s="224" t="s">
        <v>2</v>
      </c>
    </row>
    <row r="13532" spans="1:9" x14ac:dyDescent="0.25">
      <c r="A13532" s="515">
        <v>52247</v>
      </c>
      <c r="B13532" s="515" t="s">
        <v>587</v>
      </c>
      <c r="C13532" s="52">
        <v>261704.351700122</v>
      </c>
      <c r="D13532" s="56">
        <v>8.1294833428142088E-2</v>
      </c>
      <c r="E13532" s="224" t="s">
        <v>2</v>
      </c>
      <c r="F13532" s="515" t="s">
        <v>14719</v>
      </c>
      <c r="G13532" s="52">
        <v>208261.90790917201</v>
      </c>
      <c r="H13532" s="56">
        <v>2.5963868108268673E-2</v>
      </c>
      <c r="I13532" s="224" t="s">
        <v>2</v>
      </c>
    </row>
    <row r="13533" spans="1:9" x14ac:dyDescent="0.25">
      <c r="A13533" s="515">
        <v>47648</v>
      </c>
      <c r="C13533" s="52">
        <v>193611.49894799999</v>
      </c>
      <c r="D13533" s="56">
        <v>3.8490046855639393E-2</v>
      </c>
      <c r="E13533" s="224" t="s">
        <v>2</v>
      </c>
      <c r="F13533" s="515" t="s">
        <v>14720</v>
      </c>
      <c r="G13533" s="52">
        <v>78142.456991250001</v>
      </c>
      <c r="H13533" s="56">
        <v>0.16724142925649402</v>
      </c>
      <c r="I13533" s="224" t="s">
        <v>2</v>
      </c>
    </row>
    <row r="13534" spans="1:9" x14ac:dyDescent="0.25">
      <c r="A13534" s="515">
        <v>3044</v>
      </c>
      <c r="B13534" s="515" t="s">
        <v>534</v>
      </c>
      <c r="C13534" s="52">
        <v>438950.60968626098</v>
      </c>
      <c r="D13534" s="56">
        <v>7.1980675330800784E-2</v>
      </c>
      <c r="E13534" s="224" t="s">
        <v>2</v>
      </c>
      <c r="F13534" s="515" t="s">
        <v>14721</v>
      </c>
      <c r="G13534" s="52">
        <v>147526.13231919101</v>
      </c>
      <c r="H13534" s="56">
        <v>0.12669331931416347</v>
      </c>
      <c r="I13534" s="224" t="s">
        <v>2</v>
      </c>
    </row>
    <row r="13535" spans="1:9" x14ac:dyDescent="0.25">
      <c r="A13535" s="515">
        <v>5461</v>
      </c>
      <c r="B13535" s="515" t="s">
        <v>441</v>
      </c>
      <c r="C13535" s="52">
        <v>446031.42876297701</v>
      </c>
      <c r="D13535" s="56">
        <v>8.4078158830979952E-2</v>
      </c>
      <c r="E13535" s="224" t="s">
        <v>2</v>
      </c>
      <c r="F13535" s="515" t="s">
        <v>14722</v>
      </c>
      <c r="G13535" s="52">
        <v>153051.31311083501</v>
      </c>
      <c r="H13535" s="56">
        <v>0.12848377698956379</v>
      </c>
      <c r="I13535" s="224" t="s">
        <v>2</v>
      </c>
    </row>
    <row r="13536" spans="1:9" x14ac:dyDescent="0.25">
      <c r="A13536" s="515">
        <v>98349</v>
      </c>
      <c r="B13536" s="515" t="s">
        <v>384</v>
      </c>
      <c r="C13536" s="52">
        <v>478884.029287229</v>
      </c>
      <c r="D13536" s="56">
        <v>3.7599739904755687E-2</v>
      </c>
      <c r="E13536" s="224" t="s">
        <v>2</v>
      </c>
      <c r="F13536" s="515" t="s">
        <v>14723</v>
      </c>
      <c r="G13536" s="52">
        <v>90381.035016378199</v>
      </c>
      <c r="H13536" s="56">
        <v>7.9059728101468038E-2</v>
      </c>
      <c r="I13536" s="224" t="s">
        <v>2</v>
      </c>
    </row>
    <row r="13537" spans="1:9" x14ac:dyDescent="0.25">
      <c r="A13537" s="515">
        <v>1951</v>
      </c>
      <c r="B13537" s="515" t="s">
        <v>534</v>
      </c>
      <c r="C13537" s="52">
        <v>785080.47975890699</v>
      </c>
      <c r="D13537" s="56">
        <v>0.11069581802562144</v>
      </c>
      <c r="E13537" s="224" t="s">
        <v>2</v>
      </c>
      <c r="F13537" s="515" t="s">
        <v>14724</v>
      </c>
      <c r="G13537" s="52">
        <v>192531.42208349699</v>
      </c>
      <c r="H13537" s="56">
        <v>5.5827071225059796E-2</v>
      </c>
      <c r="I13537" s="224" t="s">
        <v>2</v>
      </c>
    </row>
    <row r="13538" spans="1:9" x14ac:dyDescent="0.25">
      <c r="A13538" s="515">
        <v>27011</v>
      </c>
      <c r="B13538" s="515" t="s">
        <v>735</v>
      </c>
      <c r="C13538" s="52">
        <v>194850.10327339199</v>
      </c>
      <c r="D13538" s="56">
        <v>0.16032947903707048</v>
      </c>
      <c r="E13538" s="224" t="s">
        <v>2</v>
      </c>
      <c r="F13538" s="515" t="s">
        <v>14725</v>
      </c>
      <c r="G13538" s="52">
        <v>161462.386038311</v>
      </c>
      <c r="H13538" s="56">
        <v>7.2697301487773272E-2</v>
      </c>
      <c r="I13538" s="224" t="s">
        <v>2</v>
      </c>
    </row>
    <row r="13539" spans="1:9" x14ac:dyDescent="0.25">
      <c r="A13539" s="515">
        <v>96117</v>
      </c>
      <c r="B13539" s="515" t="s">
        <v>658</v>
      </c>
      <c r="C13539" s="52">
        <v>286982.98443716398</v>
      </c>
      <c r="D13539" s="56">
        <v>2.1591517104410936E-2</v>
      </c>
      <c r="E13539" s="224" t="s">
        <v>2</v>
      </c>
      <c r="F13539" s="515" t="s">
        <v>14726</v>
      </c>
      <c r="G13539" s="52">
        <v>80261.621904230604</v>
      </c>
      <c r="H13539" s="56">
        <v>0.17902879470491126</v>
      </c>
      <c r="I13539" s="224" t="s">
        <v>2</v>
      </c>
    </row>
    <row r="13540" spans="1:9" x14ac:dyDescent="0.25">
      <c r="A13540" s="515">
        <v>55923</v>
      </c>
      <c r="B13540" s="515" t="s">
        <v>470</v>
      </c>
      <c r="C13540" s="52">
        <v>294977.23368111602</v>
      </c>
      <c r="D13540" s="56">
        <v>8.0647832042715806E-2</v>
      </c>
      <c r="E13540" s="224" t="s">
        <v>2</v>
      </c>
      <c r="F13540" s="515" t="s">
        <v>14727</v>
      </c>
      <c r="G13540" s="52">
        <v>937214.44716435601</v>
      </c>
      <c r="H13540" s="56">
        <v>1.9691091068550513E-2</v>
      </c>
      <c r="I13540" s="224" t="s">
        <v>2</v>
      </c>
    </row>
    <row r="13541" spans="1:9" x14ac:dyDescent="0.25">
      <c r="A13541" s="515">
        <v>95619</v>
      </c>
      <c r="B13541" s="515" t="s">
        <v>355</v>
      </c>
      <c r="C13541" s="52">
        <v>423907.35269203997</v>
      </c>
      <c r="D13541" s="56">
        <v>-9.0531877223852704E-3</v>
      </c>
      <c r="E13541" s="224" t="s">
        <v>2</v>
      </c>
      <c r="F13541" s="515" t="s">
        <v>14728</v>
      </c>
      <c r="G13541" s="52">
        <v>553103.13145968597</v>
      </c>
      <c r="H13541" s="56">
        <v>8.5326420603051858E-2</v>
      </c>
      <c r="I13541" s="224" t="s">
        <v>2</v>
      </c>
    </row>
    <row r="13542" spans="1:9" x14ac:dyDescent="0.25">
      <c r="A13542" s="515">
        <v>31046</v>
      </c>
      <c r="B13542" s="515" t="s">
        <v>995</v>
      </c>
      <c r="C13542" s="52">
        <v>263022.01292257599</v>
      </c>
      <c r="D13542" s="56">
        <v>6.2657328658634021E-2</v>
      </c>
      <c r="E13542" s="224" t="s">
        <v>2</v>
      </c>
      <c r="F13542" s="515" t="s">
        <v>14729</v>
      </c>
      <c r="G13542" s="52">
        <v>307340.58971104398</v>
      </c>
      <c r="H13542" s="56">
        <v>3.9878628634808254E-2</v>
      </c>
      <c r="I13542" s="224" t="s">
        <v>2</v>
      </c>
    </row>
    <row r="13543" spans="1:9" x14ac:dyDescent="0.25">
      <c r="A13543" s="515">
        <v>15059</v>
      </c>
      <c r="B13543" s="515" t="s">
        <v>297</v>
      </c>
      <c r="C13543" s="52">
        <v>100711.91014930401</v>
      </c>
      <c r="D13543" s="56">
        <v>-2.9244400222819118E-2</v>
      </c>
      <c r="E13543" s="224" t="s">
        <v>2</v>
      </c>
      <c r="F13543" s="515" t="s">
        <v>14730</v>
      </c>
      <c r="G13543" s="52">
        <v>346095.44664297102</v>
      </c>
      <c r="H13543" s="56">
        <v>3.2858813990885395E-2</v>
      </c>
      <c r="I13543" s="224" t="s">
        <v>2</v>
      </c>
    </row>
    <row r="13544" spans="1:9" x14ac:dyDescent="0.25">
      <c r="A13544" s="515">
        <v>30621</v>
      </c>
      <c r="B13544" s="515" t="s">
        <v>991</v>
      </c>
      <c r="C13544" s="52">
        <v>503456.17466722702</v>
      </c>
      <c r="D13544" s="56">
        <v>7.2732395103488862E-2</v>
      </c>
      <c r="E13544" s="224" t="s">
        <v>2</v>
      </c>
      <c r="F13544" s="515" t="s">
        <v>14731</v>
      </c>
      <c r="G13544" s="52">
        <v>107570.285254</v>
      </c>
      <c r="H13544" s="56">
        <v>8.5249422498374111E-2</v>
      </c>
      <c r="I13544" s="224" t="s">
        <v>2</v>
      </c>
    </row>
    <row r="13545" spans="1:9" x14ac:dyDescent="0.25">
      <c r="A13545" s="515">
        <v>40831</v>
      </c>
      <c r="C13545" s="52">
        <v>88478.765188267003</v>
      </c>
      <c r="D13545" s="56">
        <v>0.19244481140280931</v>
      </c>
      <c r="E13545" s="224" t="s">
        <v>2</v>
      </c>
      <c r="F13545" s="515" t="s">
        <v>14732</v>
      </c>
      <c r="G13545" s="52">
        <v>308188.39320079301</v>
      </c>
      <c r="H13545" s="56">
        <v>5.7887758108613449E-2</v>
      </c>
      <c r="I13545" s="224" t="s">
        <v>2</v>
      </c>
    </row>
    <row r="13546" spans="1:9" x14ac:dyDescent="0.25">
      <c r="A13546" s="515">
        <v>23837</v>
      </c>
      <c r="B13546" s="515" t="s">
        <v>301</v>
      </c>
      <c r="C13546" s="52">
        <v>228219.75235979501</v>
      </c>
      <c r="D13546" s="56">
        <v>0.10809996339196291</v>
      </c>
      <c r="E13546" s="224" t="s">
        <v>2</v>
      </c>
      <c r="F13546" s="515" t="s">
        <v>14733</v>
      </c>
      <c r="G13546" s="52">
        <v>211421.983569023</v>
      </c>
      <c r="H13546" s="56">
        <v>2.2892294920037425E-2</v>
      </c>
      <c r="I13546" s="224" t="s">
        <v>2</v>
      </c>
    </row>
    <row r="13547" spans="1:9" x14ac:dyDescent="0.25">
      <c r="A13547" s="515">
        <v>53934</v>
      </c>
      <c r="C13547" s="52">
        <v>152316.80001487199</v>
      </c>
      <c r="D13547" s="56">
        <v>0.11087745552717282</v>
      </c>
      <c r="E13547" s="224" t="s">
        <v>2</v>
      </c>
      <c r="F13547" s="515" t="s">
        <v>14734</v>
      </c>
      <c r="G13547" s="52">
        <v>195864.055312376</v>
      </c>
      <c r="H13547" s="56">
        <v>2.0945924430430415E-2</v>
      </c>
      <c r="I13547" s="224" t="s">
        <v>2</v>
      </c>
    </row>
    <row r="13548" spans="1:9" x14ac:dyDescent="0.25">
      <c r="A13548" s="515">
        <v>6365</v>
      </c>
      <c r="B13548" s="515" t="s">
        <v>1091</v>
      </c>
      <c r="C13548" s="52">
        <v>315573.523872878</v>
      </c>
      <c r="D13548" s="56">
        <v>7.1042017990525161E-2</v>
      </c>
      <c r="E13548" s="224" t="s">
        <v>2</v>
      </c>
      <c r="F13548" s="515" t="s">
        <v>14735</v>
      </c>
      <c r="G13548" s="52">
        <v>149203.506151977</v>
      </c>
      <c r="H13548" s="56">
        <v>4.5744603913183926E-2</v>
      </c>
      <c r="I13548" s="224" t="s">
        <v>2</v>
      </c>
    </row>
    <row r="13549" spans="1:9" x14ac:dyDescent="0.25">
      <c r="A13549" s="515">
        <v>14737</v>
      </c>
      <c r="B13549" s="515" t="s">
        <v>870</v>
      </c>
      <c r="C13549" s="52">
        <v>120995.711161846</v>
      </c>
      <c r="D13549" s="56">
        <v>0.15200921423393418</v>
      </c>
      <c r="E13549" s="224" t="s">
        <v>2</v>
      </c>
      <c r="F13549" s="515" t="s">
        <v>14736</v>
      </c>
      <c r="G13549" s="52">
        <v>139044.270977693</v>
      </c>
      <c r="H13549" s="56">
        <v>9.863921510112536E-2</v>
      </c>
      <c r="I13549" s="224" t="s">
        <v>2</v>
      </c>
    </row>
    <row r="13550" spans="1:9" x14ac:dyDescent="0.25">
      <c r="A13550" s="515">
        <v>62033</v>
      </c>
      <c r="B13550" s="515" t="s">
        <v>498</v>
      </c>
      <c r="C13550" s="52">
        <v>79731.604129711195</v>
      </c>
      <c r="D13550" s="56">
        <v>9.2593449096512528E-2</v>
      </c>
      <c r="E13550" s="224" t="s">
        <v>2</v>
      </c>
      <c r="F13550" s="515" t="s">
        <v>14737</v>
      </c>
      <c r="G13550" s="52">
        <v>311181.55915744102</v>
      </c>
      <c r="H13550" s="56">
        <v>6.3886896468979729E-2</v>
      </c>
      <c r="I13550" s="224" t="s">
        <v>2</v>
      </c>
    </row>
    <row r="13551" spans="1:9" x14ac:dyDescent="0.25">
      <c r="A13551" s="515">
        <v>71280</v>
      </c>
      <c r="B13551" s="515" t="s">
        <v>695</v>
      </c>
      <c r="C13551" s="52">
        <v>205612.64418349799</v>
      </c>
      <c r="D13551" s="56">
        <v>6.0813643099320969E-2</v>
      </c>
      <c r="E13551" s="224" t="s">
        <v>2</v>
      </c>
      <c r="F13551" s="515" t="s">
        <v>14738</v>
      </c>
      <c r="G13551" s="52">
        <v>109550.846081415</v>
      </c>
      <c r="H13551" s="56">
        <v>7.4708802086437043E-2</v>
      </c>
      <c r="I13551" s="224" t="s">
        <v>2</v>
      </c>
    </row>
    <row r="13552" spans="1:9" x14ac:dyDescent="0.25">
      <c r="A13552" s="515">
        <v>7640</v>
      </c>
      <c r="B13552" s="515" t="s">
        <v>324</v>
      </c>
      <c r="C13552" s="52">
        <v>741216.24599296099</v>
      </c>
      <c r="D13552" s="56">
        <v>4.0093156946400095E-2</v>
      </c>
      <c r="E13552" s="224" t="s">
        <v>2</v>
      </c>
      <c r="F13552" s="515" t="s">
        <v>14739</v>
      </c>
      <c r="G13552" s="52">
        <v>179692.96472809001</v>
      </c>
      <c r="H13552" s="56">
        <v>0.11583777300399417</v>
      </c>
      <c r="I13552" s="224" t="s">
        <v>2</v>
      </c>
    </row>
    <row r="13553" spans="1:9" x14ac:dyDescent="0.25">
      <c r="A13553" s="515">
        <v>73103</v>
      </c>
      <c r="B13553" s="515" t="s">
        <v>385</v>
      </c>
      <c r="C13553" s="52">
        <v>315440.06116185797</v>
      </c>
      <c r="D13553" s="56">
        <v>6.5482597875220094E-2</v>
      </c>
      <c r="E13553" s="224">
        <v>1112.05555555555</v>
      </c>
      <c r="F13553" s="515" t="s">
        <v>14740</v>
      </c>
      <c r="G13553" s="52">
        <v>82174.997857996001</v>
      </c>
      <c r="H13553" s="56">
        <v>0.17334557418732729</v>
      </c>
      <c r="I13553" s="224" t="s">
        <v>2</v>
      </c>
    </row>
    <row r="13554" spans="1:9" x14ac:dyDescent="0.25">
      <c r="A13554" s="515">
        <v>75969</v>
      </c>
      <c r="B13554" s="515" t="s">
        <v>1141</v>
      </c>
      <c r="C13554" s="52">
        <v>184731.47375439599</v>
      </c>
      <c r="D13554" s="56">
        <v>-8.5010165151360242E-3</v>
      </c>
      <c r="E13554" s="224" t="s">
        <v>2</v>
      </c>
      <c r="F13554" s="515" t="s">
        <v>14741</v>
      </c>
      <c r="G13554" s="52">
        <v>814232.04076043202</v>
      </c>
      <c r="H13554" s="56">
        <v>0</v>
      </c>
      <c r="I13554" s="224" t="s">
        <v>2</v>
      </c>
    </row>
    <row r="13555" spans="1:9" x14ac:dyDescent="0.25">
      <c r="A13555" s="515">
        <v>4950</v>
      </c>
      <c r="C13555" s="52">
        <v>169612.250080011</v>
      </c>
      <c r="D13555" s="56">
        <v>0.14262359387864687</v>
      </c>
      <c r="E13555" s="224" t="s">
        <v>2</v>
      </c>
      <c r="F13555" s="515" t="s">
        <v>14742</v>
      </c>
      <c r="G13555" s="52">
        <v>571741.20457018295</v>
      </c>
      <c r="H13555" s="56">
        <v>-5.438473414431283E-2</v>
      </c>
      <c r="I13555" s="224" t="s">
        <v>2</v>
      </c>
    </row>
    <row r="13556" spans="1:9" x14ac:dyDescent="0.25">
      <c r="A13556" s="515">
        <v>24641</v>
      </c>
      <c r="B13556" s="515" t="s">
        <v>306</v>
      </c>
      <c r="C13556" s="52">
        <v>101528.294465076</v>
      </c>
      <c r="D13556" s="56">
        <v>6.6283180875537459E-2</v>
      </c>
      <c r="E13556" s="224" t="s">
        <v>2</v>
      </c>
      <c r="F13556" s="515" t="s">
        <v>14743</v>
      </c>
      <c r="G13556" s="52">
        <v>119801.61867758</v>
      </c>
      <c r="H13556" s="56">
        <v>0.14778170612898694</v>
      </c>
      <c r="I13556" s="224" t="s">
        <v>2</v>
      </c>
    </row>
    <row r="13557" spans="1:9" x14ac:dyDescent="0.25">
      <c r="A13557" s="515">
        <v>55072</v>
      </c>
      <c r="C13557" s="52">
        <v>213612.48567326099</v>
      </c>
      <c r="D13557" s="56">
        <v>0.15010627260142914</v>
      </c>
      <c r="E13557" s="224" t="s">
        <v>2</v>
      </c>
      <c r="F13557" s="515" t="s">
        <v>14744</v>
      </c>
      <c r="G13557" s="52">
        <v>224239.28519743399</v>
      </c>
      <c r="H13557" s="56">
        <v>8.992365961874238E-2</v>
      </c>
      <c r="I13557" s="224" t="s">
        <v>2</v>
      </c>
    </row>
    <row r="13558" spans="1:9" x14ac:dyDescent="0.25">
      <c r="A13558" s="515">
        <v>13074</v>
      </c>
      <c r="B13558" s="515" t="s">
        <v>361</v>
      </c>
      <c r="C13558" s="52">
        <v>144142.697391133</v>
      </c>
      <c r="D13558" s="56">
        <v>6.2024040802098369E-2</v>
      </c>
      <c r="E13558" s="224" t="s">
        <v>2</v>
      </c>
      <c r="F13558" s="515" t="s">
        <v>14745</v>
      </c>
      <c r="G13558" s="52">
        <v>218100.30442711699</v>
      </c>
      <c r="H13558" s="56">
        <v>8.748742311462146E-2</v>
      </c>
      <c r="I13558" s="224" t="s">
        <v>2</v>
      </c>
    </row>
    <row r="13559" spans="1:9" x14ac:dyDescent="0.25">
      <c r="A13559" s="515">
        <v>17048</v>
      </c>
      <c r="B13559" s="515" t="s">
        <v>428</v>
      </c>
      <c r="C13559" s="52">
        <v>120111.044343895</v>
      </c>
      <c r="D13559" s="56">
        <v>0.10029959783152287</v>
      </c>
      <c r="E13559" s="224" t="s">
        <v>2</v>
      </c>
      <c r="F13559" s="515" t="s">
        <v>14746</v>
      </c>
      <c r="G13559" s="52">
        <v>260430.91800592799</v>
      </c>
      <c r="H13559" s="56">
        <v>0.11740637125895258</v>
      </c>
      <c r="I13559" s="224" t="s">
        <v>2</v>
      </c>
    </row>
    <row r="13560" spans="1:9" x14ac:dyDescent="0.25">
      <c r="A13560" s="515">
        <v>47037</v>
      </c>
      <c r="C13560" s="52">
        <v>213395.21170007301</v>
      </c>
      <c r="D13560" s="56">
        <v>6.6336133856672697E-2</v>
      </c>
      <c r="E13560" s="224" t="s">
        <v>2</v>
      </c>
      <c r="F13560" s="515" t="s">
        <v>14747</v>
      </c>
      <c r="G13560" s="52">
        <v>413718.426137609</v>
      </c>
      <c r="H13560" s="56">
        <v>6.2772725082499037E-2</v>
      </c>
      <c r="I13560" s="224" t="s">
        <v>2</v>
      </c>
    </row>
    <row r="13561" spans="1:9" x14ac:dyDescent="0.25">
      <c r="A13561" s="515">
        <v>56055</v>
      </c>
      <c r="B13561" s="515" t="s">
        <v>542</v>
      </c>
      <c r="C13561" s="52">
        <v>246034.298419717</v>
      </c>
      <c r="D13561" s="56">
        <v>8.7011500559713281E-2</v>
      </c>
      <c r="E13561" s="224" t="s">
        <v>2</v>
      </c>
      <c r="F13561" s="515" t="s">
        <v>14748</v>
      </c>
      <c r="G13561" s="52">
        <v>191174.60401272401</v>
      </c>
      <c r="H13561" s="56">
        <v>9.1700484106641514E-2</v>
      </c>
      <c r="I13561" s="224" t="s">
        <v>2</v>
      </c>
    </row>
    <row r="13562" spans="1:9" x14ac:dyDescent="0.25">
      <c r="A13562" s="515">
        <v>15431</v>
      </c>
      <c r="B13562" s="515" t="s">
        <v>297</v>
      </c>
      <c r="C13562" s="52">
        <v>102429.05561849799</v>
      </c>
      <c r="D13562" s="56">
        <v>1.4720196704994989E-2</v>
      </c>
      <c r="E13562" s="224" t="s">
        <v>2</v>
      </c>
      <c r="F13562" s="515" t="s">
        <v>14749</v>
      </c>
      <c r="G13562" s="52">
        <v>177258.22328039</v>
      </c>
      <c r="H13562" s="56">
        <v>0</v>
      </c>
      <c r="I13562" s="224" t="s">
        <v>2</v>
      </c>
    </row>
    <row r="13563" spans="1:9" x14ac:dyDescent="0.25">
      <c r="A13563" s="515">
        <v>68788</v>
      </c>
      <c r="C13563" s="52">
        <v>217484.066122741</v>
      </c>
      <c r="D13563" s="56">
        <v>7.5156046080672223E-2</v>
      </c>
      <c r="E13563" s="224" t="s">
        <v>2</v>
      </c>
      <c r="F13563" s="515" t="s">
        <v>14750</v>
      </c>
      <c r="G13563" s="52">
        <v>185654.19199338899</v>
      </c>
      <c r="H13563" s="56">
        <v>8.026383127744105E-3</v>
      </c>
      <c r="I13563" s="224" t="s">
        <v>2</v>
      </c>
    </row>
    <row r="13564" spans="1:9" x14ac:dyDescent="0.25">
      <c r="A13564" s="515">
        <v>93660</v>
      </c>
      <c r="B13564" s="515" t="s">
        <v>541</v>
      </c>
      <c r="C13564" s="52">
        <v>253602.61940747101</v>
      </c>
      <c r="D13564" s="56">
        <v>0.10676099182173091</v>
      </c>
      <c r="E13564" s="224" t="s">
        <v>2</v>
      </c>
      <c r="F13564" s="515" t="s">
        <v>14751</v>
      </c>
      <c r="G13564" s="52">
        <v>388884.59766301699</v>
      </c>
      <c r="H13564" s="56">
        <v>9.7242171012265344E-2</v>
      </c>
      <c r="I13564" s="224" t="s">
        <v>2</v>
      </c>
    </row>
    <row r="13565" spans="1:9" x14ac:dyDescent="0.25">
      <c r="A13565" s="515">
        <v>3818</v>
      </c>
      <c r="C13565" s="52">
        <v>369729.02975001797</v>
      </c>
      <c r="D13565" s="56">
        <v>0.12405977573719368</v>
      </c>
      <c r="E13565" s="224" t="s">
        <v>2</v>
      </c>
      <c r="F13565" s="515" t="s">
        <v>14752</v>
      </c>
      <c r="G13565" s="52">
        <v>227262.28996688401</v>
      </c>
      <c r="H13565" s="56">
        <v>8.4138247509850703E-2</v>
      </c>
      <c r="I13565" s="224" t="s">
        <v>2</v>
      </c>
    </row>
    <row r="13566" spans="1:9" x14ac:dyDescent="0.25">
      <c r="A13566" s="515">
        <v>34449</v>
      </c>
      <c r="B13566" s="515" t="s">
        <v>577</v>
      </c>
      <c r="C13566" s="52">
        <v>223314.669049838</v>
      </c>
      <c r="D13566" s="56">
        <v>0.11705247066170647</v>
      </c>
      <c r="E13566" s="224" t="s">
        <v>2</v>
      </c>
      <c r="F13566" s="515" t="s">
        <v>14753</v>
      </c>
      <c r="G13566" s="52">
        <v>304513.57281386899</v>
      </c>
      <c r="H13566" s="56">
        <v>3.4187567942526143E-2</v>
      </c>
      <c r="I13566" s="224" t="s">
        <v>2</v>
      </c>
    </row>
    <row r="13567" spans="1:9" x14ac:dyDescent="0.25">
      <c r="A13567" s="515">
        <v>93225</v>
      </c>
      <c r="B13567" s="515" t="s">
        <v>419</v>
      </c>
      <c r="C13567" s="52">
        <v>314053.74771845603</v>
      </c>
      <c r="D13567" s="56">
        <v>4.0868271529938716E-2</v>
      </c>
      <c r="E13567" s="224" t="s">
        <v>2</v>
      </c>
      <c r="F13567" s="515" t="s">
        <v>14754</v>
      </c>
      <c r="G13567" s="52">
        <v>118941.823293172</v>
      </c>
      <c r="H13567" s="56">
        <v>0</v>
      </c>
      <c r="I13567" s="224" t="s">
        <v>2</v>
      </c>
    </row>
    <row r="13568" spans="1:9" x14ac:dyDescent="0.25">
      <c r="A13568" s="515">
        <v>55327</v>
      </c>
      <c r="B13568" s="515" t="s">
        <v>532</v>
      </c>
      <c r="C13568" s="52">
        <v>463578.64815550199</v>
      </c>
      <c r="D13568" s="56">
        <v>4.7444794183069988E-2</v>
      </c>
      <c r="E13568" s="224" t="s">
        <v>2</v>
      </c>
      <c r="F13568" s="515" t="s">
        <v>14755</v>
      </c>
      <c r="G13568" s="52"/>
      <c r="H13568" s="56">
        <v>0</v>
      </c>
      <c r="I13568" s="224" t="s">
        <v>2</v>
      </c>
    </row>
    <row r="13569" spans="1:9" x14ac:dyDescent="0.25">
      <c r="A13569" s="515">
        <v>59019</v>
      </c>
      <c r="B13569" s="515" t="s">
        <v>637</v>
      </c>
      <c r="C13569" s="52">
        <v>407959.60614993802</v>
      </c>
      <c r="D13569" s="56">
        <v>4.3435038059104696E-2</v>
      </c>
      <c r="E13569" s="224" t="s">
        <v>2</v>
      </c>
      <c r="F13569" s="515" t="s">
        <v>14756</v>
      </c>
      <c r="G13569" s="52">
        <v>151759.456157076</v>
      </c>
      <c r="H13569" s="56">
        <v>-1.90735702361228E-2</v>
      </c>
      <c r="I13569" s="224" t="s">
        <v>2</v>
      </c>
    </row>
    <row r="13570" spans="1:9" x14ac:dyDescent="0.25">
      <c r="A13570" s="515">
        <v>98402</v>
      </c>
      <c r="B13570" s="515" t="s">
        <v>384</v>
      </c>
      <c r="C13570" s="52">
        <v>444337.32498262299</v>
      </c>
      <c r="D13570" s="56">
        <v>1.0583780574465948E-2</v>
      </c>
      <c r="E13570" s="224">
        <v>1565.4603174603101</v>
      </c>
      <c r="F13570" s="515" t="s">
        <v>14757</v>
      </c>
      <c r="G13570" s="52">
        <v>202461.47533643799</v>
      </c>
      <c r="H13570" s="56">
        <v>0.10239177090510627</v>
      </c>
      <c r="I13570" s="224" t="s">
        <v>2</v>
      </c>
    </row>
    <row r="13571" spans="1:9" x14ac:dyDescent="0.25">
      <c r="A13571" s="515">
        <v>8827</v>
      </c>
      <c r="B13571" s="515" t="s">
        <v>324</v>
      </c>
      <c r="C13571" s="52">
        <v>453433.919138495</v>
      </c>
      <c r="D13571" s="56">
        <v>4.627045943557441E-2</v>
      </c>
      <c r="E13571" s="224" t="s">
        <v>2</v>
      </c>
      <c r="F13571" s="515" t="s">
        <v>14758</v>
      </c>
      <c r="G13571" s="52">
        <v>151354.46646211401</v>
      </c>
      <c r="H13571" s="56">
        <v>0</v>
      </c>
      <c r="I13571" s="224" t="s">
        <v>2</v>
      </c>
    </row>
    <row r="13572" spans="1:9" x14ac:dyDescent="0.25">
      <c r="A13572" s="515">
        <v>35546</v>
      </c>
      <c r="C13572" s="52">
        <v>143168.09950102901</v>
      </c>
      <c r="D13572" s="56">
        <v>6.5817278624913544E-2</v>
      </c>
      <c r="E13572" s="224" t="s">
        <v>2</v>
      </c>
      <c r="F13572" s="515" t="s">
        <v>14759</v>
      </c>
      <c r="G13572" s="52">
        <v>205549.93167495399</v>
      </c>
      <c r="H13572" s="56">
        <v>5.072632658027839E-2</v>
      </c>
      <c r="I13572" s="224" t="s">
        <v>2</v>
      </c>
    </row>
    <row r="13573" spans="1:9" x14ac:dyDescent="0.25">
      <c r="A13573" s="515">
        <v>97918</v>
      </c>
      <c r="B13573" s="515" t="s">
        <v>825</v>
      </c>
      <c r="C13573" s="52">
        <v>271512.10968796501</v>
      </c>
      <c r="D13573" s="56">
        <v>5.8217255462965162E-2</v>
      </c>
      <c r="E13573" s="224" t="s">
        <v>2</v>
      </c>
      <c r="F13573" s="515" t="s">
        <v>14760</v>
      </c>
      <c r="G13573" s="52">
        <v>308999.04943449498</v>
      </c>
      <c r="H13573" s="56">
        <v>6.9896883775197344E-2</v>
      </c>
      <c r="I13573" s="224" t="s">
        <v>2</v>
      </c>
    </row>
    <row r="13574" spans="1:9" x14ac:dyDescent="0.25">
      <c r="A13574" s="515">
        <v>46746</v>
      </c>
      <c r="C13574" s="52">
        <v>220364.42970917799</v>
      </c>
      <c r="D13574" s="56">
        <v>3.7059578891355201E-2</v>
      </c>
      <c r="E13574" s="224" t="s">
        <v>2</v>
      </c>
      <c r="F13574" s="515" t="s">
        <v>14761</v>
      </c>
      <c r="G13574" s="52">
        <v>187177.38310511099</v>
      </c>
      <c r="H13574" s="56">
        <v>5.8215762188147072E-2</v>
      </c>
      <c r="I13574" s="224" t="s">
        <v>2</v>
      </c>
    </row>
    <row r="13575" spans="1:9" x14ac:dyDescent="0.25">
      <c r="A13575" s="515">
        <v>57769</v>
      </c>
      <c r="B13575" s="515" t="s">
        <v>854</v>
      </c>
      <c r="C13575" s="52">
        <v>424119.45115194598</v>
      </c>
      <c r="D13575" s="56">
        <v>0.11366685423696184</v>
      </c>
      <c r="E13575" s="224" t="s">
        <v>2</v>
      </c>
      <c r="F13575" s="515" t="s">
        <v>14762</v>
      </c>
      <c r="G13575" s="52">
        <v>566344.434781802</v>
      </c>
      <c r="H13575" s="56">
        <v>-2.5581383883405515E-2</v>
      </c>
      <c r="I13575" s="224" t="s">
        <v>2</v>
      </c>
    </row>
    <row r="13576" spans="1:9" x14ac:dyDescent="0.25">
      <c r="A13576" s="515">
        <v>10594</v>
      </c>
      <c r="B13576" s="515" t="s">
        <v>324</v>
      </c>
      <c r="C13576" s="52">
        <v>711983.31522215798</v>
      </c>
      <c r="D13576" s="56">
        <v>5.5708833159086056E-2</v>
      </c>
      <c r="E13576" s="224" t="s">
        <v>2</v>
      </c>
      <c r="F13576" s="515" t="s">
        <v>14763</v>
      </c>
      <c r="G13576" s="52">
        <v>206071.063291139</v>
      </c>
      <c r="H13576" s="56">
        <v>0</v>
      </c>
      <c r="I13576" s="224" t="s">
        <v>2</v>
      </c>
    </row>
    <row r="13577" spans="1:9" x14ac:dyDescent="0.25">
      <c r="A13577" s="515">
        <v>36016</v>
      </c>
      <c r="B13577" s="515" t="s">
        <v>1059</v>
      </c>
      <c r="C13577" s="52">
        <v>102399.163610155</v>
      </c>
      <c r="D13577" s="56">
        <v>3.6793564037069584E-2</v>
      </c>
      <c r="E13577" s="224" t="s">
        <v>2</v>
      </c>
      <c r="F13577" s="515" t="s">
        <v>14764</v>
      </c>
      <c r="G13577" s="52">
        <v>120481.32684997001</v>
      </c>
      <c r="H13577" s="56">
        <v>-6.1325344332977157E-2</v>
      </c>
      <c r="I13577" s="224" t="s">
        <v>2</v>
      </c>
    </row>
    <row r="13578" spans="1:9" x14ac:dyDescent="0.25">
      <c r="A13578" s="515">
        <v>10069</v>
      </c>
      <c r="B13578" s="515" t="s">
        <v>324</v>
      </c>
      <c r="C13578" s="52">
        <v>1836873.49802727</v>
      </c>
      <c r="D13578" s="56">
        <v>5.2365391347091769E-2</v>
      </c>
      <c r="E13578" s="224">
        <v>5241.6746031745997</v>
      </c>
      <c r="F13578" s="515" t="s">
        <v>14765</v>
      </c>
      <c r="G13578" s="52">
        <v>317739.23471373098</v>
      </c>
      <c r="H13578" s="56">
        <v>6.5534274758748137E-2</v>
      </c>
      <c r="I13578" s="224" t="s">
        <v>2</v>
      </c>
    </row>
    <row r="13579" spans="1:9" x14ac:dyDescent="0.25">
      <c r="A13579" s="515">
        <v>71082</v>
      </c>
      <c r="B13579" s="515" t="s">
        <v>739</v>
      </c>
      <c r="C13579" s="52">
        <v>68187.027761268095</v>
      </c>
      <c r="D13579" s="56">
        <v>0.12392976873659184</v>
      </c>
      <c r="E13579" s="224" t="s">
        <v>2</v>
      </c>
      <c r="F13579" s="515" t="s">
        <v>14766</v>
      </c>
      <c r="G13579" s="52">
        <v>380893.75334910699</v>
      </c>
      <c r="H13579" s="56">
        <v>1.2800852185009757E-2</v>
      </c>
      <c r="I13579" s="224" t="s">
        <v>2</v>
      </c>
    </row>
    <row r="13580" spans="1:9" x14ac:dyDescent="0.25">
      <c r="A13580" s="515">
        <v>60165</v>
      </c>
      <c r="B13580" s="515" t="s">
        <v>394</v>
      </c>
      <c r="C13580" s="52">
        <v>211319.73983295899</v>
      </c>
      <c r="D13580" s="56">
        <v>6.3470886525393455E-2</v>
      </c>
      <c r="E13580" s="224" t="s">
        <v>2</v>
      </c>
      <c r="F13580" s="515" t="s">
        <v>14767</v>
      </c>
      <c r="G13580" s="52">
        <v>173378.65352195199</v>
      </c>
      <c r="H13580" s="56">
        <v>6.0413863257514688E-2</v>
      </c>
      <c r="I13580" s="224" t="s">
        <v>2</v>
      </c>
    </row>
    <row r="13581" spans="1:9" x14ac:dyDescent="0.25">
      <c r="A13581" s="515">
        <v>44644</v>
      </c>
      <c r="B13581" s="515" t="s">
        <v>863</v>
      </c>
      <c r="C13581" s="52">
        <v>231588.317222977</v>
      </c>
      <c r="D13581" s="56">
        <v>4.8754288495861754E-2</v>
      </c>
      <c r="E13581" s="224" t="s">
        <v>2</v>
      </c>
      <c r="F13581" s="515" t="s">
        <v>14768</v>
      </c>
      <c r="G13581" s="52">
        <v>164116.09973502599</v>
      </c>
      <c r="H13581" s="56">
        <v>0</v>
      </c>
      <c r="I13581" s="224" t="s">
        <v>2</v>
      </c>
    </row>
    <row r="13582" spans="1:9" x14ac:dyDescent="0.25">
      <c r="A13582" s="515">
        <v>49706</v>
      </c>
      <c r="C13582" s="52">
        <v>212465.396701121</v>
      </c>
      <c r="D13582" s="56">
        <v>7.5242909731048288E-2</v>
      </c>
      <c r="E13582" s="224" t="s">
        <v>2</v>
      </c>
      <c r="F13582" s="515" t="s">
        <v>14769</v>
      </c>
      <c r="G13582" s="52">
        <v>175296.877009736</v>
      </c>
      <c r="H13582" s="56">
        <v>5.310288914849616E-2</v>
      </c>
      <c r="I13582" s="224" t="s">
        <v>2</v>
      </c>
    </row>
    <row r="13583" spans="1:9" x14ac:dyDescent="0.25">
      <c r="A13583" s="515">
        <v>35224</v>
      </c>
      <c r="B13583" s="515" t="s">
        <v>640</v>
      </c>
      <c r="C13583" s="52">
        <v>60449.720891331599</v>
      </c>
      <c r="D13583" s="56">
        <v>0.18263358596475618</v>
      </c>
      <c r="E13583" s="224">
        <v>983.75</v>
      </c>
      <c r="F13583" s="515" t="s">
        <v>14770</v>
      </c>
      <c r="G13583" s="52">
        <v>166827.020882438</v>
      </c>
      <c r="H13583" s="56">
        <v>0.12495625421636095</v>
      </c>
      <c r="I13583" s="224" t="s">
        <v>2</v>
      </c>
    </row>
    <row r="13584" spans="1:9" x14ac:dyDescent="0.25">
      <c r="A13584" s="515">
        <v>29591</v>
      </c>
      <c r="B13584" s="515" t="s">
        <v>1039</v>
      </c>
      <c r="C13584" s="52">
        <v>118106.89470843</v>
      </c>
      <c r="D13584" s="56">
        <v>0.13277008431017573</v>
      </c>
      <c r="E13584" s="224" t="s">
        <v>2</v>
      </c>
      <c r="F13584" s="515" t="s">
        <v>14771</v>
      </c>
      <c r="G13584" s="52">
        <v>379999.631106399</v>
      </c>
      <c r="H13584" s="56">
        <v>1.8579919474061801E-2</v>
      </c>
      <c r="I13584" s="224" t="s">
        <v>2</v>
      </c>
    </row>
    <row r="13585" spans="1:9" x14ac:dyDescent="0.25">
      <c r="A13585" s="515">
        <v>30471</v>
      </c>
      <c r="C13585" s="52">
        <v>101924.197021253</v>
      </c>
      <c r="D13585" s="56">
        <v>0.10523462707369967</v>
      </c>
      <c r="E13585" s="224" t="s">
        <v>2</v>
      </c>
      <c r="F13585" s="515" t="s">
        <v>14772</v>
      </c>
      <c r="G13585" s="52">
        <v>184968.06189064099</v>
      </c>
      <c r="H13585" s="56">
        <v>1.5853908194451712E-2</v>
      </c>
      <c r="I13585" s="224" t="s">
        <v>2</v>
      </c>
    </row>
    <row r="13586" spans="1:9" x14ac:dyDescent="0.25">
      <c r="A13586" s="515">
        <v>49076</v>
      </c>
      <c r="B13586" s="515" t="s">
        <v>528</v>
      </c>
      <c r="C13586" s="52">
        <v>189004.23421443501</v>
      </c>
      <c r="D13586" s="56">
        <v>5.8179441051383195E-2</v>
      </c>
      <c r="E13586" s="224" t="s">
        <v>2</v>
      </c>
      <c r="F13586" s="515" t="s">
        <v>14773</v>
      </c>
      <c r="G13586" s="52">
        <v>89920.248854354199</v>
      </c>
      <c r="H13586" s="56">
        <v>6.4443300074802812E-2</v>
      </c>
      <c r="I13586" s="224" t="s">
        <v>2</v>
      </c>
    </row>
    <row r="13587" spans="1:9" x14ac:dyDescent="0.25">
      <c r="A13587" s="515">
        <v>45872</v>
      </c>
      <c r="B13587" s="515" t="s">
        <v>300</v>
      </c>
      <c r="C13587" s="52">
        <v>138350.60544443899</v>
      </c>
      <c r="D13587" s="56">
        <v>-7.0739886851105951E-2</v>
      </c>
      <c r="E13587" s="224" t="s">
        <v>2</v>
      </c>
      <c r="F13587" s="515" t="s">
        <v>14774</v>
      </c>
      <c r="G13587" s="52">
        <v>114504.404268418</v>
      </c>
      <c r="H13587" s="56">
        <v>4.9622290428374786E-4</v>
      </c>
      <c r="I13587" s="224" t="s">
        <v>2</v>
      </c>
    </row>
    <row r="13588" spans="1:9" x14ac:dyDescent="0.25">
      <c r="A13588" s="515">
        <v>35959</v>
      </c>
      <c r="C13588" s="52">
        <v>240517.40143794499</v>
      </c>
      <c r="D13588" s="56">
        <v>7.9454530864774359E-2</v>
      </c>
      <c r="E13588" s="224" t="s">
        <v>2</v>
      </c>
      <c r="F13588" s="515" t="s">
        <v>14775</v>
      </c>
      <c r="G13588" s="52">
        <v>189974.140776952</v>
      </c>
      <c r="H13588" s="56">
        <v>8.4074700162152016E-2</v>
      </c>
      <c r="I13588" s="224" t="s">
        <v>2</v>
      </c>
    </row>
    <row r="13589" spans="1:9" x14ac:dyDescent="0.25">
      <c r="A13589" s="515">
        <v>66608</v>
      </c>
      <c r="B13589" s="515" t="s">
        <v>549</v>
      </c>
      <c r="C13589" s="52">
        <v>88850.617189044904</v>
      </c>
      <c r="D13589" s="56">
        <v>0.16535602937485155</v>
      </c>
      <c r="E13589" s="224" t="s">
        <v>2</v>
      </c>
      <c r="F13589" s="515" t="s">
        <v>14776</v>
      </c>
      <c r="G13589" s="52">
        <v>176012.40560958799</v>
      </c>
      <c r="H13589" s="56">
        <v>0.16575342021278677</v>
      </c>
      <c r="I13589" s="224" t="s">
        <v>2</v>
      </c>
    </row>
    <row r="13590" spans="1:9" x14ac:dyDescent="0.25">
      <c r="A13590" s="515">
        <v>39041</v>
      </c>
      <c r="B13590" s="515" t="s">
        <v>851</v>
      </c>
      <c r="C13590" s="52">
        <v>118914.318214346</v>
      </c>
      <c r="D13590" s="56">
        <v>7.9430759248564534E-2</v>
      </c>
      <c r="E13590" s="224" t="s">
        <v>2</v>
      </c>
      <c r="F13590" s="515" t="s">
        <v>14777</v>
      </c>
      <c r="G13590" s="52">
        <v>91964.522935779794</v>
      </c>
      <c r="H13590" s="56">
        <v>0</v>
      </c>
      <c r="I13590" s="224" t="s">
        <v>2</v>
      </c>
    </row>
    <row r="13591" spans="1:9" x14ac:dyDescent="0.25">
      <c r="A13591" s="515">
        <v>23974</v>
      </c>
      <c r="C13591" s="52">
        <v>109102.619289946</v>
      </c>
      <c r="D13591" s="56">
        <v>1.6011089686079685E-2</v>
      </c>
      <c r="E13591" s="224" t="s">
        <v>2</v>
      </c>
      <c r="F13591" s="515" t="s">
        <v>14778</v>
      </c>
      <c r="G13591" s="52">
        <v>128175.273907494</v>
      </c>
      <c r="H13591" s="56">
        <v>-6.7497422591274517E-2</v>
      </c>
      <c r="I13591" s="224" t="s">
        <v>2</v>
      </c>
    </row>
    <row r="13592" spans="1:9" x14ac:dyDescent="0.25">
      <c r="A13592" s="515">
        <v>31089</v>
      </c>
      <c r="C13592" s="52">
        <v>87196.726612393802</v>
      </c>
      <c r="D13592" s="56">
        <v>7.2586024536320029E-2</v>
      </c>
      <c r="E13592" s="224" t="s">
        <v>2</v>
      </c>
      <c r="F13592" s="515" t="s">
        <v>14779</v>
      </c>
      <c r="G13592" s="52">
        <v>129243.756580113</v>
      </c>
      <c r="H13592" s="56">
        <v>8.1963056334273476E-2</v>
      </c>
      <c r="I13592" s="224" t="s">
        <v>2</v>
      </c>
    </row>
    <row r="13593" spans="1:9" x14ac:dyDescent="0.25">
      <c r="A13593" s="515">
        <v>11715</v>
      </c>
      <c r="B13593" s="515" t="s">
        <v>324</v>
      </c>
      <c r="C13593" s="52">
        <v>558613.879350918</v>
      </c>
      <c r="D13593" s="56">
        <v>2.8192904421063928E-2</v>
      </c>
      <c r="E13593" s="224" t="s">
        <v>2</v>
      </c>
      <c r="F13593" s="515" t="s">
        <v>14780</v>
      </c>
      <c r="G13593" s="52">
        <v>299434.443364329</v>
      </c>
      <c r="H13593" s="56">
        <v>0.12393754921104125</v>
      </c>
      <c r="I13593" s="224" t="s">
        <v>2</v>
      </c>
    </row>
    <row r="13594" spans="1:9" x14ac:dyDescent="0.25">
      <c r="A13594" s="515">
        <v>38680</v>
      </c>
      <c r="B13594" s="515" t="s">
        <v>951</v>
      </c>
      <c r="C13594" s="52">
        <v>243153.38576487399</v>
      </c>
      <c r="D13594" s="56">
        <v>5.1952807969494467E-2</v>
      </c>
      <c r="E13594" s="224" t="s">
        <v>2</v>
      </c>
      <c r="F13594" s="515" t="s">
        <v>4581</v>
      </c>
      <c r="G13594" s="52">
        <v>82103.199314172598</v>
      </c>
      <c r="H13594" s="56">
        <v>1.6718838133377687E-2</v>
      </c>
      <c r="I13594" s="224">
        <v>2152.1111111111099</v>
      </c>
    </row>
    <row r="13595" spans="1:9" x14ac:dyDescent="0.25">
      <c r="A13595" s="515">
        <v>31634</v>
      </c>
      <c r="C13595" s="52">
        <v>88844.756439435398</v>
      </c>
      <c r="D13595" s="56">
        <v>-7.7487812484682783E-2</v>
      </c>
      <c r="E13595" s="224" t="s">
        <v>2</v>
      </c>
      <c r="F13595" s="515" t="s">
        <v>14781</v>
      </c>
      <c r="G13595" s="52">
        <v>198074.81788527599</v>
      </c>
      <c r="H13595" s="56">
        <v>0.10175117834266251</v>
      </c>
      <c r="I13595" s="224" t="s">
        <v>2</v>
      </c>
    </row>
    <row r="13596" spans="1:9" x14ac:dyDescent="0.25">
      <c r="A13596" s="515">
        <v>72131</v>
      </c>
      <c r="C13596" s="52">
        <v>187913.497456098</v>
      </c>
      <c r="D13596" s="56">
        <v>6.1259878910630332E-2</v>
      </c>
      <c r="E13596" s="224" t="s">
        <v>2</v>
      </c>
      <c r="F13596" s="515" t="s">
        <v>14782</v>
      </c>
      <c r="G13596" s="52">
        <v>83450.632985726406</v>
      </c>
      <c r="H13596" s="56">
        <v>0.14040740094367263</v>
      </c>
      <c r="I13596" s="224" t="s">
        <v>2</v>
      </c>
    </row>
    <row r="13597" spans="1:9" x14ac:dyDescent="0.25">
      <c r="A13597" s="515">
        <v>42653</v>
      </c>
      <c r="C13597" s="52">
        <v>91798.642619687307</v>
      </c>
      <c r="D13597" s="56">
        <v>0.2986194737718561</v>
      </c>
      <c r="E13597" s="224" t="s">
        <v>2</v>
      </c>
      <c r="F13597" s="515" t="s">
        <v>14783</v>
      </c>
      <c r="G13597" s="52">
        <v>254350.78968102499</v>
      </c>
      <c r="H13597" s="56">
        <v>0.13188135342685256</v>
      </c>
      <c r="I13597" s="224" t="s">
        <v>2</v>
      </c>
    </row>
    <row r="13598" spans="1:9" x14ac:dyDescent="0.25">
      <c r="A13598" s="515">
        <v>55975</v>
      </c>
      <c r="B13598" s="515" t="s">
        <v>470</v>
      </c>
      <c r="C13598" s="52">
        <v>223963.87100167701</v>
      </c>
      <c r="D13598" s="56">
        <v>6.7069861100905806E-2</v>
      </c>
      <c r="E13598" s="224" t="s">
        <v>2</v>
      </c>
      <c r="F13598" s="515" t="s">
        <v>14784</v>
      </c>
      <c r="G13598" s="52">
        <v>174770.99921450301</v>
      </c>
      <c r="H13598" s="56">
        <v>0.11621956840384361</v>
      </c>
      <c r="I13598" s="224" t="s">
        <v>2</v>
      </c>
    </row>
    <row r="13599" spans="1:9" x14ac:dyDescent="0.25">
      <c r="A13599" s="515">
        <v>37705</v>
      </c>
      <c r="B13599" s="515" t="s">
        <v>907</v>
      </c>
      <c r="C13599" s="52">
        <v>334657.91835615999</v>
      </c>
      <c r="D13599" s="56">
        <v>5.7054154118691996E-2</v>
      </c>
      <c r="E13599" s="224" t="s">
        <v>2</v>
      </c>
      <c r="F13599" s="515" t="s">
        <v>14785</v>
      </c>
      <c r="G13599" s="52">
        <v>208114.38681403801</v>
      </c>
      <c r="H13599" s="56">
        <v>0.245615538075631</v>
      </c>
      <c r="I13599" s="224" t="s">
        <v>2</v>
      </c>
    </row>
    <row r="13600" spans="1:9" x14ac:dyDescent="0.25">
      <c r="A13600" s="515">
        <v>46928</v>
      </c>
      <c r="B13600" s="515" t="s">
        <v>472</v>
      </c>
      <c r="C13600" s="52">
        <v>132192.608245321</v>
      </c>
      <c r="D13600" s="56">
        <v>5.1367606668907363E-2</v>
      </c>
      <c r="E13600" s="224" t="s">
        <v>2</v>
      </c>
      <c r="F13600" s="515" t="s">
        <v>14786</v>
      </c>
      <c r="G13600" s="52">
        <v>144902.26756534999</v>
      </c>
      <c r="H13600" s="56">
        <v>0.12377376102707806</v>
      </c>
      <c r="I13600" s="224" t="s">
        <v>2</v>
      </c>
    </row>
    <row r="13601" spans="1:9" x14ac:dyDescent="0.25">
      <c r="A13601" s="515">
        <v>45614</v>
      </c>
      <c r="B13601" s="515" t="s">
        <v>445</v>
      </c>
      <c r="C13601" s="52">
        <v>143680.11781634</v>
      </c>
      <c r="D13601" s="56">
        <v>9.273769201253014E-2</v>
      </c>
      <c r="E13601" s="224" t="s">
        <v>2</v>
      </c>
      <c r="F13601" s="515" t="s">
        <v>12251</v>
      </c>
      <c r="G13601" s="52">
        <v>218810.55469889499</v>
      </c>
      <c r="H13601" s="56">
        <v>5.7239940268653589E-2</v>
      </c>
      <c r="I13601" s="224" t="s">
        <v>2</v>
      </c>
    </row>
    <row r="13602" spans="1:9" x14ac:dyDescent="0.25">
      <c r="A13602" s="515">
        <v>75709</v>
      </c>
      <c r="B13602" s="515" t="s">
        <v>1157</v>
      </c>
      <c r="C13602" s="52">
        <v>252180.661100442</v>
      </c>
      <c r="D13602" s="56">
        <v>7.7273125696655315E-2</v>
      </c>
      <c r="E13602" s="224" t="s">
        <v>2</v>
      </c>
      <c r="F13602" s="515" t="s">
        <v>14787</v>
      </c>
      <c r="G13602" s="52">
        <v>276702.86402266199</v>
      </c>
      <c r="H13602" s="56">
        <v>0</v>
      </c>
      <c r="I13602" s="224" t="s">
        <v>2</v>
      </c>
    </row>
    <row r="13603" spans="1:9" x14ac:dyDescent="0.25">
      <c r="A13603" s="515">
        <v>5672</v>
      </c>
      <c r="C13603" s="52">
        <v>789104.77402957203</v>
      </c>
      <c r="D13603" s="56">
        <v>8.8674924392361409E-2</v>
      </c>
      <c r="E13603" s="224" t="s">
        <v>2</v>
      </c>
      <c r="F13603" s="515" t="s">
        <v>14788</v>
      </c>
      <c r="G13603" s="52">
        <v>254108.59131081501</v>
      </c>
      <c r="H13603" s="56">
        <v>9.4806665150354949E-2</v>
      </c>
      <c r="I13603" s="224" t="s">
        <v>2</v>
      </c>
    </row>
    <row r="13604" spans="1:9" x14ac:dyDescent="0.25">
      <c r="A13604" s="515">
        <v>4042</v>
      </c>
      <c r="B13604" s="515" t="s">
        <v>570</v>
      </c>
      <c r="C13604" s="52">
        <v>352635.00583554001</v>
      </c>
      <c r="D13604" s="56">
        <v>4.8467238375188341E-2</v>
      </c>
      <c r="E13604" s="224" t="s">
        <v>2</v>
      </c>
      <c r="F13604" s="515" t="s">
        <v>14789</v>
      </c>
      <c r="G13604" s="52">
        <v>322587.48334125202</v>
      </c>
      <c r="H13604" s="56">
        <v>5.5117940966640494E-2</v>
      </c>
      <c r="I13604" s="224" t="s">
        <v>2</v>
      </c>
    </row>
    <row r="13605" spans="1:9" x14ac:dyDescent="0.25">
      <c r="A13605" s="515">
        <v>32431</v>
      </c>
      <c r="C13605" s="52">
        <v>177875.34004549499</v>
      </c>
      <c r="D13605" s="56">
        <v>0.15818462666085695</v>
      </c>
      <c r="E13605" s="224" t="s">
        <v>2</v>
      </c>
      <c r="F13605" s="515" t="s">
        <v>14790</v>
      </c>
      <c r="G13605" s="52">
        <v>374611.35095435701</v>
      </c>
      <c r="H13605" s="56">
        <v>0.10397809024138535</v>
      </c>
      <c r="I13605" s="224" t="s">
        <v>2</v>
      </c>
    </row>
    <row r="13606" spans="1:9" x14ac:dyDescent="0.25">
      <c r="A13606" s="515">
        <v>38363</v>
      </c>
      <c r="C13606" s="52">
        <v>123461.57115253599</v>
      </c>
      <c r="D13606" s="56">
        <v>5.1769471419703721E-2</v>
      </c>
      <c r="E13606" s="224" t="s">
        <v>2</v>
      </c>
      <c r="F13606" s="515" t="s">
        <v>14791</v>
      </c>
      <c r="G13606" s="52">
        <v>351728.95953658602</v>
      </c>
      <c r="H13606" s="56">
        <v>1.9800782008290288E-2</v>
      </c>
      <c r="I13606" s="224" t="s">
        <v>2</v>
      </c>
    </row>
    <row r="13607" spans="1:9" x14ac:dyDescent="0.25">
      <c r="A13607" s="515">
        <v>52361</v>
      </c>
      <c r="C13607" s="52">
        <v>229778.5372857</v>
      </c>
      <c r="D13607" s="56">
        <v>0.1187603321474907</v>
      </c>
      <c r="E13607" s="224" t="s">
        <v>2</v>
      </c>
      <c r="F13607" s="515" t="s">
        <v>14792</v>
      </c>
      <c r="G13607" s="52">
        <v>119151.533795871</v>
      </c>
      <c r="H13607" s="56">
        <v>0.15739282690658332</v>
      </c>
      <c r="I13607" s="224" t="s">
        <v>2</v>
      </c>
    </row>
    <row r="13608" spans="1:9" x14ac:dyDescent="0.25">
      <c r="A13608" s="515">
        <v>37687</v>
      </c>
      <c r="B13608" s="515" t="s">
        <v>988</v>
      </c>
      <c r="C13608" s="52">
        <v>193632.10829484701</v>
      </c>
      <c r="D13608" s="56">
        <v>9.5759450116262301E-2</v>
      </c>
      <c r="E13608" s="224" t="s">
        <v>2</v>
      </c>
      <c r="F13608" s="515" t="s">
        <v>14793</v>
      </c>
      <c r="G13608" s="52">
        <v>433542.03938344802</v>
      </c>
      <c r="H13608" s="56">
        <v>8.8004631982290332E-2</v>
      </c>
      <c r="I13608" s="224" t="s">
        <v>2</v>
      </c>
    </row>
    <row r="13609" spans="1:9" x14ac:dyDescent="0.25">
      <c r="A13609" s="515">
        <v>40828</v>
      </c>
      <c r="C13609" s="52">
        <v>55065.6093206445</v>
      </c>
      <c r="D13609" s="56">
        <v>0.21568705329785237</v>
      </c>
      <c r="E13609" s="224" t="s">
        <v>2</v>
      </c>
      <c r="F13609" s="515" t="s">
        <v>14794</v>
      </c>
      <c r="G13609" s="52">
        <v>289607.72132962698</v>
      </c>
      <c r="H13609" s="56">
        <v>2.4096864416728071E-2</v>
      </c>
      <c r="I13609" s="224" t="s">
        <v>2</v>
      </c>
    </row>
    <row r="13610" spans="1:9" x14ac:dyDescent="0.25">
      <c r="A13610" s="515">
        <v>15323</v>
      </c>
      <c r="B13610" s="515" t="s">
        <v>297</v>
      </c>
      <c r="C13610" s="52">
        <v>185615.592477005</v>
      </c>
      <c r="D13610" s="56">
        <v>9.4109692155816979E-2</v>
      </c>
      <c r="E13610" s="224" t="s">
        <v>2</v>
      </c>
      <c r="F13610" s="515" t="s">
        <v>14795</v>
      </c>
      <c r="G13610" s="52">
        <v>80233.105025541605</v>
      </c>
      <c r="H13610" s="56">
        <v>5.2156482385050711E-2</v>
      </c>
      <c r="I13610" s="224" t="s">
        <v>2</v>
      </c>
    </row>
    <row r="13611" spans="1:9" x14ac:dyDescent="0.25">
      <c r="A13611" s="515">
        <v>2738</v>
      </c>
      <c r="B13611" s="515" t="s">
        <v>534</v>
      </c>
      <c r="C13611" s="52">
        <v>671730.77743051597</v>
      </c>
      <c r="D13611" s="56">
        <v>8.6547271400107109E-2</v>
      </c>
      <c r="E13611" s="224" t="s">
        <v>2</v>
      </c>
      <c r="F13611" s="515" t="s">
        <v>14796</v>
      </c>
      <c r="G13611" s="52"/>
      <c r="H13611" s="56">
        <v>0</v>
      </c>
      <c r="I13611" s="224" t="s">
        <v>2</v>
      </c>
    </row>
    <row r="13612" spans="1:9" x14ac:dyDescent="0.25">
      <c r="A13612" s="515">
        <v>45252</v>
      </c>
      <c r="B13612" s="515" t="s">
        <v>344</v>
      </c>
      <c r="C13612" s="52">
        <v>265825.97481564502</v>
      </c>
      <c r="D13612" s="56">
        <v>4.414617362910566E-2</v>
      </c>
      <c r="E13612" s="224" t="s">
        <v>2</v>
      </c>
      <c r="F13612" s="515" t="s">
        <v>14797</v>
      </c>
      <c r="G13612" s="52">
        <v>104912.00146848</v>
      </c>
      <c r="H13612" s="56">
        <v>2.9579666951057722E-3</v>
      </c>
      <c r="I13612" s="224" t="s">
        <v>2</v>
      </c>
    </row>
    <row r="13613" spans="1:9" x14ac:dyDescent="0.25">
      <c r="A13613" s="515">
        <v>48893</v>
      </c>
      <c r="B13613" s="515" t="s">
        <v>1076</v>
      </c>
      <c r="C13613" s="52">
        <v>167790.04376900999</v>
      </c>
      <c r="D13613" s="56">
        <v>3.3229370568775687E-2</v>
      </c>
      <c r="E13613" s="224" t="s">
        <v>2</v>
      </c>
      <c r="F13613" s="515" t="s">
        <v>14798</v>
      </c>
      <c r="G13613" s="52">
        <v>257038.74179703399</v>
      </c>
      <c r="H13613" s="56">
        <v>7.2349333403312607E-2</v>
      </c>
      <c r="I13613" s="224" t="s">
        <v>2</v>
      </c>
    </row>
    <row r="13614" spans="1:9" x14ac:dyDescent="0.25">
      <c r="A13614" s="515">
        <v>2539</v>
      </c>
      <c r="B13614" s="515" t="s">
        <v>325</v>
      </c>
      <c r="C13614" s="52">
        <v>1722886.6005386601</v>
      </c>
      <c r="D13614" s="56">
        <v>0.12452539402056957</v>
      </c>
      <c r="E13614" s="224" t="s">
        <v>2</v>
      </c>
      <c r="F13614" s="515" t="s">
        <v>14799</v>
      </c>
      <c r="G13614" s="52">
        <v>178531.87404045099</v>
      </c>
      <c r="H13614" s="56">
        <v>7.4871215160850324E-2</v>
      </c>
      <c r="I13614" s="224" t="s">
        <v>2</v>
      </c>
    </row>
    <row r="13615" spans="1:9" x14ac:dyDescent="0.25">
      <c r="A13615" s="515">
        <v>40419</v>
      </c>
      <c r="B13615" s="515" t="s">
        <v>1015</v>
      </c>
      <c r="C13615" s="52">
        <v>137839.84673001201</v>
      </c>
      <c r="D13615" s="56">
        <v>0.21346960204301399</v>
      </c>
      <c r="E13615" s="224" t="s">
        <v>2</v>
      </c>
      <c r="F13615" s="515" t="s">
        <v>14800</v>
      </c>
      <c r="G13615" s="52">
        <v>135962.25231373499</v>
      </c>
      <c r="H13615" s="56">
        <v>-9.4794118448059378E-2</v>
      </c>
      <c r="I13615" s="224" t="s">
        <v>2</v>
      </c>
    </row>
    <row r="13616" spans="1:9" x14ac:dyDescent="0.25">
      <c r="A13616" s="515">
        <v>41240</v>
      </c>
      <c r="C13616" s="52">
        <v>116797.44644812</v>
      </c>
      <c r="D13616" s="56">
        <v>0.11032691302592661</v>
      </c>
      <c r="E13616" s="224" t="s">
        <v>2</v>
      </c>
      <c r="F13616" s="515" t="s">
        <v>14801</v>
      </c>
      <c r="G13616" s="52">
        <v>207050.19819819799</v>
      </c>
      <c r="H13616" s="56">
        <v>0</v>
      </c>
      <c r="I13616" s="224" t="s">
        <v>2</v>
      </c>
    </row>
    <row r="13617" spans="1:9" x14ac:dyDescent="0.25">
      <c r="A13617" s="515">
        <v>81328</v>
      </c>
      <c r="C13617" s="52">
        <v>425066.12297003297</v>
      </c>
      <c r="D13617" s="56">
        <v>7.7027559844589033E-2</v>
      </c>
      <c r="E13617" s="224" t="s">
        <v>2</v>
      </c>
      <c r="F13617" s="515" t="s">
        <v>14802</v>
      </c>
      <c r="G13617" s="52">
        <v>283085.69544500503</v>
      </c>
      <c r="H13617" s="56">
        <v>8.0324567525032031E-2</v>
      </c>
      <c r="I13617" s="224" t="s">
        <v>2</v>
      </c>
    </row>
    <row r="13618" spans="1:9" x14ac:dyDescent="0.25">
      <c r="A13618" s="515">
        <v>54940</v>
      </c>
      <c r="C13618" s="52">
        <v>269270.39380171598</v>
      </c>
      <c r="D13618" s="56">
        <v>6.5920179246940963E-2</v>
      </c>
      <c r="E13618" s="224" t="s">
        <v>2</v>
      </c>
      <c r="F13618" s="515" t="s">
        <v>14803</v>
      </c>
      <c r="G13618" s="52">
        <v>400359.20910743898</v>
      </c>
      <c r="H13618" s="56">
        <v>3.207646967166821E-2</v>
      </c>
      <c r="I13618" s="224" t="s">
        <v>2</v>
      </c>
    </row>
    <row r="13619" spans="1:9" x14ac:dyDescent="0.25">
      <c r="A13619" s="515">
        <v>36612</v>
      </c>
      <c r="B13619" s="515" t="s">
        <v>815</v>
      </c>
      <c r="C13619" s="52">
        <v>43638.979089636203</v>
      </c>
      <c r="D13619" s="56">
        <v>7.0711983295301137E-2</v>
      </c>
      <c r="E13619" s="224" t="s">
        <v>2</v>
      </c>
      <c r="F13619" s="515" t="s">
        <v>14804</v>
      </c>
      <c r="G13619" s="52">
        <v>573891.323239772</v>
      </c>
      <c r="H13619" s="56">
        <v>8.021857256738732E-2</v>
      </c>
      <c r="I13619" s="224" t="s">
        <v>2</v>
      </c>
    </row>
    <row r="13620" spans="1:9" x14ac:dyDescent="0.25">
      <c r="A13620" s="515">
        <v>10963</v>
      </c>
      <c r="B13620" s="515" t="s">
        <v>529</v>
      </c>
      <c r="C13620" s="52">
        <v>350782.38861438498</v>
      </c>
      <c r="D13620" s="56">
        <v>8.7972340286153819E-2</v>
      </c>
      <c r="E13620" s="224" t="s">
        <v>2</v>
      </c>
      <c r="F13620" s="515" t="s">
        <v>14805</v>
      </c>
      <c r="G13620" s="52">
        <v>226553.806584039</v>
      </c>
      <c r="H13620" s="56">
        <v>7.9580930340825889E-2</v>
      </c>
      <c r="I13620" s="224">
        <v>1264</v>
      </c>
    </row>
    <row r="13621" spans="1:9" x14ac:dyDescent="0.25">
      <c r="A13621" s="515">
        <v>97032</v>
      </c>
      <c r="B13621" s="515" t="s">
        <v>416</v>
      </c>
      <c r="C13621" s="52">
        <v>463707.80378496199</v>
      </c>
      <c r="D13621" s="56">
        <v>4.6897757483814258E-2</v>
      </c>
      <c r="E13621" s="224" t="s">
        <v>2</v>
      </c>
      <c r="F13621" s="515" t="s">
        <v>14806</v>
      </c>
      <c r="G13621" s="52">
        <v>179072.17337208401</v>
      </c>
      <c r="H13621" s="56">
        <v>0.10229193806672492</v>
      </c>
      <c r="I13621" s="224" t="s">
        <v>2</v>
      </c>
    </row>
    <row r="13622" spans="1:9" x14ac:dyDescent="0.25">
      <c r="A13622" s="515">
        <v>79014</v>
      </c>
      <c r="C13622" s="52">
        <v>144128.68577550101</v>
      </c>
      <c r="D13622" s="56">
        <v>-7.0577609363581401E-2</v>
      </c>
      <c r="E13622" s="224" t="s">
        <v>2</v>
      </c>
      <c r="F13622" s="515" t="s">
        <v>14807</v>
      </c>
      <c r="G13622" s="52">
        <v>324644.77324466797</v>
      </c>
      <c r="H13622" s="56">
        <v>4.1974267719025765E-2</v>
      </c>
      <c r="I13622" s="224" t="s">
        <v>2</v>
      </c>
    </row>
    <row r="13623" spans="1:9" x14ac:dyDescent="0.25">
      <c r="A13623" s="515">
        <v>36521</v>
      </c>
      <c r="B13623" s="515" t="s">
        <v>815</v>
      </c>
      <c r="C13623" s="52">
        <v>198970.947879885</v>
      </c>
      <c r="D13623" s="56">
        <v>8.3177222878160942E-2</v>
      </c>
      <c r="E13623" s="224" t="s">
        <v>2</v>
      </c>
      <c r="F13623" s="515" t="s">
        <v>14808</v>
      </c>
      <c r="G13623" s="52">
        <v>195031.099295661</v>
      </c>
      <c r="H13623" s="56">
        <v>0.10794310976231006</v>
      </c>
      <c r="I13623" s="224" t="s">
        <v>2</v>
      </c>
    </row>
    <row r="13624" spans="1:9" x14ac:dyDescent="0.25">
      <c r="A13624" s="515">
        <v>80807</v>
      </c>
      <c r="C13624" s="52">
        <v>238326.132372739</v>
      </c>
      <c r="D13624" s="56">
        <v>0.10285617268451161</v>
      </c>
      <c r="E13624" s="224" t="s">
        <v>2</v>
      </c>
      <c r="F13624" s="515" t="s">
        <v>14809</v>
      </c>
      <c r="G13624" s="52">
        <v>526204.57520326006</v>
      </c>
      <c r="H13624" s="56">
        <v>4.342898277904292E-3</v>
      </c>
      <c r="I13624" s="224" t="s">
        <v>2</v>
      </c>
    </row>
    <row r="13625" spans="1:9" x14ac:dyDescent="0.25">
      <c r="A13625" s="515">
        <v>11568</v>
      </c>
      <c r="B13625" s="515" t="s">
        <v>324</v>
      </c>
      <c r="C13625" s="52">
        <v>2300556.6768949698</v>
      </c>
      <c r="D13625" s="56">
        <v>8.1381313201608893E-2</v>
      </c>
      <c r="E13625" s="224" t="s">
        <v>2</v>
      </c>
      <c r="F13625" s="515" t="s">
        <v>14810</v>
      </c>
      <c r="G13625" s="52">
        <v>191873.843280998</v>
      </c>
      <c r="H13625" s="56">
        <v>8.0698549609957773E-2</v>
      </c>
      <c r="I13625" s="224" t="s">
        <v>2</v>
      </c>
    </row>
    <row r="13626" spans="1:9" x14ac:dyDescent="0.25">
      <c r="A13626" s="515">
        <v>29718</v>
      </c>
      <c r="C13626" s="52">
        <v>132658.17220033801</v>
      </c>
      <c r="D13626" s="56">
        <v>9.0382195647675259E-2</v>
      </c>
      <c r="E13626" s="224" t="s">
        <v>2</v>
      </c>
      <c r="F13626" s="515" t="s">
        <v>14811</v>
      </c>
      <c r="G13626" s="52">
        <v>117981.846614799</v>
      </c>
      <c r="H13626" s="56">
        <v>-2.2823406631793997E-2</v>
      </c>
      <c r="I13626" s="224" t="s">
        <v>2</v>
      </c>
    </row>
    <row r="13627" spans="1:9" x14ac:dyDescent="0.25">
      <c r="A13627" s="515">
        <v>12522</v>
      </c>
      <c r="B13627" s="515" t="s">
        <v>529</v>
      </c>
      <c r="C13627" s="52">
        <v>346329.81577723502</v>
      </c>
      <c r="D13627" s="56">
        <v>7.7571723557036426E-2</v>
      </c>
      <c r="E13627" s="224" t="s">
        <v>2</v>
      </c>
      <c r="F13627" s="515" t="s">
        <v>14812</v>
      </c>
      <c r="G13627" s="52">
        <v>156556.80541668399</v>
      </c>
      <c r="H13627" s="56">
        <v>0.11108535197087434</v>
      </c>
      <c r="I13627" s="224" t="s">
        <v>2</v>
      </c>
    </row>
    <row r="13628" spans="1:9" x14ac:dyDescent="0.25">
      <c r="A13628" s="515">
        <v>14512</v>
      </c>
      <c r="B13628" s="515" t="s">
        <v>337</v>
      </c>
      <c r="C13628" s="52">
        <v>222200.62228636999</v>
      </c>
      <c r="D13628" s="56">
        <v>0.13314742787066189</v>
      </c>
      <c r="E13628" s="224" t="s">
        <v>2</v>
      </c>
      <c r="F13628" s="515" t="s">
        <v>14813</v>
      </c>
      <c r="G13628" s="52">
        <v>240544.332275269</v>
      </c>
      <c r="H13628" s="56">
        <v>6.6413509715378169E-2</v>
      </c>
      <c r="I13628" s="224" t="s">
        <v>2</v>
      </c>
    </row>
    <row r="13629" spans="1:9" x14ac:dyDescent="0.25">
      <c r="A13629" s="515">
        <v>13637</v>
      </c>
      <c r="B13629" s="515" t="s">
        <v>431</v>
      </c>
      <c r="C13629" s="52">
        <v>210243.661241136</v>
      </c>
      <c r="D13629" s="56">
        <v>3.4962063147299847E-2</v>
      </c>
      <c r="E13629" s="224" t="s">
        <v>2</v>
      </c>
      <c r="F13629" s="515" t="s">
        <v>14814</v>
      </c>
      <c r="G13629" s="52">
        <v>425651.53498968697</v>
      </c>
      <c r="H13629" s="56">
        <v>2.8531970876162164E-2</v>
      </c>
      <c r="I13629" s="224" t="s">
        <v>2</v>
      </c>
    </row>
    <row r="13630" spans="1:9" x14ac:dyDescent="0.25">
      <c r="A13630" s="515">
        <v>75691</v>
      </c>
      <c r="B13630" s="515" t="s">
        <v>319</v>
      </c>
      <c r="C13630" s="52">
        <v>220807.0990057</v>
      </c>
      <c r="D13630" s="56">
        <v>7.4464883868051432E-2</v>
      </c>
      <c r="E13630" s="224" t="s">
        <v>2</v>
      </c>
      <c r="F13630" s="515" t="s">
        <v>14815</v>
      </c>
      <c r="G13630" s="52">
        <v>138306.468425525</v>
      </c>
      <c r="H13630" s="56">
        <v>0.10167511956376062</v>
      </c>
      <c r="I13630" s="224" t="s">
        <v>2</v>
      </c>
    </row>
    <row r="13631" spans="1:9" x14ac:dyDescent="0.25">
      <c r="A13631" s="515">
        <v>64150</v>
      </c>
      <c r="B13631" s="515" t="s">
        <v>455</v>
      </c>
      <c r="C13631" s="52">
        <v>360187.24072048202</v>
      </c>
      <c r="D13631" s="56">
        <v>5.5348969479722336E-2</v>
      </c>
      <c r="E13631" s="224" t="s">
        <v>2</v>
      </c>
      <c r="F13631" s="515" t="s">
        <v>14816</v>
      </c>
      <c r="G13631" s="52">
        <v>143132.014510715</v>
      </c>
      <c r="H13631" s="56">
        <v>0.1775920785052458</v>
      </c>
      <c r="I13631" s="224" t="s">
        <v>2</v>
      </c>
    </row>
    <row r="13632" spans="1:9" x14ac:dyDescent="0.25">
      <c r="A13632" s="515">
        <v>78947</v>
      </c>
      <c r="C13632" s="52">
        <v>368810.67418417998</v>
      </c>
      <c r="D13632" s="56">
        <v>5.267089817023838E-2</v>
      </c>
      <c r="E13632" s="224" t="s">
        <v>2</v>
      </c>
      <c r="F13632" s="515" t="s">
        <v>14817</v>
      </c>
      <c r="G13632" s="52">
        <v>347014.50442303898</v>
      </c>
      <c r="H13632" s="56">
        <v>6.8125291731523832E-2</v>
      </c>
      <c r="I13632" s="224" t="s">
        <v>2</v>
      </c>
    </row>
    <row r="13633" spans="1:9" x14ac:dyDescent="0.25">
      <c r="A13633" s="515">
        <v>30104</v>
      </c>
      <c r="B13633" s="515" t="s">
        <v>1179</v>
      </c>
      <c r="C13633" s="52">
        <v>187178.09935648201</v>
      </c>
      <c r="D13633" s="56">
        <v>0.16054711879625536</v>
      </c>
      <c r="E13633" s="224" t="s">
        <v>2</v>
      </c>
      <c r="F13633" s="515" t="s">
        <v>14818</v>
      </c>
      <c r="G13633" s="52">
        <v>233547.85155074199</v>
      </c>
      <c r="H13633" s="56">
        <v>0</v>
      </c>
      <c r="I13633" s="224" t="s">
        <v>2</v>
      </c>
    </row>
    <row r="13634" spans="1:9" x14ac:dyDescent="0.25">
      <c r="A13634" s="515">
        <v>63353</v>
      </c>
      <c r="C13634" s="52">
        <v>110601.602070943</v>
      </c>
      <c r="D13634" s="56">
        <v>5.1649153499638625E-2</v>
      </c>
      <c r="E13634" s="224" t="s">
        <v>2</v>
      </c>
      <c r="F13634" s="515" t="s">
        <v>14819</v>
      </c>
      <c r="G13634" s="52">
        <v>176086.78640916001</v>
      </c>
      <c r="H13634" s="56">
        <v>8.5745790638309533E-2</v>
      </c>
      <c r="I13634" s="224" t="s">
        <v>2</v>
      </c>
    </row>
    <row r="13635" spans="1:9" x14ac:dyDescent="0.25">
      <c r="A13635" s="515">
        <v>61568</v>
      </c>
      <c r="B13635" s="515" t="s">
        <v>303</v>
      </c>
      <c r="C13635" s="52">
        <v>202921.42902554499</v>
      </c>
      <c r="D13635" s="56">
        <v>7.0989923872926242E-2</v>
      </c>
      <c r="E13635" s="224" t="s">
        <v>2</v>
      </c>
      <c r="F13635" s="515" t="s">
        <v>14820</v>
      </c>
      <c r="G13635" s="52">
        <v>901978.833387797</v>
      </c>
      <c r="H13635" s="56">
        <v>1.2161561962937198E-2</v>
      </c>
      <c r="I13635" s="224" t="s">
        <v>2</v>
      </c>
    </row>
    <row r="13636" spans="1:9" x14ac:dyDescent="0.25">
      <c r="A13636" s="515">
        <v>18240</v>
      </c>
      <c r="B13636" s="515" t="s">
        <v>327</v>
      </c>
      <c r="C13636" s="52">
        <v>171788.549718522</v>
      </c>
      <c r="D13636" s="56">
        <v>0.11399419468927009</v>
      </c>
      <c r="E13636" s="224" t="s">
        <v>2</v>
      </c>
      <c r="F13636" s="515" t="s">
        <v>14821</v>
      </c>
      <c r="G13636" s="52">
        <v>118371.360133251</v>
      </c>
      <c r="H13636" s="56">
        <v>-4.4108658458224481E-2</v>
      </c>
      <c r="I13636" s="224" t="s">
        <v>2</v>
      </c>
    </row>
    <row r="13637" spans="1:9" x14ac:dyDescent="0.25">
      <c r="A13637" s="515">
        <v>43793</v>
      </c>
      <c r="C13637" s="52">
        <v>116992.885294669</v>
      </c>
      <c r="D13637" s="56">
        <v>1.1232874938090038E-2</v>
      </c>
      <c r="E13637" s="224" t="s">
        <v>2</v>
      </c>
      <c r="F13637" s="515" t="s">
        <v>14822</v>
      </c>
      <c r="G13637" s="52">
        <v>116068.984855205</v>
      </c>
      <c r="H13637" s="56">
        <v>0</v>
      </c>
      <c r="I13637" s="224" t="s">
        <v>2</v>
      </c>
    </row>
    <row r="13638" spans="1:9" x14ac:dyDescent="0.25">
      <c r="A13638" s="515">
        <v>53588</v>
      </c>
      <c r="B13638" s="515" t="s">
        <v>916</v>
      </c>
      <c r="C13638" s="52">
        <v>285655.795806079</v>
      </c>
      <c r="D13638" s="56">
        <v>6.4958178000741579E-2</v>
      </c>
      <c r="E13638" s="224" t="s">
        <v>2</v>
      </c>
      <c r="F13638" s="515" t="s">
        <v>14823</v>
      </c>
      <c r="G13638" s="52">
        <v>142108.095315916</v>
      </c>
      <c r="H13638" s="56">
        <v>0.132995865750034</v>
      </c>
      <c r="I13638" s="224" t="s">
        <v>2</v>
      </c>
    </row>
    <row r="13639" spans="1:9" x14ac:dyDescent="0.25">
      <c r="A13639" s="515">
        <v>16229</v>
      </c>
      <c r="B13639" s="515" t="s">
        <v>297</v>
      </c>
      <c r="C13639" s="52">
        <v>184856.93397644599</v>
      </c>
      <c r="D13639" s="56">
        <v>8.0852563168661226E-2</v>
      </c>
      <c r="E13639" s="224" t="s">
        <v>2</v>
      </c>
      <c r="F13639" s="515" t="s">
        <v>14824</v>
      </c>
      <c r="G13639" s="52">
        <v>161889.08423977101</v>
      </c>
      <c r="H13639" s="56">
        <v>9.0456456611757469E-2</v>
      </c>
      <c r="I13639" s="224" t="s">
        <v>2</v>
      </c>
    </row>
    <row r="13640" spans="1:9" x14ac:dyDescent="0.25">
      <c r="A13640" s="515">
        <v>37150</v>
      </c>
      <c r="B13640" s="515" t="s">
        <v>684</v>
      </c>
      <c r="C13640" s="52">
        <v>150363.208134769</v>
      </c>
      <c r="D13640" s="56">
        <v>2.9527625238484196E-2</v>
      </c>
      <c r="E13640" s="224" t="s">
        <v>2</v>
      </c>
      <c r="F13640" s="515" t="s">
        <v>14825</v>
      </c>
      <c r="G13640" s="52">
        <v>143558.73021083599</v>
      </c>
      <c r="H13640" s="56">
        <v>2.1710909259125406E-2</v>
      </c>
      <c r="I13640" s="224" t="s">
        <v>2</v>
      </c>
    </row>
    <row r="13641" spans="1:9" x14ac:dyDescent="0.25">
      <c r="A13641" s="515">
        <v>25053</v>
      </c>
      <c r="B13641" s="515" t="s">
        <v>322</v>
      </c>
      <c r="C13641" s="52">
        <v>99158.951588230499</v>
      </c>
      <c r="D13641" s="56">
        <v>2.6217114898510561E-2</v>
      </c>
      <c r="E13641" s="224" t="s">
        <v>2</v>
      </c>
      <c r="F13641" s="515" t="s">
        <v>14826</v>
      </c>
      <c r="G13641" s="52">
        <v>103022.046875</v>
      </c>
      <c r="H13641" s="56">
        <v>0</v>
      </c>
      <c r="I13641" s="224" t="s">
        <v>2</v>
      </c>
    </row>
    <row r="13642" spans="1:9" x14ac:dyDescent="0.25">
      <c r="A13642" s="515">
        <v>65689</v>
      </c>
      <c r="C13642" s="52">
        <v>156290.490854806</v>
      </c>
      <c r="D13642" s="56">
        <v>9.7351263487737774E-2</v>
      </c>
      <c r="E13642" s="224" t="s">
        <v>2</v>
      </c>
      <c r="F13642" s="515" t="s">
        <v>14827</v>
      </c>
      <c r="G13642" s="52">
        <v>600703.74645622796</v>
      </c>
      <c r="H13642" s="56">
        <v>0.10839753063579942</v>
      </c>
      <c r="I13642" s="224" t="s">
        <v>2</v>
      </c>
    </row>
    <row r="13643" spans="1:9" x14ac:dyDescent="0.25">
      <c r="A13643" s="515">
        <v>13452</v>
      </c>
      <c r="B13643" s="515" t="s">
        <v>744</v>
      </c>
      <c r="C13643" s="52">
        <v>123071.129072229</v>
      </c>
      <c r="D13643" s="56">
        <v>0.13265573440755205</v>
      </c>
      <c r="E13643" s="224" t="s">
        <v>2</v>
      </c>
      <c r="F13643" s="515" t="s">
        <v>14828</v>
      </c>
      <c r="G13643" s="52">
        <v>292245.10309429799</v>
      </c>
      <c r="H13643" s="56">
        <v>5.6129483461496071E-2</v>
      </c>
      <c r="I13643" s="224" t="s">
        <v>2</v>
      </c>
    </row>
    <row r="13644" spans="1:9" x14ac:dyDescent="0.25">
      <c r="A13644" s="515">
        <v>5089</v>
      </c>
      <c r="B13644" s="515" t="s">
        <v>420</v>
      </c>
      <c r="C13644" s="52">
        <v>270627.72053887398</v>
      </c>
      <c r="D13644" s="56">
        <v>8.1791628320218801E-2</v>
      </c>
      <c r="E13644" s="224" t="s">
        <v>2</v>
      </c>
      <c r="F13644" s="515" t="s">
        <v>14829</v>
      </c>
      <c r="G13644" s="52">
        <v>366145.48845249403</v>
      </c>
      <c r="H13644" s="56">
        <v>3.5249807829573925E-2</v>
      </c>
      <c r="I13644" s="224" t="s">
        <v>2</v>
      </c>
    </row>
    <row r="13645" spans="1:9" x14ac:dyDescent="0.25">
      <c r="A13645" s="515">
        <v>23103</v>
      </c>
      <c r="B13645" s="515" t="s">
        <v>667</v>
      </c>
      <c r="C13645" s="52">
        <v>578122.20689783699</v>
      </c>
      <c r="D13645" s="56">
        <v>-6.8588667370908782E-2</v>
      </c>
      <c r="E13645" s="224" t="s">
        <v>2</v>
      </c>
      <c r="F13645" s="515" t="s">
        <v>14830</v>
      </c>
      <c r="G13645" s="52">
        <v>114511.87712607899</v>
      </c>
      <c r="H13645" s="56">
        <v>1.9432112390403281E-2</v>
      </c>
      <c r="I13645" s="224" t="s">
        <v>2</v>
      </c>
    </row>
    <row r="13646" spans="1:9" x14ac:dyDescent="0.25">
      <c r="A13646" s="515">
        <v>97119</v>
      </c>
      <c r="B13646" s="515" t="s">
        <v>659</v>
      </c>
      <c r="C13646" s="52">
        <v>584667.04589760501</v>
      </c>
      <c r="D13646" s="56">
        <v>4.0867073415507299E-2</v>
      </c>
      <c r="E13646" s="224" t="s">
        <v>2</v>
      </c>
      <c r="F13646" s="515" t="s">
        <v>14831</v>
      </c>
      <c r="G13646" s="52">
        <v>372321.10990094399</v>
      </c>
      <c r="H13646" s="56">
        <v>7.5334996125666935E-3</v>
      </c>
      <c r="I13646" s="224" t="s">
        <v>2</v>
      </c>
    </row>
    <row r="13647" spans="1:9" x14ac:dyDescent="0.25">
      <c r="A13647" s="515">
        <v>97458</v>
      </c>
      <c r="B13647" s="515" t="s">
        <v>868</v>
      </c>
      <c r="C13647" s="52">
        <v>291678.03329154401</v>
      </c>
      <c r="D13647" s="56">
        <v>3.1042052185774875E-2</v>
      </c>
      <c r="E13647" s="224" t="s">
        <v>2</v>
      </c>
      <c r="F13647" s="515" t="s">
        <v>14832</v>
      </c>
      <c r="G13647" s="52">
        <v>287644.25590230001</v>
      </c>
      <c r="H13647" s="56">
        <v>8.1594105112672635E-2</v>
      </c>
      <c r="I13647" s="224" t="s">
        <v>2</v>
      </c>
    </row>
    <row r="13648" spans="1:9" x14ac:dyDescent="0.25">
      <c r="A13648" s="515">
        <v>18635</v>
      </c>
      <c r="B13648" s="515" t="s">
        <v>676</v>
      </c>
      <c r="C13648" s="52">
        <v>186397.58191834699</v>
      </c>
      <c r="D13648" s="56">
        <v>3.8160641702158445E-2</v>
      </c>
      <c r="E13648" s="224" t="s">
        <v>2</v>
      </c>
      <c r="F13648" s="515" t="s">
        <v>14833</v>
      </c>
      <c r="G13648" s="52">
        <v>507240.85663346603</v>
      </c>
      <c r="H13648" s="56">
        <v>4.9191779606656785E-2</v>
      </c>
      <c r="I13648" s="224" t="s">
        <v>2</v>
      </c>
    </row>
    <row r="13649" spans="1:9" x14ac:dyDescent="0.25">
      <c r="A13649" s="515">
        <v>62467</v>
      </c>
      <c r="B13649" s="515" t="s">
        <v>952</v>
      </c>
      <c r="C13649" s="52">
        <v>235884.759618376</v>
      </c>
      <c r="D13649" s="56">
        <v>0.12077089364216766</v>
      </c>
      <c r="E13649" s="224" t="s">
        <v>2</v>
      </c>
      <c r="F13649" s="515" t="s">
        <v>14834</v>
      </c>
      <c r="G13649" s="52">
        <v>157545.99969432599</v>
      </c>
      <c r="H13649" s="56">
        <v>0.23243506623416155</v>
      </c>
      <c r="I13649" s="224" t="s">
        <v>2</v>
      </c>
    </row>
    <row r="13650" spans="1:9" x14ac:dyDescent="0.25">
      <c r="A13650" s="515">
        <v>55373</v>
      </c>
      <c r="B13650" s="515" t="s">
        <v>532</v>
      </c>
      <c r="C13650" s="52">
        <v>338311.61594580801</v>
      </c>
      <c r="D13650" s="56">
        <v>3.2176263474969959E-3</v>
      </c>
      <c r="E13650" s="224" t="s">
        <v>2</v>
      </c>
      <c r="F13650" s="515" t="s">
        <v>14835</v>
      </c>
      <c r="G13650" s="52">
        <v>355234.03242361598</v>
      </c>
      <c r="H13650" s="56">
        <v>9.2855355675601395E-2</v>
      </c>
      <c r="I13650" s="224" t="s">
        <v>2</v>
      </c>
    </row>
    <row r="13651" spans="1:9" x14ac:dyDescent="0.25">
      <c r="A13651" s="515">
        <v>29142</v>
      </c>
      <c r="B13651" s="515" t="s">
        <v>1036</v>
      </c>
      <c r="C13651" s="52">
        <v>191391.727888722</v>
      </c>
      <c r="D13651" s="56">
        <v>6.6959841919062166E-2</v>
      </c>
      <c r="E13651" s="224" t="s">
        <v>2</v>
      </c>
      <c r="F13651" s="515" t="s">
        <v>14836</v>
      </c>
      <c r="G13651" s="52">
        <v>149394.87219350299</v>
      </c>
      <c r="H13651" s="56">
        <v>8.5224349694544815E-2</v>
      </c>
      <c r="I13651" s="224" t="s">
        <v>2</v>
      </c>
    </row>
    <row r="13652" spans="1:9" x14ac:dyDescent="0.25">
      <c r="A13652" s="515">
        <v>22936</v>
      </c>
      <c r="B13652" s="515" t="s">
        <v>630</v>
      </c>
      <c r="C13652" s="52">
        <v>519078.22754330997</v>
      </c>
      <c r="D13652" s="56">
        <v>6.7105773849901879E-2</v>
      </c>
      <c r="E13652" s="224" t="s">
        <v>2</v>
      </c>
      <c r="F13652" s="515" t="s">
        <v>14837</v>
      </c>
      <c r="G13652" s="52">
        <v>103367.389647624</v>
      </c>
      <c r="H13652" s="56">
        <v>9.2292330944176479E-2</v>
      </c>
      <c r="I13652" s="224" t="s">
        <v>2</v>
      </c>
    </row>
    <row r="13653" spans="1:9" x14ac:dyDescent="0.25">
      <c r="A13653" s="515">
        <v>49421</v>
      </c>
      <c r="C13653" s="52">
        <v>138923.64435002499</v>
      </c>
      <c r="D13653" s="56">
        <v>7.7502728634144313E-2</v>
      </c>
      <c r="E13653" s="224" t="s">
        <v>2</v>
      </c>
      <c r="F13653" s="515" t="s">
        <v>14838</v>
      </c>
      <c r="G13653" s="52">
        <v>90229.6538461538</v>
      </c>
      <c r="H13653" s="56">
        <v>0</v>
      </c>
      <c r="I13653" s="224" t="s">
        <v>2</v>
      </c>
    </row>
    <row r="13654" spans="1:9" x14ac:dyDescent="0.25">
      <c r="A13654" s="515">
        <v>24577</v>
      </c>
      <c r="C13654" s="52">
        <v>102947.172254978</v>
      </c>
      <c r="D13654" s="56">
        <v>0.14452240248378839</v>
      </c>
      <c r="E13654" s="224" t="s">
        <v>2</v>
      </c>
      <c r="F13654" s="515" t="s">
        <v>14839</v>
      </c>
      <c r="G13654" s="52">
        <v>317130.473072197</v>
      </c>
      <c r="H13654" s="56">
        <v>0.15961052311292948</v>
      </c>
      <c r="I13654" s="224" t="s">
        <v>2</v>
      </c>
    </row>
    <row r="13655" spans="1:9" x14ac:dyDescent="0.25">
      <c r="A13655" s="515">
        <v>23124</v>
      </c>
      <c r="B13655" s="515" t="s">
        <v>667</v>
      </c>
      <c r="C13655" s="52">
        <v>376377.459578318</v>
      </c>
      <c r="D13655" s="56">
        <v>5.2399883579226023E-2</v>
      </c>
      <c r="E13655" s="224" t="s">
        <v>2</v>
      </c>
      <c r="F13655" s="515" t="s">
        <v>14840</v>
      </c>
      <c r="G13655" s="52">
        <v>183159.247657695</v>
      </c>
      <c r="H13655" s="56">
        <v>8.1435837391803503E-2</v>
      </c>
      <c r="I13655" s="224" t="s">
        <v>2</v>
      </c>
    </row>
    <row r="13656" spans="1:9" x14ac:dyDescent="0.25">
      <c r="A13656" s="515">
        <v>5477</v>
      </c>
      <c r="B13656" s="515" t="s">
        <v>441</v>
      </c>
      <c r="C13656" s="52">
        <v>407949.71354890999</v>
      </c>
      <c r="D13656" s="56">
        <v>8.1408611184770344E-2</v>
      </c>
      <c r="E13656" s="224" t="s">
        <v>2</v>
      </c>
      <c r="F13656" s="515" t="s">
        <v>14841</v>
      </c>
      <c r="G13656" s="52">
        <v>107517.83816025199</v>
      </c>
      <c r="H13656" s="56">
        <v>7.1368922075185276E-2</v>
      </c>
      <c r="I13656" s="224" t="s">
        <v>2</v>
      </c>
    </row>
    <row r="13657" spans="1:9" x14ac:dyDescent="0.25">
      <c r="A13657" s="515">
        <v>61883</v>
      </c>
      <c r="B13657" s="515" t="s">
        <v>999</v>
      </c>
      <c r="C13657" s="52">
        <v>80088.020762371394</v>
      </c>
      <c r="D13657" s="56">
        <v>6.3288765704239747E-2</v>
      </c>
      <c r="E13657" s="224" t="s">
        <v>2</v>
      </c>
      <c r="F13657" s="515" t="s">
        <v>14842</v>
      </c>
      <c r="G13657" s="52">
        <v>181863.24131462901</v>
      </c>
      <c r="H13657" s="56">
        <v>7.8178862722610543E-2</v>
      </c>
      <c r="I13657" s="224" t="s">
        <v>2</v>
      </c>
    </row>
    <row r="13658" spans="1:9" x14ac:dyDescent="0.25">
      <c r="A13658" s="515">
        <v>59741</v>
      </c>
      <c r="B13658" s="515" t="s">
        <v>561</v>
      </c>
      <c r="C13658" s="52">
        <v>582688.81534961401</v>
      </c>
      <c r="D13658" s="56">
        <v>4.2733347592842183E-2</v>
      </c>
      <c r="E13658" s="224" t="s">
        <v>2</v>
      </c>
      <c r="F13658" s="515" t="s">
        <v>14843</v>
      </c>
      <c r="G13658" s="52">
        <v>122614.624490292</v>
      </c>
      <c r="H13658" s="56">
        <v>-1.9946286666221325E-2</v>
      </c>
      <c r="I13658" s="224" t="s">
        <v>2</v>
      </c>
    </row>
    <row r="13659" spans="1:9" x14ac:dyDescent="0.25">
      <c r="A13659" s="515">
        <v>89705</v>
      </c>
      <c r="B13659" s="515" t="s">
        <v>823</v>
      </c>
      <c r="C13659" s="52">
        <v>485716.204183547</v>
      </c>
      <c r="D13659" s="56">
        <v>-5.3370375634069272E-4</v>
      </c>
      <c r="E13659" s="224" t="s">
        <v>2</v>
      </c>
      <c r="F13659" s="515" t="s">
        <v>14844</v>
      </c>
      <c r="G13659" s="52">
        <v>115387.174717535</v>
      </c>
      <c r="H13659" s="56">
        <v>8.8356375864295011E-2</v>
      </c>
      <c r="I13659" s="224" t="s">
        <v>2</v>
      </c>
    </row>
    <row r="13660" spans="1:9" x14ac:dyDescent="0.25">
      <c r="A13660" s="515">
        <v>28751</v>
      </c>
      <c r="B13660" s="515" t="s">
        <v>668</v>
      </c>
      <c r="C13660" s="52">
        <v>346119.22128729301</v>
      </c>
      <c r="D13660" s="56">
        <v>8.9851538116884636E-2</v>
      </c>
      <c r="E13660" s="224" t="s">
        <v>2</v>
      </c>
      <c r="F13660" s="515" t="s">
        <v>14845</v>
      </c>
      <c r="G13660" s="52">
        <v>76139.464522085502</v>
      </c>
      <c r="H13660" s="56">
        <v>6.5920804669165653E-2</v>
      </c>
      <c r="I13660" s="224" t="s">
        <v>2</v>
      </c>
    </row>
    <row r="13661" spans="1:9" x14ac:dyDescent="0.25">
      <c r="A13661" s="515">
        <v>88230</v>
      </c>
      <c r="B13661" s="515" t="s">
        <v>858</v>
      </c>
      <c r="C13661" s="52">
        <v>162300.97905043501</v>
      </c>
      <c r="D13661" s="56">
        <v>-0.12330117986168619</v>
      </c>
      <c r="E13661" s="224" t="s">
        <v>2</v>
      </c>
      <c r="F13661" s="515" t="s">
        <v>14846</v>
      </c>
      <c r="G13661" s="52">
        <v>134501.74693828501</v>
      </c>
      <c r="H13661" s="56">
        <v>8.6539031667501196E-2</v>
      </c>
      <c r="I13661" s="224" t="s">
        <v>2</v>
      </c>
    </row>
    <row r="13662" spans="1:9" x14ac:dyDescent="0.25">
      <c r="A13662" s="515">
        <v>31566</v>
      </c>
      <c r="B13662" s="515" t="s">
        <v>871</v>
      </c>
      <c r="C13662" s="52">
        <v>76562.812174596096</v>
      </c>
      <c r="D13662" s="56">
        <v>-1.4888866093620293E-2</v>
      </c>
      <c r="E13662" s="224" t="s">
        <v>2</v>
      </c>
      <c r="F13662" s="515" t="s">
        <v>14847</v>
      </c>
      <c r="G13662" s="52">
        <v>308777.09056771098</v>
      </c>
      <c r="H13662" s="56">
        <v>0.10905717576499337</v>
      </c>
      <c r="I13662" s="224" t="s">
        <v>2</v>
      </c>
    </row>
    <row r="13663" spans="1:9" x14ac:dyDescent="0.25">
      <c r="A13663" s="515">
        <v>18343</v>
      </c>
      <c r="B13663" s="515" t="s">
        <v>327</v>
      </c>
      <c r="C13663" s="52">
        <v>291321.18488884502</v>
      </c>
      <c r="D13663" s="56">
        <v>0.10754594727927654</v>
      </c>
      <c r="E13663" s="224" t="s">
        <v>2</v>
      </c>
      <c r="F13663" s="515" t="s">
        <v>14848</v>
      </c>
      <c r="G13663" s="52">
        <v>183774.104302224</v>
      </c>
      <c r="H13663" s="56">
        <v>0.11800706487541397</v>
      </c>
      <c r="I13663" s="224" t="s">
        <v>2</v>
      </c>
    </row>
    <row r="13664" spans="1:9" x14ac:dyDescent="0.25">
      <c r="A13664" s="515">
        <v>99122</v>
      </c>
      <c r="C13664" s="52">
        <v>343662.65797925898</v>
      </c>
      <c r="D13664" s="56">
        <v>5.3010600819638244E-2</v>
      </c>
      <c r="E13664" s="224" t="s">
        <v>2</v>
      </c>
      <c r="F13664" s="515" t="s">
        <v>14849</v>
      </c>
      <c r="G13664" s="52">
        <v>347906.54301994701</v>
      </c>
      <c r="H13664" s="56">
        <v>1.4672849209714331E-2</v>
      </c>
      <c r="I13664" s="224" t="s">
        <v>2</v>
      </c>
    </row>
    <row r="13665" spans="1:9" x14ac:dyDescent="0.25">
      <c r="A13665" s="515">
        <v>72947</v>
      </c>
      <c r="B13665" s="515" t="s">
        <v>326</v>
      </c>
      <c r="C13665" s="52">
        <v>133417.311819569</v>
      </c>
      <c r="D13665" s="56">
        <v>2.0823895404712255E-2</v>
      </c>
      <c r="E13665" s="224" t="s">
        <v>2</v>
      </c>
      <c r="F13665" s="515" t="s">
        <v>14850</v>
      </c>
      <c r="G13665" s="52">
        <v>359213.59553033998</v>
      </c>
      <c r="H13665" s="56">
        <v>1.5722751005717063E-3</v>
      </c>
      <c r="I13665" s="224" t="s">
        <v>2</v>
      </c>
    </row>
    <row r="13666" spans="1:9" x14ac:dyDescent="0.25">
      <c r="A13666" s="515">
        <v>54646</v>
      </c>
      <c r="C13666" s="52">
        <v>149612.52534949</v>
      </c>
      <c r="D13666" s="56">
        <v>5.1670225462972952E-2</v>
      </c>
      <c r="E13666" s="224" t="s">
        <v>2</v>
      </c>
      <c r="F13666" s="515" t="s">
        <v>14851</v>
      </c>
      <c r="G13666" s="52">
        <v>204127.672097387</v>
      </c>
      <c r="H13666" s="56">
        <v>4.1734160755928507E-2</v>
      </c>
      <c r="I13666" s="224" t="s">
        <v>2</v>
      </c>
    </row>
    <row r="13667" spans="1:9" x14ac:dyDescent="0.25">
      <c r="A13667" s="515">
        <v>77984</v>
      </c>
      <c r="C13667" s="52">
        <v>280696.689085986</v>
      </c>
      <c r="D13667" s="56">
        <v>4.3946279984776661E-2</v>
      </c>
      <c r="E13667" s="224" t="s">
        <v>2</v>
      </c>
      <c r="F13667" s="515" t="s">
        <v>14852</v>
      </c>
      <c r="G13667" s="52">
        <v>114356.291364169</v>
      </c>
      <c r="H13667" s="56">
        <v>8.9075303170113126E-2</v>
      </c>
      <c r="I13667" s="224" t="s">
        <v>2</v>
      </c>
    </row>
    <row r="13668" spans="1:9" x14ac:dyDescent="0.25">
      <c r="A13668" s="515">
        <v>3748</v>
      </c>
      <c r="B13668" s="515" t="s">
        <v>420</v>
      </c>
      <c r="C13668" s="52">
        <v>365015.014218483</v>
      </c>
      <c r="D13668" s="56">
        <v>0.11850613904329134</v>
      </c>
      <c r="E13668" s="224" t="s">
        <v>2</v>
      </c>
      <c r="F13668" s="515" t="s">
        <v>14853</v>
      </c>
      <c r="G13668" s="52">
        <v>154591.32923252301</v>
      </c>
      <c r="H13668" s="56">
        <v>4.712254029477269E-2</v>
      </c>
      <c r="I13668" s="224" t="s">
        <v>2</v>
      </c>
    </row>
    <row r="13669" spans="1:9" x14ac:dyDescent="0.25">
      <c r="A13669" s="515">
        <v>17018</v>
      </c>
      <c r="B13669" s="515" t="s">
        <v>428</v>
      </c>
      <c r="C13669" s="52">
        <v>233072.87410258999</v>
      </c>
      <c r="D13669" s="56">
        <v>0.10354827184876612</v>
      </c>
      <c r="E13669" s="224" t="s">
        <v>2</v>
      </c>
      <c r="F13669" s="515" t="s">
        <v>14854</v>
      </c>
      <c r="G13669" s="52">
        <v>210933.07715357401</v>
      </c>
      <c r="H13669" s="56">
        <v>0.12372145976288436</v>
      </c>
      <c r="I13669" s="224" t="s">
        <v>2</v>
      </c>
    </row>
    <row r="13670" spans="1:9" x14ac:dyDescent="0.25">
      <c r="A13670" s="515">
        <v>16833</v>
      </c>
      <c r="B13670" s="515" t="s">
        <v>876</v>
      </c>
      <c r="C13670" s="52">
        <v>102494.36037076</v>
      </c>
      <c r="D13670" s="56">
        <v>-1.2690704688678113E-2</v>
      </c>
      <c r="E13670" s="224" t="s">
        <v>2</v>
      </c>
      <c r="F13670" s="515" t="s">
        <v>14855</v>
      </c>
      <c r="G13670" s="52">
        <v>256422.659022154</v>
      </c>
      <c r="H13670" s="56">
        <v>7.0064719641972237E-2</v>
      </c>
      <c r="I13670" s="224" t="s">
        <v>2</v>
      </c>
    </row>
    <row r="13671" spans="1:9" x14ac:dyDescent="0.25">
      <c r="A13671" s="515">
        <v>15834</v>
      </c>
      <c r="C13671" s="52">
        <v>62753.237992086899</v>
      </c>
      <c r="D13671" s="56">
        <v>-2.2042182783569304E-2</v>
      </c>
      <c r="E13671" s="224" t="s">
        <v>2</v>
      </c>
      <c r="F13671" s="515" t="s">
        <v>14856</v>
      </c>
      <c r="G13671" s="52">
        <v>115684.910937379</v>
      </c>
      <c r="H13671" s="56">
        <v>-7.2432473660498611E-2</v>
      </c>
      <c r="I13671" s="224" t="s">
        <v>2</v>
      </c>
    </row>
    <row r="13672" spans="1:9" x14ac:dyDescent="0.25">
      <c r="A13672" s="515">
        <v>12531</v>
      </c>
      <c r="B13672" s="515" t="s">
        <v>529</v>
      </c>
      <c r="C13672" s="52">
        <v>429079.67860350199</v>
      </c>
      <c r="D13672" s="56">
        <v>7.2718426117920454E-2</v>
      </c>
      <c r="E13672" s="224" t="s">
        <v>2</v>
      </c>
      <c r="F13672" s="515" t="s">
        <v>14857</v>
      </c>
      <c r="G13672" s="52">
        <v>288469.10477328597</v>
      </c>
      <c r="H13672" s="56">
        <v>0.13172868847454094</v>
      </c>
      <c r="I13672" s="224" t="s">
        <v>2</v>
      </c>
    </row>
    <row r="13673" spans="1:9" x14ac:dyDescent="0.25">
      <c r="A13673" s="515">
        <v>16424</v>
      </c>
      <c r="B13673" s="515" t="s">
        <v>1042</v>
      </c>
      <c r="C13673" s="52">
        <v>108486.324195183</v>
      </c>
      <c r="D13673" s="56">
        <v>7.4561727782996412E-2</v>
      </c>
      <c r="E13673" s="224" t="s">
        <v>2</v>
      </c>
      <c r="F13673" s="515" t="s">
        <v>14858</v>
      </c>
      <c r="G13673" s="52">
        <v>75538.794550869803</v>
      </c>
      <c r="H13673" s="56">
        <v>0.35989575221077003</v>
      </c>
      <c r="I13673" s="224" t="s">
        <v>2</v>
      </c>
    </row>
    <row r="13674" spans="1:9" x14ac:dyDescent="0.25">
      <c r="A13674" s="515">
        <v>10916</v>
      </c>
      <c r="B13674" s="515" t="s">
        <v>529</v>
      </c>
      <c r="C13674" s="52">
        <v>494982.59587132599</v>
      </c>
      <c r="D13674" s="56">
        <v>9.8825278429463842E-2</v>
      </c>
      <c r="E13674" s="224" t="s">
        <v>2</v>
      </c>
      <c r="F13674" s="515" t="s">
        <v>14859</v>
      </c>
      <c r="G13674" s="52">
        <v>339748.01067506801</v>
      </c>
      <c r="H13674" s="56">
        <v>0.11173388250424664</v>
      </c>
      <c r="I13674" s="224" t="s">
        <v>2</v>
      </c>
    </row>
    <row r="13675" spans="1:9" x14ac:dyDescent="0.25">
      <c r="A13675" s="515">
        <v>47031</v>
      </c>
      <c r="C13675" s="52">
        <v>230925.66742436</v>
      </c>
      <c r="D13675" s="56">
        <v>6.3958775363781306E-2</v>
      </c>
      <c r="E13675" s="224" t="s">
        <v>2</v>
      </c>
      <c r="F13675" s="515" t="s">
        <v>14860</v>
      </c>
      <c r="G13675" s="52">
        <v>150664.695078005</v>
      </c>
      <c r="H13675" s="56">
        <v>0.11264191569084388</v>
      </c>
      <c r="I13675" s="224" t="s">
        <v>2</v>
      </c>
    </row>
    <row r="13676" spans="1:9" x14ac:dyDescent="0.25">
      <c r="A13676" s="515">
        <v>81425</v>
      </c>
      <c r="B13676" s="515" t="s">
        <v>677</v>
      </c>
      <c r="C13676" s="52">
        <v>352589.31627520599</v>
      </c>
      <c r="D13676" s="56">
        <v>5.0758140731213874E-2</v>
      </c>
      <c r="E13676" s="224" t="s">
        <v>2</v>
      </c>
      <c r="F13676" s="515" t="s">
        <v>14861</v>
      </c>
      <c r="G13676" s="52">
        <v>92300.984035180198</v>
      </c>
      <c r="H13676" s="56">
        <v>-5.2141409663775173E-2</v>
      </c>
      <c r="I13676" s="224" t="s">
        <v>2</v>
      </c>
    </row>
    <row r="13677" spans="1:9" x14ac:dyDescent="0.25">
      <c r="A13677" s="515">
        <v>49283</v>
      </c>
      <c r="B13677" s="515" t="s">
        <v>1125</v>
      </c>
      <c r="C13677" s="52">
        <v>241544.970813655</v>
      </c>
      <c r="D13677" s="56">
        <v>4.4372619223687175E-2</v>
      </c>
      <c r="E13677" s="224" t="s">
        <v>2</v>
      </c>
      <c r="F13677" s="515" t="s">
        <v>14862</v>
      </c>
      <c r="G13677" s="52">
        <v>108519.719914923</v>
      </c>
      <c r="H13677" s="56">
        <v>0.11176740602596005</v>
      </c>
      <c r="I13677" s="224" t="s">
        <v>2</v>
      </c>
    </row>
    <row r="13678" spans="1:9" x14ac:dyDescent="0.25">
      <c r="A13678" s="515">
        <v>50536</v>
      </c>
      <c r="C13678" s="52">
        <v>125726.08463748</v>
      </c>
      <c r="D13678" s="56">
        <v>2.6759798613360718E-2</v>
      </c>
      <c r="E13678" s="224" t="s">
        <v>2</v>
      </c>
      <c r="F13678" s="515" t="s">
        <v>14863</v>
      </c>
      <c r="G13678" s="52">
        <v>154179.75084106601</v>
      </c>
      <c r="H13678" s="56">
        <v>0.11320533763802795</v>
      </c>
      <c r="I13678" s="224" t="s">
        <v>2</v>
      </c>
    </row>
    <row r="13679" spans="1:9" x14ac:dyDescent="0.25">
      <c r="A13679" s="515">
        <v>37032</v>
      </c>
      <c r="B13679" s="515" t="s">
        <v>684</v>
      </c>
      <c r="C13679" s="52">
        <v>346687.75968289998</v>
      </c>
      <c r="D13679" s="56">
        <v>5.8422011745821824E-2</v>
      </c>
      <c r="E13679" s="224" t="s">
        <v>2</v>
      </c>
      <c r="F13679" s="515" t="s">
        <v>14864</v>
      </c>
      <c r="G13679" s="52">
        <v>214356.48050705699</v>
      </c>
      <c r="H13679" s="56">
        <v>7.2275131968098455E-2</v>
      </c>
      <c r="I13679" s="224" t="s">
        <v>2</v>
      </c>
    </row>
    <row r="13680" spans="1:9" x14ac:dyDescent="0.25">
      <c r="A13680" s="515">
        <v>89501</v>
      </c>
      <c r="B13680" s="515" t="s">
        <v>581</v>
      </c>
      <c r="C13680" s="52">
        <v>388244.22995224601</v>
      </c>
      <c r="D13680" s="56">
        <v>3.9147600705152212E-2</v>
      </c>
      <c r="E13680" s="224">
        <v>1524.7222222222199</v>
      </c>
      <c r="F13680" s="515" t="s">
        <v>14865</v>
      </c>
      <c r="G13680" s="52">
        <v>120894.73526025</v>
      </c>
      <c r="H13680" s="56">
        <v>0.11842931802114065</v>
      </c>
      <c r="I13680" s="224" t="s">
        <v>2</v>
      </c>
    </row>
    <row r="13681" spans="1:9" x14ac:dyDescent="0.25">
      <c r="A13681" s="515">
        <v>55972</v>
      </c>
      <c r="B13681" s="515" t="s">
        <v>875</v>
      </c>
      <c r="C13681" s="52">
        <v>292140.730009511</v>
      </c>
      <c r="D13681" s="56">
        <v>8.0232444168579026E-2</v>
      </c>
      <c r="E13681" s="224" t="s">
        <v>2</v>
      </c>
      <c r="F13681" s="515" t="s">
        <v>14866</v>
      </c>
      <c r="G13681" s="52">
        <v>415699.18206188601</v>
      </c>
      <c r="H13681" s="56">
        <v>-2.363734702391403E-3</v>
      </c>
      <c r="I13681" s="224" t="s">
        <v>2</v>
      </c>
    </row>
    <row r="13682" spans="1:9" x14ac:dyDescent="0.25">
      <c r="A13682" s="515">
        <v>93270</v>
      </c>
      <c r="B13682" s="515" t="s">
        <v>358</v>
      </c>
      <c r="C13682" s="52">
        <v>293053.37911592802</v>
      </c>
      <c r="D13682" s="56">
        <v>4.2097606627315945E-2</v>
      </c>
      <c r="E13682" s="224" t="s">
        <v>2</v>
      </c>
      <c r="F13682" s="515" t="s">
        <v>14867</v>
      </c>
      <c r="G13682" s="52">
        <v>906582.11294937099</v>
      </c>
      <c r="H13682" s="56">
        <v>1.6912406653425669E-2</v>
      </c>
      <c r="I13682" s="224" t="s">
        <v>2</v>
      </c>
    </row>
    <row r="13683" spans="1:9" x14ac:dyDescent="0.25">
      <c r="A13683" s="515">
        <v>64854</v>
      </c>
      <c r="C13683" s="52">
        <v>138422.63708682699</v>
      </c>
      <c r="D13683" s="56">
        <v>0.10605083935520207</v>
      </c>
      <c r="E13683" s="224" t="s">
        <v>2</v>
      </c>
      <c r="F13683" s="515" t="s">
        <v>14868</v>
      </c>
      <c r="G13683" s="52">
        <v>102582.52548254401</v>
      </c>
      <c r="H13683" s="56">
        <v>0.17702591789456265</v>
      </c>
      <c r="I13683" s="224" t="s">
        <v>2</v>
      </c>
    </row>
    <row r="13684" spans="1:9" x14ac:dyDescent="0.25">
      <c r="A13684" s="515">
        <v>26385</v>
      </c>
      <c r="B13684" s="515" t="s">
        <v>347</v>
      </c>
      <c r="C13684" s="52">
        <v>167910.02463350099</v>
      </c>
      <c r="D13684" s="56">
        <v>3.4738873264038357E-2</v>
      </c>
      <c r="E13684" s="224" t="s">
        <v>2</v>
      </c>
      <c r="F13684" s="515" t="s">
        <v>14869</v>
      </c>
      <c r="G13684" s="52">
        <v>178427.36752365599</v>
      </c>
      <c r="H13684" s="56">
        <v>9.7667760385899749E-2</v>
      </c>
      <c r="I13684" s="224" t="s">
        <v>2</v>
      </c>
    </row>
    <row r="13685" spans="1:9" x14ac:dyDescent="0.25">
      <c r="A13685" s="515">
        <v>17562</v>
      </c>
      <c r="B13685" s="515" t="s">
        <v>537</v>
      </c>
      <c r="C13685" s="52">
        <v>369846.46419311297</v>
      </c>
      <c r="D13685" s="56">
        <v>9.5114034085558324E-2</v>
      </c>
      <c r="E13685" s="224" t="s">
        <v>2</v>
      </c>
      <c r="F13685" s="515" t="s">
        <v>14870</v>
      </c>
      <c r="G13685" s="52">
        <v>309658.29915338702</v>
      </c>
      <c r="H13685" s="56">
        <v>9.3779437446568026E-2</v>
      </c>
      <c r="I13685" s="224" t="s">
        <v>2</v>
      </c>
    </row>
    <row r="13686" spans="1:9" x14ac:dyDescent="0.25">
      <c r="A13686" s="515">
        <v>42724</v>
      </c>
      <c r="B13686" s="515" t="s">
        <v>671</v>
      </c>
      <c r="C13686" s="52">
        <v>171309.498850284</v>
      </c>
      <c r="D13686" s="56">
        <v>0.10524554186760901</v>
      </c>
      <c r="E13686" s="224" t="s">
        <v>2</v>
      </c>
      <c r="F13686" s="515" t="s">
        <v>14871</v>
      </c>
      <c r="G13686" s="52">
        <v>144258.12258602501</v>
      </c>
      <c r="H13686" s="56">
        <v>0.10580409685980992</v>
      </c>
      <c r="I13686" s="224" t="s">
        <v>2</v>
      </c>
    </row>
    <row r="13687" spans="1:9" x14ac:dyDescent="0.25">
      <c r="A13687" s="515">
        <v>13811</v>
      </c>
      <c r="B13687" s="515" t="s">
        <v>840</v>
      </c>
      <c r="C13687" s="52">
        <v>155128.96839034499</v>
      </c>
      <c r="D13687" s="56">
        <v>6.4945930853887002E-2</v>
      </c>
      <c r="E13687" s="224" t="s">
        <v>2</v>
      </c>
      <c r="F13687" s="515" t="s">
        <v>14872</v>
      </c>
      <c r="G13687" s="52">
        <v>87951.746896113895</v>
      </c>
      <c r="H13687" s="56">
        <v>1.2423771950654626E-2</v>
      </c>
      <c r="I13687" s="224" t="s">
        <v>2</v>
      </c>
    </row>
    <row r="13688" spans="1:9" x14ac:dyDescent="0.25">
      <c r="A13688" s="515">
        <v>80642</v>
      </c>
      <c r="B13688" s="515" t="s">
        <v>382</v>
      </c>
      <c r="C13688" s="52">
        <v>645635.11521723995</v>
      </c>
      <c r="D13688" s="56">
        <v>5.3062894900094477E-2</v>
      </c>
      <c r="E13688" s="224" t="s">
        <v>2</v>
      </c>
      <c r="F13688" s="515" t="s">
        <v>14873</v>
      </c>
      <c r="G13688" s="52">
        <v>257567.438356164</v>
      </c>
      <c r="H13688" s="56">
        <v>0</v>
      </c>
      <c r="I13688" s="224" t="s">
        <v>2</v>
      </c>
    </row>
    <row r="13689" spans="1:9" x14ac:dyDescent="0.25">
      <c r="A13689" s="515">
        <v>56549</v>
      </c>
      <c r="B13689" s="515" t="s">
        <v>928</v>
      </c>
      <c r="C13689" s="52">
        <v>302535.91987156501</v>
      </c>
      <c r="D13689" s="56">
        <v>8.018799571018638E-2</v>
      </c>
      <c r="E13689" s="224" t="s">
        <v>2</v>
      </c>
      <c r="F13689" s="515" t="s">
        <v>14874</v>
      </c>
      <c r="G13689" s="52">
        <v>569962.04281918204</v>
      </c>
      <c r="H13689" s="56">
        <v>6.9230630494563974E-2</v>
      </c>
      <c r="I13689" s="224" t="s">
        <v>2</v>
      </c>
    </row>
    <row r="13690" spans="1:9" x14ac:dyDescent="0.25">
      <c r="A13690" s="515">
        <v>22853</v>
      </c>
      <c r="B13690" s="515" t="s">
        <v>1026</v>
      </c>
      <c r="C13690" s="52">
        <v>233559.73728686399</v>
      </c>
      <c r="D13690" s="56">
        <v>9.8200417629165662E-2</v>
      </c>
      <c r="E13690" s="224" t="s">
        <v>2</v>
      </c>
      <c r="F13690" s="515" t="s">
        <v>14875</v>
      </c>
      <c r="G13690" s="52">
        <v>102391.789112342</v>
      </c>
      <c r="H13690" s="56">
        <v>7.3841922681501429E-2</v>
      </c>
      <c r="I13690" s="224" t="s">
        <v>2</v>
      </c>
    </row>
    <row r="13691" spans="1:9" x14ac:dyDescent="0.25">
      <c r="A13691" s="515">
        <v>61911</v>
      </c>
      <c r="C13691" s="52">
        <v>153313.27319988</v>
      </c>
      <c r="D13691" s="56">
        <v>3.2774015764993059E-2</v>
      </c>
      <c r="E13691" s="224" t="s">
        <v>2</v>
      </c>
      <c r="F13691" s="515" t="s">
        <v>14876</v>
      </c>
      <c r="G13691" s="52">
        <v>326022.54034962301</v>
      </c>
      <c r="H13691" s="56">
        <v>0.14994515835467059</v>
      </c>
      <c r="I13691" s="224" t="s">
        <v>2</v>
      </c>
    </row>
    <row r="13692" spans="1:9" x14ac:dyDescent="0.25">
      <c r="A13692" s="515">
        <v>26253</v>
      </c>
      <c r="B13692" s="515" t="s">
        <v>586</v>
      </c>
      <c r="C13692" s="52">
        <v>144125.43770616199</v>
      </c>
      <c r="D13692" s="56">
        <v>8.1970896378091226E-2</v>
      </c>
      <c r="E13692" s="224" t="s">
        <v>2</v>
      </c>
      <c r="F13692" s="515" t="s">
        <v>14877</v>
      </c>
      <c r="G13692" s="52">
        <v>160019.78337048899</v>
      </c>
      <c r="H13692" s="56">
        <v>0</v>
      </c>
      <c r="I13692" s="224" t="s">
        <v>2</v>
      </c>
    </row>
    <row r="13693" spans="1:9" x14ac:dyDescent="0.25">
      <c r="A13693" s="515">
        <v>69138</v>
      </c>
      <c r="B13693" s="515" t="s">
        <v>680</v>
      </c>
      <c r="C13693" s="52">
        <v>169802.67910759</v>
      </c>
      <c r="D13693" s="56">
        <v>7.8927984007855834E-2</v>
      </c>
      <c r="E13693" s="224" t="s">
        <v>2</v>
      </c>
      <c r="F13693" s="515" t="s">
        <v>14878</v>
      </c>
      <c r="G13693" s="52">
        <v>367039.47604404698</v>
      </c>
      <c r="H13693" s="56">
        <v>6.5975723196007585E-2</v>
      </c>
      <c r="I13693" s="224" t="s">
        <v>2</v>
      </c>
    </row>
    <row r="13694" spans="1:9" x14ac:dyDescent="0.25">
      <c r="A13694" s="515">
        <v>42038</v>
      </c>
      <c r="C13694" s="52">
        <v>119621.80373317401</v>
      </c>
      <c r="D13694" s="56">
        <v>8.1328668884701791E-2</v>
      </c>
      <c r="E13694" s="224" t="s">
        <v>2</v>
      </c>
      <c r="F13694" s="515" t="s">
        <v>14879</v>
      </c>
      <c r="G13694" s="52">
        <v>57226.722923803703</v>
      </c>
      <c r="H13694" s="56">
        <v>-0.11700572414680607</v>
      </c>
      <c r="I13694" s="224" t="s">
        <v>2</v>
      </c>
    </row>
    <row r="13695" spans="1:9" x14ac:dyDescent="0.25">
      <c r="A13695" s="515">
        <v>75855</v>
      </c>
      <c r="C13695" s="52">
        <v>196150.50596848899</v>
      </c>
      <c r="D13695" s="56">
        <v>-5.393937899922685E-2</v>
      </c>
      <c r="E13695" s="224" t="s">
        <v>2</v>
      </c>
      <c r="F13695" s="515" t="s">
        <v>14880</v>
      </c>
      <c r="G13695" s="52">
        <v>156500.18036637799</v>
      </c>
      <c r="H13695" s="56">
        <v>8.8427434998095897E-2</v>
      </c>
      <c r="I13695" s="224" t="s">
        <v>2</v>
      </c>
    </row>
    <row r="13696" spans="1:9" x14ac:dyDescent="0.25">
      <c r="A13696" s="515">
        <v>10464</v>
      </c>
      <c r="B13696" s="515" t="s">
        <v>324</v>
      </c>
      <c r="C13696" s="52">
        <v>616819.42309943901</v>
      </c>
      <c r="D13696" s="56">
        <v>2.1873631068829134E-3</v>
      </c>
      <c r="E13696" s="224" t="s">
        <v>2</v>
      </c>
      <c r="F13696" s="515" t="s">
        <v>14881</v>
      </c>
      <c r="G13696" s="52">
        <v>79933.311850738493</v>
      </c>
      <c r="H13696" s="56">
        <v>7.815818268037264E-2</v>
      </c>
      <c r="I13696" s="224" t="s">
        <v>2</v>
      </c>
    </row>
    <row r="13697" spans="1:9" x14ac:dyDescent="0.25">
      <c r="A13697" s="515">
        <v>53530</v>
      </c>
      <c r="C13697" s="52">
        <v>154994.687904908</v>
      </c>
      <c r="D13697" s="56">
        <v>2.1013645875266836E-2</v>
      </c>
      <c r="E13697" s="224" t="s">
        <v>2</v>
      </c>
      <c r="F13697" s="515" t="s">
        <v>14882</v>
      </c>
      <c r="G13697" s="52">
        <v>311135.76062457898</v>
      </c>
      <c r="H13697" s="56">
        <v>1.7217325288811109E-2</v>
      </c>
      <c r="I13697" s="224" t="s">
        <v>2</v>
      </c>
    </row>
    <row r="13698" spans="1:9" x14ac:dyDescent="0.25">
      <c r="A13698" s="515">
        <v>37665</v>
      </c>
      <c r="B13698" s="515" t="s">
        <v>902</v>
      </c>
      <c r="C13698" s="52">
        <v>127573.399243105</v>
      </c>
      <c r="D13698" s="56">
        <v>0.11059296964061416</v>
      </c>
      <c r="E13698" s="224" t="s">
        <v>2</v>
      </c>
      <c r="F13698" s="515" t="s">
        <v>14883</v>
      </c>
      <c r="G13698" s="52">
        <v>197190.680273687</v>
      </c>
      <c r="H13698" s="56">
        <v>7.5763815987295702E-2</v>
      </c>
      <c r="I13698" s="224" t="s">
        <v>2</v>
      </c>
    </row>
    <row r="13699" spans="1:9" x14ac:dyDescent="0.25">
      <c r="A13699" s="515">
        <v>4462</v>
      </c>
      <c r="B13699" s="515" t="s">
        <v>792</v>
      </c>
      <c r="C13699" s="52">
        <v>127171.558063077</v>
      </c>
      <c r="D13699" s="56">
        <v>0.1765883438813485</v>
      </c>
      <c r="E13699" s="224" t="s">
        <v>2</v>
      </c>
      <c r="F13699" s="515" t="s">
        <v>14884</v>
      </c>
      <c r="G13699" s="52">
        <v>197192.317518194</v>
      </c>
      <c r="H13699" s="56">
        <v>6.9619231642793725E-2</v>
      </c>
      <c r="I13699" s="224" t="s">
        <v>2</v>
      </c>
    </row>
    <row r="13700" spans="1:9" x14ac:dyDescent="0.25">
      <c r="A13700" s="515">
        <v>31001</v>
      </c>
      <c r="C13700" s="52">
        <v>112952.827895083</v>
      </c>
      <c r="D13700" s="56">
        <v>0.25534715583449585</v>
      </c>
      <c r="E13700" s="224" t="s">
        <v>2</v>
      </c>
      <c r="F13700" s="515" t="s">
        <v>14885</v>
      </c>
      <c r="G13700" s="52">
        <v>119610.867969304</v>
      </c>
      <c r="H13700" s="56">
        <v>0.12856046003550181</v>
      </c>
      <c r="I13700" s="224" t="s">
        <v>2</v>
      </c>
    </row>
    <row r="13701" spans="1:9" x14ac:dyDescent="0.25">
      <c r="A13701" s="515">
        <v>75861</v>
      </c>
      <c r="B13701" s="515" t="s">
        <v>1020</v>
      </c>
      <c r="C13701" s="52">
        <v>255699.06306306299</v>
      </c>
      <c r="D13701" s="56">
        <v>0</v>
      </c>
      <c r="E13701" s="224" t="s">
        <v>2</v>
      </c>
      <c r="F13701" s="515" t="s">
        <v>14886</v>
      </c>
      <c r="G13701" s="52">
        <v>256458.13815761101</v>
      </c>
      <c r="H13701" s="56">
        <v>8.253504470234109E-2</v>
      </c>
      <c r="I13701" s="224" t="s">
        <v>2</v>
      </c>
    </row>
    <row r="13702" spans="1:9" x14ac:dyDescent="0.25">
      <c r="A13702" s="515">
        <v>1770</v>
      </c>
      <c r="B13702" s="515" t="s">
        <v>534</v>
      </c>
      <c r="C13702" s="52">
        <v>1037897.81602108</v>
      </c>
      <c r="D13702" s="56">
        <v>6.1330828668873502E-2</v>
      </c>
      <c r="E13702" s="224" t="s">
        <v>2</v>
      </c>
      <c r="F13702" s="515" t="s">
        <v>14887</v>
      </c>
      <c r="G13702" s="52">
        <v>151994.26714812999</v>
      </c>
      <c r="H13702" s="56">
        <v>0.12320154755239728</v>
      </c>
      <c r="I13702" s="224" t="s">
        <v>2</v>
      </c>
    </row>
    <row r="13703" spans="1:9" x14ac:dyDescent="0.25">
      <c r="A13703" s="515">
        <v>76044</v>
      </c>
      <c r="B13703" s="515" t="s">
        <v>458</v>
      </c>
      <c r="C13703" s="52">
        <v>424257.409013803</v>
      </c>
      <c r="D13703" s="56">
        <v>0.12408339157790722</v>
      </c>
      <c r="E13703" s="224" t="s">
        <v>2</v>
      </c>
      <c r="F13703" s="515" t="s">
        <v>14888</v>
      </c>
      <c r="G13703" s="52">
        <v>177595.492766023</v>
      </c>
      <c r="H13703" s="56">
        <v>0.14261639307233803</v>
      </c>
      <c r="I13703" s="224" t="s">
        <v>2</v>
      </c>
    </row>
    <row r="13704" spans="1:9" x14ac:dyDescent="0.25">
      <c r="A13704" s="515">
        <v>62995</v>
      </c>
      <c r="B13704" s="515" t="s">
        <v>471</v>
      </c>
      <c r="C13704" s="52">
        <v>117072.67550497</v>
      </c>
      <c r="D13704" s="56">
        <v>6.1456774907837186E-2</v>
      </c>
      <c r="E13704" s="224" t="s">
        <v>2</v>
      </c>
      <c r="F13704" s="515" t="s">
        <v>14889</v>
      </c>
      <c r="G13704" s="52">
        <v>122830.54843130799</v>
      </c>
      <c r="H13704" s="56">
        <v>0.15096129673891576</v>
      </c>
      <c r="I13704" s="224" t="s">
        <v>2</v>
      </c>
    </row>
    <row r="13705" spans="1:9" x14ac:dyDescent="0.25">
      <c r="A13705" s="515">
        <v>55325</v>
      </c>
      <c r="C13705" s="52">
        <v>290955.55224977998</v>
      </c>
      <c r="D13705" s="56">
        <v>4.5367922406208301E-2</v>
      </c>
      <c r="E13705" s="224" t="s">
        <v>2</v>
      </c>
      <c r="F13705" s="515" t="s">
        <v>14890</v>
      </c>
      <c r="G13705" s="52">
        <v>198537.980350792</v>
      </c>
      <c r="H13705" s="56">
        <v>8.5582984224133865E-2</v>
      </c>
      <c r="I13705" s="224" t="s">
        <v>2</v>
      </c>
    </row>
    <row r="13706" spans="1:9" x14ac:dyDescent="0.25">
      <c r="A13706" s="515">
        <v>10928</v>
      </c>
      <c r="B13706" s="515" t="s">
        <v>529</v>
      </c>
      <c r="C13706" s="52">
        <v>343127.15556102799</v>
      </c>
      <c r="D13706" s="56">
        <v>8.3839556415798086E-2</v>
      </c>
      <c r="E13706" s="224" t="s">
        <v>2</v>
      </c>
      <c r="F13706" s="515" t="s">
        <v>14891</v>
      </c>
      <c r="G13706" s="52">
        <v>206600.338935109</v>
      </c>
      <c r="H13706" s="56">
        <v>5.5052340498152351E-2</v>
      </c>
      <c r="I13706" s="224" t="s">
        <v>2</v>
      </c>
    </row>
    <row r="13707" spans="1:9" x14ac:dyDescent="0.25">
      <c r="A13707" s="515">
        <v>3257</v>
      </c>
      <c r="B13707" s="515" t="s">
        <v>981</v>
      </c>
      <c r="C13707" s="52">
        <v>569658.07850162103</v>
      </c>
      <c r="D13707" s="56">
        <v>7.5793232811407499E-2</v>
      </c>
      <c r="E13707" s="224" t="s">
        <v>2</v>
      </c>
      <c r="F13707" s="515" t="s">
        <v>14892</v>
      </c>
      <c r="G13707" s="52">
        <v>531816.85056735598</v>
      </c>
      <c r="H13707" s="56">
        <v>-2.8100355473034883E-2</v>
      </c>
      <c r="I13707" s="224" t="s">
        <v>2</v>
      </c>
    </row>
    <row r="13708" spans="1:9" x14ac:dyDescent="0.25">
      <c r="A13708" s="515">
        <v>46590</v>
      </c>
      <c r="B13708" s="515" t="s">
        <v>1127</v>
      </c>
      <c r="C13708" s="52">
        <v>252224.17137304699</v>
      </c>
      <c r="D13708" s="56">
        <v>6.6174644075302991E-2</v>
      </c>
      <c r="E13708" s="224" t="s">
        <v>2</v>
      </c>
      <c r="F13708" s="515" t="s">
        <v>14893</v>
      </c>
      <c r="G13708" s="52">
        <v>74534.235671875402</v>
      </c>
      <c r="H13708" s="56">
        <v>3.0539732358398103E-2</v>
      </c>
      <c r="I13708" s="224" t="s">
        <v>2</v>
      </c>
    </row>
    <row r="13709" spans="1:9" x14ac:dyDescent="0.25">
      <c r="A13709" s="515">
        <v>71653</v>
      </c>
      <c r="C13709" s="52">
        <v>121035.768033311</v>
      </c>
      <c r="D13709" s="56">
        <v>6.6596144578950911E-3</v>
      </c>
      <c r="E13709" s="224" t="s">
        <v>2</v>
      </c>
      <c r="F13709" s="515" t="s">
        <v>14894</v>
      </c>
      <c r="G13709" s="52">
        <v>340426.537049359</v>
      </c>
      <c r="H13709" s="56">
        <v>9.4377152786551219E-2</v>
      </c>
      <c r="I13709" s="224" t="s">
        <v>2</v>
      </c>
    </row>
    <row r="13710" spans="1:9" x14ac:dyDescent="0.25">
      <c r="A13710" s="515">
        <v>75410</v>
      </c>
      <c r="C13710" s="52">
        <v>281710.93973651202</v>
      </c>
      <c r="D13710" s="56">
        <v>2.7134602605090753E-2</v>
      </c>
      <c r="E13710" s="224" t="s">
        <v>2</v>
      </c>
      <c r="F13710" s="515" t="s">
        <v>14895</v>
      </c>
      <c r="G13710" s="52">
        <v>231677.084160125</v>
      </c>
      <c r="H13710" s="56">
        <v>0.10711784625419074</v>
      </c>
      <c r="I13710" s="224" t="s">
        <v>2</v>
      </c>
    </row>
    <row r="13711" spans="1:9" x14ac:dyDescent="0.25">
      <c r="A13711" s="515">
        <v>54771</v>
      </c>
      <c r="C13711" s="52">
        <v>156595.028128851</v>
      </c>
      <c r="D13711" s="56">
        <v>3.8582667667868456E-2</v>
      </c>
      <c r="E13711" s="224" t="s">
        <v>2</v>
      </c>
      <c r="F13711" s="515" t="s">
        <v>14896</v>
      </c>
      <c r="G13711" s="52">
        <v>323947.57142857101</v>
      </c>
      <c r="H13711" s="56">
        <v>0</v>
      </c>
      <c r="I13711" s="224" t="s">
        <v>2</v>
      </c>
    </row>
    <row r="13712" spans="1:9" x14ac:dyDescent="0.25">
      <c r="A13712" s="515">
        <v>50438</v>
      </c>
      <c r="C13712" s="52">
        <v>188466.22122638801</v>
      </c>
      <c r="D13712" s="56">
        <v>5.3024123297107158E-2</v>
      </c>
      <c r="E13712" s="224" t="s">
        <v>2</v>
      </c>
      <c r="F13712" s="515" t="s">
        <v>14897</v>
      </c>
      <c r="G13712" s="52">
        <v>428771.37417692301</v>
      </c>
      <c r="H13712" s="56">
        <v>3.2644999192704242E-2</v>
      </c>
      <c r="I13712" s="224" t="s">
        <v>2</v>
      </c>
    </row>
    <row r="13713" spans="1:9" x14ac:dyDescent="0.25">
      <c r="A13713" s="515">
        <v>16159</v>
      </c>
      <c r="B13713" s="515" t="s">
        <v>397</v>
      </c>
      <c r="C13713" s="52">
        <v>175420.02818908499</v>
      </c>
      <c r="D13713" s="56">
        <v>1.9019945928007053E-2</v>
      </c>
      <c r="E13713" s="224" t="s">
        <v>2</v>
      </c>
      <c r="F13713" s="515" t="s">
        <v>14898</v>
      </c>
      <c r="G13713" s="52">
        <v>218122.71518987301</v>
      </c>
      <c r="H13713" s="56">
        <v>0</v>
      </c>
      <c r="I13713" s="224" t="s">
        <v>2</v>
      </c>
    </row>
    <row r="13714" spans="1:9" x14ac:dyDescent="0.25">
      <c r="A13714" s="515">
        <v>15233</v>
      </c>
      <c r="B13714" s="515" t="s">
        <v>297</v>
      </c>
      <c r="C13714" s="52">
        <v>209369.68403751301</v>
      </c>
      <c r="D13714" s="56">
        <v>-3.4889509367851831E-2</v>
      </c>
      <c r="E13714" s="224">
        <v>1072.5</v>
      </c>
      <c r="F13714" s="515" t="s">
        <v>14899</v>
      </c>
      <c r="G13714" s="52">
        <v>221169.45446572499</v>
      </c>
      <c r="H13714" s="56">
        <v>0.16162812295467419</v>
      </c>
      <c r="I13714" s="224" t="s">
        <v>2</v>
      </c>
    </row>
    <row r="13715" spans="1:9" x14ac:dyDescent="0.25">
      <c r="A13715" s="515">
        <v>43430</v>
      </c>
      <c r="B13715" s="515" t="s">
        <v>300</v>
      </c>
      <c r="C13715" s="52">
        <v>173499.93062743201</v>
      </c>
      <c r="D13715" s="56">
        <v>4.6362279849518073E-2</v>
      </c>
      <c r="E13715" s="224" t="s">
        <v>2</v>
      </c>
      <c r="F13715" s="515" t="s">
        <v>14900</v>
      </c>
      <c r="G13715" s="52">
        <v>123564.967097117</v>
      </c>
      <c r="H13715" s="56">
        <v>-0.21011906763682595</v>
      </c>
      <c r="I13715" s="224" t="s">
        <v>2</v>
      </c>
    </row>
    <row r="13716" spans="1:9" x14ac:dyDescent="0.25">
      <c r="A13716" s="515">
        <v>6417</v>
      </c>
      <c r="B13716" s="515" t="s">
        <v>894</v>
      </c>
      <c r="C13716" s="52">
        <v>337650.73441579798</v>
      </c>
      <c r="D13716" s="56">
        <v>8.8745061100541353E-2</v>
      </c>
      <c r="E13716" s="224" t="s">
        <v>2</v>
      </c>
      <c r="F13716" s="515" t="s">
        <v>14901</v>
      </c>
      <c r="G13716" s="52">
        <v>66051.688254684501</v>
      </c>
      <c r="H13716" s="56">
        <v>6.8104599125723531E-2</v>
      </c>
      <c r="I13716" s="224" t="s">
        <v>2</v>
      </c>
    </row>
    <row r="13717" spans="1:9" x14ac:dyDescent="0.25">
      <c r="A13717" s="515">
        <v>22734</v>
      </c>
      <c r="B13717" s="515" t="s">
        <v>321</v>
      </c>
      <c r="C13717" s="52">
        <v>370959.97943593498</v>
      </c>
      <c r="D13717" s="56">
        <v>4.9988680462760109E-2</v>
      </c>
      <c r="E13717" s="224" t="s">
        <v>2</v>
      </c>
      <c r="F13717" s="515" t="s">
        <v>14902</v>
      </c>
      <c r="G13717" s="52">
        <v>102515.862068965</v>
      </c>
      <c r="H13717" s="56">
        <v>0</v>
      </c>
      <c r="I13717" s="224" t="s">
        <v>2</v>
      </c>
    </row>
    <row r="13718" spans="1:9" x14ac:dyDescent="0.25">
      <c r="A13718" s="515">
        <v>36049</v>
      </c>
      <c r="C13718" s="52">
        <v>121711.240416007</v>
      </c>
      <c r="D13718" s="56">
        <v>3.2918915477598135E-2</v>
      </c>
      <c r="E13718" s="224" t="s">
        <v>2</v>
      </c>
      <c r="F13718" s="515" t="s">
        <v>14903</v>
      </c>
      <c r="G13718" s="52">
        <v>263531.94443155301</v>
      </c>
      <c r="H13718" s="56">
        <v>0.24962187290760057</v>
      </c>
      <c r="I13718" s="224" t="s">
        <v>2</v>
      </c>
    </row>
    <row r="13719" spans="1:9" x14ac:dyDescent="0.25">
      <c r="A13719" s="515">
        <v>63361</v>
      </c>
      <c r="C13719" s="52">
        <v>164684.91586568399</v>
      </c>
      <c r="D13719" s="56">
        <v>8.0471071507368722E-2</v>
      </c>
      <c r="E13719" s="224" t="s">
        <v>2</v>
      </c>
      <c r="F13719" s="515" t="s">
        <v>14904</v>
      </c>
      <c r="G13719" s="52">
        <v>139376.20699173299</v>
      </c>
      <c r="H13719" s="56">
        <v>3.4070871426949111E-2</v>
      </c>
      <c r="I13719" s="224" t="s">
        <v>2</v>
      </c>
    </row>
    <row r="13720" spans="1:9" x14ac:dyDescent="0.25">
      <c r="A13720" s="515">
        <v>37656</v>
      </c>
      <c r="B13720" s="515" t="s">
        <v>988</v>
      </c>
      <c r="C13720" s="52">
        <v>220482.10410959501</v>
      </c>
      <c r="D13720" s="56">
        <v>9.7200323925813584E-2</v>
      </c>
      <c r="E13720" s="224" t="s">
        <v>2</v>
      </c>
      <c r="F13720" s="515" t="s">
        <v>14905</v>
      </c>
      <c r="G13720" s="52">
        <v>330822.80291096098</v>
      </c>
      <c r="H13720" s="56">
        <v>9.953606262262954E-2</v>
      </c>
      <c r="I13720" s="224" t="s">
        <v>2</v>
      </c>
    </row>
    <row r="13721" spans="1:9" x14ac:dyDescent="0.25">
      <c r="A13721" s="515">
        <v>85925</v>
      </c>
      <c r="C13721" s="52">
        <v>266748.54353424697</v>
      </c>
      <c r="D13721" s="56">
        <v>5.0507268629335571E-2</v>
      </c>
      <c r="E13721" s="224" t="s">
        <v>2</v>
      </c>
      <c r="F13721" s="515" t="s">
        <v>14906</v>
      </c>
      <c r="G13721" s="52">
        <v>73939.5</v>
      </c>
      <c r="H13721" s="56">
        <v>0</v>
      </c>
      <c r="I13721" s="224" t="s">
        <v>2</v>
      </c>
    </row>
    <row r="13722" spans="1:9" x14ac:dyDescent="0.25">
      <c r="A13722" s="515">
        <v>23015</v>
      </c>
      <c r="B13722" s="515" t="s">
        <v>667</v>
      </c>
      <c r="C13722" s="52">
        <v>328310.30452441802</v>
      </c>
      <c r="D13722" s="56">
        <v>8.607603194016239E-2</v>
      </c>
      <c r="E13722" s="224" t="s">
        <v>2</v>
      </c>
      <c r="F13722" s="515" t="s">
        <v>14907</v>
      </c>
      <c r="G13722" s="52">
        <v>378755.09935369302</v>
      </c>
      <c r="H13722" s="56">
        <v>4.9203888533110106E-2</v>
      </c>
      <c r="I13722" s="224" t="s">
        <v>2</v>
      </c>
    </row>
    <row r="13723" spans="1:9" x14ac:dyDescent="0.25">
      <c r="A13723" s="515">
        <v>39094</v>
      </c>
      <c r="C13723" s="52">
        <v>121505.92937285099</v>
      </c>
      <c r="D13723" s="56">
        <v>-5.0879834529155329E-2</v>
      </c>
      <c r="E13723" s="224" t="s">
        <v>2</v>
      </c>
      <c r="F13723" s="515" t="s">
        <v>14908</v>
      </c>
      <c r="G13723" s="52">
        <v>285109.470778485</v>
      </c>
      <c r="H13723" s="56">
        <v>6.8337478544712518E-2</v>
      </c>
      <c r="I13723" s="224" t="s">
        <v>2</v>
      </c>
    </row>
    <row r="13724" spans="1:9" x14ac:dyDescent="0.25">
      <c r="A13724" s="515">
        <v>12887</v>
      </c>
      <c r="B13724" s="515" t="s">
        <v>422</v>
      </c>
      <c r="C13724" s="52">
        <v>133190.50397847299</v>
      </c>
      <c r="D13724" s="56">
        <v>8.4658475468906563E-2</v>
      </c>
      <c r="E13724" s="224" t="s">
        <v>2</v>
      </c>
      <c r="F13724" s="515" t="s">
        <v>14909</v>
      </c>
      <c r="G13724" s="52">
        <v>172277.06964122</v>
      </c>
      <c r="H13724" s="56">
        <v>9.1512545650455746E-2</v>
      </c>
      <c r="I13724" s="224" t="s">
        <v>2</v>
      </c>
    </row>
    <row r="13725" spans="1:9" x14ac:dyDescent="0.25">
      <c r="A13725" s="515">
        <v>6250</v>
      </c>
      <c r="B13725" s="515" t="s">
        <v>894</v>
      </c>
      <c r="C13725" s="52">
        <v>282240.92620044498</v>
      </c>
      <c r="D13725" s="56">
        <v>7.8513468050398133E-2</v>
      </c>
      <c r="E13725" s="224" t="s">
        <v>2</v>
      </c>
      <c r="F13725" s="515" t="s">
        <v>14910</v>
      </c>
      <c r="G13725" s="52">
        <v>219128.07722199999</v>
      </c>
      <c r="H13725" s="56">
        <v>0.12924429260618403</v>
      </c>
      <c r="I13725" s="224" t="s">
        <v>2</v>
      </c>
    </row>
    <row r="13726" spans="1:9" x14ac:dyDescent="0.25">
      <c r="A13726" s="515">
        <v>55397</v>
      </c>
      <c r="B13726" s="515" t="s">
        <v>532</v>
      </c>
      <c r="C13726" s="52">
        <v>302051.55871379399</v>
      </c>
      <c r="D13726" s="56">
        <v>1.8632246339230281E-2</v>
      </c>
      <c r="E13726" s="224" t="s">
        <v>2</v>
      </c>
      <c r="F13726" s="515" t="s">
        <v>14911</v>
      </c>
      <c r="G13726" s="52">
        <v>117623.408298607</v>
      </c>
      <c r="H13726" s="56">
        <v>4.9907434842540149E-2</v>
      </c>
      <c r="I13726" s="224" t="s">
        <v>2</v>
      </c>
    </row>
    <row r="13727" spans="1:9" x14ac:dyDescent="0.25">
      <c r="A13727" s="515">
        <v>5143</v>
      </c>
      <c r="B13727" s="515" t="s">
        <v>420</v>
      </c>
      <c r="C13727" s="52">
        <v>310630.26884994999</v>
      </c>
      <c r="D13727" s="56">
        <v>0.12026835318069477</v>
      </c>
      <c r="E13727" s="224" t="s">
        <v>2</v>
      </c>
      <c r="F13727" s="515" t="s">
        <v>14912</v>
      </c>
      <c r="G13727" s="52">
        <v>363463.417848413</v>
      </c>
      <c r="H13727" s="56">
        <v>4.2504556796800388E-2</v>
      </c>
      <c r="I13727" s="224" t="s">
        <v>2</v>
      </c>
    </row>
    <row r="13728" spans="1:9" x14ac:dyDescent="0.25">
      <c r="A13728" s="515">
        <v>71038</v>
      </c>
      <c r="C13728" s="52">
        <v>45519.863746958603</v>
      </c>
      <c r="D13728" s="56">
        <v>0</v>
      </c>
      <c r="E13728" s="224" t="s">
        <v>2</v>
      </c>
      <c r="F13728" s="515" t="s">
        <v>14913</v>
      </c>
      <c r="G13728" s="52">
        <v>638975.30892180302</v>
      </c>
      <c r="H13728" s="56">
        <v>6.6259552174950442E-2</v>
      </c>
      <c r="I13728" s="224" t="s">
        <v>2</v>
      </c>
    </row>
    <row r="13729" spans="1:9" x14ac:dyDescent="0.25">
      <c r="A13729" s="515">
        <v>45368</v>
      </c>
      <c r="B13729" s="515" t="s">
        <v>398</v>
      </c>
      <c r="C13729" s="52">
        <v>213993.50581656699</v>
      </c>
      <c r="D13729" s="56">
        <v>0.1029977675954127</v>
      </c>
      <c r="E13729" s="224" t="s">
        <v>2</v>
      </c>
      <c r="F13729" s="515" t="s">
        <v>14914</v>
      </c>
      <c r="G13729" s="52">
        <v>194738.63985296499</v>
      </c>
      <c r="H13729" s="56">
        <v>7.0788638985837399E-2</v>
      </c>
      <c r="I13729" s="224" t="s">
        <v>2</v>
      </c>
    </row>
    <row r="13730" spans="1:9" x14ac:dyDescent="0.25">
      <c r="A13730" s="515">
        <v>35462</v>
      </c>
      <c r="B13730" s="515" t="s">
        <v>841</v>
      </c>
      <c r="C13730" s="52">
        <v>113667.799392097</v>
      </c>
      <c r="D13730" s="56">
        <v>0</v>
      </c>
      <c r="E13730" s="224" t="s">
        <v>2</v>
      </c>
      <c r="F13730" s="515" t="s">
        <v>14915</v>
      </c>
      <c r="G13730" s="52">
        <v>460178.120007449</v>
      </c>
      <c r="H13730" s="56">
        <v>8.9671211372452653E-2</v>
      </c>
      <c r="I13730" s="224" t="s">
        <v>2</v>
      </c>
    </row>
    <row r="13731" spans="1:9" x14ac:dyDescent="0.25">
      <c r="A13731" s="515">
        <v>44065</v>
      </c>
      <c r="B13731" s="515" t="s">
        <v>520</v>
      </c>
      <c r="C13731" s="52">
        <v>259191.93512291301</v>
      </c>
      <c r="D13731" s="56">
        <v>7.3813906581160077E-2</v>
      </c>
      <c r="E13731" s="224" t="s">
        <v>2</v>
      </c>
      <c r="F13731" s="515" t="s">
        <v>14916</v>
      </c>
      <c r="G13731" s="52">
        <v>124930.97505834801</v>
      </c>
      <c r="H13731" s="56">
        <v>5.3760113217340554E-2</v>
      </c>
      <c r="I13731" s="224" t="s">
        <v>2</v>
      </c>
    </row>
    <row r="13732" spans="1:9" x14ac:dyDescent="0.25">
      <c r="A13732" s="515">
        <v>6092</v>
      </c>
      <c r="B13732" s="515" t="s">
        <v>894</v>
      </c>
      <c r="C13732" s="52">
        <v>477656.53797130001</v>
      </c>
      <c r="D13732" s="56">
        <v>3.7701670195417925E-2</v>
      </c>
      <c r="E13732" s="224" t="s">
        <v>2</v>
      </c>
      <c r="F13732" s="515" t="s">
        <v>14917</v>
      </c>
      <c r="G13732" s="52">
        <v>147671.297887455</v>
      </c>
      <c r="H13732" s="56">
        <v>0.14041701261738615</v>
      </c>
      <c r="I13732" s="224" t="s">
        <v>2</v>
      </c>
    </row>
    <row r="13733" spans="1:9" x14ac:dyDescent="0.25">
      <c r="A13733" s="515">
        <v>75792</v>
      </c>
      <c r="B13733" s="515" t="s">
        <v>1157</v>
      </c>
      <c r="C13733" s="52">
        <v>188664.21082964999</v>
      </c>
      <c r="D13733" s="56">
        <v>8.7793054959170919E-2</v>
      </c>
      <c r="E13733" s="224" t="s">
        <v>2</v>
      </c>
      <c r="F13733" s="515" t="s">
        <v>14918</v>
      </c>
      <c r="G13733" s="52">
        <v>231255.24471438999</v>
      </c>
      <c r="H13733" s="56">
        <v>8.3188364272730117E-2</v>
      </c>
      <c r="I13733" s="224" t="s">
        <v>2</v>
      </c>
    </row>
    <row r="13734" spans="1:9" x14ac:dyDescent="0.25">
      <c r="A13734" s="515">
        <v>31822</v>
      </c>
      <c r="B13734" s="515" t="s">
        <v>1066</v>
      </c>
      <c r="C13734" s="52">
        <v>233362.017506042</v>
      </c>
      <c r="D13734" s="56">
        <v>9.9755435507144191E-2</v>
      </c>
      <c r="E13734" s="224" t="s">
        <v>2</v>
      </c>
      <c r="F13734" s="515" t="s">
        <v>14919</v>
      </c>
      <c r="G13734" s="52">
        <v>86639.087046152796</v>
      </c>
      <c r="H13734" s="56">
        <v>8.2632673746387858E-2</v>
      </c>
      <c r="I13734" s="224" t="s">
        <v>2</v>
      </c>
    </row>
    <row r="13735" spans="1:9" x14ac:dyDescent="0.25">
      <c r="A13735" s="515">
        <v>2322</v>
      </c>
      <c r="B13735" s="515" t="s">
        <v>534</v>
      </c>
      <c r="C13735" s="52">
        <v>479432.650672091</v>
      </c>
      <c r="D13735" s="56">
        <v>6.4815980497220163E-2</v>
      </c>
      <c r="E13735" s="224" t="s">
        <v>2</v>
      </c>
      <c r="F13735" s="515" t="s">
        <v>14920</v>
      </c>
      <c r="G13735" s="52">
        <v>162901.96662277399</v>
      </c>
      <c r="H13735" s="56">
        <v>6.2315353196075583E-2</v>
      </c>
      <c r="I13735" s="224" t="s">
        <v>2</v>
      </c>
    </row>
    <row r="13736" spans="1:9" x14ac:dyDescent="0.25">
      <c r="A13736" s="515">
        <v>85928</v>
      </c>
      <c r="B13736" s="515" t="s">
        <v>533</v>
      </c>
      <c r="C13736" s="52">
        <v>412173.58012573898</v>
      </c>
      <c r="D13736" s="56">
        <v>3.7508315382539001E-2</v>
      </c>
      <c r="E13736" s="224" t="s">
        <v>2</v>
      </c>
      <c r="F13736" s="515" t="s">
        <v>14921</v>
      </c>
      <c r="G13736" s="52">
        <v>111628.03893891899</v>
      </c>
      <c r="H13736" s="56">
        <v>1.2059549328506386E-2</v>
      </c>
      <c r="I13736" s="224" t="s">
        <v>2</v>
      </c>
    </row>
    <row r="13737" spans="1:9" x14ac:dyDescent="0.25">
      <c r="A13737" s="515">
        <v>99357</v>
      </c>
      <c r="B13737" s="515" t="s">
        <v>666</v>
      </c>
      <c r="C13737" s="52">
        <v>361109.13863918599</v>
      </c>
      <c r="D13737" s="56">
        <v>0.1366061991735841</v>
      </c>
      <c r="E13737" s="224" t="s">
        <v>2</v>
      </c>
      <c r="F13737" s="515" t="s">
        <v>14922</v>
      </c>
      <c r="G13737" s="52">
        <v>79507.126250581598</v>
      </c>
      <c r="H13737" s="56">
        <v>0.2149898703599637</v>
      </c>
      <c r="I13737" s="224" t="s">
        <v>2</v>
      </c>
    </row>
    <row r="13738" spans="1:9" x14ac:dyDescent="0.25">
      <c r="A13738" s="515">
        <v>12143</v>
      </c>
      <c r="B13738" s="515" t="s">
        <v>609</v>
      </c>
      <c r="C13738" s="52">
        <v>234977.54308978899</v>
      </c>
      <c r="D13738" s="56">
        <v>3.8171436171934421E-2</v>
      </c>
      <c r="E13738" s="224" t="s">
        <v>2</v>
      </c>
      <c r="F13738" s="515" t="s">
        <v>14923</v>
      </c>
      <c r="G13738" s="52">
        <v>283178.86504770099</v>
      </c>
      <c r="H13738" s="56">
        <v>0.16045168039660604</v>
      </c>
      <c r="I13738" s="224" t="s">
        <v>2</v>
      </c>
    </row>
    <row r="13739" spans="1:9" x14ac:dyDescent="0.25">
      <c r="A13739" s="515">
        <v>75144</v>
      </c>
      <c r="B13739" s="515" t="s">
        <v>655</v>
      </c>
      <c r="C13739" s="52">
        <v>194436.426095348</v>
      </c>
      <c r="D13739" s="56">
        <v>6.7982318927932883E-2</v>
      </c>
      <c r="E13739" s="224" t="s">
        <v>2</v>
      </c>
      <c r="F13739" s="515" t="s">
        <v>14924</v>
      </c>
      <c r="G13739" s="52">
        <v>132721.458722526</v>
      </c>
      <c r="H13739" s="56">
        <v>6.1206553764627067E-2</v>
      </c>
      <c r="I13739" s="224" t="s">
        <v>2</v>
      </c>
    </row>
    <row r="13740" spans="1:9" x14ac:dyDescent="0.25">
      <c r="A13740" s="515">
        <v>90058</v>
      </c>
      <c r="B13740" s="515" t="s">
        <v>375</v>
      </c>
      <c r="C13740" s="52">
        <v>544775.11431429302</v>
      </c>
      <c r="D13740" s="56">
        <v>7.5565819555006214E-2</v>
      </c>
      <c r="E13740" s="224" t="s">
        <v>2</v>
      </c>
      <c r="F13740" s="515" t="s">
        <v>14925</v>
      </c>
      <c r="G13740" s="52">
        <v>159501.57737218699</v>
      </c>
      <c r="H13740" s="56">
        <v>-5.0403865424840828E-3</v>
      </c>
      <c r="I13740" s="224" t="s">
        <v>2</v>
      </c>
    </row>
    <row r="13741" spans="1:9" x14ac:dyDescent="0.25">
      <c r="A13741" s="515">
        <v>46793</v>
      </c>
      <c r="B13741" s="515" t="s">
        <v>1008</v>
      </c>
      <c r="C13741" s="52">
        <v>188907.02757019701</v>
      </c>
      <c r="D13741" s="56">
        <v>4.9443369100324285E-2</v>
      </c>
      <c r="E13741" s="224" t="s">
        <v>2</v>
      </c>
      <c r="F13741" s="515" t="s">
        <v>14926</v>
      </c>
      <c r="G13741" s="52">
        <v>427982.94017792802</v>
      </c>
      <c r="H13741" s="56">
        <v>0.12815368439994512</v>
      </c>
      <c r="I13741" s="224" t="s">
        <v>2</v>
      </c>
    </row>
    <row r="13742" spans="1:9" x14ac:dyDescent="0.25">
      <c r="A13742" s="515">
        <v>70377</v>
      </c>
      <c r="B13742" s="515" t="s">
        <v>898</v>
      </c>
      <c r="C13742" s="52">
        <v>71601.023367803602</v>
      </c>
      <c r="D13742" s="56">
        <v>-0.19203332482614302</v>
      </c>
      <c r="E13742" s="224" t="s">
        <v>2</v>
      </c>
      <c r="F13742" s="515" t="s">
        <v>14927</v>
      </c>
      <c r="G13742" s="52">
        <v>173708.03944937701</v>
      </c>
      <c r="H13742" s="56">
        <v>-8.9066632586278199E-4</v>
      </c>
      <c r="I13742" s="224" t="s">
        <v>2</v>
      </c>
    </row>
    <row r="13743" spans="1:9" x14ac:dyDescent="0.25">
      <c r="A13743" s="515">
        <v>72422</v>
      </c>
      <c r="C13743" s="52">
        <v>80650.5037359048</v>
      </c>
      <c r="D13743" s="56">
        <v>1.4479397572748175E-2</v>
      </c>
      <c r="E13743" s="224" t="s">
        <v>2</v>
      </c>
      <c r="F13743" s="515" t="s">
        <v>14928</v>
      </c>
      <c r="G13743" s="52">
        <v>111598.81998769</v>
      </c>
      <c r="H13743" s="56">
        <v>0</v>
      </c>
      <c r="I13743" s="224" t="s">
        <v>2</v>
      </c>
    </row>
    <row r="13744" spans="1:9" x14ac:dyDescent="0.25">
      <c r="A13744" s="515">
        <v>14485</v>
      </c>
      <c r="B13744" s="515" t="s">
        <v>337</v>
      </c>
      <c r="C13744" s="52">
        <v>228451.21940306501</v>
      </c>
      <c r="D13744" s="56">
        <v>6.8712260281034138E-2</v>
      </c>
      <c r="E13744" s="224" t="s">
        <v>2</v>
      </c>
      <c r="F13744" s="515" t="s">
        <v>14929</v>
      </c>
      <c r="G13744" s="52">
        <v>189416.721548014</v>
      </c>
      <c r="H13744" s="56">
        <v>7.0213507146275361E-2</v>
      </c>
      <c r="I13744" s="224" t="s">
        <v>2</v>
      </c>
    </row>
    <row r="13745" spans="1:9" x14ac:dyDescent="0.25">
      <c r="A13745" s="515">
        <v>31816</v>
      </c>
      <c r="B13745" s="515" t="s">
        <v>957</v>
      </c>
      <c r="C13745" s="52">
        <v>99456.590609400198</v>
      </c>
      <c r="D13745" s="56">
        <v>0.29093145572129969</v>
      </c>
      <c r="E13745" s="224" t="s">
        <v>2</v>
      </c>
      <c r="F13745" s="515" t="s">
        <v>14930</v>
      </c>
      <c r="G13745" s="52">
        <v>223333.827608397</v>
      </c>
      <c r="H13745" s="56">
        <v>0.18516076510085303</v>
      </c>
      <c r="I13745" s="224" t="s">
        <v>2</v>
      </c>
    </row>
    <row r="13746" spans="1:9" x14ac:dyDescent="0.25">
      <c r="A13746" s="515">
        <v>48744</v>
      </c>
      <c r="C13746" s="52">
        <v>141094.14690445099</v>
      </c>
      <c r="D13746" s="56">
        <v>3.3029890683115924E-2</v>
      </c>
      <c r="E13746" s="224" t="s">
        <v>2</v>
      </c>
      <c r="F13746" s="515" t="s">
        <v>5984</v>
      </c>
      <c r="G13746" s="52">
        <v>299285.50607132498</v>
      </c>
      <c r="H13746" s="56">
        <v>8.5545763186939683E-2</v>
      </c>
      <c r="I13746" s="224" t="s">
        <v>2</v>
      </c>
    </row>
    <row r="13747" spans="1:9" x14ac:dyDescent="0.25">
      <c r="A13747" s="515">
        <v>48866</v>
      </c>
      <c r="B13747" s="515" t="s">
        <v>528</v>
      </c>
      <c r="C13747" s="52">
        <v>166181.69703857199</v>
      </c>
      <c r="D13747" s="56">
        <v>4.5360521740840334E-2</v>
      </c>
      <c r="E13747" s="224" t="s">
        <v>2</v>
      </c>
      <c r="F13747" s="515" t="s">
        <v>14931</v>
      </c>
      <c r="G13747" s="52">
        <v>226513.19240614399</v>
      </c>
      <c r="H13747" s="56">
        <v>0.16498543738778385</v>
      </c>
      <c r="I13747" s="224" t="s">
        <v>2</v>
      </c>
    </row>
    <row r="13748" spans="1:9" x14ac:dyDescent="0.25">
      <c r="A13748" s="515">
        <v>21536</v>
      </c>
      <c r="C13748" s="52">
        <v>200190.297133449</v>
      </c>
      <c r="D13748" s="56">
        <v>3.0321699748634804E-2</v>
      </c>
      <c r="E13748" s="224" t="s">
        <v>2</v>
      </c>
      <c r="F13748" s="515" t="s">
        <v>14932</v>
      </c>
      <c r="G13748" s="52">
        <v>375090.46774193499</v>
      </c>
      <c r="H13748" s="56">
        <v>0</v>
      </c>
      <c r="I13748" s="224" t="s">
        <v>2</v>
      </c>
    </row>
    <row r="13749" spans="1:9" x14ac:dyDescent="0.25">
      <c r="A13749" s="515">
        <v>8223</v>
      </c>
      <c r="B13749" s="515" t="s">
        <v>653</v>
      </c>
      <c r="C13749" s="52">
        <v>370884.24335233198</v>
      </c>
      <c r="D13749" s="56">
        <v>5.484130334892641E-2</v>
      </c>
      <c r="E13749" s="224" t="s">
        <v>2</v>
      </c>
      <c r="F13749" s="515" t="s">
        <v>14933</v>
      </c>
      <c r="G13749" s="52">
        <v>268975.46832045697</v>
      </c>
      <c r="H13749" s="56">
        <v>-3.1163336521609557E-2</v>
      </c>
      <c r="I13749" s="224" t="s">
        <v>2</v>
      </c>
    </row>
    <row r="13750" spans="1:9" x14ac:dyDescent="0.25">
      <c r="A13750" s="515">
        <v>68157</v>
      </c>
      <c r="B13750" s="515" t="s">
        <v>367</v>
      </c>
      <c r="C13750" s="52">
        <v>245647.333110771</v>
      </c>
      <c r="D13750" s="56">
        <v>6.3786106328547351E-2</v>
      </c>
      <c r="E13750" s="224" t="s">
        <v>2</v>
      </c>
      <c r="F13750" s="515" t="s">
        <v>14934</v>
      </c>
      <c r="G13750" s="52">
        <v>522161.740885965</v>
      </c>
      <c r="H13750" s="56">
        <v>1.0850597957254092E-2</v>
      </c>
      <c r="I13750" s="224" t="s">
        <v>2</v>
      </c>
    </row>
    <row r="13751" spans="1:9" x14ac:dyDescent="0.25">
      <c r="A13751" s="515">
        <v>67068</v>
      </c>
      <c r="C13751" s="52">
        <v>115094.37754046</v>
      </c>
      <c r="D13751" s="56">
        <v>9.8989890746050593E-2</v>
      </c>
      <c r="E13751" s="224" t="s">
        <v>2</v>
      </c>
      <c r="F13751" s="515" t="s">
        <v>14935</v>
      </c>
      <c r="G13751" s="52">
        <v>193910.44774844</v>
      </c>
      <c r="H13751" s="56">
        <v>0</v>
      </c>
      <c r="I13751" s="224" t="s">
        <v>2</v>
      </c>
    </row>
    <row r="13752" spans="1:9" x14ac:dyDescent="0.25">
      <c r="A13752" s="515">
        <v>98546</v>
      </c>
      <c r="B13752" s="515" t="s">
        <v>839</v>
      </c>
      <c r="C13752" s="52">
        <v>593951.52473652503</v>
      </c>
      <c r="D13752" s="56">
        <v>1.0893352705779832E-2</v>
      </c>
      <c r="E13752" s="224" t="s">
        <v>2</v>
      </c>
      <c r="F13752" s="515" t="s">
        <v>14936</v>
      </c>
      <c r="G13752" s="52">
        <v>255179.36799358</v>
      </c>
      <c r="H13752" s="56">
        <v>6.4524605711338015E-2</v>
      </c>
      <c r="I13752" s="224" t="s">
        <v>2</v>
      </c>
    </row>
    <row r="13753" spans="1:9" x14ac:dyDescent="0.25">
      <c r="A13753" s="515">
        <v>3861</v>
      </c>
      <c r="B13753" s="515" t="s">
        <v>534</v>
      </c>
      <c r="C13753" s="52">
        <v>483827.79692287202</v>
      </c>
      <c r="D13753" s="56">
        <v>0.13767854456738321</v>
      </c>
      <c r="E13753" s="224" t="s">
        <v>2</v>
      </c>
      <c r="F13753" s="515" t="s">
        <v>14937</v>
      </c>
      <c r="G13753" s="52">
        <v>1837733.87648689</v>
      </c>
      <c r="H13753" s="56">
        <v>8.6683029898185215E-2</v>
      </c>
      <c r="I13753" s="224" t="s">
        <v>2</v>
      </c>
    </row>
    <row r="13754" spans="1:9" x14ac:dyDescent="0.25">
      <c r="A13754" s="515">
        <v>2702</v>
      </c>
      <c r="B13754" s="515" t="s">
        <v>513</v>
      </c>
      <c r="C13754" s="52">
        <v>487812.19768379902</v>
      </c>
      <c r="D13754" s="56">
        <v>8.1531629124665217E-2</v>
      </c>
      <c r="E13754" s="224" t="s">
        <v>2</v>
      </c>
      <c r="F13754" s="515" t="s">
        <v>14938</v>
      </c>
      <c r="G13754" s="52">
        <v>115430.77475949599</v>
      </c>
      <c r="H13754" s="56">
        <v>-3.5809496998531844E-2</v>
      </c>
      <c r="I13754" s="224" t="s">
        <v>2</v>
      </c>
    </row>
    <row r="13755" spans="1:9" x14ac:dyDescent="0.25">
      <c r="A13755" s="515">
        <v>52339</v>
      </c>
      <c r="C13755" s="52">
        <v>116617.73528942199</v>
      </c>
      <c r="D13755" s="56">
        <v>7.9000131815591748E-2</v>
      </c>
      <c r="E13755" s="224" t="s">
        <v>2</v>
      </c>
      <c r="F13755" s="515" t="s">
        <v>14939</v>
      </c>
      <c r="G13755" s="52">
        <v>388970.17161420197</v>
      </c>
      <c r="H13755" s="56">
        <v>5.2579287428651825E-2</v>
      </c>
      <c r="I13755" s="224" t="s">
        <v>2</v>
      </c>
    </row>
    <row r="13756" spans="1:9" x14ac:dyDescent="0.25">
      <c r="A13756" s="515">
        <v>8230</v>
      </c>
      <c r="B13756" s="515" t="s">
        <v>653</v>
      </c>
      <c r="C13756" s="52">
        <v>378018.38962540799</v>
      </c>
      <c r="D13756" s="56">
        <v>4.352482235851364E-2</v>
      </c>
      <c r="E13756" s="224" t="s">
        <v>2</v>
      </c>
      <c r="F13756" s="515" t="s">
        <v>14940</v>
      </c>
      <c r="G13756" s="52">
        <v>122145.711633188</v>
      </c>
      <c r="H13756" s="56">
        <v>3.2835865663830378E-2</v>
      </c>
      <c r="I13756" s="224" t="s">
        <v>2</v>
      </c>
    </row>
    <row r="13757" spans="1:9" x14ac:dyDescent="0.25">
      <c r="A13757" s="515">
        <v>96013</v>
      </c>
      <c r="B13757" s="515" t="s">
        <v>514</v>
      </c>
      <c r="C13757" s="52">
        <v>208819.711838271</v>
      </c>
      <c r="D13757" s="56">
        <v>6.7920734594024382E-2</v>
      </c>
      <c r="E13757" s="224" t="s">
        <v>2</v>
      </c>
      <c r="F13757" s="515" t="s">
        <v>14941</v>
      </c>
      <c r="G13757" s="52">
        <v>599116.62138800602</v>
      </c>
      <c r="H13757" s="56">
        <v>0.13361669398124557</v>
      </c>
      <c r="I13757" s="224" t="s">
        <v>2</v>
      </c>
    </row>
    <row r="13758" spans="1:9" x14ac:dyDescent="0.25">
      <c r="A13758" s="515">
        <v>45887</v>
      </c>
      <c r="B13758" s="515" t="s">
        <v>299</v>
      </c>
      <c r="C13758" s="52">
        <v>159326.42667769099</v>
      </c>
      <c r="D13758" s="56">
        <v>7.3587820238607812E-2</v>
      </c>
      <c r="E13758" s="224" t="s">
        <v>2</v>
      </c>
      <c r="F13758" s="515" t="s">
        <v>14942</v>
      </c>
      <c r="G13758" s="52">
        <v>324083.15249335603</v>
      </c>
      <c r="H13758" s="56">
        <v>-3.8524705100968733E-2</v>
      </c>
      <c r="I13758" s="224" t="s">
        <v>2</v>
      </c>
    </row>
    <row r="13759" spans="1:9" x14ac:dyDescent="0.25">
      <c r="A13759" s="515">
        <v>35054</v>
      </c>
      <c r="B13759" s="515" t="s">
        <v>640</v>
      </c>
      <c r="C13759" s="52">
        <v>361703.45933918899</v>
      </c>
      <c r="D13759" s="56">
        <v>8.0064368299267386E-2</v>
      </c>
      <c r="E13759" s="224" t="s">
        <v>2</v>
      </c>
      <c r="F13759" s="515" t="s">
        <v>14943</v>
      </c>
      <c r="G13759" s="52">
        <v>165277.250218206</v>
      </c>
      <c r="H13759" s="56">
        <v>0.15427312446099109</v>
      </c>
      <c r="I13759" s="224" t="s">
        <v>2</v>
      </c>
    </row>
    <row r="13760" spans="1:9" x14ac:dyDescent="0.25">
      <c r="A13760" s="515">
        <v>22727</v>
      </c>
      <c r="B13760" s="515" t="s">
        <v>321</v>
      </c>
      <c r="C13760" s="52">
        <v>340721.59494015801</v>
      </c>
      <c r="D13760" s="56">
        <v>8.6977927315922729E-2</v>
      </c>
      <c r="E13760" s="224" t="s">
        <v>2</v>
      </c>
      <c r="F13760" s="515" t="s">
        <v>14944</v>
      </c>
      <c r="G13760" s="52">
        <v>200182.35288669</v>
      </c>
      <c r="H13760" s="56">
        <v>8.6804777489024931E-2</v>
      </c>
      <c r="I13760" s="224" t="s">
        <v>2</v>
      </c>
    </row>
    <row r="13761" spans="1:9" x14ac:dyDescent="0.25">
      <c r="A13761" s="515">
        <v>31650</v>
      </c>
      <c r="B13761" s="515" t="s">
        <v>917</v>
      </c>
      <c r="C13761" s="52">
        <v>77991.166315605995</v>
      </c>
      <c r="D13761" s="56">
        <v>-1.5311548534251195E-2</v>
      </c>
      <c r="E13761" s="224" t="s">
        <v>2</v>
      </c>
      <c r="F13761" s="515" t="s">
        <v>14945</v>
      </c>
      <c r="G13761" s="52">
        <v>82206.275088172697</v>
      </c>
      <c r="H13761" s="56">
        <v>0.14503583281797891</v>
      </c>
      <c r="I13761" s="224" t="s">
        <v>2</v>
      </c>
    </row>
    <row r="13762" spans="1:9" x14ac:dyDescent="0.25">
      <c r="A13762" s="515">
        <v>39362</v>
      </c>
      <c r="C13762" s="52">
        <v>126527.679596546</v>
      </c>
      <c r="D13762" s="56">
        <v>-3.0718611875187339E-2</v>
      </c>
      <c r="E13762" s="224" t="s">
        <v>2</v>
      </c>
      <c r="F13762" s="515" t="s">
        <v>14946</v>
      </c>
      <c r="G13762" s="52">
        <v>181363.871112238</v>
      </c>
      <c r="H13762" s="56">
        <v>7.1707360400173073E-2</v>
      </c>
      <c r="I13762" s="224" t="s">
        <v>2</v>
      </c>
    </row>
    <row r="13763" spans="1:9" x14ac:dyDescent="0.25">
      <c r="A13763" s="515">
        <v>2576</v>
      </c>
      <c r="B13763" s="515" t="s">
        <v>534</v>
      </c>
      <c r="C13763" s="52">
        <v>424161.82310031902</v>
      </c>
      <c r="D13763" s="56">
        <v>9.4119912261937111E-2</v>
      </c>
      <c r="E13763" s="224" t="s">
        <v>2</v>
      </c>
      <c r="F13763" s="515" t="s">
        <v>14947</v>
      </c>
      <c r="G13763" s="52">
        <v>153981.80273006999</v>
      </c>
      <c r="H13763" s="56">
        <v>0.111244832254398</v>
      </c>
      <c r="I13763" s="224" t="s">
        <v>2</v>
      </c>
    </row>
    <row r="13764" spans="1:9" x14ac:dyDescent="0.25">
      <c r="A13764" s="515">
        <v>37191</v>
      </c>
      <c r="B13764" s="515" t="s">
        <v>651</v>
      </c>
      <c r="C13764" s="52">
        <v>261675.108920042</v>
      </c>
      <c r="D13764" s="56">
        <v>8.7244596977356578E-2</v>
      </c>
      <c r="E13764" s="224" t="s">
        <v>2</v>
      </c>
      <c r="F13764" s="515" t="s">
        <v>14948</v>
      </c>
      <c r="G13764" s="52">
        <v>392622.05416056502</v>
      </c>
      <c r="H13764" s="56">
        <v>5.99960059419406E-2</v>
      </c>
      <c r="I13764" s="224" t="s">
        <v>2</v>
      </c>
    </row>
    <row r="13765" spans="1:9" x14ac:dyDescent="0.25">
      <c r="A13765" s="515">
        <v>72542</v>
      </c>
      <c r="B13765" s="515" t="s">
        <v>693</v>
      </c>
      <c r="C13765" s="52">
        <v>89498.2994539231</v>
      </c>
      <c r="D13765" s="56">
        <v>-4.2182116630229749E-2</v>
      </c>
      <c r="E13765" s="224" t="s">
        <v>2</v>
      </c>
      <c r="F13765" s="515" t="s">
        <v>14949</v>
      </c>
      <c r="G13765" s="52">
        <v>377088.65247991303</v>
      </c>
      <c r="H13765" s="56">
        <v>0.13049822089528981</v>
      </c>
      <c r="I13765" s="224" t="s">
        <v>2</v>
      </c>
    </row>
    <row r="13766" spans="1:9" x14ac:dyDescent="0.25">
      <c r="A13766" s="515">
        <v>95614</v>
      </c>
      <c r="B13766" s="515" t="s">
        <v>355</v>
      </c>
      <c r="C13766" s="52">
        <v>510799.73006145301</v>
      </c>
      <c r="D13766" s="56">
        <v>-3.0535742564442161E-2</v>
      </c>
      <c r="E13766" s="224" t="s">
        <v>2</v>
      </c>
      <c r="F13766" s="515" t="s">
        <v>14950</v>
      </c>
      <c r="G13766" s="52">
        <v>190786.338104005</v>
      </c>
      <c r="H13766" s="56">
        <v>8.1294234812776922E-2</v>
      </c>
      <c r="I13766" s="224" t="s">
        <v>2</v>
      </c>
    </row>
    <row r="13767" spans="1:9" x14ac:dyDescent="0.25">
      <c r="A13767" s="515">
        <v>99664</v>
      </c>
      <c r="C13767" s="52">
        <v>343351.57029361598</v>
      </c>
      <c r="D13767" s="56">
        <v>1.310717438989902E-2</v>
      </c>
      <c r="E13767" s="224" t="s">
        <v>2</v>
      </c>
      <c r="F13767" s="515" t="s">
        <v>14951</v>
      </c>
      <c r="G13767" s="52">
        <v>227161.838064699</v>
      </c>
      <c r="H13767" s="56">
        <v>7.542996904061515E-2</v>
      </c>
      <c r="I13767" s="224" t="s">
        <v>2</v>
      </c>
    </row>
    <row r="13768" spans="1:9" x14ac:dyDescent="0.25">
      <c r="A13768" s="515">
        <v>97394</v>
      </c>
      <c r="B13768" s="515" t="s">
        <v>618</v>
      </c>
      <c r="C13768" s="52">
        <v>446848.901309387</v>
      </c>
      <c r="D13768" s="56">
        <v>6.9863631512748062E-2</v>
      </c>
      <c r="E13768" s="224" t="s">
        <v>2</v>
      </c>
      <c r="F13768" s="515" t="s">
        <v>14952</v>
      </c>
      <c r="G13768" s="52">
        <v>110345.882948888</v>
      </c>
      <c r="H13768" s="56">
        <v>5.1457864039325098E-2</v>
      </c>
      <c r="I13768" s="224" t="s">
        <v>2</v>
      </c>
    </row>
    <row r="13769" spans="1:9" x14ac:dyDescent="0.25">
      <c r="A13769" s="515">
        <v>84340</v>
      </c>
      <c r="B13769" s="515" t="s">
        <v>628</v>
      </c>
      <c r="C13769" s="52">
        <v>534019.96278482606</v>
      </c>
      <c r="D13769" s="56">
        <v>1.8893455932602238E-2</v>
      </c>
      <c r="E13769" s="224" t="s">
        <v>2</v>
      </c>
      <c r="F13769" s="515" t="s">
        <v>14953</v>
      </c>
      <c r="G13769" s="52">
        <v>352842.04631060298</v>
      </c>
      <c r="H13769" s="56">
        <v>0.10038834737154029</v>
      </c>
      <c r="I13769" s="224" t="s">
        <v>2</v>
      </c>
    </row>
    <row r="13770" spans="1:9" x14ac:dyDescent="0.25">
      <c r="A13770" s="515">
        <v>43240</v>
      </c>
      <c r="B13770" s="515" t="s">
        <v>345</v>
      </c>
      <c r="C13770" s="52">
        <v>299752.98154197598</v>
      </c>
      <c r="D13770" s="56">
        <v>6.5647592473084743E-2</v>
      </c>
      <c r="E13770" s="224">
        <v>1459.5</v>
      </c>
      <c r="F13770" s="515" t="s">
        <v>14954</v>
      </c>
      <c r="G13770" s="52">
        <v>289122.41818898899</v>
      </c>
      <c r="H13770" s="56">
        <v>6.5966482382036465E-2</v>
      </c>
      <c r="I13770" s="224" t="s">
        <v>2</v>
      </c>
    </row>
    <row r="13771" spans="1:9" x14ac:dyDescent="0.25">
      <c r="A13771" s="515">
        <v>61745</v>
      </c>
      <c r="B13771" s="515" t="s">
        <v>645</v>
      </c>
      <c r="C13771" s="52">
        <v>207939.515175248</v>
      </c>
      <c r="D13771" s="56">
        <v>0.11414899290459175</v>
      </c>
      <c r="E13771" s="224" t="s">
        <v>2</v>
      </c>
      <c r="F13771" s="515" t="s">
        <v>14955</v>
      </c>
      <c r="G13771" s="52">
        <v>150383.888830907</v>
      </c>
      <c r="H13771" s="56">
        <v>6.6931394950803524E-2</v>
      </c>
      <c r="I13771" s="224" t="s">
        <v>2</v>
      </c>
    </row>
    <row r="13772" spans="1:9" x14ac:dyDescent="0.25">
      <c r="A13772" s="515">
        <v>73542</v>
      </c>
      <c r="C13772" s="52">
        <v>49170.868660811</v>
      </c>
      <c r="D13772" s="56">
        <v>0.21508003307894541</v>
      </c>
      <c r="E13772" s="224" t="s">
        <v>2</v>
      </c>
      <c r="F13772" s="515" t="s">
        <v>14956</v>
      </c>
      <c r="G13772" s="52">
        <v>193581.96104352901</v>
      </c>
      <c r="H13772" s="56">
        <v>0.1592629295267102</v>
      </c>
      <c r="I13772" s="224" t="s">
        <v>2</v>
      </c>
    </row>
    <row r="13773" spans="1:9" x14ac:dyDescent="0.25">
      <c r="A13773" s="515">
        <v>32331</v>
      </c>
      <c r="C13773" s="52">
        <v>173148.395773261</v>
      </c>
      <c r="D13773" s="56">
        <v>5.8990582990240611E-2</v>
      </c>
      <c r="E13773" s="224" t="s">
        <v>2</v>
      </c>
      <c r="F13773" s="515" t="s">
        <v>14957</v>
      </c>
      <c r="G13773" s="52">
        <v>266441.317496498</v>
      </c>
      <c r="H13773" s="56">
        <v>8.5732421873200834E-2</v>
      </c>
      <c r="I13773" s="224" t="s">
        <v>2</v>
      </c>
    </row>
    <row r="13774" spans="1:9" x14ac:dyDescent="0.25">
      <c r="A13774" s="515">
        <v>12053</v>
      </c>
      <c r="B13774" s="515" t="s">
        <v>609</v>
      </c>
      <c r="C13774" s="52">
        <v>277548.48072343098</v>
      </c>
      <c r="D13774" s="56">
        <v>4.8075685158800556E-2</v>
      </c>
      <c r="E13774" s="224" t="s">
        <v>2</v>
      </c>
      <c r="F13774" s="515" t="s">
        <v>14958</v>
      </c>
      <c r="G13774" s="52">
        <v>238561.375514032</v>
      </c>
      <c r="H13774" s="56">
        <v>5.2093609037416035E-2</v>
      </c>
      <c r="I13774" s="224" t="s">
        <v>2</v>
      </c>
    </row>
    <row r="13775" spans="1:9" x14ac:dyDescent="0.25">
      <c r="A13775" s="515">
        <v>56621</v>
      </c>
      <c r="C13775" s="52">
        <v>177738.059683839</v>
      </c>
      <c r="D13775" s="56">
        <v>4.7670964073107662E-2</v>
      </c>
      <c r="E13775" s="224" t="s">
        <v>2</v>
      </c>
      <c r="F13775" s="515" t="s">
        <v>14959</v>
      </c>
      <c r="G13775" s="52">
        <v>350850.127191181</v>
      </c>
      <c r="H13775" s="56">
        <v>7.8363371365127374E-2</v>
      </c>
      <c r="I13775" s="224" t="s">
        <v>2</v>
      </c>
    </row>
    <row r="13776" spans="1:9" x14ac:dyDescent="0.25">
      <c r="A13776" s="515">
        <v>73105</v>
      </c>
      <c r="B13776" s="515" t="s">
        <v>385</v>
      </c>
      <c r="C13776" s="52">
        <v>145310.67876303699</v>
      </c>
      <c r="D13776" s="56">
        <v>0.1779854333756232</v>
      </c>
      <c r="E13776" s="224">
        <v>1186.6293040293001</v>
      </c>
      <c r="F13776" s="515" t="s">
        <v>14960</v>
      </c>
      <c r="G13776" s="52">
        <v>328463.64740895998</v>
      </c>
      <c r="H13776" s="56">
        <v>9.3313920490779662E-2</v>
      </c>
      <c r="I13776" s="224" t="s">
        <v>2</v>
      </c>
    </row>
    <row r="13777" spans="1:9" x14ac:dyDescent="0.25">
      <c r="A13777" s="515">
        <v>71023</v>
      </c>
      <c r="B13777" s="515" t="s">
        <v>1093</v>
      </c>
      <c r="C13777" s="52">
        <v>83470.833196728694</v>
      </c>
      <c r="D13777" s="56">
        <v>9.0316833078684114E-2</v>
      </c>
      <c r="E13777" s="224" t="s">
        <v>2</v>
      </c>
      <c r="F13777" s="515" t="s">
        <v>14961</v>
      </c>
      <c r="G13777" s="52">
        <v>270562.98443239799</v>
      </c>
      <c r="H13777" s="56">
        <v>0.10407386859300946</v>
      </c>
      <c r="I13777" s="224" t="s">
        <v>2</v>
      </c>
    </row>
    <row r="13778" spans="1:9" x14ac:dyDescent="0.25">
      <c r="A13778" s="515">
        <v>61025</v>
      </c>
      <c r="C13778" s="52">
        <v>175417.28552830699</v>
      </c>
      <c r="D13778" s="56">
        <v>3.6934054749136649E-2</v>
      </c>
      <c r="E13778" s="224" t="s">
        <v>2</v>
      </c>
      <c r="F13778" s="515" t="s">
        <v>14962</v>
      </c>
      <c r="G13778" s="52">
        <v>254282.841624436</v>
      </c>
      <c r="H13778" s="56">
        <v>9.183989669286495E-2</v>
      </c>
      <c r="I13778" s="224" t="s">
        <v>2</v>
      </c>
    </row>
    <row r="13779" spans="1:9" x14ac:dyDescent="0.25">
      <c r="A13779" s="515">
        <v>21716</v>
      </c>
      <c r="B13779" s="515" t="s">
        <v>321</v>
      </c>
      <c r="C13779" s="52">
        <v>342109.371126529</v>
      </c>
      <c r="D13779" s="56">
        <v>6.4510223029898395E-2</v>
      </c>
      <c r="E13779" s="224" t="s">
        <v>2</v>
      </c>
      <c r="F13779" s="515" t="s">
        <v>14963</v>
      </c>
      <c r="G13779" s="52">
        <v>537588.67344451195</v>
      </c>
      <c r="H13779" s="56">
        <v>-0.10472490347477906</v>
      </c>
      <c r="I13779" s="224" t="s">
        <v>2</v>
      </c>
    </row>
    <row r="13780" spans="1:9" x14ac:dyDescent="0.25">
      <c r="A13780" s="515">
        <v>55964</v>
      </c>
      <c r="B13780" s="515" t="s">
        <v>470</v>
      </c>
      <c r="C13780" s="52">
        <v>255287.14625025701</v>
      </c>
      <c r="D13780" s="56">
        <v>6.2257625286485339E-2</v>
      </c>
      <c r="E13780" s="224" t="s">
        <v>2</v>
      </c>
      <c r="F13780" s="515" t="s">
        <v>14964</v>
      </c>
      <c r="G13780" s="52">
        <v>464704.30002580897</v>
      </c>
      <c r="H13780" s="56">
        <v>7.0339616524691284E-2</v>
      </c>
      <c r="I13780" s="224" t="s">
        <v>2</v>
      </c>
    </row>
    <row r="13781" spans="1:9" x14ac:dyDescent="0.25">
      <c r="A13781" s="515">
        <v>75563</v>
      </c>
      <c r="C13781" s="52">
        <v>122021.36704182001</v>
      </c>
      <c r="D13781" s="56">
        <v>-5.5591630979517123E-2</v>
      </c>
      <c r="E13781" s="224" t="s">
        <v>2</v>
      </c>
      <c r="F13781" s="515" t="s">
        <v>14965</v>
      </c>
      <c r="G13781" s="52">
        <v>300912.89108910802</v>
      </c>
      <c r="H13781" s="56">
        <v>0</v>
      </c>
      <c r="I13781" s="224" t="s">
        <v>2</v>
      </c>
    </row>
    <row r="13782" spans="1:9" x14ac:dyDescent="0.25">
      <c r="A13782" s="515">
        <v>35586</v>
      </c>
      <c r="C13782" s="52">
        <v>114883.942735591</v>
      </c>
      <c r="D13782" s="56">
        <v>1.8420593421872952E-2</v>
      </c>
      <c r="E13782" s="224" t="s">
        <v>2</v>
      </c>
      <c r="F13782" s="515" t="s">
        <v>14966</v>
      </c>
      <c r="G13782" s="52">
        <v>80643.244601529907</v>
      </c>
      <c r="H13782" s="56">
        <v>3.6277292945136384E-3</v>
      </c>
      <c r="I13782" s="224" t="s">
        <v>2</v>
      </c>
    </row>
    <row r="13783" spans="1:9" x14ac:dyDescent="0.25">
      <c r="A13783" s="515">
        <v>3470</v>
      </c>
      <c r="B13783" s="515" t="s">
        <v>747</v>
      </c>
      <c r="C13783" s="52">
        <v>269838.31280765199</v>
      </c>
      <c r="D13783" s="56">
        <v>0.14392233164770582</v>
      </c>
      <c r="E13783" s="224" t="s">
        <v>2</v>
      </c>
      <c r="F13783" s="515" t="s">
        <v>14967</v>
      </c>
      <c r="G13783" s="52">
        <v>156305.825088243</v>
      </c>
      <c r="H13783" s="56">
        <v>7.8937652260926833E-2</v>
      </c>
      <c r="I13783" s="224" t="s">
        <v>2</v>
      </c>
    </row>
    <row r="13784" spans="1:9" x14ac:dyDescent="0.25">
      <c r="A13784" s="515">
        <v>76877</v>
      </c>
      <c r="C13784" s="52">
        <v>155134.81891918101</v>
      </c>
      <c r="D13784" s="56">
        <v>8.6035165597301372E-2</v>
      </c>
      <c r="E13784" s="224" t="s">
        <v>2</v>
      </c>
      <c r="F13784" s="515" t="s">
        <v>14968</v>
      </c>
      <c r="G13784" s="52">
        <v>158498.64150368699</v>
      </c>
      <c r="H13784" s="56">
        <v>0.10884090758791377</v>
      </c>
      <c r="I13784" s="224" t="s">
        <v>2</v>
      </c>
    </row>
    <row r="13785" spans="1:9" x14ac:dyDescent="0.25">
      <c r="A13785" s="515">
        <v>17240</v>
      </c>
      <c r="B13785" s="515" t="s">
        <v>428</v>
      </c>
      <c r="C13785" s="52">
        <v>287367.794958124</v>
      </c>
      <c r="D13785" s="56">
        <v>8.1971585845051084E-2</v>
      </c>
      <c r="E13785" s="224" t="s">
        <v>2</v>
      </c>
      <c r="F13785" s="515" t="s">
        <v>14969</v>
      </c>
      <c r="G13785" s="52">
        <v>282523.92945069203</v>
      </c>
      <c r="H13785" s="56">
        <v>6.6686712224997294E-2</v>
      </c>
      <c r="I13785" s="224" t="s">
        <v>2</v>
      </c>
    </row>
    <row r="13786" spans="1:9" x14ac:dyDescent="0.25">
      <c r="A13786" s="515">
        <v>35184</v>
      </c>
      <c r="B13786" s="515" t="s">
        <v>640</v>
      </c>
      <c r="C13786" s="52">
        <v>162815.970528668</v>
      </c>
      <c r="D13786" s="56">
        <v>4.5804590061466657E-2</v>
      </c>
      <c r="E13786" s="224" t="s">
        <v>2</v>
      </c>
      <c r="F13786" s="515" t="s">
        <v>14970</v>
      </c>
      <c r="G13786" s="52">
        <v>145106.11472283301</v>
      </c>
      <c r="H13786" s="56">
        <v>3.5677573755762443E-2</v>
      </c>
      <c r="I13786" s="224" t="s">
        <v>2</v>
      </c>
    </row>
    <row r="13787" spans="1:9" x14ac:dyDescent="0.25">
      <c r="A13787" s="515">
        <v>31305</v>
      </c>
      <c r="B13787" s="515" t="s">
        <v>871</v>
      </c>
      <c r="C13787" s="52">
        <v>203914.82908203601</v>
      </c>
      <c r="D13787" s="56">
        <v>0.1259609165061249</v>
      </c>
      <c r="E13787" s="224" t="s">
        <v>2</v>
      </c>
      <c r="F13787" s="515" t="s">
        <v>14971</v>
      </c>
      <c r="G13787" s="52">
        <v>345606.56128763902</v>
      </c>
      <c r="H13787" s="56">
        <v>7.5674547583596402E-2</v>
      </c>
      <c r="I13787" s="224" t="s">
        <v>2</v>
      </c>
    </row>
    <row r="13788" spans="1:9" x14ac:dyDescent="0.25">
      <c r="A13788" s="515">
        <v>57252</v>
      </c>
      <c r="C13788" s="52">
        <v>166806.31800570901</v>
      </c>
      <c r="D13788" s="56">
        <v>9.1284249840659332E-2</v>
      </c>
      <c r="E13788" s="224" t="s">
        <v>2</v>
      </c>
      <c r="F13788" s="515" t="s">
        <v>14972</v>
      </c>
      <c r="G13788" s="52">
        <v>230333.54922210699</v>
      </c>
      <c r="H13788" s="56">
        <v>4.2736035407939695E-2</v>
      </c>
      <c r="I13788" s="224" t="s">
        <v>2</v>
      </c>
    </row>
    <row r="13789" spans="1:9" x14ac:dyDescent="0.25">
      <c r="A13789" s="515">
        <v>74053</v>
      </c>
      <c r="B13789" s="515" t="s">
        <v>348</v>
      </c>
      <c r="C13789" s="52">
        <v>254069.919720509</v>
      </c>
      <c r="D13789" s="56">
        <v>0.10076467459518508</v>
      </c>
      <c r="E13789" s="224" t="s">
        <v>2</v>
      </c>
      <c r="F13789" s="515" t="s">
        <v>14973</v>
      </c>
      <c r="G13789" s="52">
        <v>157660.87028741601</v>
      </c>
      <c r="H13789" s="56">
        <v>1.8191252191940007E-2</v>
      </c>
      <c r="I13789" s="224" t="s">
        <v>2</v>
      </c>
    </row>
    <row r="13790" spans="1:9" x14ac:dyDescent="0.25">
      <c r="A13790" s="515">
        <v>43723</v>
      </c>
      <c r="B13790" s="515" t="s">
        <v>499</v>
      </c>
      <c r="C13790" s="52">
        <v>112754.363970304</v>
      </c>
      <c r="D13790" s="56">
        <v>6.9877479315501173E-2</v>
      </c>
      <c r="E13790" s="224" t="s">
        <v>2</v>
      </c>
      <c r="F13790" s="515" t="s">
        <v>14974</v>
      </c>
      <c r="G13790" s="52">
        <v>205307.88429401099</v>
      </c>
      <c r="H13790" s="56">
        <v>1.4998646044990498E-2</v>
      </c>
      <c r="I13790" s="224" t="s">
        <v>2</v>
      </c>
    </row>
    <row r="13791" spans="1:9" x14ac:dyDescent="0.25">
      <c r="A13791" s="515">
        <v>70462</v>
      </c>
      <c r="B13791" s="515" t="s">
        <v>610</v>
      </c>
      <c r="C13791" s="52">
        <v>224259.29097249301</v>
      </c>
      <c r="D13791" s="56">
        <v>1.2285196708441028E-2</v>
      </c>
      <c r="E13791" s="224" t="s">
        <v>2</v>
      </c>
      <c r="F13791" s="515" t="s">
        <v>14975</v>
      </c>
      <c r="G13791" s="52">
        <v>150598.437299949</v>
      </c>
      <c r="H13791" s="56">
        <v>4.0750792341883689E-2</v>
      </c>
      <c r="I13791" s="224" t="s">
        <v>2</v>
      </c>
    </row>
    <row r="13792" spans="1:9" x14ac:dyDescent="0.25">
      <c r="A13792" s="515">
        <v>97362</v>
      </c>
      <c r="B13792" s="515" t="s">
        <v>416</v>
      </c>
      <c r="C13792" s="52">
        <v>429614.01717247599</v>
      </c>
      <c r="D13792" s="56">
        <v>4.0923274465009325E-2</v>
      </c>
      <c r="E13792" s="224" t="s">
        <v>2</v>
      </c>
      <c r="F13792" s="515" t="s">
        <v>14976</v>
      </c>
      <c r="G13792" s="52">
        <v>218982.25106528201</v>
      </c>
      <c r="H13792" s="56">
        <v>7.746547389622116E-2</v>
      </c>
      <c r="I13792" s="224" t="s">
        <v>2</v>
      </c>
    </row>
    <row r="13793" spans="1:9" x14ac:dyDescent="0.25">
      <c r="A13793" s="515">
        <v>40019</v>
      </c>
      <c r="B13793" s="515" t="s">
        <v>479</v>
      </c>
      <c r="C13793" s="52">
        <v>181933.693963639</v>
      </c>
      <c r="D13793" s="56">
        <v>0.11340949306572612</v>
      </c>
      <c r="E13793" s="224" t="s">
        <v>2</v>
      </c>
      <c r="F13793" s="515" t="s">
        <v>14977</v>
      </c>
      <c r="G13793" s="52">
        <v>343905.019639768</v>
      </c>
      <c r="H13793" s="56">
        <v>0.16056123714122444</v>
      </c>
      <c r="I13793" s="224" t="s">
        <v>2</v>
      </c>
    </row>
    <row r="13794" spans="1:9" x14ac:dyDescent="0.25">
      <c r="A13794" s="515">
        <v>1505</v>
      </c>
      <c r="B13794" s="515" t="s">
        <v>751</v>
      </c>
      <c r="C13794" s="52">
        <v>526699.32525534905</v>
      </c>
      <c r="D13794" s="56">
        <v>0.1088557167618443</v>
      </c>
      <c r="E13794" s="224" t="s">
        <v>2</v>
      </c>
      <c r="F13794" s="515" t="s">
        <v>14978</v>
      </c>
      <c r="G13794" s="52">
        <v>440331.625795567</v>
      </c>
      <c r="H13794" s="56">
        <v>9.264714570323386E-2</v>
      </c>
      <c r="I13794" s="224" t="s">
        <v>2</v>
      </c>
    </row>
    <row r="13795" spans="1:9" x14ac:dyDescent="0.25">
      <c r="A13795" s="515">
        <v>8518</v>
      </c>
      <c r="B13795" s="515" t="s">
        <v>294</v>
      </c>
      <c r="C13795" s="52">
        <v>278193.87015800702</v>
      </c>
      <c r="D13795" s="56">
        <v>6.4218766976873481E-2</v>
      </c>
      <c r="E13795" s="224" t="s">
        <v>2</v>
      </c>
      <c r="F13795" s="515" t="s">
        <v>14979</v>
      </c>
      <c r="G13795" s="52">
        <v>244647.59118728701</v>
      </c>
      <c r="H13795" s="56">
        <v>5.6638750706000919E-2</v>
      </c>
      <c r="I13795" s="224" t="s">
        <v>2</v>
      </c>
    </row>
    <row r="13796" spans="1:9" x14ac:dyDescent="0.25">
      <c r="A13796" s="515">
        <v>28701</v>
      </c>
      <c r="B13796" s="515" t="s">
        <v>668</v>
      </c>
      <c r="C13796" s="52">
        <v>389241.318957204</v>
      </c>
      <c r="D13796" s="56">
        <v>0.11593031986999412</v>
      </c>
      <c r="E13796" s="224" t="s">
        <v>2</v>
      </c>
      <c r="F13796" s="515" t="s">
        <v>14980</v>
      </c>
      <c r="G13796" s="52">
        <v>157210.825218282</v>
      </c>
      <c r="H13796" s="56">
        <v>0.17261160058314692</v>
      </c>
      <c r="I13796" s="224" t="s">
        <v>2</v>
      </c>
    </row>
    <row r="13797" spans="1:9" x14ac:dyDescent="0.25">
      <c r="A13797" s="515">
        <v>45052</v>
      </c>
      <c r="B13797" s="515" t="s">
        <v>344</v>
      </c>
      <c r="C13797" s="52">
        <v>299334.86902068998</v>
      </c>
      <c r="D13797" s="56">
        <v>7.4147002383559618E-2</v>
      </c>
      <c r="E13797" s="224" t="s">
        <v>2</v>
      </c>
      <c r="F13797" s="515" t="s">
        <v>14981</v>
      </c>
      <c r="G13797" s="52">
        <v>352206.93430189998</v>
      </c>
      <c r="H13797" s="56">
        <v>4.6857226753736624E-2</v>
      </c>
      <c r="I13797" s="224" t="s">
        <v>2</v>
      </c>
    </row>
    <row r="13798" spans="1:9" x14ac:dyDescent="0.25">
      <c r="A13798" s="515">
        <v>81089</v>
      </c>
      <c r="C13798" s="52">
        <v>207158.76475004401</v>
      </c>
      <c r="D13798" s="56">
        <v>0.12140604537345587</v>
      </c>
      <c r="E13798" s="224" t="s">
        <v>2</v>
      </c>
      <c r="F13798" s="515" t="s">
        <v>14982</v>
      </c>
      <c r="G13798" s="52">
        <v>205312.71407272399</v>
      </c>
      <c r="H13798" s="56">
        <v>7.9629405657854424E-2</v>
      </c>
      <c r="I13798" s="224" t="s">
        <v>2</v>
      </c>
    </row>
    <row r="13799" spans="1:9" x14ac:dyDescent="0.25">
      <c r="A13799" s="515">
        <v>95669</v>
      </c>
      <c r="C13799" s="52">
        <v>521732.48785945599</v>
      </c>
      <c r="D13799" s="56">
        <v>-2.5835060795352225E-2</v>
      </c>
      <c r="E13799" s="224" t="s">
        <v>2</v>
      </c>
      <c r="F13799" s="515" t="s">
        <v>14983</v>
      </c>
      <c r="G13799" s="52">
        <v>177037.13819847599</v>
      </c>
      <c r="H13799" s="56">
        <v>1.6359151581372626E-3</v>
      </c>
      <c r="I13799" s="224" t="s">
        <v>2</v>
      </c>
    </row>
    <row r="13800" spans="1:9" x14ac:dyDescent="0.25">
      <c r="A13800" s="515">
        <v>7422</v>
      </c>
      <c r="B13800" s="515" t="s">
        <v>324</v>
      </c>
      <c r="C13800" s="52">
        <v>306807.27318134502</v>
      </c>
      <c r="D13800" s="56">
        <v>6.4322785817237133E-2</v>
      </c>
      <c r="E13800" s="224" t="s">
        <v>2</v>
      </c>
      <c r="F13800" s="515" t="s">
        <v>14984</v>
      </c>
      <c r="G13800" s="52">
        <v>284306.14316264901</v>
      </c>
      <c r="H13800" s="56">
        <v>7.0058780319329758E-2</v>
      </c>
      <c r="I13800" s="224" t="s">
        <v>2</v>
      </c>
    </row>
    <row r="13801" spans="1:9" x14ac:dyDescent="0.25">
      <c r="A13801" s="515">
        <v>21057</v>
      </c>
      <c r="B13801" s="515" t="s">
        <v>582</v>
      </c>
      <c r="C13801" s="52">
        <v>556811.27371969004</v>
      </c>
      <c r="D13801" s="56">
        <v>5.5949932347277062E-2</v>
      </c>
      <c r="E13801" s="224" t="s">
        <v>2</v>
      </c>
      <c r="F13801" s="515" t="s">
        <v>14985</v>
      </c>
      <c r="G13801" s="52">
        <v>124805.308444334</v>
      </c>
      <c r="H13801" s="56">
        <v>2.9504339222501934E-2</v>
      </c>
      <c r="I13801" s="224" t="s">
        <v>2</v>
      </c>
    </row>
    <row r="13802" spans="1:9" x14ac:dyDescent="0.25">
      <c r="A13802" s="515">
        <v>65081</v>
      </c>
      <c r="B13802" s="515" t="s">
        <v>711</v>
      </c>
      <c r="C13802" s="52">
        <v>151252.53186934799</v>
      </c>
      <c r="D13802" s="56">
        <v>0.10895727783964941</v>
      </c>
      <c r="E13802" s="224" t="s">
        <v>2</v>
      </c>
      <c r="F13802" s="515" t="s">
        <v>14986</v>
      </c>
      <c r="G13802" s="52">
        <v>329535.45454902499</v>
      </c>
      <c r="H13802" s="56">
        <v>0.12516548105394124</v>
      </c>
      <c r="I13802" s="224" t="s">
        <v>2</v>
      </c>
    </row>
    <row r="13803" spans="1:9" x14ac:dyDescent="0.25">
      <c r="A13803" s="515">
        <v>74451</v>
      </c>
      <c r="B13803" s="515" t="s">
        <v>899</v>
      </c>
      <c r="C13803" s="52">
        <v>188748.213910905</v>
      </c>
      <c r="D13803" s="56">
        <v>6.6863393918178263E-2</v>
      </c>
      <c r="E13803" s="224" t="s">
        <v>2</v>
      </c>
      <c r="F13803" s="515" t="s">
        <v>14987</v>
      </c>
      <c r="G13803" s="52">
        <v>91559.625946810105</v>
      </c>
      <c r="H13803" s="56">
        <v>6.1191146836728397E-2</v>
      </c>
      <c r="I13803" s="224" t="s">
        <v>2</v>
      </c>
    </row>
    <row r="13804" spans="1:9" x14ac:dyDescent="0.25">
      <c r="A13804" s="515">
        <v>50169</v>
      </c>
      <c r="B13804" s="515" t="s">
        <v>295</v>
      </c>
      <c r="C13804" s="52">
        <v>230432.02869807501</v>
      </c>
      <c r="D13804" s="56">
        <v>9.0642318082243226E-2</v>
      </c>
      <c r="E13804" s="224" t="s">
        <v>2</v>
      </c>
      <c r="F13804" s="515" t="s">
        <v>14988</v>
      </c>
      <c r="G13804" s="52">
        <v>173515.00219416199</v>
      </c>
      <c r="H13804" s="56">
        <v>8.7499732830255153E-2</v>
      </c>
      <c r="I13804" s="224" t="s">
        <v>2</v>
      </c>
    </row>
    <row r="13805" spans="1:9" x14ac:dyDescent="0.25">
      <c r="A13805" s="515">
        <v>43046</v>
      </c>
      <c r="B13805" s="515" t="s">
        <v>345</v>
      </c>
      <c r="C13805" s="52">
        <v>309741.08544905699</v>
      </c>
      <c r="D13805" s="56">
        <v>0.13597591700113121</v>
      </c>
      <c r="E13805" s="224" t="s">
        <v>2</v>
      </c>
      <c r="F13805" s="515" t="s">
        <v>14989</v>
      </c>
      <c r="G13805" s="52">
        <v>157674.878340141</v>
      </c>
      <c r="H13805" s="56">
        <v>6.1804927605550099E-2</v>
      </c>
      <c r="I13805" s="224" t="s">
        <v>2</v>
      </c>
    </row>
    <row r="13806" spans="1:9" x14ac:dyDescent="0.25">
      <c r="A13806" s="515">
        <v>30326</v>
      </c>
      <c r="B13806" s="515" t="s">
        <v>957</v>
      </c>
      <c r="C13806" s="52">
        <v>406407.34119270399</v>
      </c>
      <c r="D13806" s="56">
        <v>2.5886169958607499E-2</v>
      </c>
      <c r="E13806" s="224">
        <v>2077.8387520525398</v>
      </c>
      <c r="F13806" s="515" t="s">
        <v>14990</v>
      </c>
      <c r="G13806" s="52">
        <v>2023886.0850569799</v>
      </c>
      <c r="H13806" s="56">
        <v>7.2196502409372046E-2</v>
      </c>
      <c r="I13806" s="224" t="s">
        <v>2</v>
      </c>
    </row>
    <row r="13807" spans="1:9" x14ac:dyDescent="0.25">
      <c r="A13807" s="515">
        <v>47117</v>
      </c>
      <c r="B13807" s="515" t="s">
        <v>479</v>
      </c>
      <c r="C13807" s="52">
        <v>201070.98352148299</v>
      </c>
      <c r="D13807" s="56">
        <v>4.0052894429525511E-2</v>
      </c>
      <c r="E13807" s="224" t="s">
        <v>2</v>
      </c>
      <c r="F13807" s="515" t="s">
        <v>14991</v>
      </c>
      <c r="G13807" s="52">
        <v>146631.30862640901</v>
      </c>
      <c r="H13807" s="56">
        <v>0</v>
      </c>
      <c r="I13807" s="224" t="s">
        <v>2</v>
      </c>
    </row>
    <row r="13808" spans="1:9" x14ac:dyDescent="0.25">
      <c r="A13808" s="515">
        <v>11942</v>
      </c>
      <c r="B13808" s="515" t="s">
        <v>324</v>
      </c>
      <c r="C13808" s="52">
        <v>943156.03834618896</v>
      </c>
      <c r="D13808" s="56">
        <v>0.1040257316663258</v>
      </c>
      <c r="E13808" s="224" t="s">
        <v>2</v>
      </c>
      <c r="F13808" s="515" t="s">
        <v>14992</v>
      </c>
      <c r="G13808" s="52">
        <v>254791.95098040201</v>
      </c>
      <c r="H13808" s="56">
        <v>0.15748353486853622</v>
      </c>
      <c r="I13808" s="224" t="s">
        <v>2</v>
      </c>
    </row>
    <row r="13809" spans="1:9" x14ac:dyDescent="0.25">
      <c r="A13809" s="515">
        <v>3741</v>
      </c>
      <c r="B13809" s="515" t="s">
        <v>420</v>
      </c>
      <c r="C13809" s="52">
        <v>315162.97895588202</v>
      </c>
      <c r="D13809" s="56">
        <v>0.18726247671003671</v>
      </c>
      <c r="E13809" s="224" t="s">
        <v>2</v>
      </c>
      <c r="F13809" s="515" t="s">
        <v>14993</v>
      </c>
      <c r="G13809" s="52">
        <v>346919.51908417197</v>
      </c>
      <c r="H13809" s="56">
        <v>8.2182813645210101E-2</v>
      </c>
      <c r="I13809" s="224" t="s">
        <v>2</v>
      </c>
    </row>
    <row r="13810" spans="1:9" x14ac:dyDescent="0.25">
      <c r="A13810" s="515">
        <v>39439</v>
      </c>
      <c r="B13810" s="515" t="s">
        <v>793</v>
      </c>
      <c r="C13810" s="52">
        <v>109995.15470407299</v>
      </c>
      <c r="D13810" s="56">
        <v>-8.7046458684907221E-2</v>
      </c>
      <c r="E13810" s="224" t="s">
        <v>2</v>
      </c>
      <c r="F13810" s="515" t="s">
        <v>14994</v>
      </c>
      <c r="G13810" s="52">
        <v>397651.44994997903</v>
      </c>
      <c r="H13810" s="56">
        <v>0.10186387636398601</v>
      </c>
      <c r="I13810" s="224" t="s">
        <v>2</v>
      </c>
    </row>
    <row r="13811" spans="1:9" x14ac:dyDescent="0.25">
      <c r="A13811" s="515">
        <v>49067</v>
      </c>
      <c r="B13811" s="515" t="s">
        <v>1002</v>
      </c>
      <c r="C13811" s="52">
        <v>186058.49649609899</v>
      </c>
      <c r="D13811" s="56">
        <v>6.7738767187776508E-2</v>
      </c>
      <c r="E13811" s="224" t="s">
        <v>2</v>
      </c>
      <c r="F13811" s="515" t="s">
        <v>14995</v>
      </c>
      <c r="G13811" s="52">
        <v>418823.92962220003</v>
      </c>
      <c r="H13811" s="56">
        <v>5.0746329246620279E-2</v>
      </c>
      <c r="I13811" s="224" t="s">
        <v>2</v>
      </c>
    </row>
    <row r="13812" spans="1:9" x14ac:dyDescent="0.25">
      <c r="A13812" s="515">
        <v>63825</v>
      </c>
      <c r="C13812" s="52">
        <v>112005.340457846</v>
      </c>
      <c r="D13812" s="56">
        <v>6.087222133541014E-3</v>
      </c>
      <c r="E13812" s="224" t="s">
        <v>2</v>
      </c>
      <c r="F13812" s="515" t="s">
        <v>14996</v>
      </c>
      <c r="G13812" s="52">
        <v>117199.829616018</v>
      </c>
      <c r="H13812" s="56">
        <v>3.1429724078586026E-2</v>
      </c>
      <c r="I13812" s="224" t="s">
        <v>2</v>
      </c>
    </row>
    <row r="13813" spans="1:9" x14ac:dyDescent="0.25">
      <c r="A13813" s="515">
        <v>58704</v>
      </c>
      <c r="B13813" s="515" t="s">
        <v>849</v>
      </c>
      <c r="C13813" s="52">
        <v>270601.53515773499</v>
      </c>
      <c r="D13813" s="56">
        <v>4.5500070809489708E-2</v>
      </c>
      <c r="E13813" s="224" t="s">
        <v>2</v>
      </c>
      <c r="F13813" s="515" t="s">
        <v>14997</v>
      </c>
      <c r="G13813" s="52">
        <v>106676.97167912</v>
      </c>
      <c r="H13813" s="56">
        <v>0.1405354286878242</v>
      </c>
      <c r="I13813" s="224" t="s">
        <v>2</v>
      </c>
    </row>
    <row r="13814" spans="1:9" x14ac:dyDescent="0.25">
      <c r="A13814" s="515">
        <v>53583</v>
      </c>
      <c r="B13814" s="515" t="s">
        <v>916</v>
      </c>
      <c r="C13814" s="52">
        <v>316771.48715945799</v>
      </c>
      <c r="D13814" s="56">
        <v>3.4572180466246237E-2</v>
      </c>
      <c r="E13814" s="224" t="s">
        <v>2</v>
      </c>
      <c r="F13814" s="515" t="s">
        <v>14998</v>
      </c>
      <c r="G13814" s="52">
        <v>140774.90704503699</v>
      </c>
      <c r="H13814" s="56">
        <v>-6.460154822427952E-2</v>
      </c>
      <c r="I13814" s="224" t="s">
        <v>2</v>
      </c>
    </row>
    <row r="13815" spans="1:9" x14ac:dyDescent="0.25">
      <c r="A13815" s="515">
        <v>76272</v>
      </c>
      <c r="B13815" s="515" t="s">
        <v>770</v>
      </c>
      <c r="C13815" s="52">
        <v>453692.92273381399</v>
      </c>
      <c r="D13815" s="56">
        <v>0.11557556712149093</v>
      </c>
      <c r="E13815" s="224" t="s">
        <v>2</v>
      </c>
      <c r="F13815" s="515" t="s">
        <v>14999</v>
      </c>
      <c r="G13815" s="52">
        <v>906815.77853631496</v>
      </c>
      <c r="H13815" s="56">
        <v>2.3070649001829081E-2</v>
      </c>
      <c r="I13815" s="224" t="s">
        <v>2</v>
      </c>
    </row>
    <row r="13816" spans="1:9" x14ac:dyDescent="0.25">
      <c r="A13816" s="515">
        <v>53531</v>
      </c>
      <c r="B13816" s="515" t="s">
        <v>727</v>
      </c>
      <c r="C13816" s="52">
        <v>340010.56270681001</v>
      </c>
      <c r="D13816" s="56">
        <v>4.4370212711459661E-2</v>
      </c>
      <c r="E13816" s="224" t="s">
        <v>2</v>
      </c>
      <c r="F13816" s="515" t="s">
        <v>15000</v>
      </c>
      <c r="G13816" s="52">
        <v>133736.26461294701</v>
      </c>
      <c r="H13816" s="56">
        <v>9.2062436049742999E-2</v>
      </c>
      <c r="I13816" s="224" t="s">
        <v>2</v>
      </c>
    </row>
    <row r="13817" spans="1:9" x14ac:dyDescent="0.25">
      <c r="A13817" s="515">
        <v>15728</v>
      </c>
      <c r="B13817" s="515" t="s">
        <v>343</v>
      </c>
      <c r="C13817" s="52">
        <v>101650.44102878</v>
      </c>
      <c r="D13817" s="56">
        <v>6.5565037459154374E-2</v>
      </c>
      <c r="E13817" s="224" t="s">
        <v>2</v>
      </c>
      <c r="F13817" s="515" t="s">
        <v>15001</v>
      </c>
      <c r="G13817" s="52">
        <v>132426.253084064</v>
      </c>
      <c r="H13817" s="56">
        <v>6.9441543659799418E-2</v>
      </c>
      <c r="I13817" s="224" t="s">
        <v>2</v>
      </c>
    </row>
    <row r="13818" spans="1:9" x14ac:dyDescent="0.25">
      <c r="A13818" s="515">
        <v>29827</v>
      </c>
      <c r="C13818" s="52">
        <v>62757.941360169498</v>
      </c>
      <c r="D13818" s="56">
        <v>0.10637024088326491</v>
      </c>
      <c r="E13818" s="224" t="s">
        <v>2</v>
      </c>
      <c r="F13818" s="515" t="s">
        <v>15002</v>
      </c>
      <c r="G13818" s="52">
        <v>679113.22256326198</v>
      </c>
      <c r="H13818" s="56">
        <v>5.7129892453187586E-2</v>
      </c>
      <c r="I13818" s="224" t="s">
        <v>2</v>
      </c>
    </row>
    <row r="13819" spans="1:9" x14ac:dyDescent="0.25">
      <c r="A13819" s="515">
        <v>62644</v>
      </c>
      <c r="C13819" s="52">
        <v>68315.446245245999</v>
      </c>
      <c r="D13819" s="56">
        <v>-8.7736057228042036E-2</v>
      </c>
      <c r="E13819" s="224" t="s">
        <v>2</v>
      </c>
      <c r="F13819" s="515" t="s">
        <v>15003</v>
      </c>
      <c r="G13819" s="52">
        <v>245429.73716131601</v>
      </c>
      <c r="H13819" s="56">
        <v>9.9704279197861331E-2</v>
      </c>
      <c r="I13819" s="224" t="s">
        <v>2</v>
      </c>
    </row>
    <row r="13820" spans="1:9" x14ac:dyDescent="0.25">
      <c r="A13820" s="515">
        <v>79373</v>
      </c>
      <c r="B13820" s="515" t="s">
        <v>354</v>
      </c>
      <c r="C13820" s="52">
        <v>114531.345723266</v>
      </c>
      <c r="D13820" s="56">
        <v>-4.652522540461107E-2</v>
      </c>
      <c r="E13820" s="224" t="s">
        <v>2</v>
      </c>
      <c r="F13820" s="515" t="s">
        <v>15004</v>
      </c>
      <c r="G13820" s="52">
        <v>88855.717450816403</v>
      </c>
      <c r="H13820" s="56">
        <v>1.2194332289947903E-2</v>
      </c>
      <c r="I13820" s="224" t="s">
        <v>2</v>
      </c>
    </row>
    <row r="13821" spans="1:9" x14ac:dyDescent="0.25">
      <c r="A13821" s="515">
        <v>2838</v>
      </c>
      <c r="B13821" s="515" t="s">
        <v>513</v>
      </c>
      <c r="C13821" s="52">
        <v>358830.47095003602</v>
      </c>
      <c r="D13821" s="56">
        <v>8.2051948428348148E-2</v>
      </c>
      <c r="E13821" s="224" t="s">
        <v>2</v>
      </c>
      <c r="F13821" s="515" t="s">
        <v>15005</v>
      </c>
      <c r="G13821" s="52">
        <v>204371.410511597</v>
      </c>
      <c r="H13821" s="56">
        <v>8.9214915135059455E-2</v>
      </c>
      <c r="I13821" s="224" t="s">
        <v>2</v>
      </c>
    </row>
    <row r="13822" spans="1:9" x14ac:dyDescent="0.25">
      <c r="A13822" s="515">
        <v>37342</v>
      </c>
      <c r="B13822" s="515" t="s">
        <v>977</v>
      </c>
      <c r="C13822" s="52">
        <v>264809.41939952201</v>
      </c>
      <c r="D13822" s="56">
        <v>8.7751549566031414E-2</v>
      </c>
      <c r="E13822" s="224" t="s">
        <v>2</v>
      </c>
      <c r="F13822" s="515" t="s">
        <v>15006</v>
      </c>
      <c r="G13822" s="52">
        <v>121316.061807619</v>
      </c>
      <c r="H13822" s="56">
        <v>3.0567296024776838E-2</v>
      </c>
      <c r="I13822" s="224" t="s">
        <v>2</v>
      </c>
    </row>
    <row r="13823" spans="1:9" x14ac:dyDescent="0.25">
      <c r="A13823" s="515">
        <v>16121</v>
      </c>
      <c r="B13823" s="515" t="s">
        <v>397</v>
      </c>
      <c r="C13823" s="52">
        <v>57836.516167828297</v>
      </c>
      <c r="D13823" s="56">
        <v>7.8636529878334097E-2</v>
      </c>
      <c r="E13823" s="224" t="s">
        <v>2</v>
      </c>
      <c r="F13823" s="515" t="s">
        <v>15007</v>
      </c>
      <c r="G13823" s="52">
        <v>300161.81438807602</v>
      </c>
      <c r="H13823" s="56">
        <v>7.7183359599230436E-2</v>
      </c>
      <c r="I13823" s="224" t="s">
        <v>2</v>
      </c>
    </row>
    <row r="13824" spans="1:9" x14ac:dyDescent="0.25">
      <c r="A13824" s="515">
        <v>61739</v>
      </c>
      <c r="B13824" s="515" t="s">
        <v>678</v>
      </c>
      <c r="C13824" s="52">
        <v>147494.391464446</v>
      </c>
      <c r="D13824" s="56">
        <v>0.10272507592373044</v>
      </c>
      <c r="E13824" s="224" t="s">
        <v>2</v>
      </c>
      <c r="F13824" s="515" t="s">
        <v>15008</v>
      </c>
      <c r="G13824" s="52">
        <v>378073.85833532398</v>
      </c>
      <c r="H13824" s="56">
        <v>3.1249470314727523E-2</v>
      </c>
      <c r="I13824" s="224" t="s">
        <v>2</v>
      </c>
    </row>
    <row r="13825" spans="1:9" x14ac:dyDescent="0.25">
      <c r="A13825" s="515">
        <v>70819</v>
      </c>
      <c r="B13825" s="515" t="s">
        <v>610</v>
      </c>
      <c r="C13825" s="52">
        <v>166207.60306789001</v>
      </c>
      <c r="D13825" s="56">
        <v>2.7475983847166353E-2</v>
      </c>
      <c r="E13825" s="224" t="s">
        <v>2</v>
      </c>
      <c r="F13825" s="515" t="s">
        <v>15009</v>
      </c>
      <c r="G13825" s="52">
        <v>189459.39627130199</v>
      </c>
      <c r="H13825" s="56">
        <v>8.9503482046204272E-2</v>
      </c>
      <c r="I13825" s="224" t="s">
        <v>2</v>
      </c>
    </row>
    <row r="13826" spans="1:9" x14ac:dyDescent="0.25">
      <c r="A13826" s="515">
        <v>63877</v>
      </c>
      <c r="C13826" s="52">
        <v>98094.047239003907</v>
      </c>
      <c r="D13826" s="56">
        <v>7.6527422342641052E-2</v>
      </c>
      <c r="E13826" s="224" t="s">
        <v>2</v>
      </c>
      <c r="F13826" s="515" t="s">
        <v>15010</v>
      </c>
      <c r="G13826" s="52">
        <v>134352.69598791399</v>
      </c>
      <c r="H13826" s="56">
        <v>0.13317190426927522</v>
      </c>
      <c r="I13826" s="224" t="s">
        <v>2</v>
      </c>
    </row>
    <row r="13827" spans="1:9" x14ac:dyDescent="0.25">
      <c r="A13827" s="515">
        <v>18853</v>
      </c>
      <c r="B13827" s="515" t="s">
        <v>699</v>
      </c>
      <c r="C13827" s="52">
        <v>196772.21355146301</v>
      </c>
      <c r="D13827" s="56">
        <v>6.0646404685728302E-2</v>
      </c>
      <c r="E13827" s="224" t="s">
        <v>2</v>
      </c>
      <c r="F13827" s="515" t="s">
        <v>15011</v>
      </c>
      <c r="G13827" s="52">
        <v>112737.504685322</v>
      </c>
      <c r="H13827" s="56">
        <v>2.328128860737198E-2</v>
      </c>
      <c r="I13827" s="224" t="s">
        <v>2</v>
      </c>
    </row>
    <row r="13828" spans="1:9" x14ac:dyDescent="0.25">
      <c r="A13828" s="515">
        <v>39576</v>
      </c>
      <c r="B13828" s="515" t="s">
        <v>963</v>
      </c>
      <c r="C13828" s="52">
        <v>201451.23096859601</v>
      </c>
      <c r="D13828" s="56">
        <v>7.6983169167353455E-2</v>
      </c>
      <c r="E13828" s="224" t="s">
        <v>2</v>
      </c>
      <c r="F13828" s="515" t="s">
        <v>15012</v>
      </c>
      <c r="G13828" s="52">
        <v>135173.28125113301</v>
      </c>
      <c r="H13828" s="56">
        <v>2.3854852398500243E-2</v>
      </c>
      <c r="I13828" s="224" t="s">
        <v>2</v>
      </c>
    </row>
    <row r="13829" spans="1:9" x14ac:dyDescent="0.25">
      <c r="A13829" s="515">
        <v>24549</v>
      </c>
      <c r="B13829" s="515" t="s">
        <v>901</v>
      </c>
      <c r="C13829" s="52">
        <v>161498.241900819</v>
      </c>
      <c r="D13829" s="56">
        <v>0.10841749742473725</v>
      </c>
      <c r="E13829" s="224" t="s">
        <v>2</v>
      </c>
      <c r="F13829" s="515" t="s">
        <v>15013</v>
      </c>
      <c r="G13829" s="52">
        <v>507338.40887225699</v>
      </c>
      <c r="H13829" s="56">
        <v>0.13027231997909641</v>
      </c>
      <c r="I13829" s="224" t="s">
        <v>2</v>
      </c>
    </row>
    <row r="13830" spans="1:9" x14ac:dyDescent="0.25">
      <c r="A13830" s="515">
        <v>86022</v>
      </c>
      <c r="B13830" s="515" t="s">
        <v>453</v>
      </c>
      <c r="C13830" s="52">
        <v>238576.476729271</v>
      </c>
      <c r="D13830" s="56">
        <v>7.112407821293526E-2</v>
      </c>
      <c r="E13830" s="224" t="s">
        <v>2</v>
      </c>
      <c r="F13830" s="515" t="s">
        <v>15014</v>
      </c>
      <c r="G13830" s="52">
        <v>117552.55060847101</v>
      </c>
      <c r="H13830" s="56">
        <v>3.207183400325863E-2</v>
      </c>
      <c r="I13830" s="224" t="s">
        <v>2</v>
      </c>
    </row>
    <row r="13831" spans="1:9" x14ac:dyDescent="0.25">
      <c r="A13831" s="515">
        <v>52301</v>
      </c>
      <c r="C13831" s="52">
        <v>159955.58112787001</v>
      </c>
      <c r="D13831" s="56">
        <v>0.12490367982974569</v>
      </c>
      <c r="E13831" s="224" t="s">
        <v>2</v>
      </c>
      <c r="F13831" s="515" t="s">
        <v>15015</v>
      </c>
      <c r="G13831" s="52">
        <v>143563.04782922601</v>
      </c>
      <c r="H13831" s="56">
        <v>7.2111197927617776E-2</v>
      </c>
      <c r="I13831" s="224" t="s">
        <v>2</v>
      </c>
    </row>
    <row r="13832" spans="1:9" x14ac:dyDescent="0.25">
      <c r="A13832" s="515">
        <v>71234</v>
      </c>
      <c r="B13832" s="515" t="s">
        <v>695</v>
      </c>
      <c r="C13832" s="52">
        <v>190091.67383411599</v>
      </c>
      <c r="D13832" s="56">
        <v>8.6158288551975104E-2</v>
      </c>
      <c r="E13832" s="224" t="s">
        <v>2</v>
      </c>
      <c r="F13832" s="515" t="s">
        <v>15016</v>
      </c>
      <c r="G13832" s="52">
        <v>221181.994356626</v>
      </c>
      <c r="H13832" s="56">
        <v>8.7912546787108456E-2</v>
      </c>
      <c r="I13832" s="224" t="s">
        <v>2</v>
      </c>
    </row>
    <row r="13833" spans="1:9" x14ac:dyDescent="0.25">
      <c r="A13833" s="515">
        <v>66743</v>
      </c>
      <c r="B13833" s="515" t="s">
        <v>669</v>
      </c>
      <c r="C13833" s="52">
        <v>117837.747738394</v>
      </c>
      <c r="D13833" s="56">
        <v>0.1707756371665867</v>
      </c>
      <c r="E13833" s="224" t="s">
        <v>2</v>
      </c>
      <c r="F13833" s="515" t="s">
        <v>15017</v>
      </c>
      <c r="G13833" s="52">
        <v>151790.90961826401</v>
      </c>
      <c r="H13833" s="56">
        <v>8.8282173164380376E-2</v>
      </c>
      <c r="I13833" s="224" t="s">
        <v>2</v>
      </c>
    </row>
    <row r="13834" spans="1:9" x14ac:dyDescent="0.25">
      <c r="A13834" s="515">
        <v>97734</v>
      </c>
      <c r="C13834" s="52">
        <v>371632.33669526997</v>
      </c>
      <c r="D13834" s="56">
        <v>3.9760467163446361E-2</v>
      </c>
      <c r="E13834" s="224" t="s">
        <v>2</v>
      </c>
      <c r="F13834" s="515" t="s">
        <v>15018</v>
      </c>
      <c r="G13834" s="52">
        <v>241540.49711544201</v>
      </c>
      <c r="H13834" s="56">
        <v>7.9887325651664731E-2</v>
      </c>
      <c r="I13834" s="224" t="s">
        <v>2</v>
      </c>
    </row>
    <row r="13835" spans="1:9" x14ac:dyDescent="0.25">
      <c r="A13835" s="515">
        <v>57049</v>
      </c>
      <c r="B13835" s="515" t="s">
        <v>649</v>
      </c>
      <c r="C13835" s="52">
        <v>392314.38400103297</v>
      </c>
      <c r="D13835" s="56">
        <v>6.4972933406158118E-2</v>
      </c>
      <c r="E13835" s="224" t="s">
        <v>2</v>
      </c>
      <c r="F13835" s="515" t="s">
        <v>15019</v>
      </c>
      <c r="G13835" s="52">
        <v>242422.30960906399</v>
      </c>
      <c r="H13835" s="56">
        <v>8.0018006911484474E-2</v>
      </c>
      <c r="I13835" s="224" t="s">
        <v>2</v>
      </c>
    </row>
    <row r="13836" spans="1:9" x14ac:dyDescent="0.25">
      <c r="A13836" s="515">
        <v>30178</v>
      </c>
      <c r="B13836" s="515" t="s">
        <v>1179</v>
      </c>
      <c r="C13836" s="52">
        <v>309073.79601220199</v>
      </c>
      <c r="D13836" s="56">
        <v>0.11044081477663349</v>
      </c>
      <c r="E13836" s="224" t="s">
        <v>2</v>
      </c>
      <c r="F13836" s="515" t="s">
        <v>15020</v>
      </c>
      <c r="G13836" s="52">
        <v>466619.75950615702</v>
      </c>
      <c r="H13836" s="56">
        <v>4.7537565162386212E-2</v>
      </c>
      <c r="I13836" s="224" t="s">
        <v>2</v>
      </c>
    </row>
    <row r="13837" spans="1:9" x14ac:dyDescent="0.25">
      <c r="A13837" s="515">
        <v>47562</v>
      </c>
      <c r="B13837" s="515" t="s">
        <v>922</v>
      </c>
      <c r="C13837" s="52">
        <v>216895.390226863</v>
      </c>
      <c r="D13837" s="56">
        <v>8.9319161426175422E-2</v>
      </c>
      <c r="E13837" s="224" t="s">
        <v>2</v>
      </c>
      <c r="F13837" s="515" t="s">
        <v>15021</v>
      </c>
      <c r="G13837" s="52">
        <v>166669.31209057799</v>
      </c>
      <c r="H13837" s="56">
        <v>0.19049209043977897</v>
      </c>
      <c r="I13837" s="224" t="s">
        <v>2</v>
      </c>
    </row>
    <row r="13838" spans="1:9" x14ac:dyDescent="0.25">
      <c r="A13838" s="515">
        <v>28636</v>
      </c>
      <c r="B13838" s="515" t="s">
        <v>638</v>
      </c>
      <c r="C13838" s="52">
        <v>178611.69134286701</v>
      </c>
      <c r="D13838" s="56">
        <v>8.9419913468480133E-2</v>
      </c>
      <c r="E13838" s="224" t="s">
        <v>2</v>
      </c>
      <c r="F13838" s="515" t="s">
        <v>15022</v>
      </c>
      <c r="G13838" s="52">
        <v>348211.71170983702</v>
      </c>
      <c r="H13838" s="56">
        <v>0.11296712188314596</v>
      </c>
      <c r="I13838" s="224" t="s">
        <v>2</v>
      </c>
    </row>
    <row r="13839" spans="1:9" x14ac:dyDescent="0.25">
      <c r="A13839" s="515">
        <v>24368</v>
      </c>
      <c r="C13839" s="52">
        <v>174372.000730703</v>
      </c>
      <c r="D13839" s="56">
        <v>9.591196851770685E-2</v>
      </c>
      <c r="E13839" s="224" t="s">
        <v>2</v>
      </c>
      <c r="F13839" s="515" t="s">
        <v>15023</v>
      </c>
      <c r="G13839" s="52">
        <v>110529.268060706</v>
      </c>
      <c r="H13839" s="56">
        <v>0.20550530481057266</v>
      </c>
      <c r="I13839" s="224" t="s">
        <v>2</v>
      </c>
    </row>
    <row r="13840" spans="1:9" x14ac:dyDescent="0.25">
      <c r="A13840" s="515">
        <v>38469</v>
      </c>
      <c r="B13840" s="515" t="s">
        <v>873</v>
      </c>
      <c r="C13840" s="52">
        <v>198412.56855692301</v>
      </c>
      <c r="D13840" s="56">
        <v>9.5651395791759755E-2</v>
      </c>
      <c r="E13840" s="224" t="s">
        <v>2</v>
      </c>
      <c r="F13840" s="515" t="s">
        <v>15024</v>
      </c>
      <c r="G13840" s="52">
        <v>150139.09847430899</v>
      </c>
      <c r="H13840" s="56">
        <v>-9.5936996337995673E-3</v>
      </c>
      <c r="I13840" s="224" t="s">
        <v>2</v>
      </c>
    </row>
    <row r="13841" spans="1:9" x14ac:dyDescent="0.25">
      <c r="A13841" s="515">
        <v>12134</v>
      </c>
      <c r="B13841" s="515" t="s">
        <v>744</v>
      </c>
      <c r="C13841" s="52">
        <v>264600.059964435</v>
      </c>
      <c r="D13841" s="56">
        <v>0.10188485417444136</v>
      </c>
      <c r="E13841" s="224" t="s">
        <v>2</v>
      </c>
      <c r="F13841" s="515" t="s">
        <v>15025</v>
      </c>
      <c r="G13841" s="52">
        <v>104904.61789194601</v>
      </c>
      <c r="H13841" s="56">
        <v>4.0329329086109901E-2</v>
      </c>
      <c r="I13841" s="224" t="s">
        <v>2</v>
      </c>
    </row>
    <row r="13842" spans="1:9" x14ac:dyDescent="0.25">
      <c r="A13842" s="515">
        <v>38855</v>
      </c>
      <c r="B13842" s="515" t="s">
        <v>1010</v>
      </c>
      <c r="C13842" s="52">
        <v>131872.582726344</v>
      </c>
      <c r="D13842" s="56">
        <v>-3.5573637938270772E-2</v>
      </c>
      <c r="E13842" s="224" t="s">
        <v>2</v>
      </c>
      <c r="F13842" s="515" t="s">
        <v>15026</v>
      </c>
      <c r="G13842" s="52">
        <v>479414.49242785299</v>
      </c>
      <c r="H13842" s="56">
        <v>7.0200882294712025E-2</v>
      </c>
      <c r="I13842" s="224" t="s">
        <v>2</v>
      </c>
    </row>
    <row r="13843" spans="1:9" x14ac:dyDescent="0.25">
      <c r="A13843" s="515">
        <v>53076</v>
      </c>
      <c r="B13843" s="515" t="s">
        <v>950</v>
      </c>
      <c r="C13843" s="52">
        <v>450665.71541822603</v>
      </c>
      <c r="D13843" s="56">
        <v>5.5532075888393928E-2</v>
      </c>
      <c r="E13843" s="224" t="s">
        <v>2</v>
      </c>
      <c r="F13843" s="515" t="s">
        <v>15027</v>
      </c>
      <c r="G13843" s="52">
        <v>148454.60041277399</v>
      </c>
      <c r="H13843" s="56">
        <v>0</v>
      </c>
      <c r="I13843" s="224" t="s">
        <v>2</v>
      </c>
    </row>
    <row r="13844" spans="1:9" x14ac:dyDescent="0.25">
      <c r="A13844" s="515">
        <v>27830</v>
      </c>
      <c r="B13844" s="515" t="s">
        <v>1178</v>
      </c>
      <c r="C13844" s="52">
        <v>111576.43273533</v>
      </c>
      <c r="D13844" s="56">
        <v>0.13357402082698222</v>
      </c>
      <c r="E13844" s="224" t="s">
        <v>2</v>
      </c>
      <c r="F13844" s="515" t="s">
        <v>15028</v>
      </c>
      <c r="G13844" s="52">
        <v>164569.79895132</v>
      </c>
      <c r="H13844" s="56">
        <v>6.983214956391573E-2</v>
      </c>
      <c r="I13844" s="224" t="s">
        <v>2</v>
      </c>
    </row>
    <row r="13845" spans="1:9" x14ac:dyDescent="0.25">
      <c r="A13845" s="515">
        <v>19025</v>
      </c>
      <c r="B13845" s="515" t="s">
        <v>294</v>
      </c>
      <c r="C13845" s="52">
        <v>579202.25076808396</v>
      </c>
      <c r="D13845" s="56">
        <v>5.7183099532707095E-2</v>
      </c>
      <c r="E13845" s="224" t="s">
        <v>2</v>
      </c>
      <c r="F13845" s="515" t="s">
        <v>15029</v>
      </c>
      <c r="G13845" s="52">
        <v>193625.21250382101</v>
      </c>
      <c r="H13845" s="56">
        <v>5.0506880914439542E-2</v>
      </c>
      <c r="I13845" s="224" t="s">
        <v>2</v>
      </c>
    </row>
    <row r="13846" spans="1:9" x14ac:dyDescent="0.25">
      <c r="A13846" s="515">
        <v>85337</v>
      </c>
      <c r="B13846" s="515" t="s">
        <v>563</v>
      </c>
      <c r="C13846" s="52">
        <v>173560.89960579501</v>
      </c>
      <c r="D13846" s="56">
        <v>2.9518398109513247E-2</v>
      </c>
      <c r="E13846" s="224" t="s">
        <v>2</v>
      </c>
      <c r="F13846" s="515" t="s">
        <v>15030</v>
      </c>
      <c r="G13846" s="52">
        <v>133945.42524980399</v>
      </c>
      <c r="H13846" s="56">
        <v>7.5679307347648064E-2</v>
      </c>
      <c r="I13846" s="224" t="s">
        <v>2</v>
      </c>
    </row>
    <row r="13847" spans="1:9" x14ac:dyDescent="0.25">
      <c r="A13847" s="515">
        <v>77831</v>
      </c>
      <c r="C13847" s="52">
        <v>250402.309461909</v>
      </c>
      <c r="D13847" s="56">
        <v>5.6938758616092461E-2</v>
      </c>
      <c r="E13847" s="224" t="s">
        <v>2</v>
      </c>
      <c r="F13847" s="515" t="s">
        <v>15031</v>
      </c>
      <c r="G13847" s="52">
        <v>212370.95850156801</v>
      </c>
      <c r="H13847" s="56">
        <v>0</v>
      </c>
      <c r="I13847" s="224" t="s">
        <v>2</v>
      </c>
    </row>
    <row r="13848" spans="1:9" x14ac:dyDescent="0.25">
      <c r="A13848" s="515">
        <v>36260</v>
      </c>
      <c r="B13848" s="515" t="s">
        <v>927</v>
      </c>
      <c r="C13848" s="52">
        <v>149486.996568798</v>
      </c>
      <c r="D13848" s="56">
        <v>6.6519729982262313E-2</v>
      </c>
      <c r="E13848" s="224" t="s">
        <v>2</v>
      </c>
      <c r="F13848" s="515" t="s">
        <v>15032</v>
      </c>
      <c r="G13848" s="52">
        <v>226826.00079975801</v>
      </c>
      <c r="H13848" s="56">
        <v>3.2041079845115984E-2</v>
      </c>
      <c r="I13848" s="224" t="s">
        <v>2</v>
      </c>
    </row>
    <row r="13849" spans="1:9" x14ac:dyDescent="0.25">
      <c r="A13849" s="515">
        <v>27541</v>
      </c>
      <c r="B13849" s="515" t="s">
        <v>467</v>
      </c>
      <c r="C13849" s="52">
        <v>281394.80514016602</v>
      </c>
      <c r="D13849" s="56">
        <v>0.1386395759877368</v>
      </c>
      <c r="E13849" s="224" t="s">
        <v>2</v>
      </c>
      <c r="F13849" s="515" t="s">
        <v>15033</v>
      </c>
      <c r="G13849" s="52">
        <v>182469.38374768701</v>
      </c>
      <c r="H13849" s="56">
        <v>3.4046565001327043E-2</v>
      </c>
      <c r="I13849" s="224" t="s">
        <v>2</v>
      </c>
    </row>
    <row r="13850" spans="1:9" x14ac:dyDescent="0.25">
      <c r="A13850" s="515">
        <v>77050</v>
      </c>
      <c r="B13850" s="515" t="s">
        <v>314</v>
      </c>
      <c r="C13850" s="52">
        <v>180975.73629301001</v>
      </c>
      <c r="D13850" s="56">
        <v>0.16429329341493878</v>
      </c>
      <c r="E13850" s="224" t="s">
        <v>2</v>
      </c>
      <c r="F13850" s="515" t="s">
        <v>15034</v>
      </c>
      <c r="G13850" s="52">
        <v>145630.94764397599</v>
      </c>
      <c r="H13850" s="56">
        <v>5.3927611026343303E-2</v>
      </c>
      <c r="I13850" s="224" t="s">
        <v>2</v>
      </c>
    </row>
    <row r="13851" spans="1:9" x14ac:dyDescent="0.25">
      <c r="A13851" s="515">
        <v>44217</v>
      </c>
      <c r="B13851" s="515" t="s">
        <v>1136</v>
      </c>
      <c r="C13851" s="52">
        <v>313382.07514688</v>
      </c>
      <c r="D13851" s="56">
        <v>0.46856751959937265</v>
      </c>
      <c r="E13851" s="224" t="s">
        <v>2</v>
      </c>
      <c r="F13851" s="515" t="s">
        <v>15035</v>
      </c>
      <c r="G13851" s="52">
        <v>105240.480968925</v>
      </c>
      <c r="H13851" s="56">
        <v>7.2204164384891245E-2</v>
      </c>
      <c r="I13851" s="224" t="s">
        <v>2</v>
      </c>
    </row>
    <row r="13852" spans="1:9" x14ac:dyDescent="0.25">
      <c r="A13852" s="515">
        <v>67554</v>
      </c>
      <c r="C13852" s="52">
        <v>83747.644428613101</v>
      </c>
      <c r="D13852" s="56">
        <v>7.4262607628515998E-2</v>
      </c>
      <c r="E13852" s="224" t="s">
        <v>2</v>
      </c>
      <c r="F13852" s="515" t="s">
        <v>15036</v>
      </c>
      <c r="G13852" s="52">
        <v>167631.122508353</v>
      </c>
      <c r="H13852" s="56">
        <v>0.1109558711189782</v>
      </c>
      <c r="I13852" s="224" t="s">
        <v>2</v>
      </c>
    </row>
    <row r="13853" spans="1:9" x14ac:dyDescent="0.25">
      <c r="A13853" s="515">
        <v>13733</v>
      </c>
      <c r="C13853" s="52">
        <v>150713.22347794101</v>
      </c>
      <c r="D13853" s="56">
        <v>0.10251208583093342</v>
      </c>
      <c r="E13853" s="224" t="s">
        <v>2</v>
      </c>
      <c r="F13853" s="515" t="s">
        <v>15037</v>
      </c>
      <c r="G13853" s="52">
        <v>93905.580425990003</v>
      </c>
      <c r="H13853" s="56">
        <v>0.36116913204936252</v>
      </c>
      <c r="I13853" s="224" t="s">
        <v>2</v>
      </c>
    </row>
    <row r="13854" spans="1:9" x14ac:dyDescent="0.25">
      <c r="A13854" s="515">
        <v>80928</v>
      </c>
      <c r="B13854" s="515" t="s">
        <v>701</v>
      </c>
      <c r="C13854" s="52">
        <v>356611.09814119397</v>
      </c>
      <c r="D13854" s="56">
        <v>3.2847368879179391E-2</v>
      </c>
      <c r="E13854" s="224" t="s">
        <v>2</v>
      </c>
      <c r="F13854" s="515" t="s">
        <v>15038</v>
      </c>
      <c r="G13854" s="52">
        <v>160727.48143906399</v>
      </c>
      <c r="H13854" s="56">
        <v>6.6389089052931977E-2</v>
      </c>
      <c r="I13854" s="224" t="s">
        <v>2</v>
      </c>
    </row>
    <row r="13855" spans="1:9" x14ac:dyDescent="0.25">
      <c r="A13855" s="515">
        <v>76821</v>
      </c>
      <c r="C13855" s="52">
        <v>98389.633907546406</v>
      </c>
      <c r="D13855" s="56">
        <v>-6.1476184098832341E-2</v>
      </c>
      <c r="E13855" s="224" t="s">
        <v>2</v>
      </c>
      <c r="F13855" s="515" t="s">
        <v>15039</v>
      </c>
      <c r="G13855" s="52">
        <v>101707.60177179299</v>
      </c>
      <c r="H13855" s="56">
        <v>0.10148832912533187</v>
      </c>
      <c r="I13855" s="224" t="s">
        <v>2</v>
      </c>
    </row>
    <row r="13856" spans="1:9" x14ac:dyDescent="0.25">
      <c r="A13856" s="515">
        <v>37690</v>
      </c>
      <c r="B13856" s="515" t="s">
        <v>988</v>
      </c>
      <c r="C13856" s="52">
        <v>239583.811620455</v>
      </c>
      <c r="D13856" s="56">
        <v>8.6610934948514226E-2</v>
      </c>
      <c r="E13856" s="224" t="s">
        <v>2</v>
      </c>
      <c r="F13856" s="515" t="s">
        <v>15040</v>
      </c>
      <c r="G13856" s="52">
        <v>152565.155588494</v>
      </c>
      <c r="H13856" s="56">
        <v>2.984088862267904E-2</v>
      </c>
      <c r="I13856" s="224" t="s">
        <v>2</v>
      </c>
    </row>
    <row r="13857" spans="1:9" x14ac:dyDescent="0.25">
      <c r="A13857" s="515">
        <v>26764</v>
      </c>
      <c r="B13857" s="515" t="s">
        <v>643</v>
      </c>
      <c r="C13857" s="52">
        <v>151995.12082870101</v>
      </c>
      <c r="D13857" s="56">
        <v>0.10409574555158962</v>
      </c>
      <c r="E13857" s="224" t="s">
        <v>2</v>
      </c>
      <c r="F13857" s="515" t="s">
        <v>15041</v>
      </c>
      <c r="G13857" s="52">
        <v>158901.19045717001</v>
      </c>
      <c r="H13857" s="56">
        <v>5.472293773569864E-2</v>
      </c>
      <c r="I13857" s="224" t="s">
        <v>2</v>
      </c>
    </row>
    <row r="13858" spans="1:9" x14ac:dyDescent="0.25">
      <c r="A13858" s="515">
        <v>15473</v>
      </c>
      <c r="B13858" s="515" t="s">
        <v>297</v>
      </c>
      <c r="C13858" s="52">
        <v>169148.89852399999</v>
      </c>
      <c r="D13858" s="56">
        <v>1.8213113011247298E-2</v>
      </c>
      <c r="E13858" s="224" t="s">
        <v>2</v>
      </c>
      <c r="F13858" s="515" t="s">
        <v>15042</v>
      </c>
      <c r="G13858" s="52">
        <v>101368.752472393</v>
      </c>
      <c r="H13858" s="56">
        <v>0.12747815912373697</v>
      </c>
      <c r="I13858" s="224" t="s">
        <v>2</v>
      </c>
    </row>
    <row r="13859" spans="1:9" x14ac:dyDescent="0.25">
      <c r="A13859" s="515">
        <v>72042</v>
      </c>
      <c r="C13859" s="52">
        <v>84612.168200535394</v>
      </c>
      <c r="D13859" s="56">
        <v>-6.8464173230668959E-2</v>
      </c>
      <c r="E13859" s="224" t="s">
        <v>2</v>
      </c>
      <c r="F13859" s="515" t="s">
        <v>15043</v>
      </c>
      <c r="G13859" s="52">
        <v>343685.96952581097</v>
      </c>
      <c r="H13859" s="56">
        <v>6.9083060198733198E-2</v>
      </c>
      <c r="I13859" s="224" t="s">
        <v>2</v>
      </c>
    </row>
    <row r="13860" spans="1:9" x14ac:dyDescent="0.25">
      <c r="A13860" s="515">
        <v>74029</v>
      </c>
      <c r="B13860" s="515" t="s">
        <v>1106</v>
      </c>
      <c r="C13860" s="52">
        <v>115979.706093281</v>
      </c>
      <c r="D13860" s="56">
        <v>7.127880541377693E-2</v>
      </c>
      <c r="E13860" s="224" t="s">
        <v>2</v>
      </c>
      <c r="F13860" s="515" t="s">
        <v>15044</v>
      </c>
      <c r="G13860" s="52">
        <v>107655.406723069</v>
      </c>
      <c r="H13860" s="56">
        <v>0</v>
      </c>
      <c r="I13860" s="224" t="s">
        <v>2</v>
      </c>
    </row>
    <row r="13861" spans="1:9" x14ac:dyDescent="0.25">
      <c r="A13861" s="515">
        <v>48137</v>
      </c>
      <c r="B13861" s="515" t="s">
        <v>685</v>
      </c>
      <c r="C13861" s="52">
        <v>280272.58820320602</v>
      </c>
      <c r="D13861" s="56">
        <v>4.9730502128334478E-2</v>
      </c>
      <c r="E13861" s="224" t="s">
        <v>2</v>
      </c>
      <c r="F13861" s="515" t="s">
        <v>15045</v>
      </c>
      <c r="G13861" s="52">
        <v>120004.942834056</v>
      </c>
      <c r="H13861" s="56">
        <v>5.2429958775663352E-2</v>
      </c>
      <c r="I13861" s="224" t="s">
        <v>2</v>
      </c>
    </row>
    <row r="13862" spans="1:9" x14ac:dyDescent="0.25">
      <c r="A13862" s="515">
        <v>49265</v>
      </c>
      <c r="B13862" s="515" t="s">
        <v>958</v>
      </c>
      <c r="C13862" s="52">
        <v>250171.68578239001</v>
      </c>
      <c r="D13862" s="56">
        <v>9.0937190725419198E-2</v>
      </c>
      <c r="E13862" s="224" t="s">
        <v>2</v>
      </c>
      <c r="F13862" s="515" t="s">
        <v>15046</v>
      </c>
      <c r="G13862" s="52">
        <v>669710.004151467</v>
      </c>
      <c r="H13862" s="56">
        <v>6.4756693640433266E-2</v>
      </c>
      <c r="I13862" s="224" t="s">
        <v>2</v>
      </c>
    </row>
    <row r="13863" spans="1:9" x14ac:dyDescent="0.25">
      <c r="A13863" s="515">
        <v>16749</v>
      </c>
      <c r="B13863" s="515" t="s">
        <v>604</v>
      </c>
      <c r="C13863" s="52">
        <v>89530.282829820906</v>
      </c>
      <c r="D13863" s="56">
        <v>1.5788287329018297E-2</v>
      </c>
      <c r="E13863" s="224" t="s">
        <v>2</v>
      </c>
      <c r="F13863" s="515" t="s">
        <v>15047</v>
      </c>
      <c r="G13863" s="52">
        <v>172564.76816011799</v>
      </c>
      <c r="H13863" s="56">
        <v>5.471210592009481E-2</v>
      </c>
      <c r="I13863" s="224" t="s">
        <v>2</v>
      </c>
    </row>
    <row r="13864" spans="1:9" x14ac:dyDescent="0.25">
      <c r="A13864" s="515">
        <v>43824</v>
      </c>
      <c r="B13864" s="515" t="s">
        <v>905</v>
      </c>
      <c r="C13864" s="52">
        <v>235990.27830347701</v>
      </c>
      <c r="D13864" s="56">
        <v>0.13605581726871754</v>
      </c>
      <c r="E13864" s="224" t="s">
        <v>2</v>
      </c>
      <c r="F13864" s="515" t="s">
        <v>15048</v>
      </c>
      <c r="G13864" s="52">
        <v>234053.52653242901</v>
      </c>
      <c r="H13864" s="56">
        <v>0.16865475755178716</v>
      </c>
      <c r="I13864" s="224" t="s">
        <v>2</v>
      </c>
    </row>
    <row r="13865" spans="1:9" x14ac:dyDescent="0.25">
      <c r="A13865" s="515">
        <v>40023</v>
      </c>
      <c r="B13865" s="515" t="s">
        <v>479</v>
      </c>
      <c r="C13865" s="52">
        <v>475405.66480337299</v>
      </c>
      <c r="D13865" s="56">
        <v>6.4986860111489214E-2</v>
      </c>
      <c r="E13865" s="224" t="s">
        <v>2</v>
      </c>
      <c r="F13865" s="515" t="s">
        <v>15049</v>
      </c>
      <c r="G13865" s="52">
        <v>220337.85873674499</v>
      </c>
      <c r="H13865" s="56">
        <v>4.9700962626424094E-2</v>
      </c>
      <c r="I13865" s="224" t="s">
        <v>2</v>
      </c>
    </row>
    <row r="13866" spans="1:9" x14ac:dyDescent="0.25">
      <c r="A13866" s="515">
        <v>3254</v>
      </c>
      <c r="C13866" s="52">
        <v>622317.11023856804</v>
      </c>
      <c r="D13866" s="56">
        <v>0.10915596308256889</v>
      </c>
      <c r="E13866" s="224" t="s">
        <v>2</v>
      </c>
      <c r="F13866" s="515" t="s">
        <v>15050</v>
      </c>
      <c r="G13866" s="52">
        <v>194385.21912481601</v>
      </c>
      <c r="H13866" s="56">
        <v>8.5473279554208526E-2</v>
      </c>
      <c r="I13866" s="224" t="s">
        <v>2</v>
      </c>
    </row>
    <row r="13867" spans="1:9" x14ac:dyDescent="0.25">
      <c r="A13867" s="515">
        <v>7058</v>
      </c>
      <c r="B13867" s="515" t="s">
        <v>324</v>
      </c>
      <c r="C13867" s="52">
        <v>712875.64884724596</v>
      </c>
      <c r="D13867" s="56">
        <v>4.5901759801482492E-2</v>
      </c>
      <c r="E13867" s="224" t="s">
        <v>2</v>
      </c>
      <c r="F13867" s="515" t="s">
        <v>15051</v>
      </c>
      <c r="G13867" s="52">
        <v>190690.126501438</v>
      </c>
      <c r="H13867" s="56">
        <v>7.9680420523738499E-3</v>
      </c>
      <c r="I13867" s="224" t="s">
        <v>2</v>
      </c>
    </row>
    <row r="13868" spans="1:9" x14ac:dyDescent="0.25">
      <c r="A13868" s="515">
        <v>19022</v>
      </c>
      <c r="B13868" s="515" t="s">
        <v>294</v>
      </c>
      <c r="C13868" s="52">
        <v>163105.720278241</v>
      </c>
      <c r="D13868" s="56">
        <v>0.11762591464598075</v>
      </c>
      <c r="E13868" s="224" t="s">
        <v>2</v>
      </c>
      <c r="F13868" s="515" t="s">
        <v>15052</v>
      </c>
      <c r="G13868" s="52">
        <v>133272.425189022</v>
      </c>
      <c r="H13868" s="56">
        <v>0.11087321328594135</v>
      </c>
      <c r="I13868" s="224" t="s">
        <v>2</v>
      </c>
    </row>
    <row r="13869" spans="1:9" x14ac:dyDescent="0.25">
      <c r="A13869" s="515">
        <v>77434</v>
      </c>
      <c r="C13869" s="52">
        <v>120789.07697708601</v>
      </c>
      <c r="D13869" s="56">
        <v>-5.4836674950556217E-3</v>
      </c>
      <c r="E13869" s="224" t="s">
        <v>2</v>
      </c>
      <c r="F13869" s="515" t="s">
        <v>15053</v>
      </c>
      <c r="G13869" s="52">
        <v>189653.79468606901</v>
      </c>
      <c r="H13869" s="56">
        <v>7.2863716390594122E-2</v>
      </c>
      <c r="I13869" s="224" t="s">
        <v>2</v>
      </c>
    </row>
    <row r="13870" spans="1:9" x14ac:dyDescent="0.25">
      <c r="A13870" s="515">
        <v>24090</v>
      </c>
      <c r="B13870" s="515" t="s">
        <v>861</v>
      </c>
      <c r="C13870" s="52">
        <v>284797.18417847698</v>
      </c>
      <c r="D13870" s="56">
        <v>4.5861249265317039E-2</v>
      </c>
      <c r="E13870" s="224" t="s">
        <v>2</v>
      </c>
      <c r="F13870" s="515" t="s">
        <v>15054</v>
      </c>
      <c r="G13870" s="52">
        <v>313621.38856379403</v>
      </c>
      <c r="H13870" s="56">
        <v>7.6015485034283481E-3</v>
      </c>
      <c r="I13870" s="224" t="s">
        <v>2</v>
      </c>
    </row>
    <row r="13871" spans="1:9" x14ac:dyDescent="0.25">
      <c r="A13871" s="515">
        <v>42041</v>
      </c>
      <c r="C13871" s="52">
        <v>95004.329463632705</v>
      </c>
      <c r="D13871" s="56">
        <v>0.23234067740755104</v>
      </c>
      <c r="E13871" s="224" t="s">
        <v>2</v>
      </c>
      <c r="F13871" s="515" t="s">
        <v>15055</v>
      </c>
      <c r="G13871" s="52">
        <v>1181818.2989032899</v>
      </c>
      <c r="H13871" s="56">
        <v>2.6791408008790773E-2</v>
      </c>
      <c r="I13871" s="224" t="s">
        <v>2</v>
      </c>
    </row>
    <row r="13872" spans="1:9" x14ac:dyDescent="0.25">
      <c r="A13872" s="515">
        <v>24554</v>
      </c>
      <c r="B13872" s="515" t="s">
        <v>705</v>
      </c>
      <c r="C13872" s="52">
        <v>172809.77031838801</v>
      </c>
      <c r="D13872" s="56">
        <v>0.13527302075451025</v>
      </c>
      <c r="E13872" s="224" t="s">
        <v>2</v>
      </c>
      <c r="F13872" s="515" t="s">
        <v>15056</v>
      </c>
      <c r="G13872" s="52">
        <v>1112343.5766110099</v>
      </c>
      <c r="H13872" s="56">
        <v>-3.6043394730388243E-4</v>
      </c>
      <c r="I13872" s="224" t="s">
        <v>2</v>
      </c>
    </row>
    <row r="13873" spans="1:9" x14ac:dyDescent="0.25">
      <c r="A13873" s="515">
        <v>6231</v>
      </c>
      <c r="B13873" s="515" t="s">
        <v>894</v>
      </c>
      <c r="C13873" s="52">
        <v>353257.67086697102</v>
      </c>
      <c r="D13873" s="56">
        <v>7.2161791580051704E-2</v>
      </c>
      <c r="E13873" s="224" t="s">
        <v>2</v>
      </c>
      <c r="F13873" s="515" t="s">
        <v>15057</v>
      </c>
      <c r="G13873" s="52">
        <v>189293.380884713</v>
      </c>
      <c r="H13873" s="56">
        <v>5.4850301004671143E-2</v>
      </c>
      <c r="I13873" s="224" t="s">
        <v>2</v>
      </c>
    </row>
    <row r="13874" spans="1:9" x14ac:dyDescent="0.25">
      <c r="A13874" s="515">
        <v>71654</v>
      </c>
      <c r="C13874" s="52">
        <v>57097.312769691198</v>
      </c>
      <c r="D13874" s="56">
        <v>-4.8272009833706081E-2</v>
      </c>
      <c r="E13874" s="224" t="s">
        <v>2</v>
      </c>
      <c r="F13874" s="515" t="s">
        <v>15058</v>
      </c>
      <c r="G13874" s="52">
        <v>393845.38020943</v>
      </c>
      <c r="H13874" s="56">
        <v>5.0530613972532078E-2</v>
      </c>
      <c r="I13874" s="224" t="s">
        <v>2</v>
      </c>
    </row>
    <row r="13875" spans="1:9" x14ac:dyDescent="0.25">
      <c r="A13875" s="515">
        <v>14080</v>
      </c>
      <c r="B13875" s="515" t="s">
        <v>336</v>
      </c>
      <c r="C13875" s="52">
        <v>260448.306437794</v>
      </c>
      <c r="D13875" s="56">
        <v>9.8113045932714998E-2</v>
      </c>
      <c r="E13875" s="224" t="s">
        <v>2</v>
      </c>
      <c r="F13875" s="515" t="s">
        <v>15059</v>
      </c>
      <c r="G13875" s="52">
        <v>311486.621052631</v>
      </c>
      <c r="H13875" s="56">
        <v>0</v>
      </c>
      <c r="I13875" s="224" t="s">
        <v>2</v>
      </c>
    </row>
    <row r="13876" spans="1:9" x14ac:dyDescent="0.25">
      <c r="A13876" s="515">
        <v>54426</v>
      </c>
      <c r="B13876" s="515" t="s">
        <v>940</v>
      </c>
      <c r="C13876" s="52">
        <v>191259.52948686501</v>
      </c>
      <c r="D13876" s="56">
        <v>3.1462060784492665E-2</v>
      </c>
      <c r="E13876" s="224" t="s">
        <v>2</v>
      </c>
      <c r="F13876" s="515" t="s">
        <v>15060</v>
      </c>
      <c r="G13876" s="52">
        <v>165190.263318893</v>
      </c>
      <c r="H13876" s="56">
        <v>8.2463572782363964E-2</v>
      </c>
      <c r="I13876" s="224" t="s">
        <v>2</v>
      </c>
    </row>
    <row r="13877" spans="1:9" x14ac:dyDescent="0.25">
      <c r="A13877" s="515">
        <v>94005</v>
      </c>
      <c r="B13877" s="515" t="s">
        <v>593</v>
      </c>
      <c r="C13877" s="52">
        <v>1112381.0089986101</v>
      </c>
      <c r="D13877" s="56">
        <v>-5.4176345875802043E-2</v>
      </c>
      <c r="E13877" s="224" t="s">
        <v>2</v>
      </c>
      <c r="F13877" s="515" t="s">
        <v>15061</v>
      </c>
      <c r="G13877" s="52">
        <v>274818.96640877001</v>
      </c>
      <c r="H13877" s="56">
        <v>7.4006318702102794E-2</v>
      </c>
      <c r="I13877" s="224" t="s">
        <v>2</v>
      </c>
    </row>
    <row r="13878" spans="1:9" x14ac:dyDescent="0.25">
      <c r="A13878" s="515">
        <v>54548</v>
      </c>
      <c r="C13878" s="52">
        <v>346696.99055624002</v>
      </c>
      <c r="D13878" s="56">
        <v>9.7201305335792312E-2</v>
      </c>
      <c r="E13878" s="224" t="s">
        <v>2</v>
      </c>
      <c r="F13878" s="515" t="s">
        <v>15062</v>
      </c>
      <c r="G13878" s="52">
        <v>207250.14194875699</v>
      </c>
      <c r="H13878" s="56">
        <v>0.1276421671389068</v>
      </c>
      <c r="I13878" s="224" t="s">
        <v>2</v>
      </c>
    </row>
    <row r="13879" spans="1:9" x14ac:dyDescent="0.25">
      <c r="A13879" s="515">
        <v>61755</v>
      </c>
      <c r="B13879" s="515" t="s">
        <v>303</v>
      </c>
      <c r="C13879" s="52">
        <v>185871.356446641</v>
      </c>
      <c r="D13879" s="56">
        <v>4.4852336690032121E-2</v>
      </c>
      <c r="E13879" s="224" t="s">
        <v>2</v>
      </c>
      <c r="F13879" s="515" t="s">
        <v>15063</v>
      </c>
      <c r="G13879" s="52">
        <v>195061.79026043601</v>
      </c>
      <c r="H13879" s="56">
        <v>8.1083890757938509E-2</v>
      </c>
      <c r="I13879" s="224" t="s">
        <v>2</v>
      </c>
    </row>
    <row r="13880" spans="1:9" x14ac:dyDescent="0.25">
      <c r="A13880" s="515">
        <v>25832</v>
      </c>
      <c r="B13880" s="515" t="s">
        <v>566</v>
      </c>
      <c r="C13880" s="52">
        <v>242213.93038697701</v>
      </c>
      <c r="D13880" s="56">
        <v>9.6780432972338418E-2</v>
      </c>
      <c r="E13880" s="224" t="s">
        <v>2</v>
      </c>
      <c r="F13880" s="515" t="s">
        <v>15064</v>
      </c>
      <c r="G13880" s="52">
        <v>482005.54965181602</v>
      </c>
      <c r="H13880" s="56">
        <v>8.7058076917045937E-2</v>
      </c>
      <c r="I13880" s="224" t="s">
        <v>2</v>
      </c>
    </row>
    <row r="13881" spans="1:9" x14ac:dyDescent="0.25">
      <c r="A13881" s="515">
        <v>48631</v>
      </c>
      <c r="B13881" s="515" t="s">
        <v>1022</v>
      </c>
      <c r="C13881" s="52">
        <v>175519.34024862599</v>
      </c>
      <c r="D13881" s="56">
        <v>7.942691783455233E-2</v>
      </c>
      <c r="E13881" s="224" t="s">
        <v>2</v>
      </c>
      <c r="F13881" s="515" t="s">
        <v>15065</v>
      </c>
      <c r="G13881" s="52">
        <v>213940.404286473</v>
      </c>
      <c r="H13881" s="56">
        <v>1.1080420182694698E-2</v>
      </c>
      <c r="I13881" s="224" t="s">
        <v>2</v>
      </c>
    </row>
    <row r="13882" spans="1:9" x14ac:dyDescent="0.25">
      <c r="A13882" s="515">
        <v>61275</v>
      </c>
      <c r="B13882" s="515" t="s">
        <v>439</v>
      </c>
      <c r="C13882" s="52">
        <v>249599.95380167899</v>
      </c>
      <c r="D13882" s="56">
        <v>7.0157809008195182E-2</v>
      </c>
      <c r="E13882" s="224" t="s">
        <v>2</v>
      </c>
      <c r="F13882" s="515" t="s">
        <v>15066</v>
      </c>
      <c r="G13882" s="52">
        <v>125322.782543879</v>
      </c>
      <c r="H13882" s="56">
        <v>9.6593681979644484E-3</v>
      </c>
      <c r="I13882" s="224" t="s">
        <v>2</v>
      </c>
    </row>
    <row r="13883" spans="1:9" x14ac:dyDescent="0.25">
      <c r="A13883" s="515">
        <v>70515</v>
      </c>
      <c r="B13883" s="515" t="s">
        <v>1004</v>
      </c>
      <c r="C13883" s="52">
        <v>100831.95215194899</v>
      </c>
      <c r="D13883" s="56">
        <v>4.2463250664094038E-2</v>
      </c>
      <c r="E13883" s="224" t="s">
        <v>2</v>
      </c>
      <c r="F13883" s="515" t="s">
        <v>15067</v>
      </c>
      <c r="G13883" s="52">
        <v>309898.06140350801</v>
      </c>
      <c r="H13883" s="56">
        <v>0</v>
      </c>
      <c r="I13883" s="224" t="s">
        <v>2</v>
      </c>
    </row>
    <row r="13884" spans="1:9" x14ac:dyDescent="0.25">
      <c r="A13884" s="515">
        <v>56013</v>
      </c>
      <c r="C13884" s="52">
        <v>144922.451068653</v>
      </c>
      <c r="D13884" s="56">
        <v>7.7953508840536034E-2</v>
      </c>
      <c r="E13884" s="224" t="s">
        <v>2</v>
      </c>
      <c r="F13884" s="515" t="s">
        <v>15068</v>
      </c>
      <c r="G13884" s="52">
        <v>139750.05250572701</v>
      </c>
      <c r="H13884" s="56">
        <v>8.4316334703242457E-2</v>
      </c>
      <c r="I13884" s="224" t="s">
        <v>2</v>
      </c>
    </row>
    <row r="13885" spans="1:9" x14ac:dyDescent="0.25">
      <c r="A13885" s="515">
        <v>1585</v>
      </c>
      <c r="B13885" s="515" t="s">
        <v>751</v>
      </c>
      <c r="C13885" s="52">
        <v>358694.25527418498</v>
      </c>
      <c r="D13885" s="56">
        <v>0.1003503229953663</v>
      </c>
      <c r="E13885" s="224" t="s">
        <v>2</v>
      </c>
      <c r="F13885" s="515" t="s">
        <v>15069</v>
      </c>
      <c r="G13885" s="52">
        <v>199529.248837352</v>
      </c>
      <c r="H13885" s="56">
        <v>9.4958138787042096E-2</v>
      </c>
      <c r="I13885" s="224" t="s">
        <v>2</v>
      </c>
    </row>
    <row r="13886" spans="1:9" x14ac:dyDescent="0.25">
      <c r="A13886" s="515">
        <v>47987</v>
      </c>
      <c r="C13886" s="52">
        <v>141889.027676497</v>
      </c>
      <c r="D13886" s="56">
        <v>5.7576267669340944E-2</v>
      </c>
      <c r="E13886" s="224" t="s">
        <v>2</v>
      </c>
      <c r="F13886" s="515" t="s">
        <v>15070</v>
      </c>
      <c r="G13886" s="52">
        <v>135872.31983309201</v>
      </c>
      <c r="H13886" s="56">
        <v>-1.2719841379360329E-2</v>
      </c>
      <c r="I13886" s="224" t="s">
        <v>2</v>
      </c>
    </row>
    <row r="13887" spans="1:9" x14ac:dyDescent="0.25">
      <c r="A13887" s="515">
        <v>62903</v>
      </c>
      <c r="B13887" s="515" t="s">
        <v>471</v>
      </c>
      <c r="C13887" s="52">
        <v>163692.649764848</v>
      </c>
      <c r="D13887" s="56">
        <v>3.0208629705530381E-2</v>
      </c>
      <c r="E13887" s="224" t="s">
        <v>2</v>
      </c>
      <c r="F13887" s="515" t="s">
        <v>15071</v>
      </c>
      <c r="G13887" s="52">
        <v>98916.929840097393</v>
      </c>
      <c r="H13887" s="56">
        <v>0.13071948878746123</v>
      </c>
      <c r="I13887" s="224" t="s">
        <v>2</v>
      </c>
    </row>
    <row r="13888" spans="1:9" x14ac:dyDescent="0.25">
      <c r="A13888" s="515">
        <v>43731</v>
      </c>
      <c r="C13888" s="52">
        <v>113176.95799416699</v>
      </c>
      <c r="D13888" s="56">
        <v>0.16383908219957788</v>
      </c>
      <c r="E13888" s="224" t="s">
        <v>2</v>
      </c>
      <c r="F13888" s="515" t="s">
        <v>15072</v>
      </c>
      <c r="G13888" s="52">
        <v>121332.165384084</v>
      </c>
      <c r="H13888" s="56">
        <v>5.1703600751676182E-2</v>
      </c>
      <c r="I13888" s="224" t="s">
        <v>2</v>
      </c>
    </row>
    <row r="13889" spans="1:9" x14ac:dyDescent="0.25">
      <c r="A13889" s="515">
        <v>56215</v>
      </c>
      <c r="C13889" s="52">
        <v>139116.408492738</v>
      </c>
      <c r="D13889" s="56">
        <v>9.9911505024850689E-2</v>
      </c>
      <c r="E13889" s="224" t="s">
        <v>2</v>
      </c>
      <c r="F13889" s="515" t="s">
        <v>15073</v>
      </c>
      <c r="G13889" s="52">
        <v>134517.05568108</v>
      </c>
      <c r="H13889" s="56">
        <v>4.8476742016276879E-2</v>
      </c>
      <c r="I13889" s="224" t="s">
        <v>2</v>
      </c>
    </row>
    <row r="13890" spans="1:9" x14ac:dyDescent="0.25">
      <c r="A13890" s="515">
        <v>6259</v>
      </c>
      <c r="B13890" s="515" t="s">
        <v>751</v>
      </c>
      <c r="C13890" s="52">
        <v>386749.73853898502</v>
      </c>
      <c r="D13890" s="56">
        <v>8.866311355679922E-2</v>
      </c>
      <c r="E13890" s="224" t="s">
        <v>2</v>
      </c>
      <c r="F13890" s="515" t="s">
        <v>15074</v>
      </c>
      <c r="G13890" s="52">
        <v>290528.89123631601</v>
      </c>
      <c r="H13890" s="56">
        <v>0.10503534010374005</v>
      </c>
      <c r="I13890" s="224" t="s">
        <v>2</v>
      </c>
    </row>
    <row r="13891" spans="1:9" x14ac:dyDescent="0.25">
      <c r="A13891" s="515">
        <v>35553</v>
      </c>
      <c r="C13891" s="52">
        <v>144622.51576725399</v>
      </c>
      <c r="D13891" s="56">
        <v>4.920279043071852E-2</v>
      </c>
      <c r="E13891" s="224" t="s">
        <v>2</v>
      </c>
      <c r="F13891" s="515" t="s">
        <v>15075</v>
      </c>
      <c r="G13891" s="52">
        <v>223263.74981450199</v>
      </c>
      <c r="H13891" s="56">
        <v>0.16397007719391521</v>
      </c>
      <c r="I13891" s="224" t="s">
        <v>2</v>
      </c>
    </row>
    <row r="13892" spans="1:9" x14ac:dyDescent="0.25">
      <c r="A13892" s="515">
        <v>71486</v>
      </c>
      <c r="C13892" s="52">
        <v>151112.74066023499</v>
      </c>
      <c r="D13892" s="56">
        <v>4.1641884568171417E-2</v>
      </c>
      <c r="E13892" s="224" t="s">
        <v>2</v>
      </c>
      <c r="F13892" s="515" t="s">
        <v>15076</v>
      </c>
      <c r="G13892" s="52">
        <v>141663.73416442701</v>
      </c>
      <c r="H13892" s="56">
        <v>6.6660638502776329E-2</v>
      </c>
      <c r="I13892" s="224" t="s">
        <v>2</v>
      </c>
    </row>
    <row r="13893" spans="1:9" x14ac:dyDescent="0.25">
      <c r="A13893" s="515">
        <v>95004</v>
      </c>
      <c r="B13893" s="515" t="s">
        <v>850</v>
      </c>
      <c r="C13893" s="52">
        <v>866349.93592508195</v>
      </c>
      <c r="D13893" s="56">
        <v>-2.4169437440556843E-2</v>
      </c>
      <c r="E13893" s="224" t="s">
        <v>2</v>
      </c>
      <c r="F13893" s="515" t="s">
        <v>15077</v>
      </c>
      <c r="G13893" s="52">
        <v>137812.963815058</v>
      </c>
      <c r="H13893" s="56">
        <v>0.17379852033439916</v>
      </c>
      <c r="I13893" s="224" t="s">
        <v>2</v>
      </c>
    </row>
    <row r="13894" spans="1:9" x14ac:dyDescent="0.25">
      <c r="A13894" s="515">
        <v>15045</v>
      </c>
      <c r="B13894" s="515" t="s">
        <v>297</v>
      </c>
      <c r="C13894" s="52">
        <v>80776.229047053901</v>
      </c>
      <c r="D13894" s="56">
        <v>0.17072577615838883</v>
      </c>
      <c r="E13894" s="224" t="s">
        <v>2</v>
      </c>
      <c r="F13894" s="515" t="s">
        <v>15078</v>
      </c>
      <c r="G13894" s="52">
        <v>103963.991688044</v>
      </c>
      <c r="H13894" s="56">
        <v>0.21866459928594043</v>
      </c>
      <c r="I13894" s="224" t="s">
        <v>2</v>
      </c>
    </row>
    <row r="13895" spans="1:9" x14ac:dyDescent="0.25">
      <c r="A13895" s="515">
        <v>10524</v>
      </c>
      <c r="B13895" s="515" t="s">
        <v>324</v>
      </c>
      <c r="C13895" s="52">
        <v>631766.69084756298</v>
      </c>
      <c r="D13895" s="56">
        <v>5.5484263113924404E-2</v>
      </c>
      <c r="E13895" s="224" t="s">
        <v>2</v>
      </c>
      <c r="F13895" s="515" t="s">
        <v>15079</v>
      </c>
      <c r="G13895" s="52">
        <v>76052.931522009603</v>
      </c>
      <c r="H13895" s="56">
        <v>0.11943744029437391</v>
      </c>
      <c r="I13895" s="224" t="s">
        <v>2</v>
      </c>
    </row>
    <row r="13896" spans="1:9" x14ac:dyDescent="0.25">
      <c r="A13896" s="515">
        <v>95485</v>
      </c>
      <c r="B13896" s="515" t="s">
        <v>363</v>
      </c>
      <c r="C13896" s="52">
        <v>366798.28776126797</v>
      </c>
      <c r="D13896" s="56">
        <v>-3.6034740814931306E-2</v>
      </c>
      <c r="E13896" s="224" t="s">
        <v>2</v>
      </c>
      <c r="F13896" s="515" t="s">
        <v>15080</v>
      </c>
      <c r="G13896" s="52">
        <v>162482.09217177701</v>
      </c>
      <c r="H13896" s="56">
        <v>0.16007766279558247</v>
      </c>
      <c r="I13896" s="224" t="s">
        <v>2</v>
      </c>
    </row>
    <row r="13897" spans="1:9" x14ac:dyDescent="0.25">
      <c r="A13897" s="515">
        <v>23958</v>
      </c>
      <c r="C13897" s="52">
        <v>174453.11740946499</v>
      </c>
      <c r="D13897" s="56">
        <v>4.9234629056816179E-2</v>
      </c>
      <c r="E13897" s="224" t="s">
        <v>2</v>
      </c>
      <c r="F13897" s="515" t="s">
        <v>15081</v>
      </c>
      <c r="G13897" s="52">
        <v>364736.47007559601</v>
      </c>
      <c r="H13897" s="56">
        <v>-6.1282284839288874E-2</v>
      </c>
      <c r="I13897" s="224" t="s">
        <v>2</v>
      </c>
    </row>
    <row r="13898" spans="1:9" x14ac:dyDescent="0.25">
      <c r="A13898" s="515">
        <v>35131</v>
      </c>
      <c r="B13898" s="515" t="s">
        <v>640</v>
      </c>
      <c r="C13898" s="52">
        <v>152237.57009117899</v>
      </c>
      <c r="D13898" s="56">
        <v>5.9321839480298427E-2</v>
      </c>
      <c r="E13898" s="224" t="s">
        <v>2</v>
      </c>
      <c r="F13898" s="515" t="s">
        <v>15082</v>
      </c>
      <c r="G13898" s="52">
        <v>212357.81938961701</v>
      </c>
      <c r="H13898" s="56">
        <v>9.6298600179886187E-2</v>
      </c>
      <c r="I13898" s="224" t="s">
        <v>2</v>
      </c>
    </row>
    <row r="13899" spans="1:9" x14ac:dyDescent="0.25">
      <c r="A13899" s="515">
        <v>47512</v>
      </c>
      <c r="B13899" s="515" t="s">
        <v>573</v>
      </c>
      <c r="C13899" s="52">
        <v>66358.054253408598</v>
      </c>
      <c r="D13899" s="56">
        <v>6.0645956924948778E-2</v>
      </c>
      <c r="E13899" s="224" t="s">
        <v>2</v>
      </c>
      <c r="F13899" s="515" t="s">
        <v>15083</v>
      </c>
      <c r="G13899" s="52">
        <v>79724.221562046194</v>
      </c>
      <c r="H13899" s="56">
        <v>0.41023796489920672</v>
      </c>
      <c r="I13899" s="224" t="s">
        <v>2</v>
      </c>
    </row>
    <row r="13900" spans="1:9" x14ac:dyDescent="0.25">
      <c r="A13900" s="515">
        <v>68003</v>
      </c>
      <c r="B13900" s="515" t="s">
        <v>367</v>
      </c>
      <c r="C13900" s="52">
        <v>352011.94982641301</v>
      </c>
      <c r="D13900" s="56">
        <v>8.6299722361650344E-2</v>
      </c>
      <c r="E13900" s="224" t="s">
        <v>2</v>
      </c>
      <c r="F13900" s="515" t="s">
        <v>15084</v>
      </c>
      <c r="G13900" s="52">
        <v>731981.01533476496</v>
      </c>
      <c r="H13900" s="56">
        <v>0.21169150282069862</v>
      </c>
      <c r="I13900" s="224" t="s">
        <v>2</v>
      </c>
    </row>
    <row r="13901" spans="1:9" x14ac:dyDescent="0.25">
      <c r="A13901" s="515">
        <v>49056</v>
      </c>
      <c r="C13901" s="52">
        <v>154860.82035065</v>
      </c>
      <c r="D13901" s="56">
        <v>7.4854054696946476E-2</v>
      </c>
      <c r="E13901" s="224" t="s">
        <v>2</v>
      </c>
      <c r="F13901" s="515" t="s">
        <v>15085</v>
      </c>
      <c r="G13901" s="52">
        <v>177236.29357285699</v>
      </c>
      <c r="H13901" s="56">
        <v>0.13491194122246997</v>
      </c>
      <c r="I13901" s="224" t="s">
        <v>2</v>
      </c>
    </row>
    <row r="13902" spans="1:9" x14ac:dyDescent="0.25">
      <c r="A13902" s="515">
        <v>55733</v>
      </c>
      <c r="B13902" s="515" t="s">
        <v>350</v>
      </c>
      <c r="C13902" s="52">
        <v>308255.99266483402</v>
      </c>
      <c r="D13902" s="56">
        <v>3.8945464660095679E-2</v>
      </c>
      <c r="E13902" s="224" t="s">
        <v>2</v>
      </c>
      <c r="F13902" s="515" t="s">
        <v>15086</v>
      </c>
      <c r="G13902" s="52">
        <v>327415.72991563799</v>
      </c>
      <c r="H13902" s="56">
        <v>3.0794423289677693E-2</v>
      </c>
      <c r="I13902" s="224" t="s">
        <v>2</v>
      </c>
    </row>
    <row r="13903" spans="1:9" x14ac:dyDescent="0.25">
      <c r="A13903" s="515">
        <v>72923</v>
      </c>
      <c r="B13903" s="515" t="s">
        <v>326</v>
      </c>
      <c r="C13903" s="52">
        <v>153824.805041835</v>
      </c>
      <c r="D13903" s="56">
        <v>5.1242534441478631E-2</v>
      </c>
      <c r="E13903" s="224" t="s">
        <v>2</v>
      </c>
      <c r="F13903" s="515" t="s">
        <v>15087</v>
      </c>
      <c r="G13903" s="52">
        <v>486059.28571428498</v>
      </c>
      <c r="H13903" s="56">
        <v>0</v>
      </c>
      <c r="I13903" s="224" t="s">
        <v>2</v>
      </c>
    </row>
    <row r="13904" spans="1:9" x14ac:dyDescent="0.25">
      <c r="A13904" s="515">
        <v>89704</v>
      </c>
      <c r="B13904" s="515" t="s">
        <v>581</v>
      </c>
      <c r="C13904" s="52">
        <v>600998.80717941199</v>
      </c>
      <c r="D13904" s="56">
        <v>5.3935337020151984E-3</v>
      </c>
      <c r="E13904" s="224" t="s">
        <v>2</v>
      </c>
      <c r="F13904" s="515" t="s">
        <v>15088</v>
      </c>
      <c r="G13904" s="52">
        <v>115198.845906223</v>
      </c>
      <c r="H13904" s="56">
        <v>8.6839867126285997E-2</v>
      </c>
      <c r="I13904" s="224" t="s">
        <v>2</v>
      </c>
    </row>
    <row r="13905" spans="1:9" x14ac:dyDescent="0.25">
      <c r="A13905" s="515">
        <v>56763</v>
      </c>
      <c r="C13905" s="52">
        <v>198672.08384343001</v>
      </c>
      <c r="D13905" s="56">
        <v>0.11974206232583072</v>
      </c>
      <c r="E13905" s="224" t="s">
        <v>2</v>
      </c>
      <c r="F13905" s="515" t="s">
        <v>15089</v>
      </c>
      <c r="G13905" s="52">
        <v>652710.58138941904</v>
      </c>
      <c r="H13905" s="56">
        <v>8.368228017981727E-2</v>
      </c>
      <c r="I13905" s="224" t="s">
        <v>2</v>
      </c>
    </row>
    <row r="13906" spans="1:9" x14ac:dyDescent="0.25">
      <c r="A13906" s="515">
        <v>25510</v>
      </c>
      <c r="B13906" s="515" t="s">
        <v>602</v>
      </c>
      <c r="C13906" s="52">
        <v>168534.01978644601</v>
      </c>
      <c r="D13906" s="56">
        <v>6.3115171146314986E-2</v>
      </c>
      <c r="E13906" s="224" t="s">
        <v>2</v>
      </c>
      <c r="F13906" s="515" t="s">
        <v>15090</v>
      </c>
      <c r="G13906" s="52">
        <v>234561.85083651499</v>
      </c>
      <c r="H13906" s="56">
        <v>7.0855728454366357E-2</v>
      </c>
      <c r="I13906" s="224" t="s">
        <v>2</v>
      </c>
    </row>
    <row r="13907" spans="1:9" x14ac:dyDescent="0.25">
      <c r="A13907" s="515">
        <v>44837</v>
      </c>
      <c r="B13907" s="515" t="s">
        <v>1050</v>
      </c>
      <c r="C13907" s="52">
        <v>153985.43382664799</v>
      </c>
      <c r="D13907" s="56">
        <v>7.6377634891663548E-2</v>
      </c>
      <c r="E13907" s="224" t="s">
        <v>2</v>
      </c>
      <c r="F13907" s="515" t="s">
        <v>15091</v>
      </c>
      <c r="G13907" s="52">
        <v>110967.845180278</v>
      </c>
      <c r="H13907" s="56">
        <v>0.14946725132888822</v>
      </c>
      <c r="I13907" s="224" t="s">
        <v>2</v>
      </c>
    </row>
    <row r="13908" spans="1:9" x14ac:dyDescent="0.25">
      <c r="A13908" s="515">
        <v>44504</v>
      </c>
      <c r="B13908" s="515" t="s">
        <v>397</v>
      </c>
      <c r="C13908" s="52">
        <v>74816.016385064693</v>
      </c>
      <c r="D13908" s="56">
        <v>0.19787047582335229</v>
      </c>
      <c r="E13908" s="224" t="s">
        <v>2</v>
      </c>
      <c r="F13908" s="515" t="s">
        <v>15092</v>
      </c>
      <c r="G13908" s="52">
        <v>132603.77579893</v>
      </c>
      <c r="H13908" s="56">
        <v>8.028369228623905E-2</v>
      </c>
      <c r="I13908" s="224" t="s">
        <v>2</v>
      </c>
    </row>
    <row r="13909" spans="1:9" x14ac:dyDescent="0.25">
      <c r="A13909" s="515">
        <v>16423</v>
      </c>
      <c r="B13909" s="515" t="s">
        <v>753</v>
      </c>
      <c r="C13909" s="52">
        <v>167221.031010765</v>
      </c>
      <c r="D13909" s="56">
        <v>0.10252391050982188</v>
      </c>
      <c r="E13909" s="224" t="s">
        <v>2</v>
      </c>
      <c r="F13909" s="515" t="s">
        <v>15093</v>
      </c>
      <c r="G13909" s="52">
        <v>48205.789103755</v>
      </c>
      <c r="H13909" s="56">
        <v>6.250211112770708E-2</v>
      </c>
      <c r="I13909" s="224" t="s">
        <v>2</v>
      </c>
    </row>
    <row r="13910" spans="1:9" x14ac:dyDescent="0.25">
      <c r="A13910" s="515">
        <v>72024</v>
      </c>
      <c r="B13910" s="515" t="s">
        <v>393</v>
      </c>
      <c r="C13910" s="52">
        <v>136071.45126460199</v>
      </c>
      <c r="D13910" s="56">
        <v>7.4887293807080202E-2</v>
      </c>
      <c r="E13910" s="224" t="s">
        <v>2</v>
      </c>
      <c r="F13910" s="515" t="s">
        <v>15094</v>
      </c>
      <c r="G13910" s="52">
        <v>164380.24334039399</v>
      </c>
      <c r="H13910" s="56">
        <v>0.15171739568954482</v>
      </c>
      <c r="I13910" s="224" t="s">
        <v>2</v>
      </c>
    </row>
    <row r="13911" spans="1:9" x14ac:dyDescent="0.25">
      <c r="A13911" s="515">
        <v>17529</v>
      </c>
      <c r="B13911" s="515" t="s">
        <v>537</v>
      </c>
      <c r="C13911" s="52">
        <v>435631.87455725</v>
      </c>
      <c r="D13911" s="56">
        <v>8.5160088161976177E-2</v>
      </c>
      <c r="E13911" s="224" t="s">
        <v>2</v>
      </c>
      <c r="F13911" s="515" t="s">
        <v>15095</v>
      </c>
      <c r="G13911" s="52">
        <v>73784.7791411043</v>
      </c>
      <c r="H13911" s="56">
        <v>0</v>
      </c>
      <c r="I13911" s="224" t="s">
        <v>2</v>
      </c>
    </row>
    <row r="13912" spans="1:9" x14ac:dyDescent="0.25">
      <c r="A13912" s="515">
        <v>11579</v>
      </c>
      <c r="B13912" s="515" t="s">
        <v>324</v>
      </c>
      <c r="C13912" s="52">
        <v>928584.90611766896</v>
      </c>
      <c r="D13912" s="56">
        <v>9.8877913999728978E-2</v>
      </c>
      <c r="E13912" s="224" t="s">
        <v>2</v>
      </c>
      <c r="F13912" s="515" t="s">
        <v>15096</v>
      </c>
      <c r="G13912" s="52">
        <v>290971.80925158103</v>
      </c>
      <c r="H13912" s="56">
        <v>0.13983827330726453</v>
      </c>
      <c r="I13912" s="224" t="s">
        <v>2</v>
      </c>
    </row>
    <row r="13913" spans="1:9" x14ac:dyDescent="0.25">
      <c r="A13913" s="515">
        <v>56143</v>
      </c>
      <c r="C13913" s="52">
        <v>168015.26398357999</v>
      </c>
      <c r="D13913" s="56">
        <v>0.1255947979177332</v>
      </c>
      <c r="E13913" s="224" t="s">
        <v>2</v>
      </c>
      <c r="F13913" s="515" t="s">
        <v>15097</v>
      </c>
      <c r="G13913" s="52">
        <v>167535.57034123701</v>
      </c>
      <c r="H13913" s="56">
        <v>9.2484619397060736E-2</v>
      </c>
      <c r="I13913" s="224" t="s">
        <v>2</v>
      </c>
    </row>
    <row r="13914" spans="1:9" x14ac:dyDescent="0.25">
      <c r="A13914" s="515">
        <v>4578</v>
      </c>
      <c r="C13914" s="52">
        <v>325146.01222046098</v>
      </c>
      <c r="D13914" s="56">
        <v>0.12374082582030313</v>
      </c>
      <c r="E13914" s="224" t="s">
        <v>2</v>
      </c>
      <c r="F13914" s="515" t="s">
        <v>15098</v>
      </c>
      <c r="G13914" s="52">
        <v>79243.467936040499</v>
      </c>
      <c r="H13914" s="56">
        <v>0.11790833515724208</v>
      </c>
      <c r="I13914" s="224" t="s">
        <v>2</v>
      </c>
    </row>
    <row r="13915" spans="1:9" x14ac:dyDescent="0.25">
      <c r="A13915" s="515">
        <v>36251</v>
      </c>
      <c r="C13915" s="52"/>
      <c r="D13915" s="56">
        <v>0</v>
      </c>
      <c r="E13915" s="224" t="s">
        <v>2</v>
      </c>
      <c r="F13915" s="515" t="s">
        <v>15099</v>
      </c>
      <c r="G13915" s="52">
        <v>186945.825806974</v>
      </c>
      <c r="H13915" s="56">
        <v>0.12800262171569105</v>
      </c>
      <c r="I13915" s="224" t="s">
        <v>2</v>
      </c>
    </row>
    <row r="13916" spans="1:9" x14ac:dyDescent="0.25">
      <c r="A13916" s="515">
        <v>70657</v>
      </c>
      <c r="B13916" s="515" t="s">
        <v>879</v>
      </c>
      <c r="C13916" s="52">
        <v>182493.132930719</v>
      </c>
      <c r="D13916" s="56">
        <v>6.8060821630129024E-3</v>
      </c>
      <c r="E13916" s="224" t="s">
        <v>2</v>
      </c>
      <c r="F13916" s="515" t="s">
        <v>15100</v>
      </c>
      <c r="G13916" s="52">
        <v>209129.83968578701</v>
      </c>
      <c r="H13916" s="56">
        <v>8.1249964095445756E-2</v>
      </c>
      <c r="I13916" s="224" t="s">
        <v>2</v>
      </c>
    </row>
    <row r="13917" spans="1:9" x14ac:dyDescent="0.25">
      <c r="A13917" s="515">
        <v>3862</v>
      </c>
      <c r="B13917" s="515" t="s">
        <v>534</v>
      </c>
      <c r="C13917" s="52">
        <v>719915.51296019705</v>
      </c>
      <c r="D13917" s="56">
        <v>0.10535290434611835</v>
      </c>
      <c r="E13917" s="224" t="s">
        <v>2</v>
      </c>
      <c r="F13917" s="515" t="s">
        <v>15101</v>
      </c>
      <c r="G13917" s="52">
        <v>179432.93133274</v>
      </c>
      <c r="H13917" s="56">
        <v>8.2433777229496491E-2</v>
      </c>
      <c r="I13917" s="224" t="s">
        <v>2</v>
      </c>
    </row>
    <row r="13918" spans="1:9" x14ac:dyDescent="0.25">
      <c r="A13918" s="515">
        <v>22737</v>
      </c>
      <c r="B13918" s="515" t="s">
        <v>321</v>
      </c>
      <c r="C13918" s="52">
        <v>414297.11263501598</v>
      </c>
      <c r="D13918" s="56">
        <v>6.7695438994030008E-2</v>
      </c>
      <c r="E13918" s="224" t="s">
        <v>2</v>
      </c>
      <c r="F13918" s="515" t="s">
        <v>15102</v>
      </c>
      <c r="G13918" s="52">
        <v>311435.92574484</v>
      </c>
      <c r="H13918" s="56">
        <v>6.1632099150271E-2</v>
      </c>
      <c r="I13918" s="224" t="s">
        <v>2</v>
      </c>
    </row>
    <row r="13919" spans="1:9" x14ac:dyDescent="0.25">
      <c r="A13919" s="515">
        <v>48450</v>
      </c>
      <c r="C13919" s="52">
        <v>188591.562756906</v>
      </c>
      <c r="D13919" s="56">
        <v>3.4788986653698346E-2</v>
      </c>
      <c r="E13919" s="224" t="s">
        <v>2</v>
      </c>
      <c r="F13919" s="515" t="s">
        <v>15103</v>
      </c>
      <c r="G13919" s="52">
        <v>117667.866108228</v>
      </c>
      <c r="H13919" s="56">
        <v>4.6005583425794812E-2</v>
      </c>
      <c r="I13919" s="224" t="s">
        <v>2</v>
      </c>
    </row>
    <row r="13920" spans="1:9" x14ac:dyDescent="0.25">
      <c r="A13920" s="515">
        <v>17068</v>
      </c>
      <c r="B13920" s="515" t="s">
        <v>428</v>
      </c>
      <c r="C13920" s="52">
        <v>249374.16610593401</v>
      </c>
      <c r="D13920" s="56">
        <v>4.2407871332534881E-2</v>
      </c>
      <c r="E13920" s="224" t="s">
        <v>2</v>
      </c>
      <c r="F13920" s="515" t="s">
        <v>15104</v>
      </c>
      <c r="G13920" s="52">
        <v>166031.43752711001</v>
      </c>
      <c r="H13920" s="56">
        <v>2.2815028751864731E-2</v>
      </c>
      <c r="I13920" s="224" t="s">
        <v>2</v>
      </c>
    </row>
    <row r="13921" spans="1:9" x14ac:dyDescent="0.25">
      <c r="A13921" s="515">
        <v>23040</v>
      </c>
      <c r="C13921" s="52">
        <v>224744.326753915</v>
      </c>
      <c r="D13921" s="56">
        <v>9.6743754731932766E-2</v>
      </c>
      <c r="E13921" s="224" t="s">
        <v>2</v>
      </c>
      <c r="F13921" s="515" t="s">
        <v>15105</v>
      </c>
      <c r="G13921" s="52">
        <v>157017.909100822</v>
      </c>
      <c r="H13921" s="56">
        <v>0.11758259156537632</v>
      </c>
      <c r="I13921" s="224" t="s">
        <v>2</v>
      </c>
    </row>
    <row r="13922" spans="1:9" x14ac:dyDescent="0.25">
      <c r="A13922" s="515">
        <v>74365</v>
      </c>
      <c r="C13922" s="52">
        <v>153499.01102708199</v>
      </c>
      <c r="D13922" s="56">
        <v>5.0911266794944905E-2</v>
      </c>
      <c r="E13922" s="224" t="s">
        <v>2</v>
      </c>
      <c r="F13922" s="515" t="s">
        <v>15106</v>
      </c>
      <c r="G13922" s="52">
        <v>199337.88048122701</v>
      </c>
      <c r="H13922" s="56">
        <v>9.9418602156785107E-2</v>
      </c>
      <c r="I13922" s="224" t="s">
        <v>2</v>
      </c>
    </row>
    <row r="13923" spans="1:9" x14ac:dyDescent="0.25">
      <c r="A13923" s="515">
        <v>15461</v>
      </c>
      <c r="B13923" s="515" t="s">
        <v>297</v>
      </c>
      <c r="C13923" s="52">
        <v>100964.768011751</v>
      </c>
      <c r="D13923" s="56">
        <v>4.1908387521667007E-2</v>
      </c>
      <c r="E13923" s="224" t="s">
        <v>2</v>
      </c>
      <c r="F13923" s="515" t="s">
        <v>15107</v>
      </c>
      <c r="G13923" s="52">
        <v>627763.06833663105</v>
      </c>
      <c r="H13923" s="56">
        <v>8.6309725659443684E-2</v>
      </c>
      <c r="I13923" s="224" t="s">
        <v>2</v>
      </c>
    </row>
    <row r="13924" spans="1:9" x14ac:dyDescent="0.25">
      <c r="A13924" s="515">
        <v>71639</v>
      </c>
      <c r="C13924" s="52">
        <v>80690.926720113304</v>
      </c>
      <c r="D13924" s="56">
        <v>4.7084769628293728E-2</v>
      </c>
      <c r="E13924" s="224" t="s">
        <v>2</v>
      </c>
      <c r="F13924" s="515" t="s">
        <v>15108</v>
      </c>
      <c r="G13924" s="52">
        <v>370234.99312893202</v>
      </c>
      <c r="H13924" s="56">
        <v>-1.0343211124498394E-2</v>
      </c>
      <c r="I13924" s="224" t="s">
        <v>2</v>
      </c>
    </row>
    <row r="13925" spans="1:9" x14ac:dyDescent="0.25">
      <c r="A13925" s="515">
        <v>73742</v>
      </c>
      <c r="C13925" s="52">
        <v>145122.22991735701</v>
      </c>
      <c r="D13925" s="56">
        <v>5.0933834780775622E-2</v>
      </c>
      <c r="E13925" s="224" t="s">
        <v>2</v>
      </c>
      <c r="F13925" s="515" t="s">
        <v>15109</v>
      </c>
      <c r="G13925" s="52">
        <v>291094.61302592902</v>
      </c>
      <c r="H13925" s="56">
        <v>-1.9961426586379706E-2</v>
      </c>
      <c r="I13925" s="224" t="s">
        <v>2</v>
      </c>
    </row>
    <row r="13926" spans="1:9" x14ac:dyDescent="0.25">
      <c r="A13926" s="515">
        <v>4862</v>
      </c>
      <c r="C13926" s="52">
        <v>333081.76252655499</v>
      </c>
      <c r="D13926" s="56">
        <v>0.13789797201812365</v>
      </c>
      <c r="E13926" s="224" t="s">
        <v>2</v>
      </c>
      <c r="F13926" s="515" t="s">
        <v>15110</v>
      </c>
      <c r="G13926" s="52">
        <v>221818.221907064</v>
      </c>
      <c r="H13926" s="56">
        <v>0.13060366955322522</v>
      </c>
      <c r="I13926" s="224" t="s">
        <v>2</v>
      </c>
    </row>
    <row r="13927" spans="1:9" x14ac:dyDescent="0.25">
      <c r="A13927" s="515">
        <v>45113</v>
      </c>
      <c r="B13927" s="515" t="s">
        <v>489</v>
      </c>
      <c r="C13927" s="52">
        <v>311804.07211807702</v>
      </c>
      <c r="D13927" s="56">
        <v>9.3298098635039697E-2</v>
      </c>
      <c r="E13927" s="224" t="s">
        <v>2</v>
      </c>
      <c r="F13927" s="515" t="s">
        <v>15111</v>
      </c>
      <c r="G13927" s="52">
        <v>70384.001680683898</v>
      </c>
      <c r="H13927" s="56">
        <v>5.6478496645491975E-2</v>
      </c>
      <c r="I13927" s="224" t="s">
        <v>2</v>
      </c>
    </row>
    <row r="13928" spans="1:9" x14ac:dyDescent="0.25">
      <c r="A13928" s="515">
        <v>55767</v>
      </c>
      <c r="B13928" s="515" t="s">
        <v>350</v>
      </c>
      <c r="C13928" s="52">
        <v>221601.47025349599</v>
      </c>
      <c r="D13928" s="56">
        <v>4.6589596415395416E-2</v>
      </c>
      <c r="E13928" s="224" t="s">
        <v>2</v>
      </c>
      <c r="F13928" s="515" t="s">
        <v>15112</v>
      </c>
      <c r="G13928" s="52">
        <v>134692.513441633</v>
      </c>
      <c r="H13928" s="56">
        <v>3.7427521529569095E-2</v>
      </c>
      <c r="I13928" s="224" t="s">
        <v>2</v>
      </c>
    </row>
    <row r="13929" spans="1:9" x14ac:dyDescent="0.25">
      <c r="A13929" s="515">
        <v>4236</v>
      </c>
      <c r="B13929" s="515" t="s">
        <v>1120</v>
      </c>
      <c r="C13929" s="52">
        <v>295583.469819021</v>
      </c>
      <c r="D13929" s="56">
        <v>9.3452004731476718E-2</v>
      </c>
      <c r="E13929" s="224" t="s">
        <v>2</v>
      </c>
      <c r="F13929" s="515" t="s">
        <v>15113</v>
      </c>
      <c r="G13929" s="52">
        <v>260698.45323156501</v>
      </c>
      <c r="H13929" s="56">
        <v>6.9710043469552244E-3</v>
      </c>
      <c r="I13929" s="224" t="s">
        <v>2</v>
      </c>
    </row>
    <row r="13930" spans="1:9" x14ac:dyDescent="0.25">
      <c r="A13930" s="515">
        <v>4989</v>
      </c>
      <c r="B13930" s="515" t="s">
        <v>848</v>
      </c>
      <c r="C13930" s="52">
        <v>271514.76249413</v>
      </c>
      <c r="D13930" s="56">
        <v>5.1689656543677777E-2</v>
      </c>
      <c r="E13930" s="224" t="s">
        <v>2</v>
      </c>
      <c r="F13930" s="515" t="s">
        <v>15114</v>
      </c>
      <c r="G13930" s="52">
        <v>715633.347756478</v>
      </c>
      <c r="H13930" s="56">
        <v>2.9321658816589501E-2</v>
      </c>
      <c r="I13930" s="224" t="s">
        <v>2</v>
      </c>
    </row>
    <row r="13931" spans="1:9" x14ac:dyDescent="0.25">
      <c r="A13931" s="515">
        <v>46511</v>
      </c>
      <c r="B13931" s="515" t="s">
        <v>342</v>
      </c>
      <c r="C13931" s="52">
        <v>271503.08888122102</v>
      </c>
      <c r="D13931" s="56">
        <v>8.8445833789462039E-2</v>
      </c>
      <c r="E13931" s="224" t="s">
        <v>2</v>
      </c>
      <c r="F13931" s="515" t="s">
        <v>15115</v>
      </c>
      <c r="G13931" s="52">
        <v>282805.79790352698</v>
      </c>
      <c r="H13931" s="56">
        <v>0.10460375223365299</v>
      </c>
      <c r="I13931" s="224" t="s">
        <v>2</v>
      </c>
    </row>
    <row r="13932" spans="1:9" x14ac:dyDescent="0.25">
      <c r="A13932" s="515">
        <v>65063</v>
      </c>
      <c r="B13932" s="515" t="s">
        <v>711</v>
      </c>
      <c r="C13932" s="52">
        <v>211956.551450809</v>
      </c>
      <c r="D13932" s="56">
        <v>0.11361843030477926</v>
      </c>
      <c r="E13932" s="224" t="s">
        <v>2</v>
      </c>
      <c r="F13932" s="515" t="s">
        <v>15116</v>
      </c>
      <c r="G13932" s="52">
        <v>372739.32450991101</v>
      </c>
      <c r="H13932" s="56">
        <v>2.9678630752928859E-2</v>
      </c>
      <c r="I13932" s="224" t="s">
        <v>2</v>
      </c>
    </row>
    <row r="13933" spans="1:9" x14ac:dyDescent="0.25">
      <c r="A13933" s="515">
        <v>6890</v>
      </c>
      <c r="B13933" s="515" t="s">
        <v>1173</v>
      </c>
      <c r="C13933" s="52">
        <v>1082322.6045994</v>
      </c>
      <c r="D13933" s="56">
        <v>9.9689629031159993E-2</v>
      </c>
      <c r="E13933" s="224" t="s">
        <v>2</v>
      </c>
      <c r="F13933" s="515" t="s">
        <v>15117</v>
      </c>
      <c r="G13933" s="52">
        <v>295646.01835114299</v>
      </c>
      <c r="H13933" s="56">
        <v>0.17761596141288477</v>
      </c>
      <c r="I13933" s="224" t="s">
        <v>2</v>
      </c>
    </row>
    <row r="13934" spans="1:9" x14ac:dyDescent="0.25">
      <c r="A13934" s="515">
        <v>54630</v>
      </c>
      <c r="C13934" s="52">
        <v>246547.109048004</v>
      </c>
      <c r="D13934" s="56">
        <v>2.3332118324812967E-2</v>
      </c>
      <c r="E13934" s="224" t="s">
        <v>2</v>
      </c>
      <c r="F13934" s="515" t="s">
        <v>15118</v>
      </c>
      <c r="G13934" s="52">
        <v>269732.17811877502</v>
      </c>
      <c r="H13934" s="56">
        <v>1.8838745245696429E-2</v>
      </c>
      <c r="I13934" s="224" t="s">
        <v>2</v>
      </c>
    </row>
    <row r="13935" spans="1:9" x14ac:dyDescent="0.25">
      <c r="A13935" s="515">
        <v>7027</v>
      </c>
      <c r="B13935" s="515" t="s">
        <v>324</v>
      </c>
      <c r="C13935" s="52">
        <v>513155.78012708598</v>
      </c>
      <c r="D13935" s="56">
        <v>3.5276988327467368E-2</v>
      </c>
      <c r="E13935" s="224" t="s">
        <v>2</v>
      </c>
      <c r="F13935" s="515" t="s">
        <v>15119</v>
      </c>
      <c r="G13935" s="52">
        <v>214106.738852743</v>
      </c>
      <c r="H13935" s="56">
        <v>0</v>
      </c>
      <c r="I13935" s="224" t="s">
        <v>2</v>
      </c>
    </row>
    <row r="13936" spans="1:9" x14ac:dyDescent="0.25">
      <c r="A13936" s="515">
        <v>97115</v>
      </c>
      <c r="B13936" s="515" t="s">
        <v>659</v>
      </c>
      <c r="C13936" s="52">
        <v>532479.02633862197</v>
      </c>
      <c r="D13936" s="56">
        <v>4.4868620492156452E-2</v>
      </c>
      <c r="E13936" s="224" t="s">
        <v>2</v>
      </c>
      <c r="F13936" s="515" t="s">
        <v>15120</v>
      </c>
      <c r="G13936" s="52">
        <v>90560.889127208502</v>
      </c>
      <c r="H13936" s="56">
        <v>8.6561765170795238E-2</v>
      </c>
      <c r="I13936" s="224" t="s">
        <v>2</v>
      </c>
    </row>
    <row r="13937" spans="1:9" x14ac:dyDescent="0.25">
      <c r="A13937" s="515">
        <v>84783</v>
      </c>
      <c r="B13937" s="515" t="s">
        <v>522</v>
      </c>
      <c r="C13937" s="52">
        <v>701009.05613545398</v>
      </c>
      <c r="D13937" s="56">
        <v>1.0230314397283237E-2</v>
      </c>
      <c r="E13937" s="224" t="s">
        <v>2</v>
      </c>
      <c r="F13937" s="515" t="s">
        <v>15121</v>
      </c>
      <c r="G13937" s="52">
        <v>237486.63462704301</v>
      </c>
      <c r="H13937" s="56">
        <v>0.16968539038573011</v>
      </c>
      <c r="I13937" s="224" t="s">
        <v>2</v>
      </c>
    </row>
    <row r="13938" spans="1:9" x14ac:dyDescent="0.25">
      <c r="A13938" s="515">
        <v>2109</v>
      </c>
      <c r="B13938" s="515" t="s">
        <v>534</v>
      </c>
      <c r="C13938" s="52">
        <v>827764.75933611102</v>
      </c>
      <c r="D13938" s="56">
        <v>-3.0255509250404589E-2</v>
      </c>
      <c r="E13938" s="224">
        <v>3395.6111111111099</v>
      </c>
      <c r="F13938" s="515" t="s">
        <v>15122</v>
      </c>
      <c r="G13938" s="52">
        <v>121287.01260817501</v>
      </c>
      <c r="H13938" s="56">
        <v>5.66002504315175E-2</v>
      </c>
      <c r="I13938" s="224" t="s">
        <v>2</v>
      </c>
    </row>
    <row r="13939" spans="1:9" x14ac:dyDescent="0.25">
      <c r="A13939" s="515">
        <v>38330</v>
      </c>
      <c r="B13939" s="515" t="s">
        <v>691</v>
      </c>
      <c r="C13939" s="52">
        <v>115236.095916891</v>
      </c>
      <c r="D13939" s="56">
        <v>-7.2009421037939831E-3</v>
      </c>
      <c r="E13939" s="224" t="s">
        <v>2</v>
      </c>
      <c r="F13939" s="515" t="s">
        <v>15123</v>
      </c>
      <c r="G13939" s="52">
        <v>155861.95538721999</v>
      </c>
      <c r="H13939" s="56">
        <v>0.13401574999323065</v>
      </c>
      <c r="I13939" s="224" t="s">
        <v>2</v>
      </c>
    </row>
    <row r="13940" spans="1:9" x14ac:dyDescent="0.25">
      <c r="A13940" s="515">
        <v>43610</v>
      </c>
      <c r="B13940" s="515" t="s">
        <v>300</v>
      </c>
      <c r="C13940" s="52">
        <v>45149.608727240498</v>
      </c>
      <c r="D13940" s="56">
        <v>0.15916083040528467</v>
      </c>
      <c r="E13940" s="224" t="s">
        <v>2</v>
      </c>
      <c r="F13940" s="515" t="s">
        <v>15124</v>
      </c>
      <c r="G13940" s="52">
        <v>290155.75206839002</v>
      </c>
      <c r="H13940" s="56">
        <v>0.11178726764025204</v>
      </c>
      <c r="I13940" s="224" t="s">
        <v>2</v>
      </c>
    </row>
    <row r="13941" spans="1:9" x14ac:dyDescent="0.25">
      <c r="A13941" s="515">
        <v>32124</v>
      </c>
      <c r="B13941" s="515" t="s">
        <v>974</v>
      </c>
      <c r="C13941" s="52">
        <v>465576.35371757799</v>
      </c>
      <c r="D13941" s="56">
        <v>0.16430317693278398</v>
      </c>
      <c r="E13941" s="224" t="s">
        <v>2</v>
      </c>
      <c r="F13941" s="515" t="s">
        <v>15125</v>
      </c>
      <c r="G13941" s="52">
        <v>150555.66798431499</v>
      </c>
      <c r="H13941" s="56">
        <v>4.5709312897039237E-2</v>
      </c>
      <c r="I13941" s="224" t="s">
        <v>2</v>
      </c>
    </row>
    <row r="13942" spans="1:9" x14ac:dyDescent="0.25">
      <c r="A13942" s="515">
        <v>5735</v>
      </c>
      <c r="B13942" s="515" t="s">
        <v>791</v>
      </c>
      <c r="C13942" s="52">
        <v>281710.88763075502</v>
      </c>
      <c r="D13942" s="56">
        <v>0.10666063119794952</v>
      </c>
      <c r="E13942" s="224" t="s">
        <v>2</v>
      </c>
      <c r="F13942" s="515" t="s">
        <v>15126</v>
      </c>
      <c r="G13942" s="52">
        <v>192180.043329215</v>
      </c>
      <c r="H13942" s="56">
        <v>0.12139888190048817</v>
      </c>
      <c r="I13942" s="224" t="s">
        <v>2</v>
      </c>
    </row>
    <row r="13943" spans="1:9" x14ac:dyDescent="0.25">
      <c r="A13943" s="515">
        <v>59875</v>
      </c>
      <c r="C13943" s="52">
        <v>537876.74906303396</v>
      </c>
      <c r="D13943" s="56">
        <v>4.8459328787034794E-2</v>
      </c>
      <c r="E13943" s="224" t="s">
        <v>2</v>
      </c>
      <c r="F13943" s="515" t="s">
        <v>15127</v>
      </c>
      <c r="G13943" s="52">
        <v>197423.731662484</v>
      </c>
      <c r="H13943" s="56">
        <v>7.8180162347888632E-2</v>
      </c>
      <c r="I13943" s="224" t="s">
        <v>2</v>
      </c>
    </row>
    <row r="13944" spans="1:9" x14ac:dyDescent="0.25">
      <c r="A13944" s="515">
        <v>8089</v>
      </c>
      <c r="B13944" s="515" t="s">
        <v>294</v>
      </c>
      <c r="C13944" s="52">
        <v>261311.80427482299</v>
      </c>
      <c r="D13944" s="56">
        <v>3.8320367773784059E-2</v>
      </c>
      <c r="E13944" s="224" t="s">
        <v>2</v>
      </c>
      <c r="F13944" s="515" t="s">
        <v>15128</v>
      </c>
      <c r="G13944" s="52">
        <v>438304.27503075299</v>
      </c>
      <c r="H13944" s="56">
        <v>5.4882816561668671E-2</v>
      </c>
      <c r="I13944" s="224" t="s">
        <v>2</v>
      </c>
    </row>
    <row r="13945" spans="1:9" x14ac:dyDescent="0.25">
      <c r="A13945" s="515">
        <v>92363</v>
      </c>
      <c r="B13945" s="515" t="s">
        <v>599</v>
      </c>
      <c r="C13945" s="52">
        <v>181851.573015289</v>
      </c>
      <c r="D13945" s="56">
        <v>0.10021945916162781</v>
      </c>
      <c r="E13945" s="224" t="s">
        <v>2</v>
      </c>
      <c r="F13945" s="515" t="s">
        <v>15129</v>
      </c>
      <c r="G13945" s="52">
        <v>123554.45080729001</v>
      </c>
      <c r="H13945" s="56">
        <v>0.10448380341633901</v>
      </c>
      <c r="I13945" s="224" t="s">
        <v>2</v>
      </c>
    </row>
    <row r="13946" spans="1:9" x14ac:dyDescent="0.25">
      <c r="A13946" s="515">
        <v>45144</v>
      </c>
      <c r="C13946" s="52">
        <v>111436.618505027</v>
      </c>
      <c r="D13946" s="56">
        <v>0.11585201401425856</v>
      </c>
      <c r="E13946" s="224" t="s">
        <v>2</v>
      </c>
      <c r="F13946" s="515" t="s">
        <v>15130</v>
      </c>
      <c r="G13946" s="52">
        <v>90213.502196265297</v>
      </c>
      <c r="H13946" s="56">
        <v>8.5510415746702151E-2</v>
      </c>
      <c r="I13946" s="224" t="s">
        <v>2</v>
      </c>
    </row>
    <row r="13947" spans="1:9" x14ac:dyDescent="0.25">
      <c r="A13947" s="515">
        <v>32008</v>
      </c>
      <c r="C13947" s="52">
        <v>230112.04059983999</v>
      </c>
      <c r="D13947" s="56">
        <v>7.5861255060952648E-2</v>
      </c>
      <c r="E13947" s="224" t="s">
        <v>2</v>
      </c>
      <c r="F13947" s="515" t="s">
        <v>15131</v>
      </c>
      <c r="G13947" s="52">
        <v>168351.72847048601</v>
      </c>
      <c r="H13947" s="56">
        <v>5.8274031920846556E-2</v>
      </c>
      <c r="I13947" s="224" t="s">
        <v>2</v>
      </c>
    </row>
    <row r="13948" spans="1:9" x14ac:dyDescent="0.25">
      <c r="A13948" s="515">
        <v>13354</v>
      </c>
      <c r="B13948" s="515" t="s">
        <v>543</v>
      </c>
      <c r="C13948" s="52">
        <v>225709.08517892499</v>
      </c>
      <c r="D13948" s="56">
        <v>0.12060285311513336</v>
      </c>
      <c r="E13948" s="224" t="s">
        <v>2</v>
      </c>
      <c r="F13948" s="515" t="s">
        <v>15132</v>
      </c>
      <c r="G13948" s="52">
        <v>277313.26158303203</v>
      </c>
      <c r="H13948" s="56">
        <v>8.0469366061136596E-2</v>
      </c>
      <c r="I13948" s="224" t="s">
        <v>2</v>
      </c>
    </row>
    <row r="13949" spans="1:9" x14ac:dyDescent="0.25">
      <c r="A13949" s="515">
        <v>31037</v>
      </c>
      <c r="C13949" s="52">
        <v>83220.820779792499</v>
      </c>
      <c r="D13949" s="56">
        <v>2.6669762424360005E-2</v>
      </c>
      <c r="E13949" s="224" t="s">
        <v>2</v>
      </c>
      <c r="F13949" s="515" t="s">
        <v>15133</v>
      </c>
      <c r="G13949" s="52">
        <v>345505.14025240799</v>
      </c>
      <c r="H13949" s="56">
        <v>0.12987972061031383</v>
      </c>
      <c r="I13949" s="224" t="s">
        <v>2</v>
      </c>
    </row>
    <row r="13950" spans="1:9" x14ac:dyDescent="0.25">
      <c r="A13950" s="515">
        <v>60195</v>
      </c>
      <c r="B13950" s="515" t="s">
        <v>394</v>
      </c>
      <c r="C13950" s="52">
        <v>197525.92213317601</v>
      </c>
      <c r="D13950" s="56">
        <v>4.1901402666444078E-2</v>
      </c>
      <c r="E13950" s="224">
        <v>1440</v>
      </c>
      <c r="F13950" s="515" t="s">
        <v>15134</v>
      </c>
      <c r="G13950" s="52">
        <v>139569.21266599701</v>
      </c>
      <c r="H13950" s="56">
        <v>4.2863802823074983E-2</v>
      </c>
      <c r="I13950" s="224" t="s">
        <v>2</v>
      </c>
    </row>
    <row r="13951" spans="1:9" x14ac:dyDescent="0.25">
      <c r="A13951" s="515">
        <v>17509</v>
      </c>
      <c r="B13951" s="515" t="s">
        <v>537</v>
      </c>
      <c r="C13951" s="52">
        <v>341516.35568568902</v>
      </c>
      <c r="D13951" s="56">
        <v>8.9036473174451611E-2</v>
      </c>
      <c r="E13951" s="224" t="s">
        <v>2</v>
      </c>
      <c r="F13951" s="515" t="s">
        <v>15135</v>
      </c>
      <c r="G13951" s="52">
        <v>214578.001371238</v>
      </c>
      <c r="H13951" s="56">
        <v>8.8397472843410846E-2</v>
      </c>
      <c r="I13951" s="224" t="s">
        <v>2</v>
      </c>
    </row>
    <row r="13952" spans="1:9" x14ac:dyDescent="0.25">
      <c r="A13952" s="515">
        <v>14136</v>
      </c>
      <c r="B13952" s="515" t="s">
        <v>560</v>
      </c>
      <c r="C13952" s="52">
        <v>159806.533841002</v>
      </c>
      <c r="D13952" s="56">
        <v>9.967790998476736E-2</v>
      </c>
      <c r="E13952" s="224" t="s">
        <v>2</v>
      </c>
      <c r="F13952" s="515" t="s">
        <v>15136</v>
      </c>
      <c r="G13952" s="52">
        <v>205275.658838528</v>
      </c>
      <c r="H13952" s="56">
        <v>9.30104517730099E-2</v>
      </c>
      <c r="I13952" s="224" t="s">
        <v>2</v>
      </c>
    </row>
    <row r="13953" spans="1:9" x14ac:dyDescent="0.25">
      <c r="A13953" s="515">
        <v>80466</v>
      </c>
      <c r="B13953" s="515" t="s">
        <v>702</v>
      </c>
      <c r="C13953" s="52">
        <v>637294.55558207305</v>
      </c>
      <c r="D13953" s="56">
        <v>6.7604380656615531E-2</v>
      </c>
      <c r="E13953" s="224" t="s">
        <v>2</v>
      </c>
      <c r="F13953" s="515" t="s">
        <v>15137</v>
      </c>
      <c r="G13953" s="52">
        <v>100866.87306238399</v>
      </c>
      <c r="H13953" s="56">
        <v>-1.6687733910272343E-2</v>
      </c>
      <c r="I13953" s="224" t="s">
        <v>2</v>
      </c>
    </row>
    <row r="13954" spans="1:9" x14ac:dyDescent="0.25">
      <c r="A13954" s="515">
        <v>66090</v>
      </c>
      <c r="B13954" s="515" t="s">
        <v>371</v>
      </c>
      <c r="C13954" s="52">
        <v>138392.28203412</v>
      </c>
      <c r="D13954" s="56">
        <v>9.3399469993048337E-2</v>
      </c>
      <c r="E13954" s="224" t="s">
        <v>2</v>
      </c>
      <c r="F13954" s="515" t="s">
        <v>15138</v>
      </c>
      <c r="G13954" s="52">
        <v>348990.42857498099</v>
      </c>
      <c r="H13954" s="56">
        <v>0.12491133650838525</v>
      </c>
      <c r="I13954" s="224" t="s">
        <v>2</v>
      </c>
    </row>
    <row r="13955" spans="1:9" x14ac:dyDescent="0.25">
      <c r="A13955" s="515">
        <v>24348</v>
      </c>
      <c r="C13955" s="52">
        <v>175357.86159828401</v>
      </c>
      <c r="D13955" s="56">
        <v>0.11808333282769272</v>
      </c>
      <c r="E13955" s="224" t="s">
        <v>2</v>
      </c>
      <c r="F13955" s="515" t="s">
        <v>15139</v>
      </c>
      <c r="G13955" s="52">
        <v>207179.753332722</v>
      </c>
      <c r="H13955" s="56">
        <v>0</v>
      </c>
      <c r="I13955" s="224" t="s">
        <v>2</v>
      </c>
    </row>
    <row r="13956" spans="1:9" x14ac:dyDescent="0.25">
      <c r="A13956" s="515">
        <v>57601</v>
      </c>
      <c r="C13956" s="52">
        <v>138139.593072683</v>
      </c>
      <c r="D13956" s="56">
        <v>9.8188693912406116E-2</v>
      </c>
      <c r="E13956" s="224" t="s">
        <v>2</v>
      </c>
      <c r="F13956" s="515" t="s">
        <v>15140</v>
      </c>
      <c r="G13956" s="52">
        <v>248084.473451158</v>
      </c>
      <c r="H13956" s="56">
        <v>4.9910248432614462E-2</v>
      </c>
      <c r="I13956" s="224" t="s">
        <v>2</v>
      </c>
    </row>
    <row r="13957" spans="1:9" x14ac:dyDescent="0.25">
      <c r="A13957" s="515">
        <v>72718</v>
      </c>
      <c r="B13957" s="515" t="s">
        <v>675</v>
      </c>
      <c r="C13957" s="52">
        <v>451620.61081322999</v>
      </c>
      <c r="D13957" s="56">
        <v>0.11125768491512265</v>
      </c>
      <c r="E13957" s="224" t="s">
        <v>2</v>
      </c>
      <c r="F13957" s="515" t="s">
        <v>15141</v>
      </c>
      <c r="G13957" s="52">
        <v>256889.80555555501</v>
      </c>
      <c r="H13957" s="56">
        <v>0</v>
      </c>
      <c r="I13957" s="224" t="s">
        <v>2</v>
      </c>
    </row>
    <row r="13958" spans="1:9" x14ac:dyDescent="0.25">
      <c r="A13958" s="515">
        <v>11709</v>
      </c>
      <c r="B13958" s="515" t="s">
        <v>324</v>
      </c>
      <c r="C13958" s="52">
        <v>660411.05682742305</v>
      </c>
      <c r="D13958" s="56">
        <v>1.9604875638478226E-2</v>
      </c>
      <c r="E13958" s="224" t="s">
        <v>2</v>
      </c>
      <c r="F13958" s="515" t="s">
        <v>15142</v>
      </c>
      <c r="G13958" s="52">
        <v>215407.854838709</v>
      </c>
      <c r="H13958" s="56">
        <v>0</v>
      </c>
      <c r="I13958" s="224" t="s">
        <v>2</v>
      </c>
    </row>
    <row r="13959" spans="1:9" x14ac:dyDescent="0.25">
      <c r="A13959" s="515">
        <v>87047</v>
      </c>
      <c r="B13959" s="515" t="s">
        <v>406</v>
      </c>
      <c r="C13959" s="52">
        <v>438373.65623219102</v>
      </c>
      <c r="D13959" s="56">
        <v>5.8046303447921867E-2</v>
      </c>
      <c r="E13959" s="224" t="s">
        <v>2</v>
      </c>
      <c r="F13959" s="515" t="s">
        <v>15143</v>
      </c>
      <c r="G13959" s="52">
        <v>135047.476358894</v>
      </c>
      <c r="H13959" s="56">
        <v>0</v>
      </c>
      <c r="I13959" s="224" t="s">
        <v>2</v>
      </c>
    </row>
    <row r="13960" spans="1:9" x14ac:dyDescent="0.25">
      <c r="A13960" s="515">
        <v>27027</v>
      </c>
      <c r="B13960" s="515" t="s">
        <v>1148</v>
      </c>
      <c r="C13960" s="52">
        <v>116820.950922043</v>
      </c>
      <c r="D13960" s="56">
        <v>7.3606935714883928E-2</v>
      </c>
      <c r="E13960" s="224" t="s">
        <v>2</v>
      </c>
      <c r="F13960" s="515" t="s">
        <v>15144</v>
      </c>
      <c r="G13960" s="52">
        <v>373116.12175907101</v>
      </c>
      <c r="H13960" s="56">
        <v>9.9142960948698178E-2</v>
      </c>
      <c r="I13960" s="224" t="s">
        <v>2</v>
      </c>
    </row>
    <row r="13961" spans="1:9" x14ac:dyDescent="0.25">
      <c r="A13961" s="515">
        <v>43135</v>
      </c>
      <c r="B13961" s="515" t="s">
        <v>345</v>
      </c>
      <c r="C13961" s="52">
        <v>218085.12666824899</v>
      </c>
      <c r="D13961" s="56">
        <v>0.10715099968196118</v>
      </c>
      <c r="E13961" s="224" t="s">
        <v>2</v>
      </c>
      <c r="F13961" s="515" t="s">
        <v>15145</v>
      </c>
      <c r="G13961" s="52">
        <v>323930.52540365601</v>
      </c>
      <c r="H13961" s="56">
        <v>0.16428451366830385</v>
      </c>
      <c r="I13961" s="224" t="s">
        <v>2</v>
      </c>
    </row>
    <row r="13962" spans="1:9" x14ac:dyDescent="0.25">
      <c r="A13962" s="515">
        <v>44272</v>
      </c>
      <c r="B13962" s="515" t="s">
        <v>1000</v>
      </c>
      <c r="C13962" s="52">
        <v>230177.73584762699</v>
      </c>
      <c r="D13962" s="56">
        <v>0.10116632990279763</v>
      </c>
      <c r="E13962" s="224" t="s">
        <v>2</v>
      </c>
      <c r="F13962" s="515" t="s">
        <v>15146</v>
      </c>
      <c r="G13962" s="52">
        <v>171904.76065063899</v>
      </c>
      <c r="H13962" s="56">
        <v>0.1130945854515762</v>
      </c>
      <c r="I13962" s="224" t="s">
        <v>2</v>
      </c>
    </row>
    <row r="13963" spans="1:9" x14ac:dyDescent="0.25">
      <c r="A13963" s="515">
        <v>2538</v>
      </c>
      <c r="B13963" s="515" t="s">
        <v>534</v>
      </c>
      <c r="C13963" s="52">
        <v>377603.662267273</v>
      </c>
      <c r="D13963" s="56">
        <v>6.6521194108311962E-2</v>
      </c>
      <c r="E13963" s="224" t="s">
        <v>2</v>
      </c>
      <c r="F13963" s="515" t="s">
        <v>15147</v>
      </c>
      <c r="G13963" s="52">
        <v>378312.73359150602</v>
      </c>
      <c r="H13963" s="56">
        <v>9.5448496921025666E-2</v>
      </c>
      <c r="I13963" s="224" t="s">
        <v>2</v>
      </c>
    </row>
    <row r="13964" spans="1:9" x14ac:dyDescent="0.25">
      <c r="A13964" s="515">
        <v>71060</v>
      </c>
      <c r="B13964" s="515" t="s">
        <v>739</v>
      </c>
      <c r="C13964" s="52">
        <v>114226.47714870299</v>
      </c>
      <c r="D13964" s="56">
        <v>4.4491532421710916E-2</v>
      </c>
      <c r="E13964" s="224" t="s">
        <v>2</v>
      </c>
      <c r="F13964" s="515" t="s">
        <v>15148</v>
      </c>
      <c r="G13964" s="52">
        <v>241711.44348347001</v>
      </c>
      <c r="H13964" s="56">
        <v>4.9652194558039354E-2</v>
      </c>
      <c r="I13964" s="224" t="s">
        <v>2</v>
      </c>
    </row>
    <row r="13965" spans="1:9" x14ac:dyDescent="0.25">
      <c r="A13965" s="515">
        <v>83236</v>
      </c>
      <c r="B13965" s="515" t="s">
        <v>506</v>
      </c>
      <c r="C13965" s="52">
        <v>378640.92819432402</v>
      </c>
      <c r="D13965" s="56">
        <v>1.9684068564019858E-2</v>
      </c>
      <c r="E13965" s="224" t="s">
        <v>2</v>
      </c>
      <c r="F13965" s="515" t="s">
        <v>15149</v>
      </c>
      <c r="G13965" s="52">
        <v>304787.47124035697</v>
      </c>
      <c r="H13965" s="56">
        <v>0.1271112913281717</v>
      </c>
      <c r="I13965" s="224" t="s">
        <v>2</v>
      </c>
    </row>
    <row r="13966" spans="1:9" x14ac:dyDescent="0.25">
      <c r="A13966" s="515">
        <v>95467</v>
      </c>
      <c r="B13966" s="515" t="s">
        <v>363</v>
      </c>
      <c r="C13966" s="52">
        <v>384422.89461941598</v>
      </c>
      <c r="D13966" s="56">
        <v>-1.0104604346461616E-3</v>
      </c>
      <c r="E13966" s="224" t="s">
        <v>2</v>
      </c>
      <c r="F13966" s="515" t="s">
        <v>15150</v>
      </c>
      <c r="G13966" s="52">
        <v>266828.96607758501</v>
      </c>
      <c r="H13966" s="56">
        <v>6.9423738351553549E-2</v>
      </c>
      <c r="I13966" s="224" t="s">
        <v>2</v>
      </c>
    </row>
    <row r="13967" spans="1:9" x14ac:dyDescent="0.25">
      <c r="A13967" s="515">
        <v>60936</v>
      </c>
      <c r="C13967" s="52">
        <v>136422.13137271299</v>
      </c>
      <c r="D13967" s="56">
        <v>4.6562130786939125E-2</v>
      </c>
      <c r="E13967" s="224" t="s">
        <v>2</v>
      </c>
      <c r="F13967" s="515" t="s">
        <v>15151</v>
      </c>
      <c r="G13967" s="52">
        <v>62448.551373690498</v>
      </c>
      <c r="H13967" s="56">
        <v>0</v>
      </c>
      <c r="I13967" s="224" t="s">
        <v>2</v>
      </c>
    </row>
    <row r="13968" spans="1:9" x14ac:dyDescent="0.25">
      <c r="A13968" s="515">
        <v>4083</v>
      </c>
      <c r="B13968" s="515" t="s">
        <v>570</v>
      </c>
      <c r="C13968" s="52">
        <v>303292.32726212399</v>
      </c>
      <c r="D13968" s="56">
        <v>8.5068833342368644E-2</v>
      </c>
      <c r="E13968" s="224" t="s">
        <v>2</v>
      </c>
      <c r="F13968" s="515" t="s">
        <v>15152</v>
      </c>
      <c r="G13968" s="52">
        <v>303167.43572025403</v>
      </c>
      <c r="H13968" s="56">
        <v>8.4459926012009176E-2</v>
      </c>
      <c r="I13968" s="224" t="s">
        <v>2</v>
      </c>
    </row>
    <row r="13969" spans="1:9" x14ac:dyDescent="0.25">
      <c r="A13969" s="515">
        <v>83530</v>
      </c>
      <c r="C13969" s="52">
        <v>299389.62811822997</v>
      </c>
      <c r="D13969" s="56">
        <v>4.8494757263412243E-2</v>
      </c>
      <c r="E13969" s="224" t="s">
        <v>2</v>
      </c>
      <c r="F13969" s="515" t="s">
        <v>15153</v>
      </c>
      <c r="G13969" s="52">
        <v>205658.4662161</v>
      </c>
      <c r="H13969" s="56">
        <v>2.9345220128013431E-2</v>
      </c>
      <c r="I13969" s="224" t="s">
        <v>2</v>
      </c>
    </row>
    <row r="13970" spans="1:9" x14ac:dyDescent="0.25">
      <c r="A13970" s="515">
        <v>63435</v>
      </c>
      <c r="B13970" s="515" t="s">
        <v>697</v>
      </c>
      <c r="C13970" s="52">
        <v>148136.948561294</v>
      </c>
      <c r="D13970" s="56">
        <v>-2.7655676782463032E-2</v>
      </c>
      <c r="E13970" s="224" t="s">
        <v>2</v>
      </c>
      <c r="F13970" s="515" t="s">
        <v>15154</v>
      </c>
      <c r="G13970" s="52">
        <v>258192.19158305699</v>
      </c>
      <c r="H13970" s="56">
        <v>3.5961856665860562E-2</v>
      </c>
      <c r="I13970" s="224" t="s">
        <v>2</v>
      </c>
    </row>
    <row r="13971" spans="1:9" x14ac:dyDescent="0.25">
      <c r="A13971" s="515">
        <v>3451</v>
      </c>
      <c r="B13971" s="515" t="s">
        <v>747</v>
      </c>
      <c r="C13971" s="52">
        <v>239432.01860293199</v>
      </c>
      <c r="D13971" s="56">
        <v>0.15907694690349747</v>
      </c>
      <c r="E13971" s="224" t="s">
        <v>2</v>
      </c>
      <c r="F13971" s="515" t="s">
        <v>15155</v>
      </c>
      <c r="G13971" s="52">
        <v>86850.138293694894</v>
      </c>
      <c r="H13971" s="56">
        <v>-4.3526217448103879E-3</v>
      </c>
      <c r="I13971" s="224" t="s">
        <v>2</v>
      </c>
    </row>
    <row r="13972" spans="1:9" x14ac:dyDescent="0.25">
      <c r="A13972" s="515">
        <v>56464</v>
      </c>
      <c r="C13972" s="52">
        <v>213947.53156411601</v>
      </c>
      <c r="D13972" s="56">
        <v>4.6897668367378249E-2</v>
      </c>
      <c r="E13972" s="224" t="s">
        <v>2</v>
      </c>
      <c r="F13972" s="515" t="s">
        <v>15156</v>
      </c>
      <c r="G13972" s="52">
        <v>273121.52239343198</v>
      </c>
      <c r="H13972" s="56">
        <v>0.12236906571127369</v>
      </c>
      <c r="I13972" s="224" t="s">
        <v>2</v>
      </c>
    </row>
    <row r="13973" spans="1:9" x14ac:dyDescent="0.25">
      <c r="A13973" s="515">
        <v>70719</v>
      </c>
      <c r="B13973" s="515" t="s">
        <v>610</v>
      </c>
      <c r="C13973" s="52">
        <v>235671.85420829599</v>
      </c>
      <c r="D13973" s="56">
        <v>4.1614018142593703E-2</v>
      </c>
      <c r="E13973" s="224" t="s">
        <v>2</v>
      </c>
      <c r="F13973" s="515" t="s">
        <v>15157</v>
      </c>
      <c r="G13973" s="52">
        <v>247161.119440693</v>
      </c>
      <c r="H13973" s="56">
        <v>4.529737138499098E-2</v>
      </c>
      <c r="I13973" s="224" t="s">
        <v>2</v>
      </c>
    </row>
    <row r="13974" spans="1:9" x14ac:dyDescent="0.25">
      <c r="A13974" s="515">
        <v>43845</v>
      </c>
      <c r="B13974" s="515" t="s">
        <v>905</v>
      </c>
      <c r="C13974" s="52">
        <v>134579.30423987799</v>
      </c>
      <c r="D13974" s="56">
        <v>9.5975217533211574E-2</v>
      </c>
      <c r="E13974" s="224" t="s">
        <v>2</v>
      </c>
      <c r="F13974" s="515" t="s">
        <v>15158</v>
      </c>
      <c r="G13974" s="52">
        <v>142561.31336434401</v>
      </c>
      <c r="H13974" s="56">
        <v>3.1776849252580813E-2</v>
      </c>
      <c r="I13974" s="224" t="s">
        <v>2</v>
      </c>
    </row>
    <row r="13975" spans="1:9" x14ac:dyDescent="0.25">
      <c r="A13975" s="515">
        <v>3840</v>
      </c>
      <c r="B13975" s="515" t="s">
        <v>534</v>
      </c>
      <c r="C13975" s="52">
        <v>668775.21167414903</v>
      </c>
      <c r="D13975" s="56">
        <v>0.12578257596813616</v>
      </c>
      <c r="E13975" s="224" t="s">
        <v>2</v>
      </c>
      <c r="F13975" s="515" t="s">
        <v>15159</v>
      </c>
      <c r="G13975" s="52">
        <v>86183.832083907299</v>
      </c>
      <c r="H13975" s="56">
        <v>8.9181473741963696E-2</v>
      </c>
      <c r="I13975" s="224" t="s">
        <v>2</v>
      </c>
    </row>
    <row r="13976" spans="1:9" x14ac:dyDescent="0.25">
      <c r="A13976" s="515">
        <v>71429</v>
      </c>
      <c r="C13976" s="52">
        <v>158106.34874197101</v>
      </c>
      <c r="D13976" s="56">
        <v>7.3050412221602537E-2</v>
      </c>
      <c r="E13976" s="224" t="s">
        <v>2</v>
      </c>
      <c r="F13976" s="515" t="s">
        <v>15160</v>
      </c>
      <c r="G13976" s="52">
        <v>385041.58459437499</v>
      </c>
      <c r="H13976" s="56">
        <v>9.0625801167506098E-2</v>
      </c>
      <c r="I13976" s="224" t="s">
        <v>2</v>
      </c>
    </row>
    <row r="13977" spans="1:9" x14ac:dyDescent="0.25">
      <c r="A13977" s="515">
        <v>29474</v>
      </c>
      <c r="C13977" s="52">
        <v>185900.37695511899</v>
      </c>
      <c r="D13977" s="56">
        <v>8.9058276043364387E-2</v>
      </c>
      <c r="E13977" s="224" t="s">
        <v>2</v>
      </c>
      <c r="F13977" s="515" t="s">
        <v>15161</v>
      </c>
      <c r="G13977" s="52">
        <v>249390.60958904101</v>
      </c>
      <c r="H13977" s="56">
        <v>0</v>
      </c>
      <c r="I13977" s="224" t="s">
        <v>2</v>
      </c>
    </row>
    <row r="13978" spans="1:9" x14ac:dyDescent="0.25">
      <c r="A13978" s="515">
        <v>54666</v>
      </c>
      <c r="C13978" s="52">
        <v>176274.95312787601</v>
      </c>
      <c r="D13978" s="56">
        <v>7.1118784511122371E-2</v>
      </c>
      <c r="E13978" s="224" t="s">
        <v>2</v>
      </c>
      <c r="F13978" s="515" t="s">
        <v>15162</v>
      </c>
      <c r="G13978" s="52">
        <v>115552.466584016</v>
      </c>
      <c r="H13978" s="56">
        <v>6.9487464710833502E-2</v>
      </c>
      <c r="I13978" s="224" t="s">
        <v>2</v>
      </c>
    </row>
    <row r="13979" spans="1:9" x14ac:dyDescent="0.25">
      <c r="A13979" s="515">
        <v>14423</v>
      </c>
      <c r="B13979" s="515" t="s">
        <v>337</v>
      </c>
      <c r="C13979" s="52">
        <v>189195.79597461401</v>
      </c>
      <c r="D13979" s="56">
        <v>6.1385519760069403E-2</v>
      </c>
      <c r="E13979" s="224" t="s">
        <v>2</v>
      </c>
      <c r="F13979" s="515" t="s">
        <v>15163</v>
      </c>
      <c r="G13979" s="52">
        <v>164855.46388263299</v>
      </c>
      <c r="H13979" s="56">
        <v>0.10149695829090818</v>
      </c>
      <c r="I13979" s="224" t="s">
        <v>2</v>
      </c>
    </row>
    <row r="13980" spans="1:9" x14ac:dyDescent="0.25">
      <c r="A13980" s="515">
        <v>11804</v>
      </c>
      <c r="B13980" s="515" t="s">
        <v>324</v>
      </c>
      <c r="C13980" s="52">
        <v>771518.12769042095</v>
      </c>
      <c r="D13980" s="56">
        <v>5.3784739283615775E-2</v>
      </c>
      <c r="E13980" s="224" t="s">
        <v>2</v>
      </c>
      <c r="F13980" s="515" t="s">
        <v>15164</v>
      </c>
      <c r="G13980" s="52">
        <v>469913.086329196</v>
      </c>
      <c r="H13980" s="56">
        <v>5.5521398638627498E-2</v>
      </c>
      <c r="I13980" s="224" t="s">
        <v>2</v>
      </c>
    </row>
    <row r="13981" spans="1:9" x14ac:dyDescent="0.25">
      <c r="A13981" s="515">
        <v>28692</v>
      </c>
      <c r="B13981" s="515" t="s">
        <v>1103</v>
      </c>
      <c r="C13981" s="52">
        <v>366690.03164642898</v>
      </c>
      <c r="D13981" s="56">
        <v>0.12482386304300412</v>
      </c>
      <c r="E13981" s="224" t="s">
        <v>2</v>
      </c>
      <c r="F13981" s="515" t="s">
        <v>15165</v>
      </c>
      <c r="G13981" s="52">
        <v>312118.37805960502</v>
      </c>
      <c r="H13981" s="56">
        <v>5.986884484339812E-2</v>
      </c>
      <c r="I13981" s="224" t="s">
        <v>2</v>
      </c>
    </row>
    <row r="13982" spans="1:9" x14ac:dyDescent="0.25">
      <c r="A13982" s="515">
        <v>27921</v>
      </c>
      <c r="B13982" s="515" t="s">
        <v>301</v>
      </c>
      <c r="C13982" s="52">
        <v>322042.58183638699</v>
      </c>
      <c r="D13982" s="56">
        <v>6.4797227525860965E-2</v>
      </c>
      <c r="E13982" s="224" t="s">
        <v>2</v>
      </c>
      <c r="F13982" s="515" t="s">
        <v>15166</v>
      </c>
      <c r="G13982" s="52">
        <v>304718.16156468098</v>
      </c>
      <c r="H13982" s="56">
        <v>0.12095190002120614</v>
      </c>
      <c r="I13982" s="224" t="s">
        <v>2</v>
      </c>
    </row>
    <row r="13983" spans="1:9" x14ac:dyDescent="0.25">
      <c r="A13983" s="515">
        <v>29384</v>
      </c>
      <c r="B13983" s="515" t="s">
        <v>613</v>
      </c>
      <c r="C13983" s="52">
        <v>143393.82685172901</v>
      </c>
      <c r="D13983" s="56">
        <v>0.11728389446094957</v>
      </c>
      <c r="E13983" s="224" t="s">
        <v>2</v>
      </c>
      <c r="F13983" s="515" t="s">
        <v>15167</v>
      </c>
      <c r="G13983" s="52">
        <v>177435.04176809301</v>
      </c>
      <c r="H13983" s="56">
        <v>0.10951008351395912</v>
      </c>
      <c r="I13983" s="224" t="s">
        <v>2</v>
      </c>
    </row>
    <row r="13984" spans="1:9" x14ac:dyDescent="0.25">
      <c r="A13984" s="515">
        <v>3261</v>
      </c>
      <c r="B13984" s="515" t="s">
        <v>534</v>
      </c>
      <c r="C13984" s="52">
        <v>405028.17202527501</v>
      </c>
      <c r="D13984" s="56">
        <v>6.381183340052464E-2</v>
      </c>
      <c r="E13984" s="224" t="s">
        <v>2</v>
      </c>
      <c r="F13984" s="515" t="s">
        <v>15168</v>
      </c>
      <c r="G13984" s="52">
        <v>236319.88468672399</v>
      </c>
      <c r="H13984" s="56">
        <v>0.11249288101601645</v>
      </c>
      <c r="I13984" s="224" t="s">
        <v>2</v>
      </c>
    </row>
    <row r="13985" spans="1:9" x14ac:dyDescent="0.25">
      <c r="A13985" s="515">
        <v>29689</v>
      </c>
      <c r="B13985" s="515" t="s">
        <v>613</v>
      </c>
      <c r="C13985" s="52">
        <v>365061.91697611101</v>
      </c>
      <c r="D13985" s="56">
        <v>0.12415260484652219</v>
      </c>
      <c r="E13985" s="224" t="s">
        <v>2</v>
      </c>
      <c r="F13985" s="515" t="s">
        <v>15169</v>
      </c>
      <c r="G13985" s="52">
        <v>612474.46099083999</v>
      </c>
      <c r="H13985" s="56">
        <v>3.2625480883661608E-2</v>
      </c>
      <c r="I13985" s="224" t="s">
        <v>2</v>
      </c>
    </row>
    <row r="13986" spans="1:9" x14ac:dyDescent="0.25">
      <c r="A13986" s="515">
        <v>78636</v>
      </c>
      <c r="C13986" s="52">
        <v>578029.14881619206</v>
      </c>
      <c r="D13986" s="56">
        <v>0.14066096470108796</v>
      </c>
      <c r="E13986" s="224" t="s">
        <v>2</v>
      </c>
      <c r="F13986" s="515" t="s">
        <v>15170</v>
      </c>
      <c r="G13986" s="52">
        <v>78769.144173550201</v>
      </c>
      <c r="H13986" s="56">
        <v>0</v>
      </c>
      <c r="I13986" s="224" t="s">
        <v>2</v>
      </c>
    </row>
    <row r="13987" spans="1:9" x14ac:dyDescent="0.25">
      <c r="A13987" s="515">
        <v>31091</v>
      </c>
      <c r="C13987" s="52">
        <v>94475.3684331525</v>
      </c>
      <c r="D13987" s="56">
        <v>0.11671125100589397</v>
      </c>
      <c r="E13987" s="224" t="s">
        <v>2</v>
      </c>
      <c r="F13987" s="515" t="s">
        <v>15171</v>
      </c>
      <c r="G13987" s="52">
        <v>139852.16907884</v>
      </c>
      <c r="H13987" s="56">
        <v>0.1089309720167711</v>
      </c>
      <c r="I13987" s="224" t="s">
        <v>2</v>
      </c>
    </row>
    <row r="13988" spans="1:9" x14ac:dyDescent="0.25">
      <c r="A13988" s="515">
        <v>37306</v>
      </c>
      <c r="B13988" s="515" t="s">
        <v>977</v>
      </c>
      <c r="C13988" s="52">
        <v>247766.46476589001</v>
      </c>
      <c r="D13988" s="56">
        <v>4.7333501508607129E-2</v>
      </c>
      <c r="E13988" s="224" t="s">
        <v>2</v>
      </c>
      <c r="F13988" s="515" t="s">
        <v>15172</v>
      </c>
      <c r="G13988" s="52">
        <v>148353.30041434499</v>
      </c>
      <c r="H13988" s="56">
        <v>0.10793439519657479</v>
      </c>
      <c r="I13988" s="224" t="s">
        <v>2</v>
      </c>
    </row>
    <row r="13989" spans="1:9" x14ac:dyDescent="0.25">
      <c r="A13989" s="515">
        <v>14883</v>
      </c>
      <c r="B13989" s="515" t="s">
        <v>840</v>
      </c>
      <c r="C13989" s="52">
        <v>182576.24073852599</v>
      </c>
      <c r="D13989" s="56">
        <v>0.1003634126279405</v>
      </c>
      <c r="E13989" s="224" t="s">
        <v>2</v>
      </c>
      <c r="F13989" s="515" t="s">
        <v>15173</v>
      </c>
      <c r="G13989" s="52">
        <v>344527.410380352</v>
      </c>
      <c r="H13989" s="56">
        <v>4.5240670333697552E-2</v>
      </c>
      <c r="I13989" s="224" t="s">
        <v>2</v>
      </c>
    </row>
    <row r="13990" spans="1:9" x14ac:dyDescent="0.25">
      <c r="A13990" s="515">
        <v>29831</v>
      </c>
      <c r="B13990" s="515" t="s">
        <v>888</v>
      </c>
      <c r="C13990" s="52">
        <v>84695.723016594595</v>
      </c>
      <c r="D13990" s="56">
        <v>7.1872998725824283E-2</v>
      </c>
      <c r="E13990" s="224" t="s">
        <v>2</v>
      </c>
      <c r="F13990" s="515" t="s">
        <v>15174</v>
      </c>
      <c r="G13990" s="52">
        <v>233428.25357992301</v>
      </c>
      <c r="H13990" s="56">
        <v>6.8486356986781627E-2</v>
      </c>
      <c r="I13990" s="224" t="s">
        <v>2</v>
      </c>
    </row>
    <row r="13991" spans="1:9" x14ac:dyDescent="0.25">
      <c r="A13991" s="515">
        <v>61846</v>
      </c>
      <c r="B13991" s="515" t="s">
        <v>999</v>
      </c>
      <c r="C13991" s="52">
        <v>69380.340885447906</v>
      </c>
      <c r="D13991" s="56">
        <v>0.11288589926499361</v>
      </c>
      <c r="E13991" s="224" t="s">
        <v>2</v>
      </c>
      <c r="F13991" s="515" t="s">
        <v>15175</v>
      </c>
      <c r="G13991" s="52">
        <v>307326.10107923299</v>
      </c>
      <c r="H13991" s="56">
        <v>1.9492323470538329E-2</v>
      </c>
      <c r="I13991" s="224" t="s">
        <v>2</v>
      </c>
    </row>
    <row r="13992" spans="1:9" x14ac:dyDescent="0.25">
      <c r="A13992" s="515">
        <v>13084</v>
      </c>
      <c r="B13992" s="515" t="s">
        <v>361</v>
      </c>
      <c r="C13992" s="52">
        <v>239187.669274079</v>
      </c>
      <c r="D13992" s="56">
        <v>0.10710910295086168</v>
      </c>
      <c r="E13992" s="224" t="s">
        <v>2</v>
      </c>
      <c r="F13992" s="515" t="s">
        <v>15176</v>
      </c>
      <c r="G13992" s="52">
        <v>111054.43724047601</v>
      </c>
      <c r="H13992" s="56">
        <v>0.10401597652013725</v>
      </c>
      <c r="I13992" s="224" t="s">
        <v>2</v>
      </c>
    </row>
    <row r="13993" spans="1:9" x14ac:dyDescent="0.25">
      <c r="A13993" s="515">
        <v>49435</v>
      </c>
      <c r="B13993" s="515" t="s">
        <v>631</v>
      </c>
      <c r="C13993" s="52">
        <v>339857.08977285202</v>
      </c>
      <c r="D13993" s="56">
        <v>0.1154152229651971</v>
      </c>
      <c r="E13993" s="224" t="s">
        <v>2</v>
      </c>
      <c r="F13993" s="515" t="s">
        <v>15177</v>
      </c>
      <c r="G13993" s="52">
        <v>70789.315405262998</v>
      </c>
      <c r="H13993" s="56">
        <v>-2.6050274988085893E-2</v>
      </c>
      <c r="I13993" s="224" t="s">
        <v>2</v>
      </c>
    </row>
    <row r="13994" spans="1:9" x14ac:dyDescent="0.25">
      <c r="A13994" s="515">
        <v>99111</v>
      </c>
      <c r="B13994" s="515" t="s">
        <v>450</v>
      </c>
      <c r="C13994" s="52">
        <v>282667.99444633699</v>
      </c>
      <c r="D13994" s="56">
        <v>9.4093453724846468E-2</v>
      </c>
      <c r="E13994" s="224" t="s">
        <v>2</v>
      </c>
      <c r="F13994" s="515" t="s">
        <v>15178</v>
      </c>
      <c r="G13994" s="52">
        <v>92200.099701852494</v>
      </c>
      <c r="H13994" s="56">
        <v>0.17361914178316376</v>
      </c>
      <c r="I13994" s="224" t="s">
        <v>2</v>
      </c>
    </row>
    <row r="13995" spans="1:9" x14ac:dyDescent="0.25">
      <c r="A13995" s="515">
        <v>93272</v>
      </c>
      <c r="B13995" s="515" t="s">
        <v>358</v>
      </c>
      <c r="C13995" s="52">
        <v>229455.02582632299</v>
      </c>
      <c r="D13995" s="56">
        <v>3.7477560681226783E-2</v>
      </c>
      <c r="E13995" s="224" t="s">
        <v>2</v>
      </c>
      <c r="F13995" s="515" t="s">
        <v>15179</v>
      </c>
      <c r="G13995" s="52">
        <v>279197.47039121698</v>
      </c>
      <c r="H13995" s="56">
        <v>4.5965460534611965E-2</v>
      </c>
      <c r="I13995" s="224" t="s">
        <v>2</v>
      </c>
    </row>
    <row r="13996" spans="1:9" x14ac:dyDescent="0.25">
      <c r="A13996" s="515">
        <v>39063</v>
      </c>
      <c r="B13996" s="515" t="s">
        <v>851</v>
      </c>
      <c r="C13996" s="52">
        <v>48804.314362885299</v>
      </c>
      <c r="D13996" s="56">
        <v>-0.15914160297162508</v>
      </c>
      <c r="E13996" s="224" t="s">
        <v>2</v>
      </c>
      <c r="F13996" s="515" t="s">
        <v>15180</v>
      </c>
      <c r="G13996" s="52">
        <v>217979.69228142701</v>
      </c>
      <c r="H13996" s="56">
        <v>5.4462933153074509E-2</v>
      </c>
      <c r="I13996" s="224" t="s">
        <v>2</v>
      </c>
    </row>
    <row r="13997" spans="1:9" x14ac:dyDescent="0.25">
      <c r="A13997" s="515">
        <v>75173</v>
      </c>
      <c r="B13997" s="515" t="s">
        <v>458</v>
      </c>
      <c r="C13997" s="52">
        <v>373783.74749780702</v>
      </c>
      <c r="D13997" s="56">
        <v>9.6283600366750433E-2</v>
      </c>
      <c r="E13997" s="224" t="s">
        <v>2</v>
      </c>
      <c r="F13997" s="515" t="s">
        <v>15181</v>
      </c>
      <c r="G13997" s="52">
        <v>488416.054607186</v>
      </c>
      <c r="H13997" s="56">
        <v>0.10391552118609168</v>
      </c>
      <c r="I13997" s="224" t="s">
        <v>2</v>
      </c>
    </row>
    <row r="13998" spans="1:9" x14ac:dyDescent="0.25">
      <c r="A13998" s="515">
        <v>74966</v>
      </c>
      <c r="C13998" s="52">
        <v>154632.74419582699</v>
      </c>
      <c r="D13998" s="56">
        <v>6.5765563074009478E-2</v>
      </c>
      <c r="E13998" s="224" t="s">
        <v>2</v>
      </c>
      <c r="F13998" s="515" t="s">
        <v>15182</v>
      </c>
      <c r="G13998" s="52">
        <v>1107435.46875</v>
      </c>
      <c r="H13998" s="56">
        <v>0</v>
      </c>
      <c r="I13998" s="224" t="s">
        <v>2</v>
      </c>
    </row>
    <row r="13999" spans="1:9" x14ac:dyDescent="0.25">
      <c r="A13999" s="515">
        <v>61529</v>
      </c>
      <c r="B13999" s="515" t="s">
        <v>303</v>
      </c>
      <c r="C13999" s="52">
        <v>144356.91500750501</v>
      </c>
      <c r="D13999" s="56">
        <v>4.1059964297489218E-2</v>
      </c>
      <c r="E13999" s="224" t="s">
        <v>2</v>
      </c>
      <c r="F13999" s="515" t="s">
        <v>15183</v>
      </c>
      <c r="G13999" s="52">
        <v>146139.98250427999</v>
      </c>
      <c r="H13999" s="56">
        <v>0.21910016921078343</v>
      </c>
      <c r="I13999" s="224" t="s">
        <v>2</v>
      </c>
    </row>
    <row r="14000" spans="1:9" x14ac:dyDescent="0.25">
      <c r="A14000" s="515">
        <v>19541</v>
      </c>
      <c r="B14000" s="515" t="s">
        <v>569</v>
      </c>
      <c r="C14000" s="52">
        <v>311438.24636300397</v>
      </c>
      <c r="D14000" s="56">
        <v>9.2126412753081227E-2</v>
      </c>
      <c r="E14000" s="224" t="s">
        <v>2</v>
      </c>
      <c r="F14000" s="515" t="s">
        <v>15184</v>
      </c>
      <c r="G14000" s="52">
        <v>135664.80816858599</v>
      </c>
      <c r="H14000" s="56">
        <v>0.10380102279633142</v>
      </c>
      <c r="I14000" s="224" t="s">
        <v>2</v>
      </c>
    </row>
    <row r="14001" spans="1:9" x14ac:dyDescent="0.25">
      <c r="A14001" s="515">
        <v>55934</v>
      </c>
      <c r="B14001" s="515" t="s">
        <v>470</v>
      </c>
      <c r="C14001" s="52">
        <v>295890.48766797199</v>
      </c>
      <c r="D14001" s="56">
        <v>6.8154532576865268E-2</v>
      </c>
      <c r="E14001" s="224" t="s">
        <v>2</v>
      </c>
      <c r="F14001" s="515" t="s">
        <v>15185</v>
      </c>
      <c r="G14001" s="52">
        <v>181321.42548379701</v>
      </c>
      <c r="H14001" s="56">
        <v>-6.7574684264047682E-2</v>
      </c>
      <c r="I14001" s="224" t="s">
        <v>2</v>
      </c>
    </row>
    <row r="14002" spans="1:9" x14ac:dyDescent="0.25">
      <c r="A14002" s="515">
        <v>17520</v>
      </c>
      <c r="B14002" s="515" t="s">
        <v>537</v>
      </c>
      <c r="C14002" s="52">
        <v>276480.13569890498</v>
      </c>
      <c r="D14002" s="56">
        <v>9.1541362869742696E-2</v>
      </c>
      <c r="E14002" s="224" t="s">
        <v>2</v>
      </c>
      <c r="F14002" s="515" t="s">
        <v>15186</v>
      </c>
      <c r="G14002" s="52">
        <v>150020.78696831199</v>
      </c>
      <c r="H14002" s="56">
        <v>5.1319412652973857E-2</v>
      </c>
      <c r="I14002" s="224" t="s">
        <v>2</v>
      </c>
    </row>
    <row r="14003" spans="1:9" x14ac:dyDescent="0.25">
      <c r="A14003" s="515">
        <v>35452</v>
      </c>
      <c r="B14003" s="515" t="s">
        <v>841</v>
      </c>
      <c r="C14003" s="52">
        <v>209392.73687481799</v>
      </c>
      <c r="D14003" s="56">
        <v>5.4535758715802782E-2</v>
      </c>
      <c r="E14003" s="224" t="s">
        <v>2</v>
      </c>
      <c r="F14003" s="515" t="s">
        <v>15187</v>
      </c>
      <c r="G14003" s="52">
        <v>228704.25093785199</v>
      </c>
      <c r="H14003" s="56">
        <v>0.10452675558777944</v>
      </c>
      <c r="I14003" s="224" t="s">
        <v>2</v>
      </c>
    </row>
    <row r="14004" spans="1:9" x14ac:dyDescent="0.25">
      <c r="A14004" s="515">
        <v>95461</v>
      </c>
      <c r="B14004" s="515" t="s">
        <v>363</v>
      </c>
      <c r="C14004" s="52">
        <v>348354.893716035</v>
      </c>
      <c r="D14004" s="56">
        <v>5.1395931001013022E-2</v>
      </c>
      <c r="E14004" s="224" t="s">
        <v>2</v>
      </c>
      <c r="F14004" s="515" t="s">
        <v>15188</v>
      </c>
      <c r="G14004" s="52">
        <v>264458.40627026203</v>
      </c>
      <c r="H14004" s="56">
        <v>0.11554612395097301</v>
      </c>
      <c r="I14004" s="224" t="s">
        <v>2</v>
      </c>
    </row>
    <row r="14005" spans="1:9" x14ac:dyDescent="0.25">
      <c r="A14005" s="515">
        <v>75414</v>
      </c>
      <c r="B14005" s="515" t="s">
        <v>553</v>
      </c>
      <c r="C14005" s="52">
        <v>314860.674744552</v>
      </c>
      <c r="D14005" s="56">
        <v>0.13666649141798451</v>
      </c>
      <c r="E14005" s="224" t="s">
        <v>2</v>
      </c>
      <c r="F14005" s="515" t="s">
        <v>15189</v>
      </c>
      <c r="G14005" s="52">
        <v>105462.678210299</v>
      </c>
      <c r="H14005" s="56">
        <v>1.1562166236873998E-2</v>
      </c>
      <c r="I14005" s="224" t="s">
        <v>2</v>
      </c>
    </row>
    <row r="14006" spans="1:9" x14ac:dyDescent="0.25">
      <c r="A14006" s="515">
        <v>48811</v>
      </c>
      <c r="B14006" s="515" t="s">
        <v>631</v>
      </c>
      <c r="C14006" s="52">
        <v>144702.94858845201</v>
      </c>
      <c r="D14006" s="56">
        <v>7.1488836878830925E-2</v>
      </c>
      <c r="E14006" s="224" t="s">
        <v>2</v>
      </c>
      <c r="F14006" s="515" t="s">
        <v>15190</v>
      </c>
      <c r="G14006" s="52">
        <v>244304.29158758</v>
      </c>
      <c r="H14006" s="56">
        <v>2.0806649053448305E-2</v>
      </c>
      <c r="I14006" s="224" t="s">
        <v>2</v>
      </c>
    </row>
    <row r="14007" spans="1:9" x14ac:dyDescent="0.25">
      <c r="A14007" s="515">
        <v>28456</v>
      </c>
      <c r="C14007" s="52">
        <v>151393.00345167701</v>
      </c>
      <c r="D14007" s="56">
        <v>9.950225791717722E-2</v>
      </c>
      <c r="E14007" s="224" t="s">
        <v>2</v>
      </c>
      <c r="F14007" s="515" t="s">
        <v>15191</v>
      </c>
      <c r="G14007" s="52">
        <v>158332.037981028</v>
      </c>
      <c r="H14007" s="56">
        <v>0.18021480950304708</v>
      </c>
      <c r="I14007" s="224" t="s">
        <v>2</v>
      </c>
    </row>
    <row r="14008" spans="1:9" x14ac:dyDescent="0.25">
      <c r="A14008" s="515">
        <v>98249</v>
      </c>
      <c r="B14008" s="515" t="s">
        <v>1146</v>
      </c>
      <c r="C14008" s="52">
        <v>661630.96683411102</v>
      </c>
      <c r="D14008" s="56">
        <v>2.0685461419684425E-2</v>
      </c>
      <c r="E14008" s="224" t="s">
        <v>2</v>
      </c>
      <c r="F14008" s="515" t="s">
        <v>15192</v>
      </c>
      <c r="G14008" s="52">
        <v>113978.95283208801</v>
      </c>
      <c r="H14008" s="56">
        <v>0</v>
      </c>
      <c r="I14008" s="224" t="s">
        <v>2</v>
      </c>
    </row>
    <row r="14009" spans="1:9" x14ac:dyDescent="0.25">
      <c r="A14009" s="515">
        <v>65483</v>
      </c>
      <c r="C14009" s="52">
        <v>150210.70682271701</v>
      </c>
      <c r="D14009" s="56">
        <v>8.5003840197171512E-2</v>
      </c>
      <c r="E14009" s="224" t="s">
        <v>2</v>
      </c>
      <c r="F14009" s="515" t="s">
        <v>15193</v>
      </c>
      <c r="G14009" s="52">
        <v>213889.83806629101</v>
      </c>
      <c r="H14009" s="56">
        <v>6.012160302291325E-2</v>
      </c>
      <c r="I14009" s="224" t="s">
        <v>2</v>
      </c>
    </row>
    <row r="14010" spans="1:9" x14ac:dyDescent="0.25">
      <c r="A14010" s="515">
        <v>14787</v>
      </c>
      <c r="B14010" s="515" t="s">
        <v>560</v>
      </c>
      <c r="C14010" s="52">
        <v>154457.51042342299</v>
      </c>
      <c r="D14010" s="56">
        <v>0.14160360142985268</v>
      </c>
      <c r="E14010" s="224" t="s">
        <v>2</v>
      </c>
      <c r="F14010" s="515" t="s">
        <v>15194</v>
      </c>
      <c r="G14010" s="52">
        <v>266837.02957781003</v>
      </c>
      <c r="H14010" s="56">
        <v>5.4402166604704413E-2</v>
      </c>
      <c r="I14010" s="224" t="s">
        <v>2</v>
      </c>
    </row>
    <row r="14011" spans="1:9" x14ac:dyDescent="0.25">
      <c r="A14011" s="515">
        <v>32603</v>
      </c>
      <c r="B14011" s="515" t="s">
        <v>577</v>
      </c>
      <c r="C14011" s="52">
        <v>373110.77799723099</v>
      </c>
      <c r="D14011" s="56">
        <v>0.12067646492400877</v>
      </c>
      <c r="E14011" s="224">
        <v>2112.8095238095202</v>
      </c>
      <c r="F14011" s="515" t="s">
        <v>15195</v>
      </c>
      <c r="G14011" s="52">
        <v>142403.86657302099</v>
      </c>
      <c r="H14011" s="56">
        <v>8.3803156659895808E-2</v>
      </c>
      <c r="I14011" s="224" t="s">
        <v>2</v>
      </c>
    </row>
    <row r="14012" spans="1:9" x14ac:dyDescent="0.25">
      <c r="A14012" s="515">
        <v>60071</v>
      </c>
      <c r="B14012" s="515" t="s">
        <v>394</v>
      </c>
      <c r="C14012" s="52">
        <v>278536.98442143103</v>
      </c>
      <c r="D14012" s="56">
        <v>5.6735817890276291E-2</v>
      </c>
      <c r="E14012" s="224" t="s">
        <v>2</v>
      </c>
      <c r="F14012" s="515" t="s">
        <v>15196</v>
      </c>
      <c r="G14012" s="52">
        <v>116307.169309419</v>
      </c>
      <c r="H14012" s="56">
        <v>0.13302832162175166</v>
      </c>
      <c r="I14012" s="224" t="s">
        <v>2</v>
      </c>
    </row>
    <row r="14013" spans="1:9" x14ac:dyDescent="0.25">
      <c r="A14013" s="515">
        <v>71929</v>
      </c>
      <c r="B14013" s="515" t="s">
        <v>1064</v>
      </c>
      <c r="C14013" s="52">
        <v>183977.53542043499</v>
      </c>
      <c r="D14013" s="56">
        <v>3.5182357301435194E-2</v>
      </c>
      <c r="E14013" s="224" t="s">
        <v>2</v>
      </c>
      <c r="F14013" s="515" t="s">
        <v>15197</v>
      </c>
      <c r="G14013" s="52">
        <v>293333.675797339</v>
      </c>
      <c r="H14013" s="56">
        <v>0.10591191227700482</v>
      </c>
      <c r="I14013" s="224" t="s">
        <v>2</v>
      </c>
    </row>
    <row r="14014" spans="1:9" x14ac:dyDescent="0.25">
      <c r="A14014" s="515">
        <v>34201</v>
      </c>
      <c r="B14014" s="515" t="s">
        <v>466</v>
      </c>
      <c r="C14014" s="52">
        <v>661924.61835266801</v>
      </c>
      <c r="D14014" s="56">
        <v>0.12432835188195476</v>
      </c>
      <c r="E14014" s="224" t="s">
        <v>2</v>
      </c>
      <c r="F14014" s="515" t="s">
        <v>15198</v>
      </c>
      <c r="G14014" s="52">
        <v>124894.64107981201</v>
      </c>
      <c r="H14014" s="56">
        <v>7.1353511057236418E-2</v>
      </c>
      <c r="I14014" s="224" t="s">
        <v>2</v>
      </c>
    </row>
    <row r="14015" spans="1:9" x14ac:dyDescent="0.25">
      <c r="A14015" s="515">
        <v>37336</v>
      </c>
      <c r="C14015" s="52">
        <v>312137.87396653002</v>
      </c>
      <c r="D14015" s="56">
        <v>0.10355123598949185</v>
      </c>
      <c r="E14015" s="224" t="s">
        <v>2</v>
      </c>
      <c r="F14015" s="515" t="s">
        <v>15199</v>
      </c>
      <c r="G14015" s="52">
        <v>268735.70376968198</v>
      </c>
      <c r="H14015" s="56">
        <v>0.13447630601293922</v>
      </c>
      <c r="I14015" s="224" t="s">
        <v>2</v>
      </c>
    </row>
    <row r="14016" spans="1:9" x14ac:dyDescent="0.25">
      <c r="A14016" s="515">
        <v>54555</v>
      </c>
      <c r="C14016" s="52">
        <v>170018.74995841799</v>
      </c>
      <c r="D14016" s="56">
        <v>0.14146868239151422</v>
      </c>
      <c r="E14016" s="224" t="s">
        <v>2</v>
      </c>
      <c r="F14016" s="515" t="s">
        <v>15200</v>
      </c>
      <c r="G14016" s="52">
        <v>100657.06276150599</v>
      </c>
      <c r="H14016" s="56">
        <v>0</v>
      </c>
      <c r="I14016" s="224" t="s">
        <v>2</v>
      </c>
    </row>
    <row r="14017" spans="1:9" x14ac:dyDescent="0.25">
      <c r="A14017" s="515">
        <v>16858</v>
      </c>
      <c r="B14017" s="515" t="s">
        <v>876</v>
      </c>
      <c r="C14017" s="52">
        <v>119576.681963002</v>
      </c>
      <c r="D14017" s="56">
        <v>2.8399793831819061E-2</v>
      </c>
      <c r="E14017" s="224" t="s">
        <v>2</v>
      </c>
      <c r="F14017" s="515" t="s">
        <v>15201</v>
      </c>
      <c r="G14017" s="52">
        <v>284092.21047112299</v>
      </c>
      <c r="H14017" s="56">
        <v>7.6611541967247107E-2</v>
      </c>
      <c r="I14017" s="224" t="s">
        <v>2</v>
      </c>
    </row>
    <row r="14018" spans="1:9" x14ac:dyDescent="0.25">
      <c r="A14018" s="515">
        <v>4930</v>
      </c>
      <c r="B14018" s="515" t="s">
        <v>792</v>
      </c>
      <c r="C14018" s="52">
        <v>180581.39555140599</v>
      </c>
      <c r="D14018" s="56">
        <v>0.11703106350291076</v>
      </c>
      <c r="E14018" s="224" t="s">
        <v>2</v>
      </c>
      <c r="F14018" s="515" t="s">
        <v>15202</v>
      </c>
      <c r="G14018" s="52">
        <v>125222.864278134</v>
      </c>
      <c r="H14018" s="56">
        <v>4.1324086717852052E-2</v>
      </c>
      <c r="I14018" s="224" t="s">
        <v>2</v>
      </c>
    </row>
    <row r="14019" spans="1:9" x14ac:dyDescent="0.25">
      <c r="A14019" s="515">
        <v>42327</v>
      </c>
      <c r="B14019" s="515" t="s">
        <v>1024</v>
      </c>
      <c r="C14019" s="52">
        <v>153876.619907988</v>
      </c>
      <c r="D14019" s="56">
        <v>0.16468627527162547</v>
      </c>
      <c r="E14019" s="224" t="s">
        <v>2</v>
      </c>
      <c r="F14019" s="515" t="s">
        <v>15203</v>
      </c>
      <c r="G14019" s="52">
        <v>147327.05003211799</v>
      </c>
      <c r="H14019" s="56">
        <v>8.0871417266527496E-2</v>
      </c>
      <c r="I14019" s="224" t="s">
        <v>2</v>
      </c>
    </row>
    <row r="14020" spans="1:9" x14ac:dyDescent="0.25">
      <c r="A14020" s="515">
        <v>10921</v>
      </c>
      <c r="B14020" s="515" t="s">
        <v>529</v>
      </c>
      <c r="C14020" s="52">
        <v>387077.39419948799</v>
      </c>
      <c r="D14020" s="56">
        <v>0.10395143032429165</v>
      </c>
      <c r="E14020" s="224" t="s">
        <v>2</v>
      </c>
      <c r="F14020" s="515" t="s">
        <v>15204</v>
      </c>
      <c r="G14020" s="52">
        <v>123977.97479087699</v>
      </c>
      <c r="H14020" s="56">
        <v>2.0721727479287189E-2</v>
      </c>
      <c r="I14020" s="224" t="s">
        <v>2</v>
      </c>
    </row>
    <row r="14021" spans="1:9" x14ac:dyDescent="0.25">
      <c r="A14021" s="515">
        <v>60456</v>
      </c>
      <c r="B14021" s="515" t="s">
        <v>394</v>
      </c>
      <c r="C14021" s="52">
        <v>172341.5160072</v>
      </c>
      <c r="D14021" s="56">
        <v>3.9228773876338441E-2</v>
      </c>
      <c r="E14021" s="224" t="s">
        <v>2</v>
      </c>
      <c r="F14021" s="515" t="s">
        <v>15205</v>
      </c>
      <c r="G14021" s="52">
        <v>1662934.0488474099</v>
      </c>
      <c r="H14021" s="56">
        <v>0.17451128445917188</v>
      </c>
      <c r="I14021" s="224" t="s">
        <v>2</v>
      </c>
    </row>
    <row r="14022" spans="1:9" x14ac:dyDescent="0.25">
      <c r="A14022" s="515">
        <v>35063</v>
      </c>
      <c r="B14022" s="515" t="s">
        <v>1087</v>
      </c>
      <c r="C14022" s="52">
        <v>183163.465926234</v>
      </c>
      <c r="D14022" s="56">
        <v>1.9685399396319563E-2</v>
      </c>
      <c r="E14022" s="224" t="s">
        <v>2</v>
      </c>
      <c r="F14022" s="515" t="s">
        <v>15206</v>
      </c>
      <c r="G14022" s="52">
        <v>96538.259648546693</v>
      </c>
      <c r="H14022" s="56">
        <v>0.1052760383865243</v>
      </c>
      <c r="I14022" s="224" t="s">
        <v>2</v>
      </c>
    </row>
    <row r="14023" spans="1:9" x14ac:dyDescent="0.25">
      <c r="A14023" s="515">
        <v>95383</v>
      </c>
      <c r="B14023" s="515" t="s">
        <v>555</v>
      </c>
      <c r="C14023" s="52">
        <v>397781.90439183603</v>
      </c>
      <c r="D14023" s="56">
        <v>1.0560903608379959E-2</v>
      </c>
      <c r="E14023" s="224" t="s">
        <v>2</v>
      </c>
      <c r="F14023" s="515" t="s">
        <v>15207</v>
      </c>
      <c r="G14023" s="52">
        <v>230040.847133348</v>
      </c>
      <c r="H14023" s="56">
        <v>8.400170272446858E-2</v>
      </c>
      <c r="I14023" s="224" t="s">
        <v>2</v>
      </c>
    </row>
    <row r="14024" spans="1:9" x14ac:dyDescent="0.25">
      <c r="A14024" s="515">
        <v>7046</v>
      </c>
      <c r="B14024" s="515" t="s">
        <v>324</v>
      </c>
      <c r="C14024" s="52">
        <v>910758.67253624904</v>
      </c>
      <c r="D14024" s="56">
        <v>6.5879666524329472E-2</v>
      </c>
      <c r="E14024" s="224" t="s">
        <v>2</v>
      </c>
      <c r="F14024" s="515" t="s">
        <v>15208</v>
      </c>
      <c r="G14024" s="52">
        <v>656516.45363168197</v>
      </c>
      <c r="H14024" s="56">
        <v>0.14412426466865902</v>
      </c>
      <c r="I14024" s="224" t="s">
        <v>2</v>
      </c>
    </row>
    <row r="14025" spans="1:9" x14ac:dyDescent="0.25">
      <c r="A14025" s="515">
        <v>71423</v>
      </c>
      <c r="B14025" s="515" t="s">
        <v>968</v>
      </c>
      <c r="C14025" s="52">
        <v>165573.414302369</v>
      </c>
      <c r="D14025" s="56">
        <v>5.0755660857115491E-2</v>
      </c>
      <c r="E14025" s="224" t="s">
        <v>2</v>
      </c>
      <c r="F14025" s="515" t="s">
        <v>15209</v>
      </c>
      <c r="G14025" s="52">
        <v>276973.27485053497</v>
      </c>
      <c r="H14025" s="56">
        <v>5.5719748424965642E-3</v>
      </c>
      <c r="I14025" s="224" t="s">
        <v>2</v>
      </c>
    </row>
    <row r="14026" spans="1:9" x14ac:dyDescent="0.25">
      <c r="A14026" s="515">
        <v>35966</v>
      </c>
      <c r="B14026" s="515" t="s">
        <v>748</v>
      </c>
      <c r="C14026" s="52">
        <v>174891.11271241799</v>
      </c>
      <c r="D14026" s="56">
        <v>0.14537099790326882</v>
      </c>
      <c r="E14026" s="224" t="s">
        <v>2</v>
      </c>
      <c r="F14026" s="515" t="s">
        <v>15210</v>
      </c>
      <c r="G14026" s="52">
        <v>182077.79397592001</v>
      </c>
      <c r="H14026" s="56">
        <v>2.9212187852776274E-2</v>
      </c>
      <c r="I14026" s="224" t="s">
        <v>2</v>
      </c>
    </row>
    <row r="14027" spans="1:9" x14ac:dyDescent="0.25">
      <c r="A14027" s="515">
        <v>26034</v>
      </c>
      <c r="B14027" s="515" t="s">
        <v>389</v>
      </c>
      <c r="C14027" s="52">
        <v>109086.83405202899</v>
      </c>
      <c r="D14027" s="56">
        <v>0.12887157119923459</v>
      </c>
      <c r="E14027" s="224" t="s">
        <v>2</v>
      </c>
      <c r="F14027" s="515" t="s">
        <v>15211</v>
      </c>
      <c r="G14027" s="52">
        <v>379886.93616906501</v>
      </c>
      <c r="H14027" s="56">
        <v>2.4028744724764635E-3</v>
      </c>
      <c r="I14027" s="224" t="s">
        <v>2</v>
      </c>
    </row>
    <row r="14028" spans="1:9" x14ac:dyDescent="0.25">
      <c r="A14028" s="515">
        <v>75656</v>
      </c>
      <c r="C14028" s="52">
        <v>139335.86221662501</v>
      </c>
      <c r="D14028" s="56">
        <v>-2.9487722571432347E-2</v>
      </c>
      <c r="E14028" s="224" t="s">
        <v>2</v>
      </c>
      <c r="F14028" s="515" t="s">
        <v>15212</v>
      </c>
      <c r="G14028" s="52">
        <v>171917.21598697299</v>
      </c>
      <c r="H14028" s="56">
        <v>4.2262920691241511E-2</v>
      </c>
      <c r="I14028" s="224" t="s">
        <v>2</v>
      </c>
    </row>
    <row r="14029" spans="1:9" x14ac:dyDescent="0.25">
      <c r="A14029" s="515">
        <v>70542</v>
      </c>
      <c r="B14029" s="515" t="s">
        <v>1004</v>
      </c>
      <c r="C14029" s="52">
        <v>124200.847522048</v>
      </c>
      <c r="D14029" s="56">
        <v>-6.2393592428389797E-3</v>
      </c>
      <c r="E14029" s="224" t="s">
        <v>2</v>
      </c>
      <c r="F14029" s="515" t="s">
        <v>15213</v>
      </c>
      <c r="G14029" s="52">
        <v>266810.44957674597</v>
      </c>
      <c r="H14029" s="56">
        <v>4.2034624800625836E-2</v>
      </c>
      <c r="I14029" s="224" t="s">
        <v>2</v>
      </c>
    </row>
    <row r="14030" spans="1:9" x14ac:dyDescent="0.25">
      <c r="A14030" s="515">
        <v>20158</v>
      </c>
      <c r="B14030" s="515" t="s">
        <v>321</v>
      </c>
      <c r="C14030" s="52">
        <v>786561.91850541101</v>
      </c>
      <c r="D14030" s="56">
        <v>5.965111739740727E-2</v>
      </c>
      <c r="E14030" s="224" t="s">
        <v>2</v>
      </c>
      <c r="F14030" s="515" t="s">
        <v>15214</v>
      </c>
      <c r="G14030" s="52">
        <v>299116.18113704101</v>
      </c>
      <c r="H14030" s="56">
        <v>0.13797510642579941</v>
      </c>
      <c r="I14030" s="224" t="s">
        <v>2</v>
      </c>
    </row>
    <row r="14031" spans="1:9" x14ac:dyDescent="0.25">
      <c r="A14031" s="515">
        <v>15312</v>
      </c>
      <c r="B14031" s="515" t="s">
        <v>297</v>
      </c>
      <c r="C14031" s="52">
        <v>171308.65843325399</v>
      </c>
      <c r="D14031" s="56">
        <v>0.13207885217718776</v>
      </c>
      <c r="E14031" s="224" t="s">
        <v>2</v>
      </c>
      <c r="F14031" s="515" t="s">
        <v>15215</v>
      </c>
      <c r="G14031" s="52">
        <v>273555.31150318001</v>
      </c>
      <c r="H14031" s="56">
        <v>3.5969243512708748E-2</v>
      </c>
      <c r="I14031" s="224" t="s">
        <v>2</v>
      </c>
    </row>
    <row r="14032" spans="1:9" x14ac:dyDescent="0.25">
      <c r="A14032" s="515">
        <v>64424</v>
      </c>
      <c r="C14032" s="52">
        <v>108003.611736922</v>
      </c>
      <c r="D14032" s="56">
        <v>7.7313021737098172E-3</v>
      </c>
      <c r="E14032" s="224" t="s">
        <v>2</v>
      </c>
      <c r="F14032" s="515" t="s">
        <v>15216</v>
      </c>
      <c r="G14032" s="52">
        <v>205727.97490598101</v>
      </c>
      <c r="H14032" s="56">
        <v>3.7287963653161178E-2</v>
      </c>
      <c r="I14032" s="224" t="s">
        <v>2</v>
      </c>
    </row>
    <row r="14033" spans="1:9" x14ac:dyDescent="0.25">
      <c r="A14033" s="515">
        <v>46126</v>
      </c>
      <c r="B14033" s="515" t="s">
        <v>403</v>
      </c>
      <c r="C14033" s="52">
        <v>234181.73995902101</v>
      </c>
      <c r="D14033" s="56">
        <v>6.3569735504057728E-2</v>
      </c>
      <c r="E14033" s="224" t="s">
        <v>2</v>
      </c>
      <c r="F14033" s="515" t="s">
        <v>15217</v>
      </c>
      <c r="G14033" s="52">
        <v>186280.556093689</v>
      </c>
      <c r="H14033" s="56">
        <v>4.4575128589551996E-2</v>
      </c>
      <c r="I14033" s="224" t="s">
        <v>2</v>
      </c>
    </row>
    <row r="14034" spans="1:9" x14ac:dyDescent="0.25">
      <c r="A14034" s="515">
        <v>5060</v>
      </c>
      <c r="B14034" s="515" t="s">
        <v>420</v>
      </c>
      <c r="C14034" s="52">
        <v>277876.123726597</v>
      </c>
      <c r="D14034" s="56">
        <v>0.10202217498495234</v>
      </c>
      <c r="E14034" s="224" t="s">
        <v>2</v>
      </c>
      <c r="F14034" s="515" t="s">
        <v>15218</v>
      </c>
      <c r="G14034" s="52">
        <v>184807.58792440701</v>
      </c>
      <c r="H14034" s="56">
        <v>0.10271797759878629</v>
      </c>
      <c r="I14034" s="224" t="s">
        <v>2</v>
      </c>
    </row>
    <row r="14035" spans="1:9" x14ac:dyDescent="0.25">
      <c r="A14035" s="515">
        <v>4358</v>
      </c>
      <c r="B14035" s="515" t="s">
        <v>848</v>
      </c>
      <c r="C14035" s="52">
        <v>281384.07970354002</v>
      </c>
      <c r="D14035" s="56">
        <v>9.3216436907645334E-2</v>
      </c>
      <c r="E14035" s="224" t="s">
        <v>2</v>
      </c>
      <c r="F14035" s="515" t="s">
        <v>15219</v>
      </c>
      <c r="G14035" s="52">
        <v>93462.461586812002</v>
      </c>
      <c r="H14035" s="56">
        <v>0.15678566704571342</v>
      </c>
      <c r="I14035" s="224" t="s">
        <v>2</v>
      </c>
    </row>
    <row r="14036" spans="1:9" x14ac:dyDescent="0.25">
      <c r="A14036" s="515">
        <v>76374</v>
      </c>
      <c r="C14036" s="52">
        <v>96271.983137532603</v>
      </c>
      <c r="D14036" s="56">
        <v>0.1479515114896007</v>
      </c>
      <c r="E14036" s="224" t="s">
        <v>2</v>
      </c>
      <c r="F14036" s="515" t="s">
        <v>15220</v>
      </c>
      <c r="G14036" s="52">
        <v>325516.34438013501</v>
      </c>
      <c r="H14036" s="56">
        <v>5.9950723548167648E-2</v>
      </c>
      <c r="I14036" s="224" t="s">
        <v>2</v>
      </c>
    </row>
    <row r="14037" spans="1:9" x14ac:dyDescent="0.25">
      <c r="A14037" s="515">
        <v>64020</v>
      </c>
      <c r="B14037" s="515" t="s">
        <v>455</v>
      </c>
      <c r="C14037" s="52">
        <v>197383.864132252</v>
      </c>
      <c r="D14037" s="56">
        <v>6.418906545784181E-2</v>
      </c>
      <c r="E14037" s="224" t="s">
        <v>2</v>
      </c>
      <c r="F14037" s="515" t="s">
        <v>15221</v>
      </c>
      <c r="G14037" s="52">
        <v>79348.053181076204</v>
      </c>
      <c r="H14037" s="56">
        <v>0.13546558895432115</v>
      </c>
      <c r="I14037" s="224" t="s">
        <v>2</v>
      </c>
    </row>
    <row r="14038" spans="1:9" x14ac:dyDescent="0.25">
      <c r="A14038" s="515">
        <v>2832</v>
      </c>
      <c r="B14038" s="515" t="s">
        <v>513</v>
      </c>
      <c r="C14038" s="52">
        <v>411436.809163998</v>
      </c>
      <c r="D14038" s="56">
        <v>5.2337793066830327E-2</v>
      </c>
      <c r="E14038" s="224" t="s">
        <v>2</v>
      </c>
      <c r="F14038" s="515" t="s">
        <v>15222</v>
      </c>
      <c r="G14038" s="52">
        <v>170658.82240444401</v>
      </c>
      <c r="H14038" s="56">
        <v>8.3829300983785493E-2</v>
      </c>
      <c r="I14038" s="224" t="s">
        <v>2</v>
      </c>
    </row>
    <row r="14039" spans="1:9" x14ac:dyDescent="0.25">
      <c r="A14039" s="515">
        <v>27571</v>
      </c>
      <c r="B14039" s="515" t="s">
        <v>484</v>
      </c>
      <c r="C14039" s="52">
        <v>485147.49812742998</v>
      </c>
      <c r="D14039" s="56">
        <v>5.7571332343289282E-2</v>
      </c>
      <c r="E14039" s="224">
        <v>2495</v>
      </c>
      <c r="F14039" s="515" t="s">
        <v>15223</v>
      </c>
      <c r="G14039" s="52">
        <v>249517.35985338999</v>
      </c>
      <c r="H14039" s="56">
        <v>6.2514099871238876E-2</v>
      </c>
      <c r="I14039" s="224" t="s">
        <v>2</v>
      </c>
    </row>
    <row r="14040" spans="1:9" x14ac:dyDescent="0.25">
      <c r="A14040" s="515">
        <v>98380</v>
      </c>
      <c r="B14040" s="515" t="s">
        <v>620</v>
      </c>
      <c r="C14040" s="52">
        <v>650461.12144053704</v>
      </c>
      <c r="D14040" s="56">
        <v>2.9831665633089734E-2</v>
      </c>
      <c r="E14040" s="224" t="s">
        <v>2</v>
      </c>
      <c r="F14040" s="515" t="s">
        <v>15224</v>
      </c>
      <c r="G14040" s="52">
        <v>287585.29930799402</v>
      </c>
      <c r="H14040" s="56">
        <v>4.0675355767765542E-2</v>
      </c>
      <c r="I14040" s="224" t="s">
        <v>2</v>
      </c>
    </row>
    <row r="14041" spans="1:9" x14ac:dyDescent="0.25">
      <c r="A14041" s="515">
        <v>68632</v>
      </c>
      <c r="C14041" s="52">
        <v>173328.593818294</v>
      </c>
      <c r="D14041" s="56">
        <v>7.3642016545380592E-2</v>
      </c>
      <c r="E14041" s="224" t="s">
        <v>2</v>
      </c>
      <c r="F14041" s="515" t="s">
        <v>15225</v>
      </c>
      <c r="G14041" s="52">
        <v>91779.364765066101</v>
      </c>
      <c r="H14041" s="56">
        <v>0.15465955503632539</v>
      </c>
      <c r="I14041" s="224" t="s">
        <v>2</v>
      </c>
    </row>
    <row r="14042" spans="1:9" x14ac:dyDescent="0.25">
      <c r="A14042" s="515">
        <v>61817</v>
      </c>
      <c r="B14042" s="515" t="s">
        <v>999</v>
      </c>
      <c r="C14042" s="52">
        <v>135690.731378153</v>
      </c>
      <c r="D14042" s="56">
        <v>4.3347909973153541E-2</v>
      </c>
      <c r="E14042" s="224" t="s">
        <v>2</v>
      </c>
      <c r="F14042" s="515" t="s">
        <v>15226</v>
      </c>
      <c r="G14042" s="52">
        <v>112472.77254767199</v>
      </c>
      <c r="H14042" s="56">
        <v>0</v>
      </c>
      <c r="I14042" s="224" t="s">
        <v>2</v>
      </c>
    </row>
    <row r="14043" spans="1:9" x14ac:dyDescent="0.25">
      <c r="A14043" s="515">
        <v>45347</v>
      </c>
      <c r="C14043" s="52">
        <v>158262.98872524701</v>
      </c>
      <c r="D14043" s="56">
        <v>5.626508836642867E-2</v>
      </c>
      <c r="E14043" s="224" t="s">
        <v>2</v>
      </c>
      <c r="F14043" s="515" t="s">
        <v>15227</v>
      </c>
      <c r="G14043" s="52">
        <v>414008.91805624199</v>
      </c>
      <c r="H14043" s="56">
        <v>7.6741297232955072E-2</v>
      </c>
      <c r="I14043" s="224" t="s">
        <v>2</v>
      </c>
    </row>
    <row r="14044" spans="1:9" x14ac:dyDescent="0.25">
      <c r="A14044" s="515">
        <v>75756</v>
      </c>
      <c r="B14044" s="515" t="s">
        <v>1088</v>
      </c>
      <c r="C14044" s="52">
        <v>252898.77435972</v>
      </c>
      <c r="D14044" s="56">
        <v>4.9473784658111454E-2</v>
      </c>
      <c r="E14044" s="224" t="s">
        <v>2</v>
      </c>
      <c r="F14044" s="515" t="s">
        <v>15228</v>
      </c>
      <c r="G14044" s="52">
        <v>117363.118916883</v>
      </c>
      <c r="H14044" s="56">
        <v>5.2705508942265437E-2</v>
      </c>
      <c r="I14044" s="224" t="s">
        <v>2</v>
      </c>
    </row>
    <row r="14045" spans="1:9" x14ac:dyDescent="0.25">
      <c r="A14045" s="515">
        <v>53521</v>
      </c>
      <c r="B14045" s="515" t="s">
        <v>727</v>
      </c>
      <c r="C14045" s="52">
        <v>363532.56998525403</v>
      </c>
      <c r="D14045" s="56">
        <v>4.6326674650567376E-2</v>
      </c>
      <c r="E14045" s="224" t="s">
        <v>2</v>
      </c>
      <c r="F14045" s="515" t="s">
        <v>15229</v>
      </c>
      <c r="G14045" s="52">
        <v>288120.86962637102</v>
      </c>
      <c r="H14045" s="56">
        <v>0</v>
      </c>
      <c r="I14045" s="224" t="s">
        <v>2</v>
      </c>
    </row>
    <row r="14046" spans="1:9" x14ac:dyDescent="0.25">
      <c r="A14046" s="515">
        <v>28544</v>
      </c>
      <c r="B14046" s="515" t="s">
        <v>1153</v>
      </c>
      <c r="C14046" s="52">
        <v>179380.32659389099</v>
      </c>
      <c r="D14046" s="56">
        <v>5.7905156494139874E-2</v>
      </c>
      <c r="E14046" s="224">
        <v>1041.6666666666599</v>
      </c>
      <c r="F14046" s="515" t="s">
        <v>15230</v>
      </c>
      <c r="G14046" s="52">
        <v>148363.851382002</v>
      </c>
      <c r="H14046" s="56">
        <v>8.6100867902552211E-2</v>
      </c>
      <c r="I14046" s="224" t="s">
        <v>2</v>
      </c>
    </row>
    <row r="14047" spans="1:9" x14ac:dyDescent="0.25">
      <c r="A14047" s="515">
        <v>60421</v>
      </c>
      <c r="B14047" s="515" t="s">
        <v>394</v>
      </c>
      <c r="C14047" s="52">
        <v>254880.40336076199</v>
      </c>
      <c r="D14047" s="56">
        <v>5.5620960381414168E-2</v>
      </c>
      <c r="E14047" s="224" t="s">
        <v>2</v>
      </c>
      <c r="F14047" s="515" t="s">
        <v>15231</v>
      </c>
      <c r="G14047" s="52">
        <v>295298.78479658603</v>
      </c>
      <c r="H14047" s="56">
        <v>0.11044547829251437</v>
      </c>
      <c r="I14047" s="224" t="s">
        <v>2</v>
      </c>
    </row>
    <row r="14048" spans="1:9" x14ac:dyDescent="0.25">
      <c r="A14048" s="515">
        <v>25514</v>
      </c>
      <c r="B14048" s="515" t="s">
        <v>602</v>
      </c>
      <c r="C14048" s="52">
        <v>103085.27864276399</v>
      </c>
      <c r="D14048" s="56">
        <v>9.7636646360990939E-2</v>
      </c>
      <c r="E14048" s="224" t="s">
        <v>2</v>
      </c>
      <c r="F14048" s="515" t="s">
        <v>15232</v>
      </c>
      <c r="G14048" s="52">
        <v>353283.43434341601</v>
      </c>
      <c r="H14048" s="56">
        <v>5.2551388700305748E-2</v>
      </c>
      <c r="I14048" s="224" t="s">
        <v>2</v>
      </c>
    </row>
    <row r="14049" spans="1:9" x14ac:dyDescent="0.25">
      <c r="A14049" s="515">
        <v>48763</v>
      </c>
      <c r="C14049" s="52">
        <v>151203.38838694399</v>
      </c>
      <c r="D14049" s="56">
        <v>8.8315734006894561E-2</v>
      </c>
      <c r="E14049" s="224" t="s">
        <v>2</v>
      </c>
      <c r="F14049" s="515" t="s">
        <v>15233</v>
      </c>
      <c r="G14049" s="52">
        <v>787516.26856592798</v>
      </c>
      <c r="H14049" s="56">
        <v>7.652697235291088E-2</v>
      </c>
      <c r="I14049" s="224" t="s">
        <v>2</v>
      </c>
    </row>
    <row r="14050" spans="1:9" x14ac:dyDescent="0.25">
      <c r="A14050" s="515">
        <v>44288</v>
      </c>
      <c r="B14050" s="515" t="s">
        <v>1000</v>
      </c>
      <c r="C14050" s="52">
        <v>149097.93643731801</v>
      </c>
      <c r="D14050" s="56">
        <v>7.7510963667982352E-2</v>
      </c>
      <c r="E14050" s="224" t="s">
        <v>2</v>
      </c>
      <c r="F14050" s="515" t="s">
        <v>15234</v>
      </c>
      <c r="G14050" s="52">
        <v>184535.15617764101</v>
      </c>
      <c r="H14050" s="56">
        <v>8.7483442908589656E-2</v>
      </c>
      <c r="I14050" s="224" t="s">
        <v>2</v>
      </c>
    </row>
    <row r="14051" spans="1:9" x14ac:dyDescent="0.25">
      <c r="A14051" s="515">
        <v>3819</v>
      </c>
      <c r="B14051" s="515" t="s">
        <v>534</v>
      </c>
      <c r="C14051" s="52">
        <v>478719.96022490202</v>
      </c>
      <c r="D14051" s="56">
        <v>8.2986019449619364E-2</v>
      </c>
      <c r="E14051" s="224" t="s">
        <v>2</v>
      </c>
      <c r="F14051" s="515" t="s">
        <v>15235</v>
      </c>
      <c r="G14051" s="52">
        <v>433926.183159929</v>
      </c>
      <c r="H14051" s="56">
        <v>4.1310296149141369E-2</v>
      </c>
      <c r="I14051" s="224" t="s">
        <v>2</v>
      </c>
    </row>
    <row r="14052" spans="1:9" x14ac:dyDescent="0.25">
      <c r="A14052" s="515">
        <v>7863</v>
      </c>
      <c r="B14052" s="515" t="s">
        <v>327</v>
      </c>
      <c r="C14052" s="52">
        <v>321520.611203651</v>
      </c>
      <c r="D14052" s="56">
        <v>2.995218971382627E-2</v>
      </c>
      <c r="E14052" s="224" t="s">
        <v>2</v>
      </c>
      <c r="F14052" s="515" t="s">
        <v>15236</v>
      </c>
      <c r="G14052" s="52">
        <v>146414.516987223</v>
      </c>
      <c r="H14052" s="56">
        <v>6.3825760138419729E-2</v>
      </c>
      <c r="I14052" s="224" t="s">
        <v>2</v>
      </c>
    </row>
    <row r="14053" spans="1:9" x14ac:dyDescent="0.25">
      <c r="A14053" s="515">
        <v>75925</v>
      </c>
      <c r="B14053" s="515" t="s">
        <v>605</v>
      </c>
      <c r="C14053" s="52">
        <v>162951.95993919001</v>
      </c>
      <c r="D14053" s="56">
        <v>0</v>
      </c>
      <c r="E14053" s="224" t="s">
        <v>2</v>
      </c>
      <c r="F14053" s="515" t="s">
        <v>15237</v>
      </c>
      <c r="G14053" s="52">
        <v>186027.961637634</v>
      </c>
      <c r="H14053" s="56">
        <v>5.5651397837057505E-2</v>
      </c>
      <c r="I14053" s="224" t="s">
        <v>2</v>
      </c>
    </row>
    <row r="14054" spans="1:9" x14ac:dyDescent="0.25">
      <c r="A14054" s="515">
        <v>52324</v>
      </c>
      <c r="B14054" s="515" t="s">
        <v>404</v>
      </c>
      <c r="C14054" s="52">
        <v>303470.99322540697</v>
      </c>
      <c r="D14054" s="56">
        <v>6.5748953784177236E-2</v>
      </c>
      <c r="E14054" s="224" t="s">
        <v>2</v>
      </c>
      <c r="F14054" s="515" t="s">
        <v>15238</v>
      </c>
      <c r="G14054" s="52">
        <v>115567.698048537</v>
      </c>
      <c r="H14054" s="56">
        <v>0.1122734033475004</v>
      </c>
      <c r="I14054" s="224" t="s">
        <v>2</v>
      </c>
    </row>
    <row r="14055" spans="1:9" x14ac:dyDescent="0.25">
      <c r="A14055" s="515">
        <v>36025</v>
      </c>
      <c r="B14055" s="515" t="s">
        <v>806</v>
      </c>
      <c r="C14055" s="52">
        <v>203873.13803446799</v>
      </c>
      <c r="D14055" s="56">
        <v>7.8560342561653035E-2</v>
      </c>
      <c r="E14055" s="224" t="s">
        <v>2</v>
      </c>
      <c r="F14055" s="515" t="s">
        <v>15239</v>
      </c>
      <c r="G14055" s="52">
        <v>133763.46318821699</v>
      </c>
      <c r="H14055" s="56">
        <v>9.8100936833873997E-2</v>
      </c>
      <c r="I14055" s="224" t="s">
        <v>2</v>
      </c>
    </row>
    <row r="14056" spans="1:9" x14ac:dyDescent="0.25">
      <c r="A14056" s="515">
        <v>27864</v>
      </c>
      <c r="B14056" s="515" t="s">
        <v>1152</v>
      </c>
      <c r="C14056" s="52">
        <v>140104.84807512301</v>
      </c>
      <c r="D14056" s="56">
        <v>0.19104944266219895</v>
      </c>
      <c r="E14056" s="224" t="s">
        <v>2</v>
      </c>
      <c r="F14056" s="515" t="s">
        <v>15240</v>
      </c>
      <c r="G14056" s="52">
        <v>546136.81345106405</v>
      </c>
      <c r="H14056" s="56">
        <v>0.10814872551551614</v>
      </c>
      <c r="I14056" s="224" t="s">
        <v>2</v>
      </c>
    </row>
    <row r="14057" spans="1:9" x14ac:dyDescent="0.25">
      <c r="A14057" s="515">
        <v>38049</v>
      </c>
      <c r="B14057" s="515" t="s">
        <v>951</v>
      </c>
      <c r="C14057" s="52">
        <v>169676.37352569899</v>
      </c>
      <c r="D14057" s="56">
        <v>5.2002186768820041E-2</v>
      </c>
      <c r="E14057" s="224" t="s">
        <v>2</v>
      </c>
      <c r="F14057" s="515" t="s">
        <v>15241</v>
      </c>
      <c r="G14057" s="52">
        <v>240784.43776751601</v>
      </c>
      <c r="H14057" s="56">
        <v>0.17060821773856991</v>
      </c>
      <c r="I14057" s="224" t="s">
        <v>2</v>
      </c>
    </row>
    <row r="14058" spans="1:9" x14ac:dyDescent="0.25">
      <c r="A14058" s="515">
        <v>97106</v>
      </c>
      <c r="B14058" s="515" t="s">
        <v>659</v>
      </c>
      <c r="C14058" s="52">
        <v>582548.44015851803</v>
      </c>
      <c r="D14058" s="56">
        <v>5.9627423936102243E-2</v>
      </c>
      <c r="E14058" s="224" t="s">
        <v>2</v>
      </c>
      <c r="F14058" s="515" t="s">
        <v>15242</v>
      </c>
      <c r="G14058" s="52">
        <v>323013.79850160802</v>
      </c>
      <c r="H14058" s="56">
        <v>0.11379462985269108</v>
      </c>
      <c r="I14058" s="224" t="s">
        <v>2</v>
      </c>
    </row>
    <row r="14059" spans="1:9" x14ac:dyDescent="0.25">
      <c r="A14059" s="515">
        <v>44672</v>
      </c>
      <c r="B14059" s="515" t="s">
        <v>397</v>
      </c>
      <c r="C14059" s="52">
        <v>96574.967152093901</v>
      </c>
      <c r="D14059" s="56">
        <v>0.15975267033758594</v>
      </c>
      <c r="E14059" s="224" t="s">
        <v>2</v>
      </c>
      <c r="F14059" s="515" t="s">
        <v>15243</v>
      </c>
      <c r="G14059" s="52">
        <v>104004.27727668401</v>
      </c>
      <c r="H14059" s="56">
        <v>-4.5825543449998472E-2</v>
      </c>
      <c r="I14059" s="224" t="s">
        <v>2</v>
      </c>
    </row>
    <row r="14060" spans="1:9" x14ac:dyDescent="0.25">
      <c r="A14060" s="515">
        <v>3037</v>
      </c>
      <c r="B14060" s="515" t="s">
        <v>534</v>
      </c>
      <c r="C14060" s="52">
        <v>499885.049121599</v>
      </c>
      <c r="D14060" s="56">
        <v>8.3492648075880749E-2</v>
      </c>
      <c r="E14060" s="224" t="s">
        <v>2</v>
      </c>
      <c r="F14060" s="515" t="s">
        <v>15244</v>
      </c>
      <c r="G14060" s="52">
        <v>394157.423199246</v>
      </c>
      <c r="H14060" s="56">
        <v>7.1770696627593708E-2</v>
      </c>
      <c r="I14060" s="224" t="s">
        <v>2</v>
      </c>
    </row>
    <row r="14061" spans="1:9" x14ac:dyDescent="0.25">
      <c r="A14061" s="515">
        <v>33839</v>
      </c>
      <c r="B14061" s="515" t="s">
        <v>359</v>
      </c>
      <c r="C14061" s="52">
        <v>261375.317466582</v>
      </c>
      <c r="D14061" s="56">
        <v>0.1144156589368341</v>
      </c>
      <c r="E14061" s="224" t="s">
        <v>2</v>
      </c>
      <c r="F14061" s="515" t="s">
        <v>15245</v>
      </c>
      <c r="G14061" s="52">
        <v>382087.84152023302</v>
      </c>
      <c r="H14061" s="56">
        <v>2.2942316471049315E-2</v>
      </c>
      <c r="I14061" s="224" t="s">
        <v>2</v>
      </c>
    </row>
    <row r="14062" spans="1:9" x14ac:dyDescent="0.25">
      <c r="A14062" s="515">
        <v>10998</v>
      </c>
      <c r="B14062" s="515" t="s">
        <v>529</v>
      </c>
      <c r="C14062" s="52">
        <v>450729.78603745601</v>
      </c>
      <c r="D14062" s="56">
        <v>9.7233340894904832E-2</v>
      </c>
      <c r="E14062" s="224" t="s">
        <v>2</v>
      </c>
      <c r="F14062" s="515" t="s">
        <v>15246</v>
      </c>
      <c r="G14062" s="52">
        <v>418080.96834102401</v>
      </c>
      <c r="H14062" s="56">
        <v>0.11295243865739663</v>
      </c>
      <c r="I14062" s="224" t="s">
        <v>2</v>
      </c>
    </row>
    <row r="14063" spans="1:9" x14ac:dyDescent="0.25">
      <c r="A14063" s="515">
        <v>96101</v>
      </c>
      <c r="C14063" s="52">
        <v>161384.47636386001</v>
      </c>
      <c r="D14063" s="56">
        <v>5.6695621636603154E-2</v>
      </c>
      <c r="E14063" s="224" t="s">
        <v>2</v>
      </c>
      <c r="F14063" s="515" t="s">
        <v>15247</v>
      </c>
      <c r="G14063" s="52">
        <v>140232.44797699101</v>
      </c>
      <c r="H14063" s="56">
        <v>-1.2476797376643822E-2</v>
      </c>
      <c r="I14063" s="224" t="s">
        <v>2</v>
      </c>
    </row>
    <row r="14064" spans="1:9" x14ac:dyDescent="0.25">
      <c r="A14064" s="515">
        <v>20776</v>
      </c>
      <c r="B14064" s="515" t="s">
        <v>582</v>
      </c>
      <c r="C14064" s="52">
        <v>624807.88418945298</v>
      </c>
      <c r="D14064" s="56">
        <v>3.7715054805048269E-2</v>
      </c>
      <c r="E14064" s="224" t="s">
        <v>2</v>
      </c>
      <c r="F14064" s="515" t="s">
        <v>15248</v>
      </c>
      <c r="G14064" s="52">
        <v>269876.36471172702</v>
      </c>
      <c r="H14064" s="56">
        <v>6.8788622246036435E-2</v>
      </c>
      <c r="I14064" s="224" t="s">
        <v>2</v>
      </c>
    </row>
    <row r="14065" spans="1:9" x14ac:dyDescent="0.25">
      <c r="A14065" s="515">
        <v>6278</v>
      </c>
      <c r="B14065" s="515" t="s">
        <v>751</v>
      </c>
      <c r="C14065" s="52">
        <v>296084.59846373001</v>
      </c>
      <c r="D14065" s="56">
        <v>9.443859124299897E-2</v>
      </c>
      <c r="E14065" s="224" t="s">
        <v>2</v>
      </c>
      <c r="F14065" s="515" t="s">
        <v>15249</v>
      </c>
      <c r="G14065" s="52">
        <v>120237.387543552</v>
      </c>
      <c r="H14065" s="56">
        <v>7.9772112186194399E-2</v>
      </c>
      <c r="I14065" s="224" t="s">
        <v>2</v>
      </c>
    </row>
    <row r="14066" spans="1:9" x14ac:dyDescent="0.25">
      <c r="A14066" s="515">
        <v>21655</v>
      </c>
      <c r="C14066" s="52">
        <v>264655.19202727498</v>
      </c>
      <c r="D14066" s="56">
        <v>6.1289427546078424E-3</v>
      </c>
      <c r="E14066" s="224" t="s">
        <v>2</v>
      </c>
      <c r="F14066" s="515" t="s">
        <v>15250</v>
      </c>
      <c r="G14066" s="52">
        <v>129312.332121321</v>
      </c>
      <c r="H14066" s="56">
        <v>0.1239158390473669</v>
      </c>
      <c r="I14066" s="224" t="s">
        <v>2</v>
      </c>
    </row>
    <row r="14067" spans="1:9" x14ac:dyDescent="0.25">
      <c r="A14067" s="515">
        <v>6412</v>
      </c>
      <c r="B14067" s="515" t="s">
        <v>894</v>
      </c>
      <c r="C14067" s="52">
        <v>406219.86976838001</v>
      </c>
      <c r="D14067" s="56">
        <v>9.6933221818417695E-2</v>
      </c>
      <c r="E14067" s="224" t="s">
        <v>2</v>
      </c>
      <c r="F14067" s="515" t="s">
        <v>15251</v>
      </c>
      <c r="G14067" s="52">
        <v>79050.584890736704</v>
      </c>
      <c r="H14067" s="56">
        <v>0.20029435559432102</v>
      </c>
      <c r="I14067" s="224" t="s">
        <v>2</v>
      </c>
    </row>
    <row r="14068" spans="1:9" x14ac:dyDescent="0.25">
      <c r="A14068" s="515">
        <v>66615</v>
      </c>
      <c r="B14068" s="515" t="s">
        <v>549</v>
      </c>
      <c r="C14068" s="52">
        <v>272227.05553770298</v>
      </c>
      <c r="D14068" s="56">
        <v>7.1207380513773885E-2</v>
      </c>
      <c r="E14068" s="224">
        <v>1190</v>
      </c>
      <c r="F14068" s="515" t="s">
        <v>15252</v>
      </c>
      <c r="G14068" s="52">
        <v>231306.31352504101</v>
      </c>
      <c r="H14068" s="56">
        <v>5.564977583083569E-2</v>
      </c>
      <c r="I14068" s="224" t="s">
        <v>2</v>
      </c>
    </row>
    <row r="14069" spans="1:9" x14ac:dyDescent="0.25">
      <c r="A14069" s="515">
        <v>84317</v>
      </c>
      <c r="B14069" s="515" t="s">
        <v>628</v>
      </c>
      <c r="C14069" s="52">
        <v>522070.87008601602</v>
      </c>
      <c r="D14069" s="56">
        <v>0.10489948305136346</v>
      </c>
      <c r="E14069" s="224" t="s">
        <v>2</v>
      </c>
      <c r="F14069" s="515" t="s">
        <v>15253</v>
      </c>
      <c r="G14069" s="52">
        <v>203086.049121155</v>
      </c>
      <c r="H14069" s="56">
        <v>8.3375452590402882E-2</v>
      </c>
      <c r="I14069" s="224" t="s">
        <v>2</v>
      </c>
    </row>
    <row r="14070" spans="1:9" x14ac:dyDescent="0.25">
      <c r="A14070" s="515">
        <v>35549</v>
      </c>
      <c r="B14070" s="515" t="s">
        <v>1087</v>
      </c>
      <c r="C14070" s="52">
        <v>122751.994919531</v>
      </c>
      <c r="D14070" s="56">
        <v>-1.3091731422915899E-2</v>
      </c>
      <c r="E14070" s="224" t="s">
        <v>2</v>
      </c>
      <c r="F14070" s="515" t="s">
        <v>15254</v>
      </c>
      <c r="G14070" s="52">
        <v>217636.27052801699</v>
      </c>
      <c r="H14070" s="56">
        <v>9.4496146064241393E-2</v>
      </c>
      <c r="I14070" s="224" t="s">
        <v>2</v>
      </c>
    </row>
    <row r="14071" spans="1:9" x14ac:dyDescent="0.25">
      <c r="A14071" s="515">
        <v>26456</v>
      </c>
      <c r="B14071" s="515" t="s">
        <v>347</v>
      </c>
      <c r="C14071" s="52">
        <v>92069.7422302544</v>
      </c>
      <c r="D14071" s="56">
        <v>-1.5049399234006662E-4</v>
      </c>
      <c r="E14071" s="224" t="s">
        <v>2</v>
      </c>
      <c r="F14071" s="515" t="s">
        <v>15255</v>
      </c>
      <c r="G14071" s="52">
        <v>105496.50027158701</v>
      </c>
      <c r="H14071" s="56">
        <v>-4.931765136988283E-2</v>
      </c>
      <c r="I14071" s="224" t="s">
        <v>2</v>
      </c>
    </row>
    <row r="14072" spans="1:9" x14ac:dyDescent="0.25">
      <c r="A14072" s="515">
        <v>33890</v>
      </c>
      <c r="B14072" s="515" t="s">
        <v>1139</v>
      </c>
      <c r="C14072" s="52">
        <v>185957.99063085901</v>
      </c>
      <c r="D14072" s="56">
        <v>0.10132339766878994</v>
      </c>
      <c r="E14072" s="224" t="s">
        <v>2</v>
      </c>
      <c r="F14072" s="515" t="s">
        <v>15256</v>
      </c>
      <c r="G14072" s="52">
        <v>440888.027027114</v>
      </c>
      <c r="H14072" s="56">
        <v>0.15218468386179901</v>
      </c>
      <c r="I14072" s="224" t="s">
        <v>2</v>
      </c>
    </row>
    <row r="14073" spans="1:9" x14ac:dyDescent="0.25">
      <c r="A14073" s="515">
        <v>47138</v>
      </c>
      <c r="B14073" s="515" t="s">
        <v>865</v>
      </c>
      <c r="C14073" s="52">
        <v>195508.38589451701</v>
      </c>
      <c r="D14073" s="56">
        <v>0.10863305294622559</v>
      </c>
      <c r="E14073" s="224" t="s">
        <v>2</v>
      </c>
      <c r="F14073" s="515" t="s">
        <v>15257</v>
      </c>
      <c r="G14073" s="52">
        <v>1212417.2923811499</v>
      </c>
      <c r="H14073" s="56">
        <v>0.16498054284376032</v>
      </c>
      <c r="I14073" s="224" t="s">
        <v>2</v>
      </c>
    </row>
    <row r="14074" spans="1:9" x14ac:dyDescent="0.25">
      <c r="A14074" s="515">
        <v>16023</v>
      </c>
      <c r="B14074" s="515" t="s">
        <v>297</v>
      </c>
      <c r="C14074" s="52">
        <v>249915.77752593701</v>
      </c>
      <c r="D14074" s="56">
        <v>0.11041862567975405</v>
      </c>
      <c r="E14074" s="224" t="s">
        <v>2</v>
      </c>
      <c r="F14074" s="515" t="s">
        <v>15258</v>
      </c>
      <c r="G14074" s="52">
        <v>373734.50381564902</v>
      </c>
      <c r="H14074" s="56">
        <v>7.1897193327173148E-2</v>
      </c>
      <c r="I14074" s="224" t="s">
        <v>2</v>
      </c>
    </row>
    <row r="14075" spans="1:9" x14ac:dyDescent="0.25">
      <c r="A14075" s="515">
        <v>49779</v>
      </c>
      <c r="C14075" s="52">
        <v>127984.13315749299</v>
      </c>
      <c r="D14075" s="56">
        <v>8.5899631096338622E-2</v>
      </c>
      <c r="E14075" s="224" t="s">
        <v>2</v>
      </c>
      <c r="F14075" s="515" t="s">
        <v>15259</v>
      </c>
      <c r="G14075" s="52">
        <v>106800.068078892</v>
      </c>
      <c r="H14075" s="56">
        <v>-4.1271937667604647E-2</v>
      </c>
      <c r="I14075" s="224" t="s">
        <v>2</v>
      </c>
    </row>
    <row r="14076" spans="1:9" x14ac:dyDescent="0.25">
      <c r="A14076" s="515">
        <v>29069</v>
      </c>
      <c r="B14076" s="515" t="s">
        <v>1039</v>
      </c>
      <c r="C14076" s="52">
        <v>113885.999971179</v>
      </c>
      <c r="D14076" s="56">
        <v>0.10072620663773044</v>
      </c>
      <c r="E14076" s="224" t="s">
        <v>2</v>
      </c>
      <c r="F14076" s="515" t="s">
        <v>15260</v>
      </c>
      <c r="G14076" s="52">
        <v>121434.311314177</v>
      </c>
      <c r="H14076" s="56">
        <v>0.12892347834113618</v>
      </c>
      <c r="I14076" s="224" t="s">
        <v>2</v>
      </c>
    </row>
    <row r="14077" spans="1:9" x14ac:dyDescent="0.25">
      <c r="A14077" s="515">
        <v>54722</v>
      </c>
      <c r="B14077" s="515" t="s">
        <v>1028</v>
      </c>
      <c r="C14077" s="52">
        <v>208337.51857692699</v>
      </c>
      <c r="D14077" s="56">
        <v>1.3885639752133626E-2</v>
      </c>
      <c r="E14077" s="224" t="s">
        <v>2</v>
      </c>
      <c r="F14077" s="515" t="s">
        <v>15261</v>
      </c>
      <c r="G14077" s="52">
        <v>265386.81107940502</v>
      </c>
      <c r="H14077" s="56">
        <v>8.8179831338747364E-2</v>
      </c>
      <c r="I14077" s="224" t="s">
        <v>2</v>
      </c>
    </row>
    <row r="14078" spans="1:9" x14ac:dyDescent="0.25">
      <c r="A14078" s="515">
        <v>71227</v>
      </c>
      <c r="B14078" s="515" t="s">
        <v>1155</v>
      </c>
      <c r="C14078" s="52">
        <v>225804.00024400101</v>
      </c>
      <c r="D14078" s="56">
        <v>4.197277526305563E-2</v>
      </c>
      <c r="E14078" s="224" t="s">
        <v>2</v>
      </c>
      <c r="F14078" s="515" t="s">
        <v>15262</v>
      </c>
      <c r="G14078" s="52">
        <v>109766.923702603</v>
      </c>
      <c r="H14078" s="56">
        <v>0</v>
      </c>
      <c r="I14078" s="224" t="s">
        <v>2</v>
      </c>
    </row>
    <row r="14079" spans="1:9" x14ac:dyDescent="0.25">
      <c r="A14079" s="515">
        <v>30222</v>
      </c>
      <c r="B14079" s="515" t="s">
        <v>957</v>
      </c>
      <c r="C14079" s="52">
        <v>151915.57123163299</v>
      </c>
      <c r="D14079" s="56">
        <v>0.16896224881084235</v>
      </c>
      <c r="E14079" s="224" t="s">
        <v>2</v>
      </c>
      <c r="F14079" s="515" t="s">
        <v>15263</v>
      </c>
      <c r="G14079" s="52">
        <v>338300.15284869802</v>
      </c>
      <c r="H14079" s="56">
        <v>5.8832297058781603E-2</v>
      </c>
      <c r="I14079" s="224" t="s">
        <v>2</v>
      </c>
    </row>
    <row r="14080" spans="1:9" x14ac:dyDescent="0.25">
      <c r="A14080" s="515">
        <v>42459</v>
      </c>
      <c r="C14080" s="52">
        <v>92407.544288759105</v>
      </c>
      <c r="D14080" s="56">
        <v>0.15426523218344224</v>
      </c>
      <c r="E14080" s="224" t="s">
        <v>2</v>
      </c>
      <c r="F14080" s="515" t="s">
        <v>15264</v>
      </c>
      <c r="G14080" s="52">
        <v>170432.90452197599</v>
      </c>
      <c r="H14080" s="56">
        <v>0</v>
      </c>
      <c r="I14080" s="224" t="s">
        <v>2</v>
      </c>
    </row>
    <row r="14081" spans="1:9" x14ac:dyDescent="0.25">
      <c r="A14081" s="515">
        <v>23966</v>
      </c>
      <c r="C14081" s="52">
        <v>187482.01614681701</v>
      </c>
      <c r="D14081" s="56">
        <v>8.6608001773240309E-2</v>
      </c>
      <c r="E14081" s="224" t="s">
        <v>2</v>
      </c>
      <c r="F14081" s="515" t="s">
        <v>15265</v>
      </c>
      <c r="G14081" s="52">
        <v>147522.05251368301</v>
      </c>
      <c r="H14081" s="56">
        <v>0.20832759820019622</v>
      </c>
      <c r="I14081" s="224" t="s">
        <v>2</v>
      </c>
    </row>
    <row r="14082" spans="1:9" x14ac:dyDescent="0.25">
      <c r="A14082" s="515">
        <v>49665</v>
      </c>
      <c r="C14082" s="52">
        <v>136265.003797704</v>
      </c>
      <c r="D14082" s="56">
        <v>0.10736026895773668</v>
      </c>
      <c r="E14082" s="224" t="s">
        <v>2</v>
      </c>
      <c r="F14082" s="515" t="s">
        <v>15266</v>
      </c>
      <c r="G14082" s="52">
        <v>251710.93588786101</v>
      </c>
      <c r="H14082" s="56">
        <v>9.9488013861079222E-2</v>
      </c>
      <c r="I14082" s="224" t="s">
        <v>2</v>
      </c>
    </row>
    <row r="14083" spans="1:9" x14ac:dyDescent="0.25">
      <c r="A14083" s="515">
        <v>32421</v>
      </c>
      <c r="C14083" s="52">
        <v>177201.09944962701</v>
      </c>
      <c r="D14083" s="56">
        <v>0.20863154475353801</v>
      </c>
      <c r="E14083" s="224" t="s">
        <v>2</v>
      </c>
      <c r="F14083" s="515" t="s">
        <v>15267</v>
      </c>
      <c r="G14083" s="52">
        <v>176936.45887088301</v>
      </c>
      <c r="H14083" s="56">
        <v>7.1950167941050427E-2</v>
      </c>
      <c r="I14083" s="224" t="s">
        <v>2</v>
      </c>
    </row>
    <row r="14084" spans="1:9" x14ac:dyDescent="0.25">
      <c r="A14084" s="515">
        <v>19094</v>
      </c>
      <c r="B14084" s="515" t="s">
        <v>294</v>
      </c>
      <c r="C14084" s="52">
        <v>253488.101500397</v>
      </c>
      <c r="D14084" s="56">
        <v>0.10545336700101078</v>
      </c>
      <c r="E14084" s="224" t="s">
        <v>2</v>
      </c>
      <c r="F14084" s="515" t="s">
        <v>15268</v>
      </c>
      <c r="G14084" s="52">
        <v>145152.32776397001</v>
      </c>
      <c r="H14084" s="56">
        <v>9.9501430461877705E-2</v>
      </c>
      <c r="I14084" s="224" t="s">
        <v>2</v>
      </c>
    </row>
    <row r="14085" spans="1:9" x14ac:dyDescent="0.25">
      <c r="A14085" s="515">
        <v>29353</v>
      </c>
      <c r="B14085" s="515" t="s">
        <v>304</v>
      </c>
      <c r="C14085" s="52">
        <v>89810.753111284503</v>
      </c>
      <c r="D14085" s="56">
        <v>0.11335884829337008</v>
      </c>
      <c r="E14085" s="224" t="s">
        <v>2</v>
      </c>
      <c r="F14085" s="515" t="s">
        <v>15269</v>
      </c>
      <c r="G14085" s="52">
        <v>114403.736298483</v>
      </c>
      <c r="H14085" s="56">
        <v>0</v>
      </c>
      <c r="I14085" s="224" t="s">
        <v>2</v>
      </c>
    </row>
    <row r="14086" spans="1:9" x14ac:dyDescent="0.25">
      <c r="A14086" s="515">
        <v>23950</v>
      </c>
      <c r="C14086" s="52">
        <v>127471.95793813901</v>
      </c>
      <c r="D14086" s="56">
        <v>8.9885881544456134E-2</v>
      </c>
      <c r="E14086" s="224" t="s">
        <v>2</v>
      </c>
      <c r="F14086" s="515" t="s">
        <v>15270</v>
      </c>
      <c r="G14086" s="52">
        <v>333598.15182033199</v>
      </c>
      <c r="H14086" s="56">
        <v>6.7959980645684787E-2</v>
      </c>
      <c r="I14086" s="224" t="s">
        <v>2</v>
      </c>
    </row>
    <row r="14087" spans="1:9" x14ac:dyDescent="0.25">
      <c r="A14087" s="515">
        <v>48656</v>
      </c>
      <c r="C14087" s="52">
        <v>97170.923773203307</v>
      </c>
      <c r="D14087" s="56">
        <v>0.20985805247623443</v>
      </c>
      <c r="E14087" s="224" t="s">
        <v>2</v>
      </c>
      <c r="F14087" s="515" t="s">
        <v>15271</v>
      </c>
      <c r="G14087" s="52">
        <v>128450.468874383</v>
      </c>
      <c r="H14087" s="56">
        <v>-5.2051934336235185E-3</v>
      </c>
      <c r="I14087" s="224" t="s">
        <v>2</v>
      </c>
    </row>
    <row r="14088" spans="1:9" x14ac:dyDescent="0.25">
      <c r="A14088" s="515">
        <v>12816</v>
      </c>
      <c r="B14088" s="515" t="s">
        <v>422</v>
      </c>
      <c r="C14088" s="52">
        <v>214356.59994513201</v>
      </c>
      <c r="D14088" s="56">
        <v>5.1539855533121001E-2</v>
      </c>
      <c r="E14088" s="224" t="s">
        <v>2</v>
      </c>
      <c r="F14088" s="515" t="s">
        <v>15272</v>
      </c>
      <c r="G14088" s="52">
        <v>158354.50865685201</v>
      </c>
      <c r="H14088" s="56">
        <v>0</v>
      </c>
      <c r="I14088" s="224" t="s">
        <v>2</v>
      </c>
    </row>
    <row r="14089" spans="1:9" x14ac:dyDescent="0.25">
      <c r="A14089" s="515">
        <v>80137</v>
      </c>
      <c r="B14089" s="515" t="s">
        <v>401</v>
      </c>
      <c r="C14089" s="52">
        <v>592260.03713785496</v>
      </c>
      <c r="D14089" s="56">
        <v>3.0178135811059482E-2</v>
      </c>
      <c r="E14089" s="224" t="s">
        <v>2</v>
      </c>
      <c r="F14089" s="515" t="s">
        <v>15273</v>
      </c>
      <c r="G14089" s="52">
        <v>66241.752572749901</v>
      </c>
      <c r="H14089" s="56">
        <v>-1.022386495287992E-2</v>
      </c>
      <c r="I14089" s="224" t="s">
        <v>2</v>
      </c>
    </row>
    <row r="14090" spans="1:9" x14ac:dyDescent="0.25">
      <c r="A14090" s="515">
        <v>85324</v>
      </c>
      <c r="B14090" s="515" t="s">
        <v>332</v>
      </c>
      <c r="C14090" s="52">
        <v>338008.17481796897</v>
      </c>
      <c r="D14090" s="56">
        <v>3.8264528011632652E-2</v>
      </c>
      <c r="E14090" s="224" t="s">
        <v>2</v>
      </c>
      <c r="F14090" s="515" t="s">
        <v>15274</v>
      </c>
      <c r="G14090" s="52">
        <v>163286.14769673001</v>
      </c>
      <c r="H14090" s="56">
        <v>3.2820661311823159E-2</v>
      </c>
      <c r="I14090" s="224" t="s">
        <v>2</v>
      </c>
    </row>
    <row r="14091" spans="1:9" x14ac:dyDescent="0.25">
      <c r="A14091" s="515">
        <v>78022</v>
      </c>
      <c r="C14091" s="52">
        <v>163928.900673228</v>
      </c>
      <c r="D14091" s="56">
        <v>-6.4266574110723271E-2</v>
      </c>
      <c r="E14091" s="224" t="s">
        <v>2</v>
      </c>
      <c r="F14091" s="515" t="s">
        <v>15275</v>
      </c>
      <c r="G14091" s="52">
        <v>311415.10712814698</v>
      </c>
      <c r="H14091" s="56">
        <v>0.13511574523184564</v>
      </c>
      <c r="I14091" s="224" t="s">
        <v>2</v>
      </c>
    </row>
    <row r="14092" spans="1:9" x14ac:dyDescent="0.25">
      <c r="A14092" s="515">
        <v>7702</v>
      </c>
      <c r="B14092" s="515" t="s">
        <v>324</v>
      </c>
      <c r="C14092" s="52">
        <v>741655.268853924</v>
      </c>
      <c r="D14092" s="56">
        <v>8.864554618913853E-2</v>
      </c>
      <c r="E14092" s="224" t="s">
        <v>2</v>
      </c>
      <c r="F14092" s="515" t="s">
        <v>15276</v>
      </c>
      <c r="G14092" s="52">
        <v>147508.411906953</v>
      </c>
      <c r="H14092" s="56">
        <v>0.22762898098756446</v>
      </c>
      <c r="I14092" s="224" t="s">
        <v>2</v>
      </c>
    </row>
    <row r="14093" spans="1:9" x14ac:dyDescent="0.25">
      <c r="A14093" s="515">
        <v>71067</v>
      </c>
      <c r="B14093" s="515" t="s">
        <v>739</v>
      </c>
      <c r="C14093" s="52">
        <v>140368.09905068501</v>
      </c>
      <c r="D14093" s="56">
        <v>7.4530702886905012E-2</v>
      </c>
      <c r="E14093" s="224" t="s">
        <v>2</v>
      </c>
      <c r="F14093" s="515" t="s">
        <v>15277</v>
      </c>
      <c r="G14093" s="52">
        <v>160607.693895929</v>
      </c>
      <c r="H14093" s="56">
        <v>1.5046126195748312E-2</v>
      </c>
      <c r="I14093" s="224" t="s">
        <v>2</v>
      </c>
    </row>
    <row r="14094" spans="1:9" x14ac:dyDescent="0.25">
      <c r="A14094" s="515">
        <v>53956</v>
      </c>
      <c r="B14094" s="515" t="s">
        <v>727</v>
      </c>
      <c r="C14094" s="52">
        <v>208580.37183285499</v>
      </c>
      <c r="D14094" s="56">
        <v>7.5097070111577444E-2</v>
      </c>
      <c r="E14094" s="224" t="s">
        <v>2</v>
      </c>
      <c r="F14094" s="515" t="s">
        <v>15278</v>
      </c>
      <c r="G14094" s="52">
        <v>107010.362225035</v>
      </c>
      <c r="H14094" s="56">
        <v>0.13459796886769246</v>
      </c>
      <c r="I14094" s="224" t="s">
        <v>2</v>
      </c>
    </row>
    <row r="14095" spans="1:9" x14ac:dyDescent="0.25">
      <c r="A14095" s="515">
        <v>96727</v>
      </c>
      <c r="B14095" s="515" t="s">
        <v>399</v>
      </c>
      <c r="C14095" s="52">
        <v>602030.56986868696</v>
      </c>
      <c r="D14095" s="56">
        <v>0.13225386800368594</v>
      </c>
      <c r="E14095" s="224" t="s">
        <v>2</v>
      </c>
      <c r="F14095" s="515" t="s">
        <v>15279</v>
      </c>
      <c r="G14095" s="52">
        <v>128034.69450577399</v>
      </c>
      <c r="H14095" s="56">
        <v>5.0754001462323485E-2</v>
      </c>
      <c r="I14095" s="224" t="s">
        <v>2</v>
      </c>
    </row>
    <row r="14096" spans="1:9" x14ac:dyDescent="0.25">
      <c r="A14096" s="515">
        <v>47944</v>
      </c>
      <c r="B14096" s="515" t="s">
        <v>433</v>
      </c>
      <c r="C14096" s="52">
        <v>156661.96921685099</v>
      </c>
      <c r="D14096" s="56">
        <v>7.5750361214638712E-2</v>
      </c>
      <c r="E14096" s="224" t="s">
        <v>2</v>
      </c>
      <c r="F14096" s="515" t="s">
        <v>15280</v>
      </c>
      <c r="G14096" s="52">
        <v>278029.67638546001</v>
      </c>
      <c r="H14096" s="56">
        <v>0.16610064225963214</v>
      </c>
      <c r="I14096" s="224" t="s">
        <v>2</v>
      </c>
    </row>
    <row r="14097" spans="1:9" x14ac:dyDescent="0.25">
      <c r="A14097" s="515">
        <v>66736</v>
      </c>
      <c r="C14097" s="52">
        <v>85555.947926833498</v>
      </c>
      <c r="D14097" s="56">
        <v>0.12049184954977619</v>
      </c>
      <c r="E14097" s="224" t="s">
        <v>2</v>
      </c>
      <c r="F14097" s="515" t="s">
        <v>15281</v>
      </c>
      <c r="G14097" s="52">
        <v>354713.87050135602</v>
      </c>
      <c r="H14097" s="56">
        <v>4.429106235715443E-2</v>
      </c>
      <c r="I14097" s="224" t="s">
        <v>2</v>
      </c>
    </row>
    <row r="14098" spans="1:9" x14ac:dyDescent="0.25">
      <c r="A14098" s="515">
        <v>47032</v>
      </c>
      <c r="B14098" s="515" t="s">
        <v>344</v>
      </c>
      <c r="C14098" s="52">
        <v>222773.79050333099</v>
      </c>
      <c r="D14098" s="56">
        <v>9.0778095997158983E-2</v>
      </c>
      <c r="E14098" s="224" t="s">
        <v>2</v>
      </c>
      <c r="F14098" s="515" t="s">
        <v>15282</v>
      </c>
      <c r="G14098" s="52">
        <v>251549.18625469899</v>
      </c>
      <c r="H14098" s="56">
        <v>0.13165615209823225</v>
      </c>
      <c r="I14098" s="224" t="s">
        <v>2</v>
      </c>
    </row>
    <row r="14099" spans="1:9" x14ac:dyDescent="0.25">
      <c r="A14099" s="515">
        <v>73541</v>
      </c>
      <c r="B14099" s="515" t="s">
        <v>364</v>
      </c>
      <c r="C14099" s="52">
        <v>183684.51027904099</v>
      </c>
      <c r="D14099" s="56">
        <v>9.8277224570019986E-2</v>
      </c>
      <c r="E14099" s="224" t="s">
        <v>2</v>
      </c>
      <c r="F14099" s="515" t="s">
        <v>15283</v>
      </c>
      <c r="G14099" s="52">
        <v>181336.42565563001</v>
      </c>
      <c r="H14099" s="56">
        <v>-1.7374051690811194E-2</v>
      </c>
      <c r="I14099" s="224" t="s">
        <v>2</v>
      </c>
    </row>
    <row r="14100" spans="1:9" x14ac:dyDescent="0.25">
      <c r="A14100" s="515">
        <v>76259</v>
      </c>
      <c r="B14100" s="515" t="s">
        <v>458</v>
      </c>
      <c r="C14100" s="52">
        <v>386886.58543029299</v>
      </c>
      <c r="D14100" s="56">
        <v>0.1014414845942974</v>
      </c>
      <c r="E14100" s="224" t="s">
        <v>2</v>
      </c>
      <c r="F14100" s="515" t="s">
        <v>15284</v>
      </c>
      <c r="G14100" s="52">
        <v>219749.032375379</v>
      </c>
      <c r="H14100" s="56">
        <v>5.3833141454341087E-2</v>
      </c>
      <c r="I14100" s="224" t="s">
        <v>2</v>
      </c>
    </row>
    <row r="14101" spans="1:9" x14ac:dyDescent="0.25">
      <c r="A14101" s="515">
        <v>3263</v>
      </c>
      <c r="B14101" s="515" t="s">
        <v>981</v>
      </c>
      <c r="C14101" s="52">
        <v>334297.64303205902</v>
      </c>
      <c r="D14101" s="56">
        <v>7.7201094318646274E-2</v>
      </c>
      <c r="E14101" s="224" t="s">
        <v>2</v>
      </c>
      <c r="F14101" s="515" t="s">
        <v>15285</v>
      </c>
      <c r="G14101" s="52">
        <v>262409.35859363503</v>
      </c>
      <c r="H14101" s="56">
        <v>0.1048615391925723</v>
      </c>
      <c r="I14101" s="224" t="s">
        <v>2</v>
      </c>
    </row>
    <row r="14102" spans="1:9" x14ac:dyDescent="0.25">
      <c r="A14102" s="515">
        <v>91906</v>
      </c>
      <c r="B14102" s="515" t="s">
        <v>396</v>
      </c>
      <c r="C14102" s="52">
        <v>454511.73570573999</v>
      </c>
      <c r="D14102" s="56">
        <v>3.7595776680262913E-2</v>
      </c>
      <c r="E14102" s="224" t="s">
        <v>2</v>
      </c>
      <c r="F14102" s="515" t="s">
        <v>15286</v>
      </c>
      <c r="G14102" s="52">
        <v>222908.19876518199</v>
      </c>
      <c r="H14102" s="56">
        <v>0.14181361617342836</v>
      </c>
      <c r="I14102" s="224" t="s">
        <v>2</v>
      </c>
    </row>
    <row r="14103" spans="1:9" x14ac:dyDescent="0.25">
      <c r="A14103" s="515">
        <v>19031</v>
      </c>
      <c r="B14103" s="515" t="s">
        <v>294</v>
      </c>
      <c r="C14103" s="52">
        <v>510173.53893108602</v>
      </c>
      <c r="D14103" s="56">
        <v>8.5275523550258858E-2</v>
      </c>
      <c r="E14103" s="224" t="s">
        <v>2</v>
      </c>
      <c r="F14103" s="515" t="s">
        <v>15287</v>
      </c>
      <c r="G14103" s="52">
        <v>649602.24701575597</v>
      </c>
      <c r="H14103" s="56">
        <v>0.11515865729704076</v>
      </c>
      <c r="I14103" s="224" t="s">
        <v>2</v>
      </c>
    </row>
    <row r="14104" spans="1:9" x14ac:dyDescent="0.25">
      <c r="A14104" s="515">
        <v>17501</v>
      </c>
      <c r="B14104" s="515" t="s">
        <v>537</v>
      </c>
      <c r="C14104" s="52">
        <v>280799.54562299798</v>
      </c>
      <c r="D14104" s="56">
        <v>7.6015182129683126E-2</v>
      </c>
      <c r="E14104" s="224" t="s">
        <v>2</v>
      </c>
      <c r="F14104" s="515" t="s">
        <v>15288</v>
      </c>
      <c r="G14104" s="52">
        <v>484518.76917821798</v>
      </c>
      <c r="H14104" s="56">
        <v>0.10100502373341563</v>
      </c>
      <c r="I14104" s="224" t="s">
        <v>2</v>
      </c>
    </row>
    <row r="14105" spans="1:9" x14ac:dyDescent="0.25">
      <c r="A14105" s="515">
        <v>25123</v>
      </c>
      <c r="B14105" s="515" t="s">
        <v>445</v>
      </c>
      <c r="C14105" s="52">
        <v>128060.23392062599</v>
      </c>
      <c r="D14105" s="56">
        <v>4.0576842601159874E-2</v>
      </c>
      <c r="E14105" s="224" t="s">
        <v>2</v>
      </c>
      <c r="F14105" s="515" t="s">
        <v>15289</v>
      </c>
      <c r="G14105" s="52">
        <v>309480.00925881998</v>
      </c>
      <c r="H14105" s="56">
        <v>4.8561312691867198E-2</v>
      </c>
      <c r="I14105" s="224" t="s">
        <v>2</v>
      </c>
    </row>
    <row r="14106" spans="1:9" x14ac:dyDescent="0.25">
      <c r="A14106" s="515">
        <v>4294</v>
      </c>
      <c r="C14106" s="52">
        <v>203070.86937955199</v>
      </c>
      <c r="D14106" s="56">
        <v>0.10269284012826546</v>
      </c>
      <c r="E14106" s="224" t="s">
        <v>2</v>
      </c>
      <c r="F14106" s="515" t="s">
        <v>15290</v>
      </c>
      <c r="G14106" s="52">
        <v>411256.38887821301</v>
      </c>
      <c r="H14106" s="56">
        <v>1.5674895720249681E-2</v>
      </c>
      <c r="I14106" s="224" t="s">
        <v>2</v>
      </c>
    </row>
    <row r="14107" spans="1:9" x14ac:dyDescent="0.25">
      <c r="A14107" s="515">
        <v>30808</v>
      </c>
      <c r="B14107" s="515" t="s">
        <v>888</v>
      </c>
      <c r="C14107" s="52">
        <v>148758.24522641499</v>
      </c>
      <c r="D14107" s="56">
        <v>0.12233725871642658</v>
      </c>
      <c r="E14107" s="224" t="s">
        <v>2</v>
      </c>
      <c r="F14107" s="515" t="s">
        <v>15291</v>
      </c>
      <c r="G14107" s="52">
        <v>169890.905511811</v>
      </c>
      <c r="H14107" s="56">
        <v>0</v>
      </c>
      <c r="I14107" s="224" t="s">
        <v>2</v>
      </c>
    </row>
    <row r="14108" spans="1:9" x14ac:dyDescent="0.25">
      <c r="A14108" s="515">
        <v>50533</v>
      </c>
      <c r="C14108" s="52">
        <v>102062.42519274</v>
      </c>
      <c r="D14108" s="56">
        <v>2.2546732828815259E-2</v>
      </c>
      <c r="E14108" s="224" t="s">
        <v>2</v>
      </c>
      <c r="F14108" s="515" t="s">
        <v>15292</v>
      </c>
      <c r="G14108" s="52">
        <v>130699.88326089901</v>
      </c>
      <c r="H14108" s="56">
        <v>0.10438732740987146</v>
      </c>
      <c r="I14108" s="224" t="s">
        <v>2</v>
      </c>
    </row>
    <row r="14109" spans="1:9" x14ac:dyDescent="0.25">
      <c r="A14109" s="515">
        <v>54479</v>
      </c>
      <c r="C14109" s="52">
        <v>168263.98171463099</v>
      </c>
      <c r="D14109" s="56">
        <v>0.11468524469737258</v>
      </c>
      <c r="E14109" s="224" t="s">
        <v>2</v>
      </c>
      <c r="F14109" s="515" t="s">
        <v>15293</v>
      </c>
      <c r="G14109" s="52">
        <v>322408.93430799799</v>
      </c>
      <c r="H14109" s="56">
        <v>8.2151903925510264E-2</v>
      </c>
      <c r="I14109" s="224" t="s">
        <v>2</v>
      </c>
    </row>
    <row r="14110" spans="1:9" x14ac:dyDescent="0.25">
      <c r="A14110" s="515">
        <v>17954</v>
      </c>
      <c r="B14110" s="515" t="s">
        <v>994</v>
      </c>
      <c r="C14110" s="52">
        <v>62071.128199067403</v>
      </c>
      <c r="D14110" s="56">
        <v>0.12812289483687403</v>
      </c>
      <c r="E14110" s="224" t="s">
        <v>2</v>
      </c>
      <c r="F14110" s="515" t="s">
        <v>15294</v>
      </c>
      <c r="G14110" s="52">
        <v>248290.83922068501</v>
      </c>
      <c r="H14110" s="56">
        <v>9.2561508697884598E-2</v>
      </c>
      <c r="I14110" s="224" t="s">
        <v>2</v>
      </c>
    </row>
    <row r="14111" spans="1:9" x14ac:dyDescent="0.25">
      <c r="A14111" s="515">
        <v>67063</v>
      </c>
      <c r="C14111" s="52">
        <v>131819.40671986999</v>
      </c>
      <c r="D14111" s="56">
        <v>9.0638787701368503E-2</v>
      </c>
      <c r="E14111" s="224" t="s">
        <v>2</v>
      </c>
      <c r="F14111" s="515" t="s">
        <v>15295</v>
      </c>
      <c r="G14111" s="52">
        <v>126871.67554586699</v>
      </c>
      <c r="H14111" s="56">
        <v>7.1317151823095351E-2</v>
      </c>
      <c r="I14111" s="224" t="s">
        <v>2</v>
      </c>
    </row>
    <row r="14112" spans="1:9" x14ac:dyDescent="0.25">
      <c r="A14112" s="515">
        <v>27839</v>
      </c>
      <c r="B14112" s="515" t="s">
        <v>909</v>
      </c>
      <c r="C14112" s="52">
        <v>68600.089430135602</v>
      </c>
      <c r="D14112" s="56">
        <v>0.1776219965425066</v>
      </c>
      <c r="E14112" s="224" t="s">
        <v>2</v>
      </c>
      <c r="F14112" s="515" t="s">
        <v>15296</v>
      </c>
      <c r="G14112" s="52">
        <v>682882.634188244</v>
      </c>
      <c r="H14112" s="56">
        <v>1.6713869153156018E-2</v>
      </c>
      <c r="I14112" s="224" t="s">
        <v>2</v>
      </c>
    </row>
    <row r="14113" spans="1:9" x14ac:dyDescent="0.25">
      <c r="A14113" s="515">
        <v>36010</v>
      </c>
      <c r="B14113" s="515" t="s">
        <v>1027</v>
      </c>
      <c r="C14113" s="52">
        <v>90755.0682889975</v>
      </c>
      <c r="D14113" s="56">
        <v>1.6264411033053656E-2</v>
      </c>
      <c r="E14113" s="224" t="s">
        <v>2</v>
      </c>
      <c r="F14113" s="515" t="s">
        <v>15297</v>
      </c>
      <c r="G14113" s="52">
        <v>201589.805105607</v>
      </c>
      <c r="H14113" s="56">
        <v>9.7937973558845856E-2</v>
      </c>
      <c r="I14113" s="224" t="s">
        <v>2</v>
      </c>
    </row>
    <row r="14114" spans="1:9" x14ac:dyDescent="0.25">
      <c r="A14114" s="515">
        <v>45302</v>
      </c>
      <c r="B14114" s="515" t="s">
        <v>329</v>
      </c>
      <c r="C14114" s="52">
        <v>249267.10039151</v>
      </c>
      <c r="D14114" s="56">
        <v>6.5851219189270532E-2</v>
      </c>
      <c r="E14114" s="224" t="s">
        <v>2</v>
      </c>
      <c r="F14114" s="515" t="s">
        <v>15298</v>
      </c>
      <c r="G14114" s="52">
        <v>181163.801058218</v>
      </c>
      <c r="H14114" s="56">
        <v>3.3779237070364336E-2</v>
      </c>
      <c r="I14114" s="224" t="s">
        <v>2</v>
      </c>
    </row>
    <row r="14115" spans="1:9" x14ac:dyDescent="0.25">
      <c r="A14115" s="515">
        <v>65652</v>
      </c>
      <c r="B14115" s="515" t="s">
        <v>603</v>
      </c>
      <c r="C14115" s="52">
        <v>229189.478754504</v>
      </c>
      <c r="D14115" s="56">
        <v>6.727040028211255E-2</v>
      </c>
      <c r="E14115" s="224" t="s">
        <v>2</v>
      </c>
      <c r="F14115" s="515" t="s">
        <v>15299</v>
      </c>
      <c r="G14115" s="52">
        <v>215806.35418552</v>
      </c>
      <c r="H14115" s="56">
        <v>0.10691976607038842</v>
      </c>
      <c r="I14115" s="224" t="s">
        <v>2</v>
      </c>
    </row>
    <row r="14116" spans="1:9" x14ac:dyDescent="0.25">
      <c r="A14116" s="515">
        <v>72632</v>
      </c>
      <c r="C14116" s="52">
        <v>273287.83861695201</v>
      </c>
      <c r="D14116" s="56">
        <v>4.05241358510171E-2</v>
      </c>
      <c r="E14116" s="224" t="s">
        <v>2</v>
      </c>
      <c r="F14116" s="515" t="s">
        <v>15300</v>
      </c>
      <c r="G14116" s="52">
        <v>437319.86048958899</v>
      </c>
      <c r="H14116" s="56">
        <v>1.8045382957348758E-2</v>
      </c>
      <c r="I14116" s="224" t="s">
        <v>2</v>
      </c>
    </row>
    <row r="14117" spans="1:9" x14ac:dyDescent="0.25">
      <c r="A14117" s="515">
        <v>32617</v>
      </c>
      <c r="B14117" s="515" t="s">
        <v>475</v>
      </c>
      <c r="C14117" s="52">
        <v>301373.64612739999</v>
      </c>
      <c r="D14117" s="56">
        <v>0.15953072557159301</v>
      </c>
      <c r="E14117" s="224" t="s">
        <v>2</v>
      </c>
      <c r="F14117" s="515" t="s">
        <v>15301</v>
      </c>
      <c r="G14117" s="52">
        <v>230043.927669414</v>
      </c>
      <c r="H14117" s="56">
        <v>9.5184439126928935E-2</v>
      </c>
      <c r="I14117" s="224" t="s">
        <v>2</v>
      </c>
    </row>
    <row r="14118" spans="1:9" x14ac:dyDescent="0.25">
      <c r="A14118" s="515">
        <v>29684</v>
      </c>
      <c r="B14118" s="515" t="s">
        <v>613</v>
      </c>
      <c r="C14118" s="52">
        <v>196135.967328042</v>
      </c>
      <c r="D14118" s="56">
        <v>0.11555606391514622</v>
      </c>
      <c r="E14118" s="224" t="s">
        <v>2</v>
      </c>
      <c r="F14118" s="515" t="s">
        <v>15302</v>
      </c>
      <c r="G14118" s="52">
        <v>77536.3626085133</v>
      </c>
      <c r="H14118" s="56">
        <v>0.14097067568311586</v>
      </c>
      <c r="I14118" s="224" t="s">
        <v>2</v>
      </c>
    </row>
    <row r="14119" spans="1:9" x14ac:dyDescent="0.25">
      <c r="A14119" s="515">
        <v>38581</v>
      </c>
      <c r="B14119" s="515" t="s">
        <v>1177</v>
      </c>
      <c r="C14119" s="52">
        <v>199964.37746090101</v>
      </c>
      <c r="D14119" s="56">
        <v>8.6767558858594621E-2</v>
      </c>
      <c r="E14119" s="224" t="s">
        <v>2</v>
      </c>
      <c r="F14119" s="515" t="s">
        <v>15303</v>
      </c>
      <c r="G14119" s="52">
        <v>509191.507874512</v>
      </c>
      <c r="H14119" s="56">
        <v>7.098444962008181E-2</v>
      </c>
      <c r="I14119" s="224" t="s">
        <v>2</v>
      </c>
    </row>
    <row r="14120" spans="1:9" x14ac:dyDescent="0.25">
      <c r="A14120" s="515">
        <v>15626</v>
      </c>
      <c r="B14120" s="515" t="s">
        <v>297</v>
      </c>
      <c r="C14120" s="52">
        <v>225681.56549376299</v>
      </c>
      <c r="D14120" s="56">
        <v>3.9483595743946005E-2</v>
      </c>
      <c r="E14120" s="224" t="s">
        <v>2</v>
      </c>
      <c r="F14120" s="515" t="s">
        <v>15304</v>
      </c>
      <c r="G14120" s="52">
        <v>73136.609341428295</v>
      </c>
      <c r="H14120" s="56">
        <v>0.10700135062381781</v>
      </c>
      <c r="I14120" s="224" t="s">
        <v>2</v>
      </c>
    </row>
    <row r="14121" spans="1:9" x14ac:dyDescent="0.25">
      <c r="A14121" s="515">
        <v>65284</v>
      </c>
      <c r="B14121" s="515" t="s">
        <v>785</v>
      </c>
      <c r="C14121" s="52">
        <v>261715.59409931701</v>
      </c>
      <c r="D14121" s="56">
        <v>7.4327674135205801E-2</v>
      </c>
      <c r="E14121" s="224" t="s">
        <v>2</v>
      </c>
      <c r="F14121" s="515" t="s">
        <v>15305</v>
      </c>
      <c r="G14121" s="52">
        <v>79670.640643860199</v>
      </c>
      <c r="H14121" s="56">
        <v>0</v>
      </c>
      <c r="I14121" s="224" t="s">
        <v>2</v>
      </c>
    </row>
    <row r="14122" spans="1:9" x14ac:dyDescent="0.25">
      <c r="A14122" s="515">
        <v>7720</v>
      </c>
      <c r="B14122" s="515" t="s">
        <v>324</v>
      </c>
      <c r="C14122" s="52">
        <v>856987.54641259299</v>
      </c>
      <c r="D14122" s="56">
        <v>5.2336177983588736E-2</v>
      </c>
      <c r="E14122" s="224" t="s">
        <v>2</v>
      </c>
      <c r="F14122" s="515" t="s">
        <v>15306</v>
      </c>
      <c r="G14122" s="52">
        <v>290613.594462685</v>
      </c>
      <c r="H14122" s="56">
        <v>0.1014888929449585</v>
      </c>
      <c r="I14122" s="224" t="s">
        <v>2</v>
      </c>
    </row>
    <row r="14123" spans="1:9" x14ac:dyDescent="0.25">
      <c r="A14123" s="515">
        <v>14710</v>
      </c>
      <c r="B14123" s="515" t="s">
        <v>560</v>
      </c>
      <c r="C14123" s="52">
        <v>196870.25843988699</v>
      </c>
      <c r="D14123" s="56">
        <v>0.11475977984608324</v>
      </c>
      <c r="E14123" s="224" t="s">
        <v>2</v>
      </c>
      <c r="F14123" s="515" t="s">
        <v>15307</v>
      </c>
      <c r="G14123" s="52">
        <v>77646.005181347093</v>
      </c>
      <c r="H14123" s="56">
        <v>0</v>
      </c>
      <c r="I14123" s="224" t="s">
        <v>2</v>
      </c>
    </row>
    <row r="14124" spans="1:9" x14ac:dyDescent="0.25">
      <c r="A14124" s="515">
        <v>38748</v>
      </c>
      <c r="B14124" s="515" t="s">
        <v>1204</v>
      </c>
      <c r="C14124" s="52">
        <v>74687.599507904597</v>
      </c>
      <c r="D14124" s="56">
        <v>0</v>
      </c>
      <c r="E14124" s="224" t="s">
        <v>2</v>
      </c>
      <c r="F14124" s="515" t="s">
        <v>15308</v>
      </c>
      <c r="G14124" s="52">
        <v>663282.60577921104</v>
      </c>
      <c r="H14124" s="56">
        <v>4.1263864433761968E-2</v>
      </c>
      <c r="I14124" s="224" t="s">
        <v>2</v>
      </c>
    </row>
    <row r="14125" spans="1:9" x14ac:dyDescent="0.25">
      <c r="A14125" s="515">
        <v>16056</v>
      </c>
      <c r="B14125" s="515" t="s">
        <v>297</v>
      </c>
      <c r="C14125" s="52">
        <v>256054.03327519199</v>
      </c>
      <c r="D14125" s="56">
        <v>6.4089427683892961E-2</v>
      </c>
      <c r="E14125" s="224" t="s">
        <v>2</v>
      </c>
      <c r="F14125" s="515" t="s">
        <v>15309</v>
      </c>
      <c r="G14125" s="52">
        <v>168764.32530502399</v>
      </c>
      <c r="H14125" s="56">
        <v>0</v>
      </c>
      <c r="I14125" s="224" t="s">
        <v>2</v>
      </c>
    </row>
    <row r="14126" spans="1:9" x14ac:dyDescent="0.25">
      <c r="A14126" s="515">
        <v>7457</v>
      </c>
      <c r="B14126" s="515" t="s">
        <v>324</v>
      </c>
      <c r="C14126" s="52">
        <v>403144.236526286</v>
      </c>
      <c r="D14126" s="56">
        <v>4.9519318057754287E-2</v>
      </c>
      <c r="E14126" s="224" t="s">
        <v>2</v>
      </c>
      <c r="F14126" s="515" t="s">
        <v>15310</v>
      </c>
      <c r="G14126" s="52">
        <v>166090.19422271699</v>
      </c>
      <c r="H14126" s="56">
        <v>0.18958727069507428</v>
      </c>
      <c r="I14126" s="224" t="s">
        <v>2</v>
      </c>
    </row>
    <row r="14127" spans="1:9" x14ac:dyDescent="0.25">
      <c r="A14127" s="515">
        <v>32950</v>
      </c>
      <c r="B14127" s="515" t="s">
        <v>1133</v>
      </c>
      <c r="C14127" s="52">
        <v>504699.45548057399</v>
      </c>
      <c r="D14127" s="56">
        <v>0.10523436214832295</v>
      </c>
      <c r="E14127" s="224" t="s">
        <v>2</v>
      </c>
      <c r="F14127" s="515" t="s">
        <v>15311</v>
      </c>
      <c r="G14127" s="52">
        <v>229089.67244664</v>
      </c>
      <c r="H14127" s="56">
        <v>4.0760555699786608E-2</v>
      </c>
      <c r="I14127" s="224" t="s">
        <v>2</v>
      </c>
    </row>
    <row r="14128" spans="1:9" x14ac:dyDescent="0.25">
      <c r="A14128" s="515">
        <v>18426</v>
      </c>
      <c r="B14128" s="515" t="s">
        <v>324</v>
      </c>
      <c r="C14128" s="52">
        <v>251353.38759221</v>
      </c>
      <c r="D14128" s="56">
        <v>8.4197883849742791E-2</v>
      </c>
      <c r="E14128" s="224" t="s">
        <v>2</v>
      </c>
      <c r="F14128" s="515" t="s">
        <v>15312</v>
      </c>
      <c r="G14128" s="52">
        <v>557371.77751943097</v>
      </c>
      <c r="H14128" s="56">
        <v>4.5233463161358456E-2</v>
      </c>
      <c r="I14128" s="224" t="s">
        <v>2</v>
      </c>
    </row>
    <row r="14129" spans="1:9" x14ac:dyDescent="0.25">
      <c r="A14129" s="515">
        <v>61048</v>
      </c>
      <c r="B14129" s="515" t="s">
        <v>411</v>
      </c>
      <c r="C14129" s="52">
        <v>162096.391370959</v>
      </c>
      <c r="D14129" s="56">
        <v>8.7057966839136941E-2</v>
      </c>
      <c r="E14129" s="224" t="s">
        <v>2</v>
      </c>
      <c r="F14129" s="515" t="s">
        <v>15313</v>
      </c>
      <c r="G14129" s="52">
        <v>54187.203192276902</v>
      </c>
      <c r="H14129" s="56">
        <v>0.52344886254101752</v>
      </c>
      <c r="I14129" s="224" t="s">
        <v>2</v>
      </c>
    </row>
    <row r="14130" spans="1:9" x14ac:dyDescent="0.25">
      <c r="A14130" s="515">
        <v>31068</v>
      </c>
      <c r="C14130" s="52">
        <v>58877.782831525103</v>
      </c>
      <c r="D14130" s="56">
        <v>8.6885186050428595E-2</v>
      </c>
      <c r="E14130" s="224" t="s">
        <v>2</v>
      </c>
      <c r="F14130" s="515" t="s">
        <v>15314</v>
      </c>
      <c r="G14130" s="52">
        <v>129217.38202049601</v>
      </c>
      <c r="H14130" s="56">
        <v>9.7229583036541598E-2</v>
      </c>
      <c r="I14130" s="224" t="s">
        <v>2</v>
      </c>
    </row>
    <row r="14131" spans="1:9" x14ac:dyDescent="0.25">
      <c r="A14131" s="515">
        <v>29540</v>
      </c>
      <c r="B14131" s="515" t="s">
        <v>1039</v>
      </c>
      <c r="C14131" s="52">
        <v>115748.081635489</v>
      </c>
      <c r="D14131" s="56">
        <v>3.5417508846446621E-2</v>
      </c>
      <c r="E14131" s="224" t="s">
        <v>2</v>
      </c>
      <c r="F14131" s="515" t="s">
        <v>15315</v>
      </c>
      <c r="G14131" s="52">
        <v>98953.987802246294</v>
      </c>
      <c r="H14131" s="56">
        <v>6.2794761597203708E-2</v>
      </c>
      <c r="I14131" s="224" t="s">
        <v>2</v>
      </c>
    </row>
    <row r="14132" spans="1:9" x14ac:dyDescent="0.25">
      <c r="A14132" s="515">
        <v>82443</v>
      </c>
      <c r="C14132" s="52">
        <v>217760.71163534801</v>
      </c>
      <c r="D14132" s="56">
        <v>0.12660771156755871</v>
      </c>
      <c r="E14132" s="224" t="s">
        <v>2</v>
      </c>
      <c r="F14132" s="515" t="s">
        <v>15316</v>
      </c>
      <c r="G14132" s="52">
        <v>208381.42053855001</v>
      </c>
      <c r="H14132" s="56">
        <v>9.4421573369636969E-2</v>
      </c>
      <c r="I14132" s="224" t="s">
        <v>2</v>
      </c>
    </row>
    <row r="14133" spans="1:9" x14ac:dyDescent="0.25">
      <c r="A14133" s="515">
        <v>13476</v>
      </c>
      <c r="B14133" s="515" t="s">
        <v>543</v>
      </c>
      <c r="C14133" s="52">
        <v>201485.30271157401</v>
      </c>
      <c r="D14133" s="56">
        <v>9.9727567467400524E-2</v>
      </c>
      <c r="E14133" s="224" t="s">
        <v>2</v>
      </c>
      <c r="F14133" s="515" t="s">
        <v>15317</v>
      </c>
      <c r="G14133" s="52">
        <v>114960.226067871</v>
      </c>
      <c r="H14133" s="56">
        <v>0.13589658215799238</v>
      </c>
      <c r="I14133" s="224" t="s">
        <v>2</v>
      </c>
    </row>
    <row r="14134" spans="1:9" x14ac:dyDescent="0.25">
      <c r="A14134" s="515">
        <v>56514</v>
      </c>
      <c r="B14134" s="515" t="s">
        <v>928</v>
      </c>
      <c r="C14134" s="52">
        <v>250469.74131387801</v>
      </c>
      <c r="D14134" s="56">
        <v>6.3348722561947457E-2</v>
      </c>
      <c r="E14134" s="224" t="s">
        <v>2</v>
      </c>
      <c r="F14134" s="515" t="s">
        <v>15318</v>
      </c>
      <c r="G14134" s="52">
        <v>818912.91456634796</v>
      </c>
      <c r="H14134" s="56">
        <v>-1.97284260034894E-2</v>
      </c>
      <c r="I14134" s="224" t="s">
        <v>2</v>
      </c>
    </row>
    <row r="14135" spans="1:9" x14ac:dyDescent="0.25">
      <c r="A14135" s="515">
        <v>63072</v>
      </c>
      <c r="B14135" s="515" t="s">
        <v>498</v>
      </c>
      <c r="C14135" s="52">
        <v>215513.05285023601</v>
      </c>
      <c r="D14135" s="56">
        <v>5.6086258559538048E-2</v>
      </c>
      <c r="E14135" s="224" t="s">
        <v>2</v>
      </c>
      <c r="F14135" s="515" t="s">
        <v>15319</v>
      </c>
      <c r="G14135" s="52">
        <v>94645.851831948094</v>
      </c>
      <c r="H14135" s="56">
        <v>0</v>
      </c>
      <c r="I14135" s="224" t="s">
        <v>2</v>
      </c>
    </row>
    <row r="14136" spans="1:9" x14ac:dyDescent="0.25">
      <c r="A14136" s="515">
        <v>28756</v>
      </c>
      <c r="C14136" s="52">
        <v>324681.80846628698</v>
      </c>
      <c r="D14136" s="56">
        <v>0.18116056120402821</v>
      </c>
      <c r="E14136" s="224" t="s">
        <v>2</v>
      </c>
      <c r="F14136" s="515" t="s">
        <v>15320</v>
      </c>
      <c r="G14136" s="52">
        <v>325756.06545648503</v>
      </c>
      <c r="H14136" s="56">
        <v>6.6076498741915818E-2</v>
      </c>
      <c r="I14136" s="224" t="s">
        <v>2</v>
      </c>
    </row>
    <row r="14137" spans="1:9" x14ac:dyDescent="0.25">
      <c r="A14137" s="515">
        <v>39066</v>
      </c>
      <c r="B14137" s="515" t="s">
        <v>851</v>
      </c>
      <c r="C14137" s="52">
        <v>101470.15403077001</v>
      </c>
      <c r="D14137" s="56">
        <v>4.6731224441990203E-2</v>
      </c>
      <c r="E14137" s="224" t="s">
        <v>2</v>
      </c>
      <c r="F14137" s="515" t="s">
        <v>15321</v>
      </c>
      <c r="G14137" s="52">
        <v>190443.71959670199</v>
      </c>
      <c r="H14137" s="56">
        <v>4.9766132498376199E-2</v>
      </c>
      <c r="I14137" s="224" t="s">
        <v>2</v>
      </c>
    </row>
    <row r="14138" spans="1:9" x14ac:dyDescent="0.25">
      <c r="A14138" s="515">
        <v>48884</v>
      </c>
      <c r="B14138" s="515" t="s">
        <v>631</v>
      </c>
      <c r="C14138" s="52">
        <v>168769.629121312</v>
      </c>
      <c r="D14138" s="56">
        <v>5.4648737380495006E-2</v>
      </c>
      <c r="E14138" s="224" t="s">
        <v>2</v>
      </c>
      <c r="F14138" s="515" t="s">
        <v>15322</v>
      </c>
      <c r="G14138" s="52">
        <v>100289.463713335</v>
      </c>
      <c r="H14138" s="56">
        <v>0.12119951914935398</v>
      </c>
      <c r="I14138" s="224" t="s">
        <v>2</v>
      </c>
    </row>
    <row r="14139" spans="1:9" x14ac:dyDescent="0.25">
      <c r="A14139" s="515">
        <v>16134</v>
      </c>
      <c r="B14139" s="515" t="s">
        <v>1042</v>
      </c>
      <c r="C14139" s="52">
        <v>126405.933070589</v>
      </c>
      <c r="D14139" s="56">
        <v>1.5718298913097957E-2</v>
      </c>
      <c r="E14139" s="224" t="s">
        <v>2</v>
      </c>
      <c r="F14139" s="515" t="s">
        <v>15323</v>
      </c>
      <c r="G14139" s="52">
        <v>454694.19808186102</v>
      </c>
      <c r="H14139" s="56">
        <v>7.641726302749631E-2</v>
      </c>
      <c r="I14139" s="224" t="s">
        <v>2</v>
      </c>
    </row>
    <row r="14140" spans="1:9" x14ac:dyDescent="0.25">
      <c r="A14140" s="515">
        <v>37860</v>
      </c>
      <c r="B14140" s="515" t="s">
        <v>786</v>
      </c>
      <c r="C14140" s="52">
        <v>239820.31114464701</v>
      </c>
      <c r="D14140" s="56">
        <v>9.7133308133342894E-2</v>
      </c>
      <c r="E14140" s="224" t="s">
        <v>2</v>
      </c>
      <c r="F14140" s="515" t="s">
        <v>15324</v>
      </c>
      <c r="G14140" s="52">
        <v>99319.070217041895</v>
      </c>
      <c r="H14140" s="56">
        <v>0.11242447267947518</v>
      </c>
      <c r="I14140" s="224" t="s">
        <v>2</v>
      </c>
    </row>
    <row r="14141" spans="1:9" x14ac:dyDescent="0.25">
      <c r="A14141" s="515">
        <v>44864</v>
      </c>
      <c r="B14141" s="515" t="s">
        <v>305</v>
      </c>
      <c r="C14141" s="52">
        <v>206700.75912826901</v>
      </c>
      <c r="D14141" s="56">
        <v>0.11588596058520446</v>
      </c>
      <c r="E14141" s="224" t="s">
        <v>2</v>
      </c>
      <c r="F14141" s="515" t="s">
        <v>15325</v>
      </c>
      <c r="G14141" s="52">
        <v>184141.19975370899</v>
      </c>
      <c r="H14141" s="56">
        <v>5.1868919149395079E-2</v>
      </c>
      <c r="I14141" s="224" t="s">
        <v>2</v>
      </c>
    </row>
    <row r="14142" spans="1:9" x14ac:dyDescent="0.25">
      <c r="A14142" s="515">
        <v>45142</v>
      </c>
      <c r="C14142" s="52">
        <v>174162.16250387201</v>
      </c>
      <c r="D14142" s="56">
        <v>0.11262254431826751</v>
      </c>
      <c r="E14142" s="224" t="s">
        <v>2</v>
      </c>
      <c r="F14142" s="515" t="s">
        <v>15326</v>
      </c>
      <c r="G14142" s="52">
        <v>167915.35685373799</v>
      </c>
      <c r="H14142" s="56">
        <v>0.10418346590132641</v>
      </c>
      <c r="I14142" s="224" t="s">
        <v>2</v>
      </c>
    </row>
    <row r="14143" spans="1:9" x14ac:dyDescent="0.25">
      <c r="A14143" s="515">
        <v>64844</v>
      </c>
      <c r="B14143" s="515" t="s">
        <v>784</v>
      </c>
      <c r="C14143" s="52">
        <v>146939.69964236501</v>
      </c>
      <c r="D14143" s="56">
        <v>0.15621321947484329</v>
      </c>
      <c r="E14143" s="224" t="s">
        <v>2</v>
      </c>
      <c r="F14143" s="515" t="s">
        <v>15327</v>
      </c>
      <c r="G14143" s="52">
        <v>189678.94708812301</v>
      </c>
      <c r="H14143" s="56">
        <v>1.7800341628437157E-2</v>
      </c>
      <c r="I14143" s="224" t="s">
        <v>2</v>
      </c>
    </row>
    <row r="14144" spans="1:9" x14ac:dyDescent="0.25">
      <c r="A14144" s="515">
        <v>95423</v>
      </c>
      <c r="B14144" s="515" t="s">
        <v>363</v>
      </c>
      <c r="C14144" s="52">
        <v>267961.11530454899</v>
      </c>
      <c r="D14144" s="56">
        <v>1.6131853766918482E-2</v>
      </c>
      <c r="E14144" s="224" t="s">
        <v>2</v>
      </c>
      <c r="F14144" s="515" t="s">
        <v>15328</v>
      </c>
      <c r="G14144" s="52">
        <v>284146.30302696099</v>
      </c>
      <c r="H14144" s="56">
        <v>0.10142941296908635</v>
      </c>
      <c r="I14144" s="224" t="s">
        <v>2</v>
      </c>
    </row>
    <row r="14145" spans="1:9" x14ac:dyDescent="0.25">
      <c r="A14145" s="515">
        <v>59935</v>
      </c>
      <c r="C14145" s="52">
        <v>409002.05257432302</v>
      </c>
      <c r="D14145" s="56">
        <v>0.14448287624779743</v>
      </c>
      <c r="E14145" s="224" t="s">
        <v>2</v>
      </c>
      <c r="F14145" s="515" t="s">
        <v>15329</v>
      </c>
      <c r="G14145" s="52">
        <v>125062.175610843</v>
      </c>
      <c r="H14145" s="56">
        <v>-3.5460566289348003E-2</v>
      </c>
      <c r="I14145" s="224" t="s">
        <v>2</v>
      </c>
    </row>
    <row r="14146" spans="1:9" x14ac:dyDescent="0.25">
      <c r="A14146" s="515">
        <v>79068</v>
      </c>
      <c r="B14146" s="515" t="s">
        <v>869</v>
      </c>
      <c r="C14146" s="52">
        <v>163919.34668300801</v>
      </c>
      <c r="D14146" s="56">
        <v>5.9520950128574217E-2</v>
      </c>
      <c r="E14146" s="224" t="s">
        <v>2</v>
      </c>
      <c r="F14146" s="515" t="s">
        <v>15330</v>
      </c>
      <c r="G14146" s="52">
        <v>159609.267255368</v>
      </c>
      <c r="H14146" s="56">
        <v>1.0775057474762225E-2</v>
      </c>
      <c r="I14146" s="224" t="s">
        <v>2</v>
      </c>
    </row>
    <row r="14147" spans="1:9" x14ac:dyDescent="0.25">
      <c r="A14147" s="515">
        <v>45771</v>
      </c>
      <c r="C14147" s="52">
        <v>93486.539560822494</v>
      </c>
      <c r="D14147" s="56">
        <v>6.3531830538831685E-2</v>
      </c>
      <c r="E14147" s="224" t="s">
        <v>2</v>
      </c>
      <c r="F14147" s="515" t="s">
        <v>15331</v>
      </c>
      <c r="G14147" s="52">
        <v>394311.80823715101</v>
      </c>
      <c r="H14147" s="56">
        <v>0.10359670085495196</v>
      </c>
      <c r="I14147" s="224" t="s">
        <v>2</v>
      </c>
    </row>
    <row r="14148" spans="1:9" x14ac:dyDescent="0.25">
      <c r="A14148" s="515">
        <v>35178</v>
      </c>
      <c r="B14148" s="515" t="s">
        <v>640</v>
      </c>
      <c r="C14148" s="52">
        <v>206946.298904617</v>
      </c>
      <c r="D14148" s="56">
        <v>2.1043120747448109E-2</v>
      </c>
      <c r="E14148" s="224" t="s">
        <v>2</v>
      </c>
      <c r="F14148" s="515" t="s">
        <v>15332</v>
      </c>
      <c r="G14148" s="52">
        <v>127229.381518487</v>
      </c>
      <c r="H14148" s="56">
        <v>0.18741003633890585</v>
      </c>
      <c r="I14148" s="224" t="s">
        <v>2</v>
      </c>
    </row>
    <row r="14149" spans="1:9" x14ac:dyDescent="0.25">
      <c r="A14149" s="515">
        <v>26143</v>
      </c>
      <c r="B14149" s="515" t="s">
        <v>956</v>
      </c>
      <c r="C14149" s="52">
        <v>98862.648579344605</v>
      </c>
      <c r="D14149" s="56">
        <v>2.4930573135883694E-2</v>
      </c>
      <c r="E14149" s="224" t="s">
        <v>2</v>
      </c>
      <c r="F14149" s="515" t="s">
        <v>15333</v>
      </c>
      <c r="G14149" s="52">
        <v>159936.54834041899</v>
      </c>
      <c r="H14149" s="56">
        <v>5.0511367864239501E-2</v>
      </c>
      <c r="I14149" s="224" t="s">
        <v>2</v>
      </c>
    </row>
    <row r="14150" spans="1:9" x14ac:dyDescent="0.25">
      <c r="A14150" s="515">
        <v>31006</v>
      </c>
      <c r="C14150" s="52">
        <v>110620.266327498</v>
      </c>
      <c r="D14150" s="56">
        <v>3.3092717079745757E-4</v>
      </c>
      <c r="E14150" s="224" t="s">
        <v>2</v>
      </c>
      <c r="F14150" s="515" t="s">
        <v>15334</v>
      </c>
      <c r="G14150" s="52">
        <v>173573.26913577499</v>
      </c>
      <c r="H14150" s="56">
        <v>2.7059080807537526E-2</v>
      </c>
      <c r="I14150" s="224" t="s">
        <v>2</v>
      </c>
    </row>
    <row r="14151" spans="1:9" x14ac:dyDescent="0.25">
      <c r="A14151" s="515">
        <v>29101</v>
      </c>
      <c r="C14151" s="52">
        <v>111183.655799637</v>
      </c>
      <c r="D14151" s="56">
        <v>9.7871411447461615E-2</v>
      </c>
      <c r="E14151" s="224" t="s">
        <v>2</v>
      </c>
      <c r="F14151" s="515" t="s">
        <v>15335</v>
      </c>
      <c r="G14151" s="52">
        <v>133368.97012575599</v>
      </c>
      <c r="H14151" s="56">
        <v>0.14306941739870654</v>
      </c>
      <c r="I14151" s="224" t="s">
        <v>2</v>
      </c>
    </row>
    <row r="14152" spans="1:9" x14ac:dyDescent="0.25">
      <c r="A14152" s="515">
        <v>17372</v>
      </c>
      <c r="B14152" s="515" t="s">
        <v>457</v>
      </c>
      <c r="C14152" s="52">
        <v>285411.65940330899</v>
      </c>
      <c r="D14152" s="56">
        <v>7.3778533029678545E-2</v>
      </c>
      <c r="E14152" s="224" t="s">
        <v>2</v>
      </c>
      <c r="F14152" s="515" t="s">
        <v>15336</v>
      </c>
      <c r="G14152" s="52">
        <v>168050.313494431</v>
      </c>
      <c r="H14152" s="56">
        <v>5.0323886184647053E-2</v>
      </c>
      <c r="I14152" s="224" t="s">
        <v>2</v>
      </c>
    </row>
    <row r="14153" spans="1:9" x14ac:dyDescent="0.25">
      <c r="A14153" s="515">
        <v>45883</v>
      </c>
      <c r="B14153" s="515" t="s">
        <v>432</v>
      </c>
      <c r="C14153" s="52">
        <v>326800.98681724799</v>
      </c>
      <c r="D14153" s="56">
        <v>5.6107803979535638E-2</v>
      </c>
      <c r="E14153" s="224" t="s">
        <v>2</v>
      </c>
      <c r="F14153" s="515" t="s">
        <v>15337</v>
      </c>
      <c r="G14153" s="52">
        <v>333645.62272774603</v>
      </c>
      <c r="H14153" s="56">
        <v>8.2903035803569003E-2</v>
      </c>
      <c r="I14153" s="224" t="s">
        <v>2</v>
      </c>
    </row>
    <row r="14154" spans="1:9" x14ac:dyDescent="0.25">
      <c r="A14154" s="515">
        <v>40051</v>
      </c>
      <c r="B14154" s="515" t="s">
        <v>866</v>
      </c>
      <c r="C14154" s="52">
        <v>178874.85752194701</v>
      </c>
      <c r="D14154" s="56">
        <v>0.10448762090567294</v>
      </c>
      <c r="E14154" s="224" t="s">
        <v>2</v>
      </c>
      <c r="F14154" s="515" t="s">
        <v>15338</v>
      </c>
      <c r="G14154" s="52">
        <v>120437.996432591</v>
      </c>
      <c r="H14154" s="56">
        <v>0.12566980209350517</v>
      </c>
      <c r="I14154" s="224" t="s">
        <v>2</v>
      </c>
    </row>
    <row r="14155" spans="1:9" x14ac:dyDescent="0.25">
      <c r="A14155" s="515">
        <v>54986</v>
      </c>
      <c r="B14155" s="515" t="s">
        <v>383</v>
      </c>
      <c r="C14155" s="52">
        <v>264958.47610269103</v>
      </c>
      <c r="D14155" s="56">
        <v>6.109837418274125E-2</v>
      </c>
      <c r="E14155" s="224" t="s">
        <v>2</v>
      </c>
      <c r="F14155" s="515" t="s">
        <v>15339</v>
      </c>
      <c r="G14155" s="52">
        <v>199696.62140276501</v>
      </c>
      <c r="H14155" s="56">
        <v>0.17344750920871926</v>
      </c>
      <c r="I14155" s="224" t="s">
        <v>2</v>
      </c>
    </row>
    <row r="14156" spans="1:9" x14ac:dyDescent="0.25">
      <c r="A14156" s="515">
        <v>54736</v>
      </c>
      <c r="C14156" s="52">
        <v>193739.09623132399</v>
      </c>
      <c r="D14156" s="56">
        <v>8.0239984919924595E-2</v>
      </c>
      <c r="E14156" s="224" t="s">
        <v>2</v>
      </c>
      <c r="F14156" s="515" t="s">
        <v>15340</v>
      </c>
      <c r="G14156" s="52">
        <v>108980.40398837801</v>
      </c>
      <c r="H14156" s="56">
        <v>1.6603476489307434E-2</v>
      </c>
      <c r="I14156" s="224" t="s">
        <v>2</v>
      </c>
    </row>
    <row r="14157" spans="1:9" x14ac:dyDescent="0.25">
      <c r="A14157" s="515">
        <v>48829</v>
      </c>
      <c r="B14157" s="515" t="s">
        <v>631</v>
      </c>
      <c r="C14157" s="52">
        <v>143075.01477166999</v>
      </c>
      <c r="D14157" s="56">
        <v>4.1751232564425513E-2</v>
      </c>
      <c r="E14157" s="224" t="s">
        <v>2</v>
      </c>
      <c r="F14157" s="515" t="s">
        <v>15341</v>
      </c>
      <c r="G14157" s="52">
        <v>651537.43096319295</v>
      </c>
      <c r="H14157" s="56">
        <v>-1.9896002405642428E-3</v>
      </c>
      <c r="I14157" s="224" t="s">
        <v>2</v>
      </c>
    </row>
    <row r="14158" spans="1:9" x14ac:dyDescent="0.25">
      <c r="A14158" s="515">
        <v>2032</v>
      </c>
      <c r="B14158" s="515" t="s">
        <v>534</v>
      </c>
      <c r="C14158" s="52">
        <v>657969.971521748</v>
      </c>
      <c r="D14158" s="56">
        <v>3.304765326864445E-2</v>
      </c>
      <c r="E14158" s="224" t="s">
        <v>2</v>
      </c>
      <c r="F14158" s="515" t="s">
        <v>15342</v>
      </c>
      <c r="G14158" s="52">
        <v>182863.784851907</v>
      </c>
      <c r="H14158" s="56">
        <v>6.7116656410283471E-2</v>
      </c>
      <c r="I14158" s="224" t="s">
        <v>2</v>
      </c>
    </row>
    <row r="14159" spans="1:9" x14ac:dyDescent="0.25">
      <c r="A14159" s="515">
        <v>1560</v>
      </c>
      <c r="B14159" s="515" t="s">
        <v>751</v>
      </c>
      <c r="C14159" s="52">
        <v>495901.59716332197</v>
      </c>
      <c r="D14159" s="56">
        <v>7.9980106611547405E-2</v>
      </c>
      <c r="E14159" s="224" t="s">
        <v>2</v>
      </c>
      <c r="F14159" s="515" t="s">
        <v>15343</v>
      </c>
      <c r="G14159" s="52">
        <v>112380.01629066899</v>
      </c>
      <c r="H14159" s="56">
        <v>-9.2391088514800435E-2</v>
      </c>
      <c r="I14159" s="224" t="s">
        <v>2</v>
      </c>
    </row>
    <row r="14160" spans="1:9" x14ac:dyDescent="0.25">
      <c r="A14160" s="515">
        <v>8560</v>
      </c>
      <c r="B14160" s="515" t="s">
        <v>938</v>
      </c>
      <c r="C14160" s="52">
        <v>512329.45896902401</v>
      </c>
      <c r="D14160" s="56">
        <v>6.7739410216250601E-2</v>
      </c>
      <c r="E14160" s="224" t="s">
        <v>2</v>
      </c>
      <c r="F14160" s="515" t="s">
        <v>15344</v>
      </c>
      <c r="G14160" s="52">
        <v>114294.751403834</v>
      </c>
      <c r="H14160" s="56">
        <v>0.14444008097893343</v>
      </c>
      <c r="I14160" s="224" t="s">
        <v>2</v>
      </c>
    </row>
    <row r="14161" spans="1:9" x14ac:dyDescent="0.25">
      <c r="A14161" s="515">
        <v>97818</v>
      </c>
      <c r="B14161" s="515" t="s">
        <v>733</v>
      </c>
      <c r="C14161" s="52">
        <v>313442.76915230701</v>
      </c>
      <c r="D14161" s="56">
        <v>5.1943469258702253E-2</v>
      </c>
      <c r="E14161" s="224" t="s">
        <v>2</v>
      </c>
      <c r="F14161" s="515" t="s">
        <v>15345</v>
      </c>
      <c r="G14161" s="52">
        <v>113745.751399505</v>
      </c>
      <c r="H14161" s="56">
        <v>5.4274395089005792E-2</v>
      </c>
      <c r="I14161" s="224" t="s">
        <v>2</v>
      </c>
    </row>
    <row r="14162" spans="1:9" x14ac:dyDescent="0.25">
      <c r="A14162" s="515">
        <v>65791</v>
      </c>
      <c r="C14162" s="52">
        <v>126153.44057100599</v>
      </c>
      <c r="D14162" s="56">
        <v>9.0032569725517098E-2</v>
      </c>
      <c r="E14162" s="224" t="s">
        <v>2</v>
      </c>
      <c r="F14162" s="515" t="s">
        <v>15346</v>
      </c>
      <c r="G14162" s="52">
        <v>89343.949366800807</v>
      </c>
      <c r="H14162" s="56">
        <v>0.12957616139724357</v>
      </c>
      <c r="I14162" s="224" t="s">
        <v>2</v>
      </c>
    </row>
    <row r="14163" spans="1:9" x14ac:dyDescent="0.25">
      <c r="A14163" s="515">
        <v>48023</v>
      </c>
      <c r="B14163" s="515" t="s">
        <v>685</v>
      </c>
      <c r="C14163" s="52">
        <v>291277.02021633799</v>
      </c>
      <c r="D14163" s="56">
        <v>2.2957305454100175E-2</v>
      </c>
      <c r="E14163" s="224" t="s">
        <v>2</v>
      </c>
      <c r="F14163" s="515" t="s">
        <v>15347</v>
      </c>
      <c r="G14163" s="52">
        <v>148842.75764497201</v>
      </c>
      <c r="H14163" s="56">
        <v>2.5846020374113293E-2</v>
      </c>
      <c r="I14163" s="224" t="s">
        <v>2</v>
      </c>
    </row>
    <row r="14164" spans="1:9" x14ac:dyDescent="0.25">
      <c r="A14164" s="515">
        <v>63102</v>
      </c>
      <c r="B14164" s="515" t="s">
        <v>498</v>
      </c>
      <c r="C14164" s="52">
        <v>150203.059967907</v>
      </c>
      <c r="D14164" s="56">
        <v>-0.10199307483238614</v>
      </c>
      <c r="E14164" s="224" t="s">
        <v>2</v>
      </c>
      <c r="F14164" s="515" t="s">
        <v>15348</v>
      </c>
      <c r="G14164" s="52">
        <v>109629.856693408</v>
      </c>
      <c r="H14164" s="56">
        <v>7.3814078818343551E-3</v>
      </c>
      <c r="I14164" s="224" t="s">
        <v>2</v>
      </c>
    </row>
    <row r="14165" spans="1:9" x14ac:dyDescent="0.25">
      <c r="A14165" s="515">
        <v>42721</v>
      </c>
      <c r="C14165" s="52">
        <v>138866.64929239801</v>
      </c>
      <c r="D14165" s="56">
        <v>0.10261979540764082</v>
      </c>
      <c r="E14165" s="224" t="s">
        <v>2</v>
      </c>
      <c r="F14165" s="515" t="s">
        <v>15349</v>
      </c>
      <c r="G14165" s="52">
        <v>124105.240419461</v>
      </c>
      <c r="H14165" s="56">
        <v>0.14667432981382719</v>
      </c>
      <c r="I14165" s="224" t="s">
        <v>2</v>
      </c>
    </row>
    <row r="14166" spans="1:9" x14ac:dyDescent="0.25">
      <c r="A14166" s="515">
        <v>49425</v>
      </c>
      <c r="B14166" s="515" t="s">
        <v>943</v>
      </c>
      <c r="C14166" s="52">
        <v>180351.15346290299</v>
      </c>
      <c r="D14166" s="56">
        <v>0.10035426572850085</v>
      </c>
      <c r="E14166" s="224" t="s">
        <v>2</v>
      </c>
      <c r="F14166" s="515" t="s">
        <v>15350</v>
      </c>
      <c r="G14166" s="52">
        <v>255425.71734435399</v>
      </c>
      <c r="H14166" s="56">
        <v>6.6264750957963081E-2</v>
      </c>
      <c r="I14166" s="224" t="s">
        <v>2</v>
      </c>
    </row>
    <row r="14167" spans="1:9" x14ac:dyDescent="0.25">
      <c r="A14167" s="515">
        <v>78373</v>
      </c>
      <c r="B14167" s="515" t="s">
        <v>415</v>
      </c>
      <c r="C14167" s="52">
        <v>541608.55419019097</v>
      </c>
      <c r="D14167" s="56">
        <v>0.16300610608187971</v>
      </c>
      <c r="E14167" s="224" t="s">
        <v>2</v>
      </c>
      <c r="F14167" s="515" t="s">
        <v>15351</v>
      </c>
      <c r="G14167" s="52">
        <v>274689.22807017498</v>
      </c>
      <c r="H14167" s="56">
        <v>0</v>
      </c>
      <c r="I14167" s="224" t="s">
        <v>2</v>
      </c>
    </row>
    <row r="14168" spans="1:9" x14ac:dyDescent="0.25">
      <c r="A14168" s="515">
        <v>26601</v>
      </c>
      <c r="C14168" s="52">
        <v>118605.291033652</v>
      </c>
      <c r="D14168" s="56">
        <v>0.15717493381005654</v>
      </c>
      <c r="E14168" s="224" t="s">
        <v>2</v>
      </c>
      <c r="F14168" s="515" t="s">
        <v>15352</v>
      </c>
      <c r="G14168" s="52">
        <v>620016.703202356</v>
      </c>
      <c r="H14168" s="56">
        <v>5.8084689616478155E-2</v>
      </c>
      <c r="I14168" s="224" t="s">
        <v>2</v>
      </c>
    </row>
    <row r="14169" spans="1:9" x14ac:dyDescent="0.25">
      <c r="A14169" s="515">
        <v>54448</v>
      </c>
      <c r="B14169" s="515" t="s">
        <v>940</v>
      </c>
      <c r="C14169" s="52">
        <v>224488.98324965101</v>
      </c>
      <c r="D14169" s="56">
        <v>1.3381711762905245E-2</v>
      </c>
      <c r="E14169" s="224" t="s">
        <v>2</v>
      </c>
      <c r="F14169" s="515" t="s">
        <v>15353</v>
      </c>
      <c r="G14169" s="52">
        <v>169586.51136423199</v>
      </c>
      <c r="H14169" s="56">
        <v>3.7234517070270992E-2</v>
      </c>
      <c r="I14169" s="224" t="s">
        <v>2</v>
      </c>
    </row>
    <row r="14170" spans="1:9" x14ac:dyDescent="0.25">
      <c r="A14170" s="515">
        <v>48637</v>
      </c>
      <c r="B14170" s="515" t="s">
        <v>904</v>
      </c>
      <c r="C14170" s="52">
        <v>150191.41942645001</v>
      </c>
      <c r="D14170" s="56">
        <v>8.1830778457196995E-2</v>
      </c>
      <c r="E14170" s="224" t="s">
        <v>2</v>
      </c>
      <c r="F14170" s="515" t="s">
        <v>15354</v>
      </c>
      <c r="G14170" s="52">
        <v>314865.23527579999</v>
      </c>
      <c r="H14170" s="56">
        <v>2.2072436671153391E-2</v>
      </c>
      <c r="I14170" s="224" t="s">
        <v>2</v>
      </c>
    </row>
    <row r="14171" spans="1:9" x14ac:dyDescent="0.25">
      <c r="A14171" s="515">
        <v>13329</v>
      </c>
      <c r="B14171" s="515" t="s">
        <v>744</v>
      </c>
      <c r="C14171" s="52">
        <v>120600.472419816</v>
      </c>
      <c r="D14171" s="56">
        <v>0.16724489487171598</v>
      </c>
      <c r="E14171" s="224" t="s">
        <v>2</v>
      </c>
      <c r="F14171" s="515" t="s">
        <v>15355</v>
      </c>
      <c r="G14171" s="52">
        <v>235895.35246170399</v>
      </c>
      <c r="H14171" s="56">
        <v>0.13054485151289294</v>
      </c>
      <c r="I14171" s="224" t="s">
        <v>2</v>
      </c>
    </row>
    <row r="14172" spans="1:9" x14ac:dyDescent="0.25">
      <c r="A14172" s="515">
        <v>1373</v>
      </c>
      <c r="B14172" s="515" t="s">
        <v>575</v>
      </c>
      <c r="C14172" s="52">
        <v>370418.582045294</v>
      </c>
      <c r="D14172" s="56">
        <v>6.3490806425157656E-2</v>
      </c>
      <c r="E14172" s="224" t="s">
        <v>2</v>
      </c>
      <c r="F14172" s="515" t="s">
        <v>15356</v>
      </c>
      <c r="G14172" s="52">
        <v>137951.27152541399</v>
      </c>
      <c r="H14172" s="56">
        <v>4.6099415969928885E-2</v>
      </c>
      <c r="I14172" s="224" t="s">
        <v>2</v>
      </c>
    </row>
    <row r="14173" spans="1:9" x14ac:dyDescent="0.25">
      <c r="A14173" s="515">
        <v>97148</v>
      </c>
      <c r="B14173" s="515" t="s">
        <v>659</v>
      </c>
      <c r="C14173" s="52">
        <v>606119.46561161999</v>
      </c>
      <c r="D14173" s="56">
        <v>1.8010867499992853E-2</v>
      </c>
      <c r="E14173" s="224" t="s">
        <v>2</v>
      </c>
      <c r="F14173" s="515" t="s">
        <v>15357</v>
      </c>
      <c r="G14173" s="52">
        <v>749185.99328858999</v>
      </c>
      <c r="H14173" s="56">
        <v>0</v>
      </c>
      <c r="I14173" s="224" t="s">
        <v>2</v>
      </c>
    </row>
    <row r="14174" spans="1:9" x14ac:dyDescent="0.25">
      <c r="A14174" s="515">
        <v>30147</v>
      </c>
      <c r="B14174" s="515" t="s">
        <v>1138</v>
      </c>
      <c r="C14174" s="52">
        <v>165115.09353288799</v>
      </c>
      <c r="D14174" s="56">
        <v>9.6551973139307509E-2</v>
      </c>
      <c r="E14174" s="224" t="s">
        <v>2</v>
      </c>
      <c r="F14174" s="515" t="s">
        <v>15358</v>
      </c>
      <c r="G14174" s="52">
        <v>97356.589256960797</v>
      </c>
      <c r="H14174" s="56">
        <v>0.13556222783549005</v>
      </c>
      <c r="I14174" s="224" t="s">
        <v>2</v>
      </c>
    </row>
    <row r="14175" spans="1:9" x14ac:dyDescent="0.25">
      <c r="A14175" s="515">
        <v>63673</v>
      </c>
      <c r="C14175" s="52">
        <v>199327.26118499701</v>
      </c>
      <c r="D14175" s="56">
        <v>7.4581088957186278E-2</v>
      </c>
      <c r="E14175" s="224" t="s">
        <v>2</v>
      </c>
      <c r="F14175" s="515" t="s">
        <v>15359</v>
      </c>
      <c r="G14175" s="52">
        <v>136559.64076623801</v>
      </c>
      <c r="H14175" s="56">
        <v>-6.9198482076892522E-3</v>
      </c>
      <c r="I14175" s="224" t="s">
        <v>2</v>
      </c>
    </row>
    <row r="14176" spans="1:9" x14ac:dyDescent="0.25">
      <c r="A14176" s="515">
        <v>3034</v>
      </c>
      <c r="B14176" s="515" t="s">
        <v>534</v>
      </c>
      <c r="C14176" s="52">
        <v>466981.27459589002</v>
      </c>
      <c r="D14176" s="56">
        <v>0.10578995479428986</v>
      </c>
      <c r="E14176" s="224" t="s">
        <v>2</v>
      </c>
      <c r="F14176" s="515" t="s">
        <v>15360</v>
      </c>
      <c r="G14176" s="52">
        <v>126802.30379729001</v>
      </c>
      <c r="H14176" s="56">
        <v>3.9067997890063058E-2</v>
      </c>
      <c r="I14176" s="224" t="s">
        <v>2</v>
      </c>
    </row>
    <row r="14177" spans="1:9" x14ac:dyDescent="0.25">
      <c r="A14177" s="515">
        <v>44264</v>
      </c>
      <c r="B14177" s="515" t="s">
        <v>1000</v>
      </c>
      <c r="C14177" s="52">
        <v>354836.09438666102</v>
      </c>
      <c r="D14177" s="56">
        <v>5.2654415801294589E-2</v>
      </c>
      <c r="E14177" s="224" t="s">
        <v>2</v>
      </c>
      <c r="F14177" s="515" t="s">
        <v>15361</v>
      </c>
      <c r="G14177" s="52">
        <v>105744.44625616301</v>
      </c>
      <c r="H14177" s="56">
        <v>0.12381015135078412</v>
      </c>
      <c r="I14177" s="224" t="s">
        <v>2</v>
      </c>
    </row>
    <row r="14178" spans="1:9" x14ac:dyDescent="0.25">
      <c r="A14178" s="515">
        <v>48441</v>
      </c>
      <c r="C14178" s="52">
        <v>145687.622523269</v>
      </c>
      <c r="D14178" s="56">
        <v>3.3734503487542644E-2</v>
      </c>
      <c r="E14178" s="224" t="s">
        <v>2</v>
      </c>
      <c r="F14178" s="515" t="s">
        <v>15362</v>
      </c>
      <c r="G14178" s="52">
        <v>142627.541682685</v>
      </c>
      <c r="H14178" s="56">
        <v>-4.1319349548868976E-2</v>
      </c>
      <c r="I14178" s="224" t="s">
        <v>2</v>
      </c>
    </row>
    <row r="14179" spans="1:9" x14ac:dyDescent="0.25">
      <c r="A14179" s="515">
        <v>35592</v>
      </c>
      <c r="C14179" s="52">
        <v>113165.38136242901</v>
      </c>
      <c r="D14179" s="56">
        <v>1.0554078733078686E-2</v>
      </c>
      <c r="E14179" s="224" t="s">
        <v>2</v>
      </c>
      <c r="F14179" s="515" t="s">
        <v>15363</v>
      </c>
      <c r="G14179" s="52">
        <v>172280.86530924801</v>
      </c>
      <c r="H14179" s="56">
        <v>5.4514142738512607E-2</v>
      </c>
      <c r="I14179" s="224" t="s">
        <v>2</v>
      </c>
    </row>
    <row r="14180" spans="1:9" x14ac:dyDescent="0.25">
      <c r="A14180" s="515">
        <v>12122</v>
      </c>
      <c r="B14180" s="515" t="s">
        <v>609</v>
      </c>
      <c r="C14180" s="52">
        <v>188278.50569406399</v>
      </c>
      <c r="D14180" s="56">
        <v>0.11736098603775827</v>
      </c>
      <c r="E14180" s="224" t="s">
        <v>2</v>
      </c>
      <c r="F14180" s="515" t="s">
        <v>15364</v>
      </c>
      <c r="G14180" s="52">
        <v>211082.19516266501</v>
      </c>
      <c r="H14180" s="56">
        <v>0.16835426273306242</v>
      </c>
      <c r="I14180" s="224" t="s">
        <v>2</v>
      </c>
    </row>
    <row r="14181" spans="1:9" x14ac:dyDescent="0.25">
      <c r="A14181" s="515">
        <v>81252</v>
      </c>
      <c r="C14181" s="52">
        <v>389213.48012600897</v>
      </c>
      <c r="D14181" s="56">
        <v>8.191755342496293E-2</v>
      </c>
      <c r="E14181" s="224" t="s">
        <v>2</v>
      </c>
      <c r="F14181" s="515" t="s">
        <v>15365</v>
      </c>
      <c r="G14181" s="52">
        <v>412207.74748903501</v>
      </c>
      <c r="H14181" s="56">
        <v>6.7862646877411045E-2</v>
      </c>
      <c r="I14181" s="224" t="s">
        <v>2</v>
      </c>
    </row>
    <row r="14182" spans="1:9" x14ac:dyDescent="0.25">
      <c r="A14182" s="515">
        <v>5743</v>
      </c>
      <c r="B14182" s="515" t="s">
        <v>791</v>
      </c>
      <c r="C14182" s="52">
        <v>225153.886509637</v>
      </c>
      <c r="D14182" s="56">
        <v>7.5907613946221975E-2</v>
      </c>
      <c r="E14182" s="224" t="s">
        <v>2</v>
      </c>
      <c r="F14182" s="515" t="s">
        <v>15366</v>
      </c>
      <c r="G14182" s="52">
        <v>227736.140349744</v>
      </c>
      <c r="H14182" s="56">
        <v>0.11475048647546646</v>
      </c>
      <c r="I14182" s="224" t="s">
        <v>2</v>
      </c>
    </row>
    <row r="14183" spans="1:9" x14ac:dyDescent="0.25">
      <c r="A14183" s="515">
        <v>36560</v>
      </c>
      <c r="B14183" s="515" t="s">
        <v>815</v>
      </c>
      <c r="C14183" s="52">
        <v>96281.648518368704</v>
      </c>
      <c r="D14183" s="56">
        <v>8.0395517925858112E-2</v>
      </c>
      <c r="E14183" s="224" t="s">
        <v>2</v>
      </c>
      <c r="F14183" s="515" t="s">
        <v>15367</v>
      </c>
      <c r="G14183" s="52">
        <v>310647.56806548702</v>
      </c>
      <c r="H14183" s="56">
        <v>5.6273541446011537E-2</v>
      </c>
      <c r="I14183" s="224" t="s">
        <v>2</v>
      </c>
    </row>
    <row r="14184" spans="1:9" x14ac:dyDescent="0.25">
      <c r="A14184" s="515">
        <v>37880</v>
      </c>
      <c r="B14184" s="515" t="s">
        <v>907</v>
      </c>
      <c r="C14184" s="52">
        <v>321224.42949118</v>
      </c>
      <c r="D14184" s="56">
        <v>6.5943960970296367E-2</v>
      </c>
      <c r="E14184" s="224" t="s">
        <v>2</v>
      </c>
      <c r="F14184" s="515" t="s">
        <v>15368</v>
      </c>
      <c r="G14184" s="52">
        <v>95675.187905510596</v>
      </c>
      <c r="H14184" s="56">
        <v>9.7828279175223645E-2</v>
      </c>
      <c r="I14184" s="224" t="s">
        <v>2</v>
      </c>
    </row>
    <row r="14185" spans="1:9" x14ac:dyDescent="0.25">
      <c r="A14185" s="515">
        <v>64105</v>
      </c>
      <c r="B14185" s="515" t="s">
        <v>455</v>
      </c>
      <c r="C14185" s="52">
        <v>171049.62184304299</v>
      </c>
      <c r="D14185" s="56">
        <v>6.1328355519319755E-2</v>
      </c>
      <c r="E14185" s="224">
        <v>1562.24444444444</v>
      </c>
      <c r="F14185" s="515" t="s">
        <v>15369</v>
      </c>
      <c r="G14185" s="52">
        <v>107097.12909067101</v>
      </c>
      <c r="H14185" s="56">
        <v>7.1160907769283299E-2</v>
      </c>
      <c r="I14185" s="224" t="s">
        <v>2</v>
      </c>
    </row>
    <row r="14186" spans="1:9" x14ac:dyDescent="0.25">
      <c r="A14186" s="515">
        <v>70788</v>
      </c>
      <c r="B14186" s="515" t="s">
        <v>610</v>
      </c>
      <c r="C14186" s="52">
        <v>95449.248297066006</v>
      </c>
      <c r="D14186" s="56">
        <v>4.1563964143887078E-2</v>
      </c>
      <c r="E14186" s="224" t="s">
        <v>2</v>
      </c>
      <c r="F14186" s="515" t="s">
        <v>15370</v>
      </c>
      <c r="G14186" s="52">
        <v>990834.79040238704</v>
      </c>
      <c r="H14186" s="56">
        <v>0.1625821666208527</v>
      </c>
      <c r="I14186" s="224" t="s">
        <v>2</v>
      </c>
    </row>
    <row r="14187" spans="1:9" x14ac:dyDescent="0.25">
      <c r="A14187" s="515">
        <v>3884</v>
      </c>
      <c r="B14187" s="515" t="s">
        <v>534</v>
      </c>
      <c r="C14187" s="52">
        <v>430363.29626173899</v>
      </c>
      <c r="D14187" s="56">
        <v>0.18092770646133699</v>
      </c>
      <c r="E14187" s="224" t="s">
        <v>2</v>
      </c>
      <c r="F14187" s="515" t="s">
        <v>15371</v>
      </c>
      <c r="G14187" s="52">
        <v>189681.403759968</v>
      </c>
      <c r="H14187" s="56">
        <v>0.10551248909792475</v>
      </c>
      <c r="I14187" s="224" t="s">
        <v>2</v>
      </c>
    </row>
    <row r="14188" spans="1:9" x14ac:dyDescent="0.25">
      <c r="A14188" s="515">
        <v>63456</v>
      </c>
      <c r="B14188" s="515" t="s">
        <v>867</v>
      </c>
      <c r="C14188" s="52">
        <v>152865.97278623201</v>
      </c>
      <c r="D14188" s="56">
        <v>5.2698985949190869E-2</v>
      </c>
      <c r="E14188" s="224" t="s">
        <v>2</v>
      </c>
      <c r="F14188" s="515" t="s">
        <v>15372</v>
      </c>
      <c r="G14188" s="52">
        <v>372499.80610916001</v>
      </c>
      <c r="H14188" s="56">
        <v>4.9010775899891119E-2</v>
      </c>
      <c r="I14188" s="224" t="s">
        <v>2</v>
      </c>
    </row>
    <row r="14189" spans="1:9" x14ac:dyDescent="0.25">
      <c r="A14189" s="515">
        <v>18421</v>
      </c>
      <c r="C14189" s="52">
        <v>156580.44486280999</v>
      </c>
      <c r="D14189" s="56">
        <v>9.9008092772269476E-2</v>
      </c>
      <c r="E14189" s="224" t="s">
        <v>2</v>
      </c>
      <c r="F14189" s="515" t="s">
        <v>15373</v>
      </c>
      <c r="G14189" s="52">
        <v>395668.23593799502</v>
      </c>
      <c r="H14189" s="56">
        <v>5.1317066424060087E-2</v>
      </c>
      <c r="I14189" s="224" t="s">
        <v>2</v>
      </c>
    </row>
    <row r="14190" spans="1:9" x14ac:dyDescent="0.25">
      <c r="A14190" s="515">
        <v>42450</v>
      </c>
      <c r="C14190" s="52">
        <v>70171.882557837802</v>
      </c>
      <c r="D14190" s="56">
        <v>0.2878109726837057</v>
      </c>
      <c r="E14190" s="224" t="s">
        <v>2</v>
      </c>
      <c r="F14190" s="515" t="s">
        <v>15374</v>
      </c>
      <c r="G14190" s="52">
        <v>552206.18753279699</v>
      </c>
      <c r="H14190" s="56">
        <v>8.0870369395381614E-2</v>
      </c>
      <c r="I14190" s="224" t="s">
        <v>2</v>
      </c>
    </row>
    <row r="14191" spans="1:9" x14ac:dyDescent="0.25">
      <c r="A14191" s="515">
        <v>47143</v>
      </c>
      <c r="B14191" s="515" t="s">
        <v>479</v>
      </c>
      <c r="C14191" s="52">
        <v>264648.96682950499</v>
      </c>
      <c r="D14191" s="56">
        <v>4.4223580050315417E-2</v>
      </c>
      <c r="E14191" s="224" t="s">
        <v>2</v>
      </c>
      <c r="F14191" s="515" t="s">
        <v>15375</v>
      </c>
      <c r="G14191" s="52">
        <v>358320.00867465301</v>
      </c>
      <c r="H14191" s="56">
        <v>4.0246499176348614E-2</v>
      </c>
      <c r="I14191" s="224" t="s">
        <v>2</v>
      </c>
    </row>
    <row r="14192" spans="1:9" x14ac:dyDescent="0.25">
      <c r="A14192" s="515">
        <v>90021</v>
      </c>
      <c r="B14192" s="515" t="s">
        <v>375</v>
      </c>
      <c r="C14192" s="52">
        <v>886272.636661964</v>
      </c>
      <c r="D14192" s="56">
        <v>5.8073562092327887E-3</v>
      </c>
      <c r="E14192" s="224">
        <v>3001.2777777777701</v>
      </c>
      <c r="F14192" s="515" t="s">
        <v>15376</v>
      </c>
      <c r="G14192" s="52">
        <v>96353.807644764194</v>
      </c>
      <c r="H14192" s="56">
        <v>4.4639792222711409E-2</v>
      </c>
      <c r="I14192" s="224" t="s">
        <v>2</v>
      </c>
    </row>
    <row r="14193" spans="1:9" x14ac:dyDescent="0.25">
      <c r="A14193" s="515">
        <v>49633</v>
      </c>
      <c r="B14193" s="515" t="s">
        <v>366</v>
      </c>
      <c r="C14193" s="52">
        <v>179412.08127127</v>
      </c>
      <c r="D14193" s="56">
        <v>6.190491690881441E-2</v>
      </c>
      <c r="E14193" s="224" t="s">
        <v>2</v>
      </c>
      <c r="F14193" s="515" t="s">
        <v>15377</v>
      </c>
      <c r="G14193" s="52">
        <v>289048.56221561902</v>
      </c>
      <c r="H14193" s="56">
        <v>6.3000770514803059E-2</v>
      </c>
      <c r="I14193" s="224" t="s">
        <v>2</v>
      </c>
    </row>
    <row r="14194" spans="1:9" x14ac:dyDescent="0.25">
      <c r="A14194" s="515">
        <v>54634</v>
      </c>
      <c r="C14194" s="52">
        <v>158019.79348865501</v>
      </c>
      <c r="D14194" s="56">
        <v>4.516102788209414E-2</v>
      </c>
      <c r="E14194" s="224" t="s">
        <v>2</v>
      </c>
      <c r="F14194" s="515" t="s">
        <v>15378</v>
      </c>
      <c r="G14194" s="52">
        <v>297122.79396340298</v>
      </c>
      <c r="H14194" s="56">
        <v>6.0411249659650966E-2</v>
      </c>
      <c r="I14194" s="224" t="s">
        <v>2</v>
      </c>
    </row>
    <row r="14195" spans="1:9" x14ac:dyDescent="0.25">
      <c r="A14195" s="515">
        <v>29704</v>
      </c>
      <c r="B14195" s="515" t="s">
        <v>360</v>
      </c>
      <c r="C14195" s="52">
        <v>272274.83365241397</v>
      </c>
      <c r="D14195" s="56">
        <v>7.7976372313387249E-2</v>
      </c>
      <c r="E14195" s="224" t="s">
        <v>2</v>
      </c>
      <c r="F14195" s="515" t="s">
        <v>15379</v>
      </c>
      <c r="G14195" s="52">
        <v>164560.83954405299</v>
      </c>
      <c r="H14195" s="56">
        <v>1.9224058630643647E-2</v>
      </c>
      <c r="I14195" s="224" t="s">
        <v>2</v>
      </c>
    </row>
    <row r="14196" spans="1:9" x14ac:dyDescent="0.25">
      <c r="A14196" s="515">
        <v>98935</v>
      </c>
      <c r="B14196" s="515" t="s">
        <v>948</v>
      </c>
      <c r="C14196" s="52">
        <v>237270.81968992401</v>
      </c>
      <c r="D14196" s="56">
        <v>8.486202036502842E-2</v>
      </c>
      <c r="E14196" s="224" t="s">
        <v>2</v>
      </c>
      <c r="F14196" s="515" t="s">
        <v>15380</v>
      </c>
      <c r="G14196" s="52">
        <v>206429.873879366</v>
      </c>
      <c r="H14196" s="56">
        <v>6.543685913576569E-2</v>
      </c>
      <c r="I14196" s="224" t="s">
        <v>2</v>
      </c>
    </row>
    <row r="14197" spans="1:9" x14ac:dyDescent="0.25">
      <c r="A14197" s="515">
        <v>28338</v>
      </c>
      <c r="B14197" s="515" t="s">
        <v>535</v>
      </c>
      <c r="C14197" s="52">
        <v>114789.127911587</v>
      </c>
      <c r="D14197" s="56">
        <v>8.4661293637068522E-2</v>
      </c>
      <c r="E14197" s="224" t="s">
        <v>2</v>
      </c>
      <c r="F14197" s="515" t="s">
        <v>15381</v>
      </c>
      <c r="G14197" s="52">
        <v>115534.466051303</v>
      </c>
      <c r="H14197" s="56">
        <v>4.7553634276153646E-2</v>
      </c>
      <c r="I14197" s="224" t="s">
        <v>2</v>
      </c>
    </row>
    <row r="14198" spans="1:9" x14ac:dyDescent="0.25">
      <c r="A14198" s="515">
        <v>61776</v>
      </c>
      <c r="B14198" s="515" t="s">
        <v>645</v>
      </c>
      <c r="C14198" s="52">
        <v>215526.60985344401</v>
      </c>
      <c r="D14198" s="56">
        <v>7.7976239967169431E-2</v>
      </c>
      <c r="E14198" s="224" t="s">
        <v>2</v>
      </c>
      <c r="F14198" s="515" t="s">
        <v>15382</v>
      </c>
      <c r="G14198" s="52">
        <v>341134.75211872801</v>
      </c>
      <c r="H14198" s="56">
        <v>9.2500884385085511E-2</v>
      </c>
      <c r="I14198" s="224" t="s">
        <v>2</v>
      </c>
    </row>
    <row r="14199" spans="1:9" x14ac:dyDescent="0.25">
      <c r="A14199" s="515">
        <v>55415</v>
      </c>
      <c r="B14199" s="515" t="s">
        <v>532</v>
      </c>
      <c r="C14199" s="52">
        <v>444212.08185386099</v>
      </c>
      <c r="D14199" s="56">
        <v>-1.5801793494081885E-2</v>
      </c>
      <c r="E14199" s="224">
        <v>2055.7136752136698</v>
      </c>
      <c r="F14199" s="515" t="s">
        <v>15383</v>
      </c>
      <c r="G14199" s="52">
        <v>479050.39793483098</v>
      </c>
      <c r="H14199" s="56">
        <v>0.10053966268871212</v>
      </c>
      <c r="I14199" s="224" t="s">
        <v>2</v>
      </c>
    </row>
    <row r="14200" spans="1:9" x14ac:dyDescent="0.25">
      <c r="A14200" s="515">
        <v>45323</v>
      </c>
      <c r="B14200" s="515" t="s">
        <v>398</v>
      </c>
      <c r="C14200" s="52">
        <v>195344.792578464</v>
      </c>
      <c r="D14200" s="56">
        <v>6.9719369329842684E-2</v>
      </c>
      <c r="E14200" s="224" t="s">
        <v>2</v>
      </c>
      <c r="F14200" s="515" t="s">
        <v>15384</v>
      </c>
      <c r="G14200" s="52">
        <v>113167.72754891199</v>
      </c>
      <c r="H14200" s="56">
        <v>0.14424018484468779</v>
      </c>
      <c r="I14200" s="224" t="s">
        <v>2</v>
      </c>
    </row>
    <row r="14201" spans="1:9" x14ac:dyDescent="0.25">
      <c r="A14201" s="515">
        <v>76066</v>
      </c>
      <c r="B14201" s="515" t="s">
        <v>458</v>
      </c>
      <c r="C14201" s="52">
        <v>409593.11553212599</v>
      </c>
      <c r="D14201" s="56">
        <v>-1.8533659549294739E-2</v>
      </c>
      <c r="E14201" s="224" t="s">
        <v>2</v>
      </c>
      <c r="F14201" s="515" t="s">
        <v>15385</v>
      </c>
      <c r="G14201" s="52">
        <v>172061.75618709801</v>
      </c>
      <c r="H14201" s="56">
        <v>8.3652072973085773E-2</v>
      </c>
      <c r="I14201" s="224" t="s">
        <v>2</v>
      </c>
    </row>
    <row r="14202" spans="1:9" x14ac:dyDescent="0.25">
      <c r="A14202" s="515">
        <v>39641</v>
      </c>
      <c r="C14202" s="52">
        <v>130927.21633891101</v>
      </c>
      <c r="D14202" s="56">
        <v>-2.9423835011397989E-2</v>
      </c>
      <c r="E14202" s="224" t="s">
        <v>2</v>
      </c>
      <c r="F14202" s="515" t="s">
        <v>15386</v>
      </c>
      <c r="G14202" s="52">
        <v>134539.25763708801</v>
      </c>
      <c r="H14202" s="56">
        <v>0.13597231746712615</v>
      </c>
      <c r="I14202" s="224" t="s">
        <v>2</v>
      </c>
    </row>
    <row r="14203" spans="1:9" x14ac:dyDescent="0.25">
      <c r="A14203" s="515">
        <v>53032</v>
      </c>
      <c r="B14203" s="515" t="s">
        <v>955</v>
      </c>
      <c r="C14203" s="52">
        <v>200271.60889644199</v>
      </c>
      <c r="D14203" s="56">
        <v>7.8027738165223584E-2</v>
      </c>
      <c r="E14203" s="224" t="s">
        <v>2</v>
      </c>
      <c r="F14203" s="515" t="s">
        <v>15387</v>
      </c>
      <c r="G14203" s="52">
        <v>292542.62400082097</v>
      </c>
      <c r="H14203" s="56">
        <v>9.8693017745025036E-2</v>
      </c>
      <c r="I14203" s="224" t="s">
        <v>2</v>
      </c>
    </row>
    <row r="14204" spans="1:9" x14ac:dyDescent="0.25">
      <c r="A14204" s="515">
        <v>83655</v>
      </c>
      <c r="B14204" s="515" t="s">
        <v>825</v>
      </c>
      <c r="C14204" s="52">
        <v>418651.485699196</v>
      </c>
      <c r="D14204" s="56">
        <v>2.0924316650696283E-2</v>
      </c>
      <c r="E14204" s="224" t="s">
        <v>2</v>
      </c>
      <c r="F14204" s="515" t="s">
        <v>15388</v>
      </c>
      <c r="G14204" s="52">
        <v>257546.49831950801</v>
      </c>
      <c r="H14204" s="56">
        <v>5.3482235861895461E-2</v>
      </c>
      <c r="I14204" s="224" t="s">
        <v>2</v>
      </c>
    </row>
    <row r="14205" spans="1:9" x14ac:dyDescent="0.25">
      <c r="A14205" s="515">
        <v>44003</v>
      </c>
      <c r="B14205" s="515" t="s">
        <v>592</v>
      </c>
      <c r="C14205" s="52">
        <v>146190.339223635</v>
      </c>
      <c r="D14205" s="56">
        <v>0.10979557795734894</v>
      </c>
      <c r="E14205" s="224" t="s">
        <v>2</v>
      </c>
      <c r="F14205" s="515" t="s">
        <v>15389</v>
      </c>
      <c r="G14205" s="52">
        <v>174010.137465404</v>
      </c>
      <c r="H14205" s="56">
        <v>5.1917570017807176E-2</v>
      </c>
      <c r="I14205" s="224" t="s">
        <v>2</v>
      </c>
    </row>
    <row r="14206" spans="1:9" x14ac:dyDescent="0.25">
      <c r="A14206" s="515">
        <v>44127</v>
      </c>
      <c r="B14206" s="515" t="s">
        <v>520</v>
      </c>
      <c r="C14206" s="52">
        <v>47012.866341205299</v>
      </c>
      <c r="D14206" s="56">
        <v>0.16139776831731842</v>
      </c>
      <c r="E14206" s="224" t="s">
        <v>2</v>
      </c>
      <c r="F14206" s="515" t="s">
        <v>15390</v>
      </c>
      <c r="G14206" s="52">
        <v>225777.95925756</v>
      </c>
      <c r="H14206" s="56">
        <v>5.6971197057328005E-2</v>
      </c>
      <c r="I14206" s="224" t="s">
        <v>2</v>
      </c>
    </row>
    <row r="14207" spans="1:9" x14ac:dyDescent="0.25">
      <c r="A14207" s="515">
        <v>21710</v>
      </c>
      <c r="B14207" s="515" t="s">
        <v>321</v>
      </c>
      <c r="C14207" s="52">
        <v>591223.78607128002</v>
      </c>
      <c r="D14207" s="56">
        <v>5.5010773559170181E-2</v>
      </c>
      <c r="E14207" s="224" t="s">
        <v>2</v>
      </c>
      <c r="F14207" s="515" t="s">
        <v>15391</v>
      </c>
      <c r="G14207" s="52">
        <v>630313.92514752503</v>
      </c>
      <c r="H14207" s="56">
        <v>5.3188010149914679E-2</v>
      </c>
      <c r="I14207" s="224" t="s">
        <v>2</v>
      </c>
    </row>
    <row r="14208" spans="1:9" x14ac:dyDescent="0.25">
      <c r="A14208" s="515">
        <v>12594</v>
      </c>
      <c r="B14208" s="515" t="s">
        <v>529</v>
      </c>
      <c r="C14208" s="52">
        <v>338243.15804486</v>
      </c>
      <c r="D14208" s="56">
        <v>6.7497133719713776E-2</v>
      </c>
      <c r="E14208" s="224" t="s">
        <v>2</v>
      </c>
      <c r="F14208" s="515" t="s">
        <v>15392</v>
      </c>
      <c r="G14208" s="52">
        <v>104244.99803455699</v>
      </c>
      <c r="H14208" s="56">
        <v>7.74027234399014E-2</v>
      </c>
      <c r="I14208" s="224" t="s">
        <v>2</v>
      </c>
    </row>
    <row r="14209" spans="1:9" x14ac:dyDescent="0.25">
      <c r="A14209" s="515">
        <v>61738</v>
      </c>
      <c r="B14209" s="515" t="s">
        <v>303</v>
      </c>
      <c r="C14209" s="52">
        <v>162412.138415297</v>
      </c>
      <c r="D14209" s="56">
        <v>6.4333480755616942E-2</v>
      </c>
      <c r="E14209" s="224" t="s">
        <v>2</v>
      </c>
      <c r="F14209" s="515" t="s">
        <v>15393</v>
      </c>
      <c r="G14209" s="52">
        <v>192306.69901859501</v>
      </c>
      <c r="H14209" s="56">
        <v>0.11254456807099193</v>
      </c>
      <c r="I14209" s="224" t="s">
        <v>2</v>
      </c>
    </row>
    <row r="14210" spans="1:9" x14ac:dyDescent="0.25">
      <c r="A14210" s="515">
        <v>78595</v>
      </c>
      <c r="B14210" s="515" t="s">
        <v>550</v>
      </c>
      <c r="C14210" s="52">
        <v>111192.670516443</v>
      </c>
      <c r="D14210" s="56">
        <v>0.25489432671011641</v>
      </c>
      <c r="E14210" s="224" t="s">
        <v>2</v>
      </c>
      <c r="F14210" s="515" t="s">
        <v>15394</v>
      </c>
      <c r="G14210" s="52">
        <v>117166.783248839</v>
      </c>
      <c r="H14210" s="56">
        <v>1.1741597617795992E-3</v>
      </c>
      <c r="I14210" s="224" t="s">
        <v>2</v>
      </c>
    </row>
    <row r="14211" spans="1:9" x14ac:dyDescent="0.25">
      <c r="A14211" s="515">
        <v>49128</v>
      </c>
      <c r="B14211" s="515" t="s">
        <v>698</v>
      </c>
      <c r="C14211" s="52">
        <v>284223.89251799701</v>
      </c>
      <c r="D14211" s="56">
        <v>6.9001465464755496E-2</v>
      </c>
      <c r="E14211" s="224" t="s">
        <v>2</v>
      </c>
      <c r="F14211" s="515" t="s">
        <v>15395</v>
      </c>
      <c r="G14211" s="52"/>
      <c r="H14211" s="56">
        <v>0</v>
      </c>
      <c r="I14211" s="224" t="s">
        <v>2</v>
      </c>
    </row>
    <row r="14212" spans="1:9" x14ac:dyDescent="0.25">
      <c r="A14212" s="515">
        <v>3851</v>
      </c>
      <c r="B14212" s="515" t="s">
        <v>534</v>
      </c>
      <c r="C14212" s="52">
        <v>357959.873200403</v>
      </c>
      <c r="D14212" s="56">
        <v>0.12589051259203421</v>
      </c>
      <c r="E14212" s="224" t="s">
        <v>2</v>
      </c>
      <c r="F14212" s="515" t="s">
        <v>15396</v>
      </c>
      <c r="G14212" s="52">
        <v>285992.67420362099</v>
      </c>
      <c r="H14212" s="56">
        <v>4.5607292158670799E-2</v>
      </c>
      <c r="I14212" s="224" t="s">
        <v>2</v>
      </c>
    </row>
    <row r="14213" spans="1:9" x14ac:dyDescent="0.25">
      <c r="A14213" s="515">
        <v>97385</v>
      </c>
      <c r="B14213" s="515" t="s">
        <v>416</v>
      </c>
      <c r="C14213" s="52">
        <v>515759.05880239198</v>
      </c>
      <c r="D14213" s="56">
        <v>4.3835200573411184E-2</v>
      </c>
      <c r="E14213" s="224" t="s">
        <v>2</v>
      </c>
      <c r="F14213" s="515" t="s">
        <v>15397</v>
      </c>
      <c r="G14213" s="52">
        <v>136879.994623893</v>
      </c>
      <c r="H14213" s="56">
        <v>0</v>
      </c>
      <c r="I14213" s="224" t="s">
        <v>2</v>
      </c>
    </row>
    <row r="14214" spans="1:9" x14ac:dyDescent="0.25">
      <c r="A14214" s="515">
        <v>22841</v>
      </c>
      <c r="B14214" s="515" t="s">
        <v>1026</v>
      </c>
      <c r="C14214" s="52">
        <v>333689.08797056699</v>
      </c>
      <c r="D14214" s="56">
        <v>8.9743175264910893E-2</v>
      </c>
      <c r="E14214" s="224" t="s">
        <v>2</v>
      </c>
      <c r="F14214" s="515" t="s">
        <v>15398</v>
      </c>
      <c r="G14214" s="52">
        <v>244896.416845197</v>
      </c>
      <c r="H14214" s="56">
        <v>9.1718039140512811E-2</v>
      </c>
      <c r="I14214" s="224" t="s">
        <v>2</v>
      </c>
    </row>
    <row r="14215" spans="1:9" x14ac:dyDescent="0.25">
      <c r="A14215" s="515">
        <v>41004</v>
      </c>
      <c r="B14215" s="515" t="s">
        <v>344</v>
      </c>
      <c r="C14215" s="52">
        <v>148273.39177637699</v>
      </c>
      <c r="D14215" s="56">
        <v>0.14454346622036957</v>
      </c>
      <c r="E14215" s="224" t="s">
        <v>2</v>
      </c>
      <c r="F14215" s="515" t="s">
        <v>15399</v>
      </c>
      <c r="G14215" s="52">
        <v>228600.13724611001</v>
      </c>
      <c r="H14215" s="56">
        <v>6.338518068058184E-2</v>
      </c>
      <c r="I14215" s="224" t="s">
        <v>2</v>
      </c>
    </row>
    <row r="14216" spans="1:9" x14ac:dyDescent="0.25">
      <c r="A14216" s="515">
        <v>18101</v>
      </c>
      <c r="B14216" s="515" t="s">
        <v>327</v>
      </c>
      <c r="C14216" s="52">
        <v>141349.462599241</v>
      </c>
      <c r="D14216" s="56">
        <v>0.12149816944545698</v>
      </c>
      <c r="E14216" s="224">
        <v>1679.87777777777</v>
      </c>
      <c r="F14216" s="515" t="s">
        <v>15400</v>
      </c>
      <c r="G14216" s="52">
        <v>202091.776062422</v>
      </c>
      <c r="H14216" s="56">
        <v>8.3131779671364966E-2</v>
      </c>
      <c r="I14216" s="224" t="s">
        <v>2</v>
      </c>
    </row>
    <row r="14217" spans="1:9" x14ac:dyDescent="0.25">
      <c r="A14217" s="515">
        <v>45846</v>
      </c>
      <c r="B14217" s="515" t="s">
        <v>432</v>
      </c>
      <c r="C14217" s="52">
        <v>278194.37531032902</v>
      </c>
      <c r="D14217" s="56">
        <v>9.762555931412692E-2</v>
      </c>
      <c r="E14217" s="224" t="s">
        <v>2</v>
      </c>
      <c r="F14217" s="515" t="s">
        <v>15401</v>
      </c>
      <c r="G14217" s="52">
        <v>1172223.5130394399</v>
      </c>
      <c r="H14217" s="56">
        <v>9.2975062378379381E-2</v>
      </c>
      <c r="I14217" s="224" t="s">
        <v>2</v>
      </c>
    </row>
    <row r="14218" spans="1:9" x14ac:dyDescent="0.25">
      <c r="A14218" s="515">
        <v>74872</v>
      </c>
      <c r="B14218" s="515" t="s">
        <v>694</v>
      </c>
      <c r="C14218" s="52">
        <v>141918.23485648201</v>
      </c>
      <c r="D14218" s="56">
        <v>9.7392358604683676E-2</v>
      </c>
      <c r="E14218" s="224" t="s">
        <v>2</v>
      </c>
      <c r="F14218" s="515" t="s">
        <v>15402</v>
      </c>
      <c r="G14218" s="52">
        <v>257847.880469264</v>
      </c>
      <c r="H14218" s="56">
        <v>3.0112808014317337E-2</v>
      </c>
      <c r="I14218" s="224" t="s">
        <v>2</v>
      </c>
    </row>
    <row r="14219" spans="1:9" x14ac:dyDescent="0.25">
      <c r="A14219" s="515">
        <v>49749</v>
      </c>
      <c r="C14219" s="52">
        <v>202228.42161435701</v>
      </c>
      <c r="D14219" s="56">
        <v>0.11140401958704317</v>
      </c>
      <c r="E14219" s="224" t="s">
        <v>2</v>
      </c>
      <c r="F14219" s="515" t="s">
        <v>15403</v>
      </c>
      <c r="G14219" s="52">
        <v>125449.812975874</v>
      </c>
      <c r="H14219" s="56">
        <v>0.13245573413727429</v>
      </c>
      <c r="I14219" s="224" t="s">
        <v>2</v>
      </c>
    </row>
    <row r="14220" spans="1:9" x14ac:dyDescent="0.25">
      <c r="A14220" s="515">
        <v>21822</v>
      </c>
      <c r="B14220" s="515" t="s">
        <v>552</v>
      </c>
      <c r="C14220" s="52">
        <v>273862.22052384401</v>
      </c>
      <c r="D14220" s="56">
        <v>4.5667952480670203E-2</v>
      </c>
      <c r="E14220" s="224" t="s">
        <v>2</v>
      </c>
      <c r="F14220" s="515" t="s">
        <v>15404</v>
      </c>
      <c r="G14220" s="52">
        <v>323725.91050924099</v>
      </c>
      <c r="H14220" s="56">
        <v>0.13624083413149629</v>
      </c>
      <c r="I14220" s="224" t="s">
        <v>2</v>
      </c>
    </row>
    <row r="14221" spans="1:9" x14ac:dyDescent="0.25">
      <c r="A14221" s="515">
        <v>39827</v>
      </c>
      <c r="C14221" s="52">
        <v>182741.60692679801</v>
      </c>
      <c r="D14221" s="56">
        <v>5.9637817682324186E-2</v>
      </c>
      <c r="E14221" s="224" t="s">
        <v>2</v>
      </c>
      <c r="F14221" s="515" t="s">
        <v>15405</v>
      </c>
      <c r="G14221" s="52">
        <v>2073723.5323222401</v>
      </c>
      <c r="H14221" s="56">
        <v>6.1560362610959096E-2</v>
      </c>
      <c r="I14221" s="224" t="s">
        <v>2</v>
      </c>
    </row>
    <row r="14222" spans="1:9" x14ac:dyDescent="0.25">
      <c r="A14222" s="515">
        <v>43517</v>
      </c>
      <c r="B14222" s="515" t="s">
        <v>583</v>
      </c>
      <c r="C14222" s="52">
        <v>161367.02207209601</v>
      </c>
      <c r="D14222" s="56">
        <v>8.5518057459461311E-2</v>
      </c>
      <c r="E14222" s="224" t="s">
        <v>2</v>
      </c>
      <c r="F14222" s="515" t="s">
        <v>15406</v>
      </c>
      <c r="G14222" s="52">
        <v>403866.23561545397</v>
      </c>
      <c r="H14222" s="56">
        <v>4.54635429410334E-2</v>
      </c>
      <c r="I14222" s="224" t="s">
        <v>2</v>
      </c>
    </row>
    <row r="14223" spans="1:9" x14ac:dyDescent="0.25">
      <c r="A14223" s="515">
        <v>93953</v>
      </c>
      <c r="B14223" s="515" t="s">
        <v>443</v>
      </c>
      <c r="C14223" s="52">
        <v>2473805.9755499298</v>
      </c>
      <c r="D14223" s="56">
        <v>6.9127435275488189E-2</v>
      </c>
      <c r="E14223" s="224" t="s">
        <v>2</v>
      </c>
      <c r="F14223" s="515" t="s">
        <v>15407</v>
      </c>
      <c r="G14223" s="52">
        <v>236886.31874593699</v>
      </c>
      <c r="H14223" s="56">
        <v>6.5769709373297611E-2</v>
      </c>
      <c r="I14223" s="224" t="s">
        <v>2</v>
      </c>
    </row>
    <row r="14224" spans="1:9" x14ac:dyDescent="0.25">
      <c r="A14224" s="515">
        <v>32442</v>
      </c>
      <c r="C14224" s="52">
        <v>173629.46874824</v>
      </c>
      <c r="D14224" s="56">
        <v>0.17724558952758848</v>
      </c>
      <c r="E14224" s="224" t="s">
        <v>2</v>
      </c>
      <c r="F14224" s="515" t="s">
        <v>15408</v>
      </c>
      <c r="G14224" s="52">
        <v>421614.13032769802</v>
      </c>
      <c r="H14224" s="56">
        <v>8.5180309751632516E-2</v>
      </c>
      <c r="I14224" s="224" t="s">
        <v>2</v>
      </c>
    </row>
    <row r="14225" spans="1:9" x14ac:dyDescent="0.25">
      <c r="A14225" s="515">
        <v>28773</v>
      </c>
      <c r="C14225" s="52">
        <v>395456.55458225799</v>
      </c>
      <c r="D14225" s="56">
        <v>0.13541524606472852</v>
      </c>
      <c r="E14225" s="224" t="s">
        <v>2</v>
      </c>
      <c r="F14225" s="515" t="s">
        <v>15409</v>
      </c>
      <c r="G14225" s="52">
        <v>215415.79704051401</v>
      </c>
      <c r="H14225" s="56">
        <v>2.0209652630976738E-2</v>
      </c>
      <c r="I14225" s="224" t="s">
        <v>2</v>
      </c>
    </row>
    <row r="14226" spans="1:9" x14ac:dyDescent="0.25">
      <c r="A14226" s="515">
        <v>73772</v>
      </c>
      <c r="C14226" s="52">
        <v>88395.738545337794</v>
      </c>
      <c r="D14226" s="56">
        <v>0.11705189858035726</v>
      </c>
      <c r="E14226" s="224" t="s">
        <v>2</v>
      </c>
      <c r="F14226" s="515" t="s">
        <v>15410</v>
      </c>
      <c r="G14226" s="52">
        <v>175053.77073252201</v>
      </c>
      <c r="H14226" s="56">
        <v>9.9685903500639161E-2</v>
      </c>
      <c r="I14226" s="224" t="s">
        <v>2</v>
      </c>
    </row>
    <row r="14227" spans="1:9" x14ac:dyDescent="0.25">
      <c r="A14227" s="515">
        <v>37658</v>
      </c>
      <c r="B14227" s="515" t="s">
        <v>988</v>
      </c>
      <c r="C14227" s="52">
        <v>155184.21766890801</v>
      </c>
      <c r="D14227" s="56">
        <v>5.9062532494442745E-2</v>
      </c>
      <c r="E14227" s="224" t="s">
        <v>2</v>
      </c>
      <c r="F14227" s="515" t="s">
        <v>15411</v>
      </c>
      <c r="G14227" s="52">
        <v>179270.68919812801</v>
      </c>
      <c r="H14227" s="56">
        <v>0.12562873346819395</v>
      </c>
      <c r="I14227" s="224" t="s">
        <v>2</v>
      </c>
    </row>
    <row r="14228" spans="1:9" x14ac:dyDescent="0.25">
      <c r="A14228" s="515">
        <v>46797</v>
      </c>
      <c r="B14228" s="515" t="s">
        <v>1031</v>
      </c>
      <c r="C14228" s="52">
        <v>213729.92813698799</v>
      </c>
      <c r="D14228" s="56">
        <v>9.4876182707391205E-2</v>
      </c>
      <c r="E14228" s="224" t="s">
        <v>2</v>
      </c>
      <c r="F14228" s="515" t="s">
        <v>15412</v>
      </c>
      <c r="G14228" s="52">
        <v>130629.058153046</v>
      </c>
      <c r="H14228" s="56">
        <v>7.1988091957843905E-2</v>
      </c>
      <c r="I14228" s="224" t="s">
        <v>2</v>
      </c>
    </row>
    <row r="14229" spans="1:9" x14ac:dyDescent="0.25">
      <c r="A14229" s="515">
        <v>79359</v>
      </c>
      <c r="C14229" s="52">
        <v>104393.79815644601</v>
      </c>
      <c r="D14229" s="56">
        <v>0</v>
      </c>
      <c r="E14229" s="224" t="s">
        <v>2</v>
      </c>
      <c r="F14229" s="515" t="s">
        <v>15413</v>
      </c>
      <c r="G14229" s="52">
        <v>217943.96042372199</v>
      </c>
      <c r="H14229" s="56">
        <v>0.10501425527349582</v>
      </c>
      <c r="I14229" s="224" t="s">
        <v>2</v>
      </c>
    </row>
    <row r="14230" spans="1:9" x14ac:dyDescent="0.25">
      <c r="A14230" s="515">
        <v>6420</v>
      </c>
      <c r="B14230" s="515" t="s">
        <v>1091</v>
      </c>
      <c r="C14230" s="52">
        <v>360264.577259732</v>
      </c>
      <c r="D14230" s="56">
        <v>8.3722205470770542E-2</v>
      </c>
      <c r="E14230" s="224" t="s">
        <v>2</v>
      </c>
      <c r="F14230" s="515" t="s">
        <v>15414</v>
      </c>
      <c r="G14230" s="52">
        <v>55050.135918553802</v>
      </c>
      <c r="H14230" s="56">
        <v>2.7698399604694893E-2</v>
      </c>
      <c r="I14230" s="224" t="s">
        <v>2</v>
      </c>
    </row>
    <row r="14231" spans="1:9" x14ac:dyDescent="0.25">
      <c r="A14231" s="515">
        <v>36875</v>
      </c>
      <c r="B14231" s="515" t="s">
        <v>778</v>
      </c>
      <c r="C14231" s="52">
        <v>189998.285849854</v>
      </c>
      <c r="D14231" s="56">
        <v>3.9269608212843414E-2</v>
      </c>
      <c r="E14231" s="224" t="s">
        <v>2</v>
      </c>
      <c r="F14231" s="515" t="s">
        <v>15415</v>
      </c>
      <c r="G14231" s="52">
        <v>98953.460522879599</v>
      </c>
      <c r="H14231" s="56">
        <v>8.3379415293067222E-2</v>
      </c>
      <c r="I14231" s="224" t="s">
        <v>2</v>
      </c>
    </row>
    <row r="14232" spans="1:9" x14ac:dyDescent="0.25">
      <c r="A14232" s="515">
        <v>95457</v>
      </c>
      <c r="B14232" s="515" t="s">
        <v>363</v>
      </c>
      <c r="C14232" s="52">
        <v>401720.06593087502</v>
      </c>
      <c r="D14232" s="56">
        <v>-3.5392652480297819E-2</v>
      </c>
      <c r="E14232" s="224" t="s">
        <v>2</v>
      </c>
      <c r="F14232" s="515" t="s">
        <v>15416</v>
      </c>
      <c r="G14232" s="52">
        <v>100373.125001672</v>
      </c>
      <c r="H14232" s="56">
        <v>8.121643826879496E-2</v>
      </c>
      <c r="I14232" s="224" t="s">
        <v>2</v>
      </c>
    </row>
    <row r="14233" spans="1:9" x14ac:dyDescent="0.25">
      <c r="A14233" s="515">
        <v>99001</v>
      </c>
      <c r="B14233" s="515" t="s">
        <v>820</v>
      </c>
      <c r="C14233" s="52">
        <v>360460.67419156502</v>
      </c>
      <c r="D14233" s="56">
        <v>3.418251606837102E-2</v>
      </c>
      <c r="E14233" s="224" t="s">
        <v>2</v>
      </c>
      <c r="F14233" s="515" t="s">
        <v>15417</v>
      </c>
      <c r="G14233" s="52">
        <v>103314.913231303</v>
      </c>
      <c r="H14233" s="56">
        <v>0</v>
      </c>
      <c r="I14233" s="224" t="s">
        <v>2</v>
      </c>
    </row>
    <row r="14234" spans="1:9" x14ac:dyDescent="0.25">
      <c r="A14234" s="515">
        <v>32577</v>
      </c>
      <c r="B14234" s="515" t="s">
        <v>1131</v>
      </c>
      <c r="C14234" s="52">
        <v>292846.95984135201</v>
      </c>
      <c r="D14234" s="56">
        <v>7.423047049647577E-2</v>
      </c>
      <c r="E14234" s="224" t="s">
        <v>2</v>
      </c>
      <c r="F14234" s="515" t="s">
        <v>15418</v>
      </c>
      <c r="G14234" s="52">
        <v>498778.50161762099</v>
      </c>
      <c r="H14234" s="56">
        <v>8.5508855558609612E-2</v>
      </c>
      <c r="I14234" s="224" t="s">
        <v>2</v>
      </c>
    </row>
    <row r="14235" spans="1:9" x14ac:dyDescent="0.25">
      <c r="A14235" s="515">
        <v>63556</v>
      </c>
      <c r="C14235" s="52">
        <v>81899.769184484801</v>
      </c>
      <c r="D14235" s="56">
        <v>-0.12419716016380689</v>
      </c>
      <c r="E14235" s="224" t="s">
        <v>2</v>
      </c>
      <c r="F14235" s="515" t="s">
        <v>15419</v>
      </c>
      <c r="G14235" s="52">
        <v>78026.262461683596</v>
      </c>
      <c r="H14235" s="56">
        <v>4.1676113407031742E-2</v>
      </c>
      <c r="I14235" s="224" t="s">
        <v>2</v>
      </c>
    </row>
    <row r="14236" spans="1:9" x14ac:dyDescent="0.25">
      <c r="A14236" s="515">
        <v>55802</v>
      </c>
      <c r="B14236" s="515" t="s">
        <v>350</v>
      </c>
      <c r="C14236" s="52">
        <v>375570.84963388898</v>
      </c>
      <c r="D14236" s="56">
        <v>5.7121406928557203E-2</v>
      </c>
      <c r="E14236" s="224" t="s">
        <v>2</v>
      </c>
      <c r="F14236" s="515" t="s">
        <v>15420</v>
      </c>
      <c r="G14236" s="52">
        <v>469528.029877847</v>
      </c>
      <c r="H14236" s="56">
        <v>6.6140386822610406E-2</v>
      </c>
      <c r="I14236" s="224" t="s">
        <v>2</v>
      </c>
    </row>
    <row r="14237" spans="1:9" x14ac:dyDescent="0.25">
      <c r="A14237" s="515">
        <v>55353</v>
      </c>
      <c r="B14237" s="515" t="s">
        <v>418</v>
      </c>
      <c r="C14237" s="52">
        <v>308556.05206819699</v>
      </c>
      <c r="D14237" s="56">
        <v>7.8365347869908744E-2</v>
      </c>
      <c r="E14237" s="224" t="s">
        <v>2</v>
      </c>
      <c r="F14237" s="515" t="s">
        <v>15421</v>
      </c>
      <c r="G14237" s="52">
        <v>120507.893383153</v>
      </c>
      <c r="H14237" s="56">
        <v>3.8500594665032493E-2</v>
      </c>
      <c r="I14237" s="224" t="s">
        <v>2</v>
      </c>
    </row>
    <row r="14238" spans="1:9" x14ac:dyDescent="0.25">
      <c r="A14238" s="515">
        <v>71078</v>
      </c>
      <c r="B14238" s="515" t="s">
        <v>739</v>
      </c>
      <c r="C14238" s="52">
        <v>296735.21638590301</v>
      </c>
      <c r="D14238" s="56">
        <v>3.3752302450700135E-2</v>
      </c>
      <c r="E14238" s="224" t="s">
        <v>2</v>
      </c>
      <c r="F14238" s="515" t="s">
        <v>15422</v>
      </c>
      <c r="G14238" s="52">
        <v>166828.313493211</v>
      </c>
      <c r="H14238" s="56">
        <v>0.21745080132008171</v>
      </c>
      <c r="I14238" s="224" t="s">
        <v>2</v>
      </c>
    </row>
    <row r="14239" spans="1:9" x14ac:dyDescent="0.25">
      <c r="A14239" s="515">
        <v>62558</v>
      </c>
      <c r="B14239" s="515" t="s">
        <v>819</v>
      </c>
      <c r="C14239" s="52">
        <v>147316.92799067299</v>
      </c>
      <c r="D14239" s="56">
        <v>1.5518764844243105E-2</v>
      </c>
      <c r="E14239" s="224" t="s">
        <v>2</v>
      </c>
      <c r="F14239" s="515" t="s">
        <v>15423</v>
      </c>
      <c r="G14239" s="52">
        <v>212675.057398787</v>
      </c>
      <c r="H14239" s="56">
        <v>-3.2541408608155485E-2</v>
      </c>
      <c r="I14239" s="224" t="s">
        <v>2</v>
      </c>
    </row>
    <row r="14240" spans="1:9" x14ac:dyDescent="0.25">
      <c r="A14240" s="515">
        <v>31815</v>
      </c>
      <c r="B14240" s="515" t="s">
        <v>778</v>
      </c>
      <c r="C14240" s="52">
        <v>54700.044822792297</v>
      </c>
      <c r="D14240" s="56">
        <v>9.0975625979572705E-3</v>
      </c>
      <c r="E14240" s="224" t="s">
        <v>2</v>
      </c>
      <c r="F14240" s="515" t="s">
        <v>15424</v>
      </c>
      <c r="G14240" s="52">
        <v>239581.17741358801</v>
      </c>
      <c r="H14240" s="56">
        <v>0.16152838162706351</v>
      </c>
      <c r="I14240" s="224" t="s">
        <v>2</v>
      </c>
    </row>
    <row r="14241" spans="1:9" x14ac:dyDescent="0.25">
      <c r="A14241" s="515">
        <v>78619</v>
      </c>
      <c r="B14241" s="515" t="s">
        <v>380</v>
      </c>
      <c r="C14241" s="52">
        <v>942604.96640937403</v>
      </c>
      <c r="D14241" s="56">
        <v>3.7323244124775383E-2</v>
      </c>
      <c r="E14241" s="224" t="s">
        <v>2</v>
      </c>
      <c r="F14241" s="515" t="s">
        <v>15425</v>
      </c>
      <c r="G14241" s="52">
        <v>96170.947279609696</v>
      </c>
      <c r="H14241" s="56">
        <v>4.0386402044818075E-2</v>
      </c>
      <c r="I14241" s="224" t="s">
        <v>2</v>
      </c>
    </row>
    <row r="14242" spans="1:9" x14ac:dyDescent="0.25">
      <c r="A14242" s="515">
        <v>27019</v>
      </c>
      <c r="B14242" s="515" t="s">
        <v>735</v>
      </c>
      <c r="C14242" s="52">
        <v>212024.25952717999</v>
      </c>
      <c r="D14242" s="56">
        <v>0.18099978034067005</v>
      </c>
      <c r="E14242" s="224" t="s">
        <v>2</v>
      </c>
      <c r="F14242" s="515" t="s">
        <v>15426</v>
      </c>
      <c r="G14242" s="52">
        <v>186074.37098197799</v>
      </c>
      <c r="H14242" s="56">
        <v>7.7372135082750371E-2</v>
      </c>
      <c r="I14242" s="224" t="s">
        <v>2</v>
      </c>
    </row>
    <row r="14243" spans="1:9" x14ac:dyDescent="0.25">
      <c r="A14243" s="515">
        <v>75496</v>
      </c>
      <c r="B14243" s="515" t="s">
        <v>298</v>
      </c>
      <c r="C14243" s="52">
        <v>227515.44788838699</v>
      </c>
      <c r="D14243" s="56">
        <v>0.10430399434388415</v>
      </c>
      <c r="E14243" s="224" t="s">
        <v>2</v>
      </c>
      <c r="F14243" s="515" t="s">
        <v>15427</v>
      </c>
      <c r="G14243" s="52">
        <v>81854.662595216607</v>
      </c>
      <c r="H14243" s="56">
        <v>0.28541968167055637</v>
      </c>
      <c r="I14243" s="224" t="s">
        <v>2</v>
      </c>
    </row>
    <row r="14244" spans="1:9" x14ac:dyDescent="0.25">
      <c r="A14244" s="515">
        <v>49920</v>
      </c>
      <c r="C14244" s="52">
        <v>111630.721906062</v>
      </c>
      <c r="D14244" s="56">
        <v>5.9351407259553415E-2</v>
      </c>
      <c r="E14244" s="224" t="s">
        <v>2</v>
      </c>
      <c r="F14244" s="515" t="s">
        <v>15428</v>
      </c>
      <c r="G14244" s="52">
        <v>127639.543867263</v>
      </c>
      <c r="H14244" s="56">
        <v>7.660779765249362E-2</v>
      </c>
      <c r="I14244" s="224" t="s">
        <v>2</v>
      </c>
    </row>
    <row r="14245" spans="1:9" x14ac:dyDescent="0.25">
      <c r="A14245" s="515">
        <v>22645</v>
      </c>
      <c r="B14245" s="515" t="s">
        <v>629</v>
      </c>
      <c r="C14245" s="52">
        <v>378897.68286540202</v>
      </c>
      <c r="D14245" s="56">
        <v>5.2351328894237541E-2</v>
      </c>
      <c r="E14245" s="224" t="s">
        <v>2</v>
      </c>
      <c r="F14245" s="515" t="s">
        <v>15429</v>
      </c>
      <c r="G14245" s="52">
        <v>99081.029479538294</v>
      </c>
      <c r="H14245" s="56">
        <v>0</v>
      </c>
      <c r="I14245" s="224" t="s">
        <v>2</v>
      </c>
    </row>
    <row r="14246" spans="1:9" x14ac:dyDescent="0.25">
      <c r="A14246" s="515">
        <v>48014</v>
      </c>
      <c r="B14246" s="515" t="s">
        <v>685</v>
      </c>
      <c r="C14246" s="52">
        <v>212276.958365347</v>
      </c>
      <c r="D14246" s="56">
        <v>4.23729657030587E-2</v>
      </c>
      <c r="E14246" s="224" t="s">
        <v>2</v>
      </c>
      <c r="F14246" s="515" t="s">
        <v>15430</v>
      </c>
      <c r="G14246" s="52">
        <v>193948.97310102099</v>
      </c>
      <c r="H14246" s="56">
        <v>0.11143822297594769</v>
      </c>
      <c r="I14246" s="224" t="s">
        <v>2</v>
      </c>
    </row>
    <row r="14247" spans="1:9" x14ac:dyDescent="0.25">
      <c r="A14247" s="515">
        <v>28634</v>
      </c>
      <c r="B14247" s="515" t="s">
        <v>360</v>
      </c>
      <c r="C14247" s="52">
        <v>229994.78874140399</v>
      </c>
      <c r="D14247" s="56">
        <v>0.12812834038696669</v>
      </c>
      <c r="E14247" s="224" t="s">
        <v>2</v>
      </c>
      <c r="F14247" s="515" t="s">
        <v>15431</v>
      </c>
      <c r="G14247" s="52">
        <v>196313.45110084099</v>
      </c>
      <c r="H14247" s="56">
        <v>9.1867434848804788E-2</v>
      </c>
      <c r="I14247" s="224" t="s">
        <v>2</v>
      </c>
    </row>
    <row r="14248" spans="1:9" x14ac:dyDescent="0.25">
      <c r="A14248" s="515">
        <v>65604</v>
      </c>
      <c r="B14248" s="515" t="s">
        <v>603</v>
      </c>
      <c r="C14248" s="52">
        <v>218223.39001294799</v>
      </c>
      <c r="D14248" s="56">
        <v>0.13290124408682058</v>
      </c>
      <c r="E14248" s="224" t="s">
        <v>2</v>
      </c>
      <c r="F14248" s="515" t="s">
        <v>15432</v>
      </c>
      <c r="G14248" s="52">
        <v>197248.607027839</v>
      </c>
      <c r="H14248" s="56">
        <v>8.6879748534786902E-2</v>
      </c>
      <c r="I14248" s="224" t="s">
        <v>2</v>
      </c>
    </row>
    <row r="14249" spans="1:9" x14ac:dyDescent="0.25">
      <c r="A14249" s="515">
        <v>73128</v>
      </c>
      <c r="B14249" s="515" t="s">
        <v>385</v>
      </c>
      <c r="C14249" s="52">
        <v>238326.476061928</v>
      </c>
      <c r="D14249" s="56">
        <v>0.10479544349825934</v>
      </c>
      <c r="E14249" s="224" t="s">
        <v>2</v>
      </c>
      <c r="F14249" s="515" t="s">
        <v>15433</v>
      </c>
      <c r="G14249" s="52">
        <v>210504.05733932901</v>
      </c>
      <c r="H14249" s="56">
        <v>9.7948970313115141E-2</v>
      </c>
      <c r="I14249" s="224" t="s">
        <v>2</v>
      </c>
    </row>
    <row r="14250" spans="1:9" x14ac:dyDescent="0.25">
      <c r="A14250" s="515">
        <v>35582</v>
      </c>
      <c r="C14250" s="52">
        <v>129868.44712477</v>
      </c>
      <c r="D14250" s="56">
        <v>0.10036476840253881</v>
      </c>
      <c r="E14250" s="224" t="s">
        <v>2</v>
      </c>
      <c r="F14250" s="515" t="s">
        <v>15434</v>
      </c>
      <c r="G14250" s="52">
        <v>117031.313434372</v>
      </c>
      <c r="H14250" s="56">
        <v>5.7335921093957659E-2</v>
      </c>
      <c r="I14250" s="224" t="s">
        <v>2</v>
      </c>
    </row>
    <row r="14251" spans="1:9" x14ac:dyDescent="0.25">
      <c r="A14251" s="515">
        <v>43522</v>
      </c>
      <c r="B14251" s="515" t="s">
        <v>300</v>
      </c>
      <c r="C14251" s="52">
        <v>202339.79108322799</v>
      </c>
      <c r="D14251" s="56">
        <v>5.0135399043556593E-2</v>
      </c>
      <c r="E14251" s="224" t="s">
        <v>2</v>
      </c>
      <c r="F14251" s="515" t="s">
        <v>15435</v>
      </c>
      <c r="G14251" s="52">
        <v>121485.648134295</v>
      </c>
      <c r="H14251" s="56">
        <v>9.0237270633299102E-2</v>
      </c>
      <c r="I14251" s="224" t="s">
        <v>2</v>
      </c>
    </row>
    <row r="14252" spans="1:9" x14ac:dyDescent="0.25">
      <c r="A14252" s="515">
        <v>7423</v>
      </c>
      <c r="B14252" s="515" t="s">
        <v>324</v>
      </c>
      <c r="C14252" s="52">
        <v>935543.45214539405</v>
      </c>
      <c r="D14252" s="56">
        <v>5.4307511906596322E-2</v>
      </c>
      <c r="E14252" s="224" t="s">
        <v>2</v>
      </c>
      <c r="F14252" s="515" t="s">
        <v>15436</v>
      </c>
      <c r="G14252" s="52">
        <v>129333.61971035101</v>
      </c>
      <c r="H14252" s="56">
        <v>5.4156000420343263E-2</v>
      </c>
      <c r="I14252" s="224" t="s">
        <v>2</v>
      </c>
    </row>
    <row r="14253" spans="1:9" x14ac:dyDescent="0.25">
      <c r="A14253" s="515">
        <v>40409</v>
      </c>
      <c r="C14253" s="52">
        <v>120348.74936004799</v>
      </c>
      <c r="D14253" s="56">
        <v>0.28793252683398129</v>
      </c>
      <c r="E14253" s="224" t="s">
        <v>2</v>
      </c>
      <c r="F14253" s="515" t="s">
        <v>15437</v>
      </c>
      <c r="G14253" s="52">
        <v>342280.75575778098</v>
      </c>
      <c r="H14253" s="56">
        <v>9.2300107383169683E-2</v>
      </c>
      <c r="I14253" s="224" t="s">
        <v>2</v>
      </c>
    </row>
    <row r="14254" spans="1:9" x14ac:dyDescent="0.25">
      <c r="A14254" s="515">
        <v>68305</v>
      </c>
      <c r="C14254" s="52">
        <v>135999.068211798</v>
      </c>
      <c r="D14254" s="56">
        <v>0.12140392930697504</v>
      </c>
      <c r="E14254" s="224" t="s">
        <v>2</v>
      </c>
      <c r="F14254" s="515" t="s">
        <v>15438</v>
      </c>
      <c r="G14254" s="52">
        <v>140992.631709434</v>
      </c>
      <c r="H14254" s="56">
        <v>7.1364217495147694E-2</v>
      </c>
      <c r="I14254" s="224" t="s">
        <v>2</v>
      </c>
    </row>
    <row r="14255" spans="1:9" x14ac:dyDescent="0.25">
      <c r="A14255" s="515">
        <v>8836</v>
      </c>
      <c r="B14255" s="515" t="s">
        <v>324</v>
      </c>
      <c r="C14255" s="52">
        <v>686951.96747065103</v>
      </c>
      <c r="D14255" s="56">
        <v>4.8884861769965871E-2</v>
      </c>
      <c r="E14255" s="224" t="s">
        <v>2</v>
      </c>
      <c r="F14255" s="515" t="s">
        <v>15439</v>
      </c>
      <c r="G14255" s="52">
        <v>218150.56735335701</v>
      </c>
      <c r="H14255" s="56">
        <v>0.12299392246348331</v>
      </c>
      <c r="I14255" s="224" t="s">
        <v>2</v>
      </c>
    </row>
    <row r="14256" spans="1:9" x14ac:dyDescent="0.25">
      <c r="A14256" s="515">
        <v>45613</v>
      </c>
      <c r="C14256" s="52">
        <v>128080.48021184299</v>
      </c>
      <c r="D14256" s="56">
        <v>2.8214076443858687E-2</v>
      </c>
      <c r="E14256" s="224" t="s">
        <v>2</v>
      </c>
      <c r="F14256" s="515" t="s">
        <v>15440</v>
      </c>
      <c r="G14256" s="52">
        <v>190176.52839646101</v>
      </c>
      <c r="H14256" s="56">
        <v>0.18772722968005814</v>
      </c>
      <c r="I14256" s="224" t="s">
        <v>2</v>
      </c>
    </row>
    <row r="14257" spans="1:9" x14ac:dyDescent="0.25">
      <c r="A14257" s="515">
        <v>67439</v>
      </c>
      <c r="C14257" s="52">
        <v>129481.91138793901</v>
      </c>
      <c r="D14257" s="56">
        <v>0.11519351950695557</v>
      </c>
      <c r="E14257" s="224" t="s">
        <v>2</v>
      </c>
      <c r="F14257" s="515" t="s">
        <v>15441</v>
      </c>
      <c r="G14257" s="52">
        <v>356591.51341196499</v>
      </c>
      <c r="H14257" s="56">
        <v>6.4520979243542428E-2</v>
      </c>
      <c r="I14257" s="224" t="s">
        <v>2</v>
      </c>
    </row>
    <row r="14258" spans="1:9" x14ac:dyDescent="0.25">
      <c r="A14258" s="515">
        <v>95655</v>
      </c>
      <c r="B14258" s="515" t="s">
        <v>355</v>
      </c>
      <c r="C14258" s="52">
        <v>540706.34768984804</v>
      </c>
      <c r="D14258" s="56">
        <v>-4.0061215160099471E-3</v>
      </c>
      <c r="E14258" s="224" t="s">
        <v>2</v>
      </c>
      <c r="F14258" s="515" t="s">
        <v>15442</v>
      </c>
      <c r="G14258" s="52">
        <v>157265.47958699201</v>
      </c>
      <c r="H14258" s="56">
        <v>8.7876288761065346E-2</v>
      </c>
      <c r="I14258" s="224" t="s">
        <v>2</v>
      </c>
    </row>
    <row r="14259" spans="1:9" x14ac:dyDescent="0.25">
      <c r="A14259" s="515">
        <v>27805</v>
      </c>
      <c r="C14259" s="52">
        <v>64304.362811357001</v>
      </c>
      <c r="D14259" s="56">
        <v>4.2660932637098331E-2</v>
      </c>
      <c r="E14259" s="224" t="s">
        <v>2</v>
      </c>
      <c r="F14259" s="515" t="s">
        <v>15443</v>
      </c>
      <c r="G14259" s="52">
        <v>165531.92239933799</v>
      </c>
      <c r="H14259" s="56">
        <v>8.7138964316835293E-2</v>
      </c>
      <c r="I14259" s="224" t="s">
        <v>2</v>
      </c>
    </row>
    <row r="14260" spans="1:9" x14ac:dyDescent="0.25">
      <c r="A14260" s="515">
        <v>71744</v>
      </c>
      <c r="B14260" s="515" t="s">
        <v>773</v>
      </c>
      <c r="C14260" s="52">
        <v>77539.657001642699</v>
      </c>
      <c r="D14260" s="56">
        <v>3.9215165671611506E-2</v>
      </c>
      <c r="E14260" s="224" t="s">
        <v>2</v>
      </c>
      <c r="F14260" s="515" t="s">
        <v>15444</v>
      </c>
      <c r="G14260" s="52">
        <v>153784.74827124801</v>
      </c>
      <c r="H14260" s="56">
        <v>8.2141137296626657E-2</v>
      </c>
      <c r="I14260" s="224" t="s">
        <v>2</v>
      </c>
    </row>
    <row r="14261" spans="1:9" x14ac:dyDescent="0.25">
      <c r="A14261" s="515">
        <v>47164</v>
      </c>
      <c r="B14261" s="515" t="s">
        <v>479</v>
      </c>
      <c r="C14261" s="52">
        <v>193339.24133098501</v>
      </c>
      <c r="D14261" s="56">
        <v>7.2737813542205695E-2</v>
      </c>
      <c r="E14261" s="224" t="s">
        <v>2</v>
      </c>
      <c r="F14261" s="515" t="s">
        <v>15445</v>
      </c>
      <c r="G14261" s="52">
        <v>191799.605777452</v>
      </c>
      <c r="H14261" s="56">
        <v>0.10633445769918511</v>
      </c>
      <c r="I14261" s="224" t="s">
        <v>2</v>
      </c>
    </row>
    <row r="14262" spans="1:9" x14ac:dyDescent="0.25">
      <c r="A14262" s="515">
        <v>45844</v>
      </c>
      <c r="C14262" s="52">
        <v>226669.98495687899</v>
      </c>
      <c r="D14262" s="56">
        <v>5.2512378055601883E-2</v>
      </c>
      <c r="E14262" s="224" t="s">
        <v>2</v>
      </c>
      <c r="F14262" s="515" t="s">
        <v>15446</v>
      </c>
      <c r="G14262" s="52">
        <v>159555.922446557</v>
      </c>
      <c r="H14262" s="56">
        <v>6.2858866486161957E-2</v>
      </c>
      <c r="I14262" s="224" t="s">
        <v>2</v>
      </c>
    </row>
    <row r="14263" spans="1:9" x14ac:dyDescent="0.25">
      <c r="A14263" s="515">
        <v>41171</v>
      </c>
      <c r="C14263" s="52">
        <v>124232.579971125</v>
      </c>
      <c r="D14263" s="56">
        <v>0.24088479222878731</v>
      </c>
      <c r="E14263" s="224" t="s">
        <v>2</v>
      </c>
      <c r="F14263" s="515" t="s">
        <v>15447</v>
      </c>
      <c r="G14263" s="52">
        <v>191161.93654732101</v>
      </c>
      <c r="H14263" s="56">
        <v>4.1147399823961095E-2</v>
      </c>
      <c r="I14263" s="224" t="s">
        <v>2</v>
      </c>
    </row>
    <row r="14264" spans="1:9" x14ac:dyDescent="0.25">
      <c r="A14264" s="515">
        <v>5255</v>
      </c>
      <c r="B14264" s="515" t="s">
        <v>657</v>
      </c>
      <c r="C14264" s="52">
        <v>507672.82214919798</v>
      </c>
      <c r="D14264" s="56">
        <v>0.12115003197050471</v>
      </c>
      <c r="E14264" s="224" t="s">
        <v>2</v>
      </c>
      <c r="F14264" s="515" t="s">
        <v>15448</v>
      </c>
      <c r="G14264" s="52">
        <v>160646.47862017699</v>
      </c>
      <c r="H14264" s="56">
        <v>8.718406320307201E-2</v>
      </c>
      <c r="I14264" s="224" t="s">
        <v>2</v>
      </c>
    </row>
    <row r="14265" spans="1:9" x14ac:dyDescent="0.25">
      <c r="A14265" s="515">
        <v>56288</v>
      </c>
      <c r="B14265" s="515" t="s">
        <v>803</v>
      </c>
      <c r="C14265" s="52">
        <v>326671.59029000503</v>
      </c>
      <c r="D14265" s="56">
        <v>7.9896005105883308E-2</v>
      </c>
      <c r="E14265" s="224" t="s">
        <v>2</v>
      </c>
      <c r="F14265" s="515" t="s">
        <v>15449</v>
      </c>
      <c r="G14265" s="52">
        <v>128413.25254589401</v>
      </c>
      <c r="H14265" s="56">
        <v>0.13554447499706698</v>
      </c>
      <c r="I14265" s="224" t="s">
        <v>2</v>
      </c>
    </row>
    <row r="14266" spans="1:9" x14ac:dyDescent="0.25">
      <c r="A14266" s="515">
        <v>95045</v>
      </c>
      <c r="B14266" s="515" t="s">
        <v>850</v>
      </c>
      <c r="C14266" s="52">
        <v>842368.85801146401</v>
      </c>
      <c r="D14266" s="56">
        <v>-3.8688001289927165E-2</v>
      </c>
      <c r="E14266" s="224" t="s">
        <v>2</v>
      </c>
      <c r="F14266" s="515" t="s">
        <v>15450</v>
      </c>
      <c r="G14266" s="52">
        <v>149644.51352877999</v>
      </c>
      <c r="H14266" s="56">
        <v>0</v>
      </c>
      <c r="I14266" s="224" t="s">
        <v>2</v>
      </c>
    </row>
    <row r="14267" spans="1:9" x14ac:dyDescent="0.25">
      <c r="A14267" s="515">
        <v>47432</v>
      </c>
      <c r="C14267" s="52">
        <v>153499.25998729901</v>
      </c>
      <c r="D14267" s="56">
        <v>5.4603496877790744E-2</v>
      </c>
      <c r="E14267" s="224" t="s">
        <v>2</v>
      </c>
      <c r="F14267" s="515" t="s">
        <v>15451</v>
      </c>
      <c r="G14267" s="52">
        <v>2591336.8790776199</v>
      </c>
      <c r="H14267" s="56">
        <v>0.19508120664757728</v>
      </c>
      <c r="I14267" s="224" t="s">
        <v>2</v>
      </c>
    </row>
    <row r="14268" spans="1:9" x14ac:dyDescent="0.25">
      <c r="A14268" s="515">
        <v>57039</v>
      </c>
      <c r="B14268" s="515" t="s">
        <v>579</v>
      </c>
      <c r="C14268" s="52">
        <v>271604.68669975398</v>
      </c>
      <c r="D14268" s="56">
        <v>0.15420830686105516</v>
      </c>
      <c r="E14268" s="224" t="s">
        <v>2</v>
      </c>
      <c r="F14268" s="515" t="s">
        <v>15452</v>
      </c>
      <c r="G14268" s="52">
        <v>342696.86625581898</v>
      </c>
      <c r="H14268" s="56">
        <v>8.440022287778956E-2</v>
      </c>
      <c r="I14268" s="224" t="s">
        <v>2</v>
      </c>
    </row>
    <row r="14269" spans="1:9" x14ac:dyDescent="0.25">
      <c r="A14269" s="515">
        <v>41224</v>
      </c>
      <c r="C14269" s="52">
        <v>109235.609232712</v>
      </c>
      <c r="D14269" s="56">
        <v>0.19932300217410173</v>
      </c>
      <c r="E14269" s="224" t="s">
        <v>2</v>
      </c>
      <c r="F14269" s="515" t="s">
        <v>15453</v>
      </c>
      <c r="G14269" s="52">
        <v>304027.96320528601</v>
      </c>
      <c r="H14269" s="56">
        <v>0.10907592241121727</v>
      </c>
      <c r="I14269" s="224" t="s">
        <v>2</v>
      </c>
    </row>
    <row r="14270" spans="1:9" x14ac:dyDescent="0.25">
      <c r="A14270" s="515">
        <v>54023</v>
      </c>
      <c r="B14270" s="515" t="s">
        <v>532</v>
      </c>
      <c r="C14270" s="52">
        <v>357697.190136766</v>
      </c>
      <c r="D14270" s="56">
        <v>2.4853397934280905E-2</v>
      </c>
      <c r="E14270" s="224" t="s">
        <v>2</v>
      </c>
      <c r="F14270" s="515" t="s">
        <v>15454</v>
      </c>
      <c r="G14270" s="52">
        <v>313808.61042046198</v>
      </c>
      <c r="H14270" s="56">
        <v>7.7186572109218934E-2</v>
      </c>
      <c r="I14270" s="224" t="s">
        <v>2</v>
      </c>
    </row>
    <row r="14271" spans="1:9" x14ac:dyDescent="0.25">
      <c r="A14271" s="515">
        <v>45218</v>
      </c>
      <c r="B14271" s="515" t="s">
        <v>344</v>
      </c>
      <c r="C14271" s="52">
        <v>192459.818371703</v>
      </c>
      <c r="D14271" s="56">
        <v>7.4583014344518153E-2</v>
      </c>
      <c r="E14271" s="224" t="s">
        <v>2</v>
      </c>
      <c r="F14271" s="515" t="s">
        <v>15455</v>
      </c>
      <c r="G14271" s="52">
        <v>112771.29654653399</v>
      </c>
      <c r="H14271" s="56">
        <v>9.6627497270724935E-2</v>
      </c>
      <c r="I14271" s="224" t="s">
        <v>2</v>
      </c>
    </row>
    <row r="14272" spans="1:9" x14ac:dyDescent="0.25">
      <c r="A14272" s="515">
        <v>64477</v>
      </c>
      <c r="B14272" s="515" t="s">
        <v>455</v>
      </c>
      <c r="C14272" s="52">
        <v>236043.21535268301</v>
      </c>
      <c r="D14272" s="56">
        <v>9.2204638625310989E-2</v>
      </c>
      <c r="E14272" s="224" t="s">
        <v>2</v>
      </c>
      <c r="F14272" s="515" t="s">
        <v>15456</v>
      </c>
      <c r="G14272" s="52">
        <v>872511.35278274096</v>
      </c>
      <c r="H14272" s="56">
        <v>7.6046880633337782E-2</v>
      </c>
      <c r="I14272" s="224" t="s">
        <v>2</v>
      </c>
    </row>
    <row r="14273" spans="1:9" x14ac:dyDescent="0.25">
      <c r="A14273" s="515">
        <v>15314</v>
      </c>
      <c r="B14273" s="515" t="s">
        <v>297</v>
      </c>
      <c r="C14273" s="52">
        <v>146021.4093571</v>
      </c>
      <c r="D14273" s="56">
        <v>6.721401717290014E-2</v>
      </c>
      <c r="E14273" s="224" t="s">
        <v>2</v>
      </c>
      <c r="F14273" s="515" t="s">
        <v>15457</v>
      </c>
      <c r="G14273" s="52">
        <v>237605.01807441501</v>
      </c>
      <c r="H14273" s="56">
        <v>9.6603251846825597E-2</v>
      </c>
      <c r="I14273" s="224" t="s">
        <v>2</v>
      </c>
    </row>
    <row r="14274" spans="1:9" x14ac:dyDescent="0.25">
      <c r="A14274" s="515">
        <v>96748</v>
      </c>
      <c r="B14274" s="515" t="s">
        <v>400</v>
      </c>
      <c r="C14274" s="52">
        <v>408408.59127117402</v>
      </c>
      <c r="D14274" s="56">
        <v>0.2221098205379064</v>
      </c>
      <c r="E14274" s="224" t="s">
        <v>2</v>
      </c>
      <c r="F14274" s="515" t="s">
        <v>15458</v>
      </c>
      <c r="G14274" s="52">
        <v>210645.33413102399</v>
      </c>
      <c r="H14274" s="56">
        <v>2.3335294254179715E-2</v>
      </c>
      <c r="I14274" s="224" t="s">
        <v>2</v>
      </c>
    </row>
    <row r="14275" spans="1:9" x14ac:dyDescent="0.25">
      <c r="A14275" s="515">
        <v>23457</v>
      </c>
      <c r="B14275" s="515" t="s">
        <v>301</v>
      </c>
      <c r="C14275" s="52">
        <v>539592.00195498497</v>
      </c>
      <c r="D14275" s="56">
        <v>4.4809302302761797E-2</v>
      </c>
      <c r="E14275" s="224" t="s">
        <v>2</v>
      </c>
      <c r="F14275" s="515" t="s">
        <v>13716</v>
      </c>
      <c r="G14275" s="52">
        <v>284206.64667826699</v>
      </c>
      <c r="H14275" s="56">
        <v>2.5818616562089013E-2</v>
      </c>
      <c r="I14275" s="224" t="s">
        <v>2</v>
      </c>
    </row>
    <row r="14276" spans="1:9" x14ac:dyDescent="0.25">
      <c r="A14276" s="515">
        <v>36442</v>
      </c>
      <c r="C14276" s="52">
        <v>109495.873500364</v>
      </c>
      <c r="D14276" s="56">
        <v>-4.5285686875126588E-2</v>
      </c>
      <c r="E14276" s="224" t="s">
        <v>2</v>
      </c>
      <c r="F14276" s="515" t="s">
        <v>15459</v>
      </c>
      <c r="G14276" s="52">
        <v>155399.54910574699</v>
      </c>
      <c r="H14276" s="56">
        <v>0.10908931382173397</v>
      </c>
      <c r="I14276" s="224" t="s">
        <v>2</v>
      </c>
    </row>
    <row r="14277" spans="1:9" x14ac:dyDescent="0.25">
      <c r="A14277" s="515">
        <v>17980</v>
      </c>
      <c r="B14277" s="515" t="s">
        <v>994</v>
      </c>
      <c r="C14277" s="52">
        <v>107217.760196883</v>
      </c>
      <c r="D14277" s="56">
        <v>0.10634127135875734</v>
      </c>
      <c r="E14277" s="224" t="s">
        <v>2</v>
      </c>
      <c r="F14277" s="515" t="s">
        <v>15460</v>
      </c>
      <c r="G14277" s="52">
        <v>164029.559177299</v>
      </c>
      <c r="H14277" s="56">
        <v>2.022756585678305E-2</v>
      </c>
      <c r="I14277" s="224" t="s">
        <v>2</v>
      </c>
    </row>
    <row r="14278" spans="1:9" x14ac:dyDescent="0.25">
      <c r="A14278" s="515">
        <v>40461</v>
      </c>
      <c r="B14278" s="515" t="s">
        <v>1129</v>
      </c>
      <c r="C14278" s="52">
        <v>212002.59832083501</v>
      </c>
      <c r="D14278" s="56">
        <v>0.1129738288520642</v>
      </c>
      <c r="E14278" s="224" t="s">
        <v>2</v>
      </c>
      <c r="F14278" s="515" t="s">
        <v>15461</v>
      </c>
      <c r="G14278" s="52">
        <v>351957.86106094299</v>
      </c>
      <c r="H14278" s="56">
        <v>-0.18840506812103455</v>
      </c>
      <c r="I14278" s="224" t="s">
        <v>2</v>
      </c>
    </row>
    <row r="14279" spans="1:9" x14ac:dyDescent="0.25">
      <c r="A14279" s="515">
        <v>51351</v>
      </c>
      <c r="B14279" s="515" t="s">
        <v>932</v>
      </c>
      <c r="C14279" s="52">
        <v>290021.44985934498</v>
      </c>
      <c r="D14279" s="56">
        <v>9.1921304048197011E-2</v>
      </c>
      <c r="E14279" s="224" t="s">
        <v>2</v>
      </c>
      <c r="F14279" s="515" t="s">
        <v>15462</v>
      </c>
      <c r="G14279" s="52">
        <v>130747.259385517</v>
      </c>
      <c r="H14279" s="56">
        <v>6.4777224170454659E-2</v>
      </c>
      <c r="I14279" s="224" t="s">
        <v>2</v>
      </c>
    </row>
    <row r="14280" spans="1:9" x14ac:dyDescent="0.25">
      <c r="A14280" s="515">
        <v>66092</v>
      </c>
      <c r="B14280" s="515" t="s">
        <v>880</v>
      </c>
      <c r="C14280" s="52">
        <v>273358.55531495198</v>
      </c>
      <c r="D14280" s="56">
        <v>9.9872956415359065E-2</v>
      </c>
      <c r="E14280" s="224" t="s">
        <v>2</v>
      </c>
      <c r="F14280" s="515" t="s">
        <v>15463</v>
      </c>
      <c r="G14280" s="52">
        <v>171156.221258265</v>
      </c>
      <c r="H14280" s="56">
        <v>9.9507203724577636E-2</v>
      </c>
      <c r="I14280" s="224" t="s">
        <v>2</v>
      </c>
    </row>
    <row r="14281" spans="1:9" x14ac:dyDescent="0.25">
      <c r="A14281" s="515">
        <v>36033</v>
      </c>
      <c r="C14281" s="52">
        <v>84770.125789302401</v>
      </c>
      <c r="D14281" s="56">
        <v>-1.0945197590633367E-2</v>
      </c>
      <c r="E14281" s="224" t="s">
        <v>2</v>
      </c>
      <c r="F14281" s="515" t="s">
        <v>15464</v>
      </c>
      <c r="G14281" s="52">
        <v>287947.80835286702</v>
      </c>
      <c r="H14281" s="56">
        <v>4.1889768632048713E-2</v>
      </c>
      <c r="I14281" s="224" t="s">
        <v>2</v>
      </c>
    </row>
    <row r="14282" spans="1:9" x14ac:dyDescent="0.25">
      <c r="A14282" s="515">
        <v>38585</v>
      </c>
      <c r="C14282" s="52">
        <v>141170.21343980299</v>
      </c>
      <c r="D14282" s="56">
        <v>7.6517880670606345E-2</v>
      </c>
      <c r="E14282" s="224" t="s">
        <v>2</v>
      </c>
      <c r="F14282" s="515" t="s">
        <v>15465</v>
      </c>
      <c r="G14282" s="52">
        <v>422618.14668244298</v>
      </c>
      <c r="H14282" s="56">
        <v>3.7088167171528783E-2</v>
      </c>
      <c r="I14282" s="224" t="s">
        <v>2</v>
      </c>
    </row>
    <row r="14283" spans="1:9" x14ac:dyDescent="0.25">
      <c r="A14283" s="515">
        <v>59917</v>
      </c>
      <c r="C14283" s="52">
        <v>500210.58289467799</v>
      </c>
      <c r="D14283" s="56">
        <v>0.11892779631755067</v>
      </c>
      <c r="E14283" s="224" t="s">
        <v>2</v>
      </c>
      <c r="F14283" s="515" t="s">
        <v>15466</v>
      </c>
      <c r="G14283" s="52">
        <v>141509.505924856</v>
      </c>
      <c r="H14283" s="56">
        <v>8.7234179571032855E-2</v>
      </c>
      <c r="I14283" s="224" t="s">
        <v>2</v>
      </c>
    </row>
    <row r="14284" spans="1:9" x14ac:dyDescent="0.25">
      <c r="A14284" s="515">
        <v>75567</v>
      </c>
      <c r="B14284" s="515" t="s">
        <v>390</v>
      </c>
      <c r="C14284" s="52">
        <v>164088.322368002</v>
      </c>
      <c r="D14284" s="56">
        <v>3.4765311486727353E-2</v>
      </c>
      <c r="E14284" s="224" t="s">
        <v>2</v>
      </c>
      <c r="F14284" s="515" t="s">
        <v>15467</v>
      </c>
      <c r="G14284" s="52">
        <v>1134614.5286971801</v>
      </c>
      <c r="H14284" s="56">
        <v>0.11115930302987173</v>
      </c>
      <c r="I14284" s="224" t="s">
        <v>2</v>
      </c>
    </row>
    <row r="14285" spans="1:9" x14ac:dyDescent="0.25">
      <c r="A14285" s="515">
        <v>44621</v>
      </c>
      <c r="B14285" s="515" t="s">
        <v>309</v>
      </c>
      <c r="C14285" s="52">
        <v>126527.927926117</v>
      </c>
      <c r="D14285" s="56">
        <v>2.9212925931730901E-2</v>
      </c>
      <c r="E14285" s="224" t="s">
        <v>2</v>
      </c>
      <c r="F14285" s="515" t="s">
        <v>15468</v>
      </c>
      <c r="G14285" s="52">
        <v>286630.56360390002</v>
      </c>
      <c r="H14285" s="56">
        <v>0.15681257526270254</v>
      </c>
      <c r="I14285" s="224" t="s">
        <v>2</v>
      </c>
    </row>
    <row r="14286" spans="1:9" x14ac:dyDescent="0.25">
      <c r="A14286" s="515">
        <v>2644</v>
      </c>
      <c r="B14286" s="515" t="s">
        <v>427</v>
      </c>
      <c r="C14286" s="52">
        <v>531064.90156658099</v>
      </c>
      <c r="D14286" s="56">
        <v>6.0481040546502676E-2</v>
      </c>
      <c r="E14286" s="224" t="s">
        <v>2</v>
      </c>
      <c r="F14286" s="515" t="s">
        <v>15469</v>
      </c>
      <c r="G14286" s="52">
        <v>407199.49494533299</v>
      </c>
      <c r="H14286" s="56">
        <v>0.11185779021110186</v>
      </c>
      <c r="I14286" s="224" t="s">
        <v>2</v>
      </c>
    </row>
    <row r="14287" spans="1:9" x14ac:dyDescent="0.25">
      <c r="A14287" s="515">
        <v>7440</v>
      </c>
      <c r="B14287" s="515" t="s">
        <v>324</v>
      </c>
      <c r="C14287" s="52">
        <v>529952.16146690201</v>
      </c>
      <c r="D14287" s="56">
        <v>4.3322177726948879E-2</v>
      </c>
      <c r="E14287" s="224" t="s">
        <v>2</v>
      </c>
      <c r="F14287" s="515" t="s">
        <v>15470</v>
      </c>
      <c r="G14287" s="52">
        <v>1266926.78439161</v>
      </c>
      <c r="H14287" s="56">
        <v>6.2418455495190608E-2</v>
      </c>
      <c r="I14287" s="224" t="s">
        <v>2</v>
      </c>
    </row>
    <row r="14288" spans="1:9" x14ac:dyDescent="0.25">
      <c r="A14288" s="515">
        <v>18618</v>
      </c>
      <c r="B14288" s="515" t="s">
        <v>512</v>
      </c>
      <c r="C14288" s="52">
        <v>218854.829691021</v>
      </c>
      <c r="D14288" s="56">
        <v>4.2476208158419217E-2</v>
      </c>
      <c r="E14288" s="224" t="s">
        <v>2</v>
      </c>
      <c r="F14288" s="515" t="s">
        <v>15471</v>
      </c>
      <c r="G14288" s="52">
        <v>189437.32558139501</v>
      </c>
      <c r="H14288" s="56">
        <v>0</v>
      </c>
      <c r="I14288" s="224" t="s">
        <v>2</v>
      </c>
    </row>
    <row r="14289" spans="1:9" x14ac:dyDescent="0.25">
      <c r="A14289" s="515">
        <v>43910</v>
      </c>
      <c r="B14289" s="515" t="s">
        <v>389</v>
      </c>
      <c r="C14289" s="52">
        <v>160558.435438696</v>
      </c>
      <c r="D14289" s="56">
        <v>4.0308793724266781E-2</v>
      </c>
      <c r="E14289" s="224" t="s">
        <v>2</v>
      </c>
      <c r="F14289" s="515" t="s">
        <v>15472</v>
      </c>
      <c r="G14289" s="52">
        <v>135521.60547734101</v>
      </c>
      <c r="H14289" s="56">
        <v>8.6411544406716445E-2</v>
      </c>
      <c r="I14289" s="224" t="s">
        <v>2</v>
      </c>
    </row>
    <row r="14290" spans="1:9" x14ac:dyDescent="0.25">
      <c r="A14290" s="515">
        <v>74058</v>
      </c>
      <c r="B14290" s="515" t="s">
        <v>348</v>
      </c>
      <c r="C14290" s="52">
        <v>116867.830838843</v>
      </c>
      <c r="D14290" s="56">
        <v>0.11055111273119617</v>
      </c>
      <c r="E14290" s="224" t="s">
        <v>2</v>
      </c>
      <c r="F14290" s="515" t="s">
        <v>15473</v>
      </c>
      <c r="G14290" s="52">
        <v>456840.31977247301</v>
      </c>
      <c r="H14290" s="56">
        <v>4.7563367488106689E-2</v>
      </c>
      <c r="I14290" s="224" t="s">
        <v>2</v>
      </c>
    </row>
    <row r="14291" spans="1:9" x14ac:dyDescent="0.25">
      <c r="A14291" s="515">
        <v>33043</v>
      </c>
      <c r="B14291" s="515" t="s">
        <v>572</v>
      </c>
      <c r="C14291" s="52">
        <v>750576.10827126098</v>
      </c>
      <c r="D14291" s="56">
        <v>0.19818105776466036</v>
      </c>
      <c r="E14291" s="224" t="s">
        <v>2</v>
      </c>
      <c r="F14291" s="515" t="s">
        <v>15474</v>
      </c>
      <c r="G14291" s="52">
        <v>137983.199681709</v>
      </c>
      <c r="H14291" s="56">
        <v>8.8365779758653187E-2</v>
      </c>
      <c r="I14291" s="224" t="s">
        <v>2</v>
      </c>
    </row>
    <row r="14292" spans="1:9" x14ac:dyDescent="0.25">
      <c r="A14292" s="515">
        <v>48006</v>
      </c>
      <c r="B14292" s="515" t="s">
        <v>685</v>
      </c>
      <c r="C14292" s="52">
        <v>254580.159717929</v>
      </c>
      <c r="D14292" s="56">
        <v>5.71716417359968E-2</v>
      </c>
      <c r="E14292" s="224" t="s">
        <v>2</v>
      </c>
      <c r="F14292" s="515" t="s">
        <v>15475</v>
      </c>
      <c r="G14292" s="52">
        <v>105416.861579394</v>
      </c>
      <c r="H14292" s="56">
        <v>0.12374551702056534</v>
      </c>
      <c r="I14292" s="224" t="s">
        <v>2</v>
      </c>
    </row>
    <row r="14293" spans="1:9" x14ac:dyDescent="0.25">
      <c r="A14293" s="515">
        <v>70357</v>
      </c>
      <c r="B14293" s="515" t="s">
        <v>898</v>
      </c>
      <c r="C14293" s="52">
        <v>62570.786678784003</v>
      </c>
      <c r="D14293" s="56">
        <v>-0.23756762813664703</v>
      </c>
      <c r="E14293" s="224" t="s">
        <v>2</v>
      </c>
      <c r="F14293" s="515" t="s">
        <v>15476</v>
      </c>
      <c r="G14293" s="52">
        <v>219527.826332411</v>
      </c>
      <c r="H14293" s="56">
        <v>9.5948987595268473E-2</v>
      </c>
      <c r="I14293" s="224" t="s">
        <v>2</v>
      </c>
    </row>
    <row r="14294" spans="1:9" x14ac:dyDescent="0.25">
      <c r="A14294" s="515">
        <v>78113</v>
      </c>
      <c r="C14294" s="52">
        <v>385252.27282407699</v>
      </c>
      <c r="D14294" s="56">
        <v>-3.7330028428266451E-2</v>
      </c>
      <c r="E14294" s="224" t="s">
        <v>2</v>
      </c>
      <c r="F14294" s="515" t="s">
        <v>15477</v>
      </c>
      <c r="G14294" s="52">
        <v>167112.35745772001</v>
      </c>
      <c r="H14294" s="56">
        <v>2.9899170632158457E-2</v>
      </c>
      <c r="I14294" s="224" t="s">
        <v>2</v>
      </c>
    </row>
    <row r="14295" spans="1:9" x14ac:dyDescent="0.25">
      <c r="A14295" s="515">
        <v>12885</v>
      </c>
      <c r="B14295" s="515" t="s">
        <v>422</v>
      </c>
      <c r="C14295" s="52">
        <v>204415.737285496</v>
      </c>
      <c r="D14295" s="56">
        <v>0.11566931433641303</v>
      </c>
      <c r="E14295" s="224" t="s">
        <v>2</v>
      </c>
      <c r="F14295" s="515" t="s">
        <v>15478</v>
      </c>
      <c r="G14295" s="52">
        <v>249189.48659795499</v>
      </c>
      <c r="H14295" s="56">
        <v>9.1222080045933587E-2</v>
      </c>
      <c r="I14295" s="224" t="s">
        <v>2</v>
      </c>
    </row>
    <row r="14296" spans="1:9" x14ac:dyDescent="0.25">
      <c r="A14296" s="515">
        <v>73463</v>
      </c>
      <c r="B14296" s="515" t="s">
        <v>710</v>
      </c>
      <c r="C14296" s="52">
        <v>135764.12494504699</v>
      </c>
      <c r="D14296" s="56">
        <v>0.12435659311299714</v>
      </c>
      <c r="E14296" s="224" t="s">
        <v>2</v>
      </c>
      <c r="F14296" s="515" t="s">
        <v>15479</v>
      </c>
      <c r="G14296" s="52">
        <v>259766.147415424</v>
      </c>
      <c r="H14296" s="56">
        <v>0.13455099319232044</v>
      </c>
      <c r="I14296" s="224" t="s">
        <v>2</v>
      </c>
    </row>
    <row r="14297" spans="1:9" x14ac:dyDescent="0.25">
      <c r="A14297" s="515">
        <v>51040</v>
      </c>
      <c r="C14297" s="52">
        <v>116826.294459827</v>
      </c>
      <c r="D14297" s="56">
        <v>6.9901506486912138E-2</v>
      </c>
      <c r="E14297" s="224" t="s">
        <v>2</v>
      </c>
      <c r="F14297" s="515" t="s">
        <v>15480</v>
      </c>
      <c r="G14297" s="52">
        <v>138603.94407744901</v>
      </c>
      <c r="H14297" s="56">
        <v>0.10604169401261765</v>
      </c>
      <c r="I14297" s="224" t="s">
        <v>2</v>
      </c>
    </row>
    <row r="14298" spans="1:9" x14ac:dyDescent="0.25">
      <c r="A14298" s="515">
        <v>75750</v>
      </c>
      <c r="B14298" s="515" t="s">
        <v>1157</v>
      </c>
      <c r="C14298" s="52">
        <v>217463.60881358199</v>
      </c>
      <c r="D14298" s="56">
        <v>9.1087860607263885E-2</v>
      </c>
      <c r="E14298" s="224" t="s">
        <v>2</v>
      </c>
      <c r="F14298" s="515" t="s">
        <v>15481</v>
      </c>
      <c r="G14298" s="52">
        <v>152834.49118503899</v>
      </c>
      <c r="H14298" s="56">
        <v>0</v>
      </c>
      <c r="I14298" s="224" t="s">
        <v>2</v>
      </c>
    </row>
    <row r="14299" spans="1:9" x14ac:dyDescent="0.25">
      <c r="A14299" s="515">
        <v>11796</v>
      </c>
      <c r="B14299" s="515" t="s">
        <v>324</v>
      </c>
      <c r="C14299" s="52">
        <v>539824.95751392504</v>
      </c>
      <c r="D14299" s="56">
        <v>1.3760819515180172E-2</v>
      </c>
      <c r="E14299" s="224" t="s">
        <v>2</v>
      </c>
      <c r="F14299" s="515" t="s">
        <v>15482</v>
      </c>
      <c r="G14299" s="52">
        <v>121666.585089527</v>
      </c>
      <c r="H14299" s="56">
        <v>5.6366448900361917E-2</v>
      </c>
      <c r="I14299" s="224" t="s">
        <v>2</v>
      </c>
    </row>
    <row r="14300" spans="1:9" x14ac:dyDescent="0.25">
      <c r="A14300" s="515">
        <v>55927</v>
      </c>
      <c r="B14300" s="515" t="s">
        <v>470</v>
      </c>
      <c r="C14300" s="52">
        <v>256450.249258464</v>
      </c>
      <c r="D14300" s="56">
        <v>5.8138304643350999E-2</v>
      </c>
      <c r="E14300" s="224" t="s">
        <v>2</v>
      </c>
      <c r="F14300" s="515" t="s">
        <v>15483</v>
      </c>
      <c r="G14300" s="52">
        <v>106602.942528735</v>
      </c>
      <c r="H14300" s="56">
        <v>0</v>
      </c>
      <c r="I14300" s="224" t="s">
        <v>2</v>
      </c>
    </row>
    <row r="14301" spans="1:9" x14ac:dyDescent="0.25">
      <c r="A14301" s="515">
        <v>45843</v>
      </c>
      <c r="C14301" s="52">
        <v>156984.98144397701</v>
      </c>
      <c r="D14301" s="56">
        <v>7.6520522884401518E-2</v>
      </c>
      <c r="E14301" s="224" t="s">
        <v>2</v>
      </c>
      <c r="F14301" s="515" t="s">
        <v>15484</v>
      </c>
      <c r="G14301" s="52">
        <v>434123.56658940698</v>
      </c>
      <c r="H14301" s="56">
        <v>7.3270665772585397E-2</v>
      </c>
      <c r="I14301" s="224" t="s">
        <v>2</v>
      </c>
    </row>
    <row r="14302" spans="1:9" x14ac:dyDescent="0.25">
      <c r="A14302" s="515">
        <v>42351</v>
      </c>
      <c r="B14302" s="515" t="s">
        <v>1024</v>
      </c>
      <c r="C14302" s="52">
        <v>159771.57625282399</v>
      </c>
      <c r="D14302" s="56">
        <v>0.13248268225367918</v>
      </c>
      <c r="E14302" s="224" t="s">
        <v>2</v>
      </c>
      <c r="F14302" s="515" t="s">
        <v>15485</v>
      </c>
      <c r="G14302" s="52">
        <v>245020.39346171901</v>
      </c>
      <c r="H14302" s="56">
        <v>-4.5373076219359333E-3</v>
      </c>
      <c r="I14302" s="224" t="s">
        <v>2</v>
      </c>
    </row>
    <row r="14303" spans="1:9" x14ac:dyDescent="0.25">
      <c r="A14303" s="515">
        <v>46553</v>
      </c>
      <c r="B14303" s="515" t="s">
        <v>1170</v>
      </c>
      <c r="C14303" s="52">
        <v>262375.77957602602</v>
      </c>
      <c r="D14303" s="56">
        <v>8.792108796193035E-2</v>
      </c>
      <c r="E14303" s="224" t="s">
        <v>2</v>
      </c>
      <c r="F14303" s="515" t="s">
        <v>15486</v>
      </c>
      <c r="G14303" s="52">
        <v>189778.05155756199</v>
      </c>
      <c r="H14303" s="56">
        <v>0.11683785792423224</v>
      </c>
      <c r="I14303" s="224" t="s">
        <v>2</v>
      </c>
    </row>
    <row r="14304" spans="1:9" x14ac:dyDescent="0.25">
      <c r="A14304" s="515">
        <v>54474</v>
      </c>
      <c r="B14304" s="515" t="s">
        <v>940</v>
      </c>
      <c r="C14304" s="52">
        <v>188494.982790265</v>
      </c>
      <c r="D14304" s="56">
        <v>5.3552245797451645E-2</v>
      </c>
      <c r="E14304" s="224" t="s">
        <v>2</v>
      </c>
      <c r="F14304" s="515" t="s">
        <v>15487</v>
      </c>
      <c r="G14304" s="52">
        <v>77913.656647695403</v>
      </c>
      <c r="H14304" s="56">
        <v>0.11196903305021881</v>
      </c>
      <c r="I14304" s="224" t="s">
        <v>2</v>
      </c>
    </row>
    <row r="14305" spans="1:9" x14ac:dyDescent="0.25">
      <c r="A14305" s="515">
        <v>55604</v>
      </c>
      <c r="C14305" s="52">
        <v>330194.56318200898</v>
      </c>
      <c r="D14305" s="56">
        <v>9.5903505464465369E-2</v>
      </c>
      <c r="E14305" s="224" t="s">
        <v>2</v>
      </c>
      <c r="F14305" s="515" t="s">
        <v>15488</v>
      </c>
      <c r="G14305" s="52">
        <v>1167234.5791058</v>
      </c>
      <c r="H14305" s="56">
        <v>0.15470336446282737</v>
      </c>
      <c r="I14305" s="224" t="s">
        <v>2</v>
      </c>
    </row>
    <row r="14306" spans="1:9" x14ac:dyDescent="0.25">
      <c r="A14306" s="515">
        <v>84528</v>
      </c>
      <c r="C14306" s="52">
        <v>221484.97448979499</v>
      </c>
      <c r="D14306" s="56">
        <v>0</v>
      </c>
      <c r="E14306" s="224" t="s">
        <v>2</v>
      </c>
      <c r="F14306" s="515" t="s">
        <v>15489</v>
      </c>
      <c r="G14306" s="52">
        <v>172664.32484076399</v>
      </c>
      <c r="H14306" s="56">
        <v>0</v>
      </c>
      <c r="I14306" s="224" t="s">
        <v>2</v>
      </c>
    </row>
    <row r="14307" spans="1:9" x14ac:dyDescent="0.25">
      <c r="A14307" s="515">
        <v>37307</v>
      </c>
      <c r="B14307" s="515" t="s">
        <v>918</v>
      </c>
      <c r="C14307" s="52">
        <v>206902.90376241901</v>
      </c>
      <c r="D14307" s="56">
        <v>7.3553178746052272E-2</v>
      </c>
      <c r="E14307" s="224" t="s">
        <v>2</v>
      </c>
      <c r="F14307" s="515" t="s">
        <v>15490</v>
      </c>
      <c r="G14307" s="52">
        <v>441428.30851073901</v>
      </c>
      <c r="H14307" s="56">
        <v>0.11671582752340598</v>
      </c>
      <c r="I14307" s="224">
        <v>2802.2222222222199</v>
      </c>
    </row>
    <row r="14308" spans="1:9" x14ac:dyDescent="0.25">
      <c r="A14308" s="515">
        <v>54874</v>
      </c>
      <c r="B14308" s="515" t="s">
        <v>350</v>
      </c>
      <c r="C14308" s="52">
        <v>212811.26997855</v>
      </c>
      <c r="D14308" s="56">
        <v>2.6431450237114674E-2</v>
      </c>
      <c r="E14308" s="224" t="s">
        <v>2</v>
      </c>
      <c r="F14308" s="515" t="s">
        <v>15491</v>
      </c>
      <c r="G14308" s="52">
        <v>661977.91497617401</v>
      </c>
      <c r="H14308" s="56">
        <v>6.5612259131267461E-2</v>
      </c>
      <c r="I14308" s="224" t="s">
        <v>2</v>
      </c>
    </row>
    <row r="14309" spans="1:9" x14ac:dyDescent="0.25">
      <c r="A14309" s="515">
        <v>7927</v>
      </c>
      <c r="B14309" s="515" t="s">
        <v>324</v>
      </c>
      <c r="C14309" s="52">
        <v>574190.30271905498</v>
      </c>
      <c r="D14309" s="56">
        <v>1.4944838563849426E-2</v>
      </c>
      <c r="E14309" s="224">
        <v>3031.88888888888</v>
      </c>
      <c r="F14309" s="515" t="s">
        <v>15492</v>
      </c>
      <c r="G14309" s="52">
        <v>240223.976580032</v>
      </c>
      <c r="H14309" s="56">
        <v>4.873599390948704E-2</v>
      </c>
      <c r="I14309" s="224" t="s">
        <v>2</v>
      </c>
    </row>
    <row r="14310" spans="1:9" x14ac:dyDescent="0.25">
      <c r="A14310" s="515">
        <v>35776</v>
      </c>
      <c r="B14310" s="515" t="s">
        <v>748</v>
      </c>
      <c r="C14310" s="52">
        <v>161417.543892774</v>
      </c>
      <c r="D14310" s="56">
        <v>0.13145303014850265</v>
      </c>
      <c r="E14310" s="224" t="s">
        <v>2</v>
      </c>
      <c r="F14310" s="515" t="s">
        <v>15493</v>
      </c>
      <c r="G14310" s="52">
        <v>331605.89558764</v>
      </c>
      <c r="H14310" s="56">
        <v>0.19692258410082969</v>
      </c>
      <c r="I14310" s="224" t="s">
        <v>2</v>
      </c>
    </row>
    <row r="14311" spans="1:9" x14ac:dyDescent="0.25">
      <c r="A14311" s="515">
        <v>27874</v>
      </c>
      <c r="B14311" s="515" t="s">
        <v>909</v>
      </c>
      <c r="C14311" s="52">
        <v>61088.393609100603</v>
      </c>
      <c r="D14311" s="56">
        <v>0.26361231192209056</v>
      </c>
      <c r="E14311" s="224" t="s">
        <v>2</v>
      </c>
      <c r="F14311" s="515" t="s">
        <v>15494</v>
      </c>
      <c r="G14311" s="52">
        <v>94607.070794290397</v>
      </c>
      <c r="H14311" s="56">
        <v>-1.9721049505885106E-2</v>
      </c>
      <c r="I14311" s="224" t="s">
        <v>2</v>
      </c>
    </row>
    <row r="14312" spans="1:9" x14ac:dyDescent="0.25">
      <c r="A14312" s="515">
        <v>35014</v>
      </c>
      <c r="B14312" s="515" t="s">
        <v>523</v>
      </c>
      <c r="C14312" s="52">
        <v>236740.320036105</v>
      </c>
      <c r="D14312" s="56">
        <v>-1.1261976867975726E-2</v>
      </c>
      <c r="E14312" s="224" t="s">
        <v>2</v>
      </c>
      <c r="F14312" s="515" t="s">
        <v>15495</v>
      </c>
      <c r="G14312" s="52">
        <v>246504.51868637701</v>
      </c>
      <c r="H14312" s="56">
        <v>6.7230087857652721E-2</v>
      </c>
      <c r="I14312" s="224" t="s">
        <v>2</v>
      </c>
    </row>
    <row r="14313" spans="1:9" x14ac:dyDescent="0.25">
      <c r="A14313" s="515">
        <v>16053</v>
      </c>
      <c r="B14313" s="515" t="s">
        <v>297</v>
      </c>
      <c r="C14313" s="52">
        <v>280560.97317095503</v>
      </c>
      <c r="D14313" s="56">
        <v>9.4571101826990717E-2</v>
      </c>
      <c r="E14313" s="224" t="s">
        <v>2</v>
      </c>
      <c r="F14313" s="515" t="s">
        <v>15496</v>
      </c>
      <c r="G14313" s="52">
        <v>187297.069958557</v>
      </c>
      <c r="H14313" s="56">
        <v>0.12287989826734506</v>
      </c>
      <c r="I14313" s="224" t="s">
        <v>2</v>
      </c>
    </row>
    <row r="14314" spans="1:9" x14ac:dyDescent="0.25">
      <c r="A14314" s="515">
        <v>47042</v>
      </c>
      <c r="C14314" s="52">
        <v>204524.91828331299</v>
      </c>
      <c r="D14314" s="56">
        <v>5.5711534427069921E-2</v>
      </c>
      <c r="E14314" s="224" t="s">
        <v>2</v>
      </c>
      <c r="F14314" s="515" t="s">
        <v>15497</v>
      </c>
      <c r="G14314" s="52">
        <v>275556.891655549</v>
      </c>
      <c r="H14314" s="56">
        <v>0.1076751132830702</v>
      </c>
      <c r="I14314" s="224">
        <v>1863.44444444444</v>
      </c>
    </row>
    <row r="14315" spans="1:9" x14ac:dyDescent="0.25">
      <c r="A14315" s="515">
        <v>66508</v>
      </c>
      <c r="C14315" s="52">
        <v>124424.10858846499</v>
      </c>
      <c r="D14315" s="56">
        <v>8.21160076782389E-2</v>
      </c>
      <c r="E14315" s="224" t="s">
        <v>2</v>
      </c>
      <c r="F14315" s="515" t="s">
        <v>15498</v>
      </c>
      <c r="G14315" s="52">
        <v>65933.663884807902</v>
      </c>
      <c r="H14315" s="56">
        <v>8.3744345986764709E-2</v>
      </c>
      <c r="I14315" s="224" t="s">
        <v>2</v>
      </c>
    </row>
    <row r="14316" spans="1:9" x14ac:dyDescent="0.25">
      <c r="A14316" s="515">
        <v>12580</v>
      </c>
      <c r="B14316" s="515" t="s">
        <v>529</v>
      </c>
      <c r="C14316" s="52">
        <v>394631.48254649498</v>
      </c>
      <c r="D14316" s="56">
        <v>6.9445127415527261E-2</v>
      </c>
      <c r="E14316" s="224" t="s">
        <v>2</v>
      </c>
      <c r="F14316" s="515" t="s">
        <v>15499</v>
      </c>
      <c r="G14316" s="52">
        <v>125929.133333333</v>
      </c>
      <c r="H14316" s="56">
        <v>0</v>
      </c>
      <c r="I14316" s="224" t="s">
        <v>2</v>
      </c>
    </row>
    <row r="14317" spans="1:9" x14ac:dyDescent="0.25">
      <c r="A14317" s="515">
        <v>13862</v>
      </c>
      <c r="B14317" s="515" t="s">
        <v>840</v>
      </c>
      <c r="C14317" s="52">
        <v>159901.52726503299</v>
      </c>
      <c r="D14317" s="56">
        <v>5.2080995187121372E-2</v>
      </c>
      <c r="E14317" s="224" t="s">
        <v>2</v>
      </c>
      <c r="F14317" s="515" t="s">
        <v>15500</v>
      </c>
      <c r="G14317" s="52">
        <v>223242.497987529</v>
      </c>
      <c r="H14317" s="56">
        <v>0.1148256989767488</v>
      </c>
      <c r="I14317" s="224" t="s">
        <v>2</v>
      </c>
    </row>
    <row r="14318" spans="1:9" x14ac:dyDescent="0.25">
      <c r="A14318" s="515">
        <v>26175</v>
      </c>
      <c r="C14318" s="52">
        <v>94962.244931862893</v>
      </c>
      <c r="D14318" s="56">
        <v>6.8710333078676467E-2</v>
      </c>
      <c r="E14318" s="224" t="s">
        <v>2</v>
      </c>
      <c r="F14318" s="515" t="s">
        <v>15501</v>
      </c>
      <c r="G14318" s="52">
        <v>169556.64410123599</v>
      </c>
      <c r="H14318" s="56">
        <v>2.6876400874932954E-2</v>
      </c>
      <c r="I14318" s="224" t="s">
        <v>2</v>
      </c>
    </row>
    <row r="14319" spans="1:9" x14ac:dyDescent="0.25">
      <c r="A14319" s="515">
        <v>70339</v>
      </c>
      <c r="B14319" s="515" t="s">
        <v>610</v>
      </c>
      <c r="C14319" s="52">
        <v>175368.844106317</v>
      </c>
      <c r="D14319" s="56">
        <v>0.12734540885660656</v>
      </c>
      <c r="E14319" s="224" t="s">
        <v>2</v>
      </c>
      <c r="F14319" s="515" t="s">
        <v>15502</v>
      </c>
      <c r="G14319" s="52">
        <v>169309.392545868</v>
      </c>
      <c r="H14319" s="56">
        <v>9.0192836883885061E-2</v>
      </c>
      <c r="I14319" s="224" t="s">
        <v>2</v>
      </c>
    </row>
    <row r="14320" spans="1:9" x14ac:dyDescent="0.25">
      <c r="A14320" s="515">
        <v>21849</v>
      </c>
      <c r="B14320" s="515" t="s">
        <v>552</v>
      </c>
      <c r="C14320" s="52">
        <v>241925.45427000799</v>
      </c>
      <c r="D14320" s="56">
        <v>4.4742953522326032E-2</v>
      </c>
      <c r="E14320" s="224" t="s">
        <v>2</v>
      </c>
      <c r="F14320" s="515" t="s">
        <v>15503</v>
      </c>
      <c r="G14320" s="52">
        <v>154188.412016435</v>
      </c>
      <c r="H14320" s="56">
        <v>2.8541259993517653E-2</v>
      </c>
      <c r="I14320" s="224" t="s">
        <v>2</v>
      </c>
    </row>
    <row r="14321" spans="1:9" x14ac:dyDescent="0.25">
      <c r="A14321" s="515">
        <v>48064</v>
      </c>
      <c r="B14321" s="515" t="s">
        <v>685</v>
      </c>
      <c r="C14321" s="52">
        <v>316737.29896151501</v>
      </c>
      <c r="D14321" s="56">
        <v>2.53072443425865E-2</v>
      </c>
      <c r="E14321" s="224" t="s">
        <v>2</v>
      </c>
      <c r="F14321" s="515" t="s">
        <v>15504</v>
      </c>
      <c r="G14321" s="52">
        <v>1656839.3979978999</v>
      </c>
      <c r="H14321" s="56">
        <v>0.20229834226762608</v>
      </c>
      <c r="I14321" s="224" t="s">
        <v>2</v>
      </c>
    </row>
    <row r="14322" spans="1:9" x14ac:dyDescent="0.25">
      <c r="A14322" s="515">
        <v>44680</v>
      </c>
      <c r="B14322" s="515" t="s">
        <v>309</v>
      </c>
      <c r="C14322" s="52">
        <v>220659.82503312299</v>
      </c>
      <c r="D14322" s="56">
        <v>5.9236637321171043E-2</v>
      </c>
      <c r="E14322" s="224" t="s">
        <v>2</v>
      </c>
      <c r="F14322" s="515" t="s">
        <v>15505</v>
      </c>
      <c r="G14322" s="52">
        <v>125634.67938283501</v>
      </c>
      <c r="H14322" s="56">
        <v>-2.4985798658548424E-2</v>
      </c>
      <c r="I14322" s="224" t="s">
        <v>2</v>
      </c>
    </row>
    <row r="14323" spans="1:9" x14ac:dyDescent="0.25">
      <c r="A14323" s="515">
        <v>17364</v>
      </c>
      <c r="B14323" s="515" t="s">
        <v>509</v>
      </c>
      <c r="C14323" s="52">
        <v>270635.714685085</v>
      </c>
      <c r="D14323" s="56">
        <v>9.5221342684994839E-2</v>
      </c>
      <c r="E14323" s="224" t="s">
        <v>2</v>
      </c>
      <c r="F14323" s="515" t="s">
        <v>15506</v>
      </c>
      <c r="G14323" s="52">
        <v>365430.89579262701</v>
      </c>
      <c r="H14323" s="56">
        <v>6.4331433977079536E-2</v>
      </c>
      <c r="I14323" s="224" t="s">
        <v>2</v>
      </c>
    </row>
    <row r="14324" spans="1:9" x14ac:dyDescent="0.25">
      <c r="A14324" s="515">
        <v>49657</v>
      </c>
      <c r="B14324" s="515" t="s">
        <v>937</v>
      </c>
      <c r="C14324" s="52">
        <v>183270.38958088899</v>
      </c>
      <c r="D14324" s="56">
        <v>4.8642690205448307E-2</v>
      </c>
      <c r="E14324" s="224" t="s">
        <v>2</v>
      </c>
      <c r="F14324" s="515" t="s">
        <v>15507</v>
      </c>
      <c r="G14324" s="52">
        <v>139536.969626292</v>
      </c>
      <c r="H14324" s="56">
        <v>4.4357011987153513E-2</v>
      </c>
      <c r="I14324" s="224" t="s">
        <v>2</v>
      </c>
    </row>
    <row r="14325" spans="1:9" x14ac:dyDescent="0.25">
      <c r="A14325" s="515">
        <v>37143</v>
      </c>
      <c r="B14325" s="515" t="s">
        <v>684</v>
      </c>
      <c r="C14325" s="52">
        <v>396473.38781875401</v>
      </c>
      <c r="D14325" s="56">
        <v>6.0570591238254624E-2</v>
      </c>
      <c r="E14325" s="224" t="s">
        <v>2</v>
      </c>
      <c r="F14325" s="515" t="s">
        <v>15508</v>
      </c>
      <c r="G14325" s="52">
        <v>329671.84509095101</v>
      </c>
      <c r="H14325" s="56">
        <v>4.3927635423942875E-4</v>
      </c>
      <c r="I14325" s="224" t="s">
        <v>2</v>
      </c>
    </row>
    <row r="14326" spans="1:9" x14ac:dyDescent="0.25">
      <c r="A14326" s="515">
        <v>39189</v>
      </c>
      <c r="C14326" s="52">
        <v>115034.68011175501</v>
      </c>
      <c r="D14326" s="56">
        <v>-2.6663391842561949E-2</v>
      </c>
      <c r="E14326" s="224" t="s">
        <v>2</v>
      </c>
      <c r="F14326" s="515" t="s">
        <v>15509</v>
      </c>
      <c r="G14326" s="52">
        <v>649935.64573596104</v>
      </c>
      <c r="H14326" s="56">
        <v>4.1948996913712053E-2</v>
      </c>
      <c r="I14326" s="224" t="s">
        <v>2</v>
      </c>
    </row>
    <row r="14327" spans="1:9" x14ac:dyDescent="0.25">
      <c r="A14327" s="515">
        <v>37183</v>
      </c>
      <c r="B14327" s="515" t="s">
        <v>1098</v>
      </c>
      <c r="C14327" s="52">
        <v>323829.13234795601</v>
      </c>
      <c r="D14327" s="56">
        <v>9.3076756737629066E-2</v>
      </c>
      <c r="E14327" s="224" t="s">
        <v>2</v>
      </c>
      <c r="F14327" s="515" t="s">
        <v>15510</v>
      </c>
      <c r="G14327" s="52">
        <v>77085.3710766773</v>
      </c>
      <c r="H14327" s="56">
        <v>0</v>
      </c>
      <c r="I14327" s="224" t="s">
        <v>2</v>
      </c>
    </row>
    <row r="14328" spans="1:9" x14ac:dyDescent="0.25">
      <c r="A14328" s="515">
        <v>4250</v>
      </c>
      <c r="B14328" s="515" t="s">
        <v>1120</v>
      </c>
      <c r="C14328" s="52">
        <v>271157.93298874499</v>
      </c>
      <c r="D14328" s="56">
        <v>0.10340645258845867</v>
      </c>
      <c r="E14328" s="224" t="s">
        <v>2</v>
      </c>
      <c r="F14328" s="515" t="s">
        <v>15511</v>
      </c>
      <c r="G14328" s="52">
        <v>292749.00361279497</v>
      </c>
      <c r="H14328" s="56">
        <v>0.18646872604639672</v>
      </c>
      <c r="I14328" s="224" t="s">
        <v>2</v>
      </c>
    </row>
    <row r="14329" spans="1:9" x14ac:dyDescent="0.25">
      <c r="A14329" s="515">
        <v>61528</v>
      </c>
      <c r="B14329" s="515" t="s">
        <v>303</v>
      </c>
      <c r="C14329" s="52">
        <v>297277.77394166897</v>
      </c>
      <c r="D14329" s="56">
        <v>4.3456687926595398E-2</v>
      </c>
      <c r="E14329" s="224" t="s">
        <v>2</v>
      </c>
      <c r="F14329" s="515" t="s">
        <v>15512</v>
      </c>
      <c r="G14329" s="52">
        <v>638126.08478711406</v>
      </c>
      <c r="H14329" s="56">
        <v>7.5360241849587839E-2</v>
      </c>
      <c r="I14329" s="224" t="s">
        <v>2</v>
      </c>
    </row>
    <row r="14330" spans="1:9" x14ac:dyDescent="0.25">
      <c r="A14330" s="515">
        <v>36320</v>
      </c>
      <c r="B14330" s="515" t="s">
        <v>816</v>
      </c>
      <c r="C14330" s="52">
        <v>133414.75737519001</v>
      </c>
      <c r="D14330" s="56">
        <v>7.8555483606004534E-2</v>
      </c>
      <c r="E14330" s="224" t="s">
        <v>2</v>
      </c>
      <c r="F14330" s="515" t="s">
        <v>15513</v>
      </c>
      <c r="G14330" s="52">
        <v>207076.83079806899</v>
      </c>
      <c r="H14330" s="56">
        <v>0.11305129168735027</v>
      </c>
      <c r="I14330" s="224" t="s">
        <v>2</v>
      </c>
    </row>
    <row r="14331" spans="1:9" x14ac:dyDescent="0.25">
      <c r="A14331" s="515">
        <v>99686</v>
      </c>
      <c r="C14331" s="52">
        <v>272636.27471422998</v>
      </c>
      <c r="D14331" s="56">
        <v>0</v>
      </c>
      <c r="E14331" s="224" t="s">
        <v>2</v>
      </c>
      <c r="F14331" s="515" t="s">
        <v>15514</v>
      </c>
      <c r="G14331" s="52">
        <v>108026.22477423601</v>
      </c>
      <c r="H14331" s="56">
        <v>7.5451820428913421E-2</v>
      </c>
      <c r="I14331" s="224" t="s">
        <v>2</v>
      </c>
    </row>
    <row r="14332" spans="1:9" x14ac:dyDescent="0.25">
      <c r="A14332" s="515">
        <v>40150</v>
      </c>
      <c r="B14332" s="515" t="s">
        <v>479</v>
      </c>
      <c r="C14332" s="52">
        <v>191207.92651829901</v>
      </c>
      <c r="D14332" s="56">
        <v>0.14161412273014415</v>
      </c>
      <c r="E14332" s="224" t="s">
        <v>2</v>
      </c>
      <c r="F14332" s="515" t="s">
        <v>15515</v>
      </c>
      <c r="G14332" s="52">
        <v>194475.89077823301</v>
      </c>
      <c r="H14332" s="56">
        <v>0</v>
      </c>
      <c r="I14332" s="224" t="s">
        <v>2</v>
      </c>
    </row>
    <row r="14333" spans="1:9" x14ac:dyDescent="0.25">
      <c r="A14333" s="515">
        <v>95634</v>
      </c>
      <c r="B14333" s="515" t="s">
        <v>355</v>
      </c>
      <c r="C14333" s="52">
        <v>406515.32263732899</v>
      </c>
      <c r="D14333" s="56">
        <v>-3.8410758744291111E-2</v>
      </c>
      <c r="E14333" s="224" t="s">
        <v>2</v>
      </c>
      <c r="F14333" s="515" t="s">
        <v>15516</v>
      </c>
      <c r="G14333" s="52">
        <v>72681.210618689103</v>
      </c>
      <c r="H14333" s="56">
        <v>5.3560060654662206E-2</v>
      </c>
      <c r="I14333" s="224" t="s">
        <v>2</v>
      </c>
    </row>
    <row r="14334" spans="1:9" x14ac:dyDescent="0.25">
      <c r="A14334" s="515">
        <v>40379</v>
      </c>
      <c r="B14334" s="515" t="s">
        <v>515</v>
      </c>
      <c r="C14334" s="52">
        <v>229214.98017030201</v>
      </c>
      <c r="D14334" s="56">
        <v>9.9628605078347407E-2</v>
      </c>
      <c r="E14334" s="224" t="s">
        <v>2</v>
      </c>
      <c r="F14334" s="515" t="s">
        <v>15517</v>
      </c>
      <c r="G14334" s="52">
        <v>41616.713803946797</v>
      </c>
      <c r="H14334" s="56">
        <v>0.13708430153587958</v>
      </c>
      <c r="I14334" s="224" t="s">
        <v>2</v>
      </c>
    </row>
    <row r="14335" spans="1:9" x14ac:dyDescent="0.25">
      <c r="A14335" s="515">
        <v>54661</v>
      </c>
      <c r="C14335" s="52">
        <v>276843.57971580903</v>
      </c>
      <c r="D14335" s="56">
        <v>1.3632104245628111E-2</v>
      </c>
      <c r="E14335" s="224" t="s">
        <v>2</v>
      </c>
      <c r="F14335" s="515" t="s">
        <v>15518</v>
      </c>
      <c r="G14335" s="52">
        <v>292402.80639206403</v>
      </c>
      <c r="H14335" s="56">
        <v>0.10893939435248941</v>
      </c>
      <c r="I14335" s="224" t="s">
        <v>2</v>
      </c>
    </row>
    <row r="14336" spans="1:9" x14ac:dyDescent="0.25">
      <c r="A14336" s="515">
        <v>95321</v>
      </c>
      <c r="B14336" s="515" t="s">
        <v>555</v>
      </c>
      <c r="C14336" s="52">
        <v>390060.39970486599</v>
      </c>
      <c r="D14336" s="56">
        <v>2.1931322136446104E-2</v>
      </c>
      <c r="E14336" s="224" t="s">
        <v>2</v>
      </c>
      <c r="F14336" s="515" t="s">
        <v>11121</v>
      </c>
      <c r="G14336" s="52">
        <v>139334.49109811301</v>
      </c>
      <c r="H14336" s="56">
        <v>8.6500790417652088E-2</v>
      </c>
      <c r="I14336" s="224" t="s">
        <v>2</v>
      </c>
    </row>
    <row r="14337" spans="1:9" x14ac:dyDescent="0.25">
      <c r="A14337" s="515">
        <v>17066</v>
      </c>
      <c r="B14337" s="515" t="s">
        <v>539</v>
      </c>
      <c r="C14337" s="52">
        <v>89964.943471745704</v>
      </c>
      <c r="D14337" s="56">
        <v>-5.5292043854182626E-3</v>
      </c>
      <c r="E14337" s="224" t="s">
        <v>2</v>
      </c>
      <c r="F14337" s="515" t="s">
        <v>15519</v>
      </c>
      <c r="G14337" s="52">
        <v>194942.556148095</v>
      </c>
      <c r="H14337" s="56">
        <v>0.14076112192807022</v>
      </c>
      <c r="I14337" s="224" t="s">
        <v>2</v>
      </c>
    </row>
    <row r="14338" spans="1:9" x14ac:dyDescent="0.25">
      <c r="A14338" s="515">
        <v>76664</v>
      </c>
      <c r="B14338" s="515" t="s">
        <v>1057</v>
      </c>
      <c r="C14338" s="52">
        <v>152229.401823897</v>
      </c>
      <c r="D14338" s="56">
        <v>0.10314560981202589</v>
      </c>
      <c r="E14338" s="224" t="s">
        <v>2</v>
      </c>
      <c r="F14338" s="515" t="s">
        <v>15520</v>
      </c>
      <c r="G14338" s="52">
        <v>182862.92071634499</v>
      </c>
      <c r="H14338" s="56">
        <v>6.5931873112871534E-2</v>
      </c>
      <c r="I14338" s="224" t="s">
        <v>2</v>
      </c>
    </row>
    <row r="14339" spans="1:9" x14ac:dyDescent="0.25">
      <c r="A14339" s="515">
        <v>95938</v>
      </c>
      <c r="B14339" s="515" t="s">
        <v>580</v>
      </c>
      <c r="C14339" s="52">
        <v>575165.30602088198</v>
      </c>
      <c r="D14339" s="56">
        <v>2.0657122068270427E-2</v>
      </c>
      <c r="E14339" s="224" t="s">
        <v>2</v>
      </c>
      <c r="F14339" s="515" t="s">
        <v>15521</v>
      </c>
      <c r="G14339" s="52">
        <v>265569.09055626398</v>
      </c>
      <c r="H14339" s="56">
        <v>0.12852199745234597</v>
      </c>
      <c r="I14339" s="224" t="s">
        <v>2</v>
      </c>
    </row>
    <row r="14340" spans="1:9" x14ac:dyDescent="0.25">
      <c r="A14340" s="515">
        <v>73054</v>
      </c>
      <c r="B14340" s="515" t="s">
        <v>385</v>
      </c>
      <c r="C14340" s="52">
        <v>214811.843806983</v>
      </c>
      <c r="D14340" s="56">
        <v>0.10224466880126021</v>
      </c>
      <c r="E14340" s="224" t="s">
        <v>2</v>
      </c>
      <c r="F14340" s="515" t="s">
        <v>15522</v>
      </c>
      <c r="G14340" s="52">
        <v>97134.780751848797</v>
      </c>
      <c r="H14340" s="56">
        <v>9.4673728851162806E-2</v>
      </c>
      <c r="I14340" s="224" t="s">
        <v>2</v>
      </c>
    </row>
    <row r="14341" spans="1:9" x14ac:dyDescent="0.25">
      <c r="A14341" s="515">
        <v>98257</v>
      </c>
      <c r="B14341" s="515" t="s">
        <v>454</v>
      </c>
      <c r="C14341" s="52">
        <v>371652.67069611198</v>
      </c>
      <c r="D14341" s="56">
        <v>-2.0141774315308811E-2</v>
      </c>
      <c r="E14341" s="224" t="s">
        <v>2</v>
      </c>
      <c r="F14341" s="515" t="s">
        <v>15523</v>
      </c>
      <c r="G14341" s="52">
        <v>165118.883686021</v>
      </c>
      <c r="H14341" s="56">
        <v>9.4377008499911832E-2</v>
      </c>
      <c r="I14341" s="224" t="s">
        <v>2</v>
      </c>
    </row>
    <row r="14342" spans="1:9" x14ac:dyDescent="0.25">
      <c r="A14342" s="515">
        <v>47018</v>
      </c>
      <c r="B14342" s="515" t="s">
        <v>344</v>
      </c>
      <c r="C14342" s="52">
        <v>228907.310533396</v>
      </c>
      <c r="D14342" s="56">
        <v>8.6329691031027403E-2</v>
      </c>
      <c r="E14342" s="224" t="s">
        <v>2</v>
      </c>
      <c r="F14342" s="515" t="s">
        <v>15524</v>
      </c>
      <c r="G14342" s="52">
        <v>110566.353957599</v>
      </c>
      <c r="H14342" s="56">
        <v>3.6835169475251915E-3</v>
      </c>
      <c r="I14342" s="224" t="s">
        <v>2</v>
      </c>
    </row>
    <row r="14343" spans="1:9" x14ac:dyDescent="0.25">
      <c r="A14343" s="515">
        <v>63771</v>
      </c>
      <c r="B14343" s="515" t="s">
        <v>356</v>
      </c>
      <c r="C14343" s="52">
        <v>128849.519270939</v>
      </c>
      <c r="D14343" s="56">
        <v>-6.9595342346610864E-3</v>
      </c>
      <c r="E14343" s="224" t="s">
        <v>2</v>
      </c>
      <c r="F14343" s="515" t="s">
        <v>15525</v>
      </c>
      <c r="G14343" s="52">
        <v>366795.39785804</v>
      </c>
      <c r="H14343" s="56">
        <v>3.0670546860808952E-2</v>
      </c>
      <c r="I14343" s="224" t="s">
        <v>2</v>
      </c>
    </row>
    <row r="14344" spans="1:9" x14ac:dyDescent="0.25">
      <c r="A14344" s="515">
        <v>32948</v>
      </c>
      <c r="B14344" s="515" t="s">
        <v>1176</v>
      </c>
      <c r="C14344" s="52">
        <v>314727.747137575</v>
      </c>
      <c r="D14344" s="56">
        <v>0.12427635520241745</v>
      </c>
      <c r="E14344" s="224" t="s">
        <v>2</v>
      </c>
      <c r="F14344" s="515" t="s">
        <v>15526</v>
      </c>
      <c r="G14344" s="52">
        <v>139518.172608958</v>
      </c>
      <c r="H14344" s="56">
        <v>0.13950434727494126</v>
      </c>
      <c r="I14344" s="224" t="s">
        <v>2</v>
      </c>
    </row>
    <row r="14345" spans="1:9" x14ac:dyDescent="0.25">
      <c r="A14345" s="515">
        <v>3839</v>
      </c>
      <c r="B14345" s="515" t="s">
        <v>534</v>
      </c>
      <c r="C14345" s="52">
        <v>338581.807246121</v>
      </c>
      <c r="D14345" s="56">
        <v>0.10568188663216685</v>
      </c>
      <c r="E14345" s="224" t="s">
        <v>2</v>
      </c>
      <c r="F14345" s="515" t="s">
        <v>15527</v>
      </c>
      <c r="G14345" s="52">
        <v>255373.32974255201</v>
      </c>
      <c r="H14345" s="56">
        <v>0.13324326735597969</v>
      </c>
      <c r="I14345" s="224" t="s">
        <v>2</v>
      </c>
    </row>
    <row r="14346" spans="1:9" x14ac:dyDescent="0.25">
      <c r="A14346" s="515">
        <v>62281</v>
      </c>
      <c r="B14346" s="515" t="s">
        <v>498</v>
      </c>
      <c r="C14346" s="52">
        <v>282317.37420182797</v>
      </c>
      <c r="D14346" s="56">
        <v>5.2945198393968926E-2</v>
      </c>
      <c r="E14346" s="224" t="s">
        <v>2</v>
      </c>
      <c r="F14346" s="515" t="s">
        <v>15528</v>
      </c>
      <c r="G14346" s="52">
        <v>215613.395363238</v>
      </c>
      <c r="H14346" s="56">
        <v>0.10768214913757457</v>
      </c>
      <c r="I14346" s="224" t="s">
        <v>2</v>
      </c>
    </row>
    <row r="14347" spans="1:9" x14ac:dyDescent="0.25">
      <c r="A14347" s="515">
        <v>38230</v>
      </c>
      <c r="B14347" s="515" t="s">
        <v>788</v>
      </c>
      <c r="C14347" s="52">
        <v>109711.71251120001</v>
      </c>
      <c r="D14347" s="56">
        <v>6.5382775310905306E-2</v>
      </c>
      <c r="E14347" s="224" t="s">
        <v>2</v>
      </c>
      <c r="F14347" s="515" t="s">
        <v>15529</v>
      </c>
      <c r="G14347" s="52">
        <v>317369.84116719401</v>
      </c>
      <c r="H14347" s="56">
        <v>2.6170319267997476E-2</v>
      </c>
      <c r="I14347" s="224" t="s">
        <v>2</v>
      </c>
    </row>
    <row r="14348" spans="1:9" x14ac:dyDescent="0.25">
      <c r="A14348" s="515">
        <v>13787</v>
      </c>
      <c r="B14348" s="515" t="s">
        <v>840</v>
      </c>
      <c r="C14348" s="52">
        <v>157402.12717888001</v>
      </c>
      <c r="D14348" s="56">
        <v>0.10017431578258348</v>
      </c>
      <c r="E14348" s="224" t="s">
        <v>2</v>
      </c>
      <c r="F14348" s="515" t="s">
        <v>15530</v>
      </c>
      <c r="G14348" s="52">
        <v>75287.639546561099</v>
      </c>
      <c r="H14348" s="56">
        <v>0</v>
      </c>
      <c r="I14348" s="224" t="s">
        <v>2</v>
      </c>
    </row>
    <row r="14349" spans="1:9" x14ac:dyDescent="0.25">
      <c r="A14349" s="515">
        <v>75561</v>
      </c>
      <c r="B14349" s="515" t="s">
        <v>390</v>
      </c>
      <c r="C14349" s="52">
        <v>129642.156373843</v>
      </c>
      <c r="D14349" s="56">
        <v>4.2637459403394293E-2</v>
      </c>
      <c r="E14349" s="224" t="s">
        <v>2</v>
      </c>
      <c r="F14349" s="515" t="s">
        <v>15531</v>
      </c>
      <c r="G14349" s="52">
        <v>363406.709734565</v>
      </c>
      <c r="H14349" s="56">
        <v>4.9217134627954913E-2</v>
      </c>
      <c r="I14349" s="224" t="s">
        <v>2</v>
      </c>
    </row>
    <row r="14350" spans="1:9" x14ac:dyDescent="0.25">
      <c r="A14350" s="515">
        <v>25962</v>
      </c>
      <c r="B14350" s="515" t="s">
        <v>566</v>
      </c>
      <c r="C14350" s="52">
        <v>94004.259636121904</v>
      </c>
      <c r="D14350" s="56">
        <v>0.16146814232885007</v>
      </c>
      <c r="E14350" s="224" t="s">
        <v>2</v>
      </c>
      <c r="F14350" s="515" t="s">
        <v>15532</v>
      </c>
      <c r="G14350" s="52">
        <v>366163.62969848397</v>
      </c>
      <c r="H14350" s="56">
        <v>8.7245827226547182E-2</v>
      </c>
      <c r="I14350" s="224" t="s">
        <v>2</v>
      </c>
    </row>
    <row r="14351" spans="1:9" x14ac:dyDescent="0.25">
      <c r="A14351" s="515">
        <v>48063</v>
      </c>
      <c r="B14351" s="515" t="s">
        <v>685</v>
      </c>
      <c r="C14351" s="52">
        <v>319956.172951377</v>
      </c>
      <c r="D14351" s="56">
        <v>6.3734522928555692E-2</v>
      </c>
      <c r="E14351" s="224" t="s">
        <v>2</v>
      </c>
      <c r="F14351" s="515" t="s">
        <v>15533</v>
      </c>
      <c r="G14351" s="52">
        <v>203852.878862371</v>
      </c>
      <c r="H14351" s="56">
        <v>0.12195358543574435</v>
      </c>
      <c r="I14351" s="224" t="s">
        <v>2</v>
      </c>
    </row>
    <row r="14352" spans="1:9" x14ac:dyDescent="0.25">
      <c r="A14352" s="515">
        <v>28585</v>
      </c>
      <c r="B14352" s="515" t="s">
        <v>574</v>
      </c>
      <c r="C14352" s="52">
        <v>125183.85724294699</v>
      </c>
      <c r="D14352" s="56">
        <v>0.23383162181712491</v>
      </c>
      <c r="E14352" s="224" t="s">
        <v>2</v>
      </c>
      <c r="F14352" s="515" t="s">
        <v>15534</v>
      </c>
      <c r="G14352" s="52">
        <v>193703.70370370301</v>
      </c>
      <c r="H14352" s="56">
        <v>0</v>
      </c>
      <c r="I14352" s="224" t="s">
        <v>2</v>
      </c>
    </row>
    <row r="14353" spans="1:9" x14ac:dyDescent="0.25">
      <c r="A14353" s="515">
        <v>75109</v>
      </c>
      <c r="B14353" s="515" t="s">
        <v>655</v>
      </c>
      <c r="C14353" s="52">
        <v>355635.80165532097</v>
      </c>
      <c r="D14353" s="56">
        <v>9.9897597544781239E-2</v>
      </c>
      <c r="E14353" s="224" t="s">
        <v>2</v>
      </c>
      <c r="F14353" s="515" t="s">
        <v>15535</v>
      </c>
      <c r="G14353" s="52">
        <v>243433.02789506401</v>
      </c>
      <c r="H14353" s="56">
        <v>7.1988206572260141E-2</v>
      </c>
      <c r="I14353" s="224" t="s">
        <v>2</v>
      </c>
    </row>
    <row r="14354" spans="1:9" x14ac:dyDescent="0.25">
      <c r="A14354" s="515">
        <v>16232</v>
      </c>
      <c r="C14354" s="52">
        <v>132913.565568238</v>
      </c>
      <c r="D14354" s="56">
        <v>1.5211086058857825E-2</v>
      </c>
      <c r="E14354" s="224" t="s">
        <v>2</v>
      </c>
      <c r="F14354" s="515" t="s">
        <v>15536</v>
      </c>
      <c r="G14354" s="52">
        <v>204265.95138721899</v>
      </c>
      <c r="H14354" s="56">
        <v>6.7502719081434279E-2</v>
      </c>
      <c r="I14354" s="224" t="s">
        <v>2</v>
      </c>
    </row>
    <row r="14355" spans="1:9" x14ac:dyDescent="0.25">
      <c r="A14355" s="515">
        <v>41059</v>
      </c>
      <c r="B14355" s="515" t="s">
        <v>344</v>
      </c>
      <c r="C14355" s="52">
        <v>205421.451788765</v>
      </c>
      <c r="D14355" s="56">
        <v>9.6847190189572177E-2</v>
      </c>
      <c r="E14355" s="224" t="s">
        <v>2</v>
      </c>
      <c r="F14355" s="515" t="s">
        <v>15537</v>
      </c>
      <c r="G14355" s="52">
        <v>148010.05342774701</v>
      </c>
      <c r="H14355" s="56">
        <v>3.5204763268101798E-2</v>
      </c>
      <c r="I14355" s="224" t="s">
        <v>2</v>
      </c>
    </row>
    <row r="14356" spans="1:9" x14ac:dyDescent="0.25">
      <c r="A14356" s="515">
        <v>98631</v>
      </c>
      <c r="C14356" s="52">
        <v>332188.865590095</v>
      </c>
      <c r="D14356" s="56">
        <v>3.909314083661504E-2</v>
      </c>
      <c r="E14356" s="224" t="s">
        <v>2</v>
      </c>
      <c r="F14356" s="515" t="s">
        <v>15538</v>
      </c>
      <c r="G14356" s="52">
        <v>82313.437788018404</v>
      </c>
      <c r="H14356" s="56">
        <v>0</v>
      </c>
      <c r="I14356" s="224" t="s">
        <v>2</v>
      </c>
    </row>
    <row r="14357" spans="1:9" x14ac:dyDescent="0.25">
      <c r="A14357" s="515">
        <v>48096</v>
      </c>
      <c r="B14357" s="515" t="s">
        <v>685</v>
      </c>
      <c r="C14357" s="52">
        <v>343282.84009869403</v>
      </c>
      <c r="D14357" s="56">
        <v>3.6584347343937708E-2</v>
      </c>
      <c r="E14357" s="224" t="s">
        <v>2</v>
      </c>
      <c r="F14357" s="515" t="s">
        <v>15539</v>
      </c>
      <c r="G14357" s="52">
        <v>175956.19561500801</v>
      </c>
      <c r="H14357" s="56">
        <v>3.2816743842015217E-2</v>
      </c>
      <c r="I14357" s="224" t="s">
        <v>2</v>
      </c>
    </row>
    <row r="14358" spans="1:9" x14ac:dyDescent="0.25">
      <c r="A14358" s="515">
        <v>84754</v>
      </c>
      <c r="C14358" s="52">
        <v>340339.58365850302</v>
      </c>
      <c r="D14358" s="56">
        <v>5.5140362176732315E-2</v>
      </c>
      <c r="E14358" s="224" t="s">
        <v>2</v>
      </c>
      <c r="F14358" s="515" t="s">
        <v>15540</v>
      </c>
      <c r="G14358" s="52">
        <v>204039.340496021</v>
      </c>
      <c r="H14358" s="56">
        <v>7.356854569139018E-2</v>
      </c>
      <c r="I14358" s="224" t="s">
        <v>2</v>
      </c>
    </row>
    <row r="14359" spans="1:9" x14ac:dyDescent="0.25">
      <c r="A14359" s="515">
        <v>37061</v>
      </c>
      <c r="C14359" s="52">
        <v>168201.65900052601</v>
      </c>
      <c r="D14359" s="56">
        <v>5.0906043596825705E-2</v>
      </c>
      <c r="E14359" s="224" t="s">
        <v>2</v>
      </c>
      <c r="F14359" s="515" t="s">
        <v>15541</v>
      </c>
      <c r="G14359" s="52">
        <v>136255.88134734801</v>
      </c>
      <c r="H14359" s="56">
        <v>0</v>
      </c>
      <c r="I14359" s="224" t="s">
        <v>2</v>
      </c>
    </row>
    <row r="14360" spans="1:9" x14ac:dyDescent="0.25">
      <c r="A14360" s="515">
        <v>72437</v>
      </c>
      <c r="B14360" s="515" t="s">
        <v>673</v>
      </c>
      <c r="C14360" s="52">
        <v>125277.24365</v>
      </c>
      <c r="D14360" s="56">
        <v>8.488998486774417E-2</v>
      </c>
      <c r="E14360" s="224" t="s">
        <v>2</v>
      </c>
      <c r="F14360" s="515" t="s">
        <v>15542</v>
      </c>
      <c r="G14360" s="52">
        <v>184069.64085360401</v>
      </c>
      <c r="H14360" s="56">
        <v>-4.6999890063543347E-2</v>
      </c>
      <c r="I14360" s="224" t="s">
        <v>2</v>
      </c>
    </row>
    <row r="14361" spans="1:9" x14ac:dyDescent="0.25">
      <c r="A14361" s="515">
        <v>52068</v>
      </c>
      <c r="B14361" s="515" t="s">
        <v>478</v>
      </c>
      <c r="C14361" s="52">
        <v>349130.71598536201</v>
      </c>
      <c r="D14361" s="56">
        <v>7.8885047842610204E-2</v>
      </c>
      <c r="E14361" s="224" t="s">
        <v>2</v>
      </c>
      <c r="F14361" s="515" t="s">
        <v>15543</v>
      </c>
      <c r="G14361" s="52">
        <v>103984.049101827</v>
      </c>
      <c r="H14361" s="56">
        <v>0.1217473570332978</v>
      </c>
      <c r="I14361" s="224" t="s">
        <v>2</v>
      </c>
    </row>
    <row r="14362" spans="1:9" x14ac:dyDescent="0.25">
      <c r="A14362" s="515">
        <v>18332</v>
      </c>
      <c r="B14362" s="515" t="s">
        <v>338</v>
      </c>
      <c r="C14362" s="52">
        <v>274840.43838055298</v>
      </c>
      <c r="D14362" s="56">
        <v>7.6466374257776484E-2</v>
      </c>
      <c r="E14362" s="224" t="s">
        <v>2</v>
      </c>
      <c r="F14362" s="515" t="s">
        <v>15544</v>
      </c>
      <c r="G14362" s="52">
        <v>1835907.5194796601</v>
      </c>
      <c r="H14362" s="56">
        <v>7.559953797351826E-2</v>
      </c>
      <c r="I14362" s="224" t="s">
        <v>2</v>
      </c>
    </row>
    <row r="14363" spans="1:9" x14ac:dyDescent="0.25">
      <c r="A14363" s="515">
        <v>4967</v>
      </c>
      <c r="C14363" s="52">
        <v>175041.158228279</v>
      </c>
      <c r="D14363" s="56">
        <v>0.14249755541176531</v>
      </c>
      <c r="E14363" s="224" t="s">
        <v>2</v>
      </c>
      <c r="F14363" s="515" t="s">
        <v>464</v>
      </c>
      <c r="G14363" s="52">
        <v>56433.993990919203</v>
      </c>
      <c r="H14363" s="56">
        <v>0.12467648601003051</v>
      </c>
      <c r="I14363" s="224" t="s">
        <v>2</v>
      </c>
    </row>
    <row r="14364" spans="1:9" x14ac:dyDescent="0.25">
      <c r="A14364" s="515">
        <v>21782</v>
      </c>
      <c r="B14364" s="515" t="s">
        <v>654</v>
      </c>
      <c r="C14364" s="52">
        <v>293924.94125866599</v>
      </c>
      <c r="D14364" s="56">
        <v>3.8307363187045605E-2</v>
      </c>
      <c r="E14364" s="224" t="s">
        <v>2</v>
      </c>
      <c r="F14364" s="515" t="s">
        <v>15545</v>
      </c>
      <c r="G14364" s="52">
        <v>96813.815033588704</v>
      </c>
      <c r="H14364" s="56">
        <v>5.1485843474526817E-2</v>
      </c>
      <c r="I14364" s="224" t="s">
        <v>2</v>
      </c>
    </row>
    <row r="14365" spans="1:9" x14ac:dyDescent="0.25">
      <c r="A14365" s="515">
        <v>54124</v>
      </c>
      <c r="B14365" s="515" t="s">
        <v>897</v>
      </c>
      <c r="C14365" s="52">
        <v>169216.776715321</v>
      </c>
      <c r="D14365" s="56">
        <v>8.3246831018741752E-2</v>
      </c>
      <c r="E14365" s="224" t="s">
        <v>2</v>
      </c>
      <c r="F14365" s="515" t="s">
        <v>15546</v>
      </c>
      <c r="G14365" s="52">
        <v>193918.69567957</v>
      </c>
      <c r="H14365" s="56">
        <v>9.5621123912955672E-2</v>
      </c>
      <c r="I14365" s="224" t="s">
        <v>2</v>
      </c>
    </row>
    <row r="14366" spans="1:9" x14ac:dyDescent="0.25">
      <c r="A14366" s="515">
        <v>11724</v>
      </c>
      <c r="B14366" s="515" t="s">
        <v>324</v>
      </c>
      <c r="C14366" s="52">
        <v>1464288.80781881</v>
      </c>
      <c r="D14366" s="56">
        <v>6.4087320607007156E-2</v>
      </c>
      <c r="E14366" s="224" t="s">
        <v>2</v>
      </c>
      <c r="F14366" s="515" t="s">
        <v>15547</v>
      </c>
      <c r="G14366" s="52">
        <v>207908.494407783</v>
      </c>
      <c r="H14366" s="56">
        <v>-1.4746640612266425E-2</v>
      </c>
      <c r="I14366" s="224" t="s">
        <v>2</v>
      </c>
    </row>
    <row r="14367" spans="1:9" x14ac:dyDescent="0.25">
      <c r="A14367" s="515">
        <v>4849</v>
      </c>
      <c r="C14367" s="52">
        <v>387120.55051627802</v>
      </c>
      <c r="D14367" s="56">
        <v>5.5840980297437094E-2</v>
      </c>
      <c r="E14367" s="224" t="s">
        <v>2</v>
      </c>
      <c r="F14367" s="515" t="s">
        <v>15548</v>
      </c>
      <c r="G14367" s="52">
        <v>168279.47388046101</v>
      </c>
      <c r="H14367" s="56">
        <v>9.6561594244966728E-2</v>
      </c>
      <c r="I14367" s="224" t="s">
        <v>2</v>
      </c>
    </row>
    <row r="14368" spans="1:9" x14ac:dyDescent="0.25">
      <c r="A14368" s="515">
        <v>52327</v>
      </c>
      <c r="B14368" s="515" t="s">
        <v>587</v>
      </c>
      <c r="C14368" s="52">
        <v>282823.45581006398</v>
      </c>
      <c r="D14368" s="56">
        <v>0.10578177871263676</v>
      </c>
      <c r="E14368" s="224" t="s">
        <v>2</v>
      </c>
      <c r="F14368" s="515" t="s">
        <v>15549</v>
      </c>
      <c r="G14368" s="52">
        <v>120606.19538079599</v>
      </c>
      <c r="H14368" s="56">
        <v>0.10560892213917476</v>
      </c>
      <c r="I14368" s="224" t="s">
        <v>2</v>
      </c>
    </row>
    <row r="14369" spans="1:9" x14ac:dyDescent="0.25">
      <c r="A14369" s="515">
        <v>76487</v>
      </c>
      <c r="B14369" s="515" t="s">
        <v>458</v>
      </c>
      <c r="C14369" s="52">
        <v>432170.10302258201</v>
      </c>
      <c r="D14369" s="56">
        <v>6.415497415531316E-3</v>
      </c>
      <c r="E14369" s="224" t="s">
        <v>2</v>
      </c>
      <c r="F14369" s="515" t="s">
        <v>15550</v>
      </c>
      <c r="G14369" s="52">
        <v>132592.62123477799</v>
      </c>
      <c r="H14369" s="56">
        <v>7.8463196701368934E-2</v>
      </c>
      <c r="I14369" s="224" t="s">
        <v>2</v>
      </c>
    </row>
    <row r="14370" spans="1:9" x14ac:dyDescent="0.25">
      <c r="A14370" s="515">
        <v>49274</v>
      </c>
      <c r="B14370" s="515" t="s">
        <v>971</v>
      </c>
      <c r="C14370" s="52">
        <v>162791.34162187399</v>
      </c>
      <c r="D14370" s="56">
        <v>2.3207815217684009E-2</v>
      </c>
      <c r="E14370" s="224" t="s">
        <v>2</v>
      </c>
      <c r="F14370" s="515" t="s">
        <v>15551</v>
      </c>
      <c r="G14370" s="52">
        <v>101689.80007781</v>
      </c>
      <c r="H14370" s="56">
        <v>4.6155265574528322E-2</v>
      </c>
      <c r="I14370" s="224" t="s">
        <v>2</v>
      </c>
    </row>
    <row r="14371" spans="1:9" x14ac:dyDescent="0.25">
      <c r="A14371" s="515">
        <v>42442</v>
      </c>
      <c r="B14371" s="515" t="s">
        <v>598</v>
      </c>
      <c r="C14371" s="52">
        <v>90091.339789049205</v>
      </c>
      <c r="D14371" s="56">
        <v>0.14963344542780033</v>
      </c>
      <c r="E14371" s="224" t="s">
        <v>2</v>
      </c>
      <c r="F14371" s="515" t="s">
        <v>15552</v>
      </c>
      <c r="G14371" s="52">
        <v>171596.00230218601</v>
      </c>
      <c r="H14371" s="56">
        <v>0.10597091705550576</v>
      </c>
      <c r="I14371" s="224" t="s">
        <v>2</v>
      </c>
    </row>
    <row r="14372" spans="1:9" x14ac:dyDescent="0.25">
      <c r="A14372" s="515">
        <v>75117</v>
      </c>
      <c r="C14372" s="52">
        <v>241227.245454858</v>
      </c>
      <c r="D14372" s="56">
        <v>2.5974069314564436E-2</v>
      </c>
      <c r="E14372" s="224" t="s">
        <v>2</v>
      </c>
      <c r="F14372" s="515" t="s">
        <v>15553</v>
      </c>
      <c r="G14372" s="52">
        <v>181237.01694915199</v>
      </c>
      <c r="H14372" s="56">
        <v>0</v>
      </c>
      <c r="I14372" s="224" t="s">
        <v>2</v>
      </c>
    </row>
    <row r="14373" spans="1:9" x14ac:dyDescent="0.25">
      <c r="A14373" s="515">
        <v>47124</v>
      </c>
      <c r="B14373" s="515" t="s">
        <v>479</v>
      </c>
      <c r="C14373" s="52">
        <v>296461.77991542401</v>
      </c>
      <c r="D14373" s="56">
        <v>4.8082700102579819E-2</v>
      </c>
      <c r="E14373" s="224" t="s">
        <v>2</v>
      </c>
      <c r="F14373" s="515" t="s">
        <v>15554</v>
      </c>
      <c r="G14373" s="52">
        <v>369765.351354087</v>
      </c>
      <c r="H14373" s="56">
        <v>1.1770090808386367E-2</v>
      </c>
      <c r="I14373" s="224" t="s">
        <v>2</v>
      </c>
    </row>
    <row r="14374" spans="1:9" x14ac:dyDescent="0.25">
      <c r="A14374" s="515">
        <v>65770</v>
      </c>
      <c r="B14374" s="515" t="s">
        <v>603</v>
      </c>
      <c r="C14374" s="52">
        <v>240591.46501537101</v>
      </c>
      <c r="D14374" s="56">
        <v>0.15265246366755905</v>
      </c>
      <c r="E14374" s="224" t="s">
        <v>2</v>
      </c>
      <c r="F14374" s="515" t="s">
        <v>15555</v>
      </c>
      <c r="G14374" s="52">
        <v>194973.940402176</v>
      </c>
      <c r="H14374" s="56">
        <v>0.13073738334684493</v>
      </c>
      <c r="I14374" s="224" t="s">
        <v>2</v>
      </c>
    </row>
    <row r="14375" spans="1:9" x14ac:dyDescent="0.25">
      <c r="A14375" s="515">
        <v>70085</v>
      </c>
      <c r="B14375" s="515" t="s">
        <v>777</v>
      </c>
      <c r="C14375" s="52">
        <v>138801.905220958</v>
      </c>
      <c r="D14375" s="56">
        <v>4.3979835572753954E-3</v>
      </c>
      <c r="E14375" s="224" t="s">
        <v>2</v>
      </c>
      <c r="F14375" s="515" t="s">
        <v>15556</v>
      </c>
      <c r="G14375" s="52">
        <v>141943.94347450399</v>
      </c>
      <c r="H14375" s="56">
        <v>0.16772942549339065</v>
      </c>
      <c r="I14375" s="224" t="s">
        <v>2</v>
      </c>
    </row>
    <row r="14376" spans="1:9" x14ac:dyDescent="0.25">
      <c r="A14376" s="515">
        <v>61542</v>
      </c>
      <c r="B14376" s="515" t="s">
        <v>303</v>
      </c>
      <c r="C14376" s="52">
        <v>80683.886443228505</v>
      </c>
      <c r="D14376" s="56">
        <v>6.6308131996569389E-2</v>
      </c>
      <c r="E14376" s="224" t="s">
        <v>2</v>
      </c>
      <c r="F14376" s="515" t="s">
        <v>15557</v>
      </c>
      <c r="G14376" s="52">
        <v>647896.80525185796</v>
      </c>
      <c r="H14376" s="56">
        <v>7.8415008368881392E-2</v>
      </c>
      <c r="I14376" s="224" t="s">
        <v>2</v>
      </c>
    </row>
    <row r="14377" spans="1:9" x14ac:dyDescent="0.25">
      <c r="A14377" s="515">
        <v>79027</v>
      </c>
      <c r="C14377" s="52">
        <v>79518.481056251199</v>
      </c>
      <c r="D14377" s="56">
        <v>-5.2751164692745607E-2</v>
      </c>
      <c r="E14377" s="224" t="s">
        <v>2</v>
      </c>
      <c r="F14377" s="515" t="s">
        <v>15558</v>
      </c>
      <c r="G14377" s="52">
        <v>98848.450671049402</v>
      </c>
      <c r="H14377" s="56">
        <v>0.1383014682378326</v>
      </c>
      <c r="I14377" s="224" t="s">
        <v>2</v>
      </c>
    </row>
    <row r="14378" spans="1:9" x14ac:dyDescent="0.25">
      <c r="A14378" s="515">
        <v>32464</v>
      </c>
      <c r="C14378" s="52">
        <v>177835.811900184</v>
      </c>
      <c r="D14378" s="56">
        <v>6.3917261628358632E-2</v>
      </c>
      <c r="E14378" s="224" t="s">
        <v>2</v>
      </c>
      <c r="F14378" s="515" t="s">
        <v>15559</v>
      </c>
      <c r="G14378" s="52">
        <v>335680.15750430903</v>
      </c>
      <c r="H14378" s="56">
        <v>4.0599529532271063E-2</v>
      </c>
      <c r="I14378" s="224" t="s">
        <v>2</v>
      </c>
    </row>
    <row r="14379" spans="1:9" x14ac:dyDescent="0.25">
      <c r="A14379" s="515">
        <v>14712</v>
      </c>
      <c r="B14379" s="515" t="s">
        <v>560</v>
      </c>
      <c r="C14379" s="52">
        <v>290172.68685173499</v>
      </c>
      <c r="D14379" s="56">
        <v>7.7034425566344544E-2</v>
      </c>
      <c r="E14379" s="224" t="s">
        <v>2</v>
      </c>
      <c r="F14379" s="515" t="s">
        <v>15560</v>
      </c>
      <c r="G14379" s="52">
        <v>143802.820693088</v>
      </c>
      <c r="H14379" s="56">
        <v>4.2329212932895412E-2</v>
      </c>
      <c r="I14379" s="224" t="s">
        <v>2</v>
      </c>
    </row>
    <row r="14380" spans="1:9" x14ac:dyDescent="0.25">
      <c r="A14380" s="515">
        <v>27207</v>
      </c>
      <c r="B14380" s="515" t="s">
        <v>467</v>
      </c>
      <c r="C14380" s="52">
        <v>277373.13551260199</v>
      </c>
      <c r="D14380" s="56">
        <v>6.9864261989908374E-2</v>
      </c>
      <c r="E14380" s="224" t="s">
        <v>2</v>
      </c>
      <c r="F14380" s="515" t="s">
        <v>15561</v>
      </c>
      <c r="G14380" s="52">
        <v>116107.346799529</v>
      </c>
      <c r="H14380" s="56">
        <v>3.1267944000284098E-2</v>
      </c>
      <c r="I14380" s="224" t="s">
        <v>2</v>
      </c>
    </row>
    <row r="14381" spans="1:9" x14ac:dyDescent="0.25">
      <c r="A14381" s="515">
        <v>46573</v>
      </c>
      <c r="B14381" s="515" t="s">
        <v>1002</v>
      </c>
      <c r="C14381" s="52">
        <v>263408.89914921299</v>
      </c>
      <c r="D14381" s="56">
        <v>6.228286794012608E-2</v>
      </c>
      <c r="E14381" s="224" t="s">
        <v>2</v>
      </c>
      <c r="F14381" s="515" t="s">
        <v>15562</v>
      </c>
      <c r="G14381" s="52">
        <v>205491.31691239201</v>
      </c>
      <c r="H14381" s="56">
        <v>1.927611315779015E-2</v>
      </c>
      <c r="I14381" s="224" t="s">
        <v>2</v>
      </c>
    </row>
    <row r="14382" spans="1:9" x14ac:dyDescent="0.25">
      <c r="A14382" s="515">
        <v>18942</v>
      </c>
      <c r="B14382" s="515" t="s">
        <v>294</v>
      </c>
      <c r="C14382" s="52">
        <v>506300.54089736799</v>
      </c>
      <c r="D14382" s="56">
        <v>8.0739648677376069E-2</v>
      </c>
      <c r="E14382" s="224" t="s">
        <v>2</v>
      </c>
      <c r="F14382" s="515" t="s">
        <v>15563</v>
      </c>
      <c r="G14382" s="52">
        <v>76746.409300227198</v>
      </c>
      <c r="H14382" s="56">
        <v>0.10268993683264709</v>
      </c>
      <c r="I14382" s="224" t="s">
        <v>2</v>
      </c>
    </row>
    <row r="14383" spans="1:9" x14ac:dyDescent="0.25">
      <c r="A14383" s="515">
        <v>30565</v>
      </c>
      <c r="B14383" s="515" t="s">
        <v>1175</v>
      </c>
      <c r="C14383" s="52">
        <v>259751.784938</v>
      </c>
      <c r="D14383" s="56">
        <v>3.9318563769096836E-2</v>
      </c>
      <c r="E14383" s="224" t="s">
        <v>2</v>
      </c>
      <c r="F14383" s="515" t="s">
        <v>15564</v>
      </c>
      <c r="G14383" s="52">
        <v>54873.9723993359</v>
      </c>
      <c r="H14383" s="56">
        <v>0.22108212503789659</v>
      </c>
      <c r="I14383" s="224" t="s">
        <v>2</v>
      </c>
    </row>
    <row r="14384" spans="1:9" x14ac:dyDescent="0.25">
      <c r="A14384" s="515">
        <v>56441</v>
      </c>
      <c r="B14384" s="515" t="s">
        <v>674</v>
      </c>
      <c r="C14384" s="52">
        <v>198109.73594435299</v>
      </c>
      <c r="D14384" s="56">
        <v>9.6548975200326376E-2</v>
      </c>
      <c r="E14384" s="224" t="s">
        <v>2</v>
      </c>
      <c r="F14384" s="515" t="s">
        <v>15565</v>
      </c>
      <c r="G14384" s="52">
        <v>423591.943181818</v>
      </c>
      <c r="H14384" s="56">
        <v>0</v>
      </c>
      <c r="I14384" s="224" t="s">
        <v>2</v>
      </c>
    </row>
    <row r="14385" spans="1:9" x14ac:dyDescent="0.25">
      <c r="A14385" s="515">
        <v>96725</v>
      </c>
      <c r="B14385" s="515" t="s">
        <v>399</v>
      </c>
      <c r="C14385" s="52">
        <v>953639.49260055798</v>
      </c>
      <c r="D14385" s="56">
        <v>0.10739855501127603</v>
      </c>
      <c r="E14385" s="224" t="s">
        <v>2</v>
      </c>
      <c r="F14385" s="515" t="s">
        <v>15566</v>
      </c>
      <c r="G14385" s="52">
        <v>741211.26035542495</v>
      </c>
      <c r="H14385" s="56">
        <v>4.3739758593306567E-2</v>
      </c>
      <c r="I14385" s="224" t="s">
        <v>2</v>
      </c>
    </row>
    <row r="14386" spans="1:9" x14ac:dyDescent="0.25">
      <c r="A14386" s="515">
        <v>38257</v>
      </c>
      <c r="B14386" s="515" t="s">
        <v>1044</v>
      </c>
      <c r="C14386" s="52">
        <v>119850.28811722599</v>
      </c>
      <c r="D14386" s="56">
        <v>6.0332629512478551E-2</v>
      </c>
      <c r="E14386" s="224" t="s">
        <v>2</v>
      </c>
      <c r="F14386" s="515" t="s">
        <v>15567</v>
      </c>
      <c r="G14386" s="52">
        <v>227732.01080901601</v>
      </c>
      <c r="H14386" s="56">
        <v>4.9665874249113881E-2</v>
      </c>
      <c r="I14386" s="224" t="s">
        <v>2</v>
      </c>
    </row>
    <row r="14387" spans="1:9" x14ac:dyDescent="0.25">
      <c r="A14387" s="515">
        <v>73538</v>
      </c>
      <c r="B14387" s="515" t="s">
        <v>364</v>
      </c>
      <c r="C14387" s="52">
        <v>252149.87885425199</v>
      </c>
      <c r="D14387" s="56">
        <v>8.3161354421602995E-2</v>
      </c>
      <c r="E14387" s="224" t="s">
        <v>2</v>
      </c>
      <c r="F14387" s="515" t="s">
        <v>15568</v>
      </c>
      <c r="G14387" s="52">
        <v>350237.80551766598</v>
      </c>
      <c r="H14387" s="56">
        <v>3.937352006538411E-2</v>
      </c>
      <c r="I14387" s="224" t="s">
        <v>2</v>
      </c>
    </row>
    <row r="14388" spans="1:9" x14ac:dyDescent="0.25">
      <c r="A14388" s="515">
        <v>71245</v>
      </c>
      <c r="B14388" s="515" t="s">
        <v>1155</v>
      </c>
      <c r="C14388" s="52">
        <v>119890.911232588</v>
      </c>
      <c r="D14388" s="56">
        <v>1.3484011583061211E-2</v>
      </c>
      <c r="E14388" s="224" t="s">
        <v>2</v>
      </c>
      <c r="F14388" s="515" t="s">
        <v>15569</v>
      </c>
      <c r="G14388" s="52">
        <v>138574.85823202899</v>
      </c>
      <c r="H14388" s="56">
        <v>0</v>
      </c>
      <c r="I14388" s="224" t="s">
        <v>2</v>
      </c>
    </row>
    <row r="14389" spans="1:9" x14ac:dyDescent="0.25">
      <c r="A14389" s="515">
        <v>49765</v>
      </c>
      <c r="C14389" s="52">
        <v>126768.89250577999</v>
      </c>
      <c r="D14389" s="56">
        <v>9.49971910406293E-2</v>
      </c>
      <c r="E14389" s="224" t="s">
        <v>2</v>
      </c>
      <c r="F14389" s="515" t="s">
        <v>15570</v>
      </c>
      <c r="G14389" s="52">
        <v>114830.79065136801</v>
      </c>
      <c r="H14389" s="56">
        <v>3.0829877841284804E-2</v>
      </c>
      <c r="I14389" s="224" t="s">
        <v>2</v>
      </c>
    </row>
    <row r="14390" spans="1:9" x14ac:dyDescent="0.25">
      <c r="A14390" s="515">
        <v>54170</v>
      </c>
      <c r="B14390" s="515" t="s">
        <v>821</v>
      </c>
      <c r="C14390" s="52">
        <v>233584.12444773901</v>
      </c>
      <c r="D14390" s="56">
        <v>6.8627021008695097E-2</v>
      </c>
      <c r="E14390" s="224" t="s">
        <v>2</v>
      </c>
      <c r="F14390" s="515" t="s">
        <v>15571</v>
      </c>
      <c r="G14390" s="52">
        <v>149614.493153577</v>
      </c>
      <c r="H14390" s="56">
        <v>9.7071323539256502E-2</v>
      </c>
      <c r="I14390" s="224" t="s">
        <v>2</v>
      </c>
    </row>
    <row r="14391" spans="1:9" x14ac:dyDescent="0.25">
      <c r="A14391" s="515">
        <v>56057</v>
      </c>
      <c r="B14391" s="515" t="s">
        <v>532</v>
      </c>
      <c r="C14391" s="52">
        <v>269258.470220847</v>
      </c>
      <c r="D14391" s="56">
        <v>8.8717970104371824E-2</v>
      </c>
      <c r="E14391" s="224" t="s">
        <v>2</v>
      </c>
      <c r="F14391" s="515" t="s">
        <v>15572</v>
      </c>
      <c r="G14391" s="52">
        <v>322366.35904801299</v>
      </c>
      <c r="H14391" s="56">
        <v>5.9790703255779773E-2</v>
      </c>
      <c r="I14391" s="224" t="s">
        <v>2</v>
      </c>
    </row>
    <row r="14392" spans="1:9" x14ac:dyDescent="0.25">
      <c r="A14392" s="515">
        <v>84745</v>
      </c>
      <c r="B14392" s="515" t="s">
        <v>522</v>
      </c>
      <c r="C14392" s="52">
        <v>412830.00580629701</v>
      </c>
      <c r="D14392" s="56">
        <v>2.8002175754970708E-3</v>
      </c>
      <c r="E14392" s="224" t="s">
        <v>2</v>
      </c>
      <c r="F14392" s="515" t="s">
        <v>15573</v>
      </c>
      <c r="G14392" s="52">
        <v>323635.64808058197</v>
      </c>
      <c r="H14392" s="56">
        <v>9.8851839485939536E-2</v>
      </c>
      <c r="I14392" s="224" t="s">
        <v>2</v>
      </c>
    </row>
    <row r="14393" spans="1:9" x14ac:dyDescent="0.25">
      <c r="A14393" s="515">
        <v>50063</v>
      </c>
      <c r="B14393" s="515" t="s">
        <v>295</v>
      </c>
      <c r="C14393" s="52">
        <v>286779.21422458999</v>
      </c>
      <c r="D14393" s="56">
        <v>5.0381689908469217E-2</v>
      </c>
      <c r="E14393" s="224" t="s">
        <v>2</v>
      </c>
      <c r="F14393" s="515" t="s">
        <v>15574</v>
      </c>
      <c r="G14393" s="52">
        <v>231301.40781609601</v>
      </c>
      <c r="H14393" s="56">
        <v>7.3095054626296965E-2</v>
      </c>
      <c r="I14393" s="224" t="s">
        <v>2</v>
      </c>
    </row>
    <row r="14394" spans="1:9" x14ac:dyDescent="0.25">
      <c r="A14394" s="515">
        <v>35456</v>
      </c>
      <c r="B14394" s="515" t="s">
        <v>841</v>
      </c>
      <c r="C14394" s="52">
        <v>166877.716569357</v>
      </c>
      <c r="D14394" s="56">
        <v>6.7212986818690756E-2</v>
      </c>
      <c r="E14394" s="224" t="s">
        <v>2</v>
      </c>
      <c r="F14394" s="515" t="s">
        <v>15575</v>
      </c>
      <c r="G14394" s="52">
        <v>139368.335882093</v>
      </c>
      <c r="H14394" s="56">
        <v>6.6023209547890496E-2</v>
      </c>
      <c r="I14394" s="224" t="s">
        <v>2</v>
      </c>
    </row>
    <row r="14395" spans="1:9" x14ac:dyDescent="0.25">
      <c r="A14395" s="515">
        <v>54421</v>
      </c>
      <c r="B14395" s="515" t="s">
        <v>940</v>
      </c>
      <c r="C14395" s="52">
        <v>146889.79611845801</v>
      </c>
      <c r="D14395" s="56">
        <v>3.2566444147480521E-2</v>
      </c>
      <c r="E14395" s="224" t="s">
        <v>2</v>
      </c>
      <c r="F14395" s="515" t="s">
        <v>15576</v>
      </c>
      <c r="G14395" s="52">
        <v>129140.049936778</v>
      </c>
      <c r="H14395" s="56">
        <v>1.5705102320388076E-2</v>
      </c>
      <c r="I14395" s="224" t="s">
        <v>2</v>
      </c>
    </row>
    <row r="14396" spans="1:9" x14ac:dyDescent="0.25">
      <c r="A14396" s="515">
        <v>29570</v>
      </c>
      <c r="B14396" s="515" t="s">
        <v>1130</v>
      </c>
      <c r="C14396" s="52">
        <v>77632.6602946028</v>
      </c>
      <c r="D14396" s="56">
        <v>0</v>
      </c>
      <c r="E14396" s="224" t="s">
        <v>2</v>
      </c>
      <c r="F14396" s="515" t="s">
        <v>15577</v>
      </c>
      <c r="G14396" s="52">
        <v>145232.89974979599</v>
      </c>
      <c r="H14396" s="56">
        <v>0.18608809257328152</v>
      </c>
      <c r="I14396" s="224" t="s">
        <v>2</v>
      </c>
    </row>
    <row r="14397" spans="1:9" x14ac:dyDescent="0.25">
      <c r="A14397" s="515">
        <v>74039</v>
      </c>
      <c r="B14397" s="515" t="s">
        <v>348</v>
      </c>
      <c r="C14397" s="52">
        <v>168494.21581083001</v>
      </c>
      <c r="D14397" s="56">
        <v>-4.6693073506649953E-2</v>
      </c>
      <c r="E14397" s="224" t="s">
        <v>2</v>
      </c>
      <c r="F14397" s="515" t="s">
        <v>15578</v>
      </c>
      <c r="G14397" s="52">
        <v>633375.11641407199</v>
      </c>
      <c r="H14397" s="56">
        <v>1.3275977772739275E-2</v>
      </c>
      <c r="I14397" s="224" t="s">
        <v>2</v>
      </c>
    </row>
    <row r="14398" spans="1:9" x14ac:dyDescent="0.25">
      <c r="A14398" s="515">
        <v>15445</v>
      </c>
      <c r="B14398" s="515" t="s">
        <v>297</v>
      </c>
      <c r="C14398" s="52">
        <v>157368.17053259001</v>
      </c>
      <c r="D14398" s="56">
        <v>3.1777289523424537E-4</v>
      </c>
      <c r="E14398" s="224" t="s">
        <v>2</v>
      </c>
      <c r="F14398" s="515" t="s">
        <v>15579</v>
      </c>
      <c r="G14398" s="52">
        <v>96678.295776399595</v>
      </c>
      <c r="H14398" s="56">
        <v>7.2350187485338696E-2</v>
      </c>
      <c r="I14398" s="224" t="s">
        <v>2</v>
      </c>
    </row>
    <row r="14399" spans="1:9" x14ac:dyDescent="0.25">
      <c r="A14399" s="515">
        <v>36053</v>
      </c>
      <c r="C14399" s="52">
        <v>69983.156453352902</v>
      </c>
      <c r="D14399" s="56">
        <v>-4.7241354521551197E-2</v>
      </c>
      <c r="E14399" s="224" t="s">
        <v>2</v>
      </c>
      <c r="F14399" s="515" t="s">
        <v>15580</v>
      </c>
      <c r="G14399" s="52">
        <v>88772.946021237207</v>
      </c>
      <c r="H14399" s="56">
        <v>0.11216570097441983</v>
      </c>
      <c r="I14399" s="224" t="s">
        <v>2</v>
      </c>
    </row>
    <row r="14400" spans="1:9" x14ac:dyDescent="0.25">
      <c r="A14400" s="515">
        <v>47126</v>
      </c>
      <c r="B14400" s="515" t="s">
        <v>479</v>
      </c>
      <c r="C14400" s="52">
        <v>258190.438181537</v>
      </c>
      <c r="D14400" s="56">
        <v>7.05776024062226E-2</v>
      </c>
      <c r="E14400" s="224" t="s">
        <v>2</v>
      </c>
      <c r="F14400" s="515" t="s">
        <v>15581</v>
      </c>
      <c r="G14400" s="52">
        <v>476791.63876864599</v>
      </c>
      <c r="H14400" s="56">
        <v>4.5003370616963988E-2</v>
      </c>
      <c r="I14400" s="224" t="s">
        <v>2</v>
      </c>
    </row>
    <row r="14401" spans="1:9" x14ac:dyDescent="0.25">
      <c r="A14401" s="515">
        <v>38650</v>
      </c>
      <c r="C14401" s="52">
        <v>146109.80197118499</v>
      </c>
      <c r="D14401" s="56">
        <v>1.300513471805005E-2</v>
      </c>
      <c r="E14401" s="224" t="s">
        <v>2</v>
      </c>
      <c r="F14401" s="515" t="s">
        <v>15582</v>
      </c>
      <c r="G14401" s="52">
        <v>252269.28619362501</v>
      </c>
      <c r="H14401" s="56">
        <v>4.8413863127046319E-2</v>
      </c>
      <c r="I14401" s="224" t="s">
        <v>2</v>
      </c>
    </row>
    <row r="14402" spans="1:9" x14ac:dyDescent="0.25">
      <c r="A14402" s="515">
        <v>35447</v>
      </c>
      <c r="B14402" s="515" t="s">
        <v>841</v>
      </c>
      <c r="C14402" s="52">
        <v>121319.865432584</v>
      </c>
      <c r="D14402" s="56">
        <v>-7.5252350078910965E-3</v>
      </c>
      <c r="E14402" s="224" t="s">
        <v>2</v>
      </c>
      <c r="F14402" s="515" t="s">
        <v>15583</v>
      </c>
      <c r="G14402" s="52">
        <v>107150.895787602</v>
      </c>
      <c r="H14402" s="56">
        <v>8.3676357295989351E-2</v>
      </c>
      <c r="I14402" s="224" t="s">
        <v>2</v>
      </c>
    </row>
    <row r="14403" spans="1:9" x14ac:dyDescent="0.25">
      <c r="A14403" s="515">
        <v>90704</v>
      </c>
      <c r="B14403" s="515" t="s">
        <v>375</v>
      </c>
      <c r="C14403" s="52">
        <v>865019.86477349105</v>
      </c>
      <c r="D14403" s="56">
        <v>2.2833514846706936E-2</v>
      </c>
      <c r="E14403" s="224" t="s">
        <v>2</v>
      </c>
      <c r="F14403" s="515" t="s">
        <v>15584</v>
      </c>
      <c r="G14403" s="52">
        <v>190548.40941681701</v>
      </c>
      <c r="H14403" s="56">
        <v>0.26362686393501567</v>
      </c>
      <c r="I14403" s="224" t="s">
        <v>2</v>
      </c>
    </row>
    <row r="14404" spans="1:9" x14ac:dyDescent="0.25">
      <c r="A14404" s="515">
        <v>62806</v>
      </c>
      <c r="C14404" s="52">
        <v>66876.673957459396</v>
      </c>
      <c r="D14404" s="56">
        <v>-2.1778728558796139E-2</v>
      </c>
      <c r="E14404" s="224" t="s">
        <v>2</v>
      </c>
      <c r="F14404" s="515" t="s">
        <v>15585</v>
      </c>
      <c r="G14404" s="52">
        <v>373473.37130090297</v>
      </c>
      <c r="H14404" s="56">
        <v>7.4596728957604594E-2</v>
      </c>
      <c r="I14404" s="224" t="s">
        <v>2</v>
      </c>
    </row>
    <row r="14405" spans="1:9" x14ac:dyDescent="0.25">
      <c r="A14405" s="515">
        <v>18519</v>
      </c>
      <c r="B14405" s="515" t="s">
        <v>512</v>
      </c>
      <c r="C14405" s="52">
        <v>149461.91913728201</v>
      </c>
      <c r="D14405" s="56">
        <v>5.8156205942427194E-2</v>
      </c>
      <c r="E14405" s="224" t="s">
        <v>2</v>
      </c>
      <c r="F14405" s="515" t="s">
        <v>15586</v>
      </c>
      <c r="G14405" s="52">
        <v>370938.96367640101</v>
      </c>
      <c r="H14405" s="56">
        <v>6.6318429428639081E-2</v>
      </c>
      <c r="I14405" s="224" t="s">
        <v>2</v>
      </c>
    </row>
    <row r="14406" spans="1:9" x14ac:dyDescent="0.25">
      <c r="A14406" s="515">
        <v>39327</v>
      </c>
      <c r="C14406" s="52">
        <v>152463.562364443</v>
      </c>
      <c r="D14406" s="56">
        <v>-6.1519607839401521E-3</v>
      </c>
      <c r="E14406" s="224" t="s">
        <v>2</v>
      </c>
      <c r="F14406" s="515" t="s">
        <v>15587</v>
      </c>
      <c r="G14406" s="52">
        <v>38869.387159492202</v>
      </c>
      <c r="H14406" s="56">
        <v>-0.14839729645487307</v>
      </c>
      <c r="I14406" s="224" t="s">
        <v>2</v>
      </c>
    </row>
    <row r="14407" spans="1:9" x14ac:dyDescent="0.25">
      <c r="A14407" s="515">
        <v>42210</v>
      </c>
      <c r="B14407" s="515" t="s">
        <v>799</v>
      </c>
      <c r="C14407" s="52">
        <v>153767.53996535399</v>
      </c>
      <c r="D14407" s="56">
        <v>0.21687736427000509</v>
      </c>
      <c r="E14407" s="224" t="s">
        <v>2</v>
      </c>
      <c r="F14407" s="515" t="s">
        <v>15588</v>
      </c>
      <c r="G14407" s="52">
        <v>141259.60814291399</v>
      </c>
      <c r="H14407" s="56">
        <v>-7.0548204510364667E-3</v>
      </c>
      <c r="I14407" s="224" t="s">
        <v>2</v>
      </c>
    </row>
    <row r="14408" spans="1:9" x14ac:dyDescent="0.25">
      <c r="A14408" s="515">
        <v>56633</v>
      </c>
      <c r="B14408" s="515" t="s">
        <v>674</v>
      </c>
      <c r="C14408" s="52">
        <v>196028.536264767</v>
      </c>
      <c r="D14408" s="56">
        <v>0.12333009192350697</v>
      </c>
      <c r="E14408" s="224" t="s">
        <v>2</v>
      </c>
      <c r="F14408" s="515" t="s">
        <v>15589</v>
      </c>
      <c r="G14408" s="52">
        <v>89631.043010653506</v>
      </c>
      <c r="H14408" s="56">
        <v>5.509914113205492E-2</v>
      </c>
      <c r="I14408" s="224" t="s">
        <v>2</v>
      </c>
    </row>
    <row r="14409" spans="1:9" x14ac:dyDescent="0.25">
      <c r="A14409" s="515">
        <v>66021</v>
      </c>
      <c r="B14409" s="515" t="s">
        <v>455</v>
      </c>
      <c r="C14409" s="52">
        <v>260924.688914778</v>
      </c>
      <c r="D14409" s="56">
        <v>7.5800066954184148E-2</v>
      </c>
      <c r="E14409" s="224" t="s">
        <v>2</v>
      </c>
      <c r="F14409" s="515" t="s">
        <v>15590</v>
      </c>
      <c r="G14409" s="52">
        <v>114137.90690886301</v>
      </c>
      <c r="H14409" s="56">
        <v>0.18723022039429155</v>
      </c>
      <c r="I14409" s="224" t="s">
        <v>2</v>
      </c>
    </row>
    <row r="14410" spans="1:9" x14ac:dyDescent="0.25">
      <c r="A14410" s="515">
        <v>74337</v>
      </c>
      <c r="C14410" s="52">
        <v>171214.11349582201</v>
      </c>
      <c r="D14410" s="56">
        <v>4.2094464652875446E-2</v>
      </c>
      <c r="E14410" s="224" t="s">
        <v>2</v>
      </c>
      <c r="F14410" s="515" t="s">
        <v>15591</v>
      </c>
      <c r="G14410" s="52">
        <v>444898.13490417303</v>
      </c>
      <c r="H14410" s="56">
        <v>6.3113551910946086E-2</v>
      </c>
      <c r="I14410" s="224" t="s">
        <v>2</v>
      </c>
    </row>
    <row r="14411" spans="1:9" x14ac:dyDescent="0.25">
      <c r="A14411" s="515">
        <v>67654</v>
      </c>
      <c r="C14411" s="52">
        <v>86829.885628697695</v>
      </c>
      <c r="D14411" s="56">
        <v>0.10004510612337646</v>
      </c>
      <c r="E14411" s="224" t="s">
        <v>2</v>
      </c>
      <c r="F14411" s="515" t="s">
        <v>15592</v>
      </c>
      <c r="G14411" s="52">
        <v>209165.21830985899</v>
      </c>
      <c r="H14411" s="56">
        <v>0</v>
      </c>
      <c r="I14411" s="224" t="s">
        <v>2</v>
      </c>
    </row>
    <row r="14412" spans="1:9" x14ac:dyDescent="0.25">
      <c r="A14412" s="515">
        <v>96717</v>
      </c>
      <c r="B14412" s="515" t="s">
        <v>1029</v>
      </c>
      <c r="C14412" s="52">
        <v>784506.43769350799</v>
      </c>
      <c r="D14412" s="56">
        <v>5.1279431765676974E-2</v>
      </c>
      <c r="E14412" s="224" t="s">
        <v>2</v>
      </c>
      <c r="F14412" s="515" t="s">
        <v>15593</v>
      </c>
      <c r="G14412" s="52">
        <v>187572.60840726201</v>
      </c>
      <c r="H14412" s="56">
        <v>7.6160381901207566E-2</v>
      </c>
      <c r="I14412" s="224" t="s">
        <v>2</v>
      </c>
    </row>
    <row r="14413" spans="1:9" x14ac:dyDescent="0.25">
      <c r="A14413" s="515">
        <v>13033</v>
      </c>
      <c r="B14413" s="515" t="s">
        <v>986</v>
      </c>
      <c r="C14413" s="52">
        <v>166565.95915382099</v>
      </c>
      <c r="D14413" s="56">
        <v>0.11378263285613939</v>
      </c>
      <c r="E14413" s="224" t="s">
        <v>2</v>
      </c>
      <c r="F14413" s="515" t="s">
        <v>15594</v>
      </c>
      <c r="G14413" s="52">
        <v>315057.91780046298</v>
      </c>
      <c r="H14413" s="56">
        <v>4.0560483416568607E-2</v>
      </c>
      <c r="I14413" s="224" t="s">
        <v>2</v>
      </c>
    </row>
    <row r="14414" spans="1:9" x14ac:dyDescent="0.25">
      <c r="A14414" s="515">
        <v>61748</v>
      </c>
      <c r="B14414" s="515" t="s">
        <v>645</v>
      </c>
      <c r="C14414" s="52">
        <v>241472.16281511699</v>
      </c>
      <c r="D14414" s="56">
        <v>0.10124764478682782</v>
      </c>
      <c r="E14414" s="224" t="s">
        <v>2</v>
      </c>
      <c r="F14414" s="515" t="s">
        <v>15595</v>
      </c>
      <c r="G14414" s="52">
        <v>141014.89267095999</v>
      </c>
      <c r="H14414" s="56">
        <v>-5.5033817048906518E-3</v>
      </c>
      <c r="I14414" s="224" t="s">
        <v>2</v>
      </c>
    </row>
    <row r="14415" spans="1:9" x14ac:dyDescent="0.25">
      <c r="A14415" s="515">
        <v>96796</v>
      </c>
      <c r="B14415" s="515" t="s">
        <v>452</v>
      </c>
      <c r="C14415" s="52">
        <v>688273.523699729</v>
      </c>
      <c r="D14415" s="56">
        <v>0.15844930846871325</v>
      </c>
      <c r="E14415" s="224" t="s">
        <v>2</v>
      </c>
      <c r="F14415" s="515" t="s">
        <v>15596</v>
      </c>
      <c r="G14415" s="52">
        <v>147208.148783707</v>
      </c>
      <c r="H14415" s="56">
        <v>6.8427358064491225E-2</v>
      </c>
      <c r="I14415" s="224" t="s">
        <v>2</v>
      </c>
    </row>
    <row r="14416" spans="1:9" x14ac:dyDescent="0.25">
      <c r="A14416" s="515">
        <v>21826</v>
      </c>
      <c r="B14416" s="515" t="s">
        <v>552</v>
      </c>
      <c r="C14416" s="52">
        <v>206035.20272806101</v>
      </c>
      <c r="D14416" s="56">
        <v>6.1708236051293962E-2</v>
      </c>
      <c r="E14416" s="224" t="s">
        <v>2</v>
      </c>
      <c r="F14416" s="515" t="s">
        <v>15597</v>
      </c>
      <c r="G14416" s="52">
        <v>166660.69683954</v>
      </c>
      <c r="H14416" s="56">
        <v>7.7397621089918212E-2</v>
      </c>
      <c r="I14416" s="224" t="s">
        <v>2</v>
      </c>
    </row>
    <row r="14417" spans="1:9" x14ac:dyDescent="0.25">
      <c r="A14417" s="515">
        <v>44438</v>
      </c>
      <c r="B14417" s="515" t="s">
        <v>397</v>
      </c>
      <c r="C14417" s="52">
        <v>74310.753048959203</v>
      </c>
      <c r="D14417" s="56">
        <v>0.13826644832386067</v>
      </c>
      <c r="E14417" s="224" t="s">
        <v>2</v>
      </c>
      <c r="F14417" s="515" t="s">
        <v>15598</v>
      </c>
      <c r="G14417" s="52">
        <v>267916.07475122099</v>
      </c>
      <c r="H14417" s="56">
        <v>4.3389635231715053E-2</v>
      </c>
      <c r="I14417" s="224" t="s">
        <v>2</v>
      </c>
    </row>
    <row r="14418" spans="1:9" x14ac:dyDescent="0.25">
      <c r="A14418" s="515">
        <v>68959</v>
      </c>
      <c r="B14418" s="515" t="s">
        <v>660</v>
      </c>
      <c r="C14418" s="52">
        <v>182612.061377979</v>
      </c>
      <c r="D14418" s="56">
        <v>7.0733059421588321E-2</v>
      </c>
      <c r="E14418" s="224" t="s">
        <v>2</v>
      </c>
      <c r="F14418" s="515" t="s">
        <v>15599</v>
      </c>
      <c r="G14418" s="52">
        <v>306172.29332202999</v>
      </c>
      <c r="H14418" s="56">
        <v>9.2052179336712447E-2</v>
      </c>
      <c r="I14418" s="224" t="s">
        <v>2</v>
      </c>
    </row>
    <row r="14419" spans="1:9" x14ac:dyDescent="0.25">
      <c r="A14419" s="515">
        <v>61064</v>
      </c>
      <c r="B14419" s="515" t="s">
        <v>429</v>
      </c>
      <c r="C14419" s="52">
        <v>127378.86902827201</v>
      </c>
      <c r="D14419" s="56">
        <v>4.4866733210605365E-2</v>
      </c>
      <c r="E14419" s="224" t="s">
        <v>2</v>
      </c>
      <c r="F14419" s="515" t="s">
        <v>15600</v>
      </c>
      <c r="G14419" s="52">
        <v>94930.466215102599</v>
      </c>
      <c r="H14419" s="56">
        <v>3.2622216183055039E-2</v>
      </c>
      <c r="I14419" s="224" t="s">
        <v>2</v>
      </c>
    </row>
    <row r="14420" spans="1:9" x14ac:dyDescent="0.25">
      <c r="A14420" s="515">
        <v>12027</v>
      </c>
      <c r="B14420" s="515" t="s">
        <v>609</v>
      </c>
      <c r="C14420" s="52">
        <v>346503.73694271297</v>
      </c>
      <c r="D14420" s="56">
        <v>5.9133695451032253E-2</v>
      </c>
      <c r="E14420" s="224" t="s">
        <v>2</v>
      </c>
      <c r="F14420" s="515" t="s">
        <v>15601</v>
      </c>
      <c r="G14420" s="52">
        <v>475315.02033201902</v>
      </c>
      <c r="H14420" s="56">
        <v>9.3012040044953476E-2</v>
      </c>
      <c r="I14420" s="224" t="s">
        <v>2</v>
      </c>
    </row>
    <row r="14421" spans="1:9" x14ac:dyDescent="0.25">
      <c r="A14421" s="515">
        <v>98365</v>
      </c>
      <c r="C14421" s="52">
        <v>654578.01416945003</v>
      </c>
      <c r="D14421" s="56">
        <v>1.7074545659580619E-2</v>
      </c>
      <c r="E14421" s="224" t="s">
        <v>2</v>
      </c>
      <c r="F14421" s="515" t="s">
        <v>15602</v>
      </c>
      <c r="G14421" s="52">
        <v>209172.63419922601</v>
      </c>
      <c r="H14421" s="56">
        <v>0.10050232290407725</v>
      </c>
      <c r="I14421" s="224" t="s">
        <v>2</v>
      </c>
    </row>
    <row r="14422" spans="1:9" x14ac:dyDescent="0.25">
      <c r="A14422" s="515">
        <v>49106</v>
      </c>
      <c r="B14422" s="515" t="s">
        <v>698</v>
      </c>
      <c r="C14422" s="52">
        <v>281870.965030358</v>
      </c>
      <c r="D14422" s="56">
        <v>9.3638416899119795E-2</v>
      </c>
      <c r="E14422" s="224" t="s">
        <v>2</v>
      </c>
      <c r="F14422" s="515" t="s">
        <v>15603</v>
      </c>
      <c r="G14422" s="52">
        <v>425920.55200177699</v>
      </c>
      <c r="H14422" s="56">
        <v>8.9020237707830283E-2</v>
      </c>
      <c r="I14422" s="224" t="s">
        <v>2</v>
      </c>
    </row>
    <row r="14423" spans="1:9" x14ac:dyDescent="0.25">
      <c r="A14423" s="515">
        <v>16115</v>
      </c>
      <c r="B14423" s="515" t="s">
        <v>297</v>
      </c>
      <c r="C14423" s="52">
        <v>163691.94660644099</v>
      </c>
      <c r="D14423" s="56">
        <v>2.9384423108427937E-2</v>
      </c>
      <c r="E14423" s="224" t="s">
        <v>2</v>
      </c>
      <c r="F14423" s="515" t="s">
        <v>15604</v>
      </c>
      <c r="G14423" s="52">
        <v>216329.424589456</v>
      </c>
      <c r="H14423" s="56">
        <v>0.10932156307255923</v>
      </c>
      <c r="I14423" s="224" t="s">
        <v>2</v>
      </c>
    </row>
    <row r="14424" spans="1:9" x14ac:dyDescent="0.25">
      <c r="A14424" s="515">
        <v>38052</v>
      </c>
      <c r="C14424" s="52">
        <v>141234.29936619199</v>
      </c>
      <c r="D14424" s="56">
        <v>6.4099347048851368E-2</v>
      </c>
      <c r="E14424" s="224" t="s">
        <v>2</v>
      </c>
      <c r="F14424" s="515" t="s">
        <v>15605</v>
      </c>
      <c r="G14424" s="52">
        <v>366501.83605296601</v>
      </c>
      <c r="H14424" s="56">
        <v>-5.7097823939559478E-3</v>
      </c>
      <c r="I14424" s="224" t="s">
        <v>2</v>
      </c>
    </row>
    <row r="14425" spans="1:9" x14ac:dyDescent="0.25">
      <c r="A14425" s="515">
        <v>6375</v>
      </c>
      <c r="B14425" s="515" t="s">
        <v>1091</v>
      </c>
      <c r="C14425" s="52">
        <v>306104.33229309402</v>
      </c>
      <c r="D14425" s="56">
        <v>7.6761814108647797E-2</v>
      </c>
      <c r="E14425" s="224" t="s">
        <v>2</v>
      </c>
      <c r="F14425" s="515" t="s">
        <v>15606</v>
      </c>
      <c r="G14425" s="52">
        <v>192115.50397063</v>
      </c>
      <c r="H14425" s="56">
        <v>-8.6016997443771323E-2</v>
      </c>
      <c r="I14425" s="224" t="s">
        <v>2</v>
      </c>
    </row>
    <row r="14426" spans="1:9" x14ac:dyDescent="0.25">
      <c r="A14426" s="515">
        <v>21918</v>
      </c>
      <c r="B14426" s="515" t="s">
        <v>294</v>
      </c>
      <c r="C14426" s="52">
        <v>324196.43352425698</v>
      </c>
      <c r="D14426" s="56">
        <v>9.2965070637546828E-3</v>
      </c>
      <c r="E14426" s="224" t="s">
        <v>2</v>
      </c>
      <c r="F14426" s="515" t="s">
        <v>15607</v>
      </c>
      <c r="G14426" s="52">
        <v>179483.754766553</v>
      </c>
      <c r="H14426" s="56">
        <v>6.3079607572359891E-2</v>
      </c>
      <c r="I14426" s="224" t="s">
        <v>2</v>
      </c>
    </row>
    <row r="14427" spans="1:9" x14ac:dyDescent="0.25">
      <c r="A14427" s="515">
        <v>25420</v>
      </c>
      <c r="B14427" s="515" t="s">
        <v>654</v>
      </c>
      <c r="C14427" s="52">
        <v>272637.52971867699</v>
      </c>
      <c r="D14427" s="56">
        <v>9.737836741933048E-2</v>
      </c>
      <c r="E14427" s="224" t="s">
        <v>2</v>
      </c>
      <c r="F14427" s="515" t="s">
        <v>15608</v>
      </c>
      <c r="G14427" s="52">
        <v>245949.64073639701</v>
      </c>
      <c r="H14427" s="56">
        <v>8.2937592308649971E-2</v>
      </c>
      <c r="I14427" s="224" t="s">
        <v>2</v>
      </c>
    </row>
    <row r="14428" spans="1:9" x14ac:dyDescent="0.25">
      <c r="A14428" s="515">
        <v>70112</v>
      </c>
      <c r="B14428" s="515" t="s">
        <v>777</v>
      </c>
      <c r="C14428" s="52">
        <v>318449.67080872197</v>
      </c>
      <c r="D14428" s="56">
        <v>-2.36632831410808E-4</v>
      </c>
      <c r="E14428" s="224">
        <v>1842.6416666666601</v>
      </c>
      <c r="F14428" s="515" t="s">
        <v>15609</v>
      </c>
      <c r="G14428" s="52">
        <v>170507.20914201601</v>
      </c>
      <c r="H14428" s="56">
        <v>4.0220855017980284E-2</v>
      </c>
      <c r="I14428" s="224" t="s">
        <v>2</v>
      </c>
    </row>
    <row r="14429" spans="1:9" x14ac:dyDescent="0.25">
      <c r="A14429" s="515">
        <v>78377</v>
      </c>
      <c r="C14429" s="52">
        <v>105127.985297019</v>
      </c>
      <c r="D14429" s="56">
        <v>-4.6932675102213731E-2</v>
      </c>
      <c r="E14429" s="224" t="s">
        <v>2</v>
      </c>
      <c r="F14429" s="515" t="s">
        <v>15610</v>
      </c>
      <c r="G14429" s="52">
        <v>137944.53055994501</v>
      </c>
      <c r="H14429" s="56">
        <v>5.4405495070197873E-2</v>
      </c>
      <c r="I14429" s="224" t="s">
        <v>2</v>
      </c>
    </row>
    <row r="14430" spans="1:9" x14ac:dyDescent="0.25">
      <c r="A14430" s="515">
        <v>54837</v>
      </c>
      <c r="C14430" s="52">
        <v>194903.18075068301</v>
      </c>
      <c r="D14430" s="56">
        <v>4.0261753827552954E-2</v>
      </c>
      <c r="E14430" s="224" t="s">
        <v>2</v>
      </c>
      <c r="F14430" s="515" t="s">
        <v>15611</v>
      </c>
      <c r="G14430" s="52">
        <v>201857.70732707801</v>
      </c>
      <c r="H14430" s="56">
        <v>-7.2164765880677884E-3</v>
      </c>
      <c r="I14430" s="224" t="s">
        <v>2</v>
      </c>
    </row>
    <row r="14431" spans="1:9" x14ac:dyDescent="0.25">
      <c r="A14431" s="515">
        <v>70549</v>
      </c>
      <c r="B14431" s="515" t="s">
        <v>1156</v>
      </c>
      <c r="C14431" s="52">
        <v>89198.066373489099</v>
      </c>
      <c r="D14431" s="56">
        <v>6.0915662197863353E-2</v>
      </c>
      <c r="E14431" s="224" t="s">
        <v>2</v>
      </c>
      <c r="F14431" s="515" t="s">
        <v>15612</v>
      </c>
      <c r="G14431" s="52">
        <v>172001.657234288</v>
      </c>
      <c r="H14431" s="56">
        <v>6.0021608757530251E-2</v>
      </c>
      <c r="I14431" s="224" t="s">
        <v>2</v>
      </c>
    </row>
    <row r="14432" spans="1:9" x14ac:dyDescent="0.25">
      <c r="A14432" s="515">
        <v>14823</v>
      </c>
      <c r="B14432" s="515" t="s">
        <v>585</v>
      </c>
      <c r="C14432" s="52">
        <v>115481.619172515</v>
      </c>
      <c r="D14432" s="56">
        <v>0.12096849313586554</v>
      </c>
      <c r="E14432" s="224" t="s">
        <v>2</v>
      </c>
      <c r="F14432" s="515" t="s">
        <v>15613</v>
      </c>
      <c r="G14432" s="52">
        <v>166483.877622064</v>
      </c>
      <c r="H14432" s="56">
        <v>8.7027537810221614E-2</v>
      </c>
      <c r="I14432" s="224" t="s">
        <v>2</v>
      </c>
    </row>
    <row r="14433" spans="1:9" x14ac:dyDescent="0.25">
      <c r="A14433" s="515">
        <v>6093</v>
      </c>
      <c r="B14433" s="515" t="s">
        <v>894</v>
      </c>
      <c r="C14433" s="52">
        <v>390035.00528914999</v>
      </c>
      <c r="D14433" s="56">
        <v>8.1534531281906297E-2</v>
      </c>
      <c r="E14433" s="224" t="s">
        <v>2</v>
      </c>
      <c r="F14433" s="515" t="s">
        <v>15614</v>
      </c>
      <c r="G14433" s="52">
        <v>234067.87299221399</v>
      </c>
      <c r="H14433" s="56">
        <v>6.4691273129463225E-2</v>
      </c>
      <c r="I14433" s="224" t="s">
        <v>2</v>
      </c>
    </row>
    <row r="14434" spans="1:9" x14ac:dyDescent="0.25">
      <c r="A14434" s="515">
        <v>27810</v>
      </c>
      <c r="B14434" s="515" t="s">
        <v>768</v>
      </c>
      <c r="C14434" s="52">
        <v>225421.85466162799</v>
      </c>
      <c r="D14434" s="56">
        <v>0.14873646299023427</v>
      </c>
      <c r="E14434" s="224" t="s">
        <v>2</v>
      </c>
      <c r="F14434" s="515" t="s">
        <v>15615</v>
      </c>
      <c r="G14434" s="52">
        <v>369722.76175902702</v>
      </c>
      <c r="H14434" s="56">
        <v>0</v>
      </c>
      <c r="I14434" s="224" t="s">
        <v>2</v>
      </c>
    </row>
    <row r="14435" spans="1:9" x14ac:dyDescent="0.25">
      <c r="A14435" s="515">
        <v>59873</v>
      </c>
      <c r="C14435" s="52">
        <v>408528.98242920998</v>
      </c>
      <c r="D14435" s="56">
        <v>0.16280419286532072</v>
      </c>
      <c r="E14435" s="224" t="s">
        <v>2</v>
      </c>
      <c r="F14435" s="515" t="s">
        <v>15616</v>
      </c>
      <c r="G14435" s="52">
        <v>162952.12436914601</v>
      </c>
      <c r="H14435" s="56">
        <v>6.3710494371591125E-2</v>
      </c>
      <c r="I14435" s="224" t="s">
        <v>2</v>
      </c>
    </row>
    <row r="14436" spans="1:9" x14ac:dyDescent="0.25">
      <c r="A14436" s="515">
        <v>4055</v>
      </c>
      <c r="B14436" s="515" t="s">
        <v>570</v>
      </c>
      <c r="C14436" s="52">
        <v>368928.87386192702</v>
      </c>
      <c r="D14436" s="56">
        <v>7.3827395274669069E-2</v>
      </c>
      <c r="E14436" s="224" t="s">
        <v>2</v>
      </c>
      <c r="F14436" s="515" t="s">
        <v>15617</v>
      </c>
      <c r="G14436" s="52">
        <v>65928.480100222194</v>
      </c>
      <c r="H14436" s="56">
        <v>8.034167767393444E-3</v>
      </c>
      <c r="I14436" s="224" t="s">
        <v>2</v>
      </c>
    </row>
    <row r="14437" spans="1:9" x14ac:dyDescent="0.25">
      <c r="A14437" s="515">
        <v>63459</v>
      </c>
      <c r="B14437" s="515" t="s">
        <v>867</v>
      </c>
      <c r="C14437" s="52">
        <v>207878.65927068901</v>
      </c>
      <c r="D14437" s="56">
        <v>0.12040418370873145</v>
      </c>
      <c r="E14437" s="224" t="s">
        <v>2</v>
      </c>
      <c r="F14437" s="515" t="s">
        <v>15618</v>
      </c>
      <c r="G14437" s="52">
        <v>723220.87379722798</v>
      </c>
      <c r="H14437" s="56">
        <v>1.4997973304069205E-2</v>
      </c>
      <c r="I14437" s="224" t="s">
        <v>2</v>
      </c>
    </row>
    <row r="14438" spans="1:9" x14ac:dyDescent="0.25">
      <c r="A14438" s="515">
        <v>7758</v>
      </c>
      <c r="B14438" s="515" t="s">
        <v>324</v>
      </c>
      <c r="C14438" s="52">
        <v>477794.161323293</v>
      </c>
      <c r="D14438" s="56">
        <v>8.0866791842891111E-2</v>
      </c>
      <c r="E14438" s="224" t="s">
        <v>2</v>
      </c>
      <c r="F14438" s="515" t="s">
        <v>15619</v>
      </c>
      <c r="G14438" s="52">
        <v>244291.04313423799</v>
      </c>
      <c r="H14438" s="56">
        <v>0.16263549553468942</v>
      </c>
      <c r="I14438" s="224" t="s">
        <v>2</v>
      </c>
    </row>
    <row r="14439" spans="1:9" x14ac:dyDescent="0.25">
      <c r="A14439" s="515">
        <v>66534</v>
      </c>
      <c r="C14439" s="52">
        <v>152401.14155800801</v>
      </c>
      <c r="D14439" s="56">
        <v>0.10477865313687237</v>
      </c>
      <c r="E14439" s="224" t="s">
        <v>2</v>
      </c>
      <c r="F14439" s="515" t="s">
        <v>15620</v>
      </c>
      <c r="G14439" s="52">
        <v>239596.728273671</v>
      </c>
      <c r="H14439" s="56">
        <v>5.2544440325618502E-2</v>
      </c>
      <c r="I14439" s="224" t="s">
        <v>2</v>
      </c>
    </row>
    <row r="14440" spans="1:9" x14ac:dyDescent="0.25">
      <c r="A14440" s="515">
        <v>75790</v>
      </c>
      <c r="C14440" s="52">
        <v>215957.51104489199</v>
      </c>
      <c r="D14440" s="56">
        <v>5.9309627140734004E-2</v>
      </c>
      <c r="E14440" s="224" t="s">
        <v>2</v>
      </c>
      <c r="F14440" s="515" t="s">
        <v>15621</v>
      </c>
      <c r="G14440" s="52">
        <v>224167.43189711799</v>
      </c>
      <c r="H14440" s="56">
        <v>0.17573303027348336</v>
      </c>
      <c r="I14440" s="224" t="s">
        <v>2</v>
      </c>
    </row>
    <row r="14441" spans="1:9" x14ac:dyDescent="0.25">
      <c r="A14441" s="515">
        <v>83536</v>
      </c>
      <c r="C14441" s="52">
        <v>296098.848137483</v>
      </c>
      <c r="D14441" s="56">
        <v>6.4366640242905934E-2</v>
      </c>
      <c r="E14441" s="224" t="s">
        <v>2</v>
      </c>
      <c r="F14441" s="515" t="s">
        <v>15622</v>
      </c>
      <c r="G14441" s="52">
        <v>137064.52228510001</v>
      </c>
      <c r="H14441" s="56">
        <v>9.6241183003960992E-2</v>
      </c>
      <c r="I14441" s="224" t="s">
        <v>2</v>
      </c>
    </row>
    <row r="14442" spans="1:9" x14ac:dyDescent="0.25">
      <c r="A14442" s="515">
        <v>60203</v>
      </c>
      <c r="B14442" s="515" t="s">
        <v>394</v>
      </c>
      <c r="C14442" s="52">
        <v>453534.79143977899</v>
      </c>
      <c r="D14442" s="56">
        <v>1.9034171322374411E-2</v>
      </c>
      <c r="E14442" s="224" t="s">
        <v>2</v>
      </c>
      <c r="F14442" s="515" t="s">
        <v>15623</v>
      </c>
      <c r="G14442" s="52">
        <v>92498.407079646</v>
      </c>
      <c r="H14442" s="56">
        <v>0</v>
      </c>
      <c r="I14442" s="224" t="s">
        <v>2</v>
      </c>
    </row>
    <row r="14443" spans="1:9" x14ac:dyDescent="0.25">
      <c r="A14443" s="515">
        <v>74647</v>
      </c>
      <c r="B14443" s="515" t="s">
        <v>758</v>
      </c>
      <c r="C14443" s="52">
        <v>111970.653424024</v>
      </c>
      <c r="D14443" s="56">
        <v>7.6516042590678263E-2</v>
      </c>
      <c r="E14443" s="224" t="s">
        <v>2</v>
      </c>
      <c r="F14443" s="515" t="s">
        <v>15624</v>
      </c>
      <c r="G14443" s="52">
        <v>81711.499854230206</v>
      </c>
      <c r="H14443" s="56">
        <v>3.5360315165714515E-2</v>
      </c>
      <c r="I14443" s="224" t="s">
        <v>2</v>
      </c>
    </row>
    <row r="14444" spans="1:9" x14ac:dyDescent="0.25">
      <c r="A14444" s="515">
        <v>4079</v>
      </c>
      <c r="B14444" s="515" t="s">
        <v>570</v>
      </c>
      <c r="C14444" s="52">
        <v>620762.47139572096</v>
      </c>
      <c r="D14444" s="56">
        <v>9.0367618344037004E-2</v>
      </c>
      <c r="E14444" s="224" t="s">
        <v>2</v>
      </c>
      <c r="F14444" s="515" t="s">
        <v>15625</v>
      </c>
      <c r="G14444" s="52">
        <v>130664.198528472</v>
      </c>
      <c r="H14444" s="56">
        <v>0.12615253137065521</v>
      </c>
      <c r="I14444" s="224" t="s">
        <v>2</v>
      </c>
    </row>
    <row r="14445" spans="1:9" x14ac:dyDescent="0.25">
      <c r="A14445" s="515">
        <v>39661</v>
      </c>
      <c r="C14445" s="52">
        <v>113437.164187545</v>
      </c>
      <c r="D14445" s="56">
        <v>-8.5849472447539349E-2</v>
      </c>
      <c r="E14445" s="224" t="s">
        <v>2</v>
      </c>
      <c r="F14445" s="515" t="s">
        <v>15626</v>
      </c>
      <c r="G14445" s="52">
        <v>224695.97142271901</v>
      </c>
      <c r="H14445" s="56">
        <v>1.6882810486486637E-2</v>
      </c>
      <c r="I14445" s="224" t="s">
        <v>2</v>
      </c>
    </row>
    <row r="14446" spans="1:9" x14ac:dyDescent="0.25">
      <c r="A14446" s="515">
        <v>55721</v>
      </c>
      <c r="B14446" s="515" t="s">
        <v>590</v>
      </c>
      <c r="C14446" s="52">
        <v>277048.15010909102</v>
      </c>
      <c r="D14446" s="56">
        <v>7.7028038865976825E-2</v>
      </c>
      <c r="E14446" s="224" t="s">
        <v>2</v>
      </c>
      <c r="F14446" s="515" t="s">
        <v>15627</v>
      </c>
      <c r="G14446" s="52">
        <v>568242.65296976897</v>
      </c>
      <c r="H14446" s="56">
        <v>5.8745572619782235E-2</v>
      </c>
      <c r="I14446" s="224" t="s">
        <v>2</v>
      </c>
    </row>
    <row r="14447" spans="1:9" x14ac:dyDescent="0.25">
      <c r="A14447" s="515">
        <v>29436</v>
      </c>
      <c r="B14447" s="515" t="s">
        <v>1009</v>
      </c>
      <c r="C14447" s="52">
        <v>196092.83165839399</v>
      </c>
      <c r="D14447" s="56">
        <v>5.9792978977063219E-2</v>
      </c>
      <c r="E14447" s="224" t="s">
        <v>2</v>
      </c>
      <c r="F14447" s="515" t="s">
        <v>15628</v>
      </c>
      <c r="G14447" s="52">
        <v>169472.54735539501</v>
      </c>
      <c r="H14447" s="56">
        <v>0.2046778097029413</v>
      </c>
      <c r="I14447" s="224" t="s">
        <v>2</v>
      </c>
    </row>
    <row r="14448" spans="1:9" x14ac:dyDescent="0.25">
      <c r="A14448" s="515">
        <v>73572</v>
      </c>
      <c r="B14448" s="515" t="s">
        <v>364</v>
      </c>
      <c r="C14448" s="52">
        <v>87989.228804944505</v>
      </c>
      <c r="D14448" s="56">
        <v>8.1816172981023311E-2</v>
      </c>
      <c r="E14448" s="224" t="s">
        <v>2</v>
      </c>
      <c r="F14448" s="515" t="s">
        <v>15629</v>
      </c>
      <c r="G14448" s="52">
        <v>221209.86045895499</v>
      </c>
      <c r="H14448" s="56">
        <v>0.11068371754002154</v>
      </c>
      <c r="I14448" s="224" t="s">
        <v>2</v>
      </c>
    </row>
    <row r="14449" spans="1:9" x14ac:dyDescent="0.25">
      <c r="A14449" s="515">
        <v>27883</v>
      </c>
      <c r="C14449" s="52">
        <v>141699.999450203</v>
      </c>
      <c r="D14449" s="56">
        <v>0.21650946209778207</v>
      </c>
      <c r="E14449" s="224" t="s">
        <v>2</v>
      </c>
      <c r="F14449" s="515" t="s">
        <v>15630</v>
      </c>
      <c r="G14449" s="52">
        <v>471494.45142020198</v>
      </c>
      <c r="H14449" s="56">
        <v>-1.0562302910608072E-2</v>
      </c>
      <c r="I14449" s="224" t="s">
        <v>2</v>
      </c>
    </row>
    <row r="14450" spans="1:9" x14ac:dyDescent="0.25">
      <c r="A14450" s="515">
        <v>86324</v>
      </c>
      <c r="B14450" s="515" t="s">
        <v>332</v>
      </c>
      <c r="C14450" s="52">
        <v>430277.13848261797</v>
      </c>
      <c r="D14450" s="56">
        <v>4.3347728730769787E-2</v>
      </c>
      <c r="E14450" s="224" t="s">
        <v>2</v>
      </c>
      <c r="F14450" s="515" t="s">
        <v>15631</v>
      </c>
      <c r="G14450" s="52">
        <v>311970.43340184301</v>
      </c>
      <c r="H14450" s="56">
        <v>4.6003057466414601E-2</v>
      </c>
      <c r="I14450" s="224" t="s">
        <v>2</v>
      </c>
    </row>
    <row r="14451" spans="1:9" x14ac:dyDescent="0.25">
      <c r="A14451" s="515">
        <v>40008</v>
      </c>
      <c r="B14451" s="515" t="s">
        <v>866</v>
      </c>
      <c r="C14451" s="52">
        <v>212370.088531783</v>
      </c>
      <c r="D14451" s="56">
        <v>0.10985537000985361</v>
      </c>
      <c r="E14451" s="224" t="s">
        <v>2</v>
      </c>
      <c r="F14451" s="515" t="s">
        <v>15632</v>
      </c>
      <c r="G14451" s="52">
        <v>178044.53166648399</v>
      </c>
      <c r="H14451" s="56">
        <v>7.2379959814835887E-2</v>
      </c>
      <c r="I14451" s="224" t="s">
        <v>2</v>
      </c>
    </row>
    <row r="14452" spans="1:9" x14ac:dyDescent="0.25">
      <c r="A14452" s="515">
        <v>44609</v>
      </c>
      <c r="B14452" s="515" t="s">
        <v>397</v>
      </c>
      <c r="C14452" s="52">
        <v>157252.04313340699</v>
      </c>
      <c r="D14452" s="56">
        <v>0.1094129639590735</v>
      </c>
      <c r="E14452" s="224" t="s">
        <v>2</v>
      </c>
      <c r="F14452" s="515" t="s">
        <v>15633</v>
      </c>
      <c r="G14452" s="52">
        <v>83555.133934996804</v>
      </c>
      <c r="H14452" s="56">
        <v>2.3742008750075372E-2</v>
      </c>
      <c r="I14452" s="224" t="s">
        <v>2</v>
      </c>
    </row>
    <row r="14453" spans="1:9" x14ac:dyDescent="0.25">
      <c r="A14453" s="515">
        <v>37755</v>
      </c>
      <c r="C14453" s="52">
        <v>136924.81429463101</v>
      </c>
      <c r="D14453" s="56">
        <v>1.8876893403255723E-2</v>
      </c>
      <c r="E14453" s="224" t="s">
        <v>2</v>
      </c>
      <c r="F14453" s="515" t="s">
        <v>15634</v>
      </c>
      <c r="G14453" s="52">
        <v>152240.17613627799</v>
      </c>
      <c r="H14453" s="56">
        <v>0.18219158311591302</v>
      </c>
      <c r="I14453" s="224" t="s">
        <v>2</v>
      </c>
    </row>
    <row r="14454" spans="1:9" x14ac:dyDescent="0.25">
      <c r="A14454" s="515">
        <v>15135</v>
      </c>
      <c r="B14454" s="515" t="s">
        <v>297</v>
      </c>
      <c r="C14454" s="52">
        <v>176063.85608489599</v>
      </c>
      <c r="D14454" s="56">
        <v>6.8402623307664334E-2</v>
      </c>
      <c r="E14454" s="224" t="s">
        <v>2</v>
      </c>
      <c r="F14454" s="515" t="s">
        <v>15635</v>
      </c>
      <c r="G14454" s="52">
        <v>172799.548750633</v>
      </c>
      <c r="H14454" s="56">
        <v>0.14433765396910603</v>
      </c>
      <c r="I14454" s="224" t="s">
        <v>2</v>
      </c>
    </row>
    <row r="14455" spans="1:9" x14ac:dyDescent="0.25">
      <c r="A14455" s="515">
        <v>28098</v>
      </c>
      <c r="B14455" s="515" t="s">
        <v>360</v>
      </c>
      <c r="C14455" s="52">
        <v>256933.341931843</v>
      </c>
      <c r="D14455" s="56">
        <v>0.12912234341619958</v>
      </c>
      <c r="E14455" s="224" t="s">
        <v>2</v>
      </c>
      <c r="F14455" s="515" t="s">
        <v>15636</v>
      </c>
      <c r="G14455" s="52">
        <v>140323.51309683701</v>
      </c>
      <c r="H14455" s="56">
        <v>7.8446112323731443E-2</v>
      </c>
      <c r="I14455" s="224" t="s">
        <v>2</v>
      </c>
    </row>
    <row r="14456" spans="1:9" x14ac:dyDescent="0.25">
      <c r="A14456" s="515">
        <v>4222</v>
      </c>
      <c r="B14456" s="515" t="s">
        <v>1120</v>
      </c>
      <c r="C14456" s="52">
        <v>393431.06303251901</v>
      </c>
      <c r="D14456" s="56">
        <v>0.1148086658452693</v>
      </c>
      <c r="E14456" s="224" t="s">
        <v>2</v>
      </c>
      <c r="F14456" s="515" t="s">
        <v>15637</v>
      </c>
      <c r="G14456" s="52">
        <v>150554.58545004201</v>
      </c>
      <c r="H14456" s="56">
        <v>2.3956888182046197E-2</v>
      </c>
      <c r="I14456" s="224" t="s">
        <v>2</v>
      </c>
    </row>
    <row r="14457" spans="1:9" x14ac:dyDescent="0.25">
      <c r="A14457" s="515">
        <v>27925</v>
      </c>
      <c r="C14457" s="52">
        <v>143996.17325597099</v>
      </c>
      <c r="D14457" s="56">
        <v>0.14970193821548725</v>
      </c>
      <c r="E14457" s="224" t="s">
        <v>2</v>
      </c>
      <c r="F14457" s="515" t="s">
        <v>15638</v>
      </c>
      <c r="G14457" s="52">
        <v>118924.063205534</v>
      </c>
      <c r="H14457" s="56">
        <v>7.5377442238841075E-2</v>
      </c>
      <c r="I14457" s="224" t="s">
        <v>2</v>
      </c>
    </row>
    <row r="14458" spans="1:9" x14ac:dyDescent="0.25">
      <c r="A14458" s="515">
        <v>76252</v>
      </c>
      <c r="B14458" s="515" t="s">
        <v>770</v>
      </c>
      <c r="C14458" s="52">
        <v>316760.96498269</v>
      </c>
      <c r="D14458" s="56">
        <v>2.8710787091390185E-2</v>
      </c>
      <c r="E14458" s="224" t="s">
        <v>2</v>
      </c>
      <c r="F14458" s="515" t="s">
        <v>15639</v>
      </c>
      <c r="G14458" s="52">
        <v>147499.79306308599</v>
      </c>
      <c r="H14458" s="56">
        <v>4.8607865274061267E-2</v>
      </c>
      <c r="I14458" s="224" t="s">
        <v>2</v>
      </c>
    </row>
    <row r="14459" spans="1:9" x14ac:dyDescent="0.25">
      <c r="A14459" s="515">
        <v>46910</v>
      </c>
      <c r="C14459" s="52">
        <v>172761.98728051499</v>
      </c>
      <c r="D14459" s="56">
        <v>8.3873890754107033E-2</v>
      </c>
      <c r="E14459" s="224" t="s">
        <v>2</v>
      </c>
      <c r="F14459" s="515" t="s">
        <v>15640</v>
      </c>
      <c r="G14459" s="52">
        <v>303006.70362132601</v>
      </c>
      <c r="H14459" s="56">
        <v>0.1084548440156384</v>
      </c>
      <c r="I14459" s="224" t="s">
        <v>2</v>
      </c>
    </row>
    <row r="14460" spans="1:9" x14ac:dyDescent="0.25">
      <c r="A14460" s="515">
        <v>75226</v>
      </c>
      <c r="B14460" s="515" t="s">
        <v>458</v>
      </c>
      <c r="C14460" s="52">
        <v>357517.99520999199</v>
      </c>
      <c r="D14460" s="56">
        <v>0.13049527848920781</v>
      </c>
      <c r="E14460" s="224">
        <v>1746.1666666666599</v>
      </c>
      <c r="F14460" s="515" t="s">
        <v>15641</v>
      </c>
      <c r="G14460" s="52">
        <v>269882.31519618398</v>
      </c>
      <c r="H14460" s="56">
        <v>0.12422238886774903</v>
      </c>
      <c r="I14460" s="224" t="s">
        <v>2</v>
      </c>
    </row>
    <row r="14461" spans="1:9" x14ac:dyDescent="0.25">
      <c r="A14461" s="515">
        <v>22920</v>
      </c>
      <c r="B14461" s="515" t="s">
        <v>630</v>
      </c>
      <c r="C14461" s="52">
        <v>376003.52945175301</v>
      </c>
      <c r="D14461" s="56">
        <v>0.1088017646781627</v>
      </c>
      <c r="E14461" s="224" t="s">
        <v>2</v>
      </c>
      <c r="F14461" s="515" t="s">
        <v>15642</v>
      </c>
      <c r="G14461" s="52">
        <v>133202.102953828</v>
      </c>
      <c r="H14461" s="56">
        <v>7.0635823165667203E-2</v>
      </c>
      <c r="I14461" s="224" t="s">
        <v>2</v>
      </c>
    </row>
    <row r="14462" spans="1:9" x14ac:dyDescent="0.25">
      <c r="A14462" s="515">
        <v>12084</v>
      </c>
      <c r="B14462" s="515" t="s">
        <v>609</v>
      </c>
      <c r="C14462" s="52">
        <v>371828.58403663198</v>
      </c>
      <c r="D14462" s="56">
        <v>4.2880792553142741E-2</v>
      </c>
      <c r="E14462" s="224" t="s">
        <v>2</v>
      </c>
      <c r="F14462" s="515" t="s">
        <v>15643</v>
      </c>
      <c r="G14462" s="52">
        <v>223143.96610507599</v>
      </c>
      <c r="H14462" s="56">
        <v>5.4918444583410983E-2</v>
      </c>
      <c r="I14462" s="224" t="s">
        <v>2</v>
      </c>
    </row>
    <row r="14463" spans="1:9" x14ac:dyDescent="0.25">
      <c r="A14463" s="515">
        <v>72937</v>
      </c>
      <c r="B14463" s="515" t="s">
        <v>326</v>
      </c>
      <c r="C14463" s="52">
        <v>149713.12860173799</v>
      </c>
      <c r="D14463" s="56">
        <v>-1.9448629294824556E-2</v>
      </c>
      <c r="E14463" s="224" t="s">
        <v>2</v>
      </c>
      <c r="F14463" s="515" t="s">
        <v>15644</v>
      </c>
      <c r="G14463" s="52">
        <v>179215.69061102401</v>
      </c>
      <c r="H14463" s="56">
        <v>9.6240559069879827E-2</v>
      </c>
      <c r="I14463" s="224" t="s">
        <v>2</v>
      </c>
    </row>
    <row r="14464" spans="1:9" x14ac:dyDescent="0.25">
      <c r="A14464" s="515">
        <v>89040</v>
      </c>
      <c r="B14464" s="515" t="s">
        <v>323</v>
      </c>
      <c r="C14464" s="52">
        <v>293191.34502495301</v>
      </c>
      <c r="D14464" s="56">
        <v>8.1515837350647644E-2</v>
      </c>
      <c r="E14464" s="224" t="s">
        <v>2</v>
      </c>
      <c r="F14464" s="515" t="s">
        <v>15645</v>
      </c>
      <c r="G14464" s="52">
        <v>105451.82372686799</v>
      </c>
      <c r="H14464" s="56">
        <v>7.4360544702915657E-2</v>
      </c>
      <c r="I14464" s="224" t="s">
        <v>2</v>
      </c>
    </row>
    <row r="14465" spans="1:9" x14ac:dyDescent="0.25">
      <c r="A14465" s="515">
        <v>3086</v>
      </c>
      <c r="B14465" s="515" t="s">
        <v>996</v>
      </c>
      <c r="C14465" s="52">
        <v>407104.61371581198</v>
      </c>
      <c r="D14465" s="56">
        <v>0.11496005797720214</v>
      </c>
      <c r="E14465" s="224" t="s">
        <v>2</v>
      </c>
      <c r="F14465" s="515" t="s">
        <v>15646</v>
      </c>
      <c r="G14465" s="52">
        <v>86051.630252100804</v>
      </c>
      <c r="H14465" s="56">
        <v>0</v>
      </c>
      <c r="I14465" s="224" t="s">
        <v>2</v>
      </c>
    </row>
    <row r="14466" spans="1:9" x14ac:dyDescent="0.25">
      <c r="A14466" s="515">
        <v>49267</v>
      </c>
      <c r="B14466" s="515" t="s">
        <v>1033</v>
      </c>
      <c r="C14466" s="52">
        <v>262679.51286644198</v>
      </c>
      <c r="D14466" s="56">
        <v>9.1284743762419004E-2</v>
      </c>
      <c r="E14466" s="224" t="s">
        <v>2</v>
      </c>
      <c r="F14466" s="515" t="s">
        <v>15647</v>
      </c>
      <c r="G14466" s="52">
        <v>194225.17818466001</v>
      </c>
      <c r="H14466" s="56">
        <v>0.1475249210949913</v>
      </c>
      <c r="I14466" s="224" t="s">
        <v>2</v>
      </c>
    </row>
    <row r="14467" spans="1:9" x14ac:dyDescent="0.25">
      <c r="A14467" s="515">
        <v>60518</v>
      </c>
      <c r="B14467" s="515" t="s">
        <v>556</v>
      </c>
      <c r="C14467" s="52">
        <v>171504.297198566</v>
      </c>
      <c r="D14467" s="56">
        <v>3.4147644726798584E-2</v>
      </c>
      <c r="E14467" s="224" t="s">
        <v>2</v>
      </c>
      <c r="F14467" s="515" t="s">
        <v>15648</v>
      </c>
      <c r="G14467" s="52">
        <v>565844.51247858605</v>
      </c>
      <c r="H14467" s="56">
        <v>7.832231078511788E-2</v>
      </c>
      <c r="I14467" s="224" t="s">
        <v>2</v>
      </c>
    </row>
    <row r="14468" spans="1:9" x14ac:dyDescent="0.25">
      <c r="A14468" s="515">
        <v>65079</v>
      </c>
      <c r="C14468" s="52">
        <v>358679.99833097297</v>
      </c>
      <c r="D14468" s="56">
        <v>1.9521649528711174E-2</v>
      </c>
      <c r="E14468" s="224" t="s">
        <v>2</v>
      </c>
      <c r="F14468" s="515" t="s">
        <v>15649</v>
      </c>
      <c r="G14468" s="52">
        <v>322246.38585854002</v>
      </c>
      <c r="H14468" s="56">
        <v>0.15634753472542753</v>
      </c>
      <c r="I14468" s="224" t="s">
        <v>2</v>
      </c>
    </row>
    <row r="14469" spans="1:9" x14ac:dyDescent="0.25">
      <c r="A14469" s="515">
        <v>16668</v>
      </c>
      <c r="B14469" s="515" t="s">
        <v>828</v>
      </c>
      <c r="C14469" s="52">
        <v>90370.651744124407</v>
      </c>
      <c r="D14469" s="56">
        <v>-1.4806022843540066E-2</v>
      </c>
      <c r="E14469" s="224" t="s">
        <v>2</v>
      </c>
      <c r="F14469" s="515" t="s">
        <v>15650</v>
      </c>
      <c r="G14469" s="52">
        <v>79077.713016416805</v>
      </c>
      <c r="H14469" s="56">
        <v>8.0811292038270699E-2</v>
      </c>
      <c r="I14469" s="224" t="s">
        <v>2</v>
      </c>
    </row>
    <row r="14470" spans="1:9" x14ac:dyDescent="0.25">
      <c r="A14470" s="515">
        <v>13833</v>
      </c>
      <c r="B14470" s="515" t="s">
        <v>840</v>
      </c>
      <c r="C14470" s="52">
        <v>162414.37683127401</v>
      </c>
      <c r="D14470" s="56">
        <v>8.4231223538916447E-2</v>
      </c>
      <c r="E14470" s="224" t="s">
        <v>2</v>
      </c>
      <c r="F14470" s="515" t="s">
        <v>15651</v>
      </c>
      <c r="G14470" s="52">
        <v>127384.49569148201</v>
      </c>
      <c r="H14470" s="56">
        <v>0.15213847513604822</v>
      </c>
      <c r="I14470" s="224" t="s">
        <v>2</v>
      </c>
    </row>
    <row r="14471" spans="1:9" x14ac:dyDescent="0.25">
      <c r="A14471" s="515">
        <v>30257</v>
      </c>
      <c r="B14471" s="515" t="s">
        <v>957</v>
      </c>
      <c r="C14471" s="52">
        <v>275544.27716398297</v>
      </c>
      <c r="D14471" s="56">
        <v>8.6775719163359244E-2</v>
      </c>
      <c r="E14471" s="224" t="s">
        <v>2</v>
      </c>
      <c r="F14471" s="515" t="s">
        <v>15652</v>
      </c>
      <c r="G14471" s="52">
        <v>348848.518005602</v>
      </c>
      <c r="H14471" s="56">
        <v>5.8333639243179095E-2</v>
      </c>
      <c r="I14471" s="224" t="s">
        <v>2</v>
      </c>
    </row>
    <row r="14472" spans="1:9" x14ac:dyDescent="0.25">
      <c r="A14472" s="515">
        <v>37332</v>
      </c>
      <c r="B14472" s="515" t="s">
        <v>1079</v>
      </c>
      <c r="C14472" s="52">
        <v>205995.11868132101</v>
      </c>
      <c r="D14472" s="56">
        <v>3.2899660509028684E-2</v>
      </c>
      <c r="E14472" s="224" t="s">
        <v>2</v>
      </c>
      <c r="F14472" s="515" t="s">
        <v>15653</v>
      </c>
      <c r="G14472" s="52">
        <v>162340.87309662101</v>
      </c>
      <c r="H14472" s="56">
        <v>-0.17501664822620289</v>
      </c>
      <c r="I14472" s="224" t="s">
        <v>2</v>
      </c>
    </row>
    <row r="14473" spans="1:9" x14ac:dyDescent="0.25">
      <c r="A14473" s="515">
        <v>8802</v>
      </c>
      <c r="B14473" s="515" t="s">
        <v>324</v>
      </c>
      <c r="C14473" s="52">
        <v>464088.20894509699</v>
      </c>
      <c r="D14473" s="56">
        <v>3.2302813869402022E-2</v>
      </c>
      <c r="E14473" s="224" t="s">
        <v>2</v>
      </c>
      <c r="F14473" s="515" t="s">
        <v>15654</v>
      </c>
      <c r="G14473" s="52">
        <v>133721.49834905801</v>
      </c>
      <c r="H14473" s="56">
        <v>0.15648301240165535</v>
      </c>
      <c r="I14473" s="224" t="s">
        <v>2</v>
      </c>
    </row>
    <row r="14474" spans="1:9" x14ac:dyDescent="0.25">
      <c r="A14474" s="515">
        <v>4496</v>
      </c>
      <c r="C14474" s="52">
        <v>248060.79058440801</v>
      </c>
      <c r="D14474" s="56">
        <v>5.7994146237105137E-2</v>
      </c>
      <c r="E14474" s="224" t="s">
        <v>2</v>
      </c>
      <c r="F14474" s="515" t="s">
        <v>15655</v>
      </c>
      <c r="G14474" s="52">
        <v>505034.11006277299</v>
      </c>
      <c r="H14474" s="56">
        <v>0</v>
      </c>
      <c r="I14474" s="224" t="s">
        <v>2</v>
      </c>
    </row>
    <row r="14475" spans="1:9" x14ac:dyDescent="0.25">
      <c r="A14475" s="515">
        <v>30725</v>
      </c>
      <c r="B14475" s="515" t="s">
        <v>622</v>
      </c>
      <c r="C14475" s="52">
        <v>227468.92903650299</v>
      </c>
      <c r="D14475" s="56">
        <v>0.11329653024916272</v>
      </c>
      <c r="E14475" s="224" t="s">
        <v>2</v>
      </c>
      <c r="F14475" s="515" t="s">
        <v>15656</v>
      </c>
      <c r="G14475" s="52">
        <v>63099.598331332403</v>
      </c>
      <c r="H14475" s="56">
        <v>-5.2669210363770265E-2</v>
      </c>
      <c r="I14475" s="224" t="s">
        <v>2</v>
      </c>
    </row>
    <row r="14476" spans="1:9" x14ac:dyDescent="0.25">
      <c r="A14476" s="515">
        <v>31831</v>
      </c>
      <c r="B14476" s="515" t="s">
        <v>778</v>
      </c>
      <c r="C14476" s="52">
        <v>283877.796983723</v>
      </c>
      <c r="D14476" s="56">
        <v>0.10802088597223987</v>
      </c>
      <c r="E14476" s="224" t="s">
        <v>2</v>
      </c>
      <c r="F14476" s="515" t="s">
        <v>15657</v>
      </c>
      <c r="G14476" s="52">
        <v>104406.406249413</v>
      </c>
      <c r="H14476" s="56">
        <v>0</v>
      </c>
      <c r="I14476" s="224" t="s">
        <v>2</v>
      </c>
    </row>
    <row r="14477" spans="1:9" x14ac:dyDescent="0.25">
      <c r="A14477" s="515">
        <v>49715</v>
      </c>
      <c r="B14477" s="515" t="s">
        <v>740</v>
      </c>
      <c r="C14477" s="52">
        <v>167309.53819117701</v>
      </c>
      <c r="D14477" s="56">
        <v>0.11262128887474132</v>
      </c>
      <c r="E14477" s="224" t="s">
        <v>2</v>
      </c>
      <c r="F14477" s="515" t="s">
        <v>15658</v>
      </c>
      <c r="G14477" s="52">
        <v>422149.09935151698</v>
      </c>
      <c r="H14477" s="56">
        <v>0.14904815372688748</v>
      </c>
      <c r="I14477" s="224" t="s">
        <v>2</v>
      </c>
    </row>
    <row r="14478" spans="1:9" x14ac:dyDescent="0.25">
      <c r="A14478" s="515">
        <v>74370</v>
      </c>
      <c r="B14478" s="515" t="s">
        <v>469</v>
      </c>
      <c r="C14478" s="52">
        <v>159737.13444229399</v>
      </c>
      <c r="D14478" s="56">
        <v>6.8379261245020237E-2</v>
      </c>
      <c r="E14478" s="224" t="s">
        <v>2</v>
      </c>
      <c r="F14478" s="515" t="s">
        <v>15659</v>
      </c>
      <c r="G14478" s="52">
        <v>124969.07137527601</v>
      </c>
      <c r="H14478" s="56">
        <v>4.4428032093384084E-2</v>
      </c>
      <c r="I14478" s="224" t="s">
        <v>2</v>
      </c>
    </row>
    <row r="14479" spans="1:9" x14ac:dyDescent="0.25">
      <c r="A14479" s="515">
        <v>19555</v>
      </c>
      <c r="B14479" s="515" t="s">
        <v>569</v>
      </c>
      <c r="C14479" s="52">
        <v>229894.98074908601</v>
      </c>
      <c r="D14479" s="56">
        <v>0.11269026120977742</v>
      </c>
      <c r="E14479" s="224" t="s">
        <v>2</v>
      </c>
      <c r="F14479" s="515" t="s">
        <v>15660</v>
      </c>
      <c r="G14479" s="52">
        <v>94314.586661278096</v>
      </c>
      <c r="H14479" s="56">
        <v>0.11505758393020159</v>
      </c>
      <c r="I14479" s="224" t="s">
        <v>2</v>
      </c>
    </row>
    <row r="14480" spans="1:9" x14ac:dyDescent="0.25">
      <c r="A14480" s="515">
        <v>44437</v>
      </c>
      <c r="B14480" s="515" t="s">
        <v>397</v>
      </c>
      <c r="C14480" s="52">
        <v>128807.10249423</v>
      </c>
      <c r="D14480" s="56">
        <v>7.1549206034640975E-2</v>
      </c>
      <c r="E14480" s="224" t="s">
        <v>2</v>
      </c>
      <c r="F14480" s="515" t="s">
        <v>15661</v>
      </c>
      <c r="G14480" s="52">
        <v>311943.155279739</v>
      </c>
      <c r="H14480" s="56">
        <v>7.7144291425301506E-2</v>
      </c>
      <c r="I14480" s="224" t="s">
        <v>2</v>
      </c>
    </row>
    <row r="14481" spans="1:9" x14ac:dyDescent="0.25">
      <c r="A14481" s="515">
        <v>40823</v>
      </c>
      <c r="C14481" s="52">
        <v>54541.402909700999</v>
      </c>
      <c r="D14481" s="56">
        <v>0.32134879067558392</v>
      </c>
      <c r="E14481" s="224" t="s">
        <v>2</v>
      </c>
      <c r="F14481" s="515" t="s">
        <v>15662</v>
      </c>
      <c r="G14481" s="52">
        <v>211059.45541839101</v>
      </c>
      <c r="H14481" s="56">
        <v>7.9826985703076558E-2</v>
      </c>
      <c r="I14481" s="224" t="s">
        <v>2</v>
      </c>
    </row>
    <row r="14482" spans="1:9" x14ac:dyDescent="0.25">
      <c r="A14482" s="515">
        <v>37302</v>
      </c>
      <c r="B14482" s="515" t="s">
        <v>622</v>
      </c>
      <c r="C14482" s="52">
        <v>471825.83184219699</v>
      </c>
      <c r="D14482" s="56">
        <v>8.8058540013454742E-2</v>
      </c>
      <c r="E14482" s="224" t="s">
        <v>2</v>
      </c>
      <c r="F14482" s="515" t="s">
        <v>15663</v>
      </c>
      <c r="G14482" s="52">
        <v>475951.944845288</v>
      </c>
      <c r="H14482" s="56">
        <v>0.12921089871122685</v>
      </c>
      <c r="I14482" s="224" t="s">
        <v>2</v>
      </c>
    </row>
    <row r="14483" spans="1:9" x14ac:dyDescent="0.25">
      <c r="A14483" s="515">
        <v>95113</v>
      </c>
      <c r="B14483" s="515" t="s">
        <v>850</v>
      </c>
      <c r="C14483" s="52">
        <v>730727.91415866802</v>
      </c>
      <c r="D14483" s="56">
        <v>-3.4498165494472023E-2</v>
      </c>
      <c r="E14483" s="224">
        <v>3216.25396825396</v>
      </c>
      <c r="F14483" s="515" t="s">
        <v>15664</v>
      </c>
      <c r="G14483" s="52">
        <v>150510.65265559501</v>
      </c>
      <c r="H14483" s="56">
        <v>8.0500981981731473E-2</v>
      </c>
      <c r="I14483" s="224" t="s">
        <v>2</v>
      </c>
    </row>
    <row r="14484" spans="1:9" x14ac:dyDescent="0.25">
      <c r="A14484" s="515">
        <v>84647</v>
      </c>
      <c r="C14484" s="52">
        <v>353485.93426540098</v>
      </c>
      <c r="D14484" s="56">
        <v>7.9042235694835566E-2</v>
      </c>
      <c r="E14484" s="224" t="s">
        <v>2</v>
      </c>
      <c r="F14484" s="515" t="s">
        <v>15665</v>
      </c>
      <c r="G14484" s="52">
        <v>127215.95401862499</v>
      </c>
      <c r="H14484" s="56">
        <v>1.8017261609615667E-2</v>
      </c>
      <c r="I14484" s="224" t="s">
        <v>2</v>
      </c>
    </row>
    <row r="14485" spans="1:9" x14ac:dyDescent="0.25">
      <c r="A14485" s="515">
        <v>28654</v>
      </c>
      <c r="B14485" s="515" t="s">
        <v>1018</v>
      </c>
      <c r="C14485" s="52">
        <v>225454.153698632</v>
      </c>
      <c r="D14485" s="56">
        <v>0.15640325446289341</v>
      </c>
      <c r="E14485" s="224" t="s">
        <v>2</v>
      </c>
      <c r="F14485" s="515" t="s">
        <v>15666</v>
      </c>
      <c r="G14485" s="52">
        <v>299150.45762711798</v>
      </c>
      <c r="H14485" s="56">
        <v>0</v>
      </c>
      <c r="I14485" s="224" t="s">
        <v>2</v>
      </c>
    </row>
    <row r="14486" spans="1:9" x14ac:dyDescent="0.25">
      <c r="A14486" s="515">
        <v>12526</v>
      </c>
      <c r="B14486" s="515" t="s">
        <v>564</v>
      </c>
      <c r="C14486" s="52">
        <v>444909.40882838803</v>
      </c>
      <c r="D14486" s="56">
        <v>8.5957604797199758E-2</v>
      </c>
      <c r="E14486" s="224" t="s">
        <v>2</v>
      </c>
      <c r="F14486" s="515" t="s">
        <v>15667</v>
      </c>
      <c r="G14486" s="52">
        <v>367541.806080996</v>
      </c>
      <c r="H14486" s="56">
        <v>6.3449589647374377E-2</v>
      </c>
      <c r="I14486" s="224" t="s">
        <v>2</v>
      </c>
    </row>
    <row r="14487" spans="1:9" x14ac:dyDescent="0.25">
      <c r="A14487" s="515">
        <v>44442</v>
      </c>
      <c r="B14487" s="515" t="s">
        <v>397</v>
      </c>
      <c r="C14487" s="52">
        <v>198042.82756957199</v>
      </c>
      <c r="D14487" s="56">
        <v>9.1215551936668429E-2</v>
      </c>
      <c r="E14487" s="224" t="s">
        <v>2</v>
      </c>
      <c r="F14487" s="515" t="s">
        <v>15668</v>
      </c>
      <c r="G14487" s="52">
        <v>197819.24137931</v>
      </c>
      <c r="H14487" s="56">
        <v>0</v>
      </c>
      <c r="I14487" s="224" t="s">
        <v>2</v>
      </c>
    </row>
    <row r="14488" spans="1:9" x14ac:dyDescent="0.25">
      <c r="A14488" s="515">
        <v>77968</v>
      </c>
      <c r="B14488" s="515" t="s">
        <v>1174</v>
      </c>
      <c r="C14488" s="52">
        <v>321321.41724750597</v>
      </c>
      <c r="D14488" s="56">
        <v>1.748210928144223E-2</v>
      </c>
      <c r="E14488" s="224" t="s">
        <v>2</v>
      </c>
      <c r="F14488" s="515" t="s">
        <v>15669</v>
      </c>
      <c r="G14488" s="52">
        <v>184968.369074852</v>
      </c>
      <c r="H14488" s="56">
        <v>7.6943036687878871E-2</v>
      </c>
      <c r="I14488" s="224" t="s">
        <v>2</v>
      </c>
    </row>
    <row r="14489" spans="1:9" x14ac:dyDescent="0.25">
      <c r="A14489" s="515">
        <v>49946</v>
      </c>
      <c r="C14489" s="52">
        <v>126464.546964219</v>
      </c>
      <c r="D14489" s="56">
        <v>7.4313875493190559E-2</v>
      </c>
      <c r="E14489" s="224" t="s">
        <v>2</v>
      </c>
      <c r="F14489" s="515" t="s">
        <v>15670</v>
      </c>
      <c r="G14489" s="52">
        <v>101962.114599494</v>
      </c>
      <c r="H14489" s="56">
        <v>0.18035197157375488</v>
      </c>
      <c r="I14489" s="224" t="s">
        <v>2</v>
      </c>
    </row>
    <row r="14490" spans="1:9" x14ac:dyDescent="0.25">
      <c r="A14490" s="515">
        <v>26288</v>
      </c>
      <c r="C14490" s="52">
        <v>58427.647560818201</v>
      </c>
      <c r="D14490" s="56">
        <v>0.12158288327414549</v>
      </c>
      <c r="E14490" s="224" t="s">
        <v>2</v>
      </c>
      <c r="F14490" s="515" t="s">
        <v>15671</v>
      </c>
      <c r="G14490" s="52">
        <v>294061.99580436101</v>
      </c>
      <c r="H14490" s="56">
        <v>0.11293744675219404</v>
      </c>
      <c r="I14490" s="224" t="s">
        <v>2</v>
      </c>
    </row>
    <row r="14491" spans="1:9" x14ac:dyDescent="0.25">
      <c r="A14491" s="515">
        <v>4015</v>
      </c>
      <c r="B14491" s="515" t="s">
        <v>570</v>
      </c>
      <c r="C14491" s="52">
        <v>367720.64757834398</v>
      </c>
      <c r="D14491" s="56">
        <v>5.1786802102416346E-2</v>
      </c>
      <c r="E14491" s="224" t="s">
        <v>2</v>
      </c>
      <c r="F14491" s="515" t="s">
        <v>15672</v>
      </c>
      <c r="G14491" s="52">
        <v>100341.611308405</v>
      </c>
      <c r="H14491" s="56">
        <v>8.7059496317623664E-2</v>
      </c>
      <c r="I14491" s="224" t="s">
        <v>2</v>
      </c>
    </row>
    <row r="14492" spans="1:9" x14ac:dyDescent="0.25">
      <c r="A14492" s="515">
        <v>50674</v>
      </c>
      <c r="C14492" s="52">
        <v>154513.06357348</v>
      </c>
      <c r="D14492" s="56">
        <v>9.5518538776592235E-2</v>
      </c>
      <c r="E14492" s="224" t="s">
        <v>2</v>
      </c>
      <c r="F14492" s="515" t="s">
        <v>15673</v>
      </c>
      <c r="G14492" s="52">
        <v>144565.625</v>
      </c>
      <c r="H14492" s="56">
        <v>0</v>
      </c>
      <c r="I14492" s="224" t="s">
        <v>2</v>
      </c>
    </row>
    <row r="14493" spans="1:9" x14ac:dyDescent="0.25">
      <c r="A14493" s="515">
        <v>66536</v>
      </c>
      <c r="B14493" s="515" t="s">
        <v>795</v>
      </c>
      <c r="C14493" s="52">
        <v>229788.852863668</v>
      </c>
      <c r="D14493" s="56">
        <v>6.6051117024773273E-2</v>
      </c>
      <c r="E14493" s="224" t="s">
        <v>2</v>
      </c>
      <c r="F14493" s="515" t="s">
        <v>15674</v>
      </c>
      <c r="G14493" s="52">
        <v>332538.96707045299</v>
      </c>
      <c r="H14493" s="56">
        <v>0.12828376302055572</v>
      </c>
      <c r="I14493" s="224" t="s">
        <v>2</v>
      </c>
    </row>
    <row r="14494" spans="1:9" x14ac:dyDescent="0.25">
      <c r="A14494" s="515">
        <v>35580</v>
      </c>
      <c r="B14494" s="515" t="s">
        <v>1087</v>
      </c>
      <c r="C14494" s="52">
        <v>165125.262187783</v>
      </c>
      <c r="D14494" s="56">
        <v>9.0175124589292652E-2</v>
      </c>
      <c r="E14494" s="224" t="s">
        <v>2</v>
      </c>
      <c r="F14494" s="515" t="s">
        <v>15675</v>
      </c>
      <c r="G14494" s="52">
        <v>140261.14258999401</v>
      </c>
      <c r="H14494" s="56">
        <v>0.1605544598466431</v>
      </c>
      <c r="I14494" s="224" t="s">
        <v>2</v>
      </c>
    </row>
    <row r="14495" spans="1:9" x14ac:dyDescent="0.25">
      <c r="A14495" s="515">
        <v>98333</v>
      </c>
      <c r="B14495" s="515" t="s">
        <v>384</v>
      </c>
      <c r="C14495" s="52">
        <v>905603.60305195604</v>
      </c>
      <c r="D14495" s="56">
        <v>1.609140871009666E-2</v>
      </c>
      <c r="E14495" s="224" t="s">
        <v>2</v>
      </c>
      <c r="F14495" s="515" t="s">
        <v>15676</v>
      </c>
      <c r="G14495" s="52">
        <v>174943.89958814901</v>
      </c>
      <c r="H14495" s="56">
        <v>0.10582189095775975</v>
      </c>
      <c r="I14495" s="224" t="s">
        <v>2</v>
      </c>
    </row>
    <row r="14496" spans="1:9" x14ac:dyDescent="0.25">
      <c r="A14496" s="515">
        <v>68826</v>
      </c>
      <c r="B14496" s="515" t="s">
        <v>650</v>
      </c>
      <c r="C14496" s="52">
        <v>158157.69158578399</v>
      </c>
      <c r="D14496" s="56">
        <v>5.6089635162277884E-2</v>
      </c>
      <c r="E14496" s="224" t="s">
        <v>2</v>
      </c>
      <c r="F14496" s="515" t="s">
        <v>15677</v>
      </c>
      <c r="G14496" s="52">
        <v>147353.60813943899</v>
      </c>
      <c r="H14496" s="56">
        <v>5.3569574325226292E-2</v>
      </c>
      <c r="I14496" s="224" t="s">
        <v>2</v>
      </c>
    </row>
    <row r="14497" spans="1:9" x14ac:dyDescent="0.25">
      <c r="A14497" s="515">
        <v>62014</v>
      </c>
      <c r="B14497" s="515" t="s">
        <v>498</v>
      </c>
      <c r="C14497" s="52">
        <v>132107.54148552701</v>
      </c>
      <c r="D14497" s="56">
        <v>5.2377064873758788E-2</v>
      </c>
      <c r="E14497" s="224" t="s">
        <v>2</v>
      </c>
      <c r="F14497" s="515" t="s">
        <v>15678</v>
      </c>
      <c r="G14497" s="52">
        <v>75869.641428229093</v>
      </c>
      <c r="H14497" s="56">
        <v>8.9451484082355023E-2</v>
      </c>
      <c r="I14497" s="224" t="s">
        <v>2</v>
      </c>
    </row>
    <row r="14498" spans="1:9" x14ac:dyDescent="0.25">
      <c r="A14498" s="515">
        <v>80136</v>
      </c>
      <c r="B14498" s="515" t="s">
        <v>401</v>
      </c>
      <c r="C14498" s="52">
        <v>544943.79395737196</v>
      </c>
      <c r="D14498" s="56">
        <v>4.7075341483098117E-2</v>
      </c>
      <c r="E14498" s="224" t="s">
        <v>2</v>
      </c>
      <c r="F14498" s="515" t="s">
        <v>15679</v>
      </c>
      <c r="G14498" s="52">
        <v>216614.529005438</v>
      </c>
      <c r="H14498" s="56">
        <v>0.10661212272761621</v>
      </c>
      <c r="I14498" s="224" t="s">
        <v>2</v>
      </c>
    </row>
    <row r="14499" spans="1:9" x14ac:dyDescent="0.25">
      <c r="A14499" s="515">
        <v>67135</v>
      </c>
      <c r="B14499" s="515" t="s">
        <v>485</v>
      </c>
      <c r="C14499" s="52">
        <v>210944.02418613201</v>
      </c>
      <c r="D14499" s="56">
        <v>7.7103936243099913E-2</v>
      </c>
      <c r="E14499" s="224" t="s">
        <v>2</v>
      </c>
      <c r="F14499" s="515" t="s">
        <v>15680</v>
      </c>
      <c r="G14499" s="52">
        <v>362233.43801822403</v>
      </c>
      <c r="H14499" s="56">
        <v>0.13282128726256817</v>
      </c>
      <c r="I14499" s="224" t="s">
        <v>2</v>
      </c>
    </row>
    <row r="14500" spans="1:9" x14ac:dyDescent="0.25">
      <c r="A14500" s="515">
        <v>51109</v>
      </c>
      <c r="B14500" s="515" t="s">
        <v>649</v>
      </c>
      <c r="C14500" s="52">
        <v>150567.13619333401</v>
      </c>
      <c r="D14500" s="56">
        <v>0.11154821584759088</v>
      </c>
      <c r="E14500" s="224" t="s">
        <v>2</v>
      </c>
      <c r="F14500" s="515" t="s">
        <v>15681</v>
      </c>
      <c r="G14500" s="52">
        <v>120090.148648862</v>
      </c>
      <c r="H14500" s="56">
        <v>9.3937183721977152E-2</v>
      </c>
      <c r="I14500" s="224" t="s">
        <v>2</v>
      </c>
    </row>
    <row r="14501" spans="1:9" x14ac:dyDescent="0.25">
      <c r="A14501" s="515">
        <v>53061</v>
      </c>
      <c r="B14501" s="515" t="s">
        <v>821</v>
      </c>
      <c r="C14501" s="52">
        <v>192493.42748561801</v>
      </c>
      <c r="D14501" s="56">
        <v>5.9088990413222457E-2</v>
      </c>
      <c r="E14501" s="224" t="s">
        <v>2</v>
      </c>
      <c r="F14501" s="515" t="s">
        <v>15682</v>
      </c>
      <c r="G14501" s="52">
        <v>170726.543103448</v>
      </c>
      <c r="H14501" s="56">
        <v>0</v>
      </c>
      <c r="I14501" s="224" t="s">
        <v>2</v>
      </c>
    </row>
    <row r="14502" spans="1:9" x14ac:dyDescent="0.25">
      <c r="A14502" s="515">
        <v>46773</v>
      </c>
      <c r="B14502" s="515" t="s">
        <v>1031</v>
      </c>
      <c r="C14502" s="52">
        <v>195554.45052116699</v>
      </c>
      <c r="D14502" s="56">
        <v>8.32643443827292E-2</v>
      </c>
      <c r="E14502" s="224" t="s">
        <v>2</v>
      </c>
      <c r="F14502" s="515" t="s">
        <v>15683</v>
      </c>
      <c r="G14502" s="52">
        <v>87955.950626228601</v>
      </c>
      <c r="H14502" s="56">
        <v>-2.2383644480052423E-2</v>
      </c>
      <c r="I14502" s="224" t="s">
        <v>2</v>
      </c>
    </row>
    <row r="14503" spans="1:9" x14ac:dyDescent="0.25">
      <c r="A14503" s="515">
        <v>12918</v>
      </c>
      <c r="B14503" s="515" t="s">
        <v>395</v>
      </c>
      <c r="C14503" s="52">
        <v>179716.25518141699</v>
      </c>
      <c r="D14503" s="56">
        <v>7.8876371737572532E-2</v>
      </c>
      <c r="E14503" s="224" t="s">
        <v>2</v>
      </c>
      <c r="F14503" s="515" t="s">
        <v>15684</v>
      </c>
      <c r="G14503" s="52">
        <v>239921.601573294</v>
      </c>
      <c r="H14503" s="56">
        <v>1.7651337356817089E-2</v>
      </c>
      <c r="I14503" s="224" t="s">
        <v>2</v>
      </c>
    </row>
    <row r="14504" spans="1:9" x14ac:dyDescent="0.25">
      <c r="A14504" s="515">
        <v>16877</v>
      </c>
      <c r="B14504" s="515" t="s">
        <v>491</v>
      </c>
      <c r="C14504" s="52">
        <v>286162.024558415</v>
      </c>
      <c r="D14504" s="56">
        <v>7.7334986895248856E-2</v>
      </c>
      <c r="E14504" s="224" t="s">
        <v>2</v>
      </c>
      <c r="F14504" s="515" t="s">
        <v>15685</v>
      </c>
      <c r="G14504" s="52">
        <v>216041.076115756</v>
      </c>
      <c r="H14504" s="56">
        <v>8.7272176104229229E-2</v>
      </c>
      <c r="I14504" s="224" t="s">
        <v>2</v>
      </c>
    </row>
    <row r="14505" spans="1:9" x14ac:dyDescent="0.25">
      <c r="A14505" s="515">
        <v>49117</v>
      </c>
      <c r="B14505" s="515" t="s">
        <v>698</v>
      </c>
      <c r="C14505" s="52">
        <v>534591.68655542401</v>
      </c>
      <c r="D14505" s="56">
        <v>9.7021712357904619E-2</v>
      </c>
      <c r="E14505" s="224" t="s">
        <v>2</v>
      </c>
      <c r="F14505" s="515" t="s">
        <v>15686</v>
      </c>
      <c r="G14505" s="52">
        <v>548729.60549453797</v>
      </c>
      <c r="H14505" s="56">
        <v>0.13242324510848794</v>
      </c>
      <c r="I14505" s="224" t="s">
        <v>2</v>
      </c>
    </row>
    <row r="14506" spans="1:9" x14ac:dyDescent="0.25">
      <c r="A14506" s="515">
        <v>37709</v>
      </c>
      <c r="B14506" s="515" t="s">
        <v>786</v>
      </c>
      <c r="C14506" s="52">
        <v>254150.52221181599</v>
      </c>
      <c r="D14506" s="56">
        <v>0.11671791396260614</v>
      </c>
      <c r="E14506" s="224" t="s">
        <v>2</v>
      </c>
      <c r="F14506" s="515" t="s">
        <v>15687</v>
      </c>
      <c r="G14506" s="52">
        <v>621058.43835996406</v>
      </c>
      <c r="H14506" s="56">
        <v>5.7532196637981321E-2</v>
      </c>
      <c r="I14506" s="224" t="s">
        <v>2</v>
      </c>
    </row>
    <row r="14507" spans="1:9" x14ac:dyDescent="0.25">
      <c r="A14507" s="515">
        <v>79081</v>
      </c>
      <c r="C14507" s="52">
        <v>107184.25955046499</v>
      </c>
      <c r="D14507" s="56">
        <v>-5.6483290460014698E-2</v>
      </c>
      <c r="E14507" s="224" t="s">
        <v>2</v>
      </c>
      <c r="F14507" s="515" t="s">
        <v>15688</v>
      </c>
      <c r="G14507" s="52">
        <v>132518.30319990701</v>
      </c>
      <c r="H14507" s="56">
        <v>6.8247428781009048E-2</v>
      </c>
      <c r="I14507" s="224" t="s">
        <v>2</v>
      </c>
    </row>
    <row r="14508" spans="1:9" x14ac:dyDescent="0.25">
      <c r="A14508" s="515">
        <v>43061</v>
      </c>
      <c r="B14508" s="515" t="s">
        <v>345</v>
      </c>
      <c r="C14508" s="52">
        <v>406230.62884358998</v>
      </c>
      <c r="D14508" s="56">
        <v>0.11435843715121359</v>
      </c>
      <c r="E14508" s="224" t="s">
        <v>2</v>
      </c>
      <c r="F14508" s="515" t="s">
        <v>15689</v>
      </c>
      <c r="G14508" s="52">
        <v>277156.87184367998</v>
      </c>
      <c r="H14508" s="56">
        <v>0</v>
      </c>
      <c r="I14508" s="224" t="s">
        <v>2</v>
      </c>
    </row>
    <row r="14509" spans="1:9" x14ac:dyDescent="0.25">
      <c r="A14509" s="515">
        <v>14416</v>
      </c>
      <c r="B14509" s="515" t="s">
        <v>1014</v>
      </c>
      <c r="C14509" s="52">
        <v>203329.26377458</v>
      </c>
      <c r="D14509" s="56">
        <v>9.5907771266228237E-2</v>
      </c>
      <c r="E14509" s="224" t="s">
        <v>2</v>
      </c>
      <c r="F14509" s="515" t="s">
        <v>15690</v>
      </c>
      <c r="G14509" s="52">
        <v>192905.56058653601</v>
      </c>
      <c r="H14509" s="56">
        <v>0.22448895893370299</v>
      </c>
      <c r="I14509" s="224" t="s">
        <v>2</v>
      </c>
    </row>
    <row r="14510" spans="1:9" x14ac:dyDescent="0.25">
      <c r="A14510" s="515">
        <v>8735</v>
      </c>
      <c r="B14510" s="515" t="s">
        <v>324</v>
      </c>
      <c r="C14510" s="52">
        <v>927104.12896069698</v>
      </c>
      <c r="D14510" s="56">
        <v>7.8258949061432229E-2</v>
      </c>
      <c r="E14510" s="224" t="s">
        <v>2</v>
      </c>
      <c r="F14510" s="515" t="s">
        <v>15691</v>
      </c>
      <c r="G14510" s="52">
        <v>47420.4196876551</v>
      </c>
      <c r="H14510" s="56">
        <v>2.1458397145609313E-2</v>
      </c>
      <c r="I14510" s="224" t="s">
        <v>2</v>
      </c>
    </row>
    <row r="14511" spans="1:9" x14ac:dyDescent="0.25">
      <c r="A14511" s="515">
        <v>36280</v>
      </c>
      <c r="C14511" s="52">
        <v>179945.15174099401</v>
      </c>
      <c r="D14511" s="56">
        <v>-3.7239234032643473E-3</v>
      </c>
      <c r="E14511" s="224" t="s">
        <v>2</v>
      </c>
      <c r="F14511" s="515" t="s">
        <v>15692</v>
      </c>
      <c r="G14511" s="52">
        <v>94149.054384108997</v>
      </c>
      <c r="H14511" s="56">
        <v>-4.4458944008391635E-2</v>
      </c>
      <c r="I14511" s="224" t="s">
        <v>2</v>
      </c>
    </row>
    <row r="14512" spans="1:9" x14ac:dyDescent="0.25">
      <c r="A14512" s="515">
        <v>25918</v>
      </c>
      <c r="B14512" s="515" t="s">
        <v>566</v>
      </c>
      <c r="C14512" s="52">
        <v>165524.451173443</v>
      </c>
      <c r="D14512" s="56">
        <v>0.115543812811019</v>
      </c>
      <c r="E14512" s="224" t="s">
        <v>2</v>
      </c>
      <c r="F14512" s="515" t="s">
        <v>15693</v>
      </c>
      <c r="G14512" s="52">
        <v>107409.250716354</v>
      </c>
      <c r="H14512" s="56">
        <v>9.635263649131473E-2</v>
      </c>
      <c r="I14512" s="224" t="s">
        <v>2</v>
      </c>
    </row>
    <row r="14513" spans="1:9" x14ac:dyDescent="0.25">
      <c r="A14513" s="515">
        <v>95365</v>
      </c>
      <c r="B14513" s="515" t="s">
        <v>594</v>
      </c>
      <c r="C14513" s="52">
        <v>254544.90310351699</v>
      </c>
      <c r="D14513" s="56">
        <v>0.10175393361185313</v>
      </c>
      <c r="E14513" s="224" t="s">
        <v>2</v>
      </c>
      <c r="F14513" s="515" t="s">
        <v>15694</v>
      </c>
      <c r="G14513" s="52">
        <v>222531.626283472</v>
      </c>
      <c r="H14513" s="56">
        <v>8.6138700221331382E-2</v>
      </c>
      <c r="I14513" s="224" t="s">
        <v>2</v>
      </c>
    </row>
    <row r="14514" spans="1:9" x14ac:dyDescent="0.25">
      <c r="A14514" s="515">
        <v>8554</v>
      </c>
      <c r="B14514" s="515" t="s">
        <v>294</v>
      </c>
      <c r="C14514" s="52">
        <v>223067.087844138</v>
      </c>
      <c r="D14514" s="56">
        <v>7.3238719584142811E-2</v>
      </c>
      <c r="E14514" s="224" t="s">
        <v>2</v>
      </c>
      <c r="F14514" s="515" t="s">
        <v>15695</v>
      </c>
      <c r="G14514" s="52">
        <v>126395.13429360199</v>
      </c>
      <c r="H14514" s="56">
        <v>7.0449684047278902E-2</v>
      </c>
      <c r="I14514" s="224" t="s">
        <v>2</v>
      </c>
    </row>
    <row r="14515" spans="1:9" x14ac:dyDescent="0.25">
      <c r="A14515" s="515">
        <v>72959</v>
      </c>
      <c r="B14515" s="515" t="s">
        <v>675</v>
      </c>
      <c r="C14515" s="52">
        <v>194804.10068273899</v>
      </c>
      <c r="D14515" s="56">
        <v>0.10674716519681922</v>
      </c>
      <c r="E14515" s="224" t="s">
        <v>2</v>
      </c>
      <c r="F14515" s="515" t="s">
        <v>15696</v>
      </c>
      <c r="G14515" s="52">
        <v>98896.265960859397</v>
      </c>
      <c r="H14515" s="56">
        <v>3.7338393770720603E-2</v>
      </c>
      <c r="I14515" s="224" t="s">
        <v>2</v>
      </c>
    </row>
    <row r="14516" spans="1:9" x14ac:dyDescent="0.25">
      <c r="A14516" s="515">
        <v>11944</v>
      </c>
      <c r="B14516" s="515" t="s">
        <v>324</v>
      </c>
      <c r="C14516" s="52">
        <v>780792.28152082604</v>
      </c>
      <c r="D14516" s="56">
        <v>7.001519023464027E-2</v>
      </c>
      <c r="E14516" s="224" t="s">
        <v>2</v>
      </c>
      <c r="F14516" s="515" t="s">
        <v>15697</v>
      </c>
      <c r="G14516" s="52">
        <v>276755.050442626</v>
      </c>
      <c r="H14516" s="56">
        <v>5.2097465341313633E-2</v>
      </c>
      <c r="I14516" s="224" t="s">
        <v>2</v>
      </c>
    </row>
    <row r="14517" spans="1:9" x14ac:dyDescent="0.25">
      <c r="A14517" s="515">
        <v>72944</v>
      </c>
      <c r="B14517" s="515" t="s">
        <v>326</v>
      </c>
      <c r="C14517" s="52">
        <v>126470.822394145</v>
      </c>
      <c r="D14517" s="56">
        <v>8.2987096557338748E-3</v>
      </c>
      <c r="E14517" s="224" t="s">
        <v>2</v>
      </c>
      <c r="F14517" s="515" t="s">
        <v>15698</v>
      </c>
      <c r="G14517" s="52">
        <v>670092.33476170502</v>
      </c>
      <c r="H14517" s="56">
        <v>6.0710940338035937E-2</v>
      </c>
      <c r="I14517" s="224" t="s">
        <v>2</v>
      </c>
    </row>
    <row r="14518" spans="1:9" x14ac:dyDescent="0.25">
      <c r="A14518" s="515">
        <v>78118</v>
      </c>
      <c r="C14518" s="52">
        <v>125536.85179278</v>
      </c>
      <c r="D14518" s="56">
        <v>-0.12624331584497264</v>
      </c>
      <c r="E14518" s="224" t="s">
        <v>2</v>
      </c>
      <c r="F14518" s="515" t="s">
        <v>15699</v>
      </c>
      <c r="G14518" s="52">
        <v>161448.03802560101</v>
      </c>
      <c r="H14518" s="56">
        <v>-4.81233907002101E-2</v>
      </c>
      <c r="I14518" s="224" t="s">
        <v>2</v>
      </c>
    </row>
    <row r="14519" spans="1:9" x14ac:dyDescent="0.25">
      <c r="A14519" s="515">
        <v>72952</v>
      </c>
      <c r="B14519" s="515" t="s">
        <v>326</v>
      </c>
      <c r="C14519" s="52">
        <v>176090.84764440701</v>
      </c>
      <c r="D14519" s="56">
        <v>2.740456882660816E-3</v>
      </c>
      <c r="E14519" s="224" t="s">
        <v>2</v>
      </c>
      <c r="F14519" s="515" t="s">
        <v>15700</v>
      </c>
      <c r="G14519" s="52">
        <v>262696.58633905603</v>
      </c>
      <c r="H14519" s="56">
        <v>9.4116589678375204E-2</v>
      </c>
      <c r="I14519" s="224" t="s">
        <v>2</v>
      </c>
    </row>
    <row r="14520" spans="1:9" x14ac:dyDescent="0.25">
      <c r="A14520" s="515">
        <v>17028</v>
      </c>
      <c r="B14520" s="515" t="s">
        <v>428</v>
      </c>
      <c r="C14520" s="52">
        <v>306272.97011349298</v>
      </c>
      <c r="D14520" s="56">
        <v>0.10445047200786024</v>
      </c>
      <c r="E14520" s="224" t="s">
        <v>2</v>
      </c>
      <c r="F14520" s="515" t="s">
        <v>15701</v>
      </c>
      <c r="G14520" s="52">
        <v>175590.51237514999</v>
      </c>
      <c r="H14520" s="56">
        <v>0.13099764405438274</v>
      </c>
      <c r="I14520" s="224" t="s">
        <v>2</v>
      </c>
    </row>
    <row r="14521" spans="1:9" x14ac:dyDescent="0.25">
      <c r="A14521" s="515">
        <v>63933</v>
      </c>
      <c r="B14521" s="515" t="s">
        <v>910</v>
      </c>
      <c r="C14521" s="52">
        <v>69755.358307787799</v>
      </c>
      <c r="D14521" s="56">
        <v>-8.2083903536912372E-4</v>
      </c>
      <c r="E14521" s="224" t="s">
        <v>2</v>
      </c>
      <c r="F14521" s="515" t="s">
        <v>15702</v>
      </c>
      <c r="G14521" s="52">
        <v>303392.52121515397</v>
      </c>
      <c r="H14521" s="56">
        <v>0.1630732843872629</v>
      </c>
      <c r="I14521" s="224" t="s">
        <v>2</v>
      </c>
    </row>
    <row r="14522" spans="1:9" x14ac:dyDescent="0.25">
      <c r="A14522" s="515">
        <v>48041</v>
      </c>
      <c r="B14522" s="515" t="s">
        <v>685</v>
      </c>
      <c r="C14522" s="52">
        <v>268424.84701446397</v>
      </c>
      <c r="D14522" s="56">
        <v>4.9399821903147824E-2</v>
      </c>
      <c r="E14522" s="224" t="s">
        <v>2</v>
      </c>
      <c r="F14522" s="515" t="s">
        <v>15703</v>
      </c>
      <c r="G14522" s="52">
        <v>349057.42195915699</v>
      </c>
      <c r="H14522" s="56">
        <v>0.12156285697644337</v>
      </c>
      <c r="I14522" s="224" t="s">
        <v>2</v>
      </c>
    </row>
    <row r="14523" spans="1:9" x14ac:dyDescent="0.25">
      <c r="A14523" s="515">
        <v>14882</v>
      </c>
      <c r="B14523" s="515" t="s">
        <v>1115</v>
      </c>
      <c r="C14523" s="52">
        <v>290309.75017530401</v>
      </c>
      <c r="D14523" s="56">
        <v>0.1079494044577433</v>
      </c>
      <c r="E14523" s="224" t="s">
        <v>2</v>
      </c>
      <c r="F14523" s="515" t="s">
        <v>15704</v>
      </c>
      <c r="G14523" s="52">
        <v>337000.37435886502</v>
      </c>
      <c r="H14523" s="56">
        <v>-1.441347637056415E-2</v>
      </c>
      <c r="I14523" s="224" t="s">
        <v>2</v>
      </c>
    </row>
    <row r="14524" spans="1:9" x14ac:dyDescent="0.25">
      <c r="A14524" s="515">
        <v>46765</v>
      </c>
      <c r="B14524" s="515" t="s">
        <v>1031</v>
      </c>
      <c r="C14524" s="52">
        <v>323476.074693695</v>
      </c>
      <c r="D14524" s="56">
        <v>4.8645478962593434E-2</v>
      </c>
      <c r="E14524" s="224" t="s">
        <v>2</v>
      </c>
      <c r="F14524" s="515" t="s">
        <v>15705</v>
      </c>
      <c r="G14524" s="52">
        <v>126204.74938713999</v>
      </c>
      <c r="H14524" s="56">
        <v>2.9074653574120944E-2</v>
      </c>
      <c r="I14524" s="224" t="s">
        <v>2</v>
      </c>
    </row>
    <row r="14525" spans="1:9" x14ac:dyDescent="0.25">
      <c r="A14525" s="515">
        <v>78039</v>
      </c>
      <c r="B14525" s="515" t="s">
        <v>717</v>
      </c>
      <c r="C14525" s="52">
        <v>212733.68392980099</v>
      </c>
      <c r="D14525" s="56">
        <v>-5.7873875731837034E-2</v>
      </c>
      <c r="E14525" s="224" t="s">
        <v>2</v>
      </c>
      <c r="F14525" s="515" t="s">
        <v>15706</v>
      </c>
      <c r="G14525" s="52">
        <v>139545.16372884801</v>
      </c>
      <c r="H14525" s="56">
        <v>-2.4249093887642154E-2</v>
      </c>
      <c r="I14525" s="224" t="s">
        <v>2</v>
      </c>
    </row>
    <row r="14526" spans="1:9" x14ac:dyDescent="0.25">
      <c r="A14526" s="515">
        <v>24574</v>
      </c>
      <c r="B14526" s="515" t="s">
        <v>705</v>
      </c>
      <c r="C14526" s="52">
        <v>243890.93793573501</v>
      </c>
      <c r="D14526" s="56">
        <v>0.14649224056659688</v>
      </c>
      <c r="E14526" s="224" t="s">
        <v>2</v>
      </c>
      <c r="F14526" s="515" t="s">
        <v>15707</v>
      </c>
      <c r="G14526" s="52">
        <v>360906.92347680201</v>
      </c>
      <c r="H14526" s="56">
        <v>0.155673955833799</v>
      </c>
      <c r="I14526" s="224" t="s">
        <v>2</v>
      </c>
    </row>
    <row r="14527" spans="1:9" x14ac:dyDescent="0.25">
      <c r="A14527" s="515">
        <v>37640</v>
      </c>
      <c r="C14527" s="52">
        <v>230623.168740383</v>
      </c>
      <c r="D14527" s="56">
        <v>8.4873741444454046E-2</v>
      </c>
      <c r="E14527" s="224" t="s">
        <v>2</v>
      </c>
      <c r="F14527" s="515" t="s">
        <v>15708</v>
      </c>
      <c r="G14527" s="52">
        <v>134490.21368134499</v>
      </c>
      <c r="H14527" s="56">
        <v>0.17762463512612164</v>
      </c>
      <c r="I14527" s="224" t="s">
        <v>2</v>
      </c>
    </row>
    <row r="14528" spans="1:9" x14ac:dyDescent="0.25">
      <c r="A14528" s="515">
        <v>64862</v>
      </c>
      <c r="B14528" s="515" t="s">
        <v>784</v>
      </c>
      <c r="C14528" s="52">
        <v>193240.51905027399</v>
      </c>
      <c r="D14528" s="56">
        <v>0.15900130601330548</v>
      </c>
      <c r="E14528" s="224" t="s">
        <v>2</v>
      </c>
      <c r="F14528" s="515" t="s">
        <v>15709</v>
      </c>
      <c r="G14528" s="52">
        <v>116674.661699765</v>
      </c>
      <c r="H14528" s="56">
        <v>0.13617392922039215</v>
      </c>
      <c r="I14528" s="224" t="s">
        <v>2</v>
      </c>
    </row>
    <row r="14529" spans="1:9" x14ac:dyDescent="0.25">
      <c r="A14529" s="515">
        <v>76462</v>
      </c>
      <c r="B14529" s="515" t="s">
        <v>1164</v>
      </c>
      <c r="C14529" s="52">
        <v>465865.58822951198</v>
      </c>
      <c r="D14529" s="56">
        <v>7.7062469717368257E-2</v>
      </c>
      <c r="E14529" s="224" t="s">
        <v>2</v>
      </c>
      <c r="F14529" s="515" t="s">
        <v>15710</v>
      </c>
      <c r="G14529" s="52">
        <v>214183.40780737399</v>
      </c>
      <c r="H14529" s="56">
        <v>8.6088421161909082E-2</v>
      </c>
      <c r="I14529" s="224" t="s">
        <v>2</v>
      </c>
    </row>
    <row r="14530" spans="1:9" x14ac:dyDescent="0.25">
      <c r="A14530" s="515">
        <v>27937</v>
      </c>
      <c r="B14530" s="515" t="s">
        <v>301</v>
      </c>
      <c r="C14530" s="52">
        <v>202675.507978129</v>
      </c>
      <c r="D14530" s="56">
        <v>0.10504285226497594</v>
      </c>
      <c r="E14530" s="224" t="s">
        <v>2</v>
      </c>
      <c r="F14530" s="515" t="s">
        <v>15711</v>
      </c>
      <c r="G14530" s="52">
        <v>188049.401492326</v>
      </c>
      <c r="H14530" s="56">
        <v>5.0812234710086814E-2</v>
      </c>
      <c r="I14530" s="224" t="s">
        <v>2</v>
      </c>
    </row>
    <row r="14531" spans="1:9" x14ac:dyDescent="0.25">
      <c r="A14531" s="515">
        <v>21660</v>
      </c>
      <c r="C14531" s="52">
        <v>305960.92951615201</v>
      </c>
      <c r="D14531" s="56">
        <v>3.2799559744199603E-3</v>
      </c>
      <c r="E14531" s="224" t="s">
        <v>2</v>
      </c>
      <c r="F14531" s="515" t="s">
        <v>15712</v>
      </c>
      <c r="G14531" s="52">
        <v>167605.48710884701</v>
      </c>
      <c r="H14531" s="56">
        <v>8.8234060880537674E-2</v>
      </c>
      <c r="I14531" s="224" t="s">
        <v>2</v>
      </c>
    </row>
    <row r="14532" spans="1:9" x14ac:dyDescent="0.25">
      <c r="A14532" s="515">
        <v>55006</v>
      </c>
      <c r="C14532" s="52">
        <v>242655.80198764501</v>
      </c>
      <c r="D14532" s="56">
        <v>0.10807529473734578</v>
      </c>
      <c r="E14532" s="224" t="s">
        <v>2</v>
      </c>
      <c r="F14532" s="515" t="s">
        <v>15713</v>
      </c>
      <c r="G14532" s="52">
        <v>387038.125</v>
      </c>
      <c r="H14532" s="56">
        <v>0</v>
      </c>
      <c r="I14532" s="224" t="s">
        <v>2</v>
      </c>
    </row>
    <row r="14533" spans="1:9" x14ac:dyDescent="0.25">
      <c r="A14533" s="515">
        <v>10925</v>
      </c>
      <c r="B14533" s="515" t="s">
        <v>529</v>
      </c>
      <c r="C14533" s="52">
        <v>359025.95122961502</v>
      </c>
      <c r="D14533" s="56">
        <v>0.10564353404284654</v>
      </c>
      <c r="E14533" s="224" t="s">
        <v>2</v>
      </c>
      <c r="F14533" s="515" t="s">
        <v>15714</v>
      </c>
      <c r="G14533" s="52">
        <v>142926.07599074699</v>
      </c>
      <c r="H14533" s="56">
        <v>9.4692501663670492E-2</v>
      </c>
      <c r="I14533" s="224" t="s">
        <v>2</v>
      </c>
    </row>
    <row r="14534" spans="1:9" x14ac:dyDescent="0.25">
      <c r="A14534" s="515">
        <v>60552</v>
      </c>
      <c r="B14534" s="515" t="s">
        <v>556</v>
      </c>
      <c r="C14534" s="52">
        <v>255540.02408686199</v>
      </c>
      <c r="D14534" s="56">
        <v>1.8852646869987482E-2</v>
      </c>
      <c r="E14534" s="224" t="s">
        <v>2</v>
      </c>
      <c r="F14534" s="515" t="s">
        <v>15715</v>
      </c>
      <c r="G14534" s="52">
        <v>385910.39657271298</v>
      </c>
      <c r="H14534" s="56">
        <v>0</v>
      </c>
      <c r="I14534" s="224" t="s">
        <v>2</v>
      </c>
    </row>
    <row r="14535" spans="1:9" x14ac:dyDescent="0.25">
      <c r="A14535" s="515">
        <v>98570</v>
      </c>
      <c r="B14535" s="515" t="s">
        <v>468</v>
      </c>
      <c r="C14535" s="52">
        <v>458693.27699783101</v>
      </c>
      <c r="D14535" s="56">
        <v>9.76094137018765E-3</v>
      </c>
      <c r="E14535" s="224" t="s">
        <v>2</v>
      </c>
      <c r="F14535" s="515" t="s">
        <v>15716</v>
      </c>
      <c r="G14535" s="52">
        <v>215715.90769197</v>
      </c>
      <c r="H14535" s="56">
        <v>2.3238549475535077E-2</v>
      </c>
      <c r="I14535" s="224" t="s">
        <v>2</v>
      </c>
    </row>
    <row r="14536" spans="1:9" x14ac:dyDescent="0.25">
      <c r="A14536" s="515">
        <v>21162</v>
      </c>
      <c r="B14536" s="515" t="s">
        <v>582</v>
      </c>
      <c r="C14536" s="52">
        <v>473902.99367376597</v>
      </c>
      <c r="D14536" s="56">
        <v>5.5809571179954616E-2</v>
      </c>
      <c r="E14536" s="224" t="s">
        <v>2</v>
      </c>
      <c r="F14536" s="515" t="s">
        <v>15717</v>
      </c>
      <c r="G14536" s="52">
        <v>112575.034090909</v>
      </c>
      <c r="H14536" s="56">
        <v>0</v>
      </c>
      <c r="I14536" s="224" t="s">
        <v>2</v>
      </c>
    </row>
    <row r="14537" spans="1:9" x14ac:dyDescent="0.25">
      <c r="A14537" s="515">
        <v>6277</v>
      </c>
      <c r="B14537" s="515" t="s">
        <v>751</v>
      </c>
      <c r="C14537" s="52">
        <v>327064.18709143699</v>
      </c>
      <c r="D14537" s="56">
        <v>6.9314380594993882E-2</v>
      </c>
      <c r="E14537" s="224" t="s">
        <v>2</v>
      </c>
      <c r="F14537" s="515" t="s">
        <v>15718</v>
      </c>
      <c r="G14537" s="52">
        <v>293295.54331303999</v>
      </c>
      <c r="H14537" s="56">
        <v>3.3124840691623407E-2</v>
      </c>
      <c r="I14537" s="224" t="s">
        <v>2</v>
      </c>
    </row>
    <row r="14538" spans="1:9" x14ac:dyDescent="0.25">
      <c r="A14538" s="515">
        <v>62275</v>
      </c>
      <c r="B14538" s="515" t="s">
        <v>498</v>
      </c>
      <c r="C14538" s="52">
        <v>139911.26237316799</v>
      </c>
      <c r="D14538" s="56">
        <v>6.2350379148151475E-2</v>
      </c>
      <c r="E14538" s="224" t="s">
        <v>2</v>
      </c>
      <c r="F14538" s="515" t="s">
        <v>15719</v>
      </c>
      <c r="G14538" s="52">
        <v>596558.79713080695</v>
      </c>
      <c r="H14538" s="56">
        <v>3.2892946081628995E-2</v>
      </c>
      <c r="I14538" s="224" t="s">
        <v>2</v>
      </c>
    </row>
    <row r="14539" spans="1:9" x14ac:dyDescent="0.25">
      <c r="A14539" s="515">
        <v>75202</v>
      </c>
      <c r="B14539" s="515" t="s">
        <v>458</v>
      </c>
      <c r="C14539" s="52">
        <v>306866.32417346298</v>
      </c>
      <c r="D14539" s="56">
        <v>4.1674168351152896E-2</v>
      </c>
      <c r="E14539" s="224">
        <v>2217.6319444444398</v>
      </c>
      <c r="F14539" s="515" t="s">
        <v>15720</v>
      </c>
      <c r="G14539" s="52">
        <v>496031.78318986797</v>
      </c>
      <c r="H14539" s="56">
        <v>2.8650683822489448E-2</v>
      </c>
      <c r="I14539" s="224" t="s">
        <v>2</v>
      </c>
    </row>
    <row r="14540" spans="1:9" x14ac:dyDescent="0.25">
      <c r="A14540" s="515">
        <v>13308</v>
      </c>
      <c r="B14540" s="515" t="s">
        <v>543</v>
      </c>
      <c r="C14540" s="52">
        <v>184417.216667195</v>
      </c>
      <c r="D14540" s="56">
        <v>0.13348580588271317</v>
      </c>
      <c r="E14540" s="224" t="s">
        <v>2</v>
      </c>
      <c r="F14540" s="515" t="s">
        <v>15721</v>
      </c>
      <c r="G14540" s="52">
        <v>303417.83286996698</v>
      </c>
      <c r="H14540" s="56">
        <v>6.4631967183408551E-2</v>
      </c>
      <c r="I14540" s="224" t="s">
        <v>2</v>
      </c>
    </row>
    <row r="14541" spans="1:9" x14ac:dyDescent="0.25">
      <c r="A14541" s="515">
        <v>61410</v>
      </c>
      <c r="B14541" s="515" t="s">
        <v>339</v>
      </c>
      <c r="C14541" s="52">
        <v>72792.208367265499</v>
      </c>
      <c r="D14541" s="56">
        <v>-4.9491511426535545E-3</v>
      </c>
      <c r="E14541" s="224" t="s">
        <v>2</v>
      </c>
      <c r="F14541" s="515" t="s">
        <v>15722</v>
      </c>
      <c r="G14541" s="52">
        <v>216721.349360108</v>
      </c>
      <c r="H14541" s="56">
        <v>1.4559403921218315E-2</v>
      </c>
      <c r="I14541" s="224" t="s">
        <v>2</v>
      </c>
    </row>
    <row r="14542" spans="1:9" x14ac:dyDescent="0.25">
      <c r="A14542" s="515">
        <v>55917</v>
      </c>
      <c r="B14542" s="515" t="s">
        <v>1077</v>
      </c>
      <c r="C14542" s="52">
        <v>225640.16178216899</v>
      </c>
      <c r="D14542" s="56">
        <v>3.7107621924275469E-2</v>
      </c>
      <c r="E14542" s="224" t="s">
        <v>2</v>
      </c>
      <c r="F14542" s="515" t="s">
        <v>15723</v>
      </c>
      <c r="G14542" s="52">
        <v>425944.17447772902</v>
      </c>
      <c r="H14542" s="56">
        <v>3.1125229296996459E-2</v>
      </c>
      <c r="I14542" s="224" t="s">
        <v>2</v>
      </c>
    </row>
    <row r="14543" spans="1:9" x14ac:dyDescent="0.25">
      <c r="A14543" s="515">
        <v>55363</v>
      </c>
      <c r="B14543" s="515" t="s">
        <v>532</v>
      </c>
      <c r="C14543" s="52">
        <v>290963.50366663601</v>
      </c>
      <c r="D14543" s="56">
        <v>2.5414184902540465E-2</v>
      </c>
      <c r="E14543" s="224" t="s">
        <v>2</v>
      </c>
      <c r="F14543" s="515" t="s">
        <v>15724</v>
      </c>
      <c r="G14543" s="52">
        <v>110189.18954692</v>
      </c>
      <c r="H14543" s="56">
        <v>4.2841061258488883E-2</v>
      </c>
      <c r="I14543" s="224" t="s">
        <v>2</v>
      </c>
    </row>
    <row r="14544" spans="1:9" x14ac:dyDescent="0.25">
      <c r="A14544" s="515">
        <v>50109</v>
      </c>
      <c r="B14544" s="515" t="s">
        <v>295</v>
      </c>
      <c r="C14544" s="52">
        <v>340565.74759007798</v>
      </c>
      <c r="D14544" s="56">
        <v>6.770098789348819E-2</v>
      </c>
      <c r="E14544" s="224" t="s">
        <v>2</v>
      </c>
      <c r="F14544" s="515" t="s">
        <v>15725</v>
      </c>
      <c r="G14544" s="52">
        <v>175928.88664737099</v>
      </c>
      <c r="H14544" s="56">
        <v>8.7679222846805641E-2</v>
      </c>
      <c r="I14544" s="224" t="s">
        <v>2</v>
      </c>
    </row>
    <row r="14545" spans="1:9" x14ac:dyDescent="0.25">
      <c r="A14545" s="515">
        <v>18232</v>
      </c>
      <c r="B14545" s="515" t="s">
        <v>327</v>
      </c>
      <c r="C14545" s="52">
        <v>69606.761213008198</v>
      </c>
      <c r="D14545" s="56">
        <v>0.25348534499971925</v>
      </c>
      <c r="E14545" s="224" t="s">
        <v>2</v>
      </c>
      <c r="F14545" s="515" t="s">
        <v>15726</v>
      </c>
      <c r="G14545" s="52">
        <v>150435.22876157999</v>
      </c>
      <c r="H14545" s="56">
        <v>7.041809457358901E-2</v>
      </c>
      <c r="I14545" s="224" t="s">
        <v>2</v>
      </c>
    </row>
    <row r="14546" spans="1:9" x14ac:dyDescent="0.25">
      <c r="A14546" s="515">
        <v>3872</v>
      </c>
      <c r="C14546" s="52">
        <v>401798.30824839999</v>
      </c>
      <c r="D14546" s="56">
        <v>0.11230922934763976</v>
      </c>
      <c r="E14546" s="224" t="s">
        <v>2</v>
      </c>
      <c r="F14546" s="515" t="s">
        <v>15727</v>
      </c>
      <c r="G14546" s="52">
        <v>125921.87890681</v>
      </c>
      <c r="H14546" s="56">
        <v>0.19178749481203194</v>
      </c>
      <c r="I14546" s="224" t="s">
        <v>2</v>
      </c>
    </row>
    <row r="14547" spans="1:9" x14ac:dyDescent="0.25">
      <c r="A14547" s="515">
        <v>49756</v>
      </c>
      <c r="C14547" s="52">
        <v>122783.23939162699</v>
      </c>
      <c r="D14547" s="56">
        <v>0.10280464936898899</v>
      </c>
      <c r="E14547" s="224" t="s">
        <v>2</v>
      </c>
      <c r="F14547" s="515" t="s">
        <v>15728</v>
      </c>
      <c r="G14547" s="52">
        <v>180493.00597230199</v>
      </c>
      <c r="H14547" s="56">
        <v>6.8782304630494617E-2</v>
      </c>
      <c r="I14547" s="224" t="s">
        <v>2</v>
      </c>
    </row>
    <row r="14548" spans="1:9" x14ac:dyDescent="0.25">
      <c r="A14548" s="515">
        <v>13460</v>
      </c>
      <c r="C14548" s="52">
        <v>160091.41299095799</v>
      </c>
      <c r="D14548" s="56">
        <v>7.2064323966638352E-2</v>
      </c>
      <c r="E14548" s="224" t="s">
        <v>2</v>
      </c>
      <c r="F14548" s="515" t="s">
        <v>15729</v>
      </c>
      <c r="G14548" s="52">
        <v>1003012.58037425</v>
      </c>
      <c r="H14548" s="56">
        <v>-3.8609278325904703E-2</v>
      </c>
      <c r="I14548" s="224" t="s">
        <v>2</v>
      </c>
    </row>
    <row r="14549" spans="1:9" x14ac:dyDescent="0.25">
      <c r="A14549" s="515">
        <v>32667</v>
      </c>
      <c r="B14549" s="515" t="s">
        <v>577</v>
      </c>
      <c r="C14549" s="52">
        <v>299338.06620348903</v>
      </c>
      <c r="D14549" s="56">
        <v>0.14045763165006711</v>
      </c>
      <c r="E14549" s="224" t="s">
        <v>2</v>
      </c>
      <c r="F14549" s="515" t="s">
        <v>15730</v>
      </c>
      <c r="G14549" s="52">
        <v>122829.891622407</v>
      </c>
      <c r="H14549" s="56">
        <v>0.3080686795712505</v>
      </c>
      <c r="I14549" s="224" t="s">
        <v>2</v>
      </c>
    </row>
    <row r="14550" spans="1:9" x14ac:dyDescent="0.25">
      <c r="A14550" s="515">
        <v>41006</v>
      </c>
      <c r="B14550" s="515" t="s">
        <v>344</v>
      </c>
      <c r="C14550" s="52">
        <v>209034.11972777999</v>
      </c>
      <c r="D14550" s="56">
        <v>0.14707540227728486</v>
      </c>
      <c r="E14550" s="224" t="s">
        <v>2</v>
      </c>
      <c r="F14550" s="515" t="s">
        <v>15731</v>
      </c>
      <c r="G14550" s="52">
        <v>193964.31417576</v>
      </c>
      <c r="H14550" s="56">
        <v>6.4880694822193274E-2</v>
      </c>
      <c r="I14550" s="224" t="s">
        <v>2</v>
      </c>
    </row>
    <row r="14551" spans="1:9" x14ac:dyDescent="0.25">
      <c r="A14551" s="515">
        <v>17960</v>
      </c>
      <c r="B14551" s="515" t="s">
        <v>994</v>
      </c>
      <c r="C14551" s="52">
        <v>238162.65988851999</v>
      </c>
      <c r="D14551" s="56">
        <v>8.9574361166438757E-2</v>
      </c>
      <c r="E14551" s="224" t="s">
        <v>2</v>
      </c>
      <c r="F14551" s="515" t="s">
        <v>15732</v>
      </c>
      <c r="G14551" s="52">
        <v>173708.71225858701</v>
      </c>
      <c r="H14551" s="56">
        <v>1.3858994771886155E-2</v>
      </c>
      <c r="I14551" s="224" t="s">
        <v>2</v>
      </c>
    </row>
    <row r="14552" spans="1:9" x14ac:dyDescent="0.25">
      <c r="A14552" s="515">
        <v>12083</v>
      </c>
      <c r="B14552" s="515" t="s">
        <v>609</v>
      </c>
      <c r="C14552" s="52">
        <v>265489.95223628101</v>
      </c>
      <c r="D14552" s="56">
        <v>7.8428194091819531E-2</v>
      </c>
      <c r="E14552" s="224" t="s">
        <v>2</v>
      </c>
      <c r="F14552" s="515" t="s">
        <v>15733</v>
      </c>
      <c r="G14552" s="52">
        <v>386359.38546315097</v>
      </c>
      <c r="H14552" s="56">
        <v>5.5006950846090093E-2</v>
      </c>
      <c r="I14552" s="224" t="s">
        <v>2</v>
      </c>
    </row>
    <row r="14553" spans="1:9" x14ac:dyDescent="0.25">
      <c r="A14553" s="515">
        <v>96088</v>
      </c>
      <c r="B14553" s="515" t="s">
        <v>514</v>
      </c>
      <c r="C14553" s="52">
        <v>311464.555668457</v>
      </c>
      <c r="D14553" s="56">
        <v>-2.4064733304258689E-2</v>
      </c>
      <c r="E14553" s="224" t="s">
        <v>2</v>
      </c>
      <c r="F14553" s="515" t="s">
        <v>15734</v>
      </c>
      <c r="G14553" s="52">
        <v>157554.35184054999</v>
      </c>
      <c r="H14553" s="56">
        <v>-4.5613388136414051E-2</v>
      </c>
      <c r="I14553" s="224" t="s">
        <v>2</v>
      </c>
    </row>
    <row r="14554" spans="1:9" x14ac:dyDescent="0.25">
      <c r="A14554" s="515">
        <v>35049</v>
      </c>
      <c r="B14554" s="515" t="s">
        <v>640</v>
      </c>
      <c r="C14554" s="52">
        <v>203563.45076155901</v>
      </c>
      <c r="D14554" s="56">
        <v>8.6977303071903378E-2</v>
      </c>
      <c r="E14554" s="224" t="s">
        <v>2</v>
      </c>
      <c r="F14554" s="515" t="s">
        <v>15735</v>
      </c>
      <c r="G14554" s="52">
        <v>361285.60955937399</v>
      </c>
      <c r="H14554" s="56">
        <v>3.9687992993318925E-2</v>
      </c>
      <c r="I14554" s="224" t="s">
        <v>2</v>
      </c>
    </row>
    <row r="14555" spans="1:9" x14ac:dyDescent="0.25">
      <c r="A14555" s="515">
        <v>12157</v>
      </c>
      <c r="B14555" s="515" t="s">
        <v>609</v>
      </c>
      <c r="C14555" s="52">
        <v>236656.45485628201</v>
      </c>
      <c r="D14555" s="56">
        <v>0.11369479041333995</v>
      </c>
      <c r="E14555" s="224" t="s">
        <v>2</v>
      </c>
      <c r="F14555" s="515" t="s">
        <v>15736</v>
      </c>
      <c r="G14555" s="52">
        <v>513261.92124206701</v>
      </c>
      <c r="H14555" s="56">
        <v>2.5726440568289471E-2</v>
      </c>
      <c r="I14555" s="224" t="s">
        <v>2</v>
      </c>
    </row>
    <row r="14556" spans="1:9" x14ac:dyDescent="0.25">
      <c r="A14556" s="515">
        <v>17516</v>
      </c>
      <c r="B14556" s="515" t="s">
        <v>537</v>
      </c>
      <c r="C14556" s="52">
        <v>326151.32613391202</v>
      </c>
      <c r="D14556" s="56">
        <v>6.7288697518908883E-2</v>
      </c>
      <c r="E14556" s="224" t="s">
        <v>2</v>
      </c>
      <c r="F14556" s="515" t="s">
        <v>15737</v>
      </c>
      <c r="G14556" s="52">
        <v>327035.45106716198</v>
      </c>
      <c r="H14556" s="56">
        <v>0.12928433187509167</v>
      </c>
      <c r="I14556" s="224" t="s">
        <v>2</v>
      </c>
    </row>
    <row r="14557" spans="1:9" x14ac:dyDescent="0.25">
      <c r="A14557" s="515">
        <v>65078</v>
      </c>
      <c r="C14557" s="52">
        <v>198303.99031422101</v>
      </c>
      <c r="D14557" s="56">
        <v>9.6565388862934837E-2</v>
      </c>
      <c r="E14557" s="224" t="s">
        <v>2</v>
      </c>
      <c r="F14557" s="515" t="s">
        <v>15738</v>
      </c>
      <c r="G14557" s="52">
        <v>395301.05536740599</v>
      </c>
      <c r="H14557" s="56">
        <v>9.059262882727194E-2</v>
      </c>
      <c r="I14557" s="224" t="s">
        <v>2</v>
      </c>
    </row>
    <row r="14558" spans="1:9" x14ac:dyDescent="0.25">
      <c r="A14558" s="515">
        <v>62067</v>
      </c>
      <c r="B14558" s="515" t="s">
        <v>498</v>
      </c>
      <c r="C14558" s="52">
        <v>188538.19941870301</v>
      </c>
      <c r="D14558" s="56">
        <v>8.171808567959514E-2</v>
      </c>
      <c r="E14558" s="224" t="s">
        <v>2</v>
      </c>
      <c r="F14558" s="515" t="s">
        <v>15739</v>
      </c>
      <c r="G14558" s="52">
        <v>355464.98108655098</v>
      </c>
      <c r="H14558" s="56">
        <v>0</v>
      </c>
      <c r="I14558" s="224" t="s">
        <v>2</v>
      </c>
    </row>
    <row r="14559" spans="1:9" x14ac:dyDescent="0.25">
      <c r="A14559" s="515">
        <v>56359</v>
      </c>
      <c r="B14559" s="515" t="s">
        <v>532</v>
      </c>
      <c r="C14559" s="52">
        <v>241355.83009405801</v>
      </c>
      <c r="D14559" s="56">
        <v>4.9270545208969979E-2</v>
      </c>
      <c r="E14559" s="224" t="s">
        <v>2</v>
      </c>
      <c r="F14559" s="515" t="s">
        <v>15740</v>
      </c>
      <c r="G14559" s="52">
        <v>2327792.2322140699</v>
      </c>
      <c r="H14559" s="56">
        <v>6.6492784838432836E-2</v>
      </c>
      <c r="I14559" s="224" t="s">
        <v>2</v>
      </c>
    </row>
    <row r="14560" spans="1:9" x14ac:dyDescent="0.25">
      <c r="A14560" s="515">
        <v>65633</v>
      </c>
      <c r="C14560" s="52">
        <v>184858.69707789499</v>
      </c>
      <c r="D14560" s="56">
        <v>8.9405321658292333E-2</v>
      </c>
      <c r="E14560" s="224" t="s">
        <v>2</v>
      </c>
      <c r="F14560" s="515" t="s">
        <v>15741</v>
      </c>
      <c r="G14560" s="52">
        <v>120369.667652092</v>
      </c>
      <c r="H14560" s="56">
        <v>0.20435500111126834</v>
      </c>
      <c r="I14560" s="224" t="s">
        <v>2</v>
      </c>
    </row>
    <row r="14561" spans="1:9" x14ac:dyDescent="0.25">
      <c r="A14561" s="515">
        <v>16693</v>
      </c>
      <c r="B14561" s="515" t="s">
        <v>1086</v>
      </c>
      <c r="C14561" s="52">
        <v>154574.20072713701</v>
      </c>
      <c r="D14561" s="56">
        <v>9.7523933166701708E-3</v>
      </c>
      <c r="E14561" s="224" t="s">
        <v>2</v>
      </c>
      <c r="F14561" s="515" t="s">
        <v>15742</v>
      </c>
      <c r="G14561" s="52">
        <v>173215.19406501099</v>
      </c>
      <c r="H14561" s="56">
        <v>0.10574148298814835</v>
      </c>
      <c r="I14561" s="224" t="s">
        <v>2</v>
      </c>
    </row>
    <row r="14562" spans="1:9" x14ac:dyDescent="0.25">
      <c r="A14562" s="515">
        <v>95379</v>
      </c>
      <c r="B14562" s="515" t="s">
        <v>555</v>
      </c>
      <c r="C14562" s="52">
        <v>327971.85571217601</v>
      </c>
      <c r="D14562" s="56">
        <v>1.1276322795702816E-2</v>
      </c>
      <c r="E14562" s="224" t="s">
        <v>2</v>
      </c>
      <c r="F14562" s="515" t="s">
        <v>15743</v>
      </c>
      <c r="G14562" s="52">
        <v>142882.10407814701</v>
      </c>
      <c r="H14562" s="56">
        <v>3.9866593859904001E-2</v>
      </c>
      <c r="I14562" s="224" t="s">
        <v>2</v>
      </c>
    </row>
    <row r="14563" spans="1:9" x14ac:dyDescent="0.25">
      <c r="A14563" s="515">
        <v>17082</v>
      </c>
      <c r="C14563" s="52">
        <v>179686.06373130999</v>
      </c>
      <c r="D14563" s="56">
        <v>3.9961374064913312E-2</v>
      </c>
      <c r="E14563" s="224" t="s">
        <v>2</v>
      </c>
      <c r="F14563" s="515" t="s">
        <v>15744</v>
      </c>
      <c r="G14563" s="52">
        <v>161647.565445026</v>
      </c>
      <c r="H14563" s="56">
        <v>0</v>
      </c>
      <c r="I14563" s="224" t="s">
        <v>2</v>
      </c>
    </row>
    <row r="14564" spans="1:9" x14ac:dyDescent="0.25">
      <c r="A14564" s="515">
        <v>62060</v>
      </c>
      <c r="B14564" s="515" t="s">
        <v>498</v>
      </c>
      <c r="C14564" s="52">
        <v>36469.609714242702</v>
      </c>
      <c r="D14564" s="56">
        <v>0.19098187451853571</v>
      </c>
      <c r="E14564" s="224" t="s">
        <v>2</v>
      </c>
      <c r="F14564" s="515" t="s">
        <v>15745</v>
      </c>
      <c r="G14564" s="52">
        <v>110199.862520471</v>
      </c>
      <c r="H14564" s="56">
        <v>3.3512090966909519E-2</v>
      </c>
      <c r="I14564" s="224" t="s">
        <v>2</v>
      </c>
    </row>
    <row r="14565" spans="1:9" x14ac:dyDescent="0.25">
      <c r="A14565" s="515">
        <v>26542</v>
      </c>
      <c r="B14565" s="515" t="s">
        <v>643</v>
      </c>
      <c r="C14565" s="52">
        <v>144130.54995939301</v>
      </c>
      <c r="D14565" s="56">
        <v>6.3311396469719561E-2</v>
      </c>
      <c r="E14565" s="224" t="s">
        <v>2</v>
      </c>
      <c r="F14565" s="515" t="s">
        <v>15746</v>
      </c>
      <c r="G14565" s="52">
        <v>159141.91194283799</v>
      </c>
      <c r="H14565" s="56">
        <v>-1.4771847571399125E-4</v>
      </c>
      <c r="I14565" s="224" t="s">
        <v>2</v>
      </c>
    </row>
    <row r="14566" spans="1:9" x14ac:dyDescent="0.25">
      <c r="A14566" s="515">
        <v>49615</v>
      </c>
      <c r="C14566" s="52">
        <v>288847.02019071899</v>
      </c>
      <c r="D14566" s="56">
        <v>0.11292965387788671</v>
      </c>
      <c r="E14566" s="224" t="s">
        <v>2</v>
      </c>
      <c r="F14566" s="515" t="s">
        <v>15747</v>
      </c>
      <c r="G14566" s="52">
        <v>166125.62429903401</v>
      </c>
      <c r="H14566" s="56">
        <v>7.9798896018086707E-2</v>
      </c>
      <c r="I14566" s="224" t="s">
        <v>2</v>
      </c>
    </row>
    <row r="14567" spans="1:9" x14ac:dyDescent="0.25">
      <c r="A14567" s="515">
        <v>35648</v>
      </c>
      <c r="B14567" s="515" t="s">
        <v>1100</v>
      </c>
      <c r="C14567" s="52">
        <v>189224.87830352399</v>
      </c>
      <c r="D14567" s="56">
        <v>0.10390178673691629</v>
      </c>
      <c r="E14567" s="224" t="s">
        <v>2</v>
      </c>
      <c r="F14567" s="515" t="s">
        <v>15748</v>
      </c>
      <c r="G14567" s="52">
        <v>207979.56920343501</v>
      </c>
      <c r="H14567" s="56">
        <v>7.3790024288351838E-2</v>
      </c>
      <c r="I14567" s="224" t="s">
        <v>2</v>
      </c>
    </row>
    <row r="14568" spans="1:9" x14ac:dyDescent="0.25">
      <c r="A14568" s="515">
        <v>65052</v>
      </c>
      <c r="C14568" s="52">
        <v>271394.47721613199</v>
      </c>
      <c r="D14568" s="56">
        <v>-3.9218340704570545E-2</v>
      </c>
      <c r="E14568" s="224" t="s">
        <v>2</v>
      </c>
      <c r="F14568" s="515" t="s">
        <v>15749</v>
      </c>
      <c r="G14568" s="52">
        <v>339147.59333979699</v>
      </c>
      <c r="H14568" s="56">
        <v>0.15676812287384775</v>
      </c>
      <c r="I14568" s="224" t="s">
        <v>2</v>
      </c>
    </row>
    <row r="14569" spans="1:9" x14ac:dyDescent="0.25">
      <c r="A14569" s="515">
        <v>17026</v>
      </c>
      <c r="B14569" s="515" t="s">
        <v>562</v>
      </c>
      <c r="C14569" s="52">
        <v>293371.04701853701</v>
      </c>
      <c r="D14569" s="56">
        <v>0.1054103231114983</v>
      </c>
      <c r="E14569" s="224" t="s">
        <v>2</v>
      </c>
      <c r="F14569" s="515" t="s">
        <v>15750</v>
      </c>
      <c r="G14569" s="52">
        <v>218017.76954115901</v>
      </c>
      <c r="H14569" s="56">
        <v>0.13865321403934516</v>
      </c>
      <c r="I14569" s="224" t="s">
        <v>2</v>
      </c>
    </row>
    <row r="14570" spans="1:9" x14ac:dyDescent="0.25">
      <c r="A14570" s="515">
        <v>83340</v>
      </c>
      <c r="B14570" s="515" t="s">
        <v>595</v>
      </c>
      <c r="C14570" s="52">
        <v>1159695.9236127499</v>
      </c>
      <c r="D14570" s="56">
        <v>7.6393357936258496E-2</v>
      </c>
      <c r="E14570" s="224" t="s">
        <v>2</v>
      </c>
      <c r="F14570" s="515" t="s">
        <v>15751</v>
      </c>
      <c r="G14570" s="52">
        <v>151583.49128542599</v>
      </c>
      <c r="H14570" s="56">
        <v>0</v>
      </c>
      <c r="I14570" s="224" t="s">
        <v>2</v>
      </c>
    </row>
    <row r="14571" spans="1:9" x14ac:dyDescent="0.25">
      <c r="A14571" s="515">
        <v>53184</v>
      </c>
      <c r="B14571" s="515" t="s">
        <v>1089</v>
      </c>
      <c r="C14571" s="52">
        <v>290902.06106467702</v>
      </c>
      <c r="D14571" s="56">
        <v>7.2661316182498631E-2</v>
      </c>
      <c r="E14571" s="224" t="s">
        <v>2</v>
      </c>
      <c r="F14571" s="515" t="s">
        <v>15752</v>
      </c>
      <c r="G14571" s="52">
        <v>128488.886378519</v>
      </c>
      <c r="H14571" s="56">
        <v>0.15934240758751939</v>
      </c>
      <c r="I14571" s="224" t="s">
        <v>2</v>
      </c>
    </row>
    <row r="14572" spans="1:9" x14ac:dyDescent="0.25">
      <c r="A14572" s="515">
        <v>87522</v>
      </c>
      <c r="B14572" s="515" t="s">
        <v>926</v>
      </c>
      <c r="C14572" s="52">
        <v>256077.612629932</v>
      </c>
      <c r="D14572" s="56">
        <v>2.8720306301101808E-2</v>
      </c>
      <c r="E14572" s="224" t="s">
        <v>2</v>
      </c>
      <c r="F14572" s="515" t="s">
        <v>15753</v>
      </c>
      <c r="G14572" s="52">
        <v>148518.733700165</v>
      </c>
      <c r="H14572" s="56">
        <v>0</v>
      </c>
      <c r="I14572" s="224" t="s">
        <v>2</v>
      </c>
    </row>
    <row r="14573" spans="1:9" x14ac:dyDescent="0.25">
      <c r="A14573" s="515">
        <v>49682</v>
      </c>
      <c r="B14573" s="515" t="s">
        <v>366</v>
      </c>
      <c r="C14573" s="52">
        <v>486898.64108024799</v>
      </c>
      <c r="D14573" s="56">
        <v>9.3088470174882879E-2</v>
      </c>
      <c r="E14573" s="224" t="s">
        <v>2</v>
      </c>
      <c r="F14573" s="515" t="s">
        <v>15754</v>
      </c>
      <c r="G14573" s="52">
        <v>457771.462598957</v>
      </c>
      <c r="H14573" s="56">
        <v>9.1074214779553908E-2</v>
      </c>
      <c r="I14573" s="224" t="s">
        <v>2</v>
      </c>
    </row>
    <row r="14574" spans="1:9" x14ac:dyDescent="0.25">
      <c r="A14574" s="515">
        <v>26408</v>
      </c>
      <c r="B14574" s="515" t="s">
        <v>347</v>
      </c>
      <c r="C14574" s="52">
        <v>207648.910283815</v>
      </c>
      <c r="D14574" s="56">
        <v>3.9960118828315891E-2</v>
      </c>
      <c r="E14574" s="224" t="s">
        <v>2</v>
      </c>
      <c r="F14574" s="515" t="s">
        <v>15755</v>
      </c>
      <c r="G14574" s="52">
        <v>304401.88188640901</v>
      </c>
      <c r="H14574" s="56">
        <v>6.9737584029530522E-2</v>
      </c>
      <c r="I14574" s="224" t="s">
        <v>2</v>
      </c>
    </row>
    <row r="14575" spans="1:9" x14ac:dyDescent="0.25">
      <c r="A14575" s="515">
        <v>38941</v>
      </c>
      <c r="B14575" s="515" t="s">
        <v>293</v>
      </c>
      <c r="C14575" s="52">
        <v>76055.685121107206</v>
      </c>
      <c r="D14575" s="56">
        <v>0</v>
      </c>
      <c r="E14575" s="224" t="s">
        <v>2</v>
      </c>
      <c r="F14575" s="515" t="s">
        <v>15756</v>
      </c>
      <c r="G14575" s="52">
        <v>361187.59081159497</v>
      </c>
      <c r="H14575" s="56">
        <v>8.5618678647592875E-3</v>
      </c>
      <c r="I14575" s="224" t="s">
        <v>2</v>
      </c>
    </row>
    <row r="14576" spans="1:9" x14ac:dyDescent="0.25">
      <c r="A14576" s="515">
        <v>48418</v>
      </c>
      <c r="B14576" s="515" t="s">
        <v>528</v>
      </c>
      <c r="C14576" s="52">
        <v>240095.03791547101</v>
      </c>
      <c r="D14576" s="56">
        <v>5.1982759743652927E-2</v>
      </c>
      <c r="E14576" s="224" t="s">
        <v>2</v>
      </c>
      <c r="F14576" s="515" t="s">
        <v>15757</v>
      </c>
      <c r="G14576" s="52">
        <v>115819.344629225</v>
      </c>
      <c r="H14576" s="56">
        <v>0.21274258265389728</v>
      </c>
      <c r="I14576" s="224" t="s">
        <v>2</v>
      </c>
    </row>
    <row r="14577" spans="1:9" x14ac:dyDescent="0.25">
      <c r="A14577" s="515">
        <v>13411</v>
      </c>
      <c r="B14577" s="515" t="s">
        <v>460</v>
      </c>
      <c r="C14577" s="52">
        <v>132807.63352238099</v>
      </c>
      <c r="D14577" s="56">
        <v>7.8506459378341567E-2</v>
      </c>
      <c r="E14577" s="224" t="s">
        <v>2</v>
      </c>
      <c r="F14577" s="515" t="s">
        <v>15758</v>
      </c>
      <c r="G14577" s="52">
        <v>70523.811502643104</v>
      </c>
      <c r="H14577" s="56">
        <v>-8.2457141613713189E-2</v>
      </c>
      <c r="I14577" s="224" t="s">
        <v>2</v>
      </c>
    </row>
    <row r="14578" spans="1:9" x14ac:dyDescent="0.25">
      <c r="A14578" s="515">
        <v>18610</v>
      </c>
      <c r="B14578" s="515" t="s">
        <v>338</v>
      </c>
      <c r="C14578" s="52">
        <v>273110.49007218302</v>
      </c>
      <c r="D14578" s="56">
        <v>0.12338086857917635</v>
      </c>
      <c r="E14578" s="224" t="s">
        <v>2</v>
      </c>
      <c r="F14578" s="515" t="s">
        <v>15759</v>
      </c>
      <c r="G14578" s="52">
        <v>149411.63583496801</v>
      </c>
      <c r="H14578" s="56">
        <v>0.1712428653724177</v>
      </c>
      <c r="I14578" s="224" t="s">
        <v>2</v>
      </c>
    </row>
    <row r="14579" spans="1:9" x14ac:dyDescent="0.25">
      <c r="A14579" s="515">
        <v>23086</v>
      </c>
      <c r="B14579" s="515" t="s">
        <v>667</v>
      </c>
      <c r="C14579" s="52">
        <v>289437.82804561802</v>
      </c>
      <c r="D14579" s="56">
        <v>0.10160130849290985</v>
      </c>
      <c r="E14579" s="224" t="s">
        <v>2</v>
      </c>
      <c r="F14579" s="515" t="s">
        <v>15760</v>
      </c>
      <c r="G14579" s="52">
        <v>195755.89966660301</v>
      </c>
      <c r="H14579" s="56">
        <v>8.1438714665189552E-2</v>
      </c>
      <c r="I14579" s="224" t="s">
        <v>2</v>
      </c>
    </row>
    <row r="14580" spans="1:9" x14ac:dyDescent="0.25">
      <c r="A14580" s="515">
        <v>28741</v>
      </c>
      <c r="C14580" s="52">
        <v>817383.14335012902</v>
      </c>
      <c r="D14580" s="56">
        <v>9.8601623345008674E-2</v>
      </c>
      <c r="E14580" s="224" t="s">
        <v>2</v>
      </c>
      <c r="F14580" s="515" t="s">
        <v>15761</v>
      </c>
      <c r="G14580" s="52">
        <v>347435.490917922</v>
      </c>
      <c r="H14580" s="56">
        <v>0.1618461340316962</v>
      </c>
      <c r="I14580" s="224" t="s">
        <v>2</v>
      </c>
    </row>
    <row r="14581" spans="1:9" x14ac:dyDescent="0.25">
      <c r="A14581" s="515">
        <v>80103</v>
      </c>
      <c r="B14581" s="515" t="s">
        <v>401</v>
      </c>
      <c r="C14581" s="52">
        <v>537988.37282344396</v>
      </c>
      <c r="D14581" s="56">
        <v>7.1857711958378354E-2</v>
      </c>
      <c r="E14581" s="224" t="s">
        <v>2</v>
      </c>
      <c r="F14581" s="515" t="s">
        <v>15762</v>
      </c>
      <c r="G14581" s="52">
        <v>642307.31285339897</v>
      </c>
      <c r="H14581" s="56">
        <v>8.5951288092647529E-2</v>
      </c>
      <c r="I14581" s="224" t="s">
        <v>2</v>
      </c>
    </row>
    <row r="14582" spans="1:9" x14ac:dyDescent="0.25">
      <c r="A14582" s="515">
        <v>47613</v>
      </c>
      <c r="B14582" s="515" t="s">
        <v>911</v>
      </c>
      <c r="C14582" s="52">
        <v>212795.618379669</v>
      </c>
      <c r="D14582" s="56">
        <v>5.8404166315726709E-2</v>
      </c>
      <c r="E14582" s="224" t="s">
        <v>2</v>
      </c>
      <c r="F14582" s="515" t="s">
        <v>15763</v>
      </c>
      <c r="G14582" s="52">
        <v>155699.62482967199</v>
      </c>
      <c r="H14582" s="56">
        <v>2.0131682252110608E-3</v>
      </c>
      <c r="I14582" s="224" t="s">
        <v>2</v>
      </c>
    </row>
    <row r="14583" spans="1:9" x14ac:dyDescent="0.25">
      <c r="A14583" s="515">
        <v>1901</v>
      </c>
      <c r="B14583" s="515" t="s">
        <v>534</v>
      </c>
      <c r="C14583" s="52">
        <v>359512.54858748498</v>
      </c>
      <c r="D14583" s="56">
        <v>2.39576729907644E-2</v>
      </c>
      <c r="E14583" s="224">
        <v>2310.2083333333298</v>
      </c>
      <c r="F14583" s="515" t="s">
        <v>15764</v>
      </c>
      <c r="G14583" s="52">
        <v>282126.06540221802</v>
      </c>
      <c r="H14583" s="56">
        <v>7.6979558454412858E-2</v>
      </c>
      <c r="I14583" s="224" t="s">
        <v>2</v>
      </c>
    </row>
    <row r="14584" spans="1:9" x14ac:dyDescent="0.25">
      <c r="A14584" s="515">
        <v>45850</v>
      </c>
      <c r="B14584" s="515" t="s">
        <v>299</v>
      </c>
      <c r="C14584" s="52">
        <v>200451.561035764</v>
      </c>
      <c r="D14584" s="56">
        <v>0.12323519649820511</v>
      </c>
      <c r="E14584" s="224" t="s">
        <v>2</v>
      </c>
      <c r="F14584" s="515" t="s">
        <v>15765</v>
      </c>
      <c r="G14584" s="52">
        <v>645018.16253964603</v>
      </c>
      <c r="H14584" s="56">
        <v>7.4393389543305322E-2</v>
      </c>
      <c r="I14584" s="224" t="s">
        <v>2</v>
      </c>
    </row>
    <row r="14585" spans="1:9" x14ac:dyDescent="0.25">
      <c r="A14585" s="515">
        <v>15670</v>
      </c>
      <c r="B14585" s="515" t="s">
        <v>297</v>
      </c>
      <c r="C14585" s="52">
        <v>168347.293727863</v>
      </c>
      <c r="D14585" s="56">
        <v>-1.26442590153435E-3</v>
      </c>
      <c r="E14585" s="224" t="s">
        <v>2</v>
      </c>
      <c r="F14585" s="515" t="s">
        <v>15766</v>
      </c>
      <c r="G14585" s="52">
        <v>113918.160377358</v>
      </c>
      <c r="H14585" s="56">
        <v>0</v>
      </c>
      <c r="I14585" s="224" t="s">
        <v>2</v>
      </c>
    </row>
    <row r="14586" spans="1:9" x14ac:dyDescent="0.25">
      <c r="A14586" s="515">
        <v>56360</v>
      </c>
      <c r="C14586" s="52">
        <v>241139.070479107</v>
      </c>
      <c r="D14586" s="56">
        <v>5.5787876389219726E-2</v>
      </c>
      <c r="E14586" s="224" t="s">
        <v>2</v>
      </c>
      <c r="F14586" s="515" t="s">
        <v>15767</v>
      </c>
      <c r="G14586" s="52">
        <v>143976.93094653299</v>
      </c>
      <c r="H14586" s="56">
        <v>3.7056278740657971E-2</v>
      </c>
      <c r="I14586" s="224" t="s">
        <v>2</v>
      </c>
    </row>
    <row r="14587" spans="1:9" x14ac:dyDescent="0.25">
      <c r="A14587" s="515">
        <v>36558</v>
      </c>
      <c r="B14587" s="515" t="s">
        <v>815</v>
      </c>
      <c r="C14587" s="52">
        <v>142211.407190317</v>
      </c>
      <c r="D14587" s="56">
        <v>-1.1271241253821718E-2</v>
      </c>
      <c r="E14587" s="224" t="s">
        <v>2</v>
      </c>
      <c r="F14587" s="515" t="s">
        <v>15768</v>
      </c>
      <c r="G14587" s="52">
        <v>196782.567579197</v>
      </c>
      <c r="H14587" s="56">
        <v>6.3667460806906453E-2</v>
      </c>
      <c r="I14587" s="224" t="s">
        <v>2</v>
      </c>
    </row>
    <row r="14588" spans="1:9" x14ac:dyDescent="0.25">
      <c r="A14588" s="515">
        <v>23069</v>
      </c>
      <c r="B14588" s="515" t="s">
        <v>667</v>
      </c>
      <c r="C14588" s="52">
        <v>335611.56638980401</v>
      </c>
      <c r="D14588" s="56">
        <v>9.4285413165974982E-2</v>
      </c>
      <c r="E14588" s="224" t="s">
        <v>2</v>
      </c>
      <c r="F14588" s="515" t="s">
        <v>15769</v>
      </c>
      <c r="G14588" s="52">
        <v>155116.692903811</v>
      </c>
      <c r="H14588" s="56">
        <v>3.8435902005239095E-2</v>
      </c>
      <c r="I14588" s="224" t="s">
        <v>2</v>
      </c>
    </row>
    <row r="14589" spans="1:9" x14ac:dyDescent="0.25">
      <c r="A14589" s="515">
        <v>24317</v>
      </c>
      <c r="C14589" s="52">
        <v>95632.022613817404</v>
      </c>
      <c r="D14589" s="56">
        <v>-6.7625660701571676E-3</v>
      </c>
      <c r="E14589" s="224" t="s">
        <v>2</v>
      </c>
      <c r="F14589" s="515" t="s">
        <v>15770</v>
      </c>
      <c r="G14589" s="52">
        <v>92382.119100581898</v>
      </c>
      <c r="H14589" s="56">
        <v>3.4199481483828099E-2</v>
      </c>
      <c r="I14589" s="224" t="s">
        <v>2</v>
      </c>
    </row>
    <row r="14590" spans="1:9" x14ac:dyDescent="0.25">
      <c r="A14590" s="515">
        <v>30220</v>
      </c>
      <c r="B14590" s="515" t="s">
        <v>957</v>
      </c>
      <c r="C14590" s="52">
        <v>245218.23007414001</v>
      </c>
      <c r="D14590" s="56">
        <v>0.14250693327769778</v>
      </c>
      <c r="E14590" s="224" t="s">
        <v>2</v>
      </c>
      <c r="F14590" s="515" t="s">
        <v>15771</v>
      </c>
      <c r="G14590" s="52">
        <v>210641.637447277</v>
      </c>
      <c r="H14590" s="56">
        <v>6.8567512392348207E-2</v>
      </c>
      <c r="I14590" s="224" t="s">
        <v>2</v>
      </c>
    </row>
    <row r="14591" spans="1:9" x14ac:dyDescent="0.25">
      <c r="A14591" s="515">
        <v>72576</v>
      </c>
      <c r="C14591" s="52">
        <v>129323.87984644101</v>
      </c>
      <c r="D14591" s="56">
        <v>2.1057313531735876E-3</v>
      </c>
      <c r="E14591" s="224" t="s">
        <v>2</v>
      </c>
      <c r="F14591" s="515" t="s">
        <v>15772</v>
      </c>
      <c r="G14591" s="52">
        <v>55273.484291520603</v>
      </c>
      <c r="H14591" s="56">
        <v>0.16369363322910732</v>
      </c>
      <c r="I14591" s="224" t="s">
        <v>2</v>
      </c>
    </row>
    <row r="14592" spans="1:9" x14ac:dyDescent="0.25">
      <c r="A14592" s="515">
        <v>17023</v>
      </c>
      <c r="B14592" s="515" t="s">
        <v>428</v>
      </c>
      <c r="C14592" s="52">
        <v>194281.022735879</v>
      </c>
      <c r="D14592" s="56">
        <v>0.11015143775438574</v>
      </c>
      <c r="E14592" s="224" t="s">
        <v>2</v>
      </c>
      <c r="F14592" s="515" t="s">
        <v>15773</v>
      </c>
      <c r="G14592" s="52">
        <v>102925.135481399</v>
      </c>
      <c r="H14592" s="56">
        <v>0.11228779478355348</v>
      </c>
      <c r="I14592" s="224" t="s">
        <v>2</v>
      </c>
    </row>
    <row r="14593" spans="1:9" x14ac:dyDescent="0.25">
      <c r="A14593" s="515">
        <v>57325</v>
      </c>
      <c r="C14593" s="52">
        <v>205216.61571716401</v>
      </c>
      <c r="D14593" s="56">
        <v>6.1596888719561455E-2</v>
      </c>
      <c r="E14593" s="224" t="s">
        <v>2</v>
      </c>
      <c r="F14593" s="515" t="s">
        <v>15774</v>
      </c>
      <c r="G14593" s="52">
        <v>400386.38804039499</v>
      </c>
      <c r="H14593" s="56">
        <v>5.6680727358697072E-2</v>
      </c>
      <c r="I14593" s="224" t="s">
        <v>2</v>
      </c>
    </row>
    <row r="14594" spans="1:9" x14ac:dyDescent="0.25">
      <c r="A14594" s="515">
        <v>61752</v>
      </c>
      <c r="B14594" s="515" t="s">
        <v>645</v>
      </c>
      <c r="C14594" s="52">
        <v>166008.060586301</v>
      </c>
      <c r="D14594" s="56">
        <v>0.1041144537436661</v>
      </c>
      <c r="E14594" s="224" t="s">
        <v>2</v>
      </c>
      <c r="F14594" s="515" t="s">
        <v>15775</v>
      </c>
      <c r="G14594" s="52">
        <v>180596.35558740201</v>
      </c>
      <c r="H14594" s="56">
        <v>0.14488879542244124</v>
      </c>
      <c r="I14594" s="224" t="s">
        <v>2</v>
      </c>
    </row>
    <row r="14595" spans="1:9" x14ac:dyDescent="0.25">
      <c r="A14595" s="515">
        <v>37891</v>
      </c>
      <c r="B14595" s="515" t="s">
        <v>902</v>
      </c>
      <c r="C14595" s="52">
        <v>198801.313447575</v>
      </c>
      <c r="D14595" s="56">
        <v>0.10241578827468377</v>
      </c>
      <c r="E14595" s="224" t="s">
        <v>2</v>
      </c>
      <c r="F14595" s="515" t="s">
        <v>8089</v>
      </c>
      <c r="G14595" s="52">
        <v>142069.66063586701</v>
      </c>
      <c r="H14595" s="56">
        <v>7.8289994238964229E-3</v>
      </c>
      <c r="I14595" s="224" t="s">
        <v>2</v>
      </c>
    </row>
    <row r="14596" spans="1:9" x14ac:dyDescent="0.25">
      <c r="A14596" s="515">
        <v>2764</v>
      </c>
      <c r="B14596" s="515" t="s">
        <v>513</v>
      </c>
      <c r="C14596" s="52">
        <v>466150.04880316602</v>
      </c>
      <c r="D14596" s="56">
        <v>9.3090279595294548E-2</v>
      </c>
      <c r="E14596" s="224" t="s">
        <v>2</v>
      </c>
      <c r="F14596" s="515" t="s">
        <v>15776</v>
      </c>
      <c r="G14596" s="52">
        <v>96782.336261175107</v>
      </c>
      <c r="H14596" s="56">
        <v>4.0575667208926247E-2</v>
      </c>
      <c r="I14596" s="224" t="s">
        <v>2</v>
      </c>
    </row>
    <row r="14597" spans="1:9" x14ac:dyDescent="0.25">
      <c r="A14597" s="515">
        <v>48739</v>
      </c>
      <c r="C14597" s="52">
        <v>140401.41421775499</v>
      </c>
      <c r="D14597" s="56">
        <v>9.4671382979765711E-2</v>
      </c>
      <c r="E14597" s="224" t="s">
        <v>2</v>
      </c>
      <c r="F14597" s="515" t="s">
        <v>15777</v>
      </c>
      <c r="G14597" s="52">
        <v>417382.13096482097</v>
      </c>
      <c r="H14597" s="56">
        <v>2.1813245545017411E-3</v>
      </c>
      <c r="I14597" s="224" t="s">
        <v>2</v>
      </c>
    </row>
    <row r="14598" spans="1:9" x14ac:dyDescent="0.25">
      <c r="A14598" s="515">
        <v>17824</v>
      </c>
      <c r="B14598" s="515" t="s">
        <v>939</v>
      </c>
      <c r="C14598" s="52">
        <v>225237.24843666799</v>
      </c>
      <c r="D14598" s="56">
        <v>6.4214987842376739E-2</v>
      </c>
      <c r="E14598" s="224" t="s">
        <v>2</v>
      </c>
      <c r="F14598" s="515" t="s">
        <v>15778</v>
      </c>
      <c r="G14598" s="52">
        <v>109559.96326002599</v>
      </c>
      <c r="H14598" s="56">
        <v>5.0815511068095016E-2</v>
      </c>
      <c r="I14598" s="224" t="s">
        <v>2</v>
      </c>
    </row>
    <row r="14599" spans="1:9" x14ac:dyDescent="0.25">
      <c r="A14599" s="515">
        <v>59644</v>
      </c>
      <c r="C14599" s="52">
        <v>388174.16962208302</v>
      </c>
      <c r="D14599" s="56">
        <v>0.10174821443262683</v>
      </c>
      <c r="E14599" s="224" t="s">
        <v>2</v>
      </c>
      <c r="F14599" s="515" t="s">
        <v>15779</v>
      </c>
      <c r="G14599" s="52">
        <v>358479.482455549</v>
      </c>
      <c r="H14599" s="56">
        <v>8.9735213084907228E-2</v>
      </c>
      <c r="I14599" s="224" t="s">
        <v>2</v>
      </c>
    </row>
    <row r="14600" spans="1:9" x14ac:dyDescent="0.25">
      <c r="A14600" s="515">
        <v>13456</v>
      </c>
      <c r="B14600" s="515" t="s">
        <v>543</v>
      </c>
      <c r="C14600" s="52">
        <v>235067.74904802599</v>
      </c>
      <c r="D14600" s="56">
        <v>9.6964957984635697E-2</v>
      </c>
      <c r="E14600" s="224" t="s">
        <v>2</v>
      </c>
      <c r="F14600" s="515" t="s">
        <v>15780</v>
      </c>
      <c r="G14600" s="52">
        <v>125567.752951192</v>
      </c>
      <c r="H14600" s="56">
        <v>-6.3916369850561386E-2</v>
      </c>
      <c r="I14600" s="224" t="s">
        <v>2</v>
      </c>
    </row>
    <row r="14601" spans="1:9" x14ac:dyDescent="0.25">
      <c r="A14601" s="515">
        <v>78025</v>
      </c>
      <c r="B14601" s="515" t="s">
        <v>1105</v>
      </c>
      <c r="C14601" s="52">
        <v>341062.30338822003</v>
      </c>
      <c r="D14601" s="56">
        <v>7.6525027343007798E-2</v>
      </c>
      <c r="E14601" s="224" t="s">
        <v>2</v>
      </c>
      <c r="F14601" s="515" t="s">
        <v>15781</v>
      </c>
      <c r="G14601" s="52">
        <v>80607.1988599584</v>
      </c>
      <c r="H14601" s="56">
        <v>0</v>
      </c>
      <c r="I14601" s="224" t="s">
        <v>2</v>
      </c>
    </row>
    <row r="14602" spans="1:9" x14ac:dyDescent="0.25">
      <c r="A14602" s="515">
        <v>47346</v>
      </c>
      <c r="B14602" s="515" t="s">
        <v>883</v>
      </c>
      <c r="C14602" s="52">
        <v>161210.609757236</v>
      </c>
      <c r="D14602" s="56">
        <v>7.7328229975252197E-2</v>
      </c>
      <c r="E14602" s="224" t="s">
        <v>2</v>
      </c>
      <c r="F14602" s="515" t="s">
        <v>15782</v>
      </c>
      <c r="G14602" s="52">
        <v>273632.90307867102</v>
      </c>
      <c r="H14602" s="56">
        <v>0.16489077932136564</v>
      </c>
      <c r="I14602" s="224" t="s">
        <v>2</v>
      </c>
    </row>
    <row r="14603" spans="1:9" x14ac:dyDescent="0.25">
      <c r="A14603" s="515">
        <v>4957</v>
      </c>
      <c r="C14603" s="52">
        <v>202856.09774073801</v>
      </c>
      <c r="D14603" s="56">
        <v>0.1169796034120732</v>
      </c>
      <c r="E14603" s="224" t="s">
        <v>2</v>
      </c>
      <c r="F14603" s="515" t="s">
        <v>15783</v>
      </c>
      <c r="G14603" s="52">
        <v>296910.00891397498</v>
      </c>
      <c r="H14603" s="56">
        <v>0.12982949187059978</v>
      </c>
      <c r="I14603" s="224" t="s">
        <v>2</v>
      </c>
    </row>
    <row r="14604" spans="1:9" x14ac:dyDescent="0.25">
      <c r="A14604" s="515">
        <v>66839</v>
      </c>
      <c r="C14604" s="52">
        <v>141611.09435735099</v>
      </c>
      <c r="D14604" s="56">
        <v>6.7046147514599475E-2</v>
      </c>
      <c r="E14604" s="224" t="s">
        <v>2</v>
      </c>
      <c r="F14604" s="515" t="s">
        <v>15784</v>
      </c>
      <c r="G14604" s="52">
        <v>299151.07491637202</v>
      </c>
      <c r="H14604" s="56">
        <v>-5.2391843776421459E-3</v>
      </c>
      <c r="I14604" s="224" t="s">
        <v>2</v>
      </c>
    </row>
    <row r="14605" spans="1:9" x14ac:dyDescent="0.25">
      <c r="A14605" s="515">
        <v>83869</v>
      </c>
      <c r="B14605" s="515" t="s">
        <v>992</v>
      </c>
      <c r="C14605" s="52">
        <v>513036.57846441102</v>
      </c>
      <c r="D14605" s="56">
        <v>3.2789551004066914E-2</v>
      </c>
      <c r="E14605" s="224" t="s">
        <v>2</v>
      </c>
      <c r="F14605" s="515" t="s">
        <v>15785</v>
      </c>
      <c r="G14605" s="52">
        <v>181129.77264418799</v>
      </c>
      <c r="H14605" s="56">
        <v>7.6795482608480625E-2</v>
      </c>
      <c r="I14605" s="224" t="s">
        <v>2</v>
      </c>
    </row>
    <row r="14606" spans="1:9" x14ac:dyDescent="0.25">
      <c r="A14606" s="515">
        <v>14042</v>
      </c>
      <c r="B14606" s="515" t="s">
        <v>870</v>
      </c>
      <c r="C14606" s="52">
        <v>158516.24491975899</v>
      </c>
      <c r="D14606" s="56">
        <v>8.2984953210049089E-2</v>
      </c>
      <c r="E14606" s="224" t="s">
        <v>2</v>
      </c>
      <c r="F14606" s="515" t="s">
        <v>15786</v>
      </c>
      <c r="G14606" s="52">
        <v>379588.94057773298</v>
      </c>
      <c r="H14606" s="56">
        <v>9.3977804255129985E-2</v>
      </c>
      <c r="I14606" s="224" t="s">
        <v>2</v>
      </c>
    </row>
    <row r="14607" spans="1:9" x14ac:dyDescent="0.25">
      <c r="A14607" s="515">
        <v>59079</v>
      </c>
      <c r="B14607" s="515" t="s">
        <v>637</v>
      </c>
      <c r="C14607" s="52">
        <v>427767.04702835</v>
      </c>
      <c r="D14607" s="56">
        <v>9.2981338101649241E-2</v>
      </c>
      <c r="E14607" s="224" t="s">
        <v>2</v>
      </c>
      <c r="F14607" s="515" t="s">
        <v>15787</v>
      </c>
      <c r="G14607" s="52">
        <v>306311.60515527002</v>
      </c>
      <c r="H14607" s="56">
        <v>0.15576459856617686</v>
      </c>
      <c r="I14607" s="224" t="s">
        <v>2</v>
      </c>
    </row>
    <row r="14608" spans="1:9" x14ac:dyDescent="0.25">
      <c r="A14608" s="515">
        <v>80814</v>
      </c>
      <c r="B14608" s="515" t="s">
        <v>701</v>
      </c>
      <c r="C14608" s="52">
        <v>483837.570416492</v>
      </c>
      <c r="D14608" s="56">
        <v>3.9643298389031065E-2</v>
      </c>
      <c r="E14608" s="224" t="s">
        <v>2</v>
      </c>
      <c r="F14608" s="515" t="s">
        <v>15788</v>
      </c>
      <c r="G14608" s="52">
        <v>183426.57232730201</v>
      </c>
      <c r="H14608" s="56">
        <v>7.1956134473369682E-2</v>
      </c>
      <c r="I14608" s="224" t="s">
        <v>2</v>
      </c>
    </row>
    <row r="14609" spans="1:9" x14ac:dyDescent="0.25">
      <c r="A14609" s="515">
        <v>72650</v>
      </c>
      <c r="C14609" s="52">
        <v>107629.817268418</v>
      </c>
      <c r="D14609" s="56">
        <v>7.9486841262009209E-2</v>
      </c>
      <c r="E14609" s="224" t="s">
        <v>2</v>
      </c>
      <c r="F14609" s="515" t="s">
        <v>15789</v>
      </c>
      <c r="G14609" s="52">
        <v>153259.43237571101</v>
      </c>
      <c r="H14609" s="56">
        <v>7.910134961477408E-2</v>
      </c>
      <c r="I14609" s="224" t="s">
        <v>2</v>
      </c>
    </row>
    <row r="14610" spans="1:9" x14ac:dyDescent="0.25">
      <c r="A14610" s="515">
        <v>73651</v>
      </c>
      <c r="C14610" s="52">
        <v>57826.075749636999</v>
      </c>
      <c r="D14610" s="56">
        <v>3.1713153497992967E-2</v>
      </c>
      <c r="E14610" s="224" t="s">
        <v>2</v>
      </c>
      <c r="F14610" s="515" t="s">
        <v>15790</v>
      </c>
      <c r="G14610" s="52">
        <v>149606.23584285699</v>
      </c>
      <c r="H14610" s="56">
        <v>3.3166555513938288E-2</v>
      </c>
      <c r="I14610" s="224" t="s">
        <v>2</v>
      </c>
    </row>
    <row r="14611" spans="1:9" x14ac:dyDescent="0.25">
      <c r="A14611" s="515">
        <v>26588</v>
      </c>
      <c r="B14611" s="515" t="s">
        <v>302</v>
      </c>
      <c r="C14611" s="52">
        <v>126119.055987702</v>
      </c>
      <c r="D14611" s="56">
        <v>8.1133541787437438E-2</v>
      </c>
      <c r="E14611" s="224" t="s">
        <v>2</v>
      </c>
      <c r="F14611" s="515" t="s">
        <v>15791</v>
      </c>
      <c r="G14611" s="52">
        <v>506915.038715203</v>
      </c>
      <c r="H14611" s="56">
        <v>-3.1196312683376817E-2</v>
      </c>
      <c r="I14611" s="224" t="s">
        <v>2</v>
      </c>
    </row>
    <row r="14612" spans="1:9" x14ac:dyDescent="0.25">
      <c r="A14612" s="515">
        <v>35444</v>
      </c>
      <c r="B14612" s="515" t="s">
        <v>841</v>
      </c>
      <c r="C14612" s="52">
        <v>184574.97128535001</v>
      </c>
      <c r="D14612" s="56">
        <v>6.6204686224384413E-2</v>
      </c>
      <c r="E14612" s="224" t="s">
        <v>2</v>
      </c>
      <c r="F14612" s="515" t="s">
        <v>15792</v>
      </c>
      <c r="G14612" s="52">
        <v>194878.13115249199</v>
      </c>
      <c r="H14612" s="56">
        <v>3.3883541240898665E-2</v>
      </c>
      <c r="I14612" s="224" t="s">
        <v>2</v>
      </c>
    </row>
    <row r="14613" spans="1:9" x14ac:dyDescent="0.25">
      <c r="A14613" s="515">
        <v>27970</v>
      </c>
      <c r="C14613" s="52">
        <v>102716.230672708</v>
      </c>
      <c r="D14613" s="56">
        <v>5.6436233947488541E-2</v>
      </c>
      <c r="E14613" s="224" t="s">
        <v>2</v>
      </c>
      <c r="F14613" s="515" t="s">
        <v>15793</v>
      </c>
      <c r="G14613" s="52">
        <v>199055.263091373</v>
      </c>
      <c r="H14613" s="56">
        <v>0.13759436551993387</v>
      </c>
      <c r="I14613" s="224" t="s">
        <v>2</v>
      </c>
    </row>
    <row r="14614" spans="1:9" x14ac:dyDescent="0.25">
      <c r="A14614" s="515">
        <v>17302</v>
      </c>
      <c r="B14614" s="515" t="s">
        <v>509</v>
      </c>
      <c r="C14614" s="52">
        <v>284747.31522717001</v>
      </c>
      <c r="D14614" s="56">
        <v>0.10383061809787861</v>
      </c>
      <c r="E14614" s="224" t="s">
        <v>2</v>
      </c>
      <c r="F14614" s="515" t="s">
        <v>15794</v>
      </c>
      <c r="G14614" s="52">
        <v>76684.251478791601</v>
      </c>
      <c r="H14614" s="56">
        <v>0</v>
      </c>
      <c r="I14614" s="224" t="s">
        <v>2</v>
      </c>
    </row>
    <row r="14615" spans="1:9" x14ac:dyDescent="0.25">
      <c r="A14615" s="515">
        <v>64720</v>
      </c>
      <c r="B14615" s="515" t="s">
        <v>455</v>
      </c>
      <c r="C14615" s="52">
        <v>215174.70005351101</v>
      </c>
      <c r="D14615" s="56">
        <v>8.88861457317911E-2</v>
      </c>
      <c r="E14615" s="224" t="s">
        <v>2</v>
      </c>
      <c r="F14615" s="515" t="s">
        <v>15795</v>
      </c>
      <c r="G14615" s="52">
        <v>134119.903931879</v>
      </c>
      <c r="H14615" s="56">
        <v>0.16868558313682719</v>
      </c>
      <c r="I14615" s="224" t="s">
        <v>2</v>
      </c>
    </row>
    <row r="14616" spans="1:9" x14ac:dyDescent="0.25">
      <c r="A14616" s="515">
        <v>61546</v>
      </c>
      <c r="B14616" s="515" t="s">
        <v>303</v>
      </c>
      <c r="C14616" s="52">
        <v>109159.5132509</v>
      </c>
      <c r="D14616" s="56">
        <v>1.886335870945452E-2</v>
      </c>
      <c r="E14616" s="224" t="s">
        <v>2</v>
      </c>
      <c r="F14616" s="515" t="s">
        <v>15796</v>
      </c>
      <c r="G14616" s="52">
        <v>110331.12707182299</v>
      </c>
      <c r="H14616" s="56">
        <v>0</v>
      </c>
      <c r="I14616" s="224" t="s">
        <v>2</v>
      </c>
    </row>
    <row r="14617" spans="1:9" x14ac:dyDescent="0.25">
      <c r="A14617" s="515">
        <v>56468</v>
      </c>
      <c r="B14617" s="515" t="s">
        <v>674</v>
      </c>
      <c r="C14617" s="52">
        <v>441795.768171028</v>
      </c>
      <c r="D14617" s="56">
        <v>9.0091848859499793E-2</v>
      </c>
      <c r="E14617" s="224" t="s">
        <v>2</v>
      </c>
      <c r="F14617" s="515" t="s">
        <v>15797</v>
      </c>
      <c r="G14617" s="52">
        <v>261327.05626002999</v>
      </c>
      <c r="H14617" s="56">
        <v>7.2793635911913554E-2</v>
      </c>
      <c r="I14617" s="224" t="s">
        <v>2</v>
      </c>
    </row>
    <row r="14618" spans="1:9" x14ac:dyDescent="0.25">
      <c r="A14618" s="515">
        <v>62016</v>
      </c>
      <c r="C14618" s="52">
        <v>104769.02936882499</v>
      </c>
      <c r="D14618" s="56">
        <v>6.3718993567690285E-2</v>
      </c>
      <c r="E14618" s="224" t="s">
        <v>2</v>
      </c>
      <c r="F14618" s="515" t="s">
        <v>15798</v>
      </c>
      <c r="G14618" s="52">
        <v>272694.05955571402</v>
      </c>
      <c r="H14618" s="56">
        <v>4.5427308666782983E-2</v>
      </c>
      <c r="I14618" s="224" t="s">
        <v>2</v>
      </c>
    </row>
    <row r="14619" spans="1:9" x14ac:dyDescent="0.25">
      <c r="A14619" s="515">
        <v>48436</v>
      </c>
      <c r="B14619" s="515" t="s">
        <v>759</v>
      </c>
      <c r="C14619" s="52">
        <v>237420.78932949199</v>
      </c>
      <c r="D14619" s="56">
        <v>4.4213167830527145E-2</v>
      </c>
      <c r="E14619" s="224" t="s">
        <v>2</v>
      </c>
      <c r="F14619" s="515" t="s">
        <v>15799</v>
      </c>
      <c r="G14619" s="52">
        <v>346197.33847451198</v>
      </c>
      <c r="H14619" s="56">
        <v>-2.1417837682198394E-2</v>
      </c>
      <c r="I14619" s="224" t="s">
        <v>2</v>
      </c>
    </row>
    <row r="14620" spans="1:9" x14ac:dyDescent="0.25">
      <c r="A14620" s="515">
        <v>56097</v>
      </c>
      <c r="C14620" s="52">
        <v>151215.08201409801</v>
      </c>
      <c r="D14620" s="56">
        <v>0.10492349138256174</v>
      </c>
      <c r="E14620" s="224" t="s">
        <v>2</v>
      </c>
      <c r="F14620" s="515" t="s">
        <v>15800</v>
      </c>
      <c r="G14620" s="52">
        <v>280341.99836199603</v>
      </c>
      <c r="H14620" s="56">
        <v>2.3423298361344849E-2</v>
      </c>
      <c r="I14620" s="224" t="s">
        <v>2</v>
      </c>
    </row>
    <row r="14621" spans="1:9" x14ac:dyDescent="0.25">
      <c r="A14621" s="515">
        <v>16875</v>
      </c>
      <c r="B14621" s="515" t="s">
        <v>491</v>
      </c>
      <c r="C14621" s="52">
        <v>306937.87656530697</v>
      </c>
      <c r="D14621" s="56">
        <v>6.9771846779872443E-2</v>
      </c>
      <c r="E14621" s="224" t="s">
        <v>2</v>
      </c>
      <c r="F14621" s="515" t="s">
        <v>15801</v>
      </c>
      <c r="G14621" s="52">
        <v>277876.337748344</v>
      </c>
      <c r="H14621" s="56">
        <v>0</v>
      </c>
      <c r="I14621" s="224" t="s">
        <v>2</v>
      </c>
    </row>
    <row r="14622" spans="1:9" x14ac:dyDescent="0.25">
      <c r="A14622" s="515">
        <v>65734</v>
      </c>
      <c r="C14622" s="52">
        <v>177198.26390367001</v>
      </c>
      <c r="D14622" s="56">
        <v>0.11599541921513377</v>
      </c>
      <c r="E14622" s="224" t="s">
        <v>2</v>
      </c>
      <c r="F14622" s="515" t="s">
        <v>15802</v>
      </c>
      <c r="G14622" s="52">
        <v>234000.92204811401</v>
      </c>
      <c r="H14622" s="56">
        <v>5.1353152331499001E-2</v>
      </c>
      <c r="I14622" s="224" t="s">
        <v>2</v>
      </c>
    </row>
    <row r="14623" spans="1:9" x14ac:dyDescent="0.25">
      <c r="A14623" s="515">
        <v>54414</v>
      </c>
      <c r="B14623" s="515" t="s">
        <v>985</v>
      </c>
      <c r="C14623" s="52">
        <v>161881.03232633101</v>
      </c>
      <c r="D14623" s="56">
        <v>2.5314841740263994E-2</v>
      </c>
      <c r="E14623" s="224" t="s">
        <v>2</v>
      </c>
      <c r="F14623" s="515" t="s">
        <v>15803</v>
      </c>
      <c r="G14623" s="52">
        <v>144807.82393001299</v>
      </c>
      <c r="H14623" s="56">
        <v>0.11330081090515176</v>
      </c>
      <c r="I14623" s="224" t="s">
        <v>2</v>
      </c>
    </row>
    <row r="14624" spans="1:9" x14ac:dyDescent="0.25">
      <c r="A14624" s="515">
        <v>60541</v>
      </c>
      <c r="B14624" s="515" t="s">
        <v>394</v>
      </c>
      <c r="C14624" s="52">
        <v>308261.64905365102</v>
      </c>
      <c r="D14624" s="56">
        <v>7.7982541480014836E-2</v>
      </c>
      <c r="E14624" s="224" t="s">
        <v>2</v>
      </c>
      <c r="F14624" s="515" t="s">
        <v>15804</v>
      </c>
      <c r="G14624" s="52">
        <v>414892.29639724502</v>
      </c>
      <c r="H14624" s="56">
        <v>3.070958710595488E-2</v>
      </c>
      <c r="I14624" s="224" t="s">
        <v>2</v>
      </c>
    </row>
    <row r="14625" spans="1:9" x14ac:dyDescent="0.25">
      <c r="A14625" s="515">
        <v>23690</v>
      </c>
      <c r="B14625" s="515" t="s">
        <v>301</v>
      </c>
      <c r="C14625" s="52">
        <v>323551.27149995102</v>
      </c>
      <c r="D14625" s="56">
        <v>6.4957103792058365E-2</v>
      </c>
      <c r="E14625" s="224" t="s">
        <v>2</v>
      </c>
      <c r="F14625" s="515" t="s">
        <v>15805</v>
      </c>
      <c r="G14625" s="52">
        <v>207712.77688021699</v>
      </c>
      <c r="H14625" s="56">
        <v>0.1178838271853181</v>
      </c>
      <c r="I14625" s="224" t="s">
        <v>2</v>
      </c>
    </row>
    <row r="14626" spans="1:9" x14ac:dyDescent="0.25">
      <c r="A14626" s="515">
        <v>49328</v>
      </c>
      <c r="B14626" s="515" t="s">
        <v>856</v>
      </c>
      <c r="C14626" s="52">
        <v>241314.89732498699</v>
      </c>
      <c r="D14626" s="56">
        <v>5.9448439924857162E-2</v>
      </c>
      <c r="E14626" s="224" t="s">
        <v>2</v>
      </c>
      <c r="F14626" s="515" t="s">
        <v>15806</v>
      </c>
      <c r="G14626" s="52">
        <v>134099.592743343</v>
      </c>
      <c r="H14626" s="56">
        <v>-2.4889218221992106E-2</v>
      </c>
      <c r="I14626" s="224" t="s">
        <v>2</v>
      </c>
    </row>
    <row r="14627" spans="1:9" x14ac:dyDescent="0.25">
      <c r="A14627" s="515">
        <v>64840</v>
      </c>
      <c r="B14627" s="515" t="s">
        <v>784</v>
      </c>
      <c r="C14627" s="52">
        <v>194310.496872961</v>
      </c>
      <c r="D14627" s="56">
        <v>0.17261841762612343</v>
      </c>
      <c r="E14627" s="224" t="s">
        <v>2</v>
      </c>
      <c r="F14627" s="515" t="s">
        <v>15807</v>
      </c>
      <c r="G14627" s="52">
        <v>169409.80010679201</v>
      </c>
      <c r="H14627" s="56">
        <v>7.8730052448345772E-2</v>
      </c>
      <c r="I14627" s="224" t="s">
        <v>2</v>
      </c>
    </row>
    <row r="14628" spans="1:9" x14ac:dyDescent="0.25">
      <c r="A14628" s="515">
        <v>19507</v>
      </c>
      <c r="B14628" s="515" t="s">
        <v>569</v>
      </c>
      <c r="C14628" s="52">
        <v>273013.108142988</v>
      </c>
      <c r="D14628" s="56">
        <v>0.12384033002623741</v>
      </c>
      <c r="E14628" s="224" t="s">
        <v>2</v>
      </c>
      <c r="F14628" s="515" t="s">
        <v>15808</v>
      </c>
      <c r="G14628" s="52">
        <v>634602.57550781604</v>
      </c>
      <c r="H14628" s="56">
        <v>0.13621507803423663</v>
      </c>
      <c r="I14628" s="224" t="s">
        <v>2</v>
      </c>
    </row>
    <row r="14629" spans="1:9" x14ac:dyDescent="0.25">
      <c r="A14629" s="515">
        <v>70449</v>
      </c>
      <c r="B14629" s="515" t="s">
        <v>610</v>
      </c>
      <c r="C14629" s="52">
        <v>176546.89241001301</v>
      </c>
      <c r="D14629" s="56">
        <v>-5.6566186209822455E-2</v>
      </c>
      <c r="E14629" s="224" t="s">
        <v>2</v>
      </c>
      <c r="F14629" s="515" t="s">
        <v>15809</v>
      </c>
      <c r="G14629" s="52">
        <v>152615.208937413</v>
      </c>
      <c r="H14629" s="56">
        <v>7.9199762081237302E-2</v>
      </c>
      <c r="I14629" s="224" t="s">
        <v>2</v>
      </c>
    </row>
    <row r="14630" spans="1:9" x14ac:dyDescent="0.25">
      <c r="A14630" s="515">
        <v>49094</v>
      </c>
      <c r="B14630" s="515" t="s">
        <v>1107</v>
      </c>
      <c r="C14630" s="52">
        <v>130563.632872765</v>
      </c>
      <c r="D14630" s="56">
        <v>4.5508429807505073E-2</v>
      </c>
      <c r="E14630" s="224" t="s">
        <v>2</v>
      </c>
      <c r="F14630" s="515" t="s">
        <v>15810</v>
      </c>
      <c r="G14630" s="52">
        <v>330178.67487461702</v>
      </c>
      <c r="H14630" s="56">
        <v>0.10722328246310797</v>
      </c>
      <c r="I14630" s="224" t="s">
        <v>2</v>
      </c>
    </row>
    <row r="14631" spans="1:9" x14ac:dyDescent="0.25">
      <c r="A14631" s="515">
        <v>50638</v>
      </c>
      <c r="B14631" s="515" t="s">
        <v>315</v>
      </c>
      <c r="C14631" s="52">
        <v>167317.398362762</v>
      </c>
      <c r="D14631" s="56">
        <v>7.7295621865680619E-2</v>
      </c>
      <c r="E14631" s="224" t="s">
        <v>2</v>
      </c>
      <c r="F14631" s="515" t="s">
        <v>15811</v>
      </c>
      <c r="G14631" s="52">
        <v>75569.847535231893</v>
      </c>
      <c r="H14631" s="56">
        <v>6.7112388069920439E-2</v>
      </c>
      <c r="I14631" s="224" t="s">
        <v>2</v>
      </c>
    </row>
    <row r="14632" spans="1:9" x14ac:dyDescent="0.25">
      <c r="A14632" s="515">
        <v>49340</v>
      </c>
      <c r="B14632" s="515" t="s">
        <v>494</v>
      </c>
      <c r="C14632" s="52">
        <v>149956.228865257</v>
      </c>
      <c r="D14632" s="56">
        <v>9.4962521918890361E-2</v>
      </c>
      <c r="E14632" s="224" t="s">
        <v>2</v>
      </c>
      <c r="F14632" s="515" t="s">
        <v>15812</v>
      </c>
      <c r="G14632" s="52">
        <v>149927.327138989</v>
      </c>
      <c r="H14632" s="56">
        <v>3.3723954217919606E-2</v>
      </c>
      <c r="I14632" s="224" t="s">
        <v>2</v>
      </c>
    </row>
    <row r="14633" spans="1:9" x14ac:dyDescent="0.25">
      <c r="A14633" s="515">
        <v>55032</v>
      </c>
      <c r="B14633" s="515" t="s">
        <v>532</v>
      </c>
      <c r="C14633" s="52">
        <v>344732.06768485199</v>
      </c>
      <c r="D14633" s="56">
        <v>5.5722444506838678E-2</v>
      </c>
      <c r="E14633" s="224" t="s">
        <v>2</v>
      </c>
      <c r="F14633" s="515" t="s">
        <v>15813</v>
      </c>
      <c r="G14633" s="52">
        <v>78479.057142857098</v>
      </c>
      <c r="H14633" s="56">
        <v>0</v>
      </c>
      <c r="I14633" s="224" t="s">
        <v>2</v>
      </c>
    </row>
    <row r="14634" spans="1:9" x14ac:dyDescent="0.25">
      <c r="A14634" s="515">
        <v>32358</v>
      </c>
      <c r="B14634" s="515" t="s">
        <v>335</v>
      </c>
      <c r="C14634" s="52">
        <v>240783.54710683599</v>
      </c>
      <c r="D14634" s="56">
        <v>0.16160459560076565</v>
      </c>
      <c r="E14634" s="224" t="s">
        <v>2</v>
      </c>
      <c r="F14634" s="515" t="s">
        <v>15814</v>
      </c>
      <c r="G14634" s="52">
        <v>333557.84328358201</v>
      </c>
      <c r="H14634" s="56">
        <v>0</v>
      </c>
      <c r="I14634" s="224" t="s">
        <v>2</v>
      </c>
    </row>
    <row r="14635" spans="1:9" x14ac:dyDescent="0.25">
      <c r="A14635" s="515">
        <v>49326</v>
      </c>
      <c r="B14635" s="515" t="s">
        <v>631</v>
      </c>
      <c r="C14635" s="52">
        <v>228982.94253285101</v>
      </c>
      <c r="D14635" s="56">
        <v>3.2968365890331128E-2</v>
      </c>
      <c r="E14635" s="224" t="s">
        <v>2</v>
      </c>
      <c r="F14635" s="515" t="s">
        <v>15815</v>
      </c>
      <c r="G14635" s="52">
        <v>442368.791863875</v>
      </c>
      <c r="H14635" s="56">
        <v>9.7259183907930855E-2</v>
      </c>
      <c r="I14635" s="224" t="s">
        <v>2</v>
      </c>
    </row>
    <row r="14636" spans="1:9" x14ac:dyDescent="0.25">
      <c r="A14636" s="515">
        <v>80540</v>
      </c>
      <c r="B14636" s="515" t="s">
        <v>702</v>
      </c>
      <c r="C14636" s="52">
        <v>724399.98753580602</v>
      </c>
      <c r="D14636" s="56">
        <v>6.156309211954434E-2</v>
      </c>
      <c r="E14636" s="224" t="s">
        <v>2</v>
      </c>
      <c r="F14636" s="515" t="s">
        <v>15816</v>
      </c>
      <c r="G14636" s="52">
        <v>210790.86120989401</v>
      </c>
      <c r="H14636" s="56">
        <v>5.2964245253306438E-2</v>
      </c>
      <c r="I14636" s="224" t="s">
        <v>2</v>
      </c>
    </row>
    <row r="14637" spans="1:9" x14ac:dyDescent="0.25">
      <c r="A14637" s="515">
        <v>21817</v>
      </c>
      <c r="B14637" s="515" t="s">
        <v>552</v>
      </c>
      <c r="C14637" s="52">
        <v>131303.48677126699</v>
      </c>
      <c r="D14637" s="56">
        <v>5.086738109468629E-2</v>
      </c>
      <c r="E14637" s="224" t="s">
        <v>2</v>
      </c>
      <c r="F14637" s="515" t="s">
        <v>15817</v>
      </c>
      <c r="G14637" s="52">
        <v>188566.671498093</v>
      </c>
      <c r="H14637" s="56">
        <v>0.12618222936214082</v>
      </c>
      <c r="I14637" s="224" t="s">
        <v>2</v>
      </c>
    </row>
    <row r="14638" spans="1:9" x14ac:dyDescent="0.25">
      <c r="A14638" s="515">
        <v>5445</v>
      </c>
      <c r="B14638" s="515" t="s">
        <v>441</v>
      </c>
      <c r="C14638" s="52">
        <v>696161.23167076602</v>
      </c>
      <c r="D14638" s="56">
        <v>9.839439997927743E-2</v>
      </c>
      <c r="E14638" s="224" t="s">
        <v>2</v>
      </c>
      <c r="F14638" s="515" t="s">
        <v>15818</v>
      </c>
      <c r="G14638" s="52">
        <v>240782.09160305301</v>
      </c>
      <c r="H14638" s="56">
        <v>0</v>
      </c>
      <c r="I14638" s="224" t="s">
        <v>2</v>
      </c>
    </row>
    <row r="14639" spans="1:9" x14ac:dyDescent="0.25">
      <c r="A14639" s="515">
        <v>52653</v>
      </c>
      <c r="C14639" s="52">
        <v>138191.13822998101</v>
      </c>
      <c r="D14639" s="56">
        <v>7.2877382640516075E-2</v>
      </c>
      <c r="E14639" s="224" t="s">
        <v>2</v>
      </c>
      <c r="F14639" s="515" t="s">
        <v>15819</v>
      </c>
      <c r="G14639" s="52">
        <v>357425.67802476202</v>
      </c>
      <c r="H14639" s="56">
        <v>9.2407547078121863E-2</v>
      </c>
      <c r="I14639" s="224" t="s">
        <v>2</v>
      </c>
    </row>
    <row r="14640" spans="1:9" x14ac:dyDescent="0.25">
      <c r="A14640" s="515">
        <v>78659</v>
      </c>
      <c r="B14640" s="515" t="s">
        <v>380</v>
      </c>
      <c r="C14640" s="52">
        <v>420607.91499085299</v>
      </c>
      <c r="D14640" s="56">
        <v>0.12286659055713364</v>
      </c>
      <c r="E14640" s="224" t="s">
        <v>2</v>
      </c>
      <c r="F14640" s="515" t="s">
        <v>15820</v>
      </c>
      <c r="G14640" s="52">
        <v>221350.01876255899</v>
      </c>
      <c r="H14640" s="56">
        <v>0</v>
      </c>
      <c r="I14640" s="224" t="s">
        <v>2</v>
      </c>
    </row>
    <row r="14641" spans="1:9" x14ac:dyDescent="0.25">
      <c r="A14641" s="515">
        <v>29547</v>
      </c>
      <c r="C14641" s="52">
        <v>65637.872950819597</v>
      </c>
      <c r="D14641" s="56">
        <v>0</v>
      </c>
      <c r="E14641" s="224" t="s">
        <v>2</v>
      </c>
      <c r="F14641" s="515" t="s">
        <v>15821</v>
      </c>
      <c r="G14641" s="52">
        <v>194417.295548644</v>
      </c>
      <c r="H14641" s="56">
        <v>-9.3606930552490985E-3</v>
      </c>
      <c r="I14641" s="224" t="s">
        <v>2</v>
      </c>
    </row>
    <row r="14642" spans="1:9" x14ac:dyDescent="0.25">
      <c r="A14642" s="515">
        <v>70543</v>
      </c>
      <c r="B14642" s="515" t="s">
        <v>1004</v>
      </c>
      <c r="C14642" s="52">
        <v>139940.63558707299</v>
      </c>
      <c r="D14642" s="56">
        <v>6.3992653651988474E-2</v>
      </c>
      <c r="E14642" s="224" t="s">
        <v>2</v>
      </c>
      <c r="F14642" s="515" t="s">
        <v>15822</v>
      </c>
      <c r="G14642" s="52">
        <v>122994.725666061</v>
      </c>
      <c r="H14642" s="56">
        <v>6.8229681623204516E-2</v>
      </c>
      <c r="I14642" s="224" t="s">
        <v>2</v>
      </c>
    </row>
    <row r="14643" spans="1:9" x14ac:dyDescent="0.25">
      <c r="A14643" s="515">
        <v>53964</v>
      </c>
      <c r="C14643" s="52">
        <v>202508.534527888</v>
      </c>
      <c r="D14643" s="56">
        <v>5.1088253230942626E-2</v>
      </c>
      <c r="E14643" s="224" t="s">
        <v>2</v>
      </c>
      <c r="F14643" s="515" t="s">
        <v>15823</v>
      </c>
      <c r="G14643" s="52">
        <v>190471.408222873</v>
      </c>
      <c r="H14643" s="56">
        <v>9.9313844367168683E-2</v>
      </c>
      <c r="I14643" s="224" t="s">
        <v>2</v>
      </c>
    </row>
    <row r="14644" spans="1:9" x14ac:dyDescent="0.25">
      <c r="A14644" s="515">
        <v>14733</v>
      </c>
      <c r="B14644" s="515" t="s">
        <v>560</v>
      </c>
      <c r="C14644" s="52">
        <v>114400.763995188</v>
      </c>
      <c r="D14644" s="56">
        <v>9.0133520443705678E-2</v>
      </c>
      <c r="E14644" s="224" t="s">
        <v>2</v>
      </c>
      <c r="F14644" s="515" t="s">
        <v>15824</v>
      </c>
      <c r="G14644" s="52">
        <v>216022.937639927</v>
      </c>
      <c r="H14644" s="56">
        <v>0.1746610041380437</v>
      </c>
      <c r="I14644" s="224" t="s">
        <v>2</v>
      </c>
    </row>
    <row r="14645" spans="1:9" x14ac:dyDescent="0.25">
      <c r="A14645" s="515">
        <v>75851</v>
      </c>
      <c r="C14645" s="52">
        <v>203688.58103136599</v>
      </c>
      <c r="D14645" s="56">
        <v>-9.9579356015982848E-2</v>
      </c>
      <c r="E14645" s="224" t="s">
        <v>2</v>
      </c>
      <c r="F14645" s="515" t="s">
        <v>15825</v>
      </c>
      <c r="G14645" s="52">
        <v>228945.348003858</v>
      </c>
      <c r="H14645" s="56">
        <v>0.17083992056224645</v>
      </c>
      <c r="I14645" s="224" t="s">
        <v>2</v>
      </c>
    </row>
    <row r="14646" spans="1:9" x14ac:dyDescent="0.25">
      <c r="A14646" s="515">
        <v>4049</v>
      </c>
      <c r="B14646" s="515" t="s">
        <v>570</v>
      </c>
      <c r="C14646" s="52">
        <v>340245.55228961399</v>
      </c>
      <c r="D14646" s="56">
        <v>7.1655169774524879E-2</v>
      </c>
      <c r="E14646" s="224" t="s">
        <v>2</v>
      </c>
      <c r="F14646" s="515" t="s">
        <v>15826</v>
      </c>
      <c r="G14646" s="52">
        <v>120557.141419673</v>
      </c>
      <c r="H14646" s="56">
        <v>6.0832412219533186E-2</v>
      </c>
      <c r="I14646" s="224" t="s">
        <v>2</v>
      </c>
    </row>
    <row r="14647" spans="1:9" x14ac:dyDescent="0.25">
      <c r="A14647" s="515">
        <v>61074</v>
      </c>
      <c r="C14647" s="52">
        <v>74414.574260962603</v>
      </c>
      <c r="D14647" s="56">
        <v>0.12616038081351511</v>
      </c>
      <c r="E14647" s="224" t="s">
        <v>2</v>
      </c>
      <c r="F14647" s="515" t="s">
        <v>15827</v>
      </c>
      <c r="G14647" s="52">
        <v>65785.141387703596</v>
      </c>
      <c r="H14647" s="56">
        <v>0.10864262796848093</v>
      </c>
      <c r="I14647" s="224" t="s">
        <v>2</v>
      </c>
    </row>
    <row r="14648" spans="1:9" x14ac:dyDescent="0.25">
      <c r="A14648" s="515">
        <v>38850</v>
      </c>
      <c r="C14648" s="52">
        <v>104901.36697582599</v>
      </c>
      <c r="D14648" s="56">
        <v>-1.8546822889076834E-2</v>
      </c>
      <c r="E14648" s="224" t="s">
        <v>2</v>
      </c>
      <c r="F14648" s="515" t="s">
        <v>15828</v>
      </c>
      <c r="G14648" s="52">
        <v>291708.44188851299</v>
      </c>
      <c r="H14648" s="56">
        <v>9.5109939554905529E-2</v>
      </c>
      <c r="I14648" s="224" t="s">
        <v>2</v>
      </c>
    </row>
    <row r="14649" spans="1:9" x14ac:dyDescent="0.25">
      <c r="A14649" s="515">
        <v>61536</v>
      </c>
      <c r="B14649" s="515" t="s">
        <v>303</v>
      </c>
      <c r="C14649" s="52">
        <v>166485.14188282701</v>
      </c>
      <c r="D14649" s="56">
        <v>3.7003330648264721E-2</v>
      </c>
      <c r="E14649" s="224" t="s">
        <v>2</v>
      </c>
      <c r="F14649" s="515" t="s">
        <v>15829</v>
      </c>
      <c r="G14649" s="52">
        <v>232026.812877121</v>
      </c>
      <c r="H14649" s="56">
        <v>0.11809274432305489</v>
      </c>
      <c r="I14649" s="224" t="s">
        <v>2</v>
      </c>
    </row>
    <row r="14650" spans="1:9" x14ac:dyDescent="0.25">
      <c r="A14650" s="515">
        <v>2715</v>
      </c>
      <c r="B14650" s="515" t="s">
        <v>513</v>
      </c>
      <c r="C14650" s="52">
        <v>504669.63645353302</v>
      </c>
      <c r="D14650" s="56">
        <v>8.3903544737644428E-2</v>
      </c>
      <c r="E14650" s="224" t="s">
        <v>2</v>
      </c>
      <c r="F14650" s="515" t="s">
        <v>15830</v>
      </c>
      <c r="G14650" s="52">
        <v>200915.37323495801</v>
      </c>
      <c r="H14650" s="56">
        <v>6.876055546588597E-2</v>
      </c>
      <c r="I14650" s="224" t="s">
        <v>2</v>
      </c>
    </row>
    <row r="14651" spans="1:9" x14ac:dyDescent="0.25">
      <c r="A14651" s="515">
        <v>36311</v>
      </c>
      <c r="B14651" s="515" t="s">
        <v>369</v>
      </c>
      <c r="C14651" s="52">
        <v>137740.39655854399</v>
      </c>
      <c r="D14651" s="56">
        <v>0.12324416594137567</v>
      </c>
      <c r="E14651" s="224" t="s">
        <v>2</v>
      </c>
      <c r="F14651" s="515" t="s">
        <v>15831</v>
      </c>
      <c r="G14651" s="52">
        <v>86358.369618823606</v>
      </c>
      <c r="H14651" s="56">
        <v>6.2262579583027909E-2</v>
      </c>
      <c r="I14651" s="224" t="s">
        <v>2</v>
      </c>
    </row>
    <row r="14652" spans="1:9" x14ac:dyDescent="0.25">
      <c r="A14652" s="515">
        <v>72132</v>
      </c>
      <c r="B14652" s="515" t="s">
        <v>872</v>
      </c>
      <c r="C14652" s="52">
        <v>159956.11412311401</v>
      </c>
      <c r="D14652" s="56">
        <v>3.2717267517105766E-3</v>
      </c>
      <c r="E14652" s="224" t="s">
        <v>2</v>
      </c>
      <c r="F14652" s="515" t="s">
        <v>15832</v>
      </c>
      <c r="G14652" s="52">
        <v>64799.568615613702</v>
      </c>
      <c r="H14652" s="56">
        <v>0.26027843136815687</v>
      </c>
      <c r="I14652" s="224" t="s">
        <v>2</v>
      </c>
    </row>
    <row r="14653" spans="1:9" x14ac:dyDescent="0.25">
      <c r="A14653" s="515">
        <v>64776</v>
      </c>
      <c r="C14653" s="52">
        <v>152395.806205231</v>
      </c>
      <c r="D14653" s="56">
        <v>7.6521961601178953E-2</v>
      </c>
      <c r="E14653" s="224" t="s">
        <v>2</v>
      </c>
      <c r="F14653" s="515" t="s">
        <v>15833</v>
      </c>
      <c r="G14653" s="52">
        <v>157091.87453655599</v>
      </c>
      <c r="H14653" s="56">
        <v>7.2816791915226137E-2</v>
      </c>
      <c r="I14653" s="224" t="s">
        <v>2</v>
      </c>
    </row>
    <row r="14654" spans="1:9" x14ac:dyDescent="0.25">
      <c r="A14654" s="515">
        <v>13080</v>
      </c>
      <c r="B14654" s="515" t="s">
        <v>361</v>
      </c>
      <c r="C14654" s="52">
        <v>178743.50558051199</v>
      </c>
      <c r="D14654" s="56">
        <v>0.10581453773884306</v>
      </c>
      <c r="E14654" s="224" t="s">
        <v>2</v>
      </c>
      <c r="F14654" s="515" t="s">
        <v>15834</v>
      </c>
      <c r="G14654" s="52">
        <v>75493.374692082303</v>
      </c>
      <c r="H14654" s="56">
        <v>0.147237167483356</v>
      </c>
      <c r="I14654" s="224" t="s">
        <v>2</v>
      </c>
    </row>
    <row r="14655" spans="1:9" x14ac:dyDescent="0.25">
      <c r="A14655" s="515">
        <v>46787</v>
      </c>
      <c r="B14655" s="515" t="s">
        <v>1031</v>
      </c>
      <c r="C14655" s="52">
        <v>188894.174391115</v>
      </c>
      <c r="D14655" s="56">
        <v>6.2555388625080852E-2</v>
      </c>
      <c r="E14655" s="224" t="s">
        <v>2</v>
      </c>
      <c r="F14655" s="515" t="s">
        <v>15835</v>
      </c>
      <c r="G14655" s="52">
        <v>139892.092416297</v>
      </c>
      <c r="H14655" s="56">
        <v>0.12403589664960558</v>
      </c>
      <c r="I14655" s="224" t="s">
        <v>2</v>
      </c>
    </row>
    <row r="14656" spans="1:9" x14ac:dyDescent="0.25">
      <c r="A14656" s="515">
        <v>38922</v>
      </c>
      <c r="C14656" s="52">
        <v>94254.684127955799</v>
      </c>
      <c r="D14656" s="56">
        <v>-0.11543695388367456</v>
      </c>
      <c r="E14656" s="224" t="s">
        <v>2</v>
      </c>
      <c r="F14656" s="515" t="s">
        <v>15836</v>
      </c>
      <c r="G14656" s="52">
        <v>148048.190916358</v>
      </c>
      <c r="H14656" s="56">
        <v>8.0894747425712399E-2</v>
      </c>
      <c r="I14656" s="224" t="s">
        <v>2</v>
      </c>
    </row>
    <row r="14657" spans="1:9" x14ac:dyDescent="0.25">
      <c r="A14657" s="515">
        <v>16345</v>
      </c>
      <c r="B14657" s="515" t="s">
        <v>584</v>
      </c>
      <c r="C14657" s="52">
        <v>164099.89637874399</v>
      </c>
      <c r="D14657" s="56">
        <v>8.1941535552860129E-2</v>
      </c>
      <c r="E14657" s="224" t="s">
        <v>2</v>
      </c>
      <c r="F14657" s="515" t="s">
        <v>15837</v>
      </c>
      <c r="G14657" s="52">
        <v>103837.66915283</v>
      </c>
      <c r="H14657" s="56">
        <v>0.13863550976425529</v>
      </c>
      <c r="I14657" s="224" t="s">
        <v>2</v>
      </c>
    </row>
    <row r="14658" spans="1:9" x14ac:dyDescent="0.25">
      <c r="A14658" s="515">
        <v>83347</v>
      </c>
      <c r="B14658" s="515" t="s">
        <v>719</v>
      </c>
      <c r="C14658" s="52">
        <v>302763.97831901198</v>
      </c>
      <c r="D14658" s="56">
        <v>6.3505296027052349E-2</v>
      </c>
      <c r="E14658" s="224" t="s">
        <v>2</v>
      </c>
      <c r="F14658" s="515" t="s">
        <v>15838</v>
      </c>
      <c r="G14658" s="52">
        <v>186566.45045045001</v>
      </c>
      <c r="H14658" s="56">
        <v>0</v>
      </c>
      <c r="I14658" s="224" t="s">
        <v>2</v>
      </c>
    </row>
    <row r="14659" spans="1:9" x14ac:dyDescent="0.25">
      <c r="A14659" s="515">
        <v>14813</v>
      </c>
      <c r="C14659" s="52">
        <v>99331.711932239501</v>
      </c>
      <c r="D14659" s="56">
        <v>0.10090936451814982</v>
      </c>
      <c r="E14659" s="224" t="s">
        <v>2</v>
      </c>
      <c r="F14659" s="515" t="s">
        <v>15839</v>
      </c>
      <c r="G14659" s="52">
        <v>68649.115117915702</v>
      </c>
      <c r="H14659" s="56">
        <v>0</v>
      </c>
      <c r="I14659" s="224" t="s">
        <v>2</v>
      </c>
    </row>
    <row r="14660" spans="1:9" x14ac:dyDescent="0.25">
      <c r="A14660" s="515">
        <v>76380</v>
      </c>
      <c r="C14660" s="52">
        <v>84796.864530070903</v>
      </c>
      <c r="D14660" s="56">
        <v>-2.4065358888858749E-2</v>
      </c>
      <c r="E14660" s="224" t="s">
        <v>2</v>
      </c>
      <c r="F14660" s="515" t="s">
        <v>15840</v>
      </c>
      <c r="G14660" s="52">
        <v>834188.10814891499</v>
      </c>
      <c r="H14660" s="56">
        <v>-3.3149636504486192E-2</v>
      </c>
      <c r="I14660" s="224" t="s">
        <v>2</v>
      </c>
    </row>
    <row r="14661" spans="1:9" x14ac:dyDescent="0.25">
      <c r="A14661" s="515">
        <v>45053</v>
      </c>
      <c r="B14661" s="515" t="s">
        <v>344</v>
      </c>
      <c r="C14661" s="52">
        <v>368739.222866542</v>
      </c>
      <c r="D14661" s="56">
        <v>7.7346694039319194E-2</v>
      </c>
      <c r="E14661" s="224" t="s">
        <v>2</v>
      </c>
      <c r="F14661" s="515" t="s">
        <v>15841</v>
      </c>
      <c r="G14661" s="52">
        <v>399171.04676258902</v>
      </c>
      <c r="H14661" s="56">
        <v>0</v>
      </c>
      <c r="I14661" s="224" t="s">
        <v>2</v>
      </c>
    </row>
    <row r="14662" spans="1:9" x14ac:dyDescent="0.25">
      <c r="A14662" s="515">
        <v>43014</v>
      </c>
      <c r="B14662" s="515" t="s">
        <v>341</v>
      </c>
      <c r="C14662" s="52">
        <v>229139.145575145</v>
      </c>
      <c r="D14662" s="56">
        <v>0.10785104001669886</v>
      </c>
      <c r="E14662" s="224" t="s">
        <v>2</v>
      </c>
      <c r="F14662" s="515" t="s">
        <v>15842</v>
      </c>
      <c r="G14662" s="52">
        <v>244564.179988847</v>
      </c>
      <c r="H14662" s="56">
        <v>0.1178976138738356</v>
      </c>
      <c r="I14662" s="224" t="s">
        <v>2</v>
      </c>
    </row>
    <row r="14663" spans="1:9" x14ac:dyDescent="0.25">
      <c r="A14663" s="515">
        <v>99328</v>
      </c>
      <c r="C14663" s="52">
        <v>263631.87431766198</v>
      </c>
      <c r="D14663" s="56">
        <v>2.0687723624790565E-2</v>
      </c>
      <c r="E14663" s="224" t="s">
        <v>2</v>
      </c>
      <c r="F14663" s="515" t="s">
        <v>15843</v>
      </c>
      <c r="G14663" s="52">
        <v>305680.96530006698</v>
      </c>
      <c r="H14663" s="56">
        <v>0.11906624254425575</v>
      </c>
      <c r="I14663" s="224" t="s">
        <v>2</v>
      </c>
    </row>
    <row r="14664" spans="1:9" x14ac:dyDescent="0.25">
      <c r="A14664" s="515">
        <v>31647</v>
      </c>
      <c r="C14664" s="52">
        <v>102411.361687103</v>
      </c>
      <c r="D14664" s="56">
        <v>8.9580486418365551E-2</v>
      </c>
      <c r="E14664" s="224" t="s">
        <v>2</v>
      </c>
      <c r="F14664" s="515" t="s">
        <v>15844</v>
      </c>
      <c r="G14664" s="52">
        <v>421776.799950163</v>
      </c>
      <c r="H14664" s="56">
        <v>5.6694249358621995E-2</v>
      </c>
      <c r="I14664" s="224" t="s">
        <v>2</v>
      </c>
    </row>
    <row r="14665" spans="1:9" x14ac:dyDescent="0.25">
      <c r="A14665" s="515">
        <v>6853</v>
      </c>
      <c r="B14665" s="515" t="s">
        <v>1173</v>
      </c>
      <c r="C14665" s="52">
        <v>1551422.8444821001</v>
      </c>
      <c r="D14665" s="56">
        <v>8.1047813454950282E-2</v>
      </c>
      <c r="E14665" s="224" t="s">
        <v>2</v>
      </c>
      <c r="F14665" s="515" t="s">
        <v>15845</v>
      </c>
      <c r="G14665" s="52">
        <v>176391.62339633799</v>
      </c>
      <c r="H14665" s="56">
        <v>9.951551185866514E-2</v>
      </c>
      <c r="I14665" s="224" t="s">
        <v>2</v>
      </c>
    </row>
    <row r="14666" spans="1:9" x14ac:dyDescent="0.25">
      <c r="A14666" s="515">
        <v>23421</v>
      </c>
      <c r="C14666" s="52">
        <v>138499.38119134199</v>
      </c>
      <c r="D14666" s="56">
        <v>-3.5214792108715191E-2</v>
      </c>
      <c r="E14666" s="224" t="s">
        <v>2</v>
      </c>
      <c r="F14666" s="515" t="s">
        <v>15846</v>
      </c>
      <c r="G14666" s="52">
        <v>177790.85687043899</v>
      </c>
      <c r="H14666" s="56">
        <v>8.7666461590611575E-2</v>
      </c>
      <c r="I14666" s="224" t="s">
        <v>2</v>
      </c>
    </row>
    <row r="14667" spans="1:9" x14ac:dyDescent="0.25">
      <c r="A14667" s="515">
        <v>13131</v>
      </c>
      <c r="B14667" s="515" t="s">
        <v>361</v>
      </c>
      <c r="C14667" s="52">
        <v>163070.22133401799</v>
      </c>
      <c r="D14667" s="56">
        <v>0.11018183051230639</v>
      </c>
      <c r="E14667" s="224" t="s">
        <v>2</v>
      </c>
      <c r="F14667" s="515" t="s">
        <v>15847</v>
      </c>
      <c r="G14667" s="52">
        <v>490822.19785060699</v>
      </c>
      <c r="H14667" s="56">
        <v>-4.1081045383625794E-2</v>
      </c>
      <c r="I14667" s="224" t="s">
        <v>2</v>
      </c>
    </row>
    <row r="14668" spans="1:9" x14ac:dyDescent="0.25">
      <c r="A14668" s="515">
        <v>44656</v>
      </c>
      <c r="B14668" s="515" t="s">
        <v>309</v>
      </c>
      <c r="C14668" s="52">
        <v>176084.576464535</v>
      </c>
      <c r="D14668" s="56">
        <v>9.2581964632180755E-2</v>
      </c>
      <c r="E14668" s="224" t="s">
        <v>2</v>
      </c>
      <c r="F14668" s="515" t="s">
        <v>15848</v>
      </c>
      <c r="G14668" s="52">
        <v>203381.22007311901</v>
      </c>
      <c r="H14668" s="56">
        <v>5.201223130248174E-2</v>
      </c>
      <c r="I14668" s="224" t="s">
        <v>2</v>
      </c>
    </row>
    <row r="14669" spans="1:9" x14ac:dyDescent="0.25">
      <c r="A14669" s="515">
        <v>8562</v>
      </c>
      <c r="B14669" s="515" t="s">
        <v>294</v>
      </c>
      <c r="C14669" s="52">
        <v>415931.08768282301</v>
      </c>
      <c r="D14669" s="56">
        <v>2.4192639022031743E-2</v>
      </c>
      <c r="E14669" s="224" t="s">
        <v>2</v>
      </c>
      <c r="F14669" s="515" t="s">
        <v>15849</v>
      </c>
      <c r="G14669" s="52">
        <v>157473.22797895601</v>
      </c>
      <c r="H14669" s="56">
        <v>5.6296492250622485E-2</v>
      </c>
      <c r="I14669" s="224" t="s">
        <v>2</v>
      </c>
    </row>
    <row r="14670" spans="1:9" x14ac:dyDescent="0.25">
      <c r="A14670" s="515">
        <v>93532</v>
      </c>
      <c r="B14670" s="515" t="s">
        <v>375</v>
      </c>
      <c r="C14670" s="52">
        <v>413171.27490579803</v>
      </c>
      <c r="D14670" s="56">
        <v>4.9040555005409388E-2</v>
      </c>
      <c r="E14670" s="224" t="s">
        <v>2</v>
      </c>
      <c r="F14670" s="515" t="s">
        <v>15850</v>
      </c>
      <c r="G14670" s="52">
        <v>122410.235843464</v>
      </c>
      <c r="H14670" s="56">
        <v>5.429927025461765E-2</v>
      </c>
      <c r="I14670" s="224" t="s">
        <v>2</v>
      </c>
    </row>
    <row r="14671" spans="1:9" x14ac:dyDescent="0.25">
      <c r="A14671" s="515">
        <v>83101</v>
      </c>
      <c r="C14671" s="52">
        <v>206770.090975181</v>
      </c>
      <c r="D14671" s="56">
        <v>0.1326765946405504</v>
      </c>
      <c r="E14671" s="224" t="s">
        <v>2</v>
      </c>
      <c r="F14671" s="515" t="s">
        <v>15851</v>
      </c>
      <c r="G14671" s="52">
        <v>67093.1647641499</v>
      </c>
      <c r="H14671" s="56">
        <v>0.11541665901735838</v>
      </c>
      <c r="I14671" s="224" t="s">
        <v>2</v>
      </c>
    </row>
    <row r="14672" spans="1:9" x14ac:dyDescent="0.25">
      <c r="A14672" s="515">
        <v>49454</v>
      </c>
      <c r="B14672" s="515" t="s">
        <v>993</v>
      </c>
      <c r="C14672" s="52">
        <v>163377.98102571399</v>
      </c>
      <c r="D14672" s="56">
        <v>1.2270696484056568E-2</v>
      </c>
      <c r="E14672" s="224" t="s">
        <v>2</v>
      </c>
      <c r="F14672" s="515" t="s">
        <v>15852</v>
      </c>
      <c r="G14672" s="52">
        <v>172444.00326849101</v>
      </c>
      <c r="H14672" s="56">
        <v>9.4406784577099279E-2</v>
      </c>
      <c r="I14672" s="224" t="s">
        <v>2</v>
      </c>
    </row>
    <row r="14673" spans="1:9" x14ac:dyDescent="0.25">
      <c r="A14673" s="515">
        <v>24747</v>
      </c>
      <c r="B14673" s="515" t="s">
        <v>306</v>
      </c>
      <c r="C14673" s="52">
        <v>93480.227016193603</v>
      </c>
      <c r="D14673" s="56">
        <v>0.26352743717369731</v>
      </c>
      <c r="E14673" s="224" t="s">
        <v>2</v>
      </c>
      <c r="F14673" s="515" t="s">
        <v>15853</v>
      </c>
      <c r="G14673" s="52">
        <v>212276.57992230801</v>
      </c>
      <c r="H14673" s="56">
        <v>0</v>
      </c>
      <c r="I14673" s="224" t="s">
        <v>2</v>
      </c>
    </row>
    <row r="14674" spans="1:9" x14ac:dyDescent="0.25">
      <c r="A14674" s="515">
        <v>22656</v>
      </c>
      <c r="B14674" s="515" t="s">
        <v>629</v>
      </c>
      <c r="C14674" s="52">
        <v>440624.782686094</v>
      </c>
      <c r="D14674" s="56">
        <v>4.0670884355192366E-2</v>
      </c>
      <c r="E14674" s="224" t="s">
        <v>2</v>
      </c>
      <c r="F14674" s="515" t="s">
        <v>15854</v>
      </c>
      <c r="G14674" s="52">
        <v>312525.776483853</v>
      </c>
      <c r="H14674" s="56">
        <v>-7.7580488205121742E-2</v>
      </c>
      <c r="I14674" s="224" t="s">
        <v>2</v>
      </c>
    </row>
    <row r="14675" spans="1:9" x14ac:dyDescent="0.25">
      <c r="A14675" s="515">
        <v>14541</v>
      </c>
      <c r="B14675" s="515" t="s">
        <v>1032</v>
      </c>
      <c r="C14675" s="52">
        <v>294817.88289899798</v>
      </c>
      <c r="D14675" s="56">
        <v>8.7651141473309657E-2</v>
      </c>
      <c r="E14675" s="224" t="s">
        <v>2</v>
      </c>
      <c r="F14675" s="515" t="s">
        <v>15855</v>
      </c>
      <c r="G14675" s="52">
        <v>168498.03558895399</v>
      </c>
      <c r="H14675" s="56">
        <v>0.14751450292561885</v>
      </c>
      <c r="I14675" s="224" t="s">
        <v>2</v>
      </c>
    </row>
    <row r="14676" spans="1:9" x14ac:dyDescent="0.25">
      <c r="A14676" s="515">
        <v>73007</v>
      </c>
      <c r="B14676" s="515" t="s">
        <v>385</v>
      </c>
      <c r="C14676" s="52">
        <v>464959.48455975001</v>
      </c>
      <c r="D14676" s="56">
        <v>5.3895316293339657E-2</v>
      </c>
      <c r="E14676" s="224" t="s">
        <v>2</v>
      </c>
      <c r="F14676" s="515" t="s">
        <v>15856</v>
      </c>
      <c r="G14676" s="52">
        <v>755923.88087798795</v>
      </c>
      <c r="H14676" s="56">
        <v>9.9621024801840166E-2</v>
      </c>
      <c r="I14676" s="224" t="s">
        <v>2</v>
      </c>
    </row>
    <row r="14677" spans="1:9" x14ac:dyDescent="0.25">
      <c r="A14677" s="515">
        <v>64070</v>
      </c>
      <c r="B14677" s="515" t="s">
        <v>455</v>
      </c>
      <c r="C14677" s="52">
        <v>376607.10452019802</v>
      </c>
      <c r="D14677" s="56">
        <v>6.9060829559456971E-2</v>
      </c>
      <c r="E14677" s="224" t="s">
        <v>2</v>
      </c>
      <c r="F14677" s="515" t="s">
        <v>15857</v>
      </c>
      <c r="G14677" s="52">
        <v>231140.93621148699</v>
      </c>
      <c r="H14677" s="56">
        <v>5.3191174663447721E-2</v>
      </c>
      <c r="I14677" s="224" t="s">
        <v>2</v>
      </c>
    </row>
    <row r="14678" spans="1:9" x14ac:dyDescent="0.25">
      <c r="A14678" s="515">
        <v>55779</v>
      </c>
      <c r="B14678" s="515" t="s">
        <v>350</v>
      </c>
      <c r="C14678" s="52">
        <v>292203.187774199</v>
      </c>
      <c r="D14678" s="56">
        <v>5.820228026614347E-2</v>
      </c>
      <c r="E14678" s="224" t="s">
        <v>2</v>
      </c>
      <c r="F14678" s="515" t="s">
        <v>15858</v>
      </c>
      <c r="G14678" s="52">
        <v>298079.96781157103</v>
      </c>
      <c r="H14678" s="56">
        <v>0.11682525162936233</v>
      </c>
      <c r="I14678" s="224" t="s">
        <v>2</v>
      </c>
    </row>
    <row r="14679" spans="1:9" x14ac:dyDescent="0.25">
      <c r="A14679" s="515">
        <v>58523</v>
      </c>
      <c r="C14679" s="52">
        <v>180152.65835277599</v>
      </c>
      <c r="D14679" s="56">
        <v>7.7472957900551864E-2</v>
      </c>
      <c r="E14679" s="224" t="s">
        <v>2</v>
      </c>
      <c r="F14679" s="515" t="s">
        <v>15859</v>
      </c>
      <c r="G14679" s="52">
        <v>513326.534513344</v>
      </c>
      <c r="H14679" s="56">
        <v>2.2612874550580062E-2</v>
      </c>
      <c r="I14679" s="224" t="s">
        <v>2</v>
      </c>
    </row>
    <row r="14680" spans="1:9" x14ac:dyDescent="0.25">
      <c r="A14680" s="515">
        <v>38001</v>
      </c>
      <c r="B14680" s="515" t="s">
        <v>691</v>
      </c>
      <c r="C14680" s="52">
        <v>125834.53291947801</v>
      </c>
      <c r="D14680" s="56">
        <v>-1.1716033241862218E-2</v>
      </c>
      <c r="E14680" s="224" t="s">
        <v>2</v>
      </c>
      <c r="F14680" s="515" t="s">
        <v>15860</v>
      </c>
      <c r="G14680" s="52">
        <v>42756.114480721997</v>
      </c>
      <c r="H14680" s="56">
        <v>-3.5396892500252235E-2</v>
      </c>
      <c r="I14680" s="224" t="s">
        <v>2</v>
      </c>
    </row>
    <row r="14681" spans="1:9" x14ac:dyDescent="0.25">
      <c r="A14681" s="515">
        <v>13606</v>
      </c>
      <c r="B14681" s="515" t="s">
        <v>431</v>
      </c>
      <c r="C14681" s="52">
        <v>196775.90047227</v>
      </c>
      <c r="D14681" s="56">
        <v>8.7016014656494778E-2</v>
      </c>
      <c r="E14681" s="224" t="s">
        <v>2</v>
      </c>
      <c r="F14681" s="515" t="s">
        <v>15861</v>
      </c>
      <c r="G14681" s="52">
        <v>150915.089743527</v>
      </c>
      <c r="H14681" s="56">
        <v>8.6955913575406107E-2</v>
      </c>
      <c r="I14681" s="224" t="s">
        <v>2</v>
      </c>
    </row>
    <row r="14682" spans="1:9" x14ac:dyDescent="0.25">
      <c r="A14682" s="515">
        <v>76950</v>
      </c>
      <c r="C14682" s="52">
        <v>134426.43987417899</v>
      </c>
      <c r="D14682" s="56">
        <v>-5.9019607833967112E-2</v>
      </c>
      <c r="E14682" s="224" t="s">
        <v>2</v>
      </c>
      <c r="F14682" s="515" t="s">
        <v>15862</v>
      </c>
      <c r="G14682" s="52">
        <v>178759.79286668199</v>
      </c>
      <c r="H14682" s="56">
        <v>1.5975029231685294E-2</v>
      </c>
      <c r="I14682" s="224" t="s">
        <v>2</v>
      </c>
    </row>
    <row r="14683" spans="1:9" x14ac:dyDescent="0.25">
      <c r="A14683" s="515">
        <v>14891</v>
      </c>
      <c r="C14683" s="52">
        <v>191639.08826140399</v>
      </c>
      <c r="D14683" s="56">
        <v>7.115287617547586E-2</v>
      </c>
      <c r="E14683" s="224" t="s">
        <v>2</v>
      </c>
      <c r="F14683" s="515" t="s">
        <v>15863</v>
      </c>
      <c r="G14683" s="52">
        <v>202393.97954488601</v>
      </c>
      <c r="H14683" s="56">
        <v>0.13715657182917562</v>
      </c>
      <c r="I14683" s="224" t="s">
        <v>2</v>
      </c>
    </row>
    <row r="14684" spans="1:9" x14ac:dyDescent="0.25">
      <c r="A14684" s="515">
        <v>43943</v>
      </c>
      <c r="B14684" s="515" t="s">
        <v>389</v>
      </c>
      <c r="C14684" s="52">
        <v>109811.475886036</v>
      </c>
      <c r="D14684" s="56">
        <v>7.9504041706942932E-2</v>
      </c>
      <c r="E14684" s="224" t="s">
        <v>2</v>
      </c>
      <c r="F14684" s="515" t="s">
        <v>15864</v>
      </c>
      <c r="G14684" s="52">
        <v>197752.10119275301</v>
      </c>
      <c r="H14684" s="56">
        <v>-9.4352210908447601E-2</v>
      </c>
      <c r="I14684" s="224" t="s">
        <v>2</v>
      </c>
    </row>
    <row r="14685" spans="1:9" x14ac:dyDescent="0.25">
      <c r="A14685" s="515">
        <v>75572</v>
      </c>
      <c r="C14685" s="52">
        <v>137136.815020879</v>
      </c>
      <c r="D14685" s="56">
        <v>-3.4661018341883423E-4</v>
      </c>
      <c r="E14685" s="224" t="s">
        <v>2</v>
      </c>
      <c r="F14685" s="515" t="s">
        <v>15865</v>
      </c>
      <c r="G14685" s="52">
        <v>583208.29102129</v>
      </c>
      <c r="H14685" s="56">
        <v>0</v>
      </c>
      <c r="I14685" s="224" t="s">
        <v>2</v>
      </c>
    </row>
    <row r="14686" spans="1:9" x14ac:dyDescent="0.25">
      <c r="A14686" s="515">
        <v>33956</v>
      </c>
      <c r="B14686" s="515" t="s">
        <v>661</v>
      </c>
      <c r="C14686" s="52">
        <v>456034.61982985499</v>
      </c>
      <c r="D14686" s="56">
        <v>0.16478863629173676</v>
      </c>
      <c r="E14686" s="224" t="s">
        <v>2</v>
      </c>
      <c r="F14686" s="515" t="s">
        <v>15866</v>
      </c>
      <c r="G14686" s="52">
        <v>115390.941242895</v>
      </c>
      <c r="H14686" s="56">
        <v>8.0851819691148671E-2</v>
      </c>
      <c r="I14686" s="224" t="s">
        <v>2</v>
      </c>
    </row>
    <row r="14687" spans="1:9" x14ac:dyDescent="0.25">
      <c r="A14687" s="515">
        <v>45723</v>
      </c>
      <c r="B14687" s="515" t="s">
        <v>578</v>
      </c>
      <c r="C14687" s="52">
        <v>131340.70241199099</v>
      </c>
      <c r="D14687" s="56">
        <v>5.1840032540687767E-2</v>
      </c>
      <c r="E14687" s="224" t="s">
        <v>2</v>
      </c>
      <c r="F14687" s="515" t="s">
        <v>15867</v>
      </c>
      <c r="G14687" s="52">
        <v>117338.92265408899</v>
      </c>
      <c r="H14687" s="56">
        <v>8.7276573671774355E-2</v>
      </c>
      <c r="I14687" s="224" t="s">
        <v>2</v>
      </c>
    </row>
    <row r="14688" spans="1:9" x14ac:dyDescent="0.25">
      <c r="A14688" s="515">
        <v>37402</v>
      </c>
      <c r="B14688" s="515" t="s">
        <v>622</v>
      </c>
      <c r="C14688" s="52">
        <v>448795.56746988802</v>
      </c>
      <c r="D14688" s="56">
        <v>9.8741864733083093E-2</v>
      </c>
      <c r="E14688" s="224">
        <v>1470.2777777777701</v>
      </c>
      <c r="F14688" s="515" t="s">
        <v>15868</v>
      </c>
      <c r="G14688" s="52">
        <v>139196.81822533999</v>
      </c>
      <c r="H14688" s="56">
        <v>6.2037446344808699E-2</v>
      </c>
      <c r="I14688" s="224" t="s">
        <v>2</v>
      </c>
    </row>
    <row r="14689" spans="1:9" x14ac:dyDescent="0.25">
      <c r="A14689" s="515">
        <v>16239</v>
      </c>
      <c r="C14689" s="52">
        <v>90487.438283200303</v>
      </c>
      <c r="D14689" s="56">
        <v>-7.8971047470271213E-2</v>
      </c>
      <c r="E14689" s="224" t="s">
        <v>2</v>
      </c>
      <c r="F14689" s="515" t="s">
        <v>15869</v>
      </c>
      <c r="G14689" s="52">
        <v>2046535.83810807</v>
      </c>
      <c r="H14689" s="56">
        <v>3.6232304040710171E-2</v>
      </c>
      <c r="I14689" s="224" t="s">
        <v>2</v>
      </c>
    </row>
    <row r="14690" spans="1:9" x14ac:dyDescent="0.25">
      <c r="A14690" s="515">
        <v>76849</v>
      </c>
      <c r="C14690" s="52">
        <v>173553.50713744</v>
      </c>
      <c r="D14690" s="56">
        <v>-2.75096449756277E-2</v>
      </c>
      <c r="E14690" s="224" t="s">
        <v>2</v>
      </c>
      <c r="F14690" s="515" t="s">
        <v>15870</v>
      </c>
      <c r="G14690" s="52">
        <v>94891.985843657501</v>
      </c>
      <c r="H14690" s="56">
        <v>9.0051865142577889E-2</v>
      </c>
      <c r="I14690" s="224" t="s">
        <v>2</v>
      </c>
    </row>
    <row r="14691" spans="1:9" x14ac:dyDescent="0.25">
      <c r="A14691" s="515">
        <v>7827</v>
      </c>
      <c r="B14691" s="515" t="s">
        <v>324</v>
      </c>
      <c r="C14691" s="52">
        <v>275482.79272697697</v>
      </c>
      <c r="D14691" s="56">
        <v>5.0280166222112239E-2</v>
      </c>
      <c r="E14691" s="224" t="s">
        <v>2</v>
      </c>
      <c r="F14691" s="515" t="s">
        <v>15871</v>
      </c>
      <c r="G14691" s="52">
        <v>126973.203736265</v>
      </c>
      <c r="H14691" s="56">
        <v>5.5656608798100651E-2</v>
      </c>
      <c r="I14691" s="224" t="s">
        <v>2</v>
      </c>
    </row>
    <row r="14692" spans="1:9" x14ac:dyDescent="0.25">
      <c r="A14692" s="515">
        <v>24149</v>
      </c>
      <c r="B14692" s="515" t="s">
        <v>597</v>
      </c>
      <c r="C14692" s="52">
        <v>270366.30648862303</v>
      </c>
      <c r="D14692" s="56">
        <v>5.7244952887598691E-2</v>
      </c>
      <c r="E14692" s="224" t="s">
        <v>2</v>
      </c>
      <c r="F14692" s="515" t="s">
        <v>15872</v>
      </c>
      <c r="G14692" s="52">
        <v>114114.666233579</v>
      </c>
      <c r="H14692" s="56">
        <v>-4.5248590735943062E-2</v>
      </c>
      <c r="I14692" s="224" t="s">
        <v>2</v>
      </c>
    </row>
    <row r="14693" spans="1:9" x14ac:dyDescent="0.25">
      <c r="A14693" s="515">
        <v>49676</v>
      </c>
      <c r="B14693" s="515" t="s">
        <v>366</v>
      </c>
      <c r="C14693" s="52">
        <v>313020.63792912598</v>
      </c>
      <c r="D14693" s="56">
        <v>6.8706918584717919E-2</v>
      </c>
      <c r="E14693" s="224" t="s">
        <v>2</v>
      </c>
      <c r="F14693" s="515" t="s">
        <v>15873</v>
      </c>
      <c r="G14693" s="52">
        <v>192373.22882870899</v>
      </c>
      <c r="H14693" s="56">
        <v>6.6279933302600166E-2</v>
      </c>
      <c r="I14693" s="224" t="s">
        <v>2</v>
      </c>
    </row>
    <row r="14694" spans="1:9" x14ac:dyDescent="0.25">
      <c r="A14694" s="515">
        <v>52175</v>
      </c>
      <c r="C14694" s="52">
        <v>139404.88353349399</v>
      </c>
      <c r="D14694" s="56">
        <v>6.8839269644884168E-2</v>
      </c>
      <c r="E14694" s="224" t="s">
        <v>2</v>
      </c>
      <c r="F14694" s="515" t="s">
        <v>15874</v>
      </c>
      <c r="G14694" s="52">
        <v>185547.445839805</v>
      </c>
      <c r="H14694" s="56">
        <v>3.642033851369042E-2</v>
      </c>
      <c r="I14694" s="224" t="s">
        <v>2</v>
      </c>
    </row>
    <row r="14695" spans="1:9" x14ac:dyDescent="0.25">
      <c r="A14695" s="515">
        <v>36904</v>
      </c>
      <c r="C14695" s="52">
        <v>111862.75686751</v>
      </c>
      <c r="D14695" s="56">
        <v>0</v>
      </c>
      <c r="E14695" s="224" t="s">
        <v>2</v>
      </c>
      <c r="F14695" s="515" t="s">
        <v>15875</v>
      </c>
      <c r="G14695" s="52">
        <v>559716.23348573397</v>
      </c>
      <c r="H14695" s="56">
        <v>5.5475242009890229E-2</v>
      </c>
      <c r="I14695" s="224" t="s">
        <v>2</v>
      </c>
    </row>
    <row r="14696" spans="1:9" x14ac:dyDescent="0.25">
      <c r="A14696" s="515">
        <v>99323</v>
      </c>
      <c r="B14696" s="515" t="s">
        <v>376</v>
      </c>
      <c r="C14696" s="52">
        <v>419350.98337067099</v>
      </c>
      <c r="D14696" s="56">
        <v>7.7442910302893186E-2</v>
      </c>
      <c r="E14696" s="224" t="s">
        <v>2</v>
      </c>
      <c r="F14696" s="515" t="s">
        <v>15876</v>
      </c>
      <c r="G14696" s="52">
        <v>155517.17755934401</v>
      </c>
      <c r="H14696" s="56">
        <v>7.5564731176637756E-2</v>
      </c>
      <c r="I14696" s="224" t="s">
        <v>2</v>
      </c>
    </row>
    <row r="14697" spans="1:9" x14ac:dyDescent="0.25">
      <c r="A14697" s="515">
        <v>38329</v>
      </c>
      <c r="C14697" s="52">
        <v>121208.674350018</v>
      </c>
      <c r="D14697" s="56">
        <v>2.4338139207773123E-2</v>
      </c>
      <c r="E14697" s="224" t="s">
        <v>2</v>
      </c>
      <c r="F14697" s="515" t="s">
        <v>15877</v>
      </c>
      <c r="G14697" s="52">
        <v>277686.885187515</v>
      </c>
      <c r="H14697" s="56">
        <v>0.11128567221383055</v>
      </c>
      <c r="I14697" s="224" t="s">
        <v>2</v>
      </c>
    </row>
    <row r="14698" spans="1:9" x14ac:dyDescent="0.25">
      <c r="A14698" s="515">
        <v>24087</v>
      </c>
      <c r="B14698" s="515" t="s">
        <v>597</v>
      </c>
      <c r="C14698" s="52">
        <v>208529.698397853</v>
      </c>
      <c r="D14698" s="56">
        <v>9.266505976197234E-2</v>
      </c>
      <c r="E14698" s="224" t="s">
        <v>2</v>
      </c>
      <c r="F14698" s="515" t="s">
        <v>15878</v>
      </c>
      <c r="G14698" s="52">
        <v>149518.21138309801</v>
      </c>
      <c r="H14698" s="56">
        <v>9.3417762481393246E-2</v>
      </c>
      <c r="I14698" s="224" t="s">
        <v>2</v>
      </c>
    </row>
    <row r="14699" spans="1:9" x14ac:dyDescent="0.25">
      <c r="A14699" s="515">
        <v>4097</v>
      </c>
      <c r="B14699" s="515" t="s">
        <v>570</v>
      </c>
      <c r="C14699" s="52">
        <v>564915.63472545205</v>
      </c>
      <c r="D14699" s="56">
        <v>6.8429819390153995E-2</v>
      </c>
      <c r="E14699" s="224" t="s">
        <v>2</v>
      </c>
      <c r="F14699" s="515" t="s">
        <v>15879</v>
      </c>
      <c r="G14699" s="52">
        <v>127799.410108247</v>
      </c>
      <c r="H14699" s="56">
        <v>3.628549082865342E-2</v>
      </c>
      <c r="I14699" s="224" t="s">
        <v>2</v>
      </c>
    </row>
    <row r="14700" spans="1:9" x14ac:dyDescent="0.25">
      <c r="A14700" s="515">
        <v>76932</v>
      </c>
      <c r="C14700" s="52">
        <v>133263.69312702501</v>
      </c>
      <c r="D14700" s="56">
        <v>0</v>
      </c>
      <c r="E14700" s="224" t="s">
        <v>2</v>
      </c>
      <c r="F14700" s="515" t="s">
        <v>15880</v>
      </c>
      <c r="G14700" s="52">
        <v>171468.223436876</v>
      </c>
      <c r="H14700" s="56">
        <v>4.7378890493425314E-2</v>
      </c>
      <c r="I14700" s="224" t="s">
        <v>2</v>
      </c>
    </row>
    <row r="14701" spans="1:9" x14ac:dyDescent="0.25">
      <c r="A14701" s="515">
        <v>37031</v>
      </c>
      <c r="B14701" s="515" t="s">
        <v>684</v>
      </c>
      <c r="C14701" s="52">
        <v>336757.70920688502</v>
      </c>
      <c r="D14701" s="56">
        <v>8.6742348646489401E-2</v>
      </c>
      <c r="E14701" s="224" t="s">
        <v>2</v>
      </c>
      <c r="F14701" s="515" t="s">
        <v>15881</v>
      </c>
      <c r="G14701" s="52">
        <v>266615.76306973299</v>
      </c>
      <c r="H14701" s="56">
        <v>7.333968286213545E-2</v>
      </c>
      <c r="I14701" s="224" t="s">
        <v>2</v>
      </c>
    </row>
    <row r="14702" spans="1:9" x14ac:dyDescent="0.25">
      <c r="A14702" s="515">
        <v>7848</v>
      </c>
      <c r="B14702" s="515" t="s">
        <v>324</v>
      </c>
      <c r="C14702" s="52">
        <v>411537.127180546</v>
      </c>
      <c r="D14702" s="56">
        <v>2.5194791267196967E-2</v>
      </c>
      <c r="E14702" s="224" t="s">
        <v>2</v>
      </c>
      <c r="F14702" s="515" t="s">
        <v>15882</v>
      </c>
      <c r="G14702" s="52">
        <v>1481788.03800182</v>
      </c>
      <c r="H14702" s="56">
        <v>9.0011832228900343E-2</v>
      </c>
      <c r="I14702" s="224" t="s">
        <v>2</v>
      </c>
    </row>
    <row r="14703" spans="1:9" x14ac:dyDescent="0.25">
      <c r="A14703" s="515">
        <v>62265</v>
      </c>
      <c r="B14703" s="515" t="s">
        <v>498</v>
      </c>
      <c r="C14703" s="52">
        <v>175394.17181967199</v>
      </c>
      <c r="D14703" s="56">
        <v>5.3067139610218778E-2</v>
      </c>
      <c r="E14703" s="224" t="s">
        <v>2</v>
      </c>
      <c r="F14703" s="515" t="s">
        <v>15883</v>
      </c>
      <c r="G14703" s="52">
        <v>128281.179585964</v>
      </c>
      <c r="H14703" s="56">
        <v>0.10819072083487599</v>
      </c>
      <c r="I14703" s="224" t="s">
        <v>2</v>
      </c>
    </row>
    <row r="14704" spans="1:9" x14ac:dyDescent="0.25">
      <c r="A14704" s="515">
        <v>43945</v>
      </c>
      <c r="B14704" s="515" t="s">
        <v>627</v>
      </c>
      <c r="C14704" s="52">
        <v>96285.722263061296</v>
      </c>
      <c r="D14704" s="56">
        <v>8.3311301185292147E-2</v>
      </c>
      <c r="E14704" s="224" t="s">
        <v>2</v>
      </c>
      <c r="F14704" s="515" t="s">
        <v>15884</v>
      </c>
      <c r="G14704" s="52">
        <v>177987.660667344</v>
      </c>
      <c r="H14704" s="56">
        <v>8.6002495351445121E-2</v>
      </c>
      <c r="I14704" s="224" t="s">
        <v>2</v>
      </c>
    </row>
    <row r="14705" spans="1:9" x14ac:dyDescent="0.25">
      <c r="A14705" s="515">
        <v>32580</v>
      </c>
      <c r="B14705" s="515" t="s">
        <v>1078</v>
      </c>
      <c r="C14705" s="52">
        <v>316685.76747270301</v>
      </c>
      <c r="D14705" s="56">
        <v>8.320893956970711E-2</v>
      </c>
      <c r="E14705" s="224" t="s">
        <v>2</v>
      </c>
      <c r="F14705" s="515" t="s">
        <v>15885</v>
      </c>
      <c r="G14705" s="52">
        <v>206284.54591545099</v>
      </c>
      <c r="H14705" s="56">
        <v>4.9768660560835253E-2</v>
      </c>
      <c r="I14705" s="224" t="s">
        <v>2</v>
      </c>
    </row>
    <row r="14706" spans="1:9" x14ac:dyDescent="0.25">
      <c r="A14706" s="515">
        <v>35072</v>
      </c>
      <c r="C14706" s="52">
        <v>112793.571143728</v>
      </c>
      <c r="D14706" s="56">
        <v>-1.3535357730177949E-2</v>
      </c>
      <c r="E14706" s="224" t="s">
        <v>2</v>
      </c>
      <c r="F14706" s="515" t="s">
        <v>15886</v>
      </c>
      <c r="G14706" s="52">
        <v>114699.201511191</v>
      </c>
      <c r="H14706" s="56">
        <v>8.0923382381496503E-2</v>
      </c>
      <c r="I14706" s="224" t="s">
        <v>2</v>
      </c>
    </row>
    <row r="14707" spans="1:9" x14ac:dyDescent="0.25">
      <c r="A14707" s="515">
        <v>78263</v>
      </c>
      <c r="B14707" s="515" t="s">
        <v>717</v>
      </c>
      <c r="C14707" s="52">
        <v>360017.13226068899</v>
      </c>
      <c r="D14707" s="56">
        <v>9.8453995957098958E-2</v>
      </c>
      <c r="E14707" s="224" t="s">
        <v>2</v>
      </c>
      <c r="F14707" s="515" t="s">
        <v>15887</v>
      </c>
      <c r="G14707" s="52">
        <v>73890.363506111098</v>
      </c>
      <c r="H14707" s="56">
        <v>1.7658688752087176E-2</v>
      </c>
      <c r="I14707" s="224" t="s">
        <v>2</v>
      </c>
    </row>
    <row r="14708" spans="1:9" x14ac:dyDescent="0.25">
      <c r="A14708" s="515">
        <v>59752</v>
      </c>
      <c r="B14708" s="515" t="s">
        <v>561</v>
      </c>
      <c r="C14708" s="52">
        <v>480646.23439000099</v>
      </c>
      <c r="D14708" s="56">
        <v>8.6622562947757359E-2</v>
      </c>
      <c r="E14708" s="224" t="s">
        <v>2</v>
      </c>
      <c r="F14708" s="515" t="s">
        <v>15888</v>
      </c>
      <c r="G14708" s="52">
        <v>251148.08618519999</v>
      </c>
      <c r="H14708" s="56">
        <v>-6.4977475091413647E-2</v>
      </c>
      <c r="I14708" s="224" t="s">
        <v>2</v>
      </c>
    </row>
    <row r="14709" spans="1:9" x14ac:dyDescent="0.25">
      <c r="A14709" s="515">
        <v>56062</v>
      </c>
      <c r="C14709" s="52">
        <v>195128.16262615501</v>
      </c>
      <c r="D14709" s="56">
        <v>9.776369325396822E-2</v>
      </c>
      <c r="E14709" s="224" t="s">
        <v>2</v>
      </c>
      <c r="F14709" s="515" t="s">
        <v>15889</v>
      </c>
      <c r="G14709" s="52">
        <v>159342.113471255</v>
      </c>
      <c r="H14709" s="56">
        <v>-1.0141624534376092E-2</v>
      </c>
      <c r="I14709" s="224" t="s">
        <v>2</v>
      </c>
    </row>
    <row r="14710" spans="1:9" x14ac:dyDescent="0.25">
      <c r="A14710" s="515">
        <v>79845</v>
      </c>
      <c r="C14710" s="52">
        <v>104141.334973055</v>
      </c>
      <c r="D14710" s="56">
        <v>0</v>
      </c>
      <c r="E14710" s="224" t="s">
        <v>2</v>
      </c>
      <c r="F14710" s="515" t="s">
        <v>15890</v>
      </c>
      <c r="G14710" s="52">
        <v>289166.57333192701</v>
      </c>
      <c r="H14710" s="56">
        <v>0.10346341718540665</v>
      </c>
      <c r="I14710" s="224" t="s">
        <v>2</v>
      </c>
    </row>
    <row r="14711" spans="1:9" x14ac:dyDescent="0.25">
      <c r="A14711" s="515">
        <v>13838</v>
      </c>
      <c r="C14711" s="52">
        <v>139568.347086728</v>
      </c>
      <c r="D14711" s="56">
        <v>0.12409599710941531</v>
      </c>
      <c r="E14711" s="224" t="s">
        <v>2</v>
      </c>
      <c r="F14711" s="515" t="s">
        <v>15891</v>
      </c>
      <c r="G14711" s="52">
        <v>482200.75951050699</v>
      </c>
      <c r="H14711" s="56">
        <v>4.7990698851365129E-2</v>
      </c>
      <c r="I14711" s="224" t="s">
        <v>2</v>
      </c>
    </row>
    <row r="14712" spans="1:9" x14ac:dyDescent="0.25">
      <c r="A14712" s="515">
        <v>48831</v>
      </c>
      <c r="B14712" s="515" t="s">
        <v>528</v>
      </c>
      <c r="C14712" s="52">
        <v>149674.08484903999</v>
      </c>
      <c r="D14712" s="56">
        <v>6.6617136824791562E-2</v>
      </c>
      <c r="E14712" s="224" t="s">
        <v>2</v>
      </c>
      <c r="F14712" s="515" t="s">
        <v>15892</v>
      </c>
      <c r="G14712" s="52">
        <v>72071.744067089996</v>
      </c>
      <c r="H14712" s="56">
        <v>0.14059826140177764</v>
      </c>
      <c r="I14712" s="224" t="s">
        <v>2</v>
      </c>
    </row>
    <row r="14713" spans="1:9" x14ac:dyDescent="0.25">
      <c r="A14713" s="515">
        <v>81132</v>
      </c>
      <c r="C14713" s="52">
        <v>243409.84519643799</v>
      </c>
      <c r="D14713" s="56">
        <v>9.2263933064459291E-2</v>
      </c>
      <c r="E14713" s="224" t="s">
        <v>2</v>
      </c>
      <c r="F14713" s="515" t="s">
        <v>15893</v>
      </c>
      <c r="G14713" s="52">
        <v>273672.454788136</v>
      </c>
      <c r="H14713" s="56">
        <v>7.8123389373542282E-2</v>
      </c>
      <c r="I14713" s="224" t="s">
        <v>2</v>
      </c>
    </row>
    <row r="14714" spans="1:9" x14ac:dyDescent="0.25">
      <c r="A14714" s="515">
        <v>11955</v>
      </c>
      <c r="B14714" s="515" t="s">
        <v>324</v>
      </c>
      <c r="C14714" s="52">
        <v>501841.88957304001</v>
      </c>
      <c r="D14714" s="56">
        <v>2.7766681289129059E-2</v>
      </c>
      <c r="E14714" s="224" t="s">
        <v>2</v>
      </c>
      <c r="F14714" s="515" t="s">
        <v>15894</v>
      </c>
      <c r="G14714" s="52">
        <v>244111.72243825701</v>
      </c>
      <c r="H14714" s="56">
        <v>5.8774172900654051E-2</v>
      </c>
      <c r="I14714" s="224" t="s">
        <v>2</v>
      </c>
    </row>
    <row r="14715" spans="1:9" x14ac:dyDescent="0.25">
      <c r="A14715" s="515">
        <v>51246</v>
      </c>
      <c r="C14715" s="52">
        <v>171765.324567773</v>
      </c>
      <c r="D14715" s="56">
        <v>0.10723467057290717</v>
      </c>
      <c r="E14715" s="224" t="s">
        <v>2</v>
      </c>
      <c r="F14715" s="515" t="s">
        <v>15895</v>
      </c>
      <c r="G14715" s="52">
        <v>124708.19721871801</v>
      </c>
      <c r="H14715" s="56">
        <v>8.4170357945793847E-2</v>
      </c>
      <c r="I14715" s="224" t="s">
        <v>2</v>
      </c>
    </row>
    <row r="14716" spans="1:9" x14ac:dyDescent="0.25">
      <c r="A14716" s="515">
        <v>7064</v>
      </c>
      <c r="B14716" s="515" t="s">
        <v>324</v>
      </c>
      <c r="C14716" s="52">
        <v>415640.41086455999</v>
      </c>
      <c r="D14716" s="56">
        <v>6.5962090974815826E-2</v>
      </c>
      <c r="E14716" s="224" t="s">
        <v>2</v>
      </c>
      <c r="F14716" s="515" t="s">
        <v>15896</v>
      </c>
      <c r="G14716" s="52">
        <v>104260.030209177</v>
      </c>
      <c r="H14716" s="56">
        <v>1.4561492007294313E-2</v>
      </c>
      <c r="I14716" s="224" t="s">
        <v>2</v>
      </c>
    </row>
    <row r="14717" spans="1:9" x14ac:dyDescent="0.25">
      <c r="A14717" s="515">
        <v>53809</v>
      </c>
      <c r="B14717" s="515" t="s">
        <v>664</v>
      </c>
      <c r="C14717" s="52">
        <v>161330.226541218</v>
      </c>
      <c r="D14717" s="56">
        <v>9.5388573781508515E-2</v>
      </c>
      <c r="E14717" s="224" t="s">
        <v>2</v>
      </c>
      <c r="F14717" s="515" t="s">
        <v>15897</v>
      </c>
      <c r="G14717" s="52">
        <v>253391.248009128</v>
      </c>
      <c r="H14717" s="56">
        <v>0.102893716106607</v>
      </c>
      <c r="I14717" s="224" t="s">
        <v>2</v>
      </c>
    </row>
    <row r="14718" spans="1:9" x14ac:dyDescent="0.25">
      <c r="A14718" s="515">
        <v>61448</v>
      </c>
      <c r="B14718" s="515" t="s">
        <v>339</v>
      </c>
      <c r="C14718" s="52">
        <v>124487.83388248199</v>
      </c>
      <c r="D14718" s="56">
        <v>3.8569509864019402E-3</v>
      </c>
      <c r="E14718" s="224" t="s">
        <v>2</v>
      </c>
      <c r="F14718" s="515" t="s">
        <v>15898</v>
      </c>
      <c r="G14718" s="52">
        <v>469051.17179846897</v>
      </c>
      <c r="H14718" s="56">
        <v>5.6569719480103753E-2</v>
      </c>
      <c r="I14718" s="224" t="s">
        <v>2</v>
      </c>
    </row>
    <row r="14719" spans="1:9" x14ac:dyDescent="0.25">
      <c r="A14719" s="515">
        <v>35033</v>
      </c>
      <c r="B14719" s="515" t="s">
        <v>1110</v>
      </c>
      <c r="C14719" s="52">
        <v>241297.93601847501</v>
      </c>
      <c r="D14719" s="56">
        <v>7.1833275291493484E-2</v>
      </c>
      <c r="E14719" s="224" t="s">
        <v>2</v>
      </c>
      <c r="F14719" s="515" t="s">
        <v>15899</v>
      </c>
      <c r="G14719" s="52">
        <v>94699.994949494896</v>
      </c>
      <c r="H14719" s="56">
        <v>0</v>
      </c>
      <c r="I14719" s="224" t="s">
        <v>2</v>
      </c>
    </row>
    <row r="14720" spans="1:9" x14ac:dyDescent="0.25">
      <c r="A14720" s="515">
        <v>28441</v>
      </c>
      <c r="C14720" s="52">
        <v>67316.902518470393</v>
      </c>
      <c r="D14720" s="56">
        <v>0.11772883947519645</v>
      </c>
      <c r="E14720" s="224" t="s">
        <v>2</v>
      </c>
      <c r="F14720" s="515" t="s">
        <v>15900</v>
      </c>
      <c r="G14720" s="52">
        <v>446986.99693360302</v>
      </c>
      <c r="H14720" s="56">
        <v>4.0129570305578538E-2</v>
      </c>
      <c r="I14720" s="224" t="s">
        <v>2</v>
      </c>
    </row>
    <row r="14721" spans="1:9" x14ac:dyDescent="0.25">
      <c r="A14721" s="515">
        <v>78655</v>
      </c>
      <c r="B14721" s="515" t="s">
        <v>380</v>
      </c>
      <c r="C14721" s="52">
        <v>355777.47131087002</v>
      </c>
      <c r="D14721" s="56">
        <v>5.8930866362239036E-2</v>
      </c>
      <c r="E14721" s="224" t="s">
        <v>2</v>
      </c>
      <c r="F14721" s="515" t="s">
        <v>15901</v>
      </c>
      <c r="G14721" s="52">
        <v>56410.862989555797</v>
      </c>
      <c r="H14721" s="56">
        <v>0.18743785876348742</v>
      </c>
      <c r="I14721" s="224" t="s">
        <v>2</v>
      </c>
    </row>
    <row r="14722" spans="1:9" x14ac:dyDescent="0.25">
      <c r="A14722" s="515">
        <v>1010</v>
      </c>
      <c r="B14722" s="515" t="s">
        <v>575</v>
      </c>
      <c r="C14722" s="52">
        <v>354814.81330459501</v>
      </c>
      <c r="D14722" s="56">
        <v>7.5857086469396956E-2</v>
      </c>
      <c r="E14722" s="224" t="s">
        <v>2</v>
      </c>
      <c r="F14722" s="515" t="s">
        <v>15902</v>
      </c>
      <c r="G14722" s="52">
        <v>330864.481232789</v>
      </c>
      <c r="H14722" s="56">
        <v>5.5853544511312699E-2</v>
      </c>
      <c r="I14722" s="224" t="s">
        <v>2</v>
      </c>
    </row>
    <row r="14723" spans="1:9" x14ac:dyDescent="0.25">
      <c r="A14723" s="515">
        <v>28573</v>
      </c>
      <c r="B14723" s="515" t="s">
        <v>574</v>
      </c>
      <c r="C14723" s="52">
        <v>144684.716621295</v>
      </c>
      <c r="D14723" s="56">
        <v>0.21569313798196021</v>
      </c>
      <c r="E14723" s="224" t="s">
        <v>2</v>
      </c>
      <c r="F14723" s="515" t="s">
        <v>15903</v>
      </c>
      <c r="G14723" s="52">
        <v>236813.54212571299</v>
      </c>
      <c r="H14723" s="56">
        <v>0.10597903713647769</v>
      </c>
      <c r="I14723" s="224" t="s">
        <v>2</v>
      </c>
    </row>
    <row r="14724" spans="1:9" x14ac:dyDescent="0.25">
      <c r="A14724" s="515">
        <v>8741</v>
      </c>
      <c r="B14724" s="515" t="s">
        <v>324</v>
      </c>
      <c r="C14724" s="52">
        <v>455576.58804809902</v>
      </c>
      <c r="D14724" s="56">
        <v>6.1768409033532118E-2</v>
      </c>
      <c r="E14724" s="224" t="s">
        <v>2</v>
      </c>
      <c r="F14724" s="515" t="s">
        <v>15904</v>
      </c>
      <c r="G14724" s="52">
        <v>52747.152297795597</v>
      </c>
      <c r="H14724" s="56">
        <v>-0.10982999769228502</v>
      </c>
      <c r="I14724" s="224" t="s">
        <v>2</v>
      </c>
    </row>
    <row r="14725" spans="1:9" x14ac:dyDescent="0.25">
      <c r="A14725" s="515">
        <v>13667</v>
      </c>
      <c r="B14725" s="515" t="s">
        <v>511</v>
      </c>
      <c r="C14725" s="52">
        <v>108652.019625517</v>
      </c>
      <c r="D14725" s="56">
        <v>0.16616981190730976</v>
      </c>
      <c r="E14725" s="224" t="s">
        <v>2</v>
      </c>
      <c r="F14725" s="515" t="s">
        <v>15905</v>
      </c>
      <c r="G14725" s="52">
        <v>115106.86847104901</v>
      </c>
      <c r="H14725" s="56">
        <v>4.4346709255280073E-2</v>
      </c>
      <c r="I14725" s="224" t="s">
        <v>2</v>
      </c>
    </row>
    <row r="14726" spans="1:9" x14ac:dyDescent="0.25">
      <c r="A14726" s="515">
        <v>49448</v>
      </c>
      <c r="B14726" s="515" t="s">
        <v>631</v>
      </c>
      <c r="C14726" s="52">
        <v>297145.28780985501</v>
      </c>
      <c r="D14726" s="56">
        <v>9.4281329706567916E-3</v>
      </c>
      <c r="E14726" s="224" t="s">
        <v>2</v>
      </c>
      <c r="F14726" s="515" t="s">
        <v>15906</v>
      </c>
      <c r="G14726" s="52">
        <v>147409.40586926701</v>
      </c>
      <c r="H14726" s="56">
        <v>0.12453414582545502</v>
      </c>
      <c r="I14726" s="224" t="s">
        <v>2</v>
      </c>
    </row>
    <row r="14727" spans="1:9" x14ac:dyDescent="0.25">
      <c r="A14727" s="515">
        <v>3784</v>
      </c>
      <c r="B14727" s="515" t="s">
        <v>420</v>
      </c>
      <c r="C14727" s="52">
        <v>380352.24042861001</v>
      </c>
      <c r="D14727" s="56">
        <v>0.12273982475495709</v>
      </c>
      <c r="E14727" s="224" t="s">
        <v>2</v>
      </c>
      <c r="F14727" s="515" t="s">
        <v>15907</v>
      </c>
      <c r="G14727" s="52">
        <v>184281.01095783201</v>
      </c>
      <c r="H14727" s="56">
        <v>6.2694022274094818E-2</v>
      </c>
      <c r="I14727" s="224" t="s">
        <v>2</v>
      </c>
    </row>
    <row r="14728" spans="1:9" x14ac:dyDescent="0.25">
      <c r="A14728" s="515">
        <v>15944</v>
      </c>
      <c r="B14728" s="515" t="s">
        <v>297</v>
      </c>
      <c r="C14728" s="52">
        <v>125031.37180887999</v>
      </c>
      <c r="D14728" s="56">
        <v>1.587594882605764E-2</v>
      </c>
      <c r="E14728" s="224" t="s">
        <v>2</v>
      </c>
      <c r="F14728" s="515" t="s">
        <v>15908</v>
      </c>
      <c r="G14728" s="52">
        <v>344956.29651408503</v>
      </c>
      <c r="H14728" s="56">
        <v>0.10341846473666369</v>
      </c>
      <c r="I14728" s="224" t="s">
        <v>2</v>
      </c>
    </row>
    <row r="14729" spans="1:9" x14ac:dyDescent="0.25">
      <c r="A14729" s="515">
        <v>72355</v>
      </c>
      <c r="B14729" s="515" t="s">
        <v>891</v>
      </c>
      <c r="C14729" s="52">
        <v>74386.953781512595</v>
      </c>
      <c r="D14729" s="56">
        <v>0</v>
      </c>
      <c r="E14729" s="224" t="s">
        <v>2</v>
      </c>
      <c r="F14729" s="515" t="s">
        <v>15909</v>
      </c>
      <c r="G14729" s="52">
        <v>296587.44007816102</v>
      </c>
      <c r="H14729" s="56">
        <v>3.8872359572405979E-2</v>
      </c>
      <c r="I14729" s="224" t="s">
        <v>2</v>
      </c>
    </row>
    <row r="14730" spans="1:9" x14ac:dyDescent="0.25">
      <c r="A14730" s="515">
        <v>45130</v>
      </c>
      <c r="B14730" s="515" t="s">
        <v>344</v>
      </c>
      <c r="C14730" s="52">
        <v>194352.21857165801</v>
      </c>
      <c r="D14730" s="56">
        <v>7.4194421002956493E-2</v>
      </c>
      <c r="E14730" s="224" t="s">
        <v>2</v>
      </c>
      <c r="F14730" s="515" t="s">
        <v>15910</v>
      </c>
      <c r="G14730" s="52">
        <v>99432.803438590796</v>
      </c>
      <c r="H14730" s="56">
        <v>1.3488489933916926E-2</v>
      </c>
      <c r="I14730" s="224" t="s">
        <v>2</v>
      </c>
    </row>
    <row r="14731" spans="1:9" x14ac:dyDescent="0.25">
      <c r="A14731" s="515">
        <v>78140</v>
      </c>
      <c r="C14731" s="52">
        <v>134161.32736649399</v>
      </c>
      <c r="D14731" s="56">
        <v>1.4784621944892617E-2</v>
      </c>
      <c r="E14731" s="224" t="s">
        <v>2</v>
      </c>
      <c r="F14731" s="515" t="s">
        <v>15911</v>
      </c>
      <c r="G14731" s="52">
        <v>249218.81645569601</v>
      </c>
      <c r="H14731" s="56">
        <v>0</v>
      </c>
      <c r="I14731" s="224" t="s">
        <v>2</v>
      </c>
    </row>
    <row r="14732" spans="1:9" x14ac:dyDescent="0.25">
      <c r="A14732" s="515">
        <v>46788</v>
      </c>
      <c r="B14732" s="515" t="s">
        <v>1031</v>
      </c>
      <c r="C14732" s="52">
        <v>363991.68194208603</v>
      </c>
      <c r="D14732" s="56">
        <v>0.1054884916675578</v>
      </c>
      <c r="E14732" s="224" t="s">
        <v>2</v>
      </c>
      <c r="F14732" s="515" t="s">
        <v>15912</v>
      </c>
      <c r="G14732" s="52">
        <v>295942.54756824602</v>
      </c>
      <c r="H14732" s="56">
        <v>5.6211027555301066E-2</v>
      </c>
      <c r="I14732" s="224" t="s">
        <v>2</v>
      </c>
    </row>
    <row r="14733" spans="1:9" x14ac:dyDescent="0.25">
      <c r="A14733" s="515">
        <v>6426</v>
      </c>
      <c r="B14733" s="515" t="s">
        <v>894</v>
      </c>
      <c r="C14733" s="52">
        <v>616189.37232952705</v>
      </c>
      <c r="D14733" s="56">
        <v>0.12336104171803147</v>
      </c>
      <c r="E14733" s="224" t="s">
        <v>2</v>
      </c>
      <c r="F14733" s="515" t="s">
        <v>15913</v>
      </c>
      <c r="G14733" s="52">
        <v>153200.34200794599</v>
      </c>
      <c r="H14733" s="56">
        <v>0.12763140504743578</v>
      </c>
      <c r="I14733" s="224" t="s">
        <v>2</v>
      </c>
    </row>
    <row r="14734" spans="1:9" x14ac:dyDescent="0.25">
      <c r="A14734" s="515">
        <v>43532</v>
      </c>
      <c r="C14734" s="52">
        <v>178577.21211473999</v>
      </c>
      <c r="D14734" s="56">
        <v>6.6017628526611555E-2</v>
      </c>
      <c r="E14734" s="224" t="s">
        <v>2</v>
      </c>
      <c r="F14734" s="515" t="s">
        <v>15914</v>
      </c>
      <c r="G14734" s="52">
        <v>164327.81648393199</v>
      </c>
      <c r="H14734" s="56">
        <v>8.9693339646046408E-2</v>
      </c>
      <c r="I14734" s="224" t="s">
        <v>2</v>
      </c>
    </row>
    <row r="14735" spans="1:9" x14ac:dyDescent="0.25">
      <c r="A14735" s="515">
        <v>49256</v>
      </c>
      <c r="B14735" s="515" t="s">
        <v>958</v>
      </c>
      <c r="C14735" s="52">
        <v>128941.180992583</v>
      </c>
      <c r="D14735" s="56">
        <v>0.10387697153051352</v>
      </c>
      <c r="E14735" s="224" t="s">
        <v>2</v>
      </c>
      <c r="F14735" s="515" t="s">
        <v>15915</v>
      </c>
      <c r="G14735" s="52">
        <v>140401.83131335201</v>
      </c>
      <c r="H14735" s="56">
        <v>0.15560084839188212</v>
      </c>
      <c r="I14735" s="224" t="s">
        <v>2</v>
      </c>
    </row>
    <row r="14736" spans="1:9" x14ac:dyDescent="0.25">
      <c r="A14736" s="515">
        <v>24236</v>
      </c>
      <c r="B14736" s="515" t="s">
        <v>902</v>
      </c>
      <c r="C14736" s="52">
        <v>170682.44806729301</v>
      </c>
      <c r="D14736" s="56">
        <v>0.1441564866268864</v>
      </c>
      <c r="E14736" s="224" t="s">
        <v>2</v>
      </c>
      <c r="F14736" s="515" t="s">
        <v>15916</v>
      </c>
      <c r="G14736" s="52">
        <v>79796.297770529301</v>
      </c>
      <c r="H14736" s="56">
        <v>0.12950819681301939</v>
      </c>
      <c r="I14736" s="224" t="s">
        <v>2</v>
      </c>
    </row>
    <row r="14737" spans="1:9" x14ac:dyDescent="0.25">
      <c r="A14737" s="515">
        <v>83210</v>
      </c>
      <c r="B14737" s="515" t="s">
        <v>506</v>
      </c>
      <c r="C14737" s="52">
        <v>252082.245657769</v>
      </c>
      <c r="D14737" s="56">
        <v>4.7689266000640197E-2</v>
      </c>
      <c r="E14737" s="224" t="s">
        <v>2</v>
      </c>
      <c r="F14737" s="515" t="s">
        <v>15917</v>
      </c>
      <c r="G14737" s="52">
        <v>100196.77320254099</v>
      </c>
      <c r="H14737" s="56">
        <v>0.16489554697976075</v>
      </c>
      <c r="I14737" s="224" t="s">
        <v>2</v>
      </c>
    </row>
    <row r="14738" spans="1:9" x14ac:dyDescent="0.25">
      <c r="A14738" s="515">
        <v>37714</v>
      </c>
      <c r="B14738" s="515" t="s">
        <v>907</v>
      </c>
      <c r="C14738" s="52">
        <v>203875.48204939399</v>
      </c>
      <c r="D14738" s="56">
        <v>9.2484211512588052E-2</v>
      </c>
      <c r="E14738" s="224" t="s">
        <v>2</v>
      </c>
      <c r="F14738" s="515" t="s">
        <v>15918</v>
      </c>
      <c r="G14738" s="52">
        <v>85015.759020450903</v>
      </c>
      <c r="H14738" s="56">
        <v>0.37824214883375196</v>
      </c>
      <c r="I14738" s="224" t="s">
        <v>2</v>
      </c>
    </row>
    <row r="14739" spans="1:9" x14ac:dyDescent="0.25">
      <c r="A14739" s="515">
        <v>6510</v>
      </c>
      <c r="B14739" s="515" t="s">
        <v>1172</v>
      </c>
      <c r="C14739" s="52">
        <v>325161.32128253201</v>
      </c>
      <c r="D14739" s="56">
        <v>2.8661157516008388E-2</v>
      </c>
      <c r="E14739" s="224">
        <v>2307</v>
      </c>
      <c r="F14739" s="515" t="s">
        <v>15919</v>
      </c>
      <c r="G14739" s="52">
        <v>308339.30200371903</v>
      </c>
      <c r="H14739" s="56">
        <v>0.10531146324841123</v>
      </c>
      <c r="I14739" s="224" t="s">
        <v>2</v>
      </c>
    </row>
    <row r="14740" spans="1:9" x14ac:dyDescent="0.25">
      <c r="A14740" s="515">
        <v>24095</v>
      </c>
      <c r="B14740" s="515" t="s">
        <v>705</v>
      </c>
      <c r="C14740" s="52">
        <v>255268.88403425101</v>
      </c>
      <c r="D14740" s="56">
        <v>0.10818942229363118</v>
      </c>
      <c r="E14740" s="224" t="s">
        <v>2</v>
      </c>
      <c r="F14740" s="515" t="s">
        <v>15920</v>
      </c>
      <c r="G14740" s="52">
        <v>138265.16662862001</v>
      </c>
      <c r="H14740" s="56">
        <v>8.6139002047410262E-2</v>
      </c>
      <c r="I14740" s="224" t="s">
        <v>2</v>
      </c>
    </row>
    <row r="14741" spans="1:9" x14ac:dyDescent="0.25">
      <c r="A14741" s="515">
        <v>61434</v>
      </c>
      <c r="B14741" s="515" t="s">
        <v>439</v>
      </c>
      <c r="C14741" s="52">
        <v>77896.805327544498</v>
      </c>
      <c r="D14741" s="56">
        <v>6.1489439620017003E-2</v>
      </c>
      <c r="E14741" s="224" t="s">
        <v>2</v>
      </c>
      <c r="F14741" s="515" t="s">
        <v>15921</v>
      </c>
      <c r="G14741" s="52">
        <v>247123.18572829899</v>
      </c>
      <c r="H14741" s="56">
        <v>2.8903302196536012E-2</v>
      </c>
      <c r="I14741" s="224" t="s">
        <v>2</v>
      </c>
    </row>
    <row r="14742" spans="1:9" x14ac:dyDescent="0.25">
      <c r="A14742" s="515">
        <v>53952</v>
      </c>
      <c r="C14742" s="52">
        <v>187981.473564421</v>
      </c>
      <c r="D14742" s="56">
        <v>6.4860757165895289E-2</v>
      </c>
      <c r="E14742" s="224" t="s">
        <v>2</v>
      </c>
      <c r="F14742" s="515" t="s">
        <v>15922</v>
      </c>
      <c r="G14742" s="52">
        <v>276999.22837607702</v>
      </c>
      <c r="H14742" s="56">
        <v>3.4212385461599763E-2</v>
      </c>
      <c r="I14742" s="224" t="s">
        <v>2</v>
      </c>
    </row>
    <row r="14743" spans="1:9" x14ac:dyDescent="0.25">
      <c r="A14743" s="515">
        <v>71433</v>
      </c>
      <c r="B14743" s="515" t="s">
        <v>968</v>
      </c>
      <c r="C14743" s="52">
        <v>105379.709348295</v>
      </c>
      <c r="D14743" s="56">
        <v>1.0904206853722323E-2</v>
      </c>
      <c r="E14743" s="224" t="s">
        <v>2</v>
      </c>
      <c r="F14743" s="515" t="s">
        <v>15923</v>
      </c>
      <c r="G14743" s="52">
        <v>173134.71821526001</v>
      </c>
      <c r="H14743" s="56">
        <v>0.19610501481870227</v>
      </c>
      <c r="I14743" s="224" t="s">
        <v>2</v>
      </c>
    </row>
    <row r="14744" spans="1:9" x14ac:dyDescent="0.25">
      <c r="A14744" s="515">
        <v>30259</v>
      </c>
      <c r="B14744" s="515" t="s">
        <v>957</v>
      </c>
      <c r="C14744" s="52">
        <v>379984.04163047898</v>
      </c>
      <c r="D14744" s="56">
        <v>0.12356082509203307</v>
      </c>
      <c r="E14744" s="224" t="s">
        <v>2</v>
      </c>
      <c r="F14744" s="515" t="s">
        <v>15924</v>
      </c>
      <c r="G14744" s="52">
        <v>121951.843583961</v>
      </c>
      <c r="H14744" s="56">
        <v>0.10562666305505432</v>
      </c>
      <c r="I14744" s="224" t="s">
        <v>2</v>
      </c>
    </row>
    <row r="14745" spans="1:9" x14ac:dyDescent="0.25">
      <c r="A14745" s="515">
        <v>38641</v>
      </c>
      <c r="B14745" s="515" t="s">
        <v>951</v>
      </c>
      <c r="C14745" s="52">
        <v>293918.62175181397</v>
      </c>
      <c r="D14745" s="56">
        <v>7.1544644229232443E-2</v>
      </c>
      <c r="E14745" s="224" t="s">
        <v>2</v>
      </c>
      <c r="F14745" s="515" t="s">
        <v>15925</v>
      </c>
      <c r="G14745" s="52">
        <v>263430.43192056898</v>
      </c>
      <c r="H14745" s="56">
        <v>6.5300322390171139E-2</v>
      </c>
      <c r="I14745" s="224" t="s">
        <v>2</v>
      </c>
    </row>
    <row r="14746" spans="1:9" x14ac:dyDescent="0.25">
      <c r="A14746" s="515">
        <v>88008</v>
      </c>
      <c r="B14746" s="515" t="s">
        <v>317</v>
      </c>
      <c r="C14746" s="52">
        <v>282265.83570052299</v>
      </c>
      <c r="D14746" s="56">
        <v>9.649635954938246E-2</v>
      </c>
      <c r="E14746" s="224" t="s">
        <v>2</v>
      </c>
      <c r="F14746" s="515" t="s">
        <v>15926</v>
      </c>
      <c r="G14746" s="52">
        <v>234635.29122567701</v>
      </c>
      <c r="H14746" s="56">
        <v>5.710329063799327E-2</v>
      </c>
      <c r="I14746" s="224" t="s">
        <v>2</v>
      </c>
    </row>
    <row r="14747" spans="1:9" x14ac:dyDescent="0.25">
      <c r="A14747" s="515">
        <v>95627</v>
      </c>
      <c r="B14747" s="515" t="s">
        <v>355</v>
      </c>
      <c r="C14747" s="52">
        <v>441388.40643325198</v>
      </c>
      <c r="D14747" s="56">
        <v>-2.8169685963141239E-3</v>
      </c>
      <c r="E14747" s="224" t="s">
        <v>2</v>
      </c>
      <c r="F14747" s="515" t="s">
        <v>15927</v>
      </c>
      <c r="G14747" s="52">
        <v>196973.015606389</v>
      </c>
      <c r="H14747" s="56">
        <v>0.13634518387717109</v>
      </c>
      <c r="I14747" s="224" t="s">
        <v>2</v>
      </c>
    </row>
    <row r="14748" spans="1:9" x14ac:dyDescent="0.25">
      <c r="A14748" s="515">
        <v>49304</v>
      </c>
      <c r="C14748" s="52">
        <v>91848.501622748794</v>
      </c>
      <c r="D14748" s="56">
        <v>6.3354350853158353E-2</v>
      </c>
      <c r="E14748" s="224" t="s">
        <v>2</v>
      </c>
      <c r="F14748" s="515" t="s">
        <v>15928</v>
      </c>
      <c r="G14748" s="52">
        <v>170204.696361018</v>
      </c>
      <c r="H14748" s="56">
        <v>0.1551524265582791</v>
      </c>
      <c r="I14748" s="224" t="s">
        <v>2</v>
      </c>
    </row>
    <row r="14749" spans="1:9" x14ac:dyDescent="0.25">
      <c r="A14749" s="515">
        <v>20664</v>
      </c>
      <c r="B14749" s="515" t="s">
        <v>321</v>
      </c>
      <c r="C14749" s="52">
        <v>365635.23977893899</v>
      </c>
      <c r="D14749" s="56">
        <v>2.60443725316311E-2</v>
      </c>
      <c r="E14749" s="224" t="s">
        <v>2</v>
      </c>
      <c r="F14749" s="515" t="s">
        <v>15929</v>
      </c>
      <c r="G14749" s="52">
        <v>55257.652125451597</v>
      </c>
      <c r="H14749" s="56">
        <v>0.1901464057037745</v>
      </c>
      <c r="I14749" s="224" t="s">
        <v>2</v>
      </c>
    </row>
    <row r="14750" spans="1:9" x14ac:dyDescent="0.25">
      <c r="A14750" s="515">
        <v>17563</v>
      </c>
      <c r="B14750" s="515" t="s">
        <v>537</v>
      </c>
      <c r="C14750" s="52">
        <v>347162.460656012</v>
      </c>
      <c r="D14750" s="56">
        <v>7.6782132978960527E-2</v>
      </c>
      <c r="E14750" s="224" t="s">
        <v>2</v>
      </c>
      <c r="F14750" s="515" t="s">
        <v>15930</v>
      </c>
      <c r="G14750" s="52">
        <v>145219.58748845101</v>
      </c>
      <c r="H14750" s="56">
        <v>0</v>
      </c>
      <c r="I14750" s="224" t="s">
        <v>2</v>
      </c>
    </row>
    <row r="14751" spans="1:9" x14ac:dyDescent="0.25">
      <c r="A14751" s="515">
        <v>76431</v>
      </c>
      <c r="B14751" s="515" t="s">
        <v>458</v>
      </c>
      <c r="C14751" s="52">
        <v>311244.88309249002</v>
      </c>
      <c r="D14751" s="56">
        <v>2.9173862541806816E-2</v>
      </c>
      <c r="E14751" s="224" t="s">
        <v>2</v>
      </c>
      <c r="F14751" s="515" t="s">
        <v>15931</v>
      </c>
      <c r="G14751" s="52">
        <v>181422.41573393901</v>
      </c>
      <c r="H14751" s="56">
        <v>4.1612382972238793E-2</v>
      </c>
      <c r="I14751" s="224" t="s">
        <v>2</v>
      </c>
    </row>
    <row r="14752" spans="1:9" x14ac:dyDescent="0.25">
      <c r="A14752" s="515">
        <v>53038</v>
      </c>
      <c r="B14752" s="515" t="s">
        <v>1085</v>
      </c>
      <c r="C14752" s="52">
        <v>323713.31685812701</v>
      </c>
      <c r="D14752" s="56">
        <v>3.1933530746100565E-2</v>
      </c>
      <c r="E14752" s="224" t="s">
        <v>2</v>
      </c>
      <c r="F14752" s="515" t="s">
        <v>15932</v>
      </c>
      <c r="G14752" s="52">
        <v>108800.403905517</v>
      </c>
      <c r="H14752" s="56">
        <v>7.2465735936974265E-2</v>
      </c>
      <c r="I14752" s="224" t="s">
        <v>2</v>
      </c>
    </row>
    <row r="14753" spans="1:9" x14ac:dyDescent="0.25">
      <c r="A14753" s="515">
        <v>17049</v>
      </c>
      <c r="C14753" s="52">
        <v>191162.21433817799</v>
      </c>
      <c r="D14753" s="56">
        <v>5.620852580837718E-2</v>
      </c>
      <c r="E14753" s="224" t="s">
        <v>2</v>
      </c>
      <c r="F14753" s="515" t="s">
        <v>15933</v>
      </c>
      <c r="G14753" s="52">
        <v>207821.10041217899</v>
      </c>
      <c r="H14753" s="56">
        <v>0.13498771421819566</v>
      </c>
      <c r="I14753" s="224" t="s">
        <v>2</v>
      </c>
    </row>
    <row r="14754" spans="1:9" x14ac:dyDescent="0.25">
      <c r="A14754" s="515">
        <v>92661</v>
      </c>
      <c r="B14754" s="515" t="s">
        <v>375</v>
      </c>
      <c r="C14754" s="52">
        <v>3648077.89345509</v>
      </c>
      <c r="D14754" s="56">
        <v>5.7535019656521399E-2</v>
      </c>
      <c r="E14754" s="224">
        <v>5133.3333333333303</v>
      </c>
      <c r="F14754" s="515" t="s">
        <v>15934</v>
      </c>
      <c r="G14754" s="52">
        <v>72855.155763703297</v>
      </c>
      <c r="H14754" s="56">
        <v>-9.108055444248403E-2</v>
      </c>
      <c r="I14754" s="224" t="s">
        <v>2</v>
      </c>
    </row>
    <row r="14755" spans="1:9" x14ac:dyDescent="0.25">
      <c r="A14755" s="515">
        <v>13491</v>
      </c>
      <c r="B14755" s="515" t="s">
        <v>543</v>
      </c>
      <c r="C14755" s="52">
        <v>176770.430420005</v>
      </c>
      <c r="D14755" s="56">
        <v>0.17666095085525943</v>
      </c>
      <c r="E14755" s="224" t="s">
        <v>2</v>
      </c>
      <c r="F14755" s="515" t="s">
        <v>15935</v>
      </c>
      <c r="G14755" s="52">
        <v>135939.18729246699</v>
      </c>
      <c r="H14755" s="56">
        <v>0.23858293262555194</v>
      </c>
      <c r="I14755" s="224" t="s">
        <v>2</v>
      </c>
    </row>
    <row r="14756" spans="1:9" x14ac:dyDescent="0.25">
      <c r="A14756" s="515">
        <v>46349</v>
      </c>
      <c r="B14756" s="515" t="s">
        <v>394</v>
      </c>
      <c r="C14756" s="52">
        <v>254286.84585597101</v>
      </c>
      <c r="D14756" s="56">
        <v>7.5544028760796439E-2</v>
      </c>
      <c r="E14756" s="224" t="s">
        <v>2</v>
      </c>
      <c r="F14756" s="515" t="s">
        <v>15936</v>
      </c>
      <c r="G14756" s="52">
        <v>141434.285331041</v>
      </c>
      <c r="H14756" s="56">
        <v>0.26527837343312982</v>
      </c>
      <c r="I14756" s="224" t="s">
        <v>2</v>
      </c>
    </row>
    <row r="14757" spans="1:9" x14ac:dyDescent="0.25">
      <c r="A14757" s="515">
        <v>21034</v>
      </c>
      <c r="B14757" s="515" t="s">
        <v>582</v>
      </c>
      <c r="C14757" s="52">
        <v>354408.91547911998</v>
      </c>
      <c r="D14757" s="56">
        <v>2.4789611671479382E-2</v>
      </c>
      <c r="E14757" s="224" t="s">
        <v>2</v>
      </c>
      <c r="F14757" s="515" t="s">
        <v>15937</v>
      </c>
      <c r="G14757" s="52">
        <v>203653.772760263</v>
      </c>
      <c r="H14757" s="56">
        <v>0.10713954857194463</v>
      </c>
      <c r="I14757" s="224" t="s">
        <v>2</v>
      </c>
    </row>
    <row r="14758" spans="1:9" x14ac:dyDescent="0.25">
      <c r="A14758" s="515">
        <v>47118</v>
      </c>
      <c r="C14758" s="52">
        <v>155175.15054736301</v>
      </c>
      <c r="D14758" s="56">
        <v>0.11188097379847212</v>
      </c>
      <c r="E14758" s="224" t="s">
        <v>2</v>
      </c>
      <c r="F14758" s="515" t="s">
        <v>15938</v>
      </c>
      <c r="G14758" s="52">
        <v>144140.84268471901</v>
      </c>
      <c r="H14758" s="56">
        <v>0.13828515624774215</v>
      </c>
      <c r="I14758" s="224" t="s">
        <v>2</v>
      </c>
    </row>
    <row r="14759" spans="1:9" x14ac:dyDescent="0.25">
      <c r="A14759" s="515">
        <v>36278</v>
      </c>
      <c r="C14759" s="52">
        <v>326180.14329021203</v>
      </c>
      <c r="D14759" s="56">
        <v>7.5787895473794276E-2</v>
      </c>
      <c r="E14759" s="224" t="s">
        <v>2</v>
      </c>
      <c r="F14759" s="515" t="s">
        <v>15939</v>
      </c>
      <c r="G14759" s="52">
        <v>415648.06061769603</v>
      </c>
      <c r="H14759" s="56">
        <v>0.12640838727237241</v>
      </c>
      <c r="I14759" s="224" t="s">
        <v>2</v>
      </c>
    </row>
    <row r="14760" spans="1:9" x14ac:dyDescent="0.25">
      <c r="A14760" s="515">
        <v>32322</v>
      </c>
      <c r="C14760" s="52">
        <v>272267.23923200002</v>
      </c>
      <c r="D14760" s="56">
        <v>8.0638997066157236E-2</v>
      </c>
      <c r="E14760" s="224" t="s">
        <v>2</v>
      </c>
      <c r="F14760" s="515" t="s">
        <v>15940</v>
      </c>
      <c r="G14760" s="52">
        <v>663319.02656290401</v>
      </c>
      <c r="H14760" s="56">
        <v>6.6697422367969994E-2</v>
      </c>
      <c r="I14760" s="224" t="s">
        <v>2</v>
      </c>
    </row>
    <row r="14761" spans="1:9" x14ac:dyDescent="0.25">
      <c r="A14761" s="515">
        <v>45159</v>
      </c>
      <c r="B14761" s="515" t="s">
        <v>489</v>
      </c>
      <c r="C14761" s="52">
        <v>203645.83713370399</v>
      </c>
      <c r="D14761" s="56">
        <v>0.10730584592974465</v>
      </c>
      <c r="E14761" s="224" t="s">
        <v>2</v>
      </c>
      <c r="F14761" s="515" t="s">
        <v>15941</v>
      </c>
      <c r="G14761" s="52">
        <v>241048.92927952501</v>
      </c>
      <c r="H14761" s="56">
        <v>8.0593897843153878E-2</v>
      </c>
      <c r="I14761" s="224" t="s">
        <v>2</v>
      </c>
    </row>
    <row r="14762" spans="1:9" x14ac:dyDescent="0.25">
      <c r="A14762" s="515">
        <v>47024</v>
      </c>
      <c r="B14762" s="515" t="s">
        <v>344</v>
      </c>
      <c r="C14762" s="52">
        <v>172923.97860705701</v>
      </c>
      <c r="D14762" s="56">
        <v>2.55255911559692E-2</v>
      </c>
      <c r="E14762" s="224" t="s">
        <v>2</v>
      </c>
      <c r="F14762" s="515" t="s">
        <v>15942</v>
      </c>
      <c r="G14762" s="52">
        <v>137738.90670761801</v>
      </c>
      <c r="H14762" s="56">
        <v>0</v>
      </c>
      <c r="I14762" s="224" t="s">
        <v>2</v>
      </c>
    </row>
    <row r="14763" spans="1:9" x14ac:dyDescent="0.25">
      <c r="A14763" s="515">
        <v>49229</v>
      </c>
      <c r="B14763" s="515" t="s">
        <v>958</v>
      </c>
      <c r="C14763" s="52">
        <v>230208.923799493</v>
      </c>
      <c r="D14763" s="56">
        <v>8.8234115290767884E-2</v>
      </c>
      <c r="E14763" s="224" t="s">
        <v>2</v>
      </c>
      <c r="F14763" s="515" t="s">
        <v>15943</v>
      </c>
      <c r="G14763" s="52">
        <v>108158.29129059899</v>
      </c>
      <c r="H14763" s="56">
        <v>3.0793272661470791E-2</v>
      </c>
      <c r="I14763" s="224" t="s">
        <v>2</v>
      </c>
    </row>
    <row r="14764" spans="1:9" x14ac:dyDescent="0.25">
      <c r="A14764" s="515">
        <v>7721</v>
      </c>
      <c r="B14764" s="515" t="s">
        <v>324</v>
      </c>
      <c r="C14764" s="52">
        <v>380387.61653439299</v>
      </c>
      <c r="D14764" s="56">
        <v>0.10192157117034821</v>
      </c>
      <c r="E14764" s="224" t="s">
        <v>2</v>
      </c>
      <c r="F14764" s="515" t="s">
        <v>15944</v>
      </c>
      <c r="G14764" s="52">
        <v>197482.07049303199</v>
      </c>
      <c r="H14764" s="56">
        <v>-3.8436252378803732E-3</v>
      </c>
      <c r="I14764" s="224" t="s">
        <v>2</v>
      </c>
    </row>
    <row r="14765" spans="1:9" x14ac:dyDescent="0.25">
      <c r="A14765" s="515">
        <v>45341</v>
      </c>
      <c r="B14765" s="515" t="s">
        <v>398</v>
      </c>
      <c r="C14765" s="52">
        <v>152782.892997063</v>
      </c>
      <c r="D14765" s="56">
        <v>9.9924349438980126E-2</v>
      </c>
      <c r="E14765" s="224" t="s">
        <v>2</v>
      </c>
      <c r="F14765" s="515" t="s">
        <v>15945</v>
      </c>
      <c r="G14765" s="52">
        <v>171014.46455058901</v>
      </c>
      <c r="H14765" s="56">
        <v>2.9284013024629251E-2</v>
      </c>
      <c r="I14765" s="224" t="s">
        <v>2</v>
      </c>
    </row>
    <row r="14766" spans="1:9" x14ac:dyDescent="0.25">
      <c r="A14766" s="515">
        <v>46501</v>
      </c>
      <c r="B14766" s="515" t="s">
        <v>342</v>
      </c>
      <c r="C14766" s="52">
        <v>171287.91300875001</v>
      </c>
      <c r="D14766" s="56">
        <v>4.8888964297664705E-2</v>
      </c>
      <c r="E14766" s="224" t="s">
        <v>2</v>
      </c>
      <c r="F14766" s="515" t="s">
        <v>15946</v>
      </c>
      <c r="G14766" s="52">
        <v>298934.58142554102</v>
      </c>
      <c r="H14766" s="56">
        <v>9.3564230008488958E-2</v>
      </c>
      <c r="I14766" s="224" t="s">
        <v>2</v>
      </c>
    </row>
    <row r="14767" spans="1:9" x14ac:dyDescent="0.25">
      <c r="A14767" s="515">
        <v>75938</v>
      </c>
      <c r="C14767" s="52">
        <v>150610.498417214</v>
      </c>
      <c r="D14767" s="56">
        <v>-1.1847908971186432E-2</v>
      </c>
      <c r="E14767" s="224" t="s">
        <v>2</v>
      </c>
      <c r="F14767" s="515" t="s">
        <v>15947</v>
      </c>
      <c r="G14767" s="52">
        <v>209672.956718523</v>
      </c>
      <c r="H14767" s="56">
        <v>0.10725788212593283</v>
      </c>
      <c r="I14767" s="224" t="s">
        <v>2</v>
      </c>
    </row>
    <row r="14768" spans="1:9" x14ac:dyDescent="0.25">
      <c r="A14768" s="515">
        <v>49064</v>
      </c>
      <c r="C14768" s="52">
        <v>196824.813700561</v>
      </c>
      <c r="D14768" s="56">
        <v>9.3794708202391927E-2</v>
      </c>
      <c r="E14768" s="224" t="s">
        <v>2</v>
      </c>
      <c r="F14768" s="515" t="s">
        <v>15948</v>
      </c>
      <c r="G14768" s="52">
        <v>137187.46147206399</v>
      </c>
      <c r="H14768" s="56">
        <v>2.2556449157747339E-2</v>
      </c>
      <c r="I14768" s="224" t="s">
        <v>2</v>
      </c>
    </row>
    <row r="14769" spans="1:9" x14ac:dyDescent="0.25">
      <c r="A14769" s="515">
        <v>63048</v>
      </c>
      <c r="B14769" s="515" t="s">
        <v>498</v>
      </c>
      <c r="C14769" s="52">
        <v>241201.275509528</v>
      </c>
      <c r="D14769" s="56">
        <v>8.5160344443417468E-2</v>
      </c>
      <c r="E14769" s="224" t="s">
        <v>2</v>
      </c>
      <c r="F14769" s="515" t="s">
        <v>15949</v>
      </c>
      <c r="G14769" s="52">
        <v>416567.45234733599</v>
      </c>
      <c r="H14769" s="56">
        <v>2.7817047028900269E-2</v>
      </c>
      <c r="I14769" s="224" t="s">
        <v>2</v>
      </c>
    </row>
    <row r="14770" spans="1:9" x14ac:dyDescent="0.25">
      <c r="A14770" s="515">
        <v>8092</v>
      </c>
      <c r="B14770" s="515" t="s">
        <v>324</v>
      </c>
      <c r="C14770" s="52">
        <v>438163.60573205003</v>
      </c>
      <c r="D14770" s="56">
        <v>9.1737152282838311E-2</v>
      </c>
      <c r="E14770" s="224" t="s">
        <v>2</v>
      </c>
      <c r="F14770" s="515" t="s">
        <v>15950</v>
      </c>
      <c r="G14770" s="52">
        <v>3363773.3236774402</v>
      </c>
      <c r="H14770" s="56">
        <v>0.17354642188671923</v>
      </c>
      <c r="I14770" s="224" t="s">
        <v>2</v>
      </c>
    </row>
    <row r="14771" spans="1:9" x14ac:dyDescent="0.25">
      <c r="A14771" s="515">
        <v>56529</v>
      </c>
      <c r="B14771" s="515" t="s">
        <v>928</v>
      </c>
      <c r="C14771" s="52">
        <v>246156.15521919899</v>
      </c>
      <c r="D14771" s="56">
        <v>2.219734044672611E-2</v>
      </c>
      <c r="E14771" s="224" t="s">
        <v>2</v>
      </c>
      <c r="F14771" s="515" t="s">
        <v>15951</v>
      </c>
      <c r="G14771" s="52">
        <v>2530654.6490129898</v>
      </c>
      <c r="H14771" s="56">
        <v>3.6683761362924491E-2</v>
      </c>
      <c r="I14771" s="224" t="s">
        <v>2</v>
      </c>
    </row>
    <row r="14772" spans="1:9" x14ac:dyDescent="0.25">
      <c r="A14772" s="515">
        <v>62613</v>
      </c>
      <c r="B14772" s="515" t="s">
        <v>819</v>
      </c>
      <c r="C14772" s="52">
        <v>173833.26369554599</v>
      </c>
      <c r="D14772" s="56">
        <v>1.3114599233578737E-2</v>
      </c>
      <c r="E14772" s="224" t="s">
        <v>2</v>
      </c>
      <c r="F14772" s="515" t="s">
        <v>15952</v>
      </c>
      <c r="G14772" s="52">
        <v>100362.130331604</v>
      </c>
      <c r="H14772" s="56">
        <v>8.6026194650399096E-2</v>
      </c>
      <c r="I14772" s="224" t="s">
        <v>2</v>
      </c>
    </row>
    <row r="14773" spans="1:9" x14ac:dyDescent="0.25">
      <c r="A14773" s="515">
        <v>83254</v>
      </c>
      <c r="C14773" s="52">
        <v>271656.69121024897</v>
      </c>
      <c r="D14773" s="56">
        <v>8.1213723805411669E-2</v>
      </c>
      <c r="E14773" s="224" t="s">
        <v>2</v>
      </c>
      <c r="F14773" s="515" t="s">
        <v>15953</v>
      </c>
      <c r="G14773" s="52">
        <v>238087.07455828099</v>
      </c>
      <c r="H14773" s="56">
        <v>9.4883352232317086E-2</v>
      </c>
      <c r="I14773" s="224" t="s">
        <v>2</v>
      </c>
    </row>
    <row r="14774" spans="1:9" x14ac:dyDescent="0.25">
      <c r="A14774" s="515">
        <v>47581</v>
      </c>
      <c r="C14774" s="52">
        <v>141161.03973584299</v>
      </c>
      <c r="D14774" s="56">
        <v>6.3252492223674794E-2</v>
      </c>
      <c r="E14774" s="224" t="s">
        <v>2</v>
      </c>
      <c r="F14774" s="515" t="s">
        <v>15954</v>
      </c>
      <c r="G14774" s="52">
        <v>149604.21365493501</v>
      </c>
      <c r="H14774" s="56">
        <v>7.0496917690659397E-2</v>
      </c>
      <c r="I14774" s="224" t="s">
        <v>2</v>
      </c>
    </row>
    <row r="14775" spans="1:9" x14ac:dyDescent="0.25">
      <c r="A14775" s="515">
        <v>18452</v>
      </c>
      <c r="B14775" s="515" t="s">
        <v>512</v>
      </c>
      <c r="C14775" s="52">
        <v>194989.025789131</v>
      </c>
      <c r="D14775" s="56">
        <v>6.5776073706083724E-2</v>
      </c>
      <c r="E14775" s="224" t="s">
        <v>2</v>
      </c>
      <c r="F14775" s="515" t="s">
        <v>15955</v>
      </c>
      <c r="G14775" s="52">
        <v>256823.251773839</v>
      </c>
      <c r="H14775" s="56">
        <v>0.11552235154366719</v>
      </c>
      <c r="I14775" s="224" t="s">
        <v>2</v>
      </c>
    </row>
    <row r="14776" spans="1:9" x14ac:dyDescent="0.25">
      <c r="A14776" s="515">
        <v>38315</v>
      </c>
      <c r="C14776" s="52">
        <v>125736.32649979601</v>
      </c>
      <c r="D14776" s="56">
        <v>7.0588952845532238E-2</v>
      </c>
      <c r="E14776" s="224" t="s">
        <v>2</v>
      </c>
      <c r="F14776" s="515" t="s">
        <v>15956</v>
      </c>
      <c r="G14776" s="52">
        <v>60816.716215545101</v>
      </c>
      <c r="H14776" s="56">
        <v>0.21327850813870175</v>
      </c>
      <c r="I14776" s="224" t="s">
        <v>2</v>
      </c>
    </row>
    <row r="14777" spans="1:9" x14ac:dyDescent="0.25">
      <c r="A14777" s="515">
        <v>54015</v>
      </c>
      <c r="B14777" s="515" t="s">
        <v>532</v>
      </c>
      <c r="C14777" s="52">
        <v>321977.67897910601</v>
      </c>
      <c r="D14777" s="56">
        <v>4.730849099406844E-2</v>
      </c>
      <c r="E14777" s="224" t="s">
        <v>2</v>
      </c>
      <c r="F14777" s="515" t="s">
        <v>15957</v>
      </c>
      <c r="G14777" s="52">
        <v>108820.674321642</v>
      </c>
      <c r="H14777" s="56">
        <v>0.15085025669441726</v>
      </c>
      <c r="I14777" s="224" t="s">
        <v>2</v>
      </c>
    </row>
    <row r="14778" spans="1:9" x14ac:dyDescent="0.25">
      <c r="A14778" s="515">
        <v>46504</v>
      </c>
      <c r="B14778" s="515" t="s">
        <v>342</v>
      </c>
      <c r="C14778" s="52">
        <v>187102.818454544</v>
      </c>
      <c r="D14778" s="56">
        <v>6.5261878584876809E-2</v>
      </c>
      <c r="E14778" s="224" t="s">
        <v>2</v>
      </c>
      <c r="F14778" s="515" t="s">
        <v>15958</v>
      </c>
      <c r="G14778" s="52">
        <v>103394.401754858</v>
      </c>
      <c r="H14778" s="56">
        <v>3.1949812399996509E-2</v>
      </c>
      <c r="I14778" s="224" t="s">
        <v>2</v>
      </c>
    </row>
    <row r="14779" spans="1:9" x14ac:dyDescent="0.25">
      <c r="A14779" s="515">
        <v>16373</v>
      </c>
      <c r="B14779" s="515" t="s">
        <v>349</v>
      </c>
      <c r="C14779" s="52">
        <v>127720.05790957699</v>
      </c>
      <c r="D14779" s="56">
        <v>4.8609460447369648E-2</v>
      </c>
      <c r="E14779" s="224" t="s">
        <v>2</v>
      </c>
      <c r="F14779" s="515" t="s">
        <v>15959</v>
      </c>
      <c r="G14779" s="52">
        <v>88901.841593217003</v>
      </c>
      <c r="H14779" s="56">
        <v>0</v>
      </c>
      <c r="I14779" s="224" t="s">
        <v>2</v>
      </c>
    </row>
    <row r="14780" spans="1:9" x14ac:dyDescent="0.25">
      <c r="A14780" s="515">
        <v>15774</v>
      </c>
      <c r="B14780" s="515" t="s">
        <v>343</v>
      </c>
      <c r="C14780" s="52">
        <v>168103.27468716999</v>
      </c>
      <c r="D14780" s="56">
        <v>7.108352221650617E-2</v>
      </c>
      <c r="E14780" s="224" t="s">
        <v>2</v>
      </c>
      <c r="F14780" s="515" t="s">
        <v>15960</v>
      </c>
      <c r="G14780" s="52">
        <v>246917.977491581</v>
      </c>
      <c r="H14780" s="56">
        <v>9.1248155020940455E-2</v>
      </c>
      <c r="I14780" s="224" t="s">
        <v>2</v>
      </c>
    </row>
    <row r="14781" spans="1:9" x14ac:dyDescent="0.25">
      <c r="A14781" s="515">
        <v>41749</v>
      </c>
      <c r="C14781" s="52">
        <v>78467.058088294405</v>
      </c>
      <c r="D14781" s="56">
        <v>0.27761244596151519</v>
      </c>
      <c r="E14781" s="224" t="s">
        <v>2</v>
      </c>
      <c r="F14781" s="515" t="s">
        <v>15961</v>
      </c>
      <c r="G14781" s="52">
        <v>123465.016364936</v>
      </c>
      <c r="H14781" s="56">
        <v>0.11662710882923438</v>
      </c>
      <c r="I14781" s="224" t="s">
        <v>2</v>
      </c>
    </row>
    <row r="14782" spans="1:9" x14ac:dyDescent="0.25">
      <c r="A14782" s="515">
        <v>54113</v>
      </c>
      <c r="B14782" s="515" t="s">
        <v>821</v>
      </c>
      <c r="C14782" s="52">
        <v>275360.76051052101</v>
      </c>
      <c r="D14782" s="56">
        <v>8.2071973733932324E-2</v>
      </c>
      <c r="E14782" s="224" t="s">
        <v>2</v>
      </c>
      <c r="F14782" s="515" t="s">
        <v>15962</v>
      </c>
      <c r="G14782" s="52">
        <v>180676.11075977999</v>
      </c>
      <c r="H14782" s="56">
        <v>7.3745411944806036E-2</v>
      </c>
      <c r="I14782" s="224" t="s">
        <v>2</v>
      </c>
    </row>
    <row r="14783" spans="1:9" x14ac:dyDescent="0.25">
      <c r="A14783" s="515">
        <v>78407</v>
      </c>
      <c r="B14783" s="515" t="s">
        <v>415</v>
      </c>
      <c r="C14783" s="52">
        <v>91500.8480358464</v>
      </c>
      <c r="D14783" s="56">
        <v>1.9143908386689397E-2</v>
      </c>
      <c r="E14783" s="224" t="s">
        <v>2</v>
      </c>
      <c r="F14783" s="515" t="s">
        <v>15963</v>
      </c>
      <c r="G14783" s="52">
        <v>164274.64378954601</v>
      </c>
      <c r="H14783" s="56">
        <v>6.5701616564076817E-2</v>
      </c>
      <c r="I14783" s="224" t="s">
        <v>2</v>
      </c>
    </row>
    <row r="14784" spans="1:9" x14ac:dyDescent="0.25">
      <c r="A14784" s="515">
        <v>42217</v>
      </c>
      <c r="B14784" s="515" t="s">
        <v>651</v>
      </c>
      <c r="C14784" s="52">
        <v>205855.62433247099</v>
      </c>
      <c r="D14784" s="56">
        <v>0.1803752287624806</v>
      </c>
      <c r="E14784" s="224" t="s">
        <v>2</v>
      </c>
      <c r="F14784" s="515" t="s">
        <v>15964</v>
      </c>
      <c r="G14784" s="52">
        <v>61294.372823904698</v>
      </c>
      <c r="H14784" s="56">
        <v>0.43993652935666999</v>
      </c>
      <c r="I14784" s="224" t="s">
        <v>2</v>
      </c>
    </row>
    <row r="14785" spans="1:9" x14ac:dyDescent="0.25">
      <c r="A14785" s="515">
        <v>43310</v>
      </c>
      <c r="B14785" s="515" t="s">
        <v>973</v>
      </c>
      <c r="C14785" s="52">
        <v>226211.07334337101</v>
      </c>
      <c r="D14785" s="56">
        <v>6.2921382591831582E-2</v>
      </c>
      <c r="E14785" s="224" t="s">
        <v>2</v>
      </c>
      <c r="F14785" s="515" t="s">
        <v>15965</v>
      </c>
      <c r="G14785" s="52">
        <v>96771.526086956495</v>
      </c>
      <c r="H14785" s="56">
        <v>0</v>
      </c>
      <c r="I14785" s="224" t="s">
        <v>2</v>
      </c>
    </row>
    <row r="14786" spans="1:9" x14ac:dyDescent="0.25">
      <c r="A14786" s="515">
        <v>84312</v>
      </c>
      <c r="B14786" s="515" t="s">
        <v>628</v>
      </c>
      <c r="C14786" s="52">
        <v>371531.73690577899</v>
      </c>
      <c r="D14786" s="56">
        <v>2.047265614846944E-2</v>
      </c>
      <c r="E14786" s="224" t="s">
        <v>2</v>
      </c>
      <c r="F14786" s="515" t="s">
        <v>15966</v>
      </c>
      <c r="G14786" s="52">
        <v>372661.96964262298</v>
      </c>
      <c r="H14786" s="56">
        <v>0.11817765189988597</v>
      </c>
      <c r="I14786" s="224" t="s">
        <v>2</v>
      </c>
    </row>
    <row r="14787" spans="1:9" x14ac:dyDescent="0.25">
      <c r="A14787" s="515">
        <v>95685</v>
      </c>
      <c r="C14787" s="52">
        <v>468007.51339270902</v>
      </c>
      <c r="D14787" s="56">
        <v>-2.2934413174593531E-2</v>
      </c>
      <c r="E14787" s="224" t="s">
        <v>2</v>
      </c>
      <c r="F14787" s="515" t="s">
        <v>15967</v>
      </c>
      <c r="G14787" s="52">
        <v>350640.01374201098</v>
      </c>
      <c r="H14787" s="56">
        <v>2.7172577330773898E-2</v>
      </c>
      <c r="I14787" s="224" t="s">
        <v>2</v>
      </c>
    </row>
    <row r="14788" spans="1:9" x14ac:dyDescent="0.25">
      <c r="A14788" s="515">
        <v>7838</v>
      </c>
      <c r="B14788" s="515" t="s">
        <v>327</v>
      </c>
      <c r="C14788" s="52">
        <v>388840.06655148399</v>
      </c>
      <c r="D14788" s="56">
        <v>4.5390676221480505E-2</v>
      </c>
      <c r="E14788" s="224" t="s">
        <v>2</v>
      </c>
      <c r="F14788" s="515" t="s">
        <v>15968</v>
      </c>
      <c r="G14788" s="52">
        <v>334487.23484334</v>
      </c>
      <c r="H14788" s="56">
        <v>7.9749517997576735E-2</v>
      </c>
      <c r="I14788" s="224" t="s">
        <v>2</v>
      </c>
    </row>
    <row r="14789" spans="1:9" x14ac:dyDescent="0.25">
      <c r="A14789" s="515">
        <v>29940</v>
      </c>
      <c r="B14789" s="515" t="s">
        <v>734</v>
      </c>
      <c r="C14789" s="52">
        <v>331991.48849908297</v>
      </c>
      <c r="D14789" s="56">
        <v>5.6626600870811616E-2</v>
      </c>
      <c r="E14789" s="224" t="s">
        <v>2</v>
      </c>
      <c r="F14789" s="515" t="s">
        <v>15969</v>
      </c>
      <c r="G14789" s="52">
        <v>99647.0869565217</v>
      </c>
      <c r="H14789" s="56">
        <v>0</v>
      </c>
      <c r="I14789" s="224" t="s">
        <v>2</v>
      </c>
    </row>
    <row r="14790" spans="1:9" x14ac:dyDescent="0.25">
      <c r="A14790" s="515">
        <v>47459</v>
      </c>
      <c r="C14790" s="52">
        <v>213248.25612158599</v>
      </c>
      <c r="D14790" s="56">
        <v>7.2255364983078288E-2</v>
      </c>
      <c r="E14790" s="224" t="s">
        <v>2</v>
      </c>
      <c r="F14790" s="515" t="s">
        <v>15970</v>
      </c>
      <c r="G14790" s="52">
        <v>289499.34951884201</v>
      </c>
      <c r="H14790" s="56">
        <v>8.2765177648773197E-2</v>
      </c>
      <c r="I14790" s="224" t="s">
        <v>2</v>
      </c>
    </row>
    <row r="14791" spans="1:9" x14ac:dyDescent="0.25">
      <c r="A14791" s="515">
        <v>87042</v>
      </c>
      <c r="B14791" s="515" t="s">
        <v>406</v>
      </c>
      <c r="C14791" s="52">
        <v>307752.77851014899</v>
      </c>
      <c r="D14791" s="56">
        <v>6.5367327505461897E-2</v>
      </c>
      <c r="E14791" s="224" t="s">
        <v>2</v>
      </c>
      <c r="F14791" s="515" t="s">
        <v>15971</v>
      </c>
      <c r="G14791" s="52">
        <v>307747.48196089501</v>
      </c>
      <c r="H14791" s="56">
        <v>7.6521874154853772E-2</v>
      </c>
      <c r="I14791" s="224" t="s">
        <v>2</v>
      </c>
    </row>
    <row r="14792" spans="1:9" x14ac:dyDescent="0.25">
      <c r="A14792" s="515">
        <v>18336</v>
      </c>
      <c r="B14792" s="515" t="s">
        <v>324</v>
      </c>
      <c r="C14792" s="52">
        <v>261006.62745023801</v>
      </c>
      <c r="D14792" s="56">
        <v>6.9962182270655857E-2</v>
      </c>
      <c r="E14792" s="224" t="s">
        <v>2</v>
      </c>
      <c r="F14792" s="515" t="s">
        <v>15972</v>
      </c>
      <c r="G14792" s="52">
        <v>377733.08828911098</v>
      </c>
      <c r="H14792" s="56">
        <v>7.5481389922839148E-2</v>
      </c>
      <c r="I14792" s="224" t="s">
        <v>2</v>
      </c>
    </row>
    <row r="14793" spans="1:9" x14ac:dyDescent="0.25">
      <c r="A14793" s="515">
        <v>28640</v>
      </c>
      <c r="C14793" s="52">
        <v>302525.49604316399</v>
      </c>
      <c r="D14793" s="56">
        <v>8.477442281808821E-2</v>
      </c>
      <c r="E14793" s="224" t="s">
        <v>2</v>
      </c>
      <c r="F14793" s="515" t="s">
        <v>15973</v>
      </c>
      <c r="G14793" s="52">
        <v>297408.23380138603</v>
      </c>
      <c r="H14793" s="56">
        <v>4.1323312742605145E-2</v>
      </c>
      <c r="I14793" s="224" t="s">
        <v>2</v>
      </c>
    </row>
    <row r="14794" spans="1:9" x14ac:dyDescent="0.25">
      <c r="A14794" s="515">
        <v>45831</v>
      </c>
      <c r="C14794" s="52">
        <v>151960.91185882501</v>
      </c>
      <c r="D14794" s="56">
        <v>1.2773200644201357E-2</v>
      </c>
      <c r="E14794" s="224" t="s">
        <v>2</v>
      </c>
      <c r="F14794" s="515" t="s">
        <v>15974</v>
      </c>
      <c r="G14794" s="52">
        <v>158998.38808740699</v>
      </c>
      <c r="H14794" s="56">
        <v>0.1270661614330772</v>
      </c>
      <c r="I14794" s="224" t="s">
        <v>2</v>
      </c>
    </row>
    <row r="14795" spans="1:9" x14ac:dyDescent="0.25">
      <c r="A14795" s="515">
        <v>62501</v>
      </c>
      <c r="B14795" s="515" t="s">
        <v>540</v>
      </c>
      <c r="C14795" s="52">
        <v>140240.25608786001</v>
      </c>
      <c r="D14795" s="56">
        <v>2.5309873519770699E-2</v>
      </c>
      <c r="E14795" s="224" t="s">
        <v>2</v>
      </c>
      <c r="F14795" s="515" t="s">
        <v>15975</v>
      </c>
      <c r="G14795" s="52">
        <v>150831.06772441999</v>
      </c>
      <c r="H14795" s="56">
        <v>0.10658975862849226</v>
      </c>
      <c r="I14795" s="224" t="s">
        <v>2</v>
      </c>
    </row>
    <row r="14796" spans="1:9" x14ac:dyDescent="0.25">
      <c r="A14796" s="515">
        <v>97463</v>
      </c>
      <c r="B14796" s="515" t="s">
        <v>801</v>
      </c>
      <c r="C14796" s="52">
        <v>265981.355429282</v>
      </c>
      <c r="D14796" s="56">
        <v>6.1971319658642381E-2</v>
      </c>
      <c r="E14796" s="224" t="s">
        <v>2</v>
      </c>
      <c r="F14796" s="515" t="s">
        <v>15976</v>
      </c>
      <c r="G14796" s="52"/>
      <c r="H14796" s="56">
        <v>0</v>
      </c>
      <c r="I14796" s="224" t="s">
        <v>2</v>
      </c>
    </row>
    <row r="14797" spans="1:9" x14ac:dyDescent="0.25">
      <c r="A14797" s="515">
        <v>72631</v>
      </c>
      <c r="C14797" s="52">
        <v>268919.423833173</v>
      </c>
      <c r="D14797" s="56">
        <v>8.7676078477305838E-2</v>
      </c>
      <c r="E14797" s="224" t="s">
        <v>2</v>
      </c>
      <c r="F14797" s="515" t="s">
        <v>15977</v>
      </c>
      <c r="G14797" s="52">
        <v>129024.944953951</v>
      </c>
      <c r="H14797" s="56">
        <v>0.10727079194980571</v>
      </c>
      <c r="I14797" s="224" t="s">
        <v>2</v>
      </c>
    </row>
    <row r="14798" spans="1:9" x14ac:dyDescent="0.25">
      <c r="A14798" s="515">
        <v>97022</v>
      </c>
      <c r="B14798" s="515" t="s">
        <v>659</v>
      </c>
      <c r="C14798" s="52">
        <v>614462.25340902095</v>
      </c>
      <c r="D14798" s="56">
        <v>1.7765349941215054E-2</v>
      </c>
      <c r="E14798" s="224" t="s">
        <v>2</v>
      </c>
      <c r="F14798" s="515" t="s">
        <v>15978</v>
      </c>
      <c r="G14798" s="52">
        <v>122463.994669184</v>
      </c>
      <c r="H14798" s="56">
        <v>0</v>
      </c>
      <c r="I14798" s="224" t="s">
        <v>2</v>
      </c>
    </row>
    <row r="14799" spans="1:9" x14ac:dyDescent="0.25">
      <c r="A14799" s="515">
        <v>23603</v>
      </c>
      <c r="B14799" s="515" t="s">
        <v>301</v>
      </c>
      <c r="C14799" s="52">
        <v>241386.883803034</v>
      </c>
      <c r="D14799" s="56">
        <v>9.5527168637019849E-2</v>
      </c>
      <c r="E14799" s="224" t="s">
        <v>2</v>
      </c>
      <c r="F14799" s="515" t="s">
        <v>15979</v>
      </c>
      <c r="G14799" s="52">
        <v>275968.816024528</v>
      </c>
      <c r="H14799" s="56">
        <v>5.3838999383158136E-2</v>
      </c>
      <c r="I14799" s="224" t="s">
        <v>2</v>
      </c>
    </row>
    <row r="14800" spans="1:9" x14ac:dyDescent="0.25">
      <c r="A14800" s="515">
        <v>45167</v>
      </c>
      <c r="B14800" s="515" t="s">
        <v>344</v>
      </c>
      <c r="C14800" s="52">
        <v>149982.22319402499</v>
      </c>
      <c r="D14800" s="56">
        <v>9.9328249987519615E-2</v>
      </c>
      <c r="E14800" s="224" t="s">
        <v>2</v>
      </c>
      <c r="F14800" s="515" t="s">
        <v>15980</v>
      </c>
      <c r="G14800" s="52">
        <v>147422.79741850999</v>
      </c>
      <c r="H14800" s="56">
        <v>0.14620035921024088</v>
      </c>
      <c r="I14800" s="224" t="s">
        <v>2</v>
      </c>
    </row>
    <row r="14801" spans="1:9" x14ac:dyDescent="0.25">
      <c r="A14801" s="515">
        <v>15144</v>
      </c>
      <c r="B14801" s="515" t="s">
        <v>297</v>
      </c>
      <c r="C14801" s="52">
        <v>150025.466060526</v>
      </c>
      <c r="D14801" s="56">
        <v>5.918158820439199E-2</v>
      </c>
      <c r="E14801" s="224" t="s">
        <v>2</v>
      </c>
      <c r="F14801" s="515" t="s">
        <v>15981</v>
      </c>
      <c r="G14801" s="52">
        <v>207660.41590753899</v>
      </c>
      <c r="H14801" s="56">
        <v>8.5751147514554024E-2</v>
      </c>
      <c r="I14801" s="224" t="s">
        <v>2</v>
      </c>
    </row>
    <row r="14802" spans="1:9" x14ac:dyDescent="0.25">
      <c r="A14802" s="515">
        <v>43844</v>
      </c>
      <c r="B14802" s="515" t="s">
        <v>905</v>
      </c>
      <c r="C14802" s="52">
        <v>166431.987070089</v>
      </c>
      <c r="D14802" s="56">
        <v>7.92667741978451E-2</v>
      </c>
      <c r="E14802" s="224" t="s">
        <v>2</v>
      </c>
      <c r="F14802" s="515" t="s">
        <v>15982</v>
      </c>
      <c r="G14802" s="52">
        <v>161721.92966170001</v>
      </c>
      <c r="H14802" s="56">
        <v>0.16930446611522582</v>
      </c>
      <c r="I14802" s="224" t="s">
        <v>2</v>
      </c>
    </row>
    <row r="14803" spans="1:9" x14ac:dyDescent="0.25">
      <c r="A14803" s="515">
        <v>71110</v>
      </c>
      <c r="B14803" s="515" t="s">
        <v>739</v>
      </c>
      <c r="C14803" s="52">
        <v>231253.084220113</v>
      </c>
      <c r="D14803" s="56">
        <v>0.11575611287410233</v>
      </c>
      <c r="E14803" s="224" t="s">
        <v>2</v>
      </c>
      <c r="F14803" s="515" t="s">
        <v>15983</v>
      </c>
      <c r="G14803" s="52">
        <v>204438.45822170499</v>
      </c>
      <c r="H14803" s="56">
        <v>9.7908411890480204E-2</v>
      </c>
      <c r="I14803" s="224" t="s">
        <v>2</v>
      </c>
    </row>
    <row r="14804" spans="1:9" x14ac:dyDescent="0.25">
      <c r="A14804" s="515">
        <v>71435</v>
      </c>
      <c r="C14804" s="52">
        <v>116063.24727272701</v>
      </c>
      <c r="D14804" s="56">
        <v>0</v>
      </c>
      <c r="E14804" s="224" t="s">
        <v>2</v>
      </c>
      <c r="F14804" s="515" t="s">
        <v>15984</v>
      </c>
      <c r="G14804" s="52">
        <v>86622.466428347194</v>
      </c>
      <c r="H14804" s="56">
        <v>0.1762336103458744</v>
      </c>
      <c r="I14804" s="224" t="s">
        <v>2</v>
      </c>
    </row>
    <row r="14805" spans="1:9" x14ac:dyDescent="0.25">
      <c r="A14805" s="515">
        <v>60021</v>
      </c>
      <c r="B14805" s="515" t="s">
        <v>394</v>
      </c>
      <c r="C14805" s="52">
        <v>287577.56597604201</v>
      </c>
      <c r="D14805" s="56">
        <v>8.1738364428283847E-2</v>
      </c>
      <c r="E14805" s="224" t="s">
        <v>2</v>
      </c>
      <c r="F14805" s="515" t="s">
        <v>15985</v>
      </c>
      <c r="G14805" s="52">
        <v>380892.55207516399</v>
      </c>
      <c r="H14805" s="56">
        <v>7.0560840676868755E-2</v>
      </c>
      <c r="I14805" s="224" t="s">
        <v>2</v>
      </c>
    </row>
    <row r="14806" spans="1:9" x14ac:dyDescent="0.25">
      <c r="A14806" s="515">
        <v>37144</v>
      </c>
      <c r="C14806" s="52">
        <v>257558.15079213199</v>
      </c>
      <c r="D14806" s="56">
        <v>0.10527074202794516</v>
      </c>
      <c r="E14806" s="224" t="s">
        <v>2</v>
      </c>
      <c r="F14806" s="515" t="s">
        <v>15986</v>
      </c>
      <c r="G14806" s="52">
        <v>112324.24097816899</v>
      </c>
      <c r="H14806" s="56">
        <v>0</v>
      </c>
      <c r="I14806" s="224" t="s">
        <v>2</v>
      </c>
    </row>
    <row r="14807" spans="1:9" x14ac:dyDescent="0.25">
      <c r="A14807" s="515">
        <v>78164</v>
      </c>
      <c r="C14807" s="52">
        <v>160413.58677051499</v>
      </c>
      <c r="D14807" s="56">
        <v>-1.5338062591590778E-2</v>
      </c>
      <c r="E14807" s="224" t="s">
        <v>2</v>
      </c>
      <c r="F14807" s="515" t="s">
        <v>15987</v>
      </c>
      <c r="G14807" s="52">
        <v>166610.67131472801</v>
      </c>
      <c r="H14807" s="56">
        <v>6.0520959888043173E-2</v>
      </c>
      <c r="I14807" s="224" t="s">
        <v>2</v>
      </c>
    </row>
    <row r="14808" spans="1:9" x14ac:dyDescent="0.25">
      <c r="A14808" s="515">
        <v>64747</v>
      </c>
      <c r="B14808" s="515" t="s">
        <v>455</v>
      </c>
      <c r="C14808" s="52">
        <v>239010.65141147099</v>
      </c>
      <c r="D14808" s="56">
        <v>0.14742999523452169</v>
      </c>
      <c r="E14808" s="224" t="s">
        <v>2</v>
      </c>
      <c r="F14808" s="515" t="s">
        <v>15988</v>
      </c>
      <c r="G14808" s="52">
        <v>332692.578609491</v>
      </c>
      <c r="H14808" s="56">
        <v>8.5796013556356437E-2</v>
      </c>
      <c r="I14808" s="224" t="s">
        <v>2</v>
      </c>
    </row>
    <row r="14809" spans="1:9" x14ac:dyDescent="0.25">
      <c r="A14809" s="515">
        <v>28594</v>
      </c>
      <c r="B14809" s="515" t="s">
        <v>641</v>
      </c>
      <c r="C14809" s="52">
        <v>647891.25342768803</v>
      </c>
      <c r="D14809" s="56">
        <v>7.4282763909455679E-2</v>
      </c>
      <c r="E14809" s="224" t="s">
        <v>2</v>
      </c>
      <c r="F14809" s="515" t="s">
        <v>15989</v>
      </c>
      <c r="G14809" s="52">
        <v>129698.38483307</v>
      </c>
      <c r="H14809" s="56">
        <v>-5.9588868346357557E-2</v>
      </c>
      <c r="I14809" s="224" t="s">
        <v>2</v>
      </c>
    </row>
    <row r="14810" spans="1:9" x14ac:dyDescent="0.25">
      <c r="A14810" s="515">
        <v>34737</v>
      </c>
      <c r="B14810" s="515" t="s">
        <v>517</v>
      </c>
      <c r="C14810" s="52">
        <v>405902.74531272898</v>
      </c>
      <c r="D14810" s="56">
        <v>0.10515569036064462</v>
      </c>
      <c r="E14810" s="224" t="s">
        <v>2</v>
      </c>
      <c r="F14810" s="515" t="s">
        <v>15990</v>
      </c>
      <c r="G14810" s="52">
        <v>219407.12316254</v>
      </c>
      <c r="H14810" s="56">
        <v>9.495057861898111E-2</v>
      </c>
      <c r="I14810" s="224" t="s">
        <v>2</v>
      </c>
    </row>
    <row r="14811" spans="1:9" x14ac:dyDescent="0.25">
      <c r="A14811" s="515">
        <v>28349</v>
      </c>
      <c r="C14811" s="52">
        <v>163322.46945062699</v>
      </c>
      <c r="D14811" s="56">
        <v>0.22241569069024786</v>
      </c>
      <c r="E14811" s="224" t="s">
        <v>2</v>
      </c>
      <c r="F14811" s="515" t="s">
        <v>15991</v>
      </c>
      <c r="G14811" s="52">
        <v>81760.688112687596</v>
      </c>
      <c r="H14811" s="56">
        <v>-6.03324122448275E-2</v>
      </c>
      <c r="I14811" s="224" t="s">
        <v>2</v>
      </c>
    </row>
    <row r="14812" spans="1:9" x14ac:dyDescent="0.25">
      <c r="A14812" s="515">
        <v>1929</v>
      </c>
      <c r="B14812" s="515" t="s">
        <v>534</v>
      </c>
      <c r="C14812" s="52">
        <v>743774.85156576196</v>
      </c>
      <c r="D14812" s="56">
        <v>7.8166709555652844E-2</v>
      </c>
      <c r="E14812" s="224" t="s">
        <v>2</v>
      </c>
      <c r="F14812" s="515" t="s">
        <v>15992</v>
      </c>
      <c r="G14812" s="52">
        <v>134388.63705263799</v>
      </c>
      <c r="H14812" s="56">
        <v>6.5265167510132283E-2</v>
      </c>
      <c r="I14812" s="224" t="s">
        <v>2</v>
      </c>
    </row>
    <row r="14813" spans="1:9" x14ac:dyDescent="0.25">
      <c r="A14813" s="515">
        <v>19035</v>
      </c>
      <c r="B14813" s="515" t="s">
        <v>294</v>
      </c>
      <c r="C14813" s="52">
        <v>1263624.3453313201</v>
      </c>
      <c r="D14813" s="56">
        <v>9.4463870298553007E-2</v>
      </c>
      <c r="E14813" s="224" t="s">
        <v>2</v>
      </c>
      <c r="F14813" s="515" t="s">
        <v>15993</v>
      </c>
      <c r="G14813" s="52">
        <v>220298.52256655099</v>
      </c>
      <c r="H14813" s="56">
        <v>9.6778272567068918E-2</v>
      </c>
      <c r="I14813" s="224" t="s">
        <v>2</v>
      </c>
    </row>
    <row r="14814" spans="1:9" x14ac:dyDescent="0.25">
      <c r="A14814" s="515">
        <v>96754</v>
      </c>
      <c r="B14814" s="515" t="s">
        <v>452</v>
      </c>
      <c r="C14814" s="52">
        <v>1639300.1220859201</v>
      </c>
      <c r="D14814" s="56">
        <v>7.3352658178037697E-2</v>
      </c>
      <c r="E14814" s="224" t="s">
        <v>2</v>
      </c>
      <c r="F14814" s="515" t="s">
        <v>15994</v>
      </c>
      <c r="G14814" s="52">
        <v>240119.92076440901</v>
      </c>
      <c r="H14814" s="56">
        <v>5.3365260163517551E-2</v>
      </c>
      <c r="I14814" s="224" t="s">
        <v>2</v>
      </c>
    </row>
    <row r="14815" spans="1:9" x14ac:dyDescent="0.25">
      <c r="A14815" s="515">
        <v>30205</v>
      </c>
      <c r="B14815" s="515" t="s">
        <v>957</v>
      </c>
      <c r="C14815" s="52">
        <v>477491.10386154999</v>
      </c>
      <c r="D14815" s="56">
        <v>5.5914947857460706E-2</v>
      </c>
      <c r="E14815" s="224" t="s">
        <v>2</v>
      </c>
      <c r="F14815" s="515" t="s">
        <v>15995</v>
      </c>
      <c r="G14815" s="52">
        <v>149867.16600495501</v>
      </c>
      <c r="H14815" s="56">
        <v>7.8904530714524093E-2</v>
      </c>
      <c r="I14815" s="224" t="s">
        <v>2</v>
      </c>
    </row>
    <row r="14816" spans="1:9" x14ac:dyDescent="0.25">
      <c r="A14816" s="515">
        <v>37853</v>
      </c>
      <c r="B14816" s="515" t="s">
        <v>907</v>
      </c>
      <c r="C14816" s="52">
        <v>271676.839297709</v>
      </c>
      <c r="D14816" s="56">
        <v>9.3630294081688395E-2</v>
      </c>
      <c r="E14816" s="224" t="s">
        <v>2</v>
      </c>
      <c r="F14816" s="515" t="s">
        <v>15996</v>
      </c>
      <c r="G14816" s="52">
        <v>189125.61086703799</v>
      </c>
      <c r="H14816" s="56">
        <v>6.196650401469906E-2</v>
      </c>
      <c r="I14816" s="224" t="s">
        <v>2</v>
      </c>
    </row>
    <row r="14817" spans="1:9" x14ac:dyDescent="0.25">
      <c r="A14817" s="515">
        <v>58545</v>
      </c>
      <c r="C14817" s="52">
        <v>189852.07714034599</v>
      </c>
      <c r="D14817" s="56">
        <v>9.5951899639562313E-2</v>
      </c>
      <c r="E14817" s="224" t="s">
        <v>2</v>
      </c>
      <c r="F14817" s="515" t="s">
        <v>15997</v>
      </c>
      <c r="G14817" s="52">
        <v>95980.705622732494</v>
      </c>
      <c r="H14817" s="56">
        <v>3.396787368875883E-2</v>
      </c>
      <c r="I14817" s="224" t="s">
        <v>2</v>
      </c>
    </row>
    <row r="14818" spans="1:9" x14ac:dyDescent="0.25">
      <c r="A14818" s="515">
        <v>38551</v>
      </c>
      <c r="C14818" s="52">
        <v>158203.55790182899</v>
      </c>
      <c r="D14818" s="56">
        <v>7.9950432409147301E-2</v>
      </c>
      <c r="E14818" s="224" t="s">
        <v>2</v>
      </c>
      <c r="F14818" s="515" t="s">
        <v>15998</v>
      </c>
      <c r="G14818" s="52">
        <v>105241.947152537</v>
      </c>
      <c r="H14818" s="56">
        <v>0.16271717044212897</v>
      </c>
      <c r="I14818" s="224" t="s">
        <v>2</v>
      </c>
    </row>
    <row r="14819" spans="1:9" x14ac:dyDescent="0.25">
      <c r="A14819" s="515">
        <v>49012</v>
      </c>
      <c r="B14819" s="515" t="s">
        <v>1037</v>
      </c>
      <c r="C14819" s="52">
        <v>254309.28333594199</v>
      </c>
      <c r="D14819" s="56">
        <v>5.5414578557841571E-2</v>
      </c>
      <c r="E14819" s="224" t="s">
        <v>2</v>
      </c>
      <c r="F14819" s="515" t="s">
        <v>15999</v>
      </c>
      <c r="G14819" s="52">
        <v>123541.42224787</v>
      </c>
      <c r="H14819" s="56">
        <v>7.8592659698876521E-2</v>
      </c>
      <c r="I14819" s="224" t="s">
        <v>2</v>
      </c>
    </row>
    <row r="14820" spans="1:9" x14ac:dyDescent="0.25">
      <c r="A14820" s="515">
        <v>65686</v>
      </c>
      <c r="C14820" s="52">
        <v>304465.96914382698</v>
      </c>
      <c r="D14820" s="56">
        <v>9.8373645038789759E-2</v>
      </c>
      <c r="E14820" s="224" t="s">
        <v>2</v>
      </c>
      <c r="F14820" s="515" t="s">
        <v>16000</v>
      </c>
      <c r="G14820" s="52">
        <v>156217.69731139101</v>
      </c>
      <c r="H14820" s="56">
        <v>0.15093828385609212</v>
      </c>
      <c r="I14820" s="224" t="s">
        <v>2</v>
      </c>
    </row>
    <row r="14821" spans="1:9" x14ac:dyDescent="0.25">
      <c r="A14821" s="515">
        <v>39653</v>
      </c>
      <c r="C14821" s="52">
        <v>145202.33255264099</v>
      </c>
      <c r="D14821" s="56">
        <v>-5.8157325166704826E-2</v>
      </c>
      <c r="E14821" s="224" t="s">
        <v>2</v>
      </c>
      <c r="F14821" s="515" t="s">
        <v>16001</v>
      </c>
      <c r="G14821" s="52">
        <v>145935.46096645101</v>
      </c>
      <c r="H14821" s="56">
        <v>1.0449633189445265E-2</v>
      </c>
      <c r="I14821" s="224" t="s">
        <v>2</v>
      </c>
    </row>
    <row r="14822" spans="1:9" x14ac:dyDescent="0.25">
      <c r="A14822" s="515">
        <v>29168</v>
      </c>
      <c r="B14822" s="515" t="s">
        <v>1065</v>
      </c>
      <c r="C14822" s="52">
        <v>91150.027027026998</v>
      </c>
      <c r="D14822" s="56">
        <v>0</v>
      </c>
      <c r="E14822" s="224" t="s">
        <v>2</v>
      </c>
      <c r="F14822" s="515" t="s">
        <v>16002</v>
      </c>
      <c r="G14822" s="52">
        <v>157175.00549450499</v>
      </c>
      <c r="H14822" s="56">
        <v>0</v>
      </c>
      <c r="I14822" s="224" t="s">
        <v>2</v>
      </c>
    </row>
    <row r="14823" spans="1:9" x14ac:dyDescent="0.25">
      <c r="A14823" s="515">
        <v>5489</v>
      </c>
      <c r="B14823" s="515" t="s">
        <v>441</v>
      </c>
      <c r="C14823" s="52">
        <v>444587.13988420198</v>
      </c>
      <c r="D14823" s="56">
        <v>0.10098436922964266</v>
      </c>
      <c r="E14823" s="224" t="s">
        <v>2</v>
      </c>
      <c r="F14823" s="515" t="s">
        <v>16003</v>
      </c>
      <c r="G14823" s="52">
        <v>115710.93876809601</v>
      </c>
      <c r="H14823" s="56">
        <v>1.2624370706963971E-2</v>
      </c>
      <c r="I14823" s="224" t="s">
        <v>2</v>
      </c>
    </row>
    <row r="14824" spans="1:9" x14ac:dyDescent="0.25">
      <c r="A14824" s="515">
        <v>1370</v>
      </c>
      <c r="B14824" s="515" t="s">
        <v>575</v>
      </c>
      <c r="C14824" s="52">
        <v>341917.27984881302</v>
      </c>
      <c r="D14824" s="56">
        <v>8.5383874959589601E-2</v>
      </c>
      <c r="E14824" s="224" t="s">
        <v>2</v>
      </c>
      <c r="F14824" s="515" t="s">
        <v>16004</v>
      </c>
      <c r="G14824" s="52">
        <v>214322.921286269</v>
      </c>
      <c r="H14824" s="56">
        <v>0.11516062246177566</v>
      </c>
      <c r="I14824" s="224" t="s">
        <v>2</v>
      </c>
    </row>
    <row r="14825" spans="1:9" x14ac:dyDescent="0.25">
      <c r="A14825" s="515">
        <v>13439</v>
      </c>
      <c r="B14825" s="515" t="s">
        <v>543</v>
      </c>
      <c r="C14825" s="52">
        <v>189534.27782571901</v>
      </c>
      <c r="D14825" s="56">
        <v>0.11530877519343175</v>
      </c>
      <c r="E14825" s="224" t="s">
        <v>2</v>
      </c>
      <c r="F14825" s="515" t="s">
        <v>16005</v>
      </c>
      <c r="G14825" s="52">
        <v>435322.34821224498</v>
      </c>
      <c r="H14825" s="56">
        <v>0.12843830934422043</v>
      </c>
      <c r="I14825" s="224" t="s">
        <v>2</v>
      </c>
    </row>
    <row r="14826" spans="1:9" x14ac:dyDescent="0.25">
      <c r="A14826" s="515">
        <v>68069</v>
      </c>
      <c r="B14826" s="515" t="s">
        <v>367</v>
      </c>
      <c r="C14826" s="52">
        <v>406636.19375171303</v>
      </c>
      <c r="D14826" s="56">
        <v>0.11437645220597005</v>
      </c>
      <c r="E14826" s="224" t="s">
        <v>2</v>
      </c>
      <c r="F14826" s="515" t="s">
        <v>16006</v>
      </c>
      <c r="G14826" s="52">
        <v>64605.563804491198</v>
      </c>
      <c r="H14826" s="56">
        <v>-1.5572164535275775E-4</v>
      </c>
      <c r="I14826" s="224" t="s">
        <v>2</v>
      </c>
    </row>
    <row r="14827" spans="1:9" x14ac:dyDescent="0.25">
      <c r="A14827" s="515">
        <v>40146</v>
      </c>
      <c r="C14827" s="52">
        <v>136688.46006467901</v>
      </c>
      <c r="D14827" s="56">
        <v>0.15676644262618417</v>
      </c>
      <c r="E14827" s="224" t="s">
        <v>2</v>
      </c>
      <c r="F14827" s="515" t="s">
        <v>16007</v>
      </c>
      <c r="G14827" s="52">
        <v>278987.65988966601</v>
      </c>
      <c r="H14827" s="56">
        <v>6.9180226158632993E-2</v>
      </c>
      <c r="I14827" s="224" t="s">
        <v>2</v>
      </c>
    </row>
    <row r="14828" spans="1:9" x14ac:dyDescent="0.25">
      <c r="A14828" s="515">
        <v>65705</v>
      </c>
      <c r="C14828" s="52">
        <v>166269.44229431701</v>
      </c>
      <c r="D14828" s="56">
        <v>0.14968339397861291</v>
      </c>
      <c r="E14828" s="224" t="s">
        <v>2</v>
      </c>
      <c r="F14828" s="515" t="s">
        <v>16008</v>
      </c>
      <c r="G14828" s="52">
        <v>123961.254439539</v>
      </c>
      <c r="H14828" s="56">
        <v>0.10654051261151819</v>
      </c>
      <c r="I14828" s="224" t="s">
        <v>2</v>
      </c>
    </row>
    <row r="14829" spans="1:9" x14ac:dyDescent="0.25">
      <c r="A14829" s="515">
        <v>11954</v>
      </c>
      <c r="B14829" s="515" t="s">
        <v>324</v>
      </c>
      <c r="C14829" s="52">
        <v>1653414.35262516</v>
      </c>
      <c r="D14829" s="56">
        <v>0.20178936078755927</v>
      </c>
      <c r="E14829" s="224">
        <v>30072.222222222201</v>
      </c>
      <c r="F14829" s="515" t="s">
        <v>16009</v>
      </c>
      <c r="G14829" s="52">
        <v>220747.24092394501</v>
      </c>
      <c r="H14829" s="56">
        <v>6.873123392436449E-2</v>
      </c>
      <c r="I14829" s="224" t="s">
        <v>2</v>
      </c>
    </row>
    <row r="14830" spans="1:9" x14ac:dyDescent="0.25">
      <c r="A14830" s="515">
        <v>14543</v>
      </c>
      <c r="B14830" s="515" t="s">
        <v>337</v>
      </c>
      <c r="C14830" s="52">
        <v>280949.843414423</v>
      </c>
      <c r="D14830" s="56">
        <v>5.8737569942063972E-2</v>
      </c>
      <c r="E14830" s="224" t="s">
        <v>2</v>
      </c>
      <c r="F14830" s="515" t="s">
        <v>16010</v>
      </c>
      <c r="G14830" s="52">
        <v>70070.952419348803</v>
      </c>
      <c r="H14830" s="56">
        <v>0.27724224653181195</v>
      </c>
      <c r="I14830" s="224" t="s">
        <v>2</v>
      </c>
    </row>
    <row r="14831" spans="1:9" x14ac:dyDescent="0.25">
      <c r="A14831" s="515">
        <v>36091</v>
      </c>
      <c r="B14831" s="515" t="s">
        <v>640</v>
      </c>
      <c r="C14831" s="52">
        <v>209310.50261559099</v>
      </c>
      <c r="D14831" s="56">
        <v>8.3119845289306535E-2</v>
      </c>
      <c r="E14831" s="224" t="s">
        <v>2</v>
      </c>
      <c r="F14831" s="515" t="s">
        <v>16011</v>
      </c>
      <c r="G14831" s="52">
        <v>159933.306850319</v>
      </c>
      <c r="H14831" s="56">
        <v>9.8676456265675339E-2</v>
      </c>
      <c r="I14831" s="224" t="s">
        <v>2</v>
      </c>
    </row>
    <row r="14832" spans="1:9" x14ac:dyDescent="0.25">
      <c r="A14832" s="515">
        <v>70630</v>
      </c>
      <c r="B14832" s="515" t="s">
        <v>696</v>
      </c>
      <c r="C14832" s="52">
        <v>146713.39709040101</v>
      </c>
      <c r="D14832" s="56">
        <v>-1.2144937297671981E-2</v>
      </c>
      <c r="E14832" s="224" t="s">
        <v>2</v>
      </c>
      <c r="F14832" s="515" t="s">
        <v>16012</v>
      </c>
      <c r="G14832" s="52">
        <v>117252.828300268</v>
      </c>
      <c r="H14832" s="56">
        <v>2.7633477687008409E-2</v>
      </c>
      <c r="I14832" s="224" t="s">
        <v>2</v>
      </c>
    </row>
    <row r="14833" spans="1:9" x14ac:dyDescent="0.25">
      <c r="A14833" s="515">
        <v>73006</v>
      </c>
      <c r="C14833" s="52">
        <v>87084.249281189099</v>
      </c>
      <c r="D14833" s="56">
        <v>-4.8114567859012717E-4</v>
      </c>
      <c r="E14833" s="224" t="s">
        <v>2</v>
      </c>
      <c r="F14833" s="515" t="s">
        <v>16013</v>
      </c>
      <c r="G14833" s="52">
        <v>223885.479778223</v>
      </c>
      <c r="H14833" s="56">
        <v>-0.17801609132195773</v>
      </c>
      <c r="I14833" s="224" t="s">
        <v>2</v>
      </c>
    </row>
    <row r="14834" spans="1:9" x14ac:dyDescent="0.25">
      <c r="A14834" s="515">
        <v>70730</v>
      </c>
      <c r="B14834" s="515" t="s">
        <v>610</v>
      </c>
      <c r="C14834" s="52">
        <v>188660.39860426099</v>
      </c>
      <c r="D14834" s="56">
        <v>-1.1043227692373342E-2</v>
      </c>
      <c r="E14834" s="224" t="s">
        <v>2</v>
      </c>
      <c r="F14834" s="515" t="s">
        <v>16014</v>
      </c>
      <c r="G14834" s="52">
        <v>277263.64038948301</v>
      </c>
      <c r="H14834" s="56">
        <v>6.6316630174868177E-2</v>
      </c>
      <c r="I14834" s="224" t="s">
        <v>2</v>
      </c>
    </row>
    <row r="14835" spans="1:9" x14ac:dyDescent="0.25">
      <c r="A14835" s="515">
        <v>47838</v>
      </c>
      <c r="B14835" s="515" t="s">
        <v>318</v>
      </c>
      <c r="C14835" s="52">
        <v>120979.348056672</v>
      </c>
      <c r="D14835" s="56">
        <v>8.4348973945252384E-2</v>
      </c>
      <c r="E14835" s="224" t="s">
        <v>2</v>
      </c>
      <c r="F14835" s="515" t="s">
        <v>16015</v>
      </c>
      <c r="G14835" s="52">
        <v>240689.9561404</v>
      </c>
      <c r="H14835" s="56">
        <v>7.129088767715655E-2</v>
      </c>
      <c r="I14835" s="224" t="s">
        <v>2</v>
      </c>
    </row>
    <row r="14836" spans="1:9" x14ac:dyDescent="0.25">
      <c r="A14836" s="515">
        <v>62321</v>
      </c>
      <c r="B14836" s="515" t="s">
        <v>496</v>
      </c>
      <c r="C14836" s="52">
        <v>97217.532934758594</v>
      </c>
      <c r="D14836" s="56">
        <v>2.1541581849691158E-2</v>
      </c>
      <c r="E14836" s="224" t="s">
        <v>2</v>
      </c>
      <c r="F14836" s="515" t="s">
        <v>16016</v>
      </c>
      <c r="G14836" s="52">
        <v>570169.15896065102</v>
      </c>
      <c r="H14836" s="56">
        <v>2.2872282111465803E-2</v>
      </c>
      <c r="I14836" s="224" t="s">
        <v>2</v>
      </c>
    </row>
    <row r="14837" spans="1:9" x14ac:dyDescent="0.25">
      <c r="A14837" s="515">
        <v>17535</v>
      </c>
      <c r="B14837" s="515" t="s">
        <v>537</v>
      </c>
      <c r="C14837" s="52">
        <v>416703.33723357902</v>
      </c>
      <c r="D14837" s="56">
        <v>8.632381456398508E-2</v>
      </c>
      <c r="E14837" s="224" t="s">
        <v>2</v>
      </c>
      <c r="F14837" s="515" t="s">
        <v>16017</v>
      </c>
      <c r="G14837" s="52">
        <v>204294.392739715</v>
      </c>
      <c r="H14837" s="56">
        <v>8.5573221032948676E-2</v>
      </c>
      <c r="I14837" s="224" t="s">
        <v>2</v>
      </c>
    </row>
    <row r="14838" spans="1:9" x14ac:dyDescent="0.25">
      <c r="A14838" s="515">
        <v>43718</v>
      </c>
      <c r="B14838" s="515" t="s">
        <v>442</v>
      </c>
      <c r="C14838" s="52">
        <v>179061.981345879</v>
      </c>
      <c r="D14838" s="56">
        <v>4.4289022191221092E-2</v>
      </c>
      <c r="E14838" s="224" t="s">
        <v>2</v>
      </c>
      <c r="F14838" s="515" t="s">
        <v>16018</v>
      </c>
      <c r="G14838" s="52">
        <v>173900.145047581</v>
      </c>
      <c r="H14838" s="56">
        <v>6.5090522312859556E-2</v>
      </c>
      <c r="I14838" s="224" t="s">
        <v>2</v>
      </c>
    </row>
    <row r="14839" spans="1:9" x14ac:dyDescent="0.25">
      <c r="A14839" s="515">
        <v>34228</v>
      </c>
      <c r="B14839" s="515" t="s">
        <v>466</v>
      </c>
      <c r="C14839" s="52">
        <v>1101563.4021815001</v>
      </c>
      <c r="D14839" s="56">
        <v>0.21535724134923742</v>
      </c>
      <c r="E14839" s="224" t="s">
        <v>2</v>
      </c>
      <c r="F14839" s="515" t="s">
        <v>16019</v>
      </c>
      <c r="G14839" s="52">
        <v>122460.311934426</v>
      </c>
      <c r="H14839" s="56">
        <v>-2.2594475053473247E-3</v>
      </c>
      <c r="I14839" s="224" t="s">
        <v>2</v>
      </c>
    </row>
    <row r="14840" spans="1:9" x14ac:dyDescent="0.25">
      <c r="A14840" s="515">
        <v>8242</v>
      </c>
      <c r="B14840" s="515" t="s">
        <v>653</v>
      </c>
      <c r="C14840" s="52">
        <v>326198.13522127399</v>
      </c>
      <c r="D14840" s="56">
        <v>4.9697451200150136E-2</v>
      </c>
      <c r="E14840" s="224" t="s">
        <v>2</v>
      </c>
      <c r="F14840" s="515" t="s">
        <v>16020</v>
      </c>
      <c r="G14840" s="52">
        <v>101662.04694236199</v>
      </c>
      <c r="H14840" s="56">
        <v>5.256843321953128E-2</v>
      </c>
      <c r="I14840" s="224" t="s">
        <v>2</v>
      </c>
    </row>
    <row r="14841" spans="1:9" x14ac:dyDescent="0.25">
      <c r="A14841" s="515">
        <v>97368</v>
      </c>
      <c r="B14841" s="515" t="s">
        <v>618</v>
      </c>
      <c r="C14841" s="52">
        <v>452724.75256077398</v>
      </c>
      <c r="D14841" s="56">
        <v>8.5065503683394189E-2</v>
      </c>
      <c r="E14841" s="224" t="s">
        <v>2</v>
      </c>
      <c r="F14841" s="515" t="s">
        <v>16021</v>
      </c>
      <c r="G14841" s="52">
        <v>213550.60889359799</v>
      </c>
      <c r="H14841" s="56">
        <v>8.4393872524202773E-2</v>
      </c>
      <c r="I14841" s="224" t="s">
        <v>2</v>
      </c>
    </row>
    <row r="14842" spans="1:9" x14ac:dyDescent="0.25">
      <c r="A14842" s="515">
        <v>4474</v>
      </c>
      <c r="B14842" s="515" t="s">
        <v>792</v>
      </c>
      <c r="C14842" s="52">
        <v>280868.77105221403</v>
      </c>
      <c r="D14842" s="56">
        <v>6.2565663250405093E-2</v>
      </c>
      <c r="E14842" s="224" t="s">
        <v>2</v>
      </c>
      <c r="F14842" s="515" t="s">
        <v>16022</v>
      </c>
      <c r="G14842" s="52">
        <v>377441.58144778898</v>
      </c>
      <c r="H14842" s="56">
        <v>7.5564357693640394E-2</v>
      </c>
      <c r="I14842" s="224" t="s">
        <v>2</v>
      </c>
    </row>
    <row r="14843" spans="1:9" x14ac:dyDescent="0.25">
      <c r="A14843" s="515">
        <v>93235</v>
      </c>
      <c r="B14843" s="515" t="s">
        <v>358</v>
      </c>
      <c r="C14843" s="52">
        <v>213953.37583198401</v>
      </c>
      <c r="D14843" s="56">
        <v>7.4393388411470612E-2</v>
      </c>
      <c r="E14843" s="224" t="s">
        <v>2</v>
      </c>
      <c r="F14843" s="515" t="s">
        <v>16023</v>
      </c>
      <c r="G14843" s="52">
        <v>198735.90081534101</v>
      </c>
      <c r="H14843" s="56">
        <v>0.16143649879374034</v>
      </c>
      <c r="I14843" s="224" t="s">
        <v>2</v>
      </c>
    </row>
    <row r="14844" spans="1:9" x14ac:dyDescent="0.25">
      <c r="A14844" s="515">
        <v>95542</v>
      </c>
      <c r="B14844" s="515" t="s">
        <v>352</v>
      </c>
      <c r="C14844" s="52">
        <v>418509.582851402</v>
      </c>
      <c r="D14844" s="56">
        <v>-8.7234171474401725E-2</v>
      </c>
      <c r="E14844" s="224" t="s">
        <v>2</v>
      </c>
      <c r="F14844" s="515" t="s">
        <v>16024</v>
      </c>
      <c r="G14844" s="52">
        <v>88837.294515645204</v>
      </c>
      <c r="H14844" s="56">
        <v>3.6516028435128273E-2</v>
      </c>
      <c r="I14844" s="224" t="s">
        <v>2</v>
      </c>
    </row>
    <row r="14845" spans="1:9" x14ac:dyDescent="0.25">
      <c r="A14845" s="515">
        <v>53013</v>
      </c>
      <c r="B14845" s="515" t="s">
        <v>1063</v>
      </c>
      <c r="C14845" s="52">
        <v>280124.26369917102</v>
      </c>
      <c r="D14845" s="56">
        <v>4.208939646823099E-2</v>
      </c>
      <c r="E14845" s="224" t="s">
        <v>2</v>
      </c>
      <c r="F14845" s="515" t="s">
        <v>16025</v>
      </c>
      <c r="G14845" s="52">
        <v>132569.211039666</v>
      </c>
      <c r="H14845" s="56">
        <v>6.810746862389902E-2</v>
      </c>
      <c r="I14845" s="224" t="s">
        <v>2</v>
      </c>
    </row>
    <row r="14846" spans="1:9" x14ac:dyDescent="0.25">
      <c r="A14846" s="515">
        <v>92382</v>
      </c>
      <c r="B14846" s="515" t="s">
        <v>599</v>
      </c>
      <c r="C14846" s="52">
        <v>366171.512058275</v>
      </c>
      <c r="D14846" s="56">
        <v>7.8011363511558712E-2</v>
      </c>
      <c r="E14846" s="224" t="s">
        <v>2</v>
      </c>
      <c r="F14846" s="515" t="s">
        <v>16026</v>
      </c>
      <c r="G14846" s="52">
        <v>66729.609263898907</v>
      </c>
      <c r="H14846" s="56">
        <v>0.14011581494524392</v>
      </c>
      <c r="I14846" s="224" t="s">
        <v>2</v>
      </c>
    </row>
    <row r="14847" spans="1:9" x14ac:dyDescent="0.25">
      <c r="A14847" s="515">
        <v>62920</v>
      </c>
      <c r="C14847" s="52">
        <v>123450.408504536</v>
      </c>
      <c r="D14847" s="56">
        <v>0.12408621169326407</v>
      </c>
      <c r="E14847" s="224" t="s">
        <v>2</v>
      </c>
      <c r="F14847" s="515" t="s">
        <v>16027</v>
      </c>
      <c r="G14847" s="52">
        <v>779464.37683229905</v>
      </c>
      <c r="H14847" s="56">
        <v>5.104396496948909E-2</v>
      </c>
      <c r="I14847" s="224" t="s">
        <v>2</v>
      </c>
    </row>
    <row r="14848" spans="1:9" x14ac:dyDescent="0.25">
      <c r="A14848" s="515">
        <v>16743</v>
      </c>
      <c r="B14848" s="515" t="s">
        <v>604</v>
      </c>
      <c r="C14848" s="52">
        <v>89048.144697116804</v>
      </c>
      <c r="D14848" s="56">
        <v>4.0454501156055478E-2</v>
      </c>
      <c r="E14848" s="224" t="s">
        <v>2</v>
      </c>
      <c r="F14848" s="515" t="s">
        <v>16028</v>
      </c>
      <c r="G14848" s="52">
        <v>183143.23390651299</v>
      </c>
      <c r="H14848" s="56">
        <v>8.8141468901353215E-2</v>
      </c>
      <c r="I14848" s="224" t="s">
        <v>2</v>
      </c>
    </row>
    <row r="14849" spans="1:9" x14ac:dyDescent="0.25">
      <c r="A14849" s="515">
        <v>63019</v>
      </c>
      <c r="B14849" s="515" t="s">
        <v>498</v>
      </c>
      <c r="C14849" s="52">
        <v>175069.895419437</v>
      </c>
      <c r="D14849" s="56">
        <v>5.4249900631417873E-2</v>
      </c>
      <c r="E14849" s="224" t="s">
        <v>2</v>
      </c>
      <c r="F14849" s="515" t="s">
        <v>16029</v>
      </c>
      <c r="G14849" s="52">
        <v>115777.088064971</v>
      </c>
      <c r="H14849" s="56">
        <v>2.1512890612075029E-2</v>
      </c>
      <c r="I14849" s="224" t="s">
        <v>2</v>
      </c>
    </row>
    <row r="14850" spans="1:9" x14ac:dyDescent="0.25">
      <c r="A14850" s="515">
        <v>73093</v>
      </c>
      <c r="B14850" s="515" t="s">
        <v>385</v>
      </c>
      <c r="C14850" s="52">
        <v>296486.56441250897</v>
      </c>
      <c r="D14850" s="56">
        <v>7.2031033972231304E-2</v>
      </c>
      <c r="E14850" s="224" t="s">
        <v>2</v>
      </c>
      <c r="F14850" s="515" t="s">
        <v>16030</v>
      </c>
      <c r="G14850" s="52">
        <v>288866.766161306</v>
      </c>
      <c r="H14850" s="56">
        <v>7.135595792572097E-2</v>
      </c>
      <c r="I14850" s="224" t="s">
        <v>2</v>
      </c>
    </row>
    <row r="14851" spans="1:9" x14ac:dyDescent="0.25">
      <c r="A14851" s="515">
        <v>83611</v>
      </c>
      <c r="C14851" s="52">
        <v>429984.83433086501</v>
      </c>
      <c r="D14851" s="56">
        <v>8.7454079207769903E-2</v>
      </c>
      <c r="E14851" s="224" t="s">
        <v>2</v>
      </c>
      <c r="F14851" s="515" t="s">
        <v>16031</v>
      </c>
      <c r="G14851" s="52">
        <v>239865.887418878</v>
      </c>
      <c r="H14851" s="56">
        <v>7.1134903247909276E-2</v>
      </c>
      <c r="I14851" s="224" t="s">
        <v>2</v>
      </c>
    </row>
    <row r="14852" spans="1:9" x14ac:dyDescent="0.25">
      <c r="A14852" s="515">
        <v>40806</v>
      </c>
      <c r="C14852" s="52">
        <v>91319.912965427196</v>
      </c>
      <c r="D14852" s="56">
        <v>0.18695374564559819</v>
      </c>
      <c r="E14852" s="224" t="s">
        <v>2</v>
      </c>
      <c r="F14852" s="515" t="s">
        <v>16032</v>
      </c>
      <c r="G14852" s="52">
        <v>129369.81857841399</v>
      </c>
      <c r="H14852" s="56">
        <v>0.1262775460909773</v>
      </c>
      <c r="I14852" s="224" t="s">
        <v>2</v>
      </c>
    </row>
    <row r="14853" spans="1:9" x14ac:dyDescent="0.25">
      <c r="A14853" s="515">
        <v>47283</v>
      </c>
      <c r="B14853" s="515" t="s">
        <v>1171</v>
      </c>
      <c r="C14853" s="52">
        <v>190968.31099709999</v>
      </c>
      <c r="D14853" s="56">
        <v>7.531993940951355E-2</v>
      </c>
      <c r="E14853" s="224" t="s">
        <v>2</v>
      </c>
      <c r="F14853" s="515" t="s">
        <v>16033</v>
      </c>
      <c r="G14853" s="52">
        <v>174045.98146214301</v>
      </c>
      <c r="H14853" s="56">
        <v>5.5551876099131349E-2</v>
      </c>
      <c r="I14853" s="224" t="s">
        <v>2</v>
      </c>
    </row>
    <row r="14854" spans="1:9" x14ac:dyDescent="0.25">
      <c r="A14854" s="515">
        <v>31012</v>
      </c>
      <c r="C14854" s="52">
        <v>123302.01408085</v>
      </c>
      <c r="D14854" s="56">
        <v>3.4033221980118648E-2</v>
      </c>
      <c r="E14854" s="224" t="s">
        <v>2</v>
      </c>
      <c r="F14854" s="515" t="s">
        <v>16034</v>
      </c>
      <c r="G14854" s="52">
        <v>136507.18889432901</v>
      </c>
      <c r="H14854" s="56">
        <v>1.4552516217723212E-2</v>
      </c>
      <c r="I14854" s="224" t="s">
        <v>2</v>
      </c>
    </row>
    <row r="14855" spans="1:9" x14ac:dyDescent="0.25">
      <c r="A14855" s="515">
        <v>23927</v>
      </c>
      <c r="C14855" s="52">
        <v>254287.18707687501</v>
      </c>
      <c r="D14855" s="56">
        <v>0.11084824851085139</v>
      </c>
      <c r="E14855" s="224" t="s">
        <v>2</v>
      </c>
      <c r="F14855" s="515" t="s">
        <v>16035</v>
      </c>
      <c r="G14855" s="52">
        <v>119618.36058722599</v>
      </c>
      <c r="H14855" s="56">
        <v>-8.5844142036060916E-2</v>
      </c>
      <c r="I14855" s="224" t="s">
        <v>2</v>
      </c>
    </row>
    <row r="14856" spans="1:9" x14ac:dyDescent="0.25">
      <c r="A14856" s="515">
        <v>45679</v>
      </c>
      <c r="C14856" s="52">
        <v>157488.971278274</v>
      </c>
      <c r="D14856" s="56">
        <v>7.3781482934407908E-2</v>
      </c>
      <c r="E14856" s="224" t="s">
        <v>2</v>
      </c>
      <c r="F14856" s="515" t="s">
        <v>16036</v>
      </c>
      <c r="G14856" s="52">
        <v>88916.174780146597</v>
      </c>
      <c r="H14856" s="56">
        <v>0.24278911149031029</v>
      </c>
      <c r="I14856" s="224" t="s">
        <v>2</v>
      </c>
    </row>
    <row r="14857" spans="1:9" x14ac:dyDescent="0.25">
      <c r="A14857" s="515">
        <v>85346</v>
      </c>
      <c r="C14857" s="52">
        <v>172118.66588789399</v>
      </c>
      <c r="D14857" s="56">
        <v>0.10996373454996594</v>
      </c>
      <c r="E14857" s="224" t="s">
        <v>2</v>
      </c>
      <c r="F14857" s="515" t="s">
        <v>16037</v>
      </c>
      <c r="G14857" s="52">
        <v>231449.15868872</v>
      </c>
      <c r="H14857" s="56">
        <v>0.11113218567772054</v>
      </c>
      <c r="I14857" s="224" t="s">
        <v>2</v>
      </c>
    </row>
    <row r="14858" spans="1:9" x14ac:dyDescent="0.25">
      <c r="A14858" s="515">
        <v>98856</v>
      </c>
      <c r="C14858" s="52">
        <v>466158.54607233498</v>
      </c>
      <c r="D14858" s="56">
        <v>2.9015604412896152E-2</v>
      </c>
      <c r="E14858" s="224" t="s">
        <v>2</v>
      </c>
      <c r="F14858" s="515" t="s">
        <v>16038</v>
      </c>
      <c r="G14858" s="52">
        <v>133015.81619439501</v>
      </c>
      <c r="H14858" s="56">
        <v>0.25608925916637837</v>
      </c>
      <c r="I14858" s="224" t="s">
        <v>2</v>
      </c>
    </row>
    <row r="14859" spans="1:9" x14ac:dyDescent="0.25">
      <c r="A14859" s="515">
        <v>93461</v>
      </c>
      <c r="B14859" s="515" t="s">
        <v>959</v>
      </c>
      <c r="C14859" s="52">
        <v>445634.53208769002</v>
      </c>
      <c r="D14859" s="56">
        <v>4.4114833301002958E-2</v>
      </c>
      <c r="E14859" s="224" t="s">
        <v>2</v>
      </c>
      <c r="F14859" s="515" t="s">
        <v>16039</v>
      </c>
      <c r="G14859" s="52">
        <v>167942.752719421</v>
      </c>
      <c r="H14859" s="56">
        <v>0.13351982779744995</v>
      </c>
      <c r="I14859" s="224" t="s">
        <v>2</v>
      </c>
    </row>
    <row r="14860" spans="1:9" x14ac:dyDescent="0.25">
      <c r="A14860" s="515">
        <v>15636</v>
      </c>
      <c r="B14860" s="515" t="s">
        <v>297</v>
      </c>
      <c r="C14860" s="52">
        <v>319936.06340870197</v>
      </c>
      <c r="D14860" s="56">
        <v>4.496635304075787E-2</v>
      </c>
      <c r="E14860" s="224" t="s">
        <v>2</v>
      </c>
      <c r="F14860" s="515" t="s">
        <v>16040</v>
      </c>
      <c r="G14860" s="52">
        <v>434225.30546903302</v>
      </c>
      <c r="H14860" s="56">
        <v>9.6456139400018168E-2</v>
      </c>
      <c r="I14860" s="224" t="s">
        <v>2</v>
      </c>
    </row>
    <row r="14861" spans="1:9" x14ac:dyDescent="0.25">
      <c r="A14861" s="515">
        <v>46543</v>
      </c>
      <c r="B14861" s="515" t="s">
        <v>1170</v>
      </c>
      <c r="C14861" s="52">
        <v>337906.312599684</v>
      </c>
      <c r="D14861" s="56">
        <v>9.4534975557759998E-2</v>
      </c>
      <c r="E14861" s="224" t="s">
        <v>2</v>
      </c>
      <c r="F14861" s="515" t="s">
        <v>16041</v>
      </c>
      <c r="G14861" s="52">
        <v>315076.27293986501</v>
      </c>
      <c r="H14861" s="56">
        <v>3.9450886684537369E-2</v>
      </c>
      <c r="I14861" s="224" t="s">
        <v>2</v>
      </c>
    </row>
    <row r="14862" spans="1:9" x14ac:dyDescent="0.25">
      <c r="A14862" s="515">
        <v>45686</v>
      </c>
      <c r="B14862" s="515" t="s">
        <v>445</v>
      </c>
      <c r="C14862" s="52">
        <v>117521.712238985</v>
      </c>
      <c r="D14862" s="56">
        <v>0.14502695143423144</v>
      </c>
      <c r="E14862" s="224" t="s">
        <v>2</v>
      </c>
      <c r="F14862" s="515" t="s">
        <v>16042</v>
      </c>
      <c r="G14862" s="52">
        <v>292071.03738317703</v>
      </c>
      <c r="H14862" s="56">
        <v>0</v>
      </c>
      <c r="I14862" s="224" t="s">
        <v>2</v>
      </c>
    </row>
    <row r="14863" spans="1:9" x14ac:dyDescent="0.25">
      <c r="A14863" s="515">
        <v>35958</v>
      </c>
      <c r="B14863" s="515" t="s">
        <v>748</v>
      </c>
      <c r="C14863" s="52">
        <v>174611.75018419401</v>
      </c>
      <c r="D14863" s="56">
        <v>0.11909785542923795</v>
      </c>
      <c r="E14863" s="224" t="s">
        <v>2</v>
      </c>
      <c r="F14863" s="515" t="s">
        <v>16043</v>
      </c>
      <c r="G14863" s="52">
        <v>326539.15562633303</v>
      </c>
      <c r="H14863" s="56">
        <v>0</v>
      </c>
      <c r="I14863" s="224" t="s">
        <v>2</v>
      </c>
    </row>
    <row r="14864" spans="1:9" x14ac:dyDescent="0.25">
      <c r="A14864" s="515">
        <v>12498</v>
      </c>
      <c r="B14864" s="515" t="s">
        <v>307</v>
      </c>
      <c r="C14864" s="52">
        <v>587428.43437151797</v>
      </c>
      <c r="D14864" s="56">
        <v>0.11316566930428469</v>
      </c>
      <c r="E14864" s="224" t="s">
        <v>2</v>
      </c>
      <c r="F14864" s="515" t="s">
        <v>16044</v>
      </c>
      <c r="G14864" s="52">
        <v>248700.61853825199</v>
      </c>
      <c r="H14864" s="56">
        <v>4.2115933359319957E-2</v>
      </c>
      <c r="I14864" s="224" t="s">
        <v>2</v>
      </c>
    </row>
    <row r="14865" spans="1:9" x14ac:dyDescent="0.25">
      <c r="A14865" s="515">
        <v>23841</v>
      </c>
      <c r="B14865" s="515" t="s">
        <v>667</v>
      </c>
      <c r="C14865" s="52">
        <v>263636.04001049203</v>
      </c>
      <c r="D14865" s="56">
        <v>0.21222578521098978</v>
      </c>
      <c r="E14865" s="224" t="s">
        <v>2</v>
      </c>
      <c r="F14865" s="515" t="s">
        <v>16045</v>
      </c>
      <c r="G14865" s="52">
        <v>95444.698495952005</v>
      </c>
      <c r="H14865" s="56">
        <v>0.2497207374926706</v>
      </c>
      <c r="I14865" s="224" t="s">
        <v>2</v>
      </c>
    </row>
    <row r="14866" spans="1:9" x14ac:dyDescent="0.25">
      <c r="A14866" s="515">
        <v>63869</v>
      </c>
      <c r="C14866" s="52">
        <v>122932.955806909</v>
      </c>
      <c r="D14866" s="56">
        <v>5.0206279083698423E-2</v>
      </c>
      <c r="E14866" s="224" t="s">
        <v>2</v>
      </c>
      <c r="F14866" s="515" t="s">
        <v>16046</v>
      </c>
      <c r="G14866" s="52">
        <v>126831.862068965</v>
      </c>
      <c r="H14866" s="56">
        <v>0</v>
      </c>
      <c r="I14866" s="224" t="s">
        <v>2</v>
      </c>
    </row>
    <row r="14867" spans="1:9" x14ac:dyDescent="0.25">
      <c r="A14867" s="515">
        <v>79311</v>
      </c>
      <c r="B14867" s="515" t="s">
        <v>1069</v>
      </c>
      <c r="C14867" s="52">
        <v>135755.32959047201</v>
      </c>
      <c r="D14867" s="56">
        <v>4.4993856903719577E-2</v>
      </c>
      <c r="E14867" s="224" t="s">
        <v>2</v>
      </c>
      <c r="F14867" s="515" t="s">
        <v>16047</v>
      </c>
      <c r="G14867" s="52">
        <v>110629.982147021</v>
      </c>
      <c r="H14867" s="56">
        <v>0.12386090648380908</v>
      </c>
      <c r="I14867" s="224" t="s">
        <v>2</v>
      </c>
    </row>
    <row r="14868" spans="1:9" x14ac:dyDescent="0.25">
      <c r="A14868" s="515">
        <v>14821</v>
      </c>
      <c r="B14868" s="515" t="s">
        <v>585</v>
      </c>
      <c r="C14868" s="52">
        <v>156673.825747922</v>
      </c>
      <c r="D14868" s="56">
        <v>0.11182325516071352</v>
      </c>
      <c r="E14868" s="224" t="s">
        <v>2</v>
      </c>
      <c r="F14868" s="515" t="s">
        <v>16048</v>
      </c>
      <c r="G14868" s="52">
        <v>109229.803107671</v>
      </c>
      <c r="H14868" s="56">
        <v>5.8455129456071196E-2</v>
      </c>
      <c r="I14868" s="224" t="s">
        <v>2</v>
      </c>
    </row>
    <row r="14869" spans="1:9" x14ac:dyDescent="0.25">
      <c r="A14869" s="515">
        <v>64149</v>
      </c>
      <c r="B14869" s="515" t="s">
        <v>455</v>
      </c>
      <c r="C14869" s="52">
        <v>404330.71695473901</v>
      </c>
      <c r="D14869" s="56">
        <v>-8.5276593965614479E-4</v>
      </c>
      <c r="E14869" s="224" t="s">
        <v>2</v>
      </c>
      <c r="F14869" s="515" t="s">
        <v>16049</v>
      </c>
      <c r="G14869" s="52">
        <v>114617.240130119</v>
      </c>
      <c r="H14869" s="56">
        <v>0</v>
      </c>
      <c r="I14869" s="224" t="s">
        <v>2</v>
      </c>
    </row>
    <row r="14870" spans="1:9" x14ac:dyDescent="0.25">
      <c r="A14870" s="515">
        <v>76856</v>
      </c>
      <c r="C14870" s="52">
        <v>277178.36292948201</v>
      </c>
      <c r="D14870" s="56">
        <v>2.0669791219643758E-2</v>
      </c>
      <c r="E14870" s="224" t="s">
        <v>2</v>
      </c>
      <c r="F14870" s="515" t="s">
        <v>16050</v>
      </c>
      <c r="G14870" s="52">
        <v>95181.513986343896</v>
      </c>
      <c r="H14870" s="56">
        <v>8.9064455429171213E-2</v>
      </c>
      <c r="I14870" s="224" t="s">
        <v>2</v>
      </c>
    </row>
    <row r="14871" spans="1:9" x14ac:dyDescent="0.25">
      <c r="A14871" s="515">
        <v>66512</v>
      </c>
      <c r="B14871" s="515" t="s">
        <v>549</v>
      </c>
      <c r="C14871" s="52">
        <v>240294.253869598</v>
      </c>
      <c r="D14871" s="56">
        <v>0.10137094301641213</v>
      </c>
      <c r="E14871" s="224" t="s">
        <v>2</v>
      </c>
      <c r="F14871" s="515" t="s">
        <v>16051</v>
      </c>
      <c r="G14871" s="52">
        <v>292435.40270742</v>
      </c>
      <c r="H14871" s="56">
        <v>3.553651648935946E-2</v>
      </c>
      <c r="I14871" s="224" t="s">
        <v>2</v>
      </c>
    </row>
    <row r="14872" spans="1:9" x14ac:dyDescent="0.25">
      <c r="A14872" s="515">
        <v>98812</v>
      </c>
      <c r="C14872" s="52">
        <v>295581.978479176</v>
      </c>
      <c r="D14872" s="56">
        <v>3.5062192771567323E-2</v>
      </c>
      <c r="E14872" s="224" t="s">
        <v>2</v>
      </c>
      <c r="F14872" s="515" t="s">
        <v>16052</v>
      </c>
      <c r="G14872" s="52">
        <v>80122.088827677697</v>
      </c>
      <c r="H14872" s="56">
        <v>-5.3859370434725599E-2</v>
      </c>
      <c r="I14872" s="224" t="s">
        <v>2</v>
      </c>
    </row>
    <row r="14873" spans="1:9" x14ac:dyDescent="0.25">
      <c r="A14873" s="515">
        <v>50212</v>
      </c>
      <c r="B14873" s="515" t="s">
        <v>568</v>
      </c>
      <c r="C14873" s="52">
        <v>193381.18938279501</v>
      </c>
      <c r="D14873" s="56">
        <v>8.8157095071452918E-2</v>
      </c>
      <c r="E14873" s="224" t="s">
        <v>2</v>
      </c>
      <c r="F14873" s="515" t="s">
        <v>16053</v>
      </c>
      <c r="G14873" s="52">
        <v>114570.534714551</v>
      </c>
      <c r="H14873" s="56">
        <v>6.7026545417060587E-2</v>
      </c>
      <c r="I14873" s="224" t="s">
        <v>2</v>
      </c>
    </row>
    <row r="14874" spans="1:9" x14ac:dyDescent="0.25">
      <c r="A14874" s="515">
        <v>32564</v>
      </c>
      <c r="B14874" s="515" t="s">
        <v>1078</v>
      </c>
      <c r="C14874" s="52">
        <v>246447.51903647999</v>
      </c>
      <c r="D14874" s="56">
        <v>0.18718189889272099</v>
      </c>
      <c r="E14874" s="224" t="s">
        <v>2</v>
      </c>
      <c r="F14874" s="515" t="s">
        <v>16054</v>
      </c>
      <c r="G14874" s="52">
        <v>151954.54411764699</v>
      </c>
      <c r="H14874" s="56">
        <v>0</v>
      </c>
      <c r="I14874" s="224" t="s">
        <v>2</v>
      </c>
    </row>
    <row r="14875" spans="1:9" x14ac:dyDescent="0.25">
      <c r="A14875" s="515">
        <v>27976</v>
      </c>
      <c r="B14875" s="515" t="s">
        <v>301</v>
      </c>
      <c r="C14875" s="52">
        <v>352993.99147490202</v>
      </c>
      <c r="D14875" s="56">
        <v>6.4940575653953309E-2</v>
      </c>
      <c r="E14875" s="224" t="s">
        <v>2</v>
      </c>
      <c r="F14875" s="515" t="s">
        <v>16055</v>
      </c>
      <c r="G14875" s="52">
        <v>256334.538217205</v>
      </c>
      <c r="H14875" s="56">
        <v>-2.2402836969320671E-2</v>
      </c>
      <c r="I14875" s="224" t="s">
        <v>2</v>
      </c>
    </row>
    <row r="14876" spans="1:9" x14ac:dyDescent="0.25">
      <c r="A14876" s="515">
        <v>55386</v>
      </c>
      <c r="B14876" s="515" t="s">
        <v>532</v>
      </c>
      <c r="C14876" s="52">
        <v>540837.86340975703</v>
      </c>
      <c r="D14876" s="56">
        <v>2.7669560576925045E-2</v>
      </c>
      <c r="E14876" s="224" t="s">
        <v>2</v>
      </c>
      <c r="F14876" s="515" t="s">
        <v>16056</v>
      </c>
      <c r="G14876" s="52">
        <v>126255.599663582</v>
      </c>
      <c r="H14876" s="56">
        <v>0.13827627396251138</v>
      </c>
      <c r="I14876" s="224" t="s">
        <v>2</v>
      </c>
    </row>
    <row r="14877" spans="1:9" x14ac:dyDescent="0.25">
      <c r="A14877" s="515">
        <v>72135</v>
      </c>
      <c r="B14877" s="515" t="s">
        <v>393</v>
      </c>
      <c r="C14877" s="52">
        <v>248822.98632884701</v>
      </c>
      <c r="D14877" s="56">
        <v>6.2337830748416818E-4</v>
      </c>
      <c r="E14877" s="224" t="s">
        <v>2</v>
      </c>
      <c r="F14877" s="515" t="s">
        <v>16057</v>
      </c>
      <c r="G14877" s="52">
        <v>200195.66755359201</v>
      </c>
      <c r="H14877" s="56">
        <v>7.2595496370778376E-2</v>
      </c>
      <c r="I14877" s="224" t="s">
        <v>2</v>
      </c>
    </row>
    <row r="14878" spans="1:9" x14ac:dyDescent="0.25">
      <c r="A14878" s="515">
        <v>73131</v>
      </c>
      <c r="B14878" s="515" t="s">
        <v>385</v>
      </c>
      <c r="C14878" s="52">
        <v>355110.23745910497</v>
      </c>
      <c r="D14878" s="56">
        <v>8.3308559417588912E-2</v>
      </c>
      <c r="E14878" s="224" t="s">
        <v>2</v>
      </c>
      <c r="F14878" s="515" t="s">
        <v>16058</v>
      </c>
      <c r="G14878" s="52">
        <v>1096116.5311501699</v>
      </c>
      <c r="H14878" s="56">
        <v>5.5474050399836418E-2</v>
      </c>
      <c r="I14878" s="224" t="s">
        <v>2</v>
      </c>
    </row>
    <row r="14879" spans="1:9" x14ac:dyDescent="0.25">
      <c r="A14879" s="515">
        <v>7088</v>
      </c>
      <c r="B14879" s="515" t="s">
        <v>324</v>
      </c>
      <c r="C14879" s="52">
        <v>341943.948225778</v>
      </c>
      <c r="D14879" s="56">
        <v>5.0790493885678523E-2</v>
      </c>
      <c r="E14879" s="224" t="s">
        <v>2</v>
      </c>
      <c r="F14879" s="515" t="s">
        <v>16059</v>
      </c>
      <c r="G14879" s="52">
        <v>197552.146698689</v>
      </c>
      <c r="H14879" s="56">
        <v>-2.1774518975251424E-2</v>
      </c>
      <c r="I14879" s="224" t="s">
        <v>2</v>
      </c>
    </row>
    <row r="14880" spans="1:9" x14ac:dyDescent="0.25">
      <c r="A14880" s="515">
        <v>55043</v>
      </c>
      <c r="B14880" s="515" t="s">
        <v>532</v>
      </c>
      <c r="C14880" s="52">
        <v>354409.36087128503</v>
      </c>
      <c r="D14880" s="56">
        <v>6.45307872149085E-2</v>
      </c>
      <c r="E14880" s="224" t="s">
        <v>2</v>
      </c>
      <c r="F14880" s="515" t="s">
        <v>16060</v>
      </c>
      <c r="G14880" s="52">
        <v>255021.876427262</v>
      </c>
      <c r="H14880" s="56">
        <v>0.12351905585418443</v>
      </c>
      <c r="I14880" s="224" t="s">
        <v>2</v>
      </c>
    </row>
    <row r="14881" spans="1:9" x14ac:dyDescent="0.25">
      <c r="A14881" s="515">
        <v>14738</v>
      </c>
      <c r="B14881" s="515" t="s">
        <v>560</v>
      </c>
      <c r="C14881" s="52">
        <v>149912.268518731</v>
      </c>
      <c r="D14881" s="56">
        <v>0.1013955363758052</v>
      </c>
      <c r="E14881" s="224" t="s">
        <v>2</v>
      </c>
      <c r="F14881" s="515" t="s">
        <v>16061</v>
      </c>
      <c r="G14881" s="52">
        <v>312611.54866775998</v>
      </c>
      <c r="H14881" s="56">
        <v>8.8933726843556174E-2</v>
      </c>
      <c r="I14881" s="224" t="s">
        <v>2</v>
      </c>
    </row>
    <row r="14882" spans="1:9" x14ac:dyDescent="0.25">
      <c r="A14882" s="515">
        <v>88231</v>
      </c>
      <c r="B14882" s="515" t="s">
        <v>1097</v>
      </c>
      <c r="C14882" s="52">
        <v>116410.52888534901</v>
      </c>
      <c r="D14882" s="56">
        <v>0</v>
      </c>
      <c r="E14882" s="224" t="s">
        <v>2</v>
      </c>
      <c r="F14882" s="515" t="s">
        <v>16062</v>
      </c>
      <c r="G14882" s="52">
        <v>128274.901142802</v>
      </c>
      <c r="H14882" s="56">
        <v>0.14881092783149977</v>
      </c>
      <c r="I14882" s="224" t="s">
        <v>2</v>
      </c>
    </row>
    <row r="14883" spans="1:9" x14ac:dyDescent="0.25">
      <c r="A14883" s="515">
        <v>66542</v>
      </c>
      <c r="B14883" s="515" t="s">
        <v>549</v>
      </c>
      <c r="C14883" s="52">
        <v>258644.77112624899</v>
      </c>
      <c r="D14883" s="56">
        <v>9.6835335508588888E-2</v>
      </c>
      <c r="E14883" s="224" t="s">
        <v>2</v>
      </c>
      <c r="F14883" s="515" t="s">
        <v>16063</v>
      </c>
      <c r="G14883" s="52">
        <v>350109.98805081099</v>
      </c>
      <c r="H14883" s="56">
        <v>7.4803978827477885E-2</v>
      </c>
      <c r="I14883" s="224" t="s">
        <v>2</v>
      </c>
    </row>
    <row r="14884" spans="1:9" x14ac:dyDescent="0.25">
      <c r="A14884" s="515">
        <v>70032</v>
      </c>
      <c r="B14884" s="515" t="s">
        <v>777</v>
      </c>
      <c r="C14884" s="52">
        <v>211650.505886567</v>
      </c>
      <c r="D14884" s="56">
        <v>1.4682643422284435E-2</v>
      </c>
      <c r="E14884" s="224" t="s">
        <v>2</v>
      </c>
      <c r="F14884" s="515" t="s">
        <v>16064</v>
      </c>
      <c r="G14884" s="52">
        <v>272236.007128481</v>
      </c>
      <c r="H14884" s="56">
        <v>6.2490232018625518E-2</v>
      </c>
      <c r="I14884" s="224" t="s">
        <v>2</v>
      </c>
    </row>
    <row r="14885" spans="1:9" x14ac:dyDescent="0.25">
      <c r="A14885" s="515">
        <v>21750</v>
      </c>
      <c r="B14885" s="515" t="s">
        <v>654</v>
      </c>
      <c r="C14885" s="52">
        <v>188941.04992447601</v>
      </c>
      <c r="D14885" s="56">
        <v>3.6447916120281684E-2</v>
      </c>
      <c r="E14885" s="224" t="s">
        <v>2</v>
      </c>
      <c r="F14885" s="515" t="s">
        <v>16065</v>
      </c>
      <c r="G14885" s="52">
        <v>210074.00682006599</v>
      </c>
      <c r="H14885" s="56">
        <v>0.14476810464796849</v>
      </c>
      <c r="I14885" s="224" t="s">
        <v>2</v>
      </c>
    </row>
    <row r="14886" spans="1:9" x14ac:dyDescent="0.25">
      <c r="A14886" s="515">
        <v>44085</v>
      </c>
      <c r="B14886" s="515" t="s">
        <v>592</v>
      </c>
      <c r="C14886" s="52">
        <v>204833.211977439</v>
      </c>
      <c r="D14886" s="56">
        <v>9.946050070145955E-2</v>
      </c>
      <c r="E14886" s="224" t="s">
        <v>2</v>
      </c>
      <c r="F14886" s="515" t="s">
        <v>16066</v>
      </c>
      <c r="G14886" s="52">
        <v>201198.88654968099</v>
      </c>
      <c r="H14886" s="56">
        <v>0.11865102600980836</v>
      </c>
      <c r="I14886" s="224" t="s">
        <v>2</v>
      </c>
    </row>
    <row r="14887" spans="1:9" x14ac:dyDescent="0.25">
      <c r="A14887" s="515">
        <v>37035</v>
      </c>
      <c r="B14887" s="515" t="s">
        <v>684</v>
      </c>
      <c r="C14887" s="52">
        <v>334580.78595229</v>
      </c>
      <c r="D14887" s="56">
        <v>3.5321322628212672E-2</v>
      </c>
      <c r="E14887" s="224" t="s">
        <v>2</v>
      </c>
      <c r="F14887" s="515" t="s">
        <v>16067</v>
      </c>
      <c r="G14887" s="52">
        <v>213100.686143267</v>
      </c>
      <c r="H14887" s="56">
        <v>-6.6392509970506192E-2</v>
      </c>
      <c r="I14887" s="224" t="s">
        <v>2</v>
      </c>
    </row>
    <row r="14888" spans="1:9" x14ac:dyDescent="0.25">
      <c r="A14888" s="515">
        <v>39897</v>
      </c>
      <c r="C14888" s="52">
        <v>166004.442777991</v>
      </c>
      <c r="D14888" s="56">
        <v>3.2506684882381683E-2</v>
      </c>
      <c r="E14888" s="224" t="s">
        <v>2</v>
      </c>
      <c r="F14888" s="515" t="s">
        <v>16068</v>
      </c>
      <c r="G14888" s="52">
        <v>139443.310413392</v>
      </c>
      <c r="H14888" s="56">
        <v>6.778114611447586E-2</v>
      </c>
      <c r="I14888" s="224" t="s">
        <v>2</v>
      </c>
    </row>
    <row r="14889" spans="1:9" x14ac:dyDescent="0.25">
      <c r="A14889" s="515">
        <v>1375</v>
      </c>
      <c r="B14889" s="515" t="s">
        <v>575</v>
      </c>
      <c r="C14889" s="52">
        <v>398659.67688684299</v>
      </c>
      <c r="D14889" s="56">
        <v>5.7079118306064748E-2</v>
      </c>
      <c r="E14889" s="224" t="s">
        <v>2</v>
      </c>
      <c r="F14889" s="515" t="s">
        <v>16069</v>
      </c>
      <c r="G14889" s="52">
        <v>219730.728909408</v>
      </c>
      <c r="H14889" s="56">
        <v>8.1163256101047784E-2</v>
      </c>
      <c r="I14889" s="224" t="s">
        <v>2</v>
      </c>
    </row>
    <row r="14890" spans="1:9" x14ac:dyDescent="0.25">
      <c r="A14890" s="515">
        <v>67025</v>
      </c>
      <c r="B14890" s="515" t="s">
        <v>485</v>
      </c>
      <c r="C14890" s="52">
        <v>221937.83346789001</v>
      </c>
      <c r="D14890" s="56">
        <v>9.4083492354270645E-2</v>
      </c>
      <c r="E14890" s="224" t="s">
        <v>2</v>
      </c>
      <c r="F14890" s="515" t="s">
        <v>16070</v>
      </c>
      <c r="G14890" s="52">
        <v>3992159.8783140401</v>
      </c>
      <c r="H14890" s="56">
        <v>5.7828543020025533E-2</v>
      </c>
      <c r="I14890" s="224" t="s">
        <v>2</v>
      </c>
    </row>
    <row r="14891" spans="1:9" x14ac:dyDescent="0.25">
      <c r="A14891" s="515">
        <v>4061</v>
      </c>
      <c r="B14891" s="515" t="s">
        <v>570</v>
      </c>
      <c r="C14891" s="52">
        <v>319304.13845692202</v>
      </c>
      <c r="D14891" s="56">
        <v>6.1602588015295355E-2</v>
      </c>
      <c r="E14891" s="224" t="s">
        <v>2</v>
      </c>
      <c r="F14891" s="515" t="s">
        <v>16071</v>
      </c>
      <c r="G14891" s="52">
        <v>288553.57777822198</v>
      </c>
      <c r="H14891" s="56">
        <v>0.15589049687642509</v>
      </c>
      <c r="I14891" s="224" t="s">
        <v>2</v>
      </c>
    </row>
    <row r="14892" spans="1:9" x14ac:dyDescent="0.25">
      <c r="A14892" s="515">
        <v>46932</v>
      </c>
      <c r="B14892" s="515" t="s">
        <v>391</v>
      </c>
      <c r="C14892" s="52">
        <v>167469.62217614101</v>
      </c>
      <c r="D14892" s="56">
        <v>5.1245864427422926E-2</v>
      </c>
      <c r="E14892" s="224" t="s">
        <v>2</v>
      </c>
      <c r="F14892" s="515" t="s">
        <v>16072</v>
      </c>
      <c r="G14892" s="52">
        <v>184062.416311951</v>
      </c>
      <c r="H14892" s="56">
        <v>0.12128783353473815</v>
      </c>
      <c r="I14892" s="224" t="s">
        <v>2</v>
      </c>
    </row>
    <row r="14893" spans="1:9" x14ac:dyDescent="0.25">
      <c r="A14893" s="515">
        <v>67335</v>
      </c>
      <c r="B14893" s="515" t="s">
        <v>377</v>
      </c>
      <c r="C14893" s="52">
        <v>77628.479399378193</v>
      </c>
      <c r="D14893" s="56">
        <v>2.7374021811619541E-2</v>
      </c>
      <c r="E14893" s="224" t="s">
        <v>2</v>
      </c>
      <c r="F14893" s="515" t="s">
        <v>16073</v>
      </c>
      <c r="G14893" s="52">
        <v>95677.0716840885</v>
      </c>
      <c r="H14893" s="56">
        <v>0.16445208423326729</v>
      </c>
      <c r="I14893" s="224" t="s">
        <v>2</v>
      </c>
    </row>
    <row r="14894" spans="1:9" x14ac:dyDescent="0.25">
      <c r="A14894" s="515">
        <v>87016</v>
      </c>
      <c r="B14894" s="515" t="s">
        <v>406</v>
      </c>
      <c r="C14894" s="52">
        <v>184150.71641791001</v>
      </c>
      <c r="D14894" s="56">
        <v>0</v>
      </c>
      <c r="E14894" s="224" t="s">
        <v>2</v>
      </c>
      <c r="F14894" s="515" t="s">
        <v>16074</v>
      </c>
      <c r="G14894" s="52">
        <v>110096.068624634</v>
      </c>
      <c r="H14894" s="56">
        <v>7.1173911367979894E-3</v>
      </c>
      <c r="I14894" s="224" t="s">
        <v>2</v>
      </c>
    </row>
    <row r="14895" spans="1:9" x14ac:dyDescent="0.25">
      <c r="A14895" s="515">
        <v>2667</v>
      </c>
      <c r="B14895" s="515" t="s">
        <v>427</v>
      </c>
      <c r="C14895" s="52">
        <v>853029.35543857794</v>
      </c>
      <c r="D14895" s="56">
        <v>0.10761738705881352</v>
      </c>
      <c r="E14895" s="224" t="s">
        <v>2</v>
      </c>
      <c r="F14895" s="515" t="s">
        <v>16075</v>
      </c>
      <c r="G14895" s="52">
        <v>386618.442561162</v>
      </c>
      <c r="H14895" s="56">
        <v>0.11163707143932552</v>
      </c>
      <c r="I14895" s="224" t="s">
        <v>2</v>
      </c>
    </row>
    <row r="14896" spans="1:9" x14ac:dyDescent="0.25">
      <c r="A14896" s="515">
        <v>17063</v>
      </c>
      <c r="B14896" s="515" t="s">
        <v>714</v>
      </c>
      <c r="C14896" s="52">
        <v>162213.221493672</v>
      </c>
      <c r="D14896" s="56">
        <v>0.10760068302514558</v>
      </c>
      <c r="E14896" s="224" t="s">
        <v>2</v>
      </c>
      <c r="F14896" s="515" t="s">
        <v>16076</v>
      </c>
      <c r="G14896" s="52">
        <v>69300.718790579602</v>
      </c>
      <c r="H14896" s="56">
        <v>0.13650584058791584</v>
      </c>
      <c r="I14896" s="224" t="s">
        <v>2</v>
      </c>
    </row>
    <row r="14897" spans="1:9" x14ac:dyDescent="0.25">
      <c r="A14897" s="515">
        <v>55349</v>
      </c>
      <c r="B14897" s="515" t="s">
        <v>532</v>
      </c>
      <c r="C14897" s="52">
        <v>302239.240328215</v>
      </c>
      <c r="D14897" s="56">
        <v>4.1180812431709679E-2</v>
      </c>
      <c r="E14897" s="224" t="s">
        <v>2</v>
      </c>
      <c r="F14897" s="515" t="s">
        <v>16077</v>
      </c>
      <c r="G14897" s="52">
        <v>428459.13689358998</v>
      </c>
      <c r="H14897" s="56">
        <v>0.11067785412737498</v>
      </c>
      <c r="I14897" s="224" t="s">
        <v>2</v>
      </c>
    </row>
    <row r="14898" spans="1:9" x14ac:dyDescent="0.25">
      <c r="A14898" s="515">
        <v>55946</v>
      </c>
      <c r="B14898" s="515" t="s">
        <v>663</v>
      </c>
      <c r="C14898" s="52">
        <v>263638.581366389</v>
      </c>
      <c r="D14898" s="56">
        <v>5.6545635145782043E-2</v>
      </c>
      <c r="E14898" s="224" t="s">
        <v>2</v>
      </c>
      <c r="F14898" s="515" t="s">
        <v>16078</v>
      </c>
      <c r="G14898" s="52">
        <v>261351.92074233</v>
      </c>
      <c r="H14898" s="56">
        <v>0.11271002759037403</v>
      </c>
      <c r="I14898" s="224" t="s">
        <v>2</v>
      </c>
    </row>
    <row r="14899" spans="1:9" x14ac:dyDescent="0.25">
      <c r="A14899" s="515">
        <v>35643</v>
      </c>
      <c r="B14899" s="515" t="s">
        <v>1007</v>
      </c>
      <c r="C14899" s="52">
        <v>173942.88901200501</v>
      </c>
      <c r="D14899" s="56">
        <v>6.5093035448668801E-3</v>
      </c>
      <c r="E14899" s="224" t="s">
        <v>2</v>
      </c>
      <c r="F14899" s="515" t="s">
        <v>16079</v>
      </c>
      <c r="G14899" s="52">
        <v>720752.86450877297</v>
      </c>
      <c r="H14899" s="56">
        <v>9.274919592842186E-2</v>
      </c>
      <c r="I14899" s="224" t="s">
        <v>2</v>
      </c>
    </row>
    <row r="14900" spans="1:9" x14ac:dyDescent="0.25">
      <c r="A14900" s="515">
        <v>39159</v>
      </c>
      <c r="C14900" s="52">
        <v>92577.756551391998</v>
      </c>
      <c r="D14900" s="56">
        <v>0</v>
      </c>
      <c r="E14900" s="224" t="s">
        <v>2</v>
      </c>
      <c r="F14900" s="515" t="s">
        <v>16080</v>
      </c>
      <c r="G14900" s="52">
        <v>323282.92780321598</v>
      </c>
      <c r="H14900" s="56">
        <v>3.4742441520424154E-2</v>
      </c>
      <c r="I14900" s="224" t="s">
        <v>2</v>
      </c>
    </row>
    <row r="14901" spans="1:9" x14ac:dyDescent="0.25">
      <c r="A14901" s="515">
        <v>22728</v>
      </c>
      <c r="B14901" s="515" t="s">
        <v>321</v>
      </c>
      <c r="C14901" s="52">
        <v>500209.39718954498</v>
      </c>
      <c r="D14901" s="56">
        <v>6.2054415464391666E-2</v>
      </c>
      <c r="E14901" s="224" t="s">
        <v>2</v>
      </c>
      <c r="F14901" s="515" t="s">
        <v>16081</v>
      </c>
      <c r="G14901" s="52">
        <v>180445.11764899801</v>
      </c>
      <c r="H14901" s="56">
        <v>0.12935111268963775</v>
      </c>
      <c r="I14901" s="224" t="s">
        <v>2</v>
      </c>
    </row>
    <row r="14902" spans="1:9" x14ac:dyDescent="0.25">
      <c r="A14902" s="515">
        <v>5091</v>
      </c>
      <c r="B14902" s="515" t="s">
        <v>420</v>
      </c>
      <c r="C14902" s="52">
        <v>621057.78046215698</v>
      </c>
      <c r="D14902" s="56">
        <v>0.12618032506580873</v>
      </c>
      <c r="E14902" s="224" t="s">
        <v>2</v>
      </c>
      <c r="F14902" s="515" t="s">
        <v>16082</v>
      </c>
      <c r="G14902" s="52">
        <v>61943.931722051297</v>
      </c>
      <c r="H14902" s="56">
        <v>0.10020731958494636</v>
      </c>
      <c r="I14902" s="224" t="s">
        <v>2</v>
      </c>
    </row>
    <row r="14903" spans="1:9" x14ac:dyDescent="0.25">
      <c r="A14903" s="515">
        <v>75497</v>
      </c>
      <c r="C14903" s="52">
        <v>366015.58693470497</v>
      </c>
      <c r="D14903" s="56">
        <v>6.0030251754239101E-3</v>
      </c>
      <c r="E14903" s="224" t="s">
        <v>2</v>
      </c>
      <c r="F14903" s="515" t="s">
        <v>16083</v>
      </c>
      <c r="G14903" s="52">
        <v>172856.034090909</v>
      </c>
      <c r="H14903" s="56">
        <v>0</v>
      </c>
      <c r="I14903" s="224" t="s">
        <v>2</v>
      </c>
    </row>
    <row r="14904" spans="1:9" x14ac:dyDescent="0.25">
      <c r="A14904" s="515">
        <v>44403</v>
      </c>
      <c r="B14904" s="515" t="s">
        <v>397</v>
      </c>
      <c r="C14904" s="52">
        <v>174561.07177882601</v>
      </c>
      <c r="D14904" s="56">
        <v>7.238881765417908E-2</v>
      </c>
      <c r="E14904" s="224" t="s">
        <v>2</v>
      </c>
      <c r="F14904" s="515" t="s">
        <v>16084</v>
      </c>
      <c r="G14904" s="52">
        <v>137436.32459159801</v>
      </c>
      <c r="H14904" s="56">
        <v>8.6050241416244178E-2</v>
      </c>
      <c r="I14904" s="224" t="s">
        <v>2</v>
      </c>
    </row>
    <row r="14905" spans="1:9" x14ac:dyDescent="0.25">
      <c r="A14905" s="515">
        <v>79521</v>
      </c>
      <c r="C14905" s="52">
        <v>86122.786706857398</v>
      </c>
      <c r="D14905" s="56">
        <v>1.7100656401850364E-2</v>
      </c>
      <c r="E14905" s="224" t="s">
        <v>2</v>
      </c>
      <c r="F14905" s="515" t="s">
        <v>16085</v>
      </c>
      <c r="G14905" s="52">
        <v>237135.343818041</v>
      </c>
      <c r="H14905" s="56">
        <v>7.5840819679376129E-2</v>
      </c>
      <c r="I14905" s="224" t="s">
        <v>2</v>
      </c>
    </row>
    <row r="14906" spans="1:9" x14ac:dyDescent="0.25">
      <c r="A14906" s="515">
        <v>35616</v>
      </c>
      <c r="B14906" s="515" t="s">
        <v>1100</v>
      </c>
      <c r="C14906" s="52">
        <v>112613.037472468</v>
      </c>
      <c r="D14906" s="56">
        <v>9.6747192298830241E-3</v>
      </c>
      <c r="E14906" s="224" t="s">
        <v>2</v>
      </c>
      <c r="F14906" s="515" t="s">
        <v>16086</v>
      </c>
      <c r="G14906" s="52">
        <v>159059.91679944599</v>
      </c>
      <c r="H14906" s="56">
        <v>9.1895473802262373E-2</v>
      </c>
      <c r="I14906" s="224" t="s">
        <v>2</v>
      </c>
    </row>
    <row r="14907" spans="1:9" x14ac:dyDescent="0.25">
      <c r="A14907" s="515">
        <v>25168</v>
      </c>
      <c r="B14907" s="515" t="s">
        <v>602</v>
      </c>
      <c r="C14907" s="52">
        <v>166072.92460850099</v>
      </c>
      <c r="D14907" s="56">
        <v>3.5072146515517946E-2</v>
      </c>
      <c r="E14907" s="224" t="s">
        <v>2</v>
      </c>
      <c r="F14907" s="515" t="s">
        <v>16087</v>
      </c>
      <c r="G14907" s="52">
        <v>129225.044338216</v>
      </c>
      <c r="H14907" s="56">
        <v>0.10013550440776071</v>
      </c>
      <c r="I14907" s="224" t="s">
        <v>2</v>
      </c>
    </row>
    <row r="14908" spans="1:9" x14ac:dyDescent="0.25">
      <c r="A14908" s="515">
        <v>55307</v>
      </c>
      <c r="C14908" s="52">
        <v>233994.32250271601</v>
      </c>
      <c r="D14908" s="56">
        <v>5.9529836781927461E-3</v>
      </c>
      <c r="E14908" s="224" t="s">
        <v>2</v>
      </c>
      <c r="F14908" s="515" t="s">
        <v>16088</v>
      </c>
      <c r="G14908" s="52">
        <v>228345.39571995099</v>
      </c>
      <c r="H14908" s="56">
        <v>6.1812211910234789E-2</v>
      </c>
      <c r="I14908" s="224" t="s">
        <v>2</v>
      </c>
    </row>
    <row r="14909" spans="1:9" x14ac:dyDescent="0.25">
      <c r="A14909" s="515">
        <v>50665</v>
      </c>
      <c r="C14909" s="52">
        <v>210966.88039167199</v>
      </c>
      <c r="D14909" s="56">
        <v>7.733069661765414E-2</v>
      </c>
      <c r="E14909" s="224" t="s">
        <v>2</v>
      </c>
      <c r="F14909" s="515" t="s">
        <v>16089</v>
      </c>
      <c r="G14909" s="52">
        <v>231306.383035434</v>
      </c>
      <c r="H14909" s="56">
        <v>9.4223432984975181E-2</v>
      </c>
      <c r="I14909" s="224" t="s">
        <v>2</v>
      </c>
    </row>
    <row r="14910" spans="1:9" x14ac:dyDescent="0.25">
      <c r="A14910" s="515">
        <v>57718</v>
      </c>
      <c r="B14910" s="515" t="s">
        <v>854</v>
      </c>
      <c r="C14910" s="52">
        <v>329292.38952263299</v>
      </c>
      <c r="D14910" s="56">
        <v>7.6473927507230699E-2</v>
      </c>
      <c r="E14910" s="224" t="s">
        <v>2</v>
      </c>
      <c r="F14910" s="515" t="s">
        <v>16090</v>
      </c>
      <c r="G14910" s="52">
        <v>122634.08396966801</v>
      </c>
      <c r="H14910" s="56">
        <v>0.14161279298501803</v>
      </c>
      <c r="I14910" s="224" t="s">
        <v>2</v>
      </c>
    </row>
    <row r="14911" spans="1:9" x14ac:dyDescent="0.25">
      <c r="A14911" s="515">
        <v>70777</v>
      </c>
      <c r="B14911" s="515" t="s">
        <v>610</v>
      </c>
      <c r="C14911" s="52">
        <v>201643.99788553899</v>
      </c>
      <c r="D14911" s="56">
        <v>2.5095716566198058E-2</v>
      </c>
      <c r="E14911" s="224" t="s">
        <v>2</v>
      </c>
      <c r="F14911" s="515" t="s">
        <v>16091</v>
      </c>
      <c r="G14911" s="52">
        <v>129720.221388374</v>
      </c>
      <c r="H14911" s="56">
        <v>9.2760103260366336E-2</v>
      </c>
      <c r="I14911" s="224" t="s">
        <v>2</v>
      </c>
    </row>
    <row r="14912" spans="1:9" x14ac:dyDescent="0.25">
      <c r="A14912" s="515">
        <v>4350</v>
      </c>
      <c r="B14912" s="515" t="s">
        <v>848</v>
      </c>
      <c r="C14912" s="52">
        <v>319931.62634444103</v>
      </c>
      <c r="D14912" s="56">
        <v>6.5779014715047379E-2</v>
      </c>
      <c r="E14912" s="224" t="s">
        <v>2</v>
      </c>
      <c r="F14912" s="515" t="s">
        <v>16092</v>
      </c>
      <c r="G14912" s="52">
        <v>228834.63054930299</v>
      </c>
      <c r="H14912" s="56">
        <v>9.72483741231321E-2</v>
      </c>
      <c r="I14912" s="224" t="s">
        <v>2</v>
      </c>
    </row>
    <row r="14913" spans="1:9" x14ac:dyDescent="0.25">
      <c r="A14913" s="515">
        <v>43003</v>
      </c>
      <c r="B14913" s="515" t="s">
        <v>345</v>
      </c>
      <c r="C14913" s="52">
        <v>226864.06791134001</v>
      </c>
      <c r="D14913" s="56">
        <v>8.9493410809715221E-2</v>
      </c>
      <c r="E14913" s="224" t="s">
        <v>2</v>
      </c>
      <c r="F14913" s="515" t="s">
        <v>16093</v>
      </c>
      <c r="G14913" s="52">
        <v>103189.472183893</v>
      </c>
      <c r="H14913" s="56">
        <v>0.107175919921445</v>
      </c>
      <c r="I14913" s="224" t="s">
        <v>2</v>
      </c>
    </row>
    <row r="14914" spans="1:9" x14ac:dyDescent="0.25">
      <c r="A14914" s="515">
        <v>54107</v>
      </c>
      <c r="B14914" s="515" t="s">
        <v>985</v>
      </c>
      <c r="C14914" s="52">
        <v>199423.290697366</v>
      </c>
      <c r="D14914" s="56">
        <v>6.3731574211508768E-2</v>
      </c>
      <c r="E14914" s="224" t="s">
        <v>2</v>
      </c>
      <c r="F14914" s="515" t="s">
        <v>16094</v>
      </c>
      <c r="G14914" s="52">
        <v>260300.161129057</v>
      </c>
      <c r="H14914" s="56">
        <v>0.11031434993172852</v>
      </c>
      <c r="I14914" s="224" t="s">
        <v>2</v>
      </c>
    </row>
    <row r="14915" spans="1:9" x14ac:dyDescent="0.25">
      <c r="A14915" s="515">
        <v>25253</v>
      </c>
      <c r="B14915" s="515" t="s">
        <v>445</v>
      </c>
      <c r="C14915" s="52">
        <v>133199.66662522301</v>
      </c>
      <c r="D14915" s="56">
        <v>5.352592082162045E-2</v>
      </c>
      <c r="E14915" s="224" t="s">
        <v>2</v>
      </c>
      <c r="F14915" s="515" t="s">
        <v>16095</v>
      </c>
      <c r="G14915" s="52">
        <v>88109.676470588194</v>
      </c>
      <c r="H14915" s="56">
        <v>0</v>
      </c>
      <c r="I14915" s="224" t="s">
        <v>2</v>
      </c>
    </row>
    <row r="14916" spans="1:9" x14ac:dyDescent="0.25">
      <c r="A14916" s="515">
        <v>18660</v>
      </c>
      <c r="B14916" s="515" t="s">
        <v>512</v>
      </c>
      <c r="C14916" s="52">
        <v>192352.382769477</v>
      </c>
      <c r="D14916" s="56">
        <v>5.5555267690496776E-2</v>
      </c>
      <c r="E14916" s="224" t="s">
        <v>2</v>
      </c>
      <c r="F14916" s="515" t="s">
        <v>16096</v>
      </c>
      <c r="G14916" s="52">
        <v>457163.009712698</v>
      </c>
      <c r="H14916" s="56">
        <v>1.7829625907259963E-2</v>
      </c>
      <c r="I14916" s="224" t="s">
        <v>2</v>
      </c>
    </row>
    <row r="14917" spans="1:9" x14ac:dyDescent="0.25">
      <c r="A14917" s="515">
        <v>85544</v>
      </c>
      <c r="B14917" s="515" t="s">
        <v>692</v>
      </c>
      <c r="C14917" s="52">
        <v>452434.12392866099</v>
      </c>
      <c r="D14917" s="56">
        <v>7.9359234944079385E-2</v>
      </c>
      <c r="E14917" s="224" t="s">
        <v>2</v>
      </c>
      <c r="F14917" s="515" t="s">
        <v>16097</v>
      </c>
      <c r="G14917" s="52">
        <v>445572.84364461998</v>
      </c>
      <c r="H14917" s="56">
        <v>-9.4581593928811378E-4</v>
      </c>
      <c r="I14917" s="224" t="s">
        <v>2</v>
      </c>
    </row>
    <row r="14918" spans="1:9" x14ac:dyDescent="0.25">
      <c r="A14918" s="515">
        <v>59865</v>
      </c>
      <c r="C14918" s="52">
        <v>449732.07366259501</v>
      </c>
      <c r="D14918" s="56">
        <v>0.10135727499126918</v>
      </c>
      <c r="E14918" s="224" t="s">
        <v>2</v>
      </c>
      <c r="F14918" s="515" t="s">
        <v>14734</v>
      </c>
      <c r="G14918" s="52">
        <v>27684.074074074</v>
      </c>
      <c r="H14918" s="56">
        <v>0</v>
      </c>
      <c r="I14918" s="224" t="s">
        <v>2</v>
      </c>
    </row>
    <row r="14919" spans="1:9" x14ac:dyDescent="0.25">
      <c r="A14919" s="515">
        <v>66846</v>
      </c>
      <c r="C14919" s="52">
        <v>154271.17952348699</v>
      </c>
      <c r="D14919" s="56">
        <v>0.13614962937270567</v>
      </c>
      <c r="E14919" s="224" t="s">
        <v>2</v>
      </c>
      <c r="F14919" s="515" t="s">
        <v>16098</v>
      </c>
      <c r="G14919" s="52">
        <v>180606.996846405</v>
      </c>
      <c r="H14919" s="56">
        <v>3.2689369683796585E-2</v>
      </c>
      <c r="I14919" s="224" t="s">
        <v>2</v>
      </c>
    </row>
    <row r="14920" spans="1:9" x14ac:dyDescent="0.25">
      <c r="A14920" s="515">
        <v>29042</v>
      </c>
      <c r="C14920" s="52">
        <v>83061.385577890906</v>
      </c>
      <c r="D14920" s="56">
        <v>-2.8461462739859805E-2</v>
      </c>
      <c r="E14920" s="224" t="s">
        <v>2</v>
      </c>
      <c r="F14920" s="515" t="s">
        <v>16099</v>
      </c>
      <c r="G14920" s="52">
        <v>208788.435767116</v>
      </c>
      <c r="H14920" s="56">
        <v>0.19225547028610379</v>
      </c>
      <c r="I14920" s="224" t="s">
        <v>2</v>
      </c>
    </row>
    <row r="14921" spans="1:9" x14ac:dyDescent="0.25">
      <c r="A14921" s="515">
        <v>80758</v>
      </c>
      <c r="C14921" s="52">
        <v>221174.05591647001</v>
      </c>
      <c r="D14921" s="56">
        <v>5.7583930860524324E-2</v>
      </c>
      <c r="E14921" s="224" t="s">
        <v>2</v>
      </c>
      <c r="F14921" s="515" t="s">
        <v>16100</v>
      </c>
      <c r="G14921" s="52">
        <v>315715.02583540598</v>
      </c>
      <c r="H14921" s="56">
        <v>9.0499583851738424E-2</v>
      </c>
      <c r="I14921" s="224" t="s">
        <v>2</v>
      </c>
    </row>
    <row r="14922" spans="1:9" x14ac:dyDescent="0.25">
      <c r="A14922" s="515">
        <v>26444</v>
      </c>
      <c r="B14922" s="515" t="s">
        <v>643</v>
      </c>
      <c r="C14922" s="52">
        <v>98977.297524663401</v>
      </c>
      <c r="D14922" s="56">
        <v>0.10977210201870499</v>
      </c>
      <c r="E14922" s="224" t="s">
        <v>2</v>
      </c>
      <c r="F14922" s="515" t="s">
        <v>16101</v>
      </c>
      <c r="G14922" s="52">
        <v>168899.74380165199</v>
      </c>
      <c r="H14922" s="56">
        <v>0</v>
      </c>
      <c r="I14922" s="224" t="s">
        <v>2</v>
      </c>
    </row>
    <row r="14923" spans="1:9" x14ac:dyDescent="0.25">
      <c r="A14923" s="515">
        <v>49072</v>
      </c>
      <c r="B14923" s="515" t="s">
        <v>892</v>
      </c>
      <c r="C14923" s="52">
        <v>164089.52001651601</v>
      </c>
      <c r="D14923" s="56">
        <v>5.376666907597516E-2</v>
      </c>
      <c r="E14923" s="224" t="s">
        <v>2</v>
      </c>
      <c r="F14923" s="515" t="s">
        <v>16102</v>
      </c>
      <c r="G14923" s="52">
        <v>205783.434210526</v>
      </c>
      <c r="H14923" s="56">
        <v>0</v>
      </c>
      <c r="I14923" s="224" t="s">
        <v>2</v>
      </c>
    </row>
    <row r="14924" spans="1:9" x14ac:dyDescent="0.25">
      <c r="A14924" s="515">
        <v>4037</v>
      </c>
      <c r="C14924" s="52">
        <v>306591.40055717097</v>
      </c>
      <c r="D14924" s="56">
        <v>0.10873883754903016</v>
      </c>
      <c r="E14924" s="224" t="s">
        <v>2</v>
      </c>
      <c r="F14924" s="515" t="s">
        <v>16103</v>
      </c>
      <c r="G14924" s="52">
        <v>83771.386324924999</v>
      </c>
      <c r="H14924" s="56">
        <v>-0.20570677700476078</v>
      </c>
      <c r="I14924" s="224" t="s">
        <v>2</v>
      </c>
    </row>
    <row r="14925" spans="1:9" x14ac:dyDescent="0.25">
      <c r="A14925" s="515">
        <v>81419</v>
      </c>
      <c r="C14925" s="52">
        <v>399835.44768511102</v>
      </c>
      <c r="D14925" s="56">
        <v>6.7007399843724794E-2</v>
      </c>
      <c r="E14925" s="224" t="s">
        <v>2</v>
      </c>
      <c r="F14925" s="515" t="s">
        <v>16104</v>
      </c>
      <c r="G14925" s="52">
        <v>450950.04231008003</v>
      </c>
      <c r="H14925" s="56">
        <v>0.16122561439921154</v>
      </c>
      <c r="I14925" s="224" t="s">
        <v>2</v>
      </c>
    </row>
    <row r="14926" spans="1:9" x14ac:dyDescent="0.25">
      <c r="A14926" s="515">
        <v>40489</v>
      </c>
      <c r="B14926" s="515" t="s">
        <v>1015</v>
      </c>
      <c r="C14926" s="52">
        <v>149208.07392550199</v>
      </c>
      <c r="D14926" s="56">
        <v>0.14275296927009584</v>
      </c>
      <c r="E14926" s="224" t="s">
        <v>2</v>
      </c>
      <c r="F14926" s="515" t="s">
        <v>16105</v>
      </c>
      <c r="G14926" s="52">
        <v>112076.196359739</v>
      </c>
      <c r="H14926" s="56">
        <v>7.3457262674639895E-2</v>
      </c>
      <c r="I14926" s="224" t="s">
        <v>2</v>
      </c>
    </row>
    <row r="14927" spans="1:9" x14ac:dyDescent="0.25">
      <c r="A14927" s="515">
        <v>59072</v>
      </c>
      <c r="C14927" s="52">
        <v>219458.20197475501</v>
      </c>
      <c r="D14927" s="56">
        <v>5.1493226957449352E-2</v>
      </c>
      <c r="E14927" s="224" t="s">
        <v>2</v>
      </c>
      <c r="F14927" s="515" t="s">
        <v>16106</v>
      </c>
      <c r="G14927" s="52">
        <v>649049.22273004299</v>
      </c>
      <c r="H14927" s="56">
        <v>0.13118619307571028</v>
      </c>
      <c r="I14927" s="224" t="s">
        <v>2</v>
      </c>
    </row>
    <row r="14928" spans="1:9" x14ac:dyDescent="0.25">
      <c r="A14928" s="515">
        <v>54229</v>
      </c>
      <c r="B14928" s="515" t="s">
        <v>897</v>
      </c>
      <c r="C14928" s="52">
        <v>301493.79295934102</v>
      </c>
      <c r="D14928" s="56">
        <v>7.3035058912417655E-2</v>
      </c>
      <c r="E14928" s="224" t="s">
        <v>2</v>
      </c>
      <c r="F14928" s="515" t="s">
        <v>16107</v>
      </c>
      <c r="G14928" s="52">
        <v>171529.23913982499</v>
      </c>
      <c r="H14928" s="56">
        <v>2.5809870402255002E-2</v>
      </c>
      <c r="I14928" s="224" t="s">
        <v>2</v>
      </c>
    </row>
    <row r="14929" spans="1:9" x14ac:dyDescent="0.25">
      <c r="A14929" s="515">
        <v>71638</v>
      </c>
      <c r="C14929" s="52">
        <v>41510.078365350397</v>
      </c>
      <c r="D14929" s="56">
        <v>-0.18884498229648022</v>
      </c>
      <c r="E14929" s="224" t="s">
        <v>2</v>
      </c>
      <c r="F14929" s="515" t="s">
        <v>16108</v>
      </c>
      <c r="G14929" s="52">
        <v>86388.163398016899</v>
      </c>
      <c r="H14929" s="56">
        <v>0.10438109850934855</v>
      </c>
      <c r="I14929" s="224" t="s">
        <v>2</v>
      </c>
    </row>
    <row r="14930" spans="1:9" x14ac:dyDescent="0.25">
      <c r="A14930" s="515">
        <v>16049</v>
      </c>
      <c r="B14930" s="515" t="s">
        <v>297</v>
      </c>
      <c r="C14930" s="52">
        <v>110946.088752918</v>
      </c>
      <c r="D14930" s="56">
        <v>6.3192406162282944E-2</v>
      </c>
      <c r="E14930" s="224" t="s">
        <v>2</v>
      </c>
      <c r="F14930" s="515" t="s">
        <v>16109</v>
      </c>
      <c r="G14930" s="52">
        <v>182434.21559633</v>
      </c>
      <c r="H14930" s="56">
        <v>0</v>
      </c>
      <c r="I14930" s="224" t="s">
        <v>2</v>
      </c>
    </row>
    <row r="14931" spans="1:9" x14ac:dyDescent="0.25">
      <c r="A14931" s="515">
        <v>13167</v>
      </c>
      <c r="B14931" s="515" t="s">
        <v>361</v>
      </c>
      <c r="C14931" s="52">
        <v>201675.938110163</v>
      </c>
      <c r="D14931" s="56">
        <v>8.4481604132077198E-2</v>
      </c>
      <c r="E14931" s="224" t="s">
        <v>2</v>
      </c>
      <c r="F14931" s="515" t="s">
        <v>16110</v>
      </c>
      <c r="G14931" s="52">
        <v>182778.77852123999</v>
      </c>
      <c r="H14931" s="56">
        <v>0.14777764922566466</v>
      </c>
      <c r="I14931" s="224" t="s">
        <v>2</v>
      </c>
    </row>
    <row r="14932" spans="1:9" x14ac:dyDescent="0.25">
      <c r="A14932" s="515">
        <v>12846</v>
      </c>
      <c r="B14932" s="515" t="s">
        <v>422</v>
      </c>
      <c r="C14932" s="52">
        <v>262687.146176468</v>
      </c>
      <c r="D14932" s="56">
        <v>9.7317355265413061E-2</v>
      </c>
      <c r="E14932" s="224" t="s">
        <v>2</v>
      </c>
      <c r="F14932" s="515" t="s">
        <v>16111</v>
      </c>
      <c r="G14932" s="52">
        <v>145001.489574684</v>
      </c>
      <c r="H14932" s="56">
        <v>0.1333264567556473</v>
      </c>
      <c r="I14932" s="224" t="s">
        <v>2</v>
      </c>
    </row>
    <row r="14933" spans="1:9" x14ac:dyDescent="0.25">
      <c r="A14933" s="515">
        <v>27229</v>
      </c>
      <c r="C14933" s="52">
        <v>134750.335913758</v>
      </c>
      <c r="D14933" s="56">
        <v>0.14202189622598907</v>
      </c>
      <c r="E14933" s="224" t="s">
        <v>2</v>
      </c>
      <c r="F14933" s="515" t="s">
        <v>16112</v>
      </c>
      <c r="G14933" s="52">
        <v>358329.29275919899</v>
      </c>
      <c r="H14933" s="56">
        <v>1.6981610747719183E-2</v>
      </c>
      <c r="I14933" s="224" t="s">
        <v>2</v>
      </c>
    </row>
    <row r="14934" spans="1:9" x14ac:dyDescent="0.25">
      <c r="A14934" s="515">
        <v>55981</v>
      </c>
      <c r="B14934" s="515" t="s">
        <v>470</v>
      </c>
      <c r="C14934" s="52">
        <v>241898.99937648399</v>
      </c>
      <c r="D14934" s="56">
        <v>7.2619456163292392E-2</v>
      </c>
      <c r="E14934" s="224" t="s">
        <v>2</v>
      </c>
      <c r="F14934" s="515" t="s">
        <v>16113</v>
      </c>
      <c r="G14934" s="52">
        <v>122698.123966942</v>
      </c>
      <c r="H14934" s="56">
        <v>0</v>
      </c>
      <c r="I14934" s="224" t="s">
        <v>2</v>
      </c>
    </row>
    <row r="14935" spans="1:9" x14ac:dyDescent="0.25">
      <c r="A14935" s="515">
        <v>54830</v>
      </c>
      <c r="C14935" s="52">
        <v>257883.50378357401</v>
      </c>
      <c r="D14935" s="56">
        <v>9.4129776476989141E-2</v>
      </c>
      <c r="E14935" s="224" t="s">
        <v>2</v>
      </c>
      <c r="F14935" s="515" t="s">
        <v>16114</v>
      </c>
      <c r="G14935" s="52">
        <v>97347.170178451401</v>
      </c>
      <c r="H14935" s="56">
        <v>-1.8288776371248566E-2</v>
      </c>
      <c r="I14935" s="224" t="s">
        <v>2</v>
      </c>
    </row>
    <row r="14936" spans="1:9" x14ac:dyDescent="0.25">
      <c r="A14936" s="515">
        <v>65667</v>
      </c>
      <c r="C14936" s="52">
        <v>167616.93370479799</v>
      </c>
      <c r="D14936" s="56">
        <v>8.2736129732910488E-2</v>
      </c>
      <c r="E14936" s="224" t="s">
        <v>2</v>
      </c>
      <c r="F14936" s="515" t="s">
        <v>16115</v>
      </c>
      <c r="G14936" s="52">
        <v>233473.19162090399</v>
      </c>
      <c r="H14936" s="56">
        <v>9.191501553154377E-2</v>
      </c>
      <c r="I14936" s="224" t="s">
        <v>2</v>
      </c>
    </row>
    <row r="14937" spans="1:9" x14ac:dyDescent="0.25">
      <c r="A14937" s="515">
        <v>53004</v>
      </c>
      <c r="B14937" s="515" t="s">
        <v>950</v>
      </c>
      <c r="C14937" s="52">
        <v>282339.95891919301</v>
      </c>
      <c r="D14937" s="56">
        <v>2.025234921208589E-2</v>
      </c>
      <c r="E14937" s="224" t="s">
        <v>2</v>
      </c>
      <c r="F14937" s="515" t="s">
        <v>16116</v>
      </c>
      <c r="G14937" s="52">
        <v>144447.71496525101</v>
      </c>
      <c r="H14937" s="56">
        <v>0.20095923914761699</v>
      </c>
      <c r="I14937" s="224" t="s">
        <v>2</v>
      </c>
    </row>
    <row r="14938" spans="1:9" x14ac:dyDescent="0.25">
      <c r="A14938" s="515">
        <v>12850</v>
      </c>
      <c r="B14938" s="515" t="s">
        <v>609</v>
      </c>
      <c r="C14938" s="52">
        <v>305603.97937611502</v>
      </c>
      <c r="D14938" s="56">
        <v>5.3352037707472232E-2</v>
      </c>
      <c r="E14938" s="224" t="s">
        <v>2</v>
      </c>
      <c r="F14938" s="515" t="s">
        <v>16117</v>
      </c>
      <c r="G14938" s="52">
        <v>188065.915094853</v>
      </c>
      <c r="H14938" s="56">
        <v>8.846565421717463E-2</v>
      </c>
      <c r="I14938" s="224" t="s">
        <v>2</v>
      </c>
    </row>
    <row r="14939" spans="1:9" x14ac:dyDescent="0.25">
      <c r="A14939" s="515">
        <v>66523</v>
      </c>
      <c r="B14939" s="515" t="s">
        <v>549</v>
      </c>
      <c r="C14939" s="52">
        <v>141958.88961439999</v>
      </c>
      <c r="D14939" s="56">
        <v>9.343200110804234E-2</v>
      </c>
      <c r="E14939" s="224" t="s">
        <v>2</v>
      </c>
      <c r="F14939" s="515" t="s">
        <v>16118</v>
      </c>
      <c r="G14939" s="52">
        <v>324883.298332937</v>
      </c>
      <c r="H14939" s="56">
        <v>8.0258064864174417E-2</v>
      </c>
      <c r="I14939" s="224" t="s">
        <v>2</v>
      </c>
    </row>
    <row r="14940" spans="1:9" x14ac:dyDescent="0.25">
      <c r="A14940" s="515">
        <v>82637</v>
      </c>
      <c r="C14940" s="52">
        <v>264484.35050344002</v>
      </c>
      <c r="D14940" s="56">
        <v>5.81114601047606E-2</v>
      </c>
      <c r="E14940" s="224" t="s">
        <v>2</v>
      </c>
      <c r="F14940" s="515" t="s">
        <v>16119</v>
      </c>
      <c r="G14940" s="52">
        <v>151160.73505839799</v>
      </c>
      <c r="H14940" s="56">
        <v>0.20078791482724226</v>
      </c>
      <c r="I14940" s="224" t="s">
        <v>2</v>
      </c>
    </row>
    <row r="14941" spans="1:9" x14ac:dyDescent="0.25">
      <c r="A14941" s="515">
        <v>72101</v>
      </c>
      <c r="C14941" s="52">
        <v>91985.514814590904</v>
      </c>
      <c r="D14941" s="56">
        <v>2.0701466298987642E-2</v>
      </c>
      <c r="E14941" s="224" t="s">
        <v>2</v>
      </c>
      <c r="F14941" s="515" t="s">
        <v>16120</v>
      </c>
      <c r="G14941" s="52">
        <v>111578.505842623</v>
      </c>
      <c r="H14941" s="56">
        <v>1.0440150704274209E-2</v>
      </c>
      <c r="I14941" s="224" t="s">
        <v>2</v>
      </c>
    </row>
    <row r="14942" spans="1:9" x14ac:dyDescent="0.25">
      <c r="A14942" s="515">
        <v>74030</v>
      </c>
      <c r="B14942" s="515" t="s">
        <v>348</v>
      </c>
      <c r="C14942" s="52">
        <v>88364.733642927997</v>
      </c>
      <c r="D14942" s="56">
        <v>7.7250437302856093E-2</v>
      </c>
      <c r="E14942" s="224" t="s">
        <v>2</v>
      </c>
      <c r="F14942" s="515" t="s">
        <v>16121</v>
      </c>
      <c r="G14942" s="52">
        <v>366428.50697619701</v>
      </c>
      <c r="H14942" s="56">
        <v>0.10034488378549535</v>
      </c>
      <c r="I14942" s="224" t="s">
        <v>2</v>
      </c>
    </row>
    <row r="14943" spans="1:9" x14ac:dyDescent="0.25">
      <c r="A14943" s="515">
        <v>23696</v>
      </c>
      <c r="B14943" s="515" t="s">
        <v>301</v>
      </c>
      <c r="C14943" s="52">
        <v>425977.84436300298</v>
      </c>
      <c r="D14943" s="56">
        <v>8.6176868624840586E-2</v>
      </c>
      <c r="E14943" s="224" t="s">
        <v>2</v>
      </c>
      <c r="F14943" s="515" t="s">
        <v>16122</v>
      </c>
      <c r="G14943" s="52">
        <v>272291.72940598201</v>
      </c>
      <c r="H14943" s="56">
        <v>4.7287757062894724E-2</v>
      </c>
      <c r="I14943" s="224" t="s">
        <v>2</v>
      </c>
    </row>
    <row r="14944" spans="1:9" x14ac:dyDescent="0.25">
      <c r="A14944" s="515">
        <v>13605</v>
      </c>
      <c r="B14944" s="515" t="s">
        <v>431</v>
      </c>
      <c r="C14944" s="52">
        <v>182851.60020534601</v>
      </c>
      <c r="D14944" s="56">
        <v>7.3761699936244693E-2</v>
      </c>
      <c r="E14944" s="224" t="s">
        <v>2</v>
      </c>
      <c r="F14944" s="515" t="s">
        <v>16123</v>
      </c>
      <c r="G14944" s="52">
        <v>77466.775941491607</v>
      </c>
      <c r="H14944" s="56">
        <v>0.21748735491783128</v>
      </c>
      <c r="I14944" s="224" t="s">
        <v>2</v>
      </c>
    </row>
    <row r="14945" spans="1:9" x14ac:dyDescent="0.25">
      <c r="A14945" s="515">
        <v>38857</v>
      </c>
      <c r="B14945" s="515" t="s">
        <v>1010</v>
      </c>
      <c r="C14945" s="52">
        <v>194885.411135929</v>
      </c>
      <c r="D14945" s="56">
        <v>4.5147618822032769E-2</v>
      </c>
      <c r="E14945" s="224" t="s">
        <v>2</v>
      </c>
      <c r="F14945" s="515" t="s">
        <v>16124</v>
      </c>
      <c r="G14945" s="52">
        <v>77139.290444919607</v>
      </c>
      <c r="H14945" s="56">
        <v>0.34431431603403539</v>
      </c>
      <c r="I14945" s="224" t="s">
        <v>2</v>
      </c>
    </row>
    <row r="14946" spans="1:9" x14ac:dyDescent="0.25">
      <c r="A14946" s="515">
        <v>5656</v>
      </c>
      <c r="C14946" s="52">
        <v>295811.65172488999</v>
      </c>
      <c r="D14946" s="56">
        <v>0.10599107153009596</v>
      </c>
      <c r="E14946" s="224" t="s">
        <v>2</v>
      </c>
      <c r="F14946" s="515" t="s">
        <v>16125</v>
      </c>
      <c r="G14946" s="52">
        <v>404915.14625568403</v>
      </c>
      <c r="H14946" s="56">
        <v>3.0589442066352179E-2</v>
      </c>
      <c r="I14946" s="224" t="s">
        <v>2</v>
      </c>
    </row>
    <row r="14947" spans="1:9" x14ac:dyDescent="0.25">
      <c r="A14947" s="515">
        <v>6455</v>
      </c>
      <c r="B14947" s="515" t="s">
        <v>894</v>
      </c>
      <c r="C14947" s="52">
        <v>338951.02260295401</v>
      </c>
      <c r="D14947" s="56">
        <v>7.4028636164780642E-2</v>
      </c>
      <c r="E14947" s="224" t="s">
        <v>2</v>
      </c>
      <c r="F14947" s="515" t="s">
        <v>16126</v>
      </c>
      <c r="G14947" s="52">
        <v>189430.856544404</v>
      </c>
      <c r="H14947" s="56">
        <v>1.296717261514768E-2</v>
      </c>
      <c r="I14947" s="224" t="s">
        <v>2</v>
      </c>
    </row>
    <row r="14948" spans="1:9" x14ac:dyDescent="0.25">
      <c r="A14948" s="515">
        <v>28676</v>
      </c>
      <c r="B14948" s="515" t="s">
        <v>1046</v>
      </c>
      <c r="C14948" s="52">
        <v>213484.56137094999</v>
      </c>
      <c r="D14948" s="56">
        <v>0.12139497430129845</v>
      </c>
      <c r="E14948" s="224" t="s">
        <v>2</v>
      </c>
      <c r="F14948" s="515" t="s">
        <v>16127</v>
      </c>
      <c r="G14948" s="52">
        <v>195366.083770939</v>
      </c>
      <c r="H14948" s="56">
        <v>6.9571753143727955E-3</v>
      </c>
      <c r="I14948" s="224" t="s">
        <v>2</v>
      </c>
    </row>
    <row r="14949" spans="1:9" x14ac:dyDescent="0.25">
      <c r="A14949" s="515">
        <v>61310</v>
      </c>
      <c r="B14949" s="515" t="s">
        <v>836</v>
      </c>
      <c r="C14949" s="52">
        <v>128584.722225563</v>
      </c>
      <c r="D14949" s="56">
        <v>2.4111668703948701E-2</v>
      </c>
      <c r="E14949" s="224" t="s">
        <v>2</v>
      </c>
      <c r="F14949" s="515" t="s">
        <v>16128</v>
      </c>
      <c r="G14949" s="52">
        <v>161082.02199114399</v>
      </c>
      <c r="H14949" s="56">
        <v>0.16751762752599139</v>
      </c>
      <c r="I14949" s="224" t="s">
        <v>2</v>
      </c>
    </row>
    <row r="14950" spans="1:9" x14ac:dyDescent="0.25">
      <c r="A14950" s="515">
        <v>11732</v>
      </c>
      <c r="B14950" s="515" t="s">
        <v>324</v>
      </c>
      <c r="C14950" s="52">
        <v>780614.50694109895</v>
      </c>
      <c r="D14950" s="56">
        <v>4.5803691877773313E-2</v>
      </c>
      <c r="E14950" s="224" t="s">
        <v>2</v>
      </c>
      <c r="F14950" s="515" t="s">
        <v>16129</v>
      </c>
      <c r="G14950" s="52">
        <v>112373.38490323399</v>
      </c>
      <c r="H14950" s="56">
        <v>3.1894003232944459E-2</v>
      </c>
      <c r="I14950" s="224" t="s">
        <v>2</v>
      </c>
    </row>
    <row r="14951" spans="1:9" x14ac:dyDescent="0.25">
      <c r="A14951" s="515">
        <v>58318</v>
      </c>
      <c r="C14951" s="52">
        <v>198101.090944628</v>
      </c>
      <c r="D14951" s="56">
        <v>4.9703296480329937E-2</v>
      </c>
      <c r="E14951" s="224" t="s">
        <v>2</v>
      </c>
      <c r="F14951" s="515" t="s">
        <v>16130</v>
      </c>
      <c r="G14951" s="52">
        <v>95198.398808615093</v>
      </c>
      <c r="H14951" s="56">
        <v>9.4020137273930132E-2</v>
      </c>
      <c r="I14951" s="224" t="s">
        <v>2</v>
      </c>
    </row>
    <row r="14952" spans="1:9" x14ac:dyDescent="0.25">
      <c r="A14952" s="515">
        <v>32820</v>
      </c>
      <c r="B14952" s="515" t="s">
        <v>517</v>
      </c>
      <c r="C14952" s="52">
        <v>488415.09005744098</v>
      </c>
      <c r="D14952" s="56">
        <v>9.7555087967037768E-2</v>
      </c>
      <c r="E14952" s="224" t="s">
        <v>2</v>
      </c>
      <c r="F14952" s="515" t="s">
        <v>16131</v>
      </c>
      <c r="G14952" s="52">
        <v>227132.706779778</v>
      </c>
      <c r="H14952" s="56">
        <v>0.12398514068434849</v>
      </c>
      <c r="I14952" s="224" t="s">
        <v>2</v>
      </c>
    </row>
    <row r="14953" spans="1:9" x14ac:dyDescent="0.25">
      <c r="A14953" s="515">
        <v>49101</v>
      </c>
      <c r="B14953" s="515" t="s">
        <v>698</v>
      </c>
      <c r="C14953" s="52">
        <v>275570.78948973899</v>
      </c>
      <c r="D14953" s="56">
        <v>7.7491397051365984E-2</v>
      </c>
      <c r="E14953" s="224" t="s">
        <v>2</v>
      </c>
      <c r="F14953" s="515" t="s">
        <v>16132</v>
      </c>
      <c r="G14953" s="52">
        <v>180458.29007633499</v>
      </c>
      <c r="H14953" s="56">
        <v>0</v>
      </c>
      <c r="I14953" s="224" t="s">
        <v>2</v>
      </c>
    </row>
    <row r="14954" spans="1:9" x14ac:dyDescent="0.25">
      <c r="A14954" s="515">
        <v>39459</v>
      </c>
      <c r="B14954" s="515" t="s">
        <v>793</v>
      </c>
      <c r="C14954" s="52">
        <v>161256.09275914001</v>
      </c>
      <c r="D14954" s="56">
        <v>-3.4473244799558406E-3</v>
      </c>
      <c r="E14954" s="224" t="s">
        <v>2</v>
      </c>
      <c r="F14954" s="515" t="s">
        <v>16133</v>
      </c>
      <c r="G14954" s="52">
        <v>357933.78354978299</v>
      </c>
      <c r="H14954" s="56">
        <v>0</v>
      </c>
      <c r="I14954" s="224" t="s">
        <v>2</v>
      </c>
    </row>
    <row r="14955" spans="1:9" x14ac:dyDescent="0.25">
      <c r="A14955" s="515">
        <v>29129</v>
      </c>
      <c r="B14955" s="515" t="s">
        <v>888</v>
      </c>
      <c r="C14955" s="52">
        <v>93686.531531201603</v>
      </c>
      <c r="D14955" s="56">
        <v>4.3538745583915857E-2</v>
      </c>
      <c r="E14955" s="224" t="s">
        <v>2</v>
      </c>
      <c r="F14955" s="515" t="s">
        <v>16134</v>
      </c>
      <c r="G14955" s="52">
        <v>197765.79442298299</v>
      </c>
      <c r="H14955" s="56">
        <v>7.5110977405599272E-2</v>
      </c>
      <c r="I14955" s="224" t="s">
        <v>2</v>
      </c>
    </row>
    <row r="14956" spans="1:9" x14ac:dyDescent="0.25">
      <c r="A14956" s="515">
        <v>63445</v>
      </c>
      <c r="B14956" s="515" t="s">
        <v>496</v>
      </c>
      <c r="C14956" s="52">
        <v>108194.248046946</v>
      </c>
      <c r="D14956" s="56">
        <v>0</v>
      </c>
      <c r="E14956" s="224" t="s">
        <v>2</v>
      </c>
      <c r="F14956" s="515" t="s">
        <v>16135</v>
      </c>
      <c r="G14956" s="52">
        <v>179507.88416595201</v>
      </c>
      <c r="H14956" s="56">
        <v>0.13671661927140538</v>
      </c>
      <c r="I14956" s="224" t="s">
        <v>2</v>
      </c>
    </row>
    <row r="14957" spans="1:9" x14ac:dyDescent="0.25">
      <c r="A14957" s="515">
        <v>17856</v>
      </c>
      <c r="B14957" s="515" t="s">
        <v>794</v>
      </c>
      <c r="C14957" s="52">
        <v>216175.25841239799</v>
      </c>
      <c r="D14957" s="56">
        <v>9.2102904413960726E-2</v>
      </c>
      <c r="E14957" s="224" t="s">
        <v>2</v>
      </c>
      <c r="F14957" s="515" t="s">
        <v>16136</v>
      </c>
      <c r="G14957" s="52">
        <v>303794.34204469802</v>
      </c>
      <c r="H14957" s="56">
        <v>8.1363394845393927E-2</v>
      </c>
      <c r="I14957" s="224" t="s">
        <v>2</v>
      </c>
    </row>
    <row r="14958" spans="1:9" x14ac:dyDescent="0.25">
      <c r="A14958" s="515">
        <v>33036</v>
      </c>
      <c r="B14958" s="515" t="s">
        <v>572</v>
      </c>
      <c r="C14958" s="52">
        <v>1246166.8420402701</v>
      </c>
      <c r="D14958" s="56">
        <v>0.15784862219403961</v>
      </c>
      <c r="E14958" s="224" t="s">
        <v>2</v>
      </c>
      <c r="F14958" s="515" t="s">
        <v>16137</v>
      </c>
      <c r="G14958" s="52">
        <v>776297.98484959302</v>
      </c>
      <c r="H14958" s="56">
        <v>4.3109986799097014E-2</v>
      </c>
      <c r="I14958" s="224" t="s">
        <v>2</v>
      </c>
    </row>
    <row r="14959" spans="1:9" x14ac:dyDescent="0.25">
      <c r="A14959" s="515">
        <v>53048</v>
      </c>
      <c r="B14959" s="515" t="s">
        <v>955</v>
      </c>
      <c r="C14959" s="52">
        <v>245581.50541858599</v>
      </c>
      <c r="D14959" s="56">
        <v>5.699181379826606E-2</v>
      </c>
      <c r="E14959" s="224" t="s">
        <v>2</v>
      </c>
      <c r="F14959" s="515" t="s">
        <v>16138</v>
      </c>
      <c r="G14959" s="52">
        <v>161653.724481365</v>
      </c>
      <c r="H14959" s="56">
        <v>0.24053556375361787</v>
      </c>
      <c r="I14959" s="224" t="s">
        <v>2</v>
      </c>
    </row>
    <row r="14960" spans="1:9" x14ac:dyDescent="0.25">
      <c r="A14960" s="515">
        <v>12487</v>
      </c>
      <c r="B14960" s="515" t="s">
        <v>307</v>
      </c>
      <c r="C14960" s="52">
        <v>346374.74583083799</v>
      </c>
      <c r="D14960" s="56">
        <v>9.2246372937173207E-2</v>
      </c>
      <c r="E14960" s="224" t="s">
        <v>2</v>
      </c>
      <c r="F14960" s="515" t="s">
        <v>16139</v>
      </c>
      <c r="G14960" s="52">
        <v>169026.772549794</v>
      </c>
      <c r="H14960" s="56">
        <v>9.4586730049544224E-2</v>
      </c>
      <c r="I14960" s="224" t="s">
        <v>2</v>
      </c>
    </row>
    <row r="14961" spans="1:9" x14ac:dyDescent="0.25">
      <c r="A14961" s="515">
        <v>74454</v>
      </c>
      <c r="B14961" s="515" t="s">
        <v>348</v>
      </c>
      <c r="C14961" s="52">
        <v>214143.943744572</v>
      </c>
      <c r="D14961" s="56">
        <v>1.1377605019915398E-2</v>
      </c>
      <c r="E14961" s="224" t="s">
        <v>2</v>
      </c>
      <c r="F14961" s="515" t="s">
        <v>16140</v>
      </c>
      <c r="G14961" s="52">
        <v>521344.09930208698</v>
      </c>
      <c r="H14961" s="56">
        <v>6.075308291159872E-2</v>
      </c>
      <c r="I14961" s="224" t="s">
        <v>2</v>
      </c>
    </row>
    <row r="14962" spans="1:9" x14ac:dyDescent="0.25">
      <c r="A14962" s="515">
        <v>29590</v>
      </c>
      <c r="C14962" s="52">
        <v>81833.158759650498</v>
      </c>
      <c r="D14962" s="56">
        <v>-1.2145253983862139E-2</v>
      </c>
      <c r="E14962" s="224" t="s">
        <v>2</v>
      </c>
      <c r="F14962" s="515" t="s">
        <v>16141</v>
      </c>
      <c r="G14962" s="52">
        <v>312402.97627613897</v>
      </c>
      <c r="H14962" s="56">
        <v>9.2871677824301974E-2</v>
      </c>
      <c r="I14962" s="224" t="s">
        <v>2</v>
      </c>
    </row>
    <row r="14963" spans="1:9" x14ac:dyDescent="0.25">
      <c r="A14963" s="515">
        <v>17532</v>
      </c>
      <c r="B14963" s="515" t="s">
        <v>537</v>
      </c>
      <c r="C14963" s="52">
        <v>343282.941222767</v>
      </c>
      <c r="D14963" s="56">
        <v>8.5106648900937748E-2</v>
      </c>
      <c r="E14963" s="224" t="s">
        <v>2</v>
      </c>
      <c r="F14963" s="515" t="s">
        <v>16142</v>
      </c>
      <c r="G14963" s="52">
        <v>218537.55566563099</v>
      </c>
      <c r="H14963" s="56">
        <v>0.13622546100276114</v>
      </c>
      <c r="I14963" s="224" t="s">
        <v>2</v>
      </c>
    </row>
    <row r="14964" spans="1:9" x14ac:dyDescent="0.25">
      <c r="A14964" s="515">
        <v>72461</v>
      </c>
      <c r="C14964" s="52">
        <v>81568.296425091001</v>
      </c>
      <c r="D14964" s="56">
        <v>7.2661111690677127E-2</v>
      </c>
      <c r="E14964" s="224" t="s">
        <v>2</v>
      </c>
      <c r="F14964" s="515" t="s">
        <v>16143</v>
      </c>
      <c r="G14964" s="52">
        <v>266961.147866802</v>
      </c>
      <c r="H14964" s="56">
        <v>4.5780504114810237E-2</v>
      </c>
      <c r="I14964" s="224" t="s">
        <v>2</v>
      </c>
    </row>
    <row r="14965" spans="1:9" x14ac:dyDescent="0.25">
      <c r="A14965" s="515">
        <v>44470</v>
      </c>
      <c r="B14965" s="515" t="s">
        <v>397</v>
      </c>
      <c r="C14965" s="52">
        <v>187997.93940658699</v>
      </c>
      <c r="D14965" s="56">
        <v>9.1298584242126044E-2</v>
      </c>
      <c r="E14965" s="224" t="s">
        <v>2</v>
      </c>
      <c r="F14965" s="515" t="s">
        <v>16144</v>
      </c>
      <c r="G14965" s="52">
        <v>375261.033469574</v>
      </c>
      <c r="H14965" s="56">
        <v>4.7998425900847262E-2</v>
      </c>
      <c r="I14965" s="224" t="s">
        <v>2</v>
      </c>
    </row>
    <row r="14966" spans="1:9" x14ac:dyDescent="0.25">
      <c r="A14966" s="515">
        <v>43154</v>
      </c>
      <c r="B14966" s="515" t="s">
        <v>345</v>
      </c>
      <c r="C14966" s="52">
        <v>254728.06935462999</v>
      </c>
      <c r="D14966" s="56">
        <v>0.12709237937177387</v>
      </c>
      <c r="E14966" s="224" t="s">
        <v>2</v>
      </c>
      <c r="F14966" s="515" t="s">
        <v>16145</v>
      </c>
      <c r="G14966" s="52">
        <v>517124.112081828</v>
      </c>
      <c r="H14966" s="56">
        <v>6.0371403313729206E-2</v>
      </c>
      <c r="I14966" s="224" t="s">
        <v>2</v>
      </c>
    </row>
    <row r="14967" spans="1:9" x14ac:dyDescent="0.25">
      <c r="A14967" s="515">
        <v>3608</v>
      </c>
      <c r="B14967" s="515" t="s">
        <v>747</v>
      </c>
      <c r="C14967" s="52">
        <v>390590.44986589003</v>
      </c>
      <c r="D14967" s="56">
        <v>0.11712599668409519</v>
      </c>
      <c r="E14967" s="224" t="s">
        <v>2</v>
      </c>
      <c r="F14967" s="515" t="s">
        <v>16146</v>
      </c>
      <c r="G14967" s="52">
        <v>163592.596686915</v>
      </c>
      <c r="H14967" s="56">
        <v>3.0141925521638184E-2</v>
      </c>
      <c r="I14967" s="224" t="s">
        <v>2</v>
      </c>
    </row>
    <row r="14968" spans="1:9" x14ac:dyDescent="0.25">
      <c r="A14968" s="515">
        <v>70456</v>
      </c>
      <c r="B14968" s="515" t="s">
        <v>814</v>
      </c>
      <c r="C14968" s="52">
        <v>114683.09543568399</v>
      </c>
      <c r="D14968" s="56">
        <v>0</v>
      </c>
      <c r="E14968" s="224" t="s">
        <v>2</v>
      </c>
      <c r="F14968" s="515" t="s">
        <v>16147</v>
      </c>
      <c r="G14968" s="52">
        <v>84703.557904257599</v>
      </c>
      <c r="H14968" s="56">
        <v>0</v>
      </c>
      <c r="I14968" s="224" t="s">
        <v>2</v>
      </c>
    </row>
    <row r="14969" spans="1:9" x14ac:dyDescent="0.25">
      <c r="A14969" s="515">
        <v>56312</v>
      </c>
      <c r="B14969" s="515" t="s">
        <v>418</v>
      </c>
      <c r="C14969" s="52">
        <v>267503.40970231901</v>
      </c>
      <c r="D14969" s="56">
        <v>5.9736295631106141E-2</v>
      </c>
      <c r="E14969" s="224" t="s">
        <v>2</v>
      </c>
      <c r="F14969" s="515" t="s">
        <v>16148</v>
      </c>
      <c r="G14969" s="52">
        <v>177445.701819101</v>
      </c>
      <c r="H14969" s="56">
        <v>7.1675937635284778E-2</v>
      </c>
      <c r="I14969" s="224" t="s">
        <v>2</v>
      </c>
    </row>
    <row r="14970" spans="1:9" x14ac:dyDescent="0.25">
      <c r="A14970" s="515">
        <v>2633</v>
      </c>
      <c r="B14970" s="515" t="s">
        <v>427</v>
      </c>
      <c r="C14970" s="52">
        <v>1102471.97945437</v>
      </c>
      <c r="D14970" s="56">
        <v>0.11927416791355254</v>
      </c>
      <c r="E14970" s="224" t="s">
        <v>2</v>
      </c>
      <c r="F14970" s="515" t="s">
        <v>16149</v>
      </c>
      <c r="G14970" s="52">
        <v>273705.60161081702</v>
      </c>
      <c r="H14970" s="56">
        <v>0.16098220854226522</v>
      </c>
      <c r="I14970" s="224" t="s">
        <v>2</v>
      </c>
    </row>
    <row r="14971" spans="1:9" x14ac:dyDescent="0.25">
      <c r="A14971" s="515">
        <v>60145</v>
      </c>
      <c r="B14971" s="515" t="s">
        <v>394</v>
      </c>
      <c r="C14971" s="52">
        <v>249254.49735111301</v>
      </c>
      <c r="D14971" s="56">
        <v>5.0651440146832073E-2</v>
      </c>
      <c r="E14971" s="224" t="s">
        <v>2</v>
      </c>
      <c r="F14971" s="515" t="s">
        <v>16150</v>
      </c>
      <c r="G14971" s="52">
        <v>453794.14594359201</v>
      </c>
      <c r="H14971" s="56">
        <v>0.10730163806595458</v>
      </c>
      <c r="I14971" s="224" t="s">
        <v>2</v>
      </c>
    </row>
    <row r="14972" spans="1:9" x14ac:dyDescent="0.25">
      <c r="A14972" s="515">
        <v>74902</v>
      </c>
      <c r="C14972" s="52">
        <v>144623.92011022699</v>
      </c>
      <c r="D14972" s="56">
        <v>0.11357224036378832</v>
      </c>
      <c r="E14972" s="224" t="s">
        <v>2</v>
      </c>
      <c r="F14972" s="515" t="s">
        <v>16151</v>
      </c>
      <c r="G14972" s="52">
        <v>183028.48169191601</v>
      </c>
      <c r="H14972" s="56">
        <v>0.12879165731048264</v>
      </c>
      <c r="I14972" s="224" t="s">
        <v>2</v>
      </c>
    </row>
    <row r="14973" spans="1:9" x14ac:dyDescent="0.25">
      <c r="A14973" s="515">
        <v>94037</v>
      </c>
      <c r="B14973" s="515" t="s">
        <v>593</v>
      </c>
      <c r="C14973" s="52">
        <v>1401853.1914164301</v>
      </c>
      <c r="D14973" s="56">
        <v>4.8601154796080688E-2</v>
      </c>
      <c r="E14973" s="224" t="s">
        <v>2</v>
      </c>
      <c r="F14973" s="515" t="s">
        <v>16152</v>
      </c>
      <c r="G14973" s="52">
        <v>227556.12138142699</v>
      </c>
      <c r="H14973" s="56">
        <v>6.3790046016664131E-2</v>
      </c>
      <c r="I14973" s="224" t="s">
        <v>2</v>
      </c>
    </row>
    <row r="14974" spans="1:9" x14ac:dyDescent="0.25">
      <c r="A14974" s="515">
        <v>75473</v>
      </c>
      <c r="B14974" s="515" t="s">
        <v>921</v>
      </c>
      <c r="C14974" s="52">
        <v>255110.39397158899</v>
      </c>
      <c r="D14974" s="56">
        <v>5.5469745411955804E-2</v>
      </c>
      <c r="E14974" s="224" t="s">
        <v>2</v>
      </c>
      <c r="F14974" s="515" t="s">
        <v>16153</v>
      </c>
      <c r="G14974" s="52">
        <v>286494.76844233699</v>
      </c>
      <c r="H14974" s="56">
        <v>0.12000191991773666</v>
      </c>
      <c r="I14974" s="224" t="s">
        <v>2</v>
      </c>
    </row>
    <row r="14975" spans="1:9" x14ac:dyDescent="0.25">
      <c r="A14975" s="515">
        <v>56373</v>
      </c>
      <c r="C14975" s="52">
        <v>302057.885305634</v>
      </c>
      <c r="D14975" s="56">
        <v>0.11582866775278422</v>
      </c>
      <c r="E14975" s="224" t="s">
        <v>2</v>
      </c>
      <c r="F14975" s="515" t="s">
        <v>16154</v>
      </c>
      <c r="G14975" s="52">
        <v>119913.91161003801</v>
      </c>
      <c r="H14975" s="56">
        <v>9.5070136407561581E-3</v>
      </c>
      <c r="I14975" s="224" t="s">
        <v>2</v>
      </c>
    </row>
    <row r="14976" spans="1:9" x14ac:dyDescent="0.25">
      <c r="A14976" s="515">
        <v>53103</v>
      </c>
      <c r="B14976" s="515" t="s">
        <v>950</v>
      </c>
      <c r="C14976" s="52">
        <v>363602.534709403</v>
      </c>
      <c r="D14976" s="56">
        <v>2.9569445185969968E-2</v>
      </c>
      <c r="E14976" s="224" t="s">
        <v>2</v>
      </c>
      <c r="F14976" s="515" t="s">
        <v>16155</v>
      </c>
      <c r="G14976" s="52">
        <v>179003.502343898</v>
      </c>
      <c r="H14976" s="56">
        <v>6.208299989786286E-2</v>
      </c>
      <c r="I14976" s="224" t="s">
        <v>2</v>
      </c>
    </row>
    <row r="14977" spans="1:9" x14ac:dyDescent="0.25">
      <c r="A14977" s="515">
        <v>73169</v>
      </c>
      <c r="B14977" s="515" t="s">
        <v>385</v>
      </c>
      <c r="C14977" s="52">
        <v>309151.08010437997</v>
      </c>
      <c r="D14977" s="56">
        <v>8.642949866125467E-2</v>
      </c>
      <c r="E14977" s="224" t="s">
        <v>2</v>
      </c>
      <c r="F14977" s="515" t="s">
        <v>16156</v>
      </c>
      <c r="G14977" s="52">
        <v>114665.166039189</v>
      </c>
      <c r="H14977" s="56">
        <v>7.5484171203449524E-2</v>
      </c>
      <c r="I14977" s="224" t="s">
        <v>2</v>
      </c>
    </row>
    <row r="14978" spans="1:9" x14ac:dyDescent="0.25">
      <c r="A14978" s="515">
        <v>97844</v>
      </c>
      <c r="B14978" s="515" t="s">
        <v>733</v>
      </c>
      <c r="C14978" s="52">
        <v>276752.96942301199</v>
      </c>
      <c r="D14978" s="56">
        <v>2.3452724295221061E-2</v>
      </c>
      <c r="E14978" s="224" t="s">
        <v>2</v>
      </c>
      <c r="F14978" s="515" t="s">
        <v>16157</v>
      </c>
      <c r="G14978" s="52">
        <v>153164.56081081001</v>
      </c>
      <c r="H14978" s="56">
        <v>0</v>
      </c>
      <c r="I14978" s="224" t="s">
        <v>2</v>
      </c>
    </row>
    <row r="14979" spans="1:9" x14ac:dyDescent="0.25">
      <c r="A14979" s="515">
        <v>74116</v>
      </c>
      <c r="B14979" s="515" t="s">
        <v>348</v>
      </c>
      <c r="C14979" s="52">
        <v>171543.295125431</v>
      </c>
      <c r="D14979" s="56">
        <v>0.12323544752223276</v>
      </c>
      <c r="E14979" s="224" t="s">
        <v>2</v>
      </c>
      <c r="F14979" s="515" t="s">
        <v>16158</v>
      </c>
      <c r="G14979" s="52">
        <v>74962.610217868903</v>
      </c>
      <c r="H14979" s="56">
        <v>6.1731698711064618E-2</v>
      </c>
      <c r="I14979" s="224" t="s">
        <v>2</v>
      </c>
    </row>
    <row r="14980" spans="1:9" x14ac:dyDescent="0.25">
      <c r="A14980" s="515">
        <v>26351</v>
      </c>
      <c r="C14980" s="52">
        <v>107309.766968312</v>
      </c>
      <c r="D14980" s="56">
        <v>0.105411901920984</v>
      </c>
      <c r="E14980" s="224" t="s">
        <v>2</v>
      </c>
      <c r="F14980" s="515" t="s">
        <v>16159</v>
      </c>
      <c r="G14980" s="52">
        <v>200356.14746780699</v>
      </c>
      <c r="H14980" s="56">
        <v>9.3995209858367776E-2</v>
      </c>
      <c r="I14980" s="224" t="s">
        <v>2</v>
      </c>
    </row>
    <row r="14981" spans="1:9" x14ac:dyDescent="0.25">
      <c r="A14981" s="515">
        <v>21837</v>
      </c>
      <c r="B14981" s="515" t="s">
        <v>552</v>
      </c>
      <c r="C14981" s="52">
        <v>225187.01277306199</v>
      </c>
      <c r="D14981" s="56">
        <v>6.0521395130377138E-2</v>
      </c>
      <c r="E14981" s="224" t="s">
        <v>2</v>
      </c>
      <c r="F14981" s="515" t="s">
        <v>16160</v>
      </c>
      <c r="G14981" s="52">
        <v>161822.69299869699</v>
      </c>
      <c r="H14981" s="56">
        <v>-2.4251871713141672E-2</v>
      </c>
      <c r="I14981" s="224" t="s">
        <v>2</v>
      </c>
    </row>
    <row r="14982" spans="1:9" x14ac:dyDescent="0.25">
      <c r="A14982" s="515">
        <v>16051</v>
      </c>
      <c r="B14982" s="515" t="s">
        <v>297</v>
      </c>
      <c r="C14982" s="52">
        <v>238219.61346124799</v>
      </c>
      <c r="D14982" s="56">
        <v>0.10003193450746403</v>
      </c>
      <c r="E14982" s="224" t="s">
        <v>2</v>
      </c>
      <c r="F14982" s="515" t="s">
        <v>16161</v>
      </c>
      <c r="G14982" s="52">
        <v>103893.956695949</v>
      </c>
      <c r="H14982" s="56">
        <v>0.13776863420957211</v>
      </c>
      <c r="I14982" s="224" t="s">
        <v>2</v>
      </c>
    </row>
    <row r="14983" spans="1:9" x14ac:dyDescent="0.25">
      <c r="A14983" s="515">
        <v>44824</v>
      </c>
      <c r="B14983" s="515" t="s">
        <v>712</v>
      </c>
      <c r="C14983" s="52">
        <v>204128.347501435</v>
      </c>
      <c r="D14983" s="56">
        <v>0.11080834172209746</v>
      </c>
      <c r="E14983" s="224" t="s">
        <v>2</v>
      </c>
      <c r="F14983" s="515" t="s">
        <v>16162</v>
      </c>
      <c r="G14983" s="52">
        <v>114018.955166068</v>
      </c>
      <c r="H14983" s="56">
        <v>0</v>
      </c>
      <c r="I14983" s="224" t="s">
        <v>2</v>
      </c>
    </row>
    <row r="14984" spans="1:9" x14ac:dyDescent="0.25">
      <c r="A14984" s="515">
        <v>67056</v>
      </c>
      <c r="B14984" s="515" t="s">
        <v>485</v>
      </c>
      <c r="C14984" s="52">
        <v>168531.23225922801</v>
      </c>
      <c r="D14984" s="56">
        <v>8.5951602479517469E-2</v>
      </c>
      <c r="E14984" s="224" t="s">
        <v>2</v>
      </c>
      <c r="F14984" s="515" t="s">
        <v>16163</v>
      </c>
      <c r="G14984" s="52">
        <v>278015.946673756</v>
      </c>
      <c r="H14984" s="56">
        <v>0.10472996962776657</v>
      </c>
      <c r="I14984" s="224" t="s">
        <v>2</v>
      </c>
    </row>
    <row r="14985" spans="1:9" x14ac:dyDescent="0.25">
      <c r="A14985" s="515">
        <v>97380</v>
      </c>
      <c r="B14985" s="515" t="s">
        <v>618</v>
      </c>
      <c r="C14985" s="52">
        <v>433538.183048582</v>
      </c>
      <c r="D14985" s="56">
        <v>7.9229450414877861E-2</v>
      </c>
      <c r="E14985" s="224" t="s">
        <v>2</v>
      </c>
      <c r="F14985" s="515" t="s">
        <v>16164</v>
      </c>
      <c r="G14985" s="52">
        <v>296149.10149208503</v>
      </c>
      <c r="H14985" s="56">
        <v>9.7850673729355866E-2</v>
      </c>
      <c r="I14985" s="224" t="s">
        <v>2</v>
      </c>
    </row>
    <row r="14986" spans="1:9" x14ac:dyDescent="0.25">
      <c r="A14986" s="515">
        <v>67045</v>
      </c>
      <c r="C14986" s="52">
        <v>75902.519247563498</v>
      </c>
      <c r="D14986" s="56">
        <v>8.9161895419268583E-2</v>
      </c>
      <c r="E14986" s="224" t="s">
        <v>2</v>
      </c>
      <c r="F14986" s="515" t="s">
        <v>16165</v>
      </c>
      <c r="G14986" s="52">
        <v>239457.79631038001</v>
      </c>
      <c r="H14986" s="56">
        <v>4.2035831450774636E-2</v>
      </c>
      <c r="I14986" s="224" t="s">
        <v>2</v>
      </c>
    </row>
    <row r="14987" spans="1:9" x14ac:dyDescent="0.25">
      <c r="A14987" s="515">
        <v>13656</v>
      </c>
      <c r="B14987" s="515" t="s">
        <v>431</v>
      </c>
      <c r="C14987" s="52">
        <v>165278.17514592499</v>
      </c>
      <c r="D14987" s="56">
        <v>7.9191968265150764E-2</v>
      </c>
      <c r="E14987" s="224" t="s">
        <v>2</v>
      </c>
      <c r="F14987" s="515" t="s">
        <v>16166</v>
      </c>
      <c r="G14987" s="52">
        <v>592607.46047862805</v>
      </c>
      <c r="H14987" s="56">
        <v>0.16545068325953161</v>
      </c>
      <c r="I14987" s="224" t="s">
        <v>2</v>
      </c>
    </row>
    <row r="14988" spans="1:9" x14ac:dyDescent="0.25">
      <c r="A14988" s="515">
        <v>49284</v>
      </c>
      <c r="B14988" s="515" t="s">
        <v>1125</v>
      </c>
      <c r="C14988" s="52">
        <v>173830.403232362</v>
      </c>
      <c r="D14988" s="56">
        <v>4.3771818496300789E-2</v>
      </c>
      <c r="E14988" s="224" t="s">
        <v>2</v>
      </c>
      <c r="F14988" s="515" t="s">
        <v>16167</v>
      </c>
      <c r="G14988" s="52">
        <v>199496.733257521</v>
      </c>
      <c r="H14988" s="56">
        <v>0.15160978279566031</v>
      </c>
      <c r="I14988" s="224" t="s">
        <v>2</v>
      </c>
    </row>
    <row r="14989" spans="1:9" x14ac:dyDescent="0.25">
      <c r="A14989" s="515">
        <v>22637</v>
      </c>
      <c r="B14989" s="515" t="s">
        <v>629</v>
      </c>
      <c r="C14989" s="52">
        <v>363356.725428248</v>
      </c>
      <c r="D14989" s="56">
        <v>7.6384481223601128E-2</v>
      </c>
      <c r="E14989" s="224" t="s">
        <v>2</v>
      </c>
      <c r="F14989" s="515" t="s">
        <v>16168</v>
      </c>
      <c r="G14989" s="52">
        <v>529155.439383797</v>
      </c>
      <c r="H14989" s="56">
        <v>0.14020065541923812</v>
      </c>
      <c r="I14989" s="224" t="s">
        <v>2</v>
      </c>
    </row>
    <row r="14990" spans="1:9" x14ac:dyDescent="0.25">
      <c r="A14990" s="515">
        <v>69357</v>
      </c>
      <c r="B14990" s="515" t="s">
        <v>966</v>
      </c>
      <c r="C14990" s="52">
        <v>168754.43408309401</v>
      </c>
      <c r="D14990" s="56">
        <v>0.13173369073935484</v>
      </c>
      <c r="E14990" s="224" t="s">
        <v>2</v>
      </c>
      <c r="F14990" s="515" t="s">
        <v>16169</v>
      </c>
      <c r="G14990" s="52">
        <v>255173.14257788099</v>
      </c>
      <c r="H14990" s="56">
        <v>3.9143803855448682E-2</v>
      </c>
      <c r="I14990" s="224" t="s">
        <v>2</v>
      </c>
    </row>
    <row r="14991" spans="1:9" x14ac:dyDescent="0.25">
      <c r="A14991" s="515">
        <v>14750</v>
      </c>
      <c r="B14991" s="515" t="s">
        <v>560</v>
      </c>
      <c r="C14991" s="52">
        <v>188877.366007673</v>
      </c>
      <c r="D14991" s="56">
        <v>0.10788862159286922</v>
      </c>
      <c r="E14991" s="224" t="s">
        <v>2</v>
      </c>
      <c r="F14991" s="515" t="s">
        <v>16170</v>
      </c>
      <c r="G14991" s="52">
        <v>183632.77863207599</v>
      </c>
      <c r="H14991" s="56">
        <v>7.2843455839889978E-2</v>
      </c>
      <c r="I14991" s="224" t="s">
        <v>2</v>
      </c>
    </row>
    <row r="14992" spans="1:9" x14ac:dyDescent="0.25">
      <c r="A14992" s="515">
        <v>23420</v>
      </c>
      <c r="C14992" s="52">
        <v>135087.94487281801</v>
      </c>
      <c r="D14992" s="56">
        <v>1.0136262324956291E-2</v>
      </c>
      <c r="E14992" s="224" t="s">
        <v>2</v>
      </c>
      <c r="F14992" s="515" t="s">
        <v>16171</v>
      </c>
      <c r="G14992" s="52">
        <v>207995.10557898501</v>
      </c>
      <c r="H14992" s="56">
        <v>0.11682230026116514</v>
      </c>
      <c r="I14992" s="224" t="s">
        <v>2</v>
      </c>
    </row>
    <row r="14993" spans="1:9" x14ac:dyDescent="0.25">
      <c r="A14993" s="515">
        <v>21658</v>
      </c>
      <c r="B14993" s="515" t="s">
        <v>582</v>
      </c>
      <c r="C14993" s="52">
        <v>546419.84540470794</v>
      </c>
      <c r="D14993" s="56">
        <v>5.6269825439008624E-2</v>
      </c>
      <c r="E14993" s="224" t="s">
        <v>2</v>
      </c>
      <c r="F14993" s="515" t="s">
        <v>16172</v>
      </c>
      <c r="G14993" s="52">
        <v>173006.621452772</v>
      </c>
      <c r="H14993" s="56">
        <v>8.2814471576629939E-2</v>
      </c>
      <c r="I14993" s="224" t="s">
        <v>2</v>
      </c>
    </row>
    <row r="14994" spans="1:9" x14ac:dyDescent="0.25">
      <c r="A14994" s="515">
        <v>8020</v>
      </c>
      <c r="B14994" s="515" t="s">
        <v>294</v>
      </c>
      <c r="C14994" s="52">
        <v>362473.803263988</v>
      </c>
      <c r="D14994" s="56">
        <v>8.2310985348148347E-2</v>
      </c>
      <c r="E14994" s="224" t="s">
        <v>2</v>
      </c>
      <c r="F14994" s="515" t="s">
        <v>16173</v>
      </c>
      <c r="G14994" s="52">
        <v>188765.982529628</v>
      </c>
      <c r="H14994" s="56">
        <v>8.1217134476080477E-2</v>
      </c>
      <c r="I14994" s="224" t="s">
        <v>2</v>
      </c>
    </row>
    <row r="14995" spans="1:9" x14ac:dyDescent="0.25">
      <c r="A14995" s="515">
        <v>30511</v>
      </c>
      <c r="C14995" s="52">
        <v>231894.62548950699</v>
      </c>
      <c r="D14995" s="56">
        <v>0.13780279345141039</v>
      </c>
      <c r="E14995" s="224" t="s">
        <v>2</v>
      </c>
      <c r="F14995" s="515" t="s">
        <v>16174</v>
      </c>
      <c r="G14995" s="52">
        <v>152868.17078662399</v>
      </c>
      <c r="H14995" s="56">
        <v>5.8309139028677855E-2</v>
      </c>
      <c r="I14995" s="224" t="s">
        <v>2</v>
      </c>
    </row>
    <row r="14996" spans="1:9" x14ac:dyDescent="0.25">
      <c r="A14996" s="515">
        <v>52738</v>
      </c>
      <c r="C14996" s="52">
        <v>155300.721125624</v>
      </c>
      <c r="D14996" s="56">
        <v>0.1308210764718484</v>
      </c>
      <c r="E14996" s="224" t="s">
        <v>2</v>
      </c>
      <c r="F14996" s="515" t="s">
        <v>16175</v>
      </c>
      <c r="G14996" s="52">
        <v>341497.80320453597</v>
      </c>
      <c r="H14996" s="56">
        <v>2.2710749829833603E-2</v>
      </c>
      <c r="I14996" s="224" t="s">
        <v>2</v>
      </c>
    </row>
    <row r="14997" spans="1:9" x14ac:dyDescent="0.25">
      <c r="A14997" s="515">
        <v>39330</v>
      </c>
      <c r="B14997" s="515" t="s">
        <v>970</v>
      </c>
      <c r="C14997" s="52">
        <v>144948.578205942</v>
      </c>
      <c r="D14997" s="56">
        <v>-2.8322906596631413E-2</v>
      </c>
      <c r="E14997" s="224" t="s">
        <v>2</v>
      </c>
      <c r="F14997" s="515" t="s">
        <v>16176</v>
      </c>
      <c r="G14997" s="52">
        <v>292322.21174011502</v>
      </c>
      <c r="H14997" s="56">
        <v>6.5694000434103533E-2</v>
      </c>
      <c r="I14997" s="224" t="s">
        <v>2</v>
      </c>
    </row>
    <row r="14998" spans="1:9" x14ac:dyDescent="0.25">
      <c r="A14998" s="515">
        <v>50525</v>
      </c>
      <c r="C14998" s="52">
        <v>125235.31319947301</v>
      </c>
      <c r="D14998" s="56">
        <v>8.220093720793753E-2</v>
      </c>
      <c r="E14998" s="224" t="s">
        <v>2</v>
      </c>
      <c r="F14998" s="515" t="s">
        <v>16177</v>
      </c>
      <c r="G14998" s="52">
        <v>98116.869736798806</v>
      </c>
      <c r="H14998" s="56">
        <v>0.33189596332659854</v>
      </c>
      <c r="I14998" s="224" t="s">
        <v>2</v>
      </c>
    </row>
    <row r="14999" spans="1:9" x14ac:dyDescent="0.25">
      <c r="A14999" s="515">
        <v>18092</v>
      </c>
      <c r="B14999" s="515" t="s">
        <v>327</v>
      </c>
      <c r="C14999" s="52">
        <v>399205.07621173299</v>
      </c>
      <c r="D14999" s="56">
        <v>7.6622763883308298E-2</v>
      </c>
      <c r="E14999" s="224" t="s">
        <v>2</v>
      </c>
      <c r="F14999" s="515" t="s">
        <v>16178</v>
      </c>
      <c r="G14999" s="52">
        <v>184126.219724984</v>
      </c>
      <c r="H14999" s="56">
        <v>0.11061162411119833</v>
      </c>
      <c r="I14999" s="224" t="s">
        <v>2</v>
      </c>
    </row>
    <row r="15000" spans="1:9" x14ac:dyDescent="0.25">
      <c r="A15000" s="515">
        <v>72519</v>
      </c>
      <c r="C15000" s="52">
        <v>153419.779445569</v>
      </c>
      <c r="D15000" s="56">
        <v>4.551669440521626E-2</v>
      </c>
      <c r="E15000" s="224" t="s">
        <v>2</v>
      </c>
      <c r="F15000" s="515" t="s">
        <v>16179</v>
      </c>
      <c r="G15000" s="52">
        <v>347874.10678450001</v>
      </c>
      <c r="H15000" s="56">
        <v>4.4862318894334154E-2</v>
      </c>
      <c r="I15000" s="224" t="s">
        <v>2</v>
      </c>
    </row>
    <row r="15001" spans="1:9" x14ac:dyDescent="0.25">
      <c r="A15001" s="515">
        <v>56241</v>
      </c>
      <c r="C15001" s="52">
        <v>154380.97804434699</v>
      </c>
      <c r="D15001" s="56">
        <v>5.3272187190621413E-2</v>
      </c>
      <c r="E15001" s="224" t="s">
        <v>2</v>
      </c>
      <c r="F15001" s="515" t="s">
        <v>16180</v>
      </c>
      <c r="G15001" s="52">
        <v>151185.46064159201</v>
      </c>
      <c r="H15001" s="56">
        <v>0</v>
      </c>
      <c r="I15001" s="224" t="s">
        <v>2</v>
      </c>
    </row>
    <row r="15002" spans="1:9" x14ac:dyDescent="0.25">
      <c r="A15002" s="515">
        <v>27831</v>
      </c>
      <c r="B15002" s="515" t="s">
        <v>909</v>
      </c>
      <c r="C15002" s="52">
        <v>79112.336424148903</v>
      </c>
      <c r="D15002" s="56">
        <v>0.20317294326615781</v>
      </c>
      <c r="E15002" s="224" t="s">
        <v>2</v>
      </c>
      <c r="F15002" s="515" t="s">
        <v>16181</v>
      </c>
      <c r="G15002" s="52">
        <v>441894.56396437099</v>
      </c>
      <c r="H15002" s="56">
        <v>5.3804388727640547E-2</v>
      </c>
      <c r="I15002" s="224" t="s">
        <v>2</v>
      </c>
    </row>
    <row r="15003" spans="1:9" x14ac:dyDescent="0.25">
      <c r="A15003" s="515">
        <v>87043</v>
      </c>
      <c r="B15003" s="515" t="s">
        <v>406</v>
      </c>
      <c r="C15003" s="52">
        <v>583115.64409207006</v>
      </c>
      <c r="D15003" s="56">
        <v>8.0712791520576824E-2</v>
      </c>
      <c r="E15003" s="224" t="s">
        <v>2</v>
      </c>
      <c r="F15003" s="515" t="s">
        <v>16182</v>
      </c>
      <c r="G15003" s="52">
        <v>691605.60148372105</v>
      </c>
      <c r="H15003" s="56">
        <v>0.11083856394067586</v>
      </c>
      <c r="I15003" s="224" t="s">
        <v>2</v>
      </c>
    </row>
    <row r="15004" spans="1:9" x14ac:dyDescent="0.25">
      <c r="A15004" s="515">
        <v>49246</v>
      </c>
      <c r="B15004" s="515" t="s">
        <v>1125</v>
      </c>
      <c r="C15004" s="52">
        <v>248477.75622083899</v>
      </c>
      <c r="D15004" s="56">
        <v>4.4395712561767338E-2</v>
      </c>
      <c r="E15004" s="224" t="s">
        <v>2</v>
      </c>
      <c r="F15004" s="515" t="s">
        <v>16183</v>
      </c>
      <c r="G15004" s="52">
        <v>124252.853686881</v>
      </c>
      <c r="H15004" s="56">
        <v>0.11666180295465362</v>
      </c>
      <c r="I15004" s="224" t="s">
        <v>2</v>
      </c>
    </row>
    <row r="15005" spans="1:9" x14ac:dyDescent="0.25">
      <c r="A15005" s="515">
        <v>54614</v>
      </c>
      <c r="B15005" s="515" t="s">
        <v>635</v>
      </c>
      <c r="C15005" s="52">
        <v>228453.51227873299</v>
      </c>
      <c r="D15005" s="56">
        <v>5.9328130384532704E-2</v>
      </c>
      <c r="E15005" s="224" t="s">
        <v>2</v>
      </c>
      <c r="F15005" s="515" t="s">
        <v>16184</v>
      </c>
      <c r="G15005" s="52">
        <v>142719.59763108299</v>
      </c>
      <c r="H15005" s="56">
        <v>2.7990101878131737E-2</v>
      </c>
      <c r="I15005" s="224" t="s">
        <v>2</v>
      </c>
    </row>
    <row r="15006" spans="1:9" x14ac:dyDescent="0.25">
      <c r="A15006" s="515">
        <v>53574</v>
      </c>
      <c r="B15006" s="515" t="s">
        <v>727</v>
      </c>
      <c r="C15006" s="52">
        <v>346598.14586049999</v>
      </c>
      <c r="D15006" s="56">
        <v>3.6103819482308508E-2</v>
      </c>
      <c r="E15006" s="224" t="s">
        <v>2</v>
      </c>
      <c r="F15006" s="515" t="s">
        <v>16185</v>
      </c>
      <c r="G15006" s="52">
        <v>103476.014339638</v>
      </c>
      <c r="H15006" s="56">
        <v>0.27090434506544403</v>
      </c>
      <c r="I15006" s="224" t="s">
        <v>2</v>
      </c>
    </row>
    <row r="15007" spans="1:9" x14ac:dyDescent="0.25">
      <c r="A15007" s="515">
        <v>63369</v>
      </c>
      <c r="B15007" s="515" t="s">
        <v>498</v>
      </c>
      <c r="C15007" s="52">
        <v>277833.31901235902</v>
      </c>
      <c r="D15007" s="56">
        <v>1.5408682701199486E-2</v>
      </c>
      <c r="E15007" s="224" t="s">
        <v>2</v>
      </c>
      <c r="F15007" s="515" t="s">
        <v>16186</v>
      </c>
      <c r="G15007" s="52">
        <v>151254.56544494</v>
      </c>
      <c r="H15007" s="56">
        <v>7.9781094276710762E-2</v>
      </c>
      <c r="I15007" s="224" t="s">
        <v>2</v>
      </c>
    </row>
    <row r="15008" spans="1:9" x14ac:dyDescent="0.25">
      <c r="A15008" s="515">
        <v>27233</v>
      </c>
      <c r="B15008" s="515" t="s">
        <v>1148</v>
      </c>
      <c r="C15008" s="52">
        <v>228421.71254332701</v>
      </c>
      <c r="D15008" s="56">
        <v>0.11192290151882538</v>
      </c>
      <c r="E15008" s="224" t="s">
        <v>2</v>
      </c>
      <c r="F15008" s="515" t="s">
        <v>16187</v>
      </c>
      <c r="G15008" s="52">
        <v>449387.45207558502</v>
      </c>
      <c r="H15008" s="56">
        <v>6.5206658254513786E-2</v>
      </c>
      <c r="I15008" s="224" t="s">
        <v>2</v>
      </c>
    </row>
    <row r="15009" spans="1:9" x14ac:dyDescent="0.25">
      <c r="A15009" s="515">
        <v>14202</v>
      </c>
      <c r="B15009" s="515" t="s">
        <v>336</v>
      </c>
      <c r="C15009" s="52">
        <v>497390.56955892802</v>
      </c>
      <c r="D15009" s="56">
        <v>4.0208254560393179E-3</v>
      </c>
      <c r="E15009" s="224">
        <v>1593.75</v>
      </c>
      <c r="F15009" s="515" t="s">
        <v>16188</v>
      </c>
      <c r="G15009" s="52">
        <v>339178.92387250101</v>
      </c>
      <c r="H15009" s="56">
        <v>9.2813328743918899E-2</v>
      </c>
      <c r="I15009" s="224" t="s">
        <v>2</v>
      </c>
    </row>
    <row r="15010" spans="1:9" x14ac:dyDescent="0.25">
      <c r="A15010" s="515">
        <v>43450</v>
      </c>
      <c r="B15010" s="515" t="s">
        <v>300</v>
      </c>
      <c r="C15010" s="52">
        <v>204642.88782385099</v>
      </c>
      <c r="D15010" s="56">
        <v>2.57574401328645E-2</v>
      </c>
      <c r="E15010" s="224" t="s">
        <v>2</v>
      </c>
      <c r="F15010" s="515" t="s">
        <v>16189</v>
      </c>
      <c r="G15010" s="52">
        <v>551011.45577429596</v>
      </c>
      <c r="H15010" s="56">
        <v>3.8446285189732088E-2</v>
      </c>
      <c r="I15010" s="224" t="s">
        <v>2</v>
      </c>
    </row>
    <row r="15011" spans="1:9" x14ac:dyDescent="0.25">
      <c r="A15011" s="515">
        <v>59474</v>
      </c>
      <c r="C15011" s="52">
        <v>169302.18421449501</v>
      </c>
      <c r="D15011" s="56">
        <v>0.1299255119822102</v>
      </c>
      <c r="E15011" s="224" t="s">
        <v>2</v>
      </c>
      <c r="F15011" s="515" t="s">
        <v>16190</v>
      </c>
      <c r="G15011" s="52">
        <v>204486.04798311001</v>
      </c>
      <c r="H15011" s="56">
        <v>0</v>
      </c>
      <c r="I15011" s="224" t="s">
        <v>2</v>
      </c>
    </row>
    <row r="15012" spans="1:9" x14ac:dyDescent="0.25">
      <c r="A15012" s="515">
        <v>28669</v>
      </c>
      <c r="B15012" s="515" t="s">
        <v>1018</v>
      </c>
      <c r="C15012" s="52">
        <v>206196.49099143501</v>
      </c>
      <c r="D15012" s="56">
        <v>0.24330682289605576</v>
      </c>
      <c r="E15012" s="224" t="s">
        <v>2</v>
      </c>
      <c r="F15012" s="515" t="s">
        <v>16191</v>
      </c>
      <c r="G15012" s="52">
        <v>253636.387955935</v>
      </c>
      <c r="H15012" s="56">
        <v>5.9454826065696E-2</v>
      </c>
      <c r="I15012" s="224" t="s">
        <v>2</v>
      </c>
    </row>
    <row r="15013" spans="1:9" x14ac:dyDescent="0.25">
      <c r="A15013" s="515">
        <v>47638</v>
      </c>
      <c r="B15013" s="515" t="s">
        <v>911</v>
      </c>
      <c r="C15013" s="52">
        <v>248453.24911168401</v>
      </c>
      <c r="D15013" s="56">
        <v>5.0914610777156533E-2</v>
      </c>
      <c r="E15013" s="224" t="s">
        <v>2</v>
      </c>
      <c r="F15013" s="515" t="s">
        <v>16192</v>
      </c>
      <c r="G15013" s="52">
        <v>483980.99323414703</v>
      </c>
      <c r="H15013" s="56">
        <v>8.4387022863014902E-2</v>
      </c>
      <c r="I15013" s="224" t="s">
        <v>2</v>
      </c>
    </row>
    <row r="15014" spans="1:9" x14ac:dyDescent="0.25">
      <c r="A15014" s="515">
        <v>12966</v>
      </c>
      <c r="B15014" s="515" t="s">
        <v>706</v>
      </c>
      <c r="C15014" s="52">
        <v>139741.039320663</v>
      </c>
      <c r="D15014" s="56">
        <v>0.16985254518178197</v>
      </c>
      <c r="E15014" s="224" t="s">
        <v>2</v>
      </c>
      <c r="F15014" s="515" t="s">
        <v>16193</v>
      </c>
      <c r="G15014" s="52">
        <v>80816.045331552101</v>
      </c>
      <c r="H15014" s="56">
        <v>0.15279604363529448</v>
      </c>
      <c r="I15014" s="224" t="s">
        <v>2</v>
      </c>
    </row>
    <row r="15015" spans="1:9" x14ac:dyDescent="0.25">
      <c r="A15015" s="515">
        <v>29039</v>
      </c>
      <c r="B15015" s="515" t="s">
        <v>1036</v>
      </c>
      <c r="C15015" s="52">
        <v>114930.27920232899</v>
      </c>
      <c r="D15015" s="56">
        <v>1.9838447418255496E-3</v>
      </c>
      <c r="E15015" s="224" t="s">
        <v>2</v>
      </c>
      <c r="F15015" s="515" t="s">
        <v>16194</v>
      </c>
      <c r="G15015" s="52">
        <v>194013.58850271301</v>
      </c>
      <c r="H15015" s="56">
        <v>0.11257536286505404</v>
      </c>
      <c r="I15015" s="224" t="s">
        <v>2</v>
      </c>
    </row>
    <row r="15016" spans="1:9" x14ac:dyDescent="0.25">
      <c r="A15016" s="515">
        <v>58784</v>
      </c>
      <c r="C15016" s="52">
        <v>218089.23213746501</v>
      </c>
      <c r="D15016" s="56">
        <v>5.8971768495581361E-2</v>
      </c>
      <c r="E15016" s="224" t="s">
        <v>2</v>
      </c>
      <c r="F15016" s="515" t="s">
        <v>16195</v>
      </c>
      <c r="G15016" s="52">
        <v>181718.955637142</v>
      </c>
      <c r="H15016" s="56">
        <v>6.526337141746856E-2</v>
      </c>
      <c r="I15016" s="224" t="s">
        <v>2</v>
      </c>
    </row>
    <row r="15017" spans="1:9" x14ac:dyDescent="0.25">
      <c r="A15017" s="515">
        <v>11978</v>
      </c>
      <c r="B15017" s="515" t="s">
        <v>324</v>
      </c>
      <c r="C15017" s="52">
        <v>1464779.74538638</v>
      </c>
      <c r="D15017" s="56">
        <v>5.5318186959845674E-2</v>
      </c>
      <c r="E15017" s="224">
        <v>27916.5</v>
      </c>
      <c r="F15017" s="515" t="s">
        <v>16196</v>
      </c>
      <c r="G15017" s="52">
        <v>285623.76110239001</v>
      </c>
      <c r="H15017" s="56">
        <v>6.4459333009240394E-2</v>
      </c>
      <c r="I15017" s="224" t="s">
        <v>2</v>
      </c>
    </row>
    <row r="15018" spans="1:9" x14ac:dyDescent="0.25">
      <c r="A15018" s="515">
        <v>54738</v>
      </c>
      <c r="B15018" s="515" t="s">
        <v>1028</v>
      </c>
      <c r="C15018" s="52">
        <v>305662.39768599399</v>
      </c>
      <c r="D15018" s="56">
        <v>1.2384013088352862E-2</v>
      </c>
      <c r="E15018" s="224" t="s">
        <v>2</v>
      </c>
      <c r="F15018" s="515" t="s">
        <v>16197</v>
      </c>
      <c r="G15018" s="52">
        <v>106927.36759706499</v>
      </c>
      <c r="H15018" s="56">
        <v>1.6567138283402741E-2</v>
      </c>
      <c r="I15018" s="224" t="s">
        <v>2</v>
      </c>
    </row>
    <row r="15019" spans="1:9" x14ac:dyDescent="0.25">
      <c r="A15019" s="515">
        <v>23146</v>
      </c>
      <c r="B15019" s="515" t="s">
        <v>667</v>
      </c>
      <c r="C15019" s="52">
        <v>393842.55713530601</v>
      </c>
      <c r="D15019" s="56">
        <v>2.3760037487580838E-2</v>
      </c>
      <c r="E15019" s="224" t="s">
        <v>2</v>
      </c>
      <c r="F15019" s="515" t="s">
        <v>16198</v>
      </c>
      <c r="G15019" s="52">
        <v>222663.801898101</v>
      </c>
      <c r="H15019" s="56">
        <v>4.263225967408233E-2</v>
      </c>
      <c r="I15019" s="224" t="s">
        <v>2</v>
      </c>
    </row>
    <row r="15020" spans="1:9" x14ac:dyDescent="0.25">
      <c r="A15020" s="515">
        <v>63377</v>
      </c>
      <c r="B15020" s="515" t="s">
        <v>498</v>
      </c>
      <c r="C15020" s="52">
        <v>285237.38251293398</v>
      </c>
      <c r="D15020" s="56">
        <v>8.550175682868269E-2</v>
      </c>
      <c r="E15020" s="224" t="s">
        <v>2</v>
      </c>
      <c r="F15020" s="515" t="s">
        <v>16199</v>
      </c>
      <c r="G15020" s="52">
        <v>187194.35150853</v>
      </c>
      <c r="H15020" s="56">
        <v>0.10120921429043624</v>
      </c>
      <c r="I15020" s="224" t="s">
        <v>2</v>
      </c>
    </row>
    <row r="15021" spans="1:9" x14ac:dyDescent="0.25">
      <c r="A15021" s="515">
        <v>38773</v>
      </c>
      <c r="B15021" s="515" t="s">
        <v>976</v>
      </c>
      <c r="C15021" s="52">
        <v>85764.796843988006</v>
      </c>
      <c r="D15021" s="56">
        <v>-7.3952545789088442E-2</v>
      </c>
      <c r="E15021" s="224" t="s">
        <v>2</v>
      </c>
      <c r="F15021" s="515" t="s">
        <v>16200</v>
      </c>
      <c r="G15021" s="52">
        <v>168286.62206225601</v>
      </c>
      <c r="H15021" s="56">
        <v>3.1784371891542512E-2</v>
      </c>
      <c r="I15021" s="224" t="s">
        <v>2</v>
      </c>
    </row>
    <row r="15022" spans="1:9" x14ac:dyDescent="0.25">
      <c r="A15022" s="515">
        <v>29692</v>
      </c>
      <c r="B15022" s="515" t="s">
        <v>613</v>
      </c>
      <c r="C15022" s="52">
        <v>84317.861295087903</v>
      </c>
      <c r="D15022" s="56">
        <v>0.20983153350092285</v>
      </c>
      <c r="E15022" s="224" t="s">
        <v>2</v>
      </c>
      <c r="F15022" s="515" t="s">
        <v>16201</v>
      </c>
      <c r="G15022" s="52">
        <v>363155.35527350398</v>
      </c>
      <c r="H15022" s="56">
        <v>4.9620493897063279E-2</v>
      </c>
      <c r="I15022" s="224" t="s">
        <v>2</v>
      </c>
    </row>
    <row r="15023" spans="1:9" x14ac:dyDescent="0.25">
      <c r="A15023" s="515">
        <v>61038</v>
      </c>
      <c r="B15023" s="515" t="s">
        <v>1104</v>
      </c>
      <c r="C15023" s="52">
        <v>245578.39834604299</v>
      </c>
      <c r="D15023" s="56">
        <v>9.2077187356357962E-2</v>
      </c>
      <c r="E15023" s="224" t="s">
        <v>2</v>
      </c>
      <c r="F15023" s="515" t="s">
        <v>16202</v>
      </c>
      <c r="G15023" s="52">
        <v>227716.16061593001</v>
      </c>
      <c r="H15023" s="56">
        <v>6.4548153573011136E-2</v>
      </c>
      <c r="I15023" s="224" t="s">
        <v>2</v>
      </c>
    </row>
    <row r="15024" spans="1:9" x14ac:dyDescent="0.25">
      <c r="A15024" s="515">
        <v>52358</v>
      </c>
      <c r="C15024" s="52">
        <v>257888.115234375</v>
      </c>
      <c r="D15024" s="56">
        <v>6.9430108828164694E-2</v>
      </c>
      <c r="E15024" s="224" t="s">
        <v>2</v>
      </c>
      <c r="F15024" s="515" t="s">
        <v>16203</v>
      </c>
      <c r="G15024" s="52"/>
      <c r="H15024" s="56">
        <v>0</v>
      </c>
      <c r="I15024" s="224" t="s">
        <v>2</v>
      </c>
    </row>
    <row r="15025" spans="1:9" x14ac:dyDescent="0.25">
      <c r="A15025" s="515">
        <v>45869</v>
      </c>
      <c r="B15025" s="515" t="s">
        <v>480</v>
      </c>
      <c r="C15025" s="52">
        <v>235760.65553210201</v>
      </c>
      <c r="D15025" s="56">
        <v>6.7182054914071351E-2</v>
      </c>
      <c r="E15025" s="224" t="s">
        <v>2</v>
      </c>
      <c r="F15025" s="515" t="s">
        <v>16204</v>
      </c>
      <c r="G15025" s="52">
        <v>128392.695306079</v>
      </c>
      <c r="H15025" s="56">
        <v>0.25449373630162697</v>
      </c>
      <c r="I15025" s="224" t="s">
        <v>2</v>
      </c>
    </row>
    <row r="15026" spans="1:9" x14ac:dyDescent="0.25">
      <c r="A15026" s="515">
        <v>44234</v>
      </c>
      <c r="B15026" s="515" t="s">
        <v>1000</v>
      </c>
      <c r="C15026" s="52">
        <v>257747.93823730201</v>
      </c>
      <c r="D15026" s="56">
        <v>7.7061559637709165E-2</v>
      </c>
      <c r="E15026" s="224" t="s">
        <v>2</v>
      </c>
      <c r="F15026" s="515" t="s">
        <v>16205</v>
      </c>
      <c r="G15026" s="52">
        <v>139636.91366300199</v>
      </c>
      <c r="H15026" s="56">
        <v>7.0078485195159496E-2</v>
      </c>
      <c r="I15026" s="224" t="s">
        <v>2</v>
      </c>
    </row>
    <row r="15027" spans="1:9" x14ac:dyDescent="0.25">
      <c r="A15027" s="515">
        <v>49111</v>
      </c>
      <c r="B15027" s="515" t="s">
        <v>698</v>
      </c>
      <c r="C15027" s="52">
        <v>199139.17320765901</v>
      </c>
      <c r="D15027" s="56">
        <v>0.10746412271253375</v>
      </c>
      <c r="E15027" s="224" t="s">
        <v>2</v>
      </c>
      <c r="F15027" s="515" t="s">
        <v>16206</v>
      </c>
      <c r="G15027" s="52">
        <v>198900.52439619499</v>
      </c>
      <c r="H15027" s="56">
        <v>5.7042369019004557E-2</v>
      </c>
      <c r="I15027" s="224" t="s">
        <v>2</v>
      </c>
    </row>
    <row r="15028" spans="1:9" x14ac:dyDescent="0.25">
      <c r="A15028" s="515">
        <v>44865</v>
      </c>
      <c r="B15028" s="515" t="s">
        <v>1050</v>
      </c>
      <c r="C15028" s="52">
        <v>136460.498870857</v>
      </c>
      <c r="D15028" s="56">
        <v>7.3769922669128338E-2</v>
      </c>
      <c r="E15028" s="224" t="s">
        <v>2</v>
      </c>
      <c r="F15028" s="515" t="s">
        <v>16207</v>
      </c>
      <c r="G15028" s="52">
        <v>493671.04394199501</v>
      </c>
      <c r="H15028" s="56">
        <v>1.5840731916225818E-2</v>
      </c>
      <c r="I15028" s="224" t="s">
        <v>2</v>
      </c>
    </row>
    <row r="15029" spans="1:9" x14ac:dyDescent="0.25">
      <c r="A15029" s="515">
        <v>44253</v>
      </c>
      <c r="B15029" s="515" t="s">
        <v>520</v>
      </c>
      <c r="C15029" s="52">
        <v>313963.76186737901</v>
      </c>
      <c r="D15029" s="56">
        <v>0.10967882666501824</v>
      </c>
      <c r="E15029" s="224" t="s">
        <v>2</v>
      </c>
      <c r="F15029" s="515" t="s">
        <v>16208</v>
      </c>
      <c r="G15029" s="52">
        <v>142174.02196160299</v>
      </c>
      <c r="H15029" s="56">
        <v>7.4088625887321416E-2</v>
      </c>
      <c r="I15029" s="224" t="s">
        <v>2</v>
      </c>
    </row>
    <row r="15030" spans="1:9" x14ac:dyDescent="0.25">
      <c r="A15030" s="515">
        <v>93453</v>
      </c>
      <c r="B15030" s="515" t="s">
        <v>959</v>
      </c>
      <c r="C15030" s="52">
        <v>660714.503983111</v>
      </c>
      <c r="D15030" s="56">
        <v>4.1649420102160904E-2</v>
      </c>
      <c r="E15030" s="224" t="s">
        <v>2</v>
      </c>
      <c r="F15030" s="515" t="s">
        <v>16209</v>
      </c>
      <c r="G15030" s="52">
        <v>277132.32436791802</v>
      </c>
      <c r="H15030" s="56">
        <v>5.1125733978086521E-2</v>
      </c>
      <c r="I15030" s="224" t="s">
        <v>2</v>
      </c>
    </row>
    <row r="15031" spans="1:9" x14ac:dyDescent="0.25">
      <c r="A15031" s="515">
        <v>84654</v>
      </c>
      <c r="C15031" s="52">
        <v>268804.19327425701</v>
      </c>
      <c r="D15031" s="56">
        <v>9.4272745661660717E-2</v>
      </c>
      <c r="E15031" s="224" t="s">
        <v>2</v>
      </c>
      <c r="F15031" s="515" t="s">
        <v>16210</v>
      </c>
      <c r="G15031" s="52">
        <v>130531.472317822</v>
      </c>
      <c r="H15031" s="56">
        <v>0</v>
      </c>
      <c r="I15031" s="224" t="s">
        <v>2</v>
      </c>
    </row>
    <row r="15032" spans="1:9" x14ac:dyDescent="0.25">
      <c r="A15032" s="515">
        <v>47665</v>
      </c>
      <c r="C15032" s="52">
        <v>175834.25023031401</v>
      </c>
      <c r="D15032" s="56">
        <v>5.4730759797311408E-2</v>
      </c>
      <c r="E15032" s="224" t="s">
        <v>2</v>
      </c>
      <c r="F15032" s="515" t="s">
        <v>16211</v>
      </c>
      <c r="G15032" s="52">
        <v>126745.35824525</v>
      </c>
      <c r="H15032" s="56">
        <v>-3.7147533181587464E-2</v>
      </c>
      <c r="I15032" s="224" t="s">
        <v>2</v>
      </c>
    </row>
    <row r="15033" spans="1:9" x14ac:dyDescent="0.25">
      <c r="A15033" s="515">
        <v>14772</v>
      </c>
      <c r="B15033" s="515" t="s">
        <v>870</v>
      </c>
      <c r="C15033" s="52">
        <v>127981.83586218899</v>
      </c>
      <c r="D15033" s="56">
        <v>0.10799378043130385</v>
      </c>
      <c r="E15033" s="224" t="s">
        <v>2</v>
      </c>
      <c r="F15033" s="515" t="s">
        <v>16212</v>
      </c>
      <c r="G15033" s="52">
        <v>203130.67794999501</v>
      </c>
      <c r="H15033" s="56">
        <v>7.3548945845766087E-2</v>
      </c>
      <c r="I15033" s="224" t="s">
        <v>2</v>
      </c>
    </row>
    <row r="15034" spans="1:9" x14ac:dyDescent="0.25">
      <c r="A15034" s="515">
        <v>56520</v>
      </c>
      <c r="B15034" s="515" t="s">
        <v>548</v>
      </c>
      <c r="C15034" s="52">
        <v>172230.883651546</v>
      </c>
      <c r="D15034" s="56">
        <v>3.0850221418295177E-2</v>
      </c>
      <c r="E15034" s="224" t="s">
        <v>2</v>
      </c>
      <c r="F15034" s="515" t="s">
        <v>16213</v>
      </c>
      <c r="G15034" s="52">
        <v>482463.74911793403</v>
      </c>
      <c r="H15034" s="56">
        <v>7.0069085848875117E-3</v>
      </c>
      <c r="I15034" s="224" t="s">
        <v>2</v>
      </c>
    </row>
    <row r="15035" spans="1:9" x14ac:dyDescent="0.25">
      <c r="A15035" s="515">
        <v>24970</v>
      </c>
      <c r="C15035" s="52">
        <v>124972.943523949</v>
      </c>
      <c r="D15035" s="56">
        <v>6.8185821926035714E-2</v>
      </c>
      <c r="E15035" s="224" t="s">
        <v>2</v>
      </c>
      <c r="F15035" s="515" t="s">
        <v>16214</v>
      </c>
      <c r="G15035" s="52">
        <v>127125.627292291</v>
      </c>
      <c r="H15035" s="56">
        <v>9.1420991820068395E-2</v>
      </c>
      <c r="I15035" s="224" t="s">
        <v>2</v>
      </c>
    </row>
    <row r="15036" spans="1:9" x14ac:dyDescent="0.25">
      <c r="A15036" s="515">
        <v>62239</v>
      </c>
      <c r="B15036" s="515" t="s">
        <v>498</v>
      </c>
      <c r="C15036" s="52">
        <v>105716.645250004</v>
      </c>
      <c r="D15036" s="56">
        <v>3.9728179170226412E-2</v>
      </c>
      <c r="E15036" s="224" t="s">
        <v>2</v>
      </c>
      <c r="F15036" s="515" t="s">
        <v>16215</v>
      </c>
      <c r="G15036" s="52">
        <v>136756.32917655699</v>
      </c>
      <c r="H15036" s="56">
        <v>-2.2219383697422553E-2</v>
      </c>
      <c r="I15036" s="224" t="s">
        <v>2</v>
      </c>
    </row>
    <row r="15037" spans="1:9" x14ac:dyDescent="0.25">
      <c r="A15037" s="515">
        <v>17084</v>
      </c>
      <c r="B15037" s="515" t="s">
        <v>714</v>
      </c>
      <c r="C15037" s="52">
        <v>205818.093830383</v>
      </c>
      <c r="D15037" s="56">
        <v>8.6426101195806446E-2</v>
      </c>
      <c r="E15037" s="224" t="s">
        <v>2</v>
      </c>
      <c r="F15037" s="515" t="s">
        <v>16216</v>
      </c>
      <c r="G15037" s="52">
        <v>156156.55160487501</v>
      </c>
      <c r="H15037" s="56">
        <v>9.6963438927022E-2</v>
      </c>
      <c r="I15037" s="224" t="s">
        <v>2</v>
      </c>
    </row>
    <row r="15038" spans="1:9" x14ac:dyDescent="0.25">
      <c r="A15038" s="515">
        <v>98857</v>
      </c>
      <c r="B15038" s="515" t="s">
        <v>666</v>
      </c>
      <c r="C15038" s="52">
        <v>267079.34150998801</v>
      </c>
      <c r="D15038" s="56">
        <v>6.4130519584530074E-2</v>
      </c>
      <c r="E15038" s="224" t="s">
        <v>2</v>
      </c>
      <c r="F15038" s="515" t="s">
        <v>16217</v>
      </c>
      <c r="G15038" s="52">
        <v>99838.275811237094</v>
      </c>
      <c r="H15038" s="56">
        <v>0</v>
      </c>
      <c r="I15038" s="224" t="s">
        <v>2</v>
      </c>
    </row>
    <row r="15039" spans="1:9" x14ac:dyDescent="0.25">
      <c r="A15039" s="515">
        <v>28453</v>
      </c>
      <c r="C15039" s="52">
        <v>119646.000632061</v>
      </c>
      <c r="D15039" s="56">
        <v>0.28899903277437478</v>
      </c>
      <c r="E15039" s="224" t="s">
        <v>2</v>
      </c>
      <c r="F15039" s="515" t="s">
        <v>16218</v>
      </c>
      <c r="G15039" s="52">
        <v>535229.66592079902</v>
      </c>
      <c r="H15039" s="56">
        <v>9.0648186193475325E-2</v>
      </c>
      <c r="I15039" s="224" t="s">
        <v>2</v>
      </c>
    </row>
    <row r="15040" spans="1:9" x14ac:dyDescent="0.25">
      <c r="A15040" s="515">
        <v>77430</v>
      </c>
      <c r="B15040" s="515" t="s">
        <v>314</v>
      </c>
      <c r="C15040" s="52">
        <v>289803.86146993999</v>
      </c>
      <c r="D15040" s="56">
        <v>2.6096158093378435E-2</v>
      </c>
      <c r="E15040" s="224" t="s">
        <v>2</v>
      </c>
      <c r="F15040" s="515" t="s">
        <v>16219</v>
      </c>
      <c r="G15040" s="52">
        <v>134171.10498526099</v>
      </c>
      <c r="H15040" s="56">
        <v>-9.4631728348153945E-3</v>
      </c>
      <c r="I15040" s="224" t="s">
        <v>2</v>
      </c>
    </row>
    <row r="15041" spans="1:9" x14ac:dyDescent="0.25">
      <c r="A15041" s="515">
        <v>56277</v>
      </c>
      <c r="C15041" s="52">
        <v>170638.21648681999</v>
      </c>
      <c r="D15041" s="56">
        <v>1.8117289953087826E-2</v>
      </c>
      <c r="E15041" s="224" t="s">
        <v>2</v>
      </c>
      <c r="F15041" s="515" t="s">
        <v>16220</v>
      </c>
      <c r="G15041" s="52">
        <v>178328.60985390999</v>
      </c>
      <c r="H15041" s="56">
        <v>6.9899550838092822E-2</v>
      </c>
      <c r="I15041" s="224" t="s">
        <v>2</v>
      </c>
    </row>
    <row r="15042" spans="1:9" x14ac:dyDescent="0.25">
      <c r="A15042" s="515">
        <v>67661</v>
      </c>
      <c r="C15042" s="52">
        <v>105167.9008869</v>
      </c>
      <c r="D15042" s="56">
        <v>7.9734265053520756E-2</v>
      </c>
      <c r="E15042" s="224" t="s">
        <v>2</v>
      </c>
      <c r="F15042" s="515" t="s">
        <v>16221</v>
      </c>
      <c r="G15042" s="52">
        <v>224036.14339350999</v>
      </c>
      <c r="H15042" s="56">
        <v>0.10305058273572436</v>
      </c>
      <c r="I15042" s="224" t="s">
        <v>2</v>
      </c>
    </row>
    <row r="15043" spans="1:9" x14ac:dyDescent="0.25">
      <c r="A15043" s="515">
        <v>38034</v>
      </c>
      <c r="B15043" s="515" t="s">
        <v>691</v>
      </c>
      <c r="C15043" s="52">
        <v>117266.455518199</v>
      </c>
      <c r="D15043" s="56">
        <v>-1.2583633053933375E-3</v>
      </c>
      <c r="E15043" s="224" t="s">
        <v>2</v>
      </c>
      <c r="F15043" s="515" t="s">
        <v>16222</v>
      </c>
      <c r="G15043" s="52">
        <v>114967.67858140499</v>
      </c>
      <c r="H15043" s="56">
        <v>-3.9840159396803909E-2</v>
      </c>
      <c r="I15043" s="224" t="s">
        <v>2</v>
      </c>
    </row>
    <row r="15044" spans="1:9" x14ac:dyDescent="0.25">
      <c r="A15044" s="515">
        <v>44473</v>
      </c>
      <c r="B15044" s="515" t="s">
        <v>397</v>
      </c>
      <c r="C15044" s="52">
        <v>170361.87864948</v>
      </c>
      <c r="D15044" s="56">
        <v>7.3735195072456905E-2</v>
      </c>
      <c r="E15044" s="224" t="s">
        <v>2</v>
      </c>
      <c r="F15044" s="515" t="s">
        <v>16223</v>
      </c>
      <c r="G15044" s="52">
        <v>222566.832433923</v>
      </c>
      <c r="H15044" s="56">
        <v>0.14492894255470953</v>
      </c>
      <c r="I15044" s="224" t="s">
        <v>2</v>
      </c>
    </row>
    <row r="15045" spans="1:9" x14ac:dyDescent="0.25">
      <c r="A15045" s="515">
        <v>69201</v>
      </c>
      <c r="C15045" s="52">
        <v>176355.842375498</v>
      </c>
      <c r="D15045" s="56">
        <v>8.6377275171643939E-2</v>
      </c>
      <c r="E15045" s="224" t="s">
        <v>2</v>
      </c>
      <c r="F15045" s="515" t="s">
        <v>16224</v>
      </c>
      <c r="G15045" s="52">
        <v>211526.73641439399</v>
      </c>
      <c r="H15045" s="56">
        <v>6.7256074498982479E-2</v>
      </c>
      <c r="I15045" s="224" t="s">
        <v>2</v>
      </c>
    </row>
    <row r="15046" spans="1:9" x14ac:dyDescent="0.25">
      <c r="A15046" s="515">
        <v>47923</v>
      </c>
      <c r="C15046" s="52">
        <v>190346.15146145201</v>
      </c>
      <c r="D15046" s="56">
        <v>7.9894575046628835E-2</v>
      </c>
      <c r="E15046" s="224" t="s">
        <v>2</v>
      </c>
      <c r="F15046" s="515" t="s">
        <v>16225</v>
      </c>
      <c r="G15046" s="52">
        <v>113727.618244242</v>
      </c>
      <c r="H15046" s="56">
        <v>4.9185373885010368E-2</v>
      </c>
      <c r="I15046" s="224" t="s">
        <v>2</v>
      </c>
    </row>
    <row r="15047" spans="1:9" x14ac:dyDescent="0.25">
      <c r="A15047" s="515">
        <v>40045</v>
      </c>
      <c r="C15047" s="52">
        <v>170335.47283079999</v>
      </c>
      <c r="D15047" s="56">
        <v>0.12521752820665552</v>
      </c>
      <c r="E15047" s="224" t="s">
        <v>2</v>
      </c>
      <c r="F15047" s="515" t="s">
        <v>16226</v>
      </c>
      <c r="G15047" s="52">
        <v>171476.36909541601</v>
      </c>
      <c r="H15047" s="56">
        <v>0.10801986188443234</v>
      </c>
      <c r="I15047" s="224" t="s">
        <v>2</v>
      </c>
    </row>
    <row r="15048" spans="1:9" x14ac:dyDescent="0.25">
      <c r="A15048" s="515">
        <v>27846</v>
      </c>
      <c r="C15048" s="52">
        <v>104934.45764840599</v>
      </c>
      <c r="D15048" s="56">
        <v>2.4848910294883151E-2</v>
      </c>
      <c r="E15048" s="224" t="s">
        <v>2</v>
      </c>
      <c r="F15048" s="515" t="s">
        <v>16227</v>
      </c>
      <c r="G15048" s="52">
        <v>184348.824253231</v>
      </c>
      <c r="H15048" s="56">
        <v>7.5626060085430047E-2</v>
      </c>
      <c r="I15048" s="224" t="s">
        <v>2</v>
      </c>
    </row>
    <row r="15049" spans="1:9" x14ac:dyDescent="0.25">
      <c r="A15049" s="515">
        <v>73141</v>
      </c>
      <c r="B15049" s="515" t="s">
        <v>385</v>
      </c>
      <c r="C15049" s="52">
        <v>123801.691171333</v>
      </c>
      <c r="D15049" s="56">
        <v>0.20061932204946559</v>
      </c>
      <c r="E15049" s="224" t="s">
        <v>2</v>
      </c>
      <c r="F15049" s="515" t="s">
        <v>16228</v>
      </c>
      <c r="G15049" s="52">
        <v>116929.552260326</v>
      </c>
      <c r="H15049" s="56">
        <v>7.3885180148262272E-2</v>
      </c>
      <c r="I15049" s="224" t="s">
        <v>2</v>
      </c>
    </row>
    <row r="15050" spans="1:9" x14ac:dyDescent="0.25">
      <c r="A15050" s="515">
        <v>95633</v>
      </c>
      <c r="B15050" s="515" t="s">
        <v>355</v>
      </c>
      <c r="C15050" s="52">
        <v>446421.02986319299</v>
      </c>
      <c r="D15050" s="56">
        <v>-3.7725551462473507E-2</v>
      </c>
      <c r="E15050" s="224" t="s">
        <v>2</v>
      </c>
      <c r="F15050" s="515" t="s">
        <v>16229</v>
      </c>
      <c r="G15050" s="52">
        <v>118031.72383633901</v>
      </c>
      <c r="H15050" s="56">
        <v>-5.3007325829468342E-2</v>
      </c>
      <c r="I15050" s="224" t="s">
        <v>2</v>
      </c>
    </row>
    <row r="15051" spans="1:9" x14ac:dyDescent="0.25">
      <c r="A15051" s="515">
        <v>76457</v>
      </c>
      <c r="C15051" s="52">
        <v>245527.053165013</v>
      </c>
      <c r="D15051" s="56">
        <v>1.0299052644824938E-2</v>
      </c>
      <c r="E15051" s="224" t="s">
        <v>2</v>
      </c>
      <c r="F15051" s="515" t="s">
        <v>16230</v>
      </c>
      <c r="G15051" s="52">
        <v>71157.598903503502</v>
      </c>
      <c r="H15051" s="56">
        <v>0</v>
      </c>
      <c r="I15051" s="224" t="s">
        <v>2</v>
      </c>
    </row>
    <row r="15052" spans="1:9" x14ac:dyDescent="0.25">
      <c r="A15052" s="515">
        <v>17301</v>
      </c>
      <c r="B15052" s="515" t="s">
        <v>457</v>
      </c>
      <c r="C15052" s="52">
        <v>273069.15976853302</v>
      </c>
      <c r="D15052" s="56">
        <v>7.3902972784940874E-2</v>
      </c>
      <c r="E15052" s="224" t="s">
        <v>2</v>
      </c>
      <c r="F15052" s="515" t="s">
        <v>16231</v>
      </c>
      <c r="G15052" s="52">
        <v>136512.08835127801</v>
      </c>
      <c r="H15052" s="56">
        <v>1.593544582975403E-4</v>
      </c>
      <c r="I15052" s="224" t="s">
        <v>2</v>
      </c>
    </row>
    <row r="15053" spans="1:9" x14ac:dyDescent="0.25">
      <c r="A15053" s="515">
        <v>3223</v>
      </c>
      <c r="B15053" s="515" t="s">
        <v>420</v>
      </c>
      <c r="C15053" s="52">
        <v>337414.84791012103</v>
      </c>
      <c r="D15053" s="56">
        <v>0.13677518219296741</v>
      </c>
      <c r="E15053" s="224" t="s">
        <v>2</v>
      </c>
      <c r="F15053" s="515" t="s">
        <v>16232</v>
      </c>
      <c r="G15053" s="52">
        <v>206494.548362548</v>
      </c>
      <c r="H15053" s="56">
        <v>5.555916223761212E-2</v>
      </c>
      <c r="I15053" s="224" t="s">
        <v>2</v>
      </c>
    </row>
    <row r="15054" spans="1:9" x14ac:dyDescent="0.25">
      <c r="A15054" s="515">
        <v>51510</v>
      </c>
      <c r="B15054" s="515" t="s">
        <v>367</v>
      </c>
      <c r="C15054" s="52">
        <v>160426.919717571</v>
      </c>
      <c r="D15054" s="56">
        <v>8.7376469178939917E-2</v>
      </c>
      <c r="E15054" s="224" t="s">
        <v>2</v>
      </c>
      <c r="F15054" s="515" t="s">
        <v>16233</v>
      </c>
      <c r="G15054" s="52">
        <v>353863.47561154398</v>
      </c>
      <c r="H15054" s="56">
        <v>5.032886399166716E-2</v>
      </c>
      <c r="I15054" s="224" t="s">
        <v>2</v>
      </c>
    </row>
    <row r="15055" spans="1:9" x14ac:dyDescent="0.25">
      <c r="A15055" s="515">
        <v>35576</v>
      </c>
      <c r="C15055" s="52">
        <v>124547.017812016</v>
      </c>
      <c r="D15055" s="56">
        <v>6.4583804584501915E-3</v>
      </c>
      <c r="E15055" s="224" t="s">
        <v>2</v>
      </c>
      <c r="F15055" s="515" t="s">
        <v>16234</v>
      </c>
      <c r="G15055" s="52">
        <v>291467.14139500802</v>
      </c>
      <c r="H15055" s="56">
        <v>5.9260606357930491E-2</v>
      </c>
      <c r="I15055" s="224" t="s">
        <v>2</v>
      </c>
    </row>
    <row r="15056" spans="1:9" x14ac:dyDescent="0.25">
      <c r="A15056" s="515">
        <v>28508</v>
      </c>
      <c r="C15056" s="52">
        <v>161554.21360097101</v>
      </c>
      <c r="D15056" s="56">
        <v>0.22355894502518051</v>
      </c>
      <c r="E15056" s="224" t="s">
        <v>2</v>
      </c>
      <c r="F15056" s="515" t="s">
        <v>16235</v>
      </c>
      <c r="G15056" s="52">
        <v>231334.46340462001</v>
      </c>
      <c r="H15056" s="56">
        <v>4.5006790252042843E-2</v>
      </c>
      <c r="I15056" s="224" t="s">
        <v>2</v>
      </c>
    </row>
    <row r="15057" spans="1:9" x14ac:dyDescent="0.25">
      <c r="A15057" s="515">
        <v>70052</v>
      </c>
      <c r="B15057" s="515" t="s">
        <v>777</v>
      </c>
      <c r="C15057" s="52">
        <v>191557.467874344</v>
      </c>
      <c r="D15057" s="56">
        <v>7.6160587255722556E-2</v>
      </c>
      <c r="E15057" s="224" t="s">
        <v>2</v>
      </c>
      <c r="F15057" s="515" t="s">
        <v>16236</v>
      </c>
      <c r="G15057" s="52">
        <v>166565.43047288901</v>
      </c>
      <c r="H15057" s="56">
        <v>5.4909606935086189E-2</v>
      </c>
      <c r="I15057" s="224" t="s">
        <v>2</v>
      </c>
    </row>
    <row r="15058" spans="1:9" x14ac:dyDescent="0.25">
      <c r="A15058" s="515">
        <v>63341</v>
      </c>
      <c r="B15058" s="515" t="s">
        <v>498</v>
      </c>
      <c r="C15058" s="52">
        <v>504523.47000774601</v>
      </c>
      <c r="D15058" s="56">
        <v>8.0469603461702052E-2</v>
      </c>
      <c r="E15058" s="224" t="s">
        <v>2</v>
      </c>
      <c r="F15058" s="515" t="s">
        <v>16237</v>
      </c>
      <c r="G15058" s="52">
        <v>147398.36360441099</v>
      </c>
      <c r="H15058" s="56">
        <v>9.3959436784817621E-2</v>
      </c>
      <c r="I15058" s="224" t="s">
        <v>2</v>
      </c>
    </row>
    <row r="15059" spans="1:9" x14ac:dyDescent="0.25">
      <c r="A15059" s="515">
        <v>77664</v>
      </c>
      <c r="C15059" s="52">
        <v>177392.18957934499</v>
      </c>
      <c r="D15059" s="56">
        <v>-2.1312792021232655E-2</v>
      </c>
      <c r="E15059" s="224" t="s">
        <v>2</v>
      </c>
      <c r="F15059" s="515" t="s">
        <v>16238</v>
      </c>
      <c r="G15059" s="52">
        <v>211509.80455308501</v>
      </c>
      <c r="H15059" s="56">
        <v>3.1834197719654823E-2</v>
      </c>
      <c r="I15059" s="224" t="s">
        <v>2</v>
      </c>
    </row>
    <row r="15060" spans="1:9" x14ac:dyDescent="0.25">
      <c r="A15060" s="515">
        <v>42378</v>
      </c>
      <c r="B15060" s="515" t="s">
        <v>1024</v>
      </c>
      <c r="C15060" s="52">
        <v>172734.05580510799</v>
      </c>
      <c r="D15060" s="56">
        <v>0.11236626717616578</v>
      </c>
      <c r="E15060" s="224" t="s">
        <v>2</v>
      </c>
      <c r="F15060" s="515" t="s">
        <v>16239</v>
      </c>
      <c r="G15060" s="52">
        <v>360975.978661942</v>
      </c>
      <c r="H15060" s="56">
        <v>-2.3241379771287811E-2</v>
      </c>
      <c r="I15060" s="224" t="s">
        <v>2</v>
      </c>
    </row>
    <row r="15061" spans="1:9" x14ac:dyDescent="0.25">
      <c r="A15061" s="515">
        <v>44626</v>
      </c>
      <c r="B15061" s="515" t="s">
        <v>863</v>
      </c>
      <c r="C15061" s="52">
        <v>166249.80852523001</v>
      </c>
      <c r="D15061" s="56">
        <v>5.1313431947085666E-2</v>
      </c>
      <c r="E15061" s="224" t="s">
        <v>2</v>
      </c>
      <c r="F15061" s="515" t="s">
        <v>16240</v>
      </c>
      <c r="G15061" s="52">
        <v>176393.69109578399</v>
      </c>
      <c r="H15061" s="56">
        <v>-2.598635024253353E-2</v>
      </c>
      <c r="I15061" s="224" t="s">
        <v>2</v>
      </c>
    </row>
    <row r="15062" spans="1:9" x14ac:dyDescent="0.25">
      <c r="A15062" s="515">
        <v>20764</v>
      </c>
      <c r="B15062" s="515" t="s">
        <v>582</v>
      </c>
      <c r="C15062" s="52">
        <v>375814.42945918703</v>
      </c>
      <c r="D15062" s="56">
        <v>3.3025096471716149E-2</v>
      </c>
      <c r="E15062" s="224" t="s">
        <v>2</v>
      </c>
      <c r="F15062" s="515" t="s">
        <v>16241</v>
      </c>
      <c r="G15062" s="52">
        <v>183879.974529217</v>
      </c>
      <c r="H15062" s="56">
        <v>0.13697807400786746</v>
      </c>
      <c r="I15062" s="224" t="s">
        <v>2</v>
      </c>
    </row>
    <row r="15063" spans="1:9" x14ac:dyDescent="0.25">
      <c r="A15063" s="515">
        <v>49709</v>
      </c>
      <c r="C15063" s="52">
        <v>115956.96281447999</v>
      </c>
      <c r="D15063" s="56">
        <v>6.534553145773403E-2</v>
      </c>
      <c r="E15063" s="224" t="s">
        <v>2</v>
      </c>
      <c r="F15063" s="515" t="s">
        <v>16242</v>
      </c>
      <c r="G15063" s="52">
        <v>145107.29270361501</v>
      </c>
      <c r="H15063" s="56">
        <v>8.7475581617989462E-2</v>
      </c>
      <c r="I15063" s="224" t="s">
        <v>2</v>
      </c>
    </row>
    <row r="15064" spans="1:9" x14ac:dyDescent="0.25">
      <c r="A15064" s="515">
        <v>7803</v>
      </c>
      <c r="B15064" s="515" t="s">
        <v>324</v>
      </c>
      <c r="C15064" s="52">
        <v>388866.66881171498</v>
      </c>
      <c r="D15064" s="56">
        <v>6.3858432192354347E-2</v>
      </c>
      <c r="E15064" s="224" t="s">
        <v>2</v>
      </c>
      <c r="F15064" s="515" t="s">
        <v>16243</v>
      </c>
      <c r="G15064" s="52">
        <v>195502.738778953</v>
      </c>
      <c r="H15064" s="56">
        <v>0.11173358718925491</v>
      </c>
      <c r="I15064" s="224" t="s">
        <v>2</v>
      </c>
    </row>
    <row r="15065" spans="1:9" x14ac:dyDescent="0.25">
      <c r="A15065" s="515">
        <v>84535</v>
      </c>
      <c r="C15065" s="52">
        <v>284101.72640515497</v>
      </c>
      <c r="D15065" s="56">
        <v>5.5928909312865961E-2</v>
      </c>
      <c r="E15065" s="224" t="s">
        <v>2</v>
      </c>
      <c r="F15065" s="515" t="s">
        <v>16244</v>
      </c>
      <c r="G15065" s="52">
        <v>136419.501470822</v>
      </c>
      <c r="H15065" s="56">
        <v>0.20063820490262746</v>
      </c>
      <c r="I15065" s="224" t="s">
        <v>2</v>
      </c>
    </row>
    <row r="15066" spans="1:9" x14ac:dyDescent="0.25">
      <c r="A15066" s="515">
        <v>53960</v>
      </c>
      <c r="B15066" s="515" t="s">
        <v>727</v>
      </c>
      <c r="C15066" s="52">
        <v>262740.020707416</v>
      </c>
      <c r="D15066" s="56">
        <v>1.9355113685744229E-2</v>
      </c>
      <c r="E15066" s="224" t="s">
        <v>2</v>
      </c>
      <c r="F15066" s="515" t="s">
        <v>16245</v>
      </c>
      <c r="G15066" s="52">
        <v>120526.925999511</v>
      </c>
      <c r="H15066" s="56">
        <v>3.4628333379895335E-2</v>
      </c>
      <c r="I15066" s="224" t="s">
        <v>2</v>
      </c>
    </row>
    <row r="15067" spans="1:9" x14ac:dyDescent="0.25">
      <c r="A15067" s="515">
        <v>49088</v>
      </c>
      <c r="B15067" s="515" t="s">
        <v>1037</v>
      </c>
      <c r="C15067" s="52">
        <v>268935.25142470998</v>
      </c>
      <c r="D15067" s="56">
        <v>5.1841306838403441E-2</v>
      </c>
      <c r="E15067" s="224" t="s">
        <v>2</v>
      </c>
      <c r="F15067" s="515" t="s">
        <v>16246</v>
      </c>
      <c r="G15067" s="52">
        <v>299977.81105989101</v>
      </c>
      <c r="H15067" s="56">
        <v>0.10493422750854159</v>
      </c>
      <c r="I15067" s="224" t="s">
        <v>2</v>
      </c>
    </row>
    <row r="15068" spans="1:9" x14ac:dyDescent="0.25">
      <c r="A15068" s="515">
        <v>41572</v>
      </c>
      <c r="C15068" s="52">
        <v>76653.212758709895</v>
      </c>
      <c r="D15068" s="56">
        <v>0.1868656628819042</v>
      </c>
      <c r="E15068" s="224" t="s">
        <v>2</v>
      </c>
      <c r="F15068" s="515" t="s">
        <v>16247</v>
      </c>
      <c r="G15068" s="52">
        <v>223581.882173755</v>
      </c>
      <c r="H15068" s="56">
        <v>0.10535049604961831</v>
      </c>
      <c r="I15068" s="224" t="s">
        <v>2</v>
      </c>
    </row>
    <row r="15069" spans="1:9" x14ac:dyDescent="0.25">
      <c r="A15069" s="515">
        <v>71346</v>
      </c>
      <c r="B15069" s="515" t="s">
        <v>968</v>
      </c>
      <c r="C15069" s="52">
        <v>135847.971844288</v>
      </c>
      <c r="D15069" s="56">
        <v>8.7575379545515197E-2</v>
      </c>
      <c r="E15069" s="224" t="s">
        <v>2</v>
      </c>
      <c r="F15069" s="515" t="s">
        <v>16248</v>
      </c>
      <c r="G15069" s="52">
        <v>401721.83354695799</v>
      </c>
      <c r="H15069" s="56">
        <v>6.4559152537527809E-2</v>
      </c>
      <c r="I15069" s="224" t="s">
        <v>2</v>
      </c>
    </row>
    <row r="15070" spans="1:9" x14ac:dyDescent="0.25">
      <c r="A15070" s="515">
        <v>49635</v>
      </c>
      <c r="B15070" s="515" t="s">
        <v>366</v>
      </c>
      <c r="C15070" s="52">
        <v>405588.45426125999</v>
      </c>
      <c r="D15070" s="56">
        <v>9.6752944602782512E-2</v>
      </c>
      <c r="E15070" s="224" t="s">
        <v>2</v>
      </c>
      <c r="F15070" s="515" t="s">
        <v>16249</v>
      </c>
      <c r="G15070" s="52">
        <v>104334.658249026</v>
      </c>
      <c r="H15070" s="56">
        <v>7.3388885966850212E-2</v>
      </c>
      <c r="I15070" s="224" t="s">
        <v>2</v>
      </c>
    </row>
    <row r="15071" spans="1:9" x14ac:dyDescent="0.25">
      <c r="A15071" s="515">
        <v>29584</v>
      </c>
      <c r="C15071" s="52">
        <v>95453.218978102101</v>
      </c>
      <c r="D15071" s="56">
        <v>0</v>
      </c>
      <c r="E15071" s="224" t="s">
        <v>2</v>
      </c>
      <c r="F15071" s="515" t="s">
        <v>16250</v>
      </c>
      <c r="G15071" s="52">
        <v>342069.89672353503</v>
      </c>
      <c r="H15071" s="56">
        <v>0</v>
      </c>
      <c r="I15071" s="224" t="s">
        <v>2</v>
      </c>
    </row>
    <row r="15072" spans="1:9" x14ac:dyDescent="0.25">
      <c r="A15072" s="515">
        <v>42519</v>
      </c>
      <c r="B15072" s="515" t="s">
        <v>1145</v>
      </c>
      <c r="C15072" s="52">
        <v>131845.585829321</v>
      </c>
      <c r="D15072" s="56">
        <v>0.28995134864130806</v>
      </c>
      <c r="E15072" s="224" t="s">
        <v>2</v>
      </c>
      <c r="F15072" s="515" t="s">
        <v>16251</v>
      </c>
      <c r="G15072" s="52">
        <v>270833.46054842498</v>
      </c>
      <c r="H15072" s="56">
        <v>-1.2751763525911891E-2</v>
      </c>
      <c r="I15072" s="224" t="s">
        <v>2</v>
      </c>
    </row>
    <row r="15073" spans="1:9" x14ac:dyDescent="0.25">
      <c r="A15073" s="515">
        <v>45629</v>
      </c>
      <c r="B15073" s="515" t="s">
        <v>772</v>
      </c>
      <c r="C15073" s="52">
        <v>132522.735682884</v>
      </c>
      <c r="D15073" s="56">
        <v>4.6361165509856125E-2</v>
      </c>
      <c r="E15073" s="224" t="s">
        <v>2</v>
      </c>
      <c r="F15073" s="515" t="s">
        <v>16252</v>
      </c>
      <c r="G15073" s="52">
        <v>438133.82488595601</v>
      </c>
      <c r="H15073" s="56">
        <v>9.5376041086487812E-2</v>
      </c>
      <c r="I15073" s="224" t="s">
        <v>2</v>
      </c>
    </row>
    <row r="15074" spans="1:9" x14ac:dyDescent="0.25">
      <c r="A15074" s="515">
        <v>14125</v>
      </c>
      <c r="B15074" s="515" t="s">
        <v>1014</v>
      </c>
      <c r="C15074" s="52">
        <v>154600.38534891899</v>
      </c>
      <c r="D15074" s="56">
        <v>6.3451348674965921E-2</v>
      </c>
      <c r="E15074" s="224" t="s">
        <v>2</v>
      </c>
      <c r="F15074" s="515" t="s">
        <v>16253</v>
      </c>
      <c r="G15074" s="52">
        <v>276647.44964822702</v>
      </c>
      <c r="H15074" s="56">
        <v>7.6599172909730187E-2</v>
      </c>
      <c r="I15074" s="224" t="s">
        <v>2</v>
      </c>
    </row>
    <row r="15075" spans="1:9" x14ac:dyDescent="0.25">
      <c r="A15075" s="515">
        <v>16950</v>
      </c>
      <c r="C15075" s="52">
        <v>153809.90160532601</v>
      </c>
      <c r="D15075" s="56">
        <v>0.10199921581446109</v>
      </c>
      <c r="E15075" s="224" t="s">
        <v>2</v>
      </c>
      <c r="F15075" s="515" t="s">
        <v>16254</v>
      </c>
      <c r="G15075" s="52">
        <v>244720.96436321799</v>
      </c>
      <c r="H15075" s="56">
        <v>8.6376142802003383E-2</v>
      </c>
      <c r="I15075" s="224" t="s">
        <v>2</v>
      </c>
    </row>
    <row r="15076" spans="1:9" x14ac:dyDescent="0.25">
      <c r="A15076" s="515">
        <v>49862</v>
      </c>
      <c r="C15076" s="52">
        <v>153903.806856104</v>
      </c>
      <c r="D15076" s="56">
        <v>6.17084084874591E-2</v>
      </c>
      <c r="E15076" s="224" t="s">
        <v>2</v>
      </c>
      <c r="F15076" s="515" t="s">
        <v>16255</v>
      </c>
      <c r="G15076" s="52">
        <v>145279.46718038901</v>
      </c>
      <c r="H15076" s="56">
        <v>3.2971775600796942E-2</v>
      </c>
      <c r="I15076" s="224" t="s">
        <v>2</v>
      </c>
    </row>
    <row r="15077" spans="1:9" x14ac:dyDescent="0.25">
      <c r="A15077" s="515">
        <v>63730</v>
      </c>
      <c r="B15077" s="515" t="s">
        <v>424</v>
      </c>
      <c r="C15077" s="52">
        <v>132644.25663561199</v>
      </c>
      <c r="D15077" s="56">
        <v>3.2683316163732032E-2</v>
      </c>
      <c r="E15077" s="224" t="s">
        <v>2</v>
      </c>
      <c r="F15077" s="515" t="s">
        <v>16256</v>
      </c>
      <c r="G15077" s="52">
        <v>345016.72074275499</v>
      </c>
      <c r="H15077" s="56">
        <v>5.0878474786944655E-2</v>
      </c>
      <c r="I15077" s="224" t="s">
        <v>2</v>
      </c>
    </row>
    <row r="15078" spans="1:9" x14ac:dyDescent="0.25">
      <c r="A15078" s="515">
        <v>80443</v>
      </c>
      <c r="B15078" s="515" t="s">
        <v>1169</v>
      </c>
      <c r="C15078" s="52">
        <v>865801.06535323896</v>
      </c>
      <c r="D15078" s="56">
        <v>5.2432738798631447E-3</v>
      </c>
      <c r="E15078" s="224" t="s">
        <v>2</v>
      </c>
      <c r="F15078" s="515" t="s">
        <v>16257</v>
      </c>
      <c r="G15078" s="52">
        <v>186338.35624434901</v>
      </c>
      <c r="H15078" s="56">
        <v>0.18048560923440377</v>
      </c>
      <c r="I15078" s="224" t="s">
        <v>2</v>
      </c>
    </row>
    <row r="15079" spans="1:9" x14ac:dyDescent="0.25">
      <c r="A15079" s="515">
        <v>75975</v>
      </c>
      <c r="C15079" s="52">
        <v>165049.47335832799</v>
      </c>
      <c r="D15079" s="56">
        <v>-7.1374976765330722E-2</v>
      </c>
      <c r="E15079" s="224" t="s">
        <v>2</v>
      </c>
      <c r="F15079" s="515" t="s">
        <v>16258</v>
      </c>
      <c r="G15079" s="52">
        <v>295591.25822571502</v>
      </c>
      <c r="H15079" s="56">
        <v>9.0762964525308493E-2</v>
      </c>
      <c r="I15079" s="224" t="s">
        <v>2</v>
      </c>
    </row>
    <row r="15080" spans="1:9" x14ac:dyDescent="0.25">
      <c r="A15080" s="515">
        <v>14719</v>
      </c>
      <c r="B15080" s="515" t="s">
        <v>870</v>
      </c>
      <c r="C15080" s="52">
        <v>130819.117517566</v>
      </c>
      <c r="D15080" s="56">
        <v>0.15764788232488502</v>
      </c>
      <c r="E15080" s="224" t="s">
        <v>2</v>
      </c>
      <c r="F15080" s="515" t="s">
        <v>16259</v>
      </c>
      <c r="G15080" s="52">
        <v>181141.85556769601</v>
      </c>
      <c r="H15080" s="56">
        <v>0.18277348384058162</v>
      </c>
      <c r="I15080" s="224" t="s">
        <v>2</v>
      </c>
    </row>
    <row r="15081" spans="1:9" x14ac:dyDescent="0.25">
      <c r="A15081" s="515">
        <v>31765</v>
      </c>
      <c r="B15081" s="515" t="s">
        <v>402</v>
      </c>
      <c r="C15081" s="52">
        <v>126251.901592915</v>
      </c>
      <c r="D15081" s="56">
        <v>-1.0078197604866133E-2</v>
      </c>
      <c r="E15081" s="224" t="s">
        <v>2</v>
      </c>
      <c r="F15081" s="515" t="s">
        <v>16260</v>
      </c>
      <c r="G15081" s="52">
        <v>302772.142146695</v>
      </c>
      <c r="H15081" s="56">
        <v>1.414200135087494E-2</v>
      </c>
      <c r="I15081" s="224" t="s">
        <v>2</v>
      </c>
    </row>
    <row r="15082" spans="1:9" x14ac:dyDescent="0.25">
      <c r="A15082" s="515">
        <v>35233</v>
      </c>
      <c r="B15082" s="515" t="s">
        <v>640</v>
      </c>
      <c r="C15082" s="52">
        <v>250035.32660916599</v>
      </c>
      <c r="D15082" s="56">
        <v>-3.7970306504350082E-3</v>
      </c>
      <c r="E15082" s="224" t="s">
        <v>2</v>
      </c>
      <c r="F15082" s="515" t="s">
        <v>16261</v>
      </c>
      <c r="G15082" s="52">
        <v>96080.246624768901</v>
      </c>
      <c r="H15082" s="56">
        <v>-2.4977086649185815E-2</v>
      </c>
      <c r="I15082" s="224" t="s">
        <v>2</v>
      </c>
    </row>
    <row r="15083" spans="1:9" x14ac:dyDescent="0.25">
      <c r="A15083" s="515">
        <v>68873</v>
      </c>
      <c r="B15083" s="515" t="s">
        <v>650</v>
      </c>
      <c r="C15083" s="52">
        <v>212909.20395842299</v>
      </c>
      <c r="D15083" s="56">
        <v>0.10615359365811029</v>
      </c>
      <c r="E15083" s="224" t="s">
        <v>2</v>
      </c>
      <c r="F15083" s="515" t="s">
        <v>16262</v>
      </c>
      <c r="G15083" s="52">
        <v>126239.687976452</v>
      </c>
      <c r="H15083" s="56">
        <v>-5.9407386812719093E-2</v>
      </c>
      <c r="I15083" s="224" t="s">
        <v>2</v>
      </c>
    </row>
    <row r="15084" spans="1:9" x14ac:dyDescent="0.25">
      <c r="A15084" s="515">
        <v>39360</v>
      </c>
      <c r="B15084" s="515" t="s">
        <v>970</v>
      </c>
      <c r="C15084" s="52">
        <v>93735.706266568304</v>
      </c>
      <c r="D15084" s="56">
        <v>-8.4833738744054005E-2</v>
      </c>
      <c r="E15084" s="224" t="s">
        <v>2</v>
      </c>
      <c r="F15084" s="515" t="s">
        <v>16263</v>
      </c>
      <c r="G15084" s="52">
        <v>119998.308397777</v>
      </c>
      <c r="H15084" s="56">
        <v>1.7228495786249798E-3</v>
      </c>
      <c r="I15084" s="224" t="s">
        <v>2</v>
      </c>
    </row>
    <row r="15085" spans="1:9" x14ac:dyDescent="0.25">
      <c r="A15085" s="515">
        <v>93516</v>
      </c>
      <c r="B15085" s="515" t="s">
        <v>419</v>
      </c>
      <c r="C15085" s="52">
        <v>137051.81342729999</v>
      </c>
      <c r="D15085" s="56">
        <v>0.20423872792994646</v>
      </c>
      <c r="E15085" s="224" t="s">
        <v>2</v>
      </c>
      <c r="F15085" s="515" t="s">
        <v>16264</v>
      </c>
      <c r="G15085" s="52">
        <v>82002.502242194707</v>
      </c>
      <c r="H15085" s="56">
        <v>0.11561310186102997</v>
      </c>
      <c r="I15085" s="224" t="s">
        <v>2</v>
      </c>
    </row>
    <row r="15086" spans="1:9" x14ac:dyDescent="0.25">
      <c r="A15086" s="515">
        <v>61531</v>
      </c>
      <c r="B15086" s="515" t="s">
        <v>303</v>
      </c>
      <c r="C15086" s="52">
        <v>101040.21195174</v>
      </c>
      <c r="D15086" s="56">
        <v>8.6632238206285392E-2</v>
      </c>
      <c r="E15086" s="224" t="s">
        <v>2</v>
      </c>
      <c r="F15086" s="515" t="s">
        <v>16265</v>
      </c>
      <c r="G15086" s="52">
        <v>484347.01475561498</v>
      </c>
      <c r="H15086" s="56">
        <v>0.10258111662154425</v>
      </c>
      <c r="I15086" s="224" t="s">
        <v>2</v>
      </c>
    </row>
    <row r="15087" spans="1:9" x14ac:dyDescent="0.25">
      <c r="A15087" s="515">
        <v>35188</v>
      </c>
      <c r="B15087" s="515" t="s">
        <v>640</v>
      </c>
      <c r="C15087" s="52">
        <v>212219.087296791</v>
      </c>
      <c r="D15087" s="56">
        <v>7.6920606369973388E-2</v>
      </c>
      <c r="E15087" s="224" t="s">
        <v>2</v>
      </c>
      <c r="F15087" s="515" t="s">
        <v>16266</v>
      </c>
      <c r="G15087" s="52">
        <v>259300.47675502</v>
      </c>
      <c r="H15087" s="56">
        <v>0.23849757420166773</v>
      </c>
      <c r="I15087" s="224" t="s">
        <v>2</v>
      </c>
    </row>
    <row r="15088" spans="1:9" x14ac:dyDescent="0.25">
      <c r="A15088" s="515">
        <v>77871</v>
      </c>
      <c r="C15088" s="52">
        <v>251041.79428658899</v>
      </c>
      <c r="D15088" s="56">
        <v>2.8778302240309684E-2</v>
      </c>
      <c r="E15088" s="224" t="s">
        <v>2</v>
      </c>
      <c r="F15088" s="515" t="s">
        <v>16267</v>
      </c>
      <c r="G15088" s="52">
        <v>172762.71944886399</v>
      </c>
      <c r="H15088" s="56">
        <v>0</v>
      </c>
      <c r="I15088" s="224" t="s">
        <v>2</v>
      </c>
    </row>
    <row r="15089" spans="1:9" x14ac:dyDescent="0.25">
      <c r="A15089" s="515">
        <v>30669</v>
      </c>
      <c r="C15089" s="52">
        <v>131365.90538623201</v>
      </c>
      <c r="D15089" s="56">
        <v>4.3048979818068378E-2</v>
      </c>
      <c r="E15089" s="224" t="s">
        <v>2</v>
      </c>
      <c r="F15089" s="515" t="s">
        <v>16268</v>
      </c>
      <c r="G15089" s="52">
        <v>116348.625464618</v>
      </c>
      <c r="H15089" s="56">
        <v>0.1099748978956948</v>
      </c>
      <c r="I15089" s="224" t="s">
        <v>2</v>
      </c>
    </row>
    <row r="15090" spans="1:9" x14ac:dyDescent="0.25">
      <c r="A15090" s="515">
        <v>97469</v>
      </c>
      <c r="B15090" s="515" t="s">
        <v>449</v>
      </c>
      <c r="C15090" s="52">
        <v>269350.973279119</v>
      </c>
      <c r="D15090" s="56">
        <v>6.8244204884719092E-2</v>
      </c>
      <c r="E15090" s="224" t="s">
        <v>2</v>
      </c>
      <c r="F15090" s="515" t="s">
        <v>16269</v>
      </c>
      <c r="G15090" s="52">
        <v>210133.68803162299</v>
      </c>
      <c r="H15090" s="56">
        <v>0.13768567709177182</v>
      </c>
      <c r="I15090" s="224" t="s">
        <v>2</v>
      </c>
    </row>
    <row r="15091" spans="1:9" x14ac:dyDescent="0.25">
      <c r="A15091" s="515">
        <v>65550</v>
      </c>
      <c r="B15091" s="515" t="s">
        <v>357</v>
      </c>
      <c r="C15091" s="52">
        <v>145332.751402686</v>
      </c>
      <c r="D15091" s="56">
        <v>4.7600754713506423E-2</v>
      </c>
      <c r="E15091" s="224" t="s">
        <v>2</v>
      </c>
      <c r="F15091" s="515" t="s">
        <v>16270</v>
      </c>
      <c r="G15091" s="52">
        <v>84632.542730796995</v>
      </c>
      <c r="H15091" s="56">
        <v>0.17682810509587607</v>
      </c>
      <c r="I15091" s="224" t="s">
        <v>2</v>
      </c>
    </row>
    <row r="15092" spans="1:9" x14ac:dyDescent="0.25">
      <c r="A15092" s="515">
        <v>75683</v>
      </c>
      <c r="B15092" s="515" t="s">
        <v>319</v>
      </c>
      <c r="C15092" s="52">
        <v>146180.24102173001</v>
      </c>
      <c r="D15092" s="56">
        <v>6.6650749125473752E-2</v>
      </c>
      <c r="E15092" s="224" t="s">
        <v>2</v>
      </c>
      <c r="F15092" s="515" t="s">
        <v>16271</v>
      </c>
      <c r="G15092" s="52">
        <v>87279.496296296202</v>
      </c>
      <c r="H15092" s="56">
        <v>0</v>
      </c>
      <c r="I15092" s="224" t="s">
        <v>2</v>
      </c>
    </row>
    <row r="15093" spans="1:9" x14ac:dyDescent="0.25">
      <c r="A15093" s="515">
        <v>37051</v>
      </c>
      <c r="B15093" s="515" t="s">
        <v>684</v>
      </c>
      <c r="C15093" s="52">
        <v>292819.678027755</v>
      </c>
      <c r="D15093" s="56">
        <v>4.7655959762155788E-2</v>
      </c>
      <c r="E15093" s="224" t="s">
        <v>2</v>
      </c>
      <c r="F15093" s="515" t="s">
        <v>16272</v>
      </c>
      <c r="G15093" s="52">
        <v>123808.769606207</v>
      </c>
      <c r="H15093" s="56">
        <v>9.5442603297909781E-2</v>
      </c>
      <c r="I15093" s="224" t="s">
        <v>2</v>
      </c>
    </row>
    <row r="15094" spans="1:9" x14ac:dyDescent="0.25">
      <c r="A15094" s="515">
        <v>27924</v>
      </c>
      <c r="C15094" s="52">
        <v>51511.965301694501</v>
      </c>
      <c r="D15094" s="56">
        <v>-7.4489436316812624E-2</v>
      </c>
      <c r="E15094" s="224" t="s">
        <v>2</v>
      </c>
      <c r="F15094" s="515" t="s">
        <v>16273</v>
      </c>
      <c r="G15094" s="52">
        <v>293005.40254715801</v>
      </c>
      <c r="H15094" s="56">
        <v>0.10207048178816729</v>
      </c>
      <c r="I15094" s="224" t="s">
        <v>2</v>
      </c>
    </row>
    <row r="15095" spans="1:9" x14ac:dyDescent="0.25">
      <c r="A15095" s="515">
        <v>33306</v>
      </c>
      <c r="B15095" s="515" t="s">
        <v>831</v>
      </c>
      <c r="C15095" s="52">
        <v>545383.58847362502</v>
      </c>
      <c r="D15095" s="56">
        <v>0.13998860082821415</v>
      </c>
      <c r="E15095" s="224">
        <v>1993.3333333333301</v>
      </c>
      <c r="F15095" s="515" t="s">
        <v>16274</v>
      </c>
      <c r="G15095" s="52">
        <v>150906.908506432</v>
      </c>
      <c r="H15095" s="56">
        <v>3.3885188505914626E-2</v>
      </c>
      <c r="I15095" s="224" t="s">
        <v>2</v>
      </c>
    </row>
    <row r="15096" spans="1:9" x14ac:dyDescent="0.25">
      <c r="A15096" s="515">
        <v>17344</v>
      </c>
      <c r="B15096" s="515" t="s">
        <v>457</v>
      </c>
      <c r="C15096" s="52">
        <v>210944.99573219201</v>
      </c>
      <c r="D15096" s="56">
        <v>9.2147563016669473E-2</v>
      </c>
      <c r="E15096" s="224" t="s">
        <v>2</v>
      </c>
      <c r="F15096" s="515" t="s">
        <v>16275</v>
      </c>
      <c r="G15096" s="52">
        <v>106800.26847864701</v>
      </c>
      <c r="H15096" s="56">
        <v>3.485497420221164E-2</v>
      </c>
      <c r="I15096" s="224" t="s">
        <v>2</v>
      </c>
    </row>
    <row r="15097" spans="1:9" x14ac:dyDescent="0.25">
      <c r="A15097" s="515">
        <v>1908</v>
      </c>
      <c r="B15097" s="515" t="s">
        <v>534</v>
      </c>
      <c r="C15097" s="52">
        <v>818309.307165734</v>
      </c>
      <c r="D15097" s="56">
        <v>0.10329261398818074</v>
      </c>
      <c r="E15097" s="224" t="s">
        <v>2</v>
      </c>
      <c r="F15097" s="515" t="s">
        <v>16276</v>
      </c>
      <c r="G15097" s="52">
        <v>78535.709059694302</v>
      </c>
      <c r="H15097" s="56">
        <v>0.12412231043549063</v>
      </c>
      <c r="I15097" s="224" t="s">
        <v>2</v>
      </c>
    </row>
    <row r="15098" spans="1:9" x14ac:dyDescent="0.25">
      <c r="A15098" s="515">
        <v>48634</v>
      </c>
      <c r="B15098" s="515" t="s">
        <v>1022</v>
      </c>
      <c r="C15098" s="52">
        <v>152825.43839944701</v>
      </c>
      <c r="D15098" s="56">
        <v>6.3351429678215401E-2</v>
      </c>
      <c r="E15098" s="224" t="s">
        <v>2</v>
      </c>
      <c r="F15098" s="515" t="s">
        <v>16277</v>
      </c>
      <c r="G15098" s="52">
        <v>313627.23661473498</v>
      </c>
      <c r="H15098" s="56">
        <v>0.11960674087571527</v>
      </c>
      <c r="I15098" s="224" t="s">
        <v>2</v>
      </c>
    </row>
    <row r="15099" spans="1:9" x14ac:dyDescent="0.25">
      <c r="A15099" s="515">
        <v>80422</v>
      </c>
      <c r="B15099" s="515" t="s">
        <v>401</v>
      </c>
      <c r="C15099" s="52">
        <v>525596.019705588</v>
      </c>
      <c r="D15099" s="56">
        <v>7.7256879381907576E-2</v>
      </c>
      <c r="E15099" s="224" t="s">
        <v>2</v>
      </c>
      <c r="F15099" s="515" t="s">
        <v>16278</v>
      </c>
      <c r="G15099" s="52">
        <v>101561.013945427</v>
      </c>
      <c r="H15099" s="56">
        <v>1.8796449093237374E-3</v>
      </c>
      <c r="I15099" s="224" t="s">
        <v>2</v>
      </c>
    </row>
    <row r="15100" spans="1:9" x14ac:dyDescent="0.25">
      <c r="A15100" s="515">
        <v>59425</v>
      </c>
      <c r="C15100" s="52">
        <v>228797.35949217301</v>
      </c>
      <c r="D15100" s="56">
        <v>0.10871712346146821</v>
      </c>
      <c r="E15100" s="224" t="s">
        <v>2</v>
      </c>
      <c r="F15100" s="515" t="s">
        <v>16279</v>
      </c>
      <c r="G15100" s="52">
        <v>214761.95813247701</v>
      </c>
      <c r="H15100" s="56">
        <v>1.24502914967865E-2</v>
      </c>
      <c r="I15100" s="224" t="s">
        <v>2</v>
      </c>
    </row>
    <row r="15101" spans="1:9" x14ac:dyDescent="0.25">
      <c r="A15101" s="515">
        <v>80610</v>
      </c>
      <c r="B15101" s="515" t="s">
        <v>382</v>
      </c>
      <c r="C15101" s="52">
        <v>433571.90587386303</v>
      </c>
      <c r="D15101" s="56">
        <v>4.1576825198331654E-2</v>
      </c>
      <c r="E15101" s="224" t="s">
        <v>2</v>
      </c>
      <c r="F15101" s="515" t="s">
        <v>16280</v>
      </c>
      <c r="G15101" s="52">
        <v>308043.52905718901</v>
      </c>
      <c r="H15101" s="56">
        <v>3.7641722394049358E-2</v>
      </c>
      <c r="I15101" s="224" t="s">
        <v>2</v>
      </c>
    </row>
    <row r="15102" spans="1:9" x14ac:dyDescent="0.25">
      <c r="A15102" s="515">
        <v>8829</v>
      </c>
      <c r="B15102" s="515" t="s">
        <v>324</v>
      </c>
      <c r="C15102" s="52">
        <v>335317.87550182402</v>
      </c>
      <c r="D15102" s="56">
        <v>3.7738462543996043E-2</v>
      </c>
      <c r="E15102" s="224" t="s">
        <v>2</v>
      </c>
      <c r="F15102" s="515" t="s">
        <v>16281</v>
      </c>
      <c r="G15102" s="52">
        <v>224699.811508841</v>
      </c>
      <c r="H15102" s="56">
        <v>2.3355229653262852E-2</v>
      </c>
      <c r="I15102" s="224" t="s">
        <v>2</v>
      </c>
    </row>
    <row r="15103" spans="1:9" x14ac:dyDescent="0.25">
      <c r="A15103" s="515">
        <v>71675</v>
      </c>
      <c r="C15103" s="52">
        <v>112192.670415983</v>
      </c>
      <c r="D15103" s="56">
        <v>-3.4033899080991692E-2</v>
      </c>
      <c r="E15103" s="224" t="s">
        <v>2</v>
      </c>
      <c r="F15103" s="515" t="s">
        <v>16282</v>
      </c>
      <c r="G15103" s="52">
        <v>199512.53684210501</v>
      </c>
      <c r="H15103" s="56">
        <v>0</v>
      </c>
      <c r="I15103" s="224" t="s">
        <v>2</v>
      </c>
    </row>
    <row r="15104" spans="1:9" x14ac:dyDescent="0.25">
      <c r="A15104" s="515">
        <v>64048</v>
      </c>
      <c r="B15104" s="515" t="s">
        <v>455</v>
      </c>
      <c r="C15104" s="52">
        <v>328995.10782619403</v>
      </c>
      <c r="D15104" s="56">
        <v>0.11235507796040027</v>
      </c>
      <c r="E15104" s="224" t="s">
        <v>2</v>
      </c>
      <c r="F15104" s="515" t="s">
        <v>16283</v>
      </c>
      <c r="G15104" s="52">
        <v>95936.6651767656</v>
      </c>
      <c r="H15104" s="56">
        <v>-5.8955706541459631E-2</v>
      </c>
      <c r="I15104" s="224" t="s">
        <v>2</v>
      </c>
    </row>
    <row r="15105" spans="1:9" x14ac:dyDescent="0.25">
      <c r="A15105" s="515">
        <v>97624</v>
      </c>
      <c r="B15105" s="515" t="s">
        <v>545</v>
      </c>
      <c r="C15105" s="52">
        <v>257563.59912611099</v>
      </c>
      <c r="D15105" s="56">
        <v>3.6150873828256269E-2</v>
      </c>
      <c r="E15105" s="224" t="s">
        <v>2</v>
      </c>
      <c r="F15105" s="515" t="s">
        <v>16284</v>
      </c>
      <c r="G15105" s="52">
        <v>234196.44320776401</v>
      </c>
      <c r="H15105" s="56">
        <v>9.8523682562952797E-2</v>
      </c>
      <c r="I15105" s="224" t="s">
        <v>2</v>
      </c>
    </row>
    <row r="15106" spans="1:9" x14ac:dyDescent="0.25">
      <c r="A15106" s="515">
        <v>13748</v>
      </c>
      <c r="B15106" s="515" t="s">
        <v>840</v>
      </c>
      <c r="C15106" s="52">
        <v>150165.851260483</v>
      </c>
      <c r="D15106" s="56">
        <v>6.3586707520510308E-2</v>
      </c>
      <c r="E15106" s="224" t="s">
        <v>2</v>
      </c>
      <c r="F15106" s="515" t="s">
        <v>16285</v>
      </c>
      <c r="G15106" s="52">
        <v>150039.44983934701</v>
      </c>
      <c r="H15106" s="56">
        <v>7.5003928156620187E-2</v>
      </c>
      <c r="I15106" s="224" t="s">
        <v>2</v>
      </c>
    </row>
    <row r="15107" spans="1:9" x14ac:dyDescent="0.25">
      <c r="A15107" s="515">
        <v>30206</v>
      </c>
      <c r="B15107" s="515" t="s">
        <v>957</v>
      </c>
      <c r="C15107" s="52">
        <v>308489.23524224298</v>
      </c>
      <c r="D15107" s="56">
        <v>8.0344755975324825E-2</v>
      </c>
      <c r="E15107" s="224" t="s">
        <v>2</v>
      </c>
      <c r="F15107" s="515" t="s">
        <v>16286</v>
      </c>
      <c r="G15107" s="52">
        <v>190753.304996305</v>
      </c>
      <c r="H15107" s="56">
        <v>3.6072671277643284E-2</v>
      </c>
      <c r="I15107" s="224" t="s">
        <v>2</v>
      </c>
    </row>
    <row r="15108" spans="1:9" x14ac:dyDescent="0.25">
      <c r="A15108" s="515">
        <v>73028</v>
      </c>
      <c r="B15108" s="515" t="s">
        <v>385</v>
      </c>
      <c r="C15108" s="52">
        <v>145987.84338947601</v>
      </c>
      <c r="D15108" s="56">
        <v>5.6176074022592205E-2</v>
      </c>
      <c r="E15108" s="224" t="s">
        <v>2</v>
      </c>
      <c r="F15108" s="515" t="s">
        <v>16287</v>
      </c>
      <c r="G15108" s="52">
        <v>373250.62940272503</v>
      </c>
      <c r="H15108" s="56">
        <v>1.0770971627003738E-2</v>
      </c>
      <c r="I15108" s="224" t="s">
        <v>2</v>
      </c>
    </row>
    <row r="15109" spans="1:9" x14ac:dyDescent="0.25">
      <c r="A15109" s="515">
        <v>65255</v>
      </c>
      <c r="B15109" s="515" t="s">
        <v>785</v>
      </c>
      <c r="C15109" s="52">
        <v>283683.237760744</v>
      </c>
      <c r="D15109" s="56">
        <v>6.0929093617422332E-2</v>
      </c>
      <c r="E15109" s="224" t="s">
        <v>2</v>
      </c>
      <c r="F15109" s="515" t="s">
        <v>16288</v>
      </c>
      <c r="G15109" s="52">
        <v>101666.32520725099</v>
      </c>
      <c r="H15109" s="56">
        <v>6.6031229356229876E-2</v>
      </c>
      <c r="I15109" s="224" t="s">
        <v>2</v>
      </c>
    </row>
    <row r="15110" spans="1:9" x14ac:dyDescent="0.25">
      <c r="A15110" s="515">
        <v>32735</v>
      </c>
      <c r="B15110" s="515" t="s">
        <v>517</v>
      </c>
      <c r="C15110" s="52">
        <v>327957.542331704</v>
      </c>
      <c r="D15110" s="56">
        <v>9.3693524667160258E-2</v>
      </c>
      <c r="E15110" s="224" t="s">
        <v>2</v>
      </c>
      <c r="F15110" s="515" t="s">
        <v>16289</v>
      </c>
      <c r="G15110" s="52">
        <v>192897.75395075401</v>
      </c>
      <c r="H15110" s="56">
        <v>6.0848800747254822E-2</v>
      </c>
      <c r="I15110" s="224" t="s">
        <v>2</v>
      </c>
    </row>
    <row r="15111" spans="1:9" x14ac:dyDescent="0.25">
      <c r="A15111" s="515">
        <v>15679</v>
      </c>
      <c r="B15111" s="515" t="s">
        <v>297</v>
      </c>
      <c r="C15111" s="52">
        <v>151067.853846421</v>
      </c>
      <c r="D15111" s="56">
        <v>-1.6285244576346787E-2</v>
      </c>
      <c r="E15111" s="224" t="s">
        <v>2</v>
      </c>
      <c r="F15111" s="515" t="s">
        <v>16290</v>
      </c>
      <c r="G15111" s="52">
        <v>264440.36599545198</v>
      </c>
      <c r="H15111" s="56">
        <v>1.2034947084885421E-2</v>
      </c>
      <c r="I15111" s="224" t="s">
        <v>2</v>
      </c>
    </row>
    <row r="15112" spans="1:9" x14ac:dyDescent="0.25">
      <c r="A15112" s="515">
        <v>19505</v>
      </c>
      <c r="B15112" s="515" t="s">
        <v>569</v>
      </c>
      <c r="C15112" s="52">
        <v>275017.46950308001</v>
      </c>
      <c r="D15112" s="56">
        <v>0.10560928477475724</v>
      </c>
      <c r="E15112" s="224" t="s">
        <v>2</v>
      </c>
      <c r="F15112" s="515" t="s">
        <v>16291</v>
      </c>
      <c r="G15112" s="52">
        <v>196630.57233515999</v>
      </c>
      <c r="H15112" s="56">
        <v>2.076022785281326E-2</v>
      </c>
      <c r="I15112" s="224" t="s">
        <v>2</v>
      </c>
    </row>
    <row r="15113" spans="1:9" x14ac:dyDescent="0.25">
      <c r="A15113" s="515">
        <v>21756</v>
      </c>
      <c r="B15113" s="515" t="s">
        <v>654</v>
      </c>
      <c r="C15113" s="52">
        <v>384686.86382659798</v>
      </c>
      <c r="D15113" s="56">
        <v>2.3656830781672567E-2</v>
      </c>
      <c r="E15113" s="224" t="s">
        <v>2</v>
      </c>
      <c r="F15113" s="515" t="s">
        <v>16292</v>
      </c>
      <c r="G15113" s="52">
        <v>172985.705583756</v>
      </c>
      <c r="H15113" s="56">
        <v>0</v>
      </c>
      <c r="I15113" s="224" t="s">
        <v>2</v>
      </c>
    </row>
    <row r="15114" spans="1:9" x14ac:dyDescent="0.25">
      <c r="A15114" s="515">
        <v>28125</v>
      </c>
      <c r="B15114" s="515" t="s">
        <v>360</v>
      </c>
      <c r="C15114" s="52">
        <v>366082.35706672701</v>
      </c>
      <c r="D15114" s="56">
        <v>3.0747136325662762E-2</v>
      </c>
      <c r="E15114" s="224" t="s">
        <v>2</v>
      </c>
      <c r="F15114" s="515" t="s">
        <v>16293</v>
      </c>
      <c r="G15114" s="52">
        <v>267799.43768944498</v>
      </c>
      <c r="H15114" s="56">
        <v>7.270041747879559E-2</v>
      </c>
      <c r="I15114" s="224" t="s">
        <v>2</v>
      </c>
    </row>
    <row r="15115" spans="1:9" x14ac:dyDescent="0.25">
      <c r="A15115" s="515">
        <v>95442</v>
      </c>
      <c r="B15115" s="515" t="s">
        <v>331</v>
      </c>
      <c r="C15115" s="52">
        <v>1199530.6442740399</v>
      </c>
      <c r="D15115" s="56">
        <v>-2.3565069124008051E-2</v>
      </c>
      <c r="E15115" s="224" t="s">
        <v>2</v>
      </c>
      <c r="F15115" s="515" t="s">
        <v>16294</v>
      </c>
      <c r="G15115" s="52">
        <v>442393.17999362899</v>
      </c>
      <c r="H15115" s="56">
        <v>7.226266227729293E-2</v>
      </c>
      <c r="I15115" s="224" t="s">
        <v>2</v>
      </c>
    </row>
    <row r="15116" spans="1:9" x14ac:dyDescent="0.25">
      <c r="A15116" s="515">
        <v>81151</v>
      </c>
      <c r="C15116" s="52">
        <v>172384.51069214201</v>
      </c>
      <c r="D15116" s="56">
        <v>5.0082207091727553E-2</v>
      </c>
      <c r="E15116" s="224" t="s">
        <v>2</v>
      </c>
      <c r="F15116" s="515" t="s">
        <v>16295</v>
      </c>
      <c r="G15116" s="52">
        <v>169973.70811637299</v>
      </c>
      <c r="H15116" s="56">
        <v>9.2860640060746749E-2</v>
      </c>
      <c r="I15116" s="224" t="s">
        <v>2</v>
      </c>
    </row>
    <row r="15117" spans="1:9" x14ac:dyDescent="0.25">
      <c r="A15117" s="515">
        <v>31626</v>
      </c>
      <c r="B15117" s="515" t="s">
        <v>402</v>
      </c>
      <c r="C15117" s="52">
        <v>155060.031958665</v>
      </c>
      <c r="D15117" s="56">
        <v>2.7769796512388575E-2</v>
      </c>
      <c r="E15117" s="224" t="s">
        <v>2</v>
      </c>
      <c r="F15117" s="515" t="s">
        <v>16296</v>
      </c>
      <c r="G15117" s="52">
        <v>142557.39802260499</v>
      </c>
      <c r="H15117" s="56">
        <v>0.21696973084808252</v>
      </c>
      <c r="I15117" s="224" t="s">
        <v>2</v>
      </c>
    </row>
    <row r="15118" spans="1:9" x14ac:dyDescent="0.25">
      <c r="A15118" s="515">
        <v>29682</v>
      </c>
      <c r="B15118" s="515" t="s">
        <v>613</v>
      </c>
      <c r="C15118" s="52">
        <v>333161.95309049002</v>
      </c>
      <c r="D15118" s="56">
        <v>0.13489948233036245</v>
      </c>
      <c r="E15118" s="224" t="s">
        <v>2</v>
      </c>
      <c r="F15118" s="515" t="s">
        <v>16297</v>
      </c>
      <c r="G15118" s="52">
        <v>96008.129002227404</v>
      </c>
      <c r="H15118" s="56">
        <v>9.1984809789059166E-2</v>
      </c>
      <c r="I15118" s="224" t="s">
        <v>2</v>
      </c>
    </row>
    <row r="15119" spans="1:9" x14ac:dyDescent="0.25">
      <c r="A15119" s="515">
        <v>64755</v>
      </c>
      <c r="B15119" s="515" t="s">
        <v>784</v>
      </c>
      <c r="C15119" s="52">
        <v>221851.451779133</v>
      </c>
      <c r="D15119" s="56">
        <v>0.13064132236343548</v>
      </c>
      <c r="E15119" s="224" t="s">
        <v>2</v>
      </c>
      <c r="F15119" s="515" t="s">
        <v>16298</v>
      </c>
      <c r="G15119" s="52">
        <v>183044.170477145</v>
      </c>
      <c r="H15119" s="56">
        <v>8.8633703566827649E-2</v>
      </c>
      <c r="I15119" s="224" t="s">
        <v>2</v>
      </c>
    </row>
    <row r="15120" spans="1:9" x14ac:dyDescent="0.25">
      <c r="A15120" s="515">
        <v>30182</v>
      </c>
      <c r="B15120" s="515" t="s">
        <v>957</v>
      </c>
      <c r="C15120" s="52">
        <v>228279.727476114</v>
      </c>
      <c r="D15120" s="56">
        <v>0.13184637791536868</v>
      </c>
      <c r="E15120" s="224" t="s">
        <v>2</v>
      </c>
      <c r="F15120" s="515" t="s">
        <v>16299</v>
      </c>
      <c r="G15120" s="52">
        <v>391355.88776674098</v>
      </c>
      <c r="H15120" s="56">
        <v>2.5516018904904698E-2</v>
      </c>
      <c r="I15120" s="224" t="s">
        <v>2</v>
      </c>
    </row>
    <row r="15121" spans="1:9" x14ac:dyDescent="0.25">
      <c r="A15121" s="515">
        <v>54139</v>
      </c>
      <c r="B15121" s="515" t="s">
        <v>897</v>
      </c>
      <c r="C15121" s="52">
        <v>204294.55301676801</v>
      </c>
      <c r="D15121" s="56">
        <v>8.1166241081065571E-2</v>
      </c>
      <c r="E15121" s="224" t="s">
        <v>2</v>
      </c>
      <c r="F15121" s="515" t="s">
        <v>16300</v>
      </c>
      <c r="G15121" s="52">
        <v>436826.36016952398</v>
      </c>
      <c r="H15121" s="56">
        <v>9.5228343785971406E-2</v>
      </c>
      <c r="I15121" s="224" t="s">
        <v>2</v>
      </c>
    </row>
    <row r="15122" spans="1:9" x14ac:dyDescent="0.25">
      <c r="A15122" s="515">
        <v>47320</v>
      </c>
      <c r="B15122" s="515" t="s">
        <v>1154</v>
      </c>
      <c r="C15122" s="52">
        <v>152010.81456001999</v>
      </c>
      <c r="D15122" s="56">
        <v>9.3176411972588649E-2</v>
      </c>
      <c r="E15122" s="224" t="s">
        <v>2</v>
      </c>
      <c r="F15122" s="515" t="s">
        <v>16301</v>
      </c>
      <c r="G15122" s="52">
        <v>113279.099075864</v>
      </c>
      <c r="H15122" s="56">
        <v>7.6525882927893654E-2</v>
      </c>
      <c r="I15122" s="224" t="s">
        <v>2</v>
      </c>
    </row>
    <row r="15123" spans="1:9" x14ac:dyDescent="0.25">
      <c r="A15123" s="515">
        <v>15610</v>
      </c>
      <c r="B15123" s="515" t="s">
        <v>297</v>
      </c>
      <c r="C15123" s="52">
        <v>174926.23150628299</v>
      </c>
      <c r="D15123" s="56">
        <v>2.7624765792071105E-3</v>
      </c>
      <c r="E15123" s="224" t="s">
        <v>2</v>
      </c>
      <c r="F15123" s="515" t="s">
        <v>16302</v>
      </c>
      <c r="G15123" s="52">
        <v>871148.58153051801</v>
      </c>
      <c r="H15123" s="56">
        <v>0.13784917303852146</v>
      </c>
      <c r="I15123" s="224">
        <v>5000</v>
      </c>
    </row>
    <row r="15124" spans="1:9" x14ac:dyDescent="0.25">
      <c r="A15124" s="515">
        <v>48757</v>
      </c>
      <c r="C15124" s="52">
        <v>172880.37556940701</v>
      </c>
      <c r="D15124" s="56">
        <v>5.0225277411040881E-2</v>
      </c>
      <c r="E15124" s="224" t="s">
        <v>2</v>
      </c>
      <c r="F15124" s="515" t="s">
        <v>16303</v>
      </c>
      <c r="G15124" s="52">
        <v>525377.18587001297</v>
      </c>
      <c r="H15124" s="56">
        <v>5.8132254579135852E-2</v>
      </c>
      <c r="I15124" s="224" t="s">
        <v>2</v>
      </c>
    </row>
    <row r="15125" spans="1:9" x14ac:dyDescent="0.25">
      <c r="A15125" s="515">
        <v>55047</v>
      </c>
      <c r="B15125" s="515" t="s">
        <v>532</v>
      </c>
      <c r="C15125" s="52">
        <v>538580.84450296103</v>
      </c>
      <c r="D15125" s="56">
        <v>5.4376289542038665E-2</v>
      </c>
      <c r="E15125" s="224" t="s">
        <v>2</v>
      </c>
      <c r="F15125" s="515" t="s">
        <v>16304</v>
      </c>
      <c r="G15125" s="52">
        <v>257956.17850898299</v>
      </c>
      <c r="H15125" s="56">
        <v>4.3105207820398096E-2</v>
      </c>
      <c r="I15125" s="224" t="s">
        <v>2</v>
      </c>
    </row>
    <row r="15126" spans="1:9" x14ac:dyDescent="0.25">
      <c r="A15126" s="515">
        <v>79235</v>
      </c>
      <c r="C15126" s="52">
        <v>64059.261276181802</v>
      </c>
      <c r="D15126" s="56">
        <v>-6.7180345264674169E-3</v>
      </c>
      <c r="E15126" s="224" t="s">
        <v>2</v>
      </c>
      <c r="F15126" s="515" t="s">
        <v>16305</v>
      </c>
      <c r="G15126" s="52">
        <v>136492.44195331799</v>
      </c>
      <c r="H15126" s="56">
        <v>0.11053156030457809</v>
      </c>
      <c r="I15126" s="224" t="s">
        <v>2</v>
      </c>
    </row>
    <row r="15127" spans="1:9" x14ac:dyDescent="0.25">
      <c r="A15127" s="515">
        <v>29055</v>
      </c>
      <c r="B15127" s="515" t="s">
        <v>360</v>
      </c>
      <c r="C15127" s="52">
        <v>115240.512210328</v>
      </c>
      <c r="D15127" s="56">
        <v>0.16127479666895192</v>
      </c>
      <c r="E15127" s="224" t="s">
        <v>2</v>
      </c>
      <c r="F15127" s="515" t="s">
        <v>16306</v>
      </c>
      <c r="G15127" s="52">
        <v>241213.32524604601</v>
      </c>
      <c r="H15127" s="56">
        <v>7.8203808655411614E-2</v>
      </c>
      <c r="I15127" s="224" t="s">
        <v>2</v>
      </c>
    </row>
    <row r="15128" spans="1:9" x14ac:dyDescent="0.25">
      <c r="A15128" s="515">
        <v>2837</v>
      </c>
      <c r="B15128" s="515" t="s">
        <v>513</v>
      </c>
      <c r="C15128" s="52">
        <v>801068.50351789303</v>
      </c>
      <c r="D15128" s="56">
        <v>0.104373816880975</v>
      </c>
      <c r="E15128" s="224" t="s">
        <v>2</v>
      </c>
      <c r="F15128" s="515" t="s">
        <v>16307</v>
      </c>
      <c r="G15128" s="52">
        <v>213127.852406666</v>
      </c>
      <c r="H15128" s="56">
        <v>9.0558494786017268E-2</v>
      </c>
      <c r="I15128" s="224" t="s">
        <v>2</v>
      </c>
    </row>
    <row r="15129" spans="1:9" x14ac:dyDescent="0.25">
      <c r="A15129" s="515">
        <v>44704</v>
      </c>
      <c r="B15129" s="515" t="s">
        <v>863</v>
      </c>
      <c r="C15129" s="52">
        <v>48485.7962654648</v>
      </c>
      <c r="D15129" s="56">
        <v>0.13519808015099954</v>
      </c>
      <c r="E15129" s="224" t="s">
        <v>2</v>
      </c>
      <c r="F15129" s="515" t="s">
        <v>16308</v>
      </c>
      <c r="G15129" s="52">
        <v>167597.75158239299</v>
      </c>
      <c r="H15129" s="56">
        <v>0.14978509851571431</v>
      </c>
      <c r="I15129" s="224" t="s">
        <v>2</v>
      </c>
    </row>
    <row r="15130" spans="1:9" x14ac:dyDescent="0.25">
      <c r="A15130" s="515">
        <v>36043</v>
      </c>
      <c r="B15130" s="515" t="s">
        <v>806</v>
      </c>
      <c r="C15130" s="52">
        <v>210665.18944794801</v>
      </c>
      <c r="D15130" s="56">
        <v>7.5875448732761405E-2</v>
      </c>
      <c r="E15130" s="224" t="s">
        <v>2</v>
      </c>
      <c r="F15130" s="515" t="s">
        <v>16309</v>
      </c>
      <c r="G15130" s="52">
        <v>841117.12470168597</v>
      </c>
      <c r="H15130" s="56">
        <v>3.210659860465373E-2</v>
      </c>
      <c r="I15130" s="224" t="s">
        <v>2</v>
      </c>
    </row>
    <row r="15131" spans="1:9" x14ac:dyDescent="0.25">
      <c r="A15131" s="515">
        <v>12196</v>
      </c>
      <c r="B15131" s="515" t="s">
        <v>609</v>
      </c>
      <c r="C15131" s="52">
        <v>320157.17677423003</v>
      </c>
      <c r="D15131" s="56">
        <v>6.0470677705852405E-2</v>
      </c>
      <c r="E15131" s="224" t="s">
        <v>2</v>
      </c>
      <c r="F15131" s="515" t="s">
        <v>16310</v>
      </c>
      <c r="G15131" s="52">
        <v>1701001.34906505</v>
      </c>
      <c r="H15131" s="56">
        <v>6.9948172311772944E-2</v>
      </c>
      <c r="I15131" s="224" t="s">
        <v>2</v>
      </c>
    </row>
    <row r="15132" spans="1:9" x14ac:dyDescent="0.25">
      <c r="A15132" s="515">
        <v>30624</v>
      </c>
      <c r="C15132" s="52">
        <v>155829.10899857301</v>
      </c>
      <c r="D15132" s="56">
        <v>5.4831506658308209E-2</v>
      </c>
      <c r="E15132" s="224" t="s">
        <v>2</v>
      </c>
      <c r="F15132" s="515" t="s">
        <v>16311</v>
      </c>
      <c r="G15132" s="52">
        <v>285282.52244992001</v>
      </c>
      <c r="H15132" s="56">
        <v>6.1110843378323544E-2</v>
      </c>
      <c r="I15132" s="224" t="s">
        <v>2</v>
      </c>
    </row>
    <row r="15133" spans="1:9" x14ac:dyDescent="0.25">
      <c r="A15133" s="515">
        <v>65325</v>
      </c>
      <c r="C15133" s="52">
        <v>164778.94322481801</v>
      </c>
      <c r="D15133" s="56">
        <v>1.4837619178144022E-2</v>
      </c>
      <c r="E15133" s="224" t="s">
        <v>2</v>
      </c>
      <c r="F15133" s="515" t="s">
        <v>16312</v>
      </c>
      <c r="G15133" s="52">
        <v>184003.48696001901</v>
      </c>
      <c r="H15133" s="56">
        <v>7.4817625574749899E-2</v>
      </c>
      <c r="I15133" s="224" t="s">
        <v>2</v>
      </c>
    </row>
    <row r="15134" spans="1:9" x14ac:dyDescent="0.25">
      <c r="A15134" s="515">
        <v>74547</v>
      </c>
      <c r="B15134" s="515" t="s">
        <v>451</v>
      </c>
      <c r="C15134" s="52">
        <v>90468.525095278994</v>
      </c>
      <c r="D15134" s="56">
        <v>0.14705903493082959</v>
      </c>
      <c r="E15134" s="224" t="s">
        <v>2</v>
      </c>
      <c r="F15134" s="515" t="s">
        <v>16313</v>
      </c>
      <c r="G15134" s="52">
        <v>169168.05780540599</v>
      </c>
      <c r="H15134" s="56">
        <v>4.9739713385006622E-2</v>
      </c>
      <c r="I15134" s="224" t="s">
        <v>2</v>
      </c>
    </row>
    <row r="15135" spans="1:9" x14ac:dyDescent="0.25">
      <c r="A15135" s="515">
        <v>43917</v>
      </c>
      <c r="B15135" s="515" t="s">
        <v>389</v>
      </c>
      <c r="C15135" s="52">
        <v>78705.048509445594</v>
      </c>
      <c r="D15135" s="56">
        <v>2.7781480174408017E-2</v>
      </c>
      <c r="E15135" s="224" t="s">
        <v>2</v>
      </c>
      <c r="F15135" s="515" t="s">
        <v>16314</v>
      </c>
      <c r="G15135" s="52">
        <v>815429.92440275499</v>
      </c>
      <c r="H15135" s="56">
        <v>6.0551487136424428E-2</v>
      </c>
      <c r="I15135" s="224" t="s">
        <v>2</v>
      </c>
    </row>
    <row r="15136" spans="1:9" x14ac:dyDescent="0.25">
      <c r="A15136" s="515">
        <v>67544</v>
      </c>
      <c r="B15136" s="515" t="s">
        <v>741</v>
      </c>
      <c r="C15136" s="52">
        <v>83628.755943078693</v>
      </c>
      <c r="D15136" s="56">
        <v>0.11731531780487513</v>
      </c>
      <c r="E15136" s="224" t="s">
        <v>2</v>
      </c>
      <c r="F15136" s="515" t="s">
        <v>16315</v>
      </c>
      <c r="G15136" s="52">
        <v>200225.16683767299</v>
      </c>
      <c r="H15136" s="56">
        <v>0.1215160406757502</v>
      </c>
      <c r="I15136" s="224" t="s">
        <v>2</v>
      </c>
    </row>
    <row r="15137" spans="1:9" x14ac:dyDescent="0.25">
      <c r="A15137" s="515">
        <v>44402</v>
      </c>
      <c r="B15137" s="515" t="s">
        <v>397</v>
      </c>
      <c r="C15137" s="52">
        <v>180030.68537725401</v>
      </c>
      <c r="D15137" s="56">
        <v>7.8650099101022011E-2</v>
      </c>
      <c r="E15137" s="224" t="s">
        <v>2</v>
      </c>
      <c r="F15137" s="515" t="s">
        <v>16316</v>
      </c>
      <c r="G15137" s="52">
        <v>281601.94413771102</v>
      </c>
      <c r="H15137" s="56">
        <v>5.9242136274866845E-2</v>
      </c>
      <c r="I15137" s="224" t="s">
        <v>2</v>
      </c>
    </row>
    <row r="15138" spans="1:9" x14ac:dyDescent="0.25">
      <c r="A15138" s="515">
        <v>31645</v>
      </c>
      <c r="C15138" s="52">
        <v>163636.33798913399</v>
      </c>
      <c r="D15138" s="56">
        <v>8.1535770198605625E-2</v>
      </c>
      <c r="E15138" s="224" t="s">
        <v>2</v>
      </c>
      <c r="F15138" s="515" t="s">
        <v>16317</v>
      </c>
      <c r="G15138" s="52">
        <v>173966.901487197</v>
      </c>
      <c r="H15138" s="56">
        <v>0.17773475333350469</v>
      </c>
      <c r="I15138" s="224" t="s">
        <v>2</v>
      </c>
    </row>
    <row r="15139" spans="1:9" x14ac:dyDescent="0.25">
      <c r="A15139" s="515">
        <v>4927</v>
      </c>
      <c r="B15139" s="515" t="s">
        <v>848</v>
      </c>
      <c r="C15139" s="52">
        <v>215586.09277933199</v>
      </c>
      <c r="D15139" s="56">
        <v>0.10182353496777134</v>
      </c>
      <c r="E15139" s="224" t="s">
        <v>2</v>
      </c>
      <c r="F15139" s="515" t="s">
        <v>16318</v>
      </c>
      <c r="G15139" s="52">
        <v>271954.23316572502</v>
      </c>
      <c r="H15139" s="56">
        <v>0.13883378985888956</v>
      </c>
      <c r="I15139" s="224" t="s">
        <v>2</v>
      </c>
    </row>
    <row r="15140" spans="1:9" x14ac:dyDescent="0.25">
      <c r="A15140" s="515">
        <v>68405</v>
      </c>
      <c r="B15140" s="515" t="s">
        <v>486</v>
      </c>
      <c r="C15140" s="52">
        <v>260596.127219749</v>
      </c>
      <c r="D15140" s="56">
        <v>7.2823524482949098E-2</v>
      </c>
      <c r="E15140" s="224" t="s">
        <v>2</v>
      </c>
      <c r="F15140" s="515" t="s">
        <v>16319</v>
      </c>
      <c r="G15140" s="52">
        <v>105376.763779527</v>
      </c>
      <c r="H15140" s="56">
        <v>0</v>
      </c>
      <c r="I15140" s="224" t="s">
        <v>2</v>
      </c>
    </row>
    <row r="15141" spans="1:9" x14ac:dyDescent="0.25">
      <c r="A15141" s="515">
        <v>61054</v>
      </c>
      <c r="B15141" s="515" t="s">
        <v>429</v>
      </c>
      <c r="C15141" s="52">
        <v>118311.438690639</v>
      </c>
      <c r="D15141" s="56">
        <v>3.3108093220579844E-2</v>
      </c>
      <c r="E15141" s="224" t="s">
        <v>2</v>
      </c>
      <c r="F15141" s="515" t="s">
        <v>16320</v>
      </c>
      <c r="G15141" s="52">
        <v>215408.30928275699</v>
      </c>
      <c r="H15141" s="56">
        <v>8.1121241022380469E-2</v>
      </c>
      <c r="I15141" s="224" t="s">
        <v>2</v>
      </c>
    </row>
    <row r="15142" spans="1:9" x14ac:dyDescent="0.25">
      <c r="A15142" s="515">
        <v>40371</v>
      </c>
      <c r="B15142" s="515" t="s">
        <v>900</v>
      </c>
      <c r="C15142" s="52">
        <v>130747.063456905</v>
      </c>
      <c r="D15142" s="56">
        <v>0.17289643288209969</v>
      </c>
      <c r="E15142" s="224" t="s">
        <v>2</v>
      </c>
      <c r="F15142" s="515" t="s">
        <v>16321</v>
      </c>
      <c r="G15142" s="52">
        <v>469328.85586449498</v>
      </c>
      <c r="H15142" s="56">
        <v>-5.5040798794952085E-2</v>
      </c>
      <c r="I15142" s="224" t="s">
        <v>2</v>
      </c>
    </row>
    <row r="15143" spans="1:9" x14ac:dyDescent="0.25">
      <c r="A15143" s="515">
        <v>39153</v>
      </c>
      <c r="C15143" s="52">
        <v>125577.285397221</v>
      </c>
      <c r="D15143" s="56">
        <v>-6.7793415121965577E-4</v>
      </c>
      <c r="E15143" s="224" t="s">
        <v>2</v>
      </c>
      <c r="F15143" s="515" t="s">
        <v>16322</v>
      </c>
      <c r="G15143" s="52">
        <v>172233.163368526</v>
      </c>
      <c r="H15143" s="56">
        <v>5.9166265584879689E-2</v>
      </c>
      <c r="I15143" s="224" t="s">
        <v>2</v>
      </c>
    </row>
    <row r="15144" spans="1:9" x14ac:dyDescent="0.25">
      <c r="A15144" s="515">
        <v>74733</v>
      </c>
      <c r="B15144" s="515" t="s">
        <v>1052</v>
      </c>
      <c r="C15144" s="52">
        <v>167556.884502289</v>
      </c>
      <c r="D15144" s="56">
        <v>0.1260569055935257</v>
      </c>
      <c r="E15144" s="224" t="s">
        <v>2</v>
      </c>
      <c r="F15144" s="515" t="s">
        <v>16323</v>
      </c>
      <c r="G15144" s="52">
        <v>373451.15976087702</v>
      </c>
      <c r="H15144" s="56">
        <v>3.3160077193788558E-2</v>
      </c>
      <c r="I15144" s="224" t="s">
        <v>2</v>
      </c>
    </row>
    <row r="15145" spans="1:9" x14ac:dyDescent="0.25">
      <c r="A15145" s="515">
        <v>79504</v>
      </c>
      <c r="B15145" s="515" t="s">
        <v>704</v>
      </c>
      <c r="C15145" s="52">
        <v>131712.16749699399</v>
      </c>
      <c r="D15145" s="56">
        <v>-4.8631264111415565E-2</v>
      </c>
      <c r="E15145" s="224" t="s">
        <v>2</v>
      </c>
      <c r="F15145" s="515" t="s">
        <v>16324</v>
      </c>
      <c r="G15145" s="52">
        <v>141221.74948623299</v>
      </c>
      <c r="H15145" s="56">
        <v>6.6787351234197725E-2</v>
      </c>
      <c r="I15145" s="224" t="s">
        <v>2</v>
      </c>
    </row>
    <row r="15146" spans="1:9" x14ac:dyDescent="0.25">
      <c r="A15146" s="515">
        <v>71068</v>
      </c>
      <c r="C15146" s="52">
        <v>98716.018132552301</v>
      </c>
      <c r="D15146" s="56">
        <v>6.5494698007945024E-2</v>
      </c>
      <c r="E15146" s="224" t="s">
        <v>2</v>
      </c>
      <c r="F15146" s="515" t="s">
        <v>16325</v>
      </c>
      <c r="G15146" s="52">
        <v>358599.46626858902</v>
      </c>
      <c r="H15146" s="56">
        <v>7.5826248213641825E-2</v>
      </c>
      <c r="I15146" s="224" t="s">
        <v>2</v>
      </c>
    </row>
    <row r="15147" spans="1:9" x14ac:dyDescent="0.25">
      <c r="A15147" s="515">
        <v>54619</v>
      </c>
      <c r="C15147" s="52">
        <v>184491.55748526199</v>
      </c>
      <c r="D15147" s="56">
        <v>6.29459672645271E-2</v>
      </c>
      <c r="E15147" s="224" t="s">
        <v>2</v>
      </c>
      <c r="F15147" s="515" t="s">
        <v>16326</v>
      </c>
      <c r="G15147" s="52">
        <v>95964.315815216207</v>
      </c>
      <c r="H15147" s="56">
        <v>3.1641385796832754E-2</v>
      </c>
      <c r="I15147" s="224" t="s">
        <v>2</v>
      </c>
    </row>
    <row r="15148" spans="1:9" x14ac:dyDescent="0.25">
      <c r="A15148" s="515">
        <v>12117</v>
      </c>
      <c r="B15148" s="515" t="s">
        <v>744</v>
      </c>
      <c r="C15148" s="52">
        <v>214700.890956544</v>
      </c>
      <c r="D15148" s="56">
        <v>7.996063813574017E-2</v>
      </c>
      <c r="E15148" s="224" t="s">
        <v>2</v>
      </c>
      <c r="F15148" s="515" t="s">
        <v>16327</v>
      </c>
      <c r="G15148" s="52">
        <v>57268.046829220701</v>
      </c>
      <c r="H15148" s="56">
        <v>3.668983074192389E-2</v>
      </c>
      <c r="I15148" s="224" t="s">
        <v>2</v>
      </c>
    </row>
    <row r="15149" spans="1:9" x14ac:dyDescent="0.25">
      <c r="A15149" s="515">
        <v>71743</v>
      </c>
      <c r="B15149" s="515" t="s">
        <v>1073</v>
      </c>
      <c r="C15149" s="52">
        <v>70496.802447455397</v>
      </c>
      <c r="D15149" s="56">
        <v>5.0488799127948826E-2</v>
      </c>
      <c r="E15149" s="224" t="s">
        <v>2</v>
      </c>
      <c r="F15149" s="515" t="s">
        <v>16328</v>
      </c>
      <c r="G15149" s="52">
        <v>77660.661811717495</v>
      </c>
      <c r="H15149" s="56">
        <v>2.585658718589337E-2</v>
      </c>
      <c r="I15149" s="224" t="s">
        <v>2</v>
      </c>
    </row>
    <row r="15150" spans="1:9" x14ac:dyDescent="0.25">
      <c r="A15150" s="515">
        <v>46938</v>
      </c>
      <c r="B15150" s="515" t="s">
        <v>472</v>
      </c>
      <c r="C15150" s="52">
        <v>118436.508739133</v>
      </c>
      <c r="D15150" s="56">
        <v>6.6486402891085844E-2</v>
      </c>
      <c r="E15150" s="224" t="s">
        <v>2</v>
      </c>
      <c r="F15150" s="515" t="s">
        <v>16329</v>
      </c>
      <c r="G15150" s="52">
        <v>712102.68614105403</v>
      </c>
      <c r="H15150" s="56">
        <v>4.9592301407031983E-2</v>
      </c>
      <c r="I15150" s="224" t="s">
        <v>2</v>
      </c>
    </row>
    <row r="15151" spans="1:9" x14ac:dyDescent="0.25">
      <c r="A15151" s="515">
        <v>31744</v>
      </c>
      <c r="B15151" s="515" t="s">
        <v>392</v>
      </c>
      <c r="C15151" s="52">
        <v>113251.27897233301</v>
      </c>
      <c r="D15151" s="56">
        <v>-5.2653421440177414E-3</v>
      </c>
      <c r="E15151" s="224" t="s">
        <v>2</v>
      </c>
      <c r="F15151" s="515" t="s">
        <v>16330</v>
      </c>
      <c r="G15151" s="52">
        <v>88913.719345650694</v>
      </c>
      <c r="H15151" s="56">
        <v>8.5007954012196185E-2</v>
      </c>
      <c r="I15151" s="224" t="s">
        <v>2</v>
      </c>
    </row>
    <row r="15152" spans="1:9" x14ac:dyDescent="0.25">
      <c r="A15152" s="515">
        <v>12919</v>
      </c>
      <c r="B15152" s="515" t="s">
        <v>395</v>
      </c>
      <c r="C15152" s="52">
        <v>162394.38862188999</v>
      </c>
      <c r="D15152" s="56">
        <v>8.388557571375467E-2</v>
      </c>
      <c r="E15152" s="224" t="s">
        <v>2</v>
      </c>
      <c r="F15152" s="515" t="s">
        <v>16331</v>
      </c>
      <c r="G15152" s="52">
        <v>118334.37414696001</v>
      </c>
      <c r="H15152" s="56">
        <v>8.6826026771306269E-2</v>
      </c>
      <c r="I15152" s="224" t="s">
        <v>2</v>
      </c>
    </row>
    <row r="15153" spans="1:9" x14ac:dyDescent="0.25">
      <c r="A15153" s="515">
        <v>54945</v>
      </c>
      <c r="C15153" s="52">
        <v>193900.54503957601</v>
      </c>
      <c r="D15153" s="56">
        <v>5.5850349779254127E-2</v>
      </c>
      <c r="E15153" s="224" t="s">
        <v>2</v>
      </c>
      <c r="F15153" s="515" t="s">
        <v>16332</v>
      </c>
      <c r="G15153" s="52">
        <v>356973.28885859199</v>
      </c>
      <c r="H15153" s="56">
        <v>8.5473683358661748E-2</v>
      </c>
      <c r="I15153" s="224" t="s">
        <v>2</v>
      </c>
    </row>
    <row r="15154" spans="1:9" x14ac:dyDescent="0.25">
      <c r="A15154" s="515">
        <v>87001</v>
      </c>
      <c r="B15154" s="515" t="s">
        <v>406</v>
      </c>
      <c r="C15154" s="52">
        <v>313912.33512501401</v>
      </c>
      <c r="D15154" s="56">
        <v>-3.3783935179417128E-2</v>
      </c>
      <c r="E15154" s="224" t="s">
        <v>2</v>
      </c>
      <c r="F15154" s="515" t="s">
        <v>16333</v>
      </c>
      <c r="G15154" s="52">
        <v>324623.31254709198</v>
      </c>
      <c r="H15154" s="56">
        <v>-1.6630624697889403E-2</v>
      </c>
      <c r="I15154" s="224" t="s">
        <v>2</v>
      </c>
    </row>
    <row r="15155" spans="1:9" x14ac:dyDescent="0.25">
      <c r="A15155" s="515">
        <v>22427</v>
      </c>
      <c r="C15155" s="52">
        <v>293080.87609684502</v>
      </c>
      <c r="D15155" s="56">
        <v>0.11291146646761123</v>
      </c>
      <c r="E15155" s="224" t="s">
        <v>2</v>
      </c>
      <c r="F15155" s="515" t="s">
        <v>16334</v>
      </c>
      <c r="G15155" s="52">
        <v>250576.690918704</v>
      </c>
      <c r="H15155" s="56">
        <v>0.12796447215326501</v>
      </c>
      <c r="I15155" s="224" t="s">
        <v>2</v>
      </c>
    </row>
    <row r="15156" spans="1:9" x14ac:dyDescent="0.25">
      <c r="A15156" s="515">
        <v>79567</v>
      </c>
      <c r="C15156" s="52">
        <v>61267.520372879997</v>
      </c>
      <c r="D15156" s="56">
        <v>-9.7777667299602355E-2</v>
      </c>
      <c r="E15156" s="224" t="s">
        <v>2</v>
      </c>
      <c r="F15156" s="515" t="s">
        <v>16335</v>
      </c>
      <c r="G15156" s="52">
        <v>151398.560343007</v>
      </c>
      <c r="H15156" s="56">
        <v>3.4357025354738195E-4</v>
      </c>
      <c r="I15156" s="224" t="s">
        <v>2</v>
      </c>
    </row>
    <row r="15157" spans="1:9" x14ac:dyDescent="0.25">
      <c r="A15157" s="515">
        <v>2045</v>
      </c>
      <c r="B15157" s="515" t="s">
        <v>534</v>
      </c>
      <c r="C15157" s="52">
        <v>573170.27605996595</v>
      </c>
      <c r="D15157" s="56">
        <v>7.0242337064928578E-2</v>
      </c>
      <c r="E15157" s="224">
        <v>2928.5</v>
      </c>
      <c r="F15157" s="515" t="s">
        <v>16336</v>
      </c>
      <c r="G15157" s="52">
        <v>596297.75423728803</v>
      </c>
      <c r="H15157" s="56">
        <v>0</v>
      </c>
      <c r="I15157" s="224" t="s">
        <v>2</v>
      </c>
    </row>
    <row r="15158" spans="1:9" x14ac:dyDescent="0.25">
      <c r="A15158" s="515">
        <v>58368</v>
      </c>
      <c r="C15158" s="52">
        <v>151527.03642577</v>
      </c>
      <c r="D15158" s="56">
        <v>7.1930179921774598E-2</v>
      </c>
      <c r="E15158" s="224" t="s">
        <v>2</v>
      </c>
      <c r="F15158" s="515" t="s">
        <v>16337</v>
      </c>
      <c r="G15158" s="52">
        <v>296707.03283789102</v>
      </c>
      <c r="H15158" s="56">
        <v>5.6913246134905192E-2</v>
      </c>
      <c r="I15158" s="224" t="s">
        <v>2</v>
      </c>
    </row>
    <row r="15159" spans="1:9" x14ac:dyDescent="0.25">
      <c r="A15159" s="515">
        <v>61422</v>
      </c>
      <c r="B15159" s="515" t="s">
        <v>493</v>
      </c>
      <c r="C15159" s="52">
        <v>62680.4838254731</v>
      </c>
      <c r="D15159" s="56">
        <v>7.0806328395938367E-2</v>
      </c>
      <c r="E15159" s="224" t="s">
        <v>2</v>
      </c>
      <c r="F15159" s="515" t="s">
        <v>16338</v>
      </c>
      <c r="G15159" s="52">
        <v>564599.410169704</v>
      </c>
      <c r="H15159" s="56">
        <v>4.387661652960452E-2</v>
      </c>
      <c r="I15159" s="224" t="s">
        <v>2</v>
      </c>
    </row>
    <row r="15160" spans="1:9" x14ac:dyDescent="0.25">
      <c r="A15160" s="515">
        <v>81641</v>
      </c>
      <c r="C15160" s="52">
        <v>329117.77158970397</v>
      </c>
      <c r="D15160" s="56">
        <v>9.3341269897553453E-2</v>
      </c>
      <c r="E15160" s="224" t="s">
        <v>2</v>
      </c>
      <c r="F15160" s="515" t="s">
        <v>16339</v>
      </c>
      <c r="G15160" s="52">
        <v>104458.20369331801</v>
      </c>
      <c r="H15160" s="56">
        <v>0</v>
      </c>
      <c r="I15160" s="224" t="s">
        <v>2</v>
      </c>
    </row>
    <row r="15161" spans="1:9" x14ac:dyDescent="0.25">
      <c r="A15161" s="515">
        <v>26205</v>
      </c>
      <c r="C15161" s="52">
        <v>97315.862631828903</v>
      </c>
      <c r="D15161" s="56">
        <v>0.1098292346627486</v>
      </c>
      <c r="E15161" s="224" t="s">
        <v>2</v>
      </c>
      <c r="F15161" s="515" t="s">
        <v>16340</v>
      </c>
      <c r="G15161" s="52">
        <v>199116.70181275599</v>
      </c>
      <c r="H15161" s="56">
        <v>7.1488391816597899E-2</v>
      </c>
      <c r="I15161" s="224" t="s">
        <v>2</v>
      </c>
    </row>
    <row r="15162" spans="1:9" x14ac:dyDescent="0.25">
      <c r="A15162" s="515">
        <v>85321</v>
      </c>
      <c r="B15162" s="515" t="s">
        <v>368</v>
      </c>
      <c r="C15162" s="52">
        <v>115723.085738525</v>
      </c>
      <c r="D15162" s="56">
        <v>0.11861132589966622</v>
      </c>
      <c r="E15162" s="224" t="s">
        <v>2</v>
      </c>
      <c r="F15162" s="515" t="s">
        <v>16341</v>
      </c>
      <c r="G15162" s="52">
        <v>103764.49067034401</v>
      </c>
      <c r="H15162" s="56">
        <v>3.0149037587134067E-2</v>
      </c>
      <c r="I15162" s="224" t="s">
        <v>2</v>
      </c>
    </row>
    <row r="15163" spans="1:9" x14ac:dyDescent="0.25">
      <c r="A15163" s="515">
        <v>75770</v>
      </c>
      <c r="B15163" s="515" t="s">
        <v>1088</v>
      </c>
      <c r="C15163" s="52">
        <v>329071.55076548998</v>
      </c>
      <c r="D15163" s="56">
        <v>4.6733471329262796E-2</v>
      </c>
      <c r="E15163" s="224" t="s">
        <v>2</v>
      </c>
      <c r="F15163" s="515" t="s">
        <v>16342</v>
      </c>
      <c r="G15163" s="52">
        <v>125438.69818896</v>
      </c>
      <c r="H15163" s="56">
        <v>5.3061374587621057E-2</v>
      </c>
      <c r="I15163" s="224" t="s">
        <v>2</v>
      </c>
    </row>
    <row r="15164" spans="1:9" x14ac:dyDescent="0.25">
      <c r="A15164" s="515">
        <v>47993</v>
      </c>
      <c r="B15164" s="515" t="s">
        <v>433</v>
      </c>
      <c r="C15164" s="52">
        <v>166469.22770488201</v>
      </c>
      <c r="D15164" s="56">
        <v>7.181128602120708E-2</v>
      </c>
      <c r="E15164" s="224" t="s">
        <v>2</v>
      </c>
      <c r="F15164" s="515" t="s">
        <v>16343</v>
      </c>
      <c r="G15164" s="52">
        <v>244547.87507293301</v>
      </c>
      <c r="H15164" s="56">
        <v>0.11781687466626942</v>
      </c>
      <c r="I15164" s="224" t="s">
        <v>2</v>
      </c>
    </row>
    <row r="15165" spans="1:9" x14ac:dyDescent="0.25">
      <c r="A15165" s="515">
        <v>49034</v>
      </c>
      <c r="B15165" s="515" t="s">
        <v>1037</v>
      </c>
      <c r="C15165" s="52">
        <v>217791.36098681501</v>
      </c>
      <c r="D15165" s="56">
        <v>3.7569527660876706E-2</v>
      </c>
      <c r="E15165" s="224" t="s">
        <v>2</v>
      </c>
      <c r="F15165" s="515" t="s">
        <v>16344</v>
      </c>
      <c r="G15165" s="52">
        <v>710875.52912252105</v>
      </c>
      <c r="H15165" s="56">
        <v>8.7792182339712834E-3</v>
      </c>
      <c r="I15165" s="224" t="s">
        <v>2</v>
      </c>
    </row>
    <row r="15166" spans="1:9" x14ac:dyDescent="0.25">
      <c r="A15166" s="515">
        <v>54013</v>
      </c>
      <c r="B15166" s="515" t="s">
        <v>532</v>
      </c>
      <c r="C15166" s="52">
        <v>244976.00068989201</v>
      </c>
      <c r="D15166" s="56">
        <v>5.218188147380682E-2</v>
      </c>
      <c r="E15166" s="224" t="s">
        <v>2</v>
      </c>
      <c r="F15166" s="515" t="s">
        <v>16345</v>
      </c>
      <c r="G15166" s="52">
        <v>113384.80360844699</v>
      </c>
      <c r="H15166" s="56">
        <v>0.15427521980412104</v>
      </c>
      <c r="I15166" s="224" t="s">
        <v>2</v>
      </c>
    </row>
    <row r="15167" spans="1:9" x14ac:dyDescent="0.25">
      <c r="A15167" s="515">
        <v>95441</v>
      </c>
      <c r="B15167" s="515" t="s">
        <v>331</v>
      </c>
      <c r="C15167" s="52">
        <v>1065669.3115606599</v>
      </c>
      <c r="D15167" s="56">
        <v>-7.7048445140275437E-2</v>
      </c>
      <c r="E15167" s="224" t="s">
        <v>2</v>
      </c>
      <c r="F15167" s="515" t="s">
        <v>16346</v>
      </c>
      <c r="G15167" s="52">
        <v>174192.86508088899</v>
      </c>
      <c r="H15167" s="56">
        <v>0</v>
      </c>
      <c r="I15167" s="224" t="s">
        <v>2</v>
      </c>
    </row>
    <row r="15168" spans="1:9" x14ac:dyDescent="0.25">
      <c r="A15168" s="515">
        <v>95665</v>
      </c>
      <c r="C15168" s="52">
        <v>397013.67115813302</v>
      </c>
      <c r="D15168" s="56">
        <v>-1.5230863847037032E-2</v>
      </c>
      <c r="E15168" s="224" t="s">
        <v>2</v>
      </c>
      <c r="F15168" s="515" t="s">
        <v>16347</v>
      </c>
      <c r="G15168" s="52">
        <v>165889.55892663001</v>
      </c>
      <c r="H15168" s="56">
        <v>9.1415042245450051E-2</v>
      </c>
      <c r="I15168" s="224" t="s">
        <v>2</v>
      </c>
    </row>
    <row r="15169" spans="1:9" x14ac:dyDescent="0.25">
      <c r="A15169" s="515">
        <v>66013</v>
      </c>
      <c r="B15169" s="515" t="s">
        <v>455</v>
      </c>
      <c r="C15169" s="52">
        <v>634675.30094358302</v>
      </c>
      <c r="D15169" s="56">
        <v>8.3481452638587791E-2</v>
      </c>
      <c r="E15169" s="224" t="s">
        <v>2</v>
      </c>
      <c r="F15169" s="515" t="s">
        <v>16348</v>
      </c>
      <c r="G15169" s="52">
        <v>306609.62163109001</v>
      </c>
      <c r="H15169" s="56">
        <v>0.15152578979905368</v>
      </c>
      <c r="I15169" s="224" t="s">
        <v>2</v>
      </c>
    </row>
    <row r="15170" spans="1:9" x14ac:dyDescent="0.25">
      <c r="A15170" s="515">
        <v>98947</v>
      </c>
      <c r="B15170" s="515" t="s">
        <v>948</v>
      </c>
      <c r="C15170" s="52">
        <v>300004.80576204602</v>
      </c>
      <c r="D15170" s="56">
        <v>3.9547519936827806E-2</v>
      </c>
      <c r="E15170" s="224" t="s">
        <v>2</v>
      </c>
      <c r="F15170" s="515" t="s">
        <v>16349</v>
      </c>
      <c r="G15170" s="52">
        <v>179402.47047579999</v>
      </c>
      <c r="H15170" s="56">
        <v>6.4649023474720346E-2</v>
      </c>
      <c r="I15170" s="224" t="s">
        <v>2</v>
      </c>
    </row>
    <row r="15171" spans="1:9" x14ac:dyDescent="0.25">
      <c r="A15171" s="515">
        <v>85377</v>
      </c>
      <c r="B15171" s="515" t="s">
        <v>563</v>
      </c>
      <c r="C15171" s="52">
        <v>1038141.51396482</v>
      </c>
      <c r="D15171" s="56">
        <v>4.7221771133798697E-2</v>
      </c>
      <c r="E15171" s="224" t="s">
        <v>2</v>
      </c>
      <c r="F15171" s="515" t="s">
        <v>16350</v>
      </c>
      <c r="G15171" s="52">
        <v>190470.09277437901</v>
      </c>
      <c r="H15171" s="56">
        <v>7.8259465222577568E-2</v>
      </c>
      <c r="I15171" s="224" t="s">
        <v>2</v>
      </c>
    </row>
    <row r="15172" spans="1:9" x14ac:dyDescent="0.25">
      <c r="A15172" s="515">
        <v>4259</v>
      </c>
      <c r="B15172" s="515" t="s">
        <v>848</v>
      </c>
      <c r="C15172" s="52">
        <v>321462.36994558602</v>
      </c>
      <c r="D15172" s="56">
        <v>7.6577657405784719E-2</v>
      </c>
      <c r="E15172" s="224" t="s">
        <v>2</v>
      </c>
      <c r="F15172" s="515" t="s">
        <v>16351</v>
      </c>
      <c r="G15172" s="52">
        <v>172556.69628004401</v>
      </c>
      <c r="H15172" s="56">
        <v>4.0226378018836287E-2</v>
      </c>
      <c r="I15172" s="224" t="s">
        <v>2</v>
      </c>
    </row>
    <row r="15173" spans="1:9" x14ac:dyDescent="0.25">
      <c r="A15173" s="515">
        <v>76527</v>
      </c>
      <c r="B15173" s="515" t="s">
        <v>380</v>
      </c>
      <c r="C15173" s="52">
        <v>456195.40360065701</v>
      </c>
      <c r="D15173" s="56">
        <v>2.1868589383340607E-2</v>
      </c>
      <c r="E15173" s="224" t="s">
        <v>2</v>
      </c>
      <c r="F15173" s="515" t="s">
        <v>16352</v>
      </c>
      <c r="G15173" s="52">
        <v>467742.09311118303</v>
      </c>
      <c r="H15173" s="56">
        <v>6.1413871280437737E-2</v>
      </c>
      <c r="I15173" s="224" t="s">
        <v>2</v>
      </c>
    </row>
    <row r="15174" spans="1:9" x14ac:dyDescent="0.25">
      <c r="A15174" s="515">
        <v>47136</v>
      </c>
      <c r="B15174" s="515" t="s">
        <v>479</v>
      </c>
      <c r="C15174" s="52">
        <v>293842.09941766498</v>
      </c>
      <c r="D15174" s="56">
        <v>4.5870178601588103E-2</v>
      </c>
      <c r="E15174" s="224" t="s">
        <v>2</v>
      </c>
      <c r="F15174" s="515" t="s">
        <v>16353</v>
      </c>
      <c r="G15174" s="52">
        <v>235213.72007314401</v>
      </c>
      <c r="H15174" s="56">
        <v>8.4673586127999842E-2</v>
      </c>
      <c r="I15174" s="224" t="s">
        <v>2</v>
      </c>
    </row>
    <row r="15175" spans="1:9" x14ac:dyDescent="0.25">
      <c r="A15175" s="515">
        <v>2831</v>
      </c>
      <c r="B15175" s="515" t="s">
        <v>513</v>
      </c>
      <c r="C15175" s="52">
        <v>473328.89341173798</v>
      </c>
      <c r="D15175" s="56">
        <v>8.0065700440580576E-2</v>
      </c>
      <c r="E15175" s="224" t="s">
        <v>2</v>
      </c>
      <c r="F15175" s="515" t="s">
        <v>16354</v>
      </c>
      <c r="G15175" s="52">
        <v>89542.735405271</v>
      </c>
      <c r="H15175" s="56">
        <v>2.6009159733486414E-2</v>
      </c>
      <c r="I15175" s="224" t="s">
        <v>2</v>
      </c>
    </row>
    <row r="15176" spans="1:9" x14ac:dyDescent="0.25">
      <c r="A15176" s="515">
        <v>75446</v>
      </c>
      <c r="B15176" s="515" t="s">
        <v>298</v>
      </c>
      <c r="C15176" s="52">
        <v>187943.35249301</v>
      </c>
      <c r="D15176" s="56">
        <v>6.9488061913661289E-2</v>
      </c>
      <c r="E15176" s="224" t="s">
        <v>2</v>
      </c>
      <c r="F15176" s="515" t="s">
        <v>16355</v>
      </c>
      <c r="G15176" s="52">
        <v>396351.31970149197</v>
      </c>
      <c r="H15176" s="56">
        <v>3.0922068374926344E-2</v>
      </c>
      <c r="I15176" s="224" t="s">
        <v>2</v>
      </c>
    </row>
    <row r="15177" spans="1:9" x14ac:dyDescent="0.25">
      <c r="A15177" s="515">
        <v>38841</v>
      </c>
      <c r="B15177" s="515" t="s">
        <v>1010</v>
      </c>
      <c r="C15177" s="52">
        <v>151218.208244757</v>
      </c>
      <c r="D15177" s="56">
        <v>2.4149798282805023E-2</v>
      </c>
      <c r="E15177" s="224" t="s">
        <v>2</v>
      </c>
      <c r="F15177" s="515" t="s">
        <v>16356</v>
      </c>
      <c r="G15177" s="52">
        <v>452421.407143927</v>
      </c>
      <c r="H15177" s="56">
        <v>8.4862557256824955E-2</v>
      </c>
      <c r="I15177" s="224" t="s">
        <v>2</v>
      </c>
    </row>
    <row r="15178" spans="1:9" x14ac:dyDescent="0.25">
      <c r="A15178" s="515">
        <v>86021</v>
      </c>
      <c r="B15178" s="515" t="s">
        <v>453</v>
      </c>
      <c r="C15178" s="52">
        <v>167498.58031088</v>
      </c>
      <c r="D15178" s="56">
        <v>0</v>
      </c>
      <c r="E15178" s="224" t="s">
        <v>2</v>
      </c>
      <c r="F15178" s="515" t="s">
        <v>16357</v>
      </c>
      <c r="G15178" s="52">
        <v>88845.245392376193</v>
      </c>
      <c r="H15178" s="56">
        <v>0.18418217731923961</v>
      </c>
      <c r="I15178" s="224" t="s">
        <v>2</v>
      </c>
    </row>
    <row r="15179" spans="1:9" x14ac:dyDescent="0.25">
      <c r="A15179" s="515">
        <v>95623</v>
      </c>
      <c r="B15179" s="515" t="s">
        <v>355</v>
      </c>
      <c r="C15179" s="52">
        <v>532239.65783176699</v>
      </c>
      <c r="D15179" s="56">
        <v>-2.2078654371289003E-2</v>
      </c>
      <c r="E15179" s="224" t="s">
        <v>2</v>
      </c>
      <c r="F15179" s="515" t="s">
        <v>16358</v>
      </c>
      <c r="G15179" s="52">
        <v>63815.191683567398</v>
      </c>
      <c r="H15179" s="56">
        <v>-1.1898881519777851E-2</v>
      </c>
      <c r="I15179" s="224" t="s">
        <v>2</v>
      </c>
    </row>
    <row r="15180" spans="1:9" x14ac:dyDescent="0.25">
      <c r="A15180" s="515">
        <v>76470</v>
      </c>
      <c r="C15180" s="52">
        <v>85362.738149418699</v>
      </c>
      <c r="D15180" s="56">
        <v>0.14217058745661809</v>
      </c>
      <c r="E15180" s="224" t="s">
        <v>2</v>
      </c>
      <c r="F15180" s="515" t="s">
        <v>16359</v>
      </c>
      <c r="G15180" s="52">
        <v>192017.301054882</v>
      </c>
      <c r="H15180" s="56">
        <v>7.7599851603852146E-2</v>
      </c>
      <c r="I15180" s="224" t="s">
        <v>2</v>
      </c>
    </row>
    <row r="15181" spans="1:9" x14ac:dyDescent="0.25">
      <c r="A15181" s="515">
        <v>28137</v>
      </c>
      <c r="B15181" s="515" t="s">
        <v>1168</v>
      </c>
      <c r="C15181" s="52">
        <v>268220.671921278</v>
      </c>
      <c r="D15181" s="56">
        <v>0.14971782149307453</v>
      </c>
      <c r="E15181" s="224" t="s">
        <v>2</v>
      </c>
      <c r="F15181" s="515" t="s">
        <v>16360</v>
      </c>
      <c r="G15181" s="52">
        <v>207636.10431415</v>
      </c>
      <c r="H15181" s="56">
        <v>0.14076618652253534</v>
      </c>
      <c r="I15181" s="224" t="s">
        <v>2</v>
      </c>
    </row>
    <row r="15182" spans="1:9" x14ac:dyDescent="0.25">
      <c r="A15182" s="515">
        <v>20861</v>
      </c>
      <c r="B15182" s="515" t="s">
        <v>321</v>
      </c>
      <c r="C15182" s="52">
        <v>742810.62202865595</v>
      </c>
      <c r="D15182" s="56">
        <v>4.1134380953897612E-2</v>
      </c>
      <c r="E15182" s="224" t="s">
        <v>2</v>
      </c>
      <c r="F15182" s="515" t="s">
        <v>16361</v>
      </c>
      <c r="G15182" s="52">
        <v>116743.68643488899</v>
      </c>
      <c r="H15182" s="56">
        <v>4.8824917530782219E-2</v>
      </c>
      <c r="I15182" s="224" t="s">
        <v>2</v>
      </c>
    </row>
    <row r="15183" spans="1:9" x14ac:dyDescent="0.25">
      <c r="A15183" s="515">
        <v>66409</v>
      </c>
      <c r="B15183" s="515" t="s">
        <v>549</v>
      </c>
      <c r="C15183" s="52">
        <v>313931.05747923598</v>
      </c>
      <c r="D15183" s="56">
        <v>0.10615632647286601</v>
      </c>
      <c r="E15183" s="224" t="s">
        <v>2</v>
      </c>
      <c r="F15183" s="515" t="s">
        <v>16362</v>
      </c>
      <c r="G15183" s="52">
        <v>143538.76813781401</v>
      </c>
      <c r="H15183" s="56">
        <v>8.2176539885091646E-2</v>
      </c>
      <c r="I15183" s="224" t="s">
        <v>2</v>
      </c>
    </row>
    <row r="15184" spans="1:9" x14ac:dyDescent="0.25">
      <c r="A15184" s="515">
        <v>1541</v>
      </c>
      <c r="B15184" s="515" t="s">
        <v>751</v>
      </c>
      <c r="C15184" s="52">
        <v>524338.86057800998</v>
      </c>
      <c r="D15184" s="56">
        <v>6.17309353265241E-2</v>
      </c>
      <c r="E15184" s="224" t="s">
        <v>2</v>
      </c>
      <c r="F15184" s="515" t="s">
        <v>16363</v>
      </c>
      <c r="G15184" s="52">
        <v>233202.11901513499</v>
      </c>
      <c r="H15184" s="56">
        <v>9.7216829251113857E-2</v>
      </c>
      <c r="I15184" s="224" t="s">
        <v>2</v>
      </c>
    </row>
    <row r="15185" spans="1:9" x14ac:dyDescent="0.25">
      <c r="A15185" s="515">
        <v>47920</v>
      </c>
      <c r="B15185" s="515" t="s">
        <v>433</v>
      </c>
      <c r="C15185" s="52">
        <v>266581.80056439701</v>
      </c>
      <c r="D15185" s="56">
        <v>1.5928000572190557E-2</v>
      </c>
      <c r="E15185" s="224" t="s">
        <v>2</v>
      </c>
      <c r="F15185" s="515" t="s">
        <v>16364</v>
      </c>
      <c r="G15185" s="52">
        <v>263437.35724296002</v>
      </c>
      <c r="H15185" s="56">
        <v>6.5497091271503535E-2</v>
      </c>
      <c r="I15185" s="224" t="s">
        <v>2</v>
      </c>
    </row>
    <row r="15186" spans="1:9" x14ac:dyDescent="0.25">
      <c r="A15186" s="515">
        <v>19310</v>
      </c>
      <c r="B15186" s="515" t="s">
        <v>294</v>
      </c>
      <c r="C15186" s="52">
        <v>333746.98111927201</v>
      </c>
      <c r="D15186" s="56">
        <v>0.10154239036278249</v>
      </c>
      <c r="E15186" s="224" t="s">
        <v>2</v>
      </c>
      <c r="F15186" s="515" t="s">
        <v>16365</v>
      </c>
      <c r="G15186" s="52">
        <v>145486.75796178301</v>
      </c>
      <c r="H15186" s="56">
        <v>0</v>
      </c>
      <c r="I15186" s="224" t="s">
        <v>2</v>
      </c>
    </row>
    <row r="15187" spans="1:9" x14ac:dyDescent="0.25">
      <c r="A15187" s="515">
        <v>3278</v>
      </c>
      <c r="B15187" s="515" t="s">
        <v>981</v>
      </c>
      <c r="C15187" s="52">
        <v>362716.07410312502</v>
      </c>
      <c r="D15187" s="56">
        <v>0.1151022140023685</v>
      </c>
      <c r="E15187" s="224" t="s">
        <v>2</v>
      </c>
      <c r="F15187" s="515" t="s">
        <v>16366</v>
      </c>
      <c r="G15187" s="52">
        <v>133506.48374293101</v>
      </c>
      <c r="H15187" s="56">
        <v>0</v>
      </c>
      <c r="I15187" s="224" t="s">
        <v>2</v>
      </c>
    </row>
    <row r="15188" spans="1:9" x14ac:dyDescent="0.25">
      <c r="A15188" s="515">
        <v>37149</v>
      </c>
      <c r="B15188" s="515" t="s">
        <v>684</v>
      </c>
      <c r="C15188" s="52">
        <v>356541.844480759</v>
      </c>
      <c r="D15188" s="56">
        <v>4.3429097531737591E-2</v>
      </c>
      <c r="E15188" s="224" t="s">
        <v>2</v>
      </c>
      <c r="F15188" s="515" t="s">
        <v>16367</v>
      </c>
      <c r="G15188" s="52">
        <v>410081.69430220802</v>
      </c>
      <c r="H15188" s="56">
        <v>6.299688853594955E-2</v>
      </c>
      <c r="I15188" s="224" t="s">
        <v>2</v>
      </c>
    </row>
    <row r="15189" spans="1:9" x14ac:dyDescent="0.25">
      <c r="A15189" s="515">
        <v>98524</v>
      </c>
      <c r="B15189" s="515" t="s">
        <v>839</v>
      </c>
      <c r="C15189" s="52">
        <v>522930.03207618103</v>
      </c>
      <c r="D15189" s="56">
        <v>3.3356025674485534E-2</v>
      </c>
      <c r="E15189" s="224" t="s">
        <v>2</v>
      </c>
      <c r="F15189" s="515" t="s">
        <v>16368</v>
      </c>
      <c r="G15189" s="52">
        <v>154492.50446170999</v>
      </c>
      <c r="H15189" s="56">
        <v>7.3608375609695881E-2</v>
      </c>
      <c r="I15189" s="224" t="s">
        <v>2</v>
      </c>
    </row>
    <row r="15190" spans="1:9" x14ac:dyDescent="0.25">
      <c r="A15190" s="515">
        <v>3782</v>
      </c>
      <c r="B15190" s="515" t="s">
        <v>420</v>
      </c>
      <c r="C15190" s="52">
        <v>560813.67838561197</v>
      </c>
      <c r="D15190" s="56">
        <v>6.8530031376899642E-2</v>
      </c>
      <c r="E15190" s="224" t="s">
        <v>2</v>
      </c>
      <c r="F15190" s="515" t="s">
        <v>16369</v>
      </c>
      <c r="G15190" s="52">
        <v>432609.09294988302</v>
      </c>
      <c r="H15190" s="56">
        <v>7.6637641409386795E-2</v>
      </c>
      <c r="I15190" s="224" t="s">
        <v>2</v>
      </c>
    </row>
    <row r="15191" spans="1:9" x14ac:dyDescent="0.25">
      <c r="A15191" s="515">
        <v>3576</v>
      </c>
      <c r="B15191" s="515" t="s">
        <v>752</v>
      </c>
      <c r="C15191" s="52">
        <v>198125.477679868</v>
      </c>
      <c r="D15191" s="56">
        <v>0.22949856429480361</v>
      </c>
      <c r="E15191" s="224" t="s">
        <v>2</v>
      </c>
      <c r="F15191" s="515" t="s">
        <v>16370</v>
      </c>
      <c r="G15191" s="52">
        <v>148738.073956106</v>
      </c>
      <c r="H15191" s="56">
        <v>-2.2770720362459331E-2</v>
      </c>
      <c r="I15191" s="224" t="s">
        <v>2</v>
      </c>
    </row>
    <row r="15192" spans="1:9" x14ac:dyDescent="0.25">
      <c r="A15192" s="515">
        <v>65704</v>
      </c>
      <c r="C15192" s="52">
        <v>162951.19466670399</v>
      </c>
      <c r="D15192" s="56">
        <v>0.17857091407260797</v>
      </c>
      <c r="E15192" s="224" t="s">
        <v>2</v>
      </c>
      <c r="F15192" s="515" t="s">
        <v>16371</v>
      </c>
      <c r="G15192" s="52">
        <v>450854.67061764601</v>
      </c>
      <c r="H15192" s="56">
        <v>0.18917850104749481</v>
      </c>
      <c r="I15192" s="224" t="s">
        <v>2</v>
      </c>
    </row>
    <row r="15193" spans="1:9" x14ac:dyDescent="0.25">
      <c r="A15193" s="515">
        <v>13317</v>
      </c>
      <c r="B15193" s="515" t="s">
        <v>378</v>
      </c>
      <c r="C15193" s="52">
        <v>146183.15131174499</v>
      </c>
      <c r="D15193" s="56">
        <v>0.10593936154634562</v>
      </c>
      <c r="E15193" s="224" t="s">
        <v>2</v>
      </c>
      <c r="F15193" s="515" t="s">
        <v>16372</v>
      </c>
      <c r="G15193" s="52">
        <v>192688.07769308999</v>
      </c>
      <c r="H15193" s="56">
        <v>-1.581761504639927E-2</v>
      </c>
      <c r="I15193" s="224" t="s">
        <v>2</v>
      </c>
    </row>
    <row r="15194" spans="1:9" x14ac:dyDescent="0.25">
      <c r="A15194" s="515">
        <v>46164</v>
      </c>
      <c r="B15194" s="515" t="s">
        <v>403</v>
      </c>
      <c r="C15194" s="52">
        <v>319502.79094039701</v>
      </c>
      <c r="D15194" s="56">
        <v>8.8392214059385632E-2</v>
      </c>
      <c r="E15194" s="224" t="s">
        <v>2</v>
      </c>
      <c r="F15194" s="515" t="s">
        <v>16373</v>
      </c>
      <c r="G15194" s="52">
        <v>213611.35007196601</v>
      </c>
      <c r="H15194" s="56">
        <v>6.8607071371583048E-2</v>
      </c>
      <c r="I15194" s="224" t="s">
        <v>2</v>
      </c>
    </row>
    <row r="15195" spans="1:9" x14ac:dyDescent="0.25">
      <c r="A15195" s="515">
        <v>30527</v>
      </c>
      <c r="B15195" s="515" t="s">
        <v>1102</v>
      </c>
      <c r="C15195" s="52">
        <v>352053.98797371</v>
      </c>
      <c r="D15195" s="56">
        <v>0.11692337199343082</v>
      </c>
      <c r="E15195" s="224" t="s">
        <v>2</v>
      </c>
      <c r="F15195" s="515" t="s">
        <v>16374</v>
      </c>
      <c r="G15195" s="52">
        <v>124573.528431981</v>
      </c>
      <c r="H15195" s="56">
        <v>1.694553766007725E-2</v>
      </c>
      <c r="I15195" s="224" t="s">
        <v>2</v>
      </c>
    </row>
    <row r="15196" spans="1:9" x14ac:dyDescent="0.25">
      <c r="A15196" s="515">
        <v>21053</v>
      </c>
      <c r="B15196" s="515" t="s">
        <v>582</v>
      </c>
      <c r="C15196" s="52">
        <v>467895.28854462499</v>
      </c>
      <c r="D15196" s="56">
        <v>1.1681211454611621E-2</v>
      </c>
      <c r="E15196" s="224" t="s">
        <v>2</v>
      </c>
      <c r="F15196" s="515" t="s">
        <v>16375</v>
      </c>
      <c r="G15196" s="52">
        <v>472525.70746028703</v>
      </c>
      <c r="H15196" s="56">
        <v>7.2466292005786151E-2</v>
      </c>
      <c r="I15196" s="224" t="s">
        <v>2</v>
      </c>
    </row>
    <row r="15197" spans="1:9" x14ac:dyDescent="0.25">
      <c r="A15197" s="515">
        <v>46929</v>
      </c>
      <c r="B15197" s="515" t="s">
        <v>433</v>
      </c>
      <c r="C15197" s="52">
        <v>157697.739702069</v>
      </c>
      <c r="D15197" s="56">
        <v>6.1582902773495519E-2</v>
      </c>
      <c r="E15197" s="224" t="s">
        <v>2</v>
      </c>
      <c r="F15197" s="515" t="s">
        <v>16376</v>
      </c>
      <c r="G15197" s="52">
        <v>234686.77783910499</v>
      </c>
      <c r="H15197" s="56">
        <v>6.6761767482417772E-2</v>
      </c>
      <c r="I15197" s="224" t="s">
        <v>2</v>
      </c>
    </row>
    <row r="15198" spans="1:9" x14ac:dyDescent="0.25">
      <c r="A15198" s="515">
        <v>35541</v>
      </c>
      <c r="C15198" s="52">
        <v>405346.278844563</v>
      </c>
      <c r="D15198" s="56">
        <v>0.10774919169059033</v>
      </c>
      <c r="E15198" s="224" t="s">
        <v>2</v>
      </c>
      <c r="F15198" s="515" t="s">
        <v>16377</v>
      </c>
      <c r="G15198" s="52">
        <v>291001.21609807498</v>
      </c>
      <c r="H15198" s="56">
        <v>8.1490463558782228E-2</v>
      </c>
      <c r="I15198" s="224" t="s">
        <v>2</v>
      </c>
    </row>
    <row r="15199" spans="1:9" x14ac:dyDescent="0.25">
      <c r="A15199" s="515">
        <v>10004</v>
      </c>
      <c r="B15199" s="515" t="s">
        <v>324</v>
      </c>
      <c r="C15199" s="52">
        <v>994797.84706145397</v>
      </c>
      <c r="D15199" s="56">
        <v>-0.10510231051962679</v>
      </c>
      <c r="E15199" s="224">
        <v>3933.88888888888</v>
      </c>
      <c r="F15199" s="515" t="s">
        <v>16378</v>
      </c>
      <c r="G15199" s="52">
        <v>224841.243784391</v>
      </c>
      <c r="H15199" s="56">
        <v>4.7814303408610023E-2</v>
      </c>
      <c r="I15199" s="224" t="s">
        <v>2</v>
      </c>
    </row>
    <row r="15200" spans="1:9" x14ac:dyDescent="0.25">
      <c r="A15200" s="515">
        <v>35118</v>
      </c>
      <c r="B15200" s="515" t="s">
        <v>640</v>
      </c>
      <c r="C15200" s="52">
        <v>149571.06856071801</v>
      </c>
      <c r="D15200" s="56">
        <v>0.16589189623231929</v>
      </c>
      <c r="E15200" s="224" t="s">
        <v>2</v>
      </c>
      <c r="F15200" s="515" t="s">
        <v>16379</v>
      </c>
      <c r="G15200" s="52">
        <v>77688.994213571001</v>
      </c>
      <c r="H15200" s="56">
        <v>0.14351611823305616</v>
      </c>
      <c r="I15200" s="224" t="s">
        <v>2</v>
      </c>
    </row>
    <row r="15201" spans="1:9" x14ac:dyDescent="0.25">
      <c r="A15201" s="515">
        <v>83252</v>
      </c>
      <c r="C15201" s="52">
        <v>298593.01803346298</v>
      </c>
      <c r="D15201" s="56">
        <v>7.7251868370640214E-2</v>
      </c>
      <c r="E15201" s="224" t="s">
        <v>2</v>
      </c>
      <c r="F15201" s="515" t="s">
        <v>16380</v>
      </c>
      <c r="G15201" s="52">
        <v>1054497.9500305201</v>
      </c>
      <c r="H15201" s="56">
        <v>2.5232224453749424E-2</v>
      </c>
      <c r="I15201" s="224" t="s">
        <v>2</v>
      </c>
    </row>
    <row r="15202" spans="1:9" x14ac:dyDescent="0.25">
      <c r="A15202" s="515">
        <v>1506</v>
      </c>
      <c r="B15202" s="515" t="s">
        <v>751</v>
      </c>
      <c r="C15202" s="52">
        <v>347122.54717470403</v>
      </c>
      <c r="D15202" s="56">
        <v>7.6864724975148332E-2</v>
      </c>
      <c r="E15202" s="224" t="s">
        <v>2</v>
      </c>
      <c r="F15202" s="515" t="s">
        <v>16381</v>
      </c>
      <c r="G15202" s="52">
        <v>147706.847615462</v>
      </c>
      <c r="H15202" s="56">
        <v>6.8287106960099014E-2</v>
      </c>
      <c r="I15202" s="224" t="s">
        <v>2</v>
      </c>
    </row>
    <row r="15203" spans="1:9" x14ac:dyDescent="0.25">
      <c r="A15203" s="515">
        <v>53036</v>
      </c>
      <c r="B15203" s="515" t="s">
        <v>1085</v>
      </c>
      <c r="C15203" s="52">
        <v>374871.08434924198</v>
      </c>
      <c r="D15203" s="56">
        <v>6.3381006886311028E-2</v>
      </c>
      <c r="E15203" s="224" t="s">
        <v>2</v>
      </c>
      <c r="F15203" s="515" t="s">
        <v>16382</v>
      </c>
      <c r="G15203" s="52">
        <v>333324.07859899499</v>
      </c>
      <c r="H15203" s="56">
        <v>4.5675760598890336E-2</v>
      </c>
      <c r="I15203" s="224" t="s">
        <v>2</v>
      </c>
    </row>
    <row r="15204" spans="1:9" x14ac:dyDescent="0.25">
      <c r="A15204" s="515">
        <v>42044</v>
      </c>
      <c r="C15204" s="52">
        <v>187203.67552438399</v>
      </c>
      <c r="D15204" s="56">
        <v>0.10882470540072481</v>
      </c>
      <c r="E15204" s="224" t="s">
        <v>2</v>
      </c>
      <c r="F15204" s="515" t="s">
        <v>16383</v>
      </c>
      <c r="G15204" s="52">
        <v>169473.88806842201</v>
      </c>
      <c r="H15204" s="56">
        <v>4.1328485067725428E-2</v>
      </c>
      <c r="I15204" s="224" t="s">
        <v>2</v>
      </c>
    </row>
    <row r="15205" spans="1:9" x14ac:dyDescent="0.25">
      <c r="A15205" s="515">
        <v>52655</v>
      </c>
      <c r="B15205" s="515" t="s">
        <v>672</v>
      </c>
      <c r="C15205" s="52">
        <v>162044.48091925099</v>
      </c>
      <c r="D15205" s="56">
        <v>7.3035860519214582E-2</v>
      </c>
      <c r="E15205" s="224" t="s">
        <v>2</v>
      </c>
      <c r="F15205" s="515" t="s">
        <v>16384</v>
      </c>
      <c r="G15205" s="52">
        <v>106997.359745218</v>
      </c>
      <c r="H15205" s="56">
        <v>0.6287148705390454</v>
      </c>
      <c r="I15205" s="224" t="s">
        <v>2</v>
      </c>
    </row>
    <row r="15206" spans="1:9" x14ac:dyDescent="0.25">
      <c r="A15206" s="515">
        <v>28643</v>
      </c>
      <c r="C15206" s="52">
        <v>233905.9650648</v>
      </c>
      <c r="D15206" s="56">
        <v>0.11772393686824639</v>
      </c>
      <c r="E15206" s="224" t="s">
        <v>2</v>
      </c>
      <c r="F15206" s="515" t="s">
        <v>16385</v>
      </c>
      <c r="G15206" s="52">
        <v>177284.619420748</v>
      </c>
      <c r="H15206" s="56">
        <v>6.2073445781650013E-2</v>
      </c>
      <c r="I15206" s="224" t="s">
        <v>2</v>
      </c>
    </row>
    <row r="15207" spans="1:9" x14ac:dyDescent="0.25">
      <c r="A15207" s="515">
        <v>57025</v>
      </c>
      <c r="B15207" s="515" t="s">
        <v>649</v>
      </c>
      <c r="C15207" s="52">
        <v>249656.693067805</v>
      </c>
      <c r="D15207" s="56">
        <v>7.9187422873750829E-2</v>
      </c>
      <c r="E15207" s="224" t="s">
        <v>2</v>
      </c>
      <c r="F15207" s="515" t="s">
        <v>16386</v>
      </c>
      <c r="G15207" s="52">
        <v>348671.86248984101</v>
      </c>
      <c r="H15207" s="56">
        <v>7.4057968060316948E-2</v>
      </c>
      <c r="I15207" s="224" t="s">
        <v>2</v>
      </c>
    </row>
    <row r="15208" spans="1:9" x14ac:dyDescent="0.25">
      <c r="A15208" s="515">
        <v>65769</v>
      </c>
      <c r="C15208" s="52">
        <v>211617.022990631</v>
      </c>
      <c r="D15208" s="56">
        <v>0.14070762882793028</v>
      </c>
      <c r="E15208" s="224" t="s">
        <v>2</v>
      </c>
      <c r="F15208" s="515" t="s">
        <v>16387</v>
      </c>
      <c r="G15208" s="52">
        <v>47174.8138948142</v>
      </c>
      <c r="H15208" s="56">
        <v>2.426076632894102E-2</v>
      </c>
      <c r="I15208" s="224" t="s">
        <v>2</v>
      </c>
    </row>
    <row r="15209" spans="1:9" x14ac:dyDescent="0.25">
      <c r="A15209" s="515">
        <v>53021</v>
      </c>
      <c r="B15209" s="515" t="s">
        <v>950</v>
      </c>
      <c r="C15209" s="52">
        <v>299795.53009159298</v>
      </c>
      <c r="D15209" s="56">
        <v>2.7309960211366516E-2</v>
      </c>
      <c r="E15209" s="224" t="s">
        <v>2</v>
      </c>
      <c r="F15209" s="515" t="s">
        <v>16388</v>
      </c>
      <c r="G15209" s="52">
        <v>151411.86033458001</v>
      </c>
      <c r="H15209" s="56">
        <v>0</v>
      </c>
      <c r="I15209" s="224" t="s">
        <v>2</v>
      </c>
    </row>
    <row r="15210" spans="1:9" x14ac:dyDescent="0.25">
      <c r="A15210" s="515">
        <v>56175</v>
      </c>
      <c r="B15210" s="515" t="s">
        <v>708</v>
      </c>
      <c r="C15210" s="52">
        <v>115604.093801665</v>
      </c>
      <c r="D15210" s="56">
        <v>5.618637409380723E-2</v>
      </c>
      <c r="E15210" s="224" t="s">
        <v>2</v>
      </c>
      <c r="F15210" s="515" t="s">
        <v>16389</v>
      </c>
      <c r="G15210" s="52">
        <v>196666.721826091</v>
      </c>
      <c r="H15210" s="56">
        <v>2.1949232192040556E-2</v>
      </c>
      <c r="I15210" s="224" t="s">
        <v>2</v>
      </c>
    </row>
    <row r="15211" spans="1:9" x14ac:dyDescent="0.25">
      <c r="A15211" s="515">
        <v>7641</v>
      </c>
      <c r="B15211" s="515" t="s">
        <v>324</v>
      </c>
      <c r="C15211" s="52">
        <v>829485.43917524104</v>
      </c>
      <c r="D15211" s="56">
        <v>6.8746910448914622E-2</v>
      </c>
      <c r="E15211" s="224" t="s">
        <v>2</v>
      </c>
      <c r="F15211" s="515" t="s">
        <v>16390</v>
      </c>
      <c r="G15211" s="52">
        <v>205314.73646195701</v>
      </c>
      <c r="H15211" s="56">
        <v>7.5611431821155137E-2</v>
      </c>
      <c r="I15211" s="224" t="s">
        <v>2</v>
      </c>
    </row>
    <row r="15212" spans="1:9" x14ac:dyDescent="0.25">
      <c r="A15212" s="515">
        <v>51023</v>
      </c>
      <c r="C15212" s="52">
        <v>134239.94675219999</v>
      </c>
      <c r="D15212" s="56">
        <v>5.251314709206769E-2</v>
      </c>
      <c r="E15212" s="224" t="s">
        <v>2</v>
      </c>
      <c r="F15212" s="515" t="s">
        <v>16391</v>
      </c>
      <c r="G15212" s="52">
        <v>291595.19672131102</v>
      </c>
      <c r="H15212" s="56">
        <v>0</v>
      </c>
      <c r="I15212" s="224" t="s">
        <v>2</v>
      </c>
    </row>
    <row r="15213" spans="1:9" x14ac:dyDescent="0.25">
      <c r="A15213" s="515">
        <v>18344</v>
      </c>
      <c r="B15213" s="515" t="s">
        <v>338</v>
      </c>
      <c r="C15213" s="52">
        <v>234606.705814571</v>
      </c>
      <c r="D15213" s="56">
        <v>0.10082873433317707</v>
      </c>
      <c r="E15213" s="224" t="s">
        <v>2</v>
      </c>
      <c r="F15213" s="515" t="s">
        <v>16392</v>
      </c>
      <c r="G15213" s="52">
        <v>181340.45995548501</v>
      </c>
      <c r="H15213" s="56">
        <v>0.13048704513606457</v>
      </c>
      <c r="I15213" s="224" t="s">
        <v>2</v>
      </c>
    </row>
    <row r="15214" spans="1:9" x14ac:dyDescent="0.25">
      <c r="A15214" s="515">
        <v>36861</v>
      </c>
      <c r="B15214" s="515" t="s">
        <v>862</v>
      </c>
      <c r="C15214" s="52">
        <v>470976.21280315402</v>
      </c>
      <c r="D15214" s="56">
        <v>0.10566282427402304</v>
      </c>
      <c r="E15214" s="224" t="s">
        <v>2</v>
      </c>
      <c r="F15214" s="515" t="s">
        <v>16393</v>
      </c>
      <c r="G15214" s="52">
        <v>85045.547619047604</v>
      </c>
      <c r="H15214" s="56">
        <v>0</v>
      </c>
      <c r="I15214" s="224" t="s">
        <v>2</v>
      </c>
    </row>
    <row r="15215" spans="1:9" x14ac:dyDescent="0.25">
      <c r="A15215" s="515">
        <v>96750</v>
      </c>
      <c r="B15215" s="515" t="s">
        <v>399</v>
      </c>
      <c r="C15215" s="52">
        <v>754231.92150120402</v>
      </c>
      <c r="D15215" s="56">
        <v>0.1229827049935982</v>
      </c>
      <c r="E15215" s="224" t="s">
        <v>2</v>
      </c>
      <c r="F15215" s="515" t="s">
        <v>16394</v>
      </c>
      <c r="G15215" s="52">
        <v>50213.025014298102</v>
      </c>
      <c r="H15215" s="56">
        <v>-0.13537740024330294</v>
      </c>
      <c r="I15215" s="224" t="s">
        <v>2</v>
      </c>
    </row>
    <row r="15216" spans="1:9" x14ac:dyDescent="0.25">
      <c r="A15216" s="515">
        <v>37410</v>
      </c>
      <c r="B15216" s="515" t="s">
        <v>622</v>
      </c>
      <c r="C15216" s="52">
        <v>91837.093559743895</v>
      </c>
      <c r="D15216" s="56">
        <v>0.11333716481305484</v>
      </c>
      <c r="E15216" s="224" t="s">
        <v>2</v>
      </c>
      <c r="F15216" s="515" t="s">
        <v>16395</v>
      </c>
      <c r="G15216" s="52">
        <v>178101.23071704799</v>
      </c>
      <c r="H15216" s="56">
        <v>7.1236401926164247E-2</v>
      </c>
      <c r="I15216" s="224" t="s">
        <v>2</v>
      </c>
    </row>
    <row r="15217" spans="1:9" x14ac:dyDescent="0.25">
      <c r="A15217" s="515">
        <v>38847</v>
      </c>
      <c r="B15217" s="515" t="s">
        <v>1010</v>
      </c>
      <c r="C15217" s="52">
        <v>118804.385039553</v>
      </c>
      <c r="D15217" s="56">
        <v>-4.5746323327816668E-2</v>
      </c>
      <c r="E15217" s="224" t="s">
        <v>2</v>
      </c>
      <c r="F15217" s="515" t="s">
        <v>16396</v>
      </c>
      <c r="G15217" s="52">
        <v>247209.78940847699</v>
      </c>
      <c r="H15217" s="56">
        <v>0.10443993875306028</v>
      </c>
      <c r="I15217" s="224" t="s">
        <v>2</v>
      </c>
    </row>
    <row r="15218" spans="1:9" x14ac:dyDescent="0.25">
      <c r="A15218" s="515">
        <v>22213</v>
      </c>
      <c r="B15218" s="515" t="s">
        <v>321</v>
      </c>
      <c r="C15218" s="52">
        <v>943439.770024586</v>
      </c>
      <c r="D15218" s="56">
        <v>2.5137800292689975E-2</v>
      </c>
      <c r="E15218" s="224">
        <v>3061.3333333333298</v>
      </c>
      <c r="F15218" s="515" t="s">
        <v>16397</v>
      </c>
      <c r="G15218" s="52">
        <v>336467.106149706</v>
      </c>
      <c r="H15218" s="56">
        <v>3.2671916623990598E-2</v>
      </c>
      <c r="I15218" s="224" t="s">
        <v>2</v>
      </c>
    </row>
    <row r="15219" spans="1:9" x14ac:dyDescent="0.25">
      <c r="A15219" s="515">
        <v>28905</v>
      </c>
      <c r="C15219" s="52">
        <v>248309.120500922</v>
      </c>
      <c r="D15219" s="56">
        <v>0.10907787050516318</v>
      </c>
      <c r="E15219" s="224" t="s">
        <v>2</v>
      </c>
      <c r="F15219" s="515" t="s">
        <v>16398</v>
      </c>
      <c r="G15219" s="52">
        <v>94531.643538806398</v>
      </c>
      <c r="H15219" s="56">
        <v>0.14751512826438662</v>
      </c>
      <c r="I15219" s="224" t="s">
        <v>2</v>
      </c>
    </row>
    <row r="15220" spans="1:9" x14ac:dyDescent="0.25">
      <c r="A15220" s="515">
        <v>47639</v>
      </c>
      <c r="C15220" s="52">
        <v>270482.91637288599</v>
      </c>
      <c r="D15220" s="56">
        <v>3.333257410374426E-2</v>
      </c>
      <c r="E15220" s="224" t="s">
        <v>2</v>
      </c>
      <c r="F15220" s="515" t="s">
        <v>16399</v>
      </c>
      <c r="G15220" s="52">
        <v>183356.92320144601</v>
      </c>
      <c r="H15220" s="56">
        <v>4.6733259427393516E-2</v>
      </c>
      <c r="I15220" s="224" t="s">
        <v>2</v>
      </c>
    </row>
    <row r="15221" spans="1:9" x14ac:dyDescent="0.25">
      <c r="A15221" s="515">
        <v>29450</v>
      </c>
      <c r="B15221" s="515" t="s">
        <v>1009</v>
      </c>
      <c r="C15221" s="52">
        <v>390718.691231851</v>
      </c>
      <c r="D15221" s="56">
        <v>7.232514565695447E-2</v>
      </c>
      <c r="E15221" s="224" t="s">
        <v>2</v>
      </c>
      <c r="F15221" s="515" t="s">
        <v>16400</v>
      </c>
      <c r="G15221" s="52">
        <v>169201.726064463</v>
      </c>
      <c r="H15221" s="56">
        <v>7.5141119611971105E-2</v>
      </c>
      <c r="I15221" s="224" t="s">
        <v>2</v>
      </c>
    </row>
    <row r="15222" spans="1:9" x14ac:dyDescent="0.25">
      <c r="A15222" s="515">
        <v>74038</v>
      </c>
      <c r="B15222" s="515" t="s">
        <v>348</v>
      </c>
      <c r="C15222" s="52">
        <v>154633.54323838401</v>
      </c>
      <c r="D15222" s="56">
        <v>2.9951575449531295E-3</v>
      </c>
      <c r="E15222" s="224" t="s">
        <v>2</v>
      </c>
      <c r="F15222" s="515" t="s">
        <v>16401</v>
      </c>
      <c r="G15222" s="52">
        <v>69928.7315015153</v>
      </c>
      <c r="H15222" s="56">
        <v>0.2297958013436214</v>
      </c>
      <c r="I15222" s="224" t="s">
        <v>2</v>
      </c>
    </row>
    <row r="15223" spans="1:9" x14ac:dyDescent="0.25">
      <c r="A15223" s="515">
        <v>80828</v>
      </c>
      <c r="C15223" s="52">
        <v>253636.99001793799</v>
      </c>
      <c r="D15223" s="56">
        <v>6.6619925363118476E-2</v>
      </c>
      <c r="E15223" s="224" t="s">
        <v>2</v>
      </c>
      <c r="F15223" s="515" t="s">
        <v>16402</v>
      </c>
      <c r="G15223" s="52">
        <v>82713.638692138906</v>
      </c>
      <c r="H15223" s="56">
        <v>5.3926233496765213E-3</v>
      </c>
      <c r="I15223" s="224" t="s">
        <v>2</v>
      </c>
    </row>
    <row r="15224" spans="1:9" x14ac:dyDescent="0.25">
      <c r="A15224" s="515">
        <v>21562</v>
      </c>
      <c r="B15224" s="515" t="s">
        <v>362</v>
      </c>
      <c r="C15224" s="52">
        <v>74580.530211781705</v>
      </c>
      <c r="D15224" s="56">
        <v>4.3243069950076291E-2</v>
      </c>
      <c r="E15224" s="224" t="s">
        <v>2</v>
      </c>
      <c r="F15224" s="515" t="s">
        <v>16403</v>
      </c>
      <c r="G15224" s="52">
        <v>199777.05002328401</v>
      </c>
      <c r="H15224" s="56">
        <v>0.10146870380028014</v>
      </c>
      <c r="I15224" s="224" t="s">
        <v>2</v>
      </c>
    </row>
    <row r="15225" spans="1:9" x14ac:dyDescent="0.25">
      <c r="A15225" s="515">
        <v>61360</v>
      </c>
      <c r="B15225" s="515" t="s">
        <v>556</v>
      </c>
      <c r="C15225" s="52">
        <v>193828.88080096999</v>
      </c>
      <c r="D15225" s="56">
        <v>2.0990215636449275E-2</v>
      </c>
      <c r="E15225" s="224" t="s">
        <v>2</v>
      </c>
      <c r="F15225" s="515" t="s">
        <v>16404</v>
      </c>
      <c r="G15225" s="52">
        <v>162561.59344350101</v>
      </c>
      <c r="H15225" s="56">
        <v>3.2819611053059014E-2</v>
      </c>
      <c r="I15225" s="224" t="s">
        <v>2</v>
      </c>
    </row>
    <row r="15226" spans="1:9" x14ac:dyDescent="0.25">
      <c r="A15226" s="515">
        <v>37843</v>
      </c>
      <c r="B15226" s="515" t="s">
        <v>1083</v>
      </c>
      <c r="C15226" s="52">
        <v>216756.091538507</v>
      </c>
      <c r="D15226" s="56">
        <v>4.4486362104516786E-2</v>
      </c>
      <c r="E15226" s="224" t="s">
        <v>2</v>
      </c>
      <c r="F15226" s="515" t="s">
        <v>16405</v>
      </c>
      <c r="G15226" s="52">
        <v>159518.46123327699</v>
      </c>
      <c r="H15226" s="56">
        <v>3.8875541396570228E-2</v>
      </c>
      <c r="I15226" s="224" t="s">
        <v>2</v>
      </c>
    </row>
    <row r="15227" spans="1:9" x14ac:dyDescent="0.25">
      <c r="A15227" s="515">
        <v>8804</v>
      </c>
      <c r="B15227" s="515" t="s">
        <v>324</v>
      </c>
      <c r="C15227" s="52">
        <v>384902.65933451301</v>
      </c>
      <c r="D15227" s="56">
        <v>2.1549862269648126E-2</v>
      </c>
      <c r="E15227" s="224" t="s">
        <v>2</v>
      </c>
      <c r="F15227" s="515" t="s">
        <v>16406</v>
      </c>
      <c r="G15227" s="52">
        <v>149278.63642353899</v>
      </c>
      <c r="H15227" s="56">
        <v>6.0764644217163426E-2</v>
      </c>
      <c r="I15227" s="224" t="s">
        <v>2</v>
      </c>
    </row>
    <row r="15228" spans="1:9" x14ac:dyDescent="0.25">
      <c r="A15228" s="515">
        <v>37806</v>
      </c>
      <c r="B15228" s="515" t="s">
        <v>907</v>
      </c>
      <c r="C15228" s="52">
        <v>205270.1351819</v>
      </c>
      <c r="D15228" s="56">
        <v>0.15025212996975884</v>
      </c>
      <c r="E15228" s="224" t="s">
        <v>2</v>
      </c>
      <c r="F15228" s="515" t="s">
        <v>16407</v>
      </c>
      <c r="G15228" s="52">
        <v>219134.694710824</v>
      </c>
      <c r="H15228" s="56">
        <v>6.0398350667010457E-2</v>
      </c>
      <c r="I15228" s="224" t="s">
        <v>2</v>
      </c>
    </row>
    <row r="15229" spans="1:9" x14ac:dyDescent="0.25">
      <c r="A15229" s="515">
        <v>4357</v>
      </c>
      <c r="B15229" s="515" t="s">
        <v>570</v>
      </c>
      <c r="C15229" s="52">
        <v>278149.53750174702</v>
      </c>
      <c r="D15229" s="56">
        <v>0.1179475108261894</v>
      </c>
      <c r="E15229" s="224" t="s">
        <v>2</v>
      </c>
      <c r="F15229" s="515" t="s">
        <v>16408</v>
      </c>
      <c r="G15229" s="52">
        <v>163003.32857082301</v>
      </c>
      <c r="H15229" s="56">
        <v>9.2790080962539837E-2</v>
      </c>
      <c r="I15229" s="224" t="s">
        <v>2</v>
      </c>
    </row>
    <row r="15230" spans="1:9" x14ac:dyDescent="0.25">
      <c r="A15230" s="515">
        <v>1022</v>
      </c>
      <c r="B15230" s="515" t="s">
        <v>575</v>
      </c>
      <c r="C15230" s="52">
        <v>191973.25075023499</v>
      </c>
      <c r="D15230" s="56">
        <v>0.11898626255471527</v>
      </c>
      <c r="E15230" s="224" t="s">
        <v>2</v>
      </c>
      <c r="F15230" s="515" t="s">
        <v>16409</v>
      </c>
      <c r="G15230" s="52">
        <v>115657.43211249101</v>
      </c>
      <c r="H15230" s="56">
        <v>7.4815787554606564E-2</v>
      </c>
      <c r="I15230" s="224" t="s">
        <v>2</v>
      </c>
    </row>
    <row r="15231" spans="1:9" x14ac:dyDescent="0.25">
      <c r="A15231" s="515">
        <v>42647</v>
      </c>
      <c r="C15231" s="52">
        <v>85610.541123837</v>
      </c>
      <c r="D15231" s="56">
        <v>0.43779089106324931</v>
      </c>
      <c r="E15231" s="224" t="s">
        <v>2</v>
      </c>
      <c r="F15231" s="515" t="s">
        <v>16410</v>
      </c>
      <c r="G15231" s="52">
        <v>312859.69008502102</v>
      </c>
      <c r="H15231" s="56">
        <v>0.10401722400711888</v>
      </c>
      <c r="I15231" s="224" t="s">
        <v>2</v>
      </c>
    </row>
    <row r="15232" spans="1:9" x14ac:dyDescent="0.25">
      <c r="A15232" s="515">
        <v>30547</v>
      </c>
      <c r="C15232" s="52">
        <v>307409.21901740402</v>
      </c>
      <c r="D15232" s="56">
        <v>0.16361492966665603</v>
      </c>
      <c r="E15232" s="224" t="s">
        <v>2</v>
      </c>
      <c r="F15232" s="515" t="s">
        <v>16411</v>
      </c>
      <c r="G15232" s="52">
        <v>214182.46575342401</v>
      </c>
      <c r="H15232" s="56">
        <v>0</v>
      </c>
      <c r="I15232" s="224" t="s">
        <v>2</v>
      </c>
    </row>
    <row r="15233" spans="1:9" x14ac:dyDescent="0.25">
      <c r="A15233" s="515">
        <v>7857</v>
      </c>
      <c r="B15233" s="515" t="s">
        <v>324</v>
      </c>
      <c r="C15233" s="52">
        <v>351297.52462153201</v>
      </c>
      <c r="D15233" s="56">
        <v>3.0868887829506395E-2</v>
      </c>
      <c r="E15233" s="224" t="s">
        <v>2</v>
      </c>
      <c r="F15233" s="515" t="s">
        <v>16412</v>
      </c>
      <c r="G15233" s="52">
        <v>171733.423953613</v>
      </c>
      <c r="H15233" s="56">
        <v>4.7830092753207175E-2</v>
      </c>
      <c r="I15233" s="224" t="s">
        <v>2</v>
      </c>
    </row>
    <row r="15234" spans="1:9" x14ac:dyDescent="0.25">
      <c r="A15234" s="515">
        <v>40068</v>
      </c>
      <c r="B15234" s="515" t="s">
        <v>479</v>
      </c>
      <c r="C15234" s="52">
        <v>338925.271707126</v>
      </c>
      <c r="D15234" s="56">
        <v>6.0977544523322068E-2</v>
      </c>
      <c r="E15234" s="224" t="s">
        <v>2</v>
      </c>
      <c r="F15234" s="515" t="s">
        <v>16413</v>
      </c>
      <c r="G15234" s="52">
        <v>154488.652505996</v>
      </c>
      <c r="H15234" s="56">
        <v>4.1710385060335642E-2</v>
      </c>
      <c r="I15234" s="224" t="s">
        <v>2</v>
      </c>
    </row>
    <row r="15235" spans="1:9" x14ac:dyDescent="0.25">
      <c r="A15235" s="515">
        <v>64843</v>
      </c>
      <c r="C15235" s="52">
        <v>140505.95690480701</v>
      </c>
      <c r="D15235" s="56">
        <v>9.4763073817621959E-2</v>
      </c>
      <c r="E15235" s="224" t="s">
        <v>2</v>
      </c>
      <c r="F15235" s="515" t="s">
        <v>16414</v>
      </c>
      <c r="G15235" s="52">
        <v>244421.411203461</v>
      </c>
      <c r="H15235" s="56">
        <v>9.2863162137414426E-2</v>
      </c>
      <c r="I15235" s="224" t="s">
        <v>2</v>
      </c>
    </row>
    <row r="15236" spans="1:9" x14ac:dyDescent="0.25">
      <c r="A15236" s="515">
        <v>74954</v>
      </c>
      <c r="B15236" s="515" t="s">
        <v>326</v>
      </c>
      <c r="C15236" s="52">
        <v>154186.80546572999</v>
      </c>
      <c r="D15236" s="56">
        <v>0.12368619224103775</v>
      </c>
      <c r="E15236" s="224" t="s">
        <v>2</v>
      </c>
      <c r="F15236" s="515" t="s">
        <v>16415</v>
      </c>
      <c r="G15236" s="52">
        <v>90315.338969229604</v>
      </c>
      <c r="H15236" s="56">
        <v>8.7890546094913022E-2</v>
      </c>
      <c r="I15236" s="224" t="s">
        <v>2</v>
      </c>
    </row>
    <row r="15237" spans="1:9" x14ac:dyDescent="0.25">
      <c r="A15237" s="515">
        <v>95230</v>
      </c>
      <c r="B15237" s="515" t="s">
        <v>797</v>
      </c>
      <c r="C15237" s="52">
        <v>719600.678803446</v>
      </c>
      <c r="D15237" s="56">
        <v>-6.2372004512581229E-3</v>
      </c>
      <c r="E15237" s="224" t="s">
        <v>2</v>
      </c>
      <c r="F15237" s="515" t="s">
        <v>16416</v>
      </c>
      <c r="G15237" s="52">
        <v>189004.21516762301</v>
      </c>
      <c r="H15237" s="56">
        <v>-6.7961133518078629E-2</v>
      </c>
      <c r="I15237" s="224" t="s">
        <v>2</v>
      </c>
    </row>
    <row r="15238" spans="1:9" x14ac:dyDescent="0.25">
      <c r="A15238" s="515">
        <v>48647</v>
      </c>
      <c r="C15238" s="52">
        <v>91358.422204501199</v>
      </c>
      <c r="D15238" s="56">
        <v>0.10919839355853617</v>
      </c>
      <c r="E15238" s="224" t="s">
        <v>2</v>
      </c>
      <c r="F15238" s="515" t="s">
        <v>16417</v>
      </c>
      <c r="G15238" s="52">
        <v>294730.37837693002</v>
      </c>
      <c r="H15238" s="56">
        <v>8.0050502024517231E-2</v>
      </c>
      <c r="I15238" s="224" t="s">
        <v>2</v>
      </c>
    </row>
    <row r="15239" spans="1:9" x14ac:dyDescent="0.25">
      <c r="A15239" s="515">
        <v>55055</v>
      </c>
      <c r="B15239" s="515" t="s">
        <v>532</v>
      </c>
      <c r="C15239" s="52">
        <v>308523.37970428303</v>
      </c>
      <c r="D15239" s="56">
        <v>3.0684406825198712E-2</v>
      </c>
      <c r="E15239" s="224" t="s">
        <v>2</v>
      </c>
      <c r="F15239" s="515" t="s">
        <v>16418</v>
      </c>
      <c r="G15239" s="52">
        <v>121560.625473498</v>
      </c>
      <c r="H15239" s="56">
        <v>0.15931623039710066</v>
      </c>
      <c r="I15239" s="224" t="s">
        <v>2</v>
      </c>
    </row>
    <row r="15240" spans="1:9" x14ac:dyDescent="0.25">
      <c r="A15240" s="515">
        <v>71033</v>
      </c>
      <c r="B15240" s="515" t="s">
        <v>739</v>
      </c>
      <c r="C15240" s="52">
        <v>209761.43902935999</v>
      </c>
      <c r="D15240" s="56">
        <v>2.8730179515285025E-2</v>
      </c>
      <c r="E15240" s="224" t="s">
        <v>2</v>
      </c>
      <c r="F15240" s="515" t="s">
        <v>16419</v>
      </c>
      <c r="G15240" s="52">
        <v>278945.38863779401</v>
      </c>
      <c r="H15240" s="56">
        <v>9.6243247976836838E-2</v>
      </c>
      <c r="I15240" s="224" t="s">
        <v>2</v>
      </c>
    </row>
    <row r="15241" spans="1:9" x14ac:dyDescent="0.25">
      <c r="A15241" s="515">
        <v>53075</v>
      </c>
      <c r="B15241" s="515" t="s">
        <v>1063</v>
      </c>
      <c r="C15241" s="52">
        <v>272053.55806376698</v>
      </c>
      <c r="D15241" s="56">
        <v>2.9554901922271865E-2</v>
      </c>
      <c r="E15241" s="224" t="s">
        <v>2</v>
      </c>
      <c r="F15241" s="515" t="s">
        <v>16420</v>
      </c>
      <c r="G15241" s="52">
        <v>157345.08268708899</v>
      </c>
      <c r="H15241" s="56">
        <v>0.12117022158697348</v>
      </c>
      <c r="I15241" s="224" t="s">
        <v>2</v>
      </c>
    </row>
    <row r="15242" spans="1:9" x14ac:dyDescent="0.25">
      <c r="A15242" s="515">
        <v>65632</v>
      </c>
      <c r="B15242" s="515" t="s">
        <v>813</v>
      </c>
      <c r="C15242" s="52">
        <v>205362.65886466601</v>
      </c>
      <c r="D15242" s="56">
        <v>0.11803422560491539</v>
      </c>
      <c r="E15242" s="224" t="s">
        <v>2</v>
      </c>
      <c r="F15242" s="515" t="s">
        <v>16421</v>
      </c>
      <c r="G15242" s="52">
        <v>89108.395776562204</v>
      </c>
      <c r="H15242" s="56">
        <v>0.12574657241644202</v>
      </c>
      <c r="I15242" s="224" t="s">
        <v>2</v>
      </c>
    </row>
    <row r="15243" spans="1:9" x14ac:dyDescent="0.25">
      <c r="A15243" s="515">
        <v>39638</v>
      </c>
      <c r="C15243" s="52">
        <v>107560.859520606</v>
      </c>
      <c r="D15243" s="56">
        <v>-0.13076195417732156</v>
      </c>
      <c r="E15243" s="224" t="s">
        <v>2</v>
      </c>
      <c r="F15243" s="515" t="s">
        <v>16422</v>
      </c>
      <c r="G15243" s="52">
        <v>213703.00871309699</v>
      </c>
      <c r="H15243" s="56">
        <v>7.1470442488759583E-2</v>
      </c>
      <c r="I15243" s="224" t="s">
        <v>2</v>
      </c>
    </row>
    <row r="15244" spans="1:9" x14ac:dyDescent="0.25">
      <c r="A15244" s="515">
        <v>41092</v>
      </c>
      <c r="B15244" s="515" t="s">
        <v>344</v>
      </c>
      <c r="C15244" s="52">
        <v>260496.69169000699</v>
      </c>
      <c r="D15244" s="56">
        <v>8.2130518016932719E-2</v>
      </c>
      <c r="E15244" s="224" t="s">
        <v>2</v>
      </c>
      <c r="F15244" s="515" t="s">
        <v>16423</v>
      </c>
      <c r="G15244" s="52">
        <v>101318.294117647</v>
      </c>
      <c r="H15244" s="56">
        <v>0</v>
      </c>
      <c r="I15244" s="224" t="s">
        <v>2</v>
      </c>
    </row>
    <row r="15245" spans="1:9" x14ac:dyDescent="0.25">
      <c r="A15245" s="515">
        <v>81323</v>
      </c>
      <c r="C15245" s="52">
        <v>407919.79283974599</v>
      </c>
      <c r="D15245" s="56">
        <v>5.8133619729644447E-2</v>
      </c>
      <c r="E15245" s="224" t="s">
        <v>2</v>
      </c>
      <c r="F15245" s="515" t="s">
        <v>16424</v>
      </c>
      <c r="G15245" s="52">
        <v>235932.986082502</v>
      </c>
      <c r="H15245" s="56">
        <v>4.296615252426271E-2</v>
      </c>
      <c r="I15245" s="224" t="s">
        <v>2</v>
      </c>
    </row>
    <row r="15246" spans="1:9" x14ac:dyDescent="0.25">
      <c r="A15246" s="515">
        <v>19029</v>
      </c>
      <c r="B15246" s="515" t="s">
        <v>294</v>
      </c>
      <c r="C15246" s="52">
        <v>211184.74788775801</v>
      </c>
      <c r="D15246" s="56">
        <v>0.13174696233977523</v>
      </c>
      <c r="E15246" s="224" t="s">
        <v>2</v>
      </c>
      <c r="F15246" s="515" t="s">
        <v>16425</v>
      </c>
      <c r="G15246" s="52">
        <v>341220.92525665002</v>
      </c>
      <c r="H15246" s="56">
        <v>9.6161747000197376E-2</v>
      </c>
      <c r="I15246" s="224" t="s">
        <v>2</v>
      </c>
    </row>
    <row r="15247" spans="1:9" x14ac:dyDescent="0.25">
      <c r="A15247" s="515">
        <v>68748</v>
      </c>
      <c r="B15247" s="515" t="s">
        <v>615</v>
      </c>
      <c r="C15247" s="52">
        <v>156823.95100319301</v>
      </c>
      <c r="D15247" s="56">
        <v>8.4628100180933363E-2</v>
      </c>
      <c r="E15247" s="224" t="s">
        <v>2</v>
      </c>
      <c r="F15247" s="515" t="s">
        <v>16426</v>
      </c>
      <c r="G15247" s="52">
        <v>190335.12056737501</v>
      </c>
      <c r="H15247" s="56">
        <v>0</v>
      </c>
      <c r="I15247" s="224" t="s">
        <v>2</v>
      </c>
    </row>
    <row r="15248" spans="1:9" x14ac:dyDescent="0.25">
      <c r="A15248" s="515">
        <v>71943</v>
      </c>
      <c r="C15248" s="52">
        <v>142561.92782039099</v>
      </c>
      <c r="D15248" s="56">
        <v>9.6913666846124378E-3</v>
      </c>
      <c r="E15248" s="224" t="s">
        <v>2</v>
      </c>
      <c r="F15248" s="515" t="s">
        <v>16427</v>
      </c>
      <c r="G15248" s="52">
        <v>136727.925702546</v>
      </c>
      <c r="H15248" s="56">
        <v>0.10669162491543978</v>
      </c>
      <c r="I15248" s="224" t="s">
        <v>2</v>
      </c>
    </row>
    <row r="15249" spans="1:9" x14ac:dyDescent="0.25">
      <c r="A15249" s="515">
        <v>98237</v>
      </c>
      <c r="B15249" s="515" t="s">
        <v>454</v>
      </c>
      <c r="C15249" s="52">
        <v>359975.76640842599</v>
      </c>
      <c r="D15249" s="56">
        <v>4.2463105562836986E-2</v>
      </c>
      <c r="E15249" s="224" t="s">
        <v>2</v>
      </c>
      <c r="F15249" s="515" t="s">
        <v>16428</v>
      </c>
      <c r="G15249" s="52">
        <v>244458.97540479799</v>
      </c>
      <c r="H15249" s="56">
        <v>6.9163751043329003E-2</v>
      </c>
      <c r="I15249" s="224" t="s">
        <v>2</v>
      </c>
    </row>
    <row r="15250" spans="1:9" x14ac:dyDescent="0.25">
      <c r="A15250" s="515">
        <v>85631</v>
      </c>
      <c r="B15250" s="515" t="s">
        <v>563</v>
      </c>
      <c r="C15250" s="52">
        <v>150576.709388488</v>
      </c>
      <c r="D15250" s="56">
        <v>7.5726895670792368E-2</v>
      </c>
      <c r="E15250" s="224" t="s">
        <v>2</v>
      </c>
      <c r="F15250" s="515" t="s">
        <v>16429</v>
      </c>
      <c r="G15250" s="52">
        <v>370467.46172002901</v>
      </c>
      <c r="H15250" s="56">
        <v>0.13880277824343784</v>
      </c>
      <c r="I15250" s="224" t="s">
        <v>2</v>
      </c>
    </row>
    <row r="15251" spans="1:9" x14ac:dyDescent="0.25">
      <c r="A15251" s="515">
        <v>44084</v>
      </c>
      <c r="B15251" s="515" t="s">
        <v>592</v>
      </c>
      <c r="C15251" s="52">
        <v>227067.19535771801</v>
      </c>
      <c r="D15251" s="56">
        <v>8.2508780543517068E-2</v>
      </c>
      <c r="E15251" s="224" t="s">
        <v>2</v>
      </c>
      <c r="F15251" s="515" t="s">
        <v>16430</v>
      </c>
      <c r="G15251" s="52">
        <v>178583.872416545</v>
      </c>
      <c r="H15251" s="56">
        <v>4.4238275085175312E-2</v>
      </c>
      <c r="I15251" s="224" t="s">
        <v>2</v>
      </c>
    </row>
    <row r="15252" spans="1:9" x14ac:dyDescent="0.25">
      <c r="A15252" s="515">
        <v>76943</v>
      </c>
      <c r="C15252" s="52">
        <v>97467.507552330993</v>
      </c>
      <c r="D15252" s="56">
        <v>0</v>
      </c>
      <c r="E15252" s="224" t="s">
        <v>2</v>
      </c>
      <c r="F15252" s="515" t="s">
        <v>16431</v>
      </c>
      <c r="G15252" s="52">
        <v>642698.17530051805</v>
      </c>
      <c r="H15252" s="56">
        <v>9.9408111911077512E-2</v>
      </c>
      <c r="I15252" s="224" t="s">
        <v>2</v>
      </c>
    </row>
    <row r="15253" spans="1:9" x14ac:dyDescent="0.25">
      <c r="A15253" s="515">
        <v>73121</v>
      </c>
      <c r="B15253" s="515" t="s">
        <v>385</v>
      </c>
      <c r="C15253" s="52">
        <v>189483.62588827699</v>
      </c>
      <c r="D15253" s="56">
        <v>0.15013497466086564</v>
      </c>
      <c r="E15253" s="224" t="s">
        <v>2</v>
      </c>
      <c r="F15253" s="515" t="s">
        <v>16432</v>
      </c>
      <c r="G15253" s="52">
        <v>334389.08556160901</v>
      </c>
      <c r="H15253" s="56">
        <v>3.9555679182174834E-2</v>
      </c>
      <c r="I15253" s="224" t="s">
        <v>2</v>
      </c>
    </row>
    <row r="15254" spans="1:9" x14ac:dyDescent="0.25">
      <c r="A15254" s="515">
        <v>73737</v>
      </c>
      <c r="C15254" s="52">
        <v>105807.178984393</v>
      </c>
      <c r="D15254" s="56">
        <v>9.3624021606074456E-2</v>
      </c>
      <c r="E15254" s="224" t="s">
        <v>2</v>
      </c>
      <c r="F15254" s="515" t="s">
        <v>16433</v>
      </c>
      <c r="G15254" s="52">
        <v>106779.296455622</v>
      </c>
      <c r="H15254" s="56">
        <v>0.18136837694152427</v>
      </c>
      <c r="I15254" s="224" t="s">
        <v>2</v>
      </c>
    </row>
    <row r="15255" spans="1:9" x14ac:dyDescent="0.25">
      <c r="A15255" s="515">
        <v>45390</v>
      </c>
      <c r="B15255" s="515" t="s">
        <v>316</v>
      </c>
      <c r="C15255" s="52">
        <v>118518.62879183301</v>
      </c>
      <c r="D15255" s="56">
        <v>8.805604474539494E-2</v>
      </c>
      <c r="E15255" s="224" t="s">
        <v>2</v>
      </c>
      <c r="F15255" s="515" t="s">
        <v>16434</v>
      </c>
      <c r="G15255" s="52">
        <v>261694.716797167</v>
      </c>
      <c r="H15255" s="56">
        <v>6.1730975922213646E-2</v>
      </c>
      <c r="I15255" s="224" t="s">
        <v>2</v>
      </c>
    </row>
    <row r="15256" spans="1:9" x14ac:dyDescent="0.25">
      <c r="A15256" s="515">
        <v>54949</v>
      </c>
      <c r="C15256" s="52">
        <v>182327.00801720901</v>
      </c>
      <c r="D15256" s="56">
        <v>3.4805336877171432E-2</v>
      </c>
      <c r="E15256" s="224" t="s">
        <v>2</v>
      </c>
      <c r="F15256" s="515" t="s">
        <v>16435</v>
      </c>
      <c r="G15256" s="52">
        <v>68596.006451612906</v>
      </c>
      <c r="H15256" s="56">
        <v>0</v>
      </c>
      <c r="I15256" s="224" t="s">
        <v>2</v>
      </c>
    </row>
    <row r="15257" spans="1:9" x14ac:dyDescent="0.25">
      <c r="A15257" s="515">
        <v>65713</v>
      </c>
      <c r="B15257" s="515" t="s">
        <v>603</v>
      </c>
      <c r="C15257" s="52">
        <v>218149.80522692201</v>
      </c>
      <c r="D15257" s="56">
        <v>9.1965690364392033E-2</v>
      </c>
      <c r="E15257" s="224" t="s">
        <v>2</v>
      </c>
      <c r="F15257" s="515" t="s">
        <v>16436</v>
      </c>
      <c r="G15257" s="52">
        <v>223900.28521511101</v>
      </c>
      <c r="H15257" s="56">
        <v>0.12791022104423763</v>
      </c>
      <c r="I15257" s="224" t="s">
        <v>2</v>
      </c>
    </row>
    <row r="15258" spans="1:9" x14ac:dyDescent="0.25">
      <c r="A15258" s="515">
        <v>30171</v>
      </c>
      <c r="B15258" s="515" t="s">
        <v>957</v>
      </c>
      <c r="C15258" s="52">
        <v>311500.79691069102</v>
      </c>
      <c r="D15258" s="56">
        <v>8.1789546557898787E-2</v>
      </c>
      <c r="E15258" s="224" t="s">
        <v>2</v>
      </c>
      <c r="F15258" s="515" t="s">
        <v>16437</v>
      </c>
      <c r="G15258" s="52">
        <v>148314.35274624499</v>
      </c>
      <c r="H15258" s="56">
        <v>4.8875096584967401E-2</v>
      </c>
      <c r="I15258" s="224" t="s">
        <v>2</v>
      </c>
    </row>
    <row r="15259" spans="1:9" x14ac:dyDescent="0.25">
      <c r="A15259" s="515">
        <v>42086</v>
      </c>
      <c r="B15259" s="515" t="s">
        <v>846</v>
      </c>
      <c r="C15259" s="52">
        <v>175909.59436672999</v>
      </c>
      <c r="D15259" s="56">
        <v>7.5288489195245265E-2</v>
      </c>
      <c r="E15259" s="224" t="s">
        <v>2</v>
      </c>
      <c r="F15259" s="515" t="s">
        <v>16438</v>
      </c>
      <c r="G15259" s="52">
        <v>187607.75241468</v>
      </c>
      <c r="H15259" s="56">
        <v>6.0891164007823934E-2</v>
      </c>
      <c r="I15259" s="224" t="s">
        <v>2</v>
      </c>
    </row>
    <row r="15260" spans="1:9" x14ac:dyDescent="0.25">
      <c r="A15260" s="515">
        <v>85543</v>
      </c>
      <c r="B15260" s="515" t="s">
        <v>1167</v>
      </c>
      <c r="C15260" s="52">
        <v>254225.23254366399</v>
      </c>
      <c r="D15260" s="56">
        <v>2.842400604976858E-2</v>
      </c>
      <c r="E15260" s="224" t="s">
        <v>2</v>
      </c>
      <c r="F15260" s="515" t="s">
        <v>16439</v>
      </c>
      <c r="G15260" s="52">
        <v>238353.12486641601</v>
      </c>
      <c r="H15260" s="56">
        <v>5.9439031096962643E-2</v>
      </c>
      <c r="I15260" s="224" t="s">
        <v>2</v>
      </c>
    </row>
    <row r="15261" spans="1:9" x14ac:dyDescent="0.25">
      <c r="A15261" s="515">
        <v>72153</v>
      </c>
      <c r="C15261" s="52">
        <v>155258.12829660799</v>
      </c>
      <c r="D15261" s="56">
        <v>3.6056259664875974E-2</v>
      </c>
      <c r="E15261" s="224" t="s">
        <v>2</v>
      </c>
      <c r="F15261" s="515" t="s">
        <v>16440</v>
      </c>
      <c r="G15261" s="52">
        <v>273331.08373729198</v>
      </c>
      <c r="H15261" s="56">
        <v>6.9729844417517242E-2</v>
      </c>
      <c r="I15261" s="224" t="s">
        <v>2</v>
      </c>
    </row>
    <row r="15262" spans="1:9" x14ac:dyDescent="0.25">
      <c r="A15262" s="515">
        <v>14062</v>
      </c>
      <c r="B15262" s="515" t="s">
        <v>560</v>
      </c>
      <c r="C15262" s="52">
        <v>164863.89248472001</v>
      </c>
      <c r="D15262" s="56">
        <v>0.12120015549534467</v>
      </c>
      <c r="E15262" s="224" t="s">
        <v>2</v>
      </c>
      <c r="F15262" s="515" t="s">
        <v>16441</v>
      </c>
      <c r="G15262" s="52">
        <v>115421.11900353699</v>
      </c>
      <c r="H15262" s="56">
        <v>0</v>
      </c>
      <c r="I15262" s="224" t="s">
        <v>2</v>
      </c>
    </row>
    <row r="15263" spans="1:9" x14ac:dyDescent="0.25">
      <c r="A15263" s="515">
        <v>35989</v>
      </c>
      <c r="B15263" s="515" t="s">
        <v>979</v>
      </c>
      <c r="C15263" s="52">
        <v>185616.403024787</v>
      </c>
      <c r="D15263" s="56">
        <v>0.12368690269427753</v>
      </c>
      <c r="E15263" s="224" t="s">
        <v>2</v>
      </c>
      <c r="F15263" s="515" t="s">
        <v>16442</v>
      </c>
      <c r="G15263" s="52">
        <v>187050.892606095</v>
      </c>
      <c r="H15263" s="56">
        <v>0.13881221693787454</v>
      </c>
      <c r="I15263" s="224" t="s">
        <v>2</v>
      </c>
    </row>
    <row r="15264" spans="1:9" x14ac:dyDescent="0.25">
      <c r="A15264" s="515">
        <v>7946</v>
      </c>
      <c r="B15264" s="515" t="s">
        <v>324</v>
      </c>
      <c r="C15264" s="52">
        <v>673518.51136184798</v>
      </c>
      <c r="D15264" s="56">
        <v>2.9772661556985398E-2</v>
      </c>
      <c r="E15264" s="224" t="s">
        <v>2</v>
      </c>
      <c r="F15264" s="515" t="s">
        <v>16443</v>
      </c>
      <c r="G15264" s="52">
        <v>130390.143331242</v>
      </c>
      <c r="H15264" s="56">
        <v>9.0351073198593215E-2</v>
      </c>
      <c r="I15264" s="224" t="s">
        <v>2</v>
      </c>
    </row>
    <row r="15265" spans="1:9" x14ac:dyDescent="0.25">
      <c r="A15265" s="515">
        <v>11952</v>
      </c>
      <c r="B15265" s="515" t="s">
        <v>324</v>
      </c>
      <c r="C15265" s="52">
        <v>817538.38520972896</v>
      </c>
      <c r="D15265" s="56">
        <v>9.4163472042485499E-2</v>
      </c>
      <c r="E15265" s="224" t="s">
        <v>2</v>
      </c>
      <c r="F15265" s="515" t="s">
        <v>16444</v>
      </c>
      <c r="G15265" s="52">
        <v>512104.169855421</v>
      </c>
      <c r="H15265" s="56">
        <v>0.11917848518682989</v>
      </c>
      <c r="I15265" s="224" t="s">
        <v>2</v>
      </c>
    </row>
    <row r="15266" spans="1:9" x14ac:dyDescent="0.25">
      <c r="A15266" s="515">
        <v>3048</v>
      </c>
      <c r="B15266" s="515" t="s">
        <v>996</v>
      </c>
      <c r="C15266" s="52">
        <v>381726.40789978002</v>
      </c>
      <c r="D15266" s="56">
        <v>0.1515230032902159</v>
      </c>
      <c r="E15266" s="224" t="s">
        <v>2</v>
      </c>
      <c r="F15266" s="515" t="s">
        <v>16445</v>
      </c>
      <c r="G15266" s="52">
        <v>363140.44625536702</v>
      </c>
      <c r="H15266" s="56">
        <v>0.15916638436577851</v>
      </c>
      <c r="I15266" s="224" t="s">
        <v>2</v>
      </c>
    </row>
    <row r="15267" spans="1:9" x14ac:dyDescent="0.25">
      <c r="A15267" s="515">
        <v>99009</v>
      </c>
      <c r="B15267" s="515" t="s">
        <v>820</v>
      </c>
      <c r="C15267" s="52">
        <v>449594.50759222399</v>
      </c>
      <c r="D15267" s="56">
        <v>5.5548976538505761E-2</v>
      </c>
      <c r="E15267" s="224" t="s">
        <v>2</v>
      </c>
      <c r="F15267" s="515" t="s">
        <v>16446</v>
      </c>
      <c r="G15267" s="52">
        <v>184781.909297048</v>
      </c>
      <c r="H15267" s="56">
        <v>6.1164867908222877E-2</v>
      </c>
      <c r="I15267" s="224" t="s">
        <v>2</v>
      </c>
    </row>
    <row r="15268" spans="1:9" x14ac:dyDescent="0.25">
      <c r="A15268" s="515">
        <v>8097</v>
      </c>
      <c r="B15268" s="515" t="s">
        <v>294</v>
      </c>
      <c r="C15268" s="52">
        <v>276458.09438908502</v>
      </c>
      <c r="D15268" s="56">
        <v>9.624043878533256E-2</v>
      </c>
      <c r="E15268" s="224" t="s">
        <v>2</v>
      </c>
      <c r="F15268" s="515" t="s">
        <v>16447</v>
      </c>
      <c r="G15268" s="52">
        <v>237227.845789151</v>
      </c>
      <c r="H15268" s="56">
        <v>3.7630862403037028E-2</v>
      </c>
      <c r="I15268" s="224" t="s">
        <v>2</v>
      </c>
    </row>
    <row r="15269" spans="1:9" x14ac:dyDescent="0.25">
      <c r="A15269" s="515">
        <v>21663</v>
      </c>
      <c r="B15269" s="515" t="s">
        <v>519</v>
      </c>
      <c r="C15269" s="52">
        <v>591230.84575620398</v>
      </c>
      <c r="D15269" s="56">
        <v>5.607569314663096E-2</v>
      </c>
      <c r="E15269" s="224" t="s">
        <v>2</v>
      </c>
      <c r="F15269" s="515" t="s">
        <v>16448</v>
      </c>
      <c r="G15269" s="52">
        <v>72168.022988505705</v>
      </c>
      <c r="H15269" s="56">
        <v>0</v>
      </c>
      <c r="I15269" s="224" t="s">
        <v>2</v>
      </c>
    </row>
    <row r="15270" spans="1:9" x14ac:dyDescent="0.25">
      <c r="A15270" s="515">
        <v>40322</v>
      </c>
      <c r="B15270" s="515" t="s">
        <v>900</v>
      </c>
      <c r="C15270" s="52">
        <v>100010.837020023</v>
      </c>
      <c r="D15270" s="56">
        <v>0.16563722829052094</v>
      </c>
      <c r="E15270" s="224" t="s">
        <v>2</v>
      </c>
      <c r="F15270" s="515" t="s">
        <v>16449</v>
      </c>
      <c r="G15270" s="52">
        <v>143544.68469176101</v>
      </c>
      <c r="H15270" s="56">
        <v>1.9510740275311064E-2</v>
      </c>
      <c r="I15270" s="224" t="s">
        <v>2</v>
      </c>
    </row>
    <row r="15271" spans="1:9" x14ac:dyDescent="0.25">
      <c r="A15271" s="515">
        <v>59730</v>
      </c>
      <c r="B15271" s="515" t="s">
        <v>561</v>
      </c>
      <c r="C15271" s="52">
        <v>960937.721224176</v>
      </c>
      <c r="D15271" s="56">
        <v>6.9851295505661576E-2</v>
      </c>
      <c r="E15271" s="224" t="s">
        <v>2</v>
      </c>
      <c r="F15271" s="515" t="s">
        <v>16450</v>
      </c>
      <c r="G15271" s="52">
        <v>358459.12388455798</v>
      </c>
      <c r="H15271" s="56">
        <v>0.12378130280035472</v>
      </c>
      <c r="I15271" s="224" t="s">
        <v>2</v>
      </c>
    </row>
    <row r="15272" spans="1:9" x14ac:dyDescent="0.25">
      <c r="A15272" s="515">
        <v>12443</v>
      </c>
      <c r="B15272" s="515" t="s">
        <v>307</v>
      </c>
      <c r="C15272" s="52">
        <v>345802.57538566203</v>
      </c>
      <c r="D15272" s="56">
        <v>0.12165601872742195</v>
      </c>
      <c r="E15272" s="224" t="s">
        <v>2</v>
      </c>
      <c r="F15272" s="515" t="s">
        <v>16451</v>
      </c>
      <c r="G15272" s="52">
        <v>321418.89045595197</v>
      </c>
      <c r="H15272" s="56">
        <v>8.3862318286348613E-3</v>
      </c>
      <c r="I15272" s="224" t="s">
        <v>2</v>
      </c>
    </row>
    <row r="15273" spans="1:9" x14ac:dyDescent="0.25">
      <c r="A15273" s="515">
        <v>12865</v>
      </c>
      <c r="B15273" s="515" t="s">
        <v>422</v>
      </c>
      <c r="C15273" s="52">
        <v>186281.40671990701</v>
      </c>
      <c r="D15273" s="56">
        <v>2.975649793053721E-2</v>
      </c>
      <c r="E15273" s="224" t="s">
        <v>2</v>
      </c>
      <c r="F15273" s="515" t="s">
        <v>16452</v>
      </c>
      <c r="G15273" s="52">
        <v>115995.75435960401</v>
      </c>
      <c r="H15273" s="56">
        <v>7.7612260278862824E-2</v>
      </c>
      <c r="I15273" s="224" t="s">
        <v>2</v>
      </c>
    </row>
    <row r="15274" spans="1:9" x14ac:dyDescent="0.25">
      <c r="A15274" s="515">
        <v>60940</v>
      </c>
      <c r="B15274" s="515" t="s">
        <v>774</v>
      </c>
      <c r="C15274" s="52">
        <v>230212.576031037</v>
      </c>
      <c r="D15274" s="56">
        <v>5.2745566606926531E-2</v>
      </c>
      <c r="E15274" s="224" t="s">
        <v>2</v>
      </c>
      <c r="F15274" s="515" t="s">
        <v>16453</v>
      </c>
      <c r="G15274" s="52">
        <v>242942.53694476999</v>
      </c>
      <c r="H15274" s="56">
        <v>3.6070093510855335E-2</v>
      </c>
      <c r="I15274" s="224" t="s">
        <v>2</v>
      </c>
    </row>
    <row r="15275" spans="1:9" x14ac:dyDescent="0.25">
      <c r="A15275" s="515">
        <v>48179</v>
      </c>
      <c r="B15275" s="515" t="s">
        <v>1033</v>
      </c>
      <c r="C15275" s="52">
        <v>261161.70122852601</v>
      </c>
      <c r="D15275" s="56">
        <v>7.4582942915904241E-2</v>
      </c>
      <c r="E15275" s="224" t="s">
        <v>2</v>
      </c>
      <c r="F15275" s="515" t="s">
        <v>16454</v>
      </c>
      <c r="G15275" s="52">
        <v>430729.07488267397</v>
      </c>
      <c r="H15275" s="56">
        <v>8.8439719139238718E-2</v>
      </c>
      <c r="I15275" s="224" t="s">
        <v>2</v>
      </c>
    </row>
    <row r="15276" spans="1:9" x14ac:dyDescent="0.25">
      <c r="A15276" s="515">
        <v>56567</v>
      </c>
      <c r="B15276" s="515" t="s">
        <v>601</v>
      </c>
      <c r="C15276" s="52">
        <v>228404.911453051</v>
      </c>
      <c r="D15276" s="56">
        <v>8.7781958545939148E-2</v>
      </c>
      <c r="E15276" s="224" t="s">
        <v>2</v>
      </c>
      <c r="F15276" s="515" t="s">
        <v>16455</v>
      </c>
      <c r="G15276" s="52">
        <v>87644.607958588706</v>
      </c>
      <c r="H15276" s="56">
        <v>0.47038408521719022</v>
      </c>
      <c r="I15276" s="224" t="s">
        <v>2</v>
      </c>
    </row>
    <row r="15277" spans="1:9" x14ac:dyDescent="0.25">
      <c r="A15277" s="515">
        <v>68767</v>
      </c>
      <c r="B15277" s="515" t="s">
        <v>615</v>
      </c>
      <c r="C15277" s="52">
        <v>241715.245279817</v>
      </c>
      <c r="D15277" s="56">
        <v>0.10805580981222315</v>
      </c>
      <c r="E15277" s="224" t="s">
        <v>2</v>
      </c>
      <c r="F15277" s="515" t="s">
        <v>16456</v>
      </c>
      <c r="G15277" s="52">
        <v>79060.185434066807</v>
      </c>
      <c r="H15277" s="56">
        <v>2.7518382461672184E-2</v>
      </c>
      <c r="I15277" s="224" t="s">
        <v>2</v>
      </c>
    </row>
    <row r="15278" spans="1:9" x14ac:dyDescent="0.25">
      <c r="A15278" s="515">
        <v>45065</v>
      </c>
      <c r="B15278" s="515" t="s">
        <v>344</v>
      </c>
      <c r="C15278" s="52">
        <v>322989.504436502</v>
      </c>
      <c r="D15278" s="56">
        <v>5.550121198461215E-2</v>
      </c>
      <c r="E15278" s="224" t="s">
        <v>2</v>
      </c>
      <c r="F15278" s="515" t="s">
        <v>16457</v>
      </c>
      <c r="G15278" s="52">
        <v>122388.01197733299</v>
      </c>
      <c r="H15278" s="56">
        <v>1.8267332719458327E-2</v>
      </c>
      <c r="I15278" s="224" t="s">
        <v>2</v>
      </c>
    </row>
    <row r="15279" spans="1:9" x14ac:dyDescent="0.25">
      <c r="A15279" s="515">
        <v>20777</v>
      </c>
      <c r="B15279" s="515" t="s">
        <v>582</v>
      </c>
      <c r="C15279" s="52">
        <v>844811.34932270797</v>
      </c>
      <c r="D15279" s="56">
        <v>3.3857813805759696E-2</v>
      </c>
      <c r="E15279" s="224" t="s">
        <v>2</v>
      </c>
      <c r="F15279" s="515" t="s">
        <v>16458</v>
      </c>
      <c r="G15279" s="52">
        <v>163320.758793969</v>
      </c>
      <c r="H15279" s="56">
        <v>0</v>
      </c>
      <c r="I15279" s="224" t="s">
        <v>2</v>
      </c>
    </row>
    <row r="15280" spans="1:9" x14ac:dyDescent="0.25">
      <c r="A15280" s="515">
        <v>68059</v>
      </c>
      <c r="B15280" s="515" t="s">
        <v>367</v>
      </c>
      <c r="C15280" s="52">
        <v>394231.366909031</v>
      </c>
      <c r="D15280" s="56">
        <v>7.8008448679225448E-2</v>
      </c>
      <c r="E15280" s="224" t="s">
        <v>2</v>
      </c>
      <c r="F15280" s="515" t="s">
        <v>16459</v>
      </c>
      <c r="G15280" s="52">
        <v>2858561.8433289202</v>
      </c>
      <c r="H15280" s="56">
        <v>-2.7021053393996176E-2</v>
      </c>
      <c r="I15280" s="224" t="s">
        <v>2</v>
      </c>
    </row>
    <row r="15281" spans="1:9" x14ac:dyDescent="0.25">
      <c r="A15281" s="515">
        <v>57469</v>
      </c>
      <c r="C15281" s="52">
        <v>145445.81481611601</v>
      </c>
      <c r="D15281" s="56">
        <v>8.890290814849168E-2</v>
      </c>
      <c r="E15281" s="224" t="s">
        <v>2</v>
      </c>
      <c r="F15281" s="515" t="s">
        <v>16460</v>
      </c>
      <c r="G15281" s="52">
        <v>227093.18871363401</v>
      </c>
      <c r="H15281" s="56">
        <v>6.6051455085522015E-2</v>
      </c>
      <c r="I15281" s="224" t="s">
        <v>2</v>
      </c>
    </row>
    <row r="15282" spans="1:9" x14ac:dyDescent="0.25">
      <c r="A15282" s="515">
        <v>36351</v>
      </c>
      <c r="B15282" s="515" t="s">
        <v>1013</v>
      </c>
      <c r="C15282" s="52">
        <v>163499.78218157799</v>
      </c>
      <c r="D15282" s="56">
        <v>2.0303363066921945E-2</v>
      </c>
      <c r="E15282" s="224" t="s">
        <v>2</v>
      </c>
      <c r="F15282" s="515" t="s">
        <v>16461</v>
      </c>
      <c r="G15282" s="52">
        <v>121026.36264932201</v>
      </c>
      <c r="H15282" s="56">
        <v>0.17095883244608104</v>
      </c>
      <c r="I15282" s="224" t="s">
        <v>2</v>
      </c>
    </row>
    <row r="15283" spans="1:9" x14ac:dyDescent="0.25">
      <c r="A15283" s="515">
        <v>28344</v>
      </c>
      <c r="B15283" s="515" t="s">
        <v>1149</v>
      </c>
      <c r="C15283" s="52">
        <v>157940.79316671999</v>
      </c>
      <c r="D15283" s="56">
        <v>0.17226438056946777</v>
      </c>
      <c r="E15283" s="224" t="s">
        <v>2</v>
      </c>
      <c r="F15283" s="515" t="s">
        <v>16462</v>
      </c>
      <c r="G15283" s="52">
        <v>820130.08831433603</v>
      </c>
      <c r="H15283" s="56">
        <v>8.0133556509659476E-2</v>
      </c>
      <c r="I15283" s="224" t="s">
        <v>2</v>
      </c>
    </row>
    <row r="15284" spans="1:9" x14ac:dyDescent="0.25">
      <c r="A15284" s="515">
        <v>13132</v>
      </c>
      <c r="B15284" s="515" t="s">
        <v>361</v>
      </c>
      <c r="C15284" s="52">
        <v>191210.80930213799</v>
      </c>
      <c r="D15284" s="56">
        <v>7.3411257690832413E-2</v>
      </c>
      <c r="E15284" s="224" t="s">
        <v>2</v>
      </c>
      <c r="F15284" s="515" t="s">
        <v>16463</v>
      </c>
      <c r="G15284" s="52">
        <v>218626.68723390001</v>
      </c>
      <c r="H15284" s="56">
        <v>0.10197817335576556</v>
      </c>
      <c r="I15284" s="224" t="s">
        <v>2</v>
      </c>
    </row>
    <row r="15285" spans="1:9" x14ac:dyDescent="0.25">
      <c r="A15285" s="515">
        <v>46772</v>
      </c>
      <c r="B15285" s="515" t="s">
        <v>1166</v>
      </c>
      <c r="C15285" s="52">
        <v>261270.03385698199</v>
      </c>
      <c r="D15285" s="56">
        <v>4.3753767457847682E-2</v>
      </c>
      <c r="E15285" s="224" t="s">
        <v>2</v>
      </c>
      <c r="F15285" s="515" t="s">
        <v>16464</v>
      </c>
      <c r="G15285" s="52">
        <v>306126.35032996302</v>
      </c>
      <c r="H15285" s="56">
        <v>0.11260051809730158</v>
      </c>
      <c r="I15285" s="224" t="s">
        <v>2</v>
      </c>
    </row>
    <row r="15286" spans="1:9" x14ac:dyDescent="0.25">
      <c r="A15286" s="515">
        <v>5464</v>
      </c>
      <c r="C15286" s="52">
        <v>323855.83673363802</v>
      </c>
      <c r="D15286" s="56">
        <v>9.1006661481747422E-2</v>
      </c>
      <c r="E15286" s="224" t="s">
        <v>2</v>
      </c>
      <c r="F15286" s="515" t="s">
        <v>16465</v>
      </c>
      <c r="G15286" s="52">
        <v>293864.61799561401</v>
      </c>
      <c r="H15286" s="56">
        <v>7.2815632961585539E-2</v>
      </c>
      <c r="I15286" s="224" t="s">
        <v>2</v>
      </c>
    </row>
    <row r="15287" spans="1:9" x14ac:dyDescent="0.25">
      <c r="A15287" s="515">
        <v>24954</v>
      </c>
      <c r="C15287" s="52">
        <v>112382.528819367</v>
      </c>
      <c r="D15287" s="56">
        <v>0.13619616017423386</v>
      </c>
      <c r="E15287" s="224" t="s">
        <v>2</v>
      </c>
      <c r="F15287" s="515" t="s">
        <v>16466</v>
      </c>
      <c r="G15287" s="52">
        <v>247008.307183595</v>
      </c>
      <c r="H15287" s="56">
        <v>0.13069455538268693</v>
      </c>
      <c r="I15287" s="224" t="s">
        <v>2</v>
      </c>
    </row>
    <row r="15288" spans="1:9" x14ac:dyDescent="0.25">
      <c r="A15288" s="515">
        <v>79226</v>
      </c>
      <c r="C15288" s="52">
        <v>82456.474698487102</v>
      </c>
      <c r="D15288" s="56">
        <v>0</v>
      </c>
      <c r="E15288" s="224" t="s">
        <v>2</v>
      </c>
      <c r="F15288" s="515" t="s">
        <v>16467</v>
      </c>
      <c r="G15288" s="52">
        <v>276718.24602047697</v>
      </c>
      <c r="H15288" s="56">
        <v>6.799834833868805E-2</v>
      </c>
      <c r="I15288" s="224" t="s">
        <v>2</v>
      </c>
    </row>
    <row r="15289" spans="1:9" x14ac:dyDescent="0.25">
      <c r="A15289" s="515">
        <v>31637</v>
      </c>
      <c r="C15289" s="52">
        <v>119312.843463824</v>
      </c>
      <c r="D15289" s="56">
        <v>1.7803409635206043E-2</v>
      </c>
      <c r="E15289" s="224" t="s">
        <v>2</v>
      </c>
      <c r="F15289" s="515" t="s">
        <v>16468</v>
      </c>
      <c r="G15289" s="52">
        <v>488550.692170283</v>
      </c>
      <c r="H15289" s="56">
        <v>6.7610741632138718E-2</v>
      </c>
      <c r="I15289" s="224" t="s">
        <v>2</v>
      </c>
    </row>
    <row r="15290" spans="1:9" x14ac:dyDescent="0.25">
      <c r="A15290" s="515">
        <v>59068</v>
      </c>
      <c r="B15290" s="515" t="s">
        <v>637</v>
      </c>
      <c r="C15290" s="52">
        <v>444693.68637504597</v>
      </c>
      <c r="D15290" s="56">
        <v>8.1936701998615455E-2</v>
      </c>
      <c r="E15290" s="224" t="s">
        <v>2</v>
      </c>
      <c r="F15290" s="515" t="s">
        <v>16469</v>
      </c>
      <c r="G15290" s="52">
        <v>89223.2390259151</v>
      </c>
      <c r="H15290" s="56">
        <v>3.9814096470116529E-2</v>
      </c>
      <c r="I15290" s="224" t="s">
        <v>2</v>
      </c>
    </row>
    <row r="15291" spans="1:9" x14ac:dyDescent="0.25">
      <c r="A15291" s="515">
        <v>53811</v>
      </c>
      <c r="B15291" s="515" t="s">
        <v>664</v>
      </c>
      <c r="C15291" s="52">
        <v>219700.971079774</v>
      </c>
      <c r="D15291" s="56">
        <v>5.0967336982381803E-2</v>
      </c>
      <c r="E15291" s="224" t="s">
        <v>2</v>
      </c>
      <c r="F15291" s="515" t="s">
        <v>16470</v>
      </c>
      <c r="G15291" s="52">
        <v>128912.440255544</v>
      </c>
      <c r="H15291" s="56">
        <v>7.1220101978213782E-2</v>
      </c>
      <c r="I15291" s="224" t="s">
        <v>2</v>
      </c>
    </row>
    <row r="15292" spans="1:9" x14ac:dyDescent="0.25">
      <c r="A15292" s="515">
        <v>70039</v>
      </c>
      <c r="B15292" s="515" t="s">
        <v>777</v>
      </c>
      <c r="C15292" s="52">
        <v>158683.61252648599</v>
      </c>
      <c r="D15292" s="56">
        <v>-2.2761502245294083E-2</v>
      </c>
      <c r="E15292" s="224" t="s">
        <v>2</v>
      </c>
      <c r="F15292" s="515" t="s">
        <v>16471</v>
      </c>
      <c r="G15292" s="52">
        <v>138746.29197080201</v>
      </c>
      <c r="H15292" s="56">
        <v>0</v>
      </c>
      <c r="I15292" s="224" t="s">
        <v>2</v>
      </c>
    </row>
    <row r="15293" spans="1:9" x14ac:dyDescent="0.25">
      <c r="A15293" s="515">
        <v>39040</v>
      </c>
      <c r="B15293" s="515" t="s">
        <v>851</v>
      </c>
      <c r="C15293" s="52">
        <v>116176.431636298</v>
      </c>
      <c r="D15293" s="56">
        <v>-9.9924997794506462E-2</v>
      </c>
      <c r="E15293" s="224" t="s">
        <v>2</v>
      </c>
      <c r="F15293" s="515" t="s">
        <v>16472</v>
      </c>
      <c r="G15293" s="52">
        <v>162972.441330512</v>
      </c>
      <c r="H15293" s="56">
        <v>0.10957661348809919</v>
      </c>
      <c r="I15293" s="224" t="s">
        <v>2</v>
      </c>
    </row>
    <row r="15294" spans="1:9" x14ac:dyDescent="0.25">
      <c r="A15294" s="515">
        <v>16406</v>
      </c>
      <c r="B15294" s="515" t="s">
        <v>1042</v>
      </c>
      <c r="C15294" s="52">
        <v>143249.52304439101</v>
      </c>
      <c r="D15294" s="56">
        <v>2.8525207316883874E-2</v>
      </c>
      <c r="E15294" s="224" t="s">
        <v>2</v>
      </c>
      <c r="F15294" s="515" t="s">
        <v>16473</v>
      </c>
      <c r="G15294" s="52">
        <v>160826.52954388299</v>
      </c>
      <c r="H15294" s="56">
        <v>6.6585279747153184E-2</v>
      </c>
      <c r="I15294" s="224" t="s">
        <v>2</v>
      </c>
    </row>
    <row r="15295" spans="1:9" x14ac:dyDescent="0.25">
      <c r="A15295" s="515">
        <v>71222</v>
      </c>
      <c r="B15295" s="515" t="s">
        <v>695</v>
      </c>
      <c r="C15295" s="52">
        <v>90794.572444868696</v>
      </c>
      <c r="D15295" s="56">
        <v>0.12541254408466054</v>
      </c>
      <c r="E15295" s="224" t="s">
        <v>2</v>
      </c>
      <c r="F15295" s="515" t="s">
        <v>16474</v>
      </c>
      <c r="G15295" s="52">
        <v>506879.66108951002</v>
      </c>
      <c r="H15295" s="56">
        <v>5.2905498494671861E-2</v>
      </c>
      <c r="I15295" s="224" t="s">
        <v>2</v>
      </c>
    </row>
    <row r="15296" spans="1:9" x14ac:dyDescent="0.25">
      <c r="A15296" s="515">
        <v>15943</v>
      </c>
      <c r="B15296" s="515" t="s">
        <v>828</v>
      </c>
      <c r="C15296" s="52">
        <v>59714.935988327903</v>
      </c>
      <c r="D15296" s="56">
        <v>-7.2679429276267769E-3</v>
      </c>
      <c r="E15296" s="224" t="s">
        <v>2</v>
      </c>
      <c r="F15296" s="515" t="s">
        <v>16475</v>
      </c>
      <c r="G15296" s="52">
        <v>76969.599408533206</v>
      </c>
      <c r="H15296" s="56">
        <v>1.8128059769340978E-2</v>
      </c>
      <c r="I15296" s="224" t="s">
        <v>2</v>
      </c>
    </row>
    <row r="15297" spans="1:9" x14ac:dyDescent="0.25">
      <c r="A15297" s="515">
        <v>49310</v>
      </c>
      <c r="B15297" s="515" t="s">
        <v>1076</v>
      </c>
      <c r="C15297" s="52">
        <v>162579.06639394001</v>
      </c>
      <c r="D15297" s="56">
        <v>4.5199134068118388E-2</v>
      </c>
      <c r="E15297" s="224" t="s">
        <v>2</v>
      </c>
      <c r="F15297" s="515" t="s">
        <v>16476</v>
      </c>
      <c r="G15297" s="52">
        <v>233196.149699934</v>
      </c>
      <c r="H15297" s="56">
        <v>2.9229176209920511E-2</v>
      </c>
      <c r="I15297" s="224" t="s">
        <v>2</v>
      </c>
    </row>
    <row r="15298" spans="1:9" x14ac:dyDescent="0.25">
      <c r="A15298" s="515">
        <v>74330</v>
      </c>
      <c r="C15298" s="52">
        <v>201816.823510594</v>
      </c>
      <c r="D15298" s="56">
        <v>5.9506285734309043E-2</v>
      </c>
      <c r="E15298" s="224" t="s">
        <v>2</v>
      </c>
      <c r="F15298" s="515" t="s">
        <v>16477</v>
      </c>
      <c r="G15298" s="52">
        <v>85674.570415079404</v>
      </c>
      <c r="H15298" s="56">
        <v>0.21778441353474437</v>
      </c>
      <c r="I15298" s="224" t="s">
        <v>2</v>
      </c>
    </row>
    <row r="15299" spans="1:9" x14ac:dyDescent="0.25">
      <c r="A15299" s="515">
        <v>16038</v>
      </c>
      <c r="B15299" s="515" t="s">
        <v>297</v>
      </c>
      <c r="C15299" s="52">
        <v>165032.18807462399</v>
      </c>
      <c r="D15299" s="56">
        <v>7.2064417298141462E-2</v>
      </c>
      <c r="E15299" s="224" t="s">
        <v>2</v>
      </c>
      <c r="F15299" s="515" t="s">
        <v>16478</v>
      </c>
      <c r="G15299" s="52">
        <v>62861.029333333303</v>
      </c>
      <c r="H15299" s="56">
        <v>0</v>
      </c>
      <c r="I15299" s="224" t="s">
        <v>2</v>
      </c>
    </row>
    <row r="15300" spans="1:9" x14ac:dyDescent="0.25">
      <c r="A15300" s="515">
        <v>14172</v>
      </c>
      <c r="B15300" s="515" t="s">
        <v>336</v>
      </c>
      <c r="C15300" s="52">
        <v>224645.934756829</v>
      </c>
      <c r="D15300" s="56">
        <v>7.1412465325238331E-2</v>
      </c>
      <c r="E15300" s="224" t="s">
        <v>2</v>
      </c>
      <c r="F15300" s="515" t="s">
        <v>16479</v>
      </c>
      <c r="G15300" s="52">
        <v>185018.14988042199</v>
      </c>
      <c r="H15300" s="56">
        <v>8.7101660658712415E-2</v>
      </c>
      <c r="I15300" s="224" t="s">
        <v>2</v>
      </c>
    </row>
    <row r="15301" spans="1:9" x14ac:dyDescent="0.25">
      <c r="A15301" s="515">
        <v>92258</v>
      </c>
      <c r="B15301" s="515" t="s">
        <v>599</v>
      </c>
      <c r="C15301" s="52">
        <v>232252.282290745</v>
      </c>
      <c r="D15301" s="56">
        <v>0.11759289172475633</v>
      </c>
      <c r="E15301" s="224" t="s">
        <v>2</v>
      </c>
      <c r="F15301" s="515" t="s">
        <v>16480</v>
      </c>
      <c r="G15301" s="52">
        <v>274081.13123235101</v>
      </c>
      <c r="H15301" s="56">
        <v>0</v>
      </c>
      <c r="I15301" s="224" t="s">
        <v>2</v>
      </c>
    </row>
    <row r="15302" spans="1:9" x14ac:dyDescent="0.25">
      <c r="A15302" s="515">
        <v>18834</v>
      </c>
      <c r="C15302" s="52">
        <v>185912.30828364001</v>
      </c>
      <c r="D15302" s="56">
        <v>6.9474621118197605E-2</v>
      </c>
      <c r="E15302" s="224" t="s">
        <v>2</v>
      </c>
      <c r="F15302" s="515" t="s">
        <v>16481</v>
      </c>
      <c r="G15302" s="52">
        <v>100668.382675165</v>
      </c>
      <c r="H15302" s="56">
        <v>4.936224299319656E-2</v>
      </c>
      <c r="I15302" s="224" t="s">
        <v>2</v>
      </c>
    </row>
    <row r="15303" spans="1:9" x14ac:dyDescent="0.25">
      <c r="A15303" s="515">
        <v>52162</v>
      </c>
      <c r="C15303" s="52">
        <v>124807.856886218</v>
      </c>
      <c r="D15303" s="56">
        <v>8.2671653862905509E-2</v>
      </c>
      <c r="E15303" s="224" t="s">
        <v>2</v>
      </c>
      <c r="F15303" s="515" t="s">
        <v>16482</v>
      </c>
      <c r="G15303" s="52">
        <v>85189.586551920205</v>
      </c>
      <c r="H15303" s="56">
        <v>7.103681824738689E-2</v>
      </c>
      <c r="I15303" s="224" t="s">
        <v>2</v>
      </c>
    </row>
    <row r="15304" spans="1:9" x14ac:dyDescent="0.25">
      <c r="A15304" s="515">
        <v>15846</v>
      </c>
      <c r="B15304" s="515" t="s">
        <v>954</v>
      </c>
      <c r="C15304" s="52">
        <v>122673.25301055799</v>
      </c>
      <c r="D15304" s="56">
        <v>9.9710558446430272E-2</v>
      </c>
      <c r="E15304" s="224" t="s">
        <v>2</v>
      </c>
      <c r="F15304" s="515" t="s">
        <v>16483</v>
      </c>
      <c r="G15304" s="52">
        <v>120308.637244636</v>
      </c>
      <c r="H15304" s="56">
        <v>8.9314362345787338E-2</v>
      </c>
      <c r="I15304" s="224" t="s">
        <v>2</v>
      </c>
    </row>
    <row r="15305" spans="1:9" x14ac:dyDescent="0.25">
      <c r="A15305" s="515">
        <v>3225</v>
      </c>
      <c r="B15305" s="515" t="s">
        <v>1006</v>
      </c>
      <c r="C15305" s="52">
        <v>359039.69333573402</v>
      </c>
      <c r="D15305" s="56">
        <v>9.8519547551691122E-2</v>
      </c>
      <c r="E15305" s="224" t="s">
        <v>2</v>
      </c>
      <c r="F15305" s="515" t="s">
        <v>16484</v>
      </c>
      <c r="G15305" s="52">
        <v>97772.967961139599</v>
      </c>
      <c r="H15305" s="56">
        <v>0.30341497435081322</v>
      </c>
      <c r="I15305" s="224" t="s">
        <v>2</v>
      </c>
    </row>
    <row r="15306" spans="1:9" x14ac:dyDescent="0.25">
      <c r="A15306" s="515">
        <v>53058</v>
      </c>
      <c r="B15306" s="515" t="s">
        <v>950</v>
      </c>
      <c r="C15306" s="52">
        <v>549075.85696514195</v>
      </c>
      <c r="D15306" s="56">
        <v>7.1333345096653164E-2</v>
      </c>
      <c r="E15306" s="224" t="s">
        <v>2</v>
      </c>
      <c r="F15306" s="515" t="s">
        <v>16485</v>
      </c>
      <c r="G15306" s="52">
        <v>184342.46477225699</v>
      </c>
      <c r="H15306" s="56">
        <v>5.3310678385534299E-2</v>
      </c>
      <c r="I15306" s="224" t="s">
        <v>2</v>
      </c>
    </row>
    <row r="15307" spans="1:9" x14ac:dyDescent="0.25">
      <c r="A15307" s="515">
        <v>4220</v>
      </c>
      <c r="C15307" s="52">
        <v>263986.38185033097</v>
      </c>
      <c r="D15307" s="56">
        <v>8.7256071194108428E-2</v>
      </c>
      <c r="E15307" s="224" t="s">
        <v>2</v>
      </c>
      <c r="F15307" s="515" t="s">
        <v>16486</v>
      </c>
      <c r="G15307" s="52">
        <v>88753.735052057295</v>
      </c>
      <c r="H15307" s="56">
        <v>0.13716355251938922</v>
      </c>
      <c r="I15307" s="224" t="s">
        <v>2</v>
      </c>
    </row>
    <row r="15308" spans="1:9" x14ac:dyDescent="0.25">
      <c r="A15308" s="515">
        <v>49237</v>
      </c>
      <c r="B15308" s="515" t="s">
        <v>1125</v>
      </c>
      <c r="C15308" s="52">
        <v>193808.498198332</v>
      </c>
      <c r="D15308" s="56">
        <v>4.5468211061894075E-2</v>
      </c>
      <c r="E15308" s="224" t="s">
        <v>2</v>
      </c>
      <c r="F15308" s="515" t="s">
        <v>16487</v>
      </c>
      <c r="G15308" s="52">
        <v>156065.99475598501</v>
      </c>
      <c r="H15308" s="56">
        <v>0.10908913340735016</v>
      </c>
      <c r="I15308" s="224" t="s">
        <v>2</v>
      </c>
    </row>
    <row r="15309" spans="1:9" x14ac:dyDescent="0.25">
      <c r="A15309" s="515">
        <v>37137</v>
      </c>
      <c r="C15309" s="52">
        <v>85278.723764387207</v>
      </c>
      <c r="D15309" s="56">
        <v>0</v>
      </c>
      <c r="E15309" s="224" t="s">
        <v>2</v>
      </c>
      <c r="F15309" s="515" t="s">
        <v>16488</v>
      </c>
      <c r="G15309" s="52">
        <v>182542.718429798</v>
      </c>
      <c r="H15309" s="56">
        <v>7.9666699401950647E-2</v>
      </c>
      <c r="I15309" s="224" t="s">
        <v>2</v>
      </c>
    </row>
    <row r="15310" spans="1:9" x14ac:dyDescent="0.25">
      <c r="A15310" s="515">
        <v>4048</v>
      </c>
      <c r="B15310" s="515" t="s">
        <v>570</v>
      </c>
      <c r="C15310" s="52">
        <v>325453.297689075</v>
      </c>
      <c r="D15310" s="56">
        <v>5.9120769591316194E-2</v>
      </c>
      <c r="E15310" s="224" t="s">
        <v>2</v>
      </c>
      <c r="F15310" s="515" t="s">
        <v>16489</v>
      </c>
      <c r="G15310" s="52">
        <v>353284.39437608101</v>
      </c>
      <c r="H15310" s="56">
        <v>2.1843001484079319E-2</v>
      </c>
      <c r="I15310" s="224" t="s">
        <v>2</v>
      </c>
    </row>
    <row r="15311" spans="1:9" x14ac:dyDescent="0.25">
      <c r="A15311" s="515">
        <v>72833</v>
      </c>
      <c r="B15311" s="515" t="s">
        <v>636</v>
      </c>
      <c r="C15311" s="52">
        <v>118356.12722682201</v>
      </c>
      <c r="D15311" s="56">
        <v>6.3720984649636409E-2</v>
      </c>
      <c r="E15311" s="224" t="s">
        <v>2</v>
      </c>
      <c r="F15311" s="515" t="s">
        <v>16490</v>
      </c>
      <c r="G15311" s="52">
        <v>351463.50420667703</v>
      </c>
      <c r="H15311" s="56">
        <v>2.6749948089193558E-2</v>
      </c>
      <c r="I15311" s="224" t="s">
        <v>2</v>
      </c>
    </row>
    <row r="15312" spans="1:9" x14ac:dyDescent="0.25">
      <c r="A15312" s="515">
        <v>23947</v>
      </c>
      <c r="C15312" s="52">
        <v>147169.66644522801</v>
      </c>
      <c r="D15312" s="56">
        <v>4.5626722980970924E-2</v>
      </c>
      <c r="E15312" s="224" t="s">
        <v>2</v>
      </c>
      <c r="F15312" s="515" t="s">
        <v>16491</v>
      </c>
      <c r="G15312" s="52">
        <v>53823.8151682752</v>
      </c>
      <c r="H15312" s="56">
        <v>0.16908852515465342</v>
      </c>
      <c r="I15312" s="224" t="s">
        <v>2</v>
      </c>
    </row>
    <row r="15313" spans="1:9" x14ac:dyDescent="0.25">
      <c r="A15313" s="515">
        <v>49781</v>
      </c>
      <c r="C15313" s="52">
        <v>168421.16094975499</v>
      </c>
      <c r="D15313" s="56">
        <v>0.26435746264283028</v>
      </c>
      <c r="E15313" s="224" t="s">
        <v>2</v>
      </c>
      <c r="F15313" s="515" t="s">
        <v>16492</v>
      </c>
      <c r="G15313" s="52">
        <v>68068.657764207397</v>
      </c>
      <c r="H15313" s="56">
        <v>0.16375482478352291</v>
      </c>
      <c r="I15313" s="224" t="s">
        <v>2</v>
      </c>
    </row>
    <row r="15314" spans="1:9" x14ac:dyDescent="0.25">
      <c r="A15314" s="515">
        <v>4856</v>
      </c>
      <c r="C15314" s="52">
        <v>502973.46633589099</v>
      </c>
      <c r="D15314" s="56">
        <v>0.12136370886179612</v>
      </c>
      <c r="E15314" s="224" t="s">
        <v>2</v>
      </c>
      <c r="F15314" s="515" t="s">
        <v>16493</v>
      </c>
      <c r="G15314" s="52">
        <v>144296.50849033901</v>
      </c>
      <c r="H15314" s="56">
        <v>9.8893749628871444E-2</v>
      </c>
      <c r="I15314" s="224" t="s">
        <v>2</v>
      </c>
    </row>
    <row r="15315" spans="1:9" x14ac:dyDescent="0.25">
      <c r="A15315" s="515">
        <v>14111</v>
      </c>
      <c r="B15315" s="515" t="s">
        <v>336</v>
      </c>
      <c r="C15315" s="52">
        <v>198289.910769646</v>
      </c>
      <c r="D15315" s="56">
        <v>8.8153426845472241E-2</v>
      </c>
      <c r="E15315" s="224" t="s">
        <v>2</v>
      </c>
      <c r="F15315" s="515" t="s">
        <v>16494</v>
      </c>
      <c r="G15315" s="52">
        <v>114988.658815684</v>
      </c>
      <c r="H15315" s="56">
        <v>8.524867980757031E-2</v>
      </c>
      <c r="I15315" s="224" t="s">
        <v>2</v>
      </c>
    </row>
    <row r="15316" spans="1:9" x14ac:dyDescent="0.25">
      <c r="A15316" s="515">
        <v>55741</v>
      </c>
      <c r="B15316" s="515" t="s">
        <v>350</v>
      </c>
      <c r="C15316" s="52">
        <v>145374.226829055</v>
      </c>
      <c r="D15316" s="56">
        <v>2.402038542891052E-2</v>
      </c>
      <c r="E15316" s="224" t="s">
        <v>2</v>
      </c>
      <c r="F15316" s="515" t="s">
        <v>16495</v>
      </c>
      <c r="G15316" s="52">
        <v>224427.28535741399</v>
      </c>
      <c r="H15316" s="56">
        <v>7.3338676645049325E-2</v>
      </c>
      <c r="I15316" s="224" t="s">
        <v>2</v>
      </c>
    </row>
    <row r="15317" spans="1:9" x14ac:dyDescent="0.25">
      <c r="A15317" s="515">
        <v>16865</v>
      </c>
      <c r="B15317" s="515" t="s">
        <v>491</v>
      </c>
      <c r="C15317" s="52">
        <v>315065.49775826797</v>
      </c>
      <c r="D15317" s="56">
        <v>5.9606907262424777E-2</v>
      </c>
      <c r="E15317" s="224" t="s">
        <v>2</v>
      </c>
      <c r="F15317" s="515" t="s">
        <v>16496</v>
      </c>
      <c r="G15317" s="52">
        <v>149425.02439024299</v>
      </c>
      <c r="H15317" s="56">
        <v>0</v>
      </c>
      <c r="I15317" s="224" t="s">
        <v>2</v>
      </c>
    </row>
    <row r="15318" spans="1:9" x14ac:dyDescent="0.25">
      <c r="A15318" s="515">
        <v>44428</v>
      </c>
      <c r="B15318" s="515" t="s">
        <v>397</v>
      </c>
      <c r="C15318" s="52">
        <v>162981.42836611799</v>
      </c>
      <c r="D15318" s="56">
        <v>0.10228647322313884</v>
      </c>
      <c r="E15318" s="224" t="s">
        <v>2</v>
      </c>
      <c r="F15318" s="515" t="s">
        <v>16497</v>
      </c>
      <c r="G15318" s="52">
        <v>302051.95929865498</v>
      </c>
      <c r="H15318" s="56">
        <v>6.9797292962187091E-2</v>
      </c>
      <c r="I15318" s="224" t="s">
        <v>2</v>
      </c>
    </row>
    <row r="15319" spans="1:9" x14ac:dyDescent="0.25">
      <c r="A15319" s="515">
        <v>43342</v>
      </c>
      <c r="B15319" s="515" t="s">
        <v>530</v>
      </c>
      <c r="C15319" s="52">
        <v>221220.433265478</v>
      </c>
      <c r="D15319" s="56">
        <v>7.0520487975852322E-2</v>
      </c>
      <c r="E15319" s="224" t="s">
        <v>2</v>
      </c>
      <c r="F15319" s="515" t="s">
        <v>16498</v>
      </c>
      <c r="G15319" s="52">
        <v>79055.008814605899</v>
      </c>
      <c r="H15319" s="56">
        <v>0</v>
      </c>
      <c r="I15319" s="224" t="s">
        <v>2</v>
      </c>
    </row>
    <row r="15320" spans="1:9" x14ac:dyDescent="0.25">
      <c r="A15320" s="515">
        <v>54520</v>
      </c>
      <c r="C15320" s="52">
        <v>183947.38344152999</v>
      </c>
      <c r="D15320" s="56">
        <v>6.9822817369055337E-2</v>
      </c>
      <c r="E15320" s="224" t="s">
        <v>2</v>
      </c>
      <c r="F15320" s="515" t="s">
        <v>16499</v>
      </c>
      <c r="G15320" s="52">
        <v>146063.343469908</v>
      </c>
      <c r="H15320" s="56">
        <v>7.3053985102569483E-2</v>
      </c>
      <c r="I15320" s="224" t="s">
        <v>2</v>
      </c>
    </row>
    <row r="15321" spans="1:9" x14ac:dyDescent="0.25">
      <c r="A15321" s="515">
        <v>27281</v>
      </c>
      <c r="B15321" s="515" t="s">
        <v>1090</v>
      </c>
      <c r="C15321" s="52">
        <v>315863.95056536398</v>
      </c>
      <c r="D15321" s="56">
        <v>0.15832729980459262</v>
      </c>
      <c r="E15321" s="224" t="s">
        <v>2</v>
      </c>
      <c r="F15321" s="515" t="s">
        <v>16500</v>
      </c>
      <c r="G15321" s="52">
        <v>275894.43804340402</v>
      </c>
      <c r="H15321" s="56">
        <v>0</v>
      </c>
      <c r="I15321" s="224" t="s">
        <v>2</v>
      </c>
    </row>
    <row r="15322" spans="1:9" x14ac:dyDescent="0.25">
      <c r="A15322" s="515">
        <v>54466</v>
      </c>
      <c r="B15322" s="515" t="s">
        <v>607</v>
      </c>
      <c r="C15322" s="52">
        <v>161286.79250042001</v>
      </c>
      <c r="D15322" s="56">
        <v>4.2818191189954509E-2</v>
      </c>
      <c r="E15322" s="224" t="s">
        <v>2</v>
      </c>
      <c r="F15322" s="515" t="s">
        <v>16501</v>
      </c>
      <c r="G15322" s="52">
        <v>180179.61784756201</v>
      </c>
      <c r="H15322" s="56">
        <v>2.987663259990489E-2</v>
      </c>
      <c r="I15322" s="224" t="s">
        <v>2</v>
      </c>
    </row>
    <row r="15323" spans="1:9" x14ac:dyDescent="0.25">
      <c r="A15323" s="515">
        <v>1827</v>
      </c>
      <c r="B15323" s="515" t="s">
        <v>534</v>
      </c>
      <c r="C15323" s="52">
        <v>659073.75293458102</v>
      </c>
      <c r="D15323" s="56">
        <v>6.9928702896426456E-2</v>
      </c>
      <c r="E15323" s="224" t="s">
        <v>2</v>
      </c>
      <c r="F15323" s="515" t="s">
        <v>16502</v>
      </c>
      <c r="G15323" s="52">
        <v>195856.37476970101</v>
      </c>
      <c r="H15323" s="56">
        <v>0.11724605289517606</v>
      </c>
      <c r="I15323" s="224" t="s">
        <v>2</v>
      </c>
    </row>
    <row r="15324" spans="1:9" x14ac:dyDescent="0.25">
      <c r="A15324" s="515">
        <v>13480</v>
      </c>
      <c r="B15324" s="515" t="s">
        <v>543</v>
      </c>
      <c r="C15324" s="52">
        <v>178790.35017669501</v>
      </c>
      <c r="D15324" s="56">
        <v>0.13115691630608087</v>
      </c>
      <c r="E15324" s="224" t="s">
        <v>2</v>
      </c>
      <c r="F15324" s="515" t="s">
        <v>16503</v>
      </c>
      <c r="G15324" s="52">
        <v>67927.060885077895</v>
      </c>
      <c r="H15324" s="56">
        <v>-7.6967765787849723E-2</v>
      </c>
      <c r="I15324" s="224" t="s">
        <v>2</v>
      </c>
    </row>
    <row r="15325" spans="1:9" x14ac:dyDescent="0.25">
      <c r="A15325" s="515">
        <v>51239</v>
      </c>
      <c r="C15325" s="52">
        <v>239295.66097208601</v>
      </c>
      <c r="D15325" s="56">
        <v>5.6474863150755193E-2</v>
      </c>
      <c r="E15325" s="224" t="s">
        <v>2</v>
      </c>
      <c r="F15325" s="515" t="s">
        <v>16504</v>
      </c>
      <c r="G15325" s="52">
        <v>296267.496931286</v>
      </c>
      <c r="H15325" s="56">
        <v>0.10421897703989397</v>
      </c>
      <c r="I15325" s="224" t="s">
        <v>2</v>
      </c>
    </row>
    <row r="15326" spans="1:9" x14ac:dyDescent="0.25">
      <c r="A15326" s="515">
        <v>32759</v>
      </c>
      <c r="B15326" s="515" t="s">
        <v>974</v>
      </c>
      <c r="C15326" s="52">
        <v>311906.46624616202</v>
      </c>
      <c r="D15326" s="56">
        <v>0.16362148149187111</v>
      </c>
      <c r="E15326" s="224" t="s">
        <v>2</v>
      </c>
      <c r="F15326" s="515" t="s">
        <v>16505</v>
      </c>
      <c r="G15326" s="52">
        <v>101275.601146958</v>
      </c>
      <c r="H15326" s="56">
        <v>-7.6921706298967918E-3</v>
      </c>
      <c r="I15326" s="224" t="s">
        <v>2</v>
      </c>
    </row>
    <row r="15327" spans="1:9" x14ac:dyDescent="0.25">
      <c r="A15327" s="515">
        <v>62075</v>
      </c>
      <c r="C15327" s="52">
        <v>73612.942831119406</v>
      </c>
      <c r="D15327" s="56">
        <v>5.2582898575643253E-3</v>
      </c>
      <c r="E15327" s="224" t="s">
        <v>2</v>
      </c>
      <c r="F15327" s="515" t="s">
        <v>16506</v>
      </c>
      <c r="G15327" s="52">
        <v>164719.36089996001</v>
      </c>
      <c r="H15327" s="56">
        <v>0.15477155471008142</v>
      </c>
      <c r="I15327" s="224" t="s">
        <v>2</v>
      </c>
    </row>
    <row r="15328" spans="1:9" x14ac:dyDescent="0.25">
      <c r="A15328" s="515">
        <v>30445</v>
      </c>
      <c r="B15328" s="515" t="s">
        <v>1134</v>
      </c>
      <c r="C15328" s="52">
        <v>127790.031821868</v>
      </c>
      <c r="D15328" s="56">
        <v>4.3012119935091082E-2</v>
      </c>
      <c r="E15328" s="224" t="s">
        <v>2</v>
      </c>
      <c r="F15328" s="515" t="s">
        <v>16507</v>
      </c>
      <c r="G15328" s="52">
        <v>162530.60652553799</v>
      </c>
      <c r="H15328" s="56">
        <v>3.2577129061581188E-2</v>
      </c>
      <c r="I15328" s="224" t="s">
        <v>2</v>
      </c>
    </row>
    <row r="15329" spans="1:9" x14ac:dyDescent="0.25">
      <c r="A15329" s="515">
        <v>26415</v>
      </c>
      <c r="C15329" s="52">
        <v>84361.154222736601</v>
      </c>
      <c r="D15329" s="56">
        <v>2.90205939101464E-2</v>
      </c>
      <c r="E15329" s="224" t="s">
        <v>2</v>
      </c>
      <c r="F15329" s="515" t="s">
        <v>16508</v>
      </c>
      <c r="G15329" s="52">
        <v>267779.72589171899</v>
      </c>
      <c r="H15329" s="56">
        <v>0.15619183789108226</v>
      </c>
      <c r="I15329" s="224" t="s">
        <v>2</v>
      </c>
    </row>
    <row r="15330" spans="1:9" x14ac:dyDescent="0.25">
      <c r="A15330" s="515">
        <v>50115</v>
      </c>
      <c r="B15330" s="515" t="s">
        <v>295</v>
      </c>
      <c r="C15330" s="52">
        <v>143733.04695686299</v>
      </c>
      <c r="D15330" s="56">
        <v>0.16670760226239634</v>
      </c>
      <c r="E15330" s="224" t="s">
        <v>2</v>
      </c>
      <c r="F15330" s="515" t="s">
        <v>16509</v>
      </c>
      <c r="G15330" s="52">
        <v>181595.61445783099</v>
      </c>
      <c r="H15330" s="56">
        <v>0</v>
      </c>
      <c r="I15330" s="224" t="s">
        <v>2</v>
      </c>
    </row>
    <row r="15331" spans="1:9" x14ac:dyDescent="0.25">
      <c r="A15331" s="515">
        <v>70653</v>
      </c>
      <c r="B15331" s="515" t="s">
        <v>879</v>
      </c>
      <c r="C15331" s="52">
        <v>91696.791529043403</v>
      </c>
      <c r="D15331" s="56">
        <v>-3.9661496057845788E-2</v>
      </c>
      <c r="E15331" s="224" t="s">
        <v>2</v>
      </c>
      <c r="F15331" s="515" t="s">
        <v>16510</v>
      </c>
      <c r="G15331" s="52">
        <v>345486.72635699803</v>
      </c>
      <c r="H15331" s="56">
        <v>5.3609435289802325E-2</v>
      </c>
      <c r="I15331" s="224" t="s">
        <v>2</v>
      </c>
    </row>
    <row r="15332" spans="1:9" x14ac:dyDescent="0.25">
      <c r="A15332" s="515">
        <v>76035</v>
      </c>
      <c r="B15332" s="515" t="s">
        <v>1164</v>
      </c>
      <c r="C15332" s="52">
        <v>448000.87121920398</v>
      </c>
      <c r="D15332" s="56">
        <v>8.1121680997658527E-2</v>
      </c>
      <c r="E15332" s="224" t="s">
        <v>2</v>
      </c>
      <c r="F15332" s="515" t="s">
        <v>16511</v>
      </c>
      <c r="G15332" s="52">
        <v>200967.87761572201</v>
      </c>
      <c r="H15332" s="56">
        <v>4.2876311664737939E-2</v>
      </c>
      <c r="I15332" s="224" t="s">
        <v>2</v>
      </c>
    </row>
    <row r="15333" spans="1:9" x14ac:dyDescent="0.25">
      <c r="A15333" s="515">
        <v>16404</v>
      </c>
      <c r="B15333" s="515" t="s">
        <v>1042</v>
      </c>
      <c r="C15333" s="52">
        <v>131855.036982063</v>
      </c>
      <c r="D15333" s="56">
        <v>3.7908294697659564E-2</v>
      </c>
      <c r="E15333" s="224" t="s">
        <v>2</v>
      </c>
      <c r="F15333" s="515" t="s">
        <v>16512</v>
      </c>
      <c r="G15333" s="52">
        <v>179246.134189114</v>
      </c>
      <c r="H15333" s="56">
        <v>0</v>
      </c>
      <c r="I15333" s="224" t="s">
        <v>2</v>
      </c>
    </row>
    <row r="15334" spans="1:9" x14ac:dyDescent="0.25">
      <c r="A15334" s="515">
        <v>62451</v>
      </c>
      <c r="C15334" s="52">
        <v>71863.055749128893</v>
      </c>
      <c r="D15334" s="56">
        <v>0</v>
      </c>
      <c r="E15334" s="224" t="s">
        <v>2</v>
      </c>
      <c r="F15334" s="515" t="s">
        <v>16513</v>
      </c>
      <c r="G15334" s="52">
        <v>110562.394310373</v>
      </c>
      <c r="H15334" s="56">
        <v>1.5537981155116273E-2</v>
      </c>
      <c r="I15334" s="224" t="s">
        <v>2</v>
      </c>
    </row>
    <row r="15335" spans="1:9" x14ac:dyDescent="0.25">
      <c r="A15335" s="515">
        <v>46510</v>
      </c>
      <c r="B15335" s="515" t="s">
        <v>1127</v>
      </c>
      <c r="C15335" s="52">
        <v>188178.49026938601</v>
      </c>
      <c r="D15335" s="56">
        <v>9.5508657132448507E-2</v>
      </c>
      <c r="E15335" s="224" t="s">
        <v>2</v>
      </c>
      <c r="F15335" s="515" t="s">
        <v>16514</v>
      </c>
      <c r="G15335" s="52">
        <v>89339.047657163799</v>
      </c>
      <c r="H15335" s="56">
        <v>3.9474535352944602E-2</v>
      </c>
      <c r="I15335" s="224" t="s">
        <v>2</v>
      </c>
    </row>
    <row r="15336" spans="1:9" x14ac:dyDescent="0.25">
      <c r="A15336" s="515">
        <v>32568</v>
      </c>
      <c r="B15336" s="515" t="s">
        <v>1131</v>
      </c>
      <c r="C15336" s="52">
        <v>229590.444946829</v>
      </c>
      <c r="D15336" s="56">
        <v>9.4032790158719681E-2</v>
      </c>
      <c r="E15336" s="224" t="s">
        <v>2</v>
      </c>
      <c r="F15336" s="515" t="s">
        <v>16515</v>
      </c>
      <c r="G15336" s="52">
        <v>139083.22167036499</v>
      </c>
      <c r="H15336" s="56">
        <v>2.9414444634106963E-2</v>
      </c>
      <c r="I15336" s="224" t="s">
        <v>2</v>
      </c>
    </row>
    <row r="15337" spans="1:9" x14ac:dyDescent="0.25">
      <c r="A15337" s="515">
        <v>80734</v>
      </c>
      <c r="C15337" s="52">
        <v>251940.810888482</v>
      </c>
      <c r="D15337" s="56">
        <v>6.8767886404301204E-2</v>
      </c>
      <c r="E15337" s="224" t="s">
        <v>2</v>
      </c>
      <c r="F15337" s="515" t="s">
        <v>16516</v>
      </c>
      <c r="G15337" s="52">
        <v>234902.76254526299</v>
      </c>
      <c r="H15337" s="56">
        <v>6.9007652321415869E-2</v>
      </c>
      <c r="I15337" s="224" t="s">
        <v>2</v>
      </c>
    </row>
    <row r="15338" spans="1:9" x14ac:dyDescent="0.25">
      <c r="A15338" s="515">
        <v>98591</v>
      </c>
      <c r="B15338" s="515" t="s">
        <v>468</v>
      </c>
      <c r="C15338" s="52">
        <v>473134.6117599</v>
      </c>
      <c r="D15338" s="56">
        <v>2.9415643748702786E-2</v>
      </c>
      <c r="E15338" s="224" t="s">
        <v>2</v>
      </c>
      <c r="F15338" s="515" t="s">
        <v>16517</v>
      </c>
      <c r="G15338" s="52">
        <v>161421.32735353499</v>
      </c>
      <c r="H15338" s="56">
        <v>0.13066818822164858</v>
      </c>
      <c r="I15338" s="224" t="s">
        <v>2</v>
      </c>
    </row>
    <row r="15339" spans="1:9" x14ac:dyDescent="0.25">
      <c r="A15339" s="515">
        <v>15541</v>
      </c>
      <c r="B15339" s="515" t="s">
        <v>370</v>
      </c>
      <c r="C15339" s="52">
        <v>180611.04470202199</v>
      </c>
      <c r="D15339" s="56">
        <v>8.7884688678841749E-2</v>
      </c>
      <c r="E15339" s="224" t="s">
        <v>2</v>
      </c>
      <c r="F15339" s="515" t="s">
        <v>16518</v>
      </c>
      <c r="G15339" s="52">
        <v>437279.80416969402</v>
      </c>
      <c r="H15339" s="56">
        <v>0.11074472302055915</v>
      </c>
      <c r="I15339" s="224" t="s">
        <v>2</v>
      </c>
    </row>
    <row r="15340" spans="1:9" x14ac:dyDescent="0.25">
      <c r="A15340" s="515">
        <v>5055</v>
      </c>
      <c r="B15340" s="515" t="s">
        <v>420</v>
      </c>
      <c r="C15340" s="52">
        <v>733820.98703284597</v>
      </c>
      <c r="D15340" s="56">
        <v>0.11499544666118088</v>
      </c>
      <c r="E15340" s="224" t="s">
        <v>2</v>
      </c>
      <c r="F15340" s="515" t="s">
        <v>16519</v>
      </c>
      <c r="G15340" s="52">
        <v>502653.04378678999</v>
      </c>
      <c r="H15340" s="56">
        <v>9.0180767268067785E-2</v>
      </c>
      <c r="I15340" s="224" t="s">
        <v>2</v>
      </c>
    </row>
    <row r="15341" spans="1:9" x14ac:dyDescent="0.25">
      <c r="A15341" s="515">
        <v>45652</v>
      </c>
      <c r="B15341" s="515" t="s">
        <v>772</v>
      </c>
      <c r="C15341" s="52">
        <v>129939.83795367699</v>
      </c>
      <c r="D15341" s="56">
        <v>1.7523405754917409E-2</v>
      </c>
      <c r="E15341" s="224" t="s">
        <v>2</v>
      </c>
      <c r="F15341" s="515" t="s">
        <v>16520</v>
      </c>
      <c r="G15341" s="52">
        <v>123166.24176760401</v>
      </c>
      <c r="H15341" s="56">
        <v>0.23938029181931342</v>
      </c>
      <c r="I15341" s="224" t="s">
        <v>2</v>
      </c>
    </row>
    <row r="15342" spans="1:9" x14ac:dyDescent="0.25">
      <c r="A15342" s="515">
        <v>62694</v>
      </c>
      <c r="B15342" s="515" t="s">
        <v>531</v>
      </c>
      <c r="C15342" s="52">
        <v>79673.369520518594</v>
      </c>
      <c r="D15342" s="56">
        <v>-3.3158833643805549E-2</v>
      </c>
      <c r="E15342" s="224" t="s">
        <v>2</v>
      </c>
      <c r="F15342" s="515" t="s">
        <v>16521</v>
      </c>
      <c r="G15342" s="52">
        <v>176000.485795154</v>
      </c>
      <c r="H15342" s="56">
        <v>4.6597305944441593E-2</v>
      </c>
      <c r="I15342" s="224" t="s">
        <v>2</v>
      </c>
    </row>
    <row r="15343" spans="1:9" x14ac:dyDescent="0.25">
      <c r="A15343" s="515">
        <v>83014</v>
      </c>
      <c r="B15343" s="515" t="s">
        <v>490</v>
      </c>
      <c r="C15343" s="52">
        <v>2461341.8915758999</v>
      </c>
      <c r="D15343" s="56">
        <v>0.18856694893425746</v>
      </c>
      <c r="E15343" s="224" t="s">
        <v>2</v>
      </c>
      <c r="F15343" s="515" t="s">
        <v>16522</v>
      </c>
      <c r="G15343" s="52">
        <v>160041.898189314</v>
      </c>
      <c r="H15343" s="56">
        <v>1.3779010844460814E-3</v>
      </c>
      <c r="I15343" s="224" t="s">
        <v>2</v>
      </c>
    </row>
    <row r="15344" spans="1:9" x14ac:dyDescent="0.25">
      <c r="A15344" s="515">
        <v>15955</v>
      </c>
      <c r="B15344" s="515" t="s">
        <v>828</v>
      </c>
      <c r="C15344" s="52">
        <v>102695.74296779701</v>
      </c>
      <c r="D15344" s="56">
        <v>-0.10363575618054154</v>
      </c>
      <c r="E15344" s="224" t="s">
        <v>2</v>
      </c>
      <c r="F15344" s="515" t="s">
        <v>16523</v>
      </c>
      <c r="G15344" s="52">
        <v>193175.57203318199</v>
      </c>
      <c r="H15344" s="56">
        <v>8.070965665873879E-2</v>
      </c>
      <c r="I15344" s="224" t="s">
        <v>2</v>
      </c>
    </row>
    <row r="15345" spans="1:9" x14ac:dyDescent="0.25">
      <c r="A15345" s="515">
        <v>45369</v>
      </c>
      <c r="B15345" s="515" t="s">
        <v>398</v>
      </c>
      <c r="C15345" s="52">
        <v>251258.97195577499</v>
      </c>
      <c r="D15345" s="56">
        <v>9.7981202116526611E-2</v>
      </c>
      <c r="E15345" s="224" t="s">
        <v>2</v>
      </c>
      <c r="F15345" s="515" t="s">
        <v>16524</v>
      </c>
      <c r="G15345" s="52">
        <v>161750.24805214701</v>
      </c>
      <c r="H15345" s="56">
        <v>0</v>
      </c>
      <c r="I15345" s="224" t="s">
        <v>2</v>
      </c>
    </row>
    <row r="15346" spans="1:9" x14ac:dyDescent="0.25">
      <c r="A15346" s="515">
        <v>4654</v>
      </c>
      <c r="C15346" s="52">
        <v>175078.331417888</v>
      </c>
      <c r="D15346" s="56">
        <v>8.6048054116863865E-2</v>
      </c>
      <c r="E15346" s="224" t="s">
        <v>2</v>
      </c>
      <c r="F15346" s="515" t="s">
        <v>16525</v>
      </c>
      <c r="G15346" s="52">
        <v>138459.55009705399</v>
      </c>
      <c r="H15346" s="56">
        <v>0.1851802043876061</v>
      </c>
      <c r="I15346" s="224" t="s">
        <v>2</v>
      </c>
    </row>
    <row r="15347" spans="1:9" x14ac:dyDescent="0.25">
      <c r="A15347" s="515">
        <v>85173</v>
      </c>
      <c r="B15347" s="515" t="s">
        <v>563</v>
      </c>
      <c r="C15347" s="52">
        <v>152961.093348984</v>
      </c>
      <c r="D15347" s="56">
        <v>7.43653909288753E-2</v>
      </c>
      <c r="E15347" s="224" t="s">
        <v>2</v>
      </c>
      <c r="F15347" s="515" t="s">
        <v>16526</v>
      </c>
      <c r="G15347" s="52">
        <v>75919.060755651793</v>
      </c>
      <c r="H15347" s="56">
        <v>1.2897577572248803E-2</v>
      </c>
      <c r="I15347" s="224" t="s">
        <v>2</v>
      </c>
    </row>
    <row r="15348" spans="1:9" x14ac:dyDescent="0.25">
      <c r="A15348" s="515">
        <v>28454</v>
      </c>
      <c r="B15348" s="515" t="s">
        <v>1153</v>
      </c>
      <c r="C15348" s="52">
        <v>227464.50976726299</v>
      </c>
      <c r="D15348" s="56">
        <v>0.13181580840990584</v>
      </c>
      <c r="E15348" s="224" t="s">
        <v>2</v>
      </c>
      <c r="F15348" s="515" t="s">
        <v>16527</v>
      </c>
      <c r="G15348" s="52">
        <v>207047.22318753201</v>
      </c>
      <c r="H15348" s="56">
        <v>6.3881616125954999E-2</v>
      </c>
      <c r="I15348" s="224" t="s">
        <v>2</v>
      </c>
    </row>
    <row r="15349" spans="1:9" x14ac:dyDescent="0.25">
      <c r="A15349" s="515">
        <v>29075</v>
      </c>
      <c r="B15349" s="515" t="s">
        <v>1011</v>
      </c>
      <c r="C15349" s="52">
        <v>300696.61848613899</v>
      </c>
      <c r="D15349" s="56">
        <v>5.875227154424708E-2</v>
      </c>
      <c r="E15349" s="224" t="s">
        <v>2</v>
      </c>
      <c r="F15349" s="515" t="s">
        <v>16528</v>
      </c>
      <c r="G15349" s="52">
        <v>136637.66931050699</v>
      </c>
      <c r="H15349" s="56">
        <v>0.13657454735702187</v>
      </c>
      <c r="I15349" s="224" t="s">
        <v>2</v>
      </c>
    </row>
    <row r="15350" spans="1:9" x14ac:dyDescent="0.25">
      <c r="A15350" s="515">
        <v>81063</v>
      </c>
      <c r="C15350" s="52">
        <v>153714.16527100099</v>
      </c>
      <c r="D15350" s="56">
        <v>9.8202900715998215E-2</v>
      </c>
      <c r="E15350" s="224" t="s">
        <v>2</v>
      </c>
      <c r="F15350" s="515" t="s">
        <v>16529</v>
      </c>
      <c r="G15350" s="52">
        <v>81510.298035104293</v>
      </c>
      <c r="H15350" s="56">
        <v>0.11740782479373758</v>
      </c>
      <c r="I15350" s="224" t="s">
        <v>2</v>
      </c>
    </row>
    <row r="15351" spans="1:9" x14ac:dyDescent="0.25">
      <c r="A15351" s="515">
        <v>27326</v>
      </c>
      <c r="B15351" s="515" t="s">
        <v>1148</v>
      </c>
      <c r="C15351" s="52">
        <v>160112.37543170701</v>
      </c>
      <c r="D15351" s="56">
        <v>0.10011283233154034</v>
      </c>
      <c r="E15351" s="224" t="s">
        <v>2</v>
      </c>
      <c r="F15351" s="515" t="s">
        <v>16530</v>
      </c>
      <c r="G15351" s="52">
        <v>164798.064525722</v>
      </c>
      <c r="H15351" s="56">
        <v>4.1409791757635886E-2</v>
      </c>
      <c r="I15351" s="224" t="s">
        <v>2</v>
      </c>
    </row>
    <row r="15352" spans="1:9" x14ac:dyDescent="0.25">
      <c r="A15352" s="515">
        <v>66538</v>
      </c>
      <c r="C15352" s="52">
        <v>232076.326970653</v>
      </c>
      <c r="D15352" s="56">
        <v>0.13286662924097734</v>
      </c>
      <c r="E15352" s="224" t="s">
        <v>2</v>
      </c>
      <c r="F15352" s="515" t="s">
        <v>16531</v>
      </c>
      <c r="G15352" s="52">
        <v>116340.16834490901</v>
      </c>
      <c r="H15352" s="56">
        <v>8.685637968719051E-2</v>
      </c>
      <c r="I15352" s="224" t="s">
        <v>2</v>
      </c>
    </row>
    <row r="15353" spans="1:9" x14ac:dyDescent="0.25">
      <c r="A15353" s="515">
        <v>65053</v>
      </c>
      <c r="B15353" s="515" t="s">
        <v>711</v>
      </c>
      <c r="C15353" s="52">
        <v>330796.54833592201</v>
      </c>
      <c r="D15353" s="56">
        <v>0.18092189408932671</v>
      </c>
      <c r="E15353" s="224" t="s">
        <v>2</v>
      </c>
      <c r="F15353" s="515" t="s">
        <v>16532</v>
      </c>
      <c r="G15353" s="52">
        <v>405886.81301188702</v>
      </c>
      <c r="H15353" s="56">
        <v>4.1952523334313679E-2</v>
      </c>
      <c r="I15353" s="224" t="s">
        <v>2</v>
      </c>
    </row>
    <row r="15354" spans="1:9" x14ac:dyDescent="0.25">
      <c r="A15354" s="515">
        <v>78662</v>
      </c>
      <c r="B15354" s="515" t="s">
        <v>380</v>
      </c>
      <c r="C15354" s="52">
        <v>475126.86262594</v>
      </c>
      <c r="D15354" s="56">
        <v>0.15790897873011553</v>
      </c>
      <c r="E15354" s="224" t="s">
        <v>2</v>
      </c>
      <c r="F15354" s="515" t="s">
        <v>16533</v>
      </c>
      <c r="G15354" s="52">
        <v>259783.242634856</v>
      </c>
      <c r="H15354" s="56">
        <v>0.10092904633724741</v>
      </c>
      <c r="I15354" s="224" t="s">
        <v>2</v>
      </c>
    </row>
    <row r="15355" spans="1:9" x14ac:dyDescent="0.25">
      <c r="A15355" s="515">
        <v>30805</v>
      </c>
      <c r="B15355" s="515" t="s">
        <v>888</v>
      </c>
      <c r="C15355" s="52">
        <v>179677.334593034</v>
      </c>
      <c r="D15355" s="56">
        <v>0.10570585241790148</v>
      </c>
      <c r="E15355" s="224" t="s">
        <v>2</v>
      </c>
      <c r="F15355" s="515" t="s">
        <v>16534</v>
      </c>
      <c r="G15355" s="52">
        <v>154757.81525144301</v>
      </c>
      <c r="H15355" s="56">
        <v>4.1885309189949087E-2</v>
      </c>
      <c r="I15355" s="224" t="s">
        <v>2</v>
      </c>
    </row>
    <row r="15356" spans="1:9" x14ac:dyDescent="0.25">
      <c r="A15356" s="515">
        <v>62018</v>
      </c>
      <c r="B15356" s="515" t="s">
        <v>498</v>
      </c>
      <c r="C15356" s="52">
        <v>81625.451737145893</v>
      </c>
      <c r="D15356" s="56">
        <v>0.15868671456557007</v>
      </c>
      <c r="E15356" s="224" t="s">
        <v>2</v>
      </c>
      <c r="F15356" s="515" t="s">
        <v>16535</v>
      </c>
      <c r="G15356" s="52">
        <v>170225.758722689</v>
      </c>
      <c r="H15356" s="56">
        <v>3.8182264895389235E-2</v>
      </c>
      <c r="I15356" s="224" t="s">
        <v>2</v>
      </c>
    </row>
    <row r="15357" spans="1:9" x14ac:dyDescent="0.25">
      <c r="A15357" s="515">
        <v>6751</v>
      </c>
      <c r="B15357" s="515" t="s">
        <v>559</v>
      </c>
      <c r="C15357" s="52">
        <v>417591.98901487002</v>
      </c>
      <c r="D15357" s="56">
        <v>0.12147483345055624</v>
      </c>
      <c r="E15357" s="224" t="s">
        <v>2</v>
      </c>
      <c r="F15357" s="515" t="s">
        <v>16536</v>
      </c>
      <c r="G15357" s="52">
        <v>349879.65116385801</v>
      </c>
      <c r="H15357" s="56">
        <v>8.3804806001145399E-2</v>
      </c>
      <c r="I15357" s="224" t="s">
        <v>2</v>
      </c>
    </row>
    <row r="15358" spans="1:9" x14ac:dyDescent="0.25">
      <c r="A15358" s="515">
        <v>89419</v>
      </c>
      <c r="C15358" s="52">
        <v>185733.523408004</v>
      </c>
      <c r="D15358" s="56">
        <v>6.5303986981552986E-2</v>
      </c>
      <c r="E15358" s="224" t="s">
        <v>2</v>
      </c>
      <c r="F15358" s="515" t="s">
        <v>16537</v>
      </c>
      <c r="G15358" s="52">
        <v>93940.936302297298</v>
      </c>
      <c r="H15358" s="56">
        <v>0.11742498857437787</v>
      </c>
      <c r="I15358" s="224" t="s">
        <v>2</v>
      </c>
    </row>
    <row r="15359" spans="1:9" x14ac:dyDescent="0.25">
      <c r="A15359" s="515">
        <v>28071</v>
      </c>
      <c r="B15359" s="515" t="s">
        <v>360</v>
      </c>
      <c r="C15359" s="52">
        <v>268718.49453794502</v>
      </c>
      <c r="D15359" s="56">
        <v>0.13109820036921502</v>
      </c>
      <c r="E15359" s="224" t="s">
        <v>2</v>
      </c>
      <c r="F15359" s="515" t="s">
        <v>16538</v>
      </c>
      <c r="G15359" s="52">
        <v>251807.84633622901</v>
      </c>
      <c r="H15359" s="56">
        <v>4.4442385627986233E-2</v>
      </c>
      <c r="I15359" s="224" t="s">
        <v>2</v>
      </c>
    </row>
    <row r="15360" spans="1:9" x14ac:dyDescent="0.25">
      <c r="A15360" s="515">
        <v>73554</v>
      </c>
      <c r="C15360" s="52">
        <v>62668.636968550898</v>
      </c>
      <c r="D15360" s="56">
        <v>0.1608948232626794</v>
      </c>
      <c r="E15360" s="224" t="s">
        <v>2</v>
      </c>
      <c r="F15360" s="515" t="s">
        <v>16539</v>
      </c>
      <c r="G15360" s="52">
        <v>372471.004363393</v>
      </c>
      <c r="H15360" s="56">
        <v>0.10763072164701835</v>
      </c>
      <c r="I15360" s="224" t="s">
        <v>2</v>
      </c>
    </row>
    <row r="15361" spans="1:9" x14ac:dyDescent="0.25">
      <c r="A15361" s="515">
        <v>49746</v>
      </c>
      <c r="C15361" s="52">
        <v>136428.45566670201</v>
      </c>
      <c r="D15361" s="56">
        <v>7.2459205513734415E-2</v>
      </c>
      <c r="E15361" s="224" t="s">
        <v>2</v>
      </c>
      <c r="F15361" s="515" t="s">
        <v>16540</v>
      </c>
      <c r="G15361" s="52">
        <v>314352.71555786103</v>
      </c>
      <c r="H15361" s="56">
        <v>4.7662810696352094E-2</v>
      </c>
      <c r="I15361" s="224" t="s">
        <v>2</v>
      </c>
    </row>
    <row r="15362" spans="1:9" x14ac:dyDescent="0.25">
      <c r="A15362" s="515">
        <v>26261</v>
      </c>
      <c r="C15362" s="52">
        <v>41613.394480427502</v>
      </c>
      <c r="D15362" s="56">
        <v>0.2315438921139053</v>
      </c>
      <c r="E15362" s="224" t="s">
        <v>2</v>
      </c>
      <c r="F15362" s="515" t="s">
        <v>16541</v>
      </c>
      <c r="G15362" s="52">
        <v>447216.25436196598</v>
      </c>
      <c r="H15362" s="56">
        <v>9.6567232567694325E-2</v>
      </c>
      <c r="I15362" s="224" t="s">
        <v>2</v>
      </c>
    </row>
    <row r="15363" spans="1:9" x14ac:dyDescent="0.25">
      <c r="A15363" s="515">
        <v>77420</v>
      </c>
      <c r="B15363" s="515" t="s">
        <v>320</v>
      </c>
      <c r="C15363" s="52">
        <v>169768.51778656099</v>
      </c>
      <c r="D15363" s="56">
        <v>0</v>
      </c>
      <c r="E15363" s="224" t="s">
        <v>2</v>
      </c>
      <c r="F15363" s="515" t="s">
        <v>16542</v>
      </c>
      <c r="G15363" s="52">
        <v>514966.408232063</v>
      </c>
      <c r="H15363" s="56">
        <v>3.6173983971601001E-2</v>
      </c>
      <c r="I15363" s="224" t="s">
        <v>2</v>
      </c>
    </row>
    <row r="15364" spans="1:9" x14ac:dyDescent="0.25">
      <c r="A15364" s="515">
        <v>12525</v>
      </c>
      <c r="B15364" s="515" t="s">
        <v>307</v>
      </c>
      <c r="C15364" s="52">
        <v>451046.25499766</v>
      </c>
      <c r="D15364" s="56">
        <v>6.283997167982773E-2</v>
      </c>
      <c r="E15364" s="224" t="s">
        <v>2</v>
      </c>
      <c r="F15364" s="515" t="s">
        <v>16543</v>
      </c>
      <c r="G15364" s="52">
        <v>107127.600535273</v>
      </c>
      <c r="H15364" s="56">
        <v>9.8617585438042533E-3</v>
      </c>
      <c r="I15364" s="224" t="s">
        <v>2</v>
      </c>
    </row>
    <row r="15365" spans="1:9" x14ac:dyDescent="0.25">
      <c r="A15365" s="515">
        <v>6330</v>
      </c>
      <c r="B15365" s="515" t="s">
        <v>1091</v>
      </c>
      <c r="C15365" s="52">
        <v>284178.73659735703</v>
      </c>
      <c r="D15365" s="56">
        <v>9.267855227965667E-2</v>
      </c>
      <c r="E15365" s="224" t="s">
        <v>2</v>
      </c>
      <c r="F15365" s="515" t="s">
        <v>16544</v>
      </c>
      <c r="G15365" s="52">
        <v>240141.232551983</v>
      </c>
      <c r="H15365" s="56">
        <v>0.16920135017167887</v>
      </c>
      <c r="I15365" s="224" t="s">
        <v>2</v>
      </c>
    </row>
    <row r="15366" spans="1:9" x14ac:dyDescent="0.25">
      <c r="A15366" s="515">
        <v>31519</v>
      </c>
      <c r="B15366" s="515" t="s">
        <v>917</v>
      </c>
      <c r="C15366" s="52">
        <v>127702.970044838</v>
      </c>
      <c r="D15366" s="56">
        <v>6.1713193408385263E-2</v>
      </c>
      <c r="E15366" s="224" t="s">
        <v>2</v>
      </c>
      <c r="F15366" s="515" t="s">
        <v>16545</v>
      </c>
      <c r="G15366" s="52">
        <v>371510.03262538899</v>
      </c>
      <c r="H15366" s="56">
        <v>0.13142237026017067</v>
      </c>
      <c r="I15366" s="224" t="s">
        <v>2</v>
      </c>
    </row>
    <row r="15367" spans="1:9" x14ac:dyDescent="0.25">
      <c r="A15367" s="515">
        <v>3598</v>
      </c>
      <c r="B15367" s="515" t="s">
        <v>752</v>
      </c>
      <c r="C15367" s="52">
        <v>313381.99537719402</v>
      </c>
      <c r="D15367" s="56">
        <v>0.17522410745812395</v>
      </c>
      <c r="E15367" s="224" t="s">
        <v>2</v>
      </c>
      <c r="F15367" s="515" t="s">
        <v>16546</v>
      </c>
      <c r="G15367" s="52">
        <v>305795.417678389</v>
      </c>
      <c r="H15367" s="56">
        <v>-3.7373373135500973E-2</v>
      </c>
      <c r="I15367" s="224" t="s">
        <v>2</v>
      </c>
    </row>
    <row r="15368" spans="1:9" x14ac:dyDescent="0.25">
      <c r="A15368" s="515">
        <v>54970</v>
      </c>
      <c r="C15368" s="52">
        <v>144747.33469388101</v>
      </c>
      <c r="D15368" s="56">
        <v>6.74167893717105E-2</v>
      </c>
      <c r="E15368" s="224" t="s">
        <v>2</v>
      </c>
      <c r="F15368" s="515" t="s">
        <v>16547</v>
      </c>
      <c r="G15368" s="52">
        <v>219906.267725921</v>
      </c>
      <c r="H15368" s="56">
        <v>4.183282266996606E-2</v>
      </c>
      <c r="I15368" s="224" t="s">
        <v>2</v>
      </c>
    </row>
    <row r="15369" spans="1:9" x14ac:dyDescent="0.25">
      <c r="A15369" s="515">
        <v>29047</v>
      </c>
      <c r="B15369" s="515" t="s">
        <v>1036</v>
      </c>
      <c r="C15369" s="52">
        <v>141555.12476962799</v>
      </c>
      <c r="D15369" s="56">
        <v>3.545176877983372E-2</v>
      </c>
      <c r="E15369" s="224" t="s">
        <v>2</v>
      </c>
      <c r="F15369" s="515" t="s">
        <v>16548</v>
      </c>
      <c r="G15369" s="52">
        <v>93201.566457408204</v>
      </c>
      <c r="H15369" s="56">
        <v>0.14003946859704555</v>
      </c>
      <c r="I15369" s="224" t="s">
        <v>2</v>
      </c>
    </row>
    <row r="15370" spans="1:9" x14ac:dyDescent="0.25">
      <c r="A15370" s="515">
        <v>67579</v>
      </c>
      <c r="C15370" s="52">
        <v>112218.753570203</v>
      </c>
      <c r="D15370" s="56">
        <v>2.5819470366051197E-2</v>
      </c>
      <c r="E15370" s="224" t="s">
        <v>2</v>
      </c>
      <c r="F15370" s="515" t="s">
        <v>16549</v>
      </c>
      <c r="G15370" s="52">
        <v>316583.83470107801</v>
      </c>
      <c r="H15370" s="56">
        <v>7.4852583739153836E-2</v>
      </c>
      <c r="I15370" s="224" t="s">
        <v>2</v>
      </c>
    </row>
    <row r="15371" spans="1:9" x14ac:dyDescent="0.25">
      <c r="A15371" s="515">
        <v>25075</v>
      </c>
      <c r="B15371" s="515" t="s">
        <v>322</v>
      </c>
      <c r="C15371" s="52">
        <v>51837.319463064101</v>
      </c>
      <c r="D15371" s="56">
        <v>0.13073433088935116</v>
      </c>
      <c r="E15371" s="224" t="s">
        <v>2</v>
      </c>
      <c r="F15371" s="515" t="s">
        <v>16550</v>
      </c>
      <c r="G15371" s="52">
        <v>159085.543612309</v>
      </c>
      <c r="H15371" s="56">
        <v>-4.0891549170552557E-2</v>
      </c>
      <c r="I15371" s="224" t="s">
        <v>2</v>
      </c>
    </row>
    <row r="15372" spans="1:9" x14ac:dyDescent="0.25">
      <c r="A15372" s="515">
        <v>53020</v>
      </c>
      <c r="B15372" s="515" t="s">
        <v>1063</v>
      </c>
      <c r="C15372" s="52">
        <v>327627.63826421503</v>
      </c>
      <c r="D15372" s="56">
        <v>4.0864191121901872E-2</v>
      </c>
      <c r="E15372" s="224" t="s">
        <v>2</v>
      </c>
      <c r="F15372" s="515" t="s">
        <v>16551</v>
      </c>
      <c r="G15372" s="52">
        <v>324908.78644086502</v>
      </c>
      <c r="H15372" s="56">
        <v>4.9925677160830566E-2</v>
      </c>
      <c r="I15372" s="224" t="s">
        <v>2</v>
      </c>
    </row>
    <row r="15373" spans="1:9" x14ac:dyDescent="0.25">
      <c r="A15373" s="515">
        <v>67013</v>
      </c>
      <c r="B15373" s="515" t="s">
        <v>485</v>
      </c>
      <c r="C15373" s="52">
        <v>142906.040971382</v>
      </c>
      <c r="D15373" s="56">
        <v>9.9581059975885483E-2</v>
      </c>
      <c r="E15373" s="224" t="s">
        <v>2</v>
      </c>
      <c r="F15373" s="515" t="s">
        <v>16552</v>
      </c>
      <c r="G15373" s="52">
        <v>213458.78680320599</v>
      </c>
      <c r="H15373" s="56">
        <v>9.908459649801056E-2</v>
      </c>
      <c r="I15373" s="224" t="s">
        <v>2</v>
      </c>
    </row>
    <row r="15374" spans="1:9" x14ac:dyDescent="0.25">
      <c r="A15374" s="515">
        <v>96035</v>
      </c>
      <c r="B15374" s="515" t="s">
        <v>525</v>
      </c>
      <c r="C15374" s="52">
        <v>241448.335764858</v>
      </c>
      <c r="D15374" s="56">
        <v>-1.3125167950177529E-2</v>
      </c>
      <c r="E15374" s="224" t="s">
        <v>2</v>
      </c>
      <c r="F15374" s="515" t="s">
        <v>16553</v>
      </c>
      <c r="G15374" s="52">
        <v>194374.34666666601</v>
      </c>
      <c r="H15374" s="56">
        <v>0</v>
      </c>
      <c r="I15374" s="224" t="s">
        <v>2</v>
      </c>
    </row>
    <row r="15375" spans="1:9" x14ac:dyDescent="0.25">
      <c r="A15375" s="515">
        <v>24963</v>
      </c>
      <c r="C15375" s="52">
        <v>139286.01794445701</v>
      </c>
      <c r="D15375" s="56">
        <v>1.3781917698851003E-2</v>
      </c>
      <c r="E15375" s="224" t="s">
        <v>2</v>
      </c>
      <c r="F15375" s="515" t="s">
        <v>16554</v>
      </c>
      <c r="G15375" s="52">
        <v>130166.381227009</v>
      </c>
      <c r="H15375" s="56">
        <v>0.17808747744380712</v>
      </c>
      <c r="I15375" s="224" t="s">
        <v>2</v>
      </c>
    </row>
    <row r="15376" spans="1:9" x14ac:dyDescent="0.25">
      <c r="A15376" s="515">
        <v>40734</v>
      </c>
      <c r="B15376" s="515" t="s">
        <v>633</v>
      </c>
      <c r="C15376" s="52">
        <v>136398.33276503399</v>
      </c>
      <c r="D15376" s="56">
        <v>0.18592392521113116</v>
      </c>
      <c r="E15376" s="224" t="s">
        <v>2</v>
      </c>
      <c r="F15376" s="515" t="s">
        <v>16555</v>
      </c>
      <c r="G15376" s="52">
        <v>186979.47965561601</v>
      </c>
      <c r="H15376" s="56">
        <v>6.4746046088807338E-2</v>
      </c>
      <c r="I15376" s="224" t="s">
        <v>2</v>
      </c>
    </row>
    <row r="15377" spans="1:9" x14ac:dyDescent="0.25">
      <c r="A15377" s="515">
        <v>54151</v>
      </c>
      <c r="B15377" s="515" t="s">
        <v>923</v>
      </c>
      <c r="C15377" s="52">
        <v>124265.54184619201</v>
      </c>
      <c r="D15377" s="56">
        <v>8.9082042649499149E-2</v>
      </c>
      <c r="E15377" s="224" t="s">
        <v>2</v>
      </c>
      <c r="F15377" s="515" t="s">
        <v>16556</v>
      </c>
      <c r="G15377" s="52">
        <v>120498.64164912001</v>
      </c>
      <c r="H15377" s="56">
        <v>-5.1141290458108488E-2</v>
      </c>
      <c r="I15377" s="224" t="s">
        <v>2</v>
      </c>
    </row>
    <row r="15378" spans="1:9" x14ac:dyDescent="0.25">
      <c r="A15378" s="515">
        <v>5777</v>
      </c>
      <c r="B15378" s="515" t="s">
        <v>791</v>
      </c>
      <c r="C15378" s="52">
        <v>225193.34495180001</v>
      </c>
      <c r="D15378" s="56">
        <v>8.1764260437626274E-2</v>
      </c>
      <c r="E15378" s="224" t="s">
        <v>2</v>
      </c>
      <c r="F15378" s="515" t="s">
        <v>16557</v>
      </c>
      <c r="G15378" s="52">
        <v>254832.764574178</v>
      </c>
      <c r="H15378" s="56">
        <v>6.6247870341162154E-2</v>
      </c>
      <c r="I15378" s="224" t="s">
        <v>2</v>
      </c>
    </row>
    <row r="15379" spans="1:9" x14ac:dyDescent="0.25">
      <c r="A15379" s="515">
        <v>24556</v>
      </c>
      <c r="B15379" s="515" t="s">
        <v>705</v>
      </c>
      <c r="C15379" s="52">
        <v>341506.84584199602</v>
      </c>
      <c r="D15379" s="56">
        <v>7.3094392909515984E-2</v>
      </c>
      <c r="E15379" s="224" t="s">
        <v>2</v>
      </c>
      <c r="F15379" s="515" t="s">
        <v>16558</v>
      </c>
      <c r="G15379" s="52">
        <v>108983.782646388</v>
      </c>
      <c r="H15379" s="56">
        <v>5.2438108109343413E-2</v>
      </c>
      <c r="I15379" s="224" t="s">
        <v>2</v>
      </c>
    </row>
    <row r="15380" spans="1:9" x14ac:dyDescent="0.25">
      <c r="A15380" s="515">
        <v>46371</v>
      </c>
      <c r="B15380" s="515" t="s">
        <v>944</v>
      </c>
      <c r="C15380" s="52">
        <v>252638.941241186</v>
      </c>
      <c r="D15380" s="56">
        <v>8.8136339066467395E-2</v>
      </c>
      <c r="E15380" s="224" t="s">
        <v>2</v>
      </c>
      <c r="F15380" s="515" t="s">
        <v>16559</v>
      </c>
      <c r="G15380" s="52">
        <v>128249.29829995301</v>
      </c>
      <c r="H15380" s="56">
        <v>4.5278802354150473E-2</v>
      </c>
      <c r="I15380" s="224" t="s">
        <v>2</v>
      </c>
    </row>
    <row r="15381" spans="1:9" x14ac:dyDescent="0.25">
      <c r="A15381" s="515">
        <v>17252</v>
      </c>
      <c r="B15381" s="515" t="s">
        <v>372</v>
      </c>
      <c r="C15381" s="52">
        <v>224813.03862647901</v>
      </c>
      <c r="D15381" s="56">
        <v>4.3800626922539838E-2</v>
      </c>
      <c r="E15381" s="224" t="s">
        <v>2</v>
      </c>
      <c r="F15381" s="515" t="s">
        <v>16560</v>
      </c>
      <c r="G15381" s="52">
        <v>159723.667164974</v>
      </c>
      <c r="H15381" s="56">
        <v>2.9644207812186169E-3</v>
      </c>
      <c r="I15381" s="224" t="s">
        <v>2</v>
      </c>
    </row>
    <row r="15382" spans="1:9" x14ac:dyDescent="0.25">
      <c r="A15382" s="515">
        <v>13471</v>
      </c>
      <c r="B15382" s="515" t="s">
        <v>543</v>
      </c>
      <c r="C15382" s="52">
        <v>142122.738346698</v>
      </c>
      <c r="D15382" s="56">
        <v>0.10034472846127279</v>
      </c>
      <c r="E15382" s="224" t="s">
        <v>2</v>
      </c>
      <c r="F15382" s="515" t="s">
        <v>16561</v>
      </c>
      <c r="G15382" s="52">
        <v>557408.23067822994</v>
      </c>
      <c r="H15382" s="56">
        <v>6.9143734621763667E-2</v>
      </c>
      <c r="I15382" s="224" t="s">
        <v>2</v>
      </c>
    </row>
    <row r="15383" spans="1:9" x14ac:dyDescent="0.25">
      <c r="A15383" s="515">
        <v>30538</v>
      </c>
      <c r="B15383" s="515" t="s">
        <v>1165</v>
      </c>
      <c r="C15383" s="52">
        <v>191888.74912532099</v>
      </c>
      <c r="D15383" s="56">
        <v>0.15788247294026111</v>
      </c>
      <c r="E15383" s="224" t="s">
        <v>2</v>
      </c>
      <c r="F15383" s="515" t="s">
        <v>16562</v>
      </c>
      <c r="G15383" s="52">
        <v>467344.74022002303</v>
      </c>
      <c r="H15383" s="56">
        <v>0</v>
      </c>
      <c r="I15383" s="224" t="s">
        <v>2</v>
      </c>
    </row>
    <row r="15384" spans="1:9" x14ac:dyDescent="0.25">
      <c r="A15384" s="515">
        <v>66040</v>
      </c>
      <c r="B15384" s="515" t="s">
        <v>455</v>
      </c>
      <c r="C15384" s="52">
        <v>155034.54666721899</v>
      </c>
      <c r="D15384" s="56">
        <v>-0.14183709201952427</v>
      </c>
      <c r="E15384" s="224" t="s">
        <v>2</v>
      </c>
      <c r="F15384" s="515" t="s">
        <v>16563</v>
      </c>
      <c r="G15384" s="52">
        <v>141411.72289156599</v>
      </c>
      <c r="H15384" s="56">
        <v>0</v>
      </c>
      <c r="I15384" s="224" t="s">
        <v>2</v>
      </c>
    </row>
    <row r="15385" spans="1:9" x14ac:dyDescent="0.25">
      <c r="A15385" s="515">
        <v>12075</v>
      </c>
      <c r="B15385" s="515" t="s">
        <v>564</v>
      </c>
      <c r="C15385" s="52">
        <v>441990.66772707697</v>
      </c>
      <c r="D15385" s="56">
        <v>0.10042992461640993</v>
      </c>
      <c r="E15385" s="224" t="s">
        <v>2</v>
      </c>
      <c r="F15385" s="515" t="s">
        <v>16564</v>
      </c>
      <c r="G15385" s="52">
        <v>329669.77584870701</v>
      </c>
      <c r="H15385" s="56">
        <v>4.7965191956873522E-2</v>
      </c>
      <c r="I15385" s="224" t="s">
        <v>2</v>
      </c>
    </row>
    <row r="15386" spans="1:9" x14ac:dyDescent="0.25">
      <c r="A15386" s="515">
        <v>31512</v>
      </c>
      <c r="B15386" s="515" t="s">
        <v>917</v>
      </c>
      <c r="C15386" s="52">
        <v>155801.31734644299</v>
      </c>
      <c r="D15386" s="56">
        <v>4.4926068754509337E-2</v>
      </c>
      <c r="E15386" s="224" t="s">
        <v>2</v>
      </c>
      <c r="F15386" s="515" t="s">
        <v>16565</v>
      </c>
      <c r="G15386" s="52">
        <v>210331.10397175499</v>
      </c>
      <c r="H15386" s="56">
        <v>7.2928060314965265E-2</v>
      </c>
      <c r="I15386" s="224" t="s">
        <v>2</v>
      </c>
    </row>
    <row r="15387" spans="1:9" x14ac:dyDescent="0.25">
      <c r="A15387" s="515">
        <v>24430</v>
      </c>
      <c r="B15387" s="515" t="s">
        <v>728</v>
      </c>
      <c r="C15387" s="52">
        <v>150615.72678984501</v>
      </c>
      <c r="D15387" s="56">
        <v>9.4311387275098288E-2</v>
      </c>
      <c r="E15387" s="224" t="s">
        <v>2</v>
      </c>
      <c r="F15387" s="515" t="s">
        <v>11201</v>
      </c>
      <c r="G15387" s="52">
        <v>345993.562978609</v>
      </c>
      <c r="H15387" s="56">
        <v>9.8244999554732107E-2</v>
      </c>
      <c r="I15387" s="224" t="s">
        <v>2</v>
      </c>
    </row>
    <row r="15388" spans="1:9" x14ac:dyDescent="0.25">
      <c r="A15388" s="515">
        <v>64856</v>
      </c>
      <c r="C15388" s="52">
        <v>167159.507165004</v>
      </c>
      <c r="D15388" s="56">
        <v>0.10920152372884308</v>
      </c>
      <c r="E15388" s="224" t="s">
        <v>2</v>
      </c>
      <c r="F15388" s="515" t="s">
        <v>16566</v>
      </c>
      <c r="G15388" s="52">
        <v>166171.254704274</v>
      </c>
      <c r="H15388" s="56">
        <v>7.1214233031783323E-3</v>
      </c>
      <c r="I15388" s="224" t="s">
        <v>2</v>
      </c>
    </row>
    <row r="15389" spans="1:9" x14ac:dyDescent="0.25">
      <c r="A15389" s="515">
        <v>67860</v>
      </c>
      <c r="B15389" s="515" t="s">
        <v>855</v>
      </c>
      <c r="C15389" s="52">
        <v>168003.47669670699</v>
      </c>
      <c r="D15389" s="56">
        <v>1.0129520594258408E-2</v>
      </c>
      <c r="E15389" s="224" t="s">
        <v>2</v>
      </c>
      <c r="F15389" s="515" t="s">
        <v>16567</v>
      </c>
      <c r="G15389" s="52">
        <v>61100.446808510598</v>
      </c>
      <c r="H15389" s="56">
        <v>0</v>
      </c>
      <c r="I15389" s="224" t="s">
        <v>2</v>
      </c>
    </row>
    <row r="15390" spans="1:9" x14ac:dyDescent="0.25">
      <c r="A15390" s="515">
        <v>73632</v>
      </c>
      <c r="C15390" s="52">
        <v>89037.475304374602</v>
      </c>
      <c r="D15390" s="56">
        <v>0.10592829334160619</v>
      </c>
      <c r="E15390" s="224" t="s">
        <v>2</v>
      </c>
      <c r="F15390" s="515" t="s">
        <v>16568</v>
      </c>
      <c r="G15390" s="52">
        <v>209275.95562239701</v>
      </c>
      <c r="H15390" s="56">
        <v>9.093176200321948E-2</v>
      </c>
      <c r="I15390" s="224" t="s">
        <v>2</v>
      </c>
    </row>
    <row r="15391" spans="1:9" x14ac:dyDescent="0.25">
      <c r="A15391" s="515">
        <v>43804</v>
      </c>
      <c r="C15391" s="52">
        <v>272261.527489756</v>
      </c>
      <c r="D15391" s="56">
        <v>0.12785041701987437</v>
      </c>
      <c r="E15391" s="224" t="s">
        <v>2</v>
      </c>
      <c r="F15391" s="515" t="s">
        <v>16569</v>
      </c>
      <c r="G15391" s="52">
        <v>116594.76024484501</v>
      </c>
      <c r="H15391" s="56">
        <v>0</v>
      </c>
      <c r="I15391" s="224" t="s">
        <v>2</v>
      </c>
    </row>
    <row r="15392" spans="1:9" x14ac:dyDescent="0.25">
      <c r="A15392" s="515">
        <v>98251</v>
      </c>
      <c r="B15392" s="515" t="s">
        <v>384</v>
      </c>
      <c r="C15392" s="52">
        <v>457995.079204418</v>
      </c>
      <c r="D15392" s="56">
        <v>-9.7024030977426005E-3</v>
      </c>
      <c r="E15392" s="224" t="s">
        <v>2</v>
      </c>
      <c r="F15392" s="515" t="s">
        <v>16570</v>
      </c>
      <c r="G15392" s="52">
        <v>108816.06429430599</v>
      </c>
      <c r="H15392" s="56">
        <v>-7.5093549050387941E-3</v>
      </c>
      <c r="I15392" s="224" t="s">
        <v>2</v>
      </c>
    </row>
    <row r="15393" spans="1:9" x14ac:dyDescent="0.25">
      <c r="A15393" s="515">
        <v>61238</v>
      </c>
      <c r="B15393" s="515" t="s">
        <v>439</v>
      </c>
      <c r="C15393" s="52">
        <v>128446.56368738999</v>
      </c>
      <c r="D15393" s="56">
        <v>6.2804106820760888E-2</v>
      </c>
      <c r="E15393" s="224" t="s">
        <v>2</v>
      </c>
      <c r="F15393" s="515" t="s">
        <v>16571</v>
      </c>
      <c r="G15393" s="52">
        <v>422170.05900755699</v>
      </c>
      <c r="H15393" s="56">
        <v>0.11324867080327988</v>
      </c>
      <c r="I15393" s="224" t="s">
        <v>2</v>
      </c>
    </row>
    <row r="15394" spans="1:9" x14ac:dyDescent="0.25">
      <c r="A15394" s="515">
        <v>51249</v>
      </c>
      <c r="C15394" s="52">
        <v>122707.500932847</v>
      </c>
      <c r="D15394" s="56">
        <v>0</v>
      </c>
      <c r="E15394" s="224" t="s">
        <v>2</v>
      </c>
      <c r="F15394" s="515" t="s">
        <v>16572</v>
      </c>
      <c r="G15394" s="52">
        <v>80136.933111539896</v>
      </c>
      <c r="H15394" s="56">
        <v>0.14281537421497495</v>
      </c>
      <c r="I15394" s="224" t="s">
        <v>2</v>
      </c>
    </row>
    <row r="15395" spans="1:9" x14ac:dyDescent="0.25">
      <c r="A15395" s="515">
        <v>28635</v>
      </c>
      <c r="B15395" s="515" t="s">
        <v>1018</v>
      </c>
      <c r="C15395" s="52">
        <v>190822.82370147799</v>
      </c>
      <c r="D15395" s="56">
        <v>0.19786708594791441</v>
      </c>
      <c r="E15395" s="224" t="s">
        <v>2</v>
      </c>
      <c r="F15395" s="515" t="s">
        <v>16573</v>
      </c>
      <c r="G15395" s="52">
        <v>115003.413159656</v>
      </c>
      <c r="H15395" s="56">
        <v>0.17354342985888063</v>
      </c>
      <c r="I15395" s="224" t="s">
        <v>2</v>
      </c>
    </row>
    <row r="15396" spans="1:9" x14ac:dyDescent="0.25">
      <c r="A15396" s="515">
        <v>76225</v>
      </c>
      <c r="B15396" s="515" t="s">
        <v>458</v>
      </c>
      <c r="C15396" s="52">
        <v>311698.81613701402</v>
      </c>
      <c r="D15396" s="56">
        <v>2.216092150390522E-2</v>
      </c>
      <c r="E15396" s="224" t="s">
        <v>2</v>
      </c>
      <c r="F15396" s="515" t="s">
        <v>16574</v>
      </c>
      <c r="G15396" s="52">
        <v>119936.831677865</v>
      </c>
      <c r="H15396" s="56">
        <v>7.6351868091169825E-2</v>
      </c>
      <c r="I15396" s="224" t="s">
        <v>2</v>
      </c>
    </row>
    <row r="15397" spans="1:9" x14ac:dyDescent="0.25">
      <c r="A15397" s="515">
        <v>98134</v>
      </c>
      <c r="B15397" s="515" t="s">
        <v>384</v>
      </c>
      <c r="C15397" s="52">
        <v>466643.00417892</v>
      </c>
      <c r="D15397" s="56">
        <v>3.2869140189745884E-2</v>
      </c>
      <c r="E15397" s="224" t="s">
        <v>2</v>
      </c>
      <c r="F15397" s="515" t="s">
        <v>16575</v>
      </c>
      <c r="G15397" s="52">
        <v>224553.87756305301</v>
      </c>
      <c r="H15397" s="56">
        <v>0.15347619632761159</v>
      </c>
      <c r="I15397" s="224" t="s">
        <v>2</v>
      </c>
    </row>
    <row r="15398" spans="1:9" x14ac:dyDescent="0.25">
      <c r="A15398" s="515">
        <v>11749</v>
      </c>
      <c r="B15398" s="515" t="s">
        <v>324</v>
      </c>
      <c r="C15398" s="52">
        <v>473572.38739157701</v>
      </c>
      <c r="D15398" s="56">
        <v>1.618114359994885E-2</v>
      </c>
      <c r="E15398" s="224" t="s">
        <v>2</v>
      </c>
      <c r="F15398" s="515" t="s">
        <v>16576</v>
      </c>
      <c r="G15398" s="52">
        <v>108358.086763919</v>
      </c>
      <c r="H15398" s="56">
        <v>0.15142708955478643</v>
      </c>
      <c r="I15398" s="224" t="s">
        <v>2</v>
      </c>
    </row>
    <row r="15399" spans="1:9" x14ac:dyDescent="0.25">
      <c r="A15399" s="515">
        <v>98557</v>
      </c>
      <c r="B15399" s="515" t="s">
        <v>683</v>
      </c>
      <c r="C15399" s="52">
        <v>352927.595711909</v>
      </c>
      <c r="D15399" s="56">
        <v>2.0154517889345639E-4</v>
      </c>
      <c r="E15399" s="224" t="s">
        <v>2</v>
      </c>
      <c r="F15399" s="515" t="s">
        <v>16577</v>
      </c>
      <c r="G15399" s="52">
        <v>142939.78102392401</v>
      </c>
      <c r="H15399" s="56">
        <v>0.10216414271306172</v>
      </c>
      <c r="I15399" s="224" t="s">
        <v>2</v>
      </c>
    </row>
    <row r="15400" spans="1:9" x14ac:dyDescent="0.25">
      <c r="A15400" s="515">
        <v>39335</v>
      </c>
      <c r="B15400" s="515" t="s">
        <v>970</v>
      </c>
      <c r="C15400" s="52">
        <v>148116.73069160699</v>
      </c>
      <c r="D15400" s="56">
        <v>5.7035506570114476E-2</v>
      </c>
      <c r="E15400" s="224" t="s">
        <v>2</v>
      </c>
      <c r="F15400" s="515" t="s">
        <v>16578</v>
      </c>
      <c r="G15400" s="52">
        <v>348962.920917793</v>
      </c>
      <c r="H15400" s="56">
        <v>8.3824627141063757E-2</v>
      </c>
      <c r="I15400" s="224" t="s">
        <v>2</v>
      </c>
    </row>
    <row r="15401" spans="1:9" x14ac:dyDescent="0.25">
      <c r="A15401" s="515">
        <v>48857</v>
      </c>
      <c r="B15401" s="515" t="s">
        <v>528</v>
      </c>
      <c r="C15401" s="52">
        <v>182814.71367475099</v>
      </c>
      <c r="D15401" s="56">
        <v>-8.0981894850651864E-3</v>
      </c>
      <c r="E15401" s="224" t="s">
        <v>2</v>
      </c>
      <c r="F15401" s="515" t="s">
        <v>16579</v>
      </c>
      <c r="G15401" s="52">
        <v>99785.973031515095</v>
      </c>
      <c r="H15401" s="56">
        <v>3.5593549549664441E-2</v>
      </c>
      <c r="I15401" s="224" t="s">
        <v>2</v>
      </c>
    </row>
    <row r="15402" spans="1:9" x14ac:dyDescent="0.25">
      <c r="A15402" s="515">
        <v>78575</v>
      </c>
      <c r="B15402" s="515" t="s">
        <v>444</v>
      </c>
      <c r="C15402" s="52">
        <v>221608.302399337</v>
      </c>
      <c r="D15402" s="56">
        <v>6.8824156850231022E-2</v>
      </c>
      <c r="E15402" s="224" t="s">
        <v>2</v>
      </c>
      <c r="F15402" s="515" t="s">
        <v>16580</v>
      </c>
      <c r="G15402" s="52">
        <v>175584.73646422601</v>
      </c>
      <c r="H15402" s="56">
        <v>0.10753567379623823</v>
      </c>
      <c r="I15402" s="224" t="s">
        <v>2</v>
      </c>
    </row>
    <row r="15403" spans="1:9" x14ac:dyDescent="0.25">
      <c r="A15403" s="515">
        <v>35765</v>
      </c>
      <c r="B15403" s="515" t="s">
        <v>748</v>
      </c>
      <c r="C15403" s="52">
        <v>158965.155049102</v>
      </c>
      <c r="D15403" s="56">
        <v>0.15333603983742181</v>
      </c>
      <c r="E15403" s="224" t="s">
        <v>2</v>
      </c>
      <c r="F15403" s="515" t="s">
        <v>16581</v>
      </c>
      <c r="G15403" s="52">
        <v>100790.936719547</v>
      </c>
      <c r="H15403" s="56">
        <v>-1.2707451012989455E-2</v>
      </c>
      <c r="I15403" s="224" t="s">
        <v>2</v>
      </c>
    </row>
    <row r="15404" spans="1:9" x14ac:dyDescent="0.25">
      <c r="A15404" s="515">
        <v>76823</v>
      </c>
      <c r="B15404" s="515" t="s">
        <v>947</v>
      </c>
      <c r="C15404" s="52">
        <v>144754.741569657</v>
      </c>
      <c r="D15404" s="56">
        <v>7.1151557749679198E-2</v>
      </c>
      <c r="E15404" s="224" t="s">
        <v>2</v>
      </c>
      <c r="F15404" s="515" t="s">
        <v>16582</v>
      </c>
      <c r="G15404" s="52">
        <v>324580.972315736</v>
      </c>
      <c r="H15404" s="56">
        <v>7.1467477208488825E-2</v>
      </c>
      <c r="I15404" s="224" t="s">
        <v>2</v>
      </c>
    </row>
    <row r="15405" spans="1:9" x14ac:dyDescent="0.25">
      <c r="A15405" s="515">
        <v>27806</v>
      </c>
      <c r="B15405" s="515" t="s">
        <v>768</v>
      </c>
      <c r="C15405" s="52">
        <v>129763.285987392</v>
      </c>
      <c r="D15405" s="56">
        <v>0.24518640409009948</v>
      </c>
      <c r="E15405" s="224" t="s">
        <v>2</v>
      </c>
      <c r="F15405" s="515" t="s">
        <v>16583</v>
      </c>
      <c r="G15405" s="52">
        <v>162483.88114691799</v>
      </c>
      <c r="H15405" s="56">
        <v>5.2608111973087922E-2</v>
      </c>
      <c r="I15405" s="224" t="s">
        <v>2</v>
      </c>
    </row>
    <row r="15406" spans="1:9" x14ac:dyDescent="0.25">
      <c r="A15406" s="515">
        <v>30571</v>
      </c>
      <c r="C15406" s="52">
        <v>321768.51053538203</v>
      </c>
      <c r="D15406" s="56">
        <v>0.10694066174667943</v>
      </c>
      <c r="E15406" s="224" t="s">
        <v>2</v>
      </c>
      <c r="F15406" s="515" t="s">
        <v>16584</v>
      </c>
      <c r="G15406" s="52">
        <v>339719.78034630901</v>
      </c>
      <c r="H15406" s="56">
        <v>3.5402381246949839E-2</v>
      </c>
      <c r="I15406" s="224" t="s">
        <v>2</v>
      </c>
    </row>
    <row r="15407" spans="1:9" x14ac:dyDescent="0.25">
      <c r="A15407" s="515">
        <v>76648</v>
      </c>
      <c r="C15407" s="52">
        <v>152090.06405462301</v>
      </c>
      <c r="D15407" s="56">
        <v>5.4794686675065707E-2</v>
      </c>
      <c r="E15407" s="224" t="s">
        <v>2</v>
      </c>
      <c r="F15407" s="515" t="s">
        <v>16585</v>
      </c>
      <c r="G15407" s="52">
        <v>151273.827089709</v>
      </c>
      <c r="H15407" s="56">
        <v>0.17993046478494576</v>
      </c>
      <c r="I15407" s="224" t="s">
        <v>2</v>
      </c>
    </row>
    <row r="15408" spans="1:9" x14ac:dyDescent="0.25">
      <c r="A15408" s="515">
        <v>47115</v>
      </c>
      <c r="B15408" s="515" t="s">
        <v>479</v>
      </c>
      <c r="C15408" s="52">
        <v>186679.614182082</v>
      </c>
      <c r="D15408" s="56">
        <v>4.5733509501887613E-2</v>
      </c>
      <c r="E15408" s="224" t="s">
        <v>2</v>
      </c>
      <c r="F15408" s="515" t="s">
        <v>16586</v>
      </c>
      <c r="G15408" s="52">
        <v>517167.23745788902</v>
      </c>
      <c r="H15408" s="56">
        <v>0.1200802053840441</v>
      </c>
      <c r="I15408" s="224" t="s">
        <v>2</v>
      </c>
    </row>
    <row r="15409" spans="1:9" x14ac:dyDescent="0.25">
      <c r="A15409" s="515">
        <v>72167</v>
      </c>
      <c r="B15409" s="515" t="s">
        <v>393</v>
      </c>
      <c r="C15409" s="52">
        <v>147008.57484944799</v>
      </c>
      <c r="D15409" s="56">
        <v>3.4984525987205854E-2</v>
      </c>
      <c r="E15409" s="224" t="s">
        <v>2</v>
      </c>
      <c r="F15409" s="515" t="s">
        <v>16587</v>
      </c>
      <c r="G15409" s="52">
        <v>372623.62509886501</v>
      </c>
      <c r="H15409" s="56">
        <v>0.13114419572877173</v>
      </c>
      <c r="I15409" s="224" t="s">
        <v>2</v>
      </c>
    </row>
    <row r="15410" spans="1:9" x14ac:dyDescent="0.25">
      <c r="A15410" s="515">
        <v>2464</v>
      </c>
      <c r="B15410" s="515" t="s">
        <v>534</v>
      </c>
      <c r="C15410" s="52">
        <v>814809.69593901199</v>
      </c>
      <c r="D15410" s="56">
        <v>1.4702770232709909E-2</v>
      </c>
      <c r="E15410" s="224" t="s">
        <v>2</v>
      </c>
      <c r="F15410" s="515" t="s">
        <v>16588</v>
      </c>
      <c r="G15410" s="52">
        <v>213578.05716815501</v>
      </c>
      <c r="H15410" s="56">
        <v>4.1946219664961253E-2</v>
      </c>
      <c r="I15410" s="224" t="s">
        <v>2</v>
      </c>
    </row>
    <row r="15411" spans="1:9" x14ac:dyDescent="0.25">
      <c r="A15411" s="515">
        <v>27562</v>
      </c>
      <c r="B15411" s="515" t="s">
        <v>484</v>
      </c>
      <c r="C15411" s="52">
        <v>604832.16398990201</v>
      </c>
      <c r="D15411" s="56">
        <v>8.9241849886655636E-2</v>
      </c>
      <c r="E15411" s="224" t="s">
        <v>2</v>
      </c>
      <c r="F15411" s="515" t="s">
        <v>16589</v>
      </c>
      <c r="G15411" s="52">
        <v>110902.05138804</v>
      </c>
      <c r="H15411" s="56">
        <v>2.8117261821482695E-2</v>
      </c>
      <c r="I15411" s="224" t="s">
        <v>2</v>
      </c>
    </row>
    <row r="15412" spans="1:9" x14ac:dyDescent="0.25">
      <c r="A15412" s="515">
        <v>28512</v>
      </c>
      <c r="B15412" s="515" t="s">
        <v>641</v>
      </c>
      <c r="C15412" s="52">
        <v>538877.28542577999</v>
      </c>
      <c r="D15412" s="56">
        <v>0.11619886865943602</v>
      </c>
      <c r="E15412" s="224" t="s">
        <v>2</v>
      </c>
      <c r="F15412" s="515" t="s">
        <v>16590</v>
      </c>
      <c r="G15412" s="52">
        <v>306490.46453564498</v>
      </c>
      <c r="H15412" s="56">
        <v>0.22321821119068819</v>
      </c>
      <c r="I15412" s="224" t="s">
        <v>2</v>
      </c>
    </row>
    <row r="15413" spans="1:9" x14ac:dyDescent="0.25">
      <c r="A15413" s="515">
        <v>61085</v>
      </c>
      <c r="C15413" s="52">
        <v>110942.706004903</v>
      </c>
      <c r="D15413" s="56">
        <v>4.0531633098212512E-2</v>
      </c>
      <c r="E15413" s="224" t="s">
        <v>2</v>
      </c>
      <c r="F15413" s="515" t="s">
        <v>16591</v>
      </c>
      <c r="G15413" s="52">
        <v>430646.82640832098</v>
      </c>
      <c r="H15413" s="56">
        <v>5.0899698006397577E-2</v>
      </c>
      <c r="I15413" s="224" t="s">
        <v>2</v>
      </c>
    </row>
    <row r="15414" spans="1:9" x14ac:dyDescent="0.25">
      <c r="A15414" s="515">
        <v>52328</v>
      </c>
      <c r="B15414" s="515" t="s">
        <v>404</v>
      </c>
      <c r="C15414" s="52">
        <v>373534.79266449698</v>
      </c>
      <c r="D15414" s="56">
        <v>5.4272816408610924E-2</v>
      </c>
      <c r="E15414" s="224" t="s">
        <v>2</v>
      </c>
      <c r="F15414" s="515" t="s">
        <v>16592</v>
      </c>
      <c r="G15414" s="52">
        <v>556929.97682088299</v>
      </c>
      <c r="H15414" s="56">
        <v>0.11810357900426116</v>
      </c>
      <c r="I15414" s="224" t="s">
        <v>2</v>
      </c>
    </row>
    <row r="15415" spans="1:9" x14ac:dyDescent="0.25">
      <c r="A15415" s="515">
        <v>5068</v>
      </c>
      <c r="B15415" s="515" t="s">
        <v>420</v>
      </c>
      <c r="C15415" s="52">
        <v>326187.34701619903</v>
      </c>
      <c r="D15415" s="56">
        <v>0.11495934942382868</v>
      </c>
      <c r="E15415" s="224" t="s">
        <v>2</v>
      </c>
      <c r="F15415" s="515" t="s">
        <v>16593</v>
      </c>
      <c r="G15415" s="52">
        <v>445311.22404323402</v>
      </c>
      <c r="H15415" s="56">
        <v>0.11036239681242908</v>
      </c>
      <c r="I15415" s="224" t="s">
        <v>2</v>
      </c>
    </row>
    <row r="15416" spans="1:9" x14ac:dyDescent="0.25">
      <c r="A15416" s="515">
        <v>31076</v>
      </c>
      <c r="C15416" s="52">
        <v>104883.985572374</v>
      </c>
      <c r="D15416" s="56">
        <v>-2.3612679636062055E-3</v>
      </c>
      <c r="E15416" s="224" t="s">
        <v>2</v>
      </c>
      <c r="F15416" s="515" t="s">
        <v>16594</v>
      </c>
      <c r="G15416" s="52">
        <v>152334.95652103599</v>
      </c>
      <c r="H15416" s="56">
        <v>0.29541536635247123</v>
      </c>
      <c r="I15416" s="224" t="s">
        <v>2</v>
      </c>
    </row>
    <row r="15417" spans="1:9" x14ac:dyDescent="0.25">
      <c r="A15417" s="515">
        <v>10958</v>
      </c>
      <c r="B15417" s="515" t="s">
        <v>529</v>
      </c>
      <c r="C15417" s="52">
        <v>406812.45320051297</v>
      </c>
      <c r="D15417" s="56">
        <v>8.6860438889050429E-2</v>
      </c>
      <c r="E15417" s="224" t="s">
        <v>2</v>
      </c>
      <c r="F15417" s="515" t="s">
        <v>16595</v>
      </c>
      <c r="G15417" s="52">
        <v>331184.87645792897</v>
      </c>
      <c r="H15417" s="56">
        <v>2.699389547162637E-2</v>
      </c>
      <c r="I15417" s="224" t="s">
        <v>2</v>
      </c>
    </row>
    <row r="15418" spans="1:9" x14ac:dyDescent="0.25">
      <c r="A15418" s="515">
        <v>31555</v>
      </c>
      <c r="B15418" s="515" t="s">
        <v>1137</v>
      </c>
      <c r="C15418" s="52">
        <v>196956.068638645</v>
      </c>
      <c r="D15418" s="56">
        <v>-1.2234981962420708E-2</v>
      </c>
      <c r="E15418" s="224" t="s">
        <v>2</v>
      </c>
      <c r="F15418" s="515" t="s">
        <v>16596</v>
      </c>
      <c r="G15418" s="52">
        <v>155683.55555555501</v>
      </c>
      <c r="H15418" s="56">
        <v>0</v>
      </c>
      <c r="I15418" s="224" t="s">
        <v>2</v>
      </c>
    </row>
    <row r="15419" spans="1:9" x14ac:dyDescent="0.25">
      <c r="A15419" s="515">
        <v>31328</v>
      </c>
      <c r="B15419" s="515" t="s">
        <v>351</v>
      </c>
      <c r="C15419" s="52">
        <v>583463.71185040497</v>
      </c>
      <c r="D15419" s="56">
        <v>0.11865529499315243</v>
      </c>
      <c r="E15419" s="224" t="s">
        <v>2</v>
      </c>
      <c r="F15419" s="515" t="s">
        <v>16597</v>
      </c>
      <c r="G15419" s="52">
        <v>214061.39631336401</v>
      </c>
      <c r="H15419" s="56">
        <v>0</v>
      </c>
      <c r="I15419" s="224" t="s">
        <v>2</v>
      </c>
    </row>
    <row r="15420" spans="1:9" x14ac:dyDescent="0.25">
      <c r="A15420" s="515">
        <v>38610</v>
      </c>
      <c r="C15420" s="52">
        <v>113227.784022058</v>
      </c>
      <c r="D15420" s="56">
        <v>3.6180676817992002E-2</v>
      </c>
      <c r="E15420" s="224" t="s">
        <v>2</v>
      </c>
      <c r="F15420" s="515" t="s">
        <v>16598</v>
      </c>
      <c r="G15420" s="52">
        <v>983027.58339777705</v>
      </c>
      <c r="H15420" s="56">
        <v>0</v>
      </c>
      <c r="I15420" s="224" t="s">
        <v>2</v>
      </c>
    </row>
    <row r="15421" spans="1:9" x14ac:dyDescent="0.25">
      <c r="A15421" s="515">
        <v>26060</v>
      </c>
      <c r="B15421" s="515" t="s">
        <v>442</v>
      </c>
      <c r="C15421" s="52">
        <v>146865.16660587801</v>
      </c>
      <c r="D15421" s="56">
        <v>6.2929089960833226E-2</v>
      </c>
      <c r="E15421" s="224" t="s">
        <v>2</v>
      </c>
      <c r="F15421" s="515" t="s">
        <v>16599</v>
      </c>
      <c r="G15421" s="52">
        <v>160657.386762437</v>
      </c>
      <c r="H15421" s="56">
        <v>8.2340170488826067E-2</v>
      </c>
      <c r="I15421" s="224" t="s">
        <v>2</v>
      </c>
    </row>
    <row r="15422" spans="1:9" x14ac:dyDescent="0.25">
      <c r="A15422" s="515">
        <v>54005</v>
      </c>
      <c r="C15422" s="52">
        <v>246993.70689227901</v>
      </c>
      <c r="D15422" s="56">
        <v>6.6767169776674434E-2</v>
      </c>
      <c r="E15422" s="224" t="s">
        <v>2</v>
      </c>
      <c r="F15422" s="515" t="s">
        <v>16600</v>
      </c>
      <c r="G15422" s="52">
        <v>133117.06070710401</v>
      </c>
      <c r="H15422" s="56">
        <v>-5.5245904665559963E-3</v>
      </c>
      <c r="I15422" s="224" t="s">
        <v>2</v>
      </c>
    </row>
    <row r="15423" spans="1:9" x14ac:dyDescent="0.25">
      <c r="A15423" s="515">
        <v>82937</v>
      </c>
      <c r="B15423" s="515" t="s">
        <v>887</v>
      </c>
      <c r="C15423" s="52">
        <v>269086.29992698698</v>
      </c>
      <c r="D15423" s="56">
        <v>9.9818033548248156E-2</v>
      </c>
      <c r="E15423" s="224" t="s">
        <v>2</v>
      </c>
      <c r="F15423" s="515" t="s">
        <v>16601</v>
      </c>
      <c r="G15423" s="52">
        <v>156711.68919447999</v>
      </c>
      <c r="H15423" s="56">
        <v>6.4701176857238904E-2</v>
      </c>
      <c r="I15423" s="224" t="s">
        <v>2</v>
      </c>
    </row>
    <row r="15424" spans="1:9" x14ac:dyDescent="0.25">
      <c r="A15424" s="515">
        <v>63101</v>
      </c>
      <c r="B15424" s="515" t="s">
        <v>498</v>
      </c>
      <c r="C15424" s="52">
        <v>206966.045912859</v>
      </c>
      <c r="D15424" s="56">
        <v>7.6083247935151482E-3</v>
      </c>
      <c r="E15424" s="224">
        <v>1064.5297619047601</v>
      </c>
      <c r="F15424" s="515" t="s">
        <v>16602</v>
      </c>
      <c r="G15424" s="52">
        <v>180406.733790806</v>
      </c>
      <c r="H15424" s="56">
        <v>2.3076587325974448E-2</v>
      </c>
      <c r="I15424" s="224" t="s">
        <v>2</v>
      </c>
    </row>
    <row r="15425" spans="1:9" x14ac:dyDescent="0.25">
      <c r="A15425" s="515">
        <v>76233</v>
      </c>
      <c r="B15425" s="515" t="s">
        <v>770</v>
      </c>
      <c r="C15425" s="52">
        <v>316198.84190254798</v>
      </c>
      <c r="D15425" s="56">
        <v>8.7689094081434424E-2</v>
      </c>
      <c r="E15425" s="224" t="s">
        <v>2</v>
      </c>
      <c r="F15425" s="515" t="s">
        <v>16603</v>
      </c>
      <c r="G15425" s="52">
        <v>96589.799655184004</v>
      </c>
      <c r="H15425" s="56">
        <v>0</v>
      </c>
      <c r="I15425" s="224" t="s">
        <v>2</v>
      </c>
    </row>
    <row r="15426" spans="1:9" x14ac:dyDescent="0.25">
      <c r="A15426" s="515">
        <v>36850</v>
      </c>
      <c r="B15426" s="515" t="s">
        <v>862</v>
      </c>
      <c r="C15426" s="52">
        <v>88989.296404611407</v>
      </c>
      <c r="D15426" s="56">
        <v>1.9142758883895154E-2</v>
      </c>
      <c r="E15426" s="224" t="s">
        <v>2</v>
      </c>
      <c r="F15426" s="515" t="s">
        <v>16604</v>
      </c>
      <c r="G15426" s="52">
        <v>387333.213101245</v>
      </c>
      <c r="H15426" s="56">
        <v>1.346135127222341E-3</v>
      </c>
      <c r="I15426" s="224" t="s">
        <v>2</v>
      </c>
    </row>
    <row r="15427" spans="1:9" x14ac:dyDescent="0.25">
      <c r="A15427" s="515">
        <v>37134</v>
      </c>
      <c r="C15427" s="52">
        <v>183144.62960917599</v>
      </c>
      <c r="D15427" s="56">
        <v>0.11215206909630979</v>
      </c>
      <c r="E15427" s="224" t="s">
        <v>2</v>
      </c>
      <c r="F15427" s="515" t="s">
        <v>16605</v>
      </c>
      <c r="G15427" s="52">
        <v>188945.17896948301</v>
      </c>
      <c r="H15427" s="56">
        <v>0</v>
      </c>
      <c r="I15427" s="224" t="s">
        <v>2</v>
      </c>
    </row>
    <row r="15428" spans="1:9" x14ac:dyDescent="0.25">
      <c r="A15428" s="515">
        <v>29125</v>
      </c>
      <c r="B15428" s="515" t="s">
        <v>1065</v>
      </c>
      <c r="C15428" s="52">
        <v>90728.559009055403</v>
      </c>
      <c r="D15428" s="56">
        <v>2.4757459442953565E-2</v>
      </c>
      <c r="E15428" s="224" t="s">
        <v>2</v>
      </c>
      <c r="F15428" s="515" t="s">
        <v>16606</v>
      </c>
      <c r="G15428" s="52">
        <v>196643.35802312399</v>
      </c>
      <c r="H15428" s="56">
        <v>6.5541550481101277E-3</v>
      </c>
      <c r="I15428" s="224" t="s">
        <v>2</v>
      </c>
    </row>
    <row r="15429" spans="1:9" x14ac:dyDescent="0.25">
      <c r="A15429" s="515">
        <v>47523</v>
      </c>
      <c r="C15429" s="52">
        <v>168350.17241046901</v>
      </c>
      <c r="D15429" s="56">
        <v>7.3048468605687977E-2</v>
      </c>
      <c r="E15429" s="224" t="s">
        <v>2</v>
      </c>
      <c r="F15429" s="515" t="s">
        <v>16607</v>
      </c>
      <c r="G15429" s="52">
        <v>216874.61414061399</v>
      </c>
      <c r="H15429" s="56">
        <v>0.14365580622658614</v>
      </c>
      <c r="I15429" s="224" t="s">
        <v>2</v>
      </c>
    </row>
    <row r="15430" spans="1:9" x14ac:dyDescent="0.25">
      <c r="A15430" s="515">
        <v>56466</v>
      </c>
      <c r="B15430" s="515" t="s">
        <v>674</v>
      </c>
      <c r="C15430" s="52">
        <v>228776.089239831</v>
      </c>
      <c r="D15430" s="56">
        <v>0.11510042849700422</v>
      </c>
      <c r="E15430" s="224" t="s">
        <v>2</v>
      </c>
      <c r="F15430" s="515" t="s">
        <v>16608</v>
      </c>
      <c r="G15430" s="52">
        <v>205862.637095299</v>
      </c>
      <c r="H15430" s="56">
        <v>4.4982344913531182E-2</v>
      </c>
      <c r="I15430" s="224" t="s">
        <v>2</v>
      </c>
    </row>
    <row r="15431" spans="1:9" x14ac:dyDescent="0.25">
      <c r="A15431" s="515">
        <v>93066</v>
      </c>
      <c r="B15431" s="515" t="s">
        <v>1021</v>
      </c>
      <c r="C15431" s="52">
        <v>1310758.01323102</v>
      </c>
      <c r="D15431" s="56">
        <v>2.2306420776832599E-2</v>
      </c>
      <c r="E15431" s="224" t="s">
        <v>2</v>
      </c>
      <c r="F15431" s="515" t="s">
        <v>16609</v>
      </c>
      <c r="G15431" s="52">
        <v>419021.35668006301</v>
      </c>
      <c r="H15431" s="56">
        <v>0.14063658910150717</v>
      </c>
      <c r="I15431" s="224" t="s">
        <v>2</v>
      </c>
    </row>
    <row r="15432" spans="1:9" x14ac:dyDescent="0.25">
      <c r="A15432" s="515">
        <v>72348</v>
      </c>
      <c r="B15432" s="515" t="s">
        <v>546</v>
      </c>
      <c r="C15432" s="52">
        <v>128477.960357182</v>
      </c>
      <c r="D15432" s="56">
        <v>1.8217577539666255E-2</v>
      </c>
      <c r="E15432" s="224" t="s">
        <v>2</v>
      </c>
      <c r="F15432" s="515" t="s">
        <v>16610</v>
      </c>
      <c r="G15432" s="52">
        <v>184739.788984135</v>
      </c>
      <c r="H15432" s="56">
        <v>0.14527595883347993</v>
      </c>
      <c r="I15432" s="224" t="s">
        <v>2</v>
      </c>
    </row>
    <row r="15433" spans="1:9" x14ac:dyDescent="0.25">
      <c r="A15433" s="515">
        <v>2639</v>
      </c>
      <c r="B15433" s="515" t="s">
        <v>427</v>
      </c>
      <c r="C15433" s="52">
        <v>478099.63448463799</v>
      </c>
      <c r="D15433" s="56">
        <v>0.13404155841219087</v>
      </c>
      <c r="E15433" s="224" t="s">
        <v>2</v>
      </c>
      <c r="F15433" s="515" t="s">
        <v>16611</v>
      </c>
      <c r="G15433" s="52">
        <v>117419.704099867</v>
      </c>
      <c r="H15433" s="56">
        <v>1.8490816704631301E-2</v>
      </c>
      <c r="I15433" s="224" t="s">
        <v>2</v>
      </c>
    </row>
    <row r="15434" spans="1:9" x14ac:dyDescent="0.25">
      <c r="A15434" s="515">
        <v>16641</v>
      </c>
      <c r="B15434" s="515" t="s">
        <v>828</v>
      </c>
      <c r="C15434" s="52">
        <v>85868.178542634807</v>
      </c>
      <c r="D15434" s="56">
        <v>-6.0476050179661532E-2</v>
      </c>
      <c r="E15434" s="224" t="s">
        <v>2</v>
      </c>
      <c r="F15434" s="515" t="s">
        <v>16612</v>
      </c>
      <c r="G15434" s="52">
        <v>99495.966666666602</v>
      </c>
      <c r="H15434" s="56">
        <v>0</v>
      </c>
      <c r="I15434" s="224" t="s">
        <v>2</v>
      </c>
    </row>
    <row r="15435" spans="1:9" x14ac:dyDescent="0.25">
      <c r="A15435" s="515">
        <v>18237</v>
      </c>
      <c r="B15435" s="515" t="s">
        <v>994</v>
      </c>
      <c r="C15435" s="52">
        <v>113924.487629101</v>
      </c>
      <c r="D15435" s="56">
        <v>0.1237236704525015</v>
      </c>
      <c r="E15435" s="224" t="s">
        <v>2</v>
      </c>
      <c r="F15435" s="515" t="s">
        <v>16613</v>
      </c>
      <c r="G15435" s="52">
        <v>296373.43944148498</v>
      </c>
      <c r="H15435" s="56">
        <v>1.3855542148726856E-2</v>
      </c>
      <c r="I15435" s="224" t="s">
        <v>2</v>
      </c>
    </row>
    <row r="15436" spans="1:9" x14ac:dyDescent="0.25">
      <c r="A15436" s="515">
        <v>30828</v>
      </c>
      <c r="C15436" s="52">
        <v>83765.505075582099</v>
      </c>
      <c r="D15436" s="56">
        <v>8.2802420398695967E-2</v>
      </c>
      <c r="E15436" s="224" t="s">
        <v>2</v>
      </c>
      <c r="F15436" s="515" t="s">
        <v>16614</v>
      </c>
      <c r="G15436" s="52">
        <v>92669.359990104203</v>
      </c>
      <c r="H15436" s="56">
        <v>-5.7825159571713719E-3</v>
      </c>
      <c r="I15436" s="224" t="s">
        <v>2</v>
      </c>
    </row>
    <row r="15437" spans="1:9" x14ac:dyDescent="0.25">
      <c r="A15437" s="515">
        <v>62285</v>
      </c>
      <c r="B15437" s="515" t="s">
        <v>498</v>
      </c>
      <c r="C15437" s="52">
        <v>251092.09755589301</v>
      </c>
      <c r="D15437" s="56">
        <v>9.3055465267533527E-2</v>
      </c>
      <c r="E15437" s="224" t="s">
        <v>2</v>
      </c>
      <c r="F15437" s="515" t="s">
        <v>16615</v>
      </c>
      <c r="G15437" s="52">
        <v>351490.92965863802</v>
      </c>
      <c r="H15437" s="56">
        <v>3.3898034332941369E-2</v>
      </c>
      <c r="I15437" s="224" t="s">
        <v>2</v>
      </c>
    </row>
    <row r="15438" spans="1:9" x14ac:dyDescent="0.25">
      <c r="A15438" s="515">
        <v>4742</v>
      </c>
      <c r="C15438" s="52">
        <v>140656.61667342499</v>
      </c>
      <c r="D15438" s="56">
        <v>-4.6000906589350034E-4</v>
      </c>
      <c r="E15438" s="224" t="s">
        <v>2</v>
      </c>
      <c r="F15438" s="515" t="s">
        <v>16616</v>
      </c>
      <c r="G15438" s="52">
        <v>71759.625726211802</v>
      </c>
      <c r="H15438" s="56">
        <v>0.22034119870855851</v>
      </c>
      <c r="I15438" s="224" t="s">
        <v>2</v>
      </c>
    </row>
    <row r="15439" spans="1:9" x14ac:dyDescent="0.25">
      <c r="A15439" s="515">
        <v>1518</v>
      </c>
      <c r="B15439" s="515" t="s">
        <v>751</v>
      </c>
      <c r="C15439" s="52">
        <v>434427.98558635102</v>
      </c>
      <c r="D15439" s="56">
        <v>7.601417931243995E-2</v>
      </c>
      <c r="E15439" s="224" t="s">
        <v>2</v>
      </c>
      <c r="F15439" s="515" t="s">
        <v>16617</v>
      </c>
      <c r="G15439" s="52">
        <v>175239.73972306299</v>
      </c>
      <c r="H15439" s="56">
        <v>5.0828491552060862E-3</v>
      </c>
      <c r="I15439" s="224" t="s">
        <v>2</v>
      </c>
    </row>
    <row r="15440" spans="1:9" x14ac:dyDescent="0.25">
      <c r="A15440" s="515">
        <v>54757</v>
      </c>
      <c r="B15440" s="515" t="s">
        <v>1028</v>
      </c>
      <c r="C15440" s="52">
        <v>278182.33658148401</v>
      </c>
      <c r="D15440" s="56">
        <v>9.1526547165512534E-2</v>
      </c>
      <c r="E15440" s="224" t="s">
        <v>2</v>
      </c>
      <c r="F15440" s="515" t="s">
        <v>16618</v>
      </c>
      <c r="G15440" s="52">
        <v>136666.796602413</v>
      </c>
      <c r="H15440" s="56">
        <v>0.25581304380586811</v>
      </c>
      <c r="I15440" s="224" t="s">
        <v>2</v>
      </c>
    </row>
    <row r="15441" spans="1:9" x14ac:dyDescent="0.25">
      <c r="A15441" s="515">
        <v>62952</v>
      </c>
      <c r="C15441" s="52">
        <v>90726.822803267598</v>
      </c>
      <c r="D15441" s="56">
        <v>0.1392515698214698</v>
      </c>
      <c r="E15441" s="224" t="s">
        <v>2</v>
      </c>
      <c r="F15441" s="515" t="s">
        <v>16619</v>
      </c>
      <c r="G15441" s="52">
        <v>81300.202225841</v>
      </c>
      <c r="H15441" s="56">
        <v>0.25403078607410995</v>
      </c>
      <c r="I15441" s="224" t="s">
        <v>2</v>
      </c>
    </row>
    <row r="15442" spans="1:9" x14ac:dyDescent="0.25">
      <c r="A15442" s="515">
        <v>47022</v>
      </c>
      <c r="B15442" s="515" t="s">
        <v>344</v>
      </c>
      <c r="C15442" s="52">
        <v>334837.71655647497</v>
      </c>
      <c r="D15442" s="56">
        <v>7.5795966012255162E-2</v>
      </c>
      <c r="E15442" s="224" t="s">
        <v>2</v>
      </c>
      <c r="F15442" s="515" t="s">
        <v>16620</v>
      </c>
      <c r="G15442" s="52">
        <v>130607.05903097001</v>
      </c>
      <c r="H15442" s="56">
        <v>0.11124544489592979</v>
      </c>
      <c r="I15442" s="224" t="s">
        <v>2</v>
      </c>
    </row>
    <row r="15443" spans="1:9" x14ac:dyDescent="0.25">
      <c r="A15443" s="515">
        <v>47229</v>
      </c>
      <c r="B15443" s="515" t="s">
        <v>1016</v>
      </c>
      <c r="C15443" s="52">
        <v>160904.573757868</v>
      </c>
      <c r="D15443" s="56">
        <v>5.5483161523541699E-2</v>
      </c>
      <c r="E15443" s="224" t="s">
        <v>2</v>
      </c>
      <c r="F15443" s="515" t="s">
        <v>16621</v>
      </c>
      <c r="G15443" s="52">
        <v>221565.70255050901</v>
      </c>
      <c r="H15443" s="56">
        <v>3.410958786762653E-2</v>
      </c>
      <c r="I15443" s="224" t="s">
        <v>2</v>
      </c>
    </row>
    <row r="15444" spans="1:9" x14ac:dyDescent="0.25">
      <c r="A15444" s="515">
        <v>40347</v>
      </c>
      <c r="B15444" s="515" t="s">
        <v>515</v>
      </c>
      <c r="C15444" s="52">
        <v>270448.97478264698</v>
      </c>
      <c r="D15444" s="56">
        <v>5.498294178795024E-2</v>
      </c>
      <c r="E15444" s="224" t="s">
        <v>2</v>
      </c>
      <c r="F15444" s="515" t="s">
        <v>16622</v>
      </c>
      <c r="G15444" s="52">
        <v>255959.49700889201</v>
      </c>
      <c r="H15444" s="56">
        <v>0</v>
      </c>
      <c r="I15444" s="224" t="s">
        <v>2</v>
      </c>
    </row>
    <row r="15445" spans="1:9" x14ac:dyDescent="0.25">
      <c r="A15445" s="515">
        <v>76640</v>
      </c>
      <c r="B15445" s="515" t="s">
        <v>1057</v>
      </c>
      <c r="C15445" s="52">
        <v>235362.04514756001</v>
      </c>
      <c r="D15445" s="56">
        <v>0.13379799251101984</v>
      </c>
      <c r="E15445" s="224" t="s">
        <v>2</v>
      </c>
      <c r="F15445" s="515" t="s">
        <v>16623</v>
      </c>
      <c r="G15445" s="52">
        <v>312851.20145060599</v>
      </c>
      <c r="H15445" s="56">
        <v>1.0533074306200044E-2</v>
      </c>
      <c r="I15445" s="224" t="s">
        <v>2</v>
      </c>
    </row>
    <row r="15446" spans="1:9" x14ac:dyDescent="0.25">
      <c r="A15446" s="515">
        <v>10974</v>
      </c>
      <c r="B15446" s="515" t="s">
        <v>324</v>
      </c>
      <c r="C15446" s="52">
        <v>451833.33222816599</v>
      </c>
      <c r="D15446" s="56">
        <v>7.8542570299093437E-2</v>
      </c>
      <c r="E15446" s="224" t="s">
        <v>2</v>
      </c>
      <c r="F15446" s="515" t="s">
        <v>16624</v>
      </c>
      <c r="G15446" s="52">
        <v>209297.02578481601</v>
      </c>
      <c r="H15446" s="56">
        <v>0.10399378787696602</v>
      </c>
      <c r="I15446" s="224" t="s">
        <v>2</v>
      </c>
    </row>
    <row r="15447" spans="1:9" x14ac:dyDescent="0.25">
      <c r="A15447" s="515">
        <v>81428</v>
      </c>
      <c r="C15447" s="52">
        <v>401775.58248595102</v>
      </c>
      <c r="D15447" s="56">
        <v>7.5467664576444063E-2</v>
      </c>
      <c r="E15447" s="224" t="s">
        <v>2</v>
      </c>
      <c r="F15447" s="515" t="s">
        <v>16625</v>
      </c>
      <c r="G15447" s="52">
        <v>334000.41783222702</v>
      </c>
      <c r="H15447" s="56">
        <v>7.0179551077664409E-2</v>
      </c>
      <c r="I15447" s="224" t="s">
        <v>2</v>
      </c>
    </row>
    <row r="15448" spans="1:9" x14ac:dyDescent="0.25">
      <c r="A15448" s="515">
        <v>45832</v>
      </c>
      <c r="B15448" s="515" t="s">
        <v>818</v>
      </c>
      <c r="C15448" s="52">
        <v>147792.21569897499</v>
      </c>
      <c r="D15448" s="56">
        <v>5.8042246987431462E-2</v>
      </c>
      <c r="E15448" s="224" t="s">
        <v>2</v>
      </c>
      <c r="F15448" s="515" t="s">
        <v>16626</v>
      </c>
      <c r="G15448" s="52">
        <v>165387.452666914</v>
      </c>
      <c r="H15448" s="56">
        <v>5.2016484886198047E-2</v>
      </c>
      <c r="I15448" s="224" t="s">
        <v>2</v>
      </c>
    </row>
    <row r="15449" spans="1:9" x14ac:dyDescent="0.25">
      <c r="A15449" s="515">
        <v>29437</v>
      </c>
      <c r="B15449" s="515" t="s">
        <v>1009</v>
      </c>
      <c r="C15449" s="52">
        <v>250295.72624473699</v>
      </c>
      <c r="D15449" s="56">
        <v>0.14550161662692412</v>
      </c>
      <c r="E15449" s="224" t="s">
        <v>2</v>
      </c>
      <c r="F15449" s="515" t="s">
        <v>16627</v>
      </c>
      <c r="G15449" s="52">
        <v>360090.59465573</v>
      </c>
      <c r="H15449" s="56">
        <v>9.3923150580405124E-2</v>
      </c>
      <c r="I15449" s="224" t="s">
        <v>2</v>
      </c>
    </row>
    <row r="15450" spans="1:9" x14ac:dyDescent="0.25">
      <c r="A15450" s="515">
        <v>12747</v>
      </c>
      <c r="C15450" s="52">
        <v>263976.66754509602</v>
      </c>
      <c r="D15450" s="56">
        <v>0.14075755816953739</v>
      </c>
      <c r="E15450" s="224" t="s">
        <v>2</v>
      </c>
      <c r="F15450" s="515" t="s">
        <v>16628</v>
      </c>
      <c r="G15450" s="52">
        <v>585700.566473988</v>
      </c>
      <c r="H15450" s="56">
        <v>0</v>
      </c>
      <c r="I15450" s="224" t="s">
        <v>2</v>
      </c>
    </row>
    <row r="15451" spans="1:9" x14ac:dyDescent="0.25">
      <c r="A15451" s="515">
        <v>24127</v>
      </c>
      <c r="B15451" s="515" t="s">
        <v>861</v>
      </c>
      <c r="C15451" s="52">
        <v>167023.12967646201</v>
      </c>
      <c r="D15451" s="56">
        <v>-3.0187876397996333E-2</v>
      </c>
      <c r="E15451" s="224" t="s">
        <v>2</v>
      </c>
      <c r="F15451" s="515" t="s">
        <v>16629</v>
      </c>
      <c r="G15451" s="52">
        <v>539697.06295762199</v>
      </c>
      <c r="H15451" s="56">
        <v>5.1540037234302595E-2</v>
      </c>
      <c r="I15451" s="224" t="s">
        <v>2</v>
      </c>
    </row>
    <row r="15452" spans="1:9" x14ac:dyDescent="0.25">
      <c r="A15452" s="515">
        <v>17938</v>
      </c>
      <c r="B15452" s="515" t="s">
        <v>994</v>
      </c>
      <c r="C15452" s="52">
        <v>160119.787175112</v>
      </c>
      <c r="D15452" s="56">
        <v>7.0918300303353526E-2</v>
      </c>
      <c r="E15452" s="224" t="s">
        <v>2</v>
      </c>
      <c r="F15452" s="515" t="s">
        <v>16630</v>
      </c>
      <c r="G15452" s="52">
        <v>152850.52826367001</v>
      </c>
      <c r="H15452" s="56">
        <v>0.1307921648603349</v>
      </c>
      <c r="I15452" s="224" t="s">
        <v>2</v>
      </c>
    </row>
    <row r="15453" spans="1:9" x14ac:dyDescent="0.25">
      <c r="A15453" s="515">
        <v>7505</v>
      </c>
      <c r="B15453" s="515" t="s">
        <v>324</v>
      </c>
      <c r="C15453" s="52">
        <v>264508.03568884602</v>
      </c>
      <c r="D15453" s="56">
        <v>-2.0438785274206717E-2</v>
      </c>
      <c r="E15453" s="224" t="s">
        <v>2</v>
      </c>
      <c r="F15453" s="515" t="s">
        <v>16631</v>
      </c>
      <c r="G15453" s="52">
        <v>207414.778730814</v>
      </c>
      <c r="H15453" s="56">
        <v>0.13402566094962601</v>
      </c>
      <c r="I15453" s="224" t="s">
        <v>2</v>
      </c>
    </row>
    <row r="15454" spans="1:9" x14ac:dyDescent="0.25">
      <c r="A15454" s="515">
        <v>75432</v>
      </c>
      <c r="C15454" s="52">
        <v>153202.93718805601</v>
      </c>
      <c r="D15454" s="56">
        <v>0.11924193516436897</v>
      </c>
      <c r="E15454" s="224" t="s">
        <v>2</v>
      </c>
      <c r="F15454" s="515" t="s">
        <v>16632</v>
      </c>
      <c r="G15454" s="52">
        <v>497997.08743493102</v>
      </c>
      <c r="H15454" s="56">
        <v>2.9142740194975585E-2</v>
      </c>
      <c r="I15454" s="224" t="s">
        <v>2</v>
      </c>
    </row>
    <row r="15455" spans="1:9" x14ac:dyDescent="0.25">
      <c r="A15455" s="515">
        <v>92285</v>
      </c>
      <c r="B15455" s="515" t="s">
        <v>599</v>
      </c>
      <c r="C15455" s="52">
        <v>269728.84125408198</v>
      </c>
      <c r="D15455" s="56">
        <v>8.720232008046705E-2</v>
      </c>
      <c r="E15455" s="224" t="s">
        <v>2</v>
      </c>
      <c r="F15455" s="515" t="s">
        <v>16633</v>
      </c>
      <c r="G15455" s="52">
        <v>63086.6544653663</v>
      </c>
      <c r="H15455" s="56">
        <v>-9.6753096953156661E-3</v>
      </c>
      <c r="I15455" s="224" t="s">
        <v>2</v>
      </c>
    </row>
    <row r="15456" spans="1:9" x14ac:dyDescent="0.25">
      <c r="A15456" s="515">
        <v>5250</v>
      </c>
      <c r="B15456" s="515" t="s">
        <v>657</v>
      </c>
      <c r="C15456" s="52">
        <v>326396.12808946898</v>
      </c>
      <c r="D15456" s="56">
        <v>0.11507628745798448</v>
      </c>
      <c r="E15456" s="224" t="s">
        <v>2</v>
      </c>
      <c r="F15456" s="515" t="s">
        <v>16634</v>
      </c>
      <c r="G15456" s="52">
        <v>519524.05069177202</v>
      </c>
      <c r="H15456" s="56">
        <v>0.11492168121549355</v>
      </c>
      <c r="I15456" s="224" t="s">
        <v>2</v>
      </c>
    </row>
    <row r="15457" spans="1:9" x14ac:dyDescent="0.25">
      <c r="A15457" s="515">
        <v>31606</v>
      </c>
      <c r="B15457" s="515" t="s">
        <v>505</v>
      </c>
      <c r="C15457" s="52">
        <v>155828.201993052</v>
      </c>
      <c r="D15457" s="56">
        <v>4.6487323503573444E-2</v>
      </c>
      <c r="E15457" s="224" t="s">
        <v>2</v>
      </c>
      <c r="F15457" s="515" t="s">
        <v>16635</v>
      </c>
      <c r="G15457" s="52">
        <v>151351.854928541</v>
      </c>
      <c r="H15457" s="56">
        <v>0.12665160005356874</v>
      </c>
      <c r="I15457" s="224" t="s">
        <v>2</v>
      </c>
    </row>
    <row r="15458" spans="1:9" x14ac:dyDescent="0.25">
      <c r="A15458" s="515">
        <v>1083</v>
      </c>
      <c r="B15458" s="515" t="s">
        <v>751</v>
      </c>
      <c r="C15458" s="52">
        <v>303677.14552414301</v>
      </c>
      <c r="D15458" s="56">
        <v>7.5337870905611504E-2</v>
      </c>
      <c r="E15458" s="224" t="s">
        <v>2</v>
      </c>
      <c r="F15458" s="515" t="s">
        <v>16636</v>
      </c>
      <c r="G15458" s="52">
        <v>127501.799822284</v>
      </c>
      <c r="H15458" s="56">
        <v>4.0630697842129755E-2</v>
      </c>
      <c r="I15458" s="224" t="s">
        <v>2</v>
      </c>
    </row>
    <row r="15459" spans="1:9" x14ac:dyDescent="0.25">
      <c r="A15459" s="515">
        <v>73443</v>
      </c>
      <c r="B15459" s="515" t="s">
        <v>710</v>
      </c>
      <c r="C15459" s="52">
        <v>176270.16232206399</v>
      </c>
      <c r="D15459" s="56">
        <v>0.12432483024223397</v>
      </c>
      <c r="E15459" s="224" t="s">
        <v>2</v>
      </c>
      <c r="F15459" s="515" t="s">
        <v>16637</v>
      </c>
      <c r="G15459" s="52">
        <v>144450.98760021999</v>
      </c>
      <c r="H15459" s="56">
        <v>7.0972384565491681E-2</v>
      </c>
      <c r="I15459" s="224" t="s">
        <v>2</v>
      </c>
    </row>
    <row r="15460" spans="1:9" x14ac:dyDescent="0.25">
      <c r="A15460" s="515">
        <v>40370</v>
      </c>
      <c r="B15460" s="515" t="s">
        <v>515</v>
      </c>
      <c r="C15460" s="52">
        <v>211279.588631666</v>
      </c>
      <c r="D15460" s="56">
        <v>0.1165490795993992</v>
      </c>
      <c r="E15460" s="224" t="s">
        <v>2</v>
      </c>
      <c r="F15460" s="515" t="s">
        <v>16638</v>
      </c>
      <c r="G15460" s="52">
        <v>142211.93032831801</v>
      </c>
      <c r="H15460" s="56">
        <v>0.12019667356929362</v>
      </c>
      <c r="I15460" s="224" t="s">
        <v>2</v>
      </c>
    </row>
    <row r="15461" spans="1:9" x14ac:dyDescent="0.25">
      <c r="A15461" s="515">
        <v>78417</v>
      </c>
      <c r="B15461" s="515" t="s">
        <v>415</v>
      </c>
      <c r="C15461" s="52">
        <v>158575.33215028199</v>
      </c>
      <c r="D15461" s="56">
        <v>3.9673208087018769E-2</v>
      </c>
      <c r="E15461" s="224" t="s">
        <v>2</v>
      </c>
      <c r="F15461" s="515" t="s">
        <v>16639</v>
      </c>
      <c r="G15461" s="52">
        <v>168486.20084393799</v>
      </c>
      <c r="H15461" s="56">
        <v>-3.4585441263811738E-2</v>
      </c>
      <c r="I15461" s="224" t="s">
        <v>2</v>
      </c>
    </row>
    <row r="15462" spans="1:9" x14ac:dyDescent="0.25">
      <c r="A15462" s="515">
        <v>76476</v>
      </c>
      <c r="B15462" s="515" t="s">
        <v>1164</v>
      </c>
      <c r="C15462" s="52">
        <v>322358.50383721001</v>
      </c>
      <c r="D15462" s="56">
        <v>-1.6354066050882844E-2</v>
      </c>
      <c r="E15462" s="224" t="s">
        <v>2</v>
      </c>
      <c r="F15462" s="515" t="s">
        <v>16640</v>
      </c>
      <c r="G15462" s="52">
        <v>156807.23873801201</v>
      </c>
      <c r="H15462" s="56">
        <v>0.10152562034780728</v>
      </c>
      <c r="I15462" s="224" t="s">
        <v>2</v>
      </c>
    </row>
    <row r="15463" spans="1:9" x14ac:dyDescent="0.25">
      <c r="A15463" s="515">
        <v>52340</v>
      </c>
      <c r="B15463" s="515" t="s">
        <v>587</v>
      </c>
      <c r="C15463" s="52">
        <v>300426.51325873903</v>
      </c>
      <c r="D15463" s="56">
        <v>3.8939707046744126E-2</v>
      </c>
      <c r="E15463" s="224" t="s">
        <v>2</v>
      </c>
      <c r="F15463" s="515" t="s">
        <v>16641</v>
      </c>
      <c r="G15463" s="52">
        <v>380056.86588706798</v>
      </c>
      <c r="H15463" s="56">
        <v>4.7550100321561102E-2</v>
      </c>
      <c r="I15463" s="224" t="s">
        <v>2</v>
      </c>
    </row>
    <row r="15464" spans="1:9" x14ac:dyDescent="0.25">
      <c r="A15464" s="515">
        <v>47336</v>
      </c>
      <c r="C15464" s="52">
        <v>99571.969083658696</v>
      </c>
      <c r="D15464" s="56">
        <v>0.15665927698916796</v>
      </c>
      <c r="E15464" s="224" t="s">
        <v>2</v>
      </c>
      <c r="F15464" s="515" t="s">
        <v>16642</v>
      </c>
      <c r="G15464" s="52">
        <v>317394.10531426902</v>
      </c>
      <c r="H15464" s="56">
        <v>7.5019456125681672E-2</v>
      </c>
      <c r="I15464" s="224" t="s">
        <v>2</v>
      </c>
    </row>
    <row r="15465" spans="1:9" x14ac:dyDescent="0.25">
      <c r="A15465" s="515">
        <v>78357</v>
      </c>
      <c r="B15465" s="515" t="s">
        <v>709</v>
      </c>
      <c r="C15465" s="52">
        <v>80774.702060017793</v>
      </c>
      <c r="D15465" s="56">
        <v>0</v>
      </c>
      <c r="E15465" s="224" t="s">
        <v>2</v>
      </c>
      <c r="F15465" s="515" t="s">
        <v>16643</v>
      </c>
      <c r="G15465" s="52">
        <v>282967.25559452199</v>
      </c>
      <c r="H15465" s="56">
        <v>0.1072746973564961</v>
      </c>
      <c r="I15465" s="224" t="s">
        <v>2</v>
      </c>
    </row>
    <row r="15466" spans="1:9" x14ac:dyDescent="0.25">
      <c r="A15466" s="515">
        <v>94508</v>
      </c>
      <c r="B15466" s="515" t="s">
        <v>914</v>
      </c>
      <c r="C15466" s="52">
        <v>861178.170934416</v>
      </c>
      <c r="D15466" s="56">
        <v>-4.3973348891553757E-2</v>
      </c>
      <c r="E15466" s="224" t="s">
        <v>2</v>
      </c>
      <c r="F15466" s="515" t="s">
        <v>16644</v>
      </c>
      <c r="G15466" s="52">
        <v>179626.28664216201</v>
      </c>
      <c r="H15466" s="56">
        <v>0.1446712062483469</v>
      </c>
      <c r="I15466" s="224" t="s">
        <v>2</v>
      </c>
    </row>
    <row r="15467" spans="1:9" x14ac:dyDescent="0.25">
      <c r="A15467" s="515">
        <v>92256</v>
      </c>
      <c r="B15467" s="515" t="s">
        <v>599</v>
      </c>
      <c r="C15467" s="52">
        <v>317823.53774225898</v>
      </c>
      <c r="D15467" s="56">
        <v>4.8510893188008747E-2</v>
      </c>
      <c r="E15467" s="224" t="s">
        <v>2</v>
      </c>
      <c r="F15467" s="515" t="s">
        <v>16645</v>
      </c>
      <c r="G15467" s="52">
        <v>94143.994810660195</v>
      </c>
      <c r="H15467" s="56">
        <v>0.11340184095565899</v>
      </c>
      <c r="I15467" s="224" t="s">
        <v>2</v>
      </c>
    </row>
    <row r="15468" spans="1:9" x14ac:dyDescent="0.25">
      <c r="A15468" s="515">
        <v>68064</v>
      </c>
      <c r="B15468" s="515" t="s">
        <v>367</v>
      </c>
      <c r="C15468" s="52">
        <v>358855.02798325702</v>
      </c>
      <c r="D15468" s="56">
        <v>0.10632539947095883</v>
      </c>
      <c r="E15468" s="224" t="s">
        <v>2</v>
      </c>
      <c r="F15468" s="515" t="s">
        <v>16646</v>
      </c>
      <c r="G15468" s="52">
        <v>164168.890582555</v>
      </c>
      <c r="H15468" s="56">
        <v>3.1643302933603054E-2</v>
      </c>
      <c r="I15468" s="224" t="s">
        <v>2</v>
      </c>
    </row>
    <row r="15469" spans="1:9" x14ac:dyDescent="0.25">
      <c r="A15469" s="515">
        <v>84713</v>
      </c>
      <c r="C15469" s="52">
        <v>310802.63451033802</v>
      </c>
      <c r="D15469" s="56">
        <v>2.5660924950887367E-2</v>
      </c>
      <c r="E15469" s="224" t="s">
        <v>2</v>
      </c>
      <c r="F15469" s="515" t="s">
        <v>16647</v>
      </c>
      <c r="G15469" s="52">
        <v>225456.500223651</v>
      </c>
      <c r="H15469" s="56">
        <v>0.12756810453190626</v>
      </c>
      <c r="I15469" s="224" t="s">
        <v>2</v>
      </c>
    </row>
    <row r="15470" spans="1:9" x14ac:dyDescent="0.25">
      <c r="A15470" s="515">
        <v>95917</v>
      </c>
      <c r="B15470" s="515" t="s">
        <v>580</v>
      </c>
      <c r="C15470" s="52">
        <v>314070.83813351003</v>
      </c>
      <c r="D15470" s="56">
        <v>2.4423570383530956E-2</v>
      </c>
      <c r="E15470" s="224" t="s">
        <v>2</v>
      </c>
      <c r="F15470" s="515" t="s">
        <v>16648</v>
      </c>
      <c r="G15470" s="52">
        <v>204092.645909632</v>
      </c>
      <c r="H15470" s="56">
        <v>0.15955868741695911</v>
      </c>
      <c r="I15470" s="224" t="s">
        <v>2</v>
      </c>
    </row>
    <row r="15471" spans="1:9" x14ac:dyDescent="0.25">
      <c r="A15471" s="515">
        <v>76071</v>
      </c>
      <c r="B15471" s="515" t="s">
        <v>458</v>
      </c>
      <c r="C15471" s="52">
        <v>333962.946181515</v>
      </c>
      <c r="D15471" s="56">
        <v>4.9374510575298375E-2</v>
      </c>
      <c r="E15471" s="224" t="s">
        <v>2</v>
      </c>
      <c r="F15471" s="515" t="s">
        <v>16649</v>
      </c>
      <c r="G15471" s="52">
        <v>138010.23506039401</v>
      </c>
      <c r="H15471" s="56">
        <v>5.2337217502875136E-2</v>
      </c>
      <c r="I15471" s="224" t="s">
        <v>2</v>
      </c>
    </row>
    <row r="15472" spans="1:9" x14ac:dyDescent="0.25">
      <c r="A15472" s="515">
        <v>45064</v>
      </c>
      <c r="C15472" s="52">
        <v>229837.10197627899</v>
      </c>
      <c r="D15472" s="56">
        <v>3.3078711686181025E-2</v>
      </c>
      <c r="E15472" s="224" t="s">
        <v>2</v>
      </c>
      <c r="F15472" s="515" t="s">
        <v>16650</v>
      </c>
      <c r="G15472" s="52">
        <v>463749.353308335</v>
      </c>
      <c r="H15472" s="56">
        <v>0.13413228455905965</v>
      </c>
      <c r="I15472" s="224" t="s">
        <v>2</v>
      </c>
    </row>
    <row r="15473" spans="1:9" x14ac:dyDescent="0.25">
      <c r="A15473" s="515">
        <v>72529</v>
      </c>
      <c r="B15473" s="515" t="s">
        <v>693</v>
      </c>
      <c r="C15473" s="52">
        <v>111584.76188951801</v>
      </c>
      <c r="D15473" s="56">
        <v>-2.055538326838087E-2</v>
      </c>
      <c r="E15473" s="224" t="s">
        <v>2</v>
      </c>
      <c r="F15473" s="515" t="s">
        <v>16651</v>
      </c>
      <c r="G15473" s="52">
        <v>133970.37614000001</v>
      </c>
      <c r="H15473" s="56">
        <v>0.12063595557458745</v>
      </c>
      <c r="I15473" s="224" t="s">
        <v>2</v>
      </c>
    </row>
    <row r="15474" spans="1:9" x14ac:dyDescent="0.25">
      <c r="A15474" s="515">
        <v>47232</v>
      </c>
      <c r="B15474" s="515" t="s">
        <v>729</v>
      </c>
      <c r="C15474" s="52">
        <v>237576.54750480899</v>
      </c>
      <c r="D15474" s="56">
        <v>6.919824178887303E-2</v>
      </c>
      <c r="E15474" s="224" t="s">
        <v>2</v>
      </c>
      <c r="F15474" s="515" t="s">
        <v>16652</v>
      </c>
      <c r="G15474" s="52">
        <v>211663.870449112</v>
      </c>
      <c r="H15474" s="56">
        <v>2.3857321771606373E-2</v>
      </c>
      <c r="I15474" s="224" t="s">
        <v>2</v>
      </c>
    </row>
    <row r="15475" spans="1:9" x14ac:dyDescent="0.25">
      <c r="A15475" s="515">
        <v>23417</v>
      </c>
      <c r="C15475" s="52">
        <v>239995.71503647699</v>
      </c>
      <c r="D15475" s="56">
        <v>6.9780803826850063E-2</v>
      </c>
      <c r="E15475" s="224" t="s">
        <v>2</v>
      </c>
      <c r="F15475" s="515" t="s">
        <v>16653</v>
      </c>
      <c r="G15475" s="52">
        <v>211283.20323852601</v>
      </c>
      <c r="H15475" s="56">
        <v>4.3746678506644231E-2</v>
      </c>
      <c r="I15475" s="224" t="s">
        <v>2</v>
      </c>
    </row>
    <row r="15476" spans="1:9" x14ac:dyDescent="0.25">
      <c r="A15476" s="515">
        <v>16426</v>
      </c>
      <c r="B15476" s="515" t="s">
        <v>753</v>
      </c>
      <c r="C15476" s="52">
        <v>244795.55288757899</v>
      </c>
      <c r="D15476" s="56">
        <v>5.4465429506219284E-2</v>
      </c>
      <c r="E15476" s="224" t="s">
        <v>2</v>
      </c>
      <c r="F15476" s="515" t="s">
        <v>16654</v>
      </c>
      <c r="G15476" s="52">
        <v>212364.862889854</v>
      </c>
      <c r="H15476" s="56">
        <v>0.10894998957912</v>
      </c>
      <c r="I15476" s="224" t="s">
        <v>2</v>
      </c>
    </row>
    <row r="15477" spans="1:9" x14ac:dyDescent="0.25">
      <c r="A15477" s="515">
        <v>37811</v>
      </c>
      <c r="B15477" s="515" t="s">
        <v>902</v>
      </c>
      <c r="C15477" s="52">
        <v>169360.41644783801</v>
      </c>
      <c r="D15477" s="56">
        <v>-9.4266726742700618E-2</v>
      </c>
      <c r="E15477" s="224" t="s">
        <v>2</v>
      </c>
      <c r="F15477" s="515" t="s">
        <v>16655</v>
      </c>
      <c r="G15477" s="52">
        <v>403641.87608414103</v>
      </c>
      <c r="H15477" s="56">
        <v>5.2062536709853349E-2</v>
      </c>
      <c r="I15477" s="224" t="s">
        <v>2</v>
      </c>
    </row>
    <row r="15478" spans="1:9" x14ac:dyDescent="0.25">
      <c r="A15478" s="515">
        <v>3813</v>
      </c>
      <c r="C15478" s="52">
        <v>340486.61269475002</v>
      </c>
      <c r="D15478" s="56">
        <v>0.14840775281168683</v>
      </c>
      <c r="E15478" s="224" t="s">
        <v>2</v>
      </c>
      <c r="F15478" s="515" t="s">
        <v>16656</v>
      </c>
      <c r="G15478" s="52">
        <v>327209.70179070102</v>
      </c>
      <c r="H15478" s="56">
        <v>7.2600046737835794E-2</v>
      </c>
      <c r="I15478" s="224" t="s">
        <v>2</v>
      </c>
    </row>
    <row r="15479" spans="1:9" x14ac:dyDescent="0.25">
      <c r="A15479" s="515">
        <v>55718</v>
      </c>
      <c r="B15479" s="515" t="s">
        <v>350</v>
      </c>
      <c r="C15479" s="52">
        <v>263565.28465649899</v>
      </c>
      <c r="D15479" s="56">
        <v>6.4892396868384397E-2</v>
      </c>
      <c r="E15479" s="224" t="s">
        <v>2</v>
      </c>
      <c r="F15479" s="515" t="s">
        <v>16657</v>
      </c>
      <c r="G15479" s="52">
        <v>187156.58828479299</v>
      </c>
      <c r="H15479" s="56">
        <v>0.11540617637017338</v>
      </c>
      <c r="I15479" s="224" t="s">
        <v>2</v>
      </c>
    </row>
    <row r="15480" spans="1:9" x14ac:dyDescent="0.25">
      <c r="A15480" s="515">
        <v>17853</v>
      </c>
      <c r="B15480" s="515" t="s">
        <v>1084</v>
      </c>
      <c r="C15480" s="52">
        <v>197346.20208500099</v>
      </c>
      <c r="D15480" s="56">
        <v>5.2848061442344156E-2</v>
      </c>
      <c r="E15480" s="224" t="s">
        <v>2</v>
      </c>
      <c r="F15480" s="515" t="s">
        <v>16658</v>
      </c>
      <c r="G15480" s="52">
        <v>271782.39235820802</v>
      </c>
      <c r="H15480" s="56">
        <v>7.9654271435489352E-2</v>
      </c>
      <c r="I15480" s="224" t="s">
        <v>2</v>
      </c>
    </row>
    <row r="15481" spans="1:9" x14ac:dyDescent="0.25">
      <c r="A15481" s="515">
        <v>99166</v>
      </c>
      <c r="C15481" s="52">
        <v>239321.43566319201</v>
      </c>
      <c r="D15481" s="56">
        <v>-9.7103195885283461E-2</v>
      </c>
      <c r="E15481" s="224" t="s">
        <v>2</v>
      </c>
      <c r="F15481" s="515" t="s">
        <v>16659</v>
      </c>
      <c r="G15481" s="52">
        <v>179264.018911188</v>
      </c>
      <c r="H15481" s="56">
        <v>0.22211900593584599</v>
      </c>
      <c r="I15481" s="224" t="s">
        <v>2</v>
      </c>
    </row>
    <row r="15482" spans="1:9" x14ac:dyDescent="0.25">
      <c r="A15482" s="515">
        <v>54853</v>
      </c>
      <c r="C15482" s="52">
        <v>251874.26382551499</v>
      </c>
      <c r="D15482" s="56">
        <v>6.6040606636034005E-2</v>
      </c>
      <c r="E15482" s="224" t="s">
        <v>2</v>
      </c>
      <c r="F15482" s="515" t="s">
        <v>16660</v>
      </c>
      <c r="G15482" s="52">
        <v>139645.422857142</v>
      </c>
      <c r="H15482" s="56">
        <v>0</v>
      </c>
      <c r="I15482" s="224" t="s">
        <v>2</v>
      </c>
    </row>
    <row r="15483" spans="1:9" x14ac:dyDescent="0.25">
      <c r="A15483" s="515">
        <v>49887</v>
      </c>
      <c r="B15483" s="515" t="s">
        <v>923</v>
      </c>
      <c r="C15483" s="52">
        <v>139771.95618287</v>
      </c>
      <c r="D15483" s="56">
        <v>0.1254762938792198</v>
      </c>
      <c r="E15483" s="224" t="s">
        <v>2</v>
      </c>
      <c r="F15483" s="515" t="s">
        <v>16661</v>
      </c>
      <c r="G15483" s="52">
        <v>257172.83778830999</v>
      </c>
      <c r="H15483" s="56">
        <v>9.4440780874646052E-2</v>
      </c>
      <c r="I15483" s="224" t="s">
        <v>2</v>
      </c>
    </row>
    <row r="15484" spans="1:9" x14ac:dyDescent="0.25">
      <c r="A15484" s="515">
        <v>56358</v>
      </c>
      <c r="C15484" s="52">
        <v>253089.135744217</v>
      </c>
      <c r="D15484" s="56">
        <v>0.19427475305039579</v>
      </c>
      <c r="E15484" s="224" t="s">
        <v>2</v>
      </c>
      <c r="F15484" s="515" t="s">
        <v>16662</v>
      </c>
      <c r="G15484" s="52">
        <v>71677.999981443703</v>
      </c>
      <c r="H15484" s="56">
        <v>0.14835743744116728</v>
      </c>
      <c r="I15484" s="224" t="s">
        <v>2</v>
      </c>
    </row>
    <row r="15485" spans="1:9" x14ac:dyDescent="0.25">
      <c r="A15485" s="515">
        <v>14561</v>
      </c>
      <c r="B15485" s="515" t="s">
        <v>337</v>
      </c>
      <c r="C15485" s="52">
        <v>205601.56833718799</v>
      </c>
      <c r="D15485" s="56">
        <v>8.2404874605119027E-2</v>
      </c>
      <c r="E15485" s="224" t="s">
        <v>2</v>
      </c>
      <c r="F15485" s="515" t="s">
        <v>16663</v>
      </c>
      <c r="G15485" s="52">
        <v>106622.51577432601</v>
      </c>
      <c r="H15485" s="56">
        <v>-7.4045257395337932E-2</v>
      </c>
      <c r="I15485" s="224" t="s">
        <v>2</v>
      </c>
    </row>
    <row r="15486" spans="1:9" x14ac:dyDescent="0.25">
      <c r="A15486" s="515">
        <v>68037</v>
      </c>
      <c r="B15486" s="515" t="s">
        <v>367</v>
      </c>
      <c r="C15486" s="52">
        <v>316406.64084018703</v>
      </c>
      <c r="D15486" s="56">
        <v>7.9424095437166567E-2</v>
      </c>
      <c r="E15486" s="224" t="s">
        <v>2</v>
      </c>
      <c r="F15486" s="515" t="s">
        <v>16664</v>
      </c>
      <c r="G15486" s="52">
        <v>210587.27106174399</v>
      </c>
      <c r="H15486" s="56">
        <v>5.8302090557916846E-2</v>
      </c>
      <c r="I15486" s="224" t="s">
        <v>2</v>
      </c>
    </row>
    <row r="15487" spans="1:9" x14ac:dyDescent="0.25">
      <c r="A15487" s="515">
        <v>71411</v>
      </c>
      <c r="B15487" s="515" t="s">
        <v>961</v>
      </c>
      <c r="C15487" s="52">
        <v>95671.073217641402</v>
      </c>
      <c r="D15487" s="56">
        <v>1.6101717490808215E-2</v>
      </c>
      <c r="E15487" s="224" t="s">
        <v>2</v>
      </c>
      <c r="F15487" s="515" t="s">
        <v>16665</v>
      </c>
      <c r="G15487" s="52">
        <v>265624.77605437202</v>
      </c>
      <c r="H15487" s="56">
        <v>0.17251817264618233</v>
      </c>
      <c r="I15487" s="224" t="s">
        <v>2</v>
      </c>
    </row>
    <row r="15488" spans="1:9" x14ac:dyDescent="0.25">
      <c r="A15488" s="515">
        <v>12575</v>
      </c>
      <c r="B15488" s="515" t="s">
        <v>529</v>
      </c>
      <c r="C15488" s="52">
        <v>487330.981128685</v>
      </c>
      <c r="D15488" s="56">
        <v>8.1635792959060149E-2</v>
      </c>
      <c r="E15488" s="224" t="s">
        <v>2</v>
      </c>
      <c r="F15488" s="515" t="s">
        <v>16666</v>
      </c>
      <c r="G15488" s="52">
        <v>120808.14197227699</v>
      </c>
      <c r="H15488" s="56">
        <v>3.7244725630657831E-2</v>
      </c>
      <c r="I15488" s="224" t="s">
        <v>2</v>
      </c>
    </row>
    <row r="15489" spans="1:9" x14ac:dyDescent="0.25">
      <c r="A15489" s="515">
        <v>1225</v>
      </c>
      <c r="B15489" s="515" t="s">
        <v>497</v>
      </c>
      <c r="C15489" s="52">
        <v>298758.12073974201</v>
      </c>
      <c r="D15489" s="56">
        <v>0.12502766495995463</v>
      </c>
      <c r="E15489" s="224" t="s">
        <v>2</v>
      </c>
      <c r="F15489" s="515" t="s">
        <v>16667</v>
      </c>
      <c r="G15489" s="52">
        <v>339291.69006081199</v>
      </c>
      <c r="H15489" s="56">
        <v>7.9069140054386755E-2</v>
      </c>
      <c r="I15489" s="224" t="s">
        <v>2</v>
      </c>
    </row>
    <row r="15490" spans="1:9" x14ac:dyDescent="0.25">
      <c r="A15490" s="515">
        <v>78071</v>
      </c>
      <c r="C15490" s="52">
        <v>149560.37773713699</v>
      </c>
      <c r="D15490" s="56">
        <v>-6.8875038950523354E-2</v>
      </c>
      <c r="E15490" s="224" t="s">
        <v>2</v>
      </c>
      <c r="F15490" s="515" t="s">
        <v>16668</v>
      </c>
      <c r="G15490" s="52">
        <v>365799.80435379402</v>
      </c>
      <c r="H15490" s="56">
        <v>9.1034997168001008E-2</v>
      </c>
      <c r="I15490" s="224" t="s">
        <v>2</v>
      </c>
    </row>
    <row r="15491" spans="1:9" x14ac:dyDescent="0.25">
      <c r="A15491" s="515">
        <v>14081</v>
      </c>
      <c r="B15491" s="515" t="s">
        <v>336</v>
      </c>
      <c r="C15491" s="52">
        <v>193638.801625867</v>
      </c>
      <c r="D15491" s="56">
        <v>0.11185351203236449</v>
      </c>
      <c r="E15491" s="224" t="s">
        <v>2</v>
      </c>
      <c r="F15491" s="515" t="s">
        <v>16669</v>
      </c>
      <c r="G15491" s="52">
        <v>153555.81183843</v>
      </c>
      <c r="H15491" s="56">
        <v>3.4080675126149429E-2</v>
      </c>
      <c r="I15491" s="224" t="s">
        <v>2</v>
      </c>
    </row>
    <row r="15492" spans="1:9" x14ac:dyDescent="0.25">
      <c r="A15492" s="515">
        <v>54406</v>
      </c>
      <c r="B15492" s="515" t="s">
        <v>1095</v>
      </c>
      <c r="C15492" s="52">
        <v>261527.17492000901</v>
      </c>
      <c r="D15492" s="56">
        <v>5.6381246556865446E-2</v>
      </c>
      <c r="E15492" s="224" t="s">
        <v>2</v>
      </c>
      <c r="F15492" s="515" t="s">
        <v>16670</v>
      </c>
      <c r="G15492" s="52">
        <v>252365.741799343</v>
      </c>
      <c r="H15492" s="56">
        <v>0.1044222229130861</v>
      </c>
      <c r="I15492" s="224" t="s">
        <v>2</v>
      </c>
    </row>
    <row r="15493" spans="1:9" x14ac:dyDescent="0.25">
      <c r="A15493" s="515">
        <v>63555</v>
      </c>
      <c r="C15493" s="52">
        <v>111227.78437835199</v>
      </c>
      <c r="D15493" s="56">
        <v>0.13266667442188865</v>
      </c>
      <c r="E15493" s="224" t="s">
        <v>2</v>
      </c>
      <c r="F15493" s="515" t="s">
        <v>16671</v>
      </c>
      <c r="G15493" s="52">
        <v>135566.90870518301</v>
      </c>
      <c r="H15493" s="56">
        <v>0</v>
      </c>
      <c r="I15493" s="224" t="s">
        <v>2</v>
      </c>
    </row>
    <row r="15494" spans="1:9" x14ac:dyDescent="0.25">
      <c r="A15494" s="515">
        <v>47879</v>
      </c>
      <c r="B15494" s="515" t="s">
        <v>318</v>
      </c>
      <c r="C15494" s="52">
        <v>124145.107579934</v>
      </c>
      <c r="D15494" s="56">
        <v>5.9984148737521663E-2</v>
      </c>
      <c r="E15494" s="224" t="s">
        <v>2</v>
      </c>
      <c r="F15494" s="515" t="s">
        <v>16672</v>
      </c>
      <c r="G15494" s="52">
        <v>89362.775280898801</v>
      </c>
      <c r="H15494" s="56">
        <v>0</v>
      </c>
      <c r="I15494" s="224" t="s">
        <v>2</v>
      </c>
    </row>
    <row r="15495" spans="1:9" x14ac:dyDescent="0.25">
      <c r="A15495" s="515">
        <v>85611</v>
      </c>
      <c r="B15495" s="515" t="s">
        <v>368</v>
      </c>
      <c r="C15495" s="52">
        <v>465712.01509825402</v>
      </c>
      <c r="D15495" s="56">
        <v>8.9644280011472677E-2</v>
      </c>
      <c r="E15495" s="224" t="s">
        <v>2</v>
      </c>
      <c r="F15495" s="515" t="s">
        <v>16673</v>
      </c>
      <c r="G15495" s="52">
        <v>239571.295231867</v>
      </c>
      <c r="H15495" s="56">
        <v>0.14749996693973777</v>
      </c>
      <c r="I15495" s="224" t="s">
        <v>2</v>
      </c>
    </row>
    <row r="15496" spans="1:9" x14ac:dyDescent="0.25">
      <c r="A15496" s="515">
        <v>43318</v>
      </c>
      <c r="B15496" s="515" t="s">
        <v>973</v>
      </c>
      <c r="C15496" s="52">
        <v>181691.07539538</v>
      </c>
      <c r="D15496" s="56">
        <v>7.9425160422646482E-2</v>
      </c>
      <c r="E15496" s="224" t="s">
        <v>2</v>
      </c>
      <c r="F15496" s="515" t="s">
        <v>16674</v>
      </c>
      <c r="G15496" s="52">
        <v>208843.23114861801</v>
      </c>
      <c r="H15496" s="56">
        <v>8.1534785145124453E-2</v>
      </c>
      <c r="I15496" s="224" t="s">
        <v>2</v>
      </c>
    </row>
    <row r="15497" spans="1:9" x14ac:dyDescent="0.25">
      <c r="A15497" s="515">
        <v>37060</v>
      </c>
      <c r="B15497" s="515" t="s">
        <v>684</v>
      </c>
      <c r="C15497" s="52">
        <v>468140.74107729999</v>
      </c>
      <c r="D15497" s="56">
        <v>0.12083193346813338</v>
      </c>
      <c r="E15497" s="224" t="s">
        <v>2</v>
      </c>
      <c r="F15497" s="515" t="s">
        <v>16675</v>
      </c>
      <c r="G15497" s="52">
        <v>171328.12817446399</v>
      </c>
      <c r="H15497" s="56">
        <v>-2.5935992334485325E-3</v>
      </c>
      <c r="I15497" s="224" t="s">
        <v>2</v>
      </c>
    </row>
    <row r="15498" spans="1:9" x14ac:dyDescent="0.25">
      <c r="A15498" s="515">
        <v>76844</v>
      </c>
      <c r="C15498" s="52">
        <v>221140.59284032101</v>
      </c>
      <c r="D15498" s="56">
        <v>-0.1805912598705835</v>
      </c>
      <c r="E15498" s="224" t="s">
        <v>2</v>
      </c>
      <c r="F15498" s="515" t="s">
        <v>16676</v>
      </c>
      <c r="G15498" s="52">
        <v>130578.66179494</v>
      </c>
      <c r="H15498" s="56">
        <v>7.8491901355316279E-2</v>
      </c>
      <c r="I15498" s="224" t="s">
        <v>2</v>
      </c>
    </row>
    <row r="15499" spans="1:9" x14ac:dyDescent="0.25">
      <c r="A15499" s="515">
        <v>62272</v>
      </c>
      <c r="C15499" s="52">
        <v>75012.110551455597</v>
      </c>
      <c r="D15499" s="56">
        <v>4.7570835295870285E-2</v>
      </c>
      <c r="E15499" s="224" t="s">
        <v>2</v>
      </c>
      <c r="F15499" s="515" t="s">
        <v>16677</v>
      </c>
      <c r="G15499" s="52">
        <v>318772.52655697003</v>
      </c>
      <c r="H15499" s="56">
        <v>0.14338930254324583</v>
      </c>
      <c r="I15499" s="224" t="s">
        <v>2</v>
      </c>
    </row>
    <row r="15500" spans="1:9" x14ac:dyDescent="0.25">
      <c r="A15500" s="515">
        <v>29435</v>
      </c>
      <c r="C15500" s="52">
        <v>193480.38648225399</v>
      </c>
      <c r="D15500" s="56">
        <v>0.13086300283903399</v>
      </c>
      <c r="E15500" s="224" t="s">
        <v>2</v>
      </c>
      <c r="F15500" s="515" t="s">
        <v>16678</v>
      </c>
      <c r="G15500" s="52">
        <v>102982.822801578</v>
      </c>
      <c r="H15500" s="56">
        <v>-8.1366201849052924E-2</v>
      </c>
      <c r="I15500" s="224" t="s">
        <v>2</v>
      </c>
    </row>
    <row r="15501" spans="1:9" x14ac:dyDescent="0.25">
      <c r="A15501" s="515">
        <v>27880</v>
      </c>
      <c r="B15501" s="515" t="s">
        <v>780</v>
      </c>
      <c r="C15501" s="52">
        <v>254797.64825563401</v>
      </c>
      <c r="D15501" s="56">
        <v>0.15460963457318405</v>
      </c>
      <c r="E15501" s="224" t="s">
        <v>2</v>
      </c>
      <c r="F15501" s="515" t="s">
        <v>16679</v>
      </c>
      <c r="G15501" s="52">
        <v>96132.141091851896</v>
      </c>
      <c r="H15501" s="56">
        <v>-3.4290872740805091E-2</v>
      </c>
      <c r="I15501" s="224" t="s">
        <v>2</v>
      </c>
    </row>
    <row r="15502" spans="1:9" x14ac:dyDescent="0.25">
      <c r="A15502" s="515">
        <v>27311</v>
      </c>
      <c r="C15502" s="52">
        <v>125792.789995963</v>
      </c>
      <c r="D15502" s="56">
        <v>0.13738202166309094</v>
      </c>
      <c r="E15502" s="224" t="s">
        <v>2</v>
      </c>
      <c r="F15502" s="515" t="s">
        <v>16680</v>
      </c>
      <c r="G15502" s="52">
        <v>140638.87953425199</v>
      </c>
      <c r="H15502" s="56">
        <v>1.8371939625003463E-2</v>
      </c>
      <c r="I15502" s="224" t="s">
        <v>2</v>
      </c>
    </row>
    <row r="15503" spans="1:9" x14ac:dyDescent="0.25">
      <c r="A15503" s="515">
        <v>52645</v>
      </c>
      <c r="C15503" s="52">
        <v>153593.583811113</v>
      </c>
      <c r="D15503" s="56">
        <v>9.1429423767972334E-2</v>
      </c>
      <c r="E15503" s="224" t="s">
        <v>2</v>
      </c>
      <c r="F15503" s="515" t="s">
        <v>16681</v>
      </c>
      <c r="G15503" s="52">
        <v>252720.501653299</v>
      </c>
      <c r="H15503" s="56">
        <v>0</v>
      </c>
      <c r="I15503" s="224" t="s">
        <v>2</v>
      </c>
    </row>
    <row r="15504" spans="1:9" x14ac:dyDescent="0.25">
      <c r="A15504" s="515">
        <v>83334</v>
      </c>
      <c r="B15504" s="515" t="s">
        <v>832</v>
      </c>
      <c r="C15504" s="52">
        <v>315574.94246859098</v>
      </c>
      <c r="D15504" s="56">
        <v>6.282412833027913E-2</v>
      </c>
      <c r="E15504" s="224" t="s">
        <v>2</v>
      </c>
      <c r="F15504" s="515" t="s">
        <v>16682</v>
      </c>
      <c r="G15504" s="52">
        <v>204079.35034658699</v>
      </c>
      <c r="H15504" s="56">
        <v>8.5353937814506314E-2</v>
      </c>
      <c r="I15504" s="224" t="s">
        <v>2</v>
      </c>
    </row>
    <row r="15505" spans="1:9" x14ac:dyDescent="0.25">
      <c r="A15505" s="515">
        <v>15938</v>
      </c>
      <c r="B15505" s="515" t="s">
        <v>828</v>
      </c>
      <c r="C15505" s="52">
        <v>102922.067144108</v>
      </c>
      <c r="D15505" s="56">
        <v>-4.9129267326096487E-2</v>
      </c>
      <c r="E15505" s="224" t="s">
        <v>2</v>
      </c>
      <c r="F15505" s="515" t="s">
        <v>16683</v>
      </c>
      <c r="G15505" s="52">
        <v>435786.00471378799</v>
      </c>
      <c r="H15505" s="56">
        <v>0.10021014157927524</v>
      </c>
      <c r="I15505" s="224" t="s">
        <v>2</v>
      </c>
    </row>
    <row r="15506" spans="1:9" x14ac:dyDescent="0.25">
      <c r="A15506" s="515">
        <v>68779</v>
      </c>
      <c r="B15506" s="515" t="s">
        <v>615</v>
      </c>
      <c r="C15506" s="52">
        <v>201768.224063131</v>
      </c>
      <c r="D15506" s="56">
        <v>6.1513416818592834E-2</v>
      </c>
      <c r="E15506" s="224" t="s">
        <v>2</v>
      </c>
      <c r="F15506" s="515" t="s">
        <v>16684</v>
      </c>
      <c r="G15506" s="52">
        <v>100758.18617021199</v>
      </c>
      <c r="H15506" s="56">
        <v>0</v>
      </c>
      <c r="I15506" s="224" t="s">
        <v>2</v>
      </c>
    </row>
    <row r="15507" spans="1:9" x14ac:dyDescent="0.25">
      <c r="A15507" s="515">
        <v>43773</v>
      </c>
      <c r="B15507" s="515" t="s">
        <v>499</v>
      </c>
      <c r="C15507" s="52">
        <v>140205.199389129</v>
      </c>
      <c r="D15507" s="56">
        <v>9.9568867013074117E-2</v>
      </c>
      <c r="E15507" s="224" t="s">
        <v>2</v>
      </c>
      <c r="F15507" s="515" t="s">
        <v>16685</v>
      </c>
      <c r="G15507" s="52">
        <v>182380.58831141199</v>
      </c>
      <c r="H15507" s="56">
        <v>1.5725508210468319E-2</v>
      </c>
      <c r="I15507" s="224" t="s">
        <v>2</v>
      </c>
    </row>
    <row r="15508" spans="1:9" x14ac:dyDescent="0.25">
      <c r="A15508" s="515">
        <v>63565</v>
      </c>
      <c r="C15508" s="52">
        <v>132847.69247582401</v>
      </c>
      <c r="D15508" s="56">
        <v>0.20033043422223243</v>
      </c>
      <c r="E15508" s="224" t="s">
        <v>2</v>
      </c>
      <c r="F15508" s="515" t="s">
        <v>16686</v>
      </c>
      <c r="G15508" s="52">
        <v>216450.95074214501</v>
      </c>
      <c r="H15508" s="56">
        <v>6.6778136290721518E-2</v>
      </c>
      <c r="I15508" s="224" t="s">
        <v>2</v>
      </c>
    </row>
    <row r="15509" spans="1:9" x14ac:dyDescent="0.25">
      <c r="A15509" s="515">
        <v>18614</v>
      </c>
      <c r="C15509" s="52">
        <v>190001.08464554299</v>
      </c>
      <c r="D15509" s="56">
        <v>9.5870241772619699E-2</v>
      </c>
      <c r="E15509" s="224" t="s">
        <v>2</v>
      </c>
      <c r="F15509" s="515" t="s">
        <v>16687</v>
      </c>
      <c r="G15509" s="52">
        <v>273304.82078414998</v>
      </c>
      <c r="H15509" s="56">
        <v>0.11731255926862752</v>
      </c>
      <c r="I15509" s="224" t="s">
        <v>2</v>
      </c>
    </row>
    <row r="15510" spans="1:9" x14ac:dyDescent="0.25">
      <c r="A15510" s="515">
        <v>64644</v>
      </c>
      <c r="B15510" s="515" t="s">
        <v>455</v>
      </c>
      <c r="C15510" s="52">
        <v>174255.548340854</v>
      </c>
      <c r="D15510" s="56">
        <v>3.0962475533979242E-2</v>
      </c>
      <c r="E15510" s="224" t="s">
        <v>2</v>
      </c>
      <c r="F15510" s="515" t="s">
        <v>16688</v>
      </c>
      <c r="G15510" s="52">
        <v>177046.86101554701</v>
      </c>
      <c r="H15510" s="56">
        <v>0.11843546253553905</v>
      </c>
      <c r="I15510" s="224" t="s">
        <v>2</v>
      </c>
    </row>
    <row r="15511" spans="1:9" x14ac:dyDescent="0.25">
      <c r="A15511" s="515">
        <v>54893</v>
      </c>
      <c r="C15511" s="52">
        <v>244878.54260529601</v>
      </c>
      <c r="D15511" s="56">
        <v>6.7200639597507481E-2</v>
      </c>
      <c r="E15511" s="224" t="s">
        <v>2</v>
      </c>
      <c r="F15511" s="515" t="s">
        <v>16689</v>
      </c>
      <c r="G15511" s="52">
        <v>131270.78696192999</v>
      </c>
      <c r="H15511" s="56">
        <v>0.18032855885284382</v>
      </c>
      <c r="I15511" s="224" t="s">
        <v>2</v>
      </c>
    </row>
    <row r="15512" spans="1:9" x14ac:dyDescent="0.25">
      <c r="A15512" s="515">
        <v>79553</v>
      </c>
      <c r="B15512" s="515" t="s">
        <v>704</v>
      </c>
      <c r="C15512" s="52">
        <v>66610.288921494299</v>
      </c>
      <c r="D15512" s="56">
        <v>2.6887219627307323E-4</v>
      </c>
      <c r="E15512" s="224" t="s">
        <v>2</v>
      </c>
      <c r="F15512" s="515" t="s">
        <v>16690</v>
      </c>
      <c r="G15512" s="52">
        <v>165970.409914733</v>
      </c>
      <c r="H15512" s="56">
        <v>0</v>
      </c>
      <c r="I15512" s="224" t="s">
        <v>2</v>
      </c>
    </row>
    <row r="15513" spans="1:9" x14ac:dyDescent="0.25">
      <c r="A15513" s="515">
        <v>22027</v>
      </c>
      <c r="B15513" s="515" t="s">
        <v>321</v>
      </c>
      <c r="C15513" s="52">
        <v>1147829.0041332301</v>
      </c>
      <c r="D15513" s="56">
        <v>1.0916708314986437E-2</v>
      </c>
      <c r="E15513" s="224" t="s">
        <v>2</v>
      </c>
      <c r="F15513" s="515" t="s">
        <v>16691</v>
      </c>
      <c r="G15513" s="52">
        <v>294416.79428143299</v>
      </c>
      <c r="H15513" s="56">
        <v>4.1406884276397264E-2</v>
      </c>
      <c r="I15513" s="224" t="s">
        <v>2</v>
      </c>
    </row>
    <row r="15514" spans="1:9" x14ac:dyDescent="0.25">
      <c r="A15514" s="515">
        <v>48876</v>
      </c>
      <c r="B15514" s="515" t="s">
        <v>528</v>
      </c>
      <c r="C15514" s="52">
        <v>208519.183489858</v>
      </c>
      <c r="D15514" s="56">
        <v>-3.0174466154144684E-2</v>
      </c>
      <c r="E15514" s="224" t="s">
        <v>2</v>
      </c>
      <c r="F15514" s="515" t="s">
        <v>16692</v>
      </c>
      <c r="G15514" s="52">
        <v>205220.86167317</v>
      </c>
      <c r="H15514" s="56">
        <v>9.1582454207673178E-2</v>
      </c>
      <c r="I15514" s="224" t="s">
        <v>2</v>
      </c>
    </row>
    <row r="15515" spans="1:9" x14ac:dyDescent="0.25">
      <c r="A15515" s="515">
        <v>46792</v>
      </c>
      <c r="B15515" s="515" t="s">
        <v>1144</v>
      </c>
      <c r="C15515" s="52">
        <v>172758.87104558901</v>
      </c>
      <c r="D15515" s="56">
        <v>8.3782626093114598E-2</v>
      </c>
      <c r="E15515" s="224" t="s">
        <v>2</v>
      </c>
      <c r="F15515" s="515" t="s">
        <v>16693</v>
      </c>
      <c r="G15515" s="52">
        <v>568848.73150295403</v>
      </c>
      <c r="H15515" s="56">
        <v>4.902851173621315E-2</v>
      </c>
      <c r="I15515" s="224" t="s">
        <v>2</v>
      </c>
    </row>
    <row r="15516" spans="1:9" x14ac:dyDescent="0.25">
      <c r="A15516" s="515">
        <v>50170</v>
      </c>
      <c r="B15516" s="515" t="s">
        <v>625</v>
      </c>
      <c r="C15516" s="52">
        <v>209577.80306238099</v>
      </c>
      <c r="D15516" s="56">
        <v>0.11005865272834131</v>
      </c>
      <c r="E15516" s="224" t="s">
        <v>2</v>
      </c>
      <c r="F15516" s="515" t="s">
        <v>16694</v>
      </c>
      <c r="G15516" s="52">
        <v>313962.51075427601</v>
      </c>
      <c r="H15516" s="56">
        <v>0.10619219589282604</v>
      </c>
      <c r="I15516" s="224" t="s">
        <v>2</v>
      </c>
    </row>
    <row r="15517" spans="1:9" x14ac:dyDescent="0.25">
      <c r="A15517" s="515">
        <v>50225</v>
      </c>
      <c r="B15517" s="515" t="s">
        <v>625</v>
      </c>
      <c r="C15517" s="52">
        <v>215643.06998198599</v>
      </c>
      <c r="D15517" s="56">
        <v>9.8926005430705954E-2</v>
      </c>
      <c r="E15517" s="224" t="s">
        <v>2</v>
      </c>
      <c r="F15517" s="515" t="s">
        <v>16695</v>
      </c>
      <c r="G15517" s="52">
        <v>144255.691438924</v>
      </c>
      <c r="H15517" s="56">
        <v>-3.4946973569770931E-2</v>
      </c>
      <c r="I15517" s="224" t="s">
        <v>2</v>
      </c>
    </row>
    <row r="15518" spans="1:9" x14ac:dyDescent="0.25">
      <c r="A15518" s="515">
        <v>89449</v>
      </c>
      <c r="B15518" s="515" t="s">
        <v>823</v>
      </c>
      <c r="C15518" s="52">
        <v>688682.22298376798</v>
      </c>
      <c r="D15518" s="56">
        <v>-5.107075475173737E-2</v>
      </c>
      <c r="E15518" s="224" t="s">
        <v>2</v>
      </c>
      <c r="F15518" s="515" t="s">
        <v>16696</v>
      </c>
      <c r="G15518" s="52">
        <v>80843.149873200993</v>
      </c>
      <c r="H15518" s="56">
        <v>0.10758038469871031</v>
      </c>
      <c r="I15518" s="224" t="s">
        <v>2</v>
      </c>
    </row>
    <row r="15519" spans="1:9" x14ac:dyDescent="0.25">
      <c r="A15519" s="515">
        <v>18822</v>
      </c>
      <c r="C15519" s="52">
        <v>151734.10925253999</v>
      </c>
      <c r="D15519" s="56">
        <v>5.8003155173772254E-2</v>
      </c>
      <c r="E15519" s="224" t="s">
        <v>2</v>
      </c>
      <c r="F15519" s="515" t="s">
        <v>16697</v>
      </c>
      <c r="G15519" s="52">
        <v>432761.71919584798</v>
      </c>
      <c r="H15519" s="56">
        <v>1.1092045282420917E-2</v>
      </c>
      <c r="I15519" s="224" t="s">
        <v>2</v>
      </c>
    </row>
    <row r="15520" spans="1:9" x14ac:dyDescent="0.25">
      <c r="A15520" s="515">
        <v>16156</v>
      </c>
      <c r="B15520" s="515" t="s">
        <v>652</v>
      </c>
      <c r="C15520" s="52">
        <v>211656.576094363</v>
      </c>
      <c r="D15520" s="56">
        <v>7.1349114818600817E-2</v>
      </c>
      <c r="E15520" s="224" t="s">
        <v>2</v>
      </c>
      <c r="F15520" s="515" t="s">
        <v>16698</v>
      </c>
      <c r="G15520" s="52">
        <v>317495.064020194</v>
      </c>
      <c r="H15520" s="56">
        <v>0.14019874229175444</v>
      </c>
      <c r="I15520" s="224" t="s">
        <v>2</v>
      </c>
    </row>
    <row r="15521" spans="1:9" x14ac:dyDescent="0.25">
      <c r="A15521" s="515">
        <v>54725</v>
      </c>
      <c r="B15521" s="515" t="s">
        <v>731</v>
      </c>
      <c r="C15521" s="52">
        <v>226284.53200057001</v>
      </c>
      <c r="D15521" s="56">
        <v>7.1801588818406786E-2</v>
      </c>
      <c r="E15521" s="224" t="s">
        <v>2</v>
      </c>
      <c r="F15521" s="515" t="s">
        <v>16699</v>
      </c>
      <c r="G15521" s="52">
        <v>183797.21045424501</v>
      </c>
      <c r="H15521" s="56">
        <v>0</v>
      </c>
      <c r="I15521" s="224" t="s">
        <v>2</v>
      </c>
    </row>
    <row r="15522" spans="1:9" x14ac:dyDescent="0.25">
      <c r="A15522" s="515">
        <v>24656</v>
      </c>
      <c r="C15522" s="52">
        <v>78368.498415063397</v>
      </c>
      <c r="D15522" s="56">
        <v>0.11370051314185189</v>
      </c>
      <c r="E15522" s="224" t="s">
        <v>2</v>
      </c>
      <c r="F15522" s="515" t="s">
        <v>16700</v>
      </c>
      <c r="G15522" s="52">
        <v>370672.04986876599</v>
      </c>
      <c r="H15522" s="56">
        <v>0</v>
      </c>
      <c r="I15522" s="224" t="s">
        <v>2</v>
      </c>
    </row>
    <row r="15523" spans="1:9" x14ac:dyDescent="0.25">
      <c r="A15523" s="515">
        <v>60424</v>
      </c>
      <c r="B15523" s="515" t="s">
        <v>394</v>
      </c>
      <c r="C15523" s="52">
        <v>185904.960719261</v>
      </c>
      <c r="D15523" s="56">
        <v>3.9604816589885634E-2</v>
      </c>
      <c r="E15523" s="224" t="s">
        <v>2</v>
      </c>
      <c r="F15523" s="515" t="s">
        <v>16701</v>
      </c>
      <c r="G15523" s="52">
        <v>130702.446493397</v>
      </c>
      <c r="H15523" s="56">
        <v>8.4886572644219074E-2</v>
      </c>
      <c r="I15523" s="224" t="s">
        <v>2</v>
      </c>
    </row>
    <row r="15524" spans="1:9" x14ac:dyDescent="0.25">
      <c r="A15524" s="515">
        <v>50627</v>
      </c>
      <c r="C15524" s="52">
        <v>100011.879799676</v>
      </c>
      <c r="D15524" s="56">
        <v>0.14053666732850115</v>
      </c>
      <c r="E15524" s="224" t="s">
        <v>2</v>
      </c>
      <c r="F15524" s="515" t="s">
        <v>16702</v>
      </c>
      <c r="G15524" s="52">
        <v>511122.65998015599</v>
      </c>
      <c r="H15524" s="56">
        <v>4.21145438812566E-2</v>
      </c>
      <c r="I15524" s="224" t="s">
        <v>2</v>
      </c>
    </row>
    <row r="15525" spans="1:9" x14ac:dyDescent="0.25">
      <c r="A15525" s="515">
        <v>30711</v>
      </c>
      <c r="B15525" s="515" t="s">
        <v>769</v>
      </c>
      <c r="C15525" s="52">
        <v>181107.43938354999</v>
      </c>
      <c r="D15525" s="56">
        <v>3.8167168639962723E-2</v>
      </c>
      <c r="E15525" s="224" t="s">
        <v>2</v>
      </c>
      <c r="F15525" s="515" t="s">
        <v>16703</v>
      </c>
      <c r="G15525" s="52">
        <v>244379.24358479801</v>
      </c>
      <c r="H15525" s="56">
        <v>0.1187870422064751</v>
      </c>
      <c r="I15525" s="224" t="s">
        <v>2</v>
      </c>
    </row>
    <row r="15526" spans="1:9" x14ac:dyDescent="0.25">
      <c r="A15526" s="515">
        <v>31557</v>
      </c>
      <c r="B15526" s="515" t="s">
        <v>824</v>
      </c>
      <c r="C15526" s="52">
        <v>132465.85396969799</v>
      </c>
      <c r="D15526" s="56">
        <v>8.0311223219562286E-2</v>
      </c>
      <c r="E15526" s="224" t="s">
        <v>2</v>
      </c>
      <c r="F15526" s="515" t="s">
        <v>16704</v>
      </c>
      <c r="G15526" s="52">
        <v>77458.990884523504</v>
      </c>
      <c r="H15526" s="56">
        <v>9.9285604077460315E-2</v>
      </c>
      <c r="I15526" s="224" t="s">
        <v>2</v>
      </c>
    </row>
    <row r="15527" spans="1:9" x14ac:dyDescent="0.25">
      <c r="A15527" s="515">
        <v>44688</v>
      </c>
      <c r="B15527" s="515" t="s">
        <v>863</v>
      </c>
      <c r="C15527" s="52">
        <v>147525.23589759399</v>
      </c>
      <c r="D15527" s="56">
        <v>5.8460521918365579E-2</v>
      </c>
      <c r="E15527" s="224" t="s">
        <v>2</v>
      </c>
      <c r="F15527" s="515" t="s">
        <v>16705</v>
      </c>
      <c r="G15527" s="52">
        <v>106674.97883411001</v>
      </c>
      <c r="H15527" s="56">
        <v>6.8935185919379083E-2</v>
      </c>
      <c r="I15527" s="224" t="s">
        <v>2</v>
      </c>
    </row>
    <row r="15528" spans="1:9" x14ac:dyDescent="0.25">
      <c r="A15528" s="515">
        <v>41222</v>
      </c>
      <c r="C15528" s="52">
        <v>120852.062677897</v>
      </c>
      <c r="D15528" s="56">
        <v>0.11980980002052993</v>
      </c>
      <c r="E15528" s="224" t="s">
        <v>2</v>
      </c>
      <c r="F15528" s="515" t="s">
        <v>16706</v>
      </c>
      <c r="G15528" s="52">
        <v>105438.291623447</v>
      </c>
      <c r="H15528" s="56">
        <v>0.15983753133091863</v>
      </c>
      <c r="I15528" s="224" t="s">
        <v>2</v>
      </c>
    </row>
    <row r="15529" spans="1:9" x14ac:dyDescent="0.25">
      <c r="A15529" s="515">
        <v>2638</v>
      </c>
      <c r="B15529" s="515" t="s">
        <v>427</v>
      </c>
      <c r="C15529" s="52">
        <v>815781.86182964104</v>
      </c>
      <c r="D15529" s="56">
        <v>9.1819929578539308E-2</v>
      </c>
      <c r="E15529" s="224" t="s">
        <v>2</v>
      </c>
      <c r="F15529" s="515" t="s">
        <v>16707</v>
      </c>
      <c r="G15529" s="52">
        <v>156563.308728309</v>
      </c>
      <c r="H15529" s="56">
        <v>2.596420184290631E-2</v>
      </c>
      <c r="I15529" s="224" t="s">
        <v>2</v>
      </c>
    </row>
    <row r="15530" spans="1:9" x14ac:dyDescent="0.25">
      <c r="A15530" s="515">
        <v>56435</v>
      </c>
      <c r="B15530" s="515" t="s">
        <v>674</v>
      </c>
      <c r="C15530" s="52">
        <v>248003.62354735701</v>
      </c>
      <c r="D15530" s="56">
        <v>7.5736985685207134E-2</v>
      </c>
      <c r="E15530" s="224" t="s">
        <v>2</v>
      </c>
      <c r="F15530" s="515" t="s">
        <v>16708</v>
      </c>
      <c r="G15530" s="52">
        <v>485783.134732251</v>
      </c>
      <c r="H15530" s="56">
        <v>6.8673309685293338E-2</v>
      </c>
      <c r="I15530" s="224" t="s">
        <v>2</v>
      </c>
    </row>
    <row r="15531" spans="1:9" x14ac:dyDescent="0.25">
      <c r="A15531" s="515">
        <v>49621</v>
      </c>
      <c r="B15531" s="515" t="s">
        <v>366</v>
      </c>
      <c r="C15531" s="52">
        <v>392777.86656721501</v>
      </c>
      <c r="D15531" s="56">
        <v>0.1061456375591269</v>
      </c>
      <c r="E15531" s="224" t="s">
        <v>2</v>
      </c>
      <c r="F15531" s="515" t="s">
        <v>16709</v>
      </c>
      <c r="G15531" s="52">
        <v>159172.633429359</v>
      </c>
      <c r="H15531" s="56">
        <v>5.6266307942326836E-2</v>
      </c>
      <c r="I15531" s="224" t="s">
        <v>2</v>
      </c>
    </row>
    <row r="15532" spans="1:9" x14ac:dyDescent="0.25">
      <c r="A15532" s="515">
        <v>52228</v>
      </c>
      <c r="B15532" s="515" t="s">
        <v>404</v>
      </c>
      <c r="C15532" s="52">
        <v>304391.33481685602</v>
      </c>
      <c r="D15532" s="56">
        <v>7.7247373201055E-2</v>
      </c>
      <c r="E15532" s="224" t="s">
        <v>2</v>
      </c>
      <c r="F15532" s="515" t="s">
        <v>16710</v>
      </c>
      <c r="G15532" s="52">
        <v>117896.840078116</v>
      </c>
      <c r="H15532" s="56">
        <v>0</v>
      </c>
      <c r="I15532" s="224" t="s">
        <v>2</v>
      </c>
    </row>
    <row r="15533" spans="1:9" x14ac:dyDescent="0.25">
      <c r="A15533" s="515">
        <v>37317</v>
      </c>
      <c r="B15533" s="515" t="s">
        <v>918</v>
      </c>
      <c r="C15533" s="52">
        <v>160840.58893742401</v>
      </c>
      <c r="D15533" s="56">
        <v>2.5865049764625392E-2</v>
      </c>
      <c r="E15533" s="224" t="s">
        <v>2</v>
      </c>
      <c r="F15533" s="515" t="s">
        <v>16711</v>
      </c>
      <c r="G15533" s="52">
        <v>200259.024656514</v>
      </c>
      <c r="H15533" s="56">
        <v>0.11345466880410394</v>
      </c>
      <c r="I15533" s="224" t="s">
        <v>2</v>
      </c>
    </row>
    <row r="15534" spans="1:9" x14ac:dyDescent="0.25">
      <c r="A15534" s="515">
        <v>22624</v>
      </c>
      <c r="B15534" s="515" t="s">
        <v>629</v>
      </c>
      <c r="C15534" s="52">
        <v>406026.72881574999</v>
      </c>
      <c r="D15534" s="56">
        <v>5.4936461381241378E-2</v>
      </c>
      <c r="E15534" s="224" t="s">
        <v>2</v>
      </c>
      <c r="F15534" s="515" t="s">
        <v>16712</v>
      </c>
      <c r="G15534" s="52">
        <v>258906.96945977499</v>
      </c>
      <c r="H15534" s="56">
        <v>5.2991457138631612E-2</v>
      </c>
      <c r="I15534" s="224" t="s">
        <v>2</v>
      </c>
    </row>
    <row r="15535" spans="1:9" x14ac:dyDescent="0.25">
      <c r="A15535" s="515">
        <v>47305</v>
      </c>
      <c r="B15535" s="515" t="s">
        <v>1154</v>
      </c>
      <c r="C15535" s="52">
        <v>57089.2399713044</v>
      </c>
      <c r="D15535" s="56">
        <v>0.10447143304329697</v>
      </c>
      <c r="E15535" s="224">
        <v>850</v>
      </c>
      <c r="F15535" s="515" t="s">
        <v>16713</v>
      </c>
      <c r="G15535" s="52">
        <v>218088.900809507</v>
      </c>
      <c r="H15535" s="56">
        <v>6.2040768933848627E-2</v>
      </c>
      <c r="I15535" s="224" t="s">
        <v>2</v>
      </c>
    </row>
    <row r="15536" spans="1:9" x14ac:dyDescent="0.25">
      <c r="A15536" s="515">
        <v>61842</v>
      </c>
      <c r="C15536" s="52">
        <v>131018.81285796801</v>
      </c>
      <c r="D15536" s="56">
        <v>4.9906666054693669E-2</v>
      </c>
      <c r="E15536" s="224" t="s">
        <v>2</v>
      </c>
      <c r="F15536" s="515" t="s">
        <v>16714</v>
      </c>
      <c r="G15536" s="52">
        <v>399325.342280921</v>
      </c>
      <c r="H15536" s="56">
        <v>8.3719501511859418E-2</v>
      </c>
      <c r="I15536" s="224" t="s">
        <v>2</v>
      </c>
    </row>
    <row r="15537" spans="1:9" x14ac:dyDescent="0.25">
      <c r="A15537" s="515">
        <v>67030</v>
      </c>
      <c r="B15537" s="515" t="s">
        <v>485</v>
      </c>
      <c r="C15537" s="52">
        <v>272760.49348988698</v>
      </c>
      <c r="D15537" s="56">
        <v>6.9321243516227718E-2</v>
      </c>
      <c r="E15537" s="224" t="s">
        <v>2</v>
      </c>
      <c r="F15537" s="515" t="s">
        <v>16715</v>
      </c>
      <c r="G15537" s="52">
        <v>308264.88468677102</v>
      </c>
      <c r="H15537" s="56">
        <v>5.7534393391113894E-2</v>
      </c>
      <c r="I15537" s="224" t="s">
        <v>2</v>
      </c>
    </row>
    <row r="15538" spans="1:9" x14ac:dyDescent="0.25">
      <c r="A15538" s="515">
        <v>35621</v>
      </c>
      <c r="B15538" s="515" t="s">
        <v>1007</v>
      </c>
      <c r="C15538" s="52">
        <v>186703.63036968801</v>
      </c>
      <c r="D15538" s="56">
        <v>2.0923853762509107E-2</v>
      </c>
      <c r="E15538" s="224" t="s">
        <v>2</v>
      </c>
      <c r="F15538" s="515" t="s">
        <v>16716</v>
      </c>
      <c r="G15538" s="52">
        <v>232360.118568267</v>
      </c>
      <c r="H15538" s="56">
        <v>7.1606307642950048E-2</v>
      </c>
      <c r="I15538" s="224" t="s">
        <v>2</v>
      </c>
    </row>
    <row r="15539" spans="1:9" x14ac:dyDescent="0.25">
      <c r="A15539" s="515">
        <v>1529</v>
      </c>
      <c r="B15539" s="515" t="s">
        <v>751</v>
      </c>
      <c r="C15539" s="52">
        <v>410201.60636483098</v>
      </c>
      <c r="D15539" s="56">
        <v>8.2133946321036683E-2</v>
      </c>
      <c r="E15539" s="224" t="s">
        <v>2</v>
      </c>
      <c r="F15539" s="515" t="s">
        <v>16717</v>
      </c>
      <c r="G15539" s="52">
        <v>124661.372846381</v>
      </c>
      <c r="H15539" s="56">
        <v>7.947256709784993E-2</v>
      </c>
      <c r="I15539" s="224" t="s">
        <v>2</v>
      </c>
    </row>
    <row r="15540" spans="1:9" x14ac:dyDescent="0.25">
      <c r="A15540" s="515">
        <v>54767</v>
      </c>
      <c r="B15540" s="515" t="s">
        <v>532</v>
      </c>
      <c r="C15540" s="52">
        <v>254869.97457187201</v>
      </c>
      <c r="D15540" s="56">
        <v>8.7038449637468596E-2</v>
      </c>
      <c r="E15540" s="224" t="s">
        <v>2</v>
      </c>
      <c r="F15540" s="515" t="s">
        <v>16718</v>
      </c>
      <c r="G15540" s="52">
        <v>127863.65338333099</v>
      </c>
      <c r="H15540" s="56">
        <v>2.8689107424839808E-2</v>
      </c>
      <c r="I15540" s="224" t="s">
        <v>2</v>
      </c>
    </row>
    <row r="15541" spans="1:9" x14ac:dyDescent="0.25">
      <c r="A15541" s="515">
        <v>2562</v>
      </c>
      <c r="B15541" s="515" t="s">
        <v>427</v>
      </c>
      <c r="C15541" s="52">
        <v>604782.66418950097</v>
      </c>
      <c r="D15541" s="56">
        <v>0.11324685799733966</v>
      </c>
      <c r="E15541" s="224" t="s">
        <v>2</v>
      </c>
      <c r="F15541" s="515" t="s">
        <v>16719</v>
      </c>
      <c r="G15541" s="52">
        <v>269660.89061676699</v>
      </c>
      <c r="H15541" s="56">
        <v>3.229983367721867E-2</v>
      </c>
      <c r="I15541" s="224" t="s">
        <v>2</v>
      </c>
    </row>
    <row r="15542" spans="1:9" x14ac:dyDescent="0.25">
      <c r="A15542" s="515">
        <v>43412</v>
      </c>
      <c r="B15542" s="515" t="s">
        <v>300</v>
      </c>
      <c r="C15542" s="52">
        <v>191376.50546523</v>
      </c>
      <c r="D15542" s="56">
        <v>9.1273627569964141E-2</v>
      </c>
      <c r="E15542" s="224" t="s">
        <v>2</v>
      </c>
      <c r="F15542" s="515" t="s">
        <v>16720</v>
      </c>
      <c r="G15542" s="52">
        <v>300044.85195915803</v>
      </c>
      <c r="H15542" s="56">
        <v>0</v>
      </c>
      <c r="I15542" s="224" t="s">
        <v>2</v>
      </c>
    </row>
    <row r="15543" spans="1:9" x14ac:dyDescent="0.25">
      <c r="A15543" s="515">
        <v>83639</v>
      </c>
      <c r="B15543" s="515" t="s">
        <v>500</v>
      </c>
      <c r="C15543" s="52">
        <v>407640.827774479</v>
      </c>
      <c r="D15543" s="56">
        <v>1.10192054064538E-2</v>
      </c>
      <c r="E15543" s="224" t="s">
        <v>2</v>
      </c>
      <c r="F15543" s="515" t="s">
        <v>16721</v>
      </c>
      <c r="G15543" s="52">
        <v>216048.69262826501</v>
      </c>
      <c r="H15543" s="56">
        <v>7.9175692442996021E-2</v>
      </c>
      <c r="I15543" s="224" t="s">
        <v>2</v>
      </c>
    </row>
    <row r="15544" spans="1:9" x14ac:dyDescent="0.25">
      <c r="A15544" s="515">
        <v>15901</v>
      </c>
      <c r="B15544" s="515" t="s">
        <v>828</v>
      </c>
      <c r="C15544" s="52">
        <v>27968.937162249</v>
      </c>
      <c r="D15544" s="56">
        <v>-7.3254988645656159E-3</v>
      </c>
      <c r="E15544" s="224" t="s">
        <v>2</v>
      </c>
      <c r="F15544" s="515" t="s">
        <v>16722</v>
      </c>
      <c r="G15544" s="52">
        <v>148463.227482435</v>
      </c>
      <c r="H15544" s="56">
        <v>0.10643806757440229</v>
      </c>
      <c r="I15544" s="224" t="s">
        <v>2</v>
      </c>
    </row>
    <row r="15545" spans="1:9" x14ac:dyDescent="0.25">
      <c r="A15545" s="515">
        <v>65452</v>
      </c>
      <c r="B15545" s="515" t="s">
        <v>1055</v>
      </c>
      <c r="C15545" s="52">
        <v>161089.90742761799</v>
      </c>
      <c r="D15545" s="56">
        <v>0.13702083321465841</v>
      </c>
      <c r="E15545" s="224" t="s">
        <v>2</v>
      </c>
      <c r="F15545" s="515" t="s">
        <v>16723</v>
      </c>
      <c r="G15545" s="52">
        <v>471809.52890782402</v>
      </c>
      <c r="H15545" s="56">
        <v>0.12421535618342876</v>
      </c>
      <c r="I15545" s="224" t="s">
        <v>2</v>
      </c>
    </row>
    <row r="15546" spans="1:9" x14ac:dyDescent="0.25">
      <c r="A15546" s="515">
        <v>97041</v>
      </c>
      <c r="B15546" s="515" t="s">
        <v>1109</v>
      </c>
      <c r="C15546" s="52">
        <v>644831.32092427195</v>
      </c>
      <c r="D15546" s="56">
        <v>1.1986262825936915E-2</v>
      </c>
      <c r="E15546" s="224" t="s">
        <v>2</v>
      </c>
      <c r="F15546" s="515" t="s">
        <v>16724</v>
      </c>
      <c r="G15546" s="52">
        <v>89934.537073393498</v>
      </c>
      <c r="H15546" s="56">
        <v>8.2241348809130158E-2</v>
      </c>
      <c r="I15546" s="224" t="s">
        <v>2</v>
      </c>
    </row>
    <row r="15547" spans="1:9" x14ac:dyDescent="0.25">
      <c r="A15547" s="515">
        <v>13478</v>
      </c>
      <c r="B15547" s="515" t="s">
        <v>543</v>
      </c>
      <c r="C15547" s="52">
        <v>190179.34968501801</v>
      </c>
      <c r="D15547" s="56">
        <v>8.4892975284286798E-2</v>
      </c>
      <c r="E15547" s="224" t="s">
        <v>2</v>
      </c>
      <c r="F15547" s="515" t="s">
        <v>16725</v>
      </c>
      <c r="G15547" s="52">
        <v>212723.51157867099</v>
      </c>
      <c r="H15547" s="56">
        <v>2.9229028092137094E-2</v>
      </c>
      <c r="I15547" s="224" t="s">
        <v>2</v>
      </c>
    </row>
    <row r="15548" spans="1:9" x14ac:dyDescent="0.25">
      <c r="A15548" s="515">
        <v>48851</v>
      </c>
      <c r="B15548" s="515" t="s">
        <v>631</v>
      </c>
      <c r="C15548" s="52">
        <v>188870.440458606</v>
      </c>
      <c r="D15548" s="56">
        <v>7.8766351031115303E-2</v>
      </c>
      <c r="E15548" s="224" t="s">
        <v>2</v>
      </c>
      <c r="F15548" s="515" t="s">
        <v>16726</v>
      </c>
      <c r="G15548" s="52">
        <v>125106.407209382</v>
      </c>
      <c r="H15548" s="56">
        <v>5.0047908231202462E-2</v>
      </c>
      <c r="I15548" s="224" t="s">
        <v>2</v>
      </c>
    </row>
    <row r="15549" spans="1:9" x14ac:dyDescent="0.25">
      <c r="A15549" s="515">
        <v>75974</v>
      </c>
      <c r="C15549" s="52">
        <v>155817.68247654001</v>
      </c>
      <c r="D15549" s="56">
        <v>-4.9639608274409296E-2</v>
      </c>
      <c r="E15549" s="224" t="s">
        <v>2</v>
      </c>
      <c r="F15549" s="515" t="s">
        <v>16727</v>
      </c>
      <c r="G15549" s="52">
        <v>275429.82791332703</v>
      </c>
      <c r="H15549" s="56">
        <v>0.10854861411150545</v>
      </c>
      <c r="I15549" s="224" t="s">
        <v>2</v>
      </c>
    </row>
    <row r="15550" spans="1:9" x14ac:dyDescent="0.25">
      <c r="A15550" s="515">
        <v>31749</v>
      </c>
      <c r="C15550" s="52">
        <v>106682.335762901</v>
      </c>
      <c r="D15550" s="56">
        <v>-4.8766486046207695E-2</v>
      </c>
      <c r="E15550" s="224" t="s">
        <v>2</v>
      </c>
      <c r="F15550" s="515" t="s">
        <v>16728</v>
      </c>
      <c r="G15550" s="52">
        <v>147534.60967326901</v>
      </c>
      <c r="H15550" s="56">
        <v>0.19859942143990708</v>
      </c>
      <c r="I15550" s="224" t="s">
        <v>2</v>
      </c>
    </row>
    <row r="15551" spans="1:9" x14ac:dyDescent="0.25">
      <c r="A15551" s="515">
        <v>80926</v>
      </c>
      <c r="B15551" s="515" t="s">
        <v>701</v>
      </c>
      <c r="C15551" s="52">
        <v>621132.376102173</v>
      </c>
      <c r="D15551" s="56">
        <v>2.4851262896255593E-2</v>
      </c>
      <c r="E15551" s="224" t="s">
        <v>2</v>
      </c>
      <c r="F15551" s="515" t="s">
        <v>16729</v>
      </c>
      <c r="G15551" s="52">
        <v>139953.66244334</v>
      </c>
      <c r="H15551" s="56">
        <v>5.3494617161459514E-2</v>
      </c>
      <c r="I15551" s="224" t="s">
        <v>2</v>
      </c>
    </row>
    <row r="15552" spans="1:9" x14ac:dyDescent="0.25">
      <c r="A15552" s="515">
        <v>61559</v>
      </c>
      <c r="B15552" s="515" t="s">
        <v>303</v>
      </c>
      <c r="C15552" s="52">
        <v>169092.616112255</v>
      </c>
      <c r="D15552" s="56">
        <v>8.0163509528420343E-2</v>
      </c>
      <c r="E15552" s="224" t="s">
        <v>2</v>
      </c>
      <c r="F15552" s="515" t="s">
        <v>16730</v>
      </c>
      <c r="G15552" s="52">
        <v>436321.31882289902</v>
      </c>
      <c r="H15552" s="56">
        <v>7.8704506303992727E-2</v>
      </c>
      <c r="I15552" s="224" t="s">
        <v>2</v>
      </c>
    </row>
    <row r="15553" spans="1:9" x14ac:dyDescent="0.25">
      <c r="A15553" s="515">
        <v>29458</v>
      </c>
      <c r="B15553" s="515" t="s">
        <v>1009</v>
      </c>
      <c r="C15553" s="52">
        <v>359029.22858851502</v>
      </c>
      <c r="D15553" s="56">
        <v>0.16226707118053263</v>
      </c>
      <c r="E15553" s="224" t="s">
        <v>2</v>
      </c>
      <c r="F15553" s="515" t="s">
        <v>16731</v>
      </c>
      <c r="G15553" s="52">
        <v>187475.190962586</v>
      </c>
      <c r="H15553" s="56">
        <v>0.10706636562250522</v>
      </c>
      <c r="I15553" s="224" t="s">
        <v>2</v>
      </c>
    </row>
    <row r="15554" spans="1:9" x14ac:dyDescent="0.25">
      <c r="A15554" s="515">
        <v>21132</v>
      </c>
      <c r="B15554" s="515" t="s">
        <v>582</v>
      </c>
      <c r="C15554" s="52">
        <v>456721.31165193801</v>
      </c>
      <c r="D15554" s="56">
        <v>3.5383243437869971E-2</v>
      </c>
      <c r="E15554" s="224" t="s">
        <v>2</v>
      </c>
      <c r="F15554" s="515" t="s">
        <v>16732</v>
      </c>
      <c r="G15554" s="52">
        <v>158612.209836908</v>
      </c>
      <c r="H15554" s="56">
        <v>4.0898464056868859E-2</v>
      </c>
      <c r="I15554" s="224" t="s">
        <v>2</v>
      </c>
    </row>
    <row r="15555" spans="1:9" x14ac:dyDescent="0.25">
      <c r="A15555" s="515">
        <v>38477</v>
      </c>
      <c r="C15555" s="52">
        <v>201193.97014167599</v>
      </c>
      <c r="D15555" s="56">
        <v>9.7583235237522395E-2</v>
      </c>
      <c r="E15555" s="224" t="s">
        <v>2</v>
      </c>
      <c r="F15555" s="515" t="s">
        <v>16733</v>
      </c>
      <c r="G15555" s="52">
        <v>238554.976053169</v>
      </c>
      <c r="H15555" s="56">
        <v>8.6480292990352856E-2</v>
      </c>
      <c r="I15555" s="224" t="s">
        <v>2</v>
      </c>
    </row>
    <row r="15556" spans="1:9" x14ac:dyDescent="0.25">
      <c r="A15556" s="515">
        <v>71957</v>
      </c>
      <c r="C15556" s="52">
        <v>184232.01441134699</v>
      </c>
      <c r="D15556" s="56">
        <v>6.8626885234590929E-2</v>
      </c>
      <c r="E15556" s="224" t="s">
        <v>2</v>
      </c>
      <c r="F15556" s="515" t="s">
        <v>16734</v>
      </c>
      <c r="G15556" s="52">
        <v>116043.431055623</v>
      </c>
      <c r="H15556" s="56">
        <v>4.4748208226130258E-2</v>
      </c>
      <c r="I15556" s="224" t="s">
        <v>2</v>
      </c>
    </row>
    <row r="15557" spans="1:9" x14ac:dyDescent="0.25">
      <c r="A15557" s="515">
        <v>2559</v>
      </c>
      <c r="B15557" s="515" t="s">
        <v>427</v>
      </c>
      <c r="C15557" s="52">
        <v>610551.60704667796</v>
      </c>
      <c r="D15557" s="56">
        <v>0.10118025849257092</v>
      </c>
      <c r="E15557" s="224" t="s">
        <v>2</v>
      </c>
      <c r="F15557" s="515" t="s">
        <v>16735</v>
      </c>
      <c r="G15557" s="52">
        <v>154979.703742955</v>
      </c>
      <c r="H15557" s="56">
        <v>0</v>
      </c>
      <c r="I15557" s="224" t="s">
        <v>2</v>
      </c>
    </row>
    <row r="15558" spans="1:9" x14ac:dyDescent="0.25">
      <c r="A15558" s="515">
        <v>75661</v>
      </c>
      <c r="B15558" s="515" t="s">
        <v>319</v>
      </c>
      <c r="C15558" s="52">
        <v>168877.75329130201</v>
      </c>
      <c r="D15558" s="56">
        <v>5.9377213897123075E-3</v>
      </c>
      <c r="E15558" s="224" t="s">
        <v>2</v>
      </c>
      <c r="F15558" s="515" t="s">
        <v>16736</v>
      </c>
      <c r="G15558" s="52">
        <v>179514.87836030699</v>
      </c>
      <c r="H15558" s="56">
        <v>0.10341768712129001</v>
      </c>
      <c r="I15558" s="224" t="s">
        <v>2</v>
      </c>
    </row>
    <row r="15559" spans="1:9" x14ac:dyDescent="0.25">
      <c r="A15559" s="515">
        <v>13743</v>
      </c>
      <c r="B15559" s="515" t="s">
        <v>840</v>
      </c>
      <c r="C15559" s="52">
        <v>157715.4999575</v>
      </c>
      <c r="D15559" s="56">
        <v>0.11974731813236481</v>
      </c>
      <c r="E15559" s="224" t="s">
        <v>2</v>
      </c>
      <c r="F15559" s="515" t="s">
        <v>16737</v>
      </c>
      <c r="G15559" s="52">
        <v>204358.48670521399</v>
      </c>
      <c r="H15559" s="56">
        <v>7.9988975456439126E-2</v>
      </c>
      <c r="I15559" s="224" t="s">
        <v>2</v>
      </c>
    </row>
    <row r="15560" spans="1:9" x14ac:dyDescent="0.25">
      <c r="A15560" s="515">
        <v>49870</v>
      </c>
      <c r="B15560" s="515" t="s">
        <v>990</v>
      </c>
      <c r="C15560" s="52">
        <v>107001.17220888801</v>
      </c>
      <c r="D15560" s="56">
        <v>0.1111180778282346</v>
      </c>
      <c r="E15560" s="224" t="s">
        <v>2</v>
      </c>
      <c r="F15560" s="515" t="s">
        <v>16738</v>
      </c>
      <c r="G15560" s="52">
        <v>221574.474049018</v>
      </c>
      <c r="H15560" s="56">
        <v>2.3777004303427961E-2</v>
      </c>
      <c r="I15560" s="224" t="s">
        <v>2</v>
      </c>
    </row>
    <row r="15561" spans="1:9" x14ac:dyDescent="0.25">
      <c r="A15561" s="515">
        <v>12068</v>
      </c>
      <c r="B15561" s="515" t="s">
        <v>378</v>
      </c>
      <c r="C15561" s="52">
        <v>180579.87383669199</v>
      </c>
      <c r="D15561" s="56">
        <v>9.5873870311149884E-2</v>
      </c>
      <c r="E15561" s="224" t="s">
        <v>2</v>
      </c>
      <c r="F15561" s="515" t="s">
        <v>16739</v>
      </c>
      <c r="G15561" s="52">
        <v>421689.75717415102</v>
      </c>
      <c r="H15561" s="56">
        <v>0.12543663372852923</v>
      </c>
      <c r="I15561" s="224" t="s">
        <v>2</v>
      </c>
    </row>
    <row r="15562" spans="1:9" x14ac:dyDescent="0.25">
      <c r="A15562" s="515">
        <v>4040</v>
      </c>
      <c r="B15562" s="515" t="s">
        <v>570</v>
      </c>
      <c r="C15562" s="52">
        <v>343028.14036590001</v>
      </c>
      <c r="D15562" s="56">
        <v>8.1320948037765198E-2</v>
      </c>
      <c r="E15562" s="224" t="s">
        <v>2</v>
      </c>
      <c r="F15562" s="515" t="s">
        <v>16740</v>
      </c>
      <c r="G15562" s="52">
        <v>163139.81818381901</v>
      </c>
      <c r="H15562" s="56">
        <v>0.11387184117573008</v>
      </c>
      <c r="I15562" s="224" t="s">
        <v>2</v>
      </c>
    </row>
    <row r="15563" spans="1:9" x14ac:dyDescent="0.25">
      <c r="A15563" s="515">
        <v>92539</v>
      </c>
      <c r="B15563" s="515" t="s">
        <v>599</v>
      </c>
      <c r="C15563" s="52">
        <v>392834.77757224598</v>
      </c>
      <c r="D15563" s="56">
        <v>1.2450746640039455E-3</v>
      </c>
      <c r="E15563" s="224" t="s">
        <v>2</v>
      </c>
      <c r="F15563" s="515" t="s">
        <v>16741</v>
      </c>
      <c r="G15563" s="52">
        <v>160310.794128393</v>
      </c>
      <c r="H15563" s="56">
        <v>4.1741937916015669E-3</v>
      </c>
      <c r="I15563" s="224" t="s">
        <v>2</v>
      </c>
    </row>
    <row r="15564" spans="1:9" x14ac:dyDescent="0.25">
      <c r="A15564" s="515">
        <v>18446</v>
      </c>
      <c r="B15564" s="515" t="s">
        <v>512</v>
      </c>
      <c r="C15564" s="52">
        <v>180525.047329886</v>
      </c>
      <c r="D15564" s="56">
        <v>-2.5721378004623006E-2</v>
      </c>
      <c r="E15564" s="224" t="s">
        <v>2</v>
      </c>
      <c r="F15564" s="515" t="s">
        <v>16742</v>
      </c>
      <c r="G15564" s="52">
        <v>417672.31935185398</v>
      </c>
      <c r="H15564" s="56">
        <v>1.884784196368542E-2</v>
      </c>
      <c r="I15564" s="224" t="s">
        <v>2</v>
      </c>
    </row>
    <row r="15565" spans="1:9" x14ac:dyDescent="0.25">
      <c r="A15565" s="515">
        <v>72021</v>
      </c>
      <c r="C15565" s="52">
        <v>52765.866530070904</v>
      </c>
      <c r="D15565" s="56">
        <v>-1.8068289966116691E-2</v>
      </c>
      <c r="E15565" s="224" t="s">
        <v>2</v>
      </c>
      <c r="F15565" s="515" t="s">
        <v>16743</v>
      </c>
      <c r="G15565" s="52">
        <v>396145.25384069298</v>
      </c>
      <c r="H15565" s="56">
        <v>8.3990444707083514E-2</v>
      </c>
      <c r="I15565" s="224" t="s">
        <v>2</v>
      </c>
    </row>
    <row r="15566" spans="1:9" x14ac:dyDescent="0.25">
      <c r="A15566" s="515">
        <v>86432</v>
      </c>
      <c r="B15566" s="515" t="s">
        <v>453</v>
      </c>
      <c r="C15566" s="52">
        <v>335326.26361186302</v>
      </c>
      <c r="D15566" s="56">
        <v>7.3911262644131601E-2</v>
      </c>
      <c r="E15566" s="224" t="s">
        <v>2</v>
      </c>
      <c r="F15566" s="515" t="s">
        <v>16744</v>
      </c>
      <c r="G15566" s="52">
        <v>114803.27382450399</v>
      </c>
      <c r="H15566" s="56">
        <v>4.4123018155234062E-2</v>
      </c>
      <c r="I15566" s="224" t="s">
        <v>2</v>
      </c>
    </row>
    <row r="15567" spans="1:9" x14ac:dyDescent="0.25">
      <c r="A15567" s="515">
        <v>46914</v>
      </c>
      <c r="B15567" s="515" t="s">
        <v>547</v>
      </c>
      <c r="C15567" s="52">
        <v>169555.20666940301</v>
      </c>
      <c r="D15567" s="56">
        <v>2.7974678644634449E-2</v>
      </c>
      <c r="E15567" s="224" t="s">
        <v>2</v>
      </c>
      <c r="F15567" s="515" t="s">
        <v>16745</v>
      </c>
      <c r="G15567" s="52">
        <v>115023.00682846</v>
      </c>
      <c r="H15567" s="56">
        <v>-7.8768196347286136E-3</v>
      </c>
      <c r="I15567" s="224" t="s">
        <v>2</v>
      </c>
    </row>
    <row r="15568" spans="1:9" x14ac:dyDescent="0.25">
      <c r="A15568" s="515">
        <v>37408</v>
      </c>
      <c r="B15568" s="515" t="s">
        <v>622</v>
      </c>
      <c r="C15568" s="52">
        <v>410499.61877934501</v>
      </c>
      <c r="D15568" s="56">
        <v>9.1248577144891374E-2</v>
      </c>
      <c r="E15568" s="224">
        <v>2837.5</v>
      </c>
      <c r="F15568" s="515" t="s">
        <v>16746</v>
      </c>
      <c r="G15568" s="52">
        <v>42647.361500529398</v>
      </c>
      <c r="H15568" s="56">
        <v>0</v>
      </c>
      <c r="I15568" s="224" t="s">
        <v>2</v>
      </c>
    </row>
    <row r="15569" spans="1:9" x14ac:dyDescent="0.25">
      <c r="A15569" s="515">
        <v>72020</v>
      </c>
      <c r="C15569" s="52">
        <v>91349.633438151694</v>
      </c>
      <c r="D15569" s="56">
        <v>3.8182377401885036E-2</v>
      </c>
      <c r="E15569" s="224" t="s">
        <v>2</v>
      </c>
      <c r="F15569" s="515" t="s">
        <v>16747</v>
      </c>
      <c r="G15569" s="52">
        <v>487438.65445279801</v>
      </c>
      <c r="H15569" s="56">
        <v>9.2763714727694582E-2</v>
      </c>
      <c r="I15569" s="224" t="s">
        <v>2</v>
      </c>
    </row>
    <row r="15570" spans="1:9" x14ac:dyDescent="0.25">
      <c r="A15570" s="515">
        <v>55003</v>
      </c>
      <c r="B15570" s="515" t="s">
        <v>532</v>
      </c>
      <c r="C15570" s="52">
        <v>375729.846461398</v>
      </c>
      <c r="D15570" s="56">
        <v>4.8019231661592179E-2</v>
      </c>
      <c r="E15570" s="224" t="s">
        <v>2</v>
      </c>
      <c r="F15570" s="515" t="s">
        <v>16748</v>
      </c>
      <c r="G15570" s="52">
        <v>126750.54440991901</v>
      </c>
      <c r="H15570" s="56">
        <v>9.0869562375872709E-2</v>
      </c>
      <c r="I15570" s="224" t="s">
        <v>2</v>
      </c>
    </row>
    <row r="15571" spans="1:9" x14ac:dyDescent="0.25">
      <c r="A15571" s="515">
        <v>4217</v>
      </c>
      <c r="C15571" s="52">
        <v>364662.26068238402</v>
      </c>
      <c r="D15571" s="56">
        <v>0.1339961517502655</v>
      </c>
      <c r="E15571" s="224" t="s">
        <v>2</v>
      </c>
      <c r="F15571" s="515" t="s">
        <v>16749</v>
      </c>
      <c r="G15571" s="52">
        <v>126677.50605158</v>
      </c>
      <c r="H15571" s="56">
        <v>-1.0549785927218218E-2</v>
      </c>
      <c r="I15571" s="224" t="s">
        <v>2</v>
      </c>
    </row>
    <row r="15572" spans="1:9" x14ac:dyDescent="0.25">
      <c r="A15572" s="515">
        <v>17834</v>
      </c>
      <c r="B15572" s="515" t="s">
        <v>939</v>
      </c>
      <c r="C15572" s="52">
        <v>63250.606744863297</v>
      </c>
      <c r="D15572" s="56">
        <v>4.8401942813586153E-2</v>
      </c>
      <c r="E15572" s="224" t="s">
        <v>2</v>
      </c>
      <c r="F15572" s="515" t="s">
        <v>16750</v>
      </c>
      <c r="G15572" s="52">
        <v>169672.99122672601</v>
      </c>
      <c r="H15572" s="56">
        <v>6.8793857307197406E-2</v>
      </c>
      <c r="I15572" s="224" t="s">
        <v>2</v>
      </c>
    </row>
    <row r="15573" spans="1:9" x14ac:dyDescent="0.25">
      <c r="A15573" s="515">
        <v>61277</v>
      </c>
      <c r="B15573" s="515" t="s">
        <v>756</v>
      </c>
      <c r="C15573" s="52">
        <v>122579.061033859</v>
      </c>
      <c r="D15573" s="56">
        <v>0.10265495979528183</v>
      </c>
      <c r="E15573" s="224" t="s">
        <v>2</v>
      </c>
      <c r="F15573" s="515" t="s">
        <v>16751</v>
      </c>
      <c r="G15573" s="52">
        <v>448568.144351147</v>
      </c>
      <c r="H15573" s="56">
        <v>0.10894064941358871</v>
      </c>
      <c r="I15573" s="224" t="s">
        <v>2</v>
      </c>
    </row>
    <row r="15574" spans="1:9" x14ac:dyDescent="0.25">
      <c r="A15574" s="515">
        <v>77426</v>
      </c>
      <c r="B15574" s="515" t="s">
        <v>962</v>
      </c>
      <c r="C15574" s="52">
        <v>501617.196429873</v>
      </c>
      <c r="D15574" s="56">
        <v>0.11167143951354805</v>
      </c>
      <c r="E15574" s="224" t="s">
        <v>2</v>
      </c>
      <c r="F15574" s="515" t="s">
        <v>16752</v>
      </c>
      <c r="G15574" s="52">
        <v>150347.25112043999</v>
      </c>
      <c r="H15574" s="56">
        <v>3.0753040994899335E-2</v>
      </c>
      <c r="I15574" s="224" t="s">
        <v>2</v>
      </c>
    </row>
    <row r="15575" spans="1:9" x14ac:dyDescent="0.25">
      <c r="A15575" s="515">
        <v>99343</v>
      </c>
      <c r="B15575" s="515" t="s">
        <v>1068</v>
      </c>
      <c r="C15575" s="52">
        <v>538810.24481319205</v>
      </c>
      <c r="D15575" s="56">
        <v>0.11258767987825868</v>
      </c>
      <c r="E15575" s="224" t="s">
        <v>2</v>
      </c>
      <c r="F15575" s="515" t="s">
        <v>16753</v>
      </c>
      <c r="G15575" s="52">
        <v>321879.85529108602</v>
      </c>
      <c r="H15575" s="56">
        <v>1.058666625662516E-2</v>
      </c>
      <c r="I15575" s="224" t="s">
        <v>2</v>
      </c>
    </row>
    <row r="15576" spans="1:9" x14ac:dyDescent="0.25">
      <c r="A15576" s="515">
        <v>15140</v>
      </c>
      <c r="B15576" s="515" t="s">
        <v>297</v>
      </c>
      <c r="C15576" s="52">
        <v>83767.958825782305</v>
      </c>
      <c r="D15576" s="56">
        <v>0.10432019554097968</v>
      </c>
      <c r="E15576" s="224" t="s">
        <v>2</v>
      </c>
      <c r="F15576" s="515" t="s">
        <v>5517</v>
      </c>
      <c r="G15576" s="52">
        <v>134150.77343398199</v>
      </c>
      <c r="H15576" s="56">
        <v>2.637165171460544E-2</v>
      </c>
      <c r="I15576" s="224" t="s">
        <v>2</v>
      </c>
    </row>
    <row r="15577" spans="1:9" x14ac:dyDescent="0.25">
      <c r="A15577" s="515">
        <v>37049</v>
      </c>
      <c r="B15577" s="515" t="s">
        <v>684</v>
      </c>
      <c r="C15577" s="52">
        <v>369823.51152826898</v>
      </c>
      <c r="D15577" s="56">
        <v>8.1760750307857677E-2</v>
      </c>
      <c r="E15577" s="224" t="s">
        <v>2</v>
      </c>
      <c r="F15577" s="515" t="s">
        <v>16754</v>
      </c>
      <c r="G15577" s="52">
        <v>126972.16170811901</v>
      </c>
      <c r="H15577" s="56">
        <v>7.5296994379771123E-2</v>
      </c>
      <c r="I15577" s="224" t="s">
        <v>2</v>
      </c>
    </row>
    <row r="15578" spans="1:9" x14ac:dyDescent="0.25">
      <c r="A15578" s="515">
        <v>94951</v>
      </c>
      <c r="B15578" s="515" t="s">
        <v>331</v>
      </c>
      <c r="C15578" s="52">
        <v>1150230.9473130701</v>
      </c>
      <c r="D15578" s="56">
        <v>-1.506966941713736E-2</v>
      </c>
      <c r="E15578" s="224" t="s">
        <v>2</v>
      </c>
      <c r="F15578" s="515" t="s">
        <v>16755</v>
      </c>
      <c r="G15578" s="52">
        <v>156268.95306005</v>
      </c>
      <c r="H15578" s="56">
        <v>9.6675998260947055E-2</v>
      </c>
      <c r="I15578" s="224" t="s">
        <v>2</v>
      </c>
    </row>
    <row r="15579" spans="1:9" x14ac:dyDescent="0.25">
      <c r="A15579" s="515">
        <v>49096</v>
      </c>
      <c r="B15579" s="515" t="s">
        <v>528</v>
      </c>
      <c r="C15579" s="52">
        <v>188784.23470239999</v>
      </c>
      <c r="D15579" s="56">
        <v>8.1084470751486296E-2</v>
      </c>
      <c r="E15579" s="224" t="s">
        <v>2</v>
      </c>
      <c r="F15579" s="515" t="s">
        <v>16756</v>
      </c>
      <c r="G15579" s="52">
        <v>424609.87960616098</v>
      </c>
      <c r="H15579" s="56">
        <v>5.8516363652950987E-2</v>
      </c>
      <c r="I15579" s="224" t="s">
        <v>2</v>
      </c>
    </row>
    <row r="15580" spans="1:9" x14ac:dyDescent="0.25">
      <c r="A15580" s="515">
        <v>3870</v>
      </c>
      <c r="B15580" s="515" t="s">
        <v>534</v>
      </c>
      <c r="C15580" s="52">
        <v>1007495.9409201</v>
      </c>
      <c r="D15580" s="56">
        <v>0.12389298569983175</v>
      </c>
      <c r="E15580" s="224" t="s">
        <v>2</v>
      </c>
      <c r="F15580" s="515" t="s">
        <v>16757</v>
      </c>
      <c r="G15580" s="52">
        <v>185237.64432516301</v>
      </c>
      <c r="H15580" s="56">
        <v>0.10769247319933352</v>
      </c>
      <c r="I15580" s="224" t="s">
        <v>2</v>
      </c>
    </row>
    <row r="15581" spans="1:9" x14ac:dyDescent="0.25">
      <c r="A15581" s="515">
        <v>83276</v>
      </c>
      <c r="C15581" s="52">
        <v>266399.96595906297</v>
      </c>
      <c r="D15581" s="56">
        <v>8.2278689920422962E-2</v>
      </c>
      <c r="E15581" s="224" t="s">
        <v>2</v>
      </c>
      <c r="F15581" s="515" t="s">
        <v>16758</v>
      </c>
      <c r="G15581" s="52">
        <v>208494.05012191299</v>
      </c>
      <c r="H15581" s="56">
        <v>0.14101112443495536</v>
      </c>
      <c r="I15581" s="224" t="s">
        <v>2</v>
      </c>
    </row>
    <row r="15582" spans="1:9" x14ac:dyDescent="0.25">
      <c r="A15582" s="515">
        <v>67835</v>
      </c>
      <c r="C15582" s="52">
        <v>191874.481666423</v>
      </c>
      <c r="D15582" s="56">
        <v>6.3537540468629417E-2</v>
      </c>
      <c r="E15582" s="224" t="s">
        <v>2</v>
      </c>
      <c r="F15582" s="515" t="s">
        <v>16759</v>
      </c>
      <c r="G15582" s="52">
        <v>254084.55661473199</v>
      </c>
      <c r="H15582" s="56">
        <v>8.7331769690260116E-2</v>
      </c>
      <c r="I15582" s="224" t="s">
        <v>2</v>
      </c>
    </row>
    <row r="15583" spans="1:9" x14ac:dyDescent="0.25">
      <c r="A15583" s="515">
        <v>44846</v>
      </c>
      <c r="B15583" s="515" t="s">
        <v>712</v>
      </c>
      <c r="C15583" s="52">
        <v>222475.57490235401</v>
      </c>
      <c r="D15583" s="56">
        <v>7.8929075601093912E-2</v>
      </c>
      <c r="E15583" s="224" t="s">
        <v>2</v>
      </c>
      <c r="F15583" s="515" t="s">
        <v>16760</v>
      </c>
      <c r="G15583" s="52">
        <v>163232.816989249</v>
      </c>
      <c r="H15583" s="56">
        <v>7.469378975644439E-2</v>
      </c>
      <c r="I15583" s="224" t="s">
        <v>2</v>
      </c>
    </row>
    <row r="15584" spans="1:9" x14ac:dyDescent="0.25">
      <c r="A15584" s="515">
        <v>28160</v>
      </c>
      <c r="B15584" s="515" t="s">
        <v>1128</v>
      </c>
      <c r="C15584" s="52">
        <v>128218.333695847</v>
      </c>
      <c r="D15584" s="56">
        <v>0.25122129753930478</v>
      </c>
      <c r="E15584" s="224" t="s">
        <v>2</v>
      </c>
      <c r="F15584" s="515" t="s">
        <v>16761</v>
      </c>
      <c r="G15584" s="52">
        <v>141393.73211633199</v>
      </c>
      <c r="H15584" s="56">
        <v>7.7222897295520371E-2</v>
      </c>
      <c r="I15584" s="224" t="s">
        <v>2</v>
      </c>
    </row>
    <row r="15585" spans="1:9" x14ac:dyDescent="0.25">
      <c r="A15585" s="515">
        <v>54499</v>
      </c>
      <c r="B15585" s="515" t="s">
        <v>940</v>
      </c>
      <c r="C15585" s="52">
        <v>161357.324933556</v>
      </c>
      <c r="D15585" s="56">
        <v>5.3868704065647345E-2</v>
      </c>
      <c r="E15585" s="224" t="s">
        <v>2</v>
      </c>
      <c r="F15585" s="515" t="s">
        <v>16762</v>
      </c>
      <c r="G15585" s="52">
        <v>188711.85047346601</v>
      </c>
      <c r="H15585" s="56">
        <v>0.12018760604993717</v>
      </c>
      <c r="I15585" s="224" t="s">
        <v>2</v>
      </c>
    </row>
    <row r="15586" spans="1:9" x14ac:dyDescent="0.25">
      <c r="A15586" s="515">
        <v>4463</v>
      </c>
      <c r="C15586" s="52">
        <v>138859.08452320399</v>
      </c>
      <c r="D15586" s="56">
        <v>0.22847836161034724</v>
      </c>
      <c r="E15586" s="224" t="s">
        <v>2</v>
      </c>
      <c r="F15586" s="515" t="s">
        <v>16763</v>
      </c>
      <c r="G15586" s="52">
        <v>144840.57199925301</v>
      </c>
      <c r="H15586" s="56">
        <v>5.4393009913305951E-2</v>
      </c>
      <c r="I15586" s="224" t="s">
        <v>2</v>
      </c>
    </row>
    <row r="15587" spans="1:9" x14ac:dyDescent="0.25">
      <c r="A15587" s="515">
        <v>57038</v>
      </c>
      <c r="B15587" s="515" t="s">
        <v>649</v>
      </c>
      <c r="C15587" s="52">
        <v>347461.23856801901</v>
      </c>
      <c r="D15587" s="56">
        <v>0.10434358839871047</v>
      </c>
      <c r="E15587" s="224" t="s">
        <v>2</v>
      </c>
      <c r="F15587" s="515" t="s">
        <v>16764</v>
      </c>
      <c r="G15587" s="52">
        <v>99991.985979899604</v>
      </c>
      <c r="H15587" s="56">
        <v>-6.4418748727909189E-2</v>
      </c>
      <c r="I15587" s="224" t="s">
        <v>2</v>
      </c>
    </row>
    <row r="15588" spans="1:9" x14ac:dyDescent="0.25">
      <c r="A15588" s="515">
        <v>46044</v>
      </c>
      <c r="B15588" s="515" t="s">
        <v>403</v>
      </c>
      <c r="C15588" s="52">
        <v>174735.91390675001</v>
      </c>
      <c r="D15588" s="56">
        <v>5.6092811933362227E-2</v>
      </c>
      <c r="E15588" s="224" t="s">
        <v>2</v>
      </c>
      <c r="F15588" s="515" t="s">
        <v>16765</v>
      </c>
      <c r="G15588" s="52">
        <v>207676.56115425701</v>
      </c>
      <c r="H15588" s="56">
        <v>0.12750581597348737</v>
      </c>
      <c r="I15588" s="224" t="s">
        <v>2</v>
      </c>
    </row>
    <row r="15589" spans="1:9" x14ac:dyDescent="0.25">
      <c r="A15589" s="515">
        <v>22567</v>
      </c>
      <c r="C15589" s="52">
        <v>283453.29029101803</v>
      </c>
      <c r="D15589" s="56">
        <v>2.503121542062061E-2</v>
      </c>
      <c r="E15589" s="224" t="s">
        <v>2</v>
      </c>
      <c r="F15589" s="515" t="s">
        <v>16766</v>
      </c>
      <c r="G15589" s="52">
        <v>776716.24235286505</v>
      </c>
      <c r="H15589" s="56">
        <v>1.9786022807422612E-2</v>
      </c>
      <c r="I15589" s="224" t="s">
        <v>2</v>
      </c>
    </row>
    <row r="15590" spans="1:9" x14ac:dyDescent="0.25">
      <c r="A15590" s="515">
        <v>80530</v>
      </c>
      <c r="B15590" s="515" t="s">
        <v>382</v>
      </c>
      <c r="C15590" s="52">
        <v>498321.94360040099</v>
      </c>
      <c r="D15590" s="56">
        <v>3.522748330833339E-2</v>
      </c>
      <c r="E15590" s="224" t="s">
        <v>2</v>
      </c>
      <c r="F15590" s="515" t="s">
        <v>16767</v>
      </c>
      <c r="G15590" s="52">
        <v>633168.22024569195</v>
      </c>
      <c r="H15590" s="56">
        <v>0.12756571081602119</v>
      </c>
      <c r="I15590" s="224" t="s">
        <v>2</v>
      </c>
    </row>
    <row r="15591" spans="1:9" x14ac:dyDescent="0.25">
      <c r="A15591" s="515">
        <v>48002</v>
      </c>
      <c r="B15591" s="515" t="s">
        <v>685</v>
      </c>
      <c r="C15591" s="52">
        <v>298259.30801359803</v>
      </c>
      <c r="D15591" s="56">
        <v>5.8862391903703154E-2</v>
      </c>
      <c r="E15591" s="224" t="s">
        <v>2</v>
      </c>
      <c r="F15591" s="515" t="s">
        <v>16768</v>
      </c>
      <c r="G15591" s="52">
        <v>108458.909608485</v>
      </c>
      <c r="H15591" s="56">
        <v>6.6887973744456417E-2</v>
      </c>
      <c r="I15591" s="224" t="s">
        <v>2</v>
      </c>
    </row>
    <row r="15592" spans="1:9" x14ac:dyDescent="0.25">
      <c r="A15592" s="515">
        <v>39146</v>
      </c>
      <c r="B15592" s="515" t="s">
        <v>851</v>
      </c>
      <c r="C15592" s="52">
        <v>72199.755888200802</v>
      </c>
      <c r="D15592" s="56">
        <v>-0.10325867532725236</v>
      </c>
      <c r="E15592" s="224" t="s">
        <v>2</v>
      </c>
      <c r="F15592" s="515" t="s">
        <v>16769</v>
      </c>
      <c r="G15592" s="52">
        <v>347760.263554996</v>
      </c>
      <c r="H15592" s="56">
        <v>4.3348977455465405E-2</v>
      </c>
      <c r="I15592" s="224" t="s">
        <v>2</v>
      </c>
    </row>
    <row r="15593" spans="1:9" x14ac:dyDescent="0.25">
      <c r="A15593" s="515">
        <v>6063</v>
      </c>
      <c r="B15593" s="515" t="s">
        <v>559</v>
      </c>
      <c r="C15593" s="52">
        <v>345815.223590079</v>
      </c>
      <c r="D15593" s="56">
        <v>9.4040624998320596E-2</v>
      </c>
      <c r="E15593" s="224" t="s">
        <v>2</v>
      </c>
      <c r="F15593" s="515" t="s">
        <v>16770</v>
      </c>
      <c r="G15593" s="52">
        <v>150905.26816533701</v>
      </c>
      <c r="H15593" s="56">
        <v>0.10120439668241597</v>
      </c>
      <c r="I15593" s="224" t="s">
        <v>2</v>
      </c>
    </row>
    <row r="15594" spans="1:9" x14ac:dyDescent="0.25">
      <c r="A15594" s="515">
        <v>94304</v>
      </c>
      <c r="B15594" s="515" t="s">
        <v>850</v>
      </c>
      <c r="C15594" s="52">
        <v>2950794.2162941401</v>
      </c>
      <c r="D15594" s="56">
        <v>-1.4048498948571698E-2</v>
      </c>
      <c r="E15594" s="224" t="s">
        <v>2</v>
      </c>
      <c r="F15594" s="515" t="s">
        <v>16771</v>
      </c>
      <c r="G15594" s="52">
        <v>175827.597701149</v>
      </c>
      <c r="H15594" s="56">
        <v>0</v>
      </c>
      <c r="I15594" s="224" t="s">
        <v>2</v>
      </c>
    </row>
    <row r="15595" spans="1:9" x14ac:dyDescent="0.25">
      <c r="A15595" s="515">
        <v>43416</v>
      </c>
      <c r="B15595" s="515" t="s">
        <v>300</v>
      </c>
      <c r="C15595" s="52">
        <v>184635.360947737</v>
      </c>
      <c r="D15595" s="56">
        <v>3.2379724558376809E-2</v>
      </c>
      <c r="E15595" s="224" t="s">
        <v>2</v>
      </c>
      <c r="F15595" s="515" t="s">
        <v>16772</v>
      </c>
      <c r="G15595" s="52">
        <v>109319.56976126401</v>
      </c>
      <c r="H15595" s="56">
        <v>8.8694494424690559E-3</v>
      </c>
      <c r="I15595" s="224" t="s">
        <v>2</v>
      </c>
    </row>
    <row r="15596" spans="1:9" x14ac:dyDescent="0.25">
      <c r="A15596" s="515">
        <v>75423</v>
      </c>
      <c r="B15596" s="515" t="s">
        <v>458</v>
      </c>
      <c r="C15596" s="52">
        <v>294275.83520355099</v>
      </c>
      <c r="D15596" s="56">
        <v>5.8291056103072524E-2</v>
      </c>
      <c r="E15596" s="224" t="s">
        <v>2</v>
      </c>
      <c r="F15596" s="515" t="s">
        <v>16773</v>
      </c>
      <c r="G15596" s="52">
        <v>137053.44230769199</v>
      </c>
      <c r="H15596" s="56">
        <v>0</v>
      </c>
      <c r="I15596" s="224" t="s">
        <v>2</v>
      </c>
    </row>
    <row r="15597" spans="1:9" x14ac:dyDescent="0.25">
      <c r="A15597" s="515">
        <v>5476</v>
      </c>
      <c r="B15597" s="515" t="s">
        <v>441</v>
      </c>
      <c r="C15597" s="52">
        <v>196487.761280181</v>
      </c>
      <c r="D15597" s="56">
        <v>0.10434362127209196</v>
      </c>
      <c r="E15597" s="224" t="s">
        <v>2</v>
      </c>
      <c r="F15597" s="515" t="s">
        <v>16774</v>
      </c>
      <c r="G15597" s="52">
        <v>146537.827344613</v>
      </c>
      <c r="H15597" s="56">
        <v>0.13826679964599645</v>
      </c>
      <c r="I15597" s="224" t="s">
        <v>2</v>
      </c>
    </row>
    <row r="15598" spans="1:9" x14ac:dyDescent="0.25">
      <c r="A15598" s="515">
        <v>20623</v>
      </c>
      <c r="B15598" s="515" t="s">
        <v>321</v>
      </c>
      <c r="C15598" s="52">
        <v>462107.04003314598</v>
      </c>
      <c r="D15598" s="56">
        <v>7.7049844075574424E-3</v>
      </c>
      <c r="E15598" s="224" t="s">
        <v>2</v>
      </c>
      <c r="F15598" s="515" t="s">
        <v>16775</v>
      </c>
      <c r="G15598" s="52">
        <v>161979.58857142599</v>
      </c>
      <c r="H15598" s="56">
        <v>0.12040487021010977</v>
      </c>
      <c r="I15598" s="224" t="s">
        <v>2</v>
      </c>
    </row>
    <row r="15599" spans="1:9" x14ac:dyDescent="0.25">
      <c r="A15599" s="515">
        <v>54773</v>
      </c>
      <c r="C15599" s="52">
        <v>182786.841122096</v>
      </c>
      <c r="D15599" s="56">
        <v>1.5392984423861311E-2</v>
      </c>
      <c r="E15599" s="224" t="s">
        <v>2</v>
      </c>
      <c r="F15599" s="515" t="s">
        <v>16776</v>
      </c>
      <c r="G15599" s="52">
        <v>137809.738465086</v>
      </c>
      <c r="H15599" s="56">
        <v>-8.3546894278789953E-4</v>
      </c>
      <c r="I15599" s="224" t="s">
        <v>2</v>
      </c>
    </row>
    <row r="15600" spans="1:9" x14ac:dyDescent="0.25">
      <c r="A15600" s="515">
        <v>1431</v>
      </c>
      <c r="B15600" s="515" t="s">
        <v>534</v>
      </c>
      <c r="C15600" s="52">
        <v>390336.000114444</v>
      </c>
      <c r="D15600" s="56">
        <v>5.81203937428625E-2</v>
      </c>
      <c r="E15600" s="224" t="s">
        <v>2</v>
      </c>
      <c r="F15600" s="515" t="s">
        <v>16777</v>
      </c>
      <c r="G15600" s="52">
        <v>312137.14968495601</v>
      </c>
      <c r="H15600" s="56">
        <v>8.5440188401537678E-2</v>
      </c>
      <c r="I15600" s="224" t="s">
        <v>2</v>
      </c>
    </row>
    <row r="15601" spans="1:9" x14ac:dyDescent="0.25">
      <c r="A15601" s="515">
        <v>43787</v>
      </c>
      <c r="C15601" s="52">
        <v>113336.650346194</v>
      </c>
      <c r="D15601" s="56">
        <v>0.16010992394342283</v>
      </c>
      <c r="E15601" s="224" t="s">
        <v>2</v>
      </c>
      <c r="F15601" s="515" t="s">
        <v>16778</v>
      </c>
      <c r="G15601" s="52">
        <v>344779.58955026901</v>
      </c>
      <c r="H15601" s="56">
        <v>7.0645556318006481E-2</v>
      </c>
      <c r="I15601" s="224" t="s">
        <v>2</v>
      </c>
    </row>
    <row r="15602" spans="1:9" x14ac:dyDescent="0.25">
      <c r="A15602" s="515">
        <v>54889</v>
      </c>
      <c r="C15602" s="52">
        <v>252936.30993404801</v>
      </c>
      <c r="D15602" s="56">
        <v>6.572807747390344E-2</v>
      </c>
      <c r="E15602" s="224" t="s">
        <v>2</v>
      </c>
      <c r="F15602" s="515" t="s">
        <v>16779</v>
      </c>
      <c r="G15602" s="52">
        <v>547244.51039239205</v>
      </c>
      <c r="H15602" s="56">
        <v>5.9039405798252093E-2</v>
      </c>
      <c r="I15602" s="224" t="s">
        <v>2</v>
      </c>
    </row>
    <row r="15603" spans="1:9" x14ac:dyDescent="0.25">
      <c r="A15603" s="515">
        <v>78719</v>
      </c>
      <c r="B15603" s="515" t="s">
        <v>380</v>
      </c>
      <c r="C15603" s="52">
        <v>385068.58872817497</v>
      </c>
      <c r="D15603" s="56">
        <v>7.0195292068105817E-3</v>
      </c>
      <c r="E15603" s="224" t="s">
        <v>2</v>
      </c>
      <c r="F15603" s="515" t="s">
        <v>16780</v>
      </c>
      <c r="G15603" s="52">
        <v>369718.791220374</v>
      </c>
      <c r="H15603" s="56">
        <v>3.8812907058880788E-4</v>
      </c>
      <c r="I15603" s="224" t="s">
        <v>2</v>
      </c>
    </row>
    <row r="15604" spans="1:9" x14ac:dyDescent="0.25">
      <c r="A15604" s="515">
        <v>31716</v>
      </c>
      <c r="C15604" s="52">
        <v>126207.25659442801</v>
      </c>
      <c r="D15604" s="56">
        <v>-3.8553862612902444E-3</v>
      </c>
      <c r="E15604" s="224" t="s">
        <v>2</v>
      </c>
      <c r="F15604" s="515" t="s">
        <v>16781</v>
      </c>
      <c r="G15604" s="52">
        <v>173861.43678513201</v>
      </c>
      <c r="H15604" s="56">
        <v>3.3761222753625267E-2</v>
      </c>
      <c r="I15604" s="224" t="s">
        <v>2</v>
      </c>
    </row>
    <row r="15605" spans="1:9" x14ac:dyDescent="0.25">
      <c r="A15605" s="515">
        <v>29178</v>
      </c>
      <c r="B15605" s="515" t="s">
        <v>1011</v>
      </c>
      <c r="C15605" s="52">
        <v>59301.258273484404</v>
      </c>
      <c r="D15605" s="56">
        <v>1.0969940058694028E-2</v>
      </c>
      <c r="E15605" s="224" t="s">
        <v>2</v>
      </c>
      <c r="F15605" s="515" t="s">
        <v>16782</v>
      </c>
      <c r="G15605" s="52">
        <v>69190.670778909698</v>
      </c>
      <c r="H15605" s="56">
        <v>3.326659162388185E-3</v>
      </c>
      <c r="I15605" s="224" t="s">
        <v>2</v>
      </c>
    </row>
    <row r="15606" spans="1:9" x14ac:dyDescent="0.25">
      <c r="A15606" s="515">
        <v>96073</v>
      </c>
      <c r="B15606" s="515" t="s">
        <v>514</v>
      </c>
      <c r="C15606" s="52">
        <v>531280.72302703501</v>
      </c>
      <c r="D15606" s="56">
        <v>-1.4381384494709513E-2</v>
      </c>
      <c r="E15606" s="224" t="s">
        <v>2</v>
      </c>
      <c r="F15606" s="515" t="s">
        <v>16783</v>
      </c>
      <c r="G15606" s="52">
        <v>262220.69462440501</v>
      </c>
      <c r="H15606" s="56">
        <v>8.6601964982644108E-2</v>
      </c>
      <c r="I15606" s="224" t="s">
        <v>2</v>
      </c>
    </row>
    <row r="15607" spans="1:9" x14ac:dyDescent="0.25">
      <c r="A15607" s="515">
        <v>16061</v>
      </c>
      <c r="B15607" s="515" t="s">
        <v>297</v>
      </c>
      <c r="C15607" s="52">
        <v>209692.78159917801</v>
      </c>
      <c r="D15607" s="56">
        <v>9.2722973834338196E-2</v>
      </c>
      <c r="E15607" s="224" t="s">
        <v>2</v>
      </c>
      <c r="F15607" s="515" t="s">
        <v>16784</v>
      </c>
      <c r="G15607" s="52">
        <v>68348.911467956597</v>
      </c>
      <c r="H15607" s="56">
        <v>0.11041371232748151</v>
      </c>
      <c r="I15607" s="224" t="s">
        <v>2</v>
      </c>
    </row>
    <row r="15608" spans="1:9" x14ac:dyDescent="0.25">
      <c r="A15608" s="515">
        <v>30750</v>
      </c>
      <c r="B15608" s="515" t="s">
        <v>622</v>
      </c>
      <c r="C15608" s="52">
        <v>357017.06671142299</v>
      </c>
      <c r="D15608" s="56">
        <v>9.7132561353847735E-2</v>
      </c>
      <c r="E15608" s="224" t="s">
        <v>2</v>
      </c>
      <c r="F15608" s="515" t="s">
        <v>16785</v>
      </c>
      <c r="G15608" s="52">
        <v>70418.762814933696</v>
      </c>
      <c r="H15608" s="56">
        <v>0.22334651378525464</v>
      </c>
      <c r="I15608" s="224" t="s">
        <v>2</v>
      </c>
    </row>
    <row r="15609" spans="1:9" x14ac:dyDescent="0.25">
      <c r="A15609" s="515">
        <v>3827</v>
      </c>
      <c r="B15609" s="515" t="s">
        <v>534</v>
      </c>
      <c r="C15609" s="52">
        <v>576046.95780612098</v>
      </c>
      <c r="D15609" s="56">
        <v>0.11012383009919192</v>
      </c>
      <c r="E15609" s="224" t="s">
        <v>2</v>
      </c>
      <c r="F15609" s="515" t="s">
        <v>16786</v>
      </c>
      <c r="G15609" s="52">
        <v>328853.65099240001</v>
      </c>
      <c r="H15609" s="56">
        <v>8.412557876934821E-3</v>
      </c>
      <c r="I15609" s="224" t="s">
        <v>2</v>
      </c>
    </row>
    <row r="15610" spans="1:9" x14ac:dyDescent="0.25">
      <c r="A15610" s="515">
        <v>93206</v>
      </c>
      <c r="B15610" s="515" t="s">
        <v>419</v>
      </c>
      <c r="C15610" s="52">
        <v>197456.71878483301</v>
      </c>
      <c r="D15610" s="56">
        <v>6.6173832421647663E-2</v>
      </c>
      <c r="E15610" s="224" t="s">
        <v>2</v>
      </c>
      <c r="F15610" s="515" t="s">
        <v>16787</v>
      </c>
      <c r="G15610" s="52">
        <v>140315.183204706</v>
      </c>
      <c r="H15610" s="56">
        <v>0</v>
      </c>
      <c r="I15610" s="224" t="s">
        <v>2</v>
      </c>
    </row>
    <row r="15611" spans="1:9" x14ac:dyDescent="0.25">
      <c r="A15611" s="515">
        <v>1436</v>
      </c>
      <c r="B15611" s="515" t="s">
        <v>751</v>
      </c>
      <c r="C15611" s="52">
        <v>329291.93989914999</v>
      </c>
      <c r="D15611" s="56">
        <v>0.10475771996806274</v>
      </c>
      <c r="E15611" s="224" t="s">
        <v>2</v>
      </c>
      <c r="F15611" s="515" t="s">
        <v>16788</v>
      </c>
      <c r="G15611" s="52">
        <v>40556.4782064135</v>
      </c>
      <c r="H15611" s="56">
        <v>0.23465684366465733</v>
      </c>
      <c r="I15611" s="224" t="s">
        <v>2</v>
      </c>
    </row>
    <row r="15612" spans="1:9" x14ac:dyDescent="0.25">
      <c r="A15612" s="515">
        <v>40313</v>
      </c>
      <c r="C15612" s="52">
        <v>112618.519173297</v>
      </c>
      <c r="D15612" s="56">
        <v>7.8278072729883644E-2</v>
      </c>
      <c r="E15612" s="224" t="s">
        <v>2</v>
      </c>
      <c r="F15612" s="515" t="s">
        <v>16789</v>
      </c>
      <c r="G15612" s="52">
        <v>153055.82105263101</v>
      </c>
      <c r="H15612" s="56">
        <v>0</v>
      </c>
      <c r="I15612" s="224" t="s">
        <v>2</v>
      </c>
    </row>
    <row r="15613" spans="1:9" x14ac:dyDescent="0.25">
      <c r="A15613" s="515">
        <v>46051</v>
      </c>
      <c r="B15613" s="515" t="s">
        <v>403</v>
      </c>
      <c r="C15613" s="52">
        <v>192916.70553695899</v>
      </c>
      <c r="D15613" s="56">
        <v>7.3127534686128981E-2</v>
      </c>
      <c r="E15613" s="224" t="s">
        <v>2</v>
      </c>
      <c r="F15613" s="515" t="s">
        <v>16790</v>
      </c>
      <c r="G15613" s="52">
        <v>124437.43507209</v>
      </c>
      <c r="H15613" s="56">
        <v>8.3140157644010268E-2</v>
      </c>
      <c r="I15613" s="224" t="s">
        <v>2</v>
      </c>
    </row>
    <row r="15614" spans="1:9" x14ac:dyDescent="0.25">
      <c r="A15614" s="515">
        <v>39735</v>
      </c>
      <c r="C15614" s="52">
        <v>116248.372531192</v>
      </c>
      <c r="D15614" s="56">
        <v>4.794094077146497E-2</v>
      </c>
      <c r="E15614" s="224" t="s">
        <v>2</v>
      </c>
      <c r="F15614" s="515" t="s">
        <v>16791</v>
      </c>
      <c r="G15614" s="52">
        <v>316651.85681756202</v>
      </c>
      <c r="H15614" s="56">
        <v>7.7725524848675981E-2</v>
      </c>
      <c r="I15614" s="224" t="s">
        <v>2</v>
      </c>
    </row>
    <row r="15615" spans="1:9" x14ac:dyDescent="0.25">
      <c r="A15615" s="515">
        <v>28684</v>
      </c>
      <c r="B15615" s="515" t="s">
        <v>1103</v>
      </c>
      <c r="C15615" s="52">
        <v>399035.44482181303</v>
      </c>
      <c r="D15615" s="56">
        <v>8.8564857424335189E-2</v>
      </c>
      <c r="E15615" s="224" t="s">
        <v>2</v>
      </c>
      <c r="F15615" s="515" t="s">
        <v>16792</v>
      </c>
      <c r="G15615" s="52">
        <v>245981.07008790501</v>
      </c>
      <c r="H15615" s="56">
        <v>0.1708142772196849</v>
      </c>
      <c r="I15615" s="224" t="s">
        <v>2</v>
      </c>
    </row>
    <row r="15616" spans="1:9" x14ac:dyDescent="0.25">
      <c r="A15616" s="515">
        <v>15942</v>
      </c>
      <c r="B15616" s="515" t="s">
        <v>828</v>
      </c>
      <c r="C15616" s="52">
        <v>129929.11158444099</v>
      </c>
      <c r="D15616" s="56">
        <v>-1.2699445482931938E-2</v>
      </c>
      <c r="E15616" s="224" t="s">
        <v>2</v>
      </c>
      <c r="F15616" s="515" t="s">
        <v>16793</v>
      </c>
      <c r="G15616" s="52">
        <v>161770.26238250401</v>
      </c>
      <c r="H15616" s="56">
        <v>3.4717079502188559E-2</v>
      </c>
      <c r="I15616" s="224" t="s">
        <v>2</v>
      </c>
    </row>
    <row r="15617" spans="1:9" x14ac:dyDescent="0.25">
      <c r="A15617" s="515">
        <v>22947</v>
      </c>
      <c r="B15617" s="515" t="s">
        <v>630</v>
      </c>
      <c r="C15617" s="52">
        <v>648592.11625120696</v>
      </c>
      <c r="D15617" s="56">
        <v>9.3220738716252569E-2</v>
      </c>
      <c r="E15617" s="224" t="s">
        <v>2</v>
      </c>
      <c r="F15617" s="515" t="s">
        <v>16794</v>
      </c>
      <c r="G15617" s="52">
        <v>248838.09896752</v>
      </c>
      <c r="H15617" s="56">
        <v>0.14015688666484419</v>
      </c>
      <c r="I15617" s="224" t="s">
        <v>2</v>
      </c>
    </row>
    <row r="15618" spans="1:9" x14ac:dyDescent="0.25">
      <c r="A15618" s="515">
        <v>49403</v>
      </c>
      <c r="B15618" s="515" t="s">
        <v>631</v>
      </c>
      <c r="C15618" s="52">
        <v>296473.09315612598</v>
      </c>
      <c r="D15618" s="56">
        <v>9.0292992571193789E-2</v>
      </c>
      <c r="E15618" s="224" t="s">
        <v>2</v>
      </c>
      <c r="F15618" s="515" t="s">
        <v>16795</v>
      </c>
      <c r="G15618" s="52">
        <v>78728.932583956601</v>
      </c>
      <c r="H15618" s="56">
        <v>0.12546411773548938</v>
      </c>
      <c r="I15618" s="224" t="s">
        <v>2</v>
      </c>
    </row>
    <row r="15619" spans="1:9" x14ac:dyDescent="0.25">
      <c r="A15619" s="515">
        <v>18630</v>
      </c>
      <c r="C15619" s="52">
        <v>183600.14604731699</v>
      </c>
      <c r="D15619" s="56">
        <v>1.0971277382422765E-2</v>
      </c>
      <c r="E15619" s="224" t="s">
        <v>2</v>
      </c>
      <c r="F15619" s="515" t="s">
        <v>16796</v>
      </c>
      <c r="G15619" s="52">
        <v>270081.52325875399</v>
      </c>
      <c r="H15619" s="56">
        <v>3.9562998529870747E-2</v>
      </c>
      <c r="I15619" s="224" t="s">
        <v>2</v>
      </c>
    </row>
    <row r="15620" spans="1:9" x14ac:dyDescent="0.25">
      <c r="A15620" s="515">
        <v>55357</v>
      </c>
      <c r="B15620" s="515" t="s">
        <v>532</v>
      </c>
      <c r="C15620" s="52">
        <v>503570.22020835202</v>
      </c>
      <c r="D15620" s="56">
        <v>9.1102282693930878E-2</v>
      </c>
      <c r="E15620" s="224" t="s">
        <v>2</v>
      </c>
      <c r="F15620" s="515" t="s">
        <v>16797</v>
      </c>
      <c r="G15620" s="52">
        <v>855219.63597160496</v>
      </c>
      <c r="H15620" s="56">
        <v>0.1127445604679036</v>
      </c>
      <c r="I15620" s="224" t="s">
        <v>2</v>
      </c>
    </row>
    <row r="15621" spans="1:9" x14ac:dyDescent="0.25">
      <c r="A15621" s="515">
        <v>31020</v>
      </c>
      <c r="B15621" s="515" t="s">
        <v>995</v>
      </c>
      <c r="C15621" s="52">
        <v>82142.872771516806</v>
      </c>
      <c r="D15621" s="56">
        <v>0.1519337541329108</v>
      </c>
      <c r="E15621" s="224" t="s">
        <v>2</v>
      </c>
      <c r="F15621" s="515" t="s">
        <v>16798</v>
      </c>
      <c r="G15621" s="52">
        <v>134546.20680438401</v>
      </c>
      <c r="H15621" s="56">
        <v>4.761330554935015E-2</v>
      </c>
      <c r="I15621" s="224" t="s">
        <v>2</v>
      </c>
    </row>
    <row r="15622" spans="1:9" x14ac:dyDescent="0.25">
      <c r="A15622" s="515">
        <v>46071</v>
      </c>
      <c r="B15622" s="515" t="s">
        <v>403</v>
      </c>
      <c r="C15622" s="52">
        <v>253696.01272641399</v>
      </c>
      <c r="D15622" s="56">
        <v>8.7095192246835151E-2</v>
      </c>
      <c r="E15622" s="224" t="s">
        <v>2</v>
      </c>
      <c r="F15622" s="515" t="s">
        <v>16799</v>
      </c>
      <c r="G15622" s="52">
        <v>280007.11204809102</v>
      </c>
      <c r="H15622" s="56">
        <v>7.8810268600669808E-2</v>
      </c>
      <c r="I15622" s="224" t="s">
        <v>2</v>
      </c>
    </row>
    <row r="15623" spans="1:9" x14ac:dyDescent="0.25">
      <c r="A15623" s="515">
        <v>47383</v>
      </c>
      <c r="B15623" s="515" t="s">
        <v>1154</v>
      </c>
      <c r="C15623" s="52">
        <v>191078.69879285499</v>
      </c>
      <c r="D15623" s="56">
        <v>8.3235124473731895E-2</v>
      </c>
      <c r="E15623" s="224" t="s">
        <v>2</v>
      </c>
      <c r="F15623" s="515" t="s">
        <v>16800</v>
      </c>
      <c r="G15623" s="52">
        <v>1220765.4334295799</v>
      </c>
      <c r="H15623" s="56">
        <v>0.15894883639553964</v>
      </c>
      <c r="I15623" s="224" t="s">
        <v>2</v>
      </c>
    </row>
    <row r="15624" spans="1:9" x14ac:dyDescent="0.25">
      <c r="A15624" s="515">
        <v>25315</v>
      </c>
      <c r="B15624" s="515" t="s">
        <v>322</v>
      </c>
      <c r="C15624" s="52">
        <v>92653.611071285894</v>
      </c>
      <c r="D15624" s="56">
        <v>0.14528629024273082</v>
      </c>
      <c r="E15624" s="224" t="s">
        <v>2</v>
      </c>
      <c r="F15624" s="515" t="s">
        <v>16801</v>
      </c>
      <c r="G15624" s="52">
        <v>186781.71059256801</v>
      </c>
      <c r="H15624" s="56">
        <v>0.12349127565169245</v>
      </c>
      <c r="I15624" s="224" t="s">
        <v>2</v>
      </c>
    </row>
    <row r="15625" spans="1:9" x14ac:dyDescent="0.25">
      <c r="A15625" s="515">
        <v>45858</v>
      </c>
      <c r="B15625" s="515" t="s">
        <v>448</v>
      </c>
      <c r="C15625" s="52">
        <v>176924.19009438501</v>
      </c>
      <c r="D15625" s="56">
        <v>2.1094158224619321E-2</v>
      </c>
      <c r="E15625" s="224" t="s">
        <v>2</v>
      </c>
      <c r="F15625" s="515" t="s">
        <v>16802</v>
      </c>
      <c r="G15625" s="52">
        <v>123171.328721425</v>
      </c>
      <c r="H15625" s="56">
        <v>0.1065551186440548</v>
      </c>
      <c r="I15625" s="224" t="s">
        <v>2</v>
      </c>
    </row>
    <row r="15626" spans="1:9" x14ac:dyDescent="0.25">
      <c r="A15626" s="515">
        <v>8542</v>
      </c>
      <c r="B15626" s="515" t="s">
        <v>938</v>
      </c>
      <c r="C15626" s="52">
        <v>701105.45828647504</v>
      </c>
      <c r="D15626" s="56">
        <v>6.4940727640019805E-2</v>
      </c>
      <c r="E15626" s="224" t="s">
        <v>2</v>
      </c>
      <c r="F15626" s="515" t="s">
        <v>11454</v>
      </c>
      <c r="G15626" s="52">
        <v>307119.75702727103</v>
      </c>
      <c r="H15626" s="56">
        <v>4.8281487410615477E-2</v>
      </c>
      <c r="I15626" s="224" t="s">
        <v>2</v>
      </c>
    </row>
    <row r="15627" spans="1:9" x14ac:dyDescent="0.25">
      <c r="A15627" s="515">
        <v>97053</v>
      </c>
      <c r="B15627" s="515" t="s">
        <v>659</v>
      </c>
      <c r="C15627" s="52">
        <v>604052.03100989002</v>
      </c>
      <c r="D15627" s="56">
        <v>2.9244587999520347E-2</v>
      </c>
      <c r="E15627" s="224" t="s">
        <v>2</v>
      </c>
      <c r="F15627" s="515" t="s">
        <v>16803</v>
      </c>
      <c r="G15627" s="52">
        <v>236355.06711409299</v>
      </c>
      <c r="H15627" s="56">
        <v>0</v>
      </c>
      <c r="I15627" s="224" t="s">
        <v>2</v>
      </c>
    </row>
    <row r="15628" spans="1:9" x14ac:dyDescent="0.25">
      <c r="A15628" s="515">
        <v>88045</v>
      </c>
      <c r="C15628" s="52">
        <v>113145.27208480499</v>
      </c>
      <c r="D15628" s="56">
        <v>0</v>
      </c>
      <c r="E15628" s="224" t="s">
        <v>2</v>
      </c>
      <c r="F15628" s="515" t="s">
        <v>16804</v>
      </c>
      <c r="G15628" s="52">
        <v>326891.89672807598</v>
      </c>
      <c r="H15628" s="56">
        <v>0.10194344676280541</v>
      </c>
      <c r="I15628" s="224" t="s">
        <v>2</v>
      </c>
    </row>
    <row r="15629" spans="1:9" x14ac:dyDescent="0.25">
      <c r="A15629" s="515">
        <v>78215</v>
      </c>
      <c r="B15629" s="515" t="s">
        <v>717</v>
      </c>
      <c r="C15629" s="52">
        <v>403101.847658068</v>
      </c>
      <c r="D15629" s="56">
        <v>6.5606787823106777E-2</v>
      </c>
      <c r="E15629" s="224">
        <v>1683.0633986928101</v>
      </c>
      <c r="F15629" s="515" t="s">
        <v>16805</v>
      </c>
      <c r="G15629" s="52">
        <v>65990.924997695605</v>
      </c>
      <c r="H15629" s="56">
        <v>0.1242221191528029</v>
      </c>
      <c r="I15629" s="224" t="s">
        <v>2</v>
      </c>
    </row>
    <row r="15630" spans="1:9" x14ac:dyDescent="0.25">
      <c r="A15630" s="515">
        <v>45659</v>
      </c>
      <c r="B15630" s="515" t="s">
        <v>602</v>
      </c>
      <c r="C15630" s="52">
        <v>94578.355868764906</v>
      </c>
      <c r="D15630" s="56">
        <v>4.4216792919814008E-2</v>
      </c>
      <c r="E15630" s="224" t="s">
        <v>2</v>
      </c>
      <c r="F15630" s="515" t="s">
        <v>16806</v>
      </c>
      <c r="G15630" s="52">
        <v>185919.17713739199</v>
      </c>
      <c r="H15630" s="56">
        <v>5.1297367573708466E-2</v>
      </c>
      <c r="I15630" s="224" t="s">
        <v>2</v>
      </c>
    </row>
    <row r="15631" spans="1:9" x14ac:dyDescent="0.25">
      <c r="A15631" s="515">
        <v>62449</v>
      </c>
      <c r="C15631" s="52">
        <v>87362.830896486106</v>
      </c>
      <c r="D15631" s="56">
        <v>8.3435773746127102E-3</v>
      </c>
      <c r="E15631" s="224" t="s">
        <v>2</v>
      </c>
      <c r="F15631" s="515" t="s">
        <v>16807</v>
      </c>
      <c r="G15631" s="52">
        <v>128099.02190325101</v>
      </c>
      <c r="H15631" s="56">
        <v>0</v>
      </c>
      <c r="I15631" s="224" t="s">
        <v>2</v>
      </c>
    </row>
    <row r="15632" spans="1:9" x14ac:dyDescent="0.25">
      <c r="A15632" s="515">
        <v>72070</v>
      </c>
      <c r="B15632" s="515" t="s">
        <v>393</v>
      </c>
      <c r="C15632" s="52">
        <v>126601.31519487</v>
      </c>
      <c r="D15632" s="56">
        <v>5.0533906356067824E-2</v>
      </c>
      <c r="E15632" s="224" t="s">
        <v>2</v>
      </c>
      <c r="F15632" s="515" t="s">
        <v>16808</v>
      </c>
      <c r="G15632" s="52">
        <v>261859.494831897</v>
      </c>
      <c r="H15632" s="56">
        <v>7.3371101167107253E-2</v>
      </c>
      <c r="I15632" s="224" t="s">
        <v>2</v>
      </c>
    </row>
    <row r="15633" spans="1:9" x14ac:dyDescent="0.25">
      <c r="A15633" s="515">
        <v>30734</v>
      </c>
      <c r="B15633" s="515" t="s">
        <v>1056</v>
      </c>
      <c r="C15633" s="52">
        <v>231621.426870653</v>
      </c>
      <c r="D15633" s="56">
        <v>9.3521704507431178E-2</v>
      </c>
      <c r="E15633" s="224" t="s">
        <v>2</v>
      </c>
      <c r="F15633" s="515" t="s">
        <v>16809</v>
      </c>
      <c r="G15633" s="52">
        <v>138340.64676504899</v>
      </c>
      <c r="H15633" s="56">
        <v>-0.11638002757808295</v>
      </c>
      <c r="I15633" s="224" t="s">
        <v>2</v>
      </c>
    </row>
    <row r="15634" spans="1:9" x14ac:dyDescent="0.25">
      <c r="A15634" s="515">
        <v>16925</v>
      </c>
      <c r="B15634" s="515" t="s">
        <v>699</v>
      </c>
      <c r="C15634" s="52">
        <v>153394.482182946</v>
      </c>
      <c r="D15634" s="56">
        <v>5.521846209790978E-2</v>
      </c>
      <c r="E15634" s="224" t="s">
        <v>2</v>
      </c>
      <c r="F15634" s="515" t="s">
        <v>16810</v>
      </c>
      <c r="G15634" s="52">
        <v>324904.63610194798</v>
      </c>
      <c r="H15634" s="56">
        <v>6.9010191337059809E-2</v>
      </c>
      <c r="I15634" s="224" t="s">
        <v>2</v>
      </c>
    </row>
    <row r="15635" spans="1:9" x14ac:dyDescent="0.25">
      <c r="A15635" s="515">
        <v>6232</v>
      </c>
      <c r="B15635" s="515" t="s">
        <v>894</v>
      </c>
      <c r="C15635" s="52">
        <v>323450.54450813099</v>
      </c>
      <c r="D15635" s="56">
        <v>5.4688796312507067E-2</v>
      </c>
      <c r="E15635" s="224" t="s">
        <v>2</v>
      </c>
      <c r="F15635" s="515" t="s">
        <v>16811</v>
      </c>
      <c r="G15635" s="52">
        <v>193299.77816846699</v>
      </c>
      <c r="H15635" s="56">
        <v>0.11732889231929451</v>
      </c>
      <c r="I15635" s="224" t="s">
        <v>2</v>
      </c>
    </row>
    <row r="15636" spans="1:9" x14ac:dyDescent="0.25">
      <c r="A15636" s="515">
        <v>1522</v>
      </c>
      <c r="B15636" s="515" t="s">
        <v>751</v>
      </c>
      <c r="C15636" s="52">
        <v>437720.509896314</v>
      </c>
      <c r="D15636" s="56">
        <v>8.6808696034306396E-2</v>
      </c>
      <c r="E15636" s="224" t="s">
        <v>2</v>
      </c>
      <c r="F15636" s="515" t="s">
        <v>16812</v>
      </c>
      <c r="G15636" s="52">
        <v>515959.26979802502</v>
      </c>
      <c r="H15636" s="56">
        <v>7.9160227579482323E-2</v>
      </c>
      <c r="I15636" s="224" t="s">
        <v>2</v>
      </c>
    </row>
    <row r="15637" spans="1:9" x14ac:dyDescent="0.25">
      <c r="A15637" s="515">
        <v>74571</v>
      </c>
      <c r="C15637" s="52">
        <v>112407.339234973</v>
      </c>
      <c r="D15637" s="56">
        <v>5.1577539176795528E-2</v>
      </c>
      <c r="E15637" s="224" t="s">
        <v>2</v>
      </c>
      <c r="F15637" s="515" t="s">
        <v>16813</v>
      </c>
      <c r="G15637" s="52">
        <v>127138.735247857</v>
      </c>
      <c r="H15637" s="56">
        <v>7.568328979527604E-2</v>
      </c>
      <c r="I15637" s="224" t="s">
        <v>2</v>
      </c>
    </row>
    <row r="15638" spans="1:9" x14ac:dyDescent="0.25">
      <c r="A15638" s="515">
        <v>37756</v>
      </c>
      <c r="C15638" s="52">
        <v>124041.828596409</v>
      </c>
      <c r="D15638" s="56">
        <v>0</v>
      </c>
      <c r="E15638" s="224" t="s">
        <v>2</v>
      </c>
      <c r="F15638" s="515" t="s">
        <v>16814</v>
      </c>
      <c r="G15638" s="52">
        <v>105418.42070431499</v>
      </c>
      <c r="H15638" s="56">
        <v>0.16186223465824556</v>
      </c>
      <c r="I15638" s="224" t="s">
        <v>2</v>
      </c>
    </row>
    <row r="15639" spans="1:9" x14ac:dyDescent="0.25">
      <c r="A15639" s="515">
        <v>12944</v>
      </c>
      <c r="C15639" s="52">
        <v>171642.21578620101</v>
      </c>
      <c r="D15639" s="56">
        <v>0.13152248157671947</v>
      </c>
      <c r="E15639" s="224" t="s">
        <v>2</v>
      </c>
      <c r="F15639" s="515" t="s">
        <v>16815</v>
      </c>
      <c r="G15639" s="52">
        <v>144922.06735713201</v>
      </c>
      <c r="H15639" s="56">
        <v>4.4290112388722963E-2</v>
      </c>
      <c r="I15639" s="224" t="s">
        <v>2</v>
      </c>
    </row>
    <row r="15640" spans="1:9" x14ac:dyDescent="0.25">
      <c r="A15640" s="515">
        <v>71964</v>
      </c>
      <c r="B15640" s="515" t="s">
        <v>1082</v>
      </c>
      <c r="C15640" s="52">
        <v>228504.57886021299</v>
      </c>
      <c r="D15640" s="56">
        <v>9.7642940701659214E-2</v>
      </c>
      <c r="E15640" s="224" t="s">
        <v>2</v>
      </c>
      <c r="F15640" s="515" t="s">
        <v>16816</v>
      </c>
      <c r="G15640" s="52">
        <v>259829.31943591899</v>
      </c>
      <c r="H15640" s="56">
        <v>0.12624868727909017</v>
      </c>
      <c r="I15640" s="224" t="s">
        <v>2</v>
      </c>
    </row>
    <row r="15641" spans="1:9" x14ac:dyDescent="0.25">
      <c r="A15641" s="515">
        <v>44677</v>
      </c>
      <c r="B15641" s="515" t="s">
        <v>1136</v>
      </c>
      <c r="C15641" s="52">
        <v>323252.37161742302</v>
      </c>
      <c r="D15641" s="56">
        <v>0.28836730532215271</v>
      </c>
      <c r="E15641" s="224" t="s">
        <v>2</v>
      </c>
      <c r="F15641" s="515" t="s">
        <v>16817</v>
      </c>
      <c r="G15641" s="52">
        <v>307176.85597796499</v>
      </c>
      <c r="H15641" s="56">
        <v>9.9780287629285952E-2</v>
      </c>
      <c r="I15641" s="224" t="s">
        <v>2</v>
      </c>
    </row>
    <row r="15642" spans="1:9" x14ac:dyDescent="0.25">
      <c r="A15642" s="515">
        <v>54009</v>
      </c>
      <c r="C15642" s="52">
        <v>292678.45408222801</v>
      </c>
      <c r="D15642" s="56">
        <v>6.4144063700030007E-2</v>
      </c>
      <c r="E15642" s="224" t="s">
        <v>2</v>
      </c>
      <c r="F15642" s="515" t="s">
        <v>16818</v>
      </c>
      <c r="G15642" s="52">
        <v>135739.80233501201</v>
      </c>
      <c r="H15642" s="56">
        <v>9.8403239027455527E-2</v>
      </c>
      <c r="I15642" s="224" t="s">
        <v>2</v>
      </c>
    </row>
    <row r="15643" spans="1:9" x14ac:dyDescent="0.25">
      <c r="A15643" s="515">
        <v>68862</v>
      </c>
      <c r="C15643" s="52">
        <v>149819.98801187801</v>
      </c>
      <c r="D15643" s="56">
        <v>0.19449595270937181</v>
      </c>
      <c r="E15643" s="224" t="s">
        <v>2</v>
      </c>
      <c r="F15643" s="515" t="s">
        <v>16819</v>
      </c>
      <c r="G15643" s="52">
        <v>115079.649681528</v>
      </c>
      <c r="H15643" s="56">
        <v>0</v>
      </c>
      <c r="I15643" s="224" t="s">
        <v>2</v>
      </c>
    </row>
    <row r="15644" spans="1:9" x14ac:dyDescent="0.25">
      <c r="A15644" s="515">
        <v>30293</v>
      </c>
      <c r="B15644" s="515" t="s">
        <v>957</v>
      </c>
      <c r="C15644" s="52">
        <v>147918.88403794999</v>
      </c>
      <c r="D15644" s="56">
        <v>0.13900547582750597</v>
      </c>
      <c r="E15644" s="224" t="s">
        <v>2</v>
      </c>
      <c r="F15644" s="515" t="s">
        <v>16820</v>
      </c>
      <c r="G15644" s="52">
        <v>267676.43040155998</v>
      </c>
      <c r="H15644" s="56">
        <v>9.9781469143491605E-2</v>
      </c>
      <c r="I15644" s="224" t="s">
        <v>2</v>
      </c>
    </row>
    <row r="15645" spans="1:9" x14ac:dyDescent="0.25">
      <c r="A15645" s="515">
        <v>95684</v>
      </c>
      <c r="B15645" s="515" t="s">
        <v>355</v>
      </c>
      <c r="C15645" s="52">
        <v>448460.08584297501</v>
      </c>
      <c r="D15645" s="56">
        <v>-4.2190312273201032E-2</v>
      </c>
      <c r="E15645" s="224" t="s">
        <v>2</v>
      </c>
      <c r="F15645" s="515" t="s">
        <v>16821</v>
      </c>
      <c r="G15645" s="52">
        <v>134078.723480113</v>
      </c>
      <c r="H15645" s="56">
        <v>9.5636946889227997E-2</v>
      </c>
      <c r="I15645" s="224" t="s">
        <v>2</v>
      </c>
    </row>
    <row r="15646" spans="1:9" x14ac:dyDescent="0.25">
      <c r="A15646" s="515">
        <v>21673</v>
      </c>
      <c r="B15646" s="515" t="s">
        <v>519</v>
      </c>
      <c r="C15646" s="52">
        <v>328890.33892806701</v>
      </c>
      <c r="D15646" s="56">
        <v>9.537225075982465E-3</v>
      </c>
      <c r="E15646" s="224" t="s">
        <v>2</v>
      </c>
      <c r="F15646" s="515" t="s">
        <v>16822</v>
      </c>
      <c r="G15646" s="52">
        <v>156321.227730137</v>
      </c>
      <c r="H15646" s="56">
        <v>4.932117083795455E-2</v>
      </c>
      <c r="I15646" s="224" t="s">
        <v>2</v>
      </c>
    </row>
    <row r="15647" spans="1:9" x14ac:dyDescent="0.25">
      <c r="A15647" s="515">
        <v>56087</v>
      </c>
      <c r="B15647" s="515" t="s">
        <v>896</v>
      </c>
      <c r="C15647" s="52">
        <v>147716.820473545</v>
      </c>
      <c r="D15647" s="56">
        <v>8.5454948485900115E-2</v>
      </c>
      <c r="E15647" s="224" t="s">
        <v>2</v>
      </c>
      <c r="F15647" s="515" t="s">
        <v>16823</v>
      </c>
      <c r="G15647" s="52">
        <v>128833.56447787699</v>
      </c>
      <c r="H15647" s="56">
        <v>6.2681938963913525E-2</v>
      </c>
      <c r="I15647" s="224" t="s">
        <v>2</v>
      </c>
    </row>
    <row r="15648" spans="1:9" x14ac:dyDescent="0.25">
      <c r="A15648" s="515">
        <v>35771</v>
      </c>
      <c r="B15648" s="515" t="s">
        <v>748</v>
      </c>
      <c r="C15648" s="52">
        <v>166919.01601301099</v>
      </c>
      <c r="D15648" s="56">
        <v>0.1642633411630961</v>
      </c>
      <c r="E15648" s="224" t="s">
        <v>2</v>
      </c>
      <c r="F15648" s="515" t="s">
        <v>16824</v>
      </c>
      <c r="G15648" s="52">
        <v>54540.161607512302</v>
      </c>
      <c r="H15648" s="56">
        <v>1.836118218743215E-2</v>
      </c>
      <c r="I15648" s="224" t="s">
        <v>2</v>
      </c>
    </row>
    <row r="15649" spans="1:9" x14ac:dyDescent="0.25">
      <c r="A15649" s="515">
        <v>72331</v>
      </c>
      <c r="B15649" s="515" t="s">
        <v>951</v>
      </c>
      <c r="C15649" s="52">
        <v>53487.864545545701</v>
      </c>
      <c r="D15649" s="56">
        <v>-3.189981307652186E-3</v>
      </c>
      <c r="E15649" s="224" t="s">
        <v>2</v>
      </c>
      <c r="F15649" s="515" t="s">
        <v>16825</v>
      </c>
      <c r="G15649" s="52">
        <v>211538.88279946099</v>
      </c>
      <c r="H15649" s="56">
        <v>0.11583123384388565</v>
      </c>
      <c r="I15649" s="224" t="s">
        <v>2</v>
      </c>
    </row>
    <row r="15650" spans="1:9" x14ac:dyDescent="0.25">
      <c r="A15650" s="515">
        <v>48027</v>
      </c>
      <c r="B15650" s="515" t="s">
        <v>685</v>
      </c>
      <c r="C15650" s="52">
        <v>265034.08922686102</v>
      </c>
      <c r="D15650" s="56">
        <v>8.0172869044301612E-2</v>
      </c>
      <c r="E15650" s="224" t="s">
        <v>2</v>
      </c>
      <c r="F15650" s="515" t="s">
        <v>16826</v>
      </c>
      <c r="G15650" s="52">
        <v>129475.530086755</v>
      </c>
      <c r="H15650" s="56">
        <v>8.2658822890690084E-2</v>
      </c>
      <c r="I15650" s="224" t="s">
        <v>2</v>
      </c>
    </row>
    <row r="15651" spans="1:9" x14ac:dyDescent="0.25">
      <c r="A15651" s="515">
        <v>29429</v>
      </c>
      <c r="B15651" s="515" t="s">
        <v>1009</v>
      </c>
      <c r="C15651" s="52">
        <v>597342.69335035502</v>
      </c>
      <c r="D15651" s="56">
        <v>0.1210160537848093</v>
      </c>
      <c r="E15651" s="224" t="s">
        <v>2</v>
      </c>
      <c r="F15651" s="515" t="s">
        <v>16827</v>
      </c>
      <c r="G15651" s="52">
        <v>105916.463833364</v>
      </c>
      <c r="H15651" s="56">
        <v>8.4120717752105389E-2</v>
      </c>
      <c r="I15651" s="224" t="s">
        <v>2</v>
      </c>
    </row>
    <row r="15652" spans="1:9" x14ac:dyDescent="0.25">
      <c r="A15652" s="515">
        <v>36925</v>
      </c>
      <c r="C15652" s="52">
        <v>68533</v>
      </c>
      <c r="D15652" s="56">
        <v>0</v>
      </c>
      <c r="E15652" s="224" t="s">
        <v>2</v>
      </c>
      <c r="F15652" s="515" t="s">
        <v>16828</v>
      </c>
      <c r="G15652" s="52">
        <v>329120.82036966202</v>
      </c>
      <c r="H15652" s="56">
        <v>3.4472944703897584E-2</v>
      </c>
      <c r="I15652" s="224" t="s">
        <v>2</v>
      </c>
    </row>
    <row r="15653" spans="1:9" x14ac:dyDescent="0.25">
      <c r="A15653" s="515">
        <v>52773</v>
      </c>
      <c r="B15653" s="515" t="s">
        <v>439</v>
      </c>
      <c r="C15653" s="52">
        <v>231495.25164934501</v>
      </c>
      <c r="D15653" s="56">
        <v>8.9679126087075359E-2</v>
      </c>
      <c r="E15653" s="224" t="s">
        <v>2</v>
      </c>
      <c r="F15653" s="515" t="s">
        <v>16829</v>
      </c>
      <c r="G15653" s="52">
        <v>253991.50910246701</v>
      </c>
      <c r="H15653" s="56">
        <v>8.8632731804762208E-2</v>
      </c>
      <c r="I15653" s="224" t="s">
        <v>2</v>
      </c>
    </row>
    <row r="15654" spans="1:9" x14ac:dyDescent="0.25">
      <c r="A15654" s="515">
        <v>96143</v>
      </c>
      <c r="B15654" s="515" t="s">
        <v>355</v>
      </c>
      <c r="C15654" s="52">
        <v>758493.16637413902</v>
      </c>
      <c r="D15654" s="56">
        <v>5.3111795812376669E-2</v>
      </c>
      <c r="E15654" s="224" t="s">
        <v>2</v>
      </c>
      <c r="F15654" s="515" t="s">
        <v>16830</v>
      </c>
      <c r="G15654" s="52">
        <v>64613.632656256399</v>
      </c>
      <c r="H15654" s="56">
        <v>-5.1695019017304368E-3</v>
      </c>
      <c r="I15654" s="224" t="s">
        <v>2</v>
      </c>
    </row>
    <row r="15655" spans="1:9" x14ac:dyDescent="0.25">
      <c r="A15655" s="515">
        <v>98295</v>
      </c>
      <c r="B15655" s="515" t="s">
        <v>412</v>
      </c>
      <c r="C15655" s="52">
        <v>400809.40589013702</v>
      </c>
      <c r="D15655" s="56">
        <v>-9.4387172968663918E-3</v>
      </c>
      <c r="E15655" s="224" t="s">
        <v>2</v>
      </c>
      <c r="F15655" s="515" t="s">
        <v>16831</v>
      </c>
      <c r="G15655" s="52">
        <v>199591.14608995599</v>
      </c>
      <c r="H15655" s="56">
        <v>7.3073501785297382E-2</v>
      </c>
      <c r="I15655" s="224" t="s">
        <v>2</v>
      </c>
    </row>
    <row r="15656" spans="1:9" x14ac:dyDescent="0.25">
      <c r="A15656" s="515">
        <v>15433</v>
      </c>
      <c r="B15656" s="515" t="s">
        <v>297</v>
      </c>
      <c r="C15656" s="52">
        <v>120492.66617608099</v>
      </c>
      <c r="D15656" s="56">
        <v>3.9176667329309786E-2</v>
      </c>
      <c r="E15656" s="224" t="s">
        <v>2</v>
      </c>
      <c r="F15656" s="515" t="s">
        <v>16832</v>
      </c>
      <c r="G15656" s="52">
        <v>265967.452991453</v>
      </c>
      <c r="H15656" s="56">
        <v>0</v>
      </c>
      <c r="I15656" s="224" t="s">
        <v>2</v>
      </c>
    </row>
    <row r="15657" spans="1:9" x14ac:dyDescent="0.25">
      <c r="A15657" s="515">
        <v>49266</v>
      </c>
      <c r="B15657" s="515" t="s">
        <v>971</v>
      </c>
      <c r="C15657" s="52">
        <v>176343.87952652399</v>
      </c>
      <c r="D15657" s="56">
        <v>5.8811272952484048E-2</v>
      </c>
      <c r="E15657" s="224" t="s">
        <v>2</v>
      </c>
      <c r="F15657" s="515" t="s">
        <v>16833</v>
      </c>
      <c r="G15657" s="52">
        <v>193019.59564056899</v>
      </c>
      <c r="H15657" s="56">
        <v>6.5604374142905722E-2</v>
      </c>
      <c r="I15657" s="224" t="s">
        <v>2</v>
      </c>
    </row>
    <row r="15658" spans="1:9" x14ac:dyDescent="0.25">
      <c r="A15658" s="515">
        <v>49040</v>
      </c>
      <c r="B15658" s="515" t="s">
        <v>892</v>
      </c>
      <c r="C15658" s="52">
        <v>163398.26683339899</v>
      </c>
      <c r="D15658" s="56">
        <v>4.4681123322406043E-2</v>
      </c>
      <c r="E15658" s="224" t="s">
        <v>2</v>
      </c>
      <c r="F15658" s="515" t="s">
        <v>16834</v>
      </c>
      <c r="G15658" s="52">
        <v>308735.06247516302</v>
      </c>
      <c r="H15658" s="56">
        <v>0.12606373955784209</v>
      </c>
      <c r="I15658" s="224" t="s">
        <v>2</v>
      </c>
    </row>
    <row r="15659" spans="1:9" x14ac:dyDescent="0.25">
      <c r="A15659" s="515">
        <v>67039</v>
      </c>
      <c r="B15659" s="515" t="s">
        <v>485</v>
      </c>
      <c r="C15659" s="52">
        <v>203782.66100340299</v>
      </c>
      <c r="D15659" s="56">
        <v>7.0570579052506202E-2</v>
      </c>
      <c r="E15659" s="224" t="s">
        <v>2</v>
      </c>
      <c r="F15659" s="515" t="s">
        <v>16835</v>
      </c>
      <c r="G15659" s="52">
        <v>144517.925982316</v>
      </c>
      <c r="H15659" s="56">
        <v>9.7484663095410901E-2</v>
      </c>
      <c r="I15659" s="224" t="s">
        <v>2</v>
      </c>
    </row>
    <row r="15660" spans="1:9" x14ac:dyDescent="0.25">
      <c r="A15660" s="515">
        <v>3809</v>
      </c>
      <c r="B15660" s="515" t="s">
        <v>1006</v>
      </c>
      <c r="C15660" s="52">
        <v>431442.06882626901</v>
      </c>
      <c r="D15660" s="56">
        <v>0.11538279840529909</v>
      </c>
      <c r="E15660" s="224" t="s">
        <v>2</v>
      </c>
      <c r="F15660" s="515" t="s">
        <v>16836</v>
      </c>
      <c r="G15660" s="52">
        <v>134173.413205224</v>
      </c>
      <c r="H15660" s="56">
        <v>0.12205974175238558</v>
      </c>
      <c r="I15660" s="224" t="s">
        <v>2</v>
      </c>
    </row>
    <row r="15661" spans="1:9" x14ac:dyDescent="0.25">
      <c r="A15661" s="515">
        <v>22503</v>
      </c>
      <c r="C15661" s="52">
        <v>283164.696651234</v>
      </c>
      <c r="D15661" s="56">
        <v>0.13036342547925808</v>
      </c>
      <c r="E15661" s="224" t="s">
        <v>2</v>
      </c>
      <c r="F15661" s="515" t="s">
        <v>16837</v>
      </c>
      <c r="G15661" s="52">
        <v>81034.600000000006</v>
      </c>
      <c r="H15661" s="56">
        <v>0</v>
      </c>
      <c r="I15661" s="224" t="s">
        <v>2</v>
      </c>
    </row>
    <row r="15662" spans="1:9" x14ac:dyDescent="0.25">
      <c r="A15662" s="515">
        <v>29530</v>
      </c>
      <c r="B15662" s="515" t="s">
        <v>1039</v>
      </c>
      <c r="C15662" s="52">
        <v>133004.382204036</v>
      </c>
      <c r="D15662" s="56">
        <v>0.13498254027980644</v>
      </c>
      <c r="E15662" s="224" t="s">
        <v>2</v>
      </c>
      <c r="F15662" s="515" t="s">
        <v>16838</v>
      </c>
      <c r="G15662" s="52">
        <v>52039.678708616302</v>
      </c>
      <c r="H15662" s="56">
        <v>8.9130765961045882E-2</v>
      </c>
      <c r="I15662" s="224" t="s">
        <v>2</v>
      </c>
    </row>
    <row r="15663" spans="1:9" x14ac:dyDescent="0.25">
      <c r="A15663" s="515">
        <v>28525</v>
      </c>
      <c r="B15663" s="515" t="s">
        <v>1163</v>
      </c>
      <c r="C15663" s="52">
        <v>124256.565439385</v>
      </c>
      <c r="D15663" s="56">
        <v>0.26059734466635243</v>
      </c>
      <c r="E15663" s="224" t="s">
        <v>2</v>
      </c>
      <c r="F15663" s="515" t="s">
        <v>16839</v>
      </c>
      <c r="G15663" s="52">
        <v>207284.272933634</v>
      </c>
      <c r="H15663" s="56">
        <v>0.11645633203085411</v>
      </c>
      <c r="I15663" s="224" t="s">
        <v>2</v>
      </c>
    </row>
    <row r="15664" spans="1:9" x14ac:dyDescent="0.25">
      <c r="A15664" s="515">
        <v>41514</v>
      </c>
      <c r="C15664" s="52">
        <v>81925.430699666002</v>
      </c>
      <c r="D15664" s="56">
        <v>0.20600909441927487</v>
      </c>
      <c r="E15664" s="224" t="s">
        <v>2</v>
      </c>
      <c r="F15664" s="515" t="s">
        <v>16840</v>
      </c>
      <c r="G15664" s="52">
        <v>337762.76821288699</v>
      </c>
      <c r="H15664" s="56">
        <v>3.393375778808335E-2</v>
      </c>
      <c r="I15664" s="224" t="s">
        <v>2</v>
      </c>
    </row>
    <row r="15665" spans="1:9" x14ac:dyDescent="0.25">
      <c r="A15665" s="515">
        <v>25976</v>
      </c>
      <c r="B15665" s="515" t="s">
        <v>566</v>
      </c>
      <c r="C15665" s="52">
        <v>116773.566567075</v>
      </c>
      <c r="D15665" s="56">
        <v>0.11471228270823758</v>
      </c>
      <c r="E15665" s="224" t="s">
        <v>2</v>
      </c>
      <c r="F15665" s="515" t="s">
        <v>16841</v>
      </c>
      <c r="G15665" s="52">
        <v>150718.76784060599</v>
      </c>
      <c r="H15665" s="56">
        <v>-4.0378632621864671E-4</v>
      </c>
      <c r="I15665" s="224" t="s">
        <v>2</v>
      </c>
    </row>
    <row r="15666" spans="1:9" x14ac:dyDescent="0.25">
      <c r="A15666" s="515">
        <v>15845</v>
      </c>
      <c r="B15666" s="515" t="s">
        <v>954</v>
      </c>
      <c r="C15666" s="52">
        <v>61985.724610061203</v>
      </c>
      <c r="D15666" s="56">
        <v>-4.8425076571107211E-3</v>
      </c>
      <c r="E15666" s="224" t="s">
        <v>2</v>
      </c>
      <c r="F15666" s="515" t="s">
        <v>16842</v>
      </c>
      <c r="G15666" s="52">
        <v>156105.28452065299</v>
      </c>
      <c r="H15666" s="56">
        <v>-0.11588876124682937</v>
      </c>
      <c r="I15666" s="224" t="s">
        <v>2</v>
      </c>
    </row>
    <row r="15667" spans="1:9" x14ac:dyDescent="0.25">
      <c r="A15667" s="515">
        <v>13438</v>
      </c>
      <c r="B15667" s="515" t="s">
        <v>543</v>
      </c>
      <c r="C15667" s="52">
        <v>194044.684882995</v>
      </c>
      <c r="D15667" s="56">
        <v>0.13720180401856566</v>
      </c>
      <c r="E15667" s="224" t="s">
        <v>2</v>
      </c>
      <c r="F15667" s="515" t="s">
        <v>16843</v>
      </c>
      <c r="G15667" s="52">
        <v>158689.501114196</v>
      </c>
      <c r="H15667" s="56">
        <v>2.6623884057639189E-3</v>
      </c>
      <c r="I15667" s="224" t="s">
        <v>2</v>
      </c>
    </row>
    <row r="15668" spans="1:9" x14ac:dyDescent="0.25">
      <c r="A15668" s="515">
        <v>24421</v>
      </c>
      <c r="B15668" s="515" t="s">
        <v>728</v>
      </c>
      <c r="C15668" s="52">
        <v>290478.96808660601</v>
      </c>
      <c r="D15668" s="56">
        <v>8.0040081188631942E-2</v>
      </c>
      <c r="E15668" s="224" t="s">
        <v>2</v>
      </c>
      <c r="F15668" s="515" t="s">
        <v>16844</v>
      </c>
      <c r="G15668" s="52">
        <v>194737.954783672</v>
      </c>
      <c r="H15668" s="56">
        <v>9.4907968619577371E-2</v>
      </c>
      <c r="I15668" s="224" t="s">
        <v>2</v>
      </c>
    </row>
    <row r="15669" spans="1:9" x14ac:dyDescent="0.25">
      <c r="A15669" s="515">
        <v>50054</v>
      </c>
      <c r="B15669" s="515" t="s">
        <v>295</v>
      </c>
      <c r="C15669" s="52">
        <v>183042.74459725901</v>
      </c>
      <c r="D15669" s="56">
        <v>9.1892303126026226E-2</v>
      </c>
      <c r="E15669" s="224" t="s">
        <v>2</v>
      </c>
      <c r="F15669" s="515" t="s">
        <v>16845</v>
      </c>
      <c r="G15669" s="52">
        <v>181278.21169256201</v>
      </c>
      <c r="H15669" s="56">
        <v>0.12333795360409847</v>
      </c>
      <c r="I15669" s="224" t="s">
        <v>2</v>
      </c>
    </row>
    <row r="15670" spans="1:9" x14ac:dyDescent="0.25">
      <c r="A15670" s="515">
        <v>6280</v>
      </c>
      <c r="B15670" s="515" t="s">
        <v>751</v>
      </c>
      <c r="C15670" s="52">
        <v>266944.07288322598</v>
      </c>
      <c r="D15670" s="56">
        <v>7.9215584623282445E-2</v>
      </c>
      <c r="E15670" s="224" t="s">
        <v>2</v>
      </c>
      <c r="F15670" s="515" t="s">
        <v>16846</v>
      </c>
      <c r="G15670" s="52">
        <v>444415.24504284601</v>
      </c>
      <c r="H15670" s="56">
        <v>6.6533915942762242E-2</v>
      </c>
      <c r="I15670" s="224" t="s">
        <v>2</v>
      </c>
    </row>
    <row r="15671" spans="1:9" x14ac:dyDescent="0.25">
      <c r="A15671" s="515">
        <v>47161</v>
      </c>
      <c r="B15671" s="515" t="s">
        <v>479</v>
      </c>
      <c r="C15671" s="52">
        <v>220771.54794061001</v>
      </c>
      <c r="D15671" s="56">
        <v>6.7159398243302693E-2</v>
      </c>
      <c r="E15671" s="224" t="s">
        <v>2</v>
      </c>
      <c r="F15671" s="515" t="s">
        <v>16847</v>
      </c>
      <c r="G15671" s="52">
        <v>132529.832715186</v>
      </c>
      <c r="H15671" s="56">
        <v>0.1321045143164471</v>
      </c>
      <c r="I15671" s="224" t="s">
        <v>2</v>
      </c>
    </row>
    <row r="15672" spans="1:9" x14ac:dyDescent="0.25">
      <c r="A15672" s="515">
        <v>43570</v>
      </c>
      <c r="C15672" s="52">
        <v>149941.65462687201</v>
      </c>
      <c r="D15672" s="56">
        <v>5.4673650546857452E-2</v>
      </c>
      <c r="E15672" s="224" t="s">
        <v>2</v>
      </c>
      <c r="F15672" s="515" t="s">
        <v>16848</v>
      </c>
      <c r="G15672" s="52">
        <v>209670.04473401199</v>
      </c>
      <c r="H15672" s="56">
        <v>6.5582234249914897E-2</v>
      </c>
      <c r="I15672" s="224" t="s">
        <v>2</v>
      </c>
    </row>
    <row r="15673" spans="1:9" x14ac:dyDescent="0.25">
      <c r="A15673" s="515">
        <v>97101</v>
      </c>
      <c r="B15673" s="515" t="s">
        <v>659</v>
      </c>
      <c r="C15673" s="52">
        <v>522719.11820891697</v>
      </c>
      <c r="D15673" s="56">
        <v>4.4002892967907027E-2</v>
      </c>
      <c r="E15673" s="224" t="s">
        <v>2</v>
      </c>
      <c r="F15673" s="515" t="s">
        <v>16849</v>
      </c>
      <c r="G15673" s="52">
        <v>298904.443305219</v>
      </c>
      <c r="H15673" s="56">
        <v>9.197674036052253E-2</v>
      </c>
      <c r="I15673" s="224" t="s">
        <v>2</v>
      </c>
    </row>
    <row r="15674" spans="1:9" x14ac:dyDescent="0.25">
      <c r="A15674" s="515">
        <v>1503</v>
      </c>
      <c r="B15674" s="515" t="s">
        <v>751</v>
      </c>
      <c r="C15674" s="52">
        <v>559320.14387047803</v>
      </c>
      <c r="D15674" s="56">
        <v>7.4572690108598363E-2</v>
      </c>
      <c r="E15674" s="224" t="s">
        <v>2</v>
      </c>
      <c r="F15674" s="515" t="s">
        <v>16850</v>
      </c>
      <c r="G15674" s="52">
        <v>249226.70370370301</v>
      </c>
      <c r="H15674" s="56">
        <v>0</v>
      </c>
      <c r="I15674" s="224" t="s">
        <v>2</v>
      </c>
    </row>
    <row r="15675" spans="1:9" x14ac:dyDescent="0.25">
      <c r="A15675" s="515">
        <v>15935</v>
      </c>
      <c r="B15675" s="515" t="s">
        <v>370</v>
      </c>
      <c r="C15675" s="52">
        <v>128462.450489091</v>
      </c>
      <c r="D15675" s="56">
        <v>6.0402615515835832E-2</v>
      </c>
      <c r="E15675" s="224" t="s">
        <v>2</v>
      </c>
      <c r="F15675" s="515" t="s">
        <v>16851</v>
      </c>
      <c r="G15675" s="52">
        <v>142279.96875</v>
      </c>
      <c r="H15675" s="56">
        <v>0</v>
      </c>
      <c r="I15675" s="224" t="s">
        <v>2</v>
      </c>
    </row>
    <row r="15676" spans="1:9" x14ac:dyDescent="0.25">
      <c r="A15676" s="515">
        <v>18346</v>
      </c>
      <c r="B15676" s="515" t="s">
        <v>338</v>
      </c>
      <c r="C15676" s="52">
        <v>229591.47035984599</v>
      </c>
      <c r="D15676" s="56">
        <v>0.12414443402209484</v>
      </c>
      <c r="E15676" s="224" t="s">
        <v>2</v>
      </c>
      <c r="F15676" s="515" t="s">
        <v>16852</v>
      </c>
      <c r="G15676" s="52">
        <v>160245.74161888199</v>
      </c>
      <c r="H15676" s="56">
        <v>7.4646779516790315E-2</v>
      </c>
      <c r="I15676" s="224" t="s">
        <v>2</v>
      </c>
    </row>
    <row r="15677" spans="1:9" x14ac:dyDescent="0.25">
      <c r="A15677" s="515">
        <v>62341</v>
      </c>
      <c r="B15677" s="515" t="s">
        <v>496</v>
      </c>
      <c r="C15677" s="52">
        <v>98609.566038297999</v>
      </c>
      <c r="D15677" s="56">
        <v>-4.678854059933836E-2</v>
      </c>
      <c r="E15677" s="224" t="s">
        <v>2</v>
      </c>
      <c r="F15677" s="515" t="s">
        <v>16853</v>
      </c>
      <c r="G15677" s="52">
        <v>126910.98461411599</v>
      </c>
      <c r="H15677" s="56">
        <v>6.199211600263034E-2</v>
      </c>
      <c r="I15677" s="224" t="s">
        <v>2</v>
      </c>
    </row>
    <row r="15678" spans="1:9" x14ac:dyDescent="0.25">
      <c r="A15678" s="515">
        <v>56096</v>
      </c>
      <c r="B15678" s="515" t="s">
        <v>532</v>
      </c>
      <c r="C15678" s="52">
        <v>273348.16608094802</v>
      </c>
      <c r="D15678" s="56">
        <v>0.11303739524212866</v>
      </c>
      <c r="E15678" s="224" t="s">
        <v>2</v>
      </c>
      <c r="F15678" s="515" t="s">
        <v>16854</v>
      </c>
      <c r="G15678" s="52">
        <v>412893.19047619001</v>
      </c>
      <c r="H15678" s="56">
        <v>0</v>
      </c>
      <c r="I15678" s="224" t="s">
        <v>2</v>
      </c>
    </row>
    <row r="15679" spans="1:9" x14ac:dyDescent="0.25">
      <c r="A15679" s="515">
        <v>23944</v>
      </c>
      <c r="C15679" s="52">
        <v>131526.82824921701</v>
      </c>
      <c r="D15679" s="56">
        <v>7.9898855729769958E-2</v>
      </c>
      <c r="E15679" s="224" t="s">
        <v>2</v>
      </c>
      <c r="F15679" s="515" t="s">
        <v>16855</v>
      </c>
      <c r="G15679" s="52">
        <v>165375.23941519699</v>
      </c>
      <c r="H15679" s="56">
        <v>-7.894923946121724E-4</v>
      </c>
      <c r="I15679" s="224" t="s">
        <v>2</v>
      </c>
    </row>
    <row r="15680" spans="1:9" x14ac:dyDescent="0.25">
      <c r="A15680" s="515">
        <v>13825</v>
      </c>
      <c r="B15680" s="515" t="s">
        <v>460</v>
      </c>
      <c r="C15680" s="52">
        <v>196264.79731609501</v>
      </c>
      <c r="D15680" s="56">
        <v>0.12322754202743845</v>
      </c>
      <c r="E15680" s="224" t="s">
        <v>2</v>
      </c>
      <c r="F15680" s="515" t="s">
        <v>16856</v>
      </c>
      <c r="G15680" s="52">
        <v>186641.56804998399</v>
      </c>
      <c r="H15680" s="56">
        <v>8.6282706640547477E-2</v>
      </c>
      <c r="I15680" s="224" t="s">
        <v>2</v>
      </c>
    </row>
    <row r="15681" spans="1:9" x14ac:dyDescent="0.25">
      <c r="A15681" s="515">
        <v>16254</v>
      </c>
      <c r="C15681" s="52">
        <v>150822.20814339799</v>
      </c>
      <c r="D15681" s="56">
        <v>3.4694986253332595E-2</v>
      </c>
      <c r="E15681" s="224" t="s">
        <v>2</v>
      </c>
      <c r="F15681" s="515" t="s">
        <v>16857</v>
      </c>
      <c r="G15681" s="52">
        <v>152714.50480368501</v>
      </c>
      <c r="H15681" s="56">
        <v>8.3368482903312002E-2</v>
      </c>
      <c r="I15681" s="224" t="s">
        <v>2</v>
      </c>
    </row>
    <row r="15682" spans="1:9" x14ac:dyDescent="0.25">
      <c r="A15682" s="515">
        <v>54174</v>
      </c>
      <c r="B15682" s="515" t="s">
        <v>897</v>
      </c>
      <c r="C15682" s="52">
        <v>175531.45404181199</v>
      </c>
      <c r="D15682" s="56">
        <v>0.14310279231560272</v>
      </c>
      <c r="E15682" s="224" t="s">
        <v>2</v>
      </c>
      <c r="F15682" s="515" t="s">
        <v>16858</v>
      </c>
      <c r="G15682" s="52">
        <v>129392.380434782</v>
      </c>
      <c r="H15682" s="56">
        <v>0</v>
      </c>
      <c r="I15682" s="224" t="s">
        <v>2</v>
      </c>
    </row>
    <row r="15683" spans="1:9" x14ac:dyDescent="0.25">
      <c r="A15683" s="515">
        <v>43557</v>
      </c>
      <c r="C15683" s="52">
        <v>150203.48459345399</v>
      </c>
      <c r="D15683" s="56">
        <v>8.4251136116341691E-2</v>
      </c>
      <c r="E15683" s="224" t="s">
        <v>2</v>
      </c>
      <c r="F15683" s="515" t="s">
        <v>16859</v>
      </c>
      <c r="G15683" s="52">
        <v>255804.33760088301</v>
      </c>
      <c r="H15683" s="56">
        <v>0.13755205143144206</v>
      </c>
      <c r="I15683" s="224" t="s">
        <v>2</v>
      </c>
    </row>
    <row r="15684" spans="1:9" x14ac:dyDescent="0.25">
      <c r="A15684" s="515">
        <v>84021</v>
      </c>
      <c r="C15684" s="52">
        <v>272677.563477522</v>
      </c>
      <c r="D15684" s="56">
        <v>0.10632448016784304</v>
      </c>
      <c r="E15684" s="224" t="s">
        <v>2</v>
      </c>
      <c r="F15684" s="515" t="s">
        <v>16860</v>
      </c>
      <c r="G15684" s="52">
        <v>181313.98517248899</v>
      </c>
      <c r="H15684" s="56">
        <v>9.4983264410516646E-2</v>
      </c>
      <c r="I15684" s="224" t="s">
        <v>2</v>
      </c>
    </row>
    <row r="15685" spans="1:9" x14ac:dyDescent="0.25">
      <c r="A15685" s="515">
        <v>62447</v>
      </c>
      <c r="B15685" s="515" t="s">
        <v>853</v>
      </c>
      <c r="C15685" s="52">
        <v>127089.391763026</v>
      </c>
      <c r="D15685" s="56">
        <v>0.15023641617695002</v>
      </c>
      <c r="E15685" s="224" t="s">
        <v>2</v>
      </c>
      <c r="F15685" s="515" t="s">
        <v>16861</v>
      </c>
      <c r="G15685" s="52">
        <v>96216.524919320102</v>
      </c>
      <c r="H15685" s="56">
        <v>0.18015618037413866</v>
      </c>
      <c r="I15685" s="224" t="s">
        <v>2</v>
      </c>
    </row>
    <row r="15686" spans="1:9" x14ac:dyDescent="0.25">
      <c r="A15686" s="515">
        <v>15557</v>
      </c>
      <c r="B15686" s="515" t="s">
        <v>370</v>
      </c>
      <c r="C15686" s="52">
        <v>152494.093644812</v>
      </c>
      <c r="D15686" s="56">
        <v>6.7716160933132943E-2</v>
      </c>
      <c r="E15686" s="224" t="s">
        <v>2</v>
      </c>
      <c r="F15686" s="515" t="s">
        <v>16862</v>
      </c>
      <c r="G15686" s="52">
        <v>91192.658053017003</v>
      </c>
      <c r="H15686" s="56">
        <v>1.6507074102061692E-2</v>
      </c>
      <c r="I15686" s="224" t="s">
        <v>2</v>
      </c>
    </row>
    <row r="15687" spans="1:9" x14ac:dyDescent="0.25">
      <c r="A15687" s="515">
        <v>52253</v>
      </c>
      <c r="B15687" s="515" t="s">
        <v>404</v>
      </c>
      <c r="C15687" s="52">
        <v>254719.22275869999</v>
      </c>
      <c r="D15687" s="56">
        <v>7.8851371964570857E-2</v>
      </c>
      <c r="E15687" s="224" t="s">
        <v>2</v>
      </c>
      <c r="F15687" s="515" t="s">
        <v>16863</v>
      </c>
      <c r="G15687" s="52">
        <v>200148.92162064399</v>
      </c>
      <c r="H15687" s="56">
        <v>8.9247359947751459E-2</v>
      </c>
      <c r="I15687" s="224" t="s">
        <v>2</v>
      </c>
    </row>
    <row r="15688" spans="1:9" x14ac:dyDescent="0.25">
      <c r="A15688" s="515">
        <v>24315</v>
      </c>
      <c r="B15688" s="515" t="s">
        <v>306</v>
      </c>
      <c r="C15688" s="52">
        <v>159910.07003256099</v>
      </c>
      <c r="D15688" s="56">
        <v>7.7113864136528779E-2</v>
      </c>
      <c r="E15688" s="224" t="s">
        <v>2</v>
      </c>
      <c r="F15688" s="515" t="s">
        <v>16864</v>
      </c>
      <c r="G15688" s="52">
        <v>920024.13491624</v>
      </c>
      <c r="H15688" s="56">
        <v>3.5909732217770808E-2</v>
      </c>
      <c r="I15688" s="224" t="s">
        <v>2</v>
      </c>
    </row>
    <row r="15689" spans="1:9" x14ac:dyDescent="0.25">
      <c r="A15689" s="515">
        <v>65486</v>
      </c>
      <c r="C15689" s="52">
        <v>162771.68243339201</v>
      </c>
      <c r="D15689" s="56">
        <v>7.4468640869262526E-2</v>
      </c>
      <c r="E15689" s="224" t="s">
        <v>2</v>
      </c>
      <c r="F15689" s="515" t="s">
        <v>16865</v>
      </c>
      <c r="G15689" s="52">
        <v>93201.9653908849</v>
      </c>
      <c r="H15689" s="56">
        <v>0.11295096985785687</v>
      </c>
      <c r="I15689" s="224" t="s">
        <v>2</v>
      </c>
    </row>
    <row r="15690" spans="1:9" x14ac:dyDescent="0.25">
      <c r="A15690" s="515">
        <v>13691</v>
      </c>
      <c r="B15690" s="515" t="s">
        <v>431</v>
      </c>
      <c r="C15690" s="52">
        <v>187172.09475759399</v>
      </c>
      <c r="D15690" s="56">
        <v>6.751623484160317E-2</v>
      </c>
      <c r="E15690" s="224" t="s">
        <v>2</v>
      </c>
      <c r="F15690" s="515" t="s">
        <v>16866</v>
      </c>
      <c r="G15690" s="52">
        <v>241699.764792815</v>
      </c>
      <c r="H15690" s="56">
        <v>0.10597823267127342</v>
      </c>
      <c r="I15690" s="224" t="s">
        <v>2</v>
      </c>
    </row>
    <row r="15691" spans="1:9" x14ac:dyDescent="0.25">
      <c r="A15691" s="515">
        <v>84761</v>
      </c>
      <c r="B15691" s="515" t="s">
        <v>571</v>
      </c>
      <c r="C15691" s="52">
        <v>369580.91214443202</v>
      </c>
      <c r="D15691" s="56">
        <v>5.7591924385823993E-2</v>
      </c>
      <c r="E15691" s="224" t="s">
        <v>2</v>
      </c>
      <c r="F15691" s="515" t="s">
        <v>16867</v>
      </c>
      <c r="G15691" s="52">
        <v>258854.12105382999</v>
      </c>
      <c r="H15691" s="56">
        <v>0.10528409865445851</v>
      </c>
      <c r="I15691" s="224" t="s">
        <v>2</v>
      </c>
    </row>
    <row r="15692" spans="1:9" x14ac:dyDescent="0.25">
      <c r="A15692" s="515">
        <v>24104</v>
      </c>
      <c r="B15692" s="515" t="s">
        <v>705</v>
      </c>
      <c r="C15692" s="52">
        <v>451037.72799841402</v>
      </c>
      <c r="D15692" s="56">
        <v>7.9279919587905451E-2</v>
      </c>
      <c r="E15692" s="224" t="s">
        <v>2</v>
      </c>
      <c r="F15692" s="515" t="s">
        <v>16868</v>
      </c>
      <c r="G15692" s="52">
        <v>151405.36433718001</v>
      </c>
      <c r="H15692" s="56">
        <v>2.6757972075356289E-2</v>
      </c>
      <c r="I15692" s="224" t="s">
        <v>2</v>
      </c>
    </row>
    <row r="15693" spans="1:9" x14ac:dyDescent="0.25">
      <c r="A15693" s="515">
        <v>79041</v>
      </c>
      <c r="B15693" s="515" t="s">
        <v>1069</v>
      </c>
      <c r="C15693" s="52">
        <v>81477.111707037198</v>
      </c>
      <c r="D15693" s="56">
        <v>-3.6354379860908434E-2</v>
      </c>
      <c r="E15693" s="224" t="s">
        <v>2</v>
      </c>
      <c r="F15693" s="515" t="s">
        <v>16869</v>
      </c>
      <c r="G15693" s="52">
        <v>137256.59750289799</v>
      </c>
      <c r="H15693" s="56">
        <v>2.3466634052445021E-2</v>
      </c>
      <c r="I15693" s="224" t="s">
        <v>2</v>
      </c>
    </row>
    <row r="15694" spans="1:9" x14ac:dyDescent="0.25">
      <c r="A15694" s="515">
        <v>71049</v>
      </c>
      <c r="B15694" s="515" t="s">
        <v>739</v>
      </c>
      <c r="C15694" s="52">
        <v>81775.639290021601</v>
      </c>
      <c r="D15694" s="56">
        <v>1.5663200394013519E-4</v>
      </c>
      <c r="E15694" s="224" t="s">
        <v>2</v>
      </c>
      <c r="F15694" s="515" t="s">
        <v>16870</v>
      </c>
      <c r="G15694" s="52">
        <v>186210.85329524899</v>
      </c>
      <c r="H15694" s="56">
        <v>0.23139688776318942</v>
      </c>
      <c r="I15694" s="224" t="s">
        <v>2</v>
      </c>
    </row>
    <row r="15695" spans="1:9" x14ac:dyDescent="0.25">
      <c r="A15695" s="515">
        <v>65231</v>
      </c>
      <c r="B15695" s="515" t="s">
        <v>711</v>
      </c>
      <c r="C15695" s="52">
        <v>199528.76530537699</v>
      </c>
      <c r="D15695" s="56">
        <v>0.201109426678027</v>
      </c>
      <c r="E15695" s="224" t="s">
        <v>2</v>
      </c>
      <c r="F15695" s="515" t="s">
        <v>16871</v>
      </c>
      <c r="G15695" s="52">
        <v>144752.07697753201</v>
      </c>
      <c r="H15695" s="56">
        <v>0</v>
      </c>
      <c r="I15695" s="224" t="s">
        <v>2</v>
      </c>
    </row>
    <row r="15696" spans="1:9" x14ac:dyDescent="0.25">
      <c r="A15696" s="515">
        <v>18347</v>
      </c>
      <c r="B15696" s="515" t="s">
        <v>338</v>
      </c>
      <c r="C15696" s="52">
        <v>257074.57549904601</v>
      </c>
      <c r="D15696" s="56">
        <v>0.15544808825296161</v>
      </c>
      <c r="E15696" s="224" t="s">
        <v>2</v>
      </c>
      <c r="F15696" s="515" t="s">
        <v>16872</v>
      </c>
      <c r="G15696" s="52">
        <v>212876.827128173</v>
      </c>
      <c r="H15696" s="56">
        <v>8.1453105771541814E-2</v>
      </c>
      <c r="I15696" s="224" t="s">
        <v>2</v>
      </c>
    </row>
    <row r="15697" spans="1:9" x14ac:dyDescent="0.25">
      <c r="A15697" s="515">
        <v>59759</v>
      </c>
      <c r="B15697" s="515" t="s">
        <v>750</v>
      </c>
      <c r="C15697" s="52">
        <v>421789.05190840201</v>
      </c>
      <c r="D15697" s="56">
        <v>9.3125512658573981E-2</v>
      </c>
      <c r="E15697" s="224" t="s">
        <v>2</v>
      </c>
      <c r="F15697" s="515" t="s">
        <v>16873</v>
      </c>
      <c r="G15697" s="52">
        <v>187170.491483652</v>
      </c>
      <c r="H15697" s="56">
        <v>1.4175293307803118E-2</v>
      </c>
      <c r="I15697" s="224" t="s">
        <v>2</v>
      </c>
    </row>
    <row r="15698" spans="1:9" x14ac:dyDescent="0.25">
      <c r="A15698" s="515">
        <v>4348</v>
      </c>
      <c r="C15698" s="52">
        <v>297781.544862927</v>
      </c>
      <c r="D15698" s="56">
        <v>0.13571322724577686</v>
      </c>
      <c r="E15698" s="224" t="s">
        <v>2</v>
      </c>
      <c r="F15698" s="515" t="s">
        <v>16874</v>
      </c>
      <c r="G15698" s="52">
        <v>229891.86577181201</v>
      </c>
      <c r="H15698" s="56">
        <v>0</v>
      </c>
      <c r="I15698" s="224" t="s">
        <v>2</v>
      </c>
    </row>
    <row r="15699" spans="1:9" x14ac:dyDescent="0.25">
      <c r="A15699" s="515">
        <v>38549</v>
      </c>
      <c r="C15699" s="52">
        <v>194497.73154291001</v>
      </c>
      <c r="D15699" s="56">
        <v>4.2439427117086793E-2</v>
      </c>
      <c r="E15699" s="224" t="s">
        <v>2</v>
      </c>
      <c r="F15699" s="515" t="s">
        <v>16875</v>
      </c>
      <c r="G15699" s="52">
        <v>144517.22019576401</v>
      </c>
      <c r="H15699" s="56">
        <v>0.12641808578148098</v>
      </c>
      <c r="I15699" s="224" t="s">
        <v>2</v>
      </c>
    </row>
    <row r="15700" spans="1:9" x14ac:dyDescent="0.25">
      <c r="A15700" s="515">
        <v>65338</v>
      </c>
      <c r="C15700" s="52">
        <v>159550.542059531</v>
      </c>
      <c r="D15700" s="56">
        <v>5.2687036873949461E-2</v>
      </c>
      <c r="E15700" s="224" t="s">
        <v>2</v>
      </c>
      <c r="F15700" s="515" t="s">
        <v>16876</v>
      </c>
      <c r="G15700" s="52">
        <v>231705.37673736701</v>
      </c>
      <c r="H15700" s="56">
        <v>0.132341353571402</v>
      </c>
      <c r="I15700" s="224" t="s">
        <v>2</v>
      </c>
    </row>
    <row r="15701" spans="1:9" x14ac:dyDescent="0.25">
      <c r="A15701" s="515">
        <v>70711</v>
      </c>
      <c r="B15701" s="515" t="s">
        <v>610</v>
      </c>
      <c r="C15701" s="52">
        <v>207324.345160025</v>
      </c>
      <c r="D15701" s="56">
        <v>5.1612733121698014E-2</v>
      </c>
      <c r="E15701" s="224" t="s">
        <v>2</v>
      </c>
      <c r="F15701" s="515" t="s">
        <v>16877</v>
      </c>
      <c r="G15701" s="52">
        <v>139418.17331198399</v>
      </c>
      <c r="H15701" s="56">
        <v>-7.8991545318969333E-2</v>
      </c>
      <c r="I15701" s="224" t="s">
        <v>2</v>
      </c>
    </row>
    <row r="15702" spans="1:9" x14ac:dyDescent="0.25">
      <c r="A15702" s="515">
        <v>15052</v>
      </c>
      <c r="B15702" s="515" t="s">
        <v>297</v>
      </c>
      <c r="C15702" s="52">
        <v>153840.118131672</v>
      </c>
      <c r="D15702" s="56">
        <v>-3.2192435497307291E-2</v>
      </c>
      <c r="E15702" s="224" t="s">
        <v>2</v>
      </c>
      <c r="F15702" s="515" t="s">
        <v>16878</v>
      </c>
      <c r="G15702" s="52">
        <v>133559.02020382101</v>
      </c>
      <c r="H15702" s="56">
        <v>9.0712294302515081E-2</v>
      </c>
      <c r="I15702" s="224" t="s">
        <v>2</v>
      </c>
    </row>
    <row r="15703" spans="1:9" x14ac:dyDescent="0.25">
      <c r="A15703" s="515">
        <v>46770</v>
      </c>
      <c r="B15703" s="515" t="s">
        <v>465</v>
      </c>
      <c r="C15703" s="52">
        <v>222511.75443054299</v>
      </c>
      <c r="D15703" s="56">
        <v>8.8729617924396778E-2</v>
      </c>
      <c r="E15703" s="224" t="s">
        <v>2</v>
      </c>
      <c r="F15703" s="515" t="s">
        <v>16879</v>
      </c>
      <c r="G15703" s="52">
        <v>260240.09763828601</v>
      </c>
      <c r="H15703" s="56">
        <v>8.4340500930225784E-2</v>
      </c>
      <c r="I15703" s="224" t="s">
        <v>2</v>
      </c>
    </row>
    <row r="15704" spans="1:9" x14ac:dyDescent="0.25">
      <c r="A15704" s="515">
        <v>29924</v>
      </c>
      <c r="C15704" s="52">
        <v>131070.365098611</v>
      </c>
      <c r="D15704" s="56">
        <v>0.13430642215853686</v>
      </c>
      <c r="E15704" s="224" t="s">
        <v>2</v>
      </c>
      <c r="F15704" s="515" t="s">
        <v>16880</v>
      </c>
      <c r="G15704" s="52">
        <v>151353.23496390099</v>
      </c>
      <c r="H15704" s="56">
        <v>5.2213390489643359E-2</v>
      </c>
      <c r="I15704" s="224" t="s">
        <v>2</v>
      </c>
    </row>
    <row r="15705" spans="1:9" x14ac:dyDescent="0.25">
      <c r="A15705" s="515">
        <v>12037</v>
      </c>
      <c r="B15705" s="515" t="s">
        <v>564</v>
      </c>
      <c r="C15705" s="52">
        <v>407829.31042571802</v>
      </c>
      <c r="D15705" s="56">
        <v>0.11600035630962764</v>
      </c>
      <c r="E15705" s="224" t="s">
        <v>2</v>
      </c>
      <c r="F15705" s="515" t="s">
        <v>16881</v>
      </c>
      <c r="G15705" s="52">
        <v>105907.445783132</v>
      </c>
      <c r="H15705" s="56">
        <v>0</v>
      </c>
      <c r="I15705" s="224" t="s">
        <v>2</v>
      </c>
    </row>
    <row r="15706" spans="1:9" x14ac:dyDescent="0.25">
      <c r="A15706" s="515">
        <v>29432</v>
      </c>
      <c r="B15706" s="515" t="s">
        <v>1036</v>
      </c>
      <c r="C15706" s="52">
        <v>108787.00524553101</v>
      </c>
      <c r="D15706" s="56">
        <v>-1.9782010668340025E-2</v>
      </c>
      <c r="E15706" s="224" t="s">
        <v>2</v>
      </c>
      <c r="F15706" s="515" t="s">
        <v>16882</v>
      </c>
      <c r="G15706" s="52">
        <v>100800.776481505</v>
      </c>
      <c r="H15706" s="56">
        <v>0.13731941723503979</v>
      </c>
      <c r="I15706" s="224" t="s">
        <v>2</v>
      </c>
    </row>
    <row r="15707" spans="1:9" x14ac:dyDescent="0.25">
      <c r="A15707" s="515">
        <v>56557</v>
      </c>
      <c r="C15707" s="52">
        <v>112494.15435143901</v>
      </c>
      <c r="D15707" s="56">
        <v>6.6952383699811324E-2</v>
      </c>
      <c r="E15707" s="224" t="s">
        <v>2</v>
      </c>
      <c r="F15707" s="515" t="s">
        <v>16883</v>
      </c>
      <c r="G15707" s="52">
        <v>43416.916606889499</v>
      </c>
      <c r="H15707" s="56">
        <v>2.1194655083212815E-2</v>
      </c>
      <c r="I15707" s="224" t="s">
        <v>2</v>
      </c>
    </row>
    <row r="15708" spans="1:9" x14ac:dyDescent="0.25">
      <c r="A15708" s="515">
        <v>53203</v>
      </c>
      <c r="B15708" s="515" t="s">
        <v>950</v>
      </c>
      <c r="C15708" s="52">
        <v>305228.44242173899</v>
      </c>
      <c r="D15708" s="56">
        <v>0.11980472924723101</v>
      </c>
      <c r="E15708" s="224">
        <v>1547.5</v>
      </c>
      <c r="F15708" s="515" t="s">
        <v>16884</v>
      </c>
      <c r="G15708" s="52">
        <v>122444.912058241</v>
      </c>
      <c r="H15708" s="56">
        <v>0.13375315387222872</v>
      </c>
      <c r="I15708" s="224" t="s">
        <v>2</v>
      </c>
    </row>
    <row r="15709" spans="1:9" x14ac:dyDescent="0.25">
      <c r="A15709" s="515">
        <v>27852</v>
      </c>
      <c r="B15709" s="515" t="s">
        <v>1152</v>
      </c>
      <c r="C15709" s="52">
        <v>146602.69872957701</v>
      </c>
      <c r="D15709" s="56">
        <v>0.2228072992425682</v>
      </c>
      <c r="E15709" s="224" t="s">
        <v>2</v>
      </c>
      <c r="F15709" s="515" t="s">
        <v>16885</v>
      </c>
      <c r="G15709" s="52">
        <v>125427.533243406</v>
      </c>
      <c r="H15709" s="56">
        <v>0.10836329583625159</v>
      </c>
      <c r="I15709" s="224" t="s">
        <v>2</v>
      </c>
    </row>
    <row r="15710" spans="1:9" x14ac:dyDescent="0.25">
      <c r="A15710" s="515">
        <v>61726</v>
      </c>
      <c r="B15710" s="515" t="s">
        <v>678</v>
      </c>
      <c r="C15710" s="52">
        <v>130004.79373525899</v>
      </c>
      <c r="D15710" s="56">
        <v>8.7672516440401832E-2</v>
      </c>
      <c r="E15710" s="224" t="s">
        <v>2</v>
      </c>
      <c r="F15710" s="515" t="s">
        <v>16886</v>
      </c>
      <c r="G15710" s="52">
        <v>81241.6158531377</v>
      </c>
      <c r="H15710" s="56">
        <v>9.1623732254481838E-2</v>
      </c>
      <c r="I15710" s="224" t="s">
        <v>2</v>
      </c>
    </row>
    <row r="15711" spans="1:9" x14ac:dyDescent="0.25">
      <c r="A15711" s="515">
        <v>6089</v>
      </c>
      <c r="B15711" s="515" t="s">
        <v>894</v>
      </c>
      <c r="C15711" s="52">
        <v>360099.686191938</v>
      </c>
      <c r="D15711" s="56">
        <v>5.951060848044868E-2</v>
      </c>
      <c r="E15711" s="224" t="s">
        <v>2</v>
      </c>
      <c r="F15711" s="515" t="s">
        <v>16887</v>
      </c>
      <c r="G15711" s="52">
        <v>285284.18882679503</v>
      </c>
      <c r="H15711" s="56">
        <v>0.10239334031414335</v>
      </c>
      <c r="I15711" s="224" t="s">
        <v>2</v>
      </c>
    </row>
    <row r="15712" spans="1:9" x14ac:dyDescent="0.25">
      <c r="A15712" s="515">
        <v>16625</v>
      </c>
      <c r="B15712" s="515" t="s">
        <v>1086</v>
      </c>
      <c r="C15712" s="52">
        <v>125851.256053776</v>
      </c>
      <c r="D15712" s="56">
        <v>-5.1607430720153179E-3</v>
      </c>
      <c r="E15712" s="224" t="s">
        <v>2</v>
      </c>
      <c r="F15712" s="515" t="s">
        <v>16888</v>
      </c>
      <c r="G15712" s="52">
        <v>103387.189738958</v>
      </c>
      <c r="H15712" s="56">
        <v>3.1037996354014306E-2</v>
      </c>
      <c r="I15712" s="224" t="s">
        <v>2</v>
      </c>
    </row>
    <row r="15713" spans="1:9" x14ac:dyDescent="0.25">
      <c r="A15713" s="515">
        <v>38463</v>
      </c>
      <c r="C15713" s="52">
        <v>160562.30635496299</v>
      </c>
      <c r="D15713" s="56">
        <v>4.314522387917652E-2</v>
      </c>
      <c r="E15713" s="224" t="s">
        <v>2</v>
      </c>
      <c r="F15713" s="515" t="s">
        <v>16889</v>
      </c>
      <c r="G15713" s="52">
        <v>220527.63273339201</v>
      </c>
      <c r="H15713" s="56">
        <v>0.10142524633623434</v>
      </c>
      <c r="I15713" s="224" t="s">
        <v>2</v>
      </c>
    </row>
    <row r="15714" spans="1:9" x14ac:dyDescent="0.25">
      <c r="A15714" s="515">
        <v>12809</v>
      </c>
      <c r="B15714" s="515" t="s">
        <v>422</v>
      </c>
      <c r="C15714" s="52">
        <v>229997.67474642899</v>
      </c>
      <c r="D15714" s="56">
        <v>5.817427574330386E-2</v>
      </c>
      <c r="E15714" s="224" t="s">
        <v>2</v>
      </c>
      <c r="F15714" s="515" t="s">
        <v>16890</v>
      </c>
      <c r="G15714" s="52">
        <v>150216.44545893499</v>
      </c>
      <c r="H15714" s="56">
        <v>0.15384568003716487</v>
      </c>
      <c r="I15714" s="224" t="s">
        <v>2</v>
      </c>
    </row>
    <row r="15715" spans="1:9" x14ac:dyDescent="0.25">
      <c r="A15715" s="515">
        <v>24637</v>
      </c>
      <c r="B15715" s="515" t="s">
        <v>306</v>
      </c>
      <c r="C15715" s="52">
        <v>164595.89601429799</v>
      </c>
      <c r="D15715" s="56">
        <v>4.4833785980492591E-2</v>
      </c>
      <c r="E15715" s="224" t="s">
        <v>2</v>
      </c>
      <c r="F15715" s="515" t="s">
        <v>16891</v>
      </c>
      <c r="G15715" s="52">
        <v>171594.39275147201</v>
      </c>
      <c r="H15715" s="56">
        <v>5.3475605158678059E-2</v>
      </c>
      <c r="I15715" s="224" t="s">
        <v>2</v>
      </c>
    </row>
    <row r="15716" spans="1:9" x14ac:dyDescent="0.25">
      <c r="A15716" s="515">
        <v>4287</v>
      </c>
      <c r="B15716" s="515" t="s">
        <v>570</v>
      </c>
      <c r="C15716" s="52">
        <v>329996.57187135302</v>
      </c>
      <c r="D15716" s="56">
        <v>0.10849075714101665</v>
      </c>
      <c r="E15716" s="224" t="s">
        <v>2</v>
      </c>
      <c r="F15716" s="515" t="s">
        <v>16892</v>
      </c>
      <c r="G15716" s="52">
        <v>227800.70071285099</v>
      </c>
      <c r="H15716" s="56">
        <v>9.5029606347994219E-2</v>
      </c>
      <c r="I15716" s="224" t="s">
        <v>2</v>
      </c>
    </row>
    <row r="15717" spans="1:9" x14ac:dyDescent="0.25">
      <c r="A15717" s="515">
        <v>56473</v>
      </c>
      <c r="B15717" s="515" t="s">
        <v>674</v>
      </c>
      <c r="C15717" s="52">
        <v>270338.84440938901</v>
      </c>
      <c r="D15717" s="56">
        <v>8.8382130766408287E-2</v>
      </c>
      <c r="E15717" s="224" t="s">
        <v>2</v>
      </c>
      <c r="F15717" s="515" t="s">
        <v>16893</v>
      </c>
      <c r="G15717" s="52">
        <v>110370.525194252</v>
      </c>
      <c r="H15717" s="56">
        <v>6.4670103278698168E-2</v>
      </c>
      <c r="I15717" s="224" t="s">
        <v>2</v>
      </c>
    </row>
    <row r="15718" spans="1:9" x14ac:dyDescent="0.25">
      <c r="A15718" s="515">
        <v>3584</v>
      </c>
      <c r="B15718" s="515" t="s">
        <v>752</v>
      </c>
      <c r="C15718" s="52">
        <v>252557.80290398799</v>
      </c>
      <c r="D15718" s="56">
        <v>0.14703073889181931</v>
      </c>
      <c r="E15718" s="224" t="s">
        <v>2</v>
      </c>
      <c r="F15718" s="515" t="s">
        <v>16894</v>
      </c>
      <c r="G15718" s="52">
        <v>161246.11239194599</v>
      </c>
      <c r="H15718" s="56">
        <v>0.14093390634082062</v>
      </c>
      <c r="I15718" s="224" t="s">
        <v>2</v>
      </c>
    </row>
    <row r="15719" spans="1:9" x14ac:dyDescent="0.25">
      <c r="A15719" s="515">
        <v>31044</v>
      </c>
      <c r="B15719" s="515" t="s">
        <v>995</v>
      </c>
      <c r="C15719" s="52">
        <v>83639.206795635502</v>
      </c>
      <c r="D15719" s="56">
        <v>0.18305976016549413</v>
      </c>
      <c r="E15719" s="224" t="s">
        <v>2</v>
      </c>
      <c r="F15719" s="515" t="s">
        <v>16895</v>
      </c>
      <c r="G15719" s="52">
        <v>172117.57226256601</v>
      </c>
      <c r="H15719" s="56">
        <v>4.6169715737652037E-2</v>
      </c>
      <c r="I15719" s="224" t="s">
        <v>2</v>
      </c>
    </row>
    <row r="15720" spans="1:9" x14ac:dyDescent="0.25">
      <c r="A15720" s="515">
        <v>4254</v>
      </c>
      <c r="B15720" s="515" t="s">
        <v>1120</v>
      </c>
      <c r="C15720" s="52">
        <v>178000.50626967501</v>
      </c>
      <c r="D15720" s="56">
        <v>0.12443701417953999</v>
      </c>
      <c r="E15720" s="224" t="s">
        <v>2</v>
      </c>
      <c r="F15720" s="515" t="s">
        <v>16896</v>
      </c>
      <c r="G15720" s="52">
        <v>223938.00866260999</v>
      </c>
      <c r="H15720" s="56">
        <v>0.10500027340205623</v>
      </c>
      <c r="I15720" s="224" t="s">
        <v>2</v>
      </c>
    </row>
    <row r="15721" spans="1:9" x14ac:dyDescent="0.25">
      <c r="A15721" s="515">
        <v>24639</v>
      </c>
      <c r="B15721" s="515" t="s">
        <v>306</v>
      </c>
      <c r="C15721" s="52">
        <v>72783.702563476603</v>
      </c>
      <c r="D15721" s="56">
        <v>3.6034431601275278E-2</v>
      </c>
      <c r="E15721" s="224" t="s">
        <v>2</v>
      </c>
      <c r="F15721" s="515" t="s">
        <v>16897</v>
      </c>
      <c r="G15721" s="52">
        <v>113152.500350193</v>
      </c>
      <c r="H15721" s="56">
        <v>0.14448987976708097</v>
      </c>
      <c r="I15721" s="224" t="s">
        <v>2</v>
      </c>
    </row>
    <row r="15722" spans="1:9" x14ac:dyDescent="0.25">
      <c r="A15722" s="515">
        <v>43758</v>
      </c>
      <c r="C15722" s="52">
        <v>121675.636584205</v>
      </c>
      <c r="D15722" s="56">
        <v>0.13651161502064116</v>
      </c>
      <c r="E15722" s="224" t="s">
        <v>2</v>
      </c>
      <c r="F15722" s="515" t="s">
        <v>16898</v>
      </c>
      <c r="G15722" s="52">
        <v>298678.250600959</v>
      </c>
      <c r="H15722" s="56">
        <v>7.4992945513369755E-2</v>
      </c>
      <c r="I15722" s="224" t="s">
        <v>2</v>
      </c>
    </row>
    <row r="15723" spans="1:9" x14ac:dyDescent="0.25">
      <c r="A15723" s="515">
        <v>84049</v>
      </c>
      <c r="B15723" s="515" t="s">
        <v>502</v>
      </c>
      <c r="C15723" s="52">
        <v>800791.66633516003</v>
      </c>
      <c r="D15723" s="56">
        <v>6.9390061889890359E-2</v>
      </c>
      <c r="E15723" s="224" t="s">
        <v>2</v>
      </c>
      <c r="F15723" s="515" t="s">
        <v>16899</v>
      </c>
      <c r="G15723" s="52">
        <v>107769.127345592</v>
      </c>
      <c r="H15723" s="56">
        <v>-5.1191857552227861E-2</v>
      </c>
      <c r="I15723" s="224" t="s">
        <v>2</v>
      </c>
    </row>
    <row r="15724" spans="1:9" x14ac:dyDescent="0.25">
      <c r="A15724" s="515">
        <v>56477</v>
      </c>
      <c r="C15724" s="52">
        <v>186131.27341388201</v>
      </c>
      <c r="D15724" s="56">
        <v>1.1727661126404205E-2</v>
      </c>
      <c r="E15724" s="224" t="s">
        <v>2</v>
      </c>
      <c r="F15724" s="515" t="s">
        <v>16900</v>
      </c>
      <c r="G15724" s="52">
        <v>361410.97700605198</v>
      </c>
      <c r="H15724" s="56">
        <v>9.4623525292534164E-2</v>
      </c>
      <c r="I15724" s="224" t="s">
        <v>2</v>
      </c>
    </row>
    <row r="15725" spans="1:9" x14ac:dyDescent="0.25">
      <c r="A15725" s="515">
        <v>72513</v>
      </c>
      <c r="C15725" s="52">
        <v>133595.74718390801</v>
      </c>
      <c r="D15725" s="56">
        <v>-3.6145512106037792E-4</v>
      </c>
      <c r="E15725" s="224" t="s">
        <v>2</v>
      </c>
      <c r="F15725" s="515" t="s">
        <v>16901</v>
      </c>
      <c r="G15725" s="52">
        <v>253417.927547075</v>
      </c>
      <c r="H15725" s="56">
        <v>0.15368108598520144</v>
      </c>
      <c r="I15725" s="224" t="s">
        <v>2</v>
      </c>
    </row>
    <row r="15726" spans="1:9" x14ac:dyDescent="0.25">
      <c r="A15726" s="515">
        <v>25524</v>
      </c>
      <c r="B15726" s="515" t="s">
        <v>464</v>
      </c>
      <c r="C15726" s="52">
        <v>87659.435297688397</v>
      </c>
      <c r="D15726" s="56">
        <v>0.16843384882946855</v>
      </c>
      <c r="E15726" s="224" t="s">
        <v>2</v>
      </c>
      <c r="F15726" s="515" t="s">
        <v>16902</v>
      </c>
      <c r="G15726" s="52">
        <v>229930.24603810499</v>
      </c>
      <c r="H15726" s="56">
        <v>0.20041279518213126</v>
      </c>
      <c r="I15726" s="224" t="s">
        <v>2</v>
      </c>
    </row>
    <row r="15727" spans="1:9" x14ac:dyDescent="0.25">
      <c r="A15727" s="515">
        <v>48145</v>
      </c>
      <c r="B15727" s="515" t="s">
        <v>1033</v>
      </c>
      <c r="C15727" s="52">
        <v>218724.32428908799</v>
      </c>
      <c r="D15727" s="56">
        <v>3.7628891790961044E-2</v>
      </c>
      <c r="E15727" s="224" t="s">
        <v>2</v>
      </c>
      <c r="F15727" s="515" t="s">
        <v>16903</v>
      </c>
      <c r="G15727" s="52">
        <v>506309.92744716001</v>
      </c>
      <c r="H15727" s="56">
        <v>4.1618367020676804E-2</v>
      </c>
      <c r="I15727" s="224" t="s">
        <v>2</v>
      </c>
    </row>
    <row r="15728" spans="1:9" x14ac:dyDescent="0.25">
      <c r="A15728" s="515">
        <v>49953</v>
      </c>
      <c r="C15728" s="52">
        <v>106772.274266623</v>
      </c>
      <c r="D15728" s="56">
        <v>7.4059187759766013E-2</v>
      </c>
      <c r="E15728" s="224" t="s">
        <v>2</v>
      </c>
      <c r="F15728" s="515" t="s">
        <v>16904</v>
      </c>
      <c r="G15728" s="52">
        <v>131741.57774708001</v>
      </c>
      <c r="H15728" s="56">
        <v>0.10883458352129781</v>
      </c>
      <c r="I15728" s="224" t="s">
        <v>2</v>
      </c>
    </row>
    <row r="15729" spans="1:9" x14ac:dyDescent="0.25">
      <c r="A15729" s="515">
        <v>76651</v>
      </c>
      <c r="B15729" s="515" t="s">
        <v>458</v>
      </c>
      <c r="C15729" s="52">
        <v>219701.14743816201</v>
      </c>
      <c r="D15729" s="56">
        <v>3.43766937525493E-2</v>
      </c>
      <c r="E15729" s="224" t="s">
        <v>2</v>
      </c>
      <c r="F15729" s="515" t="s">
        <v>16905</v>
      </c>
      <c r="G15729" s="52">
        <v>479000.79950869398</v>
      </c>
      <c r="H15729" s="56">
        <v>8.7071379722879844E-2</v>
      </c>
      <c r="I15729" s="224" t="s">
        <v>2</v>
      </c>
    </row>
    <row r="15730" spans="1:9" x14ac:dyDescent="0.25">
      <c r="A15730" s="515">
        <v>41256</v>
      </c>
      <c r="C15730" s="52">
        <v>140017.25803191299</v>
      </c>
      <c r="D15730" s="56">
        <v>0.12797565617208873</v>
      </c>
      <c r="E15730" s="224" t="s">
        <v>2</v>
      </c>
      <c r="F15730" s="515" t="s">
        <v>16906</v>
      </c>
      <c r="G15730" s="52">
        <v>755777.64783554198</v>
      </c>
      <c r="H15730" s="56">
        <v>8.8558980748543029E-2</v>
      </c>
      <c r="I15730" s="224" t="s">
        <v>2</v>
      </c>
    </row>
    <row r="15731" spans="1:9" x14ac:dyDescent="0.25">
      <c r="A15731" s="515">
        <v>56542</v>
      </c>
      <c r="B15731" s="515" t="s">
        <v>624</v>
      </c>
      <c r="C15731" s="52">
        <v>171832.94058548901</v>
      </c>
      <c r="D15731" s="56">
        <v>6.6322597168264441E-2</v>
      </c>
      <c r="E15731" s="224" t="s">
        <v>2</v>
      </c>
      <c r="F15731" s="515" t="s">
        <v>16907</v>
      </c>
      <c r="G15731" s="52">
        <v>440191.62616822397</v>
      </c>
      <c r="H15731" s="56">
        <v>0</v>
      </c>
      <c r="I15731" s="224" t="s">
        <v>2</v>
      </c>
    </row>
    <row r="15732" spans="1:9" x14ac:dyDescent="0.25">
      <c r="A15732" s="515">
        <v>28670</v>
      </c>
      <c r="B15732" s="515" t="s">
        <v>1018</v>
      </c>
      <c r="C15732" s="52">
        <v>188899.745484535</v>
      </c>
      <c r="D15732" s="56">
        <v>0.16479654989914155</v>
      </c>
      <c r="E15732" s="224" t="s">
        <v>2</v>
      </c>
      <c r="F15732" s="515" t="s">
        <v>16908</v>
      </c>
      <c r="G15732" s="52">
        <v>97993.719340440599</v>
      </c>
      <c r="H15732" s="56">
        <v>-2.384072807737293E-2</v>
      </c>
      <c r="I15732" s="224" t="s">
        <v>2</v>
      </c>
    </row>
    <row r="15733" spans="1:9" x14ac:dyDescent="0.25">
      <c r="A15733" s="515">
        <v>73102</v>
      </c>
      <c r="B15733" s="515" t="s">
        <v>385</v>
      </c>
      <c r="C15733" s="52">
        <v>269138.452940577</v>
      </c>
      <c r="D15733" s="56">
        <v>-5.9971309965441359E-2</v>
      </c>
      <c r="E15733" s="224">
        <v>1516.875</v>
      </c>
      <c r="F15733" s="515" t="s">
        <v>16909</v>
      </c>
      <c r="G15733" s="52">
        <v>328520.73297307501</v>
      </c>
      <c r="H15733" s="56">
        <v>6.9196504928437749E-2</v>
      </c>
      <c r="I15733" s="224" t="s">
        <v>2</v>
      </c>
    </row>
    <row r="15734" spans="1:9" x14ac:dyDescent="0.25">
      <c r="A15734" s="515">
        <v>75453</v>
      </c>
      <c r="B15734" s="515" t="s">
        <v>458</v>
      </c>
      <c r="C15734" s="52">
        <v>259807.80440068</v>
      </c>
      <c r="D15734" s="56">
        <v>7.0671333885757581E-2</v>
      </c>
      <c r="E15734" s="224" t="s">
        <v>2</v>
      </c>
      <c r="F15734" s="515" t="s">
        <v>16910</v>
      </c>
      <c r="G15734" s="52">
        <v>158838.88467546101</v>
      </c>
      <c r="H15734" s="56">
        <v>8.8277229069796778E-2</v>
      </c>
      <c r="I15734" s="224" t="s">
        <v>2</v>
      </c>
    </row>
    <row r="15735" spans="1:9" x14ac:dyDescent="0.25">
      <c r="A15735" s="515">
        <v>81224</v>
      </c>
      <c r="C15735" s="52">
        <v>1212703.4529564199</v>
      </c>
      <c r="D15735" s="56">
        <v>3.5146277839261886E-2</v>
      </c>
      <c r="E15735" s="224" t="s">
        <v>2</v>
      </c>
      <c r="F15735" s="515" t="s">
        <v>16911</v>
      </c>
      <c r="G15735" s="52">
        <v>406414.82725150301</v>
      </c>
      <c r="H15735" s="56">
        <v>4.5076096023270396E-2</v>
      </c>
      <c r="I15735" s="224" t="s">
        <v>2</v>
      </c>
    </row>
    <row r="15736" spans="1:9" x14ac:dyDescent="0.25">
      <c r="A15736" s="515">
        <v>40759</v>
      </c>
      <c r="B15736" s="515" t="s">
        <v>633</v>
      </c>
      <c r="C15736" s="52">
        <v>106919.324357926</v>
      </c>
      <c r="D15736" s="56">
        <v>0.10465029847677378</v>
      </c>
      <c r="E15736" s="224" t="s">
        <v>2</v>
      </c>
      <c r="F15736" s="515" t="s">
        <v>16912</v>
      </c>
      <c r="G15736" s="52">
        <v>165316.64937009799</v>
      </c>
      <c r="H15736" s="56">
        <v>6.5863811327396354E-2</v>
      </c>
      <c r="I15736" s="224" t="s">
        <v>2</v>
      </c>
    </row>
    <row r="15737" spans="1:9" x14ac:dyDescent="0.25">
      <c r="A15737" s="515">
        <v>44275</v>
      </c>
      <c r="B15737" s="515" t="s">
        <v>520</v>
      </c>
      <c r="C15737" s="52">
        <v>265013.62560327799</v>
      </c>
      <c r="D15737" s="56">
        <v>8.7566379923522147E-2</v>
      </c>
      <c r="E15737" s="224" t="s">
        <v>2</v>
      </c>
      <c r="F15737" s="515" t="s">
        <v>16913</v>
      </c>
      <c r="G15737" s="52">
        <v>260475.40470864499</v>
      </c>
      <c r="H15737" s="56">
        <v>8.6543932625593956E-2</v>
      </c>
      <c r="I15737" s="224" t="s">
        <v>2</v>
      </c>
    </row>
    <row r="15738" spans="1:9" x14ac:dyDescent="0.25">
      <c r="A15738" s="515">
        <v>99737</v>
      </c>
      <c r="C15738" s="52">
        <v>356391.92344301601</v>
      </c>
      <c r="D15738" s="56">
        <v>2.1605995133202458E-4</v>
      </c>
      <c r="E15738" s="224" t="s">
        <v>2</v>
      </c>
      <c r="F15738" s="515" t="s">
        <v>16914</v>
      </c>
      <c r="G15738" s="52">
        <v>596270.41477496701</v>
      </c>
      <c r="H15738" s="56">
        <v>9.10264899238417E-2</v>
      </c>
      <c r="I15738" s="224" t="s">
        <v>2</v>
      </c>
    </row>
    <row r="15739" spans="1:9" x14ac:dyDescent="0.25">
      <c r="A15739" s="515">
        <v>17304</v>
      </c>
      <c r="B15739" s="515" t="s">
        <v>457</v>
      </c>
      <c r="C15739" s="52">
        <v>268171.31940763898</v>
      </c>
      <c r="D15739" s="56">
        <v>8.7997845589946333E-2</v>
      </c>
      <c r="E15739" s="224" t="s">
        <v>2</v>
      </c>
      <c r="F15739" s="515" t="s">
        <v>16915</v>
      </c>
      <c r="G15739" s="52">
        <v>189752.105305342</v>
      </c>
      <c r="H15739" s="56">
        <v>7.693964171644968E-2</v>
      </c>
      <c r="I15739" s="224" t="s">
        <v>2</v>
      </c>
    </row>
    <row r="15740" spans="1:9" x14ac:dyDescent="0.25">
      <c r="A15740" s="515">
        <v>5764</v>
      </c>
      <c r="B15740" s="515" t="s">
        <v>791</v>
      </c>
      <c r="C15740" s="52">
        <v>241274.387292731</v>
      </c>
      <c r="D15740" s="56">
        <v>0.14870152397225486</v>
      </c>
      <c r="E15740" s="224" t="s">
        <v>2</v>
      </c>
      <c r="F15740" s="515" t="s">
        <v>16916</v>
      </c>
      <c r="G15740" s="52">
        <v>112795.79721459201</v>
      </c>
      <c r="H15740" s="56">
        <v>-0.21176025543805965</v>
      </c>
      <c r="I15740" s="224" t="s">
        <v>2</v>
      </c>
    </row>
    <row r="15741" spans="1:9" x14ac:dyDescent="0.25">
      <c r="A15741" s="515">
        <v>74940</v>
      </c>
      <c r="C15741" s="52">
        <v>160164.987948391</v>
      </c>
      <c r="D15741" s="56">
        <v>6.82675615923415E-2</v>
      </c>
      <c r="E15741" s="224" t="s">
        <v>2</v>
      </c>
      <c r="F15741" s="515" t="s">
        <v>16917</v>
      </c>
      <c r="G15741" s="52">
        <v>323659.34585506498</v>
      </c>
      <c r="H15741" s="56">
        <v>5.6985453685187024E-2</v>
      </c>
      <c r="I15741" s="224" t="s">
        <v>2</v>
      </c>
    </row>
    <row r="15742" spans="1:9" x14ac:dyDescent="0.25">
      <c r="A15742" s="515">
        <v>65679</v>
      </c>
      <c r="B15742" s="515" t="s">
        <v>757</v>
      </c>
      <c r="C15742" s="52">
        <v>221489.29065483701</v>
      </c>
      <c r="D15742" s="56">
        <v>0.10853934681113417</v>
      </c>
      <c r="E15742" s="224" t="s">
        <v>2</v>
      </c>
      <c r="F15742" s="515" t="s">
        <v>16918</v>
      </c>
      <c r="G15742" s="52">
        <v>148911.942228395</v>
      </c>
      <c r="H15742" s="56">
        <v>7.1608342237803685E-2</v>
      </c>
      <c r="I15742" s="224" t="s">
        <v>2</v>
      </c>
    </row>
    <row r="15743" spans="1:9" x14ac:dyDescent="0.25">
      <c r="A15743" s="515">
        <v>80470</v>
      </c>
      <c r="B15743" s="515" t="s">
        <v>401</v>
      </c>
      <c r="C15743" s="52">
        <v>650599.68161972798</v>
      </c>
      <c r="D15743" s="56">
        <v>6.0694971875191475E-2</v>
      </c>
      <c r="E15743" s="224" t="s">
        <v>2</v>
      </c>
      <c r="F15743" s="515" t="s">
        <v>16919</v>
      </c>
      <c r="G15743" s="52">
        <v>269911.13348120701</v>
      </c>
      <c r="H15743" s="56">
        <v>8.245726738782426E-2</v>
      </c>
      <c r="I15743" s="224" t="s">
        <v>2</v>
      </c>
    </row>
    <row r="15744" spans="1:9" x14ac:dyDescent="0.25">
      <c r="A15744" s="515">
        <v>89510</v>
      </c>
      <c r="B15744" s="515" t="s">
        <v>581</v>
      </c>
      <c r="C15744" s="52">
        <v>646328.31732765096</v>
      </c>
      <c r="D15744" s="56">
        <v>-2.1482398535899123E-2</v>
      </c>
      <c r="E15744" s="224" t="s">
        <v>2</v>
      </c>
      <c r="F15744" s="515" t="s">
        <v>16920</v>
      </c>
      <c r="G15744" s="52">
        <v>403701.25100024999</v>
      </c>
      <c r="H15744" s="56">
        <v>-2.1071942151342821E-3</v>
      </c>
      <c r="I15744" s="224" t="s">
        <v>2</v>
      </c>
    </row>
    <row r="15745" spans="1:9" x14ac:dyDescent="0.25">
      <c r="A15745" s="515">
        <v>93252</v>
      </c>
      <c r="B15745" s="515" t="s">
        <v>419</v>
      </c>
      <c r="C15745" s="52">
        <v>152937.192183337</v>
      </c>
      <c r="D15745" s="56">
        <v>9.7106285189375877E-2</v>
      </c>
      <c r="E15745" s="224" t="s">
        <v>2</v>
      </c>
      <c r="F15745" s="515" t="s">
        <v>16921</v>
      </c>
      <c r="G15745" s="52">
        <v>125002.40481192801</v>
      </c>
      <c r="H15745" s="56">
        <v>0</v>
      </c>
      <c r="I15745" s="224" t="s">
        <v>2</v>
      </c>
    </row>
    <row r="15746" spans="1:9" x14ac:dyDescent="0.25">
      <c r="A15746" s="515">
        <v>12015</v>
      </c>
      <c r="C15746" s="52">
        <v>344495.763098964</v>
      </c>
      <c r="D15746" s="56">
        <v>9.4643333089450415E-2</v>
      </c>
      <c r="E15746" s="224" t="s">
        <v>2</v>
      </c>
      <c r="F15746" s="515" t="s">
        <v>16922</v>
      </c>
      <c r="G15746" s="52">
        <v>109372.17641612601</v>
      </c>
      <c r="H15746" s="56">
        <v>0.24810994026206262</v>
      </c>
      <c r="I15746" s="224" t="s">
        <v>2</v>
      </c>
    </row>
    <row r="15747" spans="1:9" x14ac:dyDescent="0.25">
      <c r="A15747" s="515">
        <v>7750</v>
      </c>
      <c r="B15747" s="515" t="s">
        <v>324</v>
      </c>
      <c r="C15747" s="52">
        <v>917900.061180725</v>
      </c>
      <c r="D15747" s="56">
        <v>8.4752391586534304E-2</v>
      </c>
      <c r="E15747" s="224" t="s">
        <v>2</v>
      </c>
      <c r="F15747" s="515" t="s">
        <v>16923</v>
      </c>
      <c r="G15747" s="52">
        <v>210223.53696282001</v>
      </c>
      <c r="H15747" s="56">
        <v>4.3267371836794952E-2</v>
      </c>
      <c r="I15747" s="224" t="s">
        <v>2</v>
      </c>
    </row>
    <row r="15748" spans="1:9" x14ac:dyDescent="0.25">
      <c r="A15748" s="515">
        <v>83837</v>
      </c>
      <c r="C15748" s="52">
        <v>269285.62603178102</v>
      </c>
      <c r="D15748" s="56">
        <v>-3.6595428024433379E-3</v>
      </c>
      <c r="E15748" s="224" t="s">
        <v>2</v>
      </c>
      <c r="F15748" s="515" t="s">
        <v>16924</v>
      </c>
      <c r="G15748" s="52">
        <v>141416.75169318699</v>
      </c>
      <c r="H15748" s="56">
        <v>0.18103415855218752</v>
      </c>
      <c r="I15748" s="224" t="s">
        <v>2</v>
      </c>
    </row>
    <row r="15749" spans="1:9" x14ac:dyDescent="0.25">
      <c r="A15749" s="515">
        <v>75424</v>
      </c>
      <c r="B15749" s="515" t="s">
        <v>458</v>
      </c>
      <c r="C15749" s="52">
        <v>430683.42842864199</v>
      </c>
      <c r="D15749" s="56">
        <v>7.7048013528958209E-2</v>
      </c>
      <c r="E15749" s="224" t="s">
        <v>2</v>
      </c>
      <c r="F15749" s="515" t="s">
        <v>16925</v>
      </c>
      <c r="G15749" s="52">
        <v>134398.948910921</v>
      </c>
      <c r="H15749" s="56">
        <v>2.6510928260224764E-3</v>
      </c>
      <c r="I15749" s="224" t="s">
        <v>2</v>
      </c>
    </row>
    <row r="15750" spans="1:9" x14ac:dyDescent="0.25">
      <c r="A15750" s="515">
        <v>35130</v>
      </c>
      <c r="B15750" s="515" t="s">
        <v>1087</v>
      </c>
      <c r="C15750" s="52">
        <v>127587.764286538</v>
      </c>
      <c r="D15750" s="56">
        <v>3.0366140708496638E-3</v>
      </c>
      <c r="E15750" s="224" t="s">
        <v>2</v>
      </c>
      <c r="F15750" s="515" t="s">
        <v>16926</v>
      </c>
      <c r="G15750" s="52">
        <v>177255.50857627401</v>
      </c>
      <c r="H15750" s="56">
        <v>0.22275595858640898</v>
      </c>
      <c r="I15750" s="224" t="s">
        <v>2</v>
      </c>
    </row>
    <row r="15751" spans="1:9" x14ac:dyDescent="0.25">
      <c r="A15751" s="515">
        <v>92282</v>
      </c>
      <c r="B15751" s="515" t="s">
        <v>599</v>
      </c>
      <c r="C15751" s="52">
        <v>339659.27018220897</v>
      </c>
      <c r="D15751" s="56">
        <v>0.11188096878908463</v>
      </c>
      <c r="E15751" s="224" t="s">
        <v>2</v>
      </c>
      <c r="F15751" s="515" t="s">
        <v>16927</v>
      </c>
      <c r="G15751" s="52">
        <v>272933.528474021</v>
      </c>
      <c r="H15751" s="56">
        <v>5.9741074440477278E-2</v>
      </c>
      <c r="I15751" s="224" t="s">
        <v>2</v>
      </c>
    </row>
    <row r="15752" spans="1:9" x14ac:dyDescent="0.25">
      <c r="A15752" s="515">
        <v>55390</v>
      </c>
      <c r="B15752" s="515" t="s">
        <v>532</v>
      </c>
      <c r="C15752" s="52">
        <v>320130.52033482899</v>
      </c>
      <c r="D15752" s="56">
        <v>4.9985630030410337E-2</v>
      </c>
      <c r="E15752" s="224" t="s">
        <v>2</v>
      </c>
      <c r="F15752" s="515" t="s">
        <v>16928</v>
      </c>
      <c r="G15752" s="52">
        <v>399420.506612422</v>
      </c>
      <c r="H15752" s="56">
        <v>9.5383573681187758E-2</v>
      </c>
      <c r="I15752" s="224" t="s">
        <v>2</v>
      </c>
    </row>
    <row r="15753" spans="1:9" x14ac:dyDescent="0.25">
      <c r="A15753" s="515">
        <v>40385</v>
      </c>
      <c r="B15753" s="515" t="s">
        <v>1129</v>
      </c>
      <c r="C15753" s="52">
        <v>186142.67849411201</v>
      </c>
      <c r="D15753" s="56">
        <v>0.10417909489799092</v>
      </c>
      <c r="E15753" s="224" t="s">
        <v>2</v>
      </c>
      <c r="F15753" s="515" t="s">
        <v>16929</v>
      </c>
      <c r="G15753" s="52">
        <v>203169.266306898</v>
      </c>
      <c r="H15753" s="56">
        <v>6.8479877367276856E-2</v>
      </c>
      <c r="I15753" s="224" t="s">
        <v>2</v>
      </c>
    </row>
    <row r="15754" spans="1:9" x14ac:dyDescent="0.25">
      <c r="A15754" s="515">
        <v>71268</v>
      </c>
      <c r="C15754" s="52">
        <v>111645.344568359</v>
      </c>
      <c r="D15754" s="56">
        <v>5.0315323488013097E-2</v>
      </c>
      <c r="E15754" s="224" t="s">
        <v>2</v>
      </c>
      <c r="F15754" s="515" t="s">
        <v>16930</v>
      </c>
      <c r="G15754" s="52">
        <v>220865.21912930199</v>
      </c>
      <c r="H15754" s="56">
        <v>9.0723352504331639E-2</v>
      </c>
      <c r="I15754" s="224" t="s">
        <v>2</v>
      </c>
    </row>
    <row r="15755" spans="1:9" x14ac:dyDescent="0.25">
      <c r="A15755" s="515">
        <v>38917</v>
      </c>
      <c r="B15755" s="515" t="s">
        <v>293</v>
      </c>
      <c r="C15755" s="52">
        <v>164571.26031745999</v>
      </c>
      <c r="D15755" s="56">
        <v>0</v>
      </c>
      <c r="E15755" s="224" t="s">
        <v>2</v>
      </c>
      <c r="F15755" s="515" t="s">
        <v>16931</v>
      </c>
      <c r="G15755" s="52">
        <v>198828.09795009199</v>
      </c>
      <c r="H15755" s="56">
        <v>0.19045122042424215</v>
      </c>
      <c r="I15755" s="224" t="s">
        <v>2</v>
      </c>
    </row>
    <row r="15756" spans="1:9" x14ac:dyDescent="0.25">
      <c r="A15756" s="515">
        <v>98240</v>
      </c>
      <c r="B15756" s="515" t="s">
        <v>412</v>
      </c>
      <c r="C15756" s="52">
        <v>592253.52931329794</v>
      </c>
      <c r="D15756" s="56">
        <v>3.6783394412278327E-2</v>
      </c>
      <c r="E15756" s="224" t="s">
        <v>2</v>
      </c>
      <c r="F15756" s="515" t="s">
        <v>16932</v>
      </c>
      <c r="G15756" s="52">
        <v>157816.707911687</v>
      </c>
      <c r="H15756" s="56">
        <v>6.8573053864395106E-2</v>
      </c>
      <c r="I15756" s="224" t="s">
        <v>2</v>
      </c>
    </row>
    <row r="15757" spans="1:9" x14ac:dyDescent="0.25">
      <c r="A15757" s="515">
        <v>48159</v>
      </c>
      <c r="B15757" s="515" t="s">
        <v>1033</v>
      </c>
      <c r="C15757" s="52">
        <v>227433.502599111</v>
      </c>
      <c r="D15757" s="56">
        <v>8.6766132814593749E-2</v>
      </c>
      <c r="E15757" s="224" t="s">
        <v>2</v>
      </c>
      <c r="F15757" s="515" t="s">
        <v>16933</v>
      </c>
      <c r="G15757" s="52">
        <v>128097.83333333299</v>
      </c>
      <c r="H15757" s="56">
        <v>0</v>
      </c>
      <c r="I15757" s="224" t="s">
        <v>2</v>
      </c>
    </row>
    <row r="15758" spans="1:9" x14ac:dyDescent="0.25">
      <c r="A15758" s="515">
        <v>50228</v>
      </c>
      <c r="B15758" s="515" t="s">
        <v>295</v>
      </c>
      <c r="C15758" s="52">
        <v>220268.47673613799</v>
      </c>
      <c r="D15758" s="56">
        <v>0.10301210895812117</v>
      </c>
      <c r="E15758" s="224" t="s">
        <v>2</v>
      </c>
      <c r="F15758" s="515" t="s">
        <v>16934</v>
      </c>
      <c r="G15758" s="52">
        <v>128613.026854966</v>
      </c>
      <c r="H15758" s="56">
        <v>0.12892086520774793</v>
      </c>
      <c r="I15758" s="224" t="s">
        <v>2</v>
      </c>
    </row>
    <row r="15759" spans="1:9" x14ac:dyDescent="0.25">
      <c r="A15759" s="515">
        <v>12577</v>
      </c>
      <c r="B15759" s="515" t="s">
        <v>529</v>
      </c>
      <c r="C15759" s="52">
        <v>453862.97183841601</v>
      </c>
      <c r="D15759" s="56">
        <v>9.4434214243601475E-2</v>
      </c>
      <c r="E15759" s="224" t="s">
        <v>2</v>
      </c>
      <c r="F15759" s="515" t="s">
        <v>16935</v>
      </c>
      <c r="G15759" s="52">
        <v>246385.117814906</v>
      </c>
      <c r="H15759" s="56">
        <v>5.9375145142055587E-2</v>
      </c>
      <c r="I15759" s="224" t="s">
        <v>2</v>
      </c>
    </row>
    <row r="15760" spans="1:9" x14ac:dyDescent="0.25">
      <c r="A15760" s="515">
        <v>10987</v>
      </c>
      <c r="B15760" s="515" t="s">
        <v>529</v>
      </c>
      <c r="C15760" s="52">
        <v>1199388.3607569099</v>
      </c>
      <c r="D15760" s="56">
        <v>8.4365999700585892E-2</v>
      </c>
      <c r="E15760" s="224" t="s">
        <v>2</v>
      </c>
      <c r="F15760" s="515" t="s">
        <v>16936</v>
      </c>
      <c r="G15760" s="52">
        <v>156806.63477301999</v>
      </c>
      <c r="H15760" s="56">
        <v>7.2810657326053947E-4</v>
      </c>
      <c r="I15760" s="224" t="s">
        <v>2</v>
      </c>
    </row>
    <row r="15761" spans="1:9" x14ac:dyDescent="0.25">
      <c r="A15761" s="515">
        <v>66861</v>
      </c>
      <c r="C15761" s="52">
        <v>115843.61796752299</v>
      </c>
      <c r="D15761" s="56">
        <v>5.5522477663198649E-2</v>
      </c>
      <c r="E15761" s="224" t="s">
        <v>2</v>
      </c>
      <c r="F15761" s="515" t="s">
        <v>16937</v>
      </c>
      <c r="G15761" s="52">
        <v>66595.257510344207</v>
      </c>
      <c r="H15761" s="56">
        <v>0.10697092387717061</v>
      </c>
      <c r="I15761" s="224" t="s">
        <v>2</v>
      </c>
    </row>
    <row r="15762" spans="1:9" x14ac:dyDescent="0.25">
      <c r="A15762" s="515">
        <v>5679</v>
      </c>
      <c r="B15762" s="515" t="s">
        <v>420</v>
      </c>
      <c r="C15762" s="52">
        <v>280685.16417629598</v>
      </c>
      <c r="D15762" s="56">
        <v>4.5649502941324263E-2</v>
      </c>
      <c r="E15762" s="224" t="s">
        <v>2</v>
      </c>
      <c r="F15762" s="515" t="s">
        <v>16938</v>
      </c>
      <c r="G15762" s="52">
        <v>72454.936624260605</v>
      </c>
      <c r="H15762" s="56">
        <v>0.14013576135812547</v>
      </c>
      <c r="I15762" s="224" t="s">
        <v>2</v>
      </c>
    </row>
    <row r="15763" spans="1:9" x14ac:dyDescent="0.25">
      <c r="A15763" s="515">
        <v>50459</v>
      </c>
      <c r="B15763" s="515" t="s">
        <v>634</v>
      </c>
      <c r="C15763" s="52">
        <v>155837.41238295601</v>
      </c>
      <c r="D15763" s="56">
        <v>9.3994134284182143E-2</v>
      </c>
      <c r="E15763" s="224" t="s">
        <v>2</v>
      </c>
      <c r="F15763" s="515" t="s">
        <v>16939</v>
      </c>
      <c r="G15763" s="52">
        <v>220187.89528794101</v>
      </c>
      <c r="H15763" s="56">
        <v>5.1926389631133642E-2</v>
      </c>
      <c r="I15763" s="224" t="s">
        <v>2</v>
      </c>
    </row>
    <row r="15764" spans="1:9" x14ac:dyDescent="0.25">
      <c r="A15764" s="515">
        <v>71260</v>
      </c>
      <c r="B15764" s="515" t="s">
        <v>695</v>
      </c>
      <c r="C15764" s="52">
        <v>94193.768457546495</v>
      </c>
      <c r="D15764" s="56">
        <v>0.12342223994180132</v>
      </c>
      <c r="E15764" s="224" t="s">
        <v>2</v>
      </c>
      <c r="F15764" s="515" t="s">
        <v>16940</v>
      </c>
      <c r="G15764" s="52">
        <v>37475.823333248001</v>
      </c>
      <c r="H15764" s="56">
        <v>0</v>
      </c>
      <c r="I15764" s="224" t="s">
        <v>2</v>
      </c>
    </row>
    <row r="15765" spans="1:9" x14ac:dyDescent="0.25">
      <c r="A15765" s="515">
        <v>16116</v>
      </c>
      <c r="B15765" s="515" t="s">
        <v>652</v>
      </c>
      <c r="C15765" s="52">
        <v>161218.23284620099</v>
      </c>
      <c r="D15765" s="56">
        <v>0.13262731225335064</v>
      </c>
      <c r="E15765" s="224" t="s">
        <v>2</v>
      </c>
      <c r="F15765" s="515" t="s">
        <v>16941</v>
      </c>
      <c r="G15765" s="52">
        <v>375370.56982981903</v>
      </c>
      <c r="H15765" s="56">
        <v>6.0352574211161462E-2</v>
      </c>
      <c r="I15765" s="224" t="s">
        <v>2</v>
      </c>
    </row>
    <row r="15766" spans="1:9" x14ac:dyDescent="0.25">
      <c r="A15766" s="515">
        <v>18038</v>
      </c>
      <c r="B15766" s="515" t="s">
        <v>327</v>
      </c>
      <c r="C15766" s="52">
        <v>306360.81738014898</v>
      </c>
      <c r="D15766" s="56">
        <v>9.3694330193905037E-2</v>
      </c>
      <c r="E15766" s="224" t="s">
        <v>2</v>
      </c>
      <c r="F15766" s="515" t="s">
        <v>16942</v>
      </c>
      <c r="G15766" s="52">
        <v>127304.14755206399</v>
      </c>
      <c r="H15766" s="56">
        <v>-5.9160849350102015E-3</v>
      </c>
      <c r="I15766" s="224" t="s">
        <v>2</v>
      </c>
    </row>
    <row r="15767" spans="1:9" x14ac:dyDescent="0.25">
      <c r="A15767" s="515">
        <v>35083</v>
      </c>
      <c r="B15767" s="515" t="s">
        <v>1110</v>
      </c>
      <c r="C15767" s="52">
        <v>198344.49082589601</v>
      </c>
      <c r="D15767" s="56">
        <v>7.9248057470828998E-2</v>
      </c>
      <c r="E15767" s="224" t="s">
        <v>2</v>
      </c>
      <c r="F15767" s="515" t="s">
        <v>16943</v>
      </c>
      <c r="G15767" s="52">
        <v>206576.34180339499</v>
      </c>
      <c r="H15767" s="56">
        <v>7.2972654524800562E-2</v>
      </c>
      <c r="I15767" s="224" t="s">
        <v>2</v>
      </c>
    </row>
    <row r="15768" spans="1:9" x14ac:dyDescent="0.25">
      <c r="A15768" s="515">
        <v>15014</v>
      </c>
      <c r="B15768" s="515" t="s">
        <v>297</v>
      </c>
      <c r="C15768" s="52">
        <v>102754.75543311999</v>
      </c>
      <c r="D15768" s="56">
        <v>0.12407603495840346</v>
      </c>
      <c r="E15768" s="224" t="s">
        <v>2</v>
      </c>
      <c r="F15768" s="515" t="s">
        <v>16944</v>
      </c>
      <c r="G15768" s="52">
        <v>246234.284096883</v>
      </c>
      <c r="H15768" s="56">
        <v>7.4684980576164475E-2</v>
      </c>
      <c r="I15768" s="224" t="s">
        <v>2</v>
      </c>
    </row>
    <row r="15769" spans="1:9" x14ac:dyDescent="0.25">
      <c r="A15769" s="515">
        <v>74849</v>
      </c>
      <c r="C15769" s="52">
        <v>93533.680926942005</v>
      </c>
      <c r="D15769" s="56">
        <v>0.15586939119699877</v>
      </c>
      <c r="E15769" s="224" t="s">
        <v>2</v>
      </c>
      <c r="F15769" s="515" t="s">
        <v>16945</v>
      </c>
      <c r="G15769" s="52">
        <v>128012.218694882</v>
      </c>
      <c r="H15769" s="56">
        <v>6.6383974704710802E-2</v>
      </c>
      <c r="I15769" s="224" t="s">
        <v>2</v>
      </c>
    </row>
    <row r="15770" spans="1:9" x14ac:dyDescent="0.25">
      <c r="A15770" s="515">
        <v>75859</v>
      </c>
      <c r="C15770" s="52">
        <v>377094.53710133699</v>
      </c>
      <c r="D15770" s="56">
        <v>0.12064940732385884</v>
      </c>
      <c r="E15770" s="224" t="s">
        <v>2</v>
      </c>
      <c r="F15770" s="515" t="s">
        <v>16946</v>
      </c>
      <c r="G15770" s="52">
        <v>323831.51063829701</v>
      </c>
      <c r="H15770" s="56">
        <v>0</v>
      </c>
      <c r="I15770" s="224" t="s">
        <v>2</v>
      </c>
    </row>
    <row r="15771" spans="1:9" x14ac:dyDescent="0.25">
      <c r="A15771" s="515">
        <v>39631</v>
      </c>
      <c r="C15771" s="52">
        <v>104414.40769787101</v>
      </c>
      <c r="D15771" s="56">
        <v>-7.4632952084702067E-2</v>
      </c>
      <c r="E15771" s="224" t="s">
        <v>2</v>
      </c>
      <c r="F15771" s="515" t="s">
        <v>16947</v>
      </c>
      <c r="G15771" s="52">
        <v>132202.078004721</v>
      </c>
      <c r="H15771" s="56">
        <v>7.209859430894805E-2</v>
      </c>
      <c r="I15771" s="224" t="s">
        <v>2</v>
      </c>
    </row>
    <row r="15772" spans="1:9" x14ac:dyDescent="0.25">
      <c r="A15772" s="515">
        <v>12404</v>
      </c>
      <c r="B15772" s="515" t="s">
        <v>307</v>
      </c>
      <c r="C15772" s="52">
        <v>442812.41439608898</v>
      </c>
      <c r="D15772" s="56">
        <v>9.9165189568669598E-2</v>
      </c>
      <c r="E15772" s="224" t="s">
        <v>2</v>
      </c>
      <c r="F15772" s="515" t="s">
        <v>16948</v>
      </c>
      <c r="G15772" s="52">
        <v>86427.851088526993</v>
      </c>
      <c r="H15772" s="56">
        <v>6.9834572519989299E-2</v>
      </c>
      <c r="I15772" s="224" t="s">
        <v>2</v>
      </c>
    </row>
    <row r="15773" spans="1:9" x14ac:dyDescent="0.25">
      <c r="A15773" s="515">
        <v>11719</v>
      </c>
      <c r="B15773" s="515" t="s">
        <v>324</v>
      </c>
      <c r="C15773" s="52">
        <v>553358.97874873597</v>
      </c>
      <c r="D15773" s="56">
        <v>6.4442262834256248E-2</v>
      </c>
      <c r="E15773" s="224" t="s">
        <v>2</v>
      </c>
      <c r="F15773" s="515" t="s">
        <v>16949</v>
      </c>
      <c r="G15773" s="52">
        <v>106444.206491096</v>
      </c>
      <c r="H15773" s="56">
        <v>3.1578582278649993E-2</v>
      </c>
      <c r="I15773" s="224" t="s">
        <v>2</v>
      </c>
    </row>
    <row r="15774" spans="1:9" x14ac:dyDescent="0.25">
      <c r="A15774" s="515">
        <v>4953</v>
      </c>
      <c r="B15774" s="515" t="s">
        <v>792</v>
      </c>
      <c r="C15774" s="52">
        <v>223778.61365605</v>
      </c>
      <c r="D15774" s="56">
        <v>0.14124931133668484</v>
      </c>
      <c r="E15774" s="224" t="s">
        <v>2</v>
      </c>
      <c r="F15774" s="515" t="s">
        <v>16950</v>
      </c>
      <c r="G15774" s="52">
        <v>186632.87305783399</v>
      </c>
      <c r="H15774" s="56">
        <v>8.2823779823599217E-2</v>
      </c>
      <c r="I15774" s="224" t="s">
        <v>2</v>
      </c>
    </row>
    <row r="15775" spans="1:9" x14ac:dyDescent="0.25">
      <c r="A15775" s="515">
        <v>76444</v>
      </c>
      <c r="C15775" s="52">
        <v>158638.45965194301</v>
      </c>
      <c r="D15775" s="56">
        <v>0.10859420823335639</v>
      </c>
      <c r="E15775" s="224" t="s">
        <v>2</v>
      </c>
      <c r="F15775" s="515" t="s">
        <v>16951</v>
      </c>
      <c r="G15775" s="52">
        <v>605088.81476572901</v>
      </c>
      <c r="H15775" s="56">
        <v>8.232313257500791E-2</v>
      </c>
      <c r="I15775" s="224" t="s">
        <v>2</v>
      </c>
    </row>
    <row r="15776" spans="1:9" x14ac:dyDescent="0.25">
      <c r="A15776" s="515">
        <v>45813</v>
      </c>
      <c r="C15776" s="52">
        <v>137014.28000236099</v>
      </c>
      <c r="D15776" s="56">
        <v>4.5385189791072054E-2</v>
      </c>
      <c r="E15776" s="224" t="s">
        <v>2</v>
      </c>
      <c r="F15776" s="515" t="s">
        <v>16952</v>
      </c>
      <c r="G15776" s="52">
        <v>236002.71101099401</v>
      </c>
      <c r="H15776" s="56">
        <v>0.18857766895905695</v>
      </c>
      <c r="I15776" s="224" t="s">
        <v>2</v>
      </c>
    </row>
    <row r="15777" spans="1:9" x14ac:dyDescent="0.25">
      <c r="A15777" s="515">
        <v>60531</v>
      </c>
      <c r="B15777" s="515" t="s">
        <v>556</v>
      </c>
      <c r="C15777" s="52">
        <v>216476.673880346</v>
      </c>
      <c r="D15777" s="56">
        <v>2.1959040234623115E-2</v>
      </c>
      <c r="E15777" s="224" t="s">
        <v>2</v>
      </c>
      <c r="F15777" s="515" t="s">
        <v>16953</v>
      </c>
      <c r="G15777" s="52">
        <v>208411.43670886001</v>
      </c>
      <c r="H15777" s="56">
        <v>0</v>
      </c>
      <c r="I15777" s="224" t="s">
        <v>2</v>
      </c>
    </row>
    <row r="15778" spans="1:9" x14ac:dyDescent="0.25">
      <c r="A15778" s="515">
        <v>60157</v>
      </c>
      <c r="B15778" s="515" t="s">
        <v>394</v>
      </c>
      <c r="C15778" s="52">
        <v>414103.56950861501</v>
      </c>
      <c r="D15778" s="56">
        <v>2.6147845975288686E-2</v>
      </c>
      <c r="E15778" s="224" t="s">
        <v>2</v>
      </c>
      <c r="F15778" s="515" t="s">
        <v>16954</v>
      </c>
      <c r="G15778" s="52">
        <v>149117.04498726601</v>
      </c>
      <c r="H15778" s="56">
        <v>0.14968678614917241</v>
      </c>
      <c r="I15778" s="224" t="s">
        <v>2</v>
      </c>
    </row>
    <row r="15779" spans="1:9" x14ac:dyDescent="0.25">
      <c r="A15779" s="515">
        <v>36866</v>
      </c>
      <c r="C15779" s="52">
        <v>155666.45486889599</v>
      </c>
      <c r="D15779" s="56">
        <v>3.1224818782059478E-2</v>
      </c>
      <c r="E15779" s="224" t="s">
        <v>2</v>
      </c>
      <c r="F15779" s="515" t="s">
        <v>16955</v>
      </c>
      <c r="G15779" s="52">
        <v>199097.74367730899</v>
      </c>
      <c r="H15779" s="56">
        <v>0.10491525505270985</v>
      </c>
      <c r="I15779" s="224" t="s">
        <v>2</v>
      </c>
    </row>
    <row r="15780" spans="1:9" x14ac:dyDescent="0.25">
      <c r="A15780" s="515">
        <v>93553</v>
      </c>
      <c r="B15780" s="515" t="s">
        <v>375</v>
      </c>
      <c r="C15780" s="52">
        <v>393250.82635407202</v>
      </c>
      <c r="D15780" s="56">
        <v>1.7254392612473829E-2</v>
      </c>
      <c r="E15780" s="224" t="s">
        <v>2</v>
      </c>
      <c r="F15780" s="515" t="s">
        <v>16956</v>
      </c>
      <c r="G15780" s="52">
        <v>317341.92806347099</v>
      </c>
      <c r="H15780" s="56">
        <v>0.10473877052635731</v>
      </c>
      <c r="I15780" s="224" t="s">
        <v>2</v>
      </c>
    </row>
    <row r="15781" spans="1:9" x14ac:dyDescent="0.25">
      <c r="A15781" s="515">
        <v>65747</v>
      </c>
      <c r="C15781" s="52">
        <v>309224.88154377497</v>
      </c>
      <c r="D15781" s="56">
        <v>0.12523497626258948</v>
      </c>
      <c r="E15781" s="224" t="s">
        <v>2</v>
      </c>
      <c r="F15781" s="515" t="s">
        <v>16957</v>
      </c>
      <c r="G15781" s="52">
        <v>254879.390021236</v>
      </c>
      <c r="H15781" s="56">
        <v>0.11842386909809281</v>
      </c>
      <c r="I15781" s="224" t="s">
        <v>2</v>
      </c>
    </row>
    <row r="15782" spans="1:9" x14ac:dyDescent="0.25">
      <c r="A15782" s="515">
        <v>76682</v>
      </c>
      <c r="B15782" s="515" t="s">
        <v>1057</v>
      </c>
      <c r="C15782" s="52">
        <v>236344.40702291401</v>
      </c>
      <c r="D15782" s="56">
        <v>7.7770095443327095E-2</v>
      </c>
      <c r="E15782" s="224" t="s">
        <v>2</v>
      </c>
      <c r="F15782" s="515" t="s">
        <v>16958</v>
      </c>
      <c r="G15782" s="52">
        <v>404520.02075517399</v>
      </c>
      <c r="H15782" s="56">
        <v>0.15813915611589202</v>
      </c>
      <c r="I15782" s="224" t="s">
        <v>2</v>
      </c>
    </row>
    <row r="15783" spans="1:9" x14ac:dyDescent="0.25">
      <c r="A15783" s="515">
        <v>2655</v>
      </c>
      <c r="B15783" s="515" t="s">
        <v>427</v>
      </c>
      <c r="C15783" s="52">
        <v>952468.14199543803</v>
      </c>
      <c r="D15783" s="56">
        <v>0.1225426903732709</v>
      </c>
      <c r="E15783" s="224" t="s">
        <v>2</v>
      </c>
      <c r="F15783" s="515" t="s">
        <v>16959</v>
      </c>
      <c r="G15783" s="52">
        <v>160045.169730091</v>
      </c>
      <c r="H15783" s="56">
        <v>7.2188837449618029E-2</v>
      </c>
      <c r="I15783" s="224" t="s">
        <v>2</v>
      </c>
    </row>
    <row r="15784" spans="1:9" x14ac:dyDescent="0.25">
      <c r="A15784" s="515">
        <v>40177</v>
      </c>
      <c r="B15784" s="515" t="s">
        <v>479</v>
      </c>
      <c r="C15784" s="52">
        <v>112622.86335137</v>
      </c>
      <c r="D15784" s="56">
        <v>0.28113190514066411</v>
      </c>
      <c r="E15784" s="224" t="s">
        <v>2</v>
      </c>
      <c r="F15784" s="515" t="s">
        <v>16960</v>
      </c>
      <c r="G15784" s="52">
        <v>198507.09057014601</v>
      </c>
      <c r="H15784" s="56">
        <v>0.25139950350652251</v>
      </c>
      <c r="I15784" s="224" t="s">
        <v>2</v>
      </c>
    </row>
    <row r="15785" spans="1:9" x14ac:dyDescent="0.25">
      <c r="A15785" s="515">
        <v>54616</v>
      </c>
      <c r="C15785" s="52">
        <v>178175.24094626799</v>
      </c>
      <c r="D15785" s="56">
        <v>2.2876603988144829E-2</v>
      </c>
      <c r="E15785" s="224" t="s">
        <v>2</v>
      </c>
      <c r="F15785" s="515" t="s">
        <v>16961</v>
      </c>
      <c r="G15785" s="52">
        <v>220559.53613271099</v>
      </c>
      <c r="H15785" s="56">
        <v>7.0069032188289262E-2</v>
      </c>
      <c r="I15785" s="224" t="s">
        <v>2</v>
      </c>
    </row>
    <row r="15786" spans="1:9" x14ac:dyDescent="0.25">
      <c r="A15786" s="515">
        <v>65663</v>
      </c>
      <c r="B15786" s="515" t="s">
        <v>603</v>
      </c>
      <c r="C15786" s="52">
        <v>257513.046709405</v>
      </c>
      <c r="D15786" s="56">
        <v>9.963928714759826E-2</v>
      </c>
      <c r="E15786" s="224" t="s">
        <v>2</v>
      </c>
      <c r="F15786" s="515" t="s">
        <v>16962</v>
      </c>
      <c r="G15786" s="52">
        <v>48204.6028189473</v>
      </c>
      <c r="H15786" s="56">
        <v>1.3453990293005348E-2</v>
      </c>
      <c r="I15786" s="224" t="s">
        <v>2</v>
      </c>
    </row>
    <row r="15787" spans="1:9" x14ac:dyDescent="0.25">
      <c r="A15787" s="515">
        <v>33946</v>
      </c>
      <c r="B15787" s="515" t="s">
        <v>1030</v>
      </c>
      <c r="C15787" s="52">
        <v>604078.90200025297</v>
      </c>
      <c r="D15787" s="56">
        <v>0.17435635929154508</v>
      </c>
      <c r="E15787" s="224" t="s">
        <v>2</v>
      </c>
      <c r="F15787" s="515" t="s">
        <v>16963</v>
      </c>
      <c r="G15787" s="52">
        <v>458203.760597413</v>
      </c>
      <c r="H15787" s="56">
        <v>0.14028645094764489</v>
      </c>
      <c r="I15787" s="224" t="s">
        <v>2</v>
      </c>
    </row>
    <row r="15788" spans="1:9" x14ac:dyDescent="0.25">
      <c r="A15788" s="515">
        <v>45653</v>
      </c>
      <c r="B15788" s="515" t="s">
        <v>772</v>
      </c>
      <c r="C15788" s="52">
        <v>151942.71628697199</v>
      </c>
      <c r="D15788" s="56">
        <v>4.2271726519569314E-2</v>
      </c>
      <c r="E15788" s="224" t="s">
        <v>2</v>
      </c>
      <c r="F15788" s="515" t="s">
        <v>16964</v>
      </c>
      <c r="G15788" s="52">
        <v>97745.845489435407</v>
      </c>
      <c r="H15788" s="56">
        <v>9.0364855901320734E-2</v>
      </c>
      <c r="I15788" s="224" t="s">
        <v>2</v>
      </c>
    </row>
    <row r="15789" spans="1:9" x14ac:dyDescent="0.25">
      <c r="A15789" s="515">
        <v>48610</v>
      </c>
      <c r="C15789" s="52">
        <v>112466.22478593601</v>
      </c>
      <c r="D15789" s="56">
        <v>-6.3220341459459678E-2</v>
      </c>
      <c r="E15789" s="224" t="s">
        <v>2</v>
      </c>
      <c r="F15789" s="515" t="s">
        <v>16965</v>
      </c>
      <c r="G15789" s="52">
        <v>81369.786832541198</v>
      </c>
      <c r="H15789" s="56">
        <v>4.9012405122658177E-2</v>
      </c>
      <c r="I15789" s="224" t="s">
        <v>2</v>
      </c>
    </row>
    <row r="15790" spans="1:9" x14ac:dyDescent="0.25">
      <c r="A15790" s="515">
        <v>12154</v>
      </c>
      <c r="B15790" s="515" t="s">
        <v>609</v>
      </c>
      <c r="C15790" s="52">
        <v>283076.07765932701</v>
      </c>
      <c r="D15790" s="56">
        <v>8.2174143789423407E-2</v>
      </c>
      <c r="E15790" s="224" t="s">
        <v>2</v>
      </c>
      <c r="F15790" s="515" t="s">
        <v>16966</v>
      </c>
      <c r="G15790" s="52">
        <v>142548.86516007601</v>
      </c>
      <c r="H15790" s="56">
        <v>9.1856267655787083E-2</v>
      </c>
      <c r="I15790" s="224" t="s">
        <v>2</v>
      </c>
    </row>
    <row r="15791" spans="1:9" x14ac:dyDescent="0.25">
      <c r="A15791" s="515">
        <v>18214</v>
      </c>
      <c r="B15791" s="515" t="s">
        <v>994</v>
      </c>
      <c r="C15791" s="52">
        <v>169631.153652707</v>
      </c>
      <c r="D15791" s="56">
        <v>6.4418471820845896E-2</v>
      </c>
      <c r="E15791" s="224" t="s">
        <v>2</v>
      </c>
      <c r="F15791" s="515" t="s">
        <v>16967</v>
      </c>
      <c r="G15791" s="52">
        <v>68003.865827925707</v>
      </c>
      <c r="H15791" s="56">
        <v>2.0449870833886108E-2</v>
      </c>
      <c r="I15791" s="224" t="s">
        <v>2</v>
      </c>
    </row>
    <row r="15792" spans="1:9" x14ac:dyDescent="0.25">
      <c r="A15792" s="515">
        <v>55707</v>
      </c>
      <c r="B15792" s="515" t="s">
        <v>350</v>
      </c>
      <c r="C15792" s="52">
        <v>223911.66797581999</v>
      </c>
      <c r="D15792" s="56">
        <v>4.2919582802797729E-2</v>
      </c>
      <c r="E15792" s="224" t="s">
        <v>2</v>
      </c>
      <c r="F15792" s="515" t="s">
        <v>16968</v>
      </c>
      <c r="G15792" s="52">
        <v>148108.000296521</v>
      </c>
      <c r="H15792" s="56">
        <v>0.10470398355188866</v>
      </c>
      <c r="I15792" s="224" t="s">
        <v>2</v>
      </c>
    </row>
    <row r="15793" spans="1:9" x14ac:dyDescent="0.25">
      <c r="A15793" s="515">
        <v>8750</v>
      </c>
      <c r="B15793" s="515" t="s">
        <v>324</v>
      </c>
      <c r="C15793" s="52">
        <v>1733841.24457551</v>
      </c>
      <c r="D15793" s="56">
        <v>0.13590032849199701</v>
      </c>
      <c r="E15793" s="224" t="s">
        <v>2</v>
      </c>
      <c r="F15793" s="515" t="s">
        <v>16969</v>
      </c>
      <c r="G15793" s="52">
        <v>131279.968004783</v>
      </c>
      <c r="H15793" s="56">
        <v>-0.13332140978879997</v>
      </c>
      <c r="I15793" s="224" t="s">
        <v>2</v>
      </c>
    </row>
    <row r="15794" spans="1:9" x14ac:dyDescent="0.25">
      <c r="A15794" s="515">
        <v>96122</v>
      </c>
      <c r="C15794" s="52">
        <v>265191.860162272</v>
      </c>
      <c r="D15794" s="56">
        <v>3.4651241972201777E-2</v>
      </c>
      <c r="E15794" s="224" t="s">
        <v>2</v>
      </c>
      <c r="F15794" s="515" t="s">
        <v>16970</v>
      </c>
      <c r="G15794" s="52">
        <v>267370.4362085</v>
      </c>
      <c r="H15794" s="56">
        <v>0.1658045274196461</v>
      </c>
      <c r="I15794" s="224" t="s">
        <v>2</v>
      </c>
    </row>
    <row r="15795" spans="1:9" x14ac:dyDescent="0.25">
      <c r="A15795" s="515">
        <v>4756</v>
      </c>
      <c r="C15795" s="52">
        <v>129708.02614814699</v>
      </c>
      <c r="D15795" s="56">
        <v>0.13441117868850574</v>
      </c>
      <c r="E15795" s="224" t="s">
        <v>2</v>
      </c>
      <c r="F15795" s="515" t="s">
        <v>16971</v>
      </c>
      <c r="G15795" s="52">
        <v>480550.43225806399</v>
      </c>
      <c r="H15795" s="56">
        <v>0</v>
      </c>
      <c r="I15795" s="224" t="s">
        <v>2</v>
      </c>
    </row>
    <row r="15796" spans="1:9" x14ac:dyDescent="0.25">
      <c r="A15796" s="515">
        <v>70655</v>
      </c>
      <c r="C15796" s="52">
        <v>88616.772455089798</v>
      </c>
      <c r="D15796" s="56">
        <v>0</v>
      </c>
      <c r="E15796" s="224" t="s">
        <v>2</v>
      </c>
      <c r="F15796" s="515" t="s">
        <v>16972</v>
      </c>
      <c r="G15796" s="52">
        <v>257029.55208940501</v>
      </c>
      <c r="H15796" s="56">
        <v>0.11642498671051174</v>
      </c>
      <c r="I15796" s="224" t="s">
        <v>2</v>
      </c>
    </row>
    <row r="15797" spans="1:9" x14ac:dyDescent="0.25">
      <c r="A15797" s="515">
        <v>41086</v>
      </c>
      <c r="B15797" s="515" t="s">
        <v>344</v>
      </c>
      <c r="C15797" s="52">
        <v>222478.33833464101</v>
      </c>
      <c r="D15797" s="56">
        <v>9.884088545386964E-2</v>
      </c>
      <c r="E15797" s="224" t="s">
        <v>2</v>
      </c>
      <c r="F15797" s="515" t="s">
        <v>16973</v>
      </c>
      <c r="G15797" s="52">
        <v>47263.1191241837</v>
      </c>
      <c r="H15797" s="56">
        <v>0.17652126440560786</v>
      </c>
      <c r="I15797" s="224" t="s">
        <v>2</v>
      </c>
    </row>
    <row r="15798" spans="1:9" x14ac:dyDescent="0.25">
      <c r="A15798" s="515">
        <v>27053</v>
      </c>
      <c r="B15798" s="515" t="s">
        <v>735</v>
      </c>
      <c r="C15798" s="52">
        <v>179523.83929157499</v>
      </c>
      <c r="D15798" s="56">
        <v>0.17184362070419426</v>
      </c>
      <c r="E15798" s="224" t="s">
        <v>2</v>
      </c>
      <c r="F15798" s="515" t="s">
        <v>16974</v>
      </c>
      <c r="G15798" s="52">
        <v>155863.11818181799</v>
      </c>
      <c r="H15798" s="56">
        <v>0</v>
      </c>
      <c r="I15798" s="224" t="s">
        <v>2</v>
      </c>
    </row>
    <row r="15799" spans="1:9" x14ac:dyDescent="0.25">
      <c r="A15799" s="515">
        <v>93242</v>
      </c>
      <c r="B15799" s="515" t="s">
        <v>541</v>
      </c>
      <c r="C15799" s="52">
        <v>298519.11537252401</v>
      </c>
      <c r="D15799" s="56">
        <v>2.4143608235303468E-2</v>
      </c>
      <c r="E15799" s="224" t="s">
        <v>2</v>
      </c>
      <c r="F15799" s="515" t="s">
        <v>16975</v>
      </c>
      <c r="G15799" s="52">
        <v>221440.800010668</v>
      </c>
      <c r="H15799" s="56">
        <v>0.11342027802484635</v>
      </c>
      <c r="I15799" s="224" t="s">
        <v>2</v>
      </c>
    </row>
    <row r="15800" spans="1:9" x14ac:dyDescent="0.25">
      <c r="A15800" s="515">
        <v>98844</v>
      </c>
      <c r="C15800" s="52">
        <v>252964.31429252101</v>
      </c>
      <c r="D15800" s="56">
        <v>4.8825091841201866E-2</v>
      </c>
      <c r="E15800" s="224" t="s">
        <v>2</v>
      </c>
      <c r="F15800" s="515" t="s">
        <v>16976</v>
      </c>
      <c r="G15800" s="52">
        <v>208623.56395534601</v>
      </c>
      <c r="H15800" s="56">
        <v>0.10325185942778964</v>
      </c>
      <c r="I15800" s="224" t="s">
        <v>2</v>
      </c>
    </row>
    <row r="15801" spans="1:9" x14ac:dyDescent="0.25">
      <c r="A15801" s="515">
        <v>64054</v>
      </c>
      <c r="B15801" s="515" t="s">
        <v>455</v>
      </c>
      <c r="C15801" s="52">
        <v>133711.93220716101</v>
      </c>
      <c r="D15801" s="56">
        <v>0.12494633756515273</v>
      </c>
      <c r="E15801" s="224" t="s">
        <v>2</v>
      </c>
      <c r="F15801" s="515" t="s">
        <v>16977</v>
      </c>
      <c r="G15801" s="52">
        <v>108741.472486311</v>
      </c>
      <c r="H15801" s="56">
        <v>6.6876620184764549E-2</v>
      </c>
      <c r="I15801" s="224" t="s">
        <v>2</v>
      </c>
    </row>
    <row r="15802" spans="1:9" x14ac:dyDescent="0.25">
      <c r="A15802" s="515">
        <v>76577</v>
      </c>
      <c r="C15802" s="52">
        <v>395482.09952281002</v>
      </c>
      <c r="D15802" s="56">
        <v>4.4174257355079058E-2</v>
      </c>
      <c r="E15802" s="224" t="s">
        <v>2</v>
      </c>
      <c r="F15802" s="515" t="s">
        <v>16978</v>
      </c>
      <c r="G15802" s="52">
        <v>160836.428761004</v>
      </c>
      <c r="H15802" s="56">
        <v>-7.9598714745759774E-2</v>
      </c>
      <c r="I15802" s="224" t="s">
        <v>2</v>
      </c>
    </row>
    <row r="15803" spans="1:9" x14ac:dyDescent="0.25">
      <c r="A15803" s="515">
        <v>20675</v>
      </c>
      <c r="B15803" s="515" t="s">
        <v>321</v>
      </c>
      <c r="C15803" s="52">
        <v>415157.59364121099</v>
      </c>
      <c r="D15803" s="56">
        <v>1.2366049584702788E-2</v>
      </c>
      <c r="E15803" s="224" t="s">
        <v>2</v>
      </c>
      <c r="F15803" s="515" t="s">
        <v>16979</v>
      </c>
      <c r="G15803" s="52">
        <v>259296.48891617</v>
      </c>
      <c r="H15803" s="56">
        <v>5.8468827730726626E-2</v>
      </c>
      <c r="I15803" s="224" t="s">
        <v>2</v>
      </c>
    </row>
    <row r="15804" spans="1:9" x14ac:dyDescent="0.25">
      <c r="A15804" s="515">
        <v>41003</v>
      </c>
      <c r="C15804" s="52">
        <v>135077.26032405801</v>
      </c>
      <c r="D15804" s="56">
        <v>0.110982801314178</v>
      </c>
      <c r="E15804" s="224" t="s">
        <v>2</v>
      </c>
      <c r="F15804" s="515" t="s">
        <v>16980</v>
      </c>
      <c r="G15804" s="52">
        <v>197345.462584522</v>
      </c>
      <c r="H15804" s="56">
        <v>0.1021891801305982</v>
      </c>
      <c r="I15804" s="224" t="s">
        <v>2</v>
      </c>
    </row>
    <row r="15805" spans="1:9" x14ac:dyDescent="0.25">
      <c r="A15805" s="515">
        <v>80117</v>
      </c>
      <c r="B15805" s="515" t="s">
        <v>401</v>
      </c>
      <c r="C15805" s="52">
        <v>616094.64608996594</v>
      </c>
      <c r="D15805" s="56">
        <v>2.6372856537739197E-2</v>
      </c>
      <c r="E15805" s="224" t="s">
        <v>2</v>
      </c>
      <c r="F15805" s="515" t="s">
        <v>16981</v>
      </c>
      <c r="G15805" s="52">
        <v>248534.06031896701</v>
      </c>
      <c r="H15805" s="56">
        <v>0.13299122486051118</v>
      </c>
      <c r="I15805" s="224" t="s">
        <v>2</v>
      </c>
    </row>
    <row r="15806" spans="1:9" x14ac:dyDescent="0.25">
      <c r="A15806" s="515">
        <v>2668</v>
      </c>
      <c r="B15806" s="515" t="s">
        <v>427</v>
      </c>
      <c r="C15806" s="52">
        <v>704380.92854503996</v>
      </c>
      <c r="D15806" s="56">
        <v>0.12183064107840845</v>
      </c>
      <c r="E15806" s="224" t="s">
        <v>2</v>
      </c>
      <c r="F15806" s="515" t="s">
        <v>16982</v>
      </c>
      <c r="G15806" s="52">
        <v>292899.47354223201</v>
      </c>
      <c r="H15806" s="56">
        <v>0.11042265405166039</v>
      </c>
      <c r="I15806" s="224" t="s">
        <v>2</v>
      </c>
    </row>
    <row r="15807" spans="1:9" x14ac:dyDescent="0.25">
      <c r="A15807" s="515">
        <v>14098</v>
      </c>
      <c r="B15807" s="515" t="s">
        <v>337</v>
      </c>
      <c r="C15807" s="52">
        <v>162772.788690191</v>
      </c>
      <c r="D15807" s="56">
        <v>0.10897335061353682</v>
      </c>
      <c r="E15807" s="224" t="s">
        <v>2</v>
      </c>
      <c r="F15807" s="515" t="s">
        <v>16983</v>
      </c>
      <c r="G15807" s="52">
        <v>141604.30086294501</v>
      </c>
      <c r="H15807" s="56">
        <v>0.10071801269762834</v>
      </c>
      <c r="I15807" s="224" t="s">
        <v>2</v>
      </c>
    </row>
    <row r="15808" spans="1:9" x14ac:dyDescent="0.25">
      <c r="A15808" s="515">
        <v>24445</v>
      </c>
      <c r="C15808" s="52">
        <v>186803.58298308999</v>
      </c>
      <c r="D15808" s="56">
        <v>7.4069114280576581E-2</v>
      </c>
      <c r="E15808" s="224" t="s">
        <v>2</v>
      </c>
      <c r="F15808" s="515" t="s">
        <v>16984</v>
      </c>
      <c r="G15808" s="52">
        <v>117200.69215417501</v>
      </c>
      <c r="H15808" s="56">
        <v>2.7035620371052563E-2</v>
      </c>
      <c r="I15808" s="224" t="s">
        <v>2</v>
      </c>
    </row>
    <row r="15809" spans="1:9" x14ac:dyDescent="0.25">
      <c r="A15809" s="515">
        <v>3269</v>
      </c>
      <c r="B15809" s="515" t="s">
        <v>1006</v>
      </c>
      <c r="C15809" s="52">
        <v>426720.55773059197</v>
      </c>
      <c r="D15809" s="56">
        <v>0.11814889056204392</v>
      </c>
      <c r="E15809" s="224" t="s">
        <v>2</v>
      </c>
      <c r="F15809" s="515" t="s">
        <v>16985</v>
      </c>
      <c r="G15809" s="52">
        <v>907203.88225435198</v>
      </c>
      <c r="H15809" s="56">
        <v>-4.6560151442988612E-2</v>
      </c>
      <c r="I15809" s="224" t="s">
        <v>2</v>
      </c>
    </row>
    <row r="15810" spans="1:9" x14ac:dyDescent="0.25">
      <c r="A15810" s="515">
        <v>18709</v>
      </c>
      <c r="B15810" s="515" t="s">
        <v>512</v>
      </c>
      <c r="C15810" s="52">
        <v>119249.642785396</v>
      </c>
      <c r="D15810" s="56">
        <v>1.4823429683853952E-2</v>
      </c>
      <c r="E15810" s="224" t="s">
        <v>2</v>
      </c>
      <c r="F15810" s="515" t="s">
        <v>16986</v>
      </c>
      <c r="G15810" s="52">
        <v>178718.14134610401</v>
      </c>
      <c r="H15810" s="56">
        <v>0.10172104488432455</v>
      </c>
      <c r="I15810" s="224" t="s">
        <v>2</v>
      </c>
    </row>
    <row r="15811" spans="1:9" x14ac:dyDescent="0.25">
      <c r="A15811" s="515">
        <v>7756</v>
      </c>
      <c r="B15811" s="515" t="s">
        <v>324</v>
      </c>
      <c r="C15811" s="52">
        <v>713936.27674402006</v>
      </c>
      <c r="D15811" s="56">
        <v>7.6211044111829232E-2</v>
      </c>
      <c r="E15811" s="224" t="s">
        <v>2</v>
      </c>
      <c r="F15811" s="515" t="s">
        <v>16987</v>
      </c>
      <c r="G15811" s="52">
        <v>241868.21640113901</v>
      </c>
      <c r="H15811" s="56">
        <v>0.12931303607829941</v>
      </c>
      <c r="I15811" s="224" t="s">
        <v>2</v>
      </c>
    </row>
    <row r="15812" spans="1:9" x14ac:dyDescent="0.25">
      <c r="A15812" s="515">
        <v>16222</v>
      </c>
      <c r="B15812" s="515" t="s">
        <v>297</v>
      </c>
      <c r="C15812" s="52">
        <v>148092.232600335</v>
      </c>
      <c r="D15812" s="56">
        <v>9.887665776616654E-2</v>
      </c>
      <c r="E15812" s="224" t="s">
        <v>2</v>
      </c>
      <c r="F15812" s="515" t="s">
        <v>16988</v>
      </c>
      <c r="G15812" s="52">
        <v>532676.45167553902</v>
      </c>
      <c r="H15812" s="56">
        <v>9.7743718186136266E-2</v>
      </c>
      <c r="I15812" s="224" t="s">
        <v>2</v>
      </c>
    </row>
    <row r="15813" spans="1:9" x14ac:dyDescent="0.25">
      <c r="A15813" s="515">
        <v>71640</v>
      </c>
      <c r="C15813" s="52">
        <v>39757.165109034198</v>
      </c>
      <c r="D15813" s="56">
        <v>0</v>
      </c>
      <c r="E15813" s="224" t="s">
        <v>2</v>
      </c>
      <c r="F15813" s="515" t="s">
        <v>16989</v>
      </c>
      <c r="G15813" s="52">
        <v>104281.22966054</v>
      </c>
      <c r="H15813" s="56">
        <v>5.626345173532657E-2</v>
      </c>
      <c r="I15813" s="224" t="s">
        <v>2</v>
      </c>
    </row>
    <row r="15814" spans="1:9" x14ac:dyDescent="0.25">
      <c r="A15814" s="515">
        <v>95237</v>
      </c>
      <c r="B15814" s="515" t="s">
        <v>852</v>
      </c>
      <c r="C15814" s="52">
        <v>480803.41166937101</v>
      </c>
      <c r="D15814" s="56">
        <v>1.2589416838927146E-2</v>
      </c>
      <c r="E15814" s="224" t="s">
        <v>2</v>
      </c>
      <c r="F15814" s="515" t="s">
        <v>16990</v>
      </c>
      <c r="G15814" s="52">
        <v>228860.966741785</v>
      </c>
      <c r="H15814" s="56">
        <v>5.6321542316860797E-2</v>
      </c>
      <c r="I15814" s="224" t="s">
        <v>2</v>
      </c>
    </row>
    <row r="15815" spans="1:9" x14ac:dyDescent="0.25">
      <c r="A15815" s="515">
        <v>78832</v>
      </c>
      <c r="C15815" s="52">
        <v>89463.824869307995</v>
      </c>
      <c r="D15815" s="56">
        <v>-1.1051713622195741E-2</v>
      </c>
      <c r="E15815" s="224" t="s">
        <v>2</v>
      </c>
      <c r="F15815" s="515" t="s">
        <v>16991</v>
      </c>
      <c r="G15815" s="52">
        <v>258330.137612258</v>
      </c>
      <c r="H15815" s="56">
        <v>0.14487343705901318</v>
      </c>
      <c r="I15815" s="224" t="s">
        <v>2</v>
      </c>
    </row>
    <row r="15816" spans="1:9" x14ac:dyDescent="0.25">
      <c r="A15816" s="515">
        <v>44452</v>
      </c>
      <c r="B15816" s="515" t="s">
        <v>397</v>
      </c>
      <c r="C15816" s="52">
        <v>238728.07121587099</v>
      </c>
      <c r="D15816" s="56">
        <v>9.5562208714373251E-2</v>
      </c>
      <c r="E15816" s="224" t="s">
        <v>2</v>
      </c>
      <c r="F15816" s="515" t="s">
        <v>16992</v>
      </c>
      <c r="G15816" s="52">
        <v>363012.12383688299</v>
      </c>
      <c r="H15816" s="56">
        <v>5.2905232183104479E-2</v>
      </c>
      <c r="I15816" s="224" t="s">
        <v>2</v>
      </c>
    </row>
    <row r="15817" spans="1:9" x14ac:dyDescent="0.25">
      <c r="A15817" s="515">
        <v>45786</v>
      </c>
      <c r="B15817" s="515" t="s">
        <v>665</v>
      </c>
      <c r="C15817" s="52">
        <v>177636.793886431</v>
      </c>
      <c r="D15817" s="56">
        <v>6.4770919452771053E-2</v>
      </c>
      <c r="E15817" s="224" t="s">
        <v>2</v>
      </c>
      <c r="F15817" s="515" t="s">
        <v>16993</v>
      </c>
      <c r="G15817" s="52">
        <v>113131.52742004899</v>
      </c>
      <c r="H15817" s="56">
        <v>0</v>
      </c>
      <c r="I15817" s="224" t="s">
        <v>2</v>
      </c>
    </row>
    <row r="15818" spans="1:9" x14ac:dyDescent="0.25">
      <c r="A15818" s="515">
        <v>99833</v>
      </c>
      <c r="C15818" s="52">
        <v>300508.63329461199</v>
      </c>
      <c r="D15818" s="56">
        <v>-4.3067135939398923E-3</v>
      </c>
      <c r="E15818" s="224" t="s">
        <v>2</v>
      </c>
      <c r="F15818" s="515" t="s">
        <v>16994</v>
      </c>
      <c r="G15818" s="52">
        <v>1921149.4233486401</v>
      </c>
      <c r="H15818" s="56">
        <v>3.2196222099215376E-2</v>
      </c>
      <c r="I15818" s="224" t="s">
        <v>2</v>
      </c>
    </row>
    <row r="15819" spans="1:9" x14ac:dyDescent="0.25">
      <c r="A15819" s="515">
        <v>74764</v>
      </c>
      <c r="C15819" s="52">
        <v>136869.68672316501</v>
      </c>
      <c r="D15819" s="56">
        <v>0.12762574872229832</v>
      </c>
      <c r="E15819" s="224" t="s">
        <v>2</v>
      </c>
      <c r="F15819" s="515" t="s">
        <v>16995</v>
      </c>
      <c r="G15819" s="52">
        <v>682957.25</v>
      </c>
      <c r="H15819" s="56">
        <v>0</v>
      </c>
      <c r="I15819" s="224" t="s">
        <v>2</v>
      </c>
    </row>
    <row r="15820" spans="1:9" x14ac:dyDescent="0.25">
      <c r="A15820" s="515">
        <v>49614</v>
      </c>
      <c r="C15820" s="52">
        <v>234610.15710441599</v>
      </c>
      <c r="D15820" s="56">
        <v>6.7960971232782288E-2</v>
      </c>
      <c r="E15820" s="224" t="s">
        <v>2</v>
      </c>
      <c r="F15820" s="515" t="s">
        <v>16996</v>
      </c>
      <c r="G15820" s="52">
        <v>306571.08858157898</v>
      </c>
      <c r="H15820" s="56">
        <v>0.11049042087406379</v>
      </c>
      <c r="I15820" s="224" t="s">
        <v>2</v>
      </c>
    </row>
    <row r="15821" spans="1:9" x14ac:dyDescent="0.25">
      <c r="A15821" s="515">
        <v>15419</v>
      </c>
      <c r="B15821" s="515" t="s">
        <v>297</v>
      </c>
      <c r="C15821" s="52">
        <v>114392.08279133</v>
      </c>
      <c r="D15821" s="56">
        <v>3.582469532524224E-2</v>
      </c>
      <c r="E15821" s="224" t="s">
        <v>2</v>
      </c>
      <c r="F15821" s="515" t="s">
        <v>16997</v>
      </c>
      <c r="G15821" s="52">
        <v>169987.06178669399</v>
      </c>
      <c r="H15821" s="56">
        <v>3.5351116155912257E-2</v>
      </c>
      <c r="I15821" s="224" t="s">
        <v>2</v>
      </c>
    </row>
    <row r="15822" spans="1:9" x14ac:dyDescent="0.25">
      <c r="A15822" s="515">
        <v>62640</v>
      </c>
      <c r="B15822" s="515" t="s">
        <v>498</v>
      </c>
      <c r="C15822" s="52">
        <v>107531.852005038</v>
      </c>
      <c r="D15822" s="56">
        <v>7.8414602508064691E-3</v>
      </c>
      <c r="E15822" s="224" t="s">
        <v>2</v>
      </c>
      <c r="F15822" s="515" t="s">
        <v>16998</v>
      </c>
      <c r="G15822" s="52">
        <v>283252.80010255601</v>
      </c>
      <c r="H15822" s="56">
        <v>0</v>
      </c>
      <c r="I15822" s="224" t="s">
        <v>2</v>
      </c>
    </row>
    <row r="15823" spans="1:9" x14ac:dyDescent="0.25">
      <c r="A15823" s="515">
        <v>36474</v>
      </c>
      <c r="C15823" s="52">
        <v>122477.092792857</v>
      </c>
      <c r="D15823" s="56">
        <v>-2.1566448523980288E-2</v>
      </c>
      <c r="E15823" s="224" t="s">
        <v>2</v>
      </c>
      <c r="F15823" s="515" t="s">
        <v>16999</v>
      </c>
      <c r="G15823" s="52">
        <v>329944.58184518298</v>
      </c>
      <c r="H15823" s="56">
        <v>0.11562237949501213</v>
      </c>
      <c r="I15823" s="224" t="s">
        <v>2</v>
      </c>
    </row>
    <row r="15824" spans="1:9" x14ac:dyDescent="0.25">
      <c r="A15824" s="515">
        <v>75416</v>
      </c>
      <c r="B15824" s="515" t="s">
        <v>921</v>
      </c>
      <c r="C15824" s="52">
        <v>203013.11438459801</v>
      </c>
      <c r="D15824" s="56">
        <v>5.7602420975584309E-2</v>
      </c>
      <c r="E15824" s="224" t="s">
        <v>2</v>
      </c>
      <c r="F15824" s="515" t="s">
        <v>17000</v>
      </c>
      <c r="G15824" s="52">
        <v>143193.33333333299</v>
      </c>
      <c r="H15824" s="56">
        <v>0</v>
      </c>
      <c r="I15824" s="224" t="s">
        <v>2</v>
      </c>
    </row>
    <row r="15825" spans="1:9" x14ac:dyDescent="0.25">
      <c r="A15825" s="515">
        <v>20137</v>
      </c>
      <c r="B15825" s="515" t="s">
        <v>321</v>
      </c>
      <c r="C15825" s="52">
        <v>674809.07974313805</v>
      </c>
      <c r="D15825" s="56">
        <v>6.0234160622559062E-2</v>
      </c>
      <c r="E15825" s="224" t="s">
        <v>2</v>
      </c>
      <c r="F15825" s="515" t="s">
        <v>17001</v>
      </c>
      <c r="G15825" s="52">
        <v>130391.84712881601</v>
      </c>
      <c r="H15825" s="56">
        <v>0.13476605038993272</v>
      </c>
      <c r="I15825" s="224" t="s">
        <v>2</v>
      </c>
    </row>
    <row r="15826" spans="1:9" x14ac:dyDescent="0.25">
      <c r="A15826" s="515">
        <v>1360</v>
      </c>
      <c r="B15826" s="515" t="s">
        <v>575</v>
      </c>
      <c r="C15826" s="52">
        <v>310280.225761056</v>
      </c>
      <c r="D15826" s="56">
        <v>7.8911979241445593E-2</v>
      </c>
      <c r="E15826" s="224" t="s">
        <v>2</v>
      </c>
      <c r="F15826" s="515" t="s">
        <v>17002</v>
      </c>
      <c r="G15826" s="52">
        <v>75672.886186165706</v>
      </c>
      <c r="H15826" s="56">
        <v>0.13880708369251854</v>
      </c>
      <c r="I15826" s="224" t="s">
        <v>2</v>
      </c>
    </row>
    <row r="15827" spans="1:9" x14ac:dyDescent="0.25">
      <c r="A15827" s="515">
        <v>37338</v>
      </c>
      <c r="C15827" s="52">
        <v>174059.636797791</v>
      </c>
      <c r="D15827" s="56">
        <v>3.7525220026097032E-2</v>
      </c>
      <c r="E15827" s="224" t="s">
        <v>2</v>
      </c>
      <c r="F15827" s="515" t="s">
        <v>17003</v>
      </c>
      <c r="G15827" s="52">
        <v>152409.730739889</v>
      </c>
      <c r="H15827" s="56">
        <v>0.13230220712603574</v>
      </c>
      <c r="I15827" s="224" t="s">
        <v>2</v>
      </c>
    </row>
    <row r="15828" spans="1:9" x14ac:dyDescent="0.25">
      <c r="A15828" s="515">
        <v>97539</v>
      </c>
      <c r="B15828" s="515" t="s">
        <v>775</v>
      </c>
      <c r="C15828" s="52">
        <v>391196.976347961</v>
      </c>
      <c r="D15828" s="56">
        <v>2.4321018321717767E-2</v>
      </c>
      <c r="E15828" s="224" t="s">
        <v>2</v>
      </c>
      <c r="F15828" s="515" t="s">
        <v>17004</v>
      </c>
      <c r="G15828" s="52">
        <v>433705.52498743503</v>
      </c>
      <c r="H15828" s="56">
        <v>-3.0466058258239587E-2</v>
      </c>
      <c r="I15828" s="224" t="s">
        <v>2</v>
      </c>
    </row>
    <row r="15829" spans="1:9" x14ac:dyDescent="0.25">
      <c r="A15829" s="515">
        <v>16630</v>
      </c>
      <c r="B15829" s="515" t="s">
        <v>828</v>
      </c>
      <c r="C15829" s="52">
        <v>114130.929233389</v>
      </c>
      <c r="D15829" s="56">
        <v>-5.8858386101462198E-2</v>
      </c>
      <c r="E15829" s="224" t="s">
        <v>2</v>
      </c>
      <c r="F15829" s="515" t="s">
        <v>17005</v>
      </c>
      <c r="G15829" s="52">
        <v>179387.87044410201</v>
      </c>
      <c r="H15829" s="56">
        <v>0.23202698157499901</v>
      </c>
      <c r="I15829" s="224" t="s">
        <v>2</v>
      </c>
    </row>
    <row r="15830" spans="1:9" x14ac:dyDescent="0.25">
      <c r="A15830" s="515">
        <v>18837</v>
      </c>
      <c r="B15830" s="515" t="s">
        <v>699</v>
      </c>
      <c r="C15830" s="52">
        <v>173042.659631891</v>
      </c>
      <c r="D15830" s="56">
        <v>8.5023320668198316E-2</v>
      </c>
      <c r="E15830" s="224" t="s">
        <v>2</v>
      </c>
      <c r="F15830" s="515" t="s">
        <v>17006</v>
      </c>
      <c r="G15830" s="52">
        <v>103367.90939461</v>
      </c>
      <c r="H15830" s="56">
        <v>0.14610793911469711</v>
      </c>
      <c r="I15830" s="224" t="s">
        <v>2</v>
      </c>
    </row>
    <row r="15831" spans="1:9" x14ac:dyDescent="0.25">
      <c r="A15831" s="515">
        <v>81125</v>
      </c>
      <c r="C15831" s="52">
        <v>153651.64828392799</v>
      </c>
      <c r="D15831" s="56">
        <v>7.2904277112506577E-2</v>
      </c>
      <c r="E15831" s="224" t="s">
        <v>2</v>
      </c>
      <c r="F15831" s="515" t="s">
        <v>17007</v>
      </c>
      <c r="G15831" s="52">
        <v>59324.678896943798</v>
      </c>
      <c r="H15831" s="56">
        <v>2.0418334540567604E-2</v>
      </c>
      <c r="I15831" s="224" t="s">
        <v>2</v>
      </c>
    </row>
    <row r="15832" spans="1:9" x14ac:dyDescent="0.25">
      <c r="A15832" s="515">
        <v>52208</v>
      </c>
      <c r="B15832" s="515" t="s">
        <v>404</v>
      </c>
      <c r="C15832" s="52">
        <v>112621.125372683</v>
      </c>
      <c r="D15832" s="56">
        <v>0.10411318815969178</v>
      </c>
      <c r="E15832" s="224" t="s">
        <v>2</v>
      </c>
      <c r="F15832" s="515" t="s">
        <v>17008</v>
      </c>
      <c r="G15832" s="52">
        <v>78067.387931034405</v>
      </c>
      <c r="H15832" s="56">
        <v>0</v>
      </c>
      <c r="I15832" s="224" t="s">
        <v>2</v>
      </c>
    </row>
    <row r="15833" spans="1:9" x14ac:dyDescent="0.25">
      <c r="A15833" s="515">
        <v>74119</v>
      </c>
      <c r="B15833" s="515" t="s">
        <v>348</v>
      </c>
      <c r="C15833" s="52">
        <v>166110.23781263799</v>
      </c>
      <c r="D15833" s="56">
        <v>-7.2632425708651855E-3</v>
      </c>
      <c r="E15833" s="224">
        <v>1433.4666666666601</v>
      </c>
      <c r="F15833" s="515" t="s">
        <v>17009</v>
      </c>
      <c r="G15833" s="52">
        <v>174383.95407571999</v>
      </c>
      <c r="H15833" s="56">
        <v>4.381080522714585E-3</v>
      </c>
      <c r="I15833" s="224" t="s">
        <v>2</v>
      </c>
    </row>
    <row r="15834" spans="1:9" x14ac:dyDescent="0.25">
      <c r="A15834" s="515">
        <v>35987</v>
      </c>
      <c r="B15834" s="515" t="s">
        <v>640</v>
      </c>
      <c r="C15834" s="52">
        <v>177384.89955404101</v>
      </c>
      <c r="D15834" s="56">
        <v>5.8854748710860938E-2</v>
      </c>
      <c r="E15834" s="224" t="s">
        <v>2</v>
      </c>
      <c r="F15834" s="515" t="s">
        <v>17010</v>
      </c>
      <c r="G15834" s="52">
        <v>209730.920127744</v>
      </c>
      <c r="H15834" s="56">
        <v>-4.0790426432570585E-3</v>
      </c>
      <c r="I15834" s="224" t="s">
        <v>2</v>
      </c>
    </row>
    <row r="15835" spans="1:9" x14ac:dyDescent="0.25">
      <c r="A15835" s="515">
        <v>26570</v>
      </c>
      <c r="B15835" s="515" t="s">
        <v>643</v>
      </c>
      <c r="C15835" s="52">
        <v>126130.81897440201</v>
      </c>
      <c r="D15835" s="56">
        <v>5.0779520598239571E-2</v>
      </c>
      <c r="E15835" s="224" t="s">
        <v>2</v>
      </c>
      <c r="F15835" s="515" t="s">
        <v>17011</v>
      </c>
      <c r="G15835" s="52">
        <v>138272.359752861</v>
      </c>
      <c r="H15835" s="56">
        <v>9.9820220780434704E-2</v>
      </c>
      <c r="I15835" s="224" t="s">
        <v>2</v>
      </c>
    </row>
    <row r="15836" spans="1:9" x14ac:dyDescent="0.25">
      <c r="A15836" s="515">
        <v>37373</v>
      </c>
      <c r="B15836" s="515" t="s">
        <v>622</v>
      </c>
      <c r="C15836" s="52">
        <v>232986.692496014</v>
      </c>
      <c r="D15836" s="56">
        <v>6.4335668794049061E-2</v>
      </c>
      <c r="E15836" s="224" t="s">
        <v>2</v>
      </c>
      <c r="F15836" s="515" t="s">
        <v>17012</v>
      </c>
      <c r="G15836" s="52">
        <v>121410.13007152799</v>
      </c>
      <c r="H15836" s="56">
        <v>7.0795795354536187E-2</v>
      </c>
      <c r="I15836" s="224" t="s">
        <v>2</v>
      </c>
    </row>
    <row r="15837" spans="1:9" x14ac:dyDescent="0.25">
      <c r="A15837" s="515">
        <v>44840</v>
      </c>
      <c r="B15837" s="515" t="s">
        <v>305</v>
      </c>
      <c r="C15837" s="52">
        <v>232737.531836927</v>
      </c>
      <c r="D15837" s="56">
        <v>0.11474193857394915</v>
      </c>
      <c r="E15837" s="224" t="s">
        <v>2</v>
      </c>
      <c r="F15837" s="515" t="s">
        <v>17013</v>
      </c>
      <c r="G15837" s="52">
        <v>139800.10614676299</v>
      </c>
      <c r="H15837" s="56">
        <v>0.14157185983543363</v>
      </c>
      <c r="I15837" s="224" t="s">
        <v>2</v>
      </c>
    </row>
    <row r="15838" spans="1:9" x14ac:dyDescent="0.25">
      <c r="A15838" s="515">
        <v>49878</v>
      </c>
      <c r="B15838" s="515" t="s">
        <v>713</v>
      </c>
      <c r="C15838" s="52">
        <v>137245.23963218401</v>
      </c>
      <c r="D15838" s="56">
        <v>5.8375965235616105E-2</v>
      </c>
      <c r="E15838" s="224" t="s">
        <v>2</v>
      </c>
      <c r="F15838" s="515" t="s">
        <v>17014</v>
      </c>
      <c r="G15838" s="52">
        <v>250283.820739647</v>
      </c>
      <c r="H15838" s="56">
        <v>6.3164370601857062E-2</v>
      </c>
      <c r="I15838" s="224">
        <v>1354.1111111111099</v>
      </c>
    </row>
    <row r="15839" spans="1:9" x14ac:dyDescent="0.25">
      <c r="A15839" s="515">
        <v>24162</v>
      </c>
      <c r="B15839" s="515" t="s">
        <v>597</v>
      </c>
      <c r="C15839" s="52">
        <v>207163.444498914</v>
      </c>
      <c r="D15839" s="56">
        <v>4.098893272703541E-2</v>
      </c>
      <c r="E15839" s="224" t="s">
        <v>2</v>
      </c>
      <c r="F15839" s="515" t="s">
        <v>17015</v>
      </c>
      <c r="G15839" s="52">
        <v>196966.54418867</v>
      </c>
      <c r="H15839" s="56">
        <v>8.7069970524545501E-2</v>
      </c>
      <c r="I15839" s="224" t="s">
        <v>2</v>
      </c>
    </row>
    <row r="15840" spans="1:9" x14ac:dyDescent="0.25">
      <c r="A15840" s="515">
        <v>60194</v>
      </c>
      <c r="B15840" s="515" t="s">
        <v>394</v>
      </c>
      <c r="C15840" s="52">
        <v>262070.58188015601</v>
      </c>
      <c r="D15840" s="56">
        <v>2.046374757272124E-3</v>
      </c>
      <c r="E15840" s="224">
        <v>1912.88888888888</v>
      </c>
      <c r="F15840" s="515" t="s">
        <v>17016</v>
      </c>
      <c r="G15840" s="52">
        <v>117429.13978855</v>
      </c>
      <c r="H15840" s="56">
        <v>0.1917361998871607</v>
      </c>
      <c r="I15840" s="224" t="s">
        <v>2</v>
      </c>
    </row>
    <row r="15841" spans="1:9" x14ac:dyDescent="0.25">
      <c r="A15841" s="515">
        <v>52046</v>
      </c>
      <c r="B15841" s="515" t="s">
        <v>478</v>
      </c>
      <c r="C15841" s="52">
        <v>240490.08670587701</v>
      </c>
      <c r="D15841" s="56">
        <v>6.0276906864161456E-2</v>
      </c>
      <c r="E15841" s="224" t="s">
        <v>2</v>
      </c>
      <c r="F15841" s="515" t="s">
        <v>17017</v>
      </c>
      <c r="G15841" s="52">
        <v>382226.330166356</v>
      </c>
      <c r="H15841" s="56">
        <v>5.5045930066947885E-2</v>
      </c>
      <c r="I15841" s="224" t="s">
        <v>2</v>
      </c>
    </row>
    <row r="15842" spans="1:9" x14ac:dyDescent="0.25">
      <c r="A15842" s="515">
        <v>93626</v>
      </c>
      <c r="B15842" s="515" t="s">
        <v>541</v>
      </c>
      <c r="C15842" s="52">
        <v>550006.48086622602</v>
      </c>
      <c r="D15842" s="56">
        <v>2.9422429700423015E-2</v>
      </c>
      <c r="E15842" s="224" t="s">
        <v>2</v>
      </c>
      <c r="F15842" s="515" t="s">
        <v>17018</v>
      </c>
      <c r="G15842" s="52">
        <v>158971.72164948401</v>
      </c>
      <c r="H15842" s="56">
        <v>0</v>
      </c>
      <c r="I15842" s="224" t="s">
        <v>2</v>
      </c>
    </row>
    <row r="15843" spans="1:9" x14ac:dyDescent="0.25">
      <c r="A15843" s="515">
        <v>93675</v>
      </c>
      <c r="B15843" s="515" t="s">
        <v>541</v>
      </c>
      <c r="C15843" s="52">
        <v>328957.30482754699</v>
      </c>
      <c r="D15843" s="56">
        <v>3.1465032557726667E-2</v>
      </c>
      <c r="E15843" s="224" t="s">
        <v>2</v>
      </c>
      <c r="F15843" s="515" t="s">
        <v>17019</v>
      </c>
      <c r="G15843" s="52">
        <v>227083.85744413201</v>
      </c>
      <c r="H15843" s="56">
        <v>6.376234956740004E-2</v>
      </c>
      <c r="I15843" s="224" t="s">
        <v>2</v>
      </c>
    </row>
    <row r="15844" spans="1:9" x14ac:dyDescent="0.25">
      <c r="A15844" s="515">
        <v>73082</v>
      </c>
      <c r="B15844" s="515" t="s">
        <v>385</v>
      </c>
      <c r="C15844" s="52">
        <v>122019.14414968601</v>
      </c>
      <c r="D15844" s="56">
        <v>9.1465453541486205E-2</v>
      </c>
      <c r="E15844" s="224" t="s">
        <v>2</v>
      </c>
      <c r="F15844" s="515" t="s">
        <v>17020</v>
      </c>
      <c r="G15844" s="52">
        <v>152905.05047632899</v>
      </c>
      <c r="H15844" s="56">
        <v>-7.4801507380964057E-3</v>
      </c>
      <c r="I15844" s="224" t="s">
        <v>2</v>
      </c>
    </row>
    <row r="15845" spans="1:9" x14ac:dyDescent="0.25">
      <c r="A15845" s="515">
        <v>29856</v>
      </c>
      <c r="B15845" s="515" t="s">
        <v>888</v>
      </c>
      <c r="C15845" s="52">
        <v>60241.977082808902</v>
      </c>
      <c r="D15845" s="56">
        <v>8.9908872598080617E-3</v>
      </c>
      <c r="E15845" s="224" t="s">
        <v>2</v>
      </c>
      <c r="F15845" s="515" t="s">
        <v>17021</v>
      </c>
      <c r="G15845" s="52">
        <v>417237.52116867399</v>
      </c>
      <c r="H15845" s="56">
        <v>7.6073369377660502E-2</v>
      </c>
      <c r="I15845" s="224" t="s">
        <v>2</v>
      </c>
    </row>
    <row r="15846" spans="1:9" x14ac:dyDescent="0.25">
      <c r="A15846" s="515">
        <v>25248</v>
      </c>
      <c r="B15846" s="515" t="s">
        <v>322</v>
      </c>
      <c r="C15846" s="52">
        <v>184631.607859246</v>
      </c>
      <c r="D15846" s="56">
        <v>4.0193240343403693E-2</v>
      </c>
      <c r="E15846" s="224" t="s">
        <v>2</v>
      </c>
      <c r="F15846" s="515" t="s">
        <v>17022</v>
      </c>
      <c r="G15846" s="52">
        <v>188857.20676433601</v>
      </c>
      <c r="H15846" s="56">
        <v>0.1098033864613058</v>
      </c>
      <c r="I15846" s="224" t="s">
        <v>2</v>
      </c>
    </row>
    <row r="15847" spans="1:9" x14ac:dyDescent="0.25">
      <c r="A15847" s="515">
        <v>21631</v>
      </c>
      <c r="B15847" s="515" t="s">
        <v>388</v>
      </c>
      <c r="C15847" s="52">
        <v>293859.570808766</v>
      </c>
      <c r="D15847" s="56">
        <v>3.6440946807853973E-2</v>
      </c>
      <c r="E15847" s="224" t="s">
        <v>2</v>
      </c>
      <c r="F15847" s="515" t="s">
        <v>17023</v>
      </c>
      <c r="G15847" s="52">
        <v>229234.86213247399</v>
      </c>
      <c r="H15847" s="56">
        <v>8.7090483033276045E-2</v>
      </c>
      <c r="I15847" s="224" t="s">
        <v>2</v>
      </c>
    </row>
    <row r="15848" spans="1:9" x14ac:dyDescent="0.25">
      <c r="A15848" s="515">
        <v>39766</v>
      </c>
      <c r="B15848" s="515" t="s">
        <v>1040</v>
      </c>
      <c r="C15848" s="52">
        <v>165623.433395453</v>
      </c>
      <c r="D15848" s="56">
        <v>-4.3339853487310433E-2</v>
      </c>
      <c r="E15848" s="224" t="s">
        <v>2</v>
      </c>
      <c r="F15848" s="515" t="s">
        <v>17024</v>
      </c>
      <c r="G15848" s="52">
        <v>103861.52564953</v>
      </c>
      <c r="H15848" s="56">
        <v>6.2968267109392392E-2</v>
      </c>
      <c r="I15848" s="224" t="s">
        <v>2</v>
      </c>
    </row>
    <row r="15849" spans="1:9" x14ac:dyDescent="0.25">
      <c r="A15849" s="515">
        <v>75833</v>
      </c>
      <c r="C15849" s="52">
        <v>208138.15525934199</v>
      </c>
      <c r="D15849" s="56">
        <v>-2.1600586545497184E-2</v>
      </c>
      <c r="E15849" s="224" t="s">
        <v>2</v>
      </c>
      <c r="F15849" s="515" t="s">
        <v>17025</v>
      </c>
      <c r="G15849" s="52">
        <v>120473.705764828</v>
      </c>
      <c r="H15849" s="56">
        <v>0.11002702899466821</v>
      </c>
      <c r="I15849" s="224" t="s">
        <v>2</v>
      </c>
    </row>
    <row r="15850" spans="1:9" x14ac:dyDescent="0.25">
      <c r="A15850" s="515">
        <v>94586</v>
      </c>
      <c r="B15850" s="515" t="s">
        <v>593</v>
      </c>
      <c r="C15850" s="52">
        <v>1242720.23743634</v>
      </c>
      <c r="D15850" s="56">
        <v>-6.6465122782970551E-2</v>
      </c>
      <c r="E15850" s="224" t="s">
        <v>2</v>
      </c>
      <c r="F15850" s="515" t="s">
        <v>17026</v>
      </c>
      <c r="G15850" s="52">
        <v>163888.38410595999</v>
      </c>
      <c r="H15850" s="56">
        <v>0</v>
      </c>
      <c r="I15850" s="224" t="s">
        <v>2</v>
      </c>
    </row>
    <row r="15851" spans="1:9" x14ac:dyDescent="0.25">
      <c r="A15851" s="515">
        <v>70589</v>
      </c>
      <c r="B15851" s="515" t="s">
        <v>1162</v>
      </c>
      <c r="C15851" s="52">
        <v>112550.347316429</v>
      </c>
      <c r="D15851" s="56">
        <v>4.6769357535239843E-2</v>
      </c>
      <c r="E15851" s="224" t="s">
        <v>2</v>
      </c>
      <c r="F15851" s="515" t="s">
        <v>17027</v>
      </c>
      <c r="G15851" s="52">
        <v>202980.070091225</v>
      </c>
      <c r="H15851" s="56">
        <v>6.5192487072651101E-2</v>
      </c>
      <c r="I15851" s="224" t="s">
        <v>2</v>
      </c>
    </row>
    <row r="15852" spans="1:9" x14ac:dyDescent="0.25">
      <c r="A15852" s="515">
        <v>12138</v>
      </c>
      <c r="B15852" s="515" t="s">
        <v>609</v>
      </c>
      <c r="C15852" s="52">
        <v>218363.81330531801</v>
      </c>
      <c r="D15852" s="56">
        <v>8.5906351486332425E-2</v>
      </c>
      <c r="E15852" s="224" t="s">
        <v>2</v>
      </c>
      <c r="F15852" s="515" t="s">
        <v>17028</v>
      </c>
      <c r="G15852" s="52">
        <v>193179.00598229299</v>
      </c>
      <c r="H15852" s="56">
        <v>9.0784112419565161E-2</v>
      </c>
      <c r="I15852" s="224" t="s">
        <v>2</v>
      </c>
    </row>
    <row r="15853" spans="1:9" x14ac:dyDescent="0.25">
      <c r="A15853" s="515">
        <v>49030</v>
      </c>
      <c r="B15853" s="515" t="s">
        <v>892</v>
      </c>
      <c r="C15853" s="52">
        <v>154947.45833785299</v>
      </c>
      <c r="D15853" s="56">
        <v>8.5815121669640171E-2</v>
      </c>
      <c r="E15853" s="224" t="s">
        <v>2</v>
      </c>
      <c r="F15853" s="515" t="s">
        <v>17029</v>
      </c>
      <c r="G15853" s="52">
        <v>174550.149004443</v>
      </c>
      <c r="H15853" s="56">
        <v>5.6170545755256984E-2</v>
      </c>
      <c r="I15853" s="224" t="s">
        <v>2</v>
      </c>
    </row>
    <row r="15854" spans="1:9" x14ac:dyDescent="0.25">
      <c r="A15854" s="515">
        <v>63660</v>
      </c>
      <c r="C15854" s="52">
        <v>133921.35025826801</v>
      </c>
      <c r="D15854" s="56">
        <v>-2.5119813541516933E-2</v>
      </c>
      <c r="E15854" s="224" t="s">
        <v>2</v>
      </c>
      <c r="F15854" s="515" t="s">
        <v>17030</v>
      </c>
      <c r="G15854" s="52">
        <v>119766.637005374</v>
      </c>
      <c r="H15854" s="56">
        <v>0.15953305368150356</v>
      </c>
      <c r="I15854" s="224" t="s">
        <v>2</v>
      </c>
    </row>
    <row r="15855" spans="1:9" x14ac:dyDescent="0.25">
      <c r="A15855" s="515">
        <v>68372</v>
      </c>
      <c r="B15855" s="515" t="s">
        <v>486</v>
      </c>
      <c r="C15855" s="52">
        <v>338591.16627166199</v>
      </c>
      <c r="D15855" s="56">
        <v>8.3063243936054604E-2</v>
      </c>
      <c r="E15855" s="224" t="s">
        <v>2</v>
      </c>
      <c r="F15855" s="515" t="s">
        <v>17031</v>
      </c>
      <c r="G15855" s="52">
        <v>129447.60500745699</v>
      </c>
      <c r="H15855" s="56">
        <v>7.875629914714552E-2</v>
      </c>
      <c r="I15855" s="224" t="s">
        <v>2</v>
      </c>
    </row>
    <row r="15856" spans="1:9" x14ac:dyDescent="0.25">
      <c r="A15856" s="515">
        <v>65674</v>
      </c>
      <c r="B15856" s="515" t="s">
        <v>603</v>
      </c>
      <c r="C15856" s="52">
        <v>160267.516139613</v>
      </c>
      <c r="D15856" s="56">
        <v>7.8603114117350367E-2</v>
      </c>
      <c r="E15856" s="224" t="s">
        <v>2</v>
      </c>
      <c r="F15856" s="515" t="s">
        <v>17032</v>
      </c>
      <c r="G15856" s="52">
        <v>153565.158083877</v>
      </c>
      <c r="H15856" s="56">
        <v>0.13540407774144084</v>
      </c>
      <c r="I15856" s="224" t="s">
        <v>2</v>
      </c>
    </row>
    <row r="15857" spans="1:9" x14ac:dyDescent="0.25">
      <c r="A15857" s="515">
        <v>49807</v>
      </c>
      <c r="B15857" s="515" t="s">
        <v>713</v>
      </c>
      <c r="C15857" s="52">
        <v>156514.36962746101</v>
      </c>
      <c r="D15857" s="56">
        <v>5.3089673534130744E-3</v>
      </c>
      <c r="E15857" s="224" t="s">
        <v>2</v>
      </c>
      <c r="F15857" s="515" t="s">
        <v>17033</v>
      </c>
      <c r="G15857" s="52">
        <v>141380.80970047801</v>
      </c>
      <c r="H15857" s="56">
        <v>9.3980471859441746E-3</v>
      </c>
      <c r="I15857" s="224" t="s">
        <v>2</v>
      </c>
    </row>
    <row r="15858" spans="1:9" x14ac:dyDescent="0.25">
      <c r="A15858" s="515">
        <v>54984</v>
      </c>
      <c r="C15858" s="52">
        <v>227300.53576055099</v>
      </c>
      <c r="D15858" s="56">
        <v>8.4507953113595657E-2</v>
      </c>
      <c r="E15858" s="224" t="s">
        <v>2</v>
      </c>
      <c r="F15858" s="515" t="s">
        <v>17034</v>
      </c>
      <c r="G15858" s="52">
        <v>191995.654560453</v>
      </c>
      <c r="H15858" s="56">
        <v>0.14106589195347785</v>
      </c>
      <c r="I15858" s="224" t="s">
        <v>2</v>
      </c>
    </row>
    <row r="15859" spans="1:9" x14ac:dyDescent="0.25">
      <c r="A15859" s="515">
        <v>17505</v>
      </c>
      <c r="B15859" s="515" t="s">
        <v>537</v>
      </c>
      <c r="C15859" s="52">
        <v>465734.21974432003</v>
      </c>
      <c r="D15859" s="56">
        <v>8.3684504507329033E-2</v>
      </c>
      <c r="E15859" s="224" t="s">
        <v>2</v>
      </c>
      <c r="F15859" s="515" t="s">
        <v>17035</v>
      </c>
      <c r="G15859" s="52">
        <v>231326.31089033699</v>
      </c>
      <c r="H15859" s="56">
        <v>6.4580458265758256E-2</v>
      </c>
      <c r="I15859" s="224" t="s">
        <v>2</v>
      </c>
    </row>
    <row r="15860" spans="1:9" x14ac:dyDescent="0.25">
      <c r="A15860" s="515">
        <v>71430</v>
      </c>
      <c r="B15860" s="515" t="s">
        <v>968</v>
      </c>
      <c r="C15860" s="52">
        <v>147097.71795190201</v>
      </c>
      <c r="D15860" s="56">
        <v>-5.5281207674360375E-3</v>
      </c>
      <c r="E15860" s="224" t="s">
        <v>2</v>
      </c>
      <c r="F15860" s="515" t="s">
        <v>17036</v>
      </c>
      <c r="G15860" s="52">
        <v>146612.81039145999</v>
      </c>
      <c r="H15860" s="56">
        <v>0.10439129153657699</v>
      </c>
      <c r="I15860" s="224" t="s">
        <v>2</v>
      </c>
    </row>
    <row r="15861" spans="1:9" x14ac:dyDescent="0.25">
      <c r="A15861" s="515">
        <v>39464</v>
      </c>
      <c r="B15861" s="515" t="s">
        <v>793</v>
      </c>
      <c r="C15861" s="52">
        <v>146394.125698483</v>
      </c>
      <c r="D15861" s="56">
        <v>-1.2903210950385701E-2</v>
      </c>
      <c r="E15861" s="224" t="s">
        <v>2</v>
      </c>
      <c r="F15861" s="515" t="s">
        <v>17037</v>
      </c>
      <c r="G15861" s="52">
        <v>192725.733923222</v>
      </c>
      <c r="H15861" s="56">
        <v>5.7190406170966449E-2</v>
      </c>
      <c r="I15861" s="224" t="s">
        <v>2</v>
      </c>
    </row>
    <row r="15862" spans="1:9" x14ac:dyDescent="0.25">
      <c r="A15862" s="515">
        <v>20842</v>
      </c>
      <c r="B15862" s="515" t="s">
        <v>321</v>
      </c>
      <c r="C15862" s="52">
        <v>639535.71371209202</v>
      </c>
      <c r="D15862" s="56">
        <v>-4.746984721923044E-3</v>
      </c>
      <c r="E15862" s="224" t="s">
        <v>2</v>
      </c>
      <c r="F15862" s="515" t="s">
        <v>17038</v>
      </c>
      <c r="G15862" s="52">
        <v>98449.477136197995</v>
      </c>
      <c r="H15862" s="56">
        <v>0.14869357147908188</v>
      </c>
      <c r="I15862" s="224" t="s">
        <v>2</v>
      </c>
    </row>
    <row r="15863" spans="1:9" x14ac:dyDescent="0.25">
      <c r="A15863" s="515">
        <v>35203</v>
      </c>
      <c r="B15863" s="515" t="s">
        <v>640</v>
      </c>
      <c r="C15863" s="52">
        <v>306072.01120828802</v>
      </c>
      <c r="D15863" s="56">
        <v>1.51634616470251E-2</v>
      </c>
      <c r="E15863" s="224">
        <v>1337.5</v>
      </c>
      <c r="F15863" s="515" t="s">
        <v>17039</v>
      </c>
      <c r="G15863" s="52">
        <v>278033.23880268499</v>
      </c>
      <c r="H15863" s="56">
        <v>0.1609101417254033</v>
      </c>
      <c r="I15863" s="224" t="s">
        <v>2</v>
      </c>
    </row>
    <row r="15864" spans="1:9" x14ac:dyDescent="0.25">
      <c r="A15864" s="515">
        <v>39364</v>
      </c>
      <c r="B15864" s="515" t="s">
        <v>970</v>
      </c>
      <c r="C15864" s="52">
        <v>125440.055750208</v>
      </c>
      <c r="D15864" s="56">
        <v>-9.4698988891664861E-3</v>
      </c>
      <c r="E15864" s="224" t="s">
        <v>2</v>
      </c>
      <c r="F15864" s="515" t="s">
        <v>17040</v>
      </c>
      <c r="G15864" s="52">
        <v>260814.320476216</v>
      </c>
      <c r="H15864" s="56">
        <v>5.5976293976703229E-2</v>
      </c>
      <c r="I15864" s="224" t="s">
        <v>2</v>
      </c>
    </row>
    <row r="15865" spans="1:9" x14ac:dyDescent="0.25">
      <c r="A15865" s="515">
        <v>28369</v>
      </c>
      <c r="B15865" s="515" t="s">
        <v>1161</v>
      </c>
      <c r="C15865" s="52">
        <v>103980.440719006</v>
      </c>
      <c r="D15865" s="56">
        <v>0.16309529209226228</v>
      </c>
      <c r="E15865" s="224" t="s">
        <v>2</v>
      </c>
      <c r="F15865" s="515" t="s">
        <v>17041</v>
      </c>
      <c r="G15865" s="52">
        <v>525508.05121049401</v>
      </c>
      <c r="H15865" s="56">
        <v>2.1928194461611553E-2</v>
      </c>
      <c r="I15865" s="224" t="s">
        <v>2</v>
      </c>
    </row>
    <row r="15866" spans="1:9" x14ac:dyDescent="0.25">
      <c r="A15866" s="515">
        <v>18977</v>
      </c>
      <c r="B15866" s="515" t="s">
        <v>294</v>
      </c>
      <c r="C15866" s="52">
        <v>690201.12240173295</v>
      </c>
      <c r="D15866" s="56">
        <v>5.1937992097511286E-2</v>
      </c>
      <c r="E15866" s="224" t="s">
        <v>2</v>
      </c>
      <c r="F15866" s="515" t="s">
        <v>17042</v>
      </c>
      <c r="G15866" s="52">
        <v>238788.26372157101</v>
      </c>
      <c r="H15866" s="56">
        <v>0.11308687438343522</v>
      </c>
      <c r="I15866" s="224" t="s">
        <v>2</v>
      </c>
    </row>
    <row r="15867" spans="1:9" x14ac:dyDescent="0.25">
      <c r="A15867" s="515">
        <v>37724</v>
      </c>
      <c r="C15867" s="52">
        <v>168536.31643507999</v>
      </c>
      <c r="D15867" s="56">
        <v>4.4104079774602845E-2</v>
      </c>
      <c r="E15867" s="224" t="s">
        <v>2</v>
      </c>
      <c r="F15867" s="515" t="s">
        <v>17043</v>
      </c>
      <c r="G15867" s="52">
        <v>159622.40454174401</v>
      </c>
      <c r="H15867" s="56">
        <v>8.9250786478263761E-2</v>
      </c>
      <c r="I15867" s="224" t="s">
        <v>2</v>
      </c>
    </row>
    <row r="15868" spans="1:9" x14ac:dyDescent="0.25">
      <c r="A15868" s="515">
        <v>45623</v>
      </c>
      <c r="B15868" s="515" t="s">
        <v>445</v>
      </c>
      <c r="C15868" s="52">
        <v>116692.361952429</v>
      </c>
      <c r="D15868" s="56">
        <v>0.10888396794575481</v>
      </c>
      <c r="E15868" s="224" t="s">
        <v>2</v>
      </c>
      <c r="F15868" s="515" t="s">
        <v>17044</v>
      </c>
      <c r="G15868" s="52">
        <v>150634.382192683</v>
      </c>
      <c r="H15868" s="56">
        <v>9.2311414455270982E-2</v>
      </c>
      <c r="I15868" s="224" t="s">
        <v>2</v>
      </c>
    </row>
    <row r="15869" spans="1:9" x14ac:dyDescent="0.25">
      <c r="A15869" s="515">
        <v>12788</v>
      </c>
      <c r="C15869" s="52">
        <v>233772.45881150899</v>
      </c>
      <c r="D15869" s="56">
        <v>0.16327177053363351</v>
      </c>
      <c r="E15869" s="224" t="s">
        <v>2</v>
      </c>
      <c r="F15869" s="515" t="s">
        <v>17045</v>
      </c>
      <c r="G15869" s="52">
        <v>130458.58044479</v>
      </c>
      <c r="H15869" s="56">
        <v>-8.0854382225833271E-3</v>
      </c>
      <c r="I15869" s="224" t="s">
        <v>2</v>
      </c>
    </row>
    <row r="15870" spans="1:9" x14ac:dyDescent="0.25">
      <c r="A15870" s="515">
        <v>30833</v>
      </c>
      <c r="C15870" s="52">
        <v>88807.535571305198</v>
      </c>
      <c r="D15870" s="56">
        <v>-1.907340775673963E-2</v>
      </c>
      <c r="E15870" s="224" t="s">
        <v>2</v>
      </c>
      <c r="F15870" s="515" t="s">
        <v>17046</v>
      </c>
      <c r="G15870" s="52">
        <v>99577.605830379704</v>
      </c>
      <c r="H15870" s="56">
        <v>1.8785944317620446E-2</v>
      </c>
      <c r="I15870" s="224" t="s">
        <v>2</v>
      </c>
    </row>
    <row r="15871" spans="1:9" x14ac:dyDescent="0.25">
      <c r="A15871" s="515">
        <v>65606</v>
      </c>
      <c r="C15871" s="52">
        <v>138693.05434430501</v>
      </c>
      <c r="D15871" s="56">
        <v>0.12699242199488628</v>
      </c>
      <c r="E15871" s="224" t="s">
        <v>2</v>
      </c>
      <c r="F15871" s="515" t="s">
        <v>17047</v>
      </c>
      <c r="G15871" s="52">
        <v>249936.44181892101</v>
      </c>
      <c r="H15871" s="56">
        <v>7.3877465543267309E-2</v>
      </c>
      <c r="I15871" s="224" t="s">
        <v>2</v>
      </c>
    </row>
    <row r="15872" spans="1:9" x14ac:dyDescent="0.25">
      <c r="A15872" s="515">
        <v>38737</v>
      </c>
      <c r="B15872" s="515" t="s">
        <v>976</v>
      </c>
      <c r="C15872" s="52">
        <v>75625.315217391297</v>
      </c>
      <c r="D15872" s="56">
        <v>0</v>
      </c>
      <c r="E15872" s="224" t="s">
        <v>2</v>
      </c>
      <c r="F15872" s="515" t="s">
        <v>17048</v>
      </c>
      <c r="G15872" s="52">
        <v>189202.32637072299</v>
      </c>
      <c r="H15872" s="56">
        <v>8.9833316304460953E-2</v>
      </c>
      <c r="I15872" s="224" t="s">
        <v>2</v>
      </c>
    </row>
    <row r="15873" spans="1:9" x14ac:dyDescent="0.25">
      <c r="A15873" s="515">
        <v>52591</v>
      </c>
      <c r="C15873" s="52">
        <v>131483.41175034101</v>
      </c>
      <c r="D15873" s="56">
        <v>9.2683341231536528E-2</v>
      </c>
      <c r="E15873" s="224" t="s">
        <v>2</v>
      </c>
      <c r="F15873" s="515" t="s">
        <v>17049</v>
      </c>
      <c r="G15873" s="52">
        <v>167672.79167937499</v>
      </c>
      <c r="H15873" s="56">
        <v>9.7575143935021466E-2</v>
      </c>
      <c r="I15873" s="224" t="s">
        <v>2</v>
      </c>
    </row>
    <row r="15874" spans="1:9" x14ac:dyDescent="0.25">
      <c r="A15874" s="515">
        <v>41080</v>
      </c>
      <c r="B15874" s="515" t="s">
        <v>344</v>
      </c>
      <c r="C15874" s="52">
        <v>226832.30109794799</v>
      </c>
      <c r="D15874" s="56">
        <v>6.2876076624136953E-2</v>
      </c>
      <c r="E15874" s="224" t="s">
        <v>2</v>
      </c>
      <c r="F15874" s="515" t="s">
        <v>17050</v>
      </c>
      <c r="G15874" s="52">
        <v>172215.58785157601</v>
      </c>
      <c r="H15874" s="56">
        <v>5.8676414096328136E-2</v>
      </c>
      <c r="I15874" s="224" t="s">
        <v>2</v>
      </c>
    </row>
    <row r="15875" spans="1:9" x14ac:dyDescent="0.25">
      <c r="A15875" s="515">
        <v>72662</v>
      </c>
      <c r="B15875" s="515" t="s">
        <v>647</v>
      </c>
      <c r="C15875" s="52">
        <v>199182.79286483701</v>
      </c>
      <c r="D15875" s="56">
        <v>7.4942609384924766E-2</v>
      </c>
      <c r="E15875" s="224" t="s">
        <v>2</v>
      </c>
      <c r="F15875" s="515" t="s">
        <v>17051</v>
      </c>
      <c r="G15875" s="52">
        <v>147554.051970595</v>
      </c>
      <c r="H15875" s="56">
        <v>0.19305411423463942</v>
      </c>
      <c r="I15875" s="224" t="s">
        <v>2</v>
      </c>
    </row>
    <row r="15876" spans="1:9" x14ac:dyDescent="0.25">
      <c r="A15876" s="515">
        <v>44040</v>
      </c>
      <c r="B15876" s="515" t="s">
        <v>520</v>
      </c>
      <c r="C15876" s="52">
        <v>554287.67248896696</v>
      </c>
      <c r="D15876" s="56">
        <v>6.8547556032847456E-2</v>
      </c>
      <c r="E15876" s="224" t="s">
        <v>2</v>
      </c>
      <c r="F15876" s="515" t="s">
        <v>17052</v>
      </c>
      <c r="G15876" s="52">
        <v>177482.75989946601</v>
      </c>
      <c r="H15876" s="56">
        <v>0.16762668847941173</v>
      </c>
      <c r="I15876" s="224" t="s">
        <v>2</v>
      </c>
    </row>
    <row r="15877" spans="1:9" x14ac:dyDescent="0.25">
      <c r="A15877" s="515">
        <v>27845</v>
      </c>
      <c r="B15877" s="515" t="s">
        <v>909</v>
      </c>
      <c r="C15877" s="52">
        <v>92831.533319448805</v>
      </c>
      <c r="D15877" s="56">
        <v>0.13122465453287946</v>
      </c>
      <c r="E15877" s="224" t="s">
        <v>2</v>
      </c>
      <c r="F15877" s="515" t="s">
        <v>17053</v>
      </c>
      <c r="G15877" s="52">
        <v>184754.49006779099</v>
      </c>
      <c r="H15877" s="56">
        <v>0.1433350577181505</v>
      </c>
      <c r="I15877" s="224" t="s">
        <v>2</v>
      </c>
    </row>
    <row r="15878" spans="1:9" x14ac:dyDescent="0.25">
      <c r="A15878" s="515">
        <v>65438</v>
      </c>
      <c r="C15878" s="52">
        <v>147540.56787312499</v>
      </c>
      <c r="D15878" s="56">
        <v>0.1735208950220066</v>
      </c>
      <c r="E15878" s="224" t="s">
        <v>2</v>
      </c>
      <c r="F15878" s="515" t="s">
        <v>17054</v>
      </c>
      <c r="G15878" s="52">
        <v>233310</v>
      </c>
      <c r="H15878" s="56">
        <v>0</v>
      </c>
      <c r="I15878" s="224" t="s">
        <v>2</v>
      </c>
    </row>
    <row r="15879" spans="1:9" x14ac:dyDescent="0.25">
      <c r="A15879" s="515">
        <v>55012</v>
      </c>
      <c r="B15879" s="515" t="s">
        <v>532</v>
      </c>
      <c r="C15879" s="52">
        <v>346124.46260840597</v>
      </c>
      <c r="D15879" s="56">
        <v>4.2867216695383785E-2</v>
      </c>
      <c r="E15879" s="224" t="s">
        <v>2</v>
      </c>
      <c r="F15879" s="515" t="s">
        <v>17055</v>
      </c>
      <c r="G15879" s="52">
        <v>153009.32591251799</v>
      </c>
      <c r="H15879" s="56">
        <v>0.10221353662241689</v>
      </c>
      <c r="I15879" s="224" t="s">
        <v>2</v>
      </c>
    </row>
    <row r="15880" spans="1:9" x14ac:dyDescent="0.25">
      <c r="A15880" s="515">
        <v>20733</v>
      </c>
      <c r="B15880" s="515" t="s">
        <v>582</v>
      </c>
      <c r="C15880" s="52">
        <v>391321.99301004299</v>
      </c>
      <c r="D15880" s="56">
        <v>3.542468805444119E-2</v>
      </c>
      <c r="E15880" s="224" t="s">
        <v>2</v>
      </c>
      <c r="F15880" s="515" t="s">
        <v>17056</v>
      </c>
      <c r="G15880" s="52">
        <v>345923.61886840098</v>
      </c>
      <c r="H15880" s="56">
        <v>0.10228135726627782</v>
      </c>
      <c r="I15880" s="224" t="s">
        <v>2</v>
      </c>
    </row>
    <row r="15881" spans="1:9" x14ac:dyDescent="0.25">
      <c r="A15881" s="515">
        <v>53929</v>
      </c>
      <c r="C15881" s="52">
        <v>155016.77484603901</v>
      </c>
      <c r="D15881" s="56">
        <v>6.2785385612824637E-2</v>
      </c>
      <c r="E15881" s="224" t="s">
        <v>2</v>
      </c>
      <c r="F15881" s="515" t="s">
        <v>17057</v>
      </c>
      <c r="G15881" s="52">
        <v>118829.487108752</v>
      </c>
      <c r="H15881" s="56">
        <v>0.10591591933631656</v>
      </c>
      <c r="I15881" s="224" t="s">
        <v>2</v>
      </c>
    </row>
    <row r="15882" spans="1:9" x14ac:dyDescent="0.25">
      <c r="A15882" s="515">
        <v>49277</v>
      </c>
      <c r="B15882" s="515" t="s">
        <v>1125</v>
      </c>
      <c r="C15882" s="52">
        <v>222310.07061867401</v>
      </c>
      <c r="D15882" s="56">
        <v>4.7315072329673677E-2</v>
      </c>
      <c r="E15882" s="224" t="s">
        <v>2</v>
      </c>
      <c r="F15882" s="515" t="s">
        <v>17058</v>
      </c>
      <c r="G15882" s="52">
        <v>151712.20725383499</v>
      </c>
      <c r="H15882" s="56">
        <v>7.542193392039874E-2</v>
      </c>
      <c r="I15882" s="224" t="s">
        <v>2</v>
      </c>
    </row>
    <row r="15883" spans="1:9" x14ac:dyDescent="0.25">
      <c r="A15883" s="515">
        <v>74080</v>
      </c>
      <c r="B15883" s="515" t="s">
        <v>348</v>
      </c>
      <c r="C15883" s="52">
        <v>266030.712019197</v>
      </c>
      <c r="D15883" s="56">
        <v>0.15663552539524667</v>
      </c>
      <c r="E15883" s="224" t="s">
        <v>2</v>
      </c>
      <c r="F15883" s="515" t="s">
        <v>17059</v>
      </c>
      <c r="G15883" s="52">
        <v>203095.278554827</v>
      </c>
      <c r="H15883" s="56">
        <v>0.1421090931294921</v>
      </c>
      <c r="I15883" s="224" t="s">
        <v>2</v>
      </c>
    </row>
    <row r="15884" spans="1:9" x14ac:dyDescent="0.25">
      <c r="A15884" s="515">
        <v>12981</v>
      </c>
      <c r="B15884" s="515" t="s">
        <v>395</v>
      </c>
      <c r="C15884" s="52">
        <v>169404.05803533399</v>
      </c>
      <c r="D15884" s="56">
        <v>0.11843648116810157</v>
      </c>
      <c r="E15884" s="224" t="s">
        <v>2</v>
      </c>
      <c r="F15884" s="515" t="s">
        <v>17060</v>
      </c>
      <c r="G15884" s="52">
        <v>129545.96526565</v>
      </c>
      <c r="H15884" s="56">
        <v>0</v>
      </c>
      <c r="I15884" s="224" t="s">
        <v>2</v>
      </c>
    </row>
    <row r="15885" spans="1:9" x14ac:dyDescent="0.25">
      <c r="A15885" s="515">
        <v>29080</v>
      </c>
      <c r="B15885" s="515" t="s">
        <v>1065</v>
      </c>
      <c r="C15885" s="52">
        <v>96573.727906042797</v>
      </c>
      <c r="D15885" s="56">
        <v>5.2097432970126733E-3</v>
      </c>
      <c r="E15885" s="224" t="s">
        <v>2</v>
      </c>
      <c r="F15885" s="515" t="s">
        <v>17061</v>
      </c>
      <c r="G15885" s="52">
        <v>252405.04986541401</v>
      </c>
      <c r="H15885" s="56">
        <v>7.9563367198612206E-2</v>
      </c>
      <c r="I15885" s="224" t="s">
        <v>2</v>
      </c>
    </row>
    <row r="15886" spans="1:9" x14ac:dyDescent="0.25">
      <c r="A15886" s="515">
        <v>17860</v>
      </c>
      <c r="B15886" s="515" t="s">
        <v>939</v>
      </c>
      <c r="C15886" s="52">
        <v>206972.3018863</v>
      </c>
      <c r="D15886" s="56">
        <v>0</v>
      </c>
      <c r="E15886" s="224" t="s">
        <v>2</v>
      </c>
      <c r="F15886" s="515" t="s">
        <v>17062</v>
      </c>
      <c r="G15886" s="52">
        <v>168814.075483105</v>
      </c>
      <c r="H15886" s="56">
        <v>6.7687787124853432E-2</v>
      </c>
      <c r="I15886" s="224" t="s">
        <v>2</v>
      </c>
    </row>
    <row r="15887" spans="1:9" x14ac:dyDescent="0.25">
      <c r="A15887" s="515">
        <v>72554</v>
      </c>
      <c r="C15887" s="52">
        <v>122303.581476665</v>
      </c>
      <c r="D15887" s="56">
        <v>-5.35965861231672E-2</v>
      </c>
      <c r="E15887" s="224" t="s">
        <v>2</v>
      </c>
      <c r="F15887" s="515" t="s">
        <v>17063</v>
      </c>
      <c r="G15887" s="52">
        <v>298879.43690010102</v>
      </c>
      <c r="H15887" s="56">
        <v>7.8175885308969836E-2</v>
      </c>
      <c r="I15887" s="224" t="s">
        <v>2</v>
      </c>
    </row>
    <row r="15888" spans="1:9" x14ac:dyDescent="0.25">
      <c r="A15888" s="515">
        <v>35740</v>
      </c>
      <c r="B15888" s="515" t="s">
        <v>748</v>
      </c>
      <c r="C15888" s="52">
        <v>112960.79057922499</v>
      </c>
      <c r="D15888" s="56">
        <v>6.7019975361181608E-2</v>
      </c>
      <c r="E15888" s="224" t="s">
        <v>2</v>
      </c>
      <c r="F15888" s="515" t="s">
        <v>17064</v>
      </c>
      <c r="G15888" s="52">
        <v>164753.15981651301</v>
      </c>
      <c r="H15888" s="56">
        <v>2.884678037782101E-2</v>
      </c>
      <c r="I15888" s="224" t="s">
        <v>2</v>
      </c>
    </row>
    <row r="15889" spans="1:9" x14ac:dyDescent="0.25">
      <c r="A15889" s="515">
        <v>45120</v>
      </c>
      <c r="B15889" s="515" t="s">
        <v>344</v>
      </c>
      <c r="C15889" s="52">
        <v>176361.389820312</v>
      </c>
      <c r="D15889" s="56">
        <v>7.3033652695940476E-2</v>
      </c>
      <c r="E15889" s="224" t="s">
        <v>2</v>
      </c>
      <c r="F15889" s="515" t="s">
        <v>17065</v>
      </c>
      <c r="G15889" s="52">
        <v>156869.45283402101</v>
      </c>
      <c r="H15889" s="56">
        <v>0.11098392960156335</v>
      </c>
      <c r="I15889" s="224" t="s">
        <v>2</v>
      </c>
    </row>
    <row r="15890" spans="1:9" x14ac:dyDescent="0.25">
      <c r="A15890" s="515">
        <v>70079</v>
      </c>
      <c r="B15890" s="515" t="s">
        <v>777</v>
      </c>
      <c r="C15890" s="52">
        <v>187417.774111059</v>
      </c>
      <c r="D15890" s="56">
        <v>-2.4230209563893226E-2</v>
      </c>
      <c r="E15890" s="224" t="s">
        <v>2</v>
      </c>
      <c r="F15890" s="515" t="s">
        <v>17066</v>
      </c>
      <c r="G15890" s="52">
        <v>201068.37054781499</v>
      </c>
      <c r="H15890" s="56">
        <v>6.5128460025395032E-2</v>
      </c>
      <c r="I15890" s="224" t="s">
        <v>2</v>
      </c>
    </row>
    <row r="15891" spans="1:9" x14ac:dyDescent="0.25">
      <c r="A15891" s="515">
        <v>47598</v>
      </c>
      <c r="B15891" s="515" t="s">
        <v>544</v>
      </c>
      <c r="C15891" s="52">
        <v>132117.64333677801</v>
      </c>
      <c r="D15891" s="56">
        <v>5.6457267694343116E-2</v>
      </c>
      <c r="E15891" s="224" t="s">
        <v>2</v>
      </c>
      <c r="F15891" s="515" t="s">
        <v>17067</v>
      </c>
      <c r="G15891" s="52">
        <v>132515.98576296601</v>
      </c>
      <c r="H15891" s="56">
        <v>3.826102545411024E-2</v>
      </c>
      <c r="I15891" s="224" t="s">
        <v>2</v>
      </c>
    </row>
    <row r="15892" spans="1:9" x14ac:dyDescent="0.25">
      <c r="A15892" s="515">
        <v>21561</v>
      </c>
      <c r="C15892" s="52">
        <v>528850.87650157104</v>
      </c>
      <c r="D15892" s="56">
        <v>5.5665167691897589E-2</v>
      </c>
      <c r="E15892" s="224" t="s">
        <v>2</v>
      </c>
      <c r="F15892" s="515" t="s">
        <v>17068</v>
      </c>
      <c r="G15892" s="52">
        <v>395998.36674103898</v>
      </c>
      <c r="H15892" s="56">
        <v>0.10447935003418934</v>
      </c>
      <c r="I15892" s="224" t="s">
        <v>2</v>
      </c>
    </row>
    <row r="15893" spans="1:9" x14ac:dyDescent="0.25">
      <c r="A15893" s="515">
        <v>59821</v>
      </c>
      <c r="C15893" s="52">
        <v>469505.83564216201</v>
      </c>
      <c r="D15893" s="56">
        <v>0.10954731994477555</v>
      </c>
      <c r="E15893" s="224" t="s">
        <v>2</v>
      </c>
      <c r="F15893" s="515" t="s">
        <v>17069</v>
      </c>
      <c r="G15893" s="52">
        <v>57341.553143978999</v>
      </c>
      <c r="H15893" s="56">
        <v>5.6940371994259435E-2</v>
      </c>
      <c r="I15893" s="224" t="s">
        <v>2</v>
      </c>
    </row>
    <row r="15894" spans="1:9" x14ac:dyDescent="0.25">
      <c r="A15894" s="515">
        <v>56762</v>
      </c>
      <c r="C15894" s="52">
        <v>171349.57362126501</v>
      </c>
      <c r="D15894" s="56">
        <v>5.4226771172056565E-3</v>
      </c>
      <c r="E15894" s="224" t="s">
        <v>2</v>
      </c>
      <c r="F15894" s="515" t="s">
        <v>17070</v>
      </c>
      <c r="G15894" s="52">
        <v>213109.80275109501</v>
      </c>
      <c r="H15894" s="56">
        <v>0</v>
      </c>
      <c r="I15894" s="224" t="s">
        <v>2</v>
      </c>
    </row>
    <row r="15895" spans="1:9" x14ac:dyDescent="0.25">
      <c r="A15895" s="515">
        <v>49908</v>
      </c>
      <c r="C15895" s="52">
        <v>135580.617257287</v>
      </c>
      <c r="D15895" s="56">
        <v>9.2427950828437772E-2</v>
      </c>
      <c r="E15895" s="224" t="s">
        <v>2</v>
      </c>
      <c r="F15895" s="515" t="s">
        <v>17071</v>
      </c>
      <c r="G15895" s="52">
        <v>111216.58245792599</v>
      </c>
      <c r="H15895" s="56">
        <v>0.12649097429566372</v>
      </c>
      <c r="I15895" s="224" t="s">
        <v>2</v>
      </c>
    </row>
    <row r="15896" spans="1:9" x14ac:dyDescent="0.25">
      <c r="A15896" s="515">
        <v>23922</v>
      </c>
      <c r="C15896" s="52">
        <v>139516.29247453201</v>
      </c>
      <c r="D15896" s="56">
        <v>0.15520292615969564</v>
      </c>
      <c r="E15896" s="224" t="s">
        <v>2</v>
      </c>
      <c r="F15896" s="515" t="s">
        <v>17072</v>
      </c>
      <c r="G15896" s="52">
        <v>350673.26998118102</v>
      </c>
      <c r="H15896" s="56">
        <v>0</v>
      </c>
      <c r="I15896" s="224" t="s">
        <v>2</v>
      </c>
    </row>
    <row r="15897" spans="1:9" x14ac:dyDescent="0.25">
      <c r="A15897" s="515">
        <v>40935</v>
      </c>
      <c r="B15897" s="515" t="s">
        <v>633</v>
      </c>
      <c r="C15897" s="52">
        <v>113900.16890079901</v>
      </c>
      <c r="D15897" s="56">
        <v>0.20568803835678648</v>
      </c>
      <c r="E15897" s="224" t="s">
        <v>2</v>
      </c>
      <c r="F15897" s="515" t="s">
        <v>17073</v>
      </c>
      <c r="G15897" s="52">
        <v>53289.826559942201</v>
      </c>
      <c r="H15897" s="56">
        <v>0.21231842827982764</v>
      </c>
      <c r="I15897" s="224" t="s">
        <v>2</v>
      </c>
    </row>
    <row r="15898" spans="1:9" x14ac:dyDescent="0.25">
      <c r="A15898" s="515">
        <v>53049</v>
      </c>
      <c r="B15898" s="515" t="s">
        <v>987</v>
      </c>
      <c r="C15898" s="52">
        <v>278686.34578868502</v>
      </c>
      <c r="D15898" s="56">
        <v>5.7243068462747827E-2</v>
      </c>
      <c r="E15898" s="224" t="s">
        <v>2</v>
      </c>
      <c r="F15898" s="515" t="s">
        <v>17074</v>
      </c>
      <c r="G15898" s="52">
        <v>168635.637254901</v>
      </c>
      <c r="H15898" s="56">
        <v>0</v>
      </c>
      <c r="I15898" s="224" t="s">
        <v>2</v>
      </c>
    </row>
    <row r="15899" spans="1:9" x14ac:dyDescent="0.25">
      <c r="A15899" s="515">
        <v>62888</v>
      </c>
      <c r="C15899" s="52">
        <v>73150.5223164169</v>
      </c>
      <c r="D15899" s="56">
        <v>1.7665957674133405E-2</v>
      </c>
      <c r="E15899" s="224" t="s">
        <v>2</v>
      </c>
      <c r="F15899" s="515" t="s">
        <v>17075</v>
      </c>
      <c r="G15899" s="52">
        <v>143032.98427427601</v>
      </c>
      <c r="H15899" s="56">
        <v>0.1396582114864717</v>
      </c>
      <c r="I15899" s="224" t="s">
        <v>2</v>
      </c>
    </row>
    <row r="15900" spans="1:9" x14ac:dyDescent="0.25">
      <c r="A15900" s="515">
        <v>65074</v>
      </c>
      <c r="B15900" s="515" t="s">
        <v>711</v>
      </c>
      <c r="C15900" s="52">
        <v>228962.97988710299</v>
      </c>
      <c r="D15900" s="56">
        <v>0.19861454667859482</v>
      </c>
      <c r="E15900" s="224" t="s">
        <v>2</v>
      </c>
      <c r="F15900" s="515" t="s">
        <v>17076</v>
      </c>
      <c r="G15900" s="52">
        <v>184021.962734614</v>
      </c>
      <c r="H15900" s="56">
        <v>0</v>
      </c>
      <c r="I15900" s="224" t="s">
        <v>2</v>
      </c>
    </row>
    <row r="15901" spans="1:9" x14ac:dyDescent="0.25">
      <c r="A15901" s="515">
        <v>55375</v>
      </c>
      <c r="B15901" s="515" t="s">
        <v>532</v>
      </c>
      <c r="C15901" s="52">
        <v>408206.37884360499</v>
      </c>
      <c r="D15901" s="56">
        <v>1.6607404716591299E-2</v>
      </c>
      <c r="E15901" s="224" t="s">
        <v>2</v>
      </c>
      <c r="F15901" s="515" t="s">
        <v>17077</v>
      </c>
      <c r="G15901" s="52">
        <v>121233.696067044</v>
      </c>
      <c r="H15901" s="56">
        <v>0.24626532830705861</v>
      </c>
      <c r="I15901" s="224" t="s">
        <v>2</v>
      </c>
    </row>
    <row r="15902" spans="1:9" x14ac:dyDescent="0.25">
      <c r="A15902" s="515">
        <v>46128</v>
      </c>
      <c r="B15902" s="515" t="s">
        <v>403</v>
      </c>
      <c r="C15902" s="52">
        <v>245561.55732555801</v>
      </c>
      <c r="D15902" s="56">
        <v>8.7143651163103159E-2</v>
      </c>
      <c r="E15902" s="224" t="s">
        <v>2</v>
      </c>
      <c r="F15902" s="515" t="s">
        <v>17078</v>
      </c>
      <c r="G15902" s="52">
        <v>196391.112332416</v>
      </c>
      <c r="H15902" s="56">
        <v>0.12253507603715316</v>
      </c>
      <c r="I15902" s="224" t="s">
        <v>2</v>
      </c>
    </row>
    <row r="15903" spans="1:9" x14ac:dyDescent="0.25">
      <c r="A15903" s="515">
        <v>44637</v>
      </c>
      <c r="C15903" s="52">
        <v>185646.98016430699</v>
      </c>
      <c r="D15903" s="56">
        <v>7.6808071724631E-2</v>
      </c>
      <c r="E15903" s="224" t="s">
        <v>2</v>
      </c>
      <c r="F15903" s="515" t="s">
        <v>17079</v>
      </c>
      <c r="G15903" s="52">
        <v>105793.369737685</v>
      </c>
      <c r="H15903" s="56">
        <v>1.110766377122345E-2</v>
      </c>
      <c r="I15903" s="224" t="s">
        <v>2</v>
      </c>
    </row>
    <row r="15904" spans="1:9" x14ac:dyDescent="0.25">
      <c r="A15904" s="515">
        <v>3585</v>
      </c>
      <c r="B15904" s="515" t="s">
        <v>420</v>
      </c>
      <c r="C15904" s="52">
        <v>259959.93546941801</v>
      </c>
      <c r="D15904" s="56">
        <v>0.17548868790585348</v>
      </c>
      <c r="E15904" s="224" t="s">
        <v>2</v>
      </c>
      <c r="F15904" s="515" t="s">
        <v>17080</v>
      </c>
      <c r="G15904" s="52">
        <v>125165.35863236499</v>
      </c>
      <c r="H15904" s="56">
        <v>8.4604007033861534E-2</v>
      </c>
      <c r="I15904" s="224" t="s">
        <v>2</v>
      </c>
    </row>
    <row r="15905" spans="1:9" x14ac:dyDescent="0.25">
      <c r="A15905" s="515">
        <v>78941</v>
      </c>
      <c r="C15905" s="52">
        <v>377963.692372864</v>
      </c>
      <c r="D15905" s="56">
        <v>5.5643936906249365E-2</v>
      </c>
      <c r="E15905" s="224" t="s">
        <v>2</v>
      </c>
      <c r="F15905" s="515" t="s">
        <v>17081</v>
      </c>
      <c r="G15905" s="52">
        <v>82487.305128795895</v>
      </c>
      <c r="H15905" s="56">
        <v>0.24644271853830452</v>
      </c>
      <c r="I15905" s="224" t="s">
        <v>2</v>
      </c>
    </row>
    <row r="15906" spans="1:9" x14ac:dyDescent="0.25">
      <c r="A15906" s="515">
        <v>97358</v>
      </c>
      <c r="B15906" s="515" t="s">
        <v>416</v>
      </c>
      <c r="C15906" s="52">
        <v>449041.72211426398</v>
      </c>
      <c r="D15906" s="56">
        <v>4.252361666882834E-2</v>
      </c>
      <c r="E15906" s="224" t="s">
        <v>2</v>
      </c>
      <c r="F15906" s="515" t="s">
        <v>17082</v>
      </c>
      <c r="G15906" s="52">
        <v>149172.38502415299</v>
      </c>
      <c r="H15906" s="56">
        <v>-6.6560320899082771E-3</v>
      </c>
      <c r="I15906" s="224" t="s">
        <v>2</v>
      </c>
    </row>
    <row r="15907" spans="1:9" x14ac:dyDescent="0.25">
      <c r="A15907" s="515">
        <v>33827</v>
      </c>
      <c r="B15907" s="515" t="s">
        <v>359</v>
      </c>
      <c r="C15907" s="52">
        <v>282224.33898523299</v>
      </c>
      <c r="D15907" s="56">
        <v>0.14596841153993101</v>
      </c>
      <c r="E15907" s="224" t="s">
        <v>2</v>
      </c>
      <c r="F15907" s="515" t="s">
        <v>17083</v>
      </c>
      <c r="G15907" s="52">
        <v>107933.938271604</v>
      </c>
      <c r="H15907" s="56">
        <v>0</v>
      </c>
      <c r="I15907" s="224" t="s">
        <v>2</v>
      </c>
    </row>
    <row r="15908" spans="1:9" x14ac:dyDescent="0.25">
      <c r="A15908" s="515">
        <v>14521</v>
      </c>
      <c r="B15908" s="515" t="s">
        <v>1032</v>
      </c>
      <c r="C15908" s="52">
        <v>186095.79883346599</v>
      </c>
      <c r="D15908" s="56">
        <v>6.8690033352266922E-2</v>
      </c>
      <c r="E15908" s="224" t="s">
        <v>2</v>
      </c>
      <c r="F15908" s="515" t="s">
        <v>17084</v>
      </c>
      <c r="G15908" s="52">
        <v>185393.43617922699</v>
      </c>
      <c r="H15908" s="56">
        <v>4.1330317654041049E-2</v>
      </c>
      <c r="I15908" s="224" t="s">
        <v>2</v>
      </c>
    </row>
    <row r="15909" spans="1:9" x14ac:dyDescent="0.25">
      <c r="A15909" s="515">
        <v>55074</v>
      </c>
      <c r="B15909" s="515" t="s">
        <v>532</v>
      </c>
      <c r="C15909" s="52">
        <v>310619.88837984297</v>
      </c>
      <c r="D15909" s="56">
        <v>3.0339588015677127E-2</v>
      </c>
      <c r="E15909" s="224" t="s">
        <v>2</v>
      </c>
      <c r="F15909" s="515" t="s">
        <v>17085</v>
      </c>
      <c r="G15909" s="52">
        <v>265612.218427999</v>
      </c>
      <c r="H15909" s="56">
        <v>8.1483136228121852E-2</v>
      </c>
      <c r="I15909" s="224" t="s">
        <v>2</v>
      </c>
    </row>
    <row r="15910" spans="1:9" x14ac:dyDescent="0.25">
      <c r="A15910" s="515">
        <v>92004</v>
      </c>
      <c r="B15910" s="515" t="s">
        <v>621</v>
      </c>
      <c r="C15910" s="52">
        <v>337380.92430420499</v>
      </c>
      <c r="D15910" s="56">
        <v>8.0356145569949633E-2</v>
      </c>
      <c r="E15910" s="224" t="s">
        <v>2</v>
      </c>
      <c r="F15910" s="515" t="s">
        <v>17086</v>
      </c>
      <c r="G15910" s="52">
        <v>194519.618580273</v>
      </c>
      <c r="H15910" s="56">
        <v>5.1954073383045897E-2</v>
      </c>
      <c r="I15910" s="224" t="s">
        <v>2</v>
      </c>
    </row>
    <row r="15911" spans="1:9" x14ac:dyDescent="0.25">
      <c r="A15911" s="515">
        <v>81639</v>
      </c>
      <c r="B15911" s="515" t="s">
        <v>536</v>
      </c>
      <c r="C15911" s="52">
        <v>450709.09497575299</v>
      </c>
      <c r="D15911" s="56">
        <v>0.10456267151319566</v>
      </c>
      <c r="E15911" s="224" t="s">
        <v>2</v>
      </c>
      <c r="F15911" s="515" t="s">
        <v>17087</v>
      </c>
      <c r="G15911" s="52">
        <v>438404.52124435798</v>
      </c>
      <c r="H15911" s="56">
        <v>0.10324365423825291</v>
      </c>
      <c r="I15911" s="224" t="s">
        <v>2</v>
      </c>
    </row>
    <row r="15912" spans="1:9" x14ac:dyDescent="0.25">
      <c r="A15912" s="515">
        <v>98640</v>
      </c>
      <c r="C15912" s="52">
        <v>314704.47902873502</v>
      </c>
      <c r="D15912" s="56">
        <v>3.9440881524763299E-2</v>
      </c>
      <c r="E15912" s="224" t="s">
        <v>2</v>
      </c>
      <c r="F15912" s="515" t="s">
        <v>17088</v>
      </c>
      <c r="G15912" s="52">
        <v>680743.61580800998</v>
      </c>
      <c r="H15912" s="56">
        <v>0.10711642171057731</v>
      </c>
      <c r="I15912" s="224" t="s">
        <v>2</v>
      </c>
    </row>
    <row r="15913" spans="1:9" x14ac:dyDescent="0.25">
      <c r="A15913" s="515">
        <v>10596</v>
      </c>
      <c r="B15913" s="515" t="s">
        <v>324</v>
      </c>
      <c r="C15913" s="52">
        <v>410585.24746639602</v>
      </c>
      <c r="D15913" s="56">
        <v>-1.3793662337948286E-2</v>
      </c>
      <c r="E15913" s="224" t="s">
        <v>2</v>
      </c>
      <c r="F15913" s="515" t="s">
        <v>17089</v>
      </c>
      <c r="G15913" s="52">
        <v>182153.18760494699</v>
      </c>
      <c r="H15913" s="56">
        <v>4.5127488589331979E-2</v>
      </c>
      <c r="I15913" s="224" t="s">
        <v>2</v>
      </c>
    </row>
    <row r="15914" spans="1:9" x14ac:dyDescent="0.25">
      <c r="A15914" s="515">
        <v>97875</v>
      </c>
      <c r="B15914" s="515" t="s">
        <v>733</v>
      </c>
      <c r="C15914" s="52">
        <v>252483.91058538499</v>
      </c>
      <c r="D15914" s="56">
        <v>6.0357603440437911E-2</v>
      </c>
      <c r="E15914" s="224" t="s">
        <v>2</v>
      </c>
      <c r="F15914" s="515" t="s">
        <v>17090</v>
      </c>
      <c r="G15914" s="52">
        <v>94891.171374923593</v>
      </c>
      <c r="H15914" s="56">
        <v>0</v>
      </c>
      <c r="I15914" s="224" t="s">
        <v>2</v>
      </c>
    </row>
    <row r="15915" spans="1:9" x14ac:dyDescent="0.25">
      <c r="A15915" s="515">
        <v>31805</v>
      </c>
      <c r="B15915" s="515" t="s">
        <v>778</v>
      </c>
      <c r="C15915" s="52">
        <v>88524.488734564293</v>
      </c>
      <c r="D15915" s="56">
        <v>-4.2214292999195845E-2</v>
      </c>
      <c r="E15915" s="224" t="s">
        <v>2</v>
      </c>
      <c r="F15915" s="515" t="s">
        <v>17091</v>
      </c>
      <c r="G15915" s="52">
        <v>288672.57059344603</v>
      </c>
      <c r="H15915" s="56">
        <v>0.13564343240502558</v>
      </c>
      <c r="I15915" s="224" t="s">
        <v>2</v>
      </c>
    </row>
    <row r="15916" spans="1:9" x14ac:dyDescent="0.25">
      <c r="A15916" s="515">
        <v>88415</v>
      </c>
      <c r="C15916" s="52">
        <v>90398.075933364598</v>
      </c>
      <c r="D15916" s="56">
        <v>2.2839383149614111E-2</v>
      </c>
      <c r="E15916" s="224" t="s">
        <v>2</v>
      </c>
      <c r="F15916" s="515" t="s">
        <v>17092</v>
      </c>
      <c r="G15916" s="52">
        <v>546886.27265514096</v>
      </c>
      <c r="H15916" s="56">
        <v>3.1769243874429205E-2</v>
      </c>
      <c r="I15916" s="224" t="s">
        <v>2</v>
      </c>
    </row>
    <row r="15917" spans="1:9" x14ac:dyDescent="0.25">
      <c r="A15917" s="515">
        <v>68739</v>
      </c>
      <c r="C15917" s="52">
        <v>222120.07283084001</v>
      </c>
      <c r="D15917" s="56">
        <v>9.2310626232760054E-2</v>
      </c>
      <c r="E15917" s="224" t="s">
        <v>2</v>
      </c>
      <c r="F15917" s="515" t="s">
        <v>17093</v>
      </c>
      <c r="G15917" s="52">
        <v>418557.83681586501</v>
      </c>
      <c r="H15917" s="56">
        <v>8.203576874731984E-2</v>
      </c>
      <c r="I15917" s="224" t="s">
        <v>2</v>
      </c>
    </row>
    <row r="15918" spans="1:9" x14ac:dyDescent="0.25">
      <c r="A15918" s="515">
        <v>61273</v>
      </c>
      <c r="B15918" s="515" t="s">
        <v>439</v>
      </c>
      <c r="C15918" s="52">
        <v>177740.776738421</v>
      </c>
      <c r="D15918" s="56">
        <v>9.1086166752924136E-2</v>
      </c>
      <c r="E15918" s="224" t="s">
        <v>2</v>
      </c>
      <c r="F15918" s="515" t="s">
        <v>17094</v>
      </c>
      <c r="G15918" s="52">
        <v>150088.78064516099</v>
      </c>
      <c r="H15918" s="56">
        <v>0</v>
      </c>
      <c r="I15918" s="224" t="s">
        <v>2</v>
      </c>
    </row>
    <row r="15919" spans="1:9" x14ac:dyDescent="0.25">
      <c r="A15919" s="515">
        <v>26362</v>
      </c>
      <c r="C15919" s="52">
        <v>118201.366041566</v>
      </c>
      <c r="D15919" s="56">
        <v>6.8173050974655688E-2</v>
      </c>
      <c r="E15919" s="224" t="s">
        <v>2</v>
      </c>
      <c r="F15919" s="515" t="s">
        <v>17095</v>
      </c>
      <c r="G15919" s="52">
        <v>198201.42084414</v>
      </c>
      <c r="H15919" s="56">
        <v>5.8083733091715557E-2</v>
      </c>
      <c r="I15919" s="224" t="s">
        <v>2</v>
      </c>
    </row>
    <row r="15920" spans="1:9" x14ac:dyDescent="0.25">
      <c r="A15920" s="515">
        <v>44847</v>
      </c>
      <c r="B15920" s="515" t="s">
        <v>1050</v>
      </c>
      <c r="C15920" s="52">
        <v>166209.302440498</v>
      </c>
      <c r="D15920" s="56">
        <v>6.445449146435879E-2</v>
      </c>
      <c r="E15920" s="224" t="s">
        <v>2</v>
      </c>
      <c r="F15920" s="515" t="s">
        <v>17096</v>
      </c>
      <c r="G15920" s="52">
        <v>132225.279942822</v>
      </c>
      <c r="H15920" s="56">
        <v>7.6880641193730906E-2</v>
      </c>
      <c r="I15920" s="224" t="s">
        <v>2</v>
      </c>
    </row>
    <row r="15921" spans="1:9" x14ac:dyDescent="0.25">
      <c r="A15921" s="515">
        <v>2635</v>
      </c>
      <c r="B15921" s="515" t="s">
        <v>427</v>
      </c>
      <c r="C15921" s="52">
        <v>735542.44650971098</v>
      </c>
      <c r="D15921" s="56">
        <v>0.11275552336704198</v>
      </c>
      <c r="E15921" s="224" t="s">
        <v>2</v>
      </c>
      <c r="F15921" s="515" t="s">
        <v>17097</v>
      </c>
      <c r="G15921" s="52">
        <v>71173.693193034604</v>
      </c>
      <c r="H15921" s="56">
        <v>0</v>
      </c>
      <c r="I15921" s="224" t="s">
        <v>2</v>
      </c>
    </row>
    <row r="15922" spans="1:9" x14ac:dyDescent="0.25">
      <c r="A15922" s="515">
        <v>10926</v>
      </c>
      <c r="B15922" s="515" t="s">
        <v>529</v>
      </c>
      <c r="C15922" s="52">
        <v>309276.38144985097</v>
      </c>
      <c r="D15922" s="56">
        <v>6.1235681917346359E-2</v>
      </c>
      <c r="E15922" s="224" t="s">
        <v>2</v>
      </c>
      <c r="F15922" s="515" t="s">
        <v>17098</v>
      </c>
      <c r="G15922" s="52">
        <v>135863.608502833</v>
      </c>
      <c r="H15922" s="56">
        <v>2.7114445890069287E-2</v>
      </c>
      <c r="I15922" s="224" t="s">
        <v>2</v>
      </c>
    </row>
    <row r="15923" spans="1:9" x14ac:dyDescent="0.25">
      <c r="A15923" s="515">
        <v>62664</v>
      </c>
      <c r="C15923" s="52">
        <v>84925.3550641576</v>
      </c>
      <c r="D15923" s="56">
        <v>-3.3133701496726696E-2</v>
      </c>
      <c r="E15923" s="224" t="s">
        <v>2</v>
      </c>
      <c r="F15923" s="515" t="s">
        <v>17099</v>
      </c>
      <c r="G15923" s="52">
        <v>142278.82598615199</v>
      </c>
      <c r="H15923" s="56">
        <v>0.17825960613807487</v>
      </c>
      <c r="I15923" s="224" t="s">
        <v>2</v>
      </c>
    </row>
    <row r="15924" spans="1:9" x14ac:dyDescent="0.25">
      <c r="A15924" s="515">
        <v>42635</v>
      </c>
      <c r="C15924" s="52">
        <v>88920.3135988719</v>
      </c>
      <c r="D15924" s="56">
        <v>0.29756967961652675</v>
      </c>
      <c r="E15924" s="224" t="s">
        <v>2</v>
      </c>
      <c r="F15924" s="515" t="s">
        <v>17100</v>
      </c>
      <c r="G15924" s="52">
        <v>213484.95833424799</v>
      </c>
      <c r="H15924" s="56">
        <v>3.8612884775510149E-2</v>
      </c>
      <c r="I15924" s="224" t="s">
        <v>2</v>
      </c>
    </row>
    <row r="15925" spans="1:9" x14ac:dyDescent="0.25">
      <c r="A15925" s="515">
        <v>60476</v>
      </c>
      <c r="B15925" s="515" t="s">
        <v>394</v>
      </c>
      <c r="C15925" s="52">
        <v>154788.144777059</v>
      </c>
      <c r="D15925" s="56">
        <v>6.4166782121062443E-2</v>
      </c>
      <c r="E15925" s="224" t="s">
        <v>2</v>
      </c>
      <c r="F15925" s="515" t="s">
        <v>17101</v>
      </c>
      <c r="G15925" s="52">
        <v>129061.833807011</v>
      </c>
      <c r="H15925" s="56">
        <v>-1.8115055795230244E-2</v>
      </c>
      <c r="I15925" s="224" t="s">
        <v>2</v>
      </c>
    </row>
    <row r="15926" spans="1:9" x14ac:dyDescent="0.25">
      <c r="A15926" s="515">
        <v>76534</v>
      </c>
      <c r="B15926" s="515" t="s">
        <v>859</v>
      </c>
      <c r="C15926" s="52">
        <v>282717.24631058302</v>
      </c>
      <c r="D15926" s="56">
        <v>7.4237233576103456E-2</v>
      </c>
      <c r="E15926" s="224" t="s">
        <v>2</v>
      </c>
      <c r="F15926" s="515" t="s">
        <v>17102</v>
      </c>
      <c r="G15926" s="52">
        <v>113081.14935321599</v>
      </c>
      <c r="H15926" s="56">
        <v>0.12969961071294864</v>
      </c>
      <c r="I15926" s="224" t="s">
        <v>2</v>
      </c>
    </row>
    <row r="15927" spans="1:9" x14ac:dyDescent="0.25">
      <c r="A15927" s="515">
        <v>39338</v>
      </c>
      <c r="B15927" s="515" t="s">
        <v>793</v>
      </c>
      <c r="C15927" s="52">
        <v>117851.129242771</v>
      </c>
      <c r="D15927" s="56">
        <v>-9.5263853170417717E-2</v>
      </c>
      <c r="E15927" s="224" t="s">
        <v>2</v>
      </c>
      <c r="F15927" s="515" t="s">
        <v>17103</v>
      </c>
      <c r="G15927" s="52">
        <v>377701.59951011901</v>
      </c>
      <c r="H15927" s="56">
        <v>9.5927066816722251E-2</v>
      </c>
      <c r="I15927" s="224" t="s">
        <v>2</v>
      </c>
    </row>
    <row r="15928" spans="1:9" x14ac:dyDescent="0.25">
      <c r="A15928" s="515">
        <v>30410</v>
      </c>
      <c r="B15928" s="515" t="s">
        <v>1134</v>
      </c>
      <c r="C15928" s="52">
        <v>163279.651356296</v>
      </c>
      <c r="D15928" s="56">
        <v>1.1092915797810641E-2</v>
      </c>
      <c r="E15928" s="224" t="s">
        <v>2</v>
      </c>
      <c r="F15928" s="515" t="s">
        <v>17104</v>
      </c>
      <c r="G15928" s="52">
        <v>276407.57171782799</v>
      </c>
      <c r="H15928" s="56">
        <v>0.17248895832686056</v>
      </c>
      <c r="I15928" s="224" t="s">
        <v>2</v>
      </c>
    </row>
    <row r="15929" spans="1:9" x14ac:dyDescent="0.25">
      <c r="A15929" s="515">
        <v>28167</v>
      </c>
      <c r="B15929" s="515" t="s">
        <v>1128</v>
      </c>
      <c r="C15929" s="52">
        <v>197639.96813452701</v>
      </c>
      <c r="D15929" s="56">
        <v>0.16455481768502289</v>
      </c>
      <c r="E15929" s="224" t="s">
        <v>2</v>
      </c>
      <c r="F15929" s="515" t="s">
        <v>17105</v>
      </c>
      <c r="G15929" s="52">
        <v>167403.04666912</v>
      </c>
      <c r="H15929" s="56">
        <v>0.12114467118829073</v>
      </c>
      <c r="I15929" s="224" t="s">
        <v>2</v>
      </c>
    </row>
    <row r="15930" spans="1:9" x14ac:dyDescent="0.25">
      <c r="A15930" s="515">
        <v>50450</v>
      </c>
      <c r="C15930" s="52">
        <v>138911.56223047301</v>
      </c>
      <c r="D15930" s="56">
        <v>7.8932873673789122E-2</v>
      </c>
      <c r="E15930" s="224" t="s">
        <v>2</v>
      </c>
      <c r="F15930" s="515" t="s">
        <v>17106</v>
      </c>
      <c r="G15930" s="52">
        <v>127606.03233378399</v>
      </c>
      <c r="H15930" s="56">
        <v>9.8392100106388866E-2</v>
      </c>
      <c r="I15930" s="224" t="s">
        <v>2</v>
      </c>
    </row>
    <row r="15931" spans="1:9" x14ac:dyDescent="0.25">
      <c r="A15931" s="515">
        <v>95445</v>
      </c>
      <c r="B15931" s="515" t="s">
        <v>644</v>
      </c>
      <c r="C15931" s="52">
        <v>577139.55821113102</v>
      </c>
      <c r="D15931" s="56">
        <v>-6.0208159108775763E-2</v>
      </c>
      <c r="E15931" s="224" t="s">
        <v>2</v>
      </c>
      <c r="F15931" s="515" t="s">
        <v>17107</v>
      </c>
      <c r="G15931" s="52">
        <v>898124.86010477901</v>
      </c>
      <c r="H15931" s="56">
        <v>-4.7893474225951596E-2</v>
      </c>
      <c r="I15931" s="224" t="s">
        <v>2</v>
      </c>
    </row>
    <row r="15932" spans="1:9" x14ac:dyDescent="0.25">
      <c r="A15932" s="515">
        <v>72738</v>
      </c>
      <c r="B15932" s="515" t="s">
        <v>675</v>
      </c>
      <c r="C15932" s="52">
        <v>265867.68196066498</v>
      </c>
      <c r="D15932" s="56">
        <v>0.13806821588460566</v>
      </c>
      <c r="E15932" s="224" t="s">
        <v>2</v>
      </c>
      <c r="F15932" s="515" t="s">
        <v>17108</v>
      </c>
      <c r="G15932" s="52">
        <v>139640.030424867</v>
      </c>
      <c r="H15932" s="56">
        <v>8.4551163181551772E-2</v>
      </c>
      <c r="I15932" s="224" t="s">
        <v>2</v>
      </c>
    </row>
    <row r="15933" spans="1:9" x14ac:dyDescent="0.25">
      <c r="A15933" s="515">
        <v>48427</v>
      </c>
      <c r="C15933" s="52">
        <v>156899.61459988501</v>
      </c>
      <c r="D15933" s="56">
        <v>-2.0200780592726671E-2</v>
      </c>
      <c r="E15933" s="224" t="s">
        <v>2</v>
      </c>
      <c r="F15933" s="515" t="s">
        <v>17109</v>
      </c>
      <c r="G15933" s="52">
        <v>125838.61911135299</v>
      </c>
      <c r="H15933" s="56">
        <v>2.5825392920794821E-2</v>
      </c>
      <c r="I15933" s="224" t="s">
        <v>2</v>
      </c>
    </row>
    <row r="15934" spans="1:9" x14ac:dyDescent="0.25">
      <c r="A15934" s="515">
        <v>55001</v>
      </c>
      <c r="B15934" s="515" t="s">
        <v>532</v>
      </c>
      <c r="C15934" s="52">
        <v>635054.17612183501</v>
      </c>
      <c r="D15934" s="56">
        <v>5.965087578065522E-2</v>
      </c>
      <c r="E15934" s="224" t="s">
        <v>2</v>
      </c>
      <c r="F15934" s="515" t="s">
        <v>17110</v>
      </c>
      <c r="G15934" s="52">
        <v>221776.077919968</v>
      </c>
      <c r="H15934" s="56">
        <v>0.10029738857876144</v>
      </c>
      <c r="I15934" s="224" t="s">
        <v>2</v>
      </c>
    </row>
    <row r="15935" spans="1:9" x14ac:dyDescent="0.25">
      <c r="A15935" s="515">
        <v>75571</v>
      </c>
      <c r="C15935" s="52">
        <v>151221.85569174</v>
      </c>
      <c r="D15935" s="56">
        <v>-6.1543969171804956E-2</v>
      </c>
      <c r="E15935" s="224" t="s">
        <v>2</v>
      </c>
      <c r="F15935" s="515" t="s">
        <v>17111</v>
      </c>
      <c r="G15935" s="52">
        <v>188730.97624172599</v>
      </c>
      <c r="H15935" s="56">
        <v>5.8454201315124389E-2</v>
      </c>
      <c r="I15935" s="224" t="s">
        <v>2</v>
      </c>
    </row>
    <row r="15936" spans="1:9" x14ac:dyDescent="0.25">
      <c r="A15936" s="515">
        <v>15909</v>
      </c>
      <c r="B15936" s="515" t="s">
        <v>828</v>
      </c>
      <c r="C15936" s="52">
        <v>79904.623814750899</v>
      </c>
      <c r="D15936" s="56">
        <v>-4.1177521571978945E-2</v>
      </c>
      <c r="E15936" s="224" t="s">
        <v>2</v>
      </c>
      <c r="F15936" s="515" t="s">
        <v>17112</v>
      </c>
      <c r="G15936" s="52">
        <v>132017.010968249</v>
      </c>
      <c r="H15936" s="56">
        <v>5.1853851248780718E-2</v>
      </c>
      <c r="I15936" s="224" t="s">
        <v>2</v>
      </c>
    </row>
    <row r="15937" spans="1:9" x14ac:dyDescent="0.25">
      <c r="A15937" s="515">
        <v>4428</v>
      </c>
      <c r="B15937" s="515" t="s">
        <v>792</v>
      </c>
      <c r="C15937" s="52">
        <v>245997.873114324</v>
      </c>
      <c r="D15937" s="56">
        <v>6.633526984221258E-2</v>
      </c>
      <c r="E15937" s="224" t="s">
        <v>2</v>
      </c>
      <c r="F15937" s="515" t="s">
        <v>17113</v>
      </c>
      <c r="G15937" s="52">
        <v>125294.42476568</v>
      </c>
      <c r="H15937" s="56">
        <v>0.15538247400904953</v>
      </c>
      <c r="I15937" s="224" t="s">
        <v>2</v>
      </c>
    </row>
    <row r="15938" spans="1:9" x14ac:dyDescent="0.25">
      <c r="A15938" s="515">
        <v>78010</v>
      </c>
      <c r="B15938" s="515" t="s">
        <v>1105</v>
      </c>
      <c r="C15938" s="52">
        <v>358186.22780172498</v>
      </c>
      <c r="D15938" s="56">
        <v>2.3794182557794578E-2</v>
      </c>
      <c r="E15938" s="224" t="s">
        <v>2</v>
      </c>
      <c r="F15938" s="515" t="s">
        <v>17114</v>
      </c>
      <c r="G15938" s="52">
        <v>218876.504725037</v>
      </c>
      <c r="H15938" s="56">
        <v>0.11213672937024262</v>
      </c>
      <c r="I15938" s="224" t="s">
        <v>2</v>
      </c>
    </row>
    <row r="15939" spans="1:9" x14ac:dyDescent="0.25">
      <c r="A15939" s="515">
        <v>44401</v>
      </c>
      <c r="B15939" s="515" t="s">
        <v>397</v>
      </c>
      <c r="C15939" s="52">
        <v>260404.447174609</v>
      </c>
      <c r="D15939" s="56">
        <v>0.10862945138022369</v>
      </c>
      <c r="E15939" s="224" t="s">
        <v>2</v>
      </c>
      <c r="F15939" s="515" t="s">
        <v>17115</v>
      </c>
      <c r="G15939" s="52">
        <v>448208.31923901697</v>
      </c>
      <c r="H15939" s="56">
        <v>2.6562997717235639E-3</v>
      </c>
      <c r="I15939" s="224" t="s">
        <v>2</v>
      </c>
    </row>
    <row r="15940" spans="1:9" x14ac:dyDescent="0.25">
      <c r="A15940" s="515">
        <v>53573</v>
      </c>
      <c r="C15940" s="52">
        <v>159344.712091608</v>
      </c>
      <c r="D15940" s="56">
        <v>0.1195920601127565</v>
      </c>
      <c r="E15940" s="224" t="s">
        <v>2</v>
      </c>
      <c r="F15940" s="515" t="s">
        <v>17116</v>
      </c>
      <c r="G15940" s="52">
        <v>507590.34647102503</v>
      </c>
      <c r="H15940" s="56">
        <v>0.11729521387519809</v>
      </c>
      <c r="I15940" s="224" t="s">
        <v>2</v>
      </c>
    </row>
    <row r="15941" spans="1:9" x14ac:dyDescent="0.25">
      <c r="A15941" s="515">
        <v>95328</v>
      </c>
      <c r="B15941" s="515" t="s">
        <v>797</v>
      </c>
      <c r="C15941" s="52">
        <v>357392.13479003898</v>
      </c>
      <c r="D15941" s="56">
        <v>2.6218652255321159E-2</v>
      </c>
      <c r="E15941" s="224" t="s">
        <v>2</v>
      </c>
      <c r="F15941" s="515" t="s">
        <v>17117</v>
      </c>
      <c r="G15941" s="52">
        <v>281385.04680865002</v>
      </c>
      <c r="H15941" s="56">
        <v>5.4482130371399165E-2</v>
      </c>
      <c r="I15941" s="224" t="s">
        <v>2</v>
      </c>
    </row>
    <row r="15942" spans="1:9" x14ac:dyDescent="0.25">
      <c r="A15942" s="515">
        <v>62548</v>
      </c>
      <c r="B15942" s="515" t="s">
        <v>837</v>
      </c>
      <c r="C15942" s="52">
        <v>122454.31775183701</v>
      </c>
      <c r="D15942" s="56">
        <v>3.1854712104541473E-2</v>
      </c>
      <c r="E15942" s="224" t="s">
        <v>2</v>
      </c>
      <c r="F15942" s="515" t="s">
        <v>17118</v>
      </c>
      <c r="G15942" s="52">
        <v>103229.57959310801</v>
      </c>
      <c r="H15942" s="56">
        <v>0</v>
      </c>
      <c r="I15942" s="224" t="s">
        <v>2</v>
      </c>
    </row>
    <row r="15943" spans="1:9" x14ac:dyDescent="0.25">
      <c r="A15943" s="515">
        <v>98831</v>
      </c>
      <c r="B15943" s="515" t="s">
        <v>521</v>
      </c>
      <c r="C15943" s="52">
        <v>592971.35351987102</v>
      </c>
      <c r="D15943" s="56">
        <v>7.2530458579188856E-2</v>
      </c>
      <c r="E15943" s="224" t="s">
        <v>2</v>
      </c>
      <c r="F15943" s="515" t="s">
        <v>17119</v>
      </c>
      <c r="G15943" s="52">
        <v>166131.57493606501</v>
      </c>
      <c r="H15943" s="56">
        <v>0.14208523745363416</v>
      </c>
      <c r="I15943" s="224" t="s">
        <v>2</v>
      </c>
    </row>
    <row r="15944" spans="1:9" x14ac:dyDescent="0.25">
      <c r="A15944" s="515">
        <v>74342</v>
      </c>
      <c r="C15944" s="52">
        <v>176807.03977263</v>
      </c>
      <c r="D15944" s="56">
        <v>-3.3052847902114032E-3</v>
      </c>
      <c r="E15944" s="224" t="s">
        <v>2</v>
      </c>
      <c r="F15944" s="515" t="s">
        <v>17120</v>
      </c>
      <c r="G15944" s="52">
        <v>73386.094223988199</v>
      </c>
      <c r="H15944" s="56">
        <v>0.22229135147812723</v>
      </c>
      <c r="I15944" s="224" t="s">
        <v>2</v>
      </c>
    </row>
    <row r="15945" spans="1:9" x14ac:dyDescent="0.25">
      <c r="A15945" s="515">
        <v>83245</v>
      </c>
      <c r="B15945" s="515" t="s">
        <v>884</v>
      </c>
      <c r="C15945" s="52">
        <v>408508.01069374999</v>
      </c>
      <c r="D15945" s="56">
        <v>3.7517949446615288E-2</v>
      </c>
      <c r="E15945" s="224" t="s">
        <v>2</v>
      </c>
      <c r="F15945" s="515" t="s">
        <v>17121</v>
      </c>
      <c r="G15945" s="52">
        <v>223730.17194773399</v>
      </c>
      <c r="H15945" s="56">
        <v>4.8653023147202393E-2</v>
      </c>
      <c r="I15945" s="224" t="s">
        <v>2</v>
      </c>
    </row>
    <row r="15946" spans="1:9" x14ac:dyDescent="0.25">
      <c r="A15946" s="515">
        <v>64779</v>
      </c>
      <c r="B15946" s="515" t="s">
        <v>455</v>
      </c>
      <c r="C15946" s="52">
        <v>133679.99530879999</v>
      </c>
      <c r="D15946" s="56">
        <v>-3.9639066187161009E-2</v>
      </c>
      <c r="E15946" s="224" t="s">
        <v>2</v>
      </c>
      <c r="F15946" s="515" t="s">
        <v>17122</v>
      </c>
      <c r="G15946" s="52">
        <v>166747.35992955099</v>
      </c>
      <c r="H15946" s="56">
        <v>9.3696296081180061E-2</v>
      </c>
      <c r="I15946" s="224" t="s">
        <v>2</v>
      </c>
    </row>
    <row r="15947" spans="1:9" x14ac:dyDescent="0.25">
      <c r="A15947" s="515">
        <v>79346</v>
      </c>
      <c r="C15947" s="52">
        <v>66100.808018048396</v>
      </c>
      <c r="D15947" s="56">
        <v>0</v>
      </c>
      <c r="E15947" s="224" t="s">
        <v>2</v>
      </c>
      <c r="F15947" s="515" t="s">
        <v>17123</v>
      </c>
      <c r="G15947" s="52">
        <v>128234.33988487499</v>
      </c>
      <c r="H15947" s="56">
        <v>0.10198358803402181</v>
      </c>
      <c r="I15947" s="224" t="s">
        <v>2</v>
      </c>
    </row>
    <row r="15948" spans="1:9" x14ac:dyDescent="0.25">
      <c r="A15948" s="515">
        <v>98828</v>
      </c>
      <c r="B15948" s="515" t="s">
        <v>521</v>
      </c>
      <c r="C15948" s="52">
        <v>426796.82675867499</v>
      </c>
      <c r="D15948" s="56">
        <v>2.7724974874875959E-3</v>
      </c>
      <c r="E15948" s="224" t="s">
        <v>2</v>
      </c>
      <c r="F15948" s="515" t="s">
        <v>17124</v>
      </c>
      <c r="G15948" s="52">
        <v>106413.138553868</v>
      </c>
      <c r="H15948" s="56">
        <v>0.17040307237755609</v>
      </c>
      <c r="I15948" s="224" t="s">
        <v>2</v>
      </c>
    </row>
    <row r="15949" spans="1:9" x14ac:dyDescent="0.25">
      <c r="A15949" s="515">
        <v>36009</v>
      </c>
      <c r="C15949" s="52">
        <v>123515.530007893</v>
      </c>
      <c r="D15949" s="56">
        <v>-1.4583200561189349E-2</v>
      </c>
      <c r="E15949" s="224" t="s">
        <v>2</v>
      </c>
      <c r="F15949" s="515" t="s">
        <v>17125</v>
      </c>
      <c r="G15949" s="52">
        <v>1145507.2689666201</v>
      </c>
      <c r="H15949" s="56">
        <v>0.13670505192077156</v>
      </c>
      <c r="I15949" s="224" t="s">
        <v>2</v>
      </c>
    </row>
    <row r="15950" spans="1:9" x14ac:dyDescent="0.25">
      <c r="A15950" s="515">
        <v>93616</v>
      </c>
      <c r="B15950" s="515" t="s">
        <v>541</v>
      </c>
      <c r="C15950" s="52">
        <v>313299.49517219199</v>
      </c>
      <c r="D15950" s="56">
        <v>8.0400324537339696E-2</v>
      </c>
      <c r="E15950" s="224" t="s">
        <v>2</v>
      </c>
      <c r="F15950" s="515" t="s">
        <v>17126</v>
      </c>
      <c r="G15950" s="52">
        <v>118150.37879615001</v>
      </c>
      <c r="H15950" s="56">
        <v>9.6260104437708334E-3</v>
      </c>
      <c r="I15950" s="224" t="s">
        <v>2</v>
      </c>
    </row>
    <row r="15951" spans="1:9" x14ac:dyDescent="0.25">
      <c r="A15951" s="515">
        <v>94599</v>
      </c>
      <c r="B15951" s="515" t="s">
        <v>914</v>
      </c>
      <c r="C15951" s="52">
        <v>1271050.8809050899</v>
      </c>
      <c r="D15951" s="56">
        <v>5.7834680445594151E-2</v>
      </c>
      <c r="E15951" s="224" t="s">
        <v>2</v>
      </c>
      <c r="F15951" s="515" t="s">
        <v>17127</v>
      </c>
      <c r="G15951" s="52">
        <v>357397.52631612902</v>
      </c>
      <c r="H15951" s="56">
        <v>0.16522240285591341</v>
      </c>
      <c r="I15951" s="224" t="s">
        <v>2</v>
      </c>
    </row>
    <row r="15952" spans="1:9" x14ac:dyDescent="0.25">
      <c r="A15952" s="515">
        <v>30258</v>
      </c>
      <c r="B15952" s="515" t="s">
        <v>957</v>
      </c>
      <c r="C15952" s="52">
        <v>249851.348428717</v>
      </c>
      <c r="D15952" s="56">
        <v>5.1600025921070651E-2</v>
      </c>
      <c r="E15952" s="224" t="s">
        <v>2</v>
      </c>
      <c r="F15952" s="515" t="s">
        <v>17128</v>
      </c>
      <c r="G15952" s="52">
        <v>382928.63741539803</v>
      </c>
      <c r="H15952" s="56">
        <v>1.3284766135858109E-2</v>
      </c>
      <c r="I15952" s="224" t="s">
        <v>2</v>
      </c>
    </row>
    <row r="15953" spans="1:9" x14ac:dyDescent="0.25">
      <c r="A15953" s="515">
        <v>42455</v>
      </c>
      <c r="C15953" s="52">
        <v>118253.76438258799</v>
      </c>
      <c r="D15953" s="56">
        <v>0.15974827680485484</v>
      </c>
      <c r="E15953" s="224" t="s">
        <v>2</v>
      </c>
      <c r="F15953" s="515" t="s">
        <v>17129</v>
      </c>
      <c r="G15953" s="52">
        <v>170142.71580990899</v>
      </c>
      <c r="H15953" s="56">
        <v>6.3691496313441051E-2</v>
      </c>
      <c r="I15953" s="224" t="s">
        <v>2</v>
      </c>
    </row>
    <row r="15954" spans="1:9" x14ac:dyDescent="0.25">
      <c r="A15954" s="515">
        <v>50140</v>
      </c>
      <c r="C15954" s="52">
        <v>111579.642103269</v>
      </c>
      <c r="D15954" s="56">
        <v>0.10119171358018188</v>
      </c>
      <c r="E15954" s="224" t="s">
        <v>2</v>
      </c>
      <c r="F15954" s="515" t="s">
        <v>17130</v>
      </c>
      <c r="G15954" s="52">
        <v>266900.81632653001</v>
      </c>
      <c r="H15954" s="56">
        <v>0</v>
      </c>
      <c r="I15954" s="224" t="s">
        <v>2</v>
      </c>
    </row>
    <row r="15955" spans="1:9" x14ac:dyDescent="0.25">
      <c r="A15955" s="515">
        <v>1128</v>
      </c>
      <c r="B15955" s="515" t="s">
        <v>575</v>
      </c>
      <c r="C15955" s="52">
        <v>278698.56689395697</v>
      </c>
      <c r="D15955" s="56">
        <v>5.9355877310963652E-2</v>
      </c>
      <c r="E15955" s="224" t="s">
        <v>2</v>
      </c>
      <c r="F15955" s="515" t="s">
        <v>17131</v>
      </c>
      <c r="G15955" s="52">
        <v>379632.69288452202</v>
      </c>
      <c r="H15955" s="56">
        <v>2.4089101947831836E-2</v>
      </c>
      <c r="I15955" s="224" t="s">
        <v>2</v>
      </c>
    </row>
    <row r="15956" spans="1:9" x14ac:dyDescent="0.25">
      <c r="A15956" s="515">
        <v>49668</v>
      </c>
      <c r="B15956" s="515" t="s">
        <v>937</v>
      </c>
      <c r="C15956" s="52">
        <v>140798.156475778</v>
      </c>
      <c r="D15956" s="56">
        <v>0.13271009445935084</v>
      </c>
      <c r="E15956" s="224" t="s">
        <v>2</v>
      </c>
      <c r="F15956" s="515" t="s">
        <v>17132</v>
      </c>
      <c r="G15956" s="52">
        <v>431910.51380270399</v>
      </c>
      <c r="H15956" s="56">
        <v>0.11015314595513369</v>
      </c>
      <c r="I15956" s="224" t="s">
        <v>2</v>
      </c>
    </row>
    <row r="15957" spans="1:9" x14ac:dyDescent="0.25">
      <c r="A15957" s="515">
        <v>55769</v>
      </c>
      <c r="B15957" s="515" t="s">
        <v>590</v>
      </c>
      <c r="C15957" s="52">
        <v>170815.531095838</v>
      </c>
      <c r="D15957" s="56">
        <v>8.175715375057481E-2</v>
      </c>
      <c r="E15957" s="224" t="s">
        <v>2</v>
      </c>
      <c r="F15957" s="515" t="s">
        <v>17133</v>
      </c>
      <c r="G15957" s="52">
        <v>494212.92881552898</v>
      </c>
      <c r="H15957" s="56">
        <v>7.8825824982682577E-2</v>
      </c>
      <c r="I15957" s="224" t="s">
        <v>2</v>
      </c>
    </row>
    <row r="15958" spans="1:9" x14ac:dyDescent="0.25">
      <c r="A15958" s="515">
        <v>56150</v>
      </c>
      <c r="C15958" s="52">
        <v>158106.933678979</v>
      </c>
      <c r="D15958" s="56">
        <v>0.10242451635605783</v>
      </c>
      <c r="E15958" s="224" t="s">
        <v>2</v>
      </c>
      <c r="F15958" s="515" t="s">
        <v>17134</v>
      </c>
      <c r="G15958" s="52">
        <v>117071.788773286</v>
      </c>
      <c r="H15958" s="56">
        <v>-1.2272239726666346E-2</v>
      </c>
      <c r="I15958" s="224" t="s">
        <v>2</v>
      </c>
    </row>
    <row r="15959" spans="1:9" x14ac:dyDescent="0.25">
      <c r="A15959" s="515">
        <v>74729</v>
      </c>
      <c r="B15959" s="515" t="s">
        <v>1052</v>
      </c>
      <c r="C15959" s="52">
        <v>187976.74964427101</v>
      </c>
      <c r="D15959" s="56">
        <v>0.11034605519822738</v>
      </c>
      <c r="E15959" s="224" t="s">
        <v>2</v>
      </c>
      <c r="F15959" s="515" t="s">
        <v>17135</v>
      </c>
      <c r="G15959" s="52">
        <v>154856.35995663801</v>
      </c>
      <c r="H15959" s="56">
        <v>9.170048866832288E-2</v>
      </c>
      <c r="I15959" s="224" t="s">
        <v>2</v>
      </c>
    </row>
    <row r="15960" spans="1:9" x14ac:dyDescent="0.25">
      <c r="A15960" s="515">
        <v>26541</v>
      </c>
      <c r="B15960" s="515" t="s">
        <v>643</v>
      </c>
      <c r="C15960" s="52">
        <v>175858.33895816701</v>
      </c>
      <c r="D15960" s="56">
        <v>6.681636394878554E-2</v>
      </c>
      <c r="E15960" s="224" t="s">
        <v>2</v>
      </c>
      <c r="F15960" s="515" t="s">
        <v>17136</v>
      </c>
      <c r="G15960" s="52">
        <v>183444.65851064899</v>
      </c>
      <c r="H15960" s="56">
        <v>7.9292707356209524E-2</v>
      </c>
      <c r="I15960" s="224" t="s">
        <v>2</v>
      </c>
    </row>
    <row r="15961" spans="1:9" x14ac:dyDescent="0.25">
      <c r="A15961" s="515">
        <v>52214</v>
      </c>
      <c r="B15961" s="515" t="s">
        <v>404</v>
      </c>
      <c r="C15961" s="52">
        <v>232667.97553150301</v>
      </c>
      <c r="D15961" s="56">
        <v>0.10651854196396754</v>
      </c>
      <c r="E15961" s="224" t="s">
        <v>2</v>
      </c>
      <c r="F15961" s="515" t="s">
        <v>17137</v>
      </c>
      <c r="G15961" s="52">
        <v>216437.77010169101</v>
      </c>
      <c r="H15961" s="56">
        <v>0.12463437952340091</v>
      </c>
      <c r="I15961" s="224" t="s">
        <v>2</v>
      </c>
    </row>
    <row r="15962" spans="1:9" x14ac:dyDescent="0.25">
      <c r="A15962" s="515">
        <v>17889</v>
      </c>
      <c r="B15962" s="515" t="s">
        <v>1084</v>
      </c>
      <c r="C15962" s="52">
        <v>250821.27180250199</v>
      </c>
      <c r="D15962" s="56">
        <v>4.7419510026723642E-2</v>
      </c>
      <c r="E15962" s="224" t="s">
        <v>2</v>
      </c>
      <c r="F15962" s="515" t="s">
        <v>17138</v>
      </c>
      <c r="G15962" s="52">
        <v>110523.3125</v>
      </c>
      <c r="H15962" s="56">
        <v>0</v>
      </c>
      <c r="I15962" s="224" t="s">
        <v>2</v>
      </c>
    </row>
    <row r="15963" spans="1:9" x14ac:dyDescent="0.25">
      <c r="A15963" s="515">
        <v>65259</v>
      </c>
      <c r="B15963" s="515" t="s">
        <v>790</v>
      </c>
      <c r="C15963" s="52">
        <v>152474.219788185</v>
      </c>
      <c r="D15963" s="56">
        <v>7.2384164136117812E-2</v>
      </c>
      <c r="E15963" s="224" t="s">
        <v>2</v>
      </c>
      <c r="F15963" s="515" t="s">
        <v>17139</v>
      </c>
      <c r="G15963" s="52">
        <v>370789.519480519</v>
      </c>
      <c r="H15963" s="56">
        <v>0</v>
      </c>
      <c r="I15963" s="224" t="s">
        <v>2</v>
      </c>
    </row>
    <row r="15964" spans="1:9" x14ac:dyDescent="0.25">
      <c r="A15964" s="515">
        <v>32443</v>
      </c>
      <c r="C15964" s="52">
        <v>150244.59667175901</v>
      </c>
      <c r="D15964" s="56">
        <v>0.14215831134676291</v>
      </c>
      <c r="E15964" s="224" t="s">
        <v>2</v>
      </c>
      <c r="F15964" s="515" t="s">
        <v>17140</v>
      </c>
      <c r="G15964" s="52">
        <v>54450.205523263699</v>
      </c>
      <c r="H15964" s="56">
        <v>0</v>
      </c>
      <c r="I15964" s="224" t="s">
        <v>2</v>
      </c>
    </row>
    <row r="15965" spans="1:9" x14ac:dyDescent="0.25">
      <c r="A15965" s="515">
        <v>43314</v>
      </c>
      <c r="B15965" s="515" t="s">
        <v>530</v>
      </c>
      <c r="C15965" s="52">
        <v>197211.08524089199</v>
      </c>
      <c r="D15965" s="56">
        <v>6.2285329416875347E-2</v>
      </c>
      <c r="E15965" s="224" t="s">
        <v>2</v>
      </c>
      <c r="F15965" s="515" t="s">
        <v>17141</v>
      </c>
      <c r="G15965" s="52">
        <v>253677.603799217</v>
      </c>
      <c r="H15965" s="56">
        <v>1.6547900196873778E-2</v>
      </c>
      <c r="I15965" s="224" t="s">
        <v>2</v>
      </c>
    </row>
    <row r="15966" spans="1:9" x14ac:dyDescent="0.25">
      <c r="A15966" s="515">
        <v>13120</v>
      </c>
      <c r="B15966" s="515" t="s">
        <v>361</v>
      </c>
      <c r="C15966" s="52">
        <v>134922.241677885</v>
      </c>
      <c r="D15966" s="56">
        <v>0.10222072712624687</v>
      </c>
      <c r="E15966" s="224" t="s">
        <v>2</v>
      </c>
      <c r="F15966" s="515" t="s">
        <v>17142</v>
      </c>
      <c r="G15966" s="52">
        <v>135089.49369364601</v>
      </c>
      <c r="H15966" s="56">
        <v>3.4936322879445522E-2</v>
      </c>
      <c r="I15966" s="224" t="s">
        <v>2</v>
      </c>
    </row>
    <row r="15967" spans="1:9" x14ac:dyDescent="0.25">
      <c r="A15967" s="515">
        <v>79329</v>
      </c>
      <c r="B15967" s="515" t="s">
        <v>354</v>
      </c>
      <c r="C15967" s="52">
        <v>204398.31194060299</v>
      </c>
      <c r="D15967" s="56">
        <v>9.6383228657059186E-2</v>
      </c>
      <c r="E15967" s="224" t="s">
        <v>2</v>
      </c>
      <c r="F15967" s="515" t="s">
        <v>17143</v>
      </c>
      <c r="G15967" s="52">
        <v>70730.834197278498</v>
      </c>
      <c r="H15967" s="56">
        <v>0.21147139187996397</v>
      </c>
      <c r="I15967" s="224" t="s">
        <v>2</v>
      </c>
    </row>
    <row r="15968" spans="1:9" x14ac:dyDescent="0.25">
      <c r="A15968" s="515">
        <v>30079</v>
      </c>
      <c r="B15968" s="515" t="s">
        <v>957</v>
      </c>
      <c r="C15968" s="52">
        <v>287007.01312845899</v>
      </c>
      <c r="D15968" s="56">
        <v>0.11545434801131496</v>
      </c>
      <c r="E15968" s="224" t="s">
        <v>2</v>
      </c>
      <c r="F15968" s="515" t="s">
        <v>17144</v>
      </c>
      <c r="G15968" s="52">
        <v>265536.196360873</v>
      </c>
      <c r="H15968" s="56">
        <v>5.8260236498052599E-2</v>
      </c>
      <c r="I15968" s="224" t="s">
        <v>2</v>
      </c>
    </row>
    <row r="15969" spans="1:9" x14ac:dyDescent="0.25">
      <c r="A15969" s="515">
        <v>67467</v>
      </c>
      <c r="B15969" s="515" t="s">
        <v>715</v>
      </c>
      <c r="C15969" s="52">
        <v>131266.60300357899</v>
      </c>
      <c r="D15969" s="56">
        <v>5.6932618575634544E-2</v>
      </c>
      <c r="E15969" s="224" t="s">
        <v>2</v>
      </c>
      <c r="F15969" s="515" t="s">
        <v>17145</v>
      </c>
      <c r="G15969" s="52">
        <v>54162.434851073303</v>
      </c>
      <c r="H15969" s="56">
        <v>0.14551921181476787</v>
      </c>
      <c r="I15969" s="224" t="s">
        <v>2</v>
      </c>
    </row>
    <row r="15970" spans="1:9" x14ac:dyDescent="0.25">
      <c r="A15970" s="515">
        <v>54943</v>
      </c>
      <c r="C15970" s="52">
        <v>168138.065382845</v>
      </c>
      <c r="D15970" s="56">
        <v>0.12745100066633833</v>
      </c>
      <c r="E15970" s="224" t="s">
        <v>2</v>
      </c>
      <c r="F15970" s="515" t="s">
        <v>17146</v>
      </c>
      <c r="G15970" s="52">
        <v>123389.59773644</v>
      </c>
      <c r="H15970" s="56">
        <v>-1.1443222069920735E-2</v>
      </c>
      <c r="I15970" s="224" t="s">
        <v>2</v>
      </c>
    </row>
    <row r="15971" spans="1:9" x14ac:dyDescent="0.25">
      <c r="A15971" s="515">
        <v>37014</v>
      </c>
      <c r="B15971" s="515" t="s">
        <v>684</v>
      </c>
      <c r="C15971" s="52">
        <v>1079487.0381182199</v>
      </c>
      <c r="D15971" s="56">
        <v>0.13870246684542439</v>
      </c>
      <c r="E15971" s="224" t="s">
        <v>2</v>
      </c>
      <c r="F15971" s="515" t="s">
        <v>17147</v>
      </c>
      <c r="G15971" s="52">
        <v>1670879.43968712</v>
      </c>
      <c r="H15971" s="56">
        <v>0.14573054243493669</v>
      </c>
      <c r="I15971" s="224" t="s">
        <v>2</v>
      </c>
    </row>
    <row r="15972" spans="1:9" x14ac:dyDescent="0.25">
      <c r="A15972" s="515">
        <v>38827</v>
      </c>
      <c r="C15972" s="52">
        <v>126572.188413264</v>
      </c>
      <c r="D15972" s="56">
        <v>-4.2736776353388524E-2</v>
      </c>
      <c r="E15972" s="224" t="s">
        <v>2</v>
      </c>
      <c r="F15972" s="515" t="s">
        <v>17148</v>
      </c>
      <c r="G15972" s="52">
        <v>209961.234721441</v>
      </c>
      <c r="H15972" s="56">
        <v>0</v>
      </c>
      <c r="I15972" s="224" t="s">
        <v>2</v>
      </c>
    </row>
    <row r="15973" spans="1:9" x14ac:dyDescent="0.25">
      <c r="A15973" s="515">
        <v>35073</v>
      </c>
      <c r="B15973" s="515" t="s">
        <v>640</v>
      </c>
      <c r="C15973" s="52">
        <v>96966.8169478528</v>
      </c>
      <c r="D15973" s="56">
        <v>0.20670398802059459</v>
      </c>
      <c r="E15973" s="224" t="s">
        <v>2</v>
      </c>
      <c r="F15973" s="515" t="s">
        <v>17149</v>
      </c>
      <c r="G15973" s="52">
        <v>348141.18092799501</v>
      </c>
      <c r="H15973" s="56">
        <v>0.12640110573477664</v>
      </c>
      <c r="I15973" s="224" t="s">
        <v>2</v>
      </c>
    </row>
    <row r="15974" spans="1:9" x14ac:dyDescent="0.25">
      <c r="A15974" s="515">
        <v>43324</v>
      </c>
      <c r="B15974" s="515" t="s">
        <v>973</v>
      </c>
      <c r="C15974" s="52">
        <v>282384.64796517999</v>
      </c>
      <c r="D15974" s="56">
        <v>3.9674798439000347E-2</v>
      </c>
      <c r="E15974" s="224" t="s">
        <v>2</v>
      </c>
      <c r="F15974" s="515" t="s">
        <v>17150</v>
      </c>
      <c r="G15974" s="52">
        <v>328334.23343991098</v>
      </c>
      <c r="H15974" s="56">
        <v>2.2763906031446211E-2</v>
      </c>
      <c r="I15974" s="224" t="s">
        <v>2</v>
      </c>
    </row>
    <row r="15975" spans="1:9" x14ac:dyDescent="0.25">
      <c r="A15975" s="515">
        <v>45780</v>
      </c>
      <c r="B15975" s="515" t="s">
        <v>578</v>
      </c>
      <c r="C15975" s="52">
        <v>154749.24382935799</v>
      </c>
      <c r="D15975" s="56">
        <v>7.0493792051719351E-2</v>
      </c>
      <c r="E15975" s="224" t="s">
        <v>2</v>
      </c>
      <c r="F15975" s="515" t="s">
        <v>17151</v>
      </c>
      <c r="G15975" s="52">
        <v>170306.40102176499</v>
      </c>
      <c r="H15975" s="56">
        <v>0.10403088687571205</v>
      </c>
      <c r="I15975" s="224" t="s">
        <v>2</v>
      </c>
    </row>
    <row r="15976" spans="1:9" x14ac:dyDescent="0.25">
      <c r="A15976" s="515">
        <v>64640</v>
      </c>
      <c r="C15976" s="52">
        <v>192916.44789945599</v>
      </c>
      <c r="D15976" s="56">
        <v>8.286797771519909E-2</v>
      </c>
      <c r="E15976" s="224" t="s">
        <v>2</v>
      </c>
      <c r="F15976" s="515" t="s">
        <v>17152</v>
      </c>
      <c r="G15976" s="52">
        <v>113867.708009168</v>
      </c>
      <c r="H15976" s="56">
        <v>0</v>
      </c>
      <c r="I15976" s="224" t="s">
        <v>2</v>
      </c>
    </row>
    <row r="15977" spans="1:9" x14ac:dyDescent="0.25">
      <c r="A15977" s="515">
        <v>63055</v>
      </c>
      <c r="B15977" s="515" t="s">
        <v>498</v>
      </c>
      <c r="C15977" s="52">
        <v>324708.20316865598</v>
      </c>
      <c r="D15977" s="56">
        <v>5.7289541369705321E-2</v>
      </c>
      <c r="E15977" s="224" t="s">
        <v>2</v>
      </c>
      <c r="F15977" s="515" t="s">
        <v>17153</v>
      </c>
      <c r="G15977" s="52">
        <v>113782.440109088</v>
      </c>
      <c r="H15977" s="56">
        <v>7.2576925704775863E-2</v>
      </c>
      <c r="I15977" s="224" t="s">
        <v>2</v>
      </c>
    </row>
    <row r="15978" spans="1:9" x14ac:dyDescent="0.25">
      <c r="A15978" s="515">
        <v>14865</v>
      </c>
      <c r="C15978" s="52">
        <v>179228.66356101999</v>
      </c>
      <c r="D15978" s="56">
        <v>5.1814367350057434E-2</v>
      </c>
      <c r="E15978" s="224" t="s">
        <v>2</v>
      </c>
      <c r="F15978" s="515" t="s">
        <v>17154</v>
      </c>
      <c r="G15978" s="52">
        <v>163604.601920847</v>
      </c>
      <c r="H15978" s="56">
        <v>8.8362562467932573E-2</v>
      </c>
      <c r="I15978" s="224" t="s">
        <v>2</v>
      </c>
    </row>
    <row r="15979" spans="1:9" x14ac:dyDescent="0.25">
      <c r="A15979" s="515">
        <v>52342</v>
      </c>
      <c r="C15979" s="52">
        <v>140792.59740524899</v>
      </c>
      <c r="D15979" s="56">
        <v>7.6998475650780496E-2</v>
      </c>
      <c r="E15979" s="224" t="s">
        <v>2</v>
      </c>
      <c r="F15979" s="515" t="s">
        <v>17155</v>
      </c>
      <c r="G15979" s="52">
        <v>157000.673807807</v>
      </c>
      <c r="H15979" s="56">
        <v>0.13253539044121193</v>
      </c>
      <c r="I15979" s="224" t="s">
        <v>2</v>
      </c>
    </row>
    <row r="15980" spans="1:9" x14ac:dyDescent="0.25">
      <c r="A15980" s="515">
        <v>28790</v>
      </c>
      <c r="B15980" s="515" t="s">
        <v>668</v>
      </c>
      <c r="C15980" s="52">
        <v>357383.88220806798</v>
      </c>
      <c r="D15980" s="56">
        <v>0.10882837667647807</v>
      </c>
      <c r="E15980" s="224" t="s">
        <v>2</v>
      </c>
      <c r="F15980" s="515" t="s">
        <v>17156</v>
      </c>
      <c r="G15980" s="52">
        <v>152866.00890848099</v>
      </c>
      <c r="H15980" s="56">
        <v>0.18304712915692584</v>
      </c>
      <c r="I15980" s="224" t="s">
        <v>2</v>
      </c>
    </row>
    <row r="15981" spans="1:9" x14ac:dyDescent="0.25">
      <c r="A15981" s="515">
        <v>17087</v>
      </c>
      <c r="B15981" s="515" t="s">
        <v>569</v>
      </c>
      <c r="C15981" s="52">
        <v>247650.87483856999</v>
      </c>
      <c r="D15981" s="56">
        <v>0.10186822123542838</v>
      </c>
      <c r="E15981" s="224" t="s">
        <v>2</v>
      </c>
      <c r="F15981" s="515" t="s">
        <v>17157</v>
      </c>
      <c r="G15981" s="52">
        <v>219747.88773670699</v>
      </c>
      <c r="H15981" s="56">
        <v>0.10710181394516044</v>
      </c>
      <c r="I15981" s="224" t="s">
        <v>2</v>
      </c>
    </row>
    <row r="15982" spans="1:9" x14ac:dyDescent="0.25">
      <c r="A15982" s="515">
        <v>43521</v>
      </c>
      <c r="B15982" s="515" t="s">
        <v>300</v>
      </c>
      <c r="C15982" s="52">
        <v>135249.201301931</v>
      </c>
      <c r="D15982" s="56">
        <v>5.5651935159683558E-2</v>
      </c>
      <c r="E15982" s="224" t="s">
        <v>2</v>
      </c>
      <c r="F15982" s="515" t="s">
        <v>17158</v>
      </c>
      <c r="G15982" s="52">
        <v>174714.54648131499</v>
      </c>
      <c r="H15982" s="56">
        <v>0</v>
      </c>
      <c r="I15982" s="224" t="s">
        <v>2</v>
      </c>
    </row>
    <row r="15983" spans="1:9" x14ac:dyDescent="0.25">
      <c r="A15983" s="515">
        <v>95638</v>
      </c>
      <c r="B15983" s="515" t="s">
        <v>355</v>
      </c>
      <c r="C15983" s="52">
        <v>708392.574611797</v>
      </c>
      <c r="D15983" s="56">
        <v>-2.6891845049251815E-2</v>
      </c>
      <c r="E15983" s="224" t="s">
        <v>2</v>
      </c>
      <c r="F15983" s="515" t="s">
        <v>17159</v>
      </c>
      <c r="G15983" s="52">
        <v>1043821.31178357</v>
      </c>
      <c r="H15983" s="56">
        <v>8.2509258500077329E-2</v>
      </c>
      <c r="I15983" s="224" t="s">
        <v>2</v>
      </c>
    </row>
    <row r="15984" spans="1:9" x14ac:dyDescent="0.25">
      <c r="A15984" s="515">
        <v>74932</v>
      </c>
      <c r="C15984" s="52">
        <v>158906.41907452</v>
      </c>
      <c r="D15984" s="56">
        <v>0.11260641892138497</v>
      </c>
      <c r="E15984" s="224" t="s">
        <v>2</v>
      </c>
      <c r="F15984" s="515" t="s">
        <v>17160</v>
      </c>
      <c r="G15984" s="52">
        <v>162175.060697401</v>
      </c>
      <c r="H15984" s="56">
        <v>6.3784514130654946E-2</v>
      </c>
      <c r="I15984" s="224" t="s">
        <v>2</v>
      </c>
    </row>
    <row r="15985" spans="1:9" x14ac:dyDescent="0.25">
      <c r="A15985" s="515">
        <v>57028</v>
      </c>
      <c r="C15985" s="52">
        <v>169109.20124438399</v>
      </c>
      <c r="D15985" s="56">
        <v>8.7002498638401787E-2</v>
      </c>
      <c r="E15985" s="224" t="s">
        <v>2</v>
      </c>
      <c r="F15985" s="515" t="s">
        <v>17161</v>
      </c>
      <c r="G15985" s="52">
        <v>139534.030733085</v>
      </c>
      <c r="H15985" s="56">
        <v>8.7202403877568488E-2</v>
      </c>
      <c r="I15985" s="224" t="s">
        <v>2</v>
      </c>
    </row>
    <row r="15986" spans="1:9" x14ac:dyDescent="0.25">
      <c r="A15986" s="515">
        <v>32438</v>
      </c>
      <c r="B15986" s="515" t="s">
        <v>1160</v>
      </c>
      <c r="C15986" s="52">
        <v>153154.73155973601</v>
      </c>
      <c r="D15986" s="56">
        <v>0.12638621647298789</v>
      </c>
      <c r="E15986" s="224" t="s">
        <v>2</v>
      </c>
      <c r="F15986" s="515" t="s">
        <v>17162</v>
      </c>
      <c r="G15986" s="52">
        <v>78949.988787787501</v>
      </c>
      <c r="H15986" s="56">
        <v>0.21876225891715256</v>
      </c>
      <c r="I15986" s="224" t="s">
        <v>2</v>
      </c>
    </row>
    <row r="15987" spans="1:9" x14ac:dyDescent="0.25">
      <c r="A15987" s="515">
        <v>40057</v>
      </c>
      <c r="B15987" s="515" t="s">
        <v>479</v>
      </c>
      <c r="C15987" s="52">
        <v>187065.599020711</v>
      </c>
      <c r="D15987" s="56">
        <v>9.752507440223028E-2</v>
      </c>
      <c r="E15987" s="224" t="s">
        <v>2</v>
      </c>
      <c r="F15987" s="515" t="s">
        <v>17163</v>
      </c>
      <c r="G15987" s="52">
        <v>210958.922241311</v>
      </c>
      <c r="H15987" s="56">
        <v>8.4677297951863184E-2</v>
      </c>
      <c r="I15987" s="224" t="s">
        <v>2</v>
      </c>
    </row>
    <row r="15988" spans="1:9" x14ac:dyDescent="0.25">
      <c r="A15988" s="515">
        <v>48419</v>
      </c>
      <c r="C15988" s="52">
        <v>151309.4134317</v>
      </c>
      <c r="D15988" s="56">
        <v>-7.5778318708064453E-3</v>
      </c>
      <c r="E15988" s="224" t="s">
        <v>2</v>
      </c>
      <c r="F15988" s="515" t="s">
        <v>17164</v>
      </c>
      <c r="G15988" s="52">
        <v>416216.905660377</v>
      </c>
      <c r="H15988" s="56">
        <v>0</v>
      </c>
      <c r="I15988" s="224" t="s">
        <v>2</v>
      </c>
    </row>
    <row r="15989" spans="1:9" x14ac:dyDescent="0.25">
      <c r="A15989" s="515">
        <v>4579</v>
      </c>
      <c r="B15989" s="515" t="s">
        <v>570</v>
      </c>
      <c r="C15989" s="52">
        <v>359221.24712400802</v>
      </c>
      <c r="D15989" s="56">
        <v>7.8997266377200781E-2</v>
      </c>
      <c r="E15989" s="224" t="s">
        <v>2</v>
      </c>
      <c r="F15989" s="515" t="s">
        <v>17165</v>
      </c>
      <c r="G15989" s="52">
        <v>261547.31980585901</v>
      </c>
      <c r="H15989" s="56">
        <v>5.8235037259970673E-2</v>
      </c>
      <c r="I15989" s="224" t="s">
        <v>2</v>
      </c>
    </row>
    <row r="15990" spans="1:9" x14ac:dyDescent="0.25">
      <c r="A15990" s="515">
        <v>74061</v>
      </c>
      <c r="B15990" s="515" t="s">
        <v>1106</v>
      </c>
      <c r="C15990" s="52">
        <v>204769.68687356799</v>
      </c>
      <c r="D15990" s="56">
        <v>0.12387763840717535</v>
      </c>
      <c r="E15990" s="224" t="s">
        <v>2</v>
      </c>
      <c r="F15990" s="515" t="s">
        <v>17166</v>
      </c>
      <c r="G15990" s="52">
        <v>157870.504928682</v>
      </c>
      <c r="H15990" s="56">
        <v>0.53621646639891829</v>
      </c>
      <c r="I15990" s="224" t="s">
        <v>2</v>
      </c>
    </row>
    <row r="15991" spans="1:9" x14ac:dyDescent="0.25">
      <c r="A15991" s="515">
        <v>32343</v>
      </c>
      <c r="B15991" s="515" t="s">
        <v>335</v>
      </c>
      <c r="C15991" s="52">
        <v>238099.026303383</v>
      </c>
      <c r="D15991" s="56">
        <v>9.830669300805972E-2</v>
      </c>
      <c r="E15991" s="224" t="s">
        <v>2</v>
      </c>
      <c r="F15991" s="515" t="s">
        <v>17167</v>
      </c>
      <c r="G15991" s="52">
        <v>173066.99200890801</v>
      </c>
      <c r="H15991" s="56">
        <v>0.10666598871860225</v>
      </c>
      <c r="I15991" s="224" t="s">
        <v>2</v>
      </c>
    </row>
    <row r="15992" spans="1:9" x14ac:dyDescent="0.25">
      <c r="A15992" s="515">
        <v>29475</v>
      </c>
      <c r="C15992" s="52">
        <v>162496.152066001</v>
      </c>
      <c r="D15992" s="56">
        <v>0.10530937879239412</v>
      </c>
      <c r="E15992" s="224" t="s">
        <v>2</v>
      </c>
      <c r="F15992" s="515" t="s">
        <v>17168</v>
      </c>
      <c r="G15992" s="52">
        <v>547130.22330047796</v>
      </c>
      <c r="H15992" s="56">
        <v>7.1545332185048008E-2</v>
      </c>
      <c r="I15992" s="224" t="s">
        <v>2</v>
      </c>
    </row>
    <row r="15993" spans="1:9" x14ac:dyDescent="0.25">
      <c r="A15993" s="515">
        <v>55073</v>
      </c>
      <c r="B15993" s="515" t="s">
        <v>532</v>
      </c>
      <c r="C15993" s="52">
        <v>461519.743337981</v>
      </c>
      <c r="D15993" s="56">
        <v>5.0578502170963026E-2</v>
      </c>
      <c r="E15993" s="224" t="s">
        <v>2</v>
      </c>
      <c r="F15993" s="515" t="s">
        <v>17169</v>
      </c>
      <c r="G15993" s="52">
        <v>254749.19755706601</v>
      </c>
      <c r="H15993" s="56">
        <v>3.4255458104194232E-2</v>
      </c>
      <c r="I15993" s="224" t="s">
        <v>2</v>
      </c>
    </row>
    <row r="15994" spans="1:9" x14ac:dyDescent="0.25">
      <c r="A15994" s="515">
        <v>30256</v>
      </c>
      <c r="B15994" s="515" t="s">
        <v>957</v>
      </c>
      <c r="C15994" s="52">
        <v>269003.44533394801</v>
      </c>
      <c r="D15994" s="56">
        <v>8.0080664364551621E-2</v>
      </c>
      <c r="E15994" s="224" t="s">
        <v>2</v>
      </c>
      <c r="F15994" s="515" t="s">
        <v>17170</v>
      </c>
      <c r="G15994" s="52">
        <v>143542.91336635701</v>
      </c>
      <c r="H15994" s="56">
        <v>6.9541419613441915E-2</v>
      </c>
      <c r="I15994" s="224" t="s">
        <v>2</v>
      </c>
    </row>
    <row r="15995" spans="1:9" x14ac:dyDescent="0.25">
      <c r="A15995" s="515">
        <v>68840</v>
      </c>
      <c r="B15995" s="515" t="s">
        <v>660</v>
      </c>
      <c r="C15995" s="52">
        <v>224767.679396135</v>
      </c>
      <c r="D15995" s="56">
        <v>8.8031699308226463E-2</v>
      </c>
      <c r="E15995" s="224" t="s">
        <v>2</v>
      </c>
      <c r="F15995" s="515" t="s">
        <v>17171</v>
      </c>
      <c r="G15995" s="52">
        <v>236055.26812266401</v>
      </c>
      <c r="H15995" s="56">
        <v>8.0919028474538204E-2</v>
      </c>
      <c r="I15995" s="224" t="s">
        <v>2</v>
      </c>
    </row>
    <row r="15996" spans="1:9" x14ac:dyDescent="0.25">
      <c r="A15996" s="515">
        <v>45845</v>
      </c>
      <c r="B15996" s="515" t="s">
        <v>329</v>
      </c>
      <c r="C15996" s="52">
        <v>269603.41577984003</v>
      </c>
      <c r="D15996" s="56">
        <v>8.2981664643684921E-2</v>
      </c>
      <c r="E15996" s="224" t="s">
        <v>2</v>
      </c>
      <c r="F15996" s="515" t="s">
        <v>17172</v>
      </c>
      <c r="G15996" s="52">
        <v>2560711.6098209498</v>
      </c>
      <c r="H15996" s="56">
        <v>3.9267125115420305E-2</v>
      </c>
      <c r="I15996" s="224" t="s">
        <v>2</v>
      </c>
    </row>
    <row r="15997" spans="1:9" x14ac:dyDescent="0.25">
      <c r="A15997" s="515">
        <v>30648</v>
      </c>
      <c r="B15997" s="515" t="s">
        <v>991</v>
      </c>
      <c r="C15997" s="52">
        <v>238723.40887102301</v>
      </c>
      <c r="D15997" s="56">
        <v>0.13500499971180996</v>
      </c>
      <c r="E15997" s="224" t="s">
        <v>2</v>
      </c>
      <c r="F15997" s="515" t="s">
        <v>17173</v>
      </c>
      <c r="G15997" s="52">
        <v>835545.28112330695</v>
      </c>
      <c r="H15997" s="56">
        <v>8.4586302639458627E-2</v>
      </c>
      <c r="I15997" s="224" t="s">
        <v>2</v>
      </c>
    </row>
    <row r="15998" spans="1:9" x14ac:dyDescent="0.25">
      <c r="A15998" s="515">
        <v>36879</v>
      </c>
      <c r="B15998" s="515" t="s">
        <v>1159</v>
      </c>
      <c r="C15998" s="52">
        <v>372817.20982347499</v>
      </c>
      <c r="D15998" s="56">
        <v>7.5615700742508521E-2</v>
      </c>
      <c r="E15998" s="224" t="s">
        <v>2</v>
      </c>
      <c r="F15998" s="515" t="s">
        <v>17174</v>
      </c>
      <c r="G15998" s="52">
        <v>117277.21391145801</v>
      </c>
      <c r="H15998" s="56">
        <v>-3.2439949327385351E-2</v>
      </c>
      <c r="I15998" s="224" t="s">
        <v>2</v>
      </c>
    </row>
    <row r="15999" spans="1:9" x14ac:dyDescent="0.25">
      <c r="A15999" s="515">
        <v>38321</v>
      </c>
      <c r="C15999" s="52">
        <v>159435.683588521</v>
      </c>
      <c r="D15999" s="56">
        <v>5.9747920489226655E-2</v>
      </c>
      <c r="E15999" s="224" t="s">
        <v>2</v>
      </c>
      <c r="F15999" s="515" t="s">
        <v>17175</v>
      </c>
      <c r="G15999" s="52">
        <v>269703.26575445401</v>
      </c>
      <c r="H15999" s="56">
        <v>0.13571122827114607</v>
      </c>
      <c r="I15999" s="224" t="s">
        <v>2</v>
      </c>
    </row>
    <row r="16000" spans="1:9" x14ac:dyDescent="0.25">
      <c r="A16000" s="515">
        <v>96731</v>
      </c>
      <c r="B16000" s="515" t="s">
        <v>1029</v>
      </c>
      <c r="C16000" s="52">
        <v>781550.72026812099</v>
      </c>
      <c r="D16000" s="56">
        <v>1.637536333232564E-2</v>
      </c>
      <c r="E16000" s="224" t="s">
        <v>2</v>
      </c>
      <c r="F16000" s="515" t="s">
        <v>17176</v>
      </c>
      <c r="G16000" s="52">
        <v>386102.04017556598</v>
      </c>
      <c r="H16000" s="56">
        <v>0.10667692484878938</v>
      </c>
      <c r="I16000" s="224" t="s">
        <v>2</v>
      </c>
    </row>
    <row r="16001" spans="1:9" x14ac:dyDescent="0.25">
      <c r="A16001" s="515">
        <v>72473</v>
      </c>
      <c r="C16001" s="52">
        <v>81706.835979594704</v>
      </c>
      <c r="D16001" s="56">
        <v>-1.6417515910415351E-2</v>
      </c>
      <c r="E16001" s="224" t="s">
        <v>2</v>
      </c>
      <c r="F16001" s="515" t="s">
        <v>17177</v>
      </c>
      <c r="G16001" s="52">
        <v>185454.866197183</v>
      </c>
      <c r="H16001" s="56">
        <v>0</v>
      </c>
      <c r="I16001" s="224" t="s">
        <v>2</v>
      </c>
    </row>
    <row r="16002" spans="1:9" x14ac:dyDescent="0.25">
      <c r="A16002" s="515">
        <v>16248</v>
      </c>
      <c r="C16002" s="52">
        <v>92087.634433099796</v>
      </c>
      <c r="D16002" s="56">
        <v>4.8419711168586642E-2</v>
      </c>
      <c r="E16002" s="224" t="s">
        <v>2</v>
      </c>
      <c r="F16002" s="515" t="s">
        <v>17178</v>
      </c>
      <c r="G16002" s="52">
        <v>154336.11036419799</v>
      </c>
      <c r="H16002" s="56">
        <v>3.9779434597886992E-2</v>
      </c>
      <c r="I16002" s="224" t="s">
        <v>2</v>
      </c>
    </row>
    <row r="16003" spans="1:9" x14ac:dyDescent="0.25">
      <c r="A16003" s="515">
        <v>72722</v>
      </c>
      <c r="B16003" s="515" t="s">
        <v>675</v>
      </c>
      <c r="C16003" s="52">
        <v>223900.29172166399</v>
      </c>
      <c r="D16003" s="56">
        <v>0.14774809744109438</v>
      </c>
      <c r="E16003" s="224" t="s">
        <v>2</v>
      </c>
      <c r="F16003" s="515" t="s">
        <v>17179</v>
      </c>
      <c r="G16003" s="52">
        <v>211979.85459329499</v>
      </c>
      <c r="H16003" s="56">
        <v>4.6791214561496722E-2</v>
      </c>
      <c r="I16003" s="224" t="s">
        <v>2</v>
      </c>
    </row>
    <row r="16004" spans="1:9" x14ac:dyDescent="0.25">
      <c r="A16004" s="515">
        <v>32009</v>
      </c>
      <c r="B16004" s="515" t="s">
        <v>1158</v>
      </c>
      <c r="C16004" s="52">
        <v>356908.17560719</v>
      </c>
      <c r="D16004" s="56">
        <v>0.12909216213265548</v>
      </c>
      <c r="E16004" s="224" t="s">
        <v>2</v>
      </c>
      <c r="F16004" s="515" t="s">
        <v>17180</v>
      </c>
      <c r="G16004" s="52">
        <v>93497.311358549196</v>
      </c>
      <c r="H16004" s="56">
        <v>8.4021291594938499E-3</v>
      </c>
      <c r="I16004" s="224" t="s">
        <v>2</v>
      </c>
    </row>
    <row r="16005" spans="1:9" x14ac:dyDescent="0.25">
      <c r="A16005" s="515">
        <v>55959</v>
      </c>
      <c r="B16005" s="515" t="s">
        <v>875</v>
      </c>
      <c r="C16005" s="52">
        <v>259368.399565253</v>
      </c>
      <c r="D16005" s="56">
        <v>7.6365800055557556E-2</v>
      </c>
      <c r="E16005" s="224" t="s">
        <v>2</v>
      </c>
      <c r="F16005" s="515" t="s">
        <v>17181</v>
      </c>
      <c r="G16005" s="52">
        <v>114355.514536909</v>
      </c>
      <c r="H16005" s="56">
        <v>0</v>
      </c>
      <c r="I16005" s="224" t="s">
        <v>2</v>
      </c>
    </row>
    <row r="16006" spans="1:9" x14ac:dyDescent="0.25">
      <c r="A16006" s="515">
        <v>30568</v>
      </c>
      <c r="C16006" s="52">
        <v>325742.343506278</v>
      </c>
      <c r="D16006" s="56">
        <v>7.8552743971408087E-2</v>
      </c>
      <c r="E16006" s="224" t="s">
        <v>2</v>
      </c>
      <c r="F16006" s="515" t="s">
        <v>17182</v>
      </c>
      <c r="G16006" s="52">
        <v>112031.586077685</v>
      </c>
      <c r="H16006" s="56">
        <v>8.6213174347174376E-2</v>
      </c>
      <c r="I16006" s="224" t="s">
        <v>2</v>
      </c>
    </row>
    <row r="16007" spans="1:9" x14ac:dyDescent="0.25">
      <c r="A16007" s="515">
        <v>5655</v>
      </c>
      <c r="C16007" s="52">
        <v>323106.21321875701</v>
      </c>
      <c r="D16007" s="56">
        <v>0.11133777957793356</v>
      </c>
      <c r="E16007" s="224" t="s">
        <v>2</v>
      </c>
      <c r="F16007" s="515" t="s">
        <v>17183</v>
      </c>
      <c r="G16007" s="52">
        <v>497430.77836782503</v>
      </c>
      <c r="H16007" s="56">
        <v>6.8986847161370112E-3</v>
      </c>
      <c r="I16007" s="224" t="s">
        <v>2</v>
      </c>
    </row>
    <row r="16008" spans="1:9" x14ac:dyDescent="0.25">
      <c r="A16008" s="515">
        <v>50025</v>
      </c>
      <c r="C16008" s="52">
        <v>108444.702443556</v>
      </c>
      <c r="D16008" s="56">
        <v>0.10262355708789576</v>
      </c>
      <c r="E16008" s="224" t="s">
        <v>2</v>
      </c>
      <c r="F16008" s="515" t="s">
        <v>17184</v>
      </c>
      <c r="G16008" s="52">
        <v>244897.81317840001</v>
      </c>
      <c r="H16008" s="56">
        <v>0.25954287199597931</v>
      </c>
      <c r="I16008" s="224" t="s">
        <v>2</v>
      </c>
    </row>
    <row r="16009" spans="1:9" x14ac:dyDescent="0.25">
      <c r="A16009" s="515">
        <v>1922</v>
      </c>
      <c r="B16009" s="515" t="s">
        <v>534</v>
      </c>
      <c r="C16009" s="52">
        <v>698218.14240379503</v>
      </c>
      <c r="D16009" s="56">
        <v>6.767283989542619E-2</v>
      </c>
      <c r="E16009" s="224" t="s">
        <v>2</v>
      </c>
      <c r="F16009" s="515" t="s">
        <v>17185</v>
      </c>
      <c r="G16009" s="52">
        <v>160691.542399962</v>
      </c>
      <c r="H16009" s="56">
        <v>4.2640372408843621E-2</v>
      </c>
      <c r="I16009" s="224" t="s">
        <v>2</v>
      </c>
    </row>
    <row r="16010" spans="1:9" x14ac:dyDescent="0.25">
      <c r="A16010" s="515">
        <v>4619</v>
      </c>
      <c r="C16010" s="52">
        <v>132845.12101948299</v>
      </c>
      <c r="D16010" s="56">
        <v>0.12004354899520098</v>
      </c>
      <c r="E16010" s="224" t="s">
        <v>2</v>
      </c>
      <c r="F16010" s="515" t="s">
        <v>17186</v>
      </c>
      <c r="G16010" s="52">
        <v>94090.073991471203</v>
      </c>
      <c r="H16010" s="56">
        <v>2.9336386690799646E-2</v>
      </c>
      <c r="I16010" s="224" t="s">
        <v>2</v>
      </c>
    </row>
    <row r="16011" spans="1:9" x14ac:dyDescent="0.25">
      <c r="A16011" s="515">
        <v>62097</v>
      </c>
      <c r="B16011" s="515" t="s">
        <v>498</v>
      </c>
      <c r="C16011" s="52">
        <v>244752.45349336701</v>
      </c>
      <c r="D16011" s="56">
        <v>0.11881658654218782</v>
      </c>
      <c r="E16011" s="224" t="s">
        <v>2</v>
      </c>
      <c r="F16011" s="515" t="s">
        <v>17187</v>
      </c>
      <c r="G16011" s="52">
        <v>323700.98740940401</v>
      </c>
      <c r="H16011" s="56">
        <v>6.4148864510503861E-2</v>
      </c>
      <c r="I16011" s="224" t="s">
        <v>2</v>
      </c>
    </row>
    <row r="16012" spans="1:9" x14ac:dyDescent="0.25">
      <c r="A16012" s="515">
        <v>17065</v>
      </c>
      <c r="B16012" s="515" t="s">
        <v>428</v>
      </c>
      <c r="C16012" s="52">
        <v>236604.43764595001</v>
      </c>
      <c r="D16012" s="56">
        <v>7.7889060096265589E-2</v>
      </c>
      <c r="E16012" s="224" t="s">
        <v>2</v>
      </c>
      <c r="F16012" s="515" t="s">
        <v>17188</v>
      </c>
      <c r="G16012" s="52">
        <v>509289.93314568303</v>
      </c>
      <c r="H16012" s="56">
        <v>5.8524893911866112E-2</v>
      </c>
      <c r="I16012" s="224" t="s">
        <v>2</v>
      </c>
    </row>
    <row r="16013" spans="1:9" x14ac:dyDescent="0.25">
      <c r="A16013" s="515">
        <v>16262</v>
      </c>
      <c r="B16013" s="515" t="s">
        <v>297</v>
      </c>
      <c r="C16013" s="52">
        <v>165105.45609739199</v>
      </c>
      <c r="D16013" s="56">
        <v>5.4954557194035712E-2</v>
      </c>
      <c r="E16013" s="224" t="s">
        <v>2</v>
      </c>
      <c r="F16013" s="515" t="s">
        <v>17189</v>
      </c>
      <c r="G16013" s="52">
        <v>768396.09813383</v>
      </c>
      <c r="H16013" s="56">
        <v>5.92654821600044E-3</v>
      </c>
      <c r="I16013" s="224" t="s">
        <v>2</v>
      </c>
    </row>
    <row r="16014" spans="1:9" x14ac:dyDescent="0.25">
      <c r="A16014" s="515">
        <v>56159</v>
      </c>
      <c r="C16014" s="52">
        <v>134603.88401496899</v>
      </c>
      <c r="D16014" s="56">
        <v>0.11563628888250177</v>
      </c>
      <c r="E16014" s="224" t="s">
        <v>2</v>
      </c>
      <c r="F16014" s="515" t="s">
        <v>17190</v>
      </c>
      <c r="G16014" s="52">
        <v>205854.37704918001</v>
      </c>
      <c r="H16014" s="56">
        <v>0</v>
      </c>
      <c r="I16014" s="224" t="s">
        <v>2</v>
      </c>
    </row>
    <row r="16015" spans="1:9" x14ac:dyDescent="0.25">
      <c r="A16015" s="515">
        <v>17309</v>
      </c>
      <c r="B16015" s="515" t="s">
        <v>509</v>
      </c>
      <c r="C16015" s="52">
        <v>270276.11029553099</v>
      </c>
      <c r="D16015" s="56">
        <v>9.8555871335278808E-2</v>
      </c>
      <c r="E16015" s="224" t="s">
        <v>2</v>
      </c>
      <c r="F16015" s="515" t="s">
        <v>17191</v>
      </c>
      <c r="G16015" s="52">
        <v>403814.97080727102</v>
      </c>
      <c r="H16015" s="56">
        <v>9.0993633150647124E-2</v>
      </c>
      <c r="I16015" s="224" t="s">
        <v>2</v>
      </c>
    </row>
    <row r="16016" spans="1:9" x14ac:dyDescent="0.25">
      <c r="A16016" s="515">
        <v>40076</v>
      </c>
      <c r="B16016" s="515" t="s">
        <v>479</v>
      </c>
      <c r="C16016" s="52">
        <v>231190.968124479</v>
      </c>
      <c r="D16016" s="56">
        <v>2.4976954424522593E-2</v>
      </c>
      <c r="E16016" s="224" t="s">
        <v>2</v>
      </c>
      <c r="F16016" s="515" t="s">
        <v>17192</v>
      </c>
      <c r="G16016" s="52">
        <v>397600.02144701302</v>
      </c>
      <c r="H16016" s="56">
        <v>6.6651989821605556E-2</v>
      </c>
      <c r="I16016" s="224" t="s">
        <v>2</v>
      </c>
    </row>
    <row r="16017" spans="1:9" x14ac:dyDescent="0.25">
      <c r="A16017" s="515">
        <v>62677</v>
      </c>
      <c r="B16017" s="515" t="s">
        <v>819</v>
      </c>
      <c r="C16017" s="52">
        <v>196718.597502855</v>
      </c>
      <c r="D16017" s="56">
        <v>8.3739984508855017E-2</v>
      </c>
      <c r="E16017" s="224" t="s">
        <v>2</v>
      </c>
      <c r="F16017" s="515" t="s">
        <v>17193</v>
      </c>
      <c r="G16017" s="52">
        <v>289032.23384714499</v>
      </c>
      <c r="H16017" s="56">
        <v>9.284202373091982E-2</v>
      </c>
      <c r="I16017" s="224" t="s">
        <v>2</v>
      </c>
    </row>
    <row r="16018" spans="1:9" x14ac:dyDescent="0.25">
      <c r="A16018" s="515">
        <v>13668</v>
      </c>
      <c r="B16018" s="515" t="s">
        <v>511</v>
      </c>
      <c r="C16018" s="52">
        <v>123156.419789042</v>
      </c>
      <c r="D16018" s="56">
        <v>9.6807462886468049E-2</v>
      </c>
      <c r="E16018" s="224" t="s">
        <v>2</v>
      </c>
      <c r="F16018" s="515" t="s">
        <v>17194</v>
      </c>
      <c r="G16018" s="52">
        <v>328001.77644497302</v>
      </c>
      <c r="H16018" s="56">
        <v>4.2837594058682538E-2</v>
      </c>
      <c r="I16018" s="224" t="s">
        <v>2</v>
      </c>
    </row>
    <row r="16019" spans="1:9" x14ac:dyDescent="0.25">
      <c r="A16019" s="515">
        <v>38316</v>
      </c>
      <c r="B16019" s="515" t="s">
        <v>691</v>
      </c>
      <c r="C16019" s="52">
        <v>124497.92582931501</v>
      </c>
      <c r="D16019" s="56">
        <v>4.5369328226344839E-2</v>
      </c>
      <c r="E16019" s="224" t="s">
        <v>2</v>
      </c>
      <c r="F16019" s="515" t="s">
        <v>17195</v>
      </c>
      <c r="G16019" s="52">
        <v>867207.09650014504</v>
      </c>
      <c r="H16019" s="56">
        <v>3.939700477292872E-2</v>
      </c>
      <c r="I16019" s="224" t="s">
        <v>2</v>
      </c>
    </row>
    <row r="16020" spans="1:9" x14ac:dyDescent="0.25">
      <c r="A16020" s="515">
        <v>55955</v>
      </c>
      <c r="B16020" s="515" t="s">
        <v>470</v>
      </c>
      <c r="C16020" s="52">
        <v>402783.61201328703</v>
      </c>
      <c r="D16020" s="56">
        <v>8.1234819675827921E-2</v>
      </c>
      <c r="E16020" s="224" t="s">
        <v>2</v>
      </c>
      <c r="F16020" s="515" t="s">
        <v>17196</v>
      </c>
      <c r="G16020" s="52">
        <v>1031013.05201407</v>
      </c>
      <c r="H16020" s="56">
        <v>0.16677508830787163</v>
      </c>
      <c r="I16020" s="224" t="s">
        <v>2</v>
      </c>
    </row>
    <row r="16021" spans="1:9" x14ac:dyDescent="0.25">
      <c r="A16021" s="515">
        <v>16371</v>
      </c>
      <c r="B16021" s="515" t="s">
        <v>584</v>
      </c>
      <c r="C16021" s="52">
        <v>124188.447413863</v>
      </c>
      <c r="D16021" s="56">
        <v>9.7018116913963531E-2</v>
      </c>
      <c r="E16021" s="224" t="s">
        <v>2</v>
      </c>
      <c r="F16021" s="515" t="s">
        <v>17197</v>
      </c>
      <c r="G16021" s="52">
        <v>276540.05756954697</v>
      </c>
      <c r="H16021" s="56">
        <v>9.8315621257091465E-2</v>
      </c>
      <c r="I16021" s="224" t="s">
        <v>2</v>
      </c>
    </row>
    <row r="16022" spans="1:9" x14ac:dyDescent="0.25">
      <c r="A16022" s="515">
        <v>65717</v>
      </c>
      <c r="C16022" s="52">
        <v>179447.413817822</v>
      </c>
      <c r="D16022" s="56">
        <v>0.11589604639188739</v>
      </c>
      <c r="E16022" s="224" t="s">
        <v>2</v>
      </c>
      <c r="F16022" s="515" t="s">
        <v>17198</v>
      </c>
      <c r="G16022" s="52">
        <v>250520.18814900899</v>
      </c>
      <c r="H16022" s="56">
        <v>1.7593591771782695E-2</v>
      </c>
      <c r="I16022" s="224" t="s">
        <v>2</v>
      </c>
    </row>
    <row r="16023" spans="1:9" x14ac:dyDescent="0.25">
      <c r="A16023" s="515">
        <v>62890</v>
      </c>
      <c r="C16023" s="52">
        <v>113559.63273481801</v>
      </c>
      <c r="D16023" s="56">
        <v>1.289773328841751E-2</v>
      </c>
      <c r="E16023" s="224" t="s">
        <v>2</v>
      </c>
      <c r="F16023" s="515" t="s">
        <v>17199</v>
      </c>
      <c r="G16023" s="52">
        <v>328566.62310003099</v>
      </c>
      <c r="H16023" s="56">
        <v>7.5396989568367156E-2</v>
      </c>
      <c r="I16023" s="224" t="s">
        <v>2</v>
      </c>
    </row>
    <row r="16024" spans="1:9" x14ac:dyDescent="0.25">
      <c r="A16024" s="515">
        <v>59538</v>
      </c>
      <c r="C16024" s="52">
        <v>277433.28499146702</v>
      </c>
      <c r="D16024" s="56">
        <v>5.0857567145404611E-2</v>
      </c>
      <c r="E16024" s="224" t="s">
        <v>2</v>
      </c>
      <c r="F16024" s="515" t="s">
        <v>17200</v>
      </c>
      <c r="G16024" s="52">
        <v>561265.06052977499</v>
      </c>
      <c r="H16024" s="56">
        <v>4.5260532381791514E-2</v>
      </c>
      <c r="I16024" s="224" t="s">
        <v>2</v>
      </c>
    </row>
    <row r="16025" spans="1:9" x14ac:dyDescent="0.25">
      <c r="A16025" s="515">
        <v>31830</v>
      </c>
      <c r="B16025" s="515" t="s">
        <v>957</v>
      </c>
      <c r="C16025" s="52">
        <v>170037.782486916</v>
      </c>
      <c r="D16025" s="56">
        <v>0.16163143749443853</v>
      </c>
      <c r="E16025" s="224" t="s">
        <v>2</v>
      </c>
      <c r="F16025" s="515" t="s">
        <v>17201</v>
      </c>
      <c r="G16025" s="52">
        <v>218441.80330405399</v>
      </c>
      <c r="H16025" s="56">
        <v>5.5985996495078898E-2</v>
      </c>
      <c r="I16025" s="224" t="s">
        <v>2</v>
      </c>
    </row>
    <row r="16026" spans="1:9" x14ac:dyDescent="0.25">
      <c r="A16026" s="515">
        <v>71958</v>
      </c>
      <c r="C16026" s="52">
        <v>116061.110181054</v>
      </c>
      <c r="D16026" s="56">
        <v>3.3595823367591753E-2</v>
      </c>
      <c r="E16026" s="224" t="s">
        <v>2</v>
      </c>
      <c r="F16026" s="515" t="s">
        <v>17202</v>
      </c>
      <c r="G16026" s="52">
        <v>288715.52920308901</v>
      </c>
      <c r="H16026" s="56">
        <v>3.4900587815951553E-2</v>
      </c>
      <c r="I16026" s="224" t="s">
        <v>2</v>
      </c>
    </row>
    <row r="16027" spans="1:9" x14ac:dyDescent="0.25">
      <c r="A16027" s="515">
        <v>88044</v>
      </c>
      <c r="B16027" s="515" t="s">
        <v>317</v>
      </c>
      <c r="C16027" s="52">
        <v>271683.08036154299</v>
      </c>
      <c r="D16027" s="56">
        <v>0.12409995101113538</v>
      </c>
      <c r="E16027" s="224" t="s">
        <v>2</v>
      </c>
      <c r="F16027" s="515" t="s">
        <v>17203</v>
      </c>
      <c r="G16027" s="52">
        <v>97852.265415363901</v>
      </c>
      <c r="H16027" s="56">
        <v>-3.4532932241041564E-2</v>
      </c>
      <c r="I16027" s="224" t="s">
        <v>2</v>
      </c>
    </row>
    <row r="16028" spans="1:9" x14ac:dyDescent="0.25">
      <c r="A16028" s="515">
        <v>38915</v>
      </c>
      <c r="C16028" s="52">
        <v>106814.39542123101</v>
      </c>
      <c r="D16028" s="56">
        <v>-3.903979548333623E-3</v>
      </c>
      <c r="E16028" s="224" t="s">
        <v>2</v>
      </c>
      <c r="F16028" s="515" t="s">
        <v>17204</v>
      </c>
      <c r="G16028" s="52">
        <v>287248.95160007803</v>
      </c>
      <c r="H16028" s="56">
        <v>4.8244431993280615E-2</v>
      </c>
      <c r="I16028" s="224" t="s">
        <v>2</v>
      </c>
    </row>
    <row r="16029" spans="1:9" x14ac:dyDescent="0.25">
      <c r="A16029" s="515">
        <v>7933</v>
      </c>
      <c r="B16029" s="515" t="s">
        <v>324</v>
      </c>
      <c r="C16029" s="52">
        <v>584122.80083401396</v>
      </c>
      <c r="D16029" s="56">
        <v>2.7788992243264726E-2</v>
      </c>
      <c r="E16029" s="224" t="s">
        <v>2</v>
      </c>
      <c r="F16029" s="515" t="s">
        <v>17205</v>
      </c>
      <c r="G16029" s="52">
        <v>116253.569676303</v>
      </c>
      <c r="H16029" s="56">
        <v>0</v>
      </c>
      <c r="I16029" s="224" t="s">
        <v>2</v>
      </c>
    </row>
    <row r="16030" spans="1:9" x14ac:dyDescent="0.25">
      <c r="A16030" s="515">
        <v>25917</v>
      </c>
      <c r="B16030" s="515" t="s">
        <v>566</v>
      </c>
      <c r="C16030" s="52">
        <v>78140.107917069196</v>
      </c>
      <c r="D16030" s="56">
        <v>0.15614787185649412</v>
      </c>
      <c r="E16030" s="224" t="s">
        <v>2</v>
      </c>
      <c r="F16030" s="515" t="s">
        <v>17206</v>
      </c>
      <c r="G16030" s="52">
        <v>287969.82772273</v>
      </c>
      <c r="H16030" s="56">
        <v>0</v>
      </c>
      <c r="I16030" s="224" t="s">
        <v>2</v>
      </c>
    </row>
    <row r="16031" spans="1:9" x14ac:dyDescent="0.25">
      <c r="A16031" s="515">
        <v>51002</v>
      </c>
      <c r="B16031" s="515" t="s">
        <v>723</v>
      </c>
      <c r="C16031" s="52">
        <v>188393.19672083299</v>
      </c>
      <c r="D16031" s="56">
        <v>8.557709067342173E-2</v>
      </c>
      <c r="E16031" s="224" t="s">
        <v>2</v>
      </c>
      <c r="F16031" s="515" t="s">
        <v>17207</v>
      </c>
      <c r="G16031" s="52">
        <v>127385.62698116701</v>
      </c>
      <c r="H16031" s="56">
        <v>3.7419689934482019E-2</v>
      </c>
      <c r="I16031" s="224" t="s">
        <v>2</v>
      </c>
    </row>
    <row r="16032" spans="1:9" x14ac:dyDescent="0.25">
      <c r="A16032" s="515">
        <v>55943</v>
      </c>
      <c r="B16032" s="515" t="s">
        <v>635</v>
      </c>
      <c r="C16032" s="52">
        <v>252194.973435739</v>
      </c>
      <c r="D16032" s="56">
        <v>0.13342408066569769</v>
      </c>
      <c r="E16032" s="224" t="s">
        <v>2</v>
      </c>
      <c r="F16032" s="515" t="s">
        <v>17208</v>
      </c>
      <c r="G16032" s="52">
        <v>130977.280275736</v>
      </c>
      <c r="H16032" s="56">
        <v>-3.4007999478870947E-2</v>
      </c>
      <c r="I16032" s="224" t="s">
        <v>2</v>
      </c>
    </row>
    <row r="16033" spans="1:9" x14ac:dyDescent="0.25">
      <c r="A16033" s="515">
        <v>38620</v>
      </c>
      <c r="C16033" s="52">
        <v>151467.47524644501</v>
      </c>
      <c r="D16033" s="56">
        <v>6.840184006680472E-2</v>
      </c>
      <c r="E16033" s="224" t="s">
        <v>2</v>
      </c>
      <c r="F16033" s="515" t="s">
        <v>17209</v>
      </c>
      <c r="G16033" s="52">
        <v>137867.510354595</v>
      </c>
      <c r="H16033" s="56">
        <v>5.9705034191096275E-2</v>
      </c>
      <c r="I16033" s="224" t="s">
        <v>2</v>
      </c>
    </row>
    <row r="16034" spans="1:9" x14ac:dyDescent="0.25">
      <c r="A16034" s="515">
        <v>16157</v>
      </c>
      <c r="B16034" s="515" t="s">
        <v>652</v>
      </c>
      <c r="C16034" s="52">
        <v>142180.35346351701</v>
      </c>
      <c r="D16034" s="56">
        <v>8.9799164305046267E-2</v>
      </c>
      <c r="E16034" s="224" t="s">
        <v>2</v>
      </c>
      <c r="F16034" s="515" t="s">
        <v>17210</v>
      </c>
      <c r="G16034" s="52">
        <v>171247.00000635401</v>
      </c>
      <c r="H16034" s="56">
        <v>6.4930766073245022E-2</v>
      </c>
      <c r="I16034" s="224" t="s">
        <v>2</v>
      </c>
    </row>
    <row r="16035" spans="1:9" x14ac:dyDescent="0.25">
      <c r="A16035" s="515">
        <v>92036</v>
      </c>
      <c r="B16035" s="515" t="s">
        <v>396</v>
      </c>
      <c r="C16035" s="52">
        <v>526701.53830836003</v>
      </c>
      <c r="D16035" s="56">
        <v>4.6843804918616318E-2</v>
      </c>
      <c r="E16035" s="224" t="s">
        <v>2</v>
      </c>
      <c r="F16035" s="515" t="s">
        <v>17211</v>
      </c>
      <c r="G16035" s="52">
        <v>99511.187126408302</v>
      </c>
      <c r="H16035" s="56">
        <v>0.13839448030191118</v>
      </c>
      <c r="I16035" s="224" t="s">
        <v>2</v>
      </c>
    </row>
    <row r="16036" spans="1:9" x14ac:dyDescent="0.25">
      <c r="A16036" s="515">
        <v>37888</v>
      </c>
      <c r="B16036" s="515" t="s">
        <v>786</v>
      </c>
      <c r="C16036" s="52">
        <v>185765.00838073099</v>
      </c>
      <c r="D16036" s="56">
        <v>5.8158431743326348E-2</v>
      </c>
      <c r="E16036" s="224" t="s">
        <v>2</v>
      </c>
      <c r="F16036" s="515" t="s">
        <v>17212</v>
      </c>
      <c r="G16036" s="52">
        <v>162571.79812476499</v>
      </c>
      <c r="H16036" s="56">
        <v>-2.4202852816791198E-2</v>
      </c>
      <c r="I16036" s="224" t="s">
        <v>2</v>
      </c>
    </row>
    <row r="16037" spans="1:9" x14ac:dyDescent="0.25">
      <c r="A16037" s="515">
        <v>5033</v>
      </c>
      <c r="B16037" s="515" t="s">
        <v>420</v>
      </c>
      <c r="C16037" s="52">
        <v>255560.491962948</v>
      </c>
      <c r="D16037" s="56">
        <v>0.10864378113282472</v>
      </c>
      <c r="E16037" s="224" t="s">
        <v>2</v>
      </c>
      <c r="F16037" s="515" t="s">
        <v>17213</v>
      </c>
      <c r="G16037" s="52">
        <v>238903.177162001</v>
      </c>
      <c r="H16037" s="56">
        <v>8.7497627492550231E-2</v>
      </c>
      <c r="I16037" s="224" t="s">
        <v>2</v>
      </c>
    </row>
    <row r="16038" spans="1:9" x14ac:dyDescent="0.25">
      <c r="A16038" s="515">
        <v>49655</v>
      </c>
      <c r="C16038" s="52">
        <v>154896.78744304401</v>
      </c>
      <c r="D16038" s="56">
        <v>5.4986839809071535E-2</v>
      </c>
      <c r="E16038" s="224" t="s">
        <v>2</v>
      </c>
      <c r="F16038" s="515" t="s">
        <v>17214</v>
      </c>
      <c r="G16038" s="52">
        <v>154600.36071461299</v>
      </c>
      <c r="H16038" s="56">
        <v>0</v>
      </c>
      <c r="I16038" s="224" t="s">
        <v>2</v>
      </c>
    </row>
    <row r="16039" spans="1:9" x14ac:dyDescent="0.25">
      <c r="A16039" s="515">
        <v>46157</v>
      </c>
      <c r="B16039" s="515" t="s">
        <v>403</v>
      </c>
      <c r="C16039" s="52">
        <v>257547.68346950799</v>
      </c>
      <c r="D16039" s="56">
        <v>7.991964820473571E-2</v>
      </c>
      <c r="E16039" s="224" t="s">
        <v>2</v>
      </c>
      <c r="F16039" s="515" t="s">
        <v>17215</v>
      </c>
      <c r="G16039" s="52">
        <v>316797.46518611902</v>
      </c>
      <c r="H16039" s="56">
        <v>0.10665103498301537</v>
      </c>
      <c r="I16039" s="224" t="s">
        <v>2</v>
      </c>
    </row>
    <row r="16040" spans="1:9" x14ac:dyDescent="0.25">
      <c r="A16040" s="515">
        <v>97327</v>
      </c>
      <c r="B16040" s="515" t="s">
        <v>591</v>
      </c>
      <c r="C16040" s="52">
        <v>413322.37110066402</v>
      </c>
      <c r="D16040" s="56">
        <v>4.7399148663361368E-2</v>
      </c>
      <c r="E16040" s="224" t="s">
        <v>2</v>
      </c>
      <c r="F16040" s="515" t="s">
        <v>17216</v>
      </c>
      <c r="G16040" s="52">
        <v>256254.25209635301</v>
      </c>
      <c r="H16040" s="56">
        <v>0.18969609901882337</v>
      </c>
      <c r="I16040" s="224" t="s">
        <v>2</v>
      </c>
    </row>
    <row r="16041" spans="1:9" x14ac:dyDescent="0.25">
      <c r="A16041" s="515">
        <v>4256</v>
      </c>
      <c r="B16041" s="515" t="s">
        <v>1120</v>
      </c>
      <c r="C16041" s="52">
        <v>233613.48281888801</v>
      </c>
      <c r="D16041" s="56">
        <v>7.7161602446321892E-2</v>
      </c>
      <c r="E16041" s="224" t="s">
        <v>2</v>
      </c>
      <c r="F16041" s="515" t="s">
        <v>17217</v>
      </c>
      <c r="G16041" s="52">
        <v>140600.45943807301</v>
      </c>
      <c r="H16041" s="56">
        <v>7.6671151885899347E-2</v>
      </c>
      <c r="I16041" s="224" t="s">
        <v>2</v>
      </c>
    </row>
    <row r="16042" spans="1:9" x14ac:dyDescent="0.25">
      <c r="A16042" s="515">
        <v>57071</v>
      </c>
      <c r="B16042" s="515" t="s">
        <v>895</v>
      </c>
      <c r="C16042" s="52">
        <v>265315.315537324</v>
      </c>
      <c r="D16042" s="56">
        <v>8.0539542422883151E-2</v>
      </c>
      <c r="E16042" s="224" t="s">
        <v>2</v>
      </c>
      <c r="F16042" s="515" t="s">
        <v>17218</v>
      </c>
      <c r="G16042" s="52">
        <v>312918.32921105798</v>
      </c>
      <c r="H16042" s="56">
        <v>7.3521105071028492E-2</v>
      </c>
      <c r="I16042" s="224" t="s">
        <v>2</v>
      </c>
    </row>
    <row r="16043" spans="1:9" x14ac:dyDescent="0.25">
      <c r="A16043" s="515">
        <v>18972</v>
      </c>
      <c r="B16043" s="515" t="s">
        <v>294</v>
      </c>
      <c r="C16043" s="52">
        <v>457005.86426063202</v>
      </c>
      <c r="D16043" s="56">
        <v>8.785785004052267E-2</v>
      </c>
      <c r="E16043" s="224" t="s">
        <v>2</v>
      </c>
      <c r="F16043" s="515" t="s">
        <v>17219</v>
      </c>
      <c r="G16043" s="52">
        <v>191301.20946854801</v>
      </c>
      <c r="H16043" s="56">
        <v>0.14164877273812415</v>
      </c>
      <c r="I16043" s="224" t="s">
        <v>2</v>
      </c>
    </row>
    <row r="16044" spans="1:9" x14ac:dyDescent="0.25">
      <c r="A16044" s="515">
        <v>4008</v>
      </c>
      <c r="B16044" s="515" t="s">
        <v>570</v>
      </c>
      <c r="C16044" s="52">
        <v>337086.17232050298</v>
      </c>
      <c r="D16044" s="56">
        <v>6.9325744888954627E-2</v>
      </c>
      <c r="E16044" s="224" t="s">
        <v>2</v>
      </c>
      <c r="F16044" s="515" t="s">
        <v>17220</v>
      </c>
      <c r="G16044" s="52">
        <v>88017.650960708299</v>
      </c>
      <c r="H16044" s="56">
        <v>0.10934812815738038</v>
      </c>
      <c r="I16044" s="224" t="s">
        <v>2</v>
      </c>
    </row>
    <row r="16045" spans="1:9" x14ac:dyDescent="0.25">
      <c r="A16045" s="515">
        <v>43469</v>
      </c>
      <c r="B16045" s="515" t="s">
        <v>878</v>
      </c>
      <c r="C16045" s="52">
        <v>189796.86949675801</v>
      </c>
      <c r="D16045" s="56">
        <v>5.3679411818493207E-2</v>
      </c>
      <c r="E16045" s="224" t="s">
        <v>2</v>
      </c>
      <c r="F16045" s="515" t="s">
        <v>17221</v>
      </c>
      <c r="G16045" s="52">
        <v>275862.53310333798</v>
      </c>
      <c r="H16045" s="56">
        <v>0.12524434218575181</v>
      </c>
      <c r="I16045" s="224" t="s">
        <v>2</v>
      </c>
    </row>
    <row r="16046" spans="1:9" x14ac:dyDescent="0.25">
      <c r="A16046" s="515">
        <v>44491</v>
      </c>
      <c r="B16046" s="515" t="s">
        <v>397</v>
      </c>
      <c r="C16046" s="52">
        <v>212269.00047025</v>
      </c>
      <c r="D16046" s="56">
        <v>7.3524390632674727E-2</v>
      </c>
      <c r="E16046" s="224" t="s">
        <v>2</v>
      </c>
      <c r="F16046" s="515" t="s">
        <v>17222</v>
      </c>
      <c r="G16046" s="52">
        <v>364528.707066387</v>
      </c>
      <c r="H16046" s="56">
        <v>0.10299909280171579</v>
      </c>
      <c r="I16046" s="224" t="s">
        <v>2</v>
      </c>
    </row>
    <row r="16047" spans="1:9" x14ac:dyDescent="0.25">
      <c r="A16047" s="515">
        <v>80720</v>
      </c>
      <c r="C16047" s="52">
        <v>232257.735858423</v>
      </c>
      <c r="D16047" s="56">
        <v>4.330685057071211E-2</v>
      </c>
      <c r="E16047" s="224" t="s">
        <v>2</v>
      </c>
      <c r="F16047" s="515" t="s">
        <v>17223</v>
      </c>
      <c r="G16047" s="52">
        <v>157295.33431804099</v>
      </c>
      <c r="H16047" s="56">
        <v>8.3485989516549605E-2</v>
      </c>
      <c r="I16047" s="224" t="s">
        <v>2</v>
      </c>
    </row>
    <row r="16048" spans="1:9" x14ac:dyDescent="0.25">
      <c r="A16048" s="515">
        <v>44304</v>
      </c>
      <c r="B16048" s="515" t="s">
        <v>1000</v>
      </c>
      <c r="C16048" s="52">
        <v>73873.945299807703</v>
      </c>
      <c r="D16048" s="56">
        <v>0.13412910946091275</v>
      </c>
      <c r="E16048" s="224" t="s">
        <v>2</v>
      </c>
      <c r="F16048" s="515" t="s">
        <v>17224</v>
      </c>
      <c r="G16048" s="52">
        <v>350296.03074787499</v>
      </c>
      <c r="H16048" s="56">
        <v>0.10392565253146142</v>
      </c>
      <c r="I16048" s="224" t="s">
        <v>2</v>
      </c>
    </row>
    <row r="16049" spans="1:9" x14ac:dyDescent="0.25">
      <c r="A16049" s="515">
        <v>83539</v>
      </c>
      <c r="C16049" s="52">
        <v>363893.42364829697</v>
      </c>
      <c r="D16049" s="56">
        <v>5.8983079887041587E-2</v>
      </c>
      <c r="E16049" s="224" t="s">
        <v>2</v>
      </c>
      <c r="F16049" s="515" t="s">
        <v>17225</v>
      </c>
      <c r="G16049" s="52">
        <v>1054992.57509623</v>
      </c>
      <c r="H16049" s="56">
        <v>-0.11985099786137887</v>
      </c>
      <c r="I16049" s="224" t="s">
        <v>2</v>
      </c>
    </row>
    <row r="16050" spans="1:9" x14ac:dyDescent="0.25">
      <c r="A16050" s="515">
        <v>54435</v>
      </c>
      <c r="B16050" s="515" t="s">
        <v>940</v>
      </c>
      <c r="C16050" s="52">
        <v>185083.961907405</v>
      </c>
      <c r="D16050" s="56">
        <v>4.9561722659669495E-2</v>
      </c>
      <c r="E16050" s="224" t="s">
        <v>2</v>
      </c>
      <c r="F16050" s="515" t="s">
        <v>17226</v>
      </c>
      <c r="G16050" s="52">
        <v>61678.995535878101</v>
      </c>
      <c r="H16050" s="56">
        <v>0.22604659573436423</v>
      </c>
      <c r="I16050" s="224" t="s">
        <v>2</v>
      </c>
    </row>
    <row r="16051" spans="1:9" x14ac:dyDescent="0.25">
      <c r="A16051" s="515">
        <v>43001</v>
      </c>
      <c r="B16051" s="515" t="s">
        <v>345</v>
      </c>
      <c r="C16051" s="52">
        <v>382189.39106750401</v>
      </c>
      <c r="D16051" s="56">
        <v>0.12799469923649373</v>
      </c>
      <c r="E16051" s="224" t="s">
        <v>2</v>
      </c>
      <c r="F16051" s="515" t="s">
        <v>17227</v>
      </c>
      <c r="G16051" s="52">
        <v>110082.787391227</v>
      </c>
      <c r="H16051" s="56">
        <v>0.11284937673693825</v>
      </c>
      <c r="I16051" s="224" t="s">
        <v>2</v>
      </c>
    </row>
    <row r="16052" spans="1:9" x14ac:dyDescent="0.25">
      <c r="A16052" s="515">
        <v>20662</v>
      </c>
      <c r="B16052" s="515" t="s">
        <v>321</v>
      </c>
      <c r="C16052" s="52">
        <v>339181.75537116098</v>
      </c>
      <c r="D16052" s="56">
        <v>8.2701587243225374E-3</v>
      </c>
      <c r="E16052" s="224" t="s">
        <v>2</v>
      </c>
      <c r="F16052" s="515" t="s">
        <v>17228</v>
      </c>
      <c r="G16052" s="52">
        <v>153953.328268376</v>
      </c>
      <c r="H16052" s="56">
        <v>0.11470717014811746</v>
      </c>
      <c r="I16052" s="224" t="s">
        <v>2</v>
      </c>
    </row>
    <row r="16053" spans="1:9" x14ac:dyDescent="0.25">
      <c r="A16053" s="515">
        <v>24067</v>
      </c>
      <c r="B16053" s="515" t="s">
        <v>861</v>
      </c>
      <c r="C16053" s="52">
        <v>256300.71222601499</v>
      </c>
      <c r="D16053" s="56">
        <v>0.10773909714873263</v>
      </c>
      <c r="E16053" s="224" t="s">
        <v>2</v>
      </c>
      <c r="F16053" s="515" t="s">
        <v>17229</v>
      </c>
      <c r="G16053" s="52">
        <v>214598.57802256901</v>
      </c>
      <c r="H16053" s="56">
        <v>9.1083355696152418E-2</v>
      </c>
      <c r="I16053" s="224" t="s">
        <v>2</v>
      </c>
    </row>
    <row r="16054" spans="1:9" x14ac:dyDescent="0.25">
      <c r="A16054" s="515">
        <v>12501</v>
      </c>
      <c r="B16054" s="515" t="s">
        <v>529</v>
      </c>
      <c r="C16054" s="52">
        <v>408352.83524966502</v>
      </c>
      <c r="D16054" s="56">
        <v>8.81984030695733E-2</v>
      </c>
      <c r="E16054" s="224" t="s">
        <v>2</v>
      </c>
      <c r="F16054" s="515" t="s">
        <v>17230</v>
      </c>
      <c r="G16054" s="52">
        <v>88975.318435754103</v>
      </c>
      <c r="H16054" s="56">
        <v>0</v>
      </c>
      <c r="I16054" s="224" t="s">
        <v>2</v>
      </c>
    </row>
    <row r="16055" spans="1:9" x14ac:dyDescent="0.25">
      <c r="A16055" s="515">
        <v>72443</v>
      </c>
      <c r="B16055" s="515" t="s">
        <v>1023</v>
      </c>
      <c r="C16055" s="52">
        <v>117870.271961209</v>
      </c>
      <c r="D16055" s="56">
        <v>7.4674573503473868E-2</v>
      </c>
      <c r="E16055" s="224" t="s">
        <v>2</v>
      </c>
      <c r="F16055" s="515" t="s">
        <v>17231</v>
      </c>
      <c r="G16055" s="52">
        <v>161466.686831614</v>
      </c>
      <c r="H16055" s="56">
        <v>4.7677472426317605E-2</v>
      </c>
      <c r="I16055" s="224" t="s">
        <v>2</v>
      </c>
    </row>
    <row r="16056" spans="1:9" x14ac:dyDescent="0.25">
      <c r="A16056" s="515">
        <v>4456</v>
      </c>
      <c r="B16056" s="515" t="s">
        <v>792</v>
      </c>
      <c r="C16056" s="52">
        <v>266633.21963370399</v>
      </c>
      <c r="D16056" s="56">
        <v>9.2823638487667462E-2</v>
      </c>
      <c r="E16056" s="224" t="s">
        <v>2</v>
      </c>
      <c r="F16056" s="515" t="s">
        <v>17232</v>
      </c>
      <c r="G16056" s="52">
        <v>68736.456953642293</v>
      </c>
      <c r="H16056" s="56">
        <v>0</v>
      </c>
      <c r="I16056" s="224" t="s">
        <v>2</v>
      </c>
    </row>
    <row r="16057" spans="1:9" x14ac:dyDescent="0.25">
      <c r="A16057" s="515">
        <v>2657</v>
      </c>
      <c r="B16057" s="515" t="s">
        <v>427</v>
      </c>
      <c r="C16057" s="52">
        <v>865464.50747406296</v>
      </c>
      <c r="D16057" s="56">
        <v>9.619049603994502E-2</v>
      </c>
      <c r="E16057" s="224" t="s">
        <v>2</v>
      </c>
      <c r="F16057" s="515" t="s">
        <v>17233</v>
      </c>
      <c r="G16057" s="52">
        <v>197240.3</v>
      </c>
      <c r="H16057" s="56">
        <v>0</v>
      </c>
      <c r="I16057" s="224" t="s">
        <v>2</v>
      </c>
    </row>
    <row r="16058" spans="1:9" x14ac:dyDescent="0.25">
      <c r="A16058" s="515">
        <v>38256</v>
      </c>
      <c r="B16058" s="515" t="s">
        <v>975</v>
      </c>
      <c r="C16058" s="52">
        <v>150211.65252854</v>
      </c>
      <c r="D16058" s="56">
        <v>8.5136827296748138E-2</v>
      </c>
      <c r="E16058" s="224" t="s">
        <v>2</v>
      </c>
      <c r="F16058" s="515" t="s">
        <v>17234</v>
      </c>
      <c r="G16058" s="52">
        <v>102972.04069323299</v>
      </c>
      <c r="H16058" s="56">
        <v>-1.3902283782039873E-2</v>
      </c>
      <c r="I16058" s="224" t="s">
        <v>2</v>
      </c>
    </row>
    <row r="16059" spans="1:9" x14ac:dyDescent="0.25">
      <c r="A16059" s="515">
        <v>57001</v>
      </c>
      <c r="B16059" s="515" t="s">
        <v>649</v>
      </c>
      <c r="C16059" s="52">
        <v>226493.27396222501</v>
      </c>
      <c r="D16059" s="56">
        <v>0.16399185746204017</v>
      </c>
      <c r="E16059" s="224" t="s">
        <v>2</v>
      </c>
      <c r="F16059" s="515" t="s">
        <v>17235</v>
      </c>
      <c r="G16059" s="52">
        <v>190017.77326673901</v>
      </c>
      <c r="H16059" s="56">
        <v>0.12495079779460004</v>
      </c>
      <c r="I16059" s="224" t="s">
        <v>2</v>
      </c>
    </row>
    <row r="16060" spans="1:9" x14ac:dyDescent="0.25">
      <c r="A16060" s="515">
        <v>16434</v>
      </c>
      <c r="B16060" s="515" t="s">
        <v>1042</v>
      </c>
      <c r="C16060" s="52">
        <v>138648.19155633799</v>
      </c>
      <c r="D16060" s="56">
        <v>3.2162595223615781E-2</v>
      </c>
      <c r="E16060" s="224" t="s">
        <v>2</v>
      </c>
      <c r="F16060" s="515" t="s">
        <v>17236</v>
      </c>
      <c r="G16060" s="52">
        <v>218509.33330410501</v>
      </c>
      <c r="H16060" s="56">
        <v>1.832240866915482E-2</v>
      </c>
      <c r="I16060" s="224" t="s">
        <v>2</v>
      </c>
    </row>
    <row r="16061" spans="1:9" x14ac:dyDescent="0.25">
      <c r="A16061" s="515">
        <v>28395</v>
      </c>
      <c r="B16061" s="515" t="s">
        <v>1149</v>
      </c>
      <c r="C16061" s="52">
        <v>214568.45946523099</v>
      </c>
      <c r="D16061" s="56">
        <v>0.2214866477339969</v>
      </c>
      <c r="E16061" s="224" t="s">
        <v>2</v>
      </c>
      <c r="F16061" s="515" t="s">
        <v>17237</v>
      </c>
      <c r="G16061" s="52">
        <v>121015.537974683</v>
      </c>
      <c r="H16061" s="56">
        <v>0</v>
      </c>
      <c r="I16061" s="224" t="s">
        <v>2</v>
      </c>
    </row>
    <row r="16062" spans="1:9" x14ac:dyDescent="0.25">
      <c r="A16062" s="515">
        <v>14812</v>
      </c>
      <c r="C16062" s="52">
        <v>137836.22353750499</v>
      </c>
      <c r="D16062" s="56">
        <v>5.6449516127966559E-2</v>
      </c>
      <c r="E16062" s="224" t="s">
        <v>2</v>
      </c>
      <c r="F16062" s="515" t="s">
        <v>17238</v>
      </c>
      <c r="G16062" s="52">
        <v>207564.02796807099</v>
      </c>
      <c r="H16062" s="56">
        <v>4.1692481971729943E-2</v>
      </c>
      <c r="I16062" s="224" t="s">
        <v>2</v>
      </c>
    </row>
    <row r="16063" spans="1:9" x14ac:dyDescent="0.25">
      <c r="A16063" s="515">
        <v>51445</v>
      </c>
      <c r="C16063" s="52">
        <v>114087.626760969</v>
      </c>
      <c r="D16063" s="56">
        <v>6.0641768307651563E-2</v>
      </c>
      <c r="E16063" s="224" t="s">
        <v>2</v>
      </c>
      <c r="F16063" s="515" t="s">
        <v>17239</v>
      </c>
      <c r="G16063" s="52">
        <v>226116.98565833899</v>
      </c>
      <c r="H16063" s="56">
        <v>0.10674055903354962</v>
      </c>
      <c r="I16063" s="224" t="s">
        <v>2</v>
      </c>
    </row>
    <row r="16064" spans="1:9" x14ac:dyDescent="0.25">
      <c r="A16064" s="515">
        <v>54726</v>
      </c>
      <c r="B16064" s="515" t="s">
        <v>1028</v>
      </c>
      <c r="C16064" s="52">
        <v>175217.181622167</v>
      </c>
      <c r="D16064" s="56">
        <v>6.6762150566599301E-2</v>
      </c>
      <c r="E16064" s="224" t="s">
        <v>2</v>
      </c>
      <c r="F16064" s="515" t="s">
        <v>17240</v>
      </c>
      <c r="G16064" s="52">
        <v>268398.92424726998</v>
      </c>
      <c r="H16064" s="56">
        <v>7.3975806093006163E-2</v>
      </c>
      <c r="I16064" s="224" t="s">
        <v>2</v>
      </c>
    </row>
    <row r="16065" spans="1:9" x14ac:dyDescent="0.25">
      <c r="A16065" s="515">
        <v>70071</v>
      </c>
      <c r="B16065" s="515" t="s">
        <v>777</v>
      </c>
      <c r="C16065" s="52">
        <v>152368.621228442</v>
      </c>
      <c r="D16065" s="56">
        <v>8.7012613972223832E-2</v>
      </c>
      <c r="E16065" s="224" t="s">
        <v>2</v>
      </c>
      <c r="F16065" s="515" t="s">
        <v>17241</v>
      </c>
      <c r="G16065" s="52">
        <v>226293.114035087</v>
      </c>
      <c r="H16065" s="56">
        <v>0</v>
      </c>
      <c r="I16065" s="224" t="s">
        <v>2</v>
      </c>
    </row>
    <row r="16066" spans="1:9" x14ac:dyDescent="0.25">
      <c r="A16066" s="515">
        <v>82721</v>
      </c>
      <c r="B16066" s="515" t="s">
        <v>589</v>
      </c>
      <c r="C16066" s="52">
        <v>331402.45452701102</v>
      </c>
      <c r="D16066" s="56">
        <v>0.10507503949497843</v>
      </c>
      <c r="E16066" s="224" t="s">
        <v>2</v>
      </c>
      <c r="F16066" s="515" t="s">
        <v>17242</v>
      </c>
      <c r="G16066" s="52">
        <v>459283.784870704</v>
      </c>
      <c r="H16066" s="56">
        <v>4.5431077085132152E-2</v>
      </c>
      <c r="I16066" s="224" t="s">
        <v>2</v>
      </c>
    </row>
    <row r="16067" spans="1:9" x14ac:dyDescent="0.25">
      <c r="A16067" s="515">
        <v>62924</v>
      </c>
      <c r="B16067" s="515" t="s">
        <v>471</v>
      </c>
      <c r="C16067" s="52">
        <v>83142.3267059434</v>
      </c>
      <c r="D16067" s="56">
        <v>-2.5442998284451533E-2</v>
      </c>
      <c r="E16067" s="224" t="s">
        <v>2</v>
      </c>
      <c r="F16067" s="515" t="s">
        <v>17243</v>
      </c>
      <c r="G16067" s="52">
        <v>65371.469656683497</v>
      </c>
      <c r="H16067" s="56">
        <v>0.16036981144269777</v>
      </c>
      <c r="I16067" s="224" t="s">
        <v>2</v>
      </c>
    </row>
    <row r="16068" spans="1:9" x14ac:dyDescent="0.25">
      <c r="A16068" s="515">
        <v>50421</v>
      </c>
      <c r="C16068" s="52">
        <v>115557.828376847</v>
      </c>
      <c r="D16068" s="56">
        <v>0</v>
      </c>
      <c r="E16068" s="224" t="s">
        <v>2</v>
      </c>
      <c r="F16068" s="515" t="s">
        <v>17244</v>
      </c>
      <c r="G16068" s="52">
        <v>523685.19371812302</v>
      </c>
      <c r="H16068" s="56">
        <v>4.2907119772898114E-2</v>
      </c>
      <c r="I16068" s="224" t="s">
        <v>2</v>
      </c>
    </row>
    <row r="16069" spans="1:9" x14ac:dyDescent="0.25">
      <c r="A16069" s="515">
        <v>57551</v>
      </c>
      <c r="C16069" s="52">
        <v>157252.443708609</v>
      </c>
      <c r="D16069" s="56">
        <v>0</v>
      </c>
      <c r="E16069" s="224" t="s">
        <v>2</v>
      </c>
      <c r="F16069" s="515" t="s">
        <v>17245</v>
      </c>
      <c r="G16069" s="52">
        <v>205826.00776134801</v>
      </c>
      <c r="H16069" s="56">
        <v>8.5038500534077466E-2</v>
      </c>
      <c r="I16069" s="224" t="s">
        <v>2</v>
      </c>
    </row>
    <row r="16070" spans="1:9" x14ac:dyDescent="0.25">
      <c r="A16070" s="515">
        <v>4917</v>
      </c>
      <c r="B16070" s="515" t="s">
        <v>848</v>
      </c>
      <c r="C16070" s="52">
        <v>355521.22554416698</v>
      </c>
      <c r="D16070" s="56">
        <v>0.10198410744541161</v>
      </c>
      <c r="E16070" s="224" t="s">
        <v>2</v>
      </c>
      <c r="F16070" s="515" t="s">
        <v>17246</v>
      </c>
      <c r="G16070" s="52">
        <v>109486.65114563001</v>
      </c>
      <c r="H16070" s="56">
        <v>7.1597721747687457E-2</v>
      </c>
      <c r="I16070" s="224" t="s">
        <v>2</v>
      </c>
    </row>
    <row r="16071" spans="1:9" x14ac:dyDescent="0.25">
      <c r="A16071" s="515">
        <v>68955</v>
      </c>
      <c r="B16071" s="515" t="s">
        <v>754</v>
      </c>
      <c r="C16071" s="52">
        <v>300356.60757427302</v>
      </c>
      <c r="D16071" s="56">
        <v>4.3544084911329377E-2</v>
      </c>
      <c r="E16071" s="224" t="s">
        <v>2</v>
      </c>
      <c r="F16071" s="515" t="s">
        <v>17247</v>
      </c>
      <c r="G16071" s="52">
        <v>143271.82800663199</v>
      </c>
      <c r="H16071" s="56">
        <v>4.4971581069935013E-2</v>
      </c>
      <c r="I16071" s="224" t="s">
        <v>2</v>
      </c>
    </row>
    <row r="16072" spans="1:9" x14ac:dyDescent="0.25">
      <c r="A16072" s="515">
        <v>98813</v>
      </c>
      <c r="B16072" s="515" t="s">
        <v>521</v>
      </c>
      <c r="C16072" s="52">
        <v>200332.71396521601</v>
      </c>
      <c r="D16072" s="56">
        <v>8.1479512559378742E-2</v>
      </c>
      <c r="E16072" s="224" t="s">
        <v>2</v>
      </c>
      <c r="F16072" s="515" t="s">
        <v>17248</v>
      </c>
      <c r="G16072" s="52">
        <v>223064.53153153101</v>
      </c>
      <c r="H16072" s="56">
        <v>0</v>
      </c>
      <c r="I16072" s="224" t="s">
        <v>2</v>
      </c>
    </row>
    <row r="16073" spans="1:9" x14ac:dyDescent="0.25">
      <c r="A16073" s="515">
        <v>74032</v>
      </c>
      <c r="B16073" s="515" t="s">
        <v>969</v>
      </c>
      <c r="C16073" s="52">
        <v>175002.22702771399</v>
      </c>
      <c r="D16073" s="56">
        <v>0.12129559764921889</v>
      </c>
      <c r="E16073" s="224" t="s">
        <v>2</v>
      </c>
      <c r="F16073" s="515" t="s">
        <v>17249</v>
      </c>
      <c r="G16073" s="52">
        <v>99121.008174413102</v>
      </c>
      <c r="H16073" s="56">
        <v>3.2035906378317526E-2</v>
      </c>
      <c r="I16073" s="224" t="s">
        <v>2</v>
      </c>
    </row>
    <row r="16074" spans="1:9" x14ac:dyDescent="0.25">
      <c r="A16074" s="515">
        <v>98340</v>
      </c>
      <c r="B16074" s="515" t="s">
        <v>620</v>
      </c>
      <c r="C16074" s="52">
        <v>675237.04242430395</v>
      </c>
      <c r="D16074" s="56">
        <v>4.0673677571066172E-2</v>
      </c>
      <c r="E16074" s="224" t="s">
        <v>2</v>
      </c>
      <c r="F16074" s="515" t="s">
        <v>17250</v>
      </c>
      <c r="G16074" s="52">
        <v>1317332.8358116399</v>
      </c>
      <c r="H16074" s="56">
        <v>0.12270800805073211</v>
      </c>
      <c r="I16074" s="224" t="s">
        <v>2</v>
      </c>
    </row>
    <row r="16075" spans="1:9" x14ac:dyDescent="0.25">
      <c r="A16075" s="515">
        <v>40142</v>
      </c>
      <c r="B16075" s="515" t="s">
        <v>671</v>
      </c>
      <c r="C16075" s="52">
        <v>212774.285196026</v>
      </c>
      <c r="D16075" s="56">
        <v>0.1051983970988439</v>
      </c>
      <c r="E16075" s="224" t="s">
        <v>2</v>
      </c>
      <c r="F16075" s="515" t="s">
        <v>17251</v>
      </c>
      <c r="G16075" s="52">
        <v>391337.18425374402</v>
      </c>
      <c r="H16075" s="56">
        <v>6.6962479913127829E-2</v>
      </c>
      <c r="I16075" s="224" t="s">
        <v>2</v>
      </c>
    </row>
    <row r="16076" spans="1:9" x14ac:dyDescent="0.25">
      <c r="A16076" s="515">
        <v>26571</v>
      </c>
      <c r="B16076" s="515" t="s">
        <v>302</v>
      </c>
      <c r="C16076" s="52">
        <v>101933.995941234</v>
      </c>
      <c r="D16076" s="56">
        <v>7.2342446797631799E-2</v>
      </c>
      <c r="E16076" s="224" t="s">
        <v>2</v>
      </c>
      <c r="F16076" s="515" t="s">
        <v>17252</v>
      </c>
      <c r="G16076" s="52">
        <v>141519.11124440501</v>
      </c>
      <c r="H16076" s="56">
        <v>5.7526997170703635E-2</v>
      </c>
      <c r="I16076" s="224" t="s">
        <v>2</v>
      </c>
    </row>
    <row r="16077" spans="1:9" x14ac:dyDescent="0.25">
      <c r="A16077" s="515">
        <v>42031</v>
      </c>
      <c r="C16077" s="52">
        <v>106684.41373757699</v>
      </c>
      <c r="D16077" s="56">
        <v>0.19418550110923835</v>
      </c>
      <c r="E16077" s="224" t="s">
        <v>2</v>
      </c>
      <c r="F16077" s="515" t="s">
        <v>17253</v>
      </c>
      <c r="G16077" s="52">
        <v>189618.100999388</v>
      </c>
      <c r="H16077" s="56">
        <v>3.7033133822133905E-2</v>
      </c>
      <c r="I16077" s="224" t="s">
        <v>2</v>
      </c>
    </row>
    <row r="16078" spans="1:9" x14ac:dyDescent="0.25">
      <c r="A16078" s="515">
        <v>83641</v>
      </c>
      <c r="B16078" s="515" t="s">
        <v>500</v>
      </c>
      <c r="C16078" s="52">
        <v>509617.778389777</v>
      </c>
      <c r="D16078" s="56">
        <v>5.7713656693128217E-2</v>
      </c>
      <c r="E16078" s="224" t="s">
        <v>2</v>
      </c>
      <c r="F16078" s="515" t="s">
        <v>17254</v>
      </c>
      <c r="G16078" s="52">
        <v>731099.91644418298</v>
      </c>
      <c r="H16078" s="56">
        <v>0.11265056513615077</v>
      </c>
      <c r="I16078" s="224" t="s">
        <v>2</v>
      </c>
    </row>
    <row r="16079" spans="1:9" x14ac:dyDescent="0.25">
      <c r="A16079" s="515">
        <v>34705</v>
      </c>
      <c r="B16079" s="515" t="s">
        <v>517</v>
      </c>
      <c r="C16079" s="52">
        <v>318276.11557168601</v>
      </c>
      <c r="D16079" s="56">
        <v>0.15916814425300613</v>
      </c>
      <c r="E16079" s="224" t="s">
        <v>2</v>
      </c>
      <c r="F16079" s="515" t="s">
        <v>17255</v>
      </c>
      <c r="G16079" s="52">
        <v>59404.211991757402</v>
      </c>
      <c r="H16079" s="56">
        <v>0.25998703335725742</v>
      </c>
      <c r="I16079" s="224" t="s">
        <v>2</v>
      </c>
    </row>
    <row r="16080" spans="1:9" x14ac:dyDescent="0.25">
      <c r="A16080" s="515">
        <v>84629</v>
      </c>
      <c r="C16080" s="52">
        <v>374335.08438027801</v>
      </c>
      <c r="D16080" s="56">
        <v>8.7817431317387742E-2</v>
      </c>
      <c r="E16080" s="224" t="s">
        <v>2</v>
      </c>
      <c r="F16080" s="515" t="s">
        <v>17256</v>
      </c>
      <c r="G16080" s="52">
        <v>101762.08219518801</v>
      </c>
      <c r="H16080" s="56">
        <v>2.7713905480892878E-2</v>
      </c>
      <c r="I16080" s="224" t="s">
        <v>2</v>
      </c>
    </row>
    <row r="16081" spans="1:9" x14ac:dyDescent="0.25">
      <c r="A16081" s="515">
        <v>23149</v>
      </c>
      <c r="C16081" s="52">
        <v>283010.74359637999</v>
      </c>
      <c r="D16081" s="56">
        <v>9.0190995691947939E-2</v>
      </c>
      <c r="E16081" s="224" t="s">
        <v>2</v>
      </c>
      <c r="F16081" s="515" t="s">
        <v>17257</v>
      </c>
      <c r="G16081" s="52">
        <v>122790.38627179401</v>
      </c>
      <c r="H16081" s="56">
        <v>9.1633229420096593E-2</v>
      </c>
      <c r="I16081" s="224" t="s">
        <v>2</v>
      </c>
    </row>
    <row r="16082" spans="1:9" x14ac:dyDescent="0.25">
      <c r="A16082" s="515">
        <v>15026</v>
      </c>
      <c r="B16082" s="515" t="s">
        <v>297</v>
      </c>
      <c r="C16082" s="52">
        <v>295689.31095455698</v>
      </c>
      <c r="D16082" s="56">
        <v>3.789914082141653E-2</v>
      </c>
      <c r="E16082" s="224" t="s">
        <v>2</v>
      </c>
      <c r="F16082" s="515" t="s">
        <v>17258</v>
      </c>
      <c r="G16082" s="52">
        <v>136785.613587275</v>
      </c>
      <c r="H16082" s="56">
        <v>0.2022402175858751</v>
      </c>
      <c r="I16082" s="224" t="s">
        <v>2</v>
      </c>
    </row>
    <row r="16083" spans="1:9" x14ac:dyDescent="0.25">
      <c r="A16083" s="515">
        <v>49344</v>
      </c>
      <c r="B16083" s="515" t="s">
        <v>856</v>
      </c>
      <c r="C16083" s="52">
        <v>265912.32640339801</v>
      </c>
      <c r="D16083" s="56">
        <v>7.3331830404387649E-2</v>
      </c>
      <c r="E16083" s="224" t="s">
        <v>2</v>
      </c>
      <c r="F16083" s="515" t="s">
        <v>17259</v>
      </c>
      <c r="G16083" s="52">
        <v>274932.10070060799</v>
      </c>
      <c r="H16083" s="56">
        <v>9.8080682645394782E-2</v>
      </c>
      <c r="I16083" s="224" t="s">
        <v>2</v>
      </c>
    </row>
    <row r="16084" spans="1:9" x14ac:dyDescent="0.25">
      <c r="A16084" s="515">
        <v>38221</v>
      </c>
      <c r="C16084" s="52">
        <v>142576.76258186399</v>
      </c>
      <c r="D16084" s="56">
        <v>7.6444744896553091E-2</v>
      </c>
      <c r="E16084" s="224" t="s">
        <v>2</v>
      </c>
      <c r="F16084" s="515" t="s">
        <v>17260</v>
      </c>
      <c r="G16084" s="52">
        <v>111604.062425645</v>
      </c>
      <c r="H16084" s="56">
        <v>8.815985727336717E-2</v>
      </c>
      <c r="I16084" s="224" t="s">
        <v>2</v>
      </c>
    </row>
    <row r="16085" spans="1:9" x14ac:dyDescent="0.25">
      <c r="A16085" s="515">
        <v>22644</v>
      </c>
      <c r="C16085" s="52">
        <v>300863.11686898902</v>
      </c>
      <c r="D16085" s="56">
        <v>7.8641153860296575E-2</v>
      </c>
      <c r="E16085" s="224" t="s">
        <v>2</v>
      </c>
      <c r="F16085" s="515" t="s">
        <v>17261</v>
      </c>
      <c r="G16085" s="52">
        <v>247338.31046897799</v>
      </c>
      <c r="H16085" s="56">
        <v>0.14767774520902874</v>
      </c>
      <c r="I16085" s="224" t="s">
        <v>2</v>
      </c>
    </row>
    <row r="16086" spans="1:9" x14ac:dyDescent="0.25">
      <c r="A16086" s="515">
        <v>8063</v>
      </c>
      <c r="B16086" s="515" t="s">
        <v>294</v>
      </c>
      <c r="C16086" s="52">
        <v>208005.75817123099</v>
      </c>
      <c r="D16086" s="56">
        <v>0.11567300604372059</v>
      </c>
      <c r="E16086" s="224" t="s">
        <v>2</v>
      </c>
      <c r="F16086" s="515" t="s">
        <v>17262</v>
      </c>
      <c r="G16086" s="52">
        <v>59656.3881149687</v>
      </c>
      <c r="H16086" s="56">
        <v>8.8141000808731173E-3</v>
      </c>
      <c r="I16086" s="224" t="s">
        <v>2</v>
      </c>
    </row>
    <row r="16087" spans="1:9" x14ac:dyDescent="0.25">
      <c r="A16087" s="515">
        <v>15112</v>
      </c>
      <c r="B16087" s="515" t="s">
        <v>297</v>
      </c>
      <c r="C16087" s="52">
        <v>92623.997812813206</v>
      </c>
      <c r="D16087" s="56">
        <v>0.14904345657975321</v>
      </c>
      <c r="E16087" s="224" t="s">
        <v>2</v>
      </c>
      <c r="F16087" s="515" t="s">
        <v>17263</v>
      </c>
      <c r="G16087" s="52">
        <v>304980.52490811597</v>
      </c>
      <c r="H16087" s="56">
        <v>6.58215573853798E-2</v>
      </c>
      <c r="I16087" s="224" t="s">
        <v>2</v>
      </c>
    </row>
    <row r="16088" spans="1:9" x14ac:dyDescent="0.25">
      <c r="A16088" s="515">
        <v>54460</v>
      </c>
      <c r="C16088" s="52">
        <v>113067.000035943</v>
      </c>
      <c r="D16088" s="56">
        <v>7.569798893590457E-2</v>
      </c>
      <c r="E16088" s="224" t="s">
        <v>2</v>
      </c>
      <c r="F16088" s="515" t="s">
        <v>17264</v>
      </c>
      <c r="G16088" s="52">
        <v>185953.135483619</v>
      </c>
      <c r="H16088" s="56">
        <v>4.4980400418478096E-2</v>
      </c>
      <c r="I16088" s="224" t="s">
        <v>2</v>
      </c>
    </row>
    <row r="16089" spans="1:9" x14ac:dyDescent="0.25">
      <c r="A16089" s="515">
        <v>59327</v>
      </c>
      <c r="C16089" s="52">
        <v>220817.85467930601</v>
      </c>
      <c r="D16089" s="56">
        <v>0.1073382693336974</v>
      </c>
      <c r="E16089" s="224" t="s">
        <v>2</v>
      </c>
      <c r="F16089" s="515" t="s">
        <v>17265</v>
      </c>
      <c r="G16089" s="52">
        <v>309580.34735836601</v>
      </c>
      <c r="H16089" s="56">
        <v>9.2728708632428505E-2</v>
      </c>
      <c r="I16089" s="224" t="s">
        <v>2</v>
      </c>
    </row>
    <row r="16090" spans="1:9" x14ac:dyDescent="0.25">
      <c r="A16090" s="515">
        <v>48755</v>
      </c>
      <c r="C16090" s="52">
        <v>161643.24566496399</v>
      </c>
      <c r="D16090" s="56">
        <v>4.5717710371494684E-2</v>
      </c>
      <c r="E16090" s="224" t="s">
        <v>2</v>
      </c>
      <c r="F16090" s="515" t="s">
        <v>17266</v>
      </c>
      <c r="G16090" s="52">
        <v>442703.59531830798</v>
      </c>
      <c r="H16090" s="56">
        <v>6.8101345813973244E-2</v>
      </c>
      <c r="I16090" s="224" t="s">
        <v>2</v>
      </c>
    </row>
    <row r="16091" spans="1:9" x14ac:dyDescent="0.25">
      <c r="A16091" s="515">
        <v>74941</v>
      </c>
      <c r="C16091" s="52">
        <v>130400.38868325901</v>
      </c>
      <c r="D16091" s="56">
        <v>0.12484919386454892</v>
      </c>
      <c r="E16091" s="224" t="s">
        <v>2</v>
      </c>
      <c r="F16091" s="515" t="s">
        <v>17267</v>
      </c>
      <c r="G16091" s="52">
        <v>76569.347624499904</v>
      </c>
      <c r="H16091" s="56">
        <v>0.22373778406231032</v>
      </c>
      <c r="I16091" s="224" t="s">
        <v>2</v>
      </c>
    </row>
    <row r="16092" spans="1:9" x14ac:dyDescent="0.25">
      <c r="A16092" s="515">
        <v>27581</v>
      </c>
      <c r="B16092" s="515" t="s">
        <v>467</v>
      </c>
      <c r="C16092" s="52">
        <v>284131.28293392598</v>
      </c>
      <c r="D16092" s="56">
        <v>0.1229764020887649</v>
      </c>
      <c r="E16092" s="224" t="s">
        <v>2</v>
      </c>
      <c r="F16092" s="515" t="s">
        <v>17268</v>
      </c>
      <c r="G16092" s="52">
        <v>147103.727497088</v>
      </c>
      <c r="H16092" s="56">
        <v>7.1507789342645262E-2</v>
      </c>
      <c r="I16092" s="224" t="s">
        <v>2</v>
      </c>
    </row>
    <row r="16093" spans="1:9" x14ac:dyDescent="0.25">
      <c r="A16093" s="515">
        <v>37145</v>
      </c>
      <c r="B16093" s="515" t="s">
        <v>684</v>
      </c>
      <c r="C16093" s="52">
        <v>227370.523247612</v>
      </c>
      <c r="D16093" s="56">
        <v>6.9135188474995682E-2</v>
      </c>
      <c r="E16093" s="224" t="s">
        <v>2</v>
      </c>
      <c r="F16093" s="515" t="s">
        <v>17269</v>
      </c>
      <c r="G16093" s="52">
        <v>121974.778853928</v>
      </c>
      <c r="H16093" s="56">
        <v>0.12373379962944105</v>
      </c>
      <c r="I16093" s="224" t="s">
        <v>2</v>
      </c>
    </row>
    <row r="16094" spans="1:9" x14ac:dyDescent="0.25">
      <c r="A16094" s="515">
        <v>23350</v>
      </c>
      <c r="C16094" s="52">
        <v>158380.74731327</v>
      </c>
      <c r="D16094" s="56">
        <v>0.14887219783864988</v>
      </c>
      <c r="E16094" s="224" t="s">
        <v>2</v>
      </c>
      <c r="F16094" s="515" t="s">
        <v>17270</v>
      </c>
      <c r="G16094" s="52">
        <v>125363.71262059</v>
      </c>
      <c r="H16094" s="56">
        <v>0.18557001640975343</v>
      </c>
      <c r="I16094" s="224" t="s">
        <v>2</v>
      </c>
    </row>
    <row r="16095" spans="1:9" x14ac:dyDescent="0.25">
      <c r="A16095" s="515">
        <v>46031</v>
      </c>
      <c r="B16095" s="515" t="s">
        <v>403</v>
      </c>
      <c r="C16095" s="52">
        <v>260434.83254778199</v>
      </c>
      <c r="D16095" s="56">
        <v>7.3635974008164781E-2</v>
      </c>
      <c r="E16095" s="224" t="s">
        <v>2</v>
      </c>
      <c r="F16095" s="515" t="s">
        <v>17271</v>
      </c>
      <c r="G16095" s="52">
        <v>222095.110344827</v>
      </c>
      <c r="H16095" s="56">
        <v>0</v>
      </c>
      <c r="I16095" s="224" t="s">
        <v>2</v>
      </c>
    </row>
    <row r="16096" spans="1:9" x14ac:dyDescent="0.25">
      <c r="A16096" s="515">
        <v>18372</v>
      </c>
      <c r="B16096" s="515" t="s">
        <v>338</v>
      </c>
      <c r="C16096" s="52">
        <v>331659.34809987299</v>
      </c>
      <c r="D16096" s="56">
        <v>9.650718978326199E-2</v>
      </c>
      <c r="E16096" s="224" t="s">
        <v>2</v>
      </c>
      <c r="F16096" s="515" t="s">
        <v>17272</v>
      </c>
      <c r="G16096" s="52">
        <v>161969.59653495799</v>
      </c>
      <c r="H16096" s="56">
        <v>7.6285387292086615E-2</v>
      </c>
      <c r="I16096" s="224" t="s">
        <v>2</v>
      </c>
    </row>
    <row r="16097" spans="1:9" x14ac:dyDescent="0.25">
      <c r="A16097" s="515">
        <v>2367</v>
      </c>
      <c r="B16097" s="515" t="s">
        <v>534</v>
      </c>
      <c r="C16097" s="52">
        <v>558328.67614638701</v>
      </c>
      <c r="D16097" s="56">
        <v>5.058103876307915E-2</v>
      </c>
      <c r="E16097" s="224" t="s">
        <v>2</v>
      </c>
      <c r="F16097" s="515" t="s">
        <v>17273</v>
      </c>
      <c r="G16097" s="52">
        <v>179657.554246302</v>
      </c>
      <c r="H16097" s="56">
        <v>7.8865384929382956E-2</v>
      </c>
      <c r="I16097" s="224" t="s">
        <v>2</v>
      </c>
    </row>
    <row r="16098" spans="1:9" x14ac:dyDescent="0.25">
      <c r="A16098" s="515">
        <v>13092</v>
      </c>
      <c r="B16098" s="515" t="s">
        <v>986</v>
      </c>
      <c r="C16098" s="52">
        <v>189962.08552577501</v>
      </c>
      <c r="D16098" s="56">
        <v>0.10970249745238533</v>
      </c>
      <c r="E16098" s="224" t="s">
        <v>2</v>
      </c>
      <c r="F16098" s="515" t="s">
        <v>17274</v>
      </c>
      <c r="G16098" s="52">
        <v>199781.659532975</v>
      </c>
      <c r="H16098" s="56">
        <v>7.4732179347389377E-2</v>
      </c>
      <c r="I16098" s="224" t="s">
        <v>2</v>
      </c>
    </row>
    <row r="16099" spans="1:9" x14ac:dyDescent="0.25">
      <c r="A16099" s="515">
        <v>37409</v>
      </c>
      <c r="B16099" s="515" t="s">
        <v>622</v>
      </c>
      <c r="C16099" s="52">
        <v>298900.96471349901</v>
      </c>
      <c r="D16099" s="56">
        <v>9.9000823149386477E-2</v>
      </c>
      <c r="E16099" s="224">
        <v>1295</v>
      </c>
      <c r="F16099" s="515" t="s">
        <v>17275</v>
      </c>
      <c r="G16099" s="52">
        <v>199993.76277676501</v>
      </c>
      <c r="H16099" s="56">
        <v>0</v>
      </c>
      <c r="I16099" s="224" t="s">
        <v>2</v>
      </c>
    </row>
    <row r="16100" spans="1:9" x14ac:dyDescent="0.25">
      <c r="A16100" s="515">
        <v>92536</v>
      </c>
      <c r="B16100" s="515" t="s">
        <v>599</v>
      </c>
      <c r="C16100" s="52">
        <v>529827.50490840396</v>
      </c>
      <c r="D16100" s="56">
        <v>4.2806958139545E-2</v>
      </c>
      <c r="E16100" s="224" t="s">
        <v>2</v>
      </c>
      <c r="F16100" s="515" t="s">
        <v>17276</v>
      </c>
      <c r="G16100" s="52">
        <v>191365.48534049001</v>
      </c>
      <c r="H16100" s="56">
        <v>0</v>
      </c>
      <c r="I16100" s="224" t="s">
        <v>2</v>
      </c>
    </row>
    <row r="16101" spans="1:9" x14ac:dyDescent="0.25">
      <c r="A16101" s="515">
        <v>11718</v>
      </c>
      <c r="B16101" s="515" t="s">
        <v>324</v>
      </c>
      <c r="C16101" s="52">
        <v>680314.59008560295</v>
      </c>
      <c r="D16101" s="56">
        <v>2.9059757178965986E-2</v>
      </c>
      <c r="E16101" s="224" t="s">
        <v>2</v>
      </c>
      <c r="F16101" s="515" t="s">
        <v>17277</v>
      </c>
      <c r="G16101" s="52">
        <v>178595.348642761</v>
      </c>
      <c r="H16101" s="56">
        <v>8.205526245311201E-2</v>
      </c>
      <c r="I16101" s="224" t="s">
        <v>2</v>
      </c>
    </row>
    <row r="16102" spans="1:9" x14ac:dyDescent="0.25">
      <c r="A16102" s="515">
        <v>16827</v>
      </c>
      <c r="B16102" s="515" t="s">
        <v>491</v>
      </c>
      <c r="C16102" s="52">
        <v>382619.12162528001</v>
      </c>
      <c r="D16102" s="56">
        <v>7.2654094479854298E-2</v>
      </c>
      <c r="E16102" s="224" t="s">
        <v>2</v>
      </c>
      <c r="F16102" s="515" t="s">
        <v>17278</v>
      </c>
      <c r="G16102" s="52">
        <v>158489.27030916899</v>
      </c>
      <c r="H16102" s="56">
        <v>-6.7522278167815551E-3</v>
      </c>
      <c r="I16102" s="224" t="s">
        <v>2</v>
      </c>
    </row>
    <row r="16103" spans="1:9" x14ac:dyDescent="0.25">
      <c r="A16103" s="515">
        <v>19941</v>
      </c>
      <c r="B16103" s="515" t="s">
        <v>552</v>
      </c>
      <c r="C16103" s="52">
        <v>276579.42110711901</v>
      </c>
      <c r="D16103" s="56">
        <v>6.6325331559078451E-2</v>
      </c>
      <c r="E16103" s="224" t="s">
        <v>2</v>
      </c>
      <c r="F16103" s="515" t="s">
        <v>17279</v>
      </c>
      <c r="G16103" s="52">
        <v>739757.13072064403</v>
      </c>
      <c r="H16103" s="56">
        <v>7.001024549928403E-2</v>
      </c>
      <c r="I16103" s="224" t="s">
        <v>2</v>
      </c>
    </row>
    <row r="16104" spans="1:9" x14ac:dyDescent="0.25">
      <c r="A16104" s="515">
        <v>67526</v>
      </c>
      <c r="B16104" s="515" t="s">
        <v>741</v>
      </c>
      <c r="C16104" s="52">
        <v>96725.210488561002</v>
      </c>
      <c r="D16104" s="56">
        <v>0.11995284298838622</v>
      </c>
      <c r="E16104" s="224" t="s">
        <v>2</v>
      </c>
      <c r="F16104" s="515" t="s">
        <v>17280</v>
      </c>
      <c r="G16104" s="52">
        <v>102578.59708873399</v>
      </c>
      <c r="H16104" s="56">
        <v>0.36191199423639187</v>
      </c>
      <c r="I16104" s="224" t="s">
        <v>2</v>
      </c>
    </row>
    <row r="16105" spans="1:9" x14ac:dyDescent="0.25">
      <c r="A16105" s="515">
        <v>27559</v>
      </c>
      <c r="B16105" s="515" t="s">
        <v>467</v>
      </c>
      <c r="C16105" s="52">
        <v>392297.32851636101</v>
      </c>
      <c r="D16105" s="56">
        <v>0.11266518126835443</v>
      </c>
      <c r="E16105" s="224" t="s">
        <v>2</v>
      </c>
      <c r="F16105" s="515" t="s">
        <v>17281</v>
      </c>
      <c r="G16105" s="52">
        <v>192689.04239413599</v>
      </c>
      <c r="H16105" s="56">
        <v>0.11983783020591809</v>
      </c>
      <c r="I16105" s="224" t="s">
        <v>2</v>
      </c>
    </row>
    <row r="16106" spans="1:9" x14ac:dyDescent="0.25">
      <c r="A16106" s="515">
        <v>16442</v>
      </c>
      <c r="B16106" s="515" t="s">
        <v>753</v>
      </c>
      <c r="C16106" s="52">
        <v>218343.532630381</v>
      </c>
      <c r="D16106" s="56">
        <v>7.9696265360454641E-2</v>
      </c>
      <c r="E16106" s="224" t="s">
        <v>2</v>
      </c>
      <c r="F16106" s="515" t="s">
        <v>17282</v>
      </c>
      <c r="G16106" s="52">
        <v>238256.889652721</v>
      </c>
      <c r="H16106" s="56">
        <v>4.8568720413063385E-3</v>
      </c>
      <c r="I16106" s="224" t="s">
        <v>2</v>
      </c>
    </row>
    <row r="16107" spans="1:9" x14ac:dyDescent="0.25">
      <c r="A16107" s="515">
        <v>28385</v>
      </c>
      <c r="C16107" s="52">
        <v>116633.86290584299</v>
      </c>
      <c r="D16107" s="56">
        <v>0.1264105771609052</v>
      </c>
      <c r="E16107" s="224" t="s">
        <v>2</v>
      </c>
      <c r="F16107" s="515" t="s">
        <v>17283</v>
      </c>
      <c r="G16107" s="52">
        <v>292367.758388619</v>
      </c>
      <c r="H16107" s="56">
        <v>0.13836405360750156</v>
      </c>
      <c r="I16107" s="224" t="s">
        <v>2</v>
      </c>
    </row>
    <row r="16108" spans="1:9" x14ac:dyDescent="0.25">
      <c r="A16108" s="515">
        <v>37079</v>
      </c>
      <c r="B16108" s="515" t="s">
        <v>651</v>
      </c>
      <c r="C16108" s="52">
        <v>219429.62595037799</v>
      </c>
      <c r="D16108" s="56">
        <v>7.7464837129054498E-2</v>
      </c>
      <c r="E16108" s="224" t="s">
        <v>2</v>
      </c>
      <c r="F16108" s="515" t="s">
        <v>17284</v>
      </c>
      <c r="G16108" s="52">
        <v>214990.43785802901</v>
      </c>
      <c r="H16108" s="56">
        <v>6.0656177114548418E-2</v>
      </c>
      <c r="I16108" s="224" t="s">
        <v>2</v>
      </c>
    </row>
    <row r="16109" spans="1:9" x14ac:dyDescent="0.25">
      <c r="A16109" s="515">
        <v>78650</v>
      </c>
      <c r="B16109" s="515" t="s">
        <v>380</v>
      </c>
      <c r="C16109" s="52">
        <v>425097.38103158202</v>
      </c>
      <c r="D16109" s="56">
        <v>0.10168692666967769</v>
      </c>
      <c r="E16109" s="224" t="s">
        <v>2</v>
      </c>
      <c r="F16109" s="515" t="s">
        <v>17285</v>
      </c>
      <c r="G16109" s="52">
        <v>214002.487246087</v>
      </c>
      <c r="H16109" s="56">
        <v>0.21630932863958732</v>
      </c>
      <c r="I16109" s="224" t="s">
        <v>2</v>
      </c>
    </row>
    <row r="16110" spans="1:9" x14ac:dyDescent="0.25">
      <c r="A16110" s="515">
        <v>96705</v>
      </c>
      <c r="B16110" s="515" t="s">
        <v>452</v>
      </c>
      <c r="C16110" s="52">
        <v>742547.74740097194</v>
      </c>
      <c r="D16110" s="56">
        <v>0.1017922749271928</v>
      </c>
      <c r="E16110" s="224" t="s">
        <v>2</v>
      </c>
      <c r="F16110" s="515" t="s">
        <v>17286</v>
      </c>
      <c r="G16110" s="52">
        <v>231825.76176452101</v>
      </c>
      <c r="H16110" s="56">
        <v>0.10643715530133106</v>
      </c>
      <c r="I16110" s="224" t="s">
        <v>2</v>
      </c>
    </row>
    <row r="16111" spans="1:9" x14ac:dyDescent="0.25">
      <c r="A16111" s="515">
        <v>35579</v>
      </c>
      <c r="B16111" s="515" t="s">
        <v>1087</v>
      </c>
      <c r="C16111" s="52">
        <v>143237.35236227</v>
      </c>
      <c r="D16111" s="56">
        <v>6.9524864446679907E-3</v>
      </c>
      <c r="E16111" s="224" t="s">
        <v>2</v>
      </c>
      <c r="F16111" s="515" t="s">
        <v>17287</v>
      </c>
      <c r="G16111" s="52">
        <v>204854.95633899799</v>
      </c>
      <c r="H16111" s="56">
        <v>5.9629922059693807E-2</v>
      </c>
      <c r="I16111" s="224" t="s">
        <v>2</v>
      </c>
    </row>
    <row r="16112" spans="1:9" x14ac:dyDescent="0.25">
      <c r="A16112" s="515">
        <v>76569</v>
      </c>
      <c r="B16112" s="515" t="s">
        <v>859</v>
      </c>
      <c r="C16112" s="52">
        <v>220968.048892758</v>
      </c>
      <c r="D16112" s="56">
        <v>7.7828062743082002E-2</v>
      </c>
      <c r="E16112" s="224" t="s">
        <v>2</v>
      </c>
      <c r="F16112" s="515" t="s">
        <v>17288</v>
      </c>
      <c r="G16112" s="52">
        <v>182601.57776782801</v>
      </c>
      <c r="H16112" s="56">
        <v>4.2790778743620458E-2</v>
      </c>
      <c r="I16112" s="224" t="s">
        <v>2</v>
      </c>
    </row>
    <row r="16113" spans="1:9" x14ac:dyDescent="0.25">
      <c r="A16113" s="515">
        <v>44878</v>
      </c>
      <c r="B16113" s="515" t="s">
        <v>1140</v>
      </c>
      <c r="C16113" s="52">
        <v>190068.51760771801</v>
      </c>
      <c r="D16113" s="56">
        <v>9.0269318897391038E-2</v>
      </c>
      <c r="E16113" s="224" t="s">
        <v>2</v>
      </c>
      <c r="F16113" s="515" t="s">
        <v>17289</v>
      </c>
      <c r="G16113" s="52">
        <v>375586.28956062603</v>
      </c>
      <c r="H16113" s="56">
        <v>-2.1036656666486415E-2</v>
      </c>
      <c r="I16113" s="224" t="s">
        <v>2</v>
      </c>
    </row>
    <row r="16114" spans="1:9" x14ac:dyDescent="0.25">
      <c r="A16114" s="515">
        <v>75433</v>
      </c>
      <c r="B16114" s="515" t="s">
        <v>980</v>
      </c>
      <c r="C16114" s="52">
        <v>232358.04272614999</v>
      </c>
      <c r="D16114" s="56">
        <v>4.5497038013986087E-2</v>
      </c>
      <c r="E16114" s="224" t="s">
        <v>2</v>
      </c>
      <c r="F16114" s="515" t="s">
        <v>17290</v>
      </c>
      <c r="G16114" s="52">
        <v>129364.42730173</v>
      </c>
      <c r="H16114" s="56">
        <v>2.8310167504911051E-2</v>
      </c>
      <c r="I16114" s="224" t="s">
        <v>2</v>
      </c>
    </row>
    <row r="16115" spans="1:9" x14ac:dyDescent="0.25">
      <c r="A16115" s="515">
        <v>47334</v>
      </c>
      <c r="B16115" s="515" t="s">
        <v>1154</v>
      </c>
      <c r="C16115" s="52">
        <v>173571.722746104</v>
      </c>
      <c r="D16115" s="56">
        <v>9.4339835814806677E-2</v>
      </c>
      <c r="E16115" s="224" t="s">
        <v>2</v>
      </c>
      <c r="F16115" s="515" t="s">
        <v>17291</v>
      </c>
      <c r="G16115" s="52">
        <v>332537.07761800103</v>
      </c>
      <c r="H16115" s="56">
        <v>1.1320615887531358E-2</v>
      </c>
      <c r="I16115" s="224" t="s">
        <v>2</v>
      </c>
    </row>
    <row r="16116" spans="1:9" x14ac:dyDescent="0.25">
      <c r="A16116" s="515">
        <v>20763</v>
      </c>
      <c r="B16116" s="515" t="s">
        <v>582</v>
      </c>
      <c r="C16116" s="52">
        <v>427750.99789863802</v>
      </c>
      <c r="D16116" s="56">
        <v>3.5333840477213961E-2</v>
      </c>
      <c r="E16116" s="224" t="s">
        <v>2</v>
      </c>
      <c r="F16116" s="515" t="s">
        <v>17292</v>
      </c>
      <c r="G16116" s="52">
        <v>105526.488313408</v>
      </c>
      <c r="H16116" s="56">
        <v>0.10296054614366894</v>
      </c>
      <c r="I16116" s="224" t="s">
        <v>2</v>
      </c>
    </row>
    <row r="16117" spans="1:9" x14ac:dyDescent="0.25">
      <c r="A16117" s="515">
        <v>54437</v>
      </c>
      <c r="C16117" s="52">
        <v>144679.92359465099</v>
      </c>
      <c r="D16117" s="56">
        <v>5.2887928849195222E-2</v>
      </c>
      <c r="E16117" s="224" t="s">
        <v>2</v>
      </c>
      <c r="F16117" s="515" t="s">
        <v>17293</v>
      </c>
      <c r="G16117" s="52">
        <v>63778.094798112499</v>
      </c>
      <c r="H16117" s="56">
        <v>-0.30460380734525544</v>
      </c>
      <c r="I16117" s="224" t="s">
        <v>2</v>
      </c>
    </row>
    <row r="16118" spans="1:9" x14ac:dyDescent="0.25">
      <c r="A16118" s="515">
        <v>12546</v>
      </c>
      <c r="B16118" s="515" t="s">
        <v>529</v>
      </c>
      <c r="C16118" s="52">
        <v>380453.30059633002</v>
      </c>
      <c r="D16118" s="56">
        <v>6.7199969055799044E-2</v>
      </c>
      <c r="E16118" s="224" t="s">
        <v>2</v>
      </c>
      <c r="F16118" s="515" t="s">
        <v>17294</v>
      </c>
      <c r="G16118" s="52">
        <v>4664457.1663905699</v>
      </c>
      <c r="H16118" s="56">
        <v>5.086036985657956E-2</v>
      </c>
      <c r="I16118" s="224" t="s">
        <v>2</v>
      </c>
    </row>
    <row r="16119" spans="1:9" x14ac:dyDescent="0.25">
      <c r="A16119" s="515">
        <v>38771</v>
      </c>
      <c r="B16119" s="515" t="s">
        <v>976</v>
      </c>
      <c r="C16119" s="52">
        <v>93464.952205882306</v>
      </c>
      <c r="D16119" s="56">
        <v>0</v>
      </c>
      <c r="E16119" s="224" t="s">
        <v>2</v>
      </c>
      <c r="F16119" s="515" t="s">
        <v>17295</v>
      </c>
      <c r="G16119" s="52">
        <v>320243.10146215098</v>
      </c>
      <c r="H16119" s="56">
        <v>0.1326974132738849</v>
      </c>
      <c r="I16119" s="224" t="s">
        <v>2</v>
      </c>
    </row>
    <row r="16120" spans="1:9" x14ac:dyDescent="0.25">
      <c r="A16120" s="515">
        <v>28033</v>
      </c>
      <c r="B16120" s="515" t="s">
        <v>360</v>
      </c>
      <c r="C16120" s="52">
        <v>266211.275787302</v>
      </c>
      <c r="D16120" s="56">
        <v>0.14465369308504558</v>
      </c>
      <c r="E16120" s="224" t="s">
        <v>2</v>
      </c>
      <c r="F16120" s="515" t="s">
        <v>17296</v>
      </c>
      <c r="G16120" s="52">
        <v>257418.882705811</v>
      </c>
      <c r="H16120" s="56">
        <v>2.3502270015130708E-2</v>
      </c>
      <c r="I16120" s="224" t="s">
        <v>2</v>
      </c>
    </row>
    <row r="16121" spans="1:9" x14ac:dyDescent="0.25">
      <c r="A16121" s="515">
        <v>6380</v>
      </c>
      <c r="B16121" s="515" t="s">
        <v>1091</v>
      </c>
      <c r="C16121" s="52">
        <v>214718.32872666101</v>
      </c>
      <c r="D16121" s="56">
        <v>0.14183578054514942</v>
      </c>
      <c r="E16121" s="224" t="s">
        <v>2</v>
      </c>
      <c r="F16121" s="515" t="s">
        <v>17297</v>
      </c>
      <c r="G16121" s="52">
        <v>203145.599413194</v>
      </c>
      <c r="H16121" s="56">
        <v>1.7673433172344415E-2</v>
      </c>
      <c r="I16121" s="224" t="s">
        <v>2</v>
      </c>
    </row>
    <row r="16122" spans="1:9" x14ac:dyDescent="0.25">
      <c r="A16122" s="515">
        <v>38833</v>
      </c>
      <c r="C16122" s="52">
        <v>114192.29120812099</v>
      </c>
      <c r="D16122" s="56">
        <v>-2.9862710581152346E-2</v>
      </c>
      <c r="E16122" s="224" t="s">
        <v>2</v>
      </c>
      <c r="F16122" s="515" t="s">
        <v>17298</v>
      </c>
      <c r="G16122" s="52">
        <v>200508.033183277</v>
      </c>
      <c r="H16122" s="56">
        <v>8.0621961879634232E-2</v>
      </c>
      <c r="I16122" s="224" t="s">
        <v>2</v>
      </c>
    </row>
    <row r="16123" spans="1:9" x14ac:dyDescent="0.25">
      <c r="A16123" s="515">
        <v>27959</v>
      </c>
      <c r="B16123" s="515" t="s">
        <v>407</v>
      </c>
      <c r="C16123" s="52">
        <v>627406.727833329</v>
      </c>
      <c r="D16123" s="56">
        <v>0.12695484044290783</v>
      </c>
      <c r="E16123" s="224" t="s">
        <v>2</v>
      </c>
      <c r="F16123" s="515" t="s">
        <v>17299</v>
      </c>
      <c r="G16123" s="52">
        <v>48509.182243716299</v>
      </c>
      <c r="H16123" s="56">
        <v>-5.1388890962836879E-2</v>
      </c>
      <c r="I16123" s="224" t="s">
        <v>2</v>
      </c>
    </row>
    <row r="16124" spans="1:9" x14ac:dyDescent="0.25">
      <c r="A16124" s="515">
        <v>63960</v>
      </c>
      <c r="C16124" s="52">
        <v>118845.383749063</v>
      </c>
      <c r="D16124" s="56">
        <v>3.574187698494613E-2</v>
      </c>
      <c r="E16124" s="224" t="s">
        <v>2</v>
      </c>
      <c r="F16124" s="515" t="s">
        <v>17300</v>
      </c>
      <c r="G16124" s="52">
        <v>220458.777535909</v>
      </c>
      <c r="H16124" s="56">
        <v>5.9136772598587344E-2</v>
      </c>
      <c r="I16124" s="224" t="s">
        <v>2</v>
      </c>
    </row>
    <row r="16125" spans="1:9" x14ac:dyDescent="0.25">
      <c r="A16125" s="515">
        <v>23888</v>
      </c>
      <c r="C16125" s="52">
        <v>182922.58196132301</v>
      </c>
      <c r="D16125" s="56">
        <v>0.13648044150179389</v>
      </c>
      <c r="E16125" s="224" t="s">
        <v>2</v>
      </c>
      <c r="F16125" s="515" t="s">
        <v>17301</v>
      </c>
      <c r="G16125" s="52">
        <v>189704.382450181</v>
      </c>
      <c r="H16125" s="56">
        <v>0.11593252318382839</v>
      </c>
      <c r="I16125" s="224" t="s">
        <v>2</v>
      </c>
    </row>
    <row r="16126" spans="1:9" x14ac:dyDescent="0.25">
      <c r="A16126" s="515">
        <v>30421</v>
      </c>
      <c r="C16126" s="52">
        <v>150438.43420649899</v>
      </c>
      <c r="D16126" s="56">
        <v>3.7800137079492445E-2</v>
      </c>
      <c r="E16126" s="224" t="s">
        <v>2</v>
      </c>
      <c r="F16126" s="515" t="s">
        <v>17302</v>
      </c>
      <c r="G16126" s="52">
        <v>172631.62625807</v>
      </c>
      <c r="H16126" s="56">
        <v>9.4336226261870659E-2</v>
      </c>
      <c r="I16126" s="224" t="s">
        <v>2</v>
      </c>
    </row>
    <row r="16127" spans="1:9" x14ac:dyDescent="0.25">
      <c r="A16127" s="515">
        <v>34289</v>
      </c>
      <c r="B16127" s="515" t="s">
        <v>466</v>
      </c>
      <c r="C16127" s="52">
        <v>409095.50335377402</v>
      </c>
      <c r="D16127" s="56">
        <v>9.8456695603982153E-2</v>
      </c>
      <c r="E16127" s="224" t="s">
        <v>2</v>
      </c>
      <c r="F16127" s="515" t="s">
        <v>17303</v>
      </c>
      <c r="G16127" s="52">
        <v>226347.63676687799</v>
      </c>
      <c r="H16127" s="56">
        <v>4.8128849201082312E-2</v>
      </c>
      <c r="I16127" s="224" t="s">
        <v>2</v>
      </c>
    </row>
    <row r="16128" spans="1:9" x14ac:dyDescent="0.25">
      <c r="A16128" s="515">
        <v>54446</v>
      </c>
      <c r="C16128" s="52">
        <v>139506.21194468299</v>
      </c>
      <c r="D16128" s="56">
        <v>3.5526661118957463E-2</v>
      </c>
      <c r="E16128" s="224" t="s">
        <v>2</v>
      </c>
      <c r="F16128" s="515" t="s">
        <v>17304</v>
      </c>
      <c r="G16128" s="52">
        <v>146441.02564102499</v>
      </c>
      <c r="H16128" s="56">
        <v>0</v>
      </c>
      <c r="I16128" s="224" t="s">
        <v>2</v>
      </c>
    </row>
    <row r="16129" spans="1:9" x14ac:dyDescent="0.25">
      <c r="A16129" s="515">
        <v>15423</v>
      </c>
      <c r="B16129" s="515" t="s">
        <v>297</v>
      </c>
      <c r="C16129" s="52">
        <v>149440.972349569</v>
      </c>
      <c r="D16129" s="56">
        <v>8.3149377987710729E-2</v>
      </c>
      <c r="E16129" s="224" t="s">
        <v>2</v>
      </c>
      <c r="F16129" s="515" t="s">
        <v>17305</v>
      </c>
      <c r="G16129" s="52">
        <v>302858.37971421401</v>
      </c>
      <c r="H16129" s="56">
        <v>4.8915085778416176E-2</v>
      </c>
      <c r="I16129" s="224" t="s">
        <v>2</v>
      </c>
    </row>
    <row r="16130" spans="1:9" x14ac:dyDescent="0.25">
      <c r="A16130" s="515">
        <v>46536</v>
      </c>
      <c r="B16130" s="515" t="s">
        <v>1002</v>
      </c>
      <c r="C16130" s="52">
        <v>225919.97958635099</v>
      </c>
      <c r="D16130" s="56">
        <v>0.10942125846652645</v>
      </c>
      <c r="E16130" s="224" t="s">
        <v>2</v>
      </c>
      <c r="F16130" s="515" t="s">
        <v>17306</v>
      </c>
      <c r="G16130" s="52">
        <v>187379.32991286501</v>
      </c>
      <c r="H16130" s="56">
        <v>4.8600870138245801E-2</v>
      </c>
      <c r="I16130" s="224" t="s">
        <v>2</v>
      </c>
    </row>
    <row r="16131" spans="1:9" x14ac:dyDescent="0.25">
      <c r="A16131" s="515">
        <v>49639</v>
      </c>
      <c r="C16131" s="52">
        <v>149385.19235757299</v>
      </c>
      <c r="D16131" s="56">
        <v>6.7901712453738813E-2</v>
      </c>
      <c r="E16131" s="224" t="s">
        <v>2</v>
      </c>
      <c r="F16131" s="515" t="s">
        <v>17307</v>
      </c>
      <c r="G16131" s="52">
        <v>119696.059148414</v>
      </c>
      <c r="H16131" s="56">
        <v>0.10542499319312808</v>
      </c>
      <c r="I16131" s="224" t="s">
        <v>2</v>
      </c>
    </row>
    <row r="16132" spans="1:9" x14ac:dyDescent="0.25">
      <c r="A16132" s="515">
        <v>20135</v>
      </c>
      <c r="B16132" s="515" t="s">
        <v>321</v>
      </c>
      <c r="C16132" s="52">
        <v>543044.71520927397</v>
      </c>
      <c r="D16132" s="56">
        <v>6.9995813336476351E-2</v>
      </c>
      <c r="E16132" s="224" t="s">
        <v>2</v>
      </c>
      <c r="F16132" s="515" t="s">
        <v>17308</v>
      </c>
      <c r="G16132" s="52">
        <v>107714.072418802</v>
      </c>
      <c r="H16132" s="56">
        <v>6.4304530417192099E-2</v>
      </c>
      <c r="I16132" s="224" t="s">
        <v>2</v>
      </c>
    </row>
    <row r="16133" spans="1:9" x14ac:dyDescent="0.25">
      <c r="A16133" s="515">
        <v>26547</v>
      </c>
      <c r="B16133" s="515" t="s">
        <v>643</v>
      </c>
      <c r="C16133" s="52">
        <v>169806.250240024</v>
      </c>
      <c r="D16133" s="56">
        <v>5.1400102110743411E-2</v>
      </c>
      <c r="E16133" s="224" t="s">
        <v>2</v>
      </c>
      <c r="F16133" s="515" t="s">
        <v>17309</v>
      </c>
      <c r="G16133" s="52">
        <v>162698.75750950901</v>
      </c>
      <c r="H16133" s="56">
        <v>0.12055589532413924</v>
      </c>
      <c r="I16133" s="224" t="s">
        <v>2</v>
      </c>
    </row>
    <row r="16134" spans="1:9" x14ac:dyDescent="0.25">
      <c r="A16134" s="515">
        <v>23885</v>
      </c>
      <c r="B16134" s="515" t="s">
        <v>667</v>
      </c>
      <c r="C16134" s="52">
        <v>309135.43749295</v>
      </c>
      <c r="D16134" s="56">
        <v>0.16019566830773488</v>
      </c>
      <c r="E16134" s="224" t="s">
        <v>2</v>
      </c>
      <c r="F16134" s="515" t="s">
        <v>17310</v>
      </c>
      <c r="G16134" s="52">
        <v>183109.64078449499</v>
      </c>
      <c r="H16134" s="56">
        <v>9.8324950353933058E-2</v>
      </c>
      <c r="I16134" s="224" t="s">
        <v>2</v>
      </c>
    </row>
    <row r="16135" spans="1:9" x14ac:dyDescent="0.25">
      <c r="A16135" s="515">
        <v>61760</v>
      </c>
      <c r="B16135" s="515" t="s">
        <v>303</v>
      </c>
      <c r="C16135" s="52">
        <v>114059.895823958</v>
      </c>
      <c r="D16135" s="56">
        <v>5.4168654903364949E-2</v>
      </c>
      <c r="E16135" s="224" t="s">
        <v>2</v>
      </c>
      <c r="F16135" s="515" t="s">
        <v>17311</v>
      </c>
      <c r="G16135" s="52">
        <v>302820.80950973899</v>
      </c>
      <c r="H16135" s="56">
        <v>8.5628707051396108E-2</v>
      </c>
      <c r="I16135" s="224" t="s">
        <v>2</v>
      </c>
    </row>
    <row r="16136" spans="1:9" x14ac:dyDescent="0.25">
      <c r="A16136" s="515">
        <v>71238</v>
      </c>
      <c r="B16136" s="515" t="s">
        <v>695</v>
      </c>
      <c r="C16136" s="52">
        <v>158009.15553042601</v>
      </c>
      <c r="D16136" s="56">
        <v>9.2285728059072161E-2</v>
      </c>
      <c r="E16136" s="224" t="s">
        <v>2</v>
      </c>
      <c r="F16136" s="515" t="s">
        <v>17312</v>
      </c>
      <c r="G16136" s="52">
        <v>483210.94341066101</v>
      </c>
      <c r="H16136" s="56">
        <v>4.1781307083859062E-2</v>
      </c>
      <c r="I16136" s="224" t="s">
        <v>2</v>
      </c>
    </row>
    <row r="16137" spans="1:9" x14ac:dyDescent="0.25">
      <c r="A16137" s="515">
        <v>53598</v>
      </c>
      <c r="B16137" s="515" t="s">
        <v>727</v>
      </c>
      <c r="C16137" s="52">
        <v>389260.34206713899</v>
      </c>
      <c r="D16137" s="56">
        <v>2.3483476273115481E-2</v>
      </c>
      <c r="E16137" s="224" t="s">
        <v>2</v>
      </c>
      <c r="F16137" s="515" t="s">
        <v>17313</v>
      </c>
      <c r="G16137" s="52">
        <v>264578.87942448299</v>
      </c>
      <c r="H16137" s="56">
        <v>7.5273474919331965E-2</v>
      </c>
      <c r="I16137" s="224" t="s">
        <v>2</v>
      </c>
    </row>
    <row r="16138" spans="1:9" x14ac:dyDescent="0.25">
      <c r="A16138" s="515">
        <v>74653</v>
      </c>
      <c r="B16138" s="515" t="s">
        <v>758</v>
      </c>
      <c r="C16138" s="52">
        <v>89833.676980965203</v>
      </c>
      <c r="D16138" s="56">
        <v>0.12736332367168457</v>
      </c>
      <c r="E16138" s="224" t="s">
        <v>2</v>
      </c>
      <c r="F16138" s="515" t="s">
        <v>17314</v>
      </c>
      <c r="G16138" s="52">
        <v>803547.54711880896</v>
      </c>
      <c r="H16138" s="56">
        <v>2.9960684440624809E-2</v>
      </c>
      <c r="I16138" s="224" t="s">
        <v>2</v>
      </c>
    </row>
    <row r="16139" spans="1:9" x14ac:dyDescent="0.25">
      <c r="A16139" s="515">
        <v>74343</v>
      </c>
      <c r="B16139" s="515" t="s">
        <v>469</v>
      </c>
      <c r="C16139" s="52">
        <v>148873.55940308099</v>
      </c>
      <c r="D16139" s="56">
        <v>3.9891900133845658E-2</v>
      </c>
      <c r="E16139" s="224" t="s">
        <v>2</v>
      </c>
      <c r="F16139" s="515" t="s">
        <v>17315</v>
      </c>
      <c r="G16139" s="52">
        <v>117988.964167085</v>
      </c>
      <c r="H16139" s="56">
        <v>5.1320371611738691E-2</v>
      </c>
      <c r="I16139" s="224" t="s">
        <v>2</v>
      </c>
    </row>
    <row r="16140" spans="1:9" x14ac:dyDescent="0.25">
      <c r="A16140" s="515">
        <v>26035</v>
      </c>
      <c r="B16140" s="515" t="s">
        <v>389</v>
      </c>
      <c r="C16140" s="52">
        <v>130007.501822551</v>
      </c>
      <c r="D16140" s="56">
        <v>8.0097105283711917E-2</v>
      </c>
      <c r="E16140" s="224" t="s">
        <v>2</v>
      </c>
      <c r="F16140" s="515" t="s">
        <v>17316</v>
      </c>
      <c r="G16140" s="52">
        <v>322278.37192646001</v>
      </c>
      <c r="H16140" s="56">
        <v>4.8970383319558476E-2</v>
      </c>
      <c r="I16140" s="224" t="s">
        <v>2</v>
      </c>
    </row>
    <row r="16141" spans="1:9" x14ac:dyDescent="0.25">
      <c r="A16141" s="515">
        <v>16154</v>
      </c>
      <c r="B16141" s="515" t="s">
        <v>397</v>
      </c>
      <c r="C16141" s="52">
        <v>177717.224611613</v>
      </c>
      <c r="D16141" s="56">
        <v>3.6245185670624576E-2</v>
      </c>
      <c r="E16141" s="224" t="s">
        <v>2</v>
      </c>
      <c r="F16141" s="515" t="s">
        <v>17317</v>
      </c>
      <c r="G16141" s="52">
        <v>166373.91207039999</v>
      </c>
      <c r="H16141" s="56">
        <v>0.21854266222599603</v>
      </c>
      <c r="I16141" s="224" t="s">
        <v>2</v>
      </c>
    </row>
    <row r="16142" spans="1:9" x14ac:dyDescent="0.25">
      <c r="A16142" s="515">
        <v>82923</v>
      </c>
      <c r="C16142" s="52">
        <v>360957.32939765102</v>
      </c>
      <c r="D16142" s="56">
        <v>0.10478772656457047</v>
      </c>
      <c r="E16142" s="224" t="s">
        <v>2</v>
      </c>
      <c r="F16142" s="515" t="s">
        <v>17318</v>
      </c>
      <c r="G16142" s="52">
        <v>126340.396401167</v>
      </c>
      <c r="H16142" s="56">
        <v>0.13894595803484894</v>
      </c>
      <c r="I16142" s="224" t="s">
        <v>2</v>
      </c>
    </row>
    <row r="16143" spans="1:9" x14ac:dyDescent="0.25">
      <c r="A16143" s="515">
        <v>79252</v>
      </c>
      <c r="C16143" s="52">
        <v>54595.400265277603</v>
      </c>
      <c r="D16143" s="56">
        <v>0</v>
      </c>
      <c r="E16143" s="224" t="s">
        <v>2</v>
      </c>
      <c r="F16143" s="515" t="s">
        <v>17319</v>
      </c>
      <c r="G16143" s="52">
        <v>137995.98510909599</v>
      </c>
      <c r="H16143" s="56">
        <v>2.6168015932990993E-2</v>
      </c>
      <c r="I16143" s="224" t="s">
        <v>2</v>
      </c>
    </row>
    <row r="16144" spans="1:9" x14ac:dyDescent="0.25">
      <c r="A16144" s="515">
        <v>53108</v>
      </c>
      <c r="B16144" s="515" t="s">
        <v>1151</v>
      </c>
      <c r="C16144" s="52">
        <v>283416.24321501999</v>
      </c>
      <c r="D16144" s="56">
        <v>5.7563715335657843E-2</v>
      </c>
      <c r="E16144" s="224" t="s">
        <v>2</v>
      </c>
      <c r="F16144" s="515" t="s">
        <v>17320</v>
      </c>
      <c r="G16144" s="52">
        <v>195965.76386817699</v>
      </c>
      <c r="H16144" s="56">
        <v>5.6111325092893821E-2</v>
      </c>
      <c r="I16144" s="224" t="s">
        <v>2</v>
      </c>
    </row>
    <row r="16145" spans="1:9" x14ac:dyDescent="0.25">
      <c r="A16145" s="515">
        <v>42413</v>
      </c>
      <c r="B16145" s="515" t="s">
        <v>598</v>
      </c>
      <c r="C16145" s="52">
        <v>194866.541162979</v>
      </c>
      <c r="D16145" s="56">
        <v>7.8431042549466812E-2</v>
      </c>
      <c r="E16145" s="224" t="s">
        <v>2</v>
      </c>
      <c r="F16145" s="515" t="s">
        <v>17321</v>
      </c>
      <c r="G16145" s="52">
        <v>239160.551644119</v>
      </c>
      <c r="H16145" s="56">
        <v>0.12873892893522754</v>
      </c>
      <c r="I16145" s="224" t="s">
        <v>2</v>
      </c>
    </row>
    <row r="16146" spans="1:9" x14ac:dyDescent="0.25">
      <c r="A16146" s="515">
        <v>44643</v>
      </c>
      <c r="B16146" s="515" t="s">
        <v>863</v>
      </c>
      <c r="C16146" s="52">
        <v>195985.83113263201</v>
      </c>
      <c r="D16146" s="56">
        <v>5.6232485295424982E-2</v>
      </c>
      <c r="E16146" s="224" t="s">
        <v>2</v>
      </c>
      <c r="F16146" s="515" t="s">
        <v>17322</v>
      </c>
      <c r="G16146" s="52">
        <v>389874.55289884901</v>
      </c>
      <c r="H16146" s="56">
        <v>4.2455621872608436E-2</v>
      </c>
      <c r="I16146" s="224" t="s">
        <v>2</v>
      </c>
    </row>
    <row r="16147" spans="1:9" x14ac:dyDescent="0.25">
      <c r="A16147" s="515">
        <v>54538</v>
      </c>
      <c r="C16147" s="52">
        <v>405085.712695806</v>
      </c>
      <c r="D16147" s="56">
        <v>0.11846901606543145</v>
      </c>
      <c r="E16147" s="224" t="s">
        <v>2</v>
      </c>
      <c r="F16147" s="515" t="s">
        <v>17323</v>
      </c>
      <c r="G16147" s="52">
        <v>258846.47733951799</v>
      </c>
      <c r="H16147" s="56">
        <v>8.7047348282472958E-2</v>
      </c>
      <c r="I16147" s="224" t="s">
        <v>2</v>
      </c>
    </row>
    <row r="16148" spans="1:9" x14ac:dyDescent="0.25">
      <c r="A16148" s="515">
        <v>47633</v>
      </c>
      <c r="B16148" s="515" t="s">
        <v>911</v>
      </c>
      <c r="C16148" s="52">
        <v>179009.660125166</v>
      </c>
      <c r="D16148" s="56">
        <v>5.2842708298265893E-2</v>
      </c>
      <c r="E16148" s="224" t="s">
        <v>2</v>
      </c>
      <c r="F16148" s="515" t="s">
        <v>17324</v>
      </c>
      <c r="G16148" s="52">
        <v>165666.85923238299</v>
      </c>
      <c r="H16148" s="56">
        <v>0.12587004269246599</v>
      </c>
      <c r="I16148" s="224" t="s">
        <v>2</v>
      </c>
    </row>
    <row r="16149" spans="1:9" x14ac:dyDescent="0.25">
      <c r="A16149" s="515">
        <v>95428</v>
      </c>
      <c r="B16149" s="515" t="s">
        <v>644</v>
      </c>
      <c r="C16149" s="52">
        <v>308046.53279060603</v>
      </c>
      <c r="D16149" s="56">
        <v>-0.14512166019127481</v>
      </c>
      <c r="E16149" s="224" t="s">
        <v>2</v>
      </c>
      <c r="F16149" s="515" t="s">
        <v>17325</v>
      </c>
      <c r="G16149" s="52">
        <v>228097.85231359699</v>
      </c>
      <c r="H16149" s="56">
        <v>5.2349835957646314E-2</v>
      </c>
      <c r="I16149" s="224" t="s">
        <v>2</v>
      </c>
    </row>
    <row r="16150" spans="1:9" x14ac:dyDescent="0.25">
      <c r="A16150" s="515">
        <v>30170</v>
      </c>
      <c r="B16150" s="515" t="s">
        <v>957</v>
      </c>
      <c r="C16150" s="52">
        <v>262754.84264129098</v>
      </c>
      <c r="D16150" s="56">
        <v>0.13327417870291883</v>
      </c>
      <c r="E16150" s="224" t="s">
        <v>2</v>
      </c>
      <c r="F16150" s="515" t="s">
        <v>17326</v>
      </c>
      <c r="G16150" s="52">
        <v>401484.691873851</v>
      </c>
      <c r="H16150" s="56">
        <v>8.8608750229060687E-2</v>
      </c>
      <c r="I16150" s="224" t="s">
        <v>2</v>
      </c>
    </row>
    <row r="16151" spans="1:9" x14ac:dyDescent="0.25">
      <c r="A16151" s="515">
        <v>4344</v>
      </c>
      <c r="B16151" s="515" t="s">
        <v>848</v>
      </c>
      <c r="C16151" s="52">
        <v>262410.85661380301</v>
      </c>
      <c r="D16151" s="56">
        <v>0.12302371540718733</v>
      </c>
      <c r="E16151" s="224" t="s">
        <v>2</v>
      </c>
      <c r="F16151" s="515" t="s">
        <v>17327</v>
      </c>
      <c r="G16151" s="52">
        <v>535341.85540537897</v>
      </c>
      <c r="H16151" s="56">
        <v>9.1576211267464E-2</v>
      </c>
      <c r="I16151" s="224" t="s">
        <v>2</v>
      </c>
    </row>
    <row r="16152" spans="1:9" x14ac:dyDescent="0.25">
      <c r="A16152" s="515">
        <v>65281</v>
      </c>
      <c r="C16152" s="52">
        <v>142070.273210844</v>
      </c>
      <c r="D16152" s="56">
        <v>7.5404939946425789E-2</v>
      </c>
      <c r="E16152" s="224" t="s">
        <v>2</v>
      </c>
      <c r="F16152" s="515" t="s">
        <v>17328</v>
      </c>
      <c r="G16152" s="52">
        <v>79870.755850335205</v>
      </c>
      <c r="H16152" s="56">
        <v>-2.288373362982981E-2</v>
      </c>
      <c r="I16152" s="224" t="s">
        <v>2</v>
      </c>
    </row>
    <row r="16153" spans="1:9" x14ac:dyDescent="0.25">
      <c r="A16153" s="515">
        <v>36035</v>
      </c>
      <c r="B16153" s="515" t="s">
        <v>1027</v>
      </c>
      <c r="C16153" s="52">
        <v>135721.159937116</v>
      </c>
      <c r="D16153" s="56">
        <v>1.5070744652664171E-2</v>
      </c>
      <c r="E16153" s="224" t="s">
        <v>2</v>
      </c>
      <c r="F16153" s="515" t="s">
        <v>17329</v>
      </c>
      <c r="G16153" s="52">
        <v>132792.74901719601</v>
      </c>
      <c r="H16153" s="56">
        <v>9.4741061471680474E-2</v>
      </c>
      <c r="I16153" s="224" t="s">
        <v>2</v>
      </c>
    </row>
    <row r="16154" spans="1:9" x14ac:dyDescent="0.25">
      <c r="A16154" s="515">
        <v>45118</v>
      </c>
      <c r="B16154" s="515" t="s">
        <v>344</v>
      </c>
      <c r="C16154" s="52">
        <v>241617.13975959099</v>
      </c>
      <c r="D16154" s="56">
        <v>4.9603715407573142E-2</v>
      </c>
      <c r="E16154" s="224" t="s">
        <v>2</v>
      </c>
      <c r="F16154" s="515" t="s">
        <v>17330</v>
      </c>
      <c r="G16154" s="52">
        <v>466005.68115942</v>
      </c>
      <c r="H16154" s="56">
        <v>0</v>
      </c>
      <c r="I16154" s="224" t="s">
        <v>2</v>
      </c>
    </row>
    <row r="16155" spans="1:9" x14ac:dyDescent="0.25">
      <c r="A16155" s="515">
        <v>50601</v>
      </c>
      <c r="C16155" s="52">
        <v>114859.665623849</v>
      </c>
      <c r="D16155" s="56">
        <v>0.11697320955010967</v>
      </c>
      <c r="E16155" s="224" t="s">
        <v>2</v>
      </c>
      <c r="F16155" s="515" t="s">
        <v>17331</v>
      </c>
      <c r="G16155" s="52">
        <v>139564.67796585799</v>
      </c>
      <c r="H16155" s="56">
        <v>5.0291624536097559E-3</v>
      </c>
      <c r="I16155" s="224" t="s">
        <v>2</v>
      </c>
    </row>
    <row r="16156" spans="1:9" x14ac:dyDescent="0.25">
      <c r="A16156" s="515">
        <v>56220</v>
      </c>
      <c r="C16156" s="52">
        <v>143200.84704146799</v>
      </c>
      <c r="D16156" s="56">
        <v>2.834716462738697E-2</v>
      </c>
      <c r="E16156" s="224" t="s">
        <v>2</v>
      </c>
      <c r="F16156" s="515" t="s">
        <v>17332</v>
      </c>
      <c r="G16156" s="52">
        <v>174061.62700774099</v>
      </c>
      <c r="H16156" s="56">
        <v>9.2542280377606687E-2</v>
      </c>
      <c r="I16156" s="224" t="s">
        <v>2</v>
      </c>
    </row>
    <row r="16157" spans="1:9" x14ac:dyDescent="0.25">
      <c r="A16157" s="515">
        <v>98568</v>
      </c>
      <c r="B16157" s="515" t="s">
        <v>683</v>
      </c>
      <c r="C16157" s="52">
        <v>334520.41280607798</v>
      </c>
      <c r="D16157" s="56">
        <v>-2.404892627804664E-2</v>
      </c>
      <c r="E16157" s="224" t="s">
        <v>2</v>
      </c>
      <c r="F16157" s="515" t="s">
        <v>17333</v>
      </c>
      <c r="G16157" s="52">
        <v>99013.592634696499</v>
      </c>
      <c r="H16157" s="56">
        <v>0</v>
      </c>
      <c r="I16157" s="224" t="s">
        <v>2</v>
      </c>
    </row>
    <row r="16158" spans="1:9" x14ac:dyDescent="0.25">
      <c r="A16158" s="515">
        <v>19529</v>
      </c>
      <c r="B16158" s="515" t="s">
        <v>569</v>
      </c>
      <c r="C16158" s="52">
        <v>350739.90669149399</v>
      </c>
      <c r="D16158" s="56">
        <v>8.9423760923835083E-2</v>
      </c>
      <c r="E16158" s="224" t="s">
        <v>2</v>
      </c>
      <c r="F16158" s="515" t="s">
        <v>17334</v>
      </c>
      <c r="G16158" s="52">
        <v>115360.429341711</v>
      </c>
      <c r="H16158" s="56">
        <v>2.7601785461217859E-2</v>
      </c>
      <c r="I16158" s="224" t="s">
        <v>2</v>
      </c>
    </row>
    <row r="16159" spans="1:9" x14ac:dyDescent="0.25">
      <c r="A16159" s="515">
        <v>49232</v>
      </c>
      <c r="B16159" s="515" t="s">
        <v>971</v>
      </c>
      <c r="C16159" s="52">
        <v>219928.98770449101</v>
      </c>
      <c r="D16159" s="56">
        <v>7.6666738404903151E-2</v>
      </c>
      <c r="E16159" s="224" t="s">
        <v>2</v>
      </c>
      <c r="F16159" s="515" t="s">
        <v>17335</v>
      </c>
      <c r="G16159" s="52">
        <v>136721.43423943</v>
      </c>
      <c r="H16159" s="56">
        <v>7.7256974653358762E-2</v>
      </c>
      <c r="I16159" s="224" t="s">
        <v>2</v>
      </c>
    </row>
    <row r="16160" spans="1:9" x14ac:dyDescent="0.25">
      <c r="A16160" s="515">
        <v>29137</v>
      </c>
      <c r="B16160" s="515" t="s">
        <v>888</v>
      </c>
      <c r="C16160" s="52">
        <v>57934.173953807302</v>
      </c>
      <c r="D16160" s="56">
        <v>3.335692020776504E-2</v>
      </c>
      <c r="E16160" s="224" t="s">
        <v>2</v>
      </c>
      <c r="F16160" s="515" t="s">
        <v>17336</v>
      </c>
      <c r="G16160" s="52">
        <v>167291.888888888</v>
      </c>
      <c r="H16160" s="56">
        <v>0</v>
      </c>
      <c r="I16160" s="224" t="s">
        <v>2</v>
      </c>
    </row>
    <row r="16161" spans="1:9" x14ac:dyDescent="0.25">
      <c r="A16161" s="515">
        <v>2725</v>
      </c>
      <c r="B16161" s="515" t="s">
        <v>513</v>
      </c>
      <c r="C16161" s="52">
        <v>399806.94173021999</v>
      </c>
      <c r="D16161" s="56">
        <v>8.6523597229334337E-2</v>
      </c>
      <c r="E16161" s="224" t="s">
        <v>2</v>
      </c>
      <c r="F16161" s="515" t="s">
        <v>17337</v>
      </c>
      <c r="G16161" s="52">
        <v>126026.515412846</v>
      </c>
      <c r="H16161" s="56">
        <v>9.7245734467178949E-2</v>
      </c>
      <c r="I16161" s="224" t="s">
        <v>2</v>
      </c>
    </row>
    <row r="16162" spans="1:9" x14ac:dyDescent="0.25">
      <c r="A16162" s="515">
        <v>74840</v>
      </c>
      <c r="C16162" s="52">
        <v>173016.86808939499</v>
      </c>
      <c r="D16162" s="56">
        <v>9.8814707714524566E-2</v>
      </c>
      <c r="E16162" s="224" t="s">
        <v>2</v>
      </c>
      <c r="F16162" s="515" t="s">
        <v>17338</v>
      </c>
      <c r="G16162" s="52">
        <v>129425.64903846099</v>
      </c>
      <c r="H16162" s="56">
        <v>0</v>
      </c>
      <c r="I16162" s="224" t="s">
        <v>2</v>
      </c>
    </row>
    <row r="16163" spans="1:9" x14ac:dyDescent="0.25">
      <c r="A16163" s="515">
        <v>73433</v>
      </c>
      <c r="C16163" s="52">
        <v>140390.63004799301</v>
      </c>
      <c r="D16163" s="56">
        <v>0.12584513822879553</v>
      </c>
      <c r="E16163" s="224" t="s">
        <v>2</v>
      </c>
      <c r="F16163" s="515" t="s">
        <v>17339</v>
      </c>
      <c r="G16163" s="52">
        <v>131816.41012702099</v>
      </c>
      <c r="H16163" s="56">
        <v>7.1842115867954581E-2</v>
      </c>
      <c r="I16163" s="224" t="s">
        <v>2</v>
      </c>
    </row>
    <row r="16164" spans="1:9" x14ac:dyDescent="0.25">
      <c r="A16164" s="515">
        <v>80644</v>
      </c>
      <c r="B16164" s="515" t="s">
        <v>382</v>
      </c>
      <c r="C16164" s="52">
        <v>451749.77703548298</v>
      </c>
      <c r="D16164" s="56">
        <v>2.8892822901074127E-2</v>
      </c>
      <c r="E16164" s="224" t="s">
        <v>2</v>
      </c>
      <c r="F16164" s="515" t="s">
        <v>17340</v>
      </c>
      <c r="G16164" s="52">
        <v>903182.70125292195</v>
      </c>
      <c r="H16164" s="56">
        <v>2.5031164436566979E-2</v>
      </c>
      <c r="I16164" s="224" t="s">
        <v>2</v>
      </c>
    </row>
    <row r="16165" spans="1:9" x14ac:dyDescent="0.25">
      <c r="A16165" s="515">
        <v>75954</v>
      </c>
      <c r="C16165" s="52">
        <v>145022.63227907399</v>
      </c>
      <c r="D16165" s="56">
        <v>-9.5415746300595614E-2</v>
      </c>
      <c r="E16165" s="224" t="s">
        <v>2</v>
      </c>
      <c r="F16165" s="515" t="s">
        <v>17341</v>
      </c>
      <c r="G16165" s="52">
        <v>150307.47960271299</v>
      </c>
      <c r="H16165" s="56">
        <v>8.7040518371687753E-4</v>
      </c>
      <c r="I16165" s="224" t="s">
        <v>2</v>
      </c>
    </row>
    <row r="16166" spans="1:9" x14ac:dyDescent="0.25">
      <c r="A16166" s="515">
        <v>65552</v>
      </c>
      <c r="C16166" s="52">
        <v>190597.756897143</v>
      </c>
      <c r="D16166" s="56">
        <v>3.3870259551281055E-2</v>
      </c>
      <c r="E16166" s="224" t="s">
        <v>2</v>
      </c>
      <c r="F16166" s="515" t="s">
        <v>17342</v>
      </c>
      <c r="G16166" s="52">
        <v>143219.31034482701</v>
      </c>
      <c r="H16166" s="56">
        <v>0</v>
      </c>
      <c r="I16166" s="224" t="s">
        <v>2</v>
      </c>
    </row>
    <row r="16167" spans="1:9" x14ac:dyDescent="0.25">
      <c r="A16167" s="515">
        <v>84310</v>
      </c>
      <c r="B16167" s="515" t="s">
        <v>628</v>
      </c>
      <c r="C16167" s="52">
        <v>688286.36396690505</v>
      </c>
      <c r="D16167" s="56">
        <v>2.4209492351334492E-2</v>
      </c>
      <c r="E16167" s="224" t="s">
        <v>2</v>
      </c>
      <c r="F16167" s="515" t="s">
        <v>17343</v>
      </c>
      <c r="G16167" s="52">
        <v>333507.53824537899</v>
      </c>
      <c r="H16167" s="56">
        <v>9.6789380257387259E-2</v>
      </c>
      <c r="I16167" s="224" t="s">
        <v>2</v>
      </c>
    </row>
    <row r="16168" spans="1:9" x14ac:dyDescent="0.25">
      <c r="A16168" s="515">
        <v>55971</v>
      </c>
      <c r="B16168" s="515" t="s">
        <v>470</v>
      </c>
      <c r="C16168" s="52">
        <v>226370.68845850101</v>
      </c>
      <c r="D16168" s="56">
        <v>6.931222630087365E-2</v>
      </c>
      <c r="E16168" s="224" t="s">
        <v>2</v>
      </c>
      <c r="F16168" s="515" t="s">
        <v>17344</v>
      </c>
      <c r="G16168" s="52">
        <v>209344.278467614</v>
      </c>
      <c r="H16168" s="56">
        <v>4.2201308622549255E-2</v>
      </c>
      <c r="I16168" s="224" t="s">
        <v>2</v>
      </c>
    </row>
    <row r="16169" spans="1:9" x14ac:dyDescent="0.25">
      <c r="A16169" s="515">
        <v>14025</v>
      </c>
      <c r="B16169" s="515" t="s">
        <v>336</v>
      </c>
      <c r="C16169" s="52">
        <v>284194.54479979898</v>
      </c>
      <c r="D16169" s="56">
        <v>7.6197497792986194E-2</v>
      </c>
      <c r="E16169" s="224" t="s">
        <v>2</v>
      </c>
      <c r="F16169" s="515" t="s">
        <v>17345</v>
      </c>
      <c r="G16169" s="52">
        <v>189231.38333492799</v>
      </c>
      <c r="H16169" s="56">
        <v>5.231936727625483E-2</v>
      </c>
      <c r="I16169" s="224" t="s">
        <v>2</v>
      </c>
    </row>
    <row r="16170" spans="1:9" x14ac:dyDescent="0.25">
      <c r="A16170" s="515">
        <v>31002</v>
      </c>
      <c r="C16170" s="52">
        <v>105232.526494957</v>
      </c>
      <c r="D16170" s="56">
        <v>9.0472016888820853E-2</v>
      </c>
      <c r="E16170" s="224" t="s">
        <v>2</v>
      </c>
      <c r="F16170" s="515" t="s">
        <v>17346</v>
      </c>
      <c r="G16170" s="52">
        <v>99690.334607171593</v>
      </c>
      <c r="H16170" s="56">
        <v>-2.9701695472723368E-3</v>
      </c>
      <c r="I16170" s="224" t="s">
        <v>2</v>
      </c>
    </row>
    <row r="16171" spans="1:9" x14ac:dyDescent="0.25">
      <c r="A16171" s="515">
        <v>76570</v>
      </c>
      <c r="B16171" s="515" t="s">
        <v>1057</v>
      </c>
      <c r="C16171" s="52">
        <v>124534.473687661</v>
      </c>
      <c r="D16171" s="56">
        <v>-2.4323856315372989E-2</v>
      </c>
      <c r="E16171" s="224" t="s">
        <v>2</v>
      </c>
      <c r="F16171" s="515" t="s">
        <v>17347</v>
      </c>
      <c r="G16171" s="52">
        <v>117492.653566619</v>
      </c>
      <c r="H16171" s="56">
        <v>2.6164385615681966E-2</v>
      </c>
      <c r="I16171" s="224" t="s">
        <v>2</v>
      </c>
    </row>
    <row r="16172" spans="1:9" x14ac:dyDescent="0.25">
      <c r="A16172" s="515">
        <v>91962</v>
      </c>
      <c r="B16172" s="515" t="s">
        <v>396</v>
      </c>
      <c r="C16172" s="52">
        <v>599250.68267541798</v>
      </c>
      <c r="D16172" s="56">
        <v>4.1799527748697454E-2</v>
      </c>
      <c r="E16172" s="224" t="s">
        <v>2</v>
      </c>
      <c r="F16172" s="515" t="s">
        <v>17348</v>
      </c>
      <c r="G16172" s="52">
        <v>251407.17853975299</v>
      </c>
      <c r="H16172" s="56">
        <v>8.1053531220867628E-2</v>
      </c>
      <c r="I16172" s="224" t="s">
        <v>2</v>
      </c>
    </row>
    <row r="16173" spans="1:9" x14ac:dyDescent="0.25">
      <c r="A16173" s="515">
        <v>29487</v>
      </c>
      <c r="B16173" s="515" t="s">
        <v>1009</v>
      </c>
      <c r="C16173" s="52">
        <v>571697.85307964997</v>
      </c>
      <c r="D16173" s="56">
        <v>0.19288944100766631</v>
      </c>
      <c r="E16173" s="224" t="s">
        <v>2</v>
      </c>
      <c r="F16173" s="515" t="s">
        <v>17349</v>
      </c>
      <c r="G16173" s="52">
        <v>217394.84252122499</v>
      </c>
      <c r="H16173" s="56">
        <v>7.4713562666075692E-2</v>
      </c>
      <c r="I16173" s="224" t="s">
        <v>2</v>
      </c>
    </row>
    <row r="16174" spans="1:9" x14ac:dyDescent="0.25">
      <c r="A16174" s="515">
        <v>13795</v>
      </c>
      <c r="B16174" s="515" t="s">
        <v>840</v>
      </c>
      <c r="C16174" s="52">
        <v>153140.89214713601</v>
      </c>
      <c r="D16174" s="56">
        <v>2.7879848376696034E-2</v>
      </c>
      <c r="E16174" s="224" t="s">
        <v>2</v>
      </c>
      <c r="F16174" s="515" t="s">
        <v>17350</v>
      </c>
      <c r="G16174" s="52">
        <v>386901.19199785998</v>
      </c>
      <c r="H16174" s="56">
        <v>0.10309906329910179</v>
      </c>
      <c r="I16174" s="224" t="s">
        <v>2</v>
      </c>
    </row>
    <row r="16175" spans="1:9" x14ac:dyDescent="0.25">
      <c r="A16175" s="515">
        <v>66088</v>
      </c>
      <c r="B16175" s="515" t="s">
        <v>549</v>
      </c>
      <c r="C16175" s="52">
        <v>204814.32796672199</v>
      </c>
      <c r="D16175" s="56">
        <v>0.11689778311927114</v>
      </c>
      <c r="E16175" s="224" t="s">
        <v>2</v>
      </c>
      <c r="F16175" s="515" t="s">
        <v>17351</v>
      </c>
      <c r="G16175" s="52">
        <v>123345.345873306</v>
      </c>
      <c r="H16175" s="56">
        <v>0.12445431484774024</v>
      </c>
      <c r="I16175" s="224" t="s">
        <v>2</v>
      </c>
    </row>
    <row r="16176" spans="1:9" x14ac:dyDescent="0.25">
      <c r="A16176" s="515">
        <v>81120</v>
      </c>
      <c r="C16176" s="52">
        <v>196491.194143539</v>
      </c>
      <c r="D16176" s="56">
        <v>0.11869080047185404</v>
      </c>
      <c r="E16176" s="224" t="s">
        <v>2</v>
      </c>
      <c r="F16176" s="515" t="s">
        <v>17352</v>
      </c>
      <c r="G16176" s="52">
        <v>170462.03463364299</v>
      </c>
      <c r="H16176" s="56">
        <v>-2.5592236014089002E-2</v>
      </c>
      <c r="I16176" s="224" t="s">
        <v>2</v>
      </c>
    </row>
    <row r="16177" spans="1:9" x14ac:dyDescent="0.25">
      <c r="A16177" s="515">
        <v>46147</v>
      </c>
      <c r="B16177" s="515" t="s">
        <v>403</v>
      </c>
      <c r="C16177" s="52">
        <v>269058.33801340702</v>
      </c>
      <c r="D16177" s="56">
        <v>9.9999175380741656E-2</v>
      </c>
      <c r="E16177" s="224" t="s">
        <v>2</v>
      </c>
      <c r="F16177" s="515" t="s">
        <v>17353</v>
      </c>
      <c r="G16177" s="52">
        <v>389537.79874704499</v>
      </c>
      <c r="H16177" s="56">
        <v>4.2046157349469072E-2</v>
      </c>
      <c r="I16177" s="224" t="s">
        <v>2</v>
      </c>
    </row>
    <row r="16178" spans="1:9" x14ac:dyDescent="0.25">
      <c r="A16178" s="515">
        <v>55940</v>
      </c>
      <c r="B16178" s="515" t="s">
        <v>470</v>
      </c>
      <c r="C16178" s="52">
        <v>264947.78429498599</v>
      </c>
      <c r="D16178" s="56">
        <v>6.5141939960123921E-2</v>
      </c>
      <c r="E16178" s="224" t="s">
        <v>2</v>
      </c>
      <c r="F16178" s="515" t="s">
        <v>17354</v>
      </c>
      <c r="G16178" s="52">
        <v>248094.104915431</v>
      </c>
      <c r="H16178" s="56">
        <v>0.10202159934005654</v>
      </c>
      <c r="I16178" s="224" t="s">
        <v>2</v>
      </c>
    </row>
    <row r="16179" spans="1:9" x14ac:dyDescent="0.25">
      <c r="A16179" s="515">
        <v>38603</v>
      </c>
      <c r="C16179" s="52">
        <v>109378.764627809</v>
      </c>
      <c r="D16179" s="56">
        <v>-7.4115765986348489E-2</v>
      </c>
      <c r="E16179" s="224" t="s">
        <v>2</v>
      </c>
      <c r="F16179" s="515" t="s">
        <v>17355</v>
      </c>
      <c r="G16179" s="52">
        <v>131917.69656360301</v>
      </c>
      <c r="H16179" s="56">
        <v>5.1398168141980873E-2</v>
      </c>
      <c r="I16179" s="224" t="s">
        <v>2</v>
      </c>
    </row>
    <row r="16180" spans="1:9" x14ac:dyDescent="0.25">
      <c r="A16180" s="515">
        <v>63736</v>
      </c>
      <c r="B16180" s="515" t="s">
        <v>356</v>
      </c>
      <c r="C16180" s="52">
        <v>149156.376937333</v>
      </c>
      <c r="D16180" s="56">
        <v>1.677610972490667E-2</v>
      </c>
      <c r="E16180" s="224" t="s">
        <v>2</v>
      </c>
      <c r="F16180" s="515" t="s">
        <v>17356</v>
      </c>
      <c r="G16180" s="52">
        <v>389932.14939790103</v>
      </c>
      <c r="H16180" s="56">
        <v>0</v>
      </c>
      <c r="I16180" s="224" t="s">
        <v>2</v>
      </c>
    </row>
    <row r="16181" spans="1:9" x14ac:dyDescent="0.25">
      <c r="A16181" s="515">
        <v>26218</v>
      </c>
      <c r="C16181" s="52">
        <v>121370.318040108</v>
      </c>
      <c r="D16181" s="56">
        <v>7.587750281959732E-2</v>
      </c>
      <c r="E16181" s="224" t="s">
        <v>2</v>
      </c>
      <c r="F16181" s="515" t="s">
        <v>17357</v>
      </c>
      <c r="G16181" s="52">
        <v>148901.966445336</v>
      </c>
      <c r="H16181" s="56">
        <v>2.2207599708189765E-2</v>
      </c>
      <c r="I16181" s="224" t="s">
        <v>2</v>
      </c>
    </row>
    <row r="16182" spans="1:9" x14ac:dyDescent="0.25">
      <c r="A16182" s="515">
        <v>17045</v>
      </c>
      <c r="B16182" s="515" t="s">
        <v>428</v>
      </c>
      <c r="C16182" s="52">
        <v>213527.61645708</v>
      </c>
      <c r="D16182" s="56">
        <v>5.5202563830008579E-2</v>
      </c>
      <c r="E16182" s="224" t="s">
        <v>2</v>
      </c>
      <c r="F16182" s="515" t="s">
        <v>17358</v>
      </c>
      <c r="G16182" s="52">
        <v>60308.523941455198</v>
      </c>
      <c r="H16182" s="56">
        <v>0.1301450682296087</v>
      </c>
      <c r="I16182" s="224" t="s">
        <v>2</v>
      </c>
    </row>
    <row r="16183" spans="1:9" x14ac:dyDescent="0.25">
      <c r="A16183" s="515">
        <v>13626</v>
      </c>
      <c r="C16183" s="52">
        <v>175543.216385343</v>
      </c>
      <c r="D16183" s="56">
        <v>0.11000720354538683</v>
      </c>
      <c r="E16183" s="224" t="s">
        <v>2</v>
      </c>
      <c r="F16183" s="515" t="s">
        <v>17359</v>
      </c>
      <c r="G16183" s="52">
        <v>182551.12541726799</v>
      </c>
      <c r="H16183" s="56">
        <v>5.8571257623366721E-2</v>
      </c>
      <c r="I16183" s="224" t="s">
        <v>2</v>
      </c>
    </row>
    <row r="16184" spans="1:9" x14ac:dyDescent="0.25">
      <c r="A16184" s="515">
        <v>43107</v>
      </c>
      <c r="B16184" s="515" t="s">
        <v>345</v>
      </c>
      <c r="C16184" s="52">
        <v>218495.27689376599</v>
      </c>
      <c r="D16184" s="56">
        <v>0.10733487656831869</v>
      </c>
      <c r="E16184" s="224" t="s">
        <v>2</v>
      </c>
      <c r="F16184" s="515" t="s">
        <v>17360</v>
      </c>
      <c r="G16184" s="52">
        <v>77372.062510228803</v>
      </c>
      <c r="H16184" s="56">
        <v>-6.2677162674474249E-2</v>
      </c>
      <c r="I16184" s="224" t="s">
        <v>2</v>
      </c>
    </row>
    <row r="16185" spans="1:9" x14ac:dyDescent="0.25">
      <c r="A16185" s="515">
        <v>45744</v>
      </c>
      <c r="B16185" s="515" t="s">
        <v>665</v>
      </c>
      <c r="C16185" s="52">
        <v>145360.24073772799</v>
      </c>
      <c r="D16185" s="56">
        <v>5.2794118897833142E-2</v>
      </c>
      <c r="E16185" s="224" t="s">
        <v>2</v>
      </c>
      <c r="F16185" s="515" t="s">
        <v>17361</v>
      </c>
      <c r="G16185" s="52">
        <v>92668.153375147202</v>
      </c>
      <c r="H16185" s="56">
        <v>7.5782568756489838E-2</v>
      </c>
      <c r="I16185" s="224" t="s">
        <v>2</v>
      </c>
    </row>
    <row r="16186" spans="1:9" x14ac:dyDescent="0.25">
      <c r="A16186" s="515">
        <v>44666</v>
      </c>
      <c r="B16186" s="515" t="s">
        <v>863</v>
      </c>
      <c r="C16186" s="52">
        <v>275012.158434843</v>
      </c>
      <c r="D16186" s="56">
        <v>0.2061358459182652</v>
      </c>
      <c r="E16186" s="224" t="s">
        <v>2</v>
      </c>
      <c r="F16186" s="515" t="s">
        <v>17362</v>
      </c>
      <c r="G16186" s="52">
        <v>468022.32445186598</v>
      </c>
      <c r="H16186" s="56">
        <v>-2.3966313655020995E-2</v>
      </c>
      <c r="I16186" s="224" t="s">
        <v>2</v>
      </c>
    </row>
    <row r="16187" spans="1:9" x14ac:dyDescent="0.25">
      <c r="A16187" s="515">
        <v>38313</v>
      </c>
      <c r="B16187" s="515" t="s">
        <v>691</v>
      </c>
      <c r="C16187" s="52">
        <v>180365.63585767901</v>
      </c>
      <c r="D16187" s="56">
        <v>8.497355716782469E-2</v>
      </c>
      <c r="E16187" s="224" t="s">
        <v>2</v>
      </c>
      <c r="F16187" s="515" t="s">
        <v>17363</v>
      </c>
      <c r="G16187" s="52">
        <v>104186.217824976</v>
      </c>
      <c r="H16187" s="56">
        <v>6.567858904288508E-2</v>
      </c>
      <c r="I16187" s="224" t="s">
        <v>2</v>
      </c>
    </row>
    <row r="16188" spans="1:9" x14ac:dyDescent="0.25">
      <c r="A16188" s="515">
        <v>96114</v>
      </c>
      <c r="B16188" s="515" t="s">
        <v>658</v>
      </c>
      <c r="C16188" s="52">
        <v>305389.8306247</v>
      </c>
      <c r="D16188" s="56">
        <v>-2.9046698803077274E-2</v>
      </c>
      <c r="E16188" s="224" t="s">
        <v>2</v>
      </c>
      <c r="F16188" s="515" t="s">
        <v>17364</v>
      </c>
      <c r="G16188" s="52">
        <v>148224.57546073099</v>
      </c>
      <c r="H16188" s="56">
        <v>0.10224384214451776</v>
      </c>
      <c r="I16188" s="224" t="s">
        <v>2</v>
      </c>
    </row>
    <row r="16189" spans="1:9" x14ac:dyDescent="0.25">
      <c r="A16189" s="515">
        <v>62080</v>
      </c>
      <c r="C16189" s="52">
        <v>104500.13988386501</v>
      </c>
      <c r="D16189" s="56">
        <v>0.15140521456077841</v>
      </c>
      <c r="E16189" s="224" t="s">
        <v>2</v>
      </c>
      <c r="F16189" s="515" t="s">
        <v>17365</v>
      </c>
      <c r="G16189" s="52">
        <v>249860.02525283699</v>
      </c>
      <c r="H16189" s="56">
        <v>9.3919562286051889E-2</v>
      </c>
      <c r="I16189" s="224" t="s">
        <v>2</v>
      </c>
    </row>
    <row r="16190" spans="1:9" x14ac:dyDescent="0.25">
      <c r="A16190" s="515">
        <v>58474</v>
      </c>
      <c r="C16190" s="52">
        <v>139588.985389743</v>
      </c>
      <c r="D16190" s="56">
        <v>1.5527202747092685E-2</v>
      </c>
      <c r="E16190" s="224" t="s">
        <v>2</v>
      </c>
      <c r="F16190" s="515" t="s">
        <v>17366</v>
      </c>
      <c r="G16190" s="52">
        <v>333008.29762562702</v>
      </c>
      <c r="H16190" s="56">
        <v>4.6360633481462493E-2</v>
      </c>
      <c r="I16190" s="224" t="s">
        <v>2</v>
      </c>
    </row>
    <row r="16191" spans="1:9" x14ac:dyDescent="0.25">
      <c r="A16191" s="515">
        <v>67356</v>
      </c>
      <c r="B16191" s="515" t="s">
        <v>656</v>
      </c>
      <c r="C16191" s="52">
        <v>87938.193178088506</v>
      </c>
      <c r="D16191" s="56">
        <v>0.13631114462647617</v>
      </c>
      <c r="E16191" s="224" t="s">
        <v>2</v>
      </c>
      <c r="F16191" s="515" t="s">
        <v>17367</v>
      </c>
      <c r="G16191" s="52">
        <v>340153.90845643898</v>
      </c>
      <c r="H16191" s="56">
        <v>9.3222273291384966E-2</v>
      </c>
      <c r="I16191" s="224" t="s">
        <v>2</v>
      </c>
    </row>
    <row r="16192" spans="1:9" x14ac:dyDescent="0.25">
      <c r="A16192" s="515">
        <v>32053</v>
      </c>
      <c r="C16192" s="52">
        <v>210610.767805015</v>
      </c>
      <c r="D16192" s="56">
        <v>0.16933013494738552</v>
      </c>
      <c r="E16192" s="224" t="s">
        <v>2</v>
      </c>
      <c r="F16192" s="515" t="s">
        <v>17368</v>
      </c>
      <c r="G16192" s="52">
        <v>95541.923063321898</v>
      </c>
      <c r="H16192" s="56">
        <v>0.10342936168233799</v>
      </c>
      <c r="I16192" s="224" t="s">
        <v>2</v>
      </c>
    </row>
    <row r="16193" spans="1:9" x14ac:dyDescent="0.25">
      <c r="A16193" s="515">
        <v>54745</v>
      </c>
      <c r="B16193" s="515" t="s">
        <v>1028</v>
      </c>
      <c r="C16193" s="52">
        <v>257782.37268979501</v>
      </c>
      <c r="D16193" s="56">
        <v>0.12096709323485656</v>
      </c>
      <c r="E16193" s="224" t="s">
        <v>2</v>
      </c>
      <c r="F16193" s="515" t="s">
        <v>17369</v>
      </c>
      <c r="G16193" s="52">
        <v>205303.45415589199</v>
      </c>
      <c r="H16193" s="56">
        <v>6.5811975027465594E-2</v>
      </c>
      <c r="I16193" s="224" t="s">
        <v>2</v>
      </c>
    </row>
    <row r="16194" spans="1:9" x14ac:dyDescent="0.25">
      <c r="A16194" s="515">
        <v>67062</v>
      </c>
      <c r="B16194" s="515" t="s">
        <v>485</v>
      </c>
      <c r="C16194" s="52">
        <v>217985.38135623399</v>
      </c>
      <c r="D16194" s="56">
        <v>8.5925989604966058E-2</v>
      </c>
      <c r="E16194" s="224" t="s">
        <v>2</v>
      </c>
      <c r="F16194" s="515" t="s">
        <v>17370</v>
      </c>
      <c r="G16194" s="52">
        <v>169680.51020730601</v>
      </c>
      <c r="H16194" s="56">
        <v>0.2017909525209283</v>
      </c>
      <c r="I16194" s="224" t="s">
        <v>2</v>
      </c>
    </row>
    <row r="16195" spans="1:9" x14ac:dyDescent="0.25">
      <c r="A16195" s="515">
        <v>12581</v>
      </c>
      <c r="B16195" s="515" t="s">
        <v>529</v>
      </c>
      <c r="C16195" s="52">
        <v>456034.21213684499</v>
      </c>
      <c r="D16195" s="56">
        <v>8.6400396610102306E-2</v>
      </c>
      <c r="E16195" s="224" t="s">
        <v>2</v>
      </c>
      <c r="F16195" s="515" t="s">
        <v>17371</v>
      </c>
      <c r="G16195" s="52">
        <v>374878.22249850701</v>
      </c>
      <c r="H16195" s="56">
        <v>-3.6674064930589015E-2</v>
      </c>
      <c r="I16195" s="224" t="s">
        <v>2</v>
      </c>
    </row>
    <row r="16196" spans="1:9" x14ac:dyDescent="0.25">
      <c r="A16196" s="515">
        <v>74455</v>
      </c>
      <c r="B16196" s="515" t="s">
        <v>538</v>
      </c>
      <c r="C16196" s="52">
        <v>148652.28402632099</v>
      </c>
      <c r="D16196" s="56">
        <v>9.0545414880143643E-2</v>
      </c>
      <c r="E16196" s="224" t="s">
        <v>2</v>
      </c>
      <c r="F16196" s="515" t="s">
        <v>17372</v>
      </c>
      <c r="G16196" s="52">
        <v>184889.63393633999</v>
      </c>
      <c r="H16196" s="56">
        <v>2.8812374943912252E-2</v>
      </c>
      <c r="I16196" s="224" t="s">
        <v>2</v>
      </c>
    </row>
    <row r="16197" spans="1:9" x14ac:dyDescent="0.25">
      <c r="A16197" s="515">
        <v>66757</v>
      </c>
      <c r="C16197" s="52">
        <v>76646.379205608697</v>
      </c>
      <c r="D16197" s="56">
        <v>0.12773979050739634</v>
      </c>
      <c r="E16197" s="224" t="s">
        <v>2</v>
      </c>
      <c r="F16197" s="515" t="s">
        <v>17373</v>
      </c>
      <c r="G16197" s="52">
        <v>188700.379650205</v>
      </c>
      <c r="H16197" s="56">
        <v>9.1197383930833778E-2</v>
      </c>
      <c r="I16197" s="224" t="s">
        <v>2</v>
      </c>
    </row>
    <row r="16198" spans="1:9" x14ac:dyDescent="0.25">
      <c r="A16198" s="515">
        <v>55080</v>
      </c>
      <c r="B16198" s="515" t="s">
        <v>532</v>
      </c>
      <c r="C16198" s="52">
        <v>347862.380142204</v>
      </c>
      <c r="D16198" s="56">
        <v>7.9546968910869445E-2</v>
      </c>
      <c r="E16198" s="224" t="s">
        <v>2</v>
      </c>
      <c r="F16198" s="515" t="s">
        <v>17374</v>
      </c>
      <c r="G16198" s="52">
        <v>281568.616678002</v>
      </c>
      <c r="H16198" s="56">
        <v>8.2441118856633855E-2</v>
      </c>
      <c r="I16198" s="224" t="s">
        <v>2</v>
      </c>
    </row>
    <row r="16199" spans="1:9" x14ac:dyDescent="0.25">
      <c r="A16199" s="515">
        <v>75845</v>
      </c>
      <c r="C16199" s="52">
        <v>172675.537012719</v>
      </c>
      <c r="D16199" s="56">
        <v>-2.3519848574539592E-2</v>
      </c>
      <c r="E16199" s="224" t="s">
        <v>2</v>
      </c>
      <c r="F16199" s="515" t="s">
        <v>17375</v>
      </c>
      <c r="G16199" s="52">
        <v>224162.21226982199</v>
      </c>
      <c r="H16199" s="56">
        <v>6.0505496823423474E-2</v>
      </c>
      <c r="I16199" s="224" t="s">
        <v>2</v>
      </c>
    </row>
    <row r="16200" spans="1:9" x14ac:dyDescent="0.25">
      <c r="A16200" s="515">
        <v>55705</v>
      </c>
      <c r="B16200" s="515" t="s">
        <v>350</v>
      </c>
      <c r="C16200" s="52">
        <v>128537.190577749</v>
      </c>
      <c r="D16200" s="56">
        <v>0.11983123855257496</v>
      </c>
      <c r="E16200" s="224" t="s">
        <v>2</v>
      </c>
      <c r="F16200" s="515" t="s">
        <v>17376</v>
      </c>
      <c r="G16200" s="52">
        <v>215169.615954259</v>
      </c>
      <c r="H16200" s="56">
        <v>4.4399280898908898E-2</v>
      </c>
      <c r="I16200" s="224" t="s">
        <v>2</v>
      </c>
    </row>
    <row r="16201" spans="1:9" x14ac:dyDescent="0.25">
      <c r="A16201" s="515">
        <v>54658</v>
      </c>
      <c r="C16201" s="52">
        <v>249022.825560436</v>
      </c>
      <c r="D16201" s="56">
        <v>5.6206331305461689E-2</v>
      </c>
      <c r="E16201" s="224" t="s">
        <v>2</v>
      </c>
      <c r="F16201" s="515" t="s">
        <v>17377</v>
      </c>
      <c r="G16201" s="52">
        <v>289686.88218905003</v>
      </c>
      <c r="H16201" s="56">
        <v>5.4131178852103258E-2</v>
      </c>
      <c r="I16201" s="224" t="s">
        <v>2</v>
      </c>
    </row>
    <row r="16202" spans="1:9" x14ac:dyDescent="0.25">
      <c r="A16202" s="515">
        <v>98612</v>
      </c>
      <c r="C16202" s="52">
        <v>397070.41011624498</v>
      </c>
      <c r="D16202" s="56">
        <v>3.1459706336364142E-2</v>
      </c>
      <c r="E16202" s="224" t="s">
        <v>2</v>
      </c>
      <c r="F16202" s="515" t="s">
        <v>17378</v>
      </c>
      <c r="G16202" s="52">
        <v>290852.52206159098</v>
      </c>
      <c r="H16202" s="56">
        <v>-3.316090233616447E-2</v>
      </c>
      <c r="I16202" s="224" t="s">
        <v>2</v>
      </c>
    </row>
    <row r="16203" spans="1:9" x14ac:dyDescent="0.25">
      <c r="A16203" s="515">
        <v>54177</v>
      </c>
      <c r="B16203" s="515" t="s">
        <v>923</v>
      </c>
      <c r="C16203" s="52">
        <v>161359.107606387</v>
      </c>
      <c r="D16203" s="56">
        <v>0.14522159364120762</v>
      </c>
      <c r="E16203" s="224" t="s">
        <v>2</v>
      </c>
      <c r="F16203" s="515" t="s">
        <v>17379</v>
      </c>
      <c r="G16203" s="52">
        <v>472665.71440714702</v>
      </c>
      <c r="H16203" s="56">
        <v>0.13476569548295012</v>
      </c>
      <c r="I16203" s="224" t="s">
        <v>2</v>
      </c>
    </row>
    <row r="16204" spans="1:9" x14ac:dyDescent="0.25">
      <c r="A16204" s="515">
        <v>23336</v>
      </c>
      <c r="C16204" s="52">
        <v>302546.55426836602</v>
      </c>
      <c r="D16204" s="56">
        <v>0.17513233189124411</v>
      </c>
      <c r="E16204" s="224" t="s">
        <v>2</v>
      </c>
      <c r="F16204" s="515" t="s">
        <v>17380</v>
      </c>
      <c r="G16204" s="52">
        <v>332902.240898191</v>
      </c>
      <c r="H16204" s="56">
        <v>0.13425166274709113</v>
      </c>
      <c r="I16204" s="224" t="s">
        <v>2</v>
      </c>
    </row>
    <row r="16205" spans="1:9" x14ac:dyDescent="0.25">
      <c r="A16205" s="515">
        <v>27816</v>
      </c>
      <c r="B16205" s="515" t="s">
        <v>484</v>
      </c>
      <c r="C16205" s="52">
        <v>181667.78677371499</v>
      </c>
      <c r="D16205" s="56">
        <v>0.24129251162037876</v>
      </c>
      <c r="E16205" s="224" t="s">
        <v>2</v>
      </c>
      <c r="F16205" s="515" t="s">
        <v>17381</v>
      </c>
      <c r="G16205" s="52">
        <v>638768.75577523594</v>
      </c>
      <c r="H16205" s="56">
        <v>0.12864789444296121</v>
      </c>
      <c r="I16205" s="224" t="s">
        <v>2</v>
      </c>
    </row>
    <row r="16206" spans="1:9" x14ac:dyDescent="0.25">
      <c r="A16206" s="515">
        <v>97396</v>
      </c>
      <c r="B16206" s="515" t="s">
        <v>659</v>
      </c>
      <c r="C16206" s="52">
        <v>333968.30890908698</v>
      </c>
      <c r="D16206" s="56">
        <v>5.3156565129296313E-2</v>
      </c>
      <c r="E16206" s="224" t="s">
        <v>2</v>
      </c>
      <c r="F16206" s="515" t="s">
        <v>17382</v>
      </c>
      <c r="G16206" s="52">
        <v>284262.05772739201</v>
      </c>
      <c r="H16206" s="56">
        <v>0</v>
      </c>
      <c r="I16206" s="224" t="s">
        <v>2</v>
      </c>
    </row>
    <row r="16207" spans="1:9" x14ac:dyDescent="0.25">
      <c r="A16207" s="515">
        <v>69145</v>
      </c>
      <c r="C16207" s="52">
        <v>124595.05235881401</v>
      </c>
      <c r="D16207" s="56">
        <v>0.12086930479916572</v>
      </c>
      <c r="E16207" s="224" t="s">
        <v>2</v>
      </c>
      <c r="F16207" s="515" t="s">
        <v>17383</v>
      </c>
      <c r="G16207" s="52">
        <v>196937.259183149</v>
      </c>
      <c r="H16207" s="56">
        <v>7.7838735176790352E-2</v>
      </c>
      <c r="I16207" s="224" t="s">
        <v>2</v>
      </c>
    </row>
    <row r="16208" spans="1:9" x14ac:dyDescent="0.25">
      <c r="A16208" s="515">
        <v>61723</v>
      </c>
      <c r="B16208" s="515" t="s">
        <v>837</v>
      </c>
      <c r="C16208" s="52">
        <v>128662.16144743</v>
      </c>
      <c r="D16208" s="56">
        <v>-1.3202920625242814E-2</v>
      </c>
      <c r="E16208" s="224" t="s">
        <v>2</v>
      </c>
      <c r="F16208" s="515" t="s">
        <v>17384</v>
      </c>
      <c r="G16208" s="52">
        <v>154966.65138488001</v>
      </c>
      <c r="H16208" s="56">
        <v>8.4346616743849676E-2</v>
      </c>
      <c r="I16208" s="224" t="s">
        <v>2</v>
      </c>
    </row>
    <row r="16209" spans="1:9" x14ac:dyDescent="0.25">
      <c r="A16209" s="515">
        <v>50276</v>
      </c>
      <c r="B16209" s="515" t="s">
        <v>295</v>
      </c>
      <c r="C16209" s="52">
        <v>230972.554578982</v>
      </c>
      <c r="D16209" s="56">
        <v>8.3183726051282658E-2</v>
      </c>
      <c r="E16209" s="224" t="s">
        <v>2</v>
      </c>
      <c r="F16209" s="515" t="s">
        <v>17385</v>
      </c>
      <c r="G16209" s="52">
        <v>82227.845092216798</v>
      </c>
      <c r="H16209" s="56">
        <v>9.9871177081257229E-2</v>
      </c>
      <c r="I16209" s="224" t="s">
        <v>2</v>
      </c>
    </row>
    <row r="16210" spans="1:9" x14ac:dyDescent="0.25">
      <c r="A16210" s="515">
        <v>72126</v>
      </c>
      <c r="B16210" s="515" t="s">
        <v>393</v>
      </c>
      <c r="C16210" s="52">
        <v>119778.22537114201</v>
      </c>
      <c r="D16210" s="56">
        <v>3.6941139709634092E-2</v>
      </c>
      <c r="E16210" s="224" t="s">
        <v>2</v>
      </c>
      <c r="F16210" s="515" t="s">
        <v>17386</v>
      </c>
      <c r="G16210" s="52">
        <v>52519.7281166182</v>
      </c>
      <c r="H16210" s="56">
        <v>0.22333500031245887</v>
      </c>
      <c r="I16210" s="224" t="s">
        <v>2</v>
      </c>
    </row>
    <row r="16211" spans="1:9" x14ac:dyDescent="0.25">
      <c r="A16211" s="515">
        <v>10548</v>
      </c>
      <c r="B16211" s="515" t="s">
        <v>324</v>
      </c>
      <c r="C16211" s="52">
        <v>472988.32034146698</v>
      </c>
      <c r="D16211" s="56">
        <v>-2.3198559475511034E-2</v>
      </c>
      <c r="E16211" s="224" t="s">
        <v>2</v>
      </c>
      <c r="F16211" s="515" t="s">
        <v>17387</v>
      </c>
      <c r="G16211" s="52">
        <v>327504.970290336</v>
      </c>
      <c r="H16211" s="56">
        <v>0.12423045970906048</v>
      </c>
      <c r="I16211" s="224" t="s">
        <v>2</v>
      </c>
    </row>
    <row r="16212" spans="1:9" x14ac:dyDescent="0.25">
      <c r="A16212" s="515">
        <v>53933</v>
      </c>
      <c r="B16212" s="515" t="s">
        <v>955</v>
      </c>
      <c r="C16212" s="52">
        <v>253859.242533743</v>
      </c>
      <c r="D16212" s="56">
        <v>7.2343666698288012E-2</v>
      </c>
      <c r="E16212" s="224" t="s">
        <v>2</v>
      </c>
      <c r="F16212" s="515" t="s">
        <v>17388</v>
      </c>
      <c r="G16212" s="52">
        <v>175661.83185745301</v>
      </c>
      <c r="H16212" s="56">
        <v>6.2465292744693771E-2</v>
      </c>
      <c r="I16212" s="224" t="s">
        <v>2</v>
      </c>
    </row>
    <row r="16213" spans="1:9" x14ac:dyDescent="0.25">
      <c r="A16213" s="515">
        <v>17353</v>
      </c>
      <c r="B16213" s="515" t="s">
        <v>457</v>
      </c>
      <c r="C16213" s="52">
        <v>272520.54985366203</v>
      </c>
      <c r="D16213" s="56">
        <v>8.2044070246350534E-2</v>
      </c>
      <c r="E16213" s="224" t="s">
        <v>2</v>
      </c>
      <c r="F16213" s="515" t="s">
        <v>17389</v>
      </c>
      <c r="G16213" s="52">
        <v>438111.33859143598</v>
      </c>
      <c r="H16213" s="56">
        <v>6.3390264651046871E-2</v>
      </c>
      <c r="I16213" s="224" t="s">
        <v>2</v>
      </c>
    </row>
    <row r="16214" spans="1:9" x14ac:dyDescent="0.25">
      <c r="A16214" s="515">
        <v>38449</v>
      </c>
      <c r="C16214" s="52">
        <v>229094.25622291799</v>
      </c>
      <c r="D16214" s="56">
        <v>9.6966075605137661E-2</v>
      </c>
      <c r="E16214" s="224" t="s">
        <v>2</v>
      </c>
      <c r="F16214" s="515" t="s">
        <v>17390</v>
      </c>
      <c r="G16214" s="52">
        <v>106495.15665161</v>
      </c>
      <c r="H16214" s="56">
        <v>0.11838365208774884</v>
      </c>
      <c r="I16214" s="224" t="s">
        <v>2</v>
      </c>
    </row>
    <row r="16215" spans="1:9" x14ac:dyDescent="0.25">
      <c r="A16215" s="515">
        <v>25442</v>
      </c>
      <c r="B16215" s="515" t="s">
        <v>321</v>
      </c>
      <c r="C16215" s="52">
        <v>409412.97110421502</v>
      </c>
      <c r="D16215" s="56">
        <v>8.3900579472228246E-2</v>
      </c>
      <c r="E16215" s="224" t="s">
        <v>2</v>
      </c>
      <c r="F16215" s="515" t="s">
        <v>17391</v>
      </c>
      <c r="G16215" s="52">
        <v>117989.032011891</v>
      </c>
      <c r="H16215" s="56">
        <v>3.0681015097446345E-2</v>
      </c>
      <c r="I16215" s="224" t="s">
        <v>2</v>
      </c>
    </row>
    <row r="16216" spans="1:9" x14ac:dyDescent="0.25">
      <c r="A16216" s="515">
        <v>46065</v>
      </c>
      <c r="B16216" s="515" t="s">
        <v>808</v>
      </c>
      <c r="C16216" s="52">
        <v>233095.47247839201</v>
      </c>
      <c r="D16216" s="56">
        <v>7.6100513159720426E-2</v>
      </c>
      <c r="E16216" s="224" t="s">
        <v>2</v>
      </c>
      <c r="F16216" s="515" t="s">
        <v>17392</v>
      </c>
      <c r="G16216" s="52">
        <v>249455.461030373</v>
      </c>
      <c r="H16216" s="56">
        <v>7.6978177442017293E-2</v>
      </c>
      <c r="I16216" s="224" t="s">
        <v>2</v>
      </c>
    </row>
    <row r="16217" spans="1:9" x14ac:dyDescent="0.25">
      <c r="A16217" s="515">
        <v>66073</v>
      </c>
      <c r="B16217" s="515" t="s">
        <v>549</v>
      </c>
      <c r="C16217" s="52">
        <v>246749.29318550299</v>
      </c>
      <c r="D16217" s="56">
        <v>0.10391677168270758</v>
      </c>
      <c r="E16217" s="224" t="s">
        <v>2</v>
      </c>
      <c r="F16217" s="515" t="s">
        <v>17393</v>
      </c>
      <c r="G16217" s="52">
        <v>257434.101267497</v>
      </c>
      <c r="H16217" s="56">
        <v>8.013879795340495E-2</v>
      </c>
      <c r="I16217" s="224" t="s">
        <v>2</v>
      </c>
    </row>
    <row r="16218" spans="1:9" x14ac:dyDescent="0.25">
      <c r="A16218" s="515">
        <v>59859</v>
      </c>
      <c r="C16218" s="52">
        <v>409472.47052769398</v>
      </c>
      <c r="D16218" s="56">
        <v>0.14353871726270254</v>
      </c>
      <c r="E16218" s="224" t="s">
        <v>2</v>
      </c>
      <c r="F16218" s="515" t="s">
        <v>17394</v>
      </c>
      <c r="G16218" s="52">
        <v>155171.48352606699</v>
      </c>
      <c r="H16218" s="56">
        <v>1.1245188085929983E-2</v>
      </c>
      <c r="I16218" s="224" t="s">
        <v>2</v>
      </c>
    </row>
    <row r="16219" spans="1:9" x14ac:dyDescent="0.25">
      <c r="A16219" s="515">
        <v>25434</v>
      </c>
      <c r="B16219" s="515" t="s">
        <v>629</v>
      </c>
      <c r="C16219" s="52">
        <v>201212.29526228699</v>
      </c>
      <c r="D16219" s="56">
        <v>0.18615793714918555</v>
      </c>
      <c r="E16219" s="224" t="s">
        <v>2</v>
      </c>
      <c r="F16219" s="515" t="s">
        <v>17395</v>
      </c>
      <c r="G16219" s="52">
        <v>115725.574885468</v>
      </c>
      <c r="H16219" s="56">
        <v>0.10572758896960741</v>
      </c>
      <c r="I16219" s="224" t="s">
        <v>2</v>
      </c>
    </row>
    <row r="16220" spans="1:9" x14ac:dyDescent="0.25">
      <c r="A16220" s="515">
        <v>26180</v>
      </c>
      <c r="B16220" s="515" t="s">
        <v>956</v>
      </c>
      <c r="C16220" s="52">
        <v>139989.208623571</v>
      </c>
      <c r="D16220" s="56">
        <v>8.1974292424341025E-2</v>
      </c>
      <c r="E16220" s="224" t="s">
        <v>2</v>
      </c>
      <c r="F16220" s="515" t="s">
        <v>17396</v>
      </c>
      <c r="G16220" s="52">
        <v>266697.203652689</v>
      </c>
      <c r="H16220" s="56">
        <v>0</v>
      </c>
      <c r="I16220" s="224" t="s">
        <v>2</v>
      </c>
    </row>
    <row r="16221" spans="1:9" x14ac:dyDescent="0.25">
      <c r="A16221" s="515">
        <v>50144</v>
      </c>
      <c r="C16221" s="52">
        <v>94509.928937226607</v>
      </c>
      <c r="D16221" s="56">
        <v>-1.0778921902204813E-3</v>
      </c>
      <c r="E16221" s="224" t="s">
        <v>2</v>
      </c>
      <c r="F16221" s="515" t="s">
        <v>17397</v>
      </c>
      <c r="G16221" s="52">
        <v>226945.12145908899</v>
      </c>
      <c r="H16221" s="56">
        <v>9.9459893970416755E-2</v>
      </c>
      <c r="I16221" s="224" t="s">
        <v>2</v>
      </c>
    </row>
    <row r="16222" spans="1:9" x14ac:dyDescent="0.25">
      <c r="A16222" s="515">
        <v>28032</v>
      </c>
      <c r="B16222" s="515" t="s">
        <v>360</v>
      </c>
      <c r="C16222" s="52">
        <v>269926.66240160499</v>
      </c>
      <c r="D16222" s="56">
        <v>8.5634743510847544E-2</v>
      </c>
      <c r="E16222" s="224" t="s">
        <v>2</v>
      </c>
      <c r="F16222" s="515" t="s">
        <v>17398</v>
      </c>
      <c r="G16222" s="52">
        <v>222554.127050162</v>
      </c>
      <c r="H16222" s="56">
        <v>0.14111805716314554</v>
      </c>
      <c r="I16222" s="224" t="s">
        <v>2</v>
      </c>
    </row>
    <row r="16223" spans="1:9" x14ac:dyDescent="0.25">
      <c r="A16223" s="515">
        <v>38251</v>
      </c>
      <c r="B16223" s="515" t="s">
        <v>975</v>
      </c>
      <c r="C16223" s="52">
        <v>164808.34784609999</v>
      </c>
      <c r="D16223" s="56">
        <v>8.0645736872226773E-2</v>
      </c>
      <c r="E16223" s="224" t="s">
        <v>2</v>
      </c>
      <c r="F16223" s="515" t="s">
        <v>17399</v>
      </c>
      <c r="G16223" s="52">
        <v>128057.827811982</v>
      </c>
      <c r="H16223" s="56">
        <v>0.23433200020307574</v>
      </c>
      <c r="I16223" s="224" t="s">
        <v>2</v>
      </c>
    </row>
    <row r="16224" spans="1:9" x14ac:dyDescent="0.25">
      <c r="A16224" s="515">
        <v>85534</v>
      </c>
      <c r="C16224" s="52">
        <v>160212.82482851201</v>
      </c>
      <c r="D16224" s="56">
        <v>3.1700355239226319E-2</v>
      </c>
      <c r="E16224" s="224" t="s">
        <v>2</v>
      </c>
      <c r="F16224" s="515" t="s">
        <v>17400</v>
      </c>
      <c r="G16224" s="52">
        <v>579097.35371501895</v>
      </c>
      <c r="H16224" s="56">
        <v>5.4270368512294942E-2</v>
      </c>
      <c r="I16224" s="224" t="s">
        <v>2</v>
      </c>
    </row>
    <row r="16225" spans="1:9" x14ac:dyDescent="0.25">
      <c r="A16225" s="515">
        <v>28526</v>
      </c>
      <c r="B16225" s="515" t="s">
        <v>574</v>
      </c>
      <c r="C16225" s="52">
        <v>120963.379214391</v>
      </c>
      <c r="D16225" s="56">
        <v>0.27142841054037142</v>
      </c>
      <c r="E16225" s="224" t="s">
        <v>2</v>
      </c>
      <c r="F16225" s="515" t="s">
        <v>17401</v>
      </c>
      <c r="G16225" s="52">
        <v>169848.147000745</v>
      </c>
      <c r="H16225" s="56">
        <v>8.1150773509559904E-2</v>
      </c>
      <c r="I16225" s="224" t="s">
        <v>2</v>
      </c>
    </row>
    <row r="16226" spans="1:9" x14ac:dyDescent="0.25">
      <c r="A16226" s="515">
        <v>95562</v>
      </c>
      <c r="B16226" s="515" t="s">
        <v>352</v>
      </c>
      <c r="C16226" s="52">
        <v>306017.42767668498</v>
      </c>
      <c r="D16226" s="56">
        <v>-3.9220755239126473E-3</v>
      </c>
      <c r="E16226" s="224" t="s">
        <v>2</v>
      </c>
      <c r="F16226" s="515" t="s">
        <v>17402</v>
      </c>
      <c r="G16226" s="52">
        <v>142472.027071797</v>
      </c>
      <c r="H16226" s="56">
        <v>0.12977967791234668</v>
      </c>
      <c r="I16226" s="224" t="s">
        <v>2</v>
      </c>
    </row>
    <row r="16227" spans="1:9" x14ac:dyDescent="0.25">
      <c r="A16227" s="515">
        <v>10984</v>
      </c>
      <c r="B16227" s="515" t="s">
        <v>324</v>
      </c>
      <c r="C16227" s="52">
        <v>577569.69107072602</v>
      </c>
      <c r="D16227" s="56">
        <v>9.2741370122127353E-2</v>
      </c>
      <c r="E16227" s="224" t="s">
        <v>2</v>
      </c>
      <c r="F16227" s="515" t="s">
        <v>17403</v>
      </c>
      <c r="G16227" s="52">
        <v>136846.29454368999</v>
      </c>
      <c r="H16227" s="56">
        <v>4.8646443590341142E-2</v>
      </c>
      <c r="I16227" s="224" t="s">
        <v>2</v>
      </c>
    </row>
    <row r="16228" spans="1:9" x14ac:dyDescent="0.25">
      <c r="A16228" s="515">
        <v>72365</v>
      </c>
      <c r="B16228" s="515" t="s">
        <v>673</v>
      </c>
      <c r="C16228" s="52">
        <v>72036.957856202294</v>
      </c>
      <c r="D16228" s="56">
        <v>4.0029845303925456E-2</v>
      </c>
      <c r="E16228" s="224" t="s">
        <v>2</v>
      </c>
      <c r="F16228" s="515" t="s">
        <v>17404</v>
      </c>
      <c r="G16228" s="52">
        <v>171847.66666666599</v>
      </c>
      <c r="H16228" s="56">
        <v>0</v>
      </c>
      <c r="I16228" s="224" t="s">
        <v>2</v>
      </c>
    </row>
    <row r="16229" spans="1:9" x14ac:dyDescent="0.25">
      <c r="A16229" s="515">
        <v>21140</v>
      </c>
      <c r="B16229" s="515" t="s">
        <v>582</v>
      </c>
      <c r="C16229" s="52">
        <v>569313.266947567</v>
      </c>
      <c r="D16229" s="56">
        <v>1.9301693091781907E-2</v>
      </c>
      <c r="E16229" s="224" t="s">
        <v>2</v>
      </c>
      <c r="F16229" s="515" t="s">
        <v>17405</v>
      </c>
      <c r="G16229" s="52">
        <v>94989.185863210805</v>
      </c>
      <c r="H16229" s="56">
        <v>3.0570172210659389E-2</v>
      </c>
      <c r="I16229" s="224" t="s">
        <v>2</v>
      </c>
    </row>
    <row r="16230" spans="1:9" x14ac:dyDescent="0.25">
      <c r="A16230" s="515">
        <v>52052</v>
      </c>
      <c r="C16230" s="52">
        <v>186610.09388553101</v>
      </c>
      <c r="D16230" s="56">
        <v>7.2418886983093719E-2</v>
      </c>
      <c r="E16230" s="224" t="s">
        <v>2</v>
      </c>
      <c r="F16230" s="515" t="s">
        <v>17406</v>
      </c>
      <c r="G16230" s="52">
        <v>1294941.59112241</v>
      </c>
      <c r="H16230" s="56">
        <v>7.9396146290687752E-2</v>
      </c>
      <c r="I16230" s="224" t="s">
        <v>2</v>
      </c>
    </row>
    <row r="16231" spans="1:9" x14ac:dyDescent="0.25">
      <c r="A16231" s="515">
        <v>50261</v>
      </c>
      <c r="B16231" s="515" t="s">
        <v>295</v>
      </c>
      <c r="C16231" s="52">
        <v>365720.244953004</v>
      </c>
      <c r="D16231" s="56">
        <v>0.11471542846135083</v>
      </c>
      <c r="E16231" s="224" t="s">
        <v>2</v>
      </c>
      <c r="F16231" s="515" t="s">
        <v>17407</v>
      </c>
      <c r="G16231" s="52">
        <v>182051.91683326199</v>
      </c>
      <c r="H16231" s="56">
        <v>4.7240899822045532E-2</v>
      </c>
      <c r="I16231" s="224" t="s">
        <v>2</v>
      </c>
    </row>
    <row r="16232" spans="1:9" x14ac:dyDescent="0.25">
      <c r="A16232" s="515">
        <v>38260</v>
      </c>
      <c r="B16232" s="515" t="s">
        <v>1044</v>
      </c>
      <c r="C16232" s="52">
        <v>135376.07847145299</v>
      </c>
      <c r="D16232" s="56">
        <v>4.3439043478732259E-2</v>
      </c>
      <c r="E16232" s="224" t="s">
        <v>2</v>
      </c>
      <c r="F16232" s="515" t="s">
        <v>17408</v>
      </c>
      <c r="G16232" s="52">
        <v>349207.515699482</v>
      </c>
      <c r="H16232" s="56">
        <v>3.6898696297049602E-2</v>
      </c>
      <c r="I16232" s="224" t="s">
        <v>2</v>
      </c>
    </row>
    <row r="16233" spans="1:9" x14ac:dyDescent="0.25">
      <c r="A16233" s="515">
        <v>23872</v>
      </c>
      <c r="B16233" s="515" t="s">
        <v>667</v>
      </c>
      <c r="C16233" s="52">
        <v>254004.55192161599</v>
      </c>
      <c r="D16233" s="56">
        <v>0.32873986524403076</v>
      </c>
      <c r="E16233" s="224" t="s">
        <v>2</v>
      </c>
      <c r="F16233" s="515" t="s">
        <v>17409</v>
      </c>
      <c r="G16233" s="52">
        <v>122564.53730625</v>
      </c>
      <c r="H16233" s="56">
        <v>-4.223871086715994E-2</v>
      </c>
      <c r="I16233" s="224" t="s">
        <v>2</v>
      </c>
    </row>
    <row r="16234" spans="1:9" x14ac:dyDescent="0.25">
      <c r="A16234" s="515">
        <v>44451</v>
      </c>
      <c r="B16234" s="515" t="s">
        <v>397</v>
      </c>
      <c r="C16234" s="52">
        <v>241531.71634332</v>
      </c>
      <c r="D16234" s="56">
        <v>0.12990952815351409</v>
      </c>
      <c r="E16234" s="224" t="s">
        <v>2</v>
      </c>
      <c r="F16234" s="515" t="s">
        <v>17410</v>
      </c>
      <c r="G16234" s="52">
        <v>177419.97104081701</v>
      </c>
      <c r="H16234" s="56">
        <v>-0.14149731620993944</v>
      </c>
      <c r="I16234" s="224" t="s">
        <v>2</v>
      </c>
    </row>
    <row r="16235" spans="1:9" x14ac:dyDescent="0.25">
      <c r="A16235" s="515">
        <v>32320</v>
      </c>
      <c r="C16235" s="52">
        <v>283846.65998371301</v>
      </c>
      <c r="D16235" s="56">
        <v>9.0015868596027782E-2</v>
      </c>
      <c r="E16235" s="224" t="s">
        <v>2</v>
      </c>
      <c r="F16235" s="515" t="s">
        <v>17411</v>
      </c>
      <c r="G16235" s="52">
        <v>298335.58370800701</v>
      </c>
      <c r="H16235" s="56">
        <v>7.7941799462835956E-2</v>
      </c>
      <c r="I16235" s="224" t="s">
        <v>2</v>
      </c>
    </row>
    <row r="16236" spans="1:9" x14ac:dyDescent="0.25">
      <c r="A16236" s="515">
        <v>61753</v>
      </c>
      <c r="B16236" s="515" t="s">
        <v>645</v>
      </c>
      <c r="C16236" s="52">
        <v>186738.93899118301</v>
      </c>
      <c r="D16236" s="56">
        <v>8.1008152144401421E-2</v>
      </c>
      <c r="E16236" s="224" t="s">
        <v>2</v>
      </c>
      <c r="F16236" s="515" t="s">
        <v>17412</v>
      </c>
      <c r="G16236" s="52">
        <v>548970.26001036901</v>
      </c>
      <c r="H16236" s="56">
        <v>9.8656348399955629E-2</v>
      </c>
      <c r="I16236" s="224" t="s">
        <v>2</v>
      </c>
    </row>
    <row r="16237" spans="1:9" x14ac:dyDescent="0.25">
      <c r="A16237" s="515">
        <v>16748</v>
      </c>
      <c r="C16237" s="52">
        <v>93299.412291163593</v>
      </c>
      <c r="D16237" s="56">
        <v>4.5587840077146837E-3</v>
      </c>
      <c r="E16237" s="224" t="s">
        <v>2</v>
      </c>
      <c r="F16237" s="515" t="s">
        <v>17413</v>
      </c>
      <c r="G16237" s="52">
        <v>205647.790799273</v>
      </c>
      <c r="H16237" s="56">
        <v>8.458255192321941E-2</v>
      </c>
      <c r="I16237" s="224" t="s">
        <v>2</v>
      </c>
    </row>
    <row r="16238" spans="1:9" x14ac:dyDescent="0.25">
      <c r="A16238" s="515">
        <v>43060</v>
      </c>
      <c r="B16238" s="515" t="s">
        <v>430</v>
      </c>
      <c r="C16238" s="52">
        <v>197216.02413613399</v>
      </c>
      <c r="D16238" s="56">
        <v>0.11021322426628358</v>
      </c>
      <c r="E16238" s="224" t="s">
        <v>2</v>
      </c>
      <c r="F16238" s="515" t="s">
        <v>17414</v>
      </c>
      <c r="G16238" s="52">
        <v>157271.56887124499</v>
      </c>
      <c r="H16238" s="56">
        <v>0.15495648358845149</v>
      </c>
      <c r="I16238" s="224" t="s">
        <v>2</v>
      </c>
    </row>
    <row r="16239" spans="1:9" x14ac:dyDescent="0.25">
      <c r="A16239" s="515">
        <v>13754</v>
      </c>
      <c r="C16239" s="52">
        <v>138214.91653144301</v>
      </c>
      <c r="D16239" s="56">
        <v>6.6731486771940907E-2</v>
      </c>
      <c r="E16239" s="224" t="s">
        <v>2</v>
      </c>
      <c r="F16239" s="515" t="s">
        <v>17415</v>
      </c>
      <c r="G16239" s="52">
        <v>247124.77352938199</v>
      </c>
      <c r="H16239" s="56">
        <v>7.51223833600001E-2</v>
      </c>
      <c r="I16239" s="224" t="s">
        <v>2</v>
      </c>
    </row>
    <row r="16240" spans="1:9" x14ac:dyDescent="0.25">
      <c r="A16240" s="515">
        <v>49450</v>
      </c>
      <c r="B16240" s="515" t="s">
        <v>856</v>
      </c>
      <c r="C16240" s="52">
        <v>119654.851342378</v>
      </c>
      <c r="D16240" s="56">
        <v>0.17032727088896801</v>
      </c>
      <c r="E16240" s="224" t="s">
        <v>2</v>
      </c>
      <c r="F16240" s="515" t="s">
        <v>17416</v>
      </c>
      <c r="G16240" s="52">
        <v>90019.844045900303</v>
      </c>
      <c r="H16240" s="56">
        <v>-2.872233963680043E-3</v>
      </c>
      <c r="I16240" s="224" t="s">
        <v>2</v>
      </c>
    </row>
    <row r="16241" spans="1:9" x14ac:dyDescent="0.25">
      <c r="A16241" s="515">
        <v>24528</v>
      </c>
      <c r="B16241" s="515" t="s">
        <v>705</v>
      </c>
      <c r="C16241" s="52">
        <v>130764.65295339801</v>
      </c>
      <c r="D16241" s="56">
        <v>0.11454496501092297</v>
      </c>
      <c r="E16241" s="224" t="s">
        <v>2</v>
      </c>
      <c r="F16241" s="515" t="s">
        <v>17417</v>
      </c>
      <c r="G16241" s="52">
        <v>191737.065451367</v>
      </c>
      <c r="H16241" s="56">
        <v>4.0556265610935414E-2</v>
      </c>
      <c r="I16241" s="224" t="s">
        <v>2</v>
      </c>
    </row>
    <row r="16242" spans="1:9" x14ac:dyDescent="0.25">
      <c r="A16242" s="515">
        <v>35172</v>
      </c>
      <c r="B16242" s="515" t="s">
        <v>640</v>
      </c>
      <c r="C16242" s="52">
        <v>175021.12324349899</v>
      </c>
      <c r="D16242" s="56">
        <v>8.0566114131567265E-2</v>
      </c>
      <c r="E16242" s="224" t="s">
        <v>2</v>
      </c>
      <c r="F16242" s="515" t="s">
        <v>17418</v>
      </c>
      <c r="G16242" s="52">
        <v>1129911.24620466</v>
      </c>
      <c r="H16242" s="56">
        <v>0.25163395223683743</v>
      </c>
      <c r="I16242" s="224" t="s">
        <v>2</v>
      </c>
    </row>
    <row r="16243" spans="1:9" x14ac:dyDescent="0.25">
      <c r="A16243" s="515">
        <v>95333</v>
      </c>
      <c r="B16243" s="515" t="s">
        <v>594</v>
      </c>
      <c r="C16243" s="52">
        <v>306631.94571227999</v>
      </c>
      <c r="D16243" s="56">
        <v>3.4951357906861678E-2</v>
      </c>
      <c r="E16243" s="224" t="s">
        <v>2</v>
      </c>
      <c r="F16243" s="515" t="s">
        <v>17419</v>
      </c>
      <c r="G16243" s="52">
        <v>263847.96178055502</v>
      </c>
      <c r="H16243" s="56">
        <v>9.2046275981746264E-2</v>
      </c>
      <c r="I16243" s="224" t="s">
        <v>2</v>
      </c>
    </row>
    <row r="16244" spans="1:9" x14ac:dyDescent="0.25">
      <c r="A16244" s="515">
        <v>11935</v>
      </c>
      <c r="B16244" s="515" t="s">
        <v>324</v>
      </c>
      <c r="C16244" s="52">
        <v>1019703.67722868</v>
      </c>
      <c r="D16244" s="56">
        <v>9.3918986846487779E-2</v>
      </c>
      <c r="E16244" s="224" t="s">
        <v>2</v>
      </c>
      <c r="F16244" s="515" t="s">
        <v>17420</v>
      </c>
      <c r="G16244" s="52">
        <v>827096.83307812805</v>
      </c>
      <c r="H16244" s="56">
        <v>0.21372449934714971</v>
      </c>
      <c r="I16244" s="224" t="s">
        <v>2</v>
      </c>
    </row>
    <row r="16245" spans="1:9" x14ac:dyDescent="0.25">
      <c r="A16245" s="515">
        <v>92561</v>
      </c>
      <c r="B16245" s="515" t="s">
        <v>599</v>
      </c>
      <c r="C16245" s="52">
        <v>531696.52445831802</v>
      </c>
      <c r="D16245" s="56">
        <v>5.5290364667772138E-2</v>
      </c>
      <c r="E16245" s="224" t="s">
        <v>2</v>
      </c>
      <c r="F16245" s="515" t="s">
        <v>17421</v>
      </c>
      <c r="G16245" s="52">
        <v>422830.82524271798</v>
      </c>
      <c r="H16245" s="56">
        <v>0</v>
      </c>
      <c r="I16245" s="224" t="s">
        <v>2</v>
      </c>
    </row>
    <row r="16246" spans="1:9" x14ac:dyDescent="0.25">
      <c r="A16246" s="515">
        <v>45742</v>
      </c>
      <c r="B16246" s="515" t="s">
        <v>665</v>
      </c>
      <c r="C16246" s="52">
        <v>186112.03896609601</v>
      </c>
      <c r="D16246" s="56">
        <v>4.5084815203562757E-2</v>
      </c>
      <c r="E16246" s="224" t="s">
        <v>2</v>
      </c>
      <c r="F16246" s="515" t="s">
        <v>17422</v>
      </c>
      <c r="G16246" s="52">
        <v>208516.24504314401</v>
      </c>
      <c r="H16246" s="56">
        <v>0.15822349117122783</v>
      </c>
      <c r="I16246" s="224" t="s">
        <v>2</v>
      </c>
    </row>
    <row r="16247" spans="1:9" x14ac:dyDescent="0.25">
      <c r="A16247" s="515">
        <v>49905</v>
      </c>
      <c r="B16247" s="515" t="s">
        <v>462</v>
      </c>
      <c r="C16247" s="52">
        <v>143181.86581761</v>
      </c>
      <c r="D16247" s="56">
        <v>9.8384455474296653E-2</v>
      </c>
      <c r="E16247" s="224" t="s">
        <v>2</v>
      </c>
      <c r="F16247" s="515" t="s">
        <v>17423</v>
      </c>
      <c r="G16247" s="52">
        <v>501207.66521732497</v>
      </c>
      <c r="H16247" s="56">
        <v>5.026498486338405E-2</v>
      </c>
      <c r="I16247" s="224" t="s">
        <v>2</v>
      </c>
    </row>
    <row r="16248" spans="1:9" x14ac:dyDescent="0.25">
      <c r="A16248" s="515">
        <v>14840</v>
      </c>
      <c r="B16248" s="515" t="s">
        <v>585</v>
      </c>
      <c r="C16248" s="52">
        <v>297822.368434401</v>
      </c>
      <c r="D16248" s="56">
        <v>0.14990245300637944</v>
      </c>
      <c r="E16248" s="224" t="s">
        <v>2</v>
      </c>
      <c r="F16248" s="515" t="s">
        <v>17424</v>
      </c>
      <c r="G16248" s="52">
        <v>716893.33894701803</v>
      </c>
      <c r="H16248" s="56">
        <v>5.3382430696871479E-2</v>
      </c>
      <c r="I16248" s="224" t="s">
        <v>2</v>
      </c>
    </row>
    <row r="16249" spans="1:9" x14ac:dyDescent="0.25">
      <c r="A16249" s="515">
        <v>82729</v>
      </c>
      <c r="B16249" s="515" t="s">
        <v>589</v>
      </c>
      <c r="C16249" s="52">
        <v>321613.70087860001</v>
      </c>
      <c r="D16249" s="56">
        <v>0.104765452104295</v>
      </c>
      <c r="E16249" s="224" t="s">
        <v>2</v>
      </c>
      <c r="F16249" s="515" t="s">
        <v>17425</v>
      </c>
      <c r="G16249" s="52">
        <v>127325.66179059001</v>
      </c>
      <c r="H16249" s="56">
        <v>4.8958737511267648E-2</v>
      </c>
      <c r="I16249" s="224" t="s">
        <v>2</v>
      </c>
    </row>
    <row r="16250" spans="1:9" x14ac:dyDescent="0.25">
      <c r="A16250" s="515">
        <v>38066</v>
      </c>
      <c r="B16250" s="515" t="s">
        <v>951</v>
      </c>
      <c r="C16250" s="52">
        <v>445290.50060124398</v>
      </c>
      <c r="D16250" s="56">
        <v>7.021742875420238E-2</v>
      </c>
      <c r="E16250" s="224" t="s">
        <v>2</v>
      </c>
      <c r="F16250" s="515" t="s">
        <v>17426</v>
      </c>
      <c r="G16250" s="52">
        <v>271208.18670659797</v>
      </c>
      <c r="H16250" s="56">
        <v>0.10215980978845231</v>
      </c>
      <c r="I16250" s="224" t="s">
        <v>2</v>
      </c>
    </row>
    <row r="16251" spans="1:9" x14ac:dyDescent="0.25">
      <c r="A16251" s="515">
        <v>46742</v>
      </c>
      <c r="B16251" s="515" t="s">
        <v>1072</v>
      </c>
      <c r="C16251" s="52">
        <v>283504.95415242598</v>
      </c>
      <c r="D16251" s="56">
        <v>8.3640141864268533E-2</v>
      </c>
      <c r="E16251" s="224" t="s">
        <v>2</v>
      </c>
      <c r="F16251" s="515" t="s">
        <v>17427</v>
      </c>
      <c r="G16251" s="52">
        <v>283898.92905054602</v>
      </c>
      <c r="H16251" s="56">
        <v>3.4624816194372167E-2</v>
      </c>
      <c r="I16251" s="224" t="s">
        <v>2</v>
      </c>
    </row>
    <row r="16252" spans="1:9" x14ac:dyDescent="0.25">
      <c r="A16252" s="515">
        <v>57532</v>
      </c>
      <c r="B16252" s="515" t="s">
        <v>834</v>
      </c>
      <c r="C16252" s="52">
        <v>287539.318303857</v>
      </c>
      <c r="D16252" s="56">
        <v>7.8009333622677757E-2</v>
      </c>
      <c r="E16252" s="224" t="s">
        <v>2</v>
      </c>
      <c r="F16252" s="515" t="s">
        <v>17428</v>
      </c>
      <c r="G16252" s="52">
        <v>180753.88361021999</v>
      </c>
      <c r="H16252" s="56">
        <v>0.11076683167859666</v>
      </c>
      <c r="I16252" s="224" t="s">
        <v>2</v>
      </c>
    </row>
    <row r="16253" spans="1:9" x14ac:dyDescent="0.25">
      <c r="A16253" s="515">
        <v>62550</v>
      </c>
      <c r="C16253" s="52">
        <v>133732.92849913699</v>
      </c>
      <c r="D16253" s="56">
        <v>7.6827574401501245E-2</v>
      </c>
      <c r="E16253" s="224" t="s">
        <v>2</v>
      </c>
      <c r="F16253" s="515" t="s">
        <v>17429</v>
      </c>
      <c r="G16253" s="52">
        <v>125790.562445238</v>
      </c>
      <c r="H16253" s="56">
        <v>-2.4231844085898759E-2</v>
      </c>
      <c r="I16253" s="224" t="s">
        <v>2</v>
      </c>
    </row>
    <row r="16254" spans="1:9" x14ac:dyDescent="0.25">
      <c r="A16254" s="515">
        <v>93430</v>
      </c>
      <c r="B16254" s="515" t="s">
        <v>959</v>
      </c>
      <c r="C16254" s="52">
        <v>1248425.3610930699</v>
      </c>
      <c r="D16254" s="56">
        <v>3.2113977502258466E-2</v>
      </c>
      <c r="E16254" s="224" t="s">
        <v>2</v>
      </c>
      <c r="F16254" s="515" t="s">
        <v>17430</v>
      </c>
      <c r="G16254" s="52">
        <v>340023.651375013</v>
      </c>
      <c r="H16254" s="56">
        <v>6.2824061974858056E-2</v>
      </c>
      <c r="I16254" s="224" t="s">
        <v>2</v>
      </c>
    </row>
    <row r="16255" spans="1:9" x14ac:dyDescent="0.25">
      <c r="A16255" s="515">
        <v>39663</v>
      </c>
      <c r="C16255" s="52">
        <v>108251.387027455</v>
      </c>
      <c r="D16255" s="56">
        <v>-4.3134941324402501E-2</v>
      </c>
      <c r="E16255" s="224" t="s">
        <v>2</v>
      </c>
      <c r="F16255" s="515" t="s">
        <v>17431</v>
      </c>
      <c r="G16255" s="52">
        <v>74601.654211199901</v>
      </c>
      <c r="H16255" s="56">
        <v>6.6758614588121434E-2</v>
      </c>
      <c r="I16255" s="224" t="s">
        <v>2</v>
      </c>
    </row>
    <row r="16256" spans="1:9" x14ac:dyDescent="0.25">
      <c r="A16256" s="515">
        <v>54121</v>
      </c>
      <c r="B16256" s="515" t="s">
        <v>990</v>
      </c>
      <c r="C16256" s="52">
        <v>156614.30552623799</v>
      </c>
      <c r="D16256" s="56">
        <v>9.8692538636043575E-2</v>
      </c>
      <c r="E16256" s="224" t="s">
        <v>2</v>
      </c>
      <c r="F16256" s="515" t="s">
        <v>17432</v>
      </c>
      <c r="G16256" s="52">
        <v>140934.057880721</v>
      </c>
      <c r="H16256" s="56">
        <v>0.10487625498454103</v>
      </c>
      <c r="I16256" s="224" t="s">
        <v>2</v>
      </c>
    </row>
    <row r="16257" spans="1:9" x14ac:dyDescent="0.25">
      <c r="A16257" s="515">
        <v>17536</v>
      </c>
      <c r="B16257" s="515" t="s">
        <v>537</v>
      </c>
      <c r="C16257" s="52">
        <v>421813.078896872</v>
      </c>
      <c r="D16257" s="56">
        <v>7.8162373370665214E-2</v>
      </c>
      <c r="E16257" s="224" t="s">
        <v>2</v>
      </c>
      <c r="F16257" s="515" t="s">
        <v>17433</v>
      </c>
      <c r="G16257" s="52">
        <v>176064.54249133199</v>
      </c>
      <c r="H16257" s="56">
        <v>4.1148073267183352E-2</v>
      </c>
      <c r="I16257" s="224" t="s">
        <v>2</v>
      </c>
    </row>
    <row r="16258" spans="1:9" x14ac:dyDescent="0.25">
      <c r="A16258" s="515">
        <v>31542</v>
      </c>
      <c r="B16258" s="515" t="s">
        <v>871</v>
      </c>
      <c r="C16258" s="52">
        <v>130262.093453486</v>
      </c>
      <c r="D16258" s="56">
        <v>0</v>
      </c>
      <c r="E16258" s="224" t="s">
        <v>2</v>
      </c>
      <c r="F16258" s="515" t="s">
        <v>17434</v>
      </c>
      <c r="G16258" s="52">
        <v>161046.823436732</v>
      </c>
      <c r="H16258" s="56">
        <v>2.648384011780661E-2</v>
      </c>
      <c r="I16258" s="224" t="s">
        <v>2</v>
      </c>
    </row>
    <row r="16259" spans="1:9" x14ac:dyDescent="0.25">
      <c r="A16259" s="515">
        <v>14739</v>
      </c>
      <c r="C16259" s="52">
        <v>86607.442807882195</v>
      </c>
      <c r="D16259" s="56">
        <v>0.10966587030644638</v>
      </c>
      <c r="E16259" s="224" t="s">
        <v>2</v>
      </c>
      <c r="F16259" s="515" t="s">
        <v>17435</v>
      </c>
      <c r="G16259" s="52">
        <v>358442.85631267802</v>
      </c>
      <c r="H16259" s="56">
        <v>6.9696730396693302E-2</v>
      </c>
      <c r="I16259" s="224" t="s">
        <v>2</v>
      </c>
    </row>
    <row r="16260" spans="1:9" x14ac:dyDescent="0.25">
      <c r="A16260" s="515">
        <v>67663</v>
      </c>
      <c r="C16260" s="52">
        <v>96234.093892934907</v>
      </c>
      <c r="D16260" s="56">
        <v>0.1271283696212929</v>
      </c>
      <c r="E16260" s="224" t="s">
        <v>2</v>
      </c>
      <c r="F16260" s="515" t="s">
        <v>17436</v>
      </c>
      <c r="G16260" s="52">
        <v>135767.35655904101</v>
      </c>
      <c r="H16260" s="56">
        <v>6.1468848099650794E-2</v>
      </c>
      <c r="I16260" s="224" t="s">
        <v>2</v>
      </c>
    </row>
    <row r="16261" spans="1:9" x14ac:dyDescent="0.25">
      <c r="A16261" s="515">
        <v>13143</v>
      </c>
      <c r="B16261" s="515" t="s">
        <v>337</v>
      </c>
      <c r="C16261" s="52">
        <v>137147.650217716</v>
      </c>
      <c r="D16261" s="56">
        <v>0.10962172933718628</v>
      </c>
      <c r="E16261" s="224" t="s">
        <v>2</v>
      </c>
      <c r="F16261" s="515" t="s">
        <v>17437</v>
      </c>
      <c r="G16261" s="52">
        <v>216942.73349437499</v>
      </c>
      <c r="H16261" s="56">
        <v>5.4905605487177919E-2</v>
      </c>
      <c r="I16261" s="224" t="s">
        <v>2</v>
      </c>
    </row>
    <row r="16262" spans="1:9" x14ac:dyDescent="0.25">
      <c r="A16262" s="515">
        <v>37847</v>
      </c>
      <c r="B16262" s="515" t="s">
        <v>907</v>
      </c>
      <c r="C16262" s="52">
        <v>140710.624378179</v>
      </c>
      <c r="D16262" s="56">
        <v>5.7254762700914466E-2</v>
      </c>
      <c r="E16262" s="224" t="s">
        <v>2</v>
      </c>
      <c r="F16262" s="515" t="s">
        <v>17438</v>
      </c>
      <c r="G16262" s="52">
        <v>119189.134367637</v>
      </c>
      <c r="H16262" s="56">
        <v>8.6180275998709463E-2</v>
      </c>
      <c r="I16262" s="224" t="s">
        <v>2</v>
      </c>
    </row>
    <row r="16263" spans="1:9" x14ac:dyDescent="0.25">
      <c r="A16263" s="515">
        <v>14755</v>
      </c>
      <c r="B16263" s="515" t="s">
        <v>870</v>
      </c>
      <c r="C16263" s="52">
        <v>142508.15682531099</v>
      </c>
      <c r="D16263" s="56">
        <v>0.12877585982969364</v>
      </c>
      <c r="E16263" s="224" t="s">
        <v>2</v>
      </c>
      <c r="F16263" s="515" t="s">
        <v>17439</v>
      </c>
      <c r="G16263" s="52">
        <v>398033.30571142503</v>
      </c>
      <c r="H16263" s="56">
        <v>0.11438263793504713</v>
      </c>
      <c r="I16263" s="224" t="s">
        <v>2</v>
      </c>
    </row>
    <row r="16264" spans="1:9" x14ac:dyDescent="0.25">
      <c r="A16264" s="515">
        <v>41063</v>
      </c>
      <c r="B16264" s="515" t="s">
        <v>344</v>
      </c>
      <c r="C16264" s="52">
        <v>222318.771041436</v>
      </c>
      <c r="D16264" s="56">
        <v>0.11565937084517254</v>
      </c>
      <c r="E16264" s="224" t="s">
        <v>2</v>
      </c>
      <c r="F16264" s="515" t="s">
        <v>17440</v>
      </c>
      <c r="G16264" s="52">
        <v>201026.775847988</v>
      </c>
      <c r="H16264" s="56">
        <v>4.2456936722461654E-2</v>
      </c>
      <c r="I16264" s="224" t="s">
        <v>2</v>
      </c>
    </row>
    <row r="16265" spans="1:9" x14ac:dyDescent="0.25">
      <c r="A16265" s="515">
        <v>24380</v>
      </c>
      <c r="C16265" s="52">
        <v>167875.15037462601</v>
      </c>
      <c r="D16265" s="56">
        <v>4.7278942031491723E-2</v>
      </c>
      <c r="E16265" s="224" t="s">
        <v>2</v>
      </c>
      <c r="F16265" s="515" t="s">
        <v>17441</v>
      </c>
      <c r="G16265" s="52">
        <v>161533.28817884999</v>
      </c>
      <c r="H16265" s="56">
        <v>9.0057207650338533E-2</v>
      </c>
      <c r="I16265" s="224" t="s">
        <v>2</v>
      </c>
    </row>
    <row r="16266" spans="1:9" x14ac:dyDescent="0.25">
      <c r="A16266" s="515">
        <v>64011</v>
      </c>
      <c r="B16266" s="515" t="s">
        <v>455</v>
      </c>
      <c r="C16266" s="52">
        <v>320511.50055400701</v>
      </c>
      <c r="D16266" s="56">
        <v>9.3400039874324187E-2</v>
      </c>
      <c r="E16266" s="224" t="s">
        <v>2</v>
      </c>
      <c r="F16266" s="515" t="s">
        <v>17442</v>
      </c>
      <c r="G16266" s="52">
        <v>302024.61289376899</v>
      </c>
      <c r="H16266" s="56">
        <v>0.10381369719147969</v>
      </c>
      <c r="I16266" s="224" t="s">
        <v>2</v>
      </c>
    </row>
    <row r="16267" spans="1:9" x14ac:dyDescent="0.25">
      <c r="A16267" s="515">
        <v>58054</v>
      </c>
      <c r="C16267" s="52">
        <v>158939.517218939</v>
      </c>
      <c r="D16267" s="56">
        <v>3.6962918454095578E-2</v>
      </c>
      <c r="E16267" s="224" t="s">
        <v>2</v>
      </c>
      <c r="F16267" s="515" t="s">
        <v>17443</v>
      </c>
      <c r="G16267" s="52">
        <v>63288.160880075098</v>
      </c>
      <c r="H16267" s="56">
        <v>0.26871022018406765</v>
      </c>
      <c r="I16267" s="224" t="s">
        <v>2</v>
      </c>
    </row>
    <row r="16268" spans="1:9" x14ac:dyDescent="0.25">
      <c r="A16268" s="515">
        <v>35973</v>
      </c>
      <c r="C16268" s="52">
        <v>174238.46324901</v>
      </c>
      <c r="D16268" s="56">
        <v>9.8342466582386416E-5</v>
      </c>
      <c r="E16268" s="224" t="s">
        <v>2</v>
      </c>
      <c r="F16268" s="515" t="s">
        <v>17444</v>
      </c>
      <c r="G16268" s="52">
        <v>152331.10559339699</v>
      </c>
      <c r="H16268" s="56">
        <v>3.242866689346377E-2</v>
      </c>
      <c r="I16268" s="224" t="s">
        <v>2</v>
      </c>
    </row>
    <row r="16269" spans="1:9" x14ac:dyDescent="0.25">
      <c r="A16269" s="515">
        <v>73449</v>
      </c>
      <c r="B16269" s="515" t="s">
        <v>1052</v>
      </c>
      <c r="C16269" s="52">
        <v>232543.27746719201</v>
      </c>
      <c r="D16269" s="56">
        <v>0.12211113484418362</v>
      </c>
      <c r="E16269" s="224" t="s">
        <v>2</v>
      </c>
      <c r="F16269" s="515" t="s">
        <v>17445</v>
      </c>
      <c r="G16269" s="52">
        <v>295804.35799040698</v>
      </c>
      <c r="H16269" s="56">
        <v>4.4941901924069882E-2</v>
      </c>
      <c r="I16269" s="224" t="s">
        <v>2</v>
      </c>
    </row>
    <row r="16270" spans="1:9" x14ac:dyDescent="0.25">
      <c r="A16270" s="515">
        <v>38873</v>
      </c>
      <c r="C16270" s="52">
        <v>114338.781651807</v>
      </c>
      <c r="D16270" s="56">
        <v>-3.2362971030002796E-2</v>
      </c>
      <c r="E16270" s="224" t="s">
        <v>2</v>
      </c>
      <c r="F16270" s="515" t="s">
        <v>17446</v>
      </c>
      <c r="G16270" s="52">
        <v>178906.172610209</v>
      </c>
      <c r="H16270" s="56">
        <v>6.2281521507929115E-2</v>
      </c>
      <c r="I16270" s="224" t="s">
        <v>2</v>
      </c>
    </row>
    <row r="16271" spans="1:9" x14ac:dyDescent="0.25">
      <c r="A16271" s="515">
        <v>37375</v>
      </c>
      <c r="B16271" s="515" t="s">
        <v>977</v>
      </c>
      <c r="C16271" s="52">
        <v>352065.96741452499</v>
      </c>
      <c r="D16271" s="56">
        <v>9.2542240950076002E-2</v>
      </c>
      <c r="E16271" s="224" t="s">
        <v>2</v>
      </c>
      <c r="F16271" s="515" t="s">
        <v>17447</v>
      </c>
      <c r="G16271" s="52">
        <v>57564.437699138201</v>
      </c>
      <c r="H16271" s="56">
        <v>0</v>
      </c>
      <c r="I16271" s="224" t="s">
        <v>2</v>
      </c>
    </row>
    <row r="16272" spans="1:9" x14ac:dyDescent="0.25">
      <c r="A16272" s="515">
        <v>42087</v>
      </c>
      <c r="B16272" s="515" t="s">
        <v>846</v>
      </c>
      <c r="C16272" s="52">
        <v>99317.009983918004</v>
      </c>
      <c r="D16272" s="56">
        <v>0.17732821316294289</v>
      </c>
      <c r="E16272" s="224" t="s">
        <v>2</v>
      </c>
      <c r="F16272" s="515" t="s">
        <v>17448</v>
      </c>
      <c r="G16272" s="52">
        <v>178543.13660298899</v>
      </c>
      <c r="H16272" s="56">
        <v>7.6470349301060322E-2</v>
      </c>
      <c r="I16272" s="224" t="s">
        <v>2</v>
      </c>
    </row>
    <row r="16273" spans="1:9" x14ac:dyDescent="0.25">
      <c r="A16273" s="515">
        <v>49332</v>
      </c>
      <c r="B16273" s="515" t="s">
        <v>494</v>
      </c>
      <c r="C16273" s="52">
        <v>176941.51600331199</v>
      </c>
      <c r="D16273" s="56">
        <v>6.5097628963500645E-2</v>
      </c>
      <c r="E16273" s="224" t="s">
        <v>2</v>
      </c>
      <c r="F16273" s="515" t="s">
        <v>17449</v>
      </c>
      <c r="G16273" s="52">
        <v>189750.894061094</v>
      </c>
      <c r="H16273" s="56">
        <v>8.1365155979490483E-2</v>
      </c>
      <c r="I16273" s="224" t="s">
        <v>2</v>
      </c>
    </row>
    <row r="16274" spans="1:9" x14ac:dyDescent="0.25">
      <c r="A16274" s="515">
        <v>98039</v>
      </c>
      <c r="B16274" s="515" t="s">
        <v>384</v>
      </c>
      <c r="C16274" s="52">
        <v>4183329.8606412299</v>
      </c>
      <c r="D16274" s="56">
        <v>7.1016244726444924E-2</v>
      </c>
      <c r="E16274" s="224" t="s">
        <v>2</v>
      </c>
      <c r="F16274" s="515" t="s">
        <v>17450</v>
      </c>
      <c r="G16274" s="52">
        <v>89786.977314715696</v>
      </c>
      <c r="H16274" s="56">
        <v>0.29933190198496923</v>
      </c>
      <c r="I16274" s="224" t="s">
        <v>2</v>
      </c>
    </row>
    <row r="16275" spans="1:9" x14ac:dyDescent="0.25">
      <c r="A16275" s="515">
        <v>71921</v>
      </c>
      <c r="B16275" s="515" t="s">
        <v>1073</v>
      </c>
      <c r="C16275" s="52">
        <v>124198.29564527101</v>
      </c>
      <c r="D16275" s="56">
        <v>6.7414460808019494E-2</v>
      </c>
      <c r="E16275" s="224" t="s">
        <v>2</v>
      </c>
      <c r="F16275" s="515" t="s">
        <v>17451</v>
      </c>
      <c r="G16275" s="52">
        <v>189016.980616802</v>
      </c>
      <c r="H16275" s="56">
        <v>7.2118114677338446E-2</v>
      </c>
      <c r="I16275" s="224" t="s">
        <v>2</v>
      </c>
    </row>
    <row r="16276" spans="1:9" x14ac:dyDescent="0.25">
      <c r="A16276" s="515">
        <v>65588</v>
      </c>
      <c r="C16276" s="52">
        <v>129188.164466373</v>
      </c>
      <c r="D16276" s="56">
        <v>0.11992759972065209</v>
      </c>
      <c r="E16276" s="224" t="s">
        <v>2</v>
      </c>
      <c r="F16276" s="515" t="s">
        <v>17452</v>
      </c>
      <c r="G16276" s="52">
        <v>134610.33967816699</v>
      </c>
      <c r="H16276" s="56">
        <v>0.12706603974430569</v>
      </c>
      <c r="I16276" s="224" t="s">
        <v>2</v>
      </c>
    </row>
    <row r="16277" spans="1:9" x14ac:dyDescent="0.25">
      <c r="A16277" s="515">
        <v>40144</v>
      </c>
      <c r="C16277" s="52">
        <v>141721.36343631399</v>
      </c>
      <c r="D16277" s="56">
        <v>0.13595579934381014</v>
      </c>
      <c r="E16277" s="224" t="s">
        <v>2</v>
      </c>
      <c r="F16277" s="515" t="s">
        <v>17453</v>
      </c>
      <c r="G16277" s="52">
        <v>173521.875</v>
      </c>
      <c r="H16277" s="56">
        <v>0</v>
      </c>
      <c r="I16277" s="224" t="s">
        <v>2</v>
      </c>
    </row>
    <row r="16278" spans="1:9" x14ac:dyDescent="0.25">
      <c r="A16278" s="515">
        <v>24092</v>
      </c>
      <c r="B16278" s="515" t="s">
        <v>861</v>
      </c>
      <c r="C16278" s="52">
        <v>255841.166760166</v>
      </c>
      <c r="D16278" s="56">
        <v>9.4620405697752666E-2</v>
      </c>
      <c r="E16278" s="224" t="s">
        <v>2</v>
      </c>
      <c r="F16278" s="515" t="s">
        <v>17454</v>
      </c>
      <c r="G16278" s="52">
        <v>510107.75552134297</v>
      </c>
      <c r="H16278" s="56">
        <v>4.0453296300643066E-2</v>
      </c>
      <c r="I16278" s="224" t="s">
        <v>2</v>
      </c>
    </row>
    <row r="16279" spans="1:9" x14ac:dyDescent="0.25">
      <c r="A16279" s="515">
        <v>75705</v>
      </c>
      <c r="B16279" s="515" t="s">
        <v>1157</v>
      </c>
      <c r="C16279" s="52">
        <v>187623.004476281</v>
      </c>
      <c r="D16279" s="56">
        <v>0.12561092652733585</v>
      </c>
      <c r="E16279" s="224" t="s">
        <v>2</v>
      </c>
      <c r="F16279" s="515" t="s">
        <v>17455</v>
      </c>
      <c r="G16279" s="52">
        <v>163867.80681818101</v>
      </c>
      <c r="H16279" s="56">
        <v>0</v>
      </c>
      <c r="I16279" s="224" t="s">
        <v>2</v>
      </c>
    </row>
    <row r="16280" spans="1:9" x14ac:dyDescent="0.25">
      <c r="A16280" s="515">
        <v>61326</v>
      </c>
      <c r="B16280" s="515" t="s">
        <v>556</v>
      </c>
      <c r="C16280" s="52">
        <v>141051.98153897701</v>
      </c>
      <c r="D16280" s="56">
        <v>3.8583495879314977E-2</v>
      </c>
      <c r="E16280" s="224" t="s">
        <v>2</v>
      </c>
      <c r="F16280" s="515" t="s">
        <v>17456</v>
      </c>
      <c r="G16280" s="52">
        <v>206000.928596821</v>
      </c>
      <c r="H16280" s="56">
        <v>0.15477125300682812</v>
      </c>
      <c r="I16280" s="224" t="s">
        <v>2</v>
      </c>
    </row>
    <row r="16281" spans="1:9" x14ac:dyDescent="0.25">
      <c r="A16281" s="515">
        <v>22578</v>
      </c>
      <c r="C16281" s="52">
        <v>469893.62419833802</v>
      </c>
      <c r="D16281" s="56">
        <v>0.12713846077463564</v>
      </c>
      <c r="E16281" s="224" t="s">
        <v>2</v>
      </c>
      <c r="F16281" s="515" t="s">
        <v>17457</v>
      </c>
      <c r="G16281" s="52">
        <v>119284.344730007</v>
      </c>
      <c r="H16281" s="56">
        <v>0.10639007974500207</v>
      </c>
      <c r="I16281" s="224" t="s">
        <v>2</v>
      </c>
    </row>
    <row r="16282" spans="1:9" x14ac:dyDescent="0.25">
      <c r="A16282" s="515">
        <v>57030</v>
      </c>
      <c r="B16282" s="515" t="s">
        <v>579</v>
      </c>
      <c r="C16282" s="52">
        <v>397870.89503029699</v>
      </c>
      <c r="D16282" s="56">
        <v>9.0802975768603869E-2</v>
      </c>
      <c r="E16282" s="224" t="s">
        <v>2</v>
      </c>
      <c r="F16282" s="515" t="s">
        <v>17458</v>
      </c>
      <c r="G16282" s="52">
        <v>92326.906044727803</v>
      </c>
      <c r="H16282" s="56">
        <v>0.1614525351995347</v>
      </c>
      <c r="I16282" s="224" t="s">
        <v>2</v>
      </c>
    </row>
    <row r="16283" spans="1:9" x14ac:dyDescent="0.25">
      <c r="A16283" s="515">
        <v>5257</v>
      </c>
      <c r="B16283" s="515" t="s">
        <v>657</v>
      </c>
      <c r="C16283" s="52">
        <v>267981.84683459002</v>
      </c>
      <c r="D16283" s="56">
        <v>5.2667266236160935E-2</v>
      </c>
      <c r="E16283" s="224" t="s">
        <v>2</v>
      </c>
      <c r="F16283" s="515" t="s">
        <v>17459</v>
      </c>
      <c r="G16283" s="52">
        <v>30233.059602648998</v>
      </c>
      <c r="H16283" s="56">
        <v>0</v>
      </c>
      <c r="I16283" s="224" t="s">
        <v>2</v>
      </c>
    </row>
    <row r="16284" spans="1:9" x14ac:dyDescent="0.25">
      <c r="A16284" s="515">
        <v>37727</v>
      </c>
      <c r="B16284" s="515" t="s">
        <v>1083</v>
      </c>
      <c r="C16284" s="52">
        <v>192536.97265154999</v>
      </c>
      <c r="D16284" s="56">
        <v>7.469755861241191E-2</v>
      </c>
      <c r="E16284" s="224" t="s">
        <v>2</v>
      </c>
      <c r="F16284" s="515" t="s">
        <v>17460</v>
      </c>
      <c r="G16284" s="52">
        <v>120909.65174216501</v>
      </c>
      <c r="H16284" s="56">
        <v>9.5185330032718465E-2</v>
      </c>
      <c r="I16284" s="224" t="s">
        <v>2</v>
      </c>
    </row>
    <row r="16285" spans="1:9" x14ac:dyDescent="0.25">
      <c r="A16285" s="515">
        <v>41774</v>
      </c>
      <c r="C16285" s="52">
        <v>77797.708114885507</v>
      </c>
      <c r="D16285" s="56">
        <v>0.16318169524099529</v>
      </c>
      <c r="E16285" s="224" t="s">
        <v>2</v>
      </c>
      <c r="F16285" s="515" t="s">
        <v>17461</v>
      </c>
      <c r="G16285" s="52">
        <v>242963.19987009501</v>
      </c>
      <c r="H16285" s="56">
        <v>4.3453164071815098E-2</v>
      </c>
      <c r="I16285" s="224" t="s">
        <v>2</v>
      </c>
    </row>
    <row r="16286" spans="1:9" x14ac:dyDescent="0.25">
      <c r="A16286" s="515">
        <v>24089</v>
      </c>
      <c r="B16286" s="515" t="s">
        <v>1114</v>
      </c>
      <c r="C16286" s="52">
        <v>79830.302975575803</v>
      </c>
      <c r="D16286" s="56">
        <v>7.0049880187266447E-2</v>
      </c>
      <c r="E16286" s="224" t="s">
        <v>2</v>
      </c>
      <c r="F16286" s="515" t="s">
        <v>17462</v>
      </c>
      <c r="G16286" s="52">
        <v>139078.02793956001</v>
      </c>
      <c r="H16286" s="56">
        <v>3.9243185656222195E-2</v>
      </c>
      <c r="I16286" s="224" t="s">
        <v>2</v>
      </c>
    </row>
    <row r="16287" spans="1:9" x14ac:dyDescent="0.25">
      <c r="A16287" s="515">
        <v>13658</v>
      </c>
      <c r="B16287" s="515" t="s">
        <v>511</v>
      </c>
      <c r="C16287" s="52">
        <v>145568.964332834</v>
      </c>
      <c r="D16287" s="56">
        <v>8.8688751931688792E-2</v>
      </c>
      <c r="E16287" s="224" t="s">
        <v>2</v>
      </c>
      <c r="F16287" s="515" t="s">
        <v>17463</v>
      </c>
      <c r="G16287" s="52">
        <v>288587.54054054001</v>
      </c>
      <c r="H16287" s="56">
        <v>0</v>
      </c>
      <c r="I16287" s="224" t="s">
        <v>2</v>
      </c>
    </row>
    <row r="16288" spans="1:9" x14ac:dyDescent="0.25">
      <c r="A16288" s="515">
        <v>60072</v>
      </c>
      <c r="B16288" s="515" t="s">
        <v>394</v>
      </c>
      <c r="C16288" s="52">
        <v>378031.981866049</v>
      </c>
      <c r="D16288" s="56">
        <v>4.6085667895554044E-2</v>
      </c>
      <c r="E16288" s="224" t="s">
        <v>2</v>
      </c>
      <c r="F16288" s="515" t="s">
        <v>17464</v>
      </c>
      <c r="G16288" s="52">
        <v>92699.562030008106</v>
      </c>
      <c r="H16288" s="56">
        <v>8.3161802421461983E-2</v>
      </c>
      <c r="I16288" s="224" t="s">
        <v>2</v>
      </c>
    </row>
    <row r="16289" spans="1:9" x14ac:dyDescent="0.25">
      <c r="A16289" s="515">
        <v>12520</v>
      </c>
      <c r="B16289" s="515" t="s">
        <v>529</v>
      </c>
      <c r="C16289" s="52">
        <v>451583.06000458403</v>
      </c>
      <c r="D16289" s="56">
        <v>0.10071591411364077</v>
      </c>
      <c r="E16289" s="224" t="s">
        <v>2</v>
      </c>
      <c r="F16289" s="515" t="s">
        <v>17465</v>
      </c>
      <c r="G16289" s="52">
        <v>290980.606048933</v>
      </c>
      <c r="H16289" s="56">
        <v>0.10937376650337496</v>
      </c>
      <c r="I16289" s="224" t="s">
        <v>2</v>
      </c>
    </row>
    <row r="16290" spans="1:9" x14ac:dyDescent="0.25">
      <c r="A16290" s="515">
        <v>3864</v>
      </c>
      <c r="C16290" s="52">
        <v>334521.53011202399</v>
      </c>
      <c r="D16290" s="56">
        <v>0.1571313092473767</v>
      </c>
      <c r="E16290" s="224" t="s">
        <v>2</v>
      </c>
      <c r="F16290" s="515" t="s">
        <v>17466</v>
      </c>
      <c r="G16290" s="52">
        <v>265839.200181544</v>
      </c>
      <c r="H16290" s="56">
        <v>5.2618662469181357E-2</v>
      </c>
      <c r="I16290" s="224" t="s">
        <v>2</v>
      </c>
    </row>
    <row r="16291" spans="1:9" x14ac:dyDescent="0.25">
      <c r="A16291" s="515">
        <v>10986</v>
      </c>
      <c r="B16291" s="515" t="s">
        <v>324</v>
      </c>
      <c r="C16291" s="52">
        <v>553699.39494818705</v>
      </c>
      <c r="D16291" s="56">
        <v>6.982003178001063E-2</v>
      </c>
      <c r="E16291" s="224" t="s">
        <v>2</v>
      </c>
      <c r="F16291" s="515" t="s">
        <v>17467</v>
      </c>
      <c r="G16291" s="52">
        <v>385212.29687186802</v>
      </c>
      <c r="H16291" s="56">
        <v>7.3812505382597857E-2</v>
      </c>
      <c r="I16291" s="224" t="s">
        <v>2</v>
      </c>
    </row>
    <row r="16292" spans="1:9" x14ac:dyDescent="0.25">
      <c r="A16292" s="515">
        <v>43516</v>
      </c>
      <c r="C16292" s="52">
        <v>136064.72109118701</v>
      </c>
      <c r="D16292" s="56">
        <v>2.5525614305682301E-2</v>
      </c>
      <c r="E16292" s="224" t="s">
        <v>2</v>
      </c>
      <c r="F16292" s="515" t="s">
        <v>17468</v>
      </c>
      <c r="G16292" s="52">
        <v>547725.89957043901</v>
      </c>
      <c r="H16292" s="56">
        <v>0.10882754835726392</v>
      </c>
      <c r="I16292" s="224" t="s">
        <v>2</v>
      </c>
    </row>
    <row r="16293" spans="1:9" x14ac:dyDescent="0.25">
      <c r="A16293" s="515">
        <v>77830</v>
      </c>
      <c r="C16293" s="52">
        <v>472976.367957804</v>
      </c>
      <c r="D16293" s="56">
        <v>0.10612229700695948</v>
      </c>
      <c r="E16293" s="224" t="s">
        <v>2</v>
      </c>
      <c r="F16293" s="515" t="s">
        <v>17469</v>
      </c>
      <c r="G16293" s="52">
        <v>276544.781657296</v>
      </c>
      <c r="H16293" s="56">
        <v>0.12373661798135785</v>
      </c>
      <c r="I16293" s="224" t="s">
        <v>2</v>
      </c>
    </row>
    <row r="16294" spans="1:9" x14ac:dyDescent="0.25">
      <c r="A16294" s="515">
        <v>6018</v>
      </c>
      <c r="B16294" s="515" t="s">
        <v>559</v>
      </c>
      <c r="C16294" s="52">
        <v>270836.43027364602</v>
      </c>
      <c r="D16294" s="56">
        <v>0.16687876518442601</v>
      </c>
      <c r="E16294" s="224" t="s">
        <v>2</v>
      </c>
      <c r="F16294" s="515" t="s">
        <v>17470</v>
      </c>
      <c r="G16294" s="52">
        <v>738289.51171965699</v>
      </c>
      <c r="H16294" s="56">
        <v>4.7779788326628915E-2</v>
      </c>
      <c r="I16294" s="224" t="s">
        <v>2</v>
      </c>
    </row>
    <row r="16295" spans="1:9" x14ac:dyDescent="0.25">
      <c r="A16295" s="515">
        <v>45760</v>
      </c>
      <c r="C16295" s="52">
        <v>55926.8141448569</v>
      </c>
      <c r="D16295" s="56">
        <v>8.2662114448303528E-2</v>
      </c>
      <c r="E16295" s="224" t="s">
        <v>2</v>
      </c>
      <c r="F16295" s="515" t="s">
        <v>17471</v>
      </c>
      <c r="G16295" s="52">
        <v>136286.08835691499</v>
      </c>
      <c r="H16295" s="56">
        <v>1.1887716821452544E-2</v>
      </c>
      <c r="I16295" s="224" t="s">
        <v>2</v>
      </c>
    </row>
    <row r="16296" spans="1:9" x14ac:dyDescent="0.25">
      <c r="A16296" s="515">
        <v>41095</v>
      </c>
      <c r="B16296" s="515" t="s">
        <v>344</v>
      </c>
      <c r="C16296" s="52">
        <v>194325.23260171601</v>
      </c>
      <c r="D16296" s="56">
        <v>0.12375974496154413</v>
      </c>
      <c r="E16296" s="224" t="s">
        <v>2</v>
      </c>
      <c r="F16296" s="515" t="s">
        <v>17472</v>
      </c>
      <c r="G16296" s="52">
        <v>67060.980812597496</v>
      </c>
      <c r="H16296" s="56">
        <v>0.3012482389062407</v>
      </c>
      <c r="I16296" s="224" t="s">
        <v>2</v>
      </c>
    </row>
    <row r="16297" spans="1:9" x14ac:dyDescent="0.25">
      <c r="A16297" s="515">
        <v>75568</v>
      </c>
      <c r="C16297" s="52">
        <v>128878.33302664899</v>
      </c>
      <c r="D16297" s="56">
        <v>-5.5747355994283362E-2</v>
      </c>
      <c r="E16297" s="224" t="s">
        <v>2</v>
      </c>
      <c r="F16297" s="515" t="s">
        <v>17473</v>
      </c>
      <c r="G16297" s="52">
        <v>128210.257187717</v>
      </c>
      <c r="H16297" s="56">
        <v>0.14715849359186248</v>
      </c>
      <c r="I16297" s="224" t="s">
        <v>2</v>
      </c>
    </row>
    <row r="16298" spans="1:9" x14ac:dyDescent="0.25">
      <c r="A16298" s="515">
        <v>48722</v>
      </c>
      <c r="B16298" s="515" t="s">
        <v>904</v>
      </c>
      <c r="C16298" s="52">
        <v>150856.03036862501</v>
      </c>
      <c r="D16298" s="56">
        <v>0.13322239826102131</v>
      </c>
      <c r="E16298" s="224" t="s">
        <v>2</v>
      </c>
      <c r="F16298" s="515" t="s">
        <v>17474</v>
      </c>
      <c r="G16298" s="52">
        <v>161301.14807995499</v>
      </c>
      <c r="H16298" s="56">
        <v>9.8427312481551274E-2</v>
      </c>
      <c r="I16298" s="224" t="s">
        <v>2</v>
      </c>
    </row>
    <row r="16299" spans="1:9" x14ac:dyDescent="0.25">
      <c r="A16299" s="515">
        <v>46919</v>
      </c>
      <c r="B16299" s="515" t="s">
        <v>472</v>
      </c>
      <c r="C16299" s="52">
        <v>144425.65501922899</v>
      </c>
      <c r="D16299" s="56">
        <v>4.008345476413306E-2</v>
      </c>
      <c r="E16299" s="224" t="s">
        <v>2</v>
      </c>
      <c r="F16299" s="515" t="s">
        <v>17475</v>
      </c>
      <c r="G16299" s="52">
        <v>248592.98314606701</v>
      </c>
      <c r="H16299" s="56">
        <v>0</v>
      </c>
      <c r="I16299" s="224" t="s">
        <v>2</v>
      </c>
    </row>
    <row r="16300" spans="1:9" x14ac:dyDescent="0.25">
      <c r="A16300" s="515">
        <v>42404</v>
      </c>
      <c r="C16300" s="52">
        <v>95116.571791280905</v>
      </c>
      <c r="D16300" s="56">
        <v>0.16466480304067951</v>
      </c>
      <c r="E16300" s="224" t="s">
        <v>2</v>
      </c>
      <c r="F16300" s="515" t="s">
        <v>17476</v>
      </c>
      <c r="G16300" s="52">
        <v>115344.162921348</v>
      </c>
      <c r="H16300" s="56">
        <v>0</v>
      </c>
      <c r="I16300" s="224" t="s">
        <v>2</v>
      </c>
    </row>
    <row r="16301" spans="1:9" x14ac:dyDescent="0.25">
      <c r="A16301" s="515">
        <v>70532</v>
      </c>
      <c r="B16301" s="515" t="s">
        <v>1156</v>
      </c>
      <c r="C16301" s="52">
        <v>79831.047559033599</v>
      </c>
      <c r="D16301" s="56">
        <v>-4.2097750044164432E-2</v>
      </c>
      <c r="E16301" s="224" t="s">
        <v>2</v>
      </c>
      <c r="F16301" s="515" t="s">
        <v>17477</v>
      </c>
      <c r="G16301" s="52">
        <v>187430.83828044901</v>
      </c>
      <c r="H16301" s="56">
        <v>7.9248752189042732E-2</v>
      </c>
      <c r="I16301" s="224" t="s">
        <v>2</v>
      </c>
    </row>
    <row r="16302" spans="1:9" x14ac:dyDescent="0.25">
      <c r="A16302" s="515">
        <v>50423</v>
      </c>
      <c r="C16302" s="52">
        <v>129397.643563633</v>
      </c>
      <c r="D16302" s="56">
        <v>9.5188048022372893E-2</v>
      </c>
      <c r="E16302" s="224" t="s">
        <v>2</v>
      </c>
      <c r="F16302" s="515" t="s">
        <v>17478</v>
      </c>
      <c r="G16302" s="52">
        <v>97255.9582155916</v>
      </c>
      <c r="H16302" s="56">
        <v>5.310794876289824E-2</v>
      </c>
      <c r="I16302" s="224" t="s">
        <v>2</v>
      </c>
    </row>
    <row r="16303" spans="1:9" x14ac:dyDescent="0.25">
      <c r="A16303" s="515">
        <v>14880</v>
      </c>
      <c r="C16303" s="52">
        <v>108867.383127614</v>
      </c>
      <c r="D16303" s="56">
        <v>0.12744004916255253</v>
      </c>
      <c r="E16303" s="224" t="s">
        <v>2</v>
      </c>
      <c r="F16303" s="515" t="s">
        <v>17479</v>
      </c>
      <c r="G16303" s="52">
        <v>140639.645042566</v>
      </c>
      <c r="H16303" s="56">
        <v>0.10929935284887385</v>
      </c>
      <c r="I16303" s="224" t="s">
        <v>2</v>
      </c>
    </row>
    <row r="16304" spans="1:9" x14ac:dyDescent="0.25">
      <c r="A16304" s="515">
        <v>3216</v>
      </c>
      <c r="B16304" s="515" t="s">
        <v>981</v>
      </c>
      <c r="C16304" s="52">
        <v>372593.54372358002</v>
      </c>
      <c r="D16304" s="56">
        <v>0.14321767548030229</v>
      </c>
      <c r="E16304" s="224" t="s">
        <v>2</v>
      </c>
      <c r="F16304" s="515" t="s">
        <v>17480</v>
      </c>
      <c r="G16304" s="52">
        <v>317693.02280514501</v>
      </c>
      <c r="H16304" s="56">
        <v>0.1564187032823991</v>
      </c>
      <c r="I16304" s="224" t="s">
        <v>2</v>
      </c>
    </row>
    <row r="16305" spans="1:9" x14ac:dyDescent="0.25">
      <c r="A16305" s="515">
        <v>18405</v>
      </c>
      <c r="C16305" s="52">
        <v>247437.745346312</v>
      </c>
      <c r="D16305" s="56">
        <v>9.1639726439420616E-2</v>
      </c>
      <c r="E16305" s="224" t="s">
        <v>2</v>
      </c>
      <c r="F16305" s="515" t="s">
        <v>17481</v>
      </c>
      <c r="G16305" s="52">
        <v>149809.342338644</v>
      </c>
      <c r="H16305" s="56">
        <v>7.4172071132835235E-2</v>
      </c>
      <c r="I16305" s="224" t="s">
        <v>2</v>
      </c>
    </row>
    <row r="16306" spans="1:9" x14ac:dyDescent="0.25">
      <c r="A16306" s="515">
        <v>63764</v>
      </c>
      <c r="B16306" s="515" t="s">
        <v>424</v>
      </c>
      <c r="C16306" s="52">
        <v>145557.93099545201</v>
      </c>
      <c r="D16306" s="56">
        <v>-6.934003818262692E-2</v>
      </c>
      <c r="E16306" s="224" t="s">
        <v>2</v>
      </c>
      <c r="F16306" s="515" t="s">
        <v>17482</v>
      </c>
      <c r="G16306" s="52">
        <v>203737.20873766101</v>
      </c>
      <c r="H16306" s="56">
        <v>0.11907114298343617</v>
      </c>
      <c r="I16306" s="224" t="s">
        <v>2</v>
      </c>
    </row>
    <row r="16307" spans="1:9" x14ac:dyDescent="0.25">
      <c r="A16307" s="515">
        <v>61734</v>
      </c>
      <c r="B16307" s="515" t="s">
        <v>303</v>
      </c>
      <c r="C16307" s="52">
        <v>129148.518013861</v>
      </c>
      <c r="D16307" s="56">
        <v>4.8917394142085083E-2</v>
      </c>
      <c r="E16307" s="224" t="s">
        <v>2</v>
      </c>
      <c r="F16307" s="515" t="s">
        <v>17483</v>
      </c>
      <c r="G16307" s="52">
        <v>920482.51786305895</v>
      </c>
      <c r="H16307" s="56">
        <v>4.7380112237765233E-2</v>
      </c>
      <c r="I16307" s="224" t="s">
        <v>2</v>
      </c>
    </row>
    <row r="16308" spans="1:9" x14ac:dyDescent="0.25">
      <c r="A16308" s="515">
        <v>37770</v>
      </c>
      <c r="B16308" s="515" t="s">
        <v>907</v>
      </c>
      <c r="C16308" s="52">
        <v>162630.18734901599</v>
      </c>
      <c r="D16308" s="56">
        <v>0.13244900209514651</v>
      </c>
      <c r="E16308" s="224" t="s">
        <v>2</v>
      </c>
      <c r="F16308" s="515" t="s">
        <v>17484</v>
      </c>
      <c r="G16308" s="52">
        <v>383535.65494214901</v>
      </c>
      <c r="H16308" s="56">
        <v>-2.0285008356150557E-2</v>
      </c>
      <c r="I16308" s="224" t="s">
        <v>2</v>
      </c>
    </row>
    <row r="16309" spans="1:9" x14ac:dyDescent="0.25">
      <c r="A16309" s="515">
        <v>57274</v>
      </c>
      <c r="C16309" s="52">
        <v>171084.78479395001</v>
      </c>
      <c r="D16309" s="56">
        <v>4.5821348678394817E-2</v>
      </c>
      <c r="E16309" s="224" t="s">
        <v>2</v>
      </c>
      <c r="F16309" s="515" t="s">
        <v>17485</v>
      </c>
      <c r="G16309" s="52">
        <v>128236.378493599</v>
      </c>
      <c r="H16309" s="56">
        <v>5.9815329071968786E-2</v>
      </c>
      <c r="I16309" s="224" t="s">
        <v>2</v>
      </c>
    </row>
    <row r="16310" spans="1:9" x14ac:dyDescent="0.25">
      <c r="A16310" s="515">
        <v>15545</v>
      </c>
      <c r="C16310" s="52">
        <v>122067.335268821</v>
      </c>
      <c r="D16310" s="56">
        <v>3.1604466430513727E-2</v>
      </c>
      <c r="E16310" s="224" t="s">
        <v>2</v>
      </c>
      <c r="F16310" s="515" t="s">
        <v>17486</v>
      </c>
      <c r="G16310" s="52">
        <v>94603.945209676196</v>
      </c>
      <c r="H16310" s="56">
        <v>3.05065389370422E-2</v>
      </c>
      <c r="I16310" s="224" t="s">
        <v>2</v>
      </c>
    </row>
    <row r="16311" spans="1:9" x14ac:dyDescent="0.25">
      <c r="A16311" s="515">
        <v>41168</v>
      </c>
      <c r="B16311" s="515" t="s">
        <v>602</v>
      </c>
      <c r="C16311" s="52">
        <v>120961.383106131</v>
      </c>
      <c r="D16311" s="56">
        <v>0.1637897112635352</v>
      </c>
      <c r="E16311" s="224" t="s">
        <v>2</v>
      </c>
      <c r="F16311" s="515" t="s">
        <v>17487</v>
      </c>
      <c r="G16311" s="52">
        <v>488934.30974539299</v>
      </c>
      <c r="H16311" s="56">
        <v>3.0288276288081492E-2</v>
      </c>
      <c r="I16311" s="224" t="s">
        <v>2</v>
      </c>
    </row>
    <row r="16312" spans="1:9" x14ac:dyDescent="0.25">
      <c r="A16312" s="515">
        <v>62240</v>
      </c>
      <c r="B16312" s="515" t="s">
        <v>498</v>
      </c>
      <c r="C16312" s="52">
        <v>77883.392097835793</v>
      </c>
      <c r="D16312" s="56">
        <v>4.8170485027935965E-2</v>
      </c>
      <c r="E16312" s="224" t="s">
        <v>2</v>
      </c>
      <c r="F16312" s="515" t="s">
        <v>17488</v>
      </c>
      <c r="G16312" s="52">
        <v>141307.428492551</v>
      </c>
      <c r="H16312" s="56">
        <v>2.0991037148151981E-2</v>
      </c>
      <c r="I16312" s="224" t="s">
        <v>2</v>
      </c>
    </row>
    <row r="16313" spans="1:9" x14ac:dyDescent="0.25">
      <c r="A16313" s="515">
        <v>66414</v>
      </c>
      <c r="B16313" s="515" t="s">
        <v>549</v>
      </c>
      <c r="C16313" s="52">
        <v>165627.445207568</v>
      </c>
      <c r="D16313" s="56">
        <v>4.9629635968741419E-2</v>
      </c>
      <c r="E16313" s="224" t="s">
        <v>2</v>
      </c>
      <c r="F16313" s="515" t="s">
        <v>17489</v>
      </c>
      <c r="G16313" s="52">
        <v>127447.526448249</v>
      </c>
      <c r="H16313" s="56">
        <v>7.7194020338272995E-2</v>
      </c>
      <c r="I16313" s="224" t="s">
        <v>2</v>
      </c>
    </row>
    <row r="16314" spans="1:9" x14ac:dyDescent="0.25">
      <c r="A16314" s="515">
        <v>22610</v>
      </c>
      <c r="B16314" s="515" t="s">
        <v>321</v>
      </c>
      <c r="C16314" s="52">
        <v>366528.353207067</v>
      </c>
      <c r="D16314" s="56">
        <v>5.0598277422395845E-2</v>
      </c>
      <c r="E16314" s="224" t="s">
        <v>2</v>
      </c>
      <c r="F16314" s="515" t="s">
        <v>17490</v>
      </c>
      <c r="G16314" s="52">
        <v>553611.44466263696</v>
      </c>
      <c r="H16314" s="56">
        <v>1.1679546673531714E-2</v>
      </c>
      <c r="I16314" s="224" t="s">
        <v>2</v>
      </c>
    </row>
    <row r="16315" spans="1:9" x14ac:dyDescent="0.25">
      <c r="A16315" s="515">
        <v>16143</v>
      </c>
      <c r="B16315" s="515" t="s">
        <v>652</v>
      </c>
      <c r="C16315" s="52">
        <v>185218.37684020499</v>
      </c>
      <c r="D16315" s="56">
        <v>8.064536878929833E-2</v>
      </c>
      <c r="E16315" s="224" t="s">
        <v>2</v>
      </c>
      <c r="F16315" s="515" t="s">
        <v>17491</v>
      </c>
      <c r="G16315" s="52">
        <v>471453.53743585199</v>
      </c>
      <c r="H16315" s="56">
        <v>8.9597282118935223E-2</v>
      </c>
      <c r="I16315" s="224" t="s">
        <v>2</v>
      </c>
    </row>
    <row r="16316" spans="1:9" x14ac:dyDescent="0.25">
      <c r="A16316" s="515">
        <v>16342</v>
      </c>
      <c r="B16316" s="515" t="s">
        <v>349</v>
      </c>
      <c r="C16316" s="52">
        <v>125686.11818825699</v>
      </c>
      <c r="D16316" s="56">
        <v>0.10321698360627432</v>
      </c>
      <c r="E16316" s="224" t="s">
        <v>2</v>
      </c>
      <c r="F16316" s="515" t="s">
        <v>17492</v>
      </c>
      <c r="G16316" s="52">
        <v>244860.0908102</v>
      </c>
      <c r="H16316" s="56">
        <v>9.7901698280225213E-2</v>
      </c>
      <c r="I16316" s="224" t="s">
        <v>2</v>
      </c>
    </row>
    <row r="16317" spans="1:9" x14ac:dyDescent="0.25">
      <c r="A16317" s="515">
        <v>87552</v>
      </c>
      <c r="B16317" s="515" t="s">
        <v>767</v>
      </c>
      <c r="C16317" s="52">
        <v>254648.15099024301</v>
      </c>
      <c r="D16317" s="56">
        <v>0</v>
      </c>
      <c r="E16317" s="224" t="s">
        <v>2</v>
      </c>
      <c r="F16317" s="515" t="s">
        <v>17493</v>
      </c>
      <c r="G16317" s="52">
        <v>298972.10578406003</v>
      </c>
      <c r="H16317" s="56">
        <v>4.442296173735822E-2</v>
      </c>
      <c r="I16317" s="224" t="s">
        <v>2</v>
      </c>
    </row>
    <row r="16318" spans="1:9" x14ac:dyDescent="0.25">
      <c r="A16318" s="515">
        <v>54873</v>
      </c>
      <c r="B16318" s="515" t="s">
        <v>350</v>
      </c>
      <c r="C16318" s="52">
        <v>224796.536701053</v>
      </c>
      <c r="D16318" s="56">
        <v>9.2443037223819774E-2</v>
      </c>
      <c r="E16318" s="224" t="s">
        <v>2</v>
      </c>
      <c r="F16318" s="515" t="s">
        <v>17494</v>
      </c>
      <c r="G16318" s="52">
        <v>195025.65520224901</v>
      </c>
      <c r="H16318" s="56">
        <v>3.5154133171651294E-2</v>
      </c>
      <c r="I16318" s="224" t="s">
        <v>2</v>
      </c>
    </row>
    <row r="16319" spans="1:9" x14ac:dyDescent="0.25">
      <c r="A16319" s="515">
        <v>12449</v>
      </c>
      <c r="B16319" s="515" t="s">
        <v>307</v>
      </c>
      <c r="C16319" s="52">
        <v>294048.29104577098</v>
      </c>
      <c r="D16319" s="56">
        <v>8.0188982744167719E-2</v>
      </c>
      <c r="E16319" s="224" t="s">
        <v>2</v>
      </c>
      <c r="F16319" s="515" t="s">
        <v>17495</v>
      </c>
      <c r="G16319" s="52">
        <v>349590.94555142801</v>
      </c>
      <c r="H16319" s="56">
        <v>0.10584582646567152</v>
      </c>
      <c r="I16319" s="224" t="s">
        <v>2</v>
      </c>
    </row>
    <row r="16320" spans="1:9" x14ac:dyDescent="0.25">
      <c r="A16320" s="515">
        <v>12583</v>
      </c>
      <c r="B16320" s="515" t="s">
        <v>564</v>
      </c>
      <c r="C16320" s="52">
        <v>406969.716113184</v>
      </c>
      <c r="D16320" s="56">
        <v>0.10486057385583375</v>
      </c>
      <c r="E16320" s="224" t="s">
        <v>2</v>
      </c>
      <c r="F16320" s="515" t="s">
        <v>17496</v>
      </c>
      <c r="G16320" s="52">
        <v>307141.90029422002</v>
      </c>
      <c r="H16320" s="56">
        <v>0.13286128982443676</v>
      </c>
      <c r="I16320" s="224" t="s">
        <v>2</v>
      </c>
    </row>
    <row r="16321" spans="1:9" x14ac:dyDescent="0.25">
      <c r="A16321" s="515">
        <v>35481</v>
      </c>
      <c r="B16321" s="515" t="s">
        <v>841</v>
      </c>
      <c r="C16321" s="52">
        <v>108511.440137966</v>
      </c>
      <c r="D16321" s="56">
        <v>7.2322734053493903E-2</v>
      </c>
      <c r="E16321" s="224" t="s">
        <v>2</v>
      </c>
      <c r="F16321" s="515" t="s">
        <v>17497</v>
      </c>
      <c r="G16321" s="52">
        <v>172371.74960494999</v>
      </c>
      <c r="H16321" s="56">
        <v>6.3857093171584334E-2</v>
      </c>
      <c r="I16321" s="224" t="s">
        <v>2</v>
      </c>
    </row>
    <row r="16322" spans="1:9" x14ac:dyDescent="0.25">
      <c r="A16322" s="515">
        <v>65655</v>
      </c>
      <c r="C16322" s="52">
        <v>194125.915870058</v>
      </c>
      <c r="D16322" s="56">
        <v>6.2381126162612495E-2</v>
      </c>
      <c r="E16322" s="224" t="s">
        <v>2</v>
      </c>
      <c r="F16322" s="515" t="s">
        <v>17498</v>
      </c>
      <c r="G16322" s="52">
        <v>577538.34533580102</v>
      </c>
      <c r="H16322" s="56">
        <v>3.1827851245461884E-2</v>
      </c>
      <c r="I16322" s="224" t="s">
        <v>2</v>
      </c>
    </row>
    <row r="16323" spans="1:9" x14ac:dyDescent="0.25">
      <c r="A16323" s="515">
        <v>53910</v>
      </c>
      <c r="C16323" s="52">
        <v>137577.82963316501</v>
      </c>
      <c r="D16323" s="56">
        <v>9.0187788045443931E-2</v>
      </c>
      <c r="E16323" s="224" t="s">
        <v>2</v>
      </c>
      <c r="F16323" s="515" t="s">
        <v>17499</v>
      </c>
      <c r="G16323" s="52">
        <v>273857.713070411</v>
      </c>
      <c r="H16323" s="56">
        <v>7.27442167013196E-2</v>
      </c>
      <c r="I16323" s="224" t="s">
        <v>2</v>
      </c>
    </row>
    <row r="16324" spans="1:9" x14ac:dyDescent="0.25">
      <c r="A16324" s="515">
        <v>65279</v>
      </c>
      <c r="B16324" s="515" t="s">
        <v>785</v>
      </c>
      <c r="C16324" s="52">
        <v>365237.63527655898</v>
      </c>
      <c r="D16324" s="56">
        <v>5.3040826719767099E-2</v>
      </c>
      <c r="E16324" s="224" t="s">
        <v>2</v>
      </c>
      <c r="F16324" s="515" t="s">
        <v>17500</v>
      </c>
      <c r="G16324" s="52">
        <v>92478.158730456897</v>
      </c>
      <c r="H16324" s="56">
        <v>0.13842815310371417</v>
      </c>
      <c r="I16324" s="224" t="s">
        <v>2</v>
      </c>
    </row>
    <row r="16325" spans="1:9" x14ac:dyDescent="0.25">
      <c r="A16325" s="515">
        <v>48191</v>
      </c>
      <c r="B16325" s="515" t="s">
        <v>783</v>
      </c>
      <c r="C16325" s="52">
        <v>290986.35328086797</v>
      </c>
      <c r="D16325" s="56">
        <v>7.0071768526529882E-2</v>
      </c>
      <c r="E16325" s="224" t="s">
        <v>2</v>
      </c>
      <c r="F16325" s="515" t="s">
        <v>17501</v>
      </c>
      <c r="G16325" s="52">
        <v>187716.32327597501</v>
      </c>
      <c r="H16325" s="56">
        <v>1.4346629281867711E-2</v>
      </c>
      <c r="I16325" s="224" t="s">
        <v>2</v>
      </c>
    </row>
    <row r="16326" spans="1:9" x14ac:dyDescent="0.25">
      <c r="A16326" s="515">
        <v>39092</v>
      </c>
      <c r="C16326" s="52">
        <v>105287.583225984</v>
      </c>
      <c r="D16326" s="56">
        <v>-9.2447047236639476E-2</v>
      </c>
      <c r="E16326" s="224" t="s">
        <v>2</v>
      </c>
      <c r="F16326" s="515" t="s">
        <v>17502</v>
      </c>
      <c r="G16326" s="52">
        <v>110174.61772669</v>
      </c>
      <c r="H16326" s="56">
        <v>0.13867605382301124</v>
      </c>
      <c r="I16326" s="224" t="s">
        <v>2</v>
      </c>
    </row>
    <row r="16327" spans="1:9" x14ac:dyDescent="0.25">
      <c r="A16327" s="515">
        <v>2110</v>
      </c>
      <c r="B16327" s="515" t="s">
        <v>534</v>
      </c>
      <c r="C16327" s="52">
        <v>1230733.03340946</v>
      </c>
      <c r="D16327" s="56">
        <v>-5.7068655246070646E-3</v>
      </c>
      <c r="E16327" s="224">
        <v>3747.5</v>
      </c>
      <c r="F16327" s="515" t="s">
        <v>17503</v>
      </c>
      <c r="G16327" s="52">
        <v>183603.29172768601</v>
      </c>
      <c r="H16327" s="56">
        <v>8.4974772633011231E-2</v>
      </c>
      <c r="I16327" s="224" t="s">
        <v>2</v>
      </c>
    </row>
    <row r="16328" spans="1:9" x14ac:dyDescent="0.25">
      <c r="A16328" s="515">
        <v>48140</v>
      </c>
      <c r="B16328" s="515" t="s">
        <v>1033</v>
      </c>
      <c r="C16328" s="52">
        <v>258345.72096834701</v>
      </c>
      <c r="D16328" s="56">
        <v>7.3547589522768908E-2</v>
      </c>
      <c r="E16328" s="224" t="s">
        <v>2</v>
      </c>
      <c r="F16328" s="515" t="s">
        <v>17504</v>
      </c>
      <c r="G16328" s="52">
        <v>121116.345638763</v>
      </c>
      <c r="H16328" s="56">
        <v>0.12576222603667328</v>
      </c>
      <c r="I16328" s="224" t="s">
        <v>2</v>
      </c>
    </row>
    <row r="16329" spans="1:9" x14ac:dyDescent="0.25">
      <c r="A16329" s="515">
        <v>84307</v>
      </c>
      <c r="B16329" s="515" t="s">
        <v>628</v>
      </c>
      <c r="C16329" s="52">
        <v>409592.21951219498</v>
      </c>
      <c r="D16329" s="56">
        <v>0</v>
      </c>
      <c r="E16329" s="224" t="s">
        <v>2</v>
      </c>
      <c r="F16329" s="515" t="s">
        <v>17505</v>
      </c>
      <c r="G16329" s="52">
        <v>270664.82389838301</v>
      </c>
      <c r="H16329" s="56">
        <v>2.3692816508651283E-2</v>
      </c>
      <c r="I16329" s="224" t="s">
        <v>2</v>
      </c>
    </row>
    <row r="16330" spans="1:9" x14ac:dyDescent="0.25">
      <c r="A16330" s="515">
        <v>49254</v>
      </c>
      <c r="B16330" s="515" t="s">
        <v>1125</v>
      </c>
      <c r="C16330" s="52">
        <v>173043.41641227499</v>
      </c>
      <c r="D16330" s="56">
        <v>7.3646330061672066E-2</v>
      </c>
      <c r="E16330" s="224" t="s">
        <v>2</v>
      </c>
      <c r="F16330" s="515" t="s">
        <v>17506</v>
      </c>
      <c r="G16330" s="52">
        <v>214758.01782102001</v>
      </c>
      <c r="H16330" s="56">
        <v>6.9686528606760154E-2</v>
      </c>
      <c r="I16330" s="224" t="s">
        <v>2</v>
      </c>
    </row>
    <row r="16331" spans="1:9" x14ac:dyDescent="0.25">
      <c r="A16331" s="515">
        <v>3046</v>
      </c>
      <c r="B16331" s="515" t="s">
        <v>981</v>
      </c>
      <c r="C16331" s="52">
        <v>488128.91920450103</v>
      </c>
      <c r="D16331" s="56">
        <v>8.3894188032752517E-2</v>
      </c>
      <c r="E16331" s="224" t="s">
        <v>2</v>
      </c>
      <c r="F16331" s="515" t="s">
        <v>17507</v>
      </c>
      <c r="G16331" s="52">
        <v>387430.58737447002</v>
      </c>
      <c r="H16331" s="56">
        <v>1.5203014545058477E-2</v>
      </c>
      <c r="I16331" s="224" t="s">
        <v>2</v>
      </c>
    </row>
    <row r="16332" spans="1:9" x14ac:dyDescent="0.25">
      <c r="A16332" s="515">
        <v>66054</v>
      </c>
      <c r="B16332" s="515" t="s">
        <v>455</v>
      </c>
      <c r="C16332" s="52">
        <v>287154.02924808703</v>
      </c>
      <c r="D16332" s="56">
        <v>0.15504931518376089</v>
      </c>
      <c r="E16332" s="224" t="s">
        <v>2</v>
      </c>
      <c r="F16332" s="515" t="s">
        <v>17508</v>
      </c>
      <c r="G16332" s="52">
        <v>176583.30967155099</v>
      </c>
      <c r="H16332" s="56">
        <v>-6.3396824976317892E-2</v>
      </c>
      <c r="I16332" s="224" t="s">
        <v>2</v>
      </c>
    </row>
    <row r="16333" spans="1:9" x14ac:dyDescent="0.25">
      <c r="A16333" s="515">
        <v>20689</v>
      </c>
      <c r="B16333" s="515" t="s">
        <v>321</v>
      </c>
      <c r="C16333" s="52">
        <v>511704.412169691</v>
      </c>
      <c r="D16333" s="56">
        <v>1.2609120185163674E-2</v>
      </c>
      <c r="E16333" s="224" t="s">
        <v>2</v>
      </c>
      <c r="F16333" s="515" t="s">
        <v>17509</v>
      </c>
      <c r="G16333" s="52">
        <v>84044.856103152502</v>
      </c>
      <c r="H16333" s="56">
        <v>4.0794780438145349E-2</v>
      </c>
      <c r="I16333" s="224" t="s">
        <v>2</v>
      </c>
    </row>
    <row r="16334" spans="1:9" x14ac:dyDescent="0.25">
      <c r="A16334" s="515">
        <v>18250</v>
      </c>
      <c r="B16334" s="515" t="s">
        <v>327</v>
      </c>
      <c r="C16334" s="52">
        <v>123874.209939496</v>
      </c>
      <c r="D16334" s="56">
        <v>0.18476856643075029</v>
      </c>
      <c r="E16334" s="224" t="s">
        <v>2</v>
      </c>
      <c r="F16334" s="515" t="s">
        <v>17510</v>
      </c>
      <c r="G16334" s="52">
        <v>143799.302753158</v>
      </c>
      <c r="H16334" s="56">
        <v>0</v>
      </c>
      <c r="I16334" s="224" t="s">
        <v>2</v>
      </c>
    </row>
    <row r="16335" spans="1:9" x14ac:dyDescent="0.25">
      <c r="A16335" s="515">
        <v>27356</v>
      </c>
      <c r="C16335" s="52">
        <v>147172.41539956001</v>
      </c>
      <c r="D16335" s="56">
        <v>0.12002714242519856</v>
      </c>
      <c r="E16335" s="224" t="s">
        <v>2</v>
      </c>
      <c r="F16335" s="515" t="s">
        <v>17511</v>
      </c>
      <c r="G16335" s="52">
        <v>101308.634509575</v>
      </c>
      <c r="H16335" s="56">
        <v>0.11799624895283221</v>
      </c>
      <c r="I16335" s="224" t="s">
        <v>2</v>
      </c>
    </row>
    <row r="16336" spans="1:9" x14ac:dyDescent="0.25">
      <c r="A16336" s="515">
        <v>97064</v>
      </c>
      <c r="B16336" s="515" t="s">
        <v>659</v>
      </c>
      <c r="C16336" s="52">
        <v>352473.55312206101</v>
      </c>
      <c r="D16336" s="56">
        <v>2.8430161016513682E-2</v>
      </c>
      <c r="E16336" s="224" t="s">
        <v>2</v>
      </c>
      <c r="F16336" s="515" t="s">
        <v>17512</v>
      </c>
      <c r="G16336" s="52">
        <v>242972.84561125899</v>
      </c>
      <c r="H16336" s="56">
        <v>0.13146685470193648</v>
      </c>
      <c r="I16336" s="224" t="s">
        <v>2</v>
      </c>
    </row>
    <row r="16337" spans="1:9" x14ac:dyDescent="0.25">
      <c r="A16337" s="515">
        <v>36432</v>
      </c>
      <c r="C16337" s="52">
        <v>114701.571616307</v>
      </c>
      <c r="D16337" s="56">
        <v>0</v>
      </c>
      <c r="E16337" s="224" t="s">
        <v>2</v>
      </c>
      <c r="F16337" s="515" t="s">
        <v>17513</v>
      </c>
      <c r="G16337" s="52">
        <v>186666.95351344801</v>
      </c>
      <c r="H16337" s="56">
        <v>2.4072185119454265E-2</v>
      </c>
      <c r="I16337" s="224" t="s">
        <v>2</v>
      </c>
    </row>
    <row r="16338" spans="1:9" x14ac:dyDescent="0.25">
      <c r="A16338" s="515">
        <v>49650</v>
      </c>
      <c r="B16338" s="515" t="s">
        <v>366</v>
      </c>
      <c r="C16338" s="52">
        <v>312803.226883</v>
      </c>
      <c r="D16338" s="56">
        <v>9.3078716295895148E-2</v>
      </c>
      <c r="E16338" s="224" t="s">
        <v>2</v>
      </c>
      <c r="F16338" s="515" t="s">
        <v>17514</v>
      </c>
      <c r="G16338" s="52">
        <v>359830.85028985998</v>
      </c>
      <c r="H16338" s="56">
        <v>6.5262742674993282E-2</v>
      </c>
      <c r="I16338" s="224" t="s">
        <v>2</v>
      </c>
    </row>
    <row r="16339" spans="1:9" x14ac:dyDescent="0.25">
      <c r="A16339" s="515">
        <v>75558</v>
      </c>
      <c r="B16339" s="515" t="s">
        <v>438</v>
      </c>
      <c r="C16339" s="52">
        <v>247036.25471272899</v>
      </c>
      <c r="D16339" s="56">
        <v>-2.2205971275510435E-2</v>
      </c>
      <c r="E16339" s="224" t="s">
        <v>2</v>
      </c>
      <c r="F16339" s="515" t="s">
        <v>17515</v>
      </c>
      <c r="G16339" s="52">
        <v>422593.72871170298</v>
      </c>
      <c r="H16339" s="56">
        <v>0.12340042387398024</v>
      </c>
      <c r="I16339" s="224" t="s">
        <v>2</v>
      </c>
    </row>
    <row r="16340" spans="1:9" x14ac:dyDescent="0.25">
      <c r="A16340" s="515">
        <v>98847</v>
      </c>
      <c r="B16340" s="515" t="s">
        <v>521</v>
      </c>
      <c r="C16340" s="52">
        <v>438710.98308394098</v>
      </c>
      <c r="D16340" s="56">
        <v>7.5575961763602395E-3</v>
      </c>
      <c r="E16340" s="224" t="s">
        <v>2</v>
      </c>
      <c r="F16340" s="515" t="s">
        <v>17516</v>
      </c>
      <c r="G16340" s="52">
        <v>221411.974019605</v>
      </c>
      <c r="H16340" s="56">
        <v>3.3750063379931132E-2</v>
      </c>
      <c r="I16340" s="224" t="s">
        <v>2</v>
      </c>
    </row>
    <row r="16341" spans="1:9" x14ac:dyDescent="0.25">
      <c r="A16341" s="515">
        <v>66066</v>
      </c>
      <c r="B16341" s="515" t="s">
        <v>549</v>
      </c>
      <c r="C16341" s="52">
        <v>262413.34706758399</v>
      </c>
      <c r="D16341" s="56">
        <v>0.15772783466695831</v>
      </c>
      <c r="E16341" s="224" t="s">
        <v>2</v>
      </c>
      <c r="F16341" s="515" t="s">
        <v>17517</v>
      </c>
      <c r="G16341" s="52">
        <v>320997.97603868297</v>
      </c>
      <c r="H16341" s="56">
        <v>3.6201124735285639E-2</v>
      </c>
      <c r="I16341" s="224" t="s">
        <v>2</v>
      </c>
    </row>
    <row r="16342" spans="1:9" x14ac:dyDescent="0.25">
      <c r="A16342" s="515">
        <v>14873</v>
      </c>
      <c r="B16342" s="515" t="s">
        <v>585</v>
      </c>
      <c r="C16342" s="52">
        <v>141697.760775845</v>
      </c>
      <c r="D16342" s="56">
        <v>0.16779377325917505</v>
      </c>
      <c r="E16342" s="224" t="s">
        <v>2</v>
      </c>
      <c r="F16342" s="515" t="s">
        <v>17518</v>
      </c>
      <c r="G16342" s="52">
        <v>2158379.32372576</v>
      </c>
      <c r="H16342" s="56">
        <v>6.3477321596511857E-2</v>
      </c>
      <c r="I16342" s="224" t="s">
        <v>2</v>
      </c>
    </row>
    <row r="16343" spans="1:9" x14ac:dyDescent="0.25">
      <c r="A16343" s="515">
        <v>40486</v>
      </c>
      <c r="C16343" s="52">
        <v>120012.851008457</v>
      </c>
      <c r="D16343" s="56">
        <v>0.24068840500979202</v>
      </c>
      <c r="E16343" s="224" t="s">
        <v>2</v>
      </c>
      <c r="F16343" s="515" t="s">
        <v>17519</v>
      </c>
      <c r="G16343" s="52">
        <v>88891.472972972901</v>
      </c>
      <c r="H16343" s="56">
        <v>0</v>
      </c>
      <c r="I16343" s="224" t="s">
        <v>2</v>
      </c>
    </row>
    <row r="16344" spans="1:9" x14ac:dyDescent="0.25">
      <c r="A16344" s="515">
        <v>47868</v>
      </c>
      <c r="B16344" s="515" t="s">
        <v>554</v>
      </c>
      <c r="C16344" s="52">
        <v>167130.204394495</v>
      </c>
      <c r="D16344" s="56">
        <v>7.9254405874339323E-2</v>
      </c>
      <c r="E16344" s="224" t="s">
        <v>2</v>
      </c>
      <c r="F16344" s="515" t="s">
        <v>17520</v>
      </c>
      <c r="G16344" s="52">
        <v>110807.437922693</v>
      </c>
      <c r="H16344" s="56">
        <v>6.9315314286890861E-2</v>
      </c>
      <c r="I16344" s="224" t="s">
        <v>2</v>
      </c>
    </row>
    <row r="16345" spans="1:9" x14ac:dyDescent="0.25">
      <c r="A16345" s="515">
        <v>13730</v>
      </c>
      <c r="C16345" s="52">
        <v>153003.984930576</v>
      </c>
      <c r="D16345" s="56">
        <v>8.008594598433233E-2</v>
      </c>
      <c r="E16345" s="224" t="s">
        <v>2</v>
      </c>
      <c r="F16345" s="515" t="s">
        <v>17521</v>
      </c>
      <c r="G16345" s="52">
        <v>166865.18851054501</v>
      </c>
      <c r="H16345" s="56">
        <v>8.5002917433452549E-2</v>
      </c>
      <c r="I16345" s="224" t="s">
        <v>2</v>
      </c>
    </row>
    <row r="16346" spans="1:9" x14ac:dyDescent="0.25">
      <c r="A16346" s="515">
        <v>58012</v>
      </c>
      <c r="B16346" s="515" t="s">
        <v>928</v>
      </c>
      <c r="C16346" s="52">
        <v>267526.453181069</v>
      </c>
      <c r="D16346" s="56">
        <v>7.5722042880006779E-2</v>
      </c>
      <c r="E16346" s="224" t="s">
        <v>2</v>
      </c>
      <c r="F16346" s="515" t="s">
        <v>17522</v>
      </c>
      <c r="G16346" s="52">
        <v>204548.87977695599</v>
      </c>
      <c r="H16346" s="56">
        <v>1.6437630391943053E-2</v>
      </c>
      <c r="I16346" s="224" t="s">
        <v>2</v>
      </c>
    </row>
    <row r="16347" spans="1:9" x14ac:dyDescent="0.25">
      <c r="A16347" s="515">
        <v>53941</v>
      </c>
      <c r="B16347" s="515" t="s">
        <v>916</v>
      </c>
      <c r="C16347" s="52">
        <v>287467.440771839</v>
      </c>
      <c r="D16347" s="56">
        <v>8.951497184366039E-2</v>
      </c>
      <c r="E16347" s="224" t="s">
        <v>2</v>
      </c>
      <c r="F16347" s="515" t="s">
        <v>17523</v>
      </c>
      <c r="G16347" s="52">
        <v>155715.04999999999</v>
      </c>
      <c r="H16347" s="56">
        <v>0</v>
      </c>
      <c r="I16347" s="224" t="s">
        <v>2</v>
      </c>
    </row>
    <row r="16348" spans="1:9" x14ac:dyDescent="0.25">
      <c r="A16348" s="515">
        <v>46940</v>
      </c>
      <c r="B16348" s="515" t="s">
        <v>435</v>
      </c>
      <c r="C16348" s="52">
        <v>158763.46486765001</v>
      </c>
      <c r="D16348" s="56">
        <v>6.698129896580278E-2</v>
      </c>
      <c r="E16348" s="224" t="s">
        <v>2</v>
      </c>
      <c r="F16348" s="515" t="s">
        <v>17524</v>
      </c>
      <c r="G16348" s="52">
        <v>74316.478565497993</v>
      </c>
      <c r="H16348" s="56">
        <v>-2.9693509450308211E-2</v>
      </c>
      <c r="I16348" s="224" t="s">
        <v>2</v>
      </c>
    </row>
    <row r="16349" spans="1:9" x14ac:dyDescent="0.25">
      <c r="A16349" s="515">
        <v>45162</v>
      </c>
      <c r="B16349" s="515" t="s">
        <v>344</v>
      </c>
      <c r="C16349" s="52">
        <v>256269.07719819099</v>
      </c>
      <c r="D16349" s="56">
        <v>7.4660272061924146E-2</v>
      </c>
      <c r="E16349" s="224" t="s">
        <v>2</v>
      </c>
      <c r="F16349" s="515" t="s">
        <v>17525</v>
      </c>
      <c r="G16349" s="52">
        <v>96359.247934650601</v>
      </c>
      <c r="H16349" s="56">
        <v>5.208831844308328E-2</v>
      </c>
      <c r="I16349" s="224" t="s">
        <v>2</v>
      </c>
    </row>
    <row r="16350" spans="1:9" x14ac:dyDescent="0.25">
      <c r="A16350" s="515">
        <v>44880</v>
      </c>
      <c r="B16350" s="515" t="s">
        <v>305</v>
      </c>
      <c r="C16350" s="52">
        <v>234819.769845206</v>
      </c>
      <c r="D16350" s="56">
        <v>9.9528739620435444E-2</v>
      </c>
      <c r="E16350" s="224" t="s">
        <v>2</v>
      </c>
      <c r="F16350" s="515" t="s">
        <v>17526</v>
      </c>
      <c r="G16350" s="52">
        <v>291016.50373367302</v>
      </c>
      <c r="H16350" s="56">
        <v>6.1682677901127247E-2</v>
      </c>
      <c r="I16350" s="224" t="s">
        <v>2</v>
      </c>
    </row>
    <row r="16351" spans="1:9" x14ac:dyDescent="0.25">
      <c r="A16351" s="515">
        <v>49249</v>
      </c>
      <c r="B16351" s="515" t="s">
        <v>971</v>
      </c>
      <c r="C16351" s="52">
        <v>258721.444219784</v>
      </c>
      <c r="D16351" s="56">
        <v>7.6475567860684254E-2</v>
      </c>
      <c r="E16351" s="224" t="s">
        <v>2</v>
      </c>
      <c r="F16351" s="515" t="s">
        <v>17527</v>
      </c>
      <c r="G16351" s="52">
        <v>97404.708343739097</v>
      </c>
      <c r="H16351" s="56">
        <v>4.1606299021289775E-2</v>
      </c>
      <c r="I16351" s="224" t="s">
        <v>2</v>
      </c>
    </row>
    <row r="16352" spans="1:9" x14ac:dyDescent="0.25">
      <c r="A16352" s="515">
        <v>28689</v>
      </c>
      <c r="B16352" s="515" t="s">
        <v>360</v>
      </c>
      <c r="C16352" s="52">
        <v>289817.04606990801</v>
      </c>
      <c r="D16352" s="56">
        <v>0.1850014778508218</v>
      </c>
      <c r="E16352" s="224" t="s">
        <v>2</v>
      </c>
      <c r="F16352" s="515" t="s">
        <v>17528</v>
      </c>
      <c r="G16352" s="52">
        <v>134830.41035028</v>
      </c>
      <c r="H16352" s="56">
        <v>6.3699854380408469E-2</v>
      </c>
      <c r="I16352" s="224" t="s">
        <v>2</v>
      </c>
    </row>
    <row r="16353" spans="1:9" x14ac:dyDescent="0.25">
      <c r="A16353" s="515">
        <v>29107</v>
      </c>
      <c r="B16353" s="515" t="s">
        <v>1036</v>
      </c>
      <c r="C16353" s="52">
        <v>90236.867347241307</v>
      </c>
      <c r="D16353" s="56">
        <v>-9.7808504470547189E-2</v>
      </c>
      <c r="E16353" s="224" t="s">
        <v>2</v>
      </c>
      <c r="F16353" s="515" t="s">
        <v>17529</v>
      </c>
      <c r="G16353" s="52">
        <v>265846.26661305298</v>
      </c>
      <c r="H16353" s="56">
        <v>7.5084512476642995E-2</v>
      </c>
      <c r="I16353" s="224" t="s">
        <v>2</v>
      </c>
    </row>
    <row r="16354" spans="1:9" x14ac:dyDescent="0.25">
      <c r="A16354" s="515">
        <v>49032</v>
      </c>
      <c r="B16354" s="515" t="s">
        <v>892</v>
      </c>
      <c r="C16354" s="52">
        <v>184042.213068582</v>
      </c>
      <c r="D16354" s="56">
        <v>7.2383112581502651E-2</v>
      </c>
      <c r="E16354" s="224" t="s">
        <v>2</v>
      </c>
      <c r="F16354" s="515" t="s">
        <v>17530</v>
      </c>
      <c r="G16354" s="52">
        <v>110212.78144340499</v>
      </c>
      <c r="H16354" s="56">
        <v>4.6673495322250944E-2</v>
      </c>
      <c r="I16354" s="224" t="s">
        <v>2</v>
      </c>
    </row>
    <row r="16355" spans="1:9" x14ac:dyDescent="0.25">
      <c r="A16355" s="515">
        <v>60146</v>
      </c>
      <c r="B16355" s="515" t="s">
        <v>394</v>
      </c>
      <c r="C16355" s="52">
        <v>211112.63512190699</v>
      </c>
      <c r="D16355" s="56">
        <v>4.8930118015495114E-2</v>
      </c>
      <c r="E16355" s="224" t="s">
        <v>2</v>
      </c>
      <c r="F16355" s="515" t="s">
        <v>17531</v>
      </c>
      <c r="G16355" s="52">
        <v>183811.974048192</v>
      </c>
      <c r="H16355" s="56">
        <v>0.10603598579835644</v>
      </c>
      <c r="I16355" s="224" t="s">
        <v>2</v>
      </c>
    </row>
    <row r="16356" spans="1:9" x14ac:dyDescent="0.25">
      <c r="A16356" s="515">
        <v>56361</v>
      </c>
      <c r="B16356" s="515" t="s">
        <v>601</v>
      </c>
      <c r="C16356" s="52">
        <v>231915.60421456399</v>
      </c>
      <c r="D16356" s="56">
        <v>7.6939499668895225E-2</v>
      </c>
      <c r="E16356" s="224" t="s">
        <v>2</v>
      </c>
      <c r="F16356" s="515" t="s">
        <v>17532</v>
      </c>
      <c r="G16356" s="52">
        <v>270067.09946647898</v>
      </c>
      <c r="H16356" s="56">
        <v>0.10127894637299457</v>
      </c>
      <c r="I16356" s="224" t="s">
        <v>2</v>
      </c>
    </row>
    <row r="16357" spans="1:9" x14ac:dyDescent="0.25">
      <c r="A16357" s="515">
        <v>28423</v>
      </c>
      <c r="C16357" s="52">
        <v>142666.22928894099</v>
      </c>
      <c r="D16357" s="56">
        <v>3.4718260228124402E-2</v>
      </c>
      <c r="E16357" s="224" t="s">
        <v>2</v>
      </c>
      <c r="F16357" s="515" t="s">
        <v>17533</v>
      </c>
      <c r="G16357" s="52">
        <v>191202.912238644</v>
      </c>
      <c r="H16357" s="56">
        <v>2.7614140294310259E-2</v>
      </c>
      <c r="I16357" s="224" t="s">
        <v>2</v>
      </c>
    </row>
    <row r="16358" spans="1:9" x14ac:dyDescent="0.25">
      <c r="A16358" s="515">
        <v>49617</v>
      </c>
      <c r="B16358" s="515" t="s">
        <v>366</v>
      </c>
      <c r="C16358" s="52">
        <v>331625.01578795502</v>
      </c>
      <c r="D16358" s="56">
        <v>9.6839788778023767E-2</v>
      </c>
      <c r="E16358" s="224" t="s">
        <v>2</v>
      </c>
      <c r="F16358" s="515" t="s">
        <v>17534</v>
      </c>
      <c r="G16358" s="52">
        <v>117622.556807013</v>
      </c>
      <c r="H16358" s="56">
        <v>0.16416041216057065</v>
      </c>
      <c r="I16358" s="224" t="s">
        <v>2</v>
      </c>
    </row>
    <row r="16359" spans="1:9" x14ac:dyDescent="0.25">
      <c r="A16359" s="515">
        <v>38673</v>
      </c>
      <c r="B16359" s="515" t="s">
        <v>689</v>
      </c>
      <c r="C16359" s="52">
        <v>257707.617879283</v>
      </c>
      <c r="D16359" s="56">
        <v>6.7709773922251415E-2</v>
      </c>
      <c r="E16359" s="224" t="s">
        <v>2</v>
      </c>
      <c r="F16359" s="515" t="s">
        <v>17535</v>
      </c>
      <c r="G16359" s="52">
        <v>226928.706510035</v>
      </c>
      <c r="H16359" s="56">
        <v>2.6980438665618715E-2</v>
      </c>
      <c r="I16359" s="224" t="s">
        <v>2</v>
      </c>
    </row>
    <row r="16360" spans="1:9" x14ac:dyDescent="0.25">
      <c r="A16360" s="515">
        <v>61046</v>
      </c>
      <c r="C16360" s="52">
        <v>251519.16842642499</v>
      </c>
      <c r="D16360" s="56">
        <v>0.11520492196909475</v>
      </c>
      <c r="E16360" s="224" t="s">
        <v>2</v>
      </c>
      <c r="F16360" s="515" t="s">
        <v>17536</v>
      </c>
      <c r="G16360" s="52">
        <v>149806.53889863199</v>
      </c>
      <c r="H16360" s="56">
        <v>0.10364307883143282</v>
      </c>
      <c r="I16360" s="224" t="s">
        <v>2</v>
      </c>
    </row>
    <row r="16361" spans="1:9" x14ac:dyDescent="0.25">
      <c r="A16361" s="515">
        <v>62442</v>
      </c>
      <c r="C16361" s="52">
        <v>83495.9882665974</v>
      </c>
      <c r="D16361" s="56">
        <v>3.8771837841584875E-2</v>
      </c>
      <c r="E16361" s="224" t="s">
        <v>2</v>
      </c>
      <c r="F16361" s="515" t="s">
        <v>17537</v>
      </c>
      <c r="G16361" s="52">
        <v>92427.735030116804</v>
      </c>
      <c r="H16361" s="56">
        <v>0.16472987402381178</v>
      </c>
      <c r="I16361" s="224" t="s">
        <v>2</v>
      </c>
    </row>
    <row r="16362" spans="1:9" x14ac:dyDescent="0.25">
      <c r="A16362" s="515">
        <v>81527</v>
      </c>
      <c r="B16362" s="515" t="s">
        <v>619</v>
      </c>
      <c r="C16362" s="52">
        <v>470041.39740453201</v>
      </c>
      <c r="D16362" s="56">
        <v>5.801105460467941E-2</v>
      </c>
      <c r="E16362" s="224" t="s">
        <v>2</v>
      </c>
      <c r="F16362" s="515" t="s">
        <v>17538</v>
      </c>
      <c r="G16362" s="52">
        <v>85540.073586457394</v>
      </c>
      <c r="H16362" s="56">
        <v>-4.8174572269466941E-2</v>
      </c>
      <c r="I16362" s="224" t="s">
        <v>2</v>
      </c>
    </row>
    <row r="16363" spans="1:9" x14ac:dyDescent="0.25">
      <c r="A16363" s="515">
        <v>74363</v>
      </c>
      <c r="B16363" s="515" t="s">
        <v>469</v>
      </c>
      <c r="C16363" s="52">
        <v>122309.66324990601</v>
      </c>
      <c r="D16363" s="56">
        <v>6.401568852351068E-2</v>
      </c>
      <c r="E16363" s="224" t="s">
        <v>2</v>
      </c>
      <c r="F16363" s="515" t="s">
        <v>17539</v>
      </c>
      <c r="G16363" s="52">
        <v>203234.84670081799</v>
      </c>
      <c r="H16363" s="56">
        <v>0.11178545950976997</v>
      </c>
      <c r="I16363" s="224" t="s">
        <v>2</v>
      </c>
    </row>
    <row r="16364" spans="1:9" x14ac:dyDescent="0.25">
      <c r="A16364" s="515">
        <v>38057</v>
      </c>
      <c r="B16364" s="515" t="s">
        <v>951</v>
      </c>
      <c r="C16364" s="52">
        <v>230884.415426408</v>
      </c>
      <c r="D16364" s="56">
        <v>5.3667491230178214E-2</v>
      </c>
      <c r="E16364" s="224" t="s">
        <v>2</v>
      </c>
      <c r="F16364" s="515" t="s">
        <v>17540</v>
      </c>
      <c r="G16364" s="52">
        <v>93343.247593242995</v>
      </c>
      <c r="H16364" s="56">
        <v>2.845499191811416E-2</v>
      </c>
      <c r="I16364" s="224" t="s">
        <v>2</v>
      </c>
    </row>
    <row r="16365" spans="1:9" x14ac:dyDescent="0.25">
      <c r="A16365" s="515">
        <v>61024</v>
      </c>
      <c r="B16365" s="515" t="s">
        <v>1104</v>
      </c>
      <c r="C16365" s="52">
        <v>161393.664924874</v>
      </c>
      <c r="D16365" s="56">
        <v>4.5248179742226745E-2</v>
      </c>
      <c r="E16365" s="224" t="s">
        <v>2</v>
      </c>
      <c r="F16365" s="515" t="s">
        <v>17541</v>
      </c>
      <c r="G16365" s="52">
        <v>183890.13903451199</v>
      </c>
      <c r="H16365" s="56">
        <v>5.0649233571745937E-2</v>
      </c>
      <c r="I16365" s="224" t="s">
        <v>2</v>
      </c>
    </row>
    <row r="16366" spans="1:9" x14ac:dyDescent="0.25">
      <c r="A16366" s="515">
        <v>3581</v>
      </c>
      <c r="B16366" s="515" t="s">
        <v>752</v>
      </c>
      <c r="C16366" s="52">
        <v>220811.871463699</v>
      </c>
      <c r="D16366" s="56">
        <v>0.14216747930574627</v>
      </c>
      <c r="E16366" s="224" t="s">
        <v>2</v>
      </c>
      <c r="F16366" s="515" t="s">
        <v>17542</v>
      </c>
      <c r="G16366" s="52">
        <v>69450.058823529398</v>
      </c>
      <c r="H16366" s="56">
        <v>0</v>
      </c>
      <c r="I16366" s="224" t="s">
        <v>2</v>
      </c>
    </row>
    <row r="16367" spans="1:9" x14ac:dyDescent="0.25">
      <c r="A16367" s="515">
        <v>50849</v>
      </c>
      <c r="C16367" s="52">
        <v>134643.30276580999</v>
      </c>
      <c r="D16367" s="56">
        <v>7.4222162604801439E-2</v>
      </c>
      <c r="E16367" s="224" t="s">
        <v>2</v>
      </c>
      <c r="F16367" s="515" t="s">
        <v>17543</v>
      </c>
      <c r="G16367" s="52">
        <v>104957.43346187699</v>
      </c>
      <c r="H16367" s="56">
        <v>0.12744879480423196</v>
      </c>
      <c r="I16367" s="224" t="s">
        <v>2</v>
      </c>
    </row>
    <row r="16368" spans="1:9" x14ac:dyDescent="0.25">
      <c r="A16368" s="515">
        <v>63624</v>
      </c>
      <c r="B16368" s="515" t="s">
        <v>817</v>
      </c>
      <c r="C16368" s="52">
        <v>114510.890671381</v>
      </c>
      <c r="D16368" s="56">
        <v>0.10243243578649042</v>
      </c>
      <c r="E16368" s="224" t="s">
        <v>2</v>
      </c>
      <c r="F16368" s="515" t="s">
        <v>17544</v>
      </c>
      <c r="G16368" s="52">
        <v>199972.480656292</v>
      </c>
      <c r="H16368" s="56">
        <v>3.4045409130935012E-2</v>
      </c>
      <c r="I16368" s="224" t="s">
        <v>2</v>
      </c>
    </row>
    <row r="16369" spans="1:9" x14ac:dyDescent="0.25">
      <c r="A16369" s="515">
        <v>31303</v>
      </c>
      <c r="B16369" s="515" t="s">
        <v>351</v>
      </c>
      <c r="C16369" s="52">
        <v>204887.41475668299</v>
      </c>
      <c r="D16369" s="56">
        <v>7.6986221733392146E-2</v>
      </c>
      <c r="E16369" s="224" t="s">
        <v>2</v>
      </c>
      <c r="F16369" s="515" t="s">
        <v>17545</v>
      </c>
      <c r="G16369" s="52">
        <v>43207.3460917872</v>
      </c>
      <c r="H16369" s="56">
        <v>0.20203941908665832</v>
      </c>
      <c r="I16369" s="224" t="s">
        <v>2</v>
      </c>
    </row>
    <row r="16370" spans="1:9" x14ac:dyDescent="0.25">
      <c r="A16370" s="515">
        <v>14715</v>
      </c>
      <c r="C16370" s="52">
        <v>80759.912941587507</v>
      </c>
      <c r="D16370" s="56">
        <v>0.11864190605211723</v>
      </c>
      <c r="E16370" s="224" t="s">
        <v>2</v>
      </c>
      <c r="F16370" s="515" t="s">
        <v>17546</v>
      </c>
      <c r="G16370" s="52">
        <v>44510.752463154902</v>
      </c>
      <c r="H16370" s="56">
        <v>0.24201899969088317</v>
      </c>
      <c r="I16370" s="224" t="s">
        <v>2</v>
      </c>
    </row>
    <row r="16371" spans="1:9" x14ac:dyDescent="0.25">
      <c r="A16371" s="515">
        <v>15759</v>
      </c>
      <c r="B16371" s="515" t="s">
        <v>343</v>
      </c>
      <c r="C16371" s="52">
        <v>153141.54389896701</v>
      </c>
      <c r="D16371" s="56">
        <v>7.0516603647815382E-2</v>
      </c>
      <c r="E16371" s="224" t="s">
        <v>2</v>
      </c>
      <c r="F16371" s="515" t="s">
        <v>17547</v>
      </c>
      <c r="G16371" s="52">
        <v>937830.92454453302</v>
      </c>
      <c r="H16371" s="56">
        <v>0.1106208169979486</v>
      </c>
      <c r="I16371" s="224" t="s">
        <v>2</v>
      </c>
    </row>
    <row r="16372" spans="1:9" x14ac:dyDescent="0.25">
      <c r="A16372" s="515">
        <v>4988</v>
      </c>
      <c r="C16372" s="52">
        <v>245736.39567758201</v>
      </c>
      <c r="D16372" s="56">
        <v>6.0245829771904152E-2</v>
      </c>
      <c r="E16372" s="224" t="s">
        <v>2</v>
      </c>
      <c r="F16372" s="515" t="s">
        <v>17548</v>
      </c>
      <c r="G16372" s="52">
        <v>144187.966175251</v>
      </c>
      <c r="H16372" s="56">
        <v>5.1962617268194011E-2</v>
      </c>
      <c r="I16372" s="224" t="s">
        <v>2</v>
      </c>
    </row>
    <row r="16373" spans="1:9" x14ac:dyDescent="0.25">
      <c r="A16373" s="515">
        <v>93265</v>
      </c>
      <c r="B16373" s="515" t="s">
        <v>358</v>
      </c>
      <c r="C16373" s="52">
        <v>392000.35980074498</v>
      </c>
      <c r="D16373" s="56">
        <v>3.4386671740592754E-2</v>
      </c>
      <c r="E16373" s="224" t="s">
        <v>2</v>
      </c>
      <c r="F16373" s="515" t="s">
        <v>17549</v>
      </c>
      <c r="G16373" s="52">
        <v>75539.148930664</v>
      </c>
      <c r="H16373" s="56">
        <v>0.31769802769328181</v>
      </c>
      <c r="I16373" s="224" t="s">
        <v>2</v>
      </c>
    </row>
    <row r="16374" spans="1:9" x14ac:dyDescent="0.25">
      <c r="A16374" s="515">
        <v>49730</v>
      </c>
      <c r="C16374" s="52">
        <v>192970.89766859499</v>
      </c>
      <c r="D16374" s="56">
        <v>7.2035152759601789E-2</v>
      </c>
      <c r="E16374" s="224" t="s">
        <v>2</v>
      </c>
      <c r="F16374" s="515" t="s">
        <v>17550</v>
      </c>
      <c r="G16374" s="52">
        <v>345375.35602354602</v>
      </c>
      <c r="H16374" s="56">
        <v>0.14196886253637944</v>
      </c>
      <c r="I16374" s="224" t="s">
        <v>2</v>
      </c>
    </row>
    <row r="16375" spans="1:9" x14ac:dyDescent="0.25">
      <c r="A16375" s="515">
        <v>13030</v>
      </c>
      <c r="B16375" s="515" t="s">
        <v>361</v>
      </c>
      <c r="C16375" s="52">
        <v>192511.96010295299</v>
      </c>
      <c r="D16375" s="56">
        <v>0.16115749932828938</v>
      </c>
      <c r="E16375" s="224" t="s">
        <v>2</v>
      </c>
      <c r="F16375" s="515" t="s">
        <v>17551</v>
      </c>
      <c r="G16375" s="52">
        <v>316537.750054751</v>
      </c>
      <c r="H16375" s="56">
        <v>0.11632372553479878</v>
      </c>
      <c r="I16375" s="224" t="s">
        <v>2</v>
      </c>
    </row>
    <row r="16376" spans="1:9" x14ac:dyDescent="0.25">
      <c r="A16376" s="515">
        <v>51346</v>
      </c>
      <c r="C16376" s="52">
        <v>120441.518955593</v>
      </c>
      <c r="D16376" s="56">
        <v>7.2679226484475695E-2</v>
      </c>
      <c r="E16376" s="224" t="s">
        <v>2</v>
      </c>
      <c r="F16376" s="515" t="s">
        <v>17552</v>
      </c>
      <c r="G16376" s="52">
        <v>496726.14193838701</v>
      </c>
      <c r="H16376" s="56">
        <v>4.5987899239694215E-2</v>
      </c>
      <c r="I16376" s="224" t="s">
        <v>2</v>
      </c>
    </row>
    <row r="16377" spans="1:9" x14ac:dyDescent="0.25">
      <c r="A16377" s="515">
        <v>41010</v>
      </c>
      <c r="B16377" s="515" t="s">
        <v>344</v>
      </c>
      <c r="C16377" s="52">
        <v>119119.42024127601</v>
      </c>
      <c r="D16377" s="56">
        <v>0.22782264450247824</v>
      </c>
      <c r="E16377" s="224" t="s">
        <v>2</v>
      </c>
      <c r="F16377" s="515" t="s">
        <v>17553</v>
      </c>
      <c r="G16377" s="52">
        <v>181279.31241648001</v>
      </c>
      <c r="H16377" s="56">
        <v>0.11064947017120827</v>
      </c>
      <c r="I16377" s="224" t="s">
        <v>2</v>
      </c>
    </row>
    <row r="16378" spans="1:9" x14ac:dyDescent="0.25">
      <c r="A16378" s="515">
        <v>21794</v>
      </c>
      <c r="B16378" s="515" t="s">
        <v>582</v>
      </c>
      <c r="C16378" s="52">
        <v>908291.49570082605</v>
      </c>
      <c r="D16378" s="56">
        <v>5.2895531372588275E-2</v>
      </c>
      <c r="E16378" s="224" t="s">
        <v>2</v>
      </c>
      <c r="F16378" s="515" t="s">
        <v>17554</v>
      </c>
      <c r="G16378" s="52">
        <v>126976.661911791</v>
      </c>
      <c r="H16378" s="56">
        <v>1.2069550452224433E-2</v>
      </c>
      <c r="I16378" s="224" t="s">
        <v>2</v>
      </c>
    </row>
    <row r="16379" spans="1:9" x14ac:dyDescent="0.25">
      <c r="A16379" s="515">
        <v>59526</v>
      </c>
      <c r="C16379" s="52">
        <v>162819.77011320501</v>
      </c>
      <c r="D16379" s="56">
        <v>4.0836482624596208E-2</v>
      </c>
      <c r="E16379" s="224" t="s">
        <v>2</v>
      </c>
      <c r="F16379" s="515" t="s">
        <v>17555</v>
      </c>
      <c r="G16379" s="52">
        <v>445491.32281126903</v>
      </c>
      <c r="H16379" s="56">
        <v>5.6755808569600032E-2</v>
      </c>
      <c r="I16379" s="224" t="s">
        <v>2</v>
      </c>
    </row>
    <row r="16380" spans="1:9" x14ac:dyDescent="0.25">
      <c r="A16380" s="515">
        <v>25301</v>
      </c>
      <c r="B16380" s="515" t="s">
        <v>322</v>
      </c>
      <c r="C16380" s="52">
        <v>166740.01941364</v>
      </c>
      <c r="D16380" s="56">
        <v>9.8641974018575981E-2</v>
      </c>
      <c r="E16380" s="224" t="s">
        <v>2</v>
      </c>
      <c r="F16380" s="515" t="s">
        <v>17556</v>
      </c>
      <c r="G16380" s="52">
        <v>80535.2296765551</v>
      </c>
      <c r="H16380" s="56">
        <v>0</v>
      </c>
      <c r="I16380" s="224" t="s">
        <v>2</v>
      </c>
    </row>
    <row r="16381" spans="1:9" x14ac:dyDescent="0.25">
      <c r="A16381" s="515">
        <v>40740</v>
      </c>
      <c r="B16381" s="515" t="s">
        <v>633</v>
      </c>
      <c r="C16381" s="52">
        <v>140805.48766963999</v>
      </c>
      <c r="D16381" s="56">
        <v>0.19704004516825438</v>
      </c>
      <c r="E16381" s="224" t="s">
        <v>2</v>
      </c>
      <c r="F16381" s="515" t="s">
        <v>17557</v>
      </c>
      <c r="G16381" s="52"/>
      <c r="H16381" s="56">
        <v>0</v>
      </c>
      <c r="I16381" s="224" t="s">
        <v>2</v>
      </c>
    </row>
    <row r="16382" spans="1:9" x14ac:dyDescent="0.25">
      <c r="A16382" s="515">
        <v>51546</v>
      </c>
      <c r="B16382" s="515" t="s">
        <v>367</v>
      </c>
      <c r="C16382" s="52">
        <v>201855.918504687</v>
      </c>
      <c r="D16382" s="56">
        <v>7.0222441770288926E-2</v>
      </c>
      <c r="E16382" s="224" t="s">
        <v>2</v>
      </c>
      <c r="F16382" s="515" t="s">
        <v>17558</v>
      </c>
      <c r="G16382" s="52">
        <v>709002.67104853899</v>
      </c>
      <c r="H16382" s="56">
        <v>0.10652477723271042</v>
      </c>
      <c r="I16382" s="224" t="s">
        <v>2</v>
      </c>
    </row>
    <row r="16383" spans="1:9" x14ac:dyDescent="0.25">
      <c r="A16383" s="515">
        <v>47850</v>
      </c>
      <c r="B16383" s="515" t="s">
        <v>318</v>
      </c>
      <c r="C16383" s="52">
        <v>131396.98712527301</v>
      </c>
      <c r="D16383" s="56">
        <v>6.0178206639564948E-2</v>
      </c>
      <c r="E16383" s="224" t="s">
        <v>2</v>
      </c>
      <c r="F16383" s="515" t="s">
        <v>17559</v>
      </c>
      <c r="G16383" s="52">
        <v>217956.23342206</v>
      </c>
      <c r="H16383" s="56">
        <v>8.3200377549997609E-2</v>
      </c>
      <c r="I16383" s="224" t="s">
        <v>2</v>
      </c>
    </row>
    <row r="16384" spans="1:9" x14ac:dyDescent="0.25">
      <c r="A16384" s="515">
        <v>76627</v>
      </c>
      <c r="C16384" s="52">
        <v>215788.67001377299</v>
      </c>
      <c r="D16384" s="56">
        <v>-2.4711897846637843E-2</v>
      </c>
      <c r="E16384" s="224" t="s">
        <v>2</v>
      </c>
      <c r="F16384" s="515" t="s">
        <v>17560</v>
      </c>
      <c r="G16384" s="52">
        <v>93391.691002379695</v>
      </c>
      <c r="H16384" s="56">
        <v>3.3254810299521799E-2</v>
      </c>
      <c r="I16384" s="224" t="s">
        <v>2</v>
      </c>
    </row>
    <row r="16385" spans="1:9" x14ac:dyDescent="0.25">
      <c r="A16385" s="515">
        <v>39160</v>
      </c>
      <c r="C16385" s="52">
        <v>101812.759859618</v>
      </c>
      <c r="D16385" s="56">
        <v>-5.1571416997922261E-2</v>
      </c>
      <c r="E16385" s="224" t="s">
        <v>2</v>
      </c>
      <c r="F16385" s="515" t="s">
        <v>17561</v>
      </c>
      <c r="G16385" s="52">
        <v>377384.938010932</v>
      </c>
      <c r="H16385" s="56">
        <v>-8.9898775975787354E-2</v>
      </c>
      <c r="I16385" s="224" t="s">
        <v>2</v>
      </c>
    </row>
    <row r="16386" spans="1:9" x14ac:dyDescent="0.25">
      <c r="A16386" s="515">
        <v>61858</v>
      </c>
      <c r="B16386" s="515" t="s">
        <v>999</v>
      </c>
      <c r="C16386" s="52">
        <v>129779.669381521</v>
      </c>
      <c r="D16386" s="56">
        <v>8.5818856588908379E-2</v>
      </c>
      <c r="E16386" s="224" t="s">
        <v>2</v>
      </c>
      <c r="F16386" s="515" t="s">
        <v>17562</v>
      </c>
      <c r="G16386" s="52">
        <v>41071.282608695597</v>
      </c>
      <c r="H16386" s="56">
        <v>0</v>
      </c>
      <c r="I16386" s="224" t="s">
        <v>2</v>
      </c>
    </row>
    <row r="16387" spans="1:9" x14ac:dyDescent="0.25">
      <c r="A16387" s="515">
        <v>76059</v>
      </c>
      <c r="B16387" s="515" t="s">
        <v>458</v>
      </c>
      <c r="C16387" s="52">
        <v>240578.060010666</v>
      </c>
      <c r="D16387" s="56">
        <v>9.1388179218548679E-2</v>
      </c>
      <c r="E16387" s="224" t="s">
        <v>2</v>
      </c>
      <c r="F16387" s="515" t="s">
        <v>17563</v>
      </c>
      <c r="G16387" s="52">
        <v>276059.37139661203</v>
      </c>
      <c r="H16387" s="56">
        <v>9.3955906181878726E-2</v>
      </c>
      <c r="I16387" s="224" t="s">
        <v>2</v>
      </c>
    </row>
    <row r="16388" spans="1:9" x14ac:dyDescent="0.25">
      <c r="A16388" s="515">
        <v>4427</v>
      </c>
      <c r="B16388" s="515" t="s">
        <v>792</v>
      </c>
      <c r="C16388" s="52">
        <v>213064.473696595</v>
      </c>
      <c r="D16388" s="56">
        <v>0.15690072149409173</v>
      </c>
      <c r="E16388" s="224" t="s">
        <v>2</v>
      </c>
      <c r="F16388" s="515" t="s">
        <v>17564</v>
      </c>
      <c r="G16388" s="52">
        <v>112905.961486908</v>
      </c>
      <c r="H16388" s="56">
        <v>0.18248036412533022</v>
      </c>
      <c r="I16388" s="224" t="s">
        <v>2</v>
      </c>
    </row>
    <row r="16389" spans="1:9" x14ac:dyDescent="0.25">
      <c r="A16389" s="515">
        <v>41093</v>
      </c>
      <c r="C16389" s="52">
        <v>125511.37506263499</v>
      </c>
      <c r="D16389" s="56">
        <v>0.27434156038117069</v>
      </c>
      <c r="E16389" s="224" t="s">
        <v>2</v>
      </c>
      <c r="F16389" s="515" t="s">
        <v>17565</v>
      </c>
      <c r="G16389" s="52">
        <v>163347.52495604299</v>
      </c>
      <c r="H16389" s="56">
        <v>8.40491158969629E-2</v>
      </c>
      <c r="I16389" s="224" t="s">
        <v>2</v>
      </c>
    </row>
    <row r="16390" spans="1:9" x14ac:dyDescent="0.25">
      <c r="A16390" s="515">
        <v>46030</v>
      </c>
      <c r="B16390" s="515" t="s">
        <v>403</v>
      </c>
      <c r="C16390" s="52">
        <v>250660.04354272899</v>
      </c>
      <c r="D16390" s="56">
        <v>7.3736662437309239E-2</v>
      </c>
      <c r="E16390" s="224" t="s">
        <v>2</v>
      </c>
      <c r="F16390" s="515" t="s">
        <v>17566</v>
      </c>
      <c r="G16390" s="52">
        <v>159588.07328737999</v>
      </c>
      <c r="H16390" s="56">
        <v>0</v>
      </c>
      <c r="I16390" s="224" t="s">
        <v>2</v>
      </c>
    </row>
    <row r="16391" spans="1:9" x14ac:dyDescent="0.25">
      <c r="A16391" s="515">
        <v>55395</v>
      </c>
      <c r="B16391" s="515" t="s">
        <v>882</v>
      </c>
      <c r="C16391" s="52">
        <v>247795.171357521</v>
      </c>
      <c r="D16391" s="56">
        <v>2.1295034884800255E-2</v>
      </c>
      <c r="E16391" s="224" t="s">
        <v>2</v>
      </c>
      <c r="F16391" s="515" t="s">
        <v>17567</v>
      </c>
      <c r="G16391" s="52">
        <v>343745.73980090098</v>
      </c>
      <c r="H16391" s="56">
        <v>5.6426099595449003E-2</v>
      </c>
      <c r="I16391" s="224" t="s">
        <v>2</v>
      </c>
    </row>
    <row r="16392" spans="1:9" x14ac:dyDescent="0.25">
      <c r="A16392" s="515">
        <v>99169</v>
      </c>
      <c r="B16392" s="515" t="s">
        <v>716</v>
      </c>
      <c r="C16392" s="52">
        <v>228675.585942915</v>
      </c>
      <c r="D16392" s="56">
        <v>0.1286705699712383</v>
      </c>
      <c r="E16392" s="224" t="s">
        <v>2</v>
      </c>
      <c r="F16392" s="515" t="s">
        <v>17568</v>
      </c>
      <c r="G16392" s="52">
        <v>130945.483333333</v>
      </c>
      <c r="H16392" s="56">
        <v>0</v>
      </c>
      <c r="I16392" s="224" t="s">
        <v>2</v>
      </c>
    </row>
    <row r="16393" spans="1:9" x14ac:dyDescent="0.25">
      <c r="A16393" s="515">
        <v>97532</v>
      </c>
      <c r="B16393" s="515" t="s">
        <v>626</v>
      </c>
      <c r="C16393" s="52">
        <v>447636.54802136798</v>
      </c>
      <c r="D16393" s="56">
        <v>-6.6904446524620543E-3</v>
      </c>
      <c r="E16393" s="224" t="s">
        <v>2</v>
      </c>
      <c r="F16393" s="515" t="s">
        <v>17569</v>
      </c>
      <c r="G16393" s="52">
        <v>207789.720808276</v>
      </c>
      <c r="H16393" s="56">
        <v>0.20727613392005789</v>
      </c>
      <c r="I16393" s="224" t="s">
        <v>2</v>
      </c>
    </row>
    <row r="16394" spans="1:9" x14ac:dyDescent="0.25">
      <c r="A16394" s="515">
        <v>25523</v>
      </c>
      <c r="B16394" s="515" t="s">
        <v>322</v>
      </c>
      <c r="C16394" s="52">
        <v>102534.020080081</v>
      </c>
      <c r="D16394" s="56">
        <v>8.3256271037709273E-2</v>
      </c>
      <c r="E16394" s="224" t="s">
        <v>2</v>
      </c>
      <c r="F16394" s="515" t="s">
        <v>17570</v>
      </c>
      <c r="G16394" s="52">
        <v>247440.087883489</v>
      </c>
      <c r="H16394" s="56">
        <v>0</v>
      </c>
      <c r="I16394" s="224" t="s">
        <v>2</v>
      </c>
    </row>
    <row r="16395" spans="1:9" x14ac:dyDescent="0.25">
      <c r="A16395" s="515">
        <v>48819</v>
      </c>
      <c r="B16395" s="515" t="s">
        <v>528</v>
      </c>
      <c r="C16395" s="52">
        <v>216210.30973620899</v>
      </c>
      <c r="D16395" s="56">
        <v>5.6925522581250401E-2</v>
      </c>
      <c r="E16395" s="224" t="s">
        <v>2</v>
      </c>
      <c r="F16395" s="515" t="s">
        <v>17571</v>
      </c>
      <c r="G16395" s="52">
        <v>178821.644691311</v>
      </c>
      <c r="H16395" s="56">
        <v>5.1674255276899304E-2</v>
      </c>
      <c r="I16395" s="224" t="s">
        <v>2</v>
      </c>
    </row>
    <row r="16396" spans="1:9" x14ac:dyDescent="0.25">
      <c r="A16396" s="515">
        <v>76665</v>
      </c>
      <c r="C16396" s="52">
        <v>231419.114074023</v>
      </c>
      <c r="D16396" s="56">
        <v>8.0506456044492886E-2</v>
      </c>
      <c r="E16396" s="224" t="s">
        <v>2</v>
      </c>
      <c r="F16396" s="515" t="s">
        <v>17572</v>
      </c>
      <c r="G16396" s="52">
        <v>691961.03902900999</v>
      </c>
      <c r="H16396" s="56">
        <v>2.4040671263836296E-2</v>
      </c>
      <c r="I16396" s="224" t="s">
        <v>2</v>
      </c>
    </row>
    <row r="16397" spans="1:9" x14ac:dyDescent="0.25">
      <c r="A16397" s="515">
        <v>79079</v>
      </c>
      <c r="C16397" s="52">
        <v>71032.895411855294</v>
      </c>
      <c r="D16397" s="56">
        <v>-6.7276440648635777E-2</v>
      </c>
      <c r="E16397" s="224" t="s">
        <v>2</v>
      </c>
      <c r="F16397" s="515" t="s">
        <v>17573</v>
      </c>
      <c r="G16397" s="52">
        <v>178435.791169128</v>
      </c>
      <c r="H16397" s="56">
        <v>3.4036797481822159E-2</v>
      </c>
      <c r="I16397" s="224" t="s">
        <v>2</v>
      </c>
    </row>
    <row r="16398" spans="1:9" x14ac:dyDescent="0.25">
      <c r="A16398" s="515">
        <v>49449</v>
      </c>
      <c r="C16398" s="52">
        <v>310870.85752212501</v>
      </c>
      <c r="D16398" s="56">
        <v>8.7524785091203969E-2</v>
      </c>
      <c r="E16398" s="224" t="s">
        <v>2</v>
      </c>
      <c r="F16398" s="515" t="s">
        <v>17574</v>
      </c>
      <c r="G16398" s="52">
        <v>291370.30766396801</v>
      </c>
      <c r="H16398" s="56">
        <v>0.11045471583402458</v>
      </c>
      <c r="I16398" s="224" t="s">
        <v>2</v>
      </c>
    </row>
    <row r="16399" spans="1:9" x14ac:dyDescent="0.25">
      <c r="A16399" s="515">
        <v>29810</v>
      </c>
      <c r="C16399" s="52">
        <v>49245.548777277101</v>
      </c>
      <c r="D16399" s="56">
        <v>9.5178166028426381E-2</v>
      </c>
      <c r="E16399" s="224" t="s">
        <v>2</v>
      </c>
      <c r="F16399" s="515" t="s">
        <v>17575</v>
      </c>
      <c r="G16399" s="52">
        <v>508387.34756564198</v>
      </c>
      <c r="H16399" s="56">
        <v>-1.2547592522685088E-2</v>
      </c>
      <c r="I16399" s="224" t="s">
        <v>2</v>
      </c>
    </row>
    <row r="16400" spans="1:9" x14ac:dyDescent="0.25">
      <c r="A16400" s="515">
        <v>75973</v>
      </c>
      <c r="C16400" s="52">
        <v>191094.54152719799</v>
      </c>
      <c r="D16400" s="56">
        <v>-8.8801407209901248E-2</v>
      </c>
      <c r="E16400" s="224" t="s">
        <v>2</v>
      </c>
      <c r="F16400" s="515" t="s">
        <v>17576</v>
      </c>
      <c r="G16400" s="52">
        <v>213061.18164101499</v>
      </c>
      <c r="H16400" s="56">
        <v>5.1596279318532563E-2</v>
      </c>
      <c r="I16400" s="224" t="s">
        <v>2</v>
      </c>
    </row>
    <row r="16401" spans="1:9" x14ac:dyDescent="0.25">
      <c r="A16401" s="515">
        <v>16666</v>
      </c>
      <c r="B16401" s="515" t="s">
        <v>876</v>
      </c>
      <c r="C16401" s="52">
        <v>99512.489538800306</v>
      </c>
      <c r="D16401" s="56">
        <v>8.40746064583031E-2</v>
      </c>
      <c r="E16401" s="224" t="s">
        <v>2</v>
      </c>
      <c r="F16401" s="515" t="s">
        <v>17577</v>
      </c>
      <c r="G16401" s="52">
        <v>83455.885608885597</v>
      </c>
      <c r="H16401" s="56">
        <v>-2.3567594491746752E-2</v>
      </c>
      <c r="I16401" s="224" t="s">
        <v>2</v>
      </c>
    </row>
    <row r="16402" spans="1:9" x14ac:dyDescent="0.25">
      <c r="A16402" s="515">
        <v>56444</v>
      </c>
      <c r="B16402" s="515" t="s">
        <v>674</v>
      </c>
      <c r="C16402" s="52">
        <v>335258.70522197499</v>
      </c>
      <c r="D16402" s="56">
        <v>0.16182710986984572</v>
      </c>
      <c r="E16402" s="224" t="s">
        <v>2</v>
      </c>
      <c r="F16402" s="515" t="s">
        <v>17578</v>
      </c>
      <c r="G16402" s="52">
        <v>1328053.62238393</v>
      </c>
      <c r="H16402" s="56">
        <v>7.3241749547296925E-2</v>
      </c>
      <c r="I16402" s="224" t="s">
        <v>2</v>
      </c>
    </row>
    <row r="16403" spans="1:9" x14ac:dyDescent="0.25">
      <c r="A16403" s="515">
        <v>46994</v>
      </c>
      <c r="B16403" s="515" t="s">
        <v>391</v>
      </c>
      <c r="C16403" s="52">
        <v>163742.72840856999</v>
      </c>
      <c r="D16403" s="56">
        <v>4.993699778414902E-2</v>
      </c>
      <c r="E16403" s="224" t="s">
        <v>2</v>
      </c>
      <c r="F16403" s="515" t="s">
        <v>17579</v>
      </c>
      <c r="G16403" s="52">
        <v>362702.26445056603</v>
      </c>
      <c r="H16403" s="56">
        <v>0.10734282150802868</v>
      </c>
      <c r="I16403" s="224" t="s">
        <v>2</v>
      </c>
    </row>
    <row r="16404" spans="1:9" x14ac:dyDescent="0.25">
      <c r="A16404" s="515">
        <v>97720</v>
      </c>
      <c r="C16404" s="52">
        <v>163013.29345555499</v>
      </c>
      <c r="D16404" s="56">
        <v>0.12798324372066672</v>
      </c>
      <c r="E16404" s="224" t="s">
        <v>2</v>
      </c>
      <c r="F16404" s="515" t="s">
        <v>17580</v>
      </c>
      <c r="G16404" s="52">
        <v>898267.97290137899</v>
      </c>
      <c r="H16404" s="56">
        <v>4.0326393271539425E-2</v>
      </c>
      <c r="I16404" s="224" t="s">
        <v>2</v>
      </c>
    </row>
    <row r="16405" spans="1:9" x14ac:dyDescent="0.25">
      <c r="A16405" s="515">
        <v>4757</v>
      </c>
      <c r="C16405" s="52">
        <v>202872.77152555101</v>
      </c>
      <c r="D16405" s="56">
        <v>4.3681045794921984E-2</v>
      </c>
      <c r="E16405" s="224" t="s">
        <v>2</v>
      </c>
      <c r="F16405" s="515" t="s">
        <v>17581</v>
      </c>
      <c r="G16405" s="52">
        <v>66640.4993241224</v>
      </c>
      <c r="H16405" s="56">
        <v>6.0776041494381976E-2</v>
      </c>
      <c r="I16405" s="224" t="s">
        <v>2</v>
      </c>
    </row>
    <row r="16406" spans="1:9" x14ac:dyDescent="0.25">
      <c r="A16406" s="515">
        <v>44818</v>
      </c>
      <c r="B16406" s="515" t="s">
        <v>463</v>
      </c>
      <c r="C16406" s="52">
        <v>136809.99230742501</v>
      </c>
      <c r="D16406" s="56">
        <v>6.6574445835938259E-2</v>
      </c>
      <c r="E16406" s="224" t="s">
        <v>2</v>
      </c>
      <c r="F16406" s="515" t="s">
        <v>17582</v>
      </c>
      <c r="G16406" s="52">
        <v>86981.233945782005</v>
      </c>
      <c r="H16406" s="56">
        <v>0.10977990977131336</v>
      </c>
      <c r="I16406" s="224" t="s">
        <v>2</v>
      </c>
    </row>
    <row r="16407" spans="1:9" x14ac:dyDescent="0.25">
      <c r="A16407" s="515">
        <v>40011</v>
      </c>
      <c r="B16407" s="515" t="s">
        <v>479</v>
      </c>
      <c r="C16407" s="52">
        <v>191321.47462661099</v>
      </c>
      <c r="D16407" s="56">
        <v>0.10542936422925574</v>
      </c>
      <c r="E16407" s="224" t="s">
        <v>2</v>
      </c>
      <c r="F16407" s="515" t="s">
        <v>17583</v>
      </c>
      <c r="G16407" s="52">
        <v>143487.46226415</v>
      </c>
      <c r="H16407" s="56">
        <v>0</v>
      </c>
      <c r="I16407" s="224" t="s">
        <v>2</v>
      </c>
    </row>
    <row r="16408" spans="1:9" x14ac:dyDescent="0.25">
      <c r="A16408" s="515">
        <v>94018</v>
      </c>
      <c r="B16408" s="515" t="s">
        <v>593</v>
      </c>
      <c r="C16408" s="52">
        <v>1381882.34725525</v>
      </c>
      <c r="D16408" s="56">
        <v>3.167153871565332E-2</v>
      </c>
      <c r="E16408" s="224" t="s">
        <v>2</v>
      </c>
      <c r="F16408" s="515" t="s">
        <v>17584</v>
      </c>
      <c r="G16408" s="52">
        <v>116849.74505429799</v>
      </c>
      <c r="H16408" s="56">
        <v>0.12611190281010548</v>
      </c>
      <c r="I16408" s="224" t="s">
        <v>2</v>
      </c>
    </row>
    <row r="16409" spans="1:9" x14ac:dyDescent="0.25">
      <c r="A16409" s="515">
        <v>62237</v>
      </c>
      <c r="C16409" s="52">
        <v>95755.247011128595</v>
      </c>
      <c r="D16409" s="56">
        <v>7.6375314060626434E-2</v>
      </c>
      <c r="E16409" s="224" t="s">
        <v>2</v>
      </c>
      <c r="F16409" s="515" t="s">
        <v>17585</v>
      </c>
      <c r="G16409" s="52">
        <v>90763.828571308404</v>
      </c>
      <c r="H16409" s="56">
        <v>2.1902425260195466E-2</v>
      </c>
      <c r="I16409" s="224" t="s">
        <v>2</v>
      </c>
    </row>
    <row r="16410" spans="1:9" x14ac:dyDescent="0.25">
      <c r="A16410" s="515">
        <v>45814</v>
      </c>
      <c r="B16410" s="515" t="s">
        <v>448</v>
      </c>
      <c r="C16410" s="52">
        <v>194780.02807692101</v>
      </c>
      <c r="D16410" s="56">
        <v>6.247201291435342E-2</v>
      </c>
      <c r="E16410" s="224" t="s">
        <v>2</v>
      </c>
      <c r="F16410" s="515" t="s">
        <v>17586</v>
      </c>
      <c r="G16410" s="52">
        <v>144557.13912534199</v>
      </c>
      <c r="H16410" s="56">
        <v>6.1672615947650763E-2</v>
      </c>
      <c r="I16410" s="224" t="s">
        <v>2</v>
      </c>
    </row>
    <row r="16411" spans="1:9" x14ac:dyDescent="0.25">
      <c r="A16411" s="515">
        <v>44814</v>
      </c>
      <c r="B16411" s="515" t="s">
        <v>712</v>
      </c>
      <c r="C16411" s="52">
        <v>218609.58480746401</v>
      </c>
      <c r="D16411" s="56">
        <v>5.6508564085165768E-2</v>
      </c>
      <c r="E16411" s="224" t="s">
        <v>2</v>
      </c>
      <c r="F16411" s="515" t="s">
        <v>17587</v>
      </c>
      <c r="G16411" s="52">
        <v>283559.78240633698</v>
      </c>
      <c r="H16411" s="56">
        <v>7.3942002853508104E-2</v>
      </c>
      <c r="I16411" s="224" t="s">
        <v>2</v>
      </c>
    </row>
    <row r="16412" spans="1:9" x14ac:dyDescent="0.25">
      <c r="A16412" s="515">
        <v>83127</v>
      </c>
      <c r="C16412" s="52">
        <v>517319.623573986</v>
      </c>
      <c r="D16412" s="56">
        <v>0.16768672385364577</v>
      </c>
      <c r="E16412" s="224" t="s">
        <v>2</v>
      </c>
      <c r="F16412" s="515" t="s">
        <v>17588</v>
      </c>
      <c r="G16412" s="52">
        <v>165930.15821213101</v>
      </c>
      <c r="H16412" s="56">
        <v>0</v>
      </c>
      <c r="I16412" s="224" t="s">
        <v>2</v>
      </c>
    </row>
    <row r="16413" spans="1:9" x14ac:dyDescent="0.25">
      <c r="A16413" s="515">
        <v>76055</v>
      </c>
      <c r="C16413" s="52">
        <v>178538.50703606501</v>
      </c>
      <c r="D16413" s="56">
        <v>4.2367656655692858E-2</v>
      </c>
      <c r="E16413" s="224" t="s">
        <v>2</v>
      </c>
      <c r="F16413" s="515" t="s">
        <v>17589</v>
      </c>
      <c r="G16413" s="52">
        <v>174935.44025370901</v>
      </c>
      <c r="H16413" s="56">
        <v>1.9077047184788837E-2</v>
      </c>
      <c r="I16413" s="224" t="s">
        <v>2</v>
      </c>
    </row>
    <row r="16414" spans="1:9" x14ac:dyDescent="0.25">
      <c r="A16414" s="515">
        <v>74930</v>
      </c>
      <c r="C16414" s="52">
        <v>143867.641981202</v>
      </c>
      <c r="D16414" s="56">
        <v>0.1076524030831288</v>
      </c>
      <c r="E16414" s="224" t="s">
        <v>2</v>
      </c>
      <c r="F16414" s="515" t="s">
        <v>17590</v>
      </c>
      <c r="G16414" s="52">
        <v>582372.61100360495</v>
      </c>
      <c r="H16414" s="56">
        <v>4.154778115647903E-2</v>
      </c>
      <c r="I16414" s="224" t="s">
        <v>2</v>
      </c>
    </row>
    <row r="16415" spans="1:9" x14ac:dyDescent="0.25">
      <c r="A16415" s="515">
        <v>60520</v>
      </c>
      <c r="B16415" s="515" t="s">
        <v>394</v>
      </c>
      <c r="C16415" s="52">
        <v>266174.021166322</v>
      </c>
      <c r="D16415" s="56">
        <v>6.0011536281188722E-2</v>
      </c>
      <c r="E16415" s="224" t="s">
        <v>2</v>
      </c>
      <c r="F16415" s="515" t="s">
        <v>17591</v>
      </c>
      <c r="G16415" s="52">
        <v>332285.41963040299</v>
      </c>
      <c r="H16415" s="56">
        <v>2.0742261209787463E-2</v>
      </c>
      <c r="I16415" s="224" t="s">
        <v>2</v>
      </c>
    </row>
    <row r="16416" spans="1:9" x14ac:dyDescent="0.25">
      <c r="A16416" s="515">
        <v>47368</v>
      </c>
      <c r="C16416" s="52">
        <v>131837.248925775</v>
      </c>
      <c r="D16416" s="56">
        <v>5.7336573161833937E-2</v>
      </c>
      <c r="E16416" s="224" t="s">
        <v>2</v>
      </c>
      <c r="F16416" s="515" t="s">
        <v>17592</v>
      </c>
      <c r="G16416" s="52">
        <v>820166.60916981997</v>
      </c>
      <c r="H16416" s="56">
        <v>-5.0551811348064132E-3</v>
      </c>
      <c r="I16416" s="224" t="s">
        <v>2</v>
      </c>
    </row>
    <row r="16417" spans="1:9" x14ac:dyDescent="0.25">
      <c r="A16417" s="515">
        <v>97828</v>
      </c>
      <c r="C16417" s="52">
        <v>387204.18202135101</v>
      </c>
      <c r="D16417" s="56">
        <v>5.7819804353633569E-2</v>
      </c>
      <c r="E16417" s="224" t="s">
        <v>2</v>
      </c>
      <c r="F16417" s="515" t="s">
        <v>17593</v>
      </c>
      <c r="G16417" s="52">
        <v>142037.46515579801</v>
      </c>
      <c r="H16417" s="56">
        <v>0.13970840532146675</v>
      </c>
      <c r="I16417" s="224" t="s">
        <v>2</v>
      </c>
    </row>
    <row r="16418" spans="1:9" x14ac:dyDescent="0.25">
      <c r="A16418" s="515">
        <v>55783</v>
      </c>
      <c r="C16418" s="52">
        <v>246519.742885766</v>
      </c>
      <c r="D16418" s="56">
        <v>0.1468826377151195</v>
      </c>
      <c r="E16418" s="224" t="s">
        <v>2</v>
      </c>
      <c r="F16418" s="515" t="s">
        <v>17594</v>
      </c>
      <c r="G16418" s="52">
        <v>94312.903315799107</v>
      </c>
      <c r="H16418" s="56">
        <v>0.18204021394093858</v>
      </c>
      <c r="I16418" s="224" t="s">
        <v>2</v>
      </c>
    </row>
    <row r="16419" spans="1:9" x14ac:dyDescent="0.25">
      <c r="A16419" s="515">
        <v>18617</v>
      </c>
      <c r="B16419" s="515" t="s">
        <v>512</v>
      </c>
      <c r="C16419" s="52">
        <v>84002.714436423499</v>
      </c>
      <c r="D16419" s="56">
        <v>0.22579143065215446</v>
      </c>
      <c r="E16419" s="224" t="s">
        <v>2</v>
      </c>
      <c r="F16419" s="515" t="s">
        <v>17595</v>
      </c>
      <c r="G16419" s="52">
        <v>289193.82016334502</v>
      </c>
      <c r="H16419" s="56">
        <v>4.1382300904096621E-2</v>
      </c>
      <c r="I16419" s="224" t="s">
        <v>2</v>
      </c>
    </row>
    <row r="16420" spans="1:9" x14ac:dyDescent="0.25">
      <c r="A16420" s="515">
        <v>44882</v>
      </c>
      <c r="C16420" s="52">
        <v>153290.70802653101</v>
      </c>
      <c r="D16420" s="56">
        <v>8.0151164354954563E-2</v>
      </c>
      <c r="E16420" s="224" t="s">
        <v>2</v>
      </c>
      <c r="F16420" s="515" t="s">
        <v>17596</v>
      </c>
      <c r="G16420" s="52">
        <v>184946.82865418601</v>
      </c>
      <c r="H16420" s="56">
        <v>7.8690146716992579E-2</v>
      </c>
      <c r="I16420" s="224" t="s">
        <v>2</v>
      </c>
    </row>
    <row r="16421" spans="1:9" x14ac:dyDescent="0.25">
      <c r="A16421" s="515">
        <v>67449</v>
      </c>
      <c r="C16421" s="52">
        <v>90038.316640651305</v>
      </c>
      <c r="D16421" s="56">
        <v>0.10367532654007784</v>
      </c>
      <c r="E16421" s="224" t="s">
        <v>2</v>
      </c>
      <c r="F16421" s="515" t="s">
        <v>17597</v>
      </c>
      <c r="G16421" s="52">
        <v>107601.432431104</v>
      </c>
      <c r="H16421" s="56">
        <v>0.11889537451656977</v>
      </c>
      <c r="I16421" s="224" t="s">
        <v>2</v>
      </c>
    </row>
    <row r="16422" spans="1:9" x14ac:dyDescent="0.25">
      <c r="A16422" s="515">
        <v>96752</v>
      </c>
      <c r="B16422" s="515" t="s">
        <v>452</v>
      </c>
      <c r="C16422" s="52">
        <v>675842.12745157105</v>
      </c>
      <c r="D16422" s="56">
        <v>0.15932641726248836</v>
      </c>
      <c r="E16422" s="224" t="s">
        <v>2</v>
      </c>
      <c r="F16422" s="515" t="s">
        <v>17598</v>
      </c>
      <c r="G16422" s="52">
        <v>1842549.1430556001</v>
      </c>
      <c r="H16422" s="56">
        <v>9.7286453105267276E-2</v>
      </c>
      <c r="I16422" s="224" t="s">
        <v>2</v>
      </c>
    </row>
    <row r="16423" spans="1:9" x14ac:dyDescent="0.25">
      <c r="A16423" s="515">
        <v>16613</v>
      </c>
      <c r="B16423" s="515" t="s">
        <v>828</v>
      </c>
      <c r="C16423" s="52">
        <v>122929.66530746099</v>
      </c>
      <c r="D16423" s="56">
        <v>-6.2821809859592667E-2</v>
      </c>
      <c r="E16423" s="224" t="s">
        <v>2</v>
      </c>
      <c r="F16423" s="515" t="s">
        <v>17599</v>
      </c>
      <c r="G16423" s="52">
        <v>632329.787394454</v>
      </c>
      <c r="H16423" s="56">
        <v>0.13774894821470612</v>
      </c>
      <c r="I16423" s="224" t="s">
        <v>2</v>
      </c>
    </row>
    <row r="16424" spans="1:9" x14ac:dyDescent="0.25">
      <c r="A16424" s="515">
        <v>61084</v>
      </c>
      <c r="B16424" s="515" t="s">
        <v>429</v>
      </c>
      <c r="C16424" s="52">
        <v>227045.553558151</v>
      </c>
      <c r="D16424" s="56">
        <v>7.209894055692348E-2</v>
      </c>
      <c r="E16424" s="224" t="s">
        <v>2</v>
      </c>
      <c r="F16424" s="515" t="s">
        <v>17600</v>
      </c>
      <c r="G16424" s="52">
        <v>63333.528992839703</v>
      </c>
      <c r="H16424" s="56">
        <v>-5.6935802772098074E-2</v>
      </c>
      <c r="I16424" s="224" t="s">
        <v>2</v>
      </c>
    </row>
    <row r="16425" spans="1:9" x14ac:dyDescent="0.25">
      <c r="A16425" s="515">
        <v>1235</v>
      </c>
      <c r="B16425" s="515" t="s">
        <v>497</v>
      </c>
      <c r="C16425" s="52">
        <v>308472.59437787498</v>
      </c>
      <c r="D16425" s="56">
        <v>0.11342114125946265</v>
      </c>
      <c r="E16425" s="224" t="s">
        <v>2</v>
      </c>
      <c r="F16425" s="515" t="s">
        <v>17601</v>
      </c>
      <c r="G16425" s="52">
        <v>311431.36368527799</v>
      </c>
      <c r="H16425" s="56">
        <v>5.6728769056007051E-2</v>
      </c>
      <c r="I16425" s="224" t="s">
        <v>2</v>
      </c>
    </row>
    <row r="16426" spans="1:9" x14ac:dyDescent="0.25">
      <c r="A16426" s="515">
        <v>23917</v>
      </c>
      <c r="C16426" s="52">
        <v>182221.00380697401</v>
      </c>
      <c r="D16426" s="56">
        <v>0.1505979455914688</v>
      </c>
      <c r="E16426" s="224" t="s">
        <v>2</v>
      </c>
      <c r="F16426" s="515" t="s">
        <v>17602</v>
      </c>
      <c r="G16426" s="52">
        <v>122292.084507042</v>
      </c>
      <c r="H16426" s="56">
        <v>0</v>
      </c>
      <c r="I16426" s="224" t="s">
        <v>2</v>
      </c>
    </row>
    <row r="16427" spans="1:9" x14ac:dyDescent="0.25">
      <c r="A16427" s="515">
        <v>45658</v>
      </c>
      <c r="B16427" s="515" t="s">
        <v>445</v>
      </c>
      <c r="C16427" s="52">
        <v>141712.00782445501</v>
      </c>
      <c r="D16427" s="56">
        <v>0.15515758833219909</v>
      </c>
      <c r="E16427" s="224" t="s">
        <v>2</v>
      </c>
      <c r="F16427" s="515" t="s">
        <v>17603</v>
      </c>
      <c r="G16427" s="52">
        <v>78330.4935574314</v>
      </c>
      <c r="H16427" s="56">
        <v>0.25649079117150458</v>
      </c>
      <c r="I16427" s="224" t="s">
        <v>2</v>
      </c>
    </row>
    <row r="16428" spans="1:9" x14ac:dyDescent="0.25">
      <c r="A16428" s="515">
        <v>36523</v>
      </c>
      <c r="B16428" s="515" t="s">
        <v>815</v>
      </c>
      <c r="C16428" s="52">
        <v>149062.52624908401</v>
      </c>
      <c r="D16428" s="56">
        <v>4.2835079597312739E-2</v>
      </c>
      <c r="E16428" s="224" t="s">
        <v>2</v>
      </c>
      <c r="F16428" s="515" t="s">
        <v>17604</v>
      </c>
      <c r="G16428" s="52">
        <v>78956.7660788379</v>
      </c>
      <c r="H16428" s="56">
        <v>0.12671832995277865</v>
      </c>
      <c r="I16428" s="224" t="s">
        <v>2</v>
      </c>
    </row>
    <row r="16429" spans="1:9" x14ac:dyDescent="0.25">
      <c r="A16429" s="515">
        <v>15043</v>
      </c>
      <c r="B16429" s="515" t="s">
        <v>297</v>
      </c>
      <c r="C16429" s="52">
        <v>203902.58845077199</v>
      </c>
      <c r="D16429" s="56">
        <v>-1.9856847341921613E-2</v>
      </c>
      <c r="E16429" s="224" t="s">
        <v>2</v>
      </c>
      <c r="F16429" s="515" t="s">
        <v>17605</v>
      </c>
      <c r="G16429" s="52">
        <v>168317.85492558501</v>
      </c>
      <c r="H16429" s="56">
        <v>5.2033950716949835E-2</v>
      </c>
      <c r="I16429" s="224" t="s">
        <v>2</v>
      </c>
    </row>
    <row r="16430" spans="1:9" x14ac:dyDescent="0.25">
      <c r="A16430" s="515">
        <v>45054</v>
      </c>
      <c r="B16430" s="515" t="s">
        <v>344</v>
      </c>
      <c r="C16430" s="52">
        <v>363541.29243440903</v>
      </c>
      <c r="D16430" s="56">
        <v>8.3085101411592865E-2</v>
      </c>
      <c r="E16430" s="224" t="s">
        <v>2</v>
      </c>
      <c r="F16430" s="515" t="s">
        <v>17606</v>
      </c>
      <c r="G16430" s="52">
        <v>281262.89883139997</v>
      </c>
      <c r="H16430" s="56">
        <v>6.8985019184573518E-2</v>
      </c>
      <c r="I16430" s="224" t="s">
        <v>2</v>
      </c>
    </row>
    <row r="16431" spans="1:9" x14ac:dyDescent="0.25">
      <c r="A16431" s="515">
        <v>68620</v>
      </c>
      <c r="C16431" s="52">
        <v>246275.59051966001</v>
      </c>
      <c r="D16431" s="56">
        <v>8.8532708177974567E-2</v>
      </c>
      <c r="E16431" s="224" t="s">
        <v>2</v>
      </c>
      <c r="F16431" s="515" t="s">
        <v>17607</v>
      </c>
      <c r="G16431" s="52">
        <v>134425.15467197899</v>
      </c>
      <c r="H16431" s="56">
        <v>8.0368410964152065E-2</v>
      </c>
      <c r="I16431" s="224" t="s">
        <v>2</v>
      </c>
    </row>
    <row r="16432" spans="1:9" x14ac:dyDescent="0.25">
      <c r="A16432" s="515">
        <v>33922</v>
      </c>
      <c r="B16432" s="515" t="s">
        <v>661</v>
      </c>
      <c r="C16432" s="52">
        <v>373806.23344367603</v>
      </c>
      <c r="D16432" s="56">
        <v>0.15633709072534224</v>
      </c>
      <c r="E16432" s="224" t="s">
        <v>2</v>
      </c>
      <c r="F16432" s="515" t="s">
        <v>17608</v>
      </c>
      <c r="G16432" s="52">
        <v>125895.606011243</v>
      </c>
      <c r="H16432" s="56">
        <v>-1.9270170602547019E-2</v>
      </c>
      <c r="I16432" s="224" t="s">
        <v>2</v>
      </c>
    </row>
    <row r="16433" spans="1:9" x14ac:dyDescent="0.25">
      <c r="A16433" s="515">
        <v>37012</v>
      </c>
      <c r="C16433" s="52">
        <v>263007.46803557198</v>
      </c>
      <c r="D16433" s="56">
        <v>0.10519872320777476</v>
      </c>
      <c r="E16433" s="224" t="s">
        <v>2</v>
      </c>
      <c r="F16433" s="515" t="s">
        <v>17609</v>
      </c>
      <c r="G16433" s="52">
        <v>133584.48317030101</v>
      </c>
      <c r="H16433" s="56">
        <v>0.10266697537745494</v>
      </c>
      <c r="I16433" s="224" t="s">
        <v>2</v>
      </c>
    </row>
    <row r="16434" spans="1:9" x14ac:dyDescent="0.25">
      <c r="A16434" s="515">
        <v>21155</v>
      </c>
      <c r="B16434" s="515" t="s">
        <v>582</v>
      </c>
      <c r="C16434" s="52">
        <v>445128.63454186101</v>
      </c>
      <c r="D16434" s="56">
        <v>3.2923476023896579E-2</v>
      </c>
      <c r="E16434" s="224" t="s">
        <v>2</v>
      </c>
      <c r="F16434" s="515" t="s">
        <v>17610</v>
      </c>
      <c r="G16434" s="52">
        <v>507206.205607476</v>
      </c>
      <c r="H16434" s="56">
        <v>0</v>
      </c>
      <c r="I16434" s="224" t="s">
        <v>2</v>
      </c>
    </row>
    <row r="16435" spans="1:9" x14ac:dyDescent="0.25">
      <c r="A16435" s="515">
        <v>71275</v>
      </c>
      <c r="B16435" s="515" t="s">
        <v>1155</v>
      </c>
      <c r="C16435" s="52">
        <v>134376.625237956</v>
      </c>
      <c r="D16435" s="56">
        <v>1.8746609326698433E-2</v>
      </c>
      <c r="E16435" s="224" t="s">
        <v>2</v>
      </c>
      <c r="F16435" s="515" t="s">
        <v>17611</v>
      </c>
      <c r="G16435" s="52">
        <v>115652.591811324</v>
      </c>
      <c r="H16435" s="56">
        <v>0.10857009976682346</v>
      </c>
      <c r="I16435" s="224" t="s">
        <v>2</v>
      </c>
    </row>
    <row r="16436" spans="1:9" x14ac:dyDescent="0.25">
      <c r="A16436" s="515">
        <v>64658</v>
      </c>
      <c r="C16436" s="52">
        <v>114797.52003368099</v>
      </c>
      <c r="D16436" s="56">
        <v>6.4221220305124282E-3</v>
      </c>
      <c r="E16436" s="224" t="s">
        <v>2</v>
      </c>
      <c r="F16436" s="515" t="s">
        <v>17612</v>
      </c>
      <c r="G16436" s="52">
        <v>129504.25457981099</v>
      </c>
      <c r="H16436" s="56">
        <v>7.0291956595891242E-2</v>
      </c>
      <c r="I16436" s="224" t="s">
        <v>2</v>
      </c>
    </row>
    <row r="16437" spans="1:9" x14ac:dyDescent="0.25">
      <c r="A16437" s="515">
        <v>62082</v>
      </c>
      <c r="C16437" s="52">
        <v>51580.5623000294</v>
      </c>
      <c r="D16437" s="56">
        <v>-2.635054470408409E-2</v>
      </c>
      <c r="E16437" s="224" t="s">
        <v>2</v>
      </c>
      <c r="F16437" s="515" t="s">
        <v>17613</v>
      </c>
      <c r="G16437" s="52">
        <v>283554.16462543898</v>
      </c>
      <c r="H16437" s="56">
        <v>0</v>
      </c>
      <c r="I16437" s="224" t="s">
        <v>2</v>
      </c>
    </row>
    <row r="16438" spans="1:9" x14ac:dyDescent="0.25">
      <c r="A16438" s="515">
        <v>98245</v>
      </c>
      <c r="C16438" s="52">
        <v>886410.67198078695</v>
      </c>
      <c r="D16438" s="56">
        <v>3.9882573221760809E-2</v>
      </c>
      <c r="E16438" s="224" t="s">
        <v>2</v>
      </c>
      <c r="F16438" s="515" t="s">
        <v>17614</v>
      </c>
      <c r="G16438" s="52">
        <v>357785.28115095198</v>
      </c>
      <c r="H16438" s="56">
        <v>6.7204130721291694E-2</v>
      </c>
      <c r="I16438" s="224" t="s">
        <v>2</v>
      </c>
    </row>
    <row r="16439" spans="1:9" x14ac:dyDescent="0.25">
      <c r="A16439" s="515">
        <v>65644</v>
      </c>
      <c r="B16439" s="515" t="s">
        <v>603</v>
      </c>
      <c r="C16439" s="52">
        <v>237053.53214926401</v>
      </c>
      <c r="D16439" s="56">
        <v>0.13084724904439499</v>
      </c>
      <c r="E16439" s="224" t="s">
        <v>2</v>
      </c>
      <c r="F16439" s="515" t="s">
        <v>17615</v>
      </c>
      <c r="G16439" s="52">
        <v>152027.647308858</v>
      </c>
      <c r="H16439" s="56">
        <v>0.11161787357831372</v>
      </c>
      <c r="I16439" s="224" t="s">
        <v>2</v>
      </c>
    </row>
    <row r="16440" spans="1:9" x14ac:dyDescent="0.25">
      <c r="A16440" s="515">
        <v>16350</v>
      </c>
      <c r="B16440" s="515" t="s">
        <v>584</v>
      </c>
      <c r="C16440" s="52">
        <v>145325.44797967299</v>
      </c>
      <c r="D16440" s="56">
        <v>7.0923653445597173E-2</v>
      </c>
      <c r="E16440" s="224" t="s">
        <v>2</v>
      </c>
      <c r="F16440" s="515" t="s">
        <v>17616</v>
      </c>
      <c r="G16440" s="52">
        <v>121173.288714749</v>
      </c>
      <c r="H16440" s="56">
        <v>3.4810972134180662E-2</v>
      </c>
      <c r="I16440" s="224" t="s">
        <v>2</v>
      </c>
    </row>
    <row r="16441" spans="1:9" x14ac:dyDescent="0.25">
      <c r="A16441" s="515">
        <v>13622</v>
      </c>
      <c r="B16441" s="515" t="s">
        <v>431</v>
      </c>
      <c r="C16441" s="52">
        <v>223870.90006326701</v>
      </c>
      <c r="D16441" s="56">
        <v>0.10203699541289907</v>
      </c>
      <c r="E16441" s="224" t="s">
        <v>2</v>
      </c>
      <c r="F16441" s="515" t="s">
        <v>17617</v>
      </c>
      <c r="G16441" s="52">
        <v>1319092.69642844</v>
      </c>
      <c r="H16441" s="56">
        <v>-1.4823533647879958E-2</v>
      </c>
      <c r="I16441" s="224" t="s">
        <v>2</v>
      </c>
    </row>
    <row r="16442" spans="1:9" x14ac:dyDescent="0.25">
      <c r="A16442" s="515">
        <v>42757</v>
      </c>
      <c r="C16442" s="52">
        <v>162476.17287477199</v>
      </c>
      <c r="D16442" s="56">
        <v>0.10329823139231867</v>
      </c>
      <c r="E16442" s="224" t="s">
        <v>2</v>
      </c>
      <c r="F16442" s="515" t="s">
        <v>17618</v>
      </c>
      <c r="G16442" s="52">
        <v>450656.96084157302</v>
      </c>
      <c r="H16442" s="56">
        <v>-1.3070761623151583E-2</v>
      </c>
      <c r="I16442" s="224" t="s">
        <v>2</v>
      </c>
    </row>
    <row r="16443" spans="1:9" x14ac:dyDescent="0.25">
      <c r="A16443" s="515">
        <v>31301</v>
      </c>
      <c r="B16443" s="515" t="s">
        <v>1092</v>
      </c>
      <c r="C16443" s="52">
        <v>197182.755240361</v>
      </c>
      <c r="D16443" s="56">
        <v>0.14843042580055898</v>
      </c>
      <c r="E16443" s="224" t="s">
        <v>2</v>
      </c>
      <c r="F16443" s="515" t="s">
        <v>17619</v>
      </c>
      <c r="G16443" s="52">
        <v>1089596.03184965</v>
      </c>
      <c r="H16443" s="56">
        <v>6.0007398344522969E-2</v>
      </c>
      <c r="I16443" s="224" t="s">
        <v>2</v>
      </c>
    </row>
    <row r="16444" spans="1:9" x14ac:dyDescent="0.25">
      <c r="A16444" s="515">
        <v>72644</v>
      </c>
      <c r="B16444" s="515" t="s">
        <v>647</v>
      </c>
      <c r="C16444" s="52">
        <v>132620.58368673301</v>
      </c>
      <c r="D16444" s="56">
        <v>6.122919133900958E-2</v>
      </c>
      <c r="E16444" s="224" t="s">
        <v>2</v>
      </c>
      <c r="F16444" s="515" t="s">
        <v>17620</v>
      </c>
      <c r="G16444" s="52">
        <v>180891.006670884</v>
      </c>
      <c r="H16444" s="56">
        <v>7.704239107070977E-3</v>
      </c>
      <c r="I16444" s="224" t="s">
        <v>2</v>
      </c>
    </row>
    <row r="16445" spans="1:9" x14ac:dyDescent="0.25">
      <c r="A16445" s="515">
        <v>71949</v>
      </c>
      <c r="B16445" s="515" t="s">
        <v>1082</v>
      </c>
      <c r="C16445" s="52">
        <v>134815.63067453599</v>
      </c>
      <c r="D16445" s="56">
        <v>0.11450791377346083</v>
      </c>
      <c r="E16445" s="224" t="s">
        <v>2</v>
      </c>
      <c r="F16445" s="515" t="s">
        <v>17621</v>
      </c>
      <c r="G16445" s="52">
        <v>266149.17028415197</v>
      </c>
      <c r="H16445" s="56">
        <v>7.7349209157730844E-2</v>
      </c>
      <c r="I16445" s="224" t="s">
        <v>2</v>
      </c>
    </row>
    <row r="16446" spans="1:9" x14ac:dyDescent="0.25">
      <c r="A16446" s="515">
        <v>89883</v>
      </c>
      <c r="B16446" s="515" t="s">
        <v>737</v>
      </c>
      <c r="C16446" s="52">
        <v>244457.957287631</v>
      </c>
      <c r="D16446" s="56">
        <v>5.8569212978333438E-2</v>
      </c>
      <c r="E16446" s="224" t="s">
        <v>2</v>
      </c>
      <c r="F16446" s="515" t="s">
        <v>17622</v>
      </c>
      <c r="G16446" s="52">
        <v>194240.22657556599</v>
      </c>
      <c r="H16446" s="56">
        <v>9.7054068455035336E-2</v>
      </c>
      <c r="I16446" s="224" t="s">
        <v>2</v>
      </c>
    </row>
    <row r="16447" spans="1:9" x14ac:dyDescent="0.25">
      <c r="A16447" s="515">
        <v>36276</v>
      </c>
      <c r="C16447" s="52">
        <v>130266.942593452</v>
      </c>
      <c r="D16447" s="56">
        <v>-4.4050750864369631E-2</v>
      </c>
      <c r="E16447" s="224" t="s">
        <v>2</v>
      </c>
      <c r="F16447" s="515" t="s">
        <v>17623</v>
      </c>
      <c r="G16447" s="52">
        <v>193202.11208220301</v>
      </c>
      <c r="H16447" s="56">
        <v>3.3388981498135795E-2</v>
      </c>
      <c r="I16447" s="224" t="s">
        <v>2</v>
      </c>
    </row>
    <row r="16448" spans="1:9" x14ac:dyDescent="0.25">
      <c r="A16448" s="515">
        <v>56063</v>
      </c>
      <c r="B16448" s="515" t="s">
        <v>532</v>
      </c>
      <c r="C16448" s="52">
        <v>395494.78674037801</v>
      </c>
      <c r="D16448" s="56">
        <v>0.12113399777541589</v>
      </c>
      <c r="E16448" s="224" t="s">
        <v>2</v>
      </c>
      <c r="F16448" s="515" t="s">
        <v>17624</v>
      </c>
      <c r="G16448" s="52">
        <v>241864.479124768</v>
      </c>
      <c r="H16448" s="56">
        <v>0.1622108505008702</v>
      </c>
      <c r="I16448" s="224" t="s">
        <v>2</v>
      </c>
    </row>
    <row r="16449" spans="1:9" x14ac:dyDescent="0.25">
      <c r="A16449" s="515">
        <v>28373</v>
      </c>
      <c r="B16449" s="515" t="s">
        <v>1090</v>
      </c>
      <c r="C16449" s="52">
        <v>258486.54458683901</v>
      </c>
      <c r="D16449" s="56">
        <v>0.18102086525721703</v>
      </c>
      <c r="E16449" s="224" t="s">
        <v>2</v>
      </c>
      <c r="F16449" s="515" t="s">
        <v>17625</v>
      </c>
      <c r="G16449" s="52">
        <v>126483.200231415</v>
      </c>
      <c r="H16449" s="56">
        <v>5.2082481292269812E-2</v>
      </c>
      <c r="I16449" s="224" t="s">
        <v>2</v>
      </c>
    </row>
    <row r="16450" spans="1:9" x14ac:dyDescent="0.25">
      <c r="A16450" s="515">
        <v>30731</v>
      </c>
      <c r="B16450" s="515" t="s">
        <v>622</v>
      </c>
      <c r="C16450" s="52">
        <v>211103.44126155</v>
      </c>
      <c r="D16450" s="56">
        <v>8.6290642461941555E-2</v>
      </c>
      <c r="E16450" s="224" t="s">
        <v>2</v>
      </c>
      <c r="F16450" s="515" t="s">
        <v>17626</v>
      </c>
      <c r="G16450" s="52">
        <v>263384.44145016797</v>
      </c>
      <c r="H16450" s="56">
        <v>5.7112982194588331E-2</v>
      </c>
      <c r="I16450" s="224" t="s">
        <v>2</v>
      </c>
    </row>
    <row r="16451" spans="1:9" x14ac:dyDescent="0.25">
      <c r="A16451" s="515">
        <v>62428</v>
      </c>
      <c r="B16451" s="515" t="s">
        <v>853</v>
      </c>
      <c r="C16451" s="52">
        <v>92626.552534376999</v>
      </c>
      <c r="D16451" s="56">
        <v>0.1066414782887696</v>
      </c>
      <c r="E16451" s="224" t="s">
        <v>2</v>
      </c>
      <c r="F16451" s="515" t="s">
        <v>17627</v>
      </c>
      <c r="G16451" s="52">
        <v>158686.03350364699</v>
      </c>
      <c r="H16451" s="56">
        <v>5.8767061975863226E-2</v>
      </c>
      <c r="I16451" s="224" t="s">
        <v>2</v>
      </c>
    </row>
    <row r="16452" spans="1:9" x14ac:dyDescent="0.25">
      <c r="A16452" s="515">
        <v>41635</v>
      </c>
      <c r="C16452" s="52">
        <v>81464.303557877007</v>
      </c>
      <c r="D16452" s="56">
        <v>8.7112168211113686E-2</v>
      </c>
      <c r="E16452" s="224" t="s">
        <v>2</v>
      </c>
      <c r="F16452" s="515" t="s">
        <v>17628</v>
      </c>
      <c r="G16452" s="52">
        <v>197323.91187743499</v>
      </c>
      <c r="H16452" s="56">
        <v>0</v>
      </c>
      <c r="I16452" s="224" t="s">
        <v>2</v>
      </c>
    </row>
    <row r="16453" spans="1:9" x14ac:dyDescent="0.25">
      <c r="A16453" s="515">
        <v>31562</v>
      </c>
      <c r="C16453" s="52">
        <v>125934.819624753</v>
      </c>
      <c r="D16453" s="56">
        <v>-9.3790990911001471E-4</v>
      </c>
      <c r="E16453" s="224" t="s">
        <v>2</v>
      </c>
      <c r="F16453" s="515" t="s">
        <v>17629</v>
      </c>
      <c r="G16453" s="52">
        <v>177234.268847931</v>
      </c>
      <c r="H16453" s="56">
        <v>0.1289357029641878</v>
      </c>
      <c r="I16453" s="224" t="s">
        <v>2</v>
      </c>
    </row>
    <row r="16454" spans="1:9" x14ac:dyDescent="0.25">
      <c r="A16454" s="515">
        <v>26283</v>
      </c>
      <c r="B16454" s="515" t="s">
        <v>586</v>
      </c>
      <c r="C16454" s="52">
        <v>133550.146256776</v>
      </c>
      <c r="D16454" s="56">
        <v>8.1828503712190068E-2</v>
      </c>
      <c r="E16454" s="224" t="s">
        <v>2</v>
      </c>
      <c r="F16454" s="515" t="s">
        <v>17630</v>
      </c>
      <c r="G16454" s="52">
        <v>107477.29177696499</v>
      </c>
      <c r="H16454" s="56">
        <v>0.20702757247303072</v>
      </c>
      <c r="I16454" s="224" t="s">
        <v>2</v>
      </c>
    </row>
    <row r="16455" spans="1:9" x14ac:dyDescent="0.25">
      <c r="A16455" s="515">
        <v>8045</v>
      </c>
      <c r="B16455" s="515" t="s">
        <v>294</v>
      </c>
      <c r="C16455" s="52">
        <v>213672.56960189901</v>
      </c>
      <c r="D16455" s="56">
        <v>8.9815106447525481E-2</v>
      </c>
      <c r="E16455" s="224" t="s">
        <v>2</v>
      </c>
      <c r="F16455" s="515" t="s">
        <v>17631</v>
      </c>
      <c r="G16455" s="52">
        <v>206799.831239255</v>
      </c>
      <c r="H16455" s="56">
        <v>6.7280390073464383E-2</v>
      </c>
      <c r="I16455" s="224" t="s">
        <v>2</v>
      </c>
    </row>
    <row r="16456" spans="1:9" x14ac:dyDescent="0.25">
      <c r="A16456" s="515">
        <v>12056</v>
      </c>
      <c r="B16456" s="515" t="s">
        <v>609</v>
      </c>
      <c r="C16456" s="52">
        <v>311257.56965387898</v>
      </c>
      <c r="D16456" s="56">
        <v>6.5892886759452499E-2</v>
      </c>
      <c r="E16456" s="224" t="s">
        <v>2</v>
      </c>
      <c r="F16456" s="515" t="s">
        <v>17632</v>
      </c>
      <c r="G16456" s="52">
        <v>114221.27992451101</v>
      </c>
      <c r="H16456" s="56">
        <v>7.5733989206702074E-2</v>
      </c>
      <c r="I16456" s="224" t="s">
        <v>2</v>
      </c>
    </row>
    <row r="16457" spans="1:9" x14ac:dyDescent="0.25">
      <c r="A16457" s="515">
        <v>30477</v>
      </c>
      <c r="C16457" s="52">
        <v>51831.091957699296</v>
      </c>
      <c r="D16457" s="56">
        <v>0</v>
      </c>
      <c r="E16457" s="224" t="s">
        <v>2</v>
      </c>
      <c r="F16457" s="515" t="s">
        <v>17633</v>
      </c>
      <c r="G16457" s="52">
        <v>157212.426407905</v>
      </c>
      <c r="H16457" s="56">
        <v>7.503619638637668E-2</v>
      </c>
      <c r="I16457" s="224" t="s">
        <v>2</v>
      </c>
    </row>
    <row r="16458" spans="1:9" x14ac:dyDescent="0.25">
      <c r="A16458" s="515">
        <v>47340</v>
      </c>
      <c r="C16458" s="52">
        <v>135229.368284047</v>
      </c>
      <c r="D16458" s="56">
        <v>5.8421210264021944E-2</v>
      </c>
      <c r="E16458" s="224" t="s">
        <v>2</v>
      </c>
      <c r="F16458" s="515" t="s">
        <v>17634</v>
      </c>
      <c r="G16458" s="52">
        <v>78556.114967342801</v>
      </c>
      <c r="H16458" s="56">
        <v>0</v>
      </c>
      <c r="I16458" s="224" t="s">
        <v>2</v>
      </c>
    </row>
    <row r="16459" spans="1:9" x14ac:dyDescent="0.25">
      <c r="A16459" s="515">
        <v>32102</v>
      </c>
      <c r="B16459" s="515" t="s">
        <v>517</v>
      </c>
      <c r="C16459" s="52">
        <v>277066.88155749999</v>
      </c>
      <c r="D16459" s="56">
        <v>0.19057799261270195</v>
      </c>
      <c r="E16459" s="224" t="s">
        <v>2</v>
      </c>
      <c r="F16459" s="515" t="s">
        <v>17635</v>
      </c>
      <c r="G16459" s="52">
        <v>166374.69337017401</v>
      </c>
      <c r="H16459" s="56">
        <v>6.7122041905476104E-2</v>
      </c>
      <c r="I16459" s="224" t="s">
        <v>2</v>
      </c>
    </row>
    <row r="16460" spans="1:9" x14ac:dyDescent="0.25">
      <c r="A16460" s="515">
        <v>59011</v>
      </c>
      <c r="C16460" s="52">
        <v>393360.665903833</v>
      </c>
      <c r="D16460" s="56">
        <v>7.5935687056777446E-2</v>
      </c>
      <c r="E16460" s="224" t="s">
        <v>2</v>
      </c>
      <c r="F16460" s="515" t="s">
        <v>17636</v>
      </c>
      <c r="G16460" s="52">
        <v>43034.714528939403</v>
      </c>
      <c r="H16460" s="56">
        <v>0.18523909580904066</v>
      </c>
      <c r="I16460" s="224" t="s">
        <v>2</v>
      </c>
    </row>
    <row r="16461" spans="1:9" x14ac:dyDescent="0.25">
      <c r="A16461" s="515">
        <v>31801</v>
      </c>
      <c r="B16461" s="515" t="s">
        <v>778</v>
      </c>
      <c r="C16461" s="52">
        <v>162041.17904587701</v>
      </c>
      <c r="D16461" s="56">
        <v>6.6271472471177012E-2</v>
      </c>
      <c r="E16461" s="224" t="s">
        <v>2</v>
      </c>
      <c r="F16461" s="515" t="s">
        <v>17637</v>
      </c>
      <c r="G16461" s="52">
        <v>92398.907407407401</v>
      </c>
      <c r="H16461" s="56">
        <v>0</v>
      </c>
      <c r="I16461" s="224" t="s">
        <v>2</v>
      </c>
    </row>
    <row r="16462" spans="1:9" x14ac:dyDescent="0.25">
      <c r="A16462" s="515">
        <v>40037</v>
      </c>
      <c r="C16462" s="52">
        <v>190213.95249343899</v>
      </c>
      <c r="D16462" s="56">
        <v>0.14065605626234426</v>
      </c>
      <c r="E16462" s="224" t="s">
        <v>2</v>
      </c>
      <c r="F16462" s="515" t="s">
        <v>17638</v>
      </c>
      <c r="G16462" s="52">
        <v>318372.50877439702</v>
      </c>
      <c r="H16462" s="56">
        <v>9.0721756512009241E-2</v>
      </c>
      <c r="I16462" s="224" t="s">
        <v>2</v>
      </c>
    </row>
    <row r="16463" spans="1:9" x14ac:dyDescent="0.25">
      <c r="A16463" s="515">
        <v>47471</v>
      </c>
      <c r="C16463" s="52">
        <v>143251.661610713</v>
      </c>
      <c r="D16463" s="56">
        <v>0.12539117235122277</v>
      </c>
      <c r="E16463" s="224" t="s">
        <v>2</v>
      </c>
      <c r="F16463" s="515" t="s">
        <v>17639</v>
      </c>
      <c r="G16463" s="52">
        <v>240641.88774019401</v>
      </c>
      <c r="H16463" s="56">
        <v>0</v>
      </c>
      <c r="I16463" s="224" t="s">
        <v>2</v>
      </c>
    </row>
    <row r="16464" spans="1:9" x14ac:dyDescent="0.25">
      <c r="A16464" s="515">
        <v>50583</v>
      </c>
      <c r="C16464" s="52">
        <v>115889.382927404</v>
      </c>
      <c r="D16464" s="56">
        <v>0.12002658330461098</v>
      </c>
      <c r="E16464" s="224" t="s">
        <v>2</v>
      </c>
      <c r="F16464" s="515" t="s">
        <v>17640</v>
      </c>
      <c r="G16464" s="52">
        <v>282834.71985156601</v>
      </c>
      <c r="H16464" s="56">
        <v>6.2512753779724095E-2</v>
      </c>
      <c r="I16464" s="224" t="s">
        <v>2</v>
      </c>
    </row>
    <row r="16465" spans="1:9" x14ac:dyDescent="0.25">
      <c r="A16465" s="515">
        <v>3582</v>
      </c>
      <c r="B16465" s="515" t="s">
        <v>752</v>
      </c>
      <c r="C16465" s="52">
        <v>175617.590034005</v>
      </c>
      <c r="D16465" s="56">
        <v>0.19946724666807494</v>
      </c>
      <c r="E16465" s="224" t="s">
        <v>2</v>
      </c>
      <c r="F16465" s="515" t="s">
        <v>17641</v>
      </c>
      <c r="G16465" s="52">
        <v>91212.146752068598</v>
      </c>
      <c r="H16465" s="56">
        <v>8.7019814129440459E-2</v>
      </c>
      <c r="I16465" s="224" t="s">
        <v>2</v>
      </c>
    </row>
    <row r="16466" spans="1:9" x14ac:dyDescent="0.25">
      <c r="A16466" s="515">
        <v>26038</v>
      </c>
      <c r="B16466" s="515" t="s">
        <v>442</v>
      </c>
      <c r="C16466" s="52">
        <v>166275.69856872901</v>
      </c>
      <c r="D16466" s="56">
        <v>2.0310992909700922E-2</v>
      </c>
      <c r="E16466" s="224" t="s">
        <v>2</v>
      </c>
      <c r="F16466" s="515" t="s">
        <v>17642</v>
      </c>
      <c r="G16466" s="52">
        <v>142129.07426711201</v>
      </c>
      <c r="H16466" s="56">
        <v>0.13241745086724643</v>
      </c>
      <c r="I16466" s="224" t="s">
        <v>2</v>
      </c>
    </row>
    <row r="16467" spans="1:9" x14ac:dyDescent="0.25">
      <c r="A16467" s="515">
        <v>48891</v>
      </c>
      <c r="B16467" s="515" t="s">
        <v>631</v>
      </c>
      <c r="C16467" s="52">
        <v>145174.48626218201</v>
      </c>
      <c r="D16467" s="56">
        <v>5.649737187695518E-2</v>
      </c>
      <c r="E16467" s="224" t="s">
        <v>2</v>
      </c>
      <c r="F16467" s="515" t="s">
        <v>17643</v>
      </c>
      <c r="G16467" s="52">
        <v>165585.64157920401</v>
      </c>
      <c r="H16467" s="56">
        <v>4.6589396611016055E-2</v>
      </c>
      <c r="I16467" s="224" t="s">
        <v>2</v>
      </c>
    </row>
    <row r="16468" spans="1:9" x14ac:dyDescent="0.25">
      <c r="A16468" s="515">
        <v>46539</v>
      </c>
      <c r="B16468" s="515" t="s">
        <v>1127</v>
      </c>
      <c r="C16468" s="52">
        <v>170670.71053718001</v>
      </c>
      <c r="D16468" s="56">
        <v>8.2882628039561354E-2</v>
      </c>
      <c r="E16468" s="224" t="s">
        <v>2</v>
      </c>
      <c r="F16468" s="515" t="s">
        <v>17644</v>
      </c>
      <c r="G16468" s="52">
        <v>88360.298913063903</v>
      </c>
      <c r="H16468" s="56">
        <v>-0.1344876682534496</v>
      </c>
      <c r="I16468" s="224" t="s">
        <v>2</v>
      </c>
    </row>
    <row r="16469" spans="1:9" x14ac:dyDescent="0.25">
      <c r="A16469" s="515">
        <v>49241</v>
      </c>
      <c r="B16469" s="515" t="s">
        <v>1125</v>
      </c>
      <c r="C16469" s="52">
        <v>194819.59455006901</v>
      </c>
      <c r="D16469" s="56">
        <v>3.2771146052236202E-2</v>
      </c>
      <c r="E16469" s="224" t="s">
        <v>2</v>
      </c>
      <c r="F16469" s="515" t="s">
        <v>17645</v>
      </c>
      <c r="G16469" s="52">
        <v>179657.248839957</v>
      </c>
      <c r="H16469" s="56">
        <v>8.3600317735756657E-2</v>
      </c>
      <c r="I16469" s="224" t="s">
        <v>2</v>
      </c>
    </row>
    <row r="16470" spans="1:9" x14ac:dyDescent="0.25">
      <c r="A16470" s="515">
        <v>72556</v>
      </c>
      <c r="C16470" s="52">
        <v>142692.916419505</v>
      </c>
      <c r="D16470" s="56">
        <v>6.92599152496155E-2</v>
      </c>
      <c r="E16470" s="224" t="s">
        <v>2</v>
      </c>
      <c r="F16470" s="515" t="s">
        <v>17646</v>
      </c>
      <c r="G16470" s="52">
        <v>121884.52249795099</v>
      </c>
      <c r="H16470" s="56">
        <v>1.5601344223582879E-2</v>
      </c>
      <c r="I16470" s="224" t="s">
        <v>2</v>
      </c>
    </row>
    <row r="16471" spans="1:9" x14ac:dyDescent="0.25">
      <c r="A16471" s="515">
        <v>38878</v>
      </c>
      <c r="C16471" s="52">
        <v>94994.468020593704</v>
      </c>
      <c r="D16471" s="56">
        <v>1.7444696966084645E-2</v>
      </c>
      <c r="E16471" s="224" t="s">
        <v>2</v>
      </c>
      <c r="F16471" s="515" t="s">
        <v>17647</v>
      </c>
      <c r="G16471" s="52">
        <v>34144.987278565997</v>
      </c>
      <c r="H16471" s="56">
        <v>2.1864660887486474E-2</v>
      </c>
      <c r="I16471" s="224" t="s">
        <v>2</v>
      </c>
    </row>
    <row r="16472" spans="1:9" x14ac:dyDescent="0.25">
      <c r="A16472" s="515">
        <v>42050</v>
      </c>
      <c r="C16472" s="52">
        <v>60503.296456959899</v>
      </c>
      <c r="D16472" s="56">
        <v>0.23819035293693702</v>
      </c>
      <c r="E16472" s="224" t="s">
        <v>2</v>
      </c>
      <c r="F16472" s="515" t="s">
        <v>17648</v>
      </c>
      <c r="G16472" s="52">
        <v>80347.545534549397</v>
      </c>
      <c r="H16472" s="56">
        <v>7.4923768190177958E-2</v>
      </c>
      <c r="I16472" s="224" t="s">
        <v>2</v>
      </c>
    </row>
    <row r="16473" spans="1:9" x14ac:dyDescent="0.25">
      <c r="A16473" s="515">
        <v>65349</v>
      </c>
      <c r="B16473" s="515" t="s">
        <v>1142</v>
      </c>
      <c r="C16473" s="52">
        <v>103032.717699253</v>
      </c>
      <c r="D16473" s="56">
        <v>0.41810944042899872</v>
      </c>
      <c r="E16473" s="224" t="s">
        <v>2</v>
      </c>
      <c r="F16473" s="515" t="s">
        <v>17649</v>
      </c>
      <c r="G16473" s="52">
        <v>2476172.1048638299</v>
      </c>
      <c r="H16473" s="56">
        <v>0.15436940057519385</v>
      </c>
      <c r="I16473" s="224" t="s">
        <v>2</v>
      </c>
    </row>
    <row r="16474" spans="1:9" x14ac:dyDescent="0.25">
      <c r="A16474" s="515">
        <v>17047</v>
      </c>
      <c r="B16474" s="515" t="s">
        <v>428</v>
      </c>
      <c r="C16474" s="52">
        <v>268835.51563108002</v>
      </c>
      <c r="D16474" s="56">
        <v>7.8638522222153368E-2</v>
      </c>
      <c r="E16474" s="224" t="s">
        <v>2</v>
      </c>
      <c r="F16474" s="515" t="s">
        <v>17650</v>
      </c>
      <c r="G16474" s="52">
        <v>168860.643460099</v>
      </c>
      <c r="H16474" s="56">
        <v>8.9389589265780001E-2</v>
      </c>
      <c r="I16474" s="224" t="s">
        <v>2</v>
      </c>
    </row>
    <row r="16475" spans="1:9" x14ac:dyDescent="0.25">
      <c r="A16475" s="515">
        <v>57430</v>
      </c>
      <c r="C16475" s="52">
        <v>189693.884444444</v>
      </c>
      <c r="D16475" s="56">
        <v>0</v>
      </c>
      <c r="E16475" s="224" t="s">
        <v>2</v>
      </c>
      <c r="F16475" s="515" t="s">
        <v>17651</v>
      </c>
      <c r="G16475" s="52">
        <v>237470.89231348701</v>
      </c>
      <c r="H16475" s="56">
        <v>8.048037113392191E-2</v>
      </c>
      <c r="I16475" s="224" t="s">
        <v>2</v>
      </c>
    </row>
    <row r="16476" spans="1:9" x14ac:dyDescent="0.25">
      <c r="A16476" s="515">
        <v>13040</v>
      </c>
      <c r="B16476" s="515" t="s">
        <v>507</v>
      </c>
      <c r="C16476" s="52">
        <v>147997.08137324301</v>
      </c>
      <c r="D16476" s="56">
        <v>9.7219345250415035E-2</v>
      </c>
      <c r="E16476" s="224" t="s">
        <v>2</v>
      </c>
      <c r="F16476" s="515" t="s">
        <v>17652</v>
      </c>
      <c r="G16476" s="52">
        <v>231907.863530626</v>
      </c>
      <c r="H16476" s="56">
        <v>9.6715215089329551E-2</v>
      </c>
      <c r="I16476" s="224" t="s">
        <v>2</v>
      </c>
    </row>
    <row r="16477" spans="1:9" x14ac:dyDescent="0.25">
      <c r="A16477" s="515">
        <v>82426</v>
      </c>
      <c r="C16477" s="52">
        <v>207863.32705050899</v>
      </c>
      <c r="D16477" s="56">
        <v>0.13336604353764384</v>
      </c>
      <c r="E16477" s="224" t="s">
        <v>2</v>
      </c>
      <c r="F16477" s="515" t="s">
        <v>17653</v>
      </c>
      <c r="G16477" s="52">
        <v>234564.73238688</v>
      </c>
      <c r="H16477" s="56">
        <v>0.10693199709016073</v>
      </c>
      <c r="I16477" s="224" t="s">
        <v>2</v>
      </c>
    </row>
    <row r="16478" spans="1:9" x14ac:dyDescent="0.25">
      <c r="A16478" s="515">
        <v>42776</v>
      </c>
      <c r="B16478" s="515" t="s">
        <v>671</v>
      </c>
      <c r="C16478" s="52">
        <v>167197.020232268</v>
      </c>
      <c r="D16478" s="56">
        <v>9.127903137586002E-2</v>
      </c>
      <c r="E16478" s="224" t="s">
        <v>2</v>
      </c>
      <c r="F16478" s="515" t="s">
        <v>17654</v>
      </c>
      <c r="G16478" s="52">
        <v>156801.71041560301</v>
      </c>
      <c r="H16478" s="56">
        <v>2.0674538748340618E-2</v>
      </c>
      <c r="I16478" s="224" t="s">
        <v>2</v>
      </c>
    </row>
    <row r="16479" spans="1:9" x14ac:dyDescent="0.25">
      <c r="A16479" s="515">
        <v>17744</v>
      </c>
      <c r="B16479" s="515" t="s">
        <v>296</v>
      </c>
      <c r="C16479" s="52">
        <v>213661.153326158</v>
      </c>
      <c r="D16479" s="56">
        <v>7.7124750984442686E-2</v>
      </c>
      <c r="E16479" s="224" t="s">
        <v>2</v>
      </c>
      <c r="F16479" s="515" t="s">
        <v>17655</v>
      </c>
      <c r="G16479" s="52">
        <v>335108.03247858002</v>
      </c>
      <c r="H16479" s="56">
        <v>7.9123638284794878E-2</v>
      </c>
      <c r="I16479" s="224" t="s">
        <v>2</v>
      </c>
    </row>
    <row r="16480" spans="1:9" x14ac:dyDescent="0.25">
      <c r="A16480" s="515">
        <v>17040</v>
      </c>
      <c r="B16480" s="515" t="s">
        <v>428</v>
      </c>
      <c r="C16480" s="52">
        <v>236427.618597094</v>
      </c>
      <c r="D16480" s="56">
        <v>6.0042632543968473E-2</v>
      </c>
      <c r="E16480" s="224" t="s">
        <v>2</v>
      </c>
      <c r="F16480" s="515" t="s">
        <v>17656</v>
      </c>
      <c r="G16480" s="52">
        <v>423647.85446892597</v>
      </c>
      <c r="H16480" s="56">
        <v>0.26581290725452822</v>
      </c>
      <c r="I16480" s="224" t="s">
        <v>2</v>
      </c>
    </row>
    <row r="16481" spans="1:9" x14ac:dyDescent="0.25">
      <c r="A16481" s="515">
        <v>52045</v>
      </c>
      <c r="B16481" s="515" t="s">
        <v>478</v>
      </c>
      <c r="C16481" s="52">
        <v>262204.98920763098</v>
      </c>
      <c r="D16481" s="56">
        <v>0.11422220580661911</v>
      </c>
      <c r="E16481" s="224" t="s">
        <v>2</v>
      </c>
      <c r="F16481" s="515" t="s">
        <v>17657</v>
      </c>
      <c r="G16481" s="52">
        <v>258581.71671350501</v>
      </c>
      <c r="H16481" s="56">
        <v>3.5981583208288773E-2</v>
      </c>
      <c r="I16481" s="224" t="s">
        <v>2</v>
      </c>
    </row>
    <row r="16482" spans="1:9" x14ac:dyDescent="0.25">
      <c r="A16482" s="515">
        <v>12529</v>
      </c>
      <c r="B16482" s="515" t="s">
        <v>564</v>
      </c>
      <c r="C16482" s="52">
        <v>478931.773407339</v>
      </c>
      <c r="D16482" s="56">
        <v>9.8848684601983372E-2</v>
      </c>
      <c r="E16482" s="224" t="s">
        <v>2</v>
      </c>
      <c r="F16482" s="515" t="s">
        <v>17658</v>
      </c>
      <c r="G16482" s="52">
        <v>289194.76681927399</v>
      </c>
      <c r="H16482" s="56">
        <v>8.6437385102918318E-2</v>
      </c>
      <c r="I16482" s="224" t="s">
        <v>2</v>
      </c>
    </row>
    <row r="16483" spans="1:9" x14ac:dyDescent="0.25">
      <c r="A16483" s="515">
        <v>66524</v>
      </c>
      <c r="B16483" s="515" t="s">
        <v>1116</v>
      </c>
      <c r="C16483" s="52">
        <v>233817.88356336401</v>
      </c>
      <c r="D16483" s="56">
        <v>8.9550990166979594E-2</v>
      </c>
      <c r="E16483" s="224" t="s">
        <v>2</v>
      </c>
      <c r="F16483" s="515" t="s">
        <v>17659</v>
      </c>
      <c r="G16483" s="52">
        <v>257839.32866835699</v>
      </c>
      <c r="H16483" s="56">
        <v>9.6087218599917121E-3</v>
      </c>
      <c r="I16483" s="224" t="s">
        <v>2</v>
      </c>
    </row>
    <row r="16484" spans="1:9" x14ac:dyDescent="0.25">
      <c r="A16484" s="515">
        <v>87937</v>
      </c>
      <c r="B16484" s="515" t="s">
        <v>317</v>
      </c>
      <c r="C16484" s="52">
        <v>145632.653806293</v>
      </c>
      <c r="D16484" s="56">
        <v>0.13557722262125341</v>
      </c>
      <c r="E16484" s="224" t="s">
        <v>2</v>
      </c>
      <c r="F16484" s="515" t="s">
        <v>17660</v>
      </c>
      <c r="G16484" s="52">
        <v>392301.68063173402</v>
      </c>
      <c r="H16484" s="56">
        <v>4.849765001521382E-2</v>
      </c>
      <c r="I16484" s="224" t="s">
        <v>2</v>
      </c>
    </row>
    <row r="16485" spans="1:9" x14ac:dyDescent="0.25">
      <c r="A16485" s="515">
        <v>83873</v>
      </c>
      <c r="C16485" s="52">
        <v>253538.32058455099</v>
      </c>
      <c r="D16485" s="56">
        <v>3.6170223779749676E-2</v>
      </c>
      <c r="E16485" s="224" t="s">
        <v>2</v>
      </c>
      <c r="F16485" s="515" t="s">
        <v>17661</v>
      </c>
      <c r="G16485" s="52">
        <v>112997.130518049</v>
      </c>
      <c r="H16485" s="56">
        <v>0.12392764576673619</v>
      </c>
      <c r="I16485" s="224" t="s">
        <v>2</v>
      </c>
    </row>
    <row r="16486" spans="1:9" x14ac:dyDescent="0.25">
      <c r="A16486" s="515">
        <v>85348</v>
      </c>
      <c r="C16486" s="52">
        <v>162323.83952553899</v>
      </c>
      <c r="D16486" s="56">
        <v>3.3876399245907088E-2</v>
      </c>
      <c r="E16486" s="224" t="s">
        <v>2</v>
      </c>
      <c r="F16486" s="515" t="s">
        <v>17662</v>
      </c>
      <c r="G16486" s="52">
        <v>241633.68691022001</v>
      </c>
      <c r="H16486" s="56">
        <v>6.9468775536104935E-2</v>
      </c>
      <c r="I16486" s="224" t="s">
        <v>2</v>
      </c>
    </row>
    <row r="16487" spans="1:9" x14ac:dyDescent="0.25">
      <c r="A16487" s="515">
        <v>35006</v>
      </c>
      <c r="B16487" s="515" t="s">
        <v>640</v>
      </c>
      <c r="C16487" s="52">
        <v>135967.60262409999</v>
      </c>
      <c r="D16487" s="56">
        <v>0.1730792240944545</v>
      </c>
      <c r="E16487" s="224" t="s">
        <v>2</v>
      </c>
      <c r="F16487" s="515" t="s">
        <v>17663</v>
      </c>
      <c r="G16487" s="52">
        <v>122674.96199909299</v>
      </c>
      <c r="H16487" s="56">
        <v>9.6704009225500501E-2</v>
      </c>
      <c r="I16487" s="224" t="s">
        <v>2</v>
      </c>
    </row>
    <row r="16488" spans="1:9" x14ac:dyDescent="0.25">
      <c r="A16488" s="515">
        <v>38472</v>
      </c>
      <c r="C16488" s="52">
        <v>290130.85117686499</v>
      </c>
      <c r="D16488" s="56">
        <v>3.238329920400583E-2</v>
      </c>
      <c r="E16488" s="224" t="s">
        <v>2</v>
      </c>
      <c r="F16488" s="515" t="s">
        <v>17664</v>
      </c>
      <c r="G16488" s="52">
        <v>1093882.201994</v>
      </c>
      <c r="H16488" s="56">
        <v>0.11124341983461707</v>
      </c>
      <c r="I16488" s="224" t="s">
        <v>2</v>
      </c>
    </row>
    <row r="16489" spans="1:9" x14ac:dyDescent="0.25">
      <c r="A16489" s="515">
        <v>35089</v>
      </c>
      <c r="B16489" s="515" t="s">
        <v>862</v>
      </c>
      <c r="C16489" s="52">
        <v>106778.173873733</v>
      </c>
      <c r="D16489" s="56">
        <v>-6.3497748584246142E-3</v>
      </c>
      <c r="E16489" s="224" t="s">
        <v>2</v>
      </c>
      <c r="F16489" s="515" t="s">
        <v>17665</v>
      </c>
      <c r="G16489" s="52">
        <v>315756.820868198</v>
      </c>
      <c r="H16489" s="56">
        <v>4.4135203663362411E-2</v>
      </c>
      <c r="I16489" s="224" t="s">
        <v>2</v>
      </c>
    </row>
    <row r="16490" spans="1:9" x14ac:dyDescent="0.25">
      <c r="A16490" s="515">
        <v>42051</v>
      </c>
      <c r="B16490" s="515" t="s">
        <v>933</v>
      </c>
      <c r="C16490" s="52">
        <v>164283.657934202</v>
      </c>
      <c r="D16490" s="56">
        <v>0.16281735474012335</v>
      </c>
      <c r="E16490" s="224" t="s">
        <v>2</v>
      </c>
      <c r="F16490" s="515" t="s">
        <v>17666</v>
      </c>
      <c r="G16490" s="52">
        <v>202308.83803938801</v>
      </c>
      <c r="H16490" s="56">
        <v>0.13542435379895007</v>
      </c>
      <c r="I16490" s="224" t="s">
        <v>2</v>
      </c>
    </row>
    <row r="16491" spans="1:9" x14ac:dyDescent="0.25">
      <c r="A16491" s="515">
        <v>45767</v>
      </c>
      <c r="B16491" s="515" t="s">
        <v>665</v>
      </c>
      <c r="C16491" s="52">
        <v>107142.116033165</v>
      </c>
      <c r="D16491" s="56">
        <v>-2.4895210405812915E-3</v>
      </c>
      <c r="E16491" s="224" t="s">
        <v>2</v>
      </c>
      <c r="F16491" s="515" t="s">
        <v>17667</v>
      </c>
      <c r="G16491" s="52">
        <v>559939.32933434297</v>
      </c>
      <c r="H16491" s="56">
        <v>0.16009260073922846</v>
      </c>
      <c r="I16491" s="224" t="s">
        <v>2</v>
      </c>
    </row>
    <row r="16492" spans="1:9" x14ac:dyDescent="0.25">
      <c r="A16492" s="515">
        <v>84325</v>
      </c>
      <c r="B16492" s="515" t="s">
        <v>632</v>
      </c>
      <c r="C16492" s="52">
        <v>585919.96581789001</v>
      </c>
      <c r="D16492" s="56">
        <v>5.0155774137355918E-2</v>
      </c>
      <c r="E16492" s="224" t="s">
        <v>2</v>
      </c>
      <c r="F16492" s="515" t="s">
        <v>17668</v>
      </c>
      <c r="G16492" s="52">
        <v>282220.50353944302</v>
      </c>
      <c r="H16492" s="56">
        <v>0.22188379093040786</v>
      </c>
      <c r="I16492" s="224" t="s">
        <v>2</v>
      </c>
    </row>
    <row r="16493" spans="1:9" x14ac:dyDescent="0.25">
      <c r="A16493" s="515">
        <v>71764</v>
      </c>
      <c r="B16493" s="515" t="s">
        <v>773</v>
      </c>
      <c r="C16493" s="52">
        <v>53974.0560478923</v>
      </c>
      <c r="D16493" s="56">
        <v>-3.20686067597536E-2</v>
      </c>
      <c r="E16493" s="224" t="s">
        <v>2</v>
      </c>
      <c r="F16493" s="515" t="s">
        <v>17669</v>
      </c>
      <c r="G16493" s="52">
        <v>152946.152652319</v>
      </c>
      <c r="H16493" s="56">
        <v>9.6647090018884871E-2</v>
      </c>
      <c r="I16493" s="224" t="s">
        <v>2</v>
      </c>
    </row>
    <row r="16494" spans="1:9" x14ac:dyDescent="0.25">
      <c r="A16494" s="515">
        <v>75422</v>
      </c>
      <c r="B16494" s="515" t="s">
        <v>458</v>
      </c>
      <c r="C16494" s="52">
        <v>328848.823048183</v>
      </c>
      <c r="D16494" s="56">
        <v>8.89988750397782E-2</v>
      </c>
      <c r="E16494" s="224" t="s">
        <v>2</v>
      </c>
      <c r="F16494" s="515" t="s">
        <v>17670</v>
      </c>
      <c r="G16494" s="52">
        <v>124988.72743586201</v>
      </c>
      <c r="H16494" s="56">
        <v>0.13414050750398038</v>
      </c>
      <c r="I16494" s="224" t="s">
        <v>2</v>
      </c>
    </row>
    <row r="16495" spans="1:9" x14ac:dyDescent="0.25">
      <c r="A16495" s="515">
        <v>45682</v>
      </c>
      <c r="B16495" s="515" t="s">
        <v>772</v>
      </c>
      <c r="C16495" s="52">
        <v>108407.27494577999</v>
      </c>
      <c r="D16495" s="56">
        <v>9.7334448317987071E-2</v>
      </c>
      <c r="E16495" s="224" t="s">
        <v>2</v>
      </c>
      <c r="F16495" s="515" t="s">
        <v>17671</v>
      </c>
      <c r="G16495" s="52">
        <v>511259.30436930299</v>
      </c>
      <c r="H16495" s="56">
        <v>9.0045216179706677E-2</v>
      </c>
      <c r="I16495" s="224" t="s">
        <v>2</v>
      </c>
    </row>
    <row r="16496" spans="1:9" x14ac:dyDescent="0.25">
      <c r="A16496" s="515">
        <v>21919</v>
      </c>
      <c r="B16496" s="515" t="s">
        <v>294</v>
      </c>
      <c r="C16496" s="52">
        <v>291392.143767523</v>
      </c>
      <c r="D16496" s="56">
        <v>-6.4487080763393309E-2</v>
      </c>
      <c r="E16496" s="224" t="s">
        <v>2</v>
      </c>
      <c r="F16496" s="515" t="s">
        <v>17672</v>
      </c>
      <c r="G16496" s="52">
        <v>139523.48006534501</v>
      </c>
      <c r="H16496" s="56">
        <v>-1.1366971274980018E-3</v>
      </c>
      <c r="I16496" s="224" t="s">
        <v>2</v>
      </c>
    </row>
    <row r="16497" spans="1:9" x14ac:dyDescent="0.25">
      <c r="A16497" s="515">
        <v>62858</v>
      </c>
      <c r="C16497" s="52">
        <v>83614.450907760198</v>
      </c>
      <c r="D16497" s="56">
        <v>-3.1439856628134082E-2</v>
      </c>
      <c r="E16497" s="224" t="s">
        <v>2</v>
      </c>
      <c r="F16497" s="515" t="s">
        <v>17673</v>
      </c>
      <c r="G16497" s="52">
        <v>172482.88320930101</v>
      </c>
      <c r="H16497" s="56">
        <v>0</v>
      </c>
      <c r="I16497" s="224" t="s">
        <v>2</v>
      </c>
    </row>
    <row r="16498" spans="1:9" x14ac:dyDescent="0.25">
      <c r="A16498" s="515">
        <v>79501</v>
      </c>
      <c r="B16498" s="515" t="s">
        <v>704</v>
      </c>
      <c r="C16498" s="52">
        <v>103603.142522353</v>
      </c>
      <c r="D16498" s="56">
        <v>8.6037105085167903E-2</v>
      </c>
      <c r="E16498" s="224" t="s">
        <v>2</v>
      </c>
      <c r="F16498" s="515" t="s">
        <v>17674</v>
      </c>
      <c r="G16498" s="52">
        <v>83408.004560383502</v>
      </c>
      <c r="H16498" s="56">
        <v>-7.7913305354871232E-2</v>
      </c>
      <c r="I16498" s="224" t="s">
        <v>2</v>
      </c>
    </row>
    <row r="16499" spans="1:9" x14ac:dyDescent="0.25">
      <c r="A16499" s="515">
        <v>39096</v>
      </c>
      <c r="C16499" s="52">
        <v>125858.8169125</v>
      </c>
      <c r="D16499" s="56">
        <v>-6.5211813865690124E-2</v>
      </c>
      <c r="E16499" s="224" t="s">
        <v>2</v>
      </c>
      <c r="F16499" s="515" t="s">
        <v>17675</v>
      </c>
      <c r="G16499" s="52">
        <v>100402.313896512</v>
      </c>
      <c r="H16499" s="56">
        <v>-0.1217664731140493</v>
      </c>
      <c r="I16499" s="224" t="s">
        <v>2</v>
      </c>
    </row>
    <row r="16500" spans="1:9" x14ac:dyDescent="0.25">
      <c r="A16500" s="515">
        <v>73762</v>
      </c>
      <c r="B16500" s="515" t="s">
        <v>385</v>
      </c>
      <c r="C16500" s="52">
        <v>224646.49571819699</v>
      </c>
      <c r="D16500" s="56">
        <v>6.1302960327159359E-2</v>
      </c>
      <c r="E16500" s="224" t="s">
        <v>2</v>
      </c>
      <c r="F16500" s="515" t="s">
        <v>17676</v>
      </c>
      <c r="G16500" s="52">
        <v>346972.71372795798</v>
      </c>
      <c r="H16500" s="56">
        <v>6.4991691600209858E-2</v>
      </c>
      <c r="I16500" s="224" t="s">
        <v>2</v>
      </c>
    </row>
    <row r="16501" spans="1:9" x14ac:dyDescent="0.25">
      <c r="A16501" s="515">
        <v>72411</v>
      </c>
      <c r="B16501" s="515" t="s">
        <v>673</v>
      </c>
      <c r="C16501" s="52">
        <v>112064.089020099</v>
      </c>
      <c r="D16501" s="56">
        <v>0.10805571414812787</v>
      </c>
      <c r="E16501" s="224" t="s">
        <v>2</v>
      </c>
      <c r="F16501" s="515" t="s">
        <v>17677</v>
      </c>
      <c r="G16501" s="52">
        <v>245944.552308135</v>
      </c>
      <c r="H16501" s="56">
        <v>0.11863328582721717</v>
      </c>
      <c r="I16501" s="224" t="s">
        <v>2</v>
      </c>
    </row>
    <row r="16502" spans="1:9" x14ac:dyDescent="0.25">
      <c r="A16502" s="515">
        <v>58421</v>
      </c>
      <c r="C16502" s="52">
        <v>166479.28824276701</v>
      </c>
      <c r="D16502" s="56">
        <v>0.19218995939339556</v>
      </c>
      <c r="E16502" s="224" t="s">
        <v>2</v>
      </c>
      <c r="F16502" s="515" t="s">
        <v>17678</v>
      </c>
      <c r="G16502" s="52">
        <v>299260.65399440599</v>
      </c>
      <c r="H16502" s="56">
        <v>0.13883297786838614</v>
      </c>
      <c r="I16502" s="224" t="s">
        <v>2</v>
      </c>
    </row>
    <row r="16503" spans="1:9" x14ac:dyDescent="0.25">
      <c r="A16503" s="515">
        <v>36047</v>
      </c>
      <c r="B16503" s="515" t="s">
        <v>806</v>
      </c>
      <c r="C16503" s="52"/>
      <c r="D16503" s="56">
        <v>0</v>
      </c>
      <c r="E16503" s="224" t="s">
        <v>2</v>
      </c>
      <c r="F16503" s="515" t="s">
        <v>17679</v>
      </c>
      <c r="G16503" s="52">
        <v>154271.39835434701</v>
      </c>
      <c r="H16503" s="56">
        <v>9.9286544151029318E-2</v>
      </c>
      <c r="I16503" s="224" t="s">
        <v>2</v>
      </c>
    </row>
    <row r="16504" spans="1:9" x14ac:dyDescent="0.25">
      <c r="A16504" s="515">
        <v>75166</v>
      </c>
      <c r="B16504" s="515" t="s">
        <v>458</v>
      </c>
      <c r="C16504" s="52">
        <v>387920.34519665898</v>
      </c>
      <c r="D16504" s="56">
        <v>4.177504953519609E-2</v>
      </c>
      <c r="E16504" s="224" t="s">
        <v>2</v>
      </c>
      <c r="F16504" s="515" t="s">
        <v>17680</v>
      </c>
      <c r="G16504" s="52">
        <v>142697.24118723499</v>
      </c>
      <c r="H16504" s="56">
        <v>4.7981562266490328E-2</v>
      </c>
      <c r="I16504" s="224" t="s">
        <v>2</v>
      </c>
    </row>
    <row r="16505" spans="1:9" x14ac:dyDescent="0.25">
      <c r="A16505" s="515">
        <v>67637</v>
      </c>
      <c r="B16505" s="515" t="s">
        <v>811</v>
      </c>
      <c r="C16505" s="52">
        <v>140742.00833087199</v>
      </c>
      <c r="D16505" s="56">
        <v>2.2571603956214679E-2</v>
      </c>
      <c r="E16505" s="224" t="s">
        <v>2</v>
      </c>
      <c r="F16505" s="515" t="s">
        <v>17681</v>
      </c>
      <c r="G16505" s="52">
        <v>110139.465111325</v>
      </c>
      <c r="H16505" s="56">
        <v>0.10279802977955159</v>
      </c>
      <c r="I16505" s="224" t="s">
        <v>2</v>
      </c>
    </row>
    <row r="16506" spans="1:9" x14ac:dyDescent="0.25">
      <c r="A16506" s="515">
        <v>96032</v>
      </c>
      <c r="C16506" s="52">
        <v>272928.70656509098</v>
      </c>
      <c r="D16506" s="56">
        <v>-2.8807670619368776E-2</v>
      </c>
      <c r="E16506" s="224" t="s">
        <v>2</v>
      </c>
      <c r="F16506" s="515" t="s">
        <v>17682</v>
      </c>
      <c r="G16506" s="52">
        <v>171720.51573157901</v>
      </c>
      <c r="H16506" s="56">
        <v>5.7583206871889003E-2</v>
      </c>
      <c r="I16506" s="224" t="s">
        <v>2</v>
      </c>
    </row>
    <row r="16507" spans="1:9" x14ac:dyDescent="0.25">
      <c r="A16507" s="515">
        <v>53586</v>
      </c>
      <c r="C16507" s="52">
        <v>140879.549647298</v>
      </c>
      <c r="D16507" s="56">
        <v>6.7499065174999838E-3</v>
      </c>
      <c r="E16507" s="224" t="s">
        <v>2</v>
      </c>
      <c r="F16507" s="515" t="s">
        <v>17683</v>
      </c>
      <c r="G16507" s="52">
        <v>295354.61166873801</v>
      </c>
      <c r="H16507" s="56">
        <v>0.10486486493029808</v>
      </c>
      <c r="I16507" s="224" t="s">
        <v>2</v>
      </c>
    </row>
    <row r="16508" spans="1:9" x14ac:dyDescent="0.25">
      <c r="A16508" s="515">
        <v>52039</v>
      </c>
      <c r="B16508" s="515" t="s">
        <v>478</v>
      </c>
      <c r="C16508" s="52">
        <v>302986.21684868302</v>
      </c>
      <c r="D16508" s="56">
        <v>0.13351785334818889</v>
      </c>
      <c r="E16508" s="224" t="s">
        <v>2</v>
      </c>
      <c r="F16508" s="515" t="s">
        <v>17684</v>
      </c>
      <c r="G16508" s="52">
        <v>117257.289128138</v>
      </c>
      <c r="H16508" s="56">
        <v>7.4446990788229736E-2</v>
      </c>
      <c r="I16508" s="224" t="s">
        <v>2</v>
      </c>
    </row>
    <row r="16509" spans="1:9" x14ac:dyDescent="0.25">
      <c r="A16509" s="515">
        <v>22840</v>
      </c>
      <c r="B16509" s="515" t="s">
        <v>1026</v>
      </c>
      <c r="C16509" s="52">
        <v>346848.44706957799</v>
      </c>
      <c r="D16509" s="56">
        <v>0.10381288678319288</v>
      </c>
      <c r="E16509" s="224" t="s">
        <v>2</v>
      </c>
      <c r="F16509" s="515" t="s">
        <v>17685</v>
      </c>
      <c r="G16509" s="52">
        <v>382430.27428517898</v>
      </c>
      <c r="H16509" s="56">
        <v>5.4005440467169437E-2</v>
      </c>
      <c r="I16509" s="224" t="s">
        <v>2</v>
      </c>
    </row>
    <row r="16510" spans="1:9" x14ac:dyDescent="0.25">
      <c r="A16510" s="515">
        <v>47359</v>
      </c>
      <c r="C16510" s="52">
        <v>111338.98072371</v>
      </c>
      <c r="D16510" s="56">
        <v>8.6634783102604626E-2</v>
      </c>
      <c r="E16510" s="224" t="s">
        <v>2</v>
      </c>
      <c r="F16510" s="515" t="s">
        <v>17686</v>
      </c>
      <c r="G16510" s="52">
        <v>289071.54788305803</v>
      </c>
      <c r="H16510" s="56">
        <v>0.15213912114355924</v>
      </c>
      <c r="I16510" s="224" t="s">
        <v>2</v>
      </c>
    </row>
    <row r="16511" spans="1:9" x14ac:dyDescent="0.25">
      <c r="A16511" s="515">
        <v>55389</v>
      </c>
      <c r="C16511" s="52">
        <v>268719.45199142903</v>
      </c>
      <c r="D16511" s="56">
        <v>4.7577773663664051E-2</v>
      </c>
      <c r="E16511" s="224" t="s">
        <v>2</v>
      </c>
      <c r="F16511" s="515" t="s">
        <v>17687</v>
      </c>
      <c r="G16511" s="52">
        <v>312161.78237688902</v>
      </c>
      <c r="H16511" s="56">
        <v>0.15484563022141026</v>
      </c>
      <c r="I16511" s="224" t="s">
        <v>2</v>
      </c>
    </row>
    <row r="16512" spans="1:9" x14ac:dyDescent="0.25">
      <c r="A16512" s="515">
        <v>19930</v>
      </c>
      <c r="B16512" s="515" t="s">
        <v>552</v>
      </c>
      <c r="C16512" s="52">
        <v>834006.48131347995</v>
      </c>
      <c r="D16512" s="56">
        <v>4.3927686681934607E-2</v>
      </c>
      <c r="E16512" s="224" t="s">
        <v>2</v>
      </c>
      <c r="F16512" s="515" t="s">
        <v>17688</v>
      </c>
      <c r="G16512" s="52">
        <v>159957.177208357</v>
      </c>
      <c r="H16512" s="56">
        <v>-7.9877505403068948E-3</v>
      </c>
      <c r="I16512" s="224" t="s">
        <v>2</v>
      </c>
    </row>
    <row r="16513" spans="1:9" x14ac:dyDescent="0.25">
      <c r="A16513" s="515">
        <v>31065</v>
      </c>
      <c r="B16513" s="515" t="s">
        <v>929</v>
      </c>
      <c r="C16513" s="52">
        <v>130435.953183345</v>
      </c>
      <c r="D16513" s="56">
        <v>3.8487352370356026E-2</v>
      </c>
      <c r="E16513" s="224" t="s">
        <v>2</v>
      </c>
      <c r="F16513" s="515" t="s">
        <v>17689</v>
      </c>
      <c r="G16513" s="52">
        <v>470603.02739712602</v>
      </c>
      <c r="H16513" s="56">
        <v>-5.7638843495861736E-2</v>
      </c>
      <c r="I16513" s="224" t="s">
        <v>2</v>
      </c>
    </row>
    <row r="16514" spans="1:9" x14ac:dyDescent="0.25">
      <c r="A16514" s="515">
        <v>53570</v>
      </c>
      <c r="B16514" s="515" t="s">
        <v>727</v>
      </c>
      <c r="C16514" s="52">
        <v>272269.60501890298</v>
      </c>
      <c r="D16514" s="56">
        <v>-2.1972183628119358E-2</v>
      </c>
      <c r="E16514" s="224" t="s">
        <v>2</v>
      </c>
      <c r="F16514" s="515" t="s">
        <v>17690</v>
      </c>
      <c r="G16514" s="52">
        <v>469299.13496711402</v>
      </c>
      <c r="H16514" s="56">
        <v>-0.10481437988566965</v>
      </c>
      <c r="I16514" s="224" t="s">
        <v>2</v>
      </c>
    </row>
    <row r="16515" spans="1:9" x14ac:dyDescent="0.25">
      <c r="A16515" s="515">
        <v>53114</v>
      </c>
      <c r="B16515" s="515" t="s">
        <v>1089</v>
      </c>
      <c r="C16515" s="52">
        <v>244558.15534170499</v>
      </c>
      <c r="D16515" s="56">
        <v>4.1957104181076121E-2</v>
      </c>
      <c r="E16515" s="224" t="s">
        <v>2</v>
      </c>
      <c r="F16515" s="515" t="s">
        <v>17691</v>
      </c>
      <c r="G16515" s="52">
        <v>94075.392240544199</v>
      </c>
      <c r="H16515" s="56">
        <v>0</v>
      </c>
      <c r="I16515" s="224" t="s">
        <v>2</v>
      </c>
    </row>
    <row r="16516" spans="1:9" x14ac:dyDescent="0.25">
      <c r="A16516" s="515">
        <v>96763</v>
      </c>
      <c r="B16516" s="515" t="s">
        <v>400</v>
      </c>
      <c r="C16516" s="52">
        <v>703778.876957156</v>
      </c>
      <c r="D16516" s="56">
        <v>0.19185621670993855</v>
      </c>
      <c r="E16516" s="224" t="s">
        <v>2</v>
      </c>
      <c r="F16516" s="515" t="s">
        <v>17692</v>
      </c>
      <c r="G16516" s="52">
        <v>912053.76735170698</v>
      </c>
      <c r="H16516" s="56">
        <v>0.10554828771175678</v>
      </c>
      <c r="I16516" s="224" t="s">
        <v>2</v>
      </c>
    </row>
    <row r="16517" spans="1:9" x14ac:dyDescent="0.25">
      <c r="A16517" s="515">
        <v>88352</v>
      </c>
      <c r="B16517" s="515" t="s">
        <v>476</v>
      </c>
      <c r="C16517" s="52">
        <v>152223.524075889</v>
      </c>
      <c r="D16517" s="56">
        <v>0.13420605850130832</v>
      </c>
      <c r="E16517" s="224" t="s">
        <v>2</v>
      </c>
      <c r="F16517" s="515" t="s">
        <v>17693</v>
      </c>
      <c r="G16517" s="52">
        <v>199430.48676894701</v>
      </c>
      <c r="H16517" s="56">
        <v>5.5944967410513149E-2</v>
      </c>
      <c r="I16517" s="224" t="s">
        <v>2</v>
      </c>
    </row>
    <row r="16518" spans="1:9" x14ac:dyDescent="0.25">
      <c r="A16518" s="515">
        <v>23062</v>
      </c>
      <c r="B16518" s="515" t="s">
        <v>301</v>
      </c>
      <c r="C16518" s="52">
        <v>306746.32313104498</v>
      </c>
      <c r="D16518" s="56">
        <v>8.618246738279231E-2</v>
      </c>
      <c r="E16518" s="224" t="s">
        <v>2</v>
      </c>
      <c r="F16518" s="515" t="s">
        <v>17694</v>
      </c>
      <c r="G16518" s="52">
        <v>319398.76115095499</v>
      </c>
      <c r="H16518" s="56">
        <v>9.871565759830872E-2</v>
      </c>
      <c r="I16518" s="224" t="s">
        <v>2</v>
      </c>
    </row>
    <row r="16519" spans="1:9" x14ac:dyDescent="0.25">
      <c r="A16519" s="515">
        <v>4076</v>
      </c>
      <c r="B16519" s="515" t="s">
        <v>570</v>
      </c>
      <c r="C16519" s="52">
        <v>365353.95323448902</v>
      </c>
      <c r="D16519" s="56">
        <v>4.5593275664388866E-2</v>
      </c>
      <c r="E16519" s="224" t="s">
        <v>2</v>
      </c>
      <c r="F16519" s="515" t="s">
        <v>17695</v>
      </c>
      <c r="G16519" s="52">
        <v>95677.021107903696</v>
      </c>
      <c r="H16519" s="56">
        <v>7.1215230646785879E-2</v>
      </c>
      <c r="I16519" s="224" t="s">
        <v>2</v>
      </c>
    </row>
    <row r="16520" spans="1:9" x14ac:dyDescent="0.25">
      <c r="A16520" s="515">
        <v>61019</v>
      </c>
      <c r="B16520" s="515" t="s">
        <v>411</v>
      </c>
      <c r="C16520" s="52">
        <v>209469.67247290499</v>
      </c>
      <c r="D16520" s="56">
        <v>7.5243616855088055E-2</v>
      </c>
      <c r="E16520" s="224" t="s">
        <v>2</v>
      </c>
      <c r="F16520" s="515" t="s">
        <v>17696</v>
      </c>
      <c r="G16520" s="52">
        <v>261856.90975172201</v>
      </c>
      <c r="H16520" s="56">
        <v>1.671302625608655E-2</v>
      </c>
      <c r="I16520" s="224" t="s">
        <v>2</v>
      </c>
    </row>
    <row r="16521" spans="1:9" x14ac:dyDescent="0.25">
      <c r="A16521" s="515">
        <v>17267</v>
      </c>
      <c r="C16521" s="52">
        <v>211881.69905493199</v>
      </c>
      <c r="D16521" s="56">
        <v>4.3087300686116152E-2</v>
      </c>
      <c r="E16521" s="224" t="s">
        <v>2</v>
      </c>
      <c r="F16521" s="515" t="s">
        <v>17697</v>
      </c>
      <c r="G16521" s="52">
        <v>300524.992907801</v>
      </c>
      <c r="H16521" s="56">
        <v>0</v>
      </c>
      <c r="I16521" s="224" t="s">
        <v>2</v>
      </c>
    </row>
    <row r="16522" spans="1:9" x14ac:dyDescent="0.25">
      <c r="A16522" s="515">
        <v>47342</v>
      </c>
      <c r="B16522" s="515" t="s">
        <v>1154</v>
      </c>
      <c r="C16522" s="52">
        <v>165762.00350423201</v>
      </c>
      <c r="D16522" s="56">
        <v>8.7644844159231378E-2</v>
      </c>
      <c r="E16522" s="224" t="s">
        <v>2</v>
      </c>
      <c r="F16522" s="515" t="s">
        <v>17698</v>
      </c>
      <c r="G16522" s="52">
        <v>362651.23109403899</v>
      </c>
      <c r="H16522" s="56">
        <v>8.3858579132813638E-2</v>
      </c>
      <c r="I16522" s="224" t="s">
        <v>2</v>
      </c>
    </row>
    <row r="16523" spans="1:9" x14ac:dyDescent="0.25">
      <c r="A16523" s="515">
        <v>21661</v>
      </c>
      <c r="C16523" s="52">
        <v>278124.95506657602</v>
      </c>
      <c r="D16523" s="56">
        <v>4.0214803165177324E-2</v>
      </c>
      <c r="E16523" s="224" t="s">
        <v>2</v>
      </c>
      <c r="F16523" s="515" t="s">
        <v>17699</v>
      </c>
      <c r="G16523" s="52">
        <v>159965.57576701601</v>
      </c>
      <c r="H16523" s="56">
        <v>2.5867311439174593E-2</v>
      </c>
      <c r="I16523" s="224" t="s">
        <v>2</v>
      </c>
    </row>
    <row r="16524" spans="1:9" x14ac:dyDescent="0.25">
      <c r="A16524" s="515">
        <v>50247</v>
      </c>
      <c r="B16524" s="515" t="s">
        <v>642</v>
      </c>
      <c r="C16524" s="52">
        <v>192303.64203600501</v>
      </c>
      <c r="D16524" s="56">
        <v>6.4666649020521286E-2</v>
      </c>
      <c r="E16524" s="224" t="s">
        <v>2</v>
      </c>
      <c r="F16524" s="515" t="s">
        <v>17700</v>
      </c>
      <c r="G16524" s="52">
        <v>295370.85567010299</v>
      </c>
      <c r="H16524" s="56">
        <v>0</v>
      </c>
      <c r="I16524" s="224" t="s">
        <v>2</v>
      </c>
    </row>
    <row r="16525" spans="1:9" x14ac:dyDescent="0.25">
      <c r="A16525" s="515">
        <v>4419</v>
      </c>
      <c r="B16525" s="515" t="s">
        <v>792</v>
      </c>
      <c r="C16525" s="52">
        <v>268382.03389656998</v>
      </c>
      <c r="D16525" s="56">
        <v>5.4137498361736695E-2</v>
      </c>
      <c r="E16525" s="224" t="s">
        <v>2</v>
      </c>
      <c r="F16525" s="515" t="s">
        <v>17701</v>
      </c>
      <c r="G16525" s="52">
        <v>173345.344596765</v>
      </c>
      <c r="H16525" s="56">
        <v>6.3068676072683988E-2</v>
      </c>
      <c r="I16525" s="224" t="s">
        <v>2</v>
      </c>
    </row>
    <row r="16526" spans="1:9" x14ac:dyDescent="0.25">
      <c r="A16526" s="515">
        <v>61602</v>
      </c>
      <c r="B16526" s="515" t="s">
        <v>303</v>
      </c>
      <c r="C16526" s="52">
        <v>137873.207787138</v>
      </c>
      <c r="D16526" s="56">
        <v>7.4473569709951337E-2</v>
      </c>
      <c r="E16526" s="224" t="s">
        <v>2</v>
      </c>
      <c r="F16526" s="515" t="s">
        <v>17702</v>
      </c>
      <c r="G16526" s="52">
        <v>389597.63978748</v>
      </c>
      <c r="H16526" s="56">
        <v>0.11098305483948405</v>
      </c>
      <c r="I16526" s="224" t="s">
        <v>2</v>
      </c>
    </row>
    <row r="16527" spans="1:9" x14ac:dyDescent="0.25">
      <c r="A16527" s="515">
        <v>43518</v>
      </c>
      <c r="C16527" s="52">
        <v>161900.17842266301</v>
      </c>
      <c r="D16527" s="56">
        <v>0.10268400852741937</v>
      </c>
      <c r="E16527" s="224" t="s">
        <v>2</v>
      </c>
      <c r="F16527" s="515" t="s">
        <v>17703</v>
      </c>
      <c r="G16527" s="52">
        <v>137523.522602115</v>
      </c>
      <c r="H16527" s="56">
        <v>9.2225948972458685E-2</v>
      </c>
      <c r="I16527" s="224" t="s">
        <v>2</v>
      </c>
    </row>
    <row r="16528" spans="1:9" x14ac:dyDescent="0.25">
      <c r="A16528" s="515">
        <v>36750</v>
      </c>
      <c r="B16528" s="515" t="s">
        <v>640</v>
      </c>
      <c r="C16528" s="52">
        <v>151680.06566614599</v>
      </c>
      <c r="D16528" s="56">
        <v>8.7347289913735388E-2</v>
      </c>
      <c r="E16528" s="224" t="s">
        <v>2</v>
      </c>
      <c r="F16528" s="515" t="s">
        <v>17704</v>
      </c>
      <c r="G16528" s="52">
        <v>134726.79998714599</v>
      </c>
      <c r="H16528" s="56">
        <v>0.10204109668174877</v>
      </c>
      <c r="I16528" s="224" t="s">
        <v>2</v>
      </c>
    </row>
    <row r="16529" spans="1:9" x14ac:dyDescent="0.25">
      <c r="A16529" s="515">
        <v>14781</v>
      </c>
      <c r="B16529" s="515" t="s">
        <v>560</v>
      </c>
      <c r="C16529" s="52">
        <v>144064.93665106801</v>
      </c>
      <c r="D16529" s="56">
        <v>0.14791260744681289</v>
      </c>
      <c r="E16529" s="224" t="s">
        <v>2</v>
      </c>
      <c r="F16529" s="515" t="s">
        <v>17705</v>
      </c>
      <c r="G16529" s="52">
        <v>71361.943218450499</v>
      </c>
      <c r="H16529" s="56">
        <v>8.7953427806449658E-2</v>
      </c>
      <c r="I16529" s="224" t="s">
        <v>2</v>
      </c>
    </row>
    <row r="16530" spans="1:9" x14ac:dyDescent="0.25">
      <c r="A16530" s="515">
        <v>47338</v>
      </c>
      <c r="B16530" s="515" t="s">
        <v>1154</v>
      </c>
      <c r="C16530" s="52">
        <v>127566.059078848</v>
      </c>
      <c r="D16530" s="56">
        <v>9.5137142398243113E-2</v>
      </c>
      <c r="E16530" s="224" t="s">
        <v>2</v>
      </c>
      <c r="F16530" s="515" t="s">
        <v>17706</v>
      </c>
      <c r="G16530" s="52">
        <v>326671.80701789598</v>
      </c>
      <c r="H16530" s="56">
        <v>7.0490676029757282E-2</v>
      </c>
      <c r="I16530" s="224" t="s">
        <v>2</v>
      </c>
    </row>
    <row r="16531" spans="1:9" x14ac:dyDescent="0.25">
      <c r="A16531" s="515">
        <v>18458</v>
      </c>
      <c r="B16531" s="515" t="s">
        <v>324</v>
      </c>
      <c r="C16531" s="52">
        <v>281425.80628461402</v>
      </c>
      <c r="D16531" s="56">
        <v>8.1629965090419365E-2</v>
      </c>
      <c r="E16531" s="224" t="s">
        <v>2</v>
      </c>
      <c r="F16531" s="515" t="s">
        <v>17707</v>
      </c>
      <c r="G16531" s="52">
        <v>120770.648855099</v>
      </c>
      <c r="H16531" s="56">
        <v>0.1117552661904756</v>
      </c>
      <c r="I16531" s="224" t="s">
        <v>2</v>
      </c>
    </row>
    <row r="16532" spans="1:9" x14ac:dyDescent="0.25">
      <c r="A16532" s="515">
        <v>70770</v>
      </c>
      <c r="B16532" s="515" t="s">
        <v>610</v>
      </c>
      <c r="C16532" s="52">
        <v>223136.84744551999</v>
      </c>
      <c r="D16532" s="56">
        <v>3.6630950523127905E-2</v>
      </c>
      <c r="E16532" s="224" t="s">
        <v>2</v>
      </c>
      <c r="F16532" s="515" t="s">
        <v>17708</v>
      </c>
      <c r="G16532" s="52">
        <v>96638.806451612894</v>
      </c>
      <c r="H16532" s="56">
        <v>0</v>
      </c>
      <c r="I16532" s="224" t="s">
        <v>2</v>
      </c>
    </row>
    <row r="16533" spans="1:9" x14ac:dyDescent="0.25">
      <c r="A16533" s="515">
        <v>53951</v>
      </c>
      <c r="B16533" s="515" t="s">
        <v>916</v>
      </c>
      <c r="C16533" s="52">
        <v>211070.09912969</v>
      </c>
      <c r="D16533" s="56">
        <v>6.1422110840259288E-2</v>
      </c>
      <c r="E16533" s="224" t="s">
        <v>2</v>
      </c>
      <c r="F16533" s="515" t="s">
        <v>17709</v>
      </c>
      <c r="G16533" s="52">
        <v>239127.40860215001</v>
      </c>
      <c r="H16533" s="56">
        <v>0</v>
      </c>
      <c r="I16533" s="224" t="s">
        <v>2</v>
      </c>
    </row>
    <row r="16534" spans="1:9" x14ac:dyDescent="0.25">
      <c r="A16534" s="515">
        <v>56510</v>
      </c>
      <c r="C16534" s="52">
        <v>136479.72515121</v>
      </c>
      <c r="D16534" s="56">
        <v>3.58484014456254E-2</v>
      </c>
      <c r="E16534" s="224" t="s">
        <v>2</v>
      </c>
      <c r="F16534" s="515" t="s">
        <v>17710</v>
      </c>
      <c r="G16534" s="52">
        <v>168239.50233934101</v>
      </c>
      <c r="H16534" s="56">
        <v>1.7250035091300981E-2</v>
      </c>
      <c r="I16534" s="224" t="s">
        <v>2</v>
      </c>
    </row>
    <row r="16535" spans="1:9" x14ac:dyDescent="0.25">
      <c r="A16535" s="515">
        <v>24085</v>
      </c>
      <c r="B16535" s="515" t="s">
        <v>861</v>
      </c>
      <c r="C16535" s="52">
        <v>135302.90943973901</v>
      </c>
      <c r="D16535" s="56">
        <v>-5.3229167919427396E-2</v>
      </c>
      <c r="E16535" s="224" t="s">
        <v>2</v>
      </c>
      <c r="F16535" s="515" t="s">
        <v>17711</v>
      </c>
      <c r="G16535" s="52">
        <v>273557.13052340702</v>
      </c>
      <c r="H16535" s="56">
        <v>9.6389050400127504E-2</v>
      </c>
      <c r="I16535" s="224" t="s">
        <v>2</v>
      </c>
    </row>
    <row r="16536" spans="1:9" x14ac:dyDescent="0.25">
      <c r="A16536" s="515">
        <v>3602</v>
      </c>
      <c r="B16536" s="515" t="s">
        <v>747</v>
      </c>
      <c r="C16536" s="52">
        <v>310399.08872515202</v>
      </c>
      <c r="D16536" s="56">
        <v>0.16543065512482669</v>
      </c>
      <c r="E16536" s="224" t="s">
        <v>2</v>
      </c>
      <c r="F16536" s="515" t="s">
        <v>17712</v>
      </c>
      <c r="G16536" s="52">
        <v>383391.14739121002</v>
      </c>
      <c r="H16536" s="56">
        <v>2.399337610214335E-2</v>
      </c>
      <c r="I16536" s="224" t="s">
        <v>2</v>
      </c>
    </row>
    <row r="16537" spans="1:9" x14ac:dyDescent="0.25">
      <c r="A16537" s="515">
        <v>42452</v>
      </c>
      <c r="B16537" s="515" t="s">
        <v>911</v>
      </c>
      <c r="C16537" s="52">
        <v>181103.425031274</v>
      </c>
      <c r="D16537" s="56">
        <v>0.12450442420986021</v>
      </c>
      <c r="E16537" s="224" t="s">
        <v>2</v>
      </c>
      <c r="F16537" s="515" t="s">
        <v>17713</v>
      </c>
      <c r="G16537" s="52">
        <v>124597.992445888</v>
      </c>
      <c r="H16537" s="56">
        <v>0</v>
      </c>
      <c r="I16537" s="224" t="s">
        <v>2</v>
      </c>
    </row>
    <row r="16538" spans="1:9" x14ac:dyDescent="0.25">
      <c r="A16538" s="515">
        <v>48475</v>
      </c>
      <c r="C16538" s="52">
        <v>157857.490663442</v>
      </c>
      <c r="D16538" s="56">
        <v>5.2132668647674775E-3</v>
      </c>
      <c r="E16538" s="224" t="s">
        <v>2</v>
      </c>
      <c r="F16538" s="515" t="s">
        <v>17714</v>
      </c>
      <c r="G16538" s="52">
        <v>164042.878791578</v>
      </c>
      <c r="H16538" s="56">
        <v>5.3697310201263442E-2</v>
      </c>
      <c r="I16538" s="224" t="s">
        <v>2</v>
      </c>
    </row>
    <row r="16539" spans="1:9" x14ac:dyDescent="0.25">
      <c r="A16539" s="515">
        <v>47108</v>
      </c>
      <c r="B16539" s="515" t="s">
        <v>479</v>
      </c>
      <c r="C16539" s="52">
        <v>160426.09532330799</v>
      </c>
      <c r="D16539" s="56">
        <v>4.5163941165183144E-2</v>
      </c>
      <c r="E16539" s="224" t="s">
        <v>2</v>
      </c>
      <c r="F16539" s="515" t="s">
        <v>17715</v>
      </c>
      <c r="G16539" s="52">
        <v>1065117.41143152</v>
      </c>
      <c r="H16539" s="56">
        <v>-1.9139133715789007E-2</v>
      </c>
      <c r="I16539" s="224" t="s">
        <v>2</v>
      </c>
    </row>
    <row r="16540" spans="1:9" x14ac:dyDescent="0.25">
      <c r="A16540" s="515">
        <v>48759</v>
      </c>
      <c r="C16540" s="52">
        <v>102393.071763495</v>
      </c>
      <c r="D16540" s="56">
        <v>-1.7290149741393864E-3</v>
      </c>
      <c r="E16540" s="224" t="s">
        <v>2</v>
      </c>
      <c r="F16540" s="515" t="s">
        <v>17716</v>
      </c>
      <c r="G16540" s="52">
        <v>355196.536506848</v>
      </c>
      <c r="H16540" s="56">
        <v>0</v>
      </c>
      <c r="I16540" s="224" t="s">
        <v>2</v>
      </c>
    </row>
    <row r="16541" spans="1:9" x14ac:dyDescent="0.25">
      <c r="A16541" s="515">
        <v>21757</v>
      </c>
      <c r="B16541" s="515" t="s">
        <v>321</v>
      </c>
      <c r="C16541" s="52">
        <v>379641.491711265</v>
      </c>
      <c r="D16541" s="56">
        <v>1.9908432060853309E-2</v>
      </c>
      <c r="E16541" s="224" t="s">
        <v>2</v>
      </c>
      <c r="F16541" s="515" t="s">
        <v>17717</v>
      </c>
      <c r="G16541" s="52">
        <v>101755.245899035</v>
      </c>
      <c r="H16541" s="56">
        <v>1.4725668082350551E-2</v>
      </c>
      <c r="I16541" s="224" t="s">
        <v>2</v>
      </c>
    </row>
    <row r="16542" spans="1:9" x14ac:dyDescent="0.25">
      <c r="A16542" s="515">
        <v>31775</v>
      </c>
      <c r="B16542" s="515" t="s">
        <v>392</v>
      </c>
      <c r="C16542" s="52">
        <v>98721.691758219997</v>
      </c>
      <c r="D16542" s="56">
        <v>2.8553695321237569E-3</v>
      </c>
      <c r="E16542" s="224" t="s">
        <v>2</v>
      </c>
      <c r="F16542" s="515" t="s">
        <v>17718</v>
      </c>
      <c r="G16542" s="52">
        <v>134345.73795263999</v>
      </c>
      <c r="H16542" s="56">
        <v>0</v>
      </c>
      <c r="I16542" s="224" t="s">
        <v>2</v>
      </c>
    </row>
    <row r="16543" spans="1:9" x14ac:dyDescent="0.25">
      <c r="A16543" s="515">
        <v>43569</v>
      </c>
      <c r="B16543" s="515" t="s">
        <v>300</v>
      </c>
      <c r="C16543" s="52">
        <v>154191.971580752</v>
      </c>
      <c r="D16543" s="56">
        <v>7.0461011182217275E-3</v>
      </c>
      <c r="E16543" s="224" t="s">
        <v>2</v>
      </c>
      <c r="F16543" s="515" t="s">
        <v>17719</v>
      </c>
      <c r="G16543" s="52">
        <v>242007.291054264</v>
      </c>
      <c r="H16543" s="56">
        <v>0</v>
      </c>
      <c r="I16543" s="224" t="s">
        <v>2</v>
      </c>
    </row>
    <row r="16544" spans="1:9" x14ac:dyDescent="0.25">
      <c r="A16544" s="515">
        <v>16353</v>
      </c>
      <c r="C16544" s="52">
        <v>87847.803341880295</v>
      </c>
      <c r="D16544" s="56">
        <v>-4.4755119370728617E-2</v>
      </c>
      <c r="E16544" s="224" t="s">
        <v>2</v>
      </c>
      <c r="F16544" s="515" t="s">
        <v>17720</v>
      </c>
      <c r="G16544" s="52">
        <v>106888.80070039201</v>
      </c>
      <c r="H16544" s="56">
        <v>0</v>
      </c>
      <c r="I16544" s="224" t="s">
        <v>2</v>
      </c>
    </row>
    <row r="16545" spans="1:9" x14ac:dyDescent="0.25">
      <c r="A16545" s="515">
        <v>62216</v>
      </c>
      <c r="B16545" s="515" t="s">
        <v>498</v>
      </c>
      <c r="C16545" s="52">
        <v>239764.77683937899</v>
      </c>
      <c r="D16545" s="56">
        <v>9.4646337423833604E-2</v>
      </c>
      <c r="E16545" s="224" t="s">
        <v>2</v>
      </c>
      <c r="F16545" s="515" t="s">
        <v>17721</v>
      </c>
      <c r="G16545" s="52">
        <v>573229.82107446098</v>
      </c>
      <c r="H16545" s="56">
        <v>7.9519071972932436E-3</v>
      </c>
      <c r="I16545" s="224" t="s">
        <v>2</v>
      </c>
    </row>
    <row r="16546" spans="1:9" x14ac:dyDescent="0.25">
      <c r="A16546" s="515">
        <v>18076</v>
      </c>
      <c r="B16546" s="515" t="s">
        <v>294</v>
      </c>
      <c r="C16546" s="52">
        <v>296591.31008066598</v>
      </c>
      <c r="D16546" s="56">
        <v>9.2673448545155204E-2</v>
      </c>
      <c r="E16546" s="224" t="s">
        <v>2</v>
      </c>
      <c r="F16546" s="515" t="s">
        <v>17722</v>
      </c>
      <c r="G16546" s="52">
        <v>553861.53228868195</v>
      </c>
      <c r="H16546" s="56">
        <v>0.1004092392483585</v>
      </c>
      <c r="I16546" s="224" t="s">
        <v>2</v>
      </c>
    </row>
    <row r="16547" spans="1:9" x14ac:dyDescent="0.25">
      <c r="A16547" s="515">
        <v>22514</v>
      </c>
      <c r="C16547" s="52">
        <v>273370.55589237798</v>
      </c>
      <c r="D16547" s="56">
        <v>0.14966327904877616</v>
      </c>
      <c r="E16547" s="224" t="s">
        <v>2</v>
      </c>
      <c r="F16547" s="515" t="s">
        <v>17723</v>
      </c>
      <c r="G16547" s="52">
        <v>266551.99880344199</v>
      </c>
      <c r="H16547" s="56">
        <v>-6.1858892296482544E-3</v>
      </c>
      <c r="I16547" s="224" t="s">
        <v>2</v>
      </c>
    </row>
    <row r="16548" spans="1:9" x14ac:dyDescent="0.25">
      <c r="A16548" s="515">
        <v>18325</v>
      </c>
      <c r="B16548" s="515" t="s">
        <v>338</v>
      </c>
      <c r="C16548" s="52">
        <v>285723.77876468003</v>
      </c>
      <c r="D16548" s="56">
        <v>8.6536666623864986E-2</v>
      </c>
      <c r="E16548" s="224" t="s">
        <v>2</v>
      </c>
      <c r="F16548" s="515" t="s">
        <v>17724</v>
      </c>
      <c r="G16548" s="52">
        <v>667613.95765751798</v>
      </c>
      <c r="H16548" s="56">
        <v>2.7149673823032246E-2</v>
      </c>
      <c r="I16548" s="224" t="s">
        <v>2</v>
      </c>
    </row>
    <row r="16549" spans="1:9" x14ac:dyDescent="0.25">
      <c r="A16549" s="515">
        <v>89415</v>
      </c>
      <c r="C16549" s="52">
        <v>117400.033381866</v>
      </c>
      <c r="D16549" s="56">
        <v>-8.640696903837658E-2</v>
      </c>
      <c r="E16549" s="224" t="s">
        <v>2</v>
      </c>
      <c r="F16549" s="515" t="s">
        <v>17725</v>
      </c>
      <c r="G16549" s="52">
        <v>247632.54154906201</v>
      </c>
      <c r="H16549" s="56">
        <v>-5.1124249462684915E-3</v>
      </c>
      <c r="I16549" s="224" t="s">
        <v>2</v>
      </c>
    </row>
    <row r="16550" spans="1:9" x14ac:dyDescent="0.25">
      <c r="A16550" s="515">
        <v>42120</v>
      </c>
      <c r="B16550" s="515" t="s">
        <v>799</v>
      </c>
      <c r="C16550" s="52">
        <v>131248.831679928</v>
      </c>
      <c r="D16550" s="56">
        <v>0.17102669550016281</v>
      </c>
      <c r="E16550" s="224" t="s">
        <v>2</v>
      </c>
      <c r="F16550" s="515" t="s">
        <v>17726</v>
      </c>
      <c r="G16550" s="52">
        <v>121386.887651167</v>
      </c>
      <c r="H16550" s="56">
        <v>9.1593049663365136E-2</v>
      </c>
      <c r="I16550" s="224" t="s">
        <v>2</v>
      </c>
    </row>
    <row r="16551" spans="1:9" x14ac:dyDescent="0.25">
      <c r="A16551" s="515">
        <v>56438</v>
      </c>
      <c r="C16551" s="52">
        <v>214322.386144994</v>
      </c>
      <c r="D16551" s="56">
        <v>4.8060023683618933E-2</v>
      </c>
      <c r="E16551" s="224" t="s">
        <v>2</v>
      </c>
      <c r="F16551" s="515" t="s">
        <v>17727</v>
      </c>
      <c r="G16551" s="52">
        <v>82041.190756705895</v>
      </c>
      <c r="H16551" s="56">
        <v>8.2443803018820913E-2</v>
      </c>
      <c r="I16551" s="224" t="s">
        <v>2</v>
      </c>
    </row>
    <row r="16552" spans="1:9" x14ac:dyDescent="0.25">
      <c r="A16552" s="515">
        <v>54171</v>
      </c>
      <c r="B16552" s="515" t="s">
        <v>897</v>
      </c>
      <c r="C16552" s="52">
        <v>366268.19055205298</v>
      </c>
      <c r="D16552" s="56">
        <v>7.8721217341221325E-2</v>
      </c>
      <c r="E16552" s="224" t="s">
        <v>2</v>
      </c>
      <c r="F16552" s="515" t="s">
        <v>17728</v>
      </c>
      <c r="G16552" s="52">
        <v>137032.29395513501</v>
      </c>
      <c r="H16552" s="56">
        <v>9.8377263034320955E-2</v>
      </c>
      <c r="I16552" s="224" t="s">
        <v>2</v>
      </c>
    </row>
    <row r="16553" spans="1:9" x14ac:dyDescent="0.25">
      <c r="A16553" s="515">
        <v>28363</v>
      </c>
      <c r="B16553" s="515" t="s">
        <v>1048</v>
      </c>
      <c r="C16553" s="52">
        <v>106880.65707419001</v>
      </c>
      <c r="D16553" s="56">
        <v>0.19500177105814115</v>
      </c>
      <c r="E16553" s="224" t="s">
        <v>2</v>
      </c>
      <c r="F16553" s="515" t="s">
        <v>17729</v>
      </c>
      <c r="G16553" s="52">
        <v>172351.01184040899</v>
      </c>
      <c r="H16553" s="56">
        <v>0.13799007212126563</v>
      </c>
      <c r="I16553" s="224" t="s">
        <v>2</v>
      </c>
    </row>
    <row r="16554" spans="1:9" x14ac:dyDescent="0.25">
      <c r="A16554" s="515">
        <v>40516</v>
      </c>
      <c r="B16554" s="515" t="s">
        <v>515</v>
      </c>
      <c r="C16554" s="52">
        <v>268429.11858051497</v>
      </c>
      <c r="D16554" s="56">
        <v>9.0723834143553297E-2</v>
      </c>
      <c r="E16554" s="224" t="s">
        <v>2</v>
      </c>
      <c r="F16554" s="515" t="s">
        <v>17730</v>
      </c>
      <c r="G16554" s="52">
        <v>196187.23410927199</v>
      </c>
      <c r="H16554" s="56">
        <v>9.2590491895247914E-2</v>
      </c>
      <c r="I16554" s="224" t="s">
        <v>2</v>
      </c>
    </row>
    <row r="16555" spans="1:9" x14ac:dyDescent="0.25">
      <c r="A16555" s="515">
        <v>56065</v>
      </c>
      <c r="B16555" s="515" t="s">
        <v>542</v>
      </c>
      <c r="C16555" s="52">
        <v>223469.62759065599</v>
      </c>
      <c r="D16555" s="56">
        <v>8.9656250261558462E-2</v>
      </c>
      <c r="E16555" s="224" t="s">
        <v>2</v>
      </c>
      <c r="F16555" s="515" t="s">
        <v>17731</v>
      </c>
      <c r="G16555" s="52">
        <v>242134.47065875601</v>
      </c>
      <c r="H16555" s="56">
        <v>8.0408896376349348E-2</v>
      </c>
      <c r="I16555" s="224" t="s">
        <v>2</v>
      </c>
    </row>
    <row r="16556" spans="1:9" x14ac:dyDescent="0.25">
      <c r="A16556" s="515">
        <v>27355</v>
      </c>
      <c r="B16556" s="515" t="s">
        <v>1148</v>
      </c>
      <c r="C16556" s="52">
        <v>213899.60116096301</v>
      </c>
      <c r="D16556" s="56">
        <v>5.4329210998450624E-2</v>
      </c>
      <c r="E16556" s="224" t="s">
        <v>2</v>
      </c>
      <c r="F16556" s="515" t="s">
        <v>17732</v>
      </c>
      <c r="G16556" s="52">
        <v>293544.80792799499</v>
      </c>
      <c r="H16556" s="56">
        <v>0.1715072154909757</v>
      </c>
      <c r="I16556" s="224" t="s">
        <v>2</v>
      </c>
    </row>
    <row r="16557" spans="1:9" x14ac:dyDescent="0.25">
      <c r="A16557" s="515">
        <v>61537</v>
      </c>
      <c r="B16557" s="515" t="s">
        <v>303</v>
      </c>
      <c r="C16557" s="52">
        <v>93555.080981943407</v>
      </c>
      <c r="D16557" s="56">
        <v>0.12615720850527137</v>
      </c>
      <c r="E16557" s="224" t="s">
        <v>2</v>
      </c>
      <c r="F16557" s="515" t="s">
        <v>17733</v>
      </c>
      <c r="G16557" s="52">
        <v>440316.959944478</v>
      </c>
      <c r="H16557" s="56">
        <v>-3.5921213445806295E-2</v>
      </c>
      <c r="I16557" s="224" t="s">
        <v>2</v>
      </c>
    </row>
    <row r="16558" spans="1:9" x14ac:dyDescent="0.25">
      <c r="A16558" s="515">
        <v>64098</v>
      </c>
      <c r="B16558" s="515" t="s">
        <v>455</v>
      </c>
      <c r="C16558" s="52">
        <v>306470.39537407999</v>
      </c>
      <c r="D16558" s="56">
        <v>8.4081585074374271E-2</v>
      </c>
      <c r="E16558" s="224" t="s">
        <v>2</v>
      </c>
      <c r="F16558" s="515" t="s">
        <v>17734</v>
      </c>
      <c r="G16558" s="52">
        <v>525748.24475098297</v>
      </c>
      <c r="H16558" s="56">
        <v>1.7867561755216085E-2</v>
      </c>
      <c r="I16558" s="224" t="s">
        <v>2</v>
      </c>
    </row>
    <row r="16559" spans="1:9" x14ac:dyDescent="0.25">
      <c r="A16559" s="515">
        <v>97437</v>
      </c>
      <c r="B16559" s="515" t="s">
        <v>801</v>
      </c>
      <c r="C16559" s="52">
        <v>479196.18304994702</v>
      </c>
      <c r="D16559" s="56">
        <v>2.5606041480000355E-2</v>
      </c>
      <c r="E16559" s="224" t="s">
        <v>2</v>
      </c>
      <c r="F16559" s="515" t="s">
        <v>17735</v>
      </c>
      <c r="G16559" s="52">
        <v>780690.93637882697</v>
      </c>
      <c r="H16559" s="56">
        <v>0.12887952296000971</v>
      </c>
      <c r="I16559" s="224" t="s">
        <v>2</v>
      </c>
    </row>
    <row r="16560" spans="1:9" x14ac:dyDescent="0.25">
      <c r="A16560" s="515">
        <v>4861</v>
      </c>
      <c r="C16560" s="52">
        <v>285718.70587414299</v>
      </c>
      <c r="D16560" s="56">
        <v>9.3727241948955611E-2</v>
      </c>
      <c r="E16560" s="224" t="s">
        <v>2</v>
      </c>
      <c r="F16560" s="515" t="s">
        <v>17736</v>
      </c>
      <c r="G16560" s="52">
        <v>180846.18316608199</v>
      </c>
      <c r="H16560" s="56">
        <v>0.20112670931959867</v>
      </c>
      <c r="I16560" s="224" t="s">
        <v>2</v>
      </c>
    </row>
    <row r="16561" spans="1:9" x14ac:dyDescent="0.25">
      <c r="A16561" s="515">
        <v>17967</v>
      </c>
      <c r="B16561" s="515" t="s">
        <v>994</v>
      </c>
      <c r="C16561" s="52">
        <v>156562.43513595601</v>
      </c>
      <c r="D16561" s="56">
        <v>6.6976952819276736E-2</v>
      </c>
      <c r="E16561" s="224" t="s">
        <v>2</v>
      </c>
      <c r="F16561" s="515" t="s">
        <v>17737</v>
      </c>
      <c r="G16561" s="52">
        <v>148079.389092003</v>
      </c>
      <c r="H16561" s="56">
        <v>4.7491529021842097E-3</v>
      </c>
      <c r="I16561" s="224" t="s">
        <v>2</v>
      </c>
    </row>
    <row r="16562" spans="1:9" x14ac:dyDescent="0.25">
      <c r="A16562" s="515">
        <v>23829</v>
      </c>
      <c r="B16562" s="515" t="s">
        <v>301</v>
      </c>
      <c r="C16562" s="52">
        <v>185514.939772346</v>
      </c>
      <c r="D16562" s="56">
        <v>7.6615584566188402E-2</v>
      </c>
      <c r="E16562" s="224" t="s">
        <v>2</v>
      </c>
      <c r="F16562" s="515" t="s">
        <v>17738</v>
      </c>
      <c r="G16562" s="52">
        <v>421442.56020807498</v>
      </c>
      <c r="H16562" s="56">
        <v>6.9205533036940811E-2</v>
      </c>
      <c r="I16562" s="224" t="s">
        <v>2</v>
      </c>
    </row>
    <row r="16563" spans="1:9" x14ac:dyDescent="0.25">
      <c r="A16563" s="515">
        <v>95551</v>
      </c>
      <c r="B16563" s="515" t="s">
        <v>352</v>
      </c>
      <c r="C16563" s="52">
        <v>436901.83443218598</v>
      </c>
      <c r="D16563" s="56">
        <v>-2.274948988246793E-2</v>
      </c>
      <c r="E16563" s="224" t="s">
        <v>2</v>
      </c>
      <c r="F16563" s="515" t="s">
        <v>17739</v>
      </c>
      <c r="G16563" s="52">
        <v>128841.579026479</v>
      </c>
      <c r="H16563" s="56">
        <v>6.880813597167959E-2</v>
      </c>
      <c r="I16563" s="224" t="s">
        <v>2</v>
      </c>
    </row>
    <row r="16564" spans="1:9" x14ac:dyDescent="0.25">
      <c r="A16564" s="515">
        <v>55768</v>
      </c>
      <c r="B16564" s="515" t="s">
        <v>350</v>
      </c>
      <c r="C16564" s="52">
        <v>171553.180196712</v>
      </c>
      <c r="D16564" s="56">
        <v>3.7585937307451106E-2</v>
      </c>
      <c r="E16564" s="224" t="s">
        <v>2</v>
      </c>
      <c r="F16564" s="515" t="s">
        <v>17740</v>
      </c>
      <c r="G16564" s="52">
        <v>9068339.2849252205</v>
      </c>
      <c r="H16564" s="56">
        <v>0.15490379280440036</v>
      </c>
      <c r="I16564" s="224" t="s">
        <v>2</v>
      </c>
    </row>
    <row r="16565" spans="1:9" x14ac:dyDescent="0.25">
      <c r="A16565" s="515">
        <v>47355</v>
      </c>
      <c r="C16565" s="52">
        <v>136532.62881905201</v>
      </c>
      <c r="D16565" s="56">
        <v>6.9244251815224159E-2</v>
      </c>
      <c r="E16565" s="224" t="s">
        <v>2</v>
      </c>
      <c r="F16565" s="515" t="s">
        <v>17741</v>
      </c>
      <c r="G16565" s="52">
        <v>53774.163059756298</v>
      </c>
      <c r="H16565" s="56">
        <v>6.4884208254296569E-2</v>
      </c>
      <c r="I16565" s="224" t="s">
        <v>2</v>
      </c>
    </row>
    <row r="16566" spans="1:9" x14ac:dyDescent="0.25">
      <c r="A16566" s="515">
        <v>60043</v>
      </c>
      <c r="B16566" s="515" t="s">
        <v>394</v>
      </c>
      <c r="C16566" s="52">
        <v>1506081.5783055101</v>
      </c>
      <c r="D16566" s="56">
        <v>5.537884908150878E-2</v>
      </c>
      <c r="E16566" s="224" t="s">
        <v>2</v>
      </c>
      <c r="F16566" s="515" t="s">
        <v>17742</v>
      </c>
      <c r="G16566" s="52">
        <v>223258.552547595</v>
      </c>
      <c r="H16566" s="56">
        <v>6.2331341252862819E-2</v>
      </c>
      <c r="I16566" s="224" t="s">
        <v>2</v>
      </c>
    </row>
    <row r="16567" spans="1:9" x14ac:dyDescent="0.25">
      <c r="A16567" s="515">
        <v>3237</v>
      </c>
      <c r="B16567" s="515" t="s">
        <v>1006</v>
      </c>
      <c r="C16567" s="52">
        <v>356885.18463643698</v>
      </c>
      <c r="D16567" s="56">
        <v>9.1234883283506985E-2</v>
      </c>
      <c r="E16567" s="224" t="s">
        <v>2</v>
      </c>
      <c r="F16567" s="515" t="s">
        <v>17743</v>
      </c>
      <c r="G16567" s="52">
        <v>396782.89370592899</v>
      </c>
      <c r="H16567" s="56">
        <v>0.11575356055107648</v>
      </c>
      <c r="I16567" s="224" t="s">
        <v>2</v>
      </c>
    </row>
    <row r="16568" spans="1:9" x14ac:dyDescent="0.25">
      <c r="A16568" s="515">
        <v>89085</v>
      </c>
      <c r="B16568" s="515" t="s">
        <v>323</v>
      </c>
      <c r="C16568" s="52">
        <v>466985.38402281201</v>
      </c>
      <c r="D16568" s="56">
        <v>2.6134700722758853E-2</v>
      </c>
      <c r="E16568" s="224" t="s">
        <v>2</v>
      </c>
      <c r="F16568" s="515" t="s">
        <v>17744</v>
      </c>
      <c r="G16568" s="52">
        <v>164672.07675397399</v>
      </c>
      <c r="H16568" s="56">
        <v>0</v>
      </c>
      <c r="I16568" s="224" t="s">
        <v>2</v>
      </c>
    </row>
    <row r="16569" spans="1:9" x14ac:dyDescent="0.25">
      <c r="A16569" s="515">
        <v>55114</v>
      </c>
      <c r="B16569" s="515" t="s">
        <v>532</v>
      </c>
      <c r="C16569" s="52">
        <v>279012.71846432699</v>
      </c>
      <c r="D16569" s="56">
        <v>-5.768686778446103E-3</v>
      </c>
      <c r="E16569" s="224">
        <v>1567.4</v>
      </c>
      <c r="F16569" s="515" t="s">
        <v>17745</v>
      </c>
      <c r="G16569" s="52">
        <v>230137.54233097</v>
      </c>
      <c r="H16569" s="56">
        <v>0</v>
      </c>
      <c r="I16569" s="224" t="s">
        <v>2</v>
      </c>
    </row>
    <row r="16570" spans="1:9" x14ac:dyDescent="0.25">
      <c r="A16570" s="515">
        <v>18623</v>
      </c>
      <c r="B16570" s="515" t="s">
        <v>512</v>
      </c>
      <c r="C16570" s="52">
        <v>165315.624064965</v>
      </c>
      <c r="D16570" s="56">
        <v>-1.6824321763483516E-2</v>
      </c>
      <c r="E16570" s="224" t="s">
        <v>2</v>
      </c>
      <c r="F16570" s="515" t="s">
        <v>17746</v>
      </c>
      <c r="G16570" s="52">
        <v>568518.41038479295</v>
      </c>
      <c r="H16570" s="56">
        <v>4.0471029408482115E-2</v>
      </c>
      <c r="I16570" s="224" t="s">
        <v>2</v>
      </c>
    </row>
    <row r="16571" spans="1:9" x14ac:dyDescent="0.25">
      <c r="A16571" s="515">
        <v>32059</v>
      </c>
      <c r="C16571" s="52">
        <v>218166.93914461101</v>
      </c>
      <c r="D16571" s="56">
        <v>0.10270584910271452</v>
      </c>
      <c r="E16571" s="224" t="s">
        <v>2</v>
      </c>
      <c r="F16571" s="515" t="s">
        <v>17747</v>
      </c>
      <c r="G16571" s="52">
        <v>169643.34620005399</v>
      </c>
      <c r="H16571" s="56">
        <v>5.3319577710937843E-2</v>
      </c>
      <c r="I16571" s="224" t="s">
        <v>2</v>
      </c>
    </row>
    <row r="16572" spans="1:9" x14ac:dyDescent="0.25">
      <c r="A16572" s="515">
        <v>30428</v>
      </c>
      <c r="C16572" s="52">
        <v>117399.93455011</v>
      </c>
      <c r="D16572" s="56">
        <v>2.9967499818538884E-2</v>
      </c>
      <c r="E16572" s="224" t="s">
        <v>2</v>
      </c>
      <c r="F16572" s="515" t="s">
        <v>17748</v>
      </c>
      <c r="G16572" s="52">
        <v>282294.66952648998</v>
      </c>
      <c r="H16572" s="56">
        <v>6.5473049351300397E-2</v>
      </c>
      <c r="I16572" s="224" t="s">
        <v>2</v>
      </c>
    </row>
    <row r="16573" spans="1:9" x14ac:dyDescent="0.25">
      <c r="A16573" s="515">
        <v>61756</v>
      </c>
      <c r="B16573" s="515" t="s">
        <v>540</v>
      </c>
      <c r="C16573" s="52">
        <v>123878.212766201</v>
      </c>
      <c r="D16573" s="56">
        <v>6.4921621260077639E-2</v>
      </c>
      <c r="E16573" s="224" t="s">
        <v>2</v>
      </c>
      <c r="F16573" s="515" t="s">
        <v>17749</v>
      </c>
      <c r="G16573" s="52">
        <v>202283.85310031101</v>
      </c>
      <c r="H16573" s="56">
        <v>7.5326968588055862E-2</v>
      </c>
      <c r="I16573" s="224" t="s">
        <v>2</v>
      </c>
    </row>
    <row r="16574" spans="1:9" x14ac:dyDescent="0.25">
      <c r="A16574" s="515">
        <v>38488</v>
      </c>
      <c r="C16574" s="52">
        <v>264547.67827162897</v>
      </c>
      <c r="D16574" s="56">
        <v>6.7901618362110006E-2</v>
      </c>
      <c r="E16574" s="224" t="s">
        <v>2</v>
      </c>
      <c r="F16574" s="515" t="s">
        <v>17750</v>
      </c>
      <c r="G16574" s="52">
        <v>332299.94766662997</v>
      </c>
      <c r="H16574" s="56">
        <v>1.9584303756550736E-2</v>
      </c>
      <c r="I16574" s="224" t="s">
        <v>2</v>
      </c>
    </row>
    <row r="16575" spans="1:9" x14ac:dyDescent="0.25">
      <c r="A16575" s="515">
        <v>62092</v>
      </c>
      <c r="C16575" s="52">
        <v>53374.729325762797</v>
      </c>
      <c r="D16575" s="56">
        <v>-2.2413441273302005E-2</v>
      </c>
      <c r="E16575" s="224" t="s">
        <v>2</v>
      </c>
      <c r="F16575" s="515" t="s">
        <v>17751</v>
      </c>
      <c r="G16575" s="52">
        <v>86049.373733462504</v>
      </c>
      <c r="H16575" s="56">
        <v>5.1696607646070161E-2</v>
      </c>
      <c r="I16575" s="224" t="s">
        <v>2</v>
      </c>
    </row>
    <row r="16576" spans="1:9" x14ac:dyDescent="0.25">
      <c r="A16576" s="515">
        <v>35752</v>
      </c>
      <c r="B16576" s="515" t="s">
        <v>748</v>
      </c>
      <c r="C16576" s="52">
        <v>158168.433179883</v>
      </c>
      <c r="D16576" s="56">
        <v>0.13248242469592078</v>
      </c>
      <c r="E16576" s="224" t="s">
        <v>2</v>
      </c>
      <c r="F16576" s="515" t="s">
        <v>17752</v>
      </c>
      <c r="G16576" s="52">
        <v>158481.36197953901</v>
      </c>
      <c r="H16576" s="56">
        <v>-3.5532518860711904E-2</v>
      </c>
      <c r="I16576" s="224" t="s">
        <v>2</v>
      </c>
    </row>
    <row r="16577" spans="1:9" x14ac:dyDescent="0.25">
      <c r="A16577" s="515">
        <v>3855</v>
      </c>
      <c r="B16577" s="515" t="s">
        <v>534</v>
      </c>
      <c r="C16577" s="52">
        <v>413057.93666507298</v>
      </c>
      <c r="D16577" s="56">
        <v>9.2072572966716976E-2</v>
      </c>
      <c r="E16577" s="224" t="s">
        <v>2</v>
      </c>
      <c r="F16577" s="515" t="s">
        <v>17753</v>
      </c>
      <c r="G16577" s="52">
        <v>1549074.8392831199</v>
      </c>
      <c r="H16577" s="56">
        <v>7.6111111054282934E-2</v>
      </c>
      <c r="I16577" s="224" t="s">
        <v>2</v>
      </c>
    </row>
    <row r="16578" spans="1:9" x14ac:dyDescent="0.25">
      <c r="A16578" s="515">
        <v>26710</v>
      </c>
      <c r="B16578" s="515" t="s">
        <v>362</v>
      </c>
      <c r="C16578" s="52">
        <v>170073.92382760899</v>
      </c>
      <c r="D16578" s="56">
        <v>9.6593435800248345E-2</v>
      </c>
      <c r="E16578" s="224" t="s">
        <v>2</v>
      </c>
      <c r="F16578" s="515" t="s">
        <v>17754</v>
      </c>
      <c r="G16578" s="52">
        <v>175286.15441093699</v>
      </c>
      <c r="H16578" s="56">
        <v>4.2525615843575171E-2</v>
      </c>
      <c r="I16578" s="224" t="s">
        <v>2</v>
      </c>
    </row>
    <row r="16579" spans="1:9" x14ac:dyDescent="0.25">
      <c r="A16579" s="515">
        <v>97042</v>
      </c>
      <c r="B16579" s="515" t="s">
        <v>659</v>
      </c>
      <c r="C16579" s="52">
        <v>647151.44174407003</v>
      </c>
      <c r="D16579" s="56">
        <v>3.2197269405338486E-2</v>
      </c>
      <c r="E16579" s="224" t="s">
        <v>2</v>
      </c>
      <c r="F16579" s="515" t="s">
        <v>17755</v>
      </c>
      <c r="G16579" s="52">
        <v>325881.494079253</v>
      </c>
      <c r="H16579" s="56">
        <v>2.0587974424638562E-2</v>
      </c>
      <c r="I16579" s="224" t="s">
        <v>2</v>
      </c>
    </row>
    <row r="16580" spans="1:9" x14ac:dyDescent="0.25">
      <c r="A16580" s="515">
        <v>85933</v>
      </c>
      <c r="B16580" s="515" t="s">
        <v>533</v>
      </c>
      <c r="C16580" s="52">
        <v>343807.993325405</v>
      </c>
      <c r="D16580" s="56">
        <v>6.2856524857392196E-2</v>
      </c>
      <c r="E16580" s="224" t="s">
        <v>2</v>
      </c>
      <c r="F16580" s="515" t="s">
        <v>17756</v>
      </c>
      <c r="G16580" s="52">
        <v>61984.042077155202</v>
      </c>
      <c r="H16580" s="56">
        <v>6.7482108873296018E-2</v>
      </c>
      <c r="I16580" s="224" t="s">
        <v>2</v>
      </c>
    </row>
    <row r="16581" spans="1:9" x14ac:dyDescent="0.25">
      <c r="A16581" s="515">
        <v>84645</v>
      </c>
      <c r="B16581" s="515" t="s">
        <v>726</v>
      </c>
      <c r="C16581" s="52">
        <v>537592.33152704104</v>
      </c>
      <c r="D16581" s="56">
        <v>4.079405504506263E-2</v>
      </c>
      <c r="E16581" s="224" t="s">
        <v>2</v>
      </c>
      <c r="F16581" s="515" t="s">
        <v>17757</v>
      </c>
      <c r="G16581" s="52">
        <v>86473.5488302023</v>
      </c>
      <c r="H16581" s="56">
        <v>9.6046834267156947E-2</v>
      </c>
      <c r="I16581" s="224" t="s">
        <v>2</v>
      </c>
    </row>
    <row r="16582" spans="1:9" x14ac:dyDescent="0.25">
      <c r="A16582" s="515">
        <v>22735</v>
      </c>
      <c r="B16582" s="515" t="s">
        <v>321</v>
      </c>
      <c r="C16582" s="52">
        <v>359498.80765817902</v>
      </c>
      <c r="D16582" s="56">
        <v>5.4934402813496236E-2</v>
      </c>
      <c r="E16582" s="224" t="s">
        <v>2</v>
      </c>
      <c r="F16582" s="515" t="s">
        <v>17758</v>
      </c>
      <c r="G16582" s="52">
        <v>98440.000294425394</v>
      </c>
      <c r="H16582" s="56">
        <v>1.2326775840451136E-2</v>
      </c>
      <c r="I16582" s="224" t="s">
        <v>2</v>
      </c>
    </row>
    <row r="16583" spans="1:9" x14ac:dyDescent="0.25">
      <c r="A16583" s="515">
        <v>24486</v>
      </c>
      <c r="B16583" s="515" t="s">
        <v>728</v>
      </c>
      <c r="C16583" s="52">
        <v>294848.580689403</v>
      </c>
      <c r="D16583" s="56">
        <v>7.0798827582316579E-2</v>
      </c>
      <c r="E16583" s="224" t="s">
        <v>2</v>
      </c>
      <c r="F16583" s="515" t="s">
        <v>17759</v>
      </c>
      <c r="G16583" s="52">
        <v>74112.658964076501</v>
      </c>
      <c r="H16583" s="56">
        <v>0.11359649890302904</v>
      </c>
      <c r="I16583" s="224" t="s">
        <v>2</v>
      </c>
    </row>
    <row r="16584" spans="1:9" x14ac:dyDescent="0.25">
      <c r="A16584" s="515">
        <v>59014</v>
      </c>
      <c r="B16584" s="515" t="s">
        <v>637</v>
      </c>
      <c r="C16584" s="52">
        <v>314272.74521355203</v>
      </c>
      <c r="D16584" s="56">
        <v>0.10664409052738782</v>
      </c>
      <c r="E16584" s="224" t="s">
        <v>2</v>
      </c>
      <c r="F16584" s="515" t="s">
        <v>17760</v>
      </c>
      <c r="G16584" s="52">
        <v>448741.08901618101</v>
      </c>
      <c r="H16584" s="56">
        <v>7.551631847560511E-2</v>
      </c>
      <c r="I16584" s="224" t="s">
        <v>2</v>
      </c>
    </row>
    <row r="16585" spans="1:9" x14ac:dyDescent="0.25">
      <c r="A16585" s="515">
        <v>42055</v>
      </c>
      <c r="C16585" s="52">
        <v>174219.52248874601</v>
      </c>
      <c r="D16585" s="56">
        <v>0.15592862306114622</v>
      </c>
      <c r="E16585" s="224" t="s">
        <v>2</v>
      </c>
      <c r="F16585" s="515" t="s">
        <v>17761</v>
      </c>
      <c r="G16585" s="52">
        <v>149751.09506098201</v>
      </c>
      <c r="H16585" s="56">
        <v>4.8015208411922979E-2</v>
      </c>
      <c r="I16585" s="224" t="s">
        <v>2</v>
      </c>
    </row>
    <row r="16586" spans="1:9" x14ac:dyDescent="0.25">
      <c r="A16586" s="515">
        <v>77363</v>
      </c>
      <c r="C16586" s="52">
        <v>260901.62068431801</v>
      </c>
      <c r="D16586" s="56">
        <v>7.012300197319396E-2</v>
      </c>
      <c r="E16586" s="224" t="s">
        <v>2</v>
      </c>
      <c r="F16586" s="515" t="s">
        <v>17762</v>
      </c>
      <c r="G16586" s="52">
        <v>111759.74892168101</v>
      </c>
      <c r="H16586" s="56">
        <v>0.14074732769438014</v>
      </c>
      <c r="I16586" s="224" t="s">
        <v>2</v>
      </c>
    </row>
    <row r="16587" spans="1:9" x14ac:dyDescent="0.25">
      <c r="A16587" s="515">
        <v>24631</v>
      </c>
      <c r="C16587" s="52">
        <v>68625.670270070405</v>
      </c>
      <c r="D16587" s="56">
        <v>7.4704401521785813E-2</v>
      </c>
      <c r="E16587" s="224" t="s">
        <v>2</v>
      </c>
      <c r="F16587" s="515" t="s">
        <v>17763</v>
      </c>
      <c r="G16587" s="52">
        <v>349594.20652536798</v>
      </c>
      <c r="H16587" s="56">
        <v>5.1576791365013148E-2</v>
      </c>
      <c r="I16587" s="224" t="s">
        <v>2</v>
      </c>
    </row>
    <row r="16588" spans="1:9" x14ac:dyDescent="0.25">
      <c r="A16588" s="515">
        <v>52637</v>
      </c>
      <c r="B16588" s="515" t="s">
        <v>672</v>
      </c>
      <c r="C16588" s="52">
        <v>166585.69234746101</v>
      </c>
      <c r="D16588" s="56">
        <v>7.7430899917751067E-2</v>
      </c>
      <c r="E16588" s="224" t="s">
        <v>2</v>
      </c>
      <c r="F16588" s="515" t="s">
        <v>17764</v>
      </c>
      <c r="G16588" s="52">
        <v>127593.313504562</v>
      </c>
      <c r="H16588" s="56">
        <v>0</v>
      </c>
      <c r="I16588" s="224" t="s">
        <v>2</v>
      </c>
    </row>
    <row r="16589" spans="1:9" x14ac:dyDescent="0.25">
      <c r="A16589" s="515">
        <v>3774</v>
      </c>
      <c r="B16589" s="515" t="s">
        <v>420</v>
      </c>
      <c r="C16589" s="52">
        <v>268193.066861303</v>
      </c>
      <c r="D16589" s="56">
        <v>0.19058674867442021</v>
      </c>
      <c r="E16589" s="224" t="s">
        <v>2</v>
      </c>
      <c r="F16589" s="515" t="s">
        <v>17765</v>
      </c>
      <c r="G16589" s="52">
        <v>344937.60276762903</v>
      </c>
      <c r="H16589" s="56">
        <v>5.2411299457436701E-2</v>
      </c>
      <c r="I16589" s="224" t="s">
        <v>2</v>
      </c>
    </row>
    <row r="16590" spans="1:9" x14ac:dyDescent="0.25">
      <c r="A16590" s="515">
        <v>29018</v>
      </c>
      <c r="B16590" s="515" t="s">
        <v>1036</v>
      </c>
      <c r="C16590" s="52">
        <v>104439.725030507</v>
      </c>
      <c r="D16590" s="56">
        <v>2.8547665766749684E-2</v>
      </c>
      <c r="E16590" s="224" t="s">
        <v>2</v>
      </c>
      <c r="F16590" s="515" t="s">
        <v>17766</v>
      </c>
      <c r="G16590" s="52">
        <v>165274.259924643</v>
      </c>
      <c r="H16590" s="56">
        <v>7.0460078255574696E-2</v>
      </c>
      <c r="I16590" s="224" t="s">
        <v>2</v>
      </c>
    </row>
    <row r="16591" spans="1:9" x14ac:dyDescent="0.25">
      <c r="A16591" s="515">
        <v>28396</v>
      </c>
      <c r="B16591" s="515" t="s">
        <v>1048</v>
      </c>
      <c r="C16591" s="52">
        <v>137459.03100583801</v>
      </c>
      <c r="D16591" s="56">
        <v>0.22313299300353051</v>
      </c>
      <c r="E16591" s="224" t="s">
        <v>2</v>
      </c>
      <c r="F16591" s="515" t="s">
        <v>17767</v>
      </c>
      <c r="G16591" s="52">
        <v>195299.13595122399</v>
      </c>
      <c r="H16591" s="56">
        <v>3.7490014860426793E-3</v>
      </c>
      <c r="I16591" s="224" t="s">
        <v>2</v>
      </c>
    </row>
    <row r="16592" spans="1:9" x14ac:dyDescent="0.25">
      <c r="A16592" s="515">
        <v>76935</v>
      </c>
      <c r="B16592" s="515" t="s">
        <v>551</v>
      </c>
      <c r="C16592" s="52">
        <v>346645.13335898903</v>
      </c>
      <c r="D16592" s="56">
        <v>3.5255392505055598E-2</v>
      </c>
      <c r="E16592" s="224" t="s">
        <v>2</v>
      </c>
      <c r="F16592" s="515" t="s">
        <v>17768</v>
      </c>
      <c r="G16592" s="52">
        <v>314536.35915511602</v>
      </c>
      <c r="H16592" s="56">
        <v>0.1773459354660932</v>
      </c>
      <c r="I16592" s="224" t="s">
        <v>2</v>
      </c>
    </row>
    <row r="16593" spans="1:9" x14ac:dyDescent="0.25">
      <c r="A16593" s="515">
        <v>24216</v>
      </c>
      <c r="B16593" s="515" t="s">
        <v>1150</v>
      </c>
      <c r="C16593" s="52">
        <v>37976.386977323098</v>
      </c>
      <c r="D16593" s="56">
        <v>0.13584037829298959</v>
      </c>
      <c r="E16593" s="224" t="s">
        <v>2</v>
      </c>
      <c r="F16593" s="515" t="s">
        <v>17769</v>
      </c>
      <c r="G16593" s="52">
        <v>108869.580121227</v>
      </c>
      <c r="H16593" s="56">
        <v>8.7486853639847845E-2</v>
      </c>
      <c r="I16593" s="224" t="s">
        <v>2</v>
      </c>
    </row>
    <row r="16594" spans="1:9" x14ac:dyDescent="0.25">
      <c r="A16594" s="515">
        <v>13495</v>
      </c>
      <c r="B16594" s="515" t="s">
        <v>543</v>
      </c>
      <c r="C16594" s="52">
        <v>159059.99211336201</v>
      </c>
      <c r="D16594" s="56">
        <v>8.6569955529041676E-2</v>
      </c>
      <c r="E16594" s="224" t="s">
        <v>2</v>
      </c>
      <c r="F16594" s="515" t="s">
        <v>17770</v>
      </c>
      <c r="G16594" s="52">
        <v>156265.71816780901</v>
      </c>
      <c r="H16594" s="56">
        <v>0.11469583976488502</v>
      </c>
      <c r="I16594" s="224" t="s">
        <v>2</v>
      </c>
    </row>
    <row r="16595" spans="1:9" x14ac:dyDescent="0.25">
      <c r="A16595" s="515">
        <v>63037</v>
      </c>
      <c r="B16595" s="515" t="s">
        <v>498</v>
      </c>
      <c r="C16595" s="52">
        <v>195678.40530026899</v>
      </c>
      <c r="D16595" s="56">
        <v>0.11139317529748752</v>
      </c>
      <c r="E16595" s="224" t="s">
        <v>2</v>
      </c>
      <c r="F16595" s="515" t="s">
        <v>17771</v>
      </c>
      <c r="G16595" s="52">
        <v>198580.13227115601</v>
      </c>
      <c r="H16595" s="56">
        <v>9.2083120685327507E-2</v>
      </c>
      <c r="I16595" s="224" t="s">
        <v>2</v>
      </c>
    </row>
    <row r="16596" spans="1:9" x14ac:dyDescent="0.25">
      <c r="A16596" s="515">
        <v>77335</v>
      </c>
      <c r="C16596" s="52">
        <v>130910.396962877</v>
      </c>
      <c r="D16596" s="56">
        <v>8.1472667302029775E-2</v>
      </c>
      <c r="E16596" s="224" t="s">
        <v>2</v>
      </c>
      <c r="F16596" s="515" t="s">
        <v>17772</v>
      </c>
      <c r="G16596" s="52">
        <v>208931.663145495</v>
      </c>
      <c r="H16596" s="56">
        <v>6.0680258044019046E-2</v>
      </c>
      <c r="I16596" s="224" t="s">
        <v>2</v>
      </c>
    </row>
    <row r="16597" spans="1:9" x14ac:dyDescent="0.25">
      <c r="A16597" s="515">
        <v>29162</v>
      </c>
      <c r="B16597" s="515" t="s">
        <v>1065</v>
      </c>
      <c r="C16597" s="52">
        <v>121686.70267186</v>
      </c>
      <c r="D16597" s="56">
        <v>-4.0010749828784019E-2</v>
      </c>
      <c r="E16597" s="224" t="s">
        <v>2</v>
      </c>
      <c r="F16597" s="515" t="s">
        <v>17773</v>
      </c>
      <c r="G16597" s="52">
        <v>394126.26727352699</v>
      </c>
      <c r="H16597" s="56">
        <v>0.13392261130151542</v>
      </c>
      <c r="I16597" s="224" t="s">
        <v>2</v>
      </c>
    </row>
    <row r="16598" spans="1:9" x14ac:dyDescent="0.25">
      <c r="A16598" s="515">
        <v>47384</v>
      </c>
      <c r="B16598" s="515" t="s">
        <v>421</v>
      </c>
      <c r="C16598" s="52">
        <v>187706.63412451401</v>
      </c>
      <c r="D16598" s="56">
        <v>8.0886665130786836E-2</v>
      </c>
      <c r="E16598" s="224" t="s">
        <v>2</v>
      </c>
      <c r="F16598" s="515" t="s">
        <v>17774</v>
      </c>
      <c r="G16598" s="52">
        <v>238945.52469537201</v>
      </c>
      <c r="H16598" s="56">
        <v>8.6784599875842305E-2</v>
      </c>
      <c r="I16598" s="224" t="s">
        <v>2</v>
      </c>
    </row>
    <row r="16599" spans="1:9" x14ac:dyDescent="0.25">
      <c r="A16599" s="515">
        <v>65013</v>
      </c>
      <c r="C16599" s="52">
        <v>165113.501037396</v>
      </c>
      <c r="D16599" s="56">
        <v>0.10722196065666638</v>
      </c>
      <c r="E16599" s="224" t="s">
        <v>2</v>
      </c>
      <c r="F16599" s="515" t="s">
        <v>17775</v>
      </c>
      <c r="G16599" s="52">
        <v>178416.219794648</v>
      </c>
      <c r="H16599" s="56">
        <v>0.11704010665133766</v>
      </c>
      <c r="I16599" s="224" t="s">
        <v>2</v>
      </c>
    </row>
    <row r="16600" spans="1:9" x14ac:dyDescent="0.25">
      <c r="A16600" s="515">
        <v>8733</v>
      </c>
      <c r="B16600" s="515" t="s">
        <v>324</v>
      </c>
      <c r="C16600" s="52">
        <v>296746.10563351301</v>
      </c>
      <c r="D16600" s="56">
        <v>9.8402135845537114E-2</v>
      </c>
      <c r="E16600" s="224" t="s">
        <v>2</v>
      </c>
      <c r="F16600" s="515" t="s">
        <v>17776</v>
      </c>
      <c r="G16600" s="52">
        <v>220181.555233155</v>
      </c>
      <c r="H16600" s="56">
        <v>5.2537619772335287E-2</v>
      </c>
      <c r="I16600" s="224" t="s">
        <v>2</v>
      </c>
    </row>
    <row r="16601" spans="1:9" x14ac:dyDescent="0.25">
      <c r="A16601" s="515">
        <v>1050</v>
      </c>
      <c r="B16601" s="515" t="s">
        <v>575</v>
      </c>
      <c r="C16601" s="52">
        <v>294332.26231308898</v>
      </c>
      <c r="D16601" s="56">
        <v>0.10337733114839662</v>
      </c>
      <c r="E16601" s="224" t="s">
        <v>2</v>
      </c>
      <c r="F16601" s="515" t="s">
        <v>17777</v>
      </c>
      <c r="G16601" s="52">
        <v>197240.78360472401</v>
      </c>
      <c r="H16601" s="56">
        <v>9.0227544496165338E-2</v>
      </c>
      <c r="I16601" s="224" t="s">
        <v>2</v>
      </c>
    </row>
    <row r="16602" spans="1:9" x14ac:dyDescent="0.25">
      <c r="A16602" s="515">
        <v>68023</v>
      </c>
      <c r="B16602" s="515" t="s">
        <v>367</v>
      </c>
      <c r="C16602" s="52">
        <v>429149.06452610902</v>
      </c>
      <c r="D16602" s="56">
        <v>8.9556215223596053E-2</v>
      </c>
      <c r="E16602" s="224" t="s">
        <v>2</v>
      </c>
      <c r="F16602" s="515" t="s">
        <v>17778</v>
      </c>
      <c r="G16602" s="52">
        <v>235418.69751401301</v>
      </c>
      <c r="H16602" s="56">
        <v>9.2922378658118476E-2</v>
      </c>
      <c r="I16602" s="224" t="s">
        <v>2</v>
      </c>
    </row>
    <row r="16603" spans="1:9" x14ac:dyDescent="0.25">
      <c r="A16603" s="515">
        <v>53515</v>
      </c>
      <c r="B16603" s="515" t="s">
        <v>727</v>
      </c>
      <c r="C16603" s="52">
        <v>338430.41087072197</v>
      </c>
      <c r="D16603" s="56">
        <v>7.3963369527843201E-2</v>
      </c>
      <c r="E16603" s="224" t="s">
        <v>2</v>
      </c>
      <c r="F16603" s="515" t="s">
        <v>17779</v>
      </c>
      <c r="G16603" s="52">
        <v>289291.429671416</v>
      </c>
      <c r="H16603" s="56">
        <v>3.6727538245950569E-2</v>
      </c>
      <c r="I16603" s="224" t="s">
        <v>2</v>
      </c>
    </row>
    <row r="16604" spans="1:9" x14ac:dyDescent="0.25">
      <c r="A16604" s="515">
        <v>52159</v>
      </c>
      <c r="C16604" s="52">
        <v>153979.87817129001</v>
      </c>
      <c r="D16604" s="56">
        <v>8.8058067523748729E-2</v>
      </c>
      <c r="E16604" s="224" t="s">
        <v>2</v>
      </c>
      <c r="F16604" s="515" t="s">
        <v>17780</v>
      </c>
      <c r="G16604" s="52">
        <v>843304.21469376097</v>
      </c>
      <c r="H16604" s="56">
        <v>3.9240086906522725E-2</v>
      </c>
      <c r="I16604" s="224" t="s">
        <v>2</v>
      </c>
    </row>
    <row r="16605" spans="1:9" x14ac:dyDescent="0.25">
      <c r="A16605" s="515">
        <v>46390</v>
      </c>
      <c r="B16605" s="515" t="s">
        <v>944</v>
      </c>
      <c r="C16605" s="52">
        <v>235257.52578483699</v>
      </c>
      <c r="D16605" s="56">
        <v>6.3886953509272967E-2</v>
      </c>
      <c r="E16605" s="224" t="s">
        <v>2</v>
      </c>
      <c r="F16605" s="515" t="s">
        <v>17781</v>
      </c>
      <c r="G16605" s="52">
        <v>347164.57975717197</v>
      </c>
      <c r="H16605" s="56">
        <v>3.5667438117204582E-2</v>
      </c>
      <c r="I16605" s="224" t="s">
        <v>2</v>
      </c>
    </row>
    <row r="16606" spans="1:9" x14ac:dyDescent="0.25">
      <c r="A16606" s="515">
        <v>15563</v>
      </c>
      <c r="B16606" s="515" t="s">
        <v>370</v>
      </c>
      <c r="C16606" s="52">
        <v>161927.11477346299</v>
      </c>
      <c r="D16606" s="56">
        <v>7.9369160150148221E-2</v>
      </c>
      <c r="E16606" s="224" t="s">
        <v>2</v>
      </c>
      <c r="F16606" s="515" t="s">
        <v>17782</v>
      </c>
      <c r="G16606" s="52">
        <v>337381.48211612302</v>
      </c>
      <c r="H16606" s="56">
        <v>7.0459212517730352E-2</v>
      </c>
      <c r="I16606" s="224" t="s">
        <v>2</v>
      </c>
    </row>
    <row r="16607" spans="1:9" x14ac:dyDescent="0.25">
      <c r="A16607" s="515">
        <v>83832</v>
      </c>
      <c r="B16607" s="515" t="s">
        <v>736</v>
      </c>
      <c r="C16607" s="52">
        <v>380173.94004413299</v>
      </c>
      <c r="D16607" s="56">
        <v>1.2160871741787907E-2</v>
      </c>
      <c r="E16607" s="224" t="s">
        <v>2</v>
      </c>
      <c r="F16607" s="515" t="s">
        <v>17783</v>
      </c>
      <c r="G16607" s="52">
        <v>235306.01644163899</v>
      </c>
      <c r="H16607" s="56">
        <v>0.15026466897363175</v>
      </c>
      <c r="I16607" s="224" t="s">
        <v>2</v>
      </c>
    </row>
    <row r="16608" spans="1:9" x14ac:dyDescent="0.25">
      <c r="A16608" s="515">
        <v>29714</v>
      </c>
      <c r="B16608" s="515" t="s">
        <v>360</v>
      </c>
      <c r="C16608" s="52">
        <v>202843.67596438201</v>
      </c>
      <c r="D16608" s="56">
        <v>8.8739374345160632E-2</v>
      </c>
      <c r="E16608" s="224" t="s">
        <v>2</v>
      </c>
      <c r="F16608" s="515" t="s">
        <v>17784</v>
      </c>
      <c r="G16608" s="52">
        <v>218871.59460904801</v>
      </c>
      <c r="H16608" s="56">
        <v>7.9404264994147489E-2</v>
      </c>
      <c r="I16608" s="224" t="s">
        <v>2</v>
      </c>
    </row>
    <row r="16609" spans="1:9" x14ac:dyDescent="0.25">
      <c r="A16609" s="515">
        <v>3440</v>
      </c>
      <c r="B16609" s="515" t="s">
        <v>996</v>
      </c>
      <c r="C16609" s="52">
        <v>322379.87982356898</v>
      </c>
      <c r="D16609" s="56">
        <v>0.10234000250133207</v>
      </c>
      <c r="E16609" s="224" t="s">
        <v>2</v>
      </c>
      <c r="F16609" s="515" t="s">
        <v>17785</v>
      </c>
      <c r="G16609" s="52">
        <v>353896.17949803697</v>
      </c>
      <c r="H16609" s="56">
        <v>7.7596861884841217E-2</v>
      </c>
      <c r="I16609" s="224" t="s">
        <v>2</v>
      </c>
    </row>
    <row r="16610" spans="1:9" x14ac:dyDescent="0.25">
      <c r="A16610" s="515">
        <v>63751</v>
      </c>
      <c r="B16610" s="515" t="s">
        <v>424</v>
      </c>
      <c r="C16610" s="52">
        <v>176681.31479433001</v>
      </c>
      <c r="D16610" s="56">
        <v>2.9656112239005328E-2</v>
      </c>
      <c r="E16610" s="224" t="s">
        <v>2</v>
      </c>
      <c r="F16610" s="515" t="s">
        <v>17786</v>
      </c>
      <c r="G16610" s="52">
        <v>132460.25936642301</v>
      </c>
      <c r="H16610" s="56">
        <v>9.8801238102631958E-2</v>
      </c>
      <c r="I16610" s="224" t="s">
        <v>2</v>
      </c>
    </row>
    <row r="16611" spans="1:9" x14ac:dyDescent="0.25">
      <c r="A16611" s="515">
        <v>41039</v>
      </c>
      <c r="C16611" s="52">
        <v>150610.78747994499</v>
      </c>
      <c r="D16611" s="56">
        <v>0.25328822189748917</v>
      </c>
      <c r="E16611" s="224" t="s">
        <v>2</v>
      </c>
      <c r="F16611" s="515" t="s">
        <v>17787</v>
      </c>
      <c r="G16611" s="52">
        <v>140965.58383081399</v>
      </c>
      <c r="H16611" s="56">
        <v>5.6205549851467184E-3</v>
      </c>
      <c r="I16611" s="224" t="s">
        <v>2</v>
      </c>
    </row>
    <row r="16612" spans="1:9" x14ac:dyDescent="0.25">
      <c r="A16612" s="515">
        <v>46216</v>
      </c>
      <c r="B16612" s="515" t="s">
        <v>403</v>
      </c>
      <c r="C16612" s="52">
        <v>281942.93970856798</v>
      </c>
      <c r="D16612" s="56">
        <v>6.2307584086289565E-2</v>
      </c>
      <c r="E16612" s="224">
        <v>1399.5</v>
      </c>
      <c r="F16612" s="515" t="s">
        <v>17788</v>
      </c>
      <c r="G16612" s="52">
        <v>279519.99915606697</v>
      </c>
      <c r="H16612" s="56">
        <v>0</v>
      </c>
      <c r="I16612" s="224" t="s">
        <v>2</v>
      </c>
    </row>
    <row r="16613" spans="1:9" x14ac:dyDescent="0.25">
      <c r="A16613" s="515">
        <v>74871</v>
      </c>
      <c r="B16613" s="515" t="s">
        <v>694</v>
      </c>
      <c r="C16613" s="52">
        <v>170670.963928446</v>
      </c>
      <c r="D16613" s="56">
        <v>0.10304939660451572</v>
      </c>
      <c r="E16613" s="224" t="s">
        <v>2</v>
      </c>
      <c r="F16613" s="515" t="s">
        <v>17789</v>
      </c>
      <c r="G16613" s="52">
        <v>167974.165229426</v>
      </c>
      <c r="H16613" s="56">
        <v>9.3865361139754494E-2</v>
      </c>
      <c r="I16613" s="224" t="s">
        <v>2</v>
      </c>
    </row>
    <row r="16614" spans="1:9" x14ac:dyDescent="0.25">
      <c r="A16614" s="515">
        <v>52356</v>
      </c>
      <c r="B16614" s="515" t="s">
        <v>587</v>
      </c>
      <c r="C16614" s="52">
        <v>209269.18774413699</v>
      </c>
      <c r="D16614" s="56">
        <v>9.1155396540846798E-2</v>
      </c>
      <c r="E16614" s="224" t="s">
        <v>2</v>
      </c>
      <c r="F16614" s="515" t="s">
        <v>17790</v>
      </c>
      <c r="G16614" s="52">
        <v>265023.159547769</v>
      </c>
      <c r="H16614" s="56">
        <v>4.3375193350380134E-2</v>
      </c>
      <c r="I16614" s="224" t="s">
        <v>2</v>
      </c>
    </row>
    <row r="16615" spans="1:9" x14ac:dyDescent="0.25">
      <c r="A16615" s="515">
        <v>35143</v>
      </c>
      <c r="B16615" s="515" t="s">
        <v>640</v>
      </c>
      <c r="C16615" s="52">
        <v>281139.14756913699</v>
      </c>
      <c r="D16615" s="56">
        <v>4.3163538456383828E-2</v>
      </c>
      <c r="E16615" s="224" t="s">
        <v>2</v>
      </c>
      <c r="F16615" s="515" t="s">
        <v>17791</v>
      </c>
      <c r="G16615" s="52">
        <v>317724.332943024</v>
      </c>
      <c r="H16615" s="56">
        <v>5.617236818879167E-2</v>
      </c>
      <c r="I16615" s="224" t="s">
        <v>2</v>
      </c>
    </row>
    <row r="16616" spans="1:9" x14ac:dyDescent="0.25">
      <c r="A16616" s="515">
        <v>43358</v>
      </c>
      <c r="B16616" s="515" t="s">
        <v>973</v>
      </c>
      <c r="C16616" s="52">
        <v>212567.37528338699</v>
      </c>
      <c r="D16616" s="56">
        <v>7.7114274097061133E-2</v>
      </c>
      <c r="E16616" s="224" t="s">
        <v>2</v>
      </c>
      <c r="F16616" s="515" t="s">
        <v>17792</v>
      </c>
      <c r="G16616" s="52">
        <v>144668.32392840501</v>
      </c>
      <c r="H16616" s="56">
        <v>0.1054114571858006</v>
      </c>
      <c r="I16616" s="224" t="s">
        <v>2</v>
      </c>
    </row>
    <row r="16617" spans="1:9" x14ac:dyDescent="0.25">
      <c r="A16617" s="515">
        <v>73059</v>
      </c>
      <c r="B16617" s="515" t="s">
        <v>385</v>
      </c>
      <c r="C16617" s="52">
        <v>140626.940064597</v>
      </c>
      <c r="D16617" s="56">
        <v>4.9193254469794501E-2</v>
      </c>
      <c r="E16617" s="224" t="s">
        <v>2</v>
      </c>
      <c r="F16617" s="515" t="s">
        <v>17793</v>
      </c>
      <c r="G16617" s="52">
        <v>432156.44851487601</v>
      </c>
      <c r="H16617" s="56">
        <v>4.9079679363318161E-2</v>
      </c>
      <c r="I16617" s="224" t="s">
        <v>2</v>
      </c>
    </row>
    <row r="16618" spans="1:9" x14ac:dyDescent="0.25">
      <c r="A16618" s="515">
        <v>44645</v>
      </c>
      <c r="B16618" s="515" t="s">
        <v>1136</v>
      </c>
      <c r="C16618" s="52">
        <v>360912.62131399702</v>
      </c>
      <c r="D16618" s="56">
        <v>0.3209485525895247</v>
      </c>
      <c r="E16618" s="224" t="s">
        <v>2</v>
      </c>
      <c r="F16618" s="515" t="s">
        <v>17794</v>
      </c>
      <c r="G16618" s="52">
        <v>324279.47051928402</v>
      </c>
      <c r="H16618" s="56">
        <v>0.12850239218337425</v>
      </c>
      <c r="I16618" s="224" t="s">
        <v>2</v>
      </c>
    </row>
    <row r="16619" spans="1:9" x14ac:dyDescent="0.25">
      <c r="A16619" s="515">
        <v>32702</v>
      </c>
      <c r="B16619" s="515" t="s">
        <v>475</v>
      </c>
      <c r="C16619" s="52">
        <v>227833.38327628499</v>
      </c>
      <c r="D16619" s="56">
        <v>0.15851034151319637</v>
      </c>
      <c r="E16619" s="224" t="s">
        <v>2</v>
      </c>
      <c r="F16619" s="515" t="s">
        <v>17795</v>
      </c>
      <c r="G16619" s="52">
        <v>241243.23324236099</v>
      </c>
      <c r="H16619" s="56">
        <v>0.18803334763348539</v>
      </c>
      <c r="I16619" s="224" t="s">
        <v>2</v>
      </c>
    </row>
    <row r="16620" spans="1:9" x14ac:dyDescent="0.25">
      <c r="A16620" s="515">
        <v>31079</v>
      </c>
      <c r="C16620" s="52">
        <v>112809.27516572</v>
      </c>
      <c r="D16620" s="56">
        <v>0.29284669698399363</v>
      </c>
      <c r="E16620" s="224" t="s">
        <v>2</v>
      </c>
      <c r="F16620" s="515" t="s">
        <v>17796</v>
      </c>
      <c r="G16620" s="52">
        <v>161783.449541284</v>
      </c>
      <c r="H16620" s="56">
        <v>0</v>
      </c>
      <c r="I16620" s="224" t="s">
        <v>2</v>
      </c>
    </row>
    <row r="16621" spans="1:9" x14ac:dyDescent="0.25">
      <c r="A16621" s="515">
        <v>28133</v>
      </c>
      <c r="B16621" s="515" t="s">
        <v>360</v>
      </c>
      <c r="C16621" s="52">
        <v>146466.83325394799</v>
      </c>
      <c r="D16621" s="56">
        <v>0.1650098045840197</v>
      </c>
      <c r="E16621" s="224" t="s">
        <v>2</v>
      </c>
      <c r="F16621" s="515" t="s">
        <v>17797</v>
      </c>
      <c r="G16621" s="52">
        <v>266209.08136486</v>
      </c>
      <c r="H16621" s="56">
        <v>8.3541731274426712E-2</v>
      </c>
      <c r="I16621" s="224" t="s">
        <v>2</v>
      </c>
    </row>
    <row r="16622" spans="1:9" x14ac:dyDescent="0.25">
      <c r="A16622" s="515">
        <v>6060</v>
      </c>
      <c r="B16622" s="515" t="s">
        <v>894</v>
      </c>
      <c r="C16622" s="52">
        <v>451824.18810655398</v>
      </c>
      <c r="D16622" s="56">
        <v>5.7347059516946658E-2</v>
      </c>
      <c r="E16622" s="224" t="s">
        <v>2</v>
      </c>
      <c r="F16622" s="515" t="s">
        <v>17798</v>
      </c>
      <c r="G16622" s="52">
        <v>99609.357798322206</v>
      </c>
      <c r="H16622" s="56">
        <v>9.7308019322938852E-2</v>
      </c>
      <c r="I16622" s="224" t="s">
        <v>2</v>
      </c>
    </row>
    <row r="16623" spans="1:9" x14ac:dyDescent="0.25">
      <c r="A16623" s="515">
        <v>28582</v>
      </c>
      <c r="B16623" s="515" t="s">
        <v>1153</v>
      </c>
      <c r="C16623" s="52">
        <v>347239.77275519603</v>
      </c>
      <c r="D16623" s="56">
        <v>0.13813755790762847</v>
      </c>
      <c r="E16623" s="224" t="s">
        <v>2</v>
      </c>
      <c r="F16623" s="515" t="s">
        <v>17799</v>
      </c>
      <c r="G16623" s="52">
        <v>129067.531720766</v>
      </c>
      <c r="H16623" s="56">
        <v>0.24312477960367995</v>
      </c>
      <c r="I16623" s="224" t="s">
        <v>2</v>
      </c>
    </row>
    <row r="16624" spans="1:9" x14ac:dyDescent="0.25">
      <c r="A16624" s="515">
        <v>13408</v>
      </c>
      <c r="B16624" s="515" t="s">
        <v>361</v>
      </c>
      <c r="C16624" s="52">
        <v>179131.09949741201</v>
      </c>
      <c r="D16624" s="56">
        <v>0.10025378361485535</v>
      </c>
      <c r="E16624" s="224" t="s">
        <v>2</v>
      </c>
      <c r="F16624" s="515" t="s">
        <v>17800</v>
      </c>
      <c r="G16624" s="52">
        <v>294828.375008795</v>
      </c>
      <c r="H16624" s="56">
        <v>0</v>
      </c>
      <c r="I16624" s="224" t="s">
        <v>2</v>
      </c>
    </row>
    <row r="16625" spans="1:9" x14ac:dyDescent="0.25">
      <c r="A16625" s="515">
        <v>27950</v>
      </c>
      <c r="B16625" s="515" t="s">
        <v>301</v>
      </c>
      <c r="C16625" s="52">
        <v>364578.74633252301</v>
      </c>
      <c r="D16625" s="56">
        <v>0.19511011726345134</v>
      </c>
      <c r="E16625" s="224" t="s">
        <v>2</v>
      </c>
      <c r="F16625" s="515" t="s">
        <v>17801</v>
      </c>
      <c r="G16625" s="52">
        <v>344206.43494059902</v>
      </c>
      <c r="H16625" s="56">
        <v>0</v>
      </c>
      <c r="I16625" s="224" t="s">
        <v>2</v>
      </c>
    </row>
    <row r="16626" spans="1:9" x14ac:dyDescent="0.25">
      <c r="A16626" s="515">
        <v>97883</v>
      </c>
      <c r="B16626" s="515" t="s">
        <v>606</v>
      </c>
      <c r="C16626" s="52">
        <v>247038.9053937</v>
      </c>
      <c r="D16626" s="56">
        <v>3.5018233943251445E-2</v>
      </c>
      <c r="E16626" s="224" t="s">
        <v>2</v>
      </c>
      <c r="F16626" s="515" t="s">
        <v>17802</v>
      </c>
      <c r="G16626" s="52">
        <v>110333.63141592201</v>
      </c>
      <c r="H16626" s="56">
        <v>0.12078450063080282</v>
      </c>
      <c r="I16626" s="224" t="s">
        <v>2</v>
      </c>
    </row>
    <row r="16627" spans="1:9" x14ac:dyDescent="0.25">
      <c r="A16627" s="515">
        <v>65740</v>
      </c>
      <c r="B16627" s="515" t="s">
        <v>757</v>
      </c>
      <c r="C16627" s="52">
        <v>157497.69810068299</v>
      </c>
      <c r="D16627" s="56">
        <v>0.14674190012417421</v>
      </c>
      <c r="E16627" s="224" t="s">
        <v>2</v>
      </c>
      <c r="F16627" s="515" t="s">
        <v>17803</v>
      </c>
      <c r="G16627" s="52">
        <v>781637.47343404102</v>
      </c>
      <c r="H16627" s="56">
        <v>2.4900669686450827E-2</v>
      </c>
      <c r="I16627" s="224" t="s">
        <v>2</v>
      </c>
    </row>
    <row r="16628" spans="1:9" x14ac:dyDescent="0.25">
      <c r="A16628" s="515">
        <v>72530</v>
      </c>
      <c r="C16628" s="52">
        <v>218335.35234000499</v>
      </c>
      <c r="D16628" s="56">
        <v>5.2787000632741145E-2</v>
      </c>
      <c r="E16628" s="224" t="s">
        <v>2</v>
      </c>
      <c r="F16628" s="515" t="s">
        <v>17804</v>
      </c>
      <c r="G16628" s="52">
        <v>179830.8425191</v>
      </c>
      <c r="H16628" s="56">
        <v>6.6018236793000576E-2</v>
      </c>
      <c r="I16628" s="224" t="s">
        <v>2</v>
      </c>
    </row>
    <row r="16629" spans="1:9" x14ac:dyDescent="0.25">
      <c r="A16629" s="515">
        <v>34797</v>
      </c>
      <c r="B16629" s="515" t="s">
        <v>517</v>
      </c>
      <c r="C16629" s="52">
        <v>336380.91615331598</v>
      </c>
      <c r="D16629" s="56">
        <v>0.107266746715099</v>
      </c>
      <c r="E16629" s="224" t="s">
        <v>2</v>
      </c>
      <c r="F16629" s="515" t="s">
        <v>17805</v>
      </c>
      <c r="G16629" s="52">
        <v>99407.710859249506</v>
      </c>
      <c r="H16629" s="56">
        <v>7.4751616801526463E-2</v>
      </c>
      <c r="I16629" s="224" t="s">
        <v>2</v>
      </c>
    </row>
    <row r="16630" spans="1:9" x14ac:dyDescent="0.25">
      <c r="A16630" s="515">
        <v>59825</v>
      </c>
      <c r="B16630" s="515" t="s">
        <v>1060</v>
      </c>
      <c r="C16630" s="52">
        <v>477112.08312121598</v>
      </c>
      <c r="D16630" s="56">
        <v>7.044141243970968E-2</v>
      </c>
      <c r="E16630" s="224" t="s">
        <v>2</v>
      </c>
      <c r="F16630" s="515" t="s">
        <v>17806</v>
      </c>
      <c r="G16630" s="52">
        <v>414766.899688148</v>
      </c>
      <c r="H16630" s="56">
        <v>8.3874602675340956E-2</v>
      </c>
      <c r="I16630" s="224" t="s">
        <v>2</v>
      </c>
    </row>
    <row r="16631" spans="1:9" x14ac:dyDescent="0.25">
      <c r="A16631" s="515">
        <v>63655</v>
      </c>
      <c r="C16631" s="52">
        <v>154759.527162065</v>
      </c>
      <c r="D16631" s="56">
        <v>3.6110729057187999E-2</v>
      </c>
      <c r="E16631" s="224" t="s">
        <v>2</v>
      </c>
      <c r="F16631" s="515" t="s">
        <v>17807</v>
      </c>
      <c r="G16631" s="52">
        <v>318172.401166845</v>
      </c>
      <c r="H16631" s="56">
        <v>0</v>
      </c>
      <c r="I16631" s="224" t="s">
        <v>2</v>
      </c>
    </row>
    <row r="16632" spans="1:9" x14ac:dyDescent="0.25">
      <c r="A16632" s="515">
        <v>21160</v>
      </c>
      <c r="B16632" s="515" t="s">
        <v>582</v>
      </c>
      <c r="C16632" s="52">
        <v>367189.11119990097</v>
      </c>
      <c r="D16632" s="56">
        <v>2.3553620539356338E-2</v>
      </c>
      <c r="E16632" s="224" t="s">
        <v>2</v>
      </c>
      <c r="F16632" s="515" t="s">
        <v>17808</v>
      </c>
      <c r="G16632" s="52">
        <v>122173.55344923001</v>
      </c>
      <c r="H16632" s="56">
        <v>0.11588463835906875</v>
      </c>
      <c r="I16632" s="224" t="s">
        <v>2</v>
      </c>
    </row>
    <row r="16633" spans="1:9" x14ac:dyDescent="0.25">
      <c r="A16633" s="515">
        <v>53002</v>
      </c>
      <c r="B16633" s="515" t="s">
        <v>950</v>
      </c>
      <c r="C16633" s="52">
        <v>309544.85016512999</v>
      </c>
      <c r="D16633" s="56">
        <v>2.3944898190562287E-2</v>
      </c>
      <c r="E16633" s="224" t="s">
        <v>2</v>
      </c>
      <c r="F16633" s="515" t="s">
        <v>17809</v>
      </c>
      <c r="G16633" s="52">
        <v>118896.812781916</v>
      </c>
      <c r="H16633" s="56">
        <v>0.16551578415323168</v>
      </c>
      <c r="I16633" s="224" t="s">
        <v>2</v>
      </c>
    </row>
    <row r="16634" spans="1:9" x14ac:dyDescent="0.25">
      <c r="A16634" s="515">
        <v>30634</v>
      </c>
      <c r="C16634" s="52">
        <v>159229.85062507101</v>
      </c>
      <c r="D16634" s="56">
        <v>1.6919363937059867E-2</v>
      </c>
      <c r="E16634" s="224" t="s">
        <v>2</v>
      </c>
      <c r="F16634" s="515" t="s">
        <v>17810</v>
      </c>
      <c r="G16634" s="52">
        <v>261594.63593153999</v>
      </c>
      <c r="H16634" s="56">
        <v>7.2901465768548585E-2</v>
      </c>
      <c r="I16634" s="224" t="s">
        <v>2</v>
      </c>
    </row>
    <row r="16635" spans="1:9" x14ac:dyDescent="0.25">
      <c r="A16635" s="515">
        <v>44608</v>
      </c>
      <c r="B16635" s="515" t="s">
        <v>863</v>
      </c>
      <c r="C16635" s="52">
        <v>177034.61613703601</v>
      </c>
      <c r="D16635" s="56">
        <v>6.2939283483718245E-2</v>
      </c>
      <c r="E16635" s="224" t="s">
        <v>2</v>
      </c>
      <c r="F16635" s="515" t="s">
        <v>17811</v>
      </c>
      <c r="G16635" s="52">
        <v>162292.85567010299</v>
      </c>
      <c r="H16635" s="56">
        <v>0</v>
      </c>
      <c r="I16635" s="224" t="s">
        <v>2</v>
      </c>
    </row>
    <row r="16636" spans="1:9" x14ac:dyDescent="0.25">
      <c r="A16636" s="515">
        <v>85137</v>
      </c>
      <c r="B16636" s="515" t="s">
        <v>563</v>
      </c>
      <c r="C16636" s="52">
        <v>155871.332507268</v>
      </c>
      <c r="D16636" s="56">
        <v>9.6134125283684771E-2</v>
      </c>
      <c r="E16636" s="224" t="s">
        <v>2</v>
      </c>
      <c r="F16636" s="515" t="s">
        <v>17812</v>
      </c>
      <c r="G16636" s="52">
        <v>368594.42776768602</v>
      </c>
      <c r="H16636" s="56">
        <v>2.056985639719857E-2</v>
      </c>
      <c r="I16636" s="224" t="s">
        <v>2</v>
      </c>
    </row>
    <row r="16637" spans="1:9" x14ac:dyDescent="0.25">
      <c r="A16637" s="515">
        <v>75172</v>
      </c>
      <c r="B16637" s="515" t="s">
        <v>458</v>
      </c>
      <c r="C16637" s="52">
        <v>204237.80285475199</v>
      </c>
      <c r="D16637" s="56">
        <v>0.20129634350722617</v>
      </c>
      <c r="E16637" s="224" t="s">
        <v>2</v>
      </c>
      <c r="F16637" s="515" t="s">
        <v>17813</v>
      </c>
      <c r="G16637" s="52">
        <v>195527.24399736899</v>
      </c>
      <c r="H16637" s="56">
        <v>3.2394018094248363E-2</v>
      </c>
      <c r="I16637" s="224" t="s">
        <v>2</v>
      </c>
    </row>
    <row r="16638" spans="1:9" x14ac:dyDescent="0.25">
      <c r="A16638" s="515">
        <v>55354</v>
      </c>
      <c r="B16638" s="515" t="s">
        <v>882</v>
      </c>
      <c r="C16638" s="52">
        <v>279434.20049540797</v>
      </c>
      <c r="D16638" s="56">
        <v>3.8645319085395619E-2</v>
      </c>
      <c r="E16638" s="224" t="s">
        <v>2</v>
      </c>
      <c r="F16638" s="515" t="s">
        <v>17814</v>
      </c>
      <c r="G16638" s="52">
        <v>104154.05699564</v>
      </c>
      <c r="H16638" s="56">
        <v>-2.3341123354434421E-2</v>
      </c>
      <c r="I16638" s="224" t="s">
        <v>2</v>
      </c>
    </row>
    <row r="16639" spans="1:9" x14ac:dyDescent="0.25">
      <c r="A16639" s="515">
        <v>27812</v>
      </c>
      <c r="B16639" s="515" t="s">
        <v>1152</v>
      </c>
      <c r="C16639" s="52">
        <v>127500.00280723</v>
      </c>
      <c r="D16639" s="56">
        <v>0.229080274352602</v>
      </c>
      <c r="E16639" s="224" t="s">
        <v>2</v>
      </c>
      <c r="F16639" s="515" t="s">
        <v>17815</v>
      </c>
      <c r="G16639" s="52">
        <v>134345.58917966299</v>
      </c>
      <c r="H16639" s="56">
        <v>4.2715896139405893E-2</v>
      </c>
      <c r="I16639" s="224" t="s">
        <v>2</v>
      </c>
    </row>
    <row r="16640" spans="1:9" x14ac:dyDescent="0.25">
      <c r="A16640" s="515">
        <v>42166</v>
      </c>
      <c r="B16640" s="515" t="s">
        <v>829</v>
      </c>
      <c r="C16640" s="52">
        <v>141216.68206779801</v>
      </c>
      <c r="D16640" s="56">
        <v>0.19261512628080765</v>
      </c>
      <c r="E16640" s="224" t="s">
        <v>2</v>
      </c>
      <c r="F16640" s="515" t="s">
        <v>17816</v>
      </c>
      <c r="G16640" s="52">
        <v>223298.40078963901</v>
      </c>
      <c r="H16640" s="56">
        <v>0.17457166537336366</v>
      </c>
      <c r="I16640" s="224" t="s">
        <v>2</v>
      </c>
    </row>
    <row r="16641" spans="1:9" x14ac:dyDescent="0.25">
      <c r="A16641" s="515">
        <v>38240</v>
      </c>
      <c r="B16641" s="515" t="s">
        <v>1044</v>
      </c>
      <c r="C16641" s="52">
        <v>101397.668175144</v>
      </c>
      <c r="D16641" s="56">
        <v>0.10588823557970092</v>
      </c>
      <c r="E16641" s="224" t="s">
        <v>2</v>
      </c>
      <c r="F16641" s="515" t="s">
        <v>17817</v>
      </c>
      <c r="G16641" s="52">
        <v>139973.924649227</v>
      </c>
      <c r="H16641" s="56">
        <v>3.8334873363236405E-2</v>
      </c>
      <c r="I16641" s="224" t="s">
        <v>2</v>
      </c>
    </row>
    <row r="16642" spans="1:9" x14ac:dyDescent="0.25">
      <c r="A16642" s="515">
        <v>88346</v>
      </c>
      <c r="B16642" s="515" t="s">
        <v>616</v>
      </c>
      <c r="C16642" s="52">
        <v>191049.066752538</v>
      </c>
      <c r="D16642" s="56">
        <v>6.5457792163251659E-3</v>
      </c>
      <c r="E16642" s="224" t="s">
        <v>2</v>
      </c>
      <c r="F16642" s="515" t="s">
        <v>17818</v>
      </c>
      <c r="G16642" s="52">
        <v>275989.01444818499</v>
      </c>
      <c r="H16642" s="56">
        <v>9.0791328693505952E-2</v>
      </c>
      <c r="I16642" s="224" t="s">
        <v>2</v>
      </c>
    </row>
    <row r="16643" spans="1:9" x14ac:dyDescent="0.25">
      <c r="A16643" s="515">
        <v>73173</v>
      </c>
      <c r="B16643" s="515" t="s">
        <v>385</v>
      </c>
      <c r="C16643" s="52">
        <v>383806.49290712603</v>
      </c>
      <c r="D16643" s="56">
        <v>8.5552177663508006E-2</v>
      </c>
      <c r="E16643" s="224" t="s">
        <v>2</v>
      </c>
      <c r="F16643" s="515" t="s">
        <v>17819</v>
      </c>
      <c r="G16643" s="52">
        <v>178256.93573877</v>
      </c>
      <c r="H16643" s="56">
        <v>9.1395743189194134E-2</v>
      </c>
      <c r="I16643" s="224" t="s">
        <v>2</v>
      </c>
    </row>
    <row r="16644" spans="1:9" x14ac:dyDescent="0.25">
      <c r="A16644" s="515">
        <v>64077</v>
      </c>
      <c r="B16644" s="515" t="s">
        <v>455</v>
      </c>
      <c r="C16644" s="52">
        <v>199113.74775670699</v>
      </c>
      <c r="D16644" s="56">
        <v>9.8362857753048663E-2</v>
      </c>
      <c r="E16644" s="224" t="s">
        <v>2</v>
      </c>
      <c r="F16644" s="515" t="s">
        <v>17820</v>
      </c>
      <c r="G16644" s="52">
        <v>114573.843451193</v>
      </c>
      <c r="H16644" s="56">
        <v>9.0054501740482976E-2</v>
      </c>
      <c r="I16644" s="224" t="s">
        <v>2</v>
      </c>
    </row>
    <row r="16645" spans="1:9" x14ac:dyDescent="0.25">
      <c r="A16645" s="515">
        <v>62048</v>
      </c>
      <c r="B16645" s="515" t="s">
        <v>498</v>
      </c>
      <c r="C16645" s="52">
        <v>66262.8344742435</v>
      </c>
      <c r="D16645" s="56">
        <v>0.13818373688415295</v>
      </c>
      <c r="E16645" s="224" t="s">
        <v>2</v>
      </c>
      <c r="F16645" s="515" t="s">
        <v>17821</v>
      </c>
      <c r="G16645" s="52">
        <v>309201.802904493</v>
      </c>
      <c r="H16645" s="56">
        <v>8.1123561162285751E-2</v>
      </c>
      <c r="I16645" s="224" t="s">
        <v>2</v>
      </c>
    </row>
    <row r="16646" spans="1:9" x14ac:dyDescent="0.25">
      <c r="A16646" s="515">
        <v>44633</v>
      </c>
      <c r="C16646" s="52">
        <v>274986.83178897097</v>
      </c>
      <c r="D16646" s="56">
        <v>0.15380014724978225</v>
      </c>
      <c r="E16646" s="224" t="s">
        <v>2</v>
      </c>
      <c r="F16646" s="515" t="s">
        <v>17822</v>
      </c>
      <c r="G16646" s="52">
        <v>110295.698519535</v>
      </c>
      <c r="H16646" s="56">
        <v>9.1156969807387675E-2</v>
      </c>
      <c r="I16646" s="224" t="s">
        <v>2</v>
      </c>
    </row>
    <row r="16647" spans="1:9" x14ac:dyDescent="0.25">
      <c r="A16647" s="515">
        <v>50171</v>
      </c>
      <c r="C16647" s="52">
        <v>261651.43203504101</v>
      </c>
      <c r="D16647" s="56">
        <v>9.839726628784308E-2</v>
      </c>
      <c r="E16647" s="224" t="s">
        <v>2</v>
      </c>
      <c r="F16647" s="515" t="s">
        <v>17823</v>
      </c>
      <c r="G16647" s="52">
        <v>279953.095616873</v>
      </c>
      <c r="H16647" s="56">
        <v>1.1032593251360684E-2</v>
      </c>
      <c r="I16647" s="224" t="s">
        <v>2</v>
      </c>
    </row>
    <row r="16648" spans="1:9" x14ac:dyDescent="0.25">
      <c r="A16648" s="515">
        <v>72121</v>
      </c>
      <c r="B16648" s="515" t="s">
        <v>414</v>
      </c>
      <c r="C16648" s="52">
        <v>167095.40407606101</v>
      </c>
      <c r="D16648" s="56">
        <v>7.6724011253785473E-2</v>
      </c>
      <c r="E16648" s="224" t="s">
        <v>2</v>
      </c>
      <c r="F16648" s="515" t="s">
        <v>17824</v>
      </c>
      <c r="G16648" s="52">
        <v>463625.45694009901</v>
      </c>
      <c r="H16648" s="56">
        <v>0.10892909457917863</v>
      </c>
      <c r="I16648" s="224" t="s">
        <v>2</v>
      </c>
    </row>
    <row r="16649" spans="1:9" x14ac:dyDescent="0.25">
      <c r="A16649" s="515">
        <v>3258</v>
      </c>
      <c r="B16649" s="515" t="s">
        <v>981</v>
      </c>
      <c r="C16649" s="52">
        <v>433529.18330704299</v>
      </c>
      <c r="D16649" s="56">
        <v>8.0677376261750852E-2</v>
      </c>
      <c r="E16649" s="224" t="s">
        <v>2</v>
      </c>
      <c r="F16649" s="515" t="s">
        <v>17825</v>
      </c>
      <c r="G16649" s="52">
        <v>272248.76866093301</v>
      </c>
      <c r="H16649" s="56">
        <v>0.15631932662031719</v>
      </c>
      <c r="I16649" s="224" t="s">
        <v>2</v>
      </c>
    </row>
    <row r="16650" spans="1:9" x14ac:dyDescent="0.25">
      <c r="A16650" s="515">
        <v>18503</v>
      </c>
      <c r="B16650" s="515" t="s">
        <v>512</v>
      </c>
      <c r="C16650" s="52">
        <v>138480.485450112</v>
      </c>
      <c r="D16650" s="56">
        <v>0</v>
      </c>
      <c r="E16650" s="224" t="s">
        <v>2</v>
      </c>
      <c r="F16650" s="515" t="s">
        <v>17826</v>
      </c>
      <c r="G16650" s="52">
        <v>209613.19273931501</v>
      </c>
      <c r="H16650" s="56">
        <v>0.12025352228740202</v>
      </c>
      <c r="I16650" s="224" t="s">
        <v>2</v>
      </c>
    </row>
    <row r="16651" spans="1:9" x14ac:dyDescent="0.25">
      <c r="A16651" s="515">
        <v>13060</v>
      </c>
      <c r="B16651" s="515" t="s">
        <v>361</v>
      </c>
      <c r="C16651" s="52">
        <v>210483.51456071599</v>
      </c>
      <c r="D16651" s="56">
        <v>8.0853250547024247E-2</v>
      </c>
      <c r="E16651" s="224" t="s">
        <v>2</v>
      </c>
      <c r="F16651" s="515" t="s">
        <v>17827</v>
      </c>
      <c r="G16651" s="52">
        <v>104496.932193606</v>
      </c>
      <c r="H16651" s="56">
        <v>0.13484313731022762</v>
      </c>
      <c r="I16651" s="224" t="s">
        <v>2</v>
      </c>
    </row>
    <row r="16652" spans="1:9" x14ac:dyDescent="0.25">
      <c r="A16652" s="515">
        <v>53139</v>
      </c>
      <c r="B16652" s="515" t="s">
        <v>1151</v>
      </c>
      <c r="C16652" s="52">
        <v>262859.431905729</v>
      </c>
      <c r="D16652" s="56">
        <v>5.154118172279222E-2</v>
      </c>
      <c r="E16652" s="224" t="s">
        <v>2</v>
      </c>
      <c r="F16652" s="515" t="s">
        <v>17828</v>
      </c>
      <c r="G16652" s="52">
        <v>104028.38521601001</v>
      </c>
      <c r="H16652" s="56">
        <v>6.9798555633306683E-2</v>
      </c>
      <c r="I16652" s="224" t="s">
        <v>2</v>
      </c>
    </row>
    <row r="16653" spans="1:9" x14ac:dyDescent="0.25">
      <c r="A16653" s="515">
        <v>98339</v>
      </c>
      <c r="C16653" s="52">
        <v>421907.60690608498</v>
      </c>
      <c r="D16653" s="56">
        <v>4.4724072170856069E-2</v>
      </c>
      <c r="E16653" s="224" t="s">
        <v>2</v>
      </c>
      <c r="F16653" s="515" t="s">
        <v>17829</v>
      </c>
      <c r="G16653" s="52">
        <v>47262.896393970899</v>
      </c>
      <c r="H16653" s="56">
        <v>-2.6510122204636919E-2</v>
      </c>
      <c r="I16653" s="224" t="s">
        <v>2</v>
      </c>
    </row>
    <row r="16654" spans="1:9" x14ac:dyDescent="0.25">
      <c r="A16654" s="515">
        <v>15672</v>
      </c>
      <c r="B16654" s="515" t="s">
        <v>297</v>
      </c>
      <c r="C16654" s="52">
        <v>194274.67961894599</v>
      </c>
      <c r="D16654" s="56">
        <v>2.0150481704748861E-2</v>
      </c>
      <c r="E16654" s="224" t="s">
        <v>2</v>
      </c>
      <c r="F16654" s="515" t="s">
        <v>17830</v>
      </c>
      <c r="G16654" s="52">
        <v>311599.21368706803</v>
      </c>
      <c r="H16654" s="56">
        <v>0</v>
      </c>
      <c r="I16654" s="224" t="s">
        <v>2</v>
      </c>
    </row>
    <row r="16655" spans="1:9" x14ac:dyDescent="0.25">
      <c r="A16655" s="515">
        <v>73438</v>
      </c>
      <c r="B16655" s="515" t="s">
        <v>710</v>
      </c>
      <c r="C16655" s="52">
        <v>85847.378470712705</v>
      </c>
      <c r="D16655" s="56">
        <v>0.2608339094465898</v>
      </c>
      <c r="E16655" s="224" t="s">
        <v>2</v>
      </c>
      <c r="F16655" s="515" t="s">
        <v>17831</v>
      </c>
      <c r="G16655" s="52">
        <v>415556.00969852501</v>
      </c>
      <c r="H16655" s="56">
        <v>1.703108757696772E-2</v>
      </c>
      <c r="I16655" s="224" t="s">
        <v>2</v>
      </c>
    </row>
    <row r="16656" spans="1:9" x14ac:dyDescent="0.25">
      <c r="A16656" s="515">
        <v>28740</v>
      </c>
      <c r="C16656" s="52">
        <v>229028.937712385</v>
      </c>
      <c r="D16656" s="56">
        <v>0.1843338656099735</v>
      </c>
      <c r="E16656" s="224" t="s">
        <v>2</v>
      </c>
      <c r="F16656" s="515" t="s">
        <v>17832</v>
      </c>
      <c r="G16656" s="52">
        <v>247138.818619561</v>
      </c>
      <c r="H16656" s="56">
        <v>0.10078779330077371</v>
      </c>
      <c r="I16656" s="224" t="s">
        <v>2</v>
      </c>
    </row>
    <row r="16657" spans="1:9" x14ac:dyDescent="0.25">
      <c r="A16657" s="515">
        <v>54871</v>
      </c>
      <c r="C16657" s="52">
        <v>275163.34862162598</v>
      </c>
      <c r="D16657" s="56">
        <v>0.10129684631124494</v>
      </c>
      <c r="E16657" s="224" t="s">
        <v>2</v>
      </c>
      <c r="F16657" s="515" t="s">
        <v>17833</v>
      </c>
      <c r="G16657" s="52">
        <v>60960.897978605601</v>
      </c>
      <c r="H16657" s="56">
        <v>0.14911996612265604</v>
      </c>
      <c r="I16657" s="224" t="s">
        <v>2</v>
      </c>
    </row>
    <row r="16658" spans="1:9" x14ac:dyDescent="0.25">
      <c r="A16658" s="515">
        <v>72858</v>
      </c>
      <c r="B16658" s="515" t="s">
        <v>636</v>
      </c>
      <c r="C16658" s="52">
        <v>179481.35184297501</v>
      </c>
      <c r="D16658" s="56">
        <v>8.5990732414401486E-2</v>
      </c>
      <c r="E16658" s="224" t="s">
        <v>2</v>
      </c>
      <c r="F16658" s="515" t="s">
        <v>17834</v>
      </c>
      <c r="G16658" s="52">
        <v>154369.83649198999</v>
      </c>
      <c r="H16658" s="56">
        <v>0.11114476283556099</v>
      </c>
      <c r="I16658" s="224" t="s">
        <v>2</v>
      </c>
    </row>
    <row r="16659" spans="1:9" x14ac:dyDescent="0.25">
      <c r="A16659" s="515">
        <v>28763</v>
      </c>
      <c r="C16659" s="52">
        <v>268972.28954732599</v>
      </c>
      <c r="D16659" s="56">
        <v>0.13282227553420825</v>
      </c>
      <c r="E16659" s="224" t="s">
        <v>2</v>
      </c>
      <c r="F16659" s="515" t="s">
        <v>17835</v>
      </c>
      <c r="G16659" s="52">
        <v>142909.99101105801</v>
      </c>
      <c r="H16659" s="56">
        <v>0.1161675163928314</v>
      </c>
      <c r="I16659" s="224" t="s">
        <v>2</v>
      </c>
    </row>
    <row r="16660" spans="1:9" x14ac:dyDescent="0.25">
      <c r="A16660" s="515">
        <v>89021</v>
      </c>
      <c r="B16660" s="515" t="s">
        <v>323</v>
      </c>
      <c r="C16660" s="52">
        <v>442888.23806610599</v>
      </c>
      <c r="D16660" s="56">
        <v>6.2218086649394107E-2</v>
      </c>
      <c r="E16660" s="224" t="s">
        <v>2</v>
      </c>
      <c r="F16660" s="515" t="s">
        <v>17836</v>
      </c>
      <c r="G16660" s="52">
        <v>74330.335130449603</v>
      </c>
      <c r="H16660" s="56">
        <v>9.4693956973837826E-2</v>
      </c>
      <c r="I16660" s="224" t="s">
        <v>2</v>
      </c>
    </row>
    <row r="16661" spans="1:9" x14ac:dyDescent="0.25">
      <c r="A16661" s="515">
        <v>6256</v>
      </c>
      <c r="B16661" s="515" t="s">
        <v>751</v>
      </c>
      <c r="C16661" s="52">
        <v>243623.73406411801</v>
      </c>
      <c r="D16661" s="56">
        <v>0.10098988914795198</v>
      </c>
      <c r="E16661" s="224" t="s">
        <v>2</v>
      </c>
      <c r="F16661" s="515" t="s">
        <v>17837</v>
      </c>
      <c r="G16661" s="52">
        <v>209394.42277168401</v>
      </c>
      <c r="H16661" s="56">
        <v>4.7321395313974904E-2</v>
      </c>
      <c r="I16661" s="224" t="s">
        <v>2</v>
      </c>
    </row>
    <row r="16662" spans="1:9" x14ac:dyDescent="0.25">
      <c r="A16662" s="515">
        <v>73945</v>
      </c>
      <c r="B16662" s="515" t="s">
        <v>1005</v>
      </c>
      <c r="C16662" s="52">
        <v>147661.75398468101</v>
      </c>
      <c r="D16662" s="56">
        <v>7.0029668421335053E-2</v>
      </c>
      <c r="E16662" s="224" t="s">
        <v>2</v>
      </c>
      <c r="F16662" s="515" t="s">
        <v>17838</v>
      </c>
      <c r="G16662" s="52">
        <v>183653.88156068799</v>
      </c>
      <c r="H16662" s="56">
        <v>0.13818032914495831</v>
      </c>
      <c r="I16662" s="224" t="s">
        <v>2</v>
      </c>
    </row>
    <row r="16663" spans="1:9" x14ac:dyDescent="0.25">
      <c r="A16663" s="515">
        <v>37026</v>
      </c>
      <c r="B16663" s="515" t="s">
        <v>684</v>
      </c>
      <c r="C16663" s="52">
        <v>273960.330008152</v>
      </c>
      <c r="D16663" s="56">
        <v>8.5337363666067284E-2</v>
      </c>
      <c r="E16663" s="224" t="s">
        <v>2</v>
      </c>
      <c r="F16663" s="515" t="s">
        <v>17839</v>
      </c>
      <c r="G16663" s="52">
        <v>203489.91123317601</v>
      </c>
      <c r="H16663" s="56">
        <v>2.0713826957325529E-2</v>
      </c>
      <c r="I16663" s="224" t="s">
        <v>2</v>
      </c>
    </row>
    <row r="16664" spans="1:9" x14ac:dyDescent="0.25">
      <c r="A16664" s="515">
        <v>50854</v>
      </c>
      <c r="C16664" s="52">
        <v>100064.68143367401</v>
      </c>
      <c r="D16664" s="56">
        <v>4.218059746466208E-2</v>
      </c>
      <c r="E16664" s="224" t="s">
        <v>2</v>
      </c>
      <c r="F16664" s="515" t="s">
        <v>17840</v>
      </c>
      <c r="G16664" s="52">
        <v>213689.68277022499</v>
      </c>
      <c r="H16664" s="56">
        <v>8.8035599520296423E-2</v>
      </c>
      <c r="I16664" s="224" t="s">
        <v>2</v>
      </c>
    </row>
    <row r="16665" spans="1:9" x14ac:dyDescent="0.25">
      <c r="A16665" s="515">
        <v>35053</v>
      </c>
      <c r="B16665" s="515" t="s">
        <v>1110</v>
      </c>
      <c r="C16665" s="52">
        <v>409519.58627300599</v>
      </c>
      <c r="D16665" s="56">
        <v>7.4108740115694891E-2</v>
      </c>
      <c r="E16665" s="224" t="s">
        <v>2</v>
      </c>
      <c r="F16665" s="515" t="s">
        <v>17841</v>
      </c>
      <c r="G16665" s="52">
        <v>480735.83444304601</v>
      </c>
      <c r="H16665" s="56">
        <v>0.15210120841849328</v>
      </c>
      <c r="I16665" s="224" t="s">
        <v>2</v>
      </c>
    </row>
    <row r="16666" spans="1:9" x14ac:dyDescent="0.25">
      <c r="A16666" s="515">
        <v>24440</v>
      </c>
      <c r="B16666" s="515" t="s">
        <v>728</v>
      </c>
      <c r="C16666" s="52">
        <v>280639.56425096799</v>
      </c>
      <c r="D16666" s="56">
        <v>9.1472373083345118E-2</v>
      </c>
      <c r="E16666" s="224" t="s">
        <v>2</v>
      </c>
      <c r="F16666" s="515" t="s">
        <v>17842</v>
      </c>
      <c r="G16666" s="52">
        <v>307917.42004280502</v>
      </c>
      <c r="H16666" s="56">
        <v>8.8069290977933395E-2</v>
      </c>
      <c r="I16666" s="224" t="s">
        <v>2</v>
      </c>
    </row>
    <row r="16667" spans="1:9" x14ac:dyDescent="0.25">
      <c r="A16667" s="515">
        <v>49688</v>
      </c>
      <c r="C16667" s="52">
        <v>168782.38380507199</v>
      </c>
      <c r="D16667" s="56">
        <v>5.8092727843345113E-2</v>
      </c>
      <c r="E16667" s="224" t="s">
        <v>2</v>
      </c>
      <c r="F16667" s="515" t="s">
        <v>17843</v>
      </c>
      <c r="G16667" s="52">
        <v>149899.08856794101</v>
      </c>
      <c r="H16667" s="56">
        <v>0.12545099633782353</v>
      </c>
      <c r="I16667" s="224" t="s">
        <v>2</v>
      </c>
    </row>
    <row r="16668" spans="1:9" x14ac:dyDescent="0.25">
      <c r="A16668" s="515">
        <v>15468</v>
      </c>
      <c r="B16668" s="515" t="s">
        <v>297</v>
      </c>
      <c r="C16668" s="52">
        <v>79927.045594477095</v>
      </c>
      <c r="D16668" s="56">
        <v>5.6214568202286E-2</v>
      </c>
      <c r="E16668" s="224" t="s">
        <v>2</v>
      </c>
      <c r="F16668" s="515" t="s">
        <v>17844</v>
      </c>
      <c r="G16668" s="52">
        <v>202143.92601470099</v>
      </c>
      <c r="H16668" s="56">
        <v>3.7949524516510437E-2</v>
      </c>
      <c r="I16668" s="224" t="s">
        <v>2</v>
      </c>
    </row>
    <row r="16669" spans="1:9" x14ac:dyDescent="0.25">
      <c r="A16669" s="515">
        <v>24983</v>
      </c>
      <c r="C16669" s="52">
        <v>130491.562667463</v>
      </c>
      <c r="D16669" s="56">
        <v>7.8785921838565851E-2</v>
      </c>
      <c r="E16669" s="224" t="s">
        <v>2</v>
      </c>
      <c r="F16669" s="515" t="s">
        <v>17845</v>
      </c>
      <c r="G16669" s="52">
        <v>94882.108774186796</v>
      </c>
      <c r="H16669" s="56">
        <v>0.2205110350002969</v>
      </c>
      <c r="I16669" s="224" t="s">
        <v>2</v>
      </c>
    </row>
    <row r="16670" spans="1:9" x14ac:dyDescent="0.25">
      <c r="A16670" s="515">
        <v>71860</v>
      </c>
      <c r="C16670" s="52">
        <v>56291.140017160396</v>
      </c>
      <c r="D16670" s="56">
        <v>3.0317943621035171E-2</v>
      </c>
      <c r="E16670" s="224" t="s">
        <v>2</v>
      </c>
      <c r="F16670" s="515" t="s">
        <v>17846</v>
      </c>
      <c r="G16670" s="52">
        <v>174678.91912116099</v>
      </c>
      <c r="H16670" s="56">
        <v>8.6752171511299978E-2</v>
      </c>
      <c r="I16670" s="224" t="s">
        <v>2</v>
      </c>
    </row>
    <row r="16671" spans="1:9" x14ac:dyDescent="0.25">
      <c r="A16671" s="515">
        <v>38633</v>
      </c>
      <c r="C16671" s="52">
        <v>105439.03706071099</v>
      </c>
      <c r="D16671" s="56">
        <v>-0.10747142294688015</v>
      </c>
      <c r="E16671" s="224" t="s">
        <v>2</v>
      </c>
      <c r="F16671" s="515" t="s">
        <v>17847</v>
      </c>
      <c r="G16671" s="52">
        <v>309820.1071431</v>
      </c>
      <c r="H16671" s="56">
        <v>5.8764485891208737E-2</v>
      </c>
      <c r="I16671" s="224" t="s">
        <v>2</v>
      </c>
    </row>
    <row r="16672" spans="1:9" x14ac:dyDescent="0.25">
      <c r="A16672" s="515">
        <v>1434</v>
      </c>
      <c r="B16672" s="515" t="s">
        <v>751</v>
      </c>
      <c r="C16672" s="52">
        <v>554422.23252759594</v>
      </c>
      <c r="D16672" s="56">
        <v>0.1233998167505405</v>
      </c>
      <c r="E16672" s="224" t="s">
        <v>2</v>
      </c>
      <c r="F16672" s="515" t="s">
        <v>17848</v>
      </c>
      <c r="G16672" s="52">
        <v>295111.15956894599</v>
      </c>
      <c r="H16672" s="56">
        <v>5.7821065771227295E-2</v>
      </c>
      <c r="I16672" s="224" t="s">
        <v>2</v>
      </c>
    </row>
    <row r="16673" spans="1:9" x14ac:dyDescent="0.25">
      <c r="A16673" s="515">
        <v>37308</v>
      </c>
      <c r="B16673" s="515" t="s">
        <v>622</v>
      </c>
      <c r="C16673" s="52">
        <v>281184.11435365299</v>
      </c>
      <c r="D16673" s="56">
        <v>0.11591050778689571</v>
      </c>
      <c r="E16673" s="224" t="s">
        <v>2</v>
      </c>
      <c r="F16673" s="515" t="s">
        <v>17849</v>
      </c>
      <c r="G16673" s="52">
        <v>86943.100772361693</v>
      </c>
      <c r="H16673" s="56">
        <v>0.16030843518645185</v>
      </c>
      <c r="I16673" s="224" t="s">
        <v>2</v>
      </c>
    </row>
    <row r="16674" spans="1:9" x14ac:dyDescent="0.25">
      <c r="A16674" s="515">
        <v>54639</v>
      </c>
      <c r="C16674" s="52">
        <v>132207.88129838399</v>
      </c>
      <c r="D16674" s="56">
        <v>1.6923342909682563E-2</v>
      </c>
      <c r="E16674" s="224" t="s">
        <v>2</v>
      </c>
      <c r="F16674" s="515" t="s">
        <v>17850</v>
      </c>
      <c r="G16674" s="52">
        <v>82705.178915528799</v>
      </c>
      <c r="H16674" s="56">
        <v>-2.5497169357682498E-2</v>
      </c>
      <c r="I16674" s="224" t="s">
        <v>2</v>
      </c>
    </row>
    <row r="16675" spans="1:9" x14ac:dyDescent="0.25">
      <c r="A16675" s="515">
        <v>75639</v>
      </c>
      <c r="C16675" s="52">
        <v>154246.95919048099</v>
      </c>
      <c r="D16675" s="56">
        <v>0</v>
      </c>
      <c r="E16675" s="224" t="s">
        <v>2</v>
      </c>
      <c r="F16675" s="515" t="s">
        <v>17851</v>
      </c>
      <c r="G16675" s="52">
        <v>453484.307873921</v>
      </c>
      <c r="H16675" s="56">
        <v>3.6488526989407251E-2</v>
      </c>
      <c r="I16675" s="224" t="s">
        <v>2</v>
      </c>
    </row>
    <row r="16676" spans="1:9" x14ac:dyDescent="0.25">
      <c r="A16676" s="515">
        <v>54966</v>
      </c>
      <c r="C16676" s="52">
        <v>152873.57737871</v>
      </c>
      <c r="D16676" s="56">
        <v>0.11909535045686044</v>
      </c>
      <c r="E16676" s="224" t="s">
        <v>2</v>
      </c>
      <c r="F16676" s="515" t="s">
        <v>17852</v>
      </c>
      <c r="G16676" s="52">
        <v>83813.046394867895</v>
      </c>
      <c r="H16676" s="56">
        <v>0.14512619266490207</v>
      </c>
      <c r="I16676" s="224" t="s">
        <v>2</v>
      </c>
    </row>
    <row r="16677" spans="1:9" x14ac:dyDescent="0.25">
      <c r="A16677" s="515">
        <v>56750</v>
      </c>
      <c r="C16677" s="52">
        <v>169465.638641645</v>
      </c>
      <c r="D16677" s="56">
        <v>1.7056648685719662E-2</v>
      </c>
      <c r="E16677" s="224" t="s">
        <v>2</v>
      </c>
      <c r="F16677" s="515" t="s">
        <v>17853</v>
      </c>
      <c r="G16677" s="52">
        <v>102164.940383505</v>
      </c>
      <c r="H16677" s="56">
        <v>0.14024075646664078</v>
      </c>
      <c r="I16677" s="224" t="s">
        <v>2</v>
      </c>
    </row>
    <row r="16678" spans="1:9" x14ac:dyDescent="0.25">
      <c r="A16678" s="515">
        <v>2804</v>
      </c>
      <c r="B16678" s="515" t="s">
        <v>513</v>
      </c>
      <c r="C16678" s="52">
        <v>363774.26287110097</v>
      </c>
      <c r="D16678" s="56">
        <v>6.7049156829414092E-2</v>
      </c>
      <c r="E16678" s="224" t="s">
        <v>2</v>
      </c>
      <c r="F16678" s="515" t="s">
        <v>17854</v>
      </c>
      <c r="G16678" s="52">
        <v>382339.04728718603</v>
      </c>
      <c r="H16678" s="56">
        <v>7.4042886146669526E-2</v>
      </c>
      <c r="I16678" s="224" t="s">
        <v>2</v>
      </c>
    </row>
    <row r="16679" spans="1:9" x14ac:dyDescent="0.25">
      <c r="A16679" s="515">
        <v>43942</v>
      </c>
      <c r="B16679" s="515" t="s">
        <v>442</v>
      </c>
      <c r="C16679" s="52">
        <v>112806.690976885</v>
      </c>
      <c r="D16679" s="56">
        <v>7.9510066698211854E-2</v>
      </c>
      <c r="E16679" s="224" t="s">
        <v>2</v>
      </c>
      <c r="F16679" s="515" t="s">
        <v>17855</v>
      </c>
      <c r="G16679" s="52">
        <v>208520.60861664501</v>
      </c>
      <c r="H16679" s="56">
        <v>7.003688914034209E-2</v>
      </c>
      <c r="I16679" s="224" t="s">
        <v>2</v>
      </c>
    </row>
    <row r="16680" spans="1:9" x14ac:dyDescent="0.25">
      <c r="A16680" s="515">
        <v>26287</v>
      </c>
      <c r="C16680" s="52">
        <v>108253.70655006</v>
      </c>
      <c r="D16680" s="56">
        <v>0.12474990017209743</v>
      </c>
      <c r="E16680" s="224" t="s">
        <v>2</v>
      </c>
      <c r="F16680" s="515" t="s">
        <v>17856</v>
      </c>
      <c r="G16680" s="52">
        <v>178185.438972053</v>
      </c>
      <c r="H16680" s="56">
        <v>0</v>
      </c>
      <c r="I16680" s="224" t="s">
        <v>2</v>
      </c>
    </row>
    <row r="16681" spans="1:9" x14ac:dyDescent="0.25">
      <c r="A16681" s="515">
        <v>98610</v>
      </c>
      <c r="B16681" s="515" t="s">
        <v>659</v>
      </c>
      <c r="C16681" s="52">
        <v>404303.51692594698</v>
      </c>
      <c r="D16681" s="56">
        <v>7.7823726892541675E-2</v>
      </c>
      <c r="E16681" s="224" t="s">
        <v>2</v>
      </c>
      <c r="F16681" s="515" t="s">
        <v>17857</v>
      </c>
      <c r="G16681" s="52">
        <v>262883.277628379</v>
      </c>
      <c r="H16681" s="56">
        <v>0.12281997637928559</v>
      </c>
      <c r="I16681" s="224" t="s">
        <v>2</v>
      </c>
    </row>
    <row r="16682" spans="1:9" x14ac:dyDescent="0.25">
      <c r="A16682" s="515">
        <v>21915</v>
      </c>
      <c r="B16682" s="515" t="s">
        <v>294</v>
      </c>
      <c r="C16682" s="52">
        <v>356955.20681951102</v>
      </c>
      <c r="D16682" s="56">
        <v>2.9479231703563712E-2</v>
      </c>
      <c r="E16682" s="224" t="s">
        <v>2</v>
      </c>
      <c r="F16682" s="515" t="s">
        <v>17858</v>
      </c>
      <c r="G16682" s="52">
        <v>73403.890416298498</v>
      </c>
      <c r="H16682" s="56">
        <v>0.14557507113924775</v>
      </c>
      <c r="I16682" s="224" t="s">
        <v>2</v>
      </c>
    </row>
    <row r="16683" spans="1:9" x14ac:dyDescent="0.25">
      <c r="A16683" s="515">
        <v>35446</v>
      </c>
      <c r="B16683" s="515" t="s">
        <v>841</v>
      </c>
      <c r="C16683" s="52">
        <v>185633.538650915</v>
      </c>
      <c r="D16683" s="56">
        <v>3.3079059522080533E-2</v>
      </c>
      <c r="E16683" s="224" t="s">
        <v>2</v>
      </c>
      <c r="F16683" s="515" t="s">
        <v>17859</v>
      </c>
      <c r="G16683" s="52">
        <v>72926.962962962905</v>
      </c>
      <c r="H16683" s="56">
        <v>0</v>
      </c>
      <c r="I16683" s="224" t="s">
        <v>2</v>
      </c>
    </row>
    <row r="16684" spans="1:9" x14ac:dyDescent="0.25">
      <c r="A16684" s="515">
        <v>48834</v>
      </c>
      <c r="B16684" s="515" t="s">
        <v>631</v>
      </c>
      <c r="C16684" s="52">
        <v>174871.45990968501</v>
      </c>
      <c r="D16684" s="56">
        <v>6.2981922680348038E-2</v>
      </c>
      <c r="E16684" s="224" t="s">
        <v>2</v>
      </c>
      <c r="F16684" s="515" t="s">
        <v>17860</v>
      </c>
      <c r="G16684" s="52">
        <v>124214.93697568899</v>
      </c>
      <c r="H16684" s="56">
        <v>8.1573784655869286E-2</v>
      </c>
      <c r="I16684" s="224" t="s">
        <v>2</v>
      </c>
    </row>
    <row r="16685" spans="1:9" x14ac:dyDescent="0.25">
      <c r="A16685" s="515">
        <v>18322</v>
      </c>
      <c r="B16685" s="515" t="s">
        <v>338</v>
      </c>
      <c r="C16685" s="52">
        <v>311114.26856558898</v>
      </c>
      <c r="D16685" s="56">
        <v>8.5763270597731811E-2</v>
      </c>
      <c r="E16685" s="224" t="s">
        <v>2</v>
      </c>
      <c r="F16685" s="515" t="s">
        <v>17861</v>
      </c>
      <c r="G16685" s="52">
        <v>67116.897383674906</v>
      </c>
      <c r="H16685" s="56">
        <v>0.11993227709676411</v>
      </c>
      <c r="I16685" s="224" t="s">
        <v>2</v>
      </c>
    </row>
    <row r="16686" spans="1:9" x14ac:dyDescent="0.25">
      <c r="A16686" s="515">
        <v>63627</v>
      </c>
      <c r="C16686" s="52">
        <v>227420.07747427901</v>
      </c>
      <c r="D16686" s="56">
        <v>8.1887705974111741E-2</v>
      </c>
      <c r="E16686" s="224" t="s">
        <v>2</v>
      </c>
      <c r="F16686" s="515" t="s">
        <v>17862</v>
      </c>
      <c r="G16686" s="52">
        <v>144064.07046010901</v>
      </c>
      <c r="H16686" s="56">
        <v>7.315426836110582E-2</v>
      </c>
      <c r="I16686" s="224" t="s">
        <v>2</v>
      </c>
    </row>
    <row r="16687" spans="1:9" x14ac:dyDescent="0.25">
      <c r="A16687" s="515">
        <v>56044</v>
      </c>
      <c r="C16687" s="52">
        <v>309423.67804406502</v>
      </c>
      <c r="D16687" s="56">
        <v>3.5689123724106417E-2</v>
      </c>
      <c r="E16687" s="224" t="s">
        <v>2</v>
      </c>
      <c r="F16687" s="515" t="s">
        <v>17863</v>
      </c>
      <c r="G16687" s="52">
        <v>190337.72114459999</v>
      </c>
      <c r="H16687" s="56">
        <v>0.14263596710533327</v>
      </c>
      <c r="I16687" s="224" t="s">
        <v>2</v>
      </c>
    </row>
    <row r="16688" spans="1:9" x14ac:dyDescent="0.25">
      <c r="A16688" s="515">
        <v>16678</v>
      </c>
      <c r="B16688" s="515" t="s">
        <v>539</v>
      </c>
      <c r="C16688" s="52">
        <v>125546.719202448</v>
      </c>
      <c r="D16688" s="56">
        <v>-3.1729910358454599E-2</v>
      </c>
      <c r="E16688" s="224" t="s">
        <v>2</v>
      </c>
      <c r="F16688" s="515" t="s">
        <v>17864</v>
      </c>
      <c r="G16688" s="52">
        <v>179707.48532807801</v>
      </c>
      <c r="H16688" s="56">
        <v>9.6649056069829709E-2</v>
      </c>
      <c r="I16688" s="224" t="s">
        <v>2</v>
      </c>
    </row>
    <row r="16689" spans="1:9" x14ac:dyDescent="0.25">
      <c r="A16689" s="515">
        <v>42088</v>
      </c>
      <c r="B16689" s="515" t="s">
        <v>933</v>
      </c>
      <c r="C16689" s="52">
        <v>136127.28541076</v>
      </c>
      <c r="D16689" s="56">
        <v>0.2339261484060291</v>
      </c>
      <c r="E16689" s="224" t="s">
        <v>2</v>
      </c>
      <c r="F16689" s="515" t="s">
        <v>17865</v>
      </c>
      <c r="G16689" s="52">
        <v>64637.066535433703</v>
      </c>
      <c r="H16689" s="56">
        <v>5.2666433651123168E-2</v>
      </c>
      <c r="I16689" s="224" t="s">
        <v>2</v>
      </c>
    </row>
    <row r="16690" spans="1:9" x14ac:dyDescent="0.25">
      <c r="A16690" s="515">
        <v>51039</v>
      </c>
      <c r="B16690" s="515" t="s">
        <v>649</v>
      </c>
      <c r="C16690" s="52">
        <v>222291.56278272101</v>
      </c>
      <c r="D16690" s="56">
        <v>0.12043446045035025</v>
      </c>
      <c r="E16690" s="224" t="s">
        <v>2</v>
      </c>
      <c r="F16690" s="515" t="s">
        <v>17866</v>
      </c>
      <c r="G16690" s="52">
        <v>149063.76783144401</v>
      </c>
      <c r="H16690" s="56">
        <v>0</v>
      </c>
      <c r="I16690" s="224" t="s">
        <v>2</v>
      </c>
    </row>
    <row r="16691" spans="1:9" x14ac:dyDescent="0.25">
      <c r="A16691" s="515">
        <v>24589</v>
      </c>
      <c r="C16691" s="52">
        <v>98605.428095089999</v>
      </c>
      <c r="D16691" s="56">
        <v>0.13810430344492336</v>
      </c>
      <c r="E16691" s="224" t="s">
        <v>2</v>
      </c>
      <c r="F16691" s="515" t="s">
        <v>17867</v>
      </c>
      <c r="G16691" s="52">
        <v>157017.53742920599</v>
      </c>
      <c r="H16691" s="56">
        <v>0.10608657773790815</v>
      </c>
      <c r="I16691" s="224" t="s">
        <v>2</v>
      </c>
    </row>
    <row r="16692" spans="1:9" x14ac:dyDescent="0.25">
      <c r="A16692" s="515">
        <v>52625</v>
      </c>
      <c r="B16692" s="515" t="s">
        <v>496</v>
      </c>
      <c r="C16692" s="52">
        <v>170641.984401564</v>
      </c>
      <c r="D16692" s="56">
        <v>7.8513989111091212E-2</v>
      </c>
      <c r="E16692" s="224" t="s">
        <v>2</v>
      </c>
      <c r="F16692" s="515" t="s">
        <v>17868</v>
      </c>
      <c r="G16692" s="52">
        <v>218387.81730723899</v>
      </c>
      <c r="H16692" s="56">
        <v>8.6723947455382741E-2</v>
      </c>
      <c r="I16692" s="224" t="s">
        <v>2</v>
      </c>
    </row>
    <row r="16693" spans="1:9" x14ac:dyDescent="0.25">
      <c r="A16693" s="515">
        <v>97017</v>
      </c>
      <c r="B16693" s="515" t="s">
        <v>659</v>
      </c>
      <c r="C16693" s="52">
        <v>601356.76554372301</v>
      </c>
      <c r="D16693" s="56">
        <v>1.7469057880325493E-2</v>
      </c>
      <c r="E16693" s="224" t="s">
        <v>2</v>
      </c>
      <c r="F16693" s="515" t="s">
        <v>17869</v>
      </c>
      <c r="G16693" s="52">
        <v>107465.706803543</v>
      </c>
      <c r="H16693" s="56">
        <v>2.5788195753554771E-2</v>
      </c>
      <c r="I16693" s="224" t="s">
        <v>2</v>
      </c>
    </row>
    <row r="16694" spans="1:9" x14ac:dyDescent="0.25">
      <c r="A16694" s="515">
        <v>75486</v>
      </c>
      <c r="B16694" s="515" t="s">
        <v>921</v>
      </c>
      <c r="C16694" s="52">
        <v>272619.90117995202</v>
      </c>
      <c r="D16694" s="56">
        <v>4.4143666131616452E-2</v>
      </c>
      <c r="E16694" s="224" t="s">
        <v>2</v>
      </c>
      <c r="F16694" s="515" t="s">
        <v>17870</v>
      </c>
      <c r="G16694" s="52">
        <v>160720.701398145</v>
      </c>
      <c r="H16694" s="56">
        <v>4.0231174529498447E-2</v>
      </c>
      <c r="I16694" s="224" t="s">
        <v>2</v>
      </c>
    </row>
    <row r="16695" spans="1:9" x14ac:dyDescent="0.25">
      <c r="A16695" s="515">
        <v>55027</v>
      </c>
      <c r="B16695" s="515" t="s">
        <v>663</v>
      </c>
      <c r="C16695" s="52">
        <v>342843.143774261</v>
      </c>
      <c r="D16695" s="56">
        <v>5.4041127808609687E-2</v>
      </c>
      <c r="E16695" s="224" t="s">
        <v>2</v>
      </c>
      <c r="F16695" s="515" t="s">
        <v>17871</v>
      </c>
      <c r="G16695" s="52">
        <v>144453.485914725</v>
      </c>
      <c r="H16695" s="56">
        <v>0</v>
      </c>
      <c r="I16695" s="224" t="s">
        <v>2</v>
      </c>
    </row>
    <row r="16696" spans="1:9" x14ac:dyDescent="0.25">
      <c r="A16696" s="515">
        <v>28091</v>
      </c>
      <c r="B16696" s="515" t="s">
        <v>360</v>
      </c>
      <c r="C16696" s="52">
        <v>75685.195030867006</v>
      </c>
      <c r="D16696" s="56">
        <v>0.27457288311832789</v>
      </c>
      <c r="E16696" s="224" t="s">
        <v>2</v>
      </c>
      <c r="F16696" s="515" t="s">
        <v>17872</v>
      </c>
      <c r="G16696" s="52">
        <v>191280.133397953</v>
      </c>
      <c r="H16696" s="56">
        <v>0.11804963097486289</v>
      </c>
      <c r="I16696" s="224" t="s">
        <v>2</v>
      </c>
    </row>
    <row r="16697" spans="1:9" x14ac:dyDescent="0.25">
      <c r="A16697" s="515">
        <v>80459</v>
      </c>
      <c r="C16697" s="52">
        <v>468021.73341023602</v>
      </c>
      <c r="D16697" s="56">
        <v>3.1601808540505802E-2</v>
      </c>
      <c r="E16697" s="224" t="s">
        <v>2</v>
      </c>
      <c r="F16697" s="515" t="s">
        <v>17873</v>
      </c>
      <c r="G16697" s="52">
        <v>120257.085674983</v>
      </c>
      <c r="H16697" s="56">
        <v>0.16201074575955762</v>
      </c>
      <c r="I16697" s="224" t="s">
        <v>2</v>
      </c>
    </row>
    <row r="16698" spans="1:9" x14ac:dyDescent="0.25">
      <c r="A16698" s="515">
        <v>67202</v>
      </c>
      <c r="B16698" s="515" t="s">
        <v>485</v>
      </c>
      <c r="C16698" s="52">
        <v>260230.22000078799</v>
      </c>
      <c r="D16698" s="56">
        <v>2.2578809727594913E-2</v>
      </c>
      <c r="E16698" s="224">
        <v>1035.4166666666599</v>
      </c>
      <c r="F16698" s="515" t="s">
        <v>17874</v>
      </c>
      <c r="G16698" s="52">
        <v>247273.62573101901</v>
      </c>
      <c r="H16698" s="56">
        <v>0</v>
      </c>
      <c r="I16698" s="224" t="s">
        <v>2</v>
      </c>
    </row>
    <row r="16699" spans="1:9" x14ac:dyDescent="0.25">
      <c r="A16699" s="515">
        <v>95830</v>
      </c>
      <c r="B16699" s="515" t="s">
        <v>355</v>
      </c>
      <c r="C16699" s="52">
        <v>908586.17078699695</v>
      </c>
      <c r="D16699" s="56">
        <v>1.500361972956398E-2</v>
      </c>
      <c r="E16699" s="224" t="s">
        <v>2</v>
      </c>
      <c r="F16699" s="515" t="s">
        <v>17875</v>
      </c>
      <c r="G16699" s="52">
        <v>147791.73618295501</v>
      </c>
      <c r="H16699" s="56">
        <v>0.10749126224094646</v>
      </c>
      <c r="I16699" s="224" t="s">
        <v>2</v>
      </c>
    </row>
    <row r="16700" spans="1:9" x14ac:dyDescent="0.25">
      <c r="A16700" s="515">
        <v>66402</v>
      </c>
      <c r="B16700" s="515" t="s">
        <v>549</v>
      </c>
      <c r="C16700" s="52">
        <v>247634.21833716601</v>
      </c>
      <c r="D16700" s="56">
        <v>9.2059841083159288E-2</v>
      </c>
      <c r="E16700" s="224" t="s">
        <v>2</v>
      </c>
      <c r="F16700" s="515" t="s">
        <v>17876</v>
      </c>
      <c r="G16700" s="52">
        <v>295510.43585899699</v>
      </c>
      <c r="H16700" s="56">
        <v>6.1079421451874304E-2</v>
      </c>
      <c r="I16700" s="224" t="s">
        <v>2</v>
      </c>
    </row>
    <row r="16701" spans="1:9" x14ac:dyDescent="0.25">
      <c r="A16701" s="515">
        <v>23881</v>
      </c>
      <c r="C16701" s="52">
        <v>232675.13205339099</v>
      </c>
      <c r="D16701" s="56">
        <v>4.7130256213240386E-2</v>
      </c>
      <c r="E16701" s="224" t="s">
        <v>2</v>
      </c>
      <c r="F16701" s="515" t="s">
        <v>17877</v>
      </c>
      <c r="G16701" s="52">
        <v>112892.564162478</v>
      </c>
      <c r="H16701" s="56">
        <v>-1.7730379383880362E-3</v>
      </c>
      <c r="I16701" s="224" t="s">
        <v>2</v>
      </c>
    </row>
    <row r="16702" spans="1:9" x14ac:dyDescent="0.25">
      <c r="A16702" s="515">
        <v>52322</v>
      </c>
      <c r="B16702" s="515" t="s">
        <v>587</v>
      </c>
      <c r="C16702" s="52">
        <v>263265.96997631597</v>
      </c>
      <c r="D16702" s="56">
        <v>9.8193776628189372E-2</v>
      </c>
      <c r="E16702" s="224" t="s">
        <v>2</v>
      </c>
      <c r="F16702" s="515" t="s">
        <v>17878</v>
      </c>
      <c r="G16702" s="52">
        <v>147879.11463092401</v>
      </c>
      <c r="H16702" s="56">
        <v>0.15085271530061403</v>
      </c>
      <c r="I16702" s="224" t="s">
        <v>2</v>
      </c>
    </row>
    <row r="16703" spans="1:9" x14ac:dyDescent="0.25">
      <c r="A16703" s="515">
        <v>81648</v>
      </c>
      <c r="C16703" s="52">
        <v>207966.54968955499</v>
      </c>
      <c r="D16703" s="56">
        <v>5.9146139492357051E-2</v>
      </c>
      <c r="E16703" s="224" t="s">
        <v>2</v>
      </c>
      <c r="F16703" s="515" t="s">
        <v>17879</v>
      </c>
      <c r="G16703" s="52">
        <v>150402.35446190101</v>
      </c>
      <c r="H16703" s="56">
        <v>3.6180152625348912E-2</v>
      </c>
      <c r="I16703" s="224" t="s">
        <v>2</v>
      </c>
    </row>
    <row r="16704" spans="1:9" x14ac:dyDescent="0.25">
      <c r="A16704" s="515">
        <v>10537</v>
      </c>
      <c r="B16704" s="515" t="s">
        <v>324</v>
      </c>
      <c r="C16704" s="52">
        <v>343975.58155834099</v>
      </c>
      <c r="D16704" s="56">
        <v>6.8948234614207557E-2</v>
      </c>
      <c r="E16704" s="224" t="s">
        <v>2</v>
      </c>
      <c r="F16704" s="515" t="s">
        <v>17880</v>
      </c>
      <c r="G16704" s="52">
        <v>298628.72232563398</v>
      </c>
      <c r="H16704" s="56">
        <v>9.1945932804336356E-2</v>
      </c>
      <c r="I16704" s="224" t="s">
        <v>2</v>
      </c>
    </row>
    <row r="16705" spans="1:9" x14ac:dyDescent="0.25">
      <c r="A16705" s="515">
        <v>56278</v>
      </c>
      <c r="C16705" s="52">
        <v>151920.393281075</v>
      </c>
      <c r="D16705" s="56">
        <v>0.11052622789420989</v>
      </c>
      <c r="E16705" s="224" t="s">
        <v>2</v>
      </c>
      <c r="F16705" s="515" t="s">
        <v>17881</v>
      </c>
      <c r="G16705" s="52">
        <v>254536.06922095999</v>
      </c>
      <c r="H16705" s="56">
        <v>-0.10269579844221453</v>
      </c>
      <c r="I16705" s="224" t="s">
        <v>2</v>
      </c>
    </row>
    <row r="16706" spans="1:9" x14ac:dyDescent="0.25">
      <c r="A16706" s="515">
        <v>61256</v>
      </c>
      <c r="B16706" s="515" t="s">
        <v>439</v>
      </c>
      <c r="C16706" s="52">
        <v>162787.90520105499</v>
      </c>
      <c r="D16706" s="56">
        <v>1.1670899357313134E-2</v>
      </c>
      <c r="E16706" s="224" t="s">
        <v>2</v>
      </c>
      <c r="F16706" s="515" t="s">
        <v>17882</v>
      </c>
      <c r="G16706" s="52">
        <v>138407.65240059601</v>
      </c>
      <c r="H16706" s="56">
        <v>1.2208957325102229E-2</v>
      </c>
      <c r="I16706" s="224" t="s">
        <v>2</v>
      </c>
    </row>
    <row r="16707" spans="1:9" x14ac:dyDescent="0.25">
      <c r="A16707" s="515">
        <v>25571</v>
      </c>
      <c r="B16707" s="515" t="s">
        <v>322</v>
      </c>
      <c r="C16707" s="52">
        <v>95671.418177981206</v>
      </c>
      <c r="D16707" s="56">
        <v>0.13911689960977056</v>
      </c>
      <c r="E16707" s="224" t="s">
        <v>2</v>
      </c>
      <c r="F16707" s="515" t="s">
        <v>17883</v>
      </c>
      <c r="G16707" s="52">
        <v>353771.98557161301</v>
      </c>
      <c r="H16707" s="56">
        <v>0.14897376229356518</v>
      </c>
      <c r="I16707" s="224" t="s">
        <v>2</v>
      </c>
    </row>
    <row r="16708" spans="1:9" x14ac:dyDescent="0.25">
      <c r="A16708" s="515">
        <v>38357</v>
      </c>
      <c r="C16708" s="52">
        <v>156063.086465739</v>
      </c>
      <c r="D16708" s="56">
        <v>7.1907428602289852E-2</v>
      </c>
      <c r="E16708" s="224" t="s">
        <v>2</v>
      </c>
      <c r="F16708" s="515" t="s">
        <v>17884</v>
      </c>
      <c r="G16708" s="52">
        <v>129254.719591934</v>
      </c>
      <c r="H16708" s="56">
        <v>0</v>
      </c>
      <c r="I16708" s="224" t="s">
        <v>2</v>
      </c>
    </row>
    <row r="16709" spans="1:9" x14ac:dyDescent="0.25">
      <c r="A16709" s="515">
        <v>50161</v>
      </c>
      <c r="B16709" s="515" t="s">
        <v>295</v>
      </c>
      <c r="C16709" s="52">
        <v>246027.40176746901</v>
      </c>
      <c r="D16709" s="56">
        <v>0.12098447142186312</v>
      </c>
      <c r="E16709" s="224" t="s">
        <v>2</v>
      </c>
      <c r="F16709" s="515" t="s">
        <v>17885</v>
      </c>
      <c r="G16709" s="52">
        <v>153385.88571428499</v>
      </c>
      <c r="H16709" s="56">
        <v>0</v>
      </c>
      <c r="I16709" s="224" t="s">
        <v>2</v>
      </c>
    </row>
    <row r="16710" spans="1:9" x14ac:dyDescent="0.25">
      <c r="A16710" s="515">
        <v>42649</v>
      </c>
      <c r="C16710" s="52">
        <v>87747.769695511</v>
      </c>
      <c r="D16710" s="56">
        <v>0.44849784411473714</v>
      </c>
      <c r="E16710" s="224" t="s">
        <v>2</v>
      </c>
      <c r="F16710" s="515" t="s">
        <v>17886</v>
      </c>
      <c r="G16710" s="52">
        <v>101424.950510093</v>
      </c>
      <c r="H16710" s="56">
        <v>7.7504159015349502E-2</v>
      </c>
      <c r="I16710" s="224" t="s">
        <v>2</v>
      </c>
    </row>
    <row r="16711" spans="1:9" x14ac:dyDescent="0.25">
      <c r="A16711" s="515">
        <v>36051</v>
      </c>
      <c r="B16711" s="515" t="s">
        <v>806</v>
      </c>
      <c r="C16711" s="52">
        <v>181628.773487014</v>
      </c>
      <c r="D16711" s="56">
        <v>8.5145041621218984E-2</v>
      </c>
      <c r="E16711" s="224" t="s">
        <v>2</v>
      </c>
      <c r="F16711" s="515" t="s">
        <v>17887</v>
      </c>
      <c r="G16711" s="52">
        <v>542222.37264856102</v>
      </c>
      <c r="H16711" s="56">
        <v>0.11745264922516593</v>
      </c>
      <c r="I16711" s="224" t="s">
        <v>2</v>
      </c>
    </row>
    <row r="16712" spans="1:9" x14ac:dyDescent="0.25">
      <c r="A16712" s="515">
        <v>65669</v>
      </c>
      <c r="B16712" s="515" t="s">
        <v>603</v>
      </c>
      <c r="C16712" s="52">
        <v>282190.14149870299</v>
      </c>
      <c r="D16712" s="56">
        <v>0.10758373185556185</v>
      </c>
      <c r="E16712" s="224" t="s">
        <v>2</v>
      </c>
      <c r="F16712" s="515" t="s">
        <v>17888</v>
      </c>
      <c r="G16712" s="52">
        <v>334152.480105175</v>
      </c>
      <c r="H16712" s="56">
        <v>9.5412817536731379E-2</v>
      </c>
      <c r="I16712" s="224" t="s">
        <v>2</v>
      </c>
    </row>
    <row r="16713" spans="1:9" x14ac:dyDescent="0.25">
      <c r="A16713" s="515">
        <v>13424</v>
      </c>
      <c r="B16713" s="515" t="s">
        <v>543</v>
      </c>
      <c r="C16713" s="52">
        <v>198415.723173026</v>
      </c>
      <c r="D16713" s="56">
        <v>7.6654722412549489E-2</v>
      </c>
      <c r="E16713" s="224" t="s">
        <v>2</v>
      </c>
      <c r="F16713" s="515" t="s">
        <v>17889</v>
      </c>
      <c r="G16713" s="52">
        <v>93143.7484156297</v>
      </c>
      <c r="H16713" s="56">
        <v>7.6418717705009021E-2</v>
      </c>
      <c r="I16713" s="224" t="s">
        <v>2</v>
      </c>
    </row>
    <row r="16714" spans="1:9" x14ac:dyDescent="0.25">
      <c r="A16714" s="515">
        <v>56515</v>
      </c>
      <c r="B16714" s="515" t="s">
        <v>601</v>
      </c>
      <c r="C16714" s="52">
        <v>398699.28693532501</v>
      </c>
      <c r="D16714" s="56">
        <v>8.3038849678007412E-2</v>
      </c>
      <c r="E16714" s="224" t="s">
        <v>2</v>
      </c>
      <c r="F16714" s="515" t="s">
        <v>17890</v>
      </c>
      <c r="G16714" s="52">
        <v>159955.28218911501</v>
      </c>
      <c r="H16714" s="56">
        <v>3.9725736286089983E-2</v>
      </c>
      <c r="I16714" s="224" t="s">
        <v>2</v>
      </c>
    </row>
    <row r="16715" spans="1:9" x14ac:dyDescent="0.25">
      <c r="A16715" s="515">
        <v>77564</v>
      </c>
      <c r="B16715" s="515" t="s">
        <v>314</v>
      </c>
      <c r="C16715" s="52">
        <v>189934.20795257101</v>
      </c>
      <c r="D16715" s="56">
        <v>2.6589465835583193E-2</v>
      </c>
      <c r="E16715" s="224" t="s">
        <v>2</v>
      </c>
      <c r="F16715" s="515" t="s">
        <v>17891</v>
      </c>
      <c r="G16715" s="52">
        <v>280310.14385073399</v>
      </c>
      <c r="H16715" s="56">
        <v>4.7185092798987707E-2</v>
      </c>
      <c r="I16715" s="224" t="s">
        <v>2</v>
      </c>
    </row>
    <row r="16716" spans="1:9" x14ac:dyDescent="0.25">
      <c r="A16716" s="515">
        <v>47959</v>
      </c>
      <c r="C16716" s="52">
        <v>140619.89088893199</v>
      </c>
      <c r="D16716" s="56">
        <v>4.118495743008406E-2</v>
      </c>
      <c r="E16716" s="224" t="s">
        <v>2</v>
      </c>
      <c r="F16716" s="515" t="s">
        <v>17892</v>
      </c>
      <c r="G16716" s="52">
        <v>197933.08861394899</v>
      </c>
      <c r="H16716" s="56">
        <v>0.20746247751274866</v>
      </c>
      <c r="I16716" s="224" t="s">
        <v>2</v>
      </c>
    </row>
    <row r="16717" spans="1:9" x14ac:dyDescent="0.25">
      <c r="A16717" s="515">
        <v>50622</v>
      </c>
      <c r="B16717" s="515" t="s">
        <v>315</v>
      </c>
      <c r="C16717" s="52">
        <v>259929.55626938699</v>
      </c>
      <c r="D16717" s="56">
        <v>8.1210826232920003E-2</v>
      </c>
      <c r="E16717" s="224" t="s">
        <v>2</v>
      </c>
      <c r="F16717" s="515" t="s">
        <v>17893</v>
      </c>
      <c r="G16717" s="52">
        <v>298318.04544277902</v>
      </c>
      <c r="H16717" s="56">
        <v>0.14008918849838203</v>
      </c>
      <c r="I16717" s="224" t="s">
        <v>2</v>
      </c>
    </row>
    <row r="16718" spans="1:9" x14ac:dyDescent="0.25">
      <c r="A16718" s="515">
        <v>48615</v>
      </c>
      <c r="B16718" s="515" t="s">
        <v>1121</v>
      </c>
      <c r="C16718" s="52">
        <v>133278.159851487</v>
      </c>
      <c r="D16718" s="56">
        <v>4.8863890133176796E-2</v>
      </c>
      <c r="E16718" s="224" t="s">
        <v>2</v>
      </c>
      <c r="F16718" s="515" t="s">
        <v>17894</v>
      </c>
      <c r="G16718" s="52">
        <v>255861.78652684999</v>
      </c>
      <c r="H16718" s="56">
        <v>7.9455516293713502E-2</v>
      </c>
      <c r="I16718" s="224" t="s">
        <v>2</v>
      </c>
    </row>
    <row r="16719" spans="1:9" x14ac:dyDescent="0.25">
      <c r="A16719" s="515">
        <v>28436</v>
      </c>
      <c r="C16719" s="52">
        <v>187930.92465753399</v>
      </c>
      <c r="D16719" s="56">
        <v>0</v>
      </c>
      <c r="E16719" s="224" t="s">
        <v>2</v>
      </c>
      <c r="F16719" s="515" t="s">
        <v>17895</v>
      </c>
      <c r="G16719" s="52">
        <v>242260.850562362</v>
      </c>
      <c r="H16719" s="56">
        <v>7.9370856853278784E-2</v>
      </c>
      <c r="I16719" s="224" t="s">
        <v>2</v>
      </c>
    </row>
    <row r="16720" spans="1:9" x14ac:dyDescent="0.25">
      <c r="A16720" s="515">
        <v>50046</v>
      </c>
      <c r="B16720" s="515" t="s">
        <v>568</v>
      </c>
      <c r="C16720" s="52">
        <v>253020.729780906</v>
      </c>
      <c r="D16720" s="56">
        <v>0.14239791589911263</v>
      </c>
      <c r="E16720" s="224" t="s">
        <v>2</v>
      </c>
      <c r="F16720" s="515" t="s">
        <v>17896</v>
      </c>
      <c r="G16720" s="52">
        <v>108983.23600335501</v>
      </c>
      <c r="H16720" s="56">
        <v>0.13666411826730043</v>
      </c>
      <c r="I16720" s="224" t="s">
        <v>2</v>
      </c>
    </row>
    <row r="16721" spans="1:9" x14ac:dyDescent="0.25">
      <c r="A16721" s="515">
        <v>10588</v>
      </c>
      <c r="B16721" s="515" t="s">
        <v>324</v>
      </c>
      <c r="C16721" s="52">
        <v>484753.11016375298</v>
      </c>
      <c r="D16721" s="56">
        <v>3.2557957694544143E-2</v>
      </c>
      <c r="E16721" s="224" t="s">
        <v>2</v>
      </c>
      <c r="F16721" s="515" t="s">
        <v>17897</v>
      </c>
      <c r="G16721" s="52">
        <v>77511.902000694594</v>
      </c>
      <c r="H16721" s="56">
        <v>0</v>
      </c>
      <c r="I16721" s="224" t="s">
        <v>2</v>
      </c>
    </row>
    <row r="16722" spans="1:9" x14ac:dyDescent="0.25">
      <c r="A16722" s="515">
        <v>44506</v>
      </c>
      <c r="B16722" s="515" t="s">
        <v>397</v>
      </c>
      <c r="C16722" s="52">
        <v>33626.045133277003</v>
      </c>
      <c r="D16722" s="56">
        <v>0.27299930862049965</v>
      </c>
      <c r="E16722" s="224" t="s">
        <v>2</v>
      </c>
      <c r="F16722" s="515" t="s">
        <v>17898</v>
      </c>
      <c r="G16722" s="52">
        <v>276516.40059476701</v>
      </c>
      <c r="H16722" s="56">
        <v>-1.7472639909859162E-2</v>
      </c>
      <c r="I16722" s="224" t="s">
        <v>2</v>
      </c>
    </row>
    <row r="16723" spans="1:9" x14ac:dyDescent="0.25">
      <c r="A16723" s="515">
        <v>20117</v>
      </c>
      <c r="B16723" s="515" t="s">
        <v>321</v>
      </c>
      <c r="C16723" s="52">
        <v>968779.20098243095</v>
      </c>
      <c r="D16723" s="56">
        <v>7.7262508776432107E-2</v>
      </c>
      <c r="E16723" s="224" t="s">
        <v>2</v>
      </c>
      <c r="F16723" s="515" t="s">
        <v>17899</v>
      </c>
      <c r="G16723" s="52">
        <v>211742.201979092</v>
      </c>
      <c r="H16723" s="56">
        <v>8.36608886450219E-2</v>
      </c>
      <c r="I16723" s="224" t="s">
        <v>2</v>
      </c>
    </row>
    <row r="16724" spans="1:9" x14ac:dyDescent="0.25">
      <c r="A16724" s="515">
        <v>71064</v>
      </c>
      <c r="B16724" s="515" t="s">
        <v>739</v>
      </c>
      <c r="C16724" s="52">
        <v>96310.4824377779</v>
      </c>
      <c r="D16724" s="56">
        <v>0.19747721674922331</v>
      </c>
      <c r="E16724" s="224" t="s">
        <v>2</v>
      </c>
      <c r="F16724" s="515" t="s">
        <v>17900</v>
      </c>
      <c r="G16724" s="52">
        <v>156774.734344998</v>
      </c>
      <c r="H16724" s="56">
        <v>0.10365980474964159</v>
      </c>
      <c r="I16724" s="224" t="s">
        <v>2</v>
      </c>
    </row>
    <row r="16725" spans="1:9" x14ac:dyDescent="0.25">
      <c r="A16725" s="515">
        <v>69033</v>
      </c>
      <c r="C16725" s="52">
        <v>201024.07246195499</v>
      </c>
      <c r="D16725" s="56">
        <v>6.0938213165586681E-2</v>
      </c>
      <c r="E16725" s="224" t="s">
        <v>2</v>
      </c>
      <c r="F16725" s="515" t="s">
        <v>17901</v>
      </c>
      <c r="G16725" s="52">
        <v>127840.884293208</v>
      </c>
      <c r="H16725" s="56">
        <v>0</v>
      </c>
      <c r="I16725" s="224" t="s">
        <v>2</v>
      </c>
    </row>
    <row r="16726" spans="1:9" x14ac:dyDescent="0.25">
      <c r="A16726" s="515">
        <v>27888</v>
      </c>
      <c r="C16726" s="52">
        <v>149827.11871237899</v>
      </c>
      <c r="D16726" s="56">
        <v>0.13065436943501388</v>
      </c>
      <c r="E16726" s="224" t="s">
        <v>2</v>
      </c>
      <c r="F16726" s="515" t="s">
        <v>17902</v>
      </c>
      <c r="G16726" s="52">
        <v>123395.33237367601</v>
      </c>
      <c r="H16726" s="56">
        <v>0.13058700419718794</v>
      </c>
      <c r="I16726" s="224" t="s">
        <v>2</v>
      </c>
    </row>
    <row r="16727" spans="1:9" x14ac:dyDescent="0.25">
      <c r="A16727" s="515">
        <v>24553</v>
      </c>
      <c r="B16727" s="515" t="s">
        <v>630</v>
      </c>
      <c r="C16727" s="52">
        <v>179539.69033527799</v>
      </c>
      <c r="D16727" s="56">
        <v>0.14691219519085724</v>
      </c>
      <c r="E16727" s="224" t="s">
        <v>2</v>
      </c>
      <c r="F16727" s="515" t="s">
        <v>17903</v>
      </c>
      <c r="G16727" s="52">
        <v>98859.393685297793</v>
      </c>
      <c r="H16727" s="56">
        <v>9.0072938689152657E-2</v>
      </c>
      <c r="I16727" s="224" t="s">
        <v>2</v>
      </c>
    </row>
    <row r="16728" spans="1:9" x14ac:dyDescent="0.25">
      <c r="A16728" s="515">
        <v>62245</v>
      </c>
      <c r="B16728" s="515" t="s">
        <v>498</v>
      </c>
      <c r="C16728" s="52">
        <v>182973.88400767199</v>
      </c>
      <c r="D16728" s="56">
        <v>8.2094690995253822E-2</v>
      </c>
      <c r="E16728" s="224" t="s">
        <v>2</v>
      </c>
      <c r="F16728" s="515" t="s">
        <v>17904</v>
      </c>
      <c r="G16728" s="52">
        <v>89192.444932608094</v>
      </c>
      <c r="H16728" s="56">
        <v>2.1848333007149837E-2</v>
      </c>
      <c r="I16728" s="224" t="s">
        <v>2</v>
      </c>
    </row>
    <row r="16729" spans="1:9" x14ac:dyDescent="0.25">
      <c r="A16729" s="515">
        <v>37852</v>
      </c>
      <c r="C16729" s="52">
        <v>116777.323317613</v>
      </c>
      <c r="D16729" s="56">
        <v>5.8033667753341921E-2</v>
      </c>
      <c r="E16729" s="224" t="s">
        <v>2</v>
      </c>
      <c r="F16729" s="515" t="s">
        <v>17905</v>
      </c>
      <c r="G16729" s="52">
        <v>93981.564103520999</v>
      </c>
      <c r="H16729" s="56">
        <v>0.11921312630680625</v>
      </c>
      <c r="I16729" s="224" t="s">
        <v>2</v>
      </c>
    </row>
    <row r="16730" spans="1:9" x14ac:dyDescent="0.25">
      <c r="A16730" s="515">
        <v>24283</v>
      </c>
      <c r="B16730" s="515" t="s">
        <v>1150</v>
      </c>
      <c r="C16730" s="52">
        <v>104060.601973472</v>
      </c>
      <c r="D16730" s="56">
        <v>4.306023876954742E-2</v>
      </c>
      <c r="E16730" s="224" t="s">
        <v>2</v>
      </c>
      <c r="F16730" s="515" t="s">
        <v>17906</v>
      </c>
      <c r="G16730" s="52">
        <v>261088.038188645</v>
      </c>
      <c r="H16730" s="56">
        <v>8.1515843238529187E-2</v>
      </c>
      <c r="I16730" s="224" t="s">
        <v>2</v>
      </c>
    </row>
    <row r="16731" spans="1:9" x14ac:dyDescent="0.25">
      <c r="A16731" s="515">
        <v>50563</v>
      </c>
      <c r="C16731" s="52">
        <v>161814.09795693599</v>
      </c>
      <c r="D16731" s="56">
        <v>9.0191160983479207E-2</v>
      </c>
      <c r="E16731" s="224" t="s">
        <v>2</v>
      </c>
      <c r="F16731" s="515" t="s">
        <v>17907</v>
      </c>
      <c r="G16731" s="52">
        <v>124099.710323671</v>
      </c>
      <c r="H16731" s="56">
        <v>8.1099882290935538E-2</v>
      </c>
      <c r="I16731" s="224" t="s">
        <v>2</v>
      </c>
    </row>
    <row r="16732" spans="1:9" x14ac:dyDescent="0.25">
      <c r="A16732" s="515">
        <v>49683</v>
      </c>
      <c r="B16732" s="515" t="s">
        <v>366</v>
      </c>
      <c r="C16732" s="52">
        <v>226018.162320451</v>
      </c>
      <c r="D16732" s="56">
        <v>0.10883485085472618</v>
      </c>
      <c r="E16732" s="224" t="s">
        <v>2</v>
      </c>
      <c r="F16732" s="515" t="s">
        <v>17908</v>
      </c>
      <c r="G16732" s="52">
        <v>1316484.2300259001</v>
      </c>
      <c r="H16732" s="56">
        <v>7.0535308979926367E-2</v>
      </c>
      <c r="I16732" s="224" t="s">
        <v>2</v>
      </c>
    </row>
    <row r="16733" spans="1:9" x14ac:dyDescent="0.25">
      <c r="A16733" s="515">
        <v>97112</v>
      </c>
      <c r="C16733" s="52">
        <v>449792.56057498499</v>
      </c>
      <c r="D16733" s="56">
        <v>5.1159114022913683E-2</v>
      </c>
      <c r="E16733" s="224" t="s">
        <v>2</v>
      </c>
      <c r="F16733" s="515" t="s">
        <v>17909</v>
      </c>
      <c r="G16733" s="52">
        <v>950690.16358366294</v>
      </c>
      <c r="H16733" s="56">
        <v>0.12789428353771815</v>
      </c>
      <c r="I16733" s="224" t="s">
        <v>2</v>
      </c>
    </row>
    <row r="16734" spans="1:9" x14ac:dyDescent="0.25">
      <c r="A16734" s="515">
        <v>58278</v>
      </c>
      <c r="B16734" s="515" t="s">
        <v>624</v>
      </c>
      <c r="C16734" s="52">
        <v>287622.398974201</v>
      </c>
      <c r="D16734" s="56">
        <v>1.1872528124173151E-2</v>
      </c>
      <c r="E16734" s="224" t="s">
        <v>2</v>
      </c>
      <c r="F16734" s="515" t="s">
        <v>17910</v>
      </c>
      <c r="G16734" s="52">
        <v>177734.83896596299</v>
      </c>
      <c r="H16734" s="56">
        <v>2.0809536715591791E-2</v>
      </c>
      <c r="I16734" s="224" t="s">
        <v>2</v>
      </c>
    </row>
    <row r="16735" spans="1:9" x14ac:dyDescent="0.25">
      <c r="A16735" s="515">
        <v>26624</v>
      </c>
      <c r="C16735" s="52">
        <v>117186.951296545</v>
      </c>
      <c r="D16735" s="56">
        <v>0.14361531703824826</v>
      </c>
      <c r="E16735" s="224" t="s">
        <v>2</v>
      </c>
      <c r="F16735" s="515" t="s">
        <v>17911</v>
      </c>
      <c r="G16735" s="52">
        <v>244451.11075408899</v>
      </c>
      <c r="H16735" s="56">
        <v>5.0874443925862288E-2</v>
      </c>
      <c r="I16735" s="224" t="s">
        <v>2</v>
      </c>
    </row>
    <row r="16736" spans="1:9" x14ac:dyDescent="0.25">
      <c r="A16736" s="515">
        <v>74469</v>
      </c>
      <c r="B16736" s="515" t="s">
        <v>538</v>
      </c>
      <c r="C16736" s="52">
        <v>139771.010851912</v>
      </c>
      <c r="D16736" s="56">
        <v>0.12739671804667377</v>
      </c>
      <c r="E16736" s="224" t="s">
        <v>2</v>
      </c>
      <c r="F16736" s="515" t="s">
        <v>17912</v>
      </c>
      <c r="G16736" s="52">
        <v>172464.26476321401</v>
      </c>
      <c r="H16736" s="56">
        <v>0.11224959561678015</v>
      </c>
      <c r="I16736" s="224" t="s">
        <v>2</v>
      </c>
    </row>
    <row r="16737" spans="1:9" x14ac:dyDescent="0.25">
      <c r="A16737" s="515">
        <v>84320</v>
      </c>
      <c r="B16737" s="515" t="s">
        <v>632</v>
      </c>
      <c r="C16737" s="52">
        <v>409742.40004195902</v>
      </c>
      <c r="D16737" s="56">
        <v>6.1558357677402128E-2</v>
      </c>
      <c r="E16737" s="224" t="s">
        <v>2</v>
      </c>
      <c r="F16737" s="515" t="s">
        <v>17913</v>
      </c>
      <c r="G16737" s="52">
        <v>183427.22179787199</v>
      </c>
      <c r="H16737" s="56">
        <v>0.10142813394498068</v>
      </c>
      <c r="I16737" s="224" t="s">
        <v>2</v>
      </c>
    </row>
    <row r="16738" spans="1:9" x14ac:dyDescent="0.25">
      <c r="A16738" s="515">
        <v>97131</v>
      </c>
      <c r="C16738" s="52">
        <v>547522.95570143999</v>
      </c>
      <c r="D16738" s="56">
        <v>4.9438636100913855E-2</v>
      </c>
      <c r="E16738" s="224" t="s">
        <v>2</v>
      </c>
      <c r="F16738" s="515" t="s">
        <v>17914</v>
      </c>
      <c r="G16738" s="52">
        <v>226193.015957633</v>
      </c>
      <c r="H16738" s="56">
        <v>-7.189080086150091E-3</v>
      </c>
      <c r="I16738" s="224" t="s">
        <v>2</v>
      </c>
    </row>
    <row r="16739" spans="1:9" x14ac:dyDescent="0.25">
      <c r="A16739" s="515">
        <v>96137</v>
      </c>
      <c r="C16739" s="52">
        <v>446426.912780863</v>
      </c>
      <c r="D16739" s="56">
        <v>7.7191613476676919E-3</v>
      </c>
      <c r="E16739" s="224" t="s">
        <v>2</v>
      </c>
      <c r="F16739" s="515" t="s">
        <v>17915</v>
      </c>
      <c r="G16739" s="52">
        <v>142650.83768946101</v>
      </c>
      <c r="H16739" s="56">
        <v>0.20930197273991585</v>
      </c>
      <c r="I16739" s="224" t="s">
        <v>2</v>
      </c>
    </row>
    <row r="16740" spans="1:9" x14ac:dyDescent="0.25">
      <c r="A16740" s="515">
        <v>21028</v>
      </c>
      <c r="B16740" s="515" t="s">
        <v>582</v>
      </c>
      <c r="C16740" s="52">
        <v>461713.11760659801</v>
      </c>
      <c r="D16740" s="56">
        <v>4.145300498355893E-2</v>
      </c>
      <c r="E16740" s="224" t="s">
        <v>2</v>
      </c>
      <c r="F16740" s="515" t="s">
        <v>17916</v>
      </c>
      <c r="G16740" s="52">
        <v>514995.24612190499</v>
      </c>
      <c r="H16740" s="56">
        <v>0.12462004939119825</v>
      </c>
      <c r="I16740" s="224" t="s">
        <v>2</v>
      </c>
    </row>
    <row r="16741" spans="1:9" x14ac:dyDescent="0.25">
      <c r="A16741" s="515">
        <v>73573</v>
      </c>
      <c r="C16741" s="52">
        <v>77393.705381526801</v>
      </c>
      <c r="D16741" s="56">
        <v>0.32347375524879252</v>
      </c>
      <c r="E16741" s="224" t="s">
        <v>2</v>
      </c>
      <c r="F16741" s="515" t="s">
        <v>17917</v>
      </c>
      <c r="G16741" s="52">
        <v>91329.502158276897</v>
      </c>
      <c r="H16741" s="56">
        <v>0</v>
      </c>
      <c r="I16741" s="224" t="s">
        <v>2</v>
      </c>
    </row>
    <row r="16742" spans="1:9" x14ac:dyDescent="0.25">
      <c r="A16742" s="515">
        <v>62069</v>
      </c>
      <c r="B16742" s="515" t="s">
        <v>498</v>
      </c>
      <c r="C16742" s="52">
        <v>83633.965400466899</v>
      </c>
      <c r="D16742" s="56">
        <v>8.5380652076745028E-2</v>
      </c>
      <c r="E16742" s="224" t="s">
        <v>2</v>
      </c>
      <c r="F16742" s="515" t="s">
        <v>17918</v>
      </c>
      <c r="G16742" s="52">
        <v>286201.616037014</v>
      </c>
      <c r="H16742" s="56">
        <v>9.3761764306386955E-2</v>
      </c>
      <c r="I16742" s="224" t="s">
        <v>2</v>
      </c>
    </row>
    <row r="16743" spans="1:9" x14ac:dyDescent="0.25">
      <c r="A16743" s="515">
        <v>75417</v>
      </c>
      <c r="C16743" s="52">
        <v>129444.74550077</v>
      </c>
      <c r="D16743" s="56">
        <v>2.4256117041992584E-2</v>
      </c>
      <c r="E16743" s="224" t="s">
        <v>2</v>
      </c>
      <c r="F16743" s="515" t="s">
        <v>17919</v>
      </c>
      <c r="G16743" s="52">
        <v>245088.547826086</v>
      </c>
      <c r="H16743" s="56">
        <v>0</v>
      </c>
      <c r="I16743" s="224" t="s">
        <v>2</v>
      </c>
    </row>
    <row r="16744" spans="1:9" x14ac:dyDescent="0.25">
      <c r="A16744" s="515">
        <v>74561</v>
      </c>
      <c r="B16744" s="515" t="s">
        <v>451</v>
      </c>
      <c r="C16744" s="52">
        <v>102913.423528919</v>
      </c>
      <c r="D16744" s="56">
        <v>0.14461985630262769</v>
      </c>
      <c r="E16744" s="224" t="s">
        <v>2</v>
      </c>
      <c r="F16744" s="515" t="s">
        <v>17920</v>
      </c>
      <c r="G16744" s="52">
        <v>192365.59481923099</v>
      </c>
      <c r="H16744" s="56">
        <v>5.5341228080130422E-2</v>
      </c>
      <c r="I16744" s="224" t="s">
        <v>2</v>
      </c>
    </row>
    <row r="16745" spans="1:9" x14ac:dyDescent="0.25">
      <c r="A16745" s="515">
        <v>38601</v>
      </c>
      <c r="B16745" s="515" t="s">
        <v>689</v>
      </c>
      <c r="C16745" s="52">
        <v>157138.668985286</v>
      </c>
      <c r="D16745" s="56">
        <v>-5.6961719531696806E-2</v>
      </c>
      <c r="E16745" s="224" t="s">
        <v>2</v>
      </c>
      <c r="F16745" s="515" t="s">
        <v>17921</v>
      </c>
      <c r="G16745" s="52">
        <v>400235.39050100598</v>
      </c>
      <c r="H16745" s="56">
        <v>7.271599365825214E-2</v>
      </c>
      <c r="I16745" s="224" t="s">
        <v>2</v>
      </c>
    </row>
    <row r="16746" spans="1:9" x14ac:dyDescent="0.25">
      <c r="A16746" s="515">
        <v>12074</v>
      </c>
      <c r="B16746" s="515" t="s">
        <v>609</v>
      </c>
      <c r="C16746" s="52">
        <v>283835.43577901297</v>
      </c>
      <c r="D16746" s="56">
        <v>6.6451084985512804E-2</v>
      </c>
      <c r="E16746" s="224" t="s">
        <v>2</v>
      </c>
      <c r="F16746" s="515" t="s">
        <v>17922</v>
      </c>
      <c r="G16746" s="52">
        <v>389934.031016369</v>
      </c>
      <c r="H16746" s="56">
        <v>-2.8772403560025684E-2</v>
      </c>
      <c r="I16746" s="224" t="s">
        <v>2</v>
      </c>
    </row>
    <row r="16747" spans="1:9" x14ac:dyDescent="0.25">
      <c r="A16747" s="515">
        <v>66748</v>
      </c>
      <c r="C16747" s="52">
        <v>98034.376055384404</v>
      </c>
      <c r="D16747" s="56">
        <v>6.0045988009141689E-2</v>
      </c>
      <c r="E16747" s="224" t="s">
        <v>2</v>
      </c>
      <c r="F16747" s="515" t="s">
        <v>17923</v>
      </c>
      <c r="G16747" s="52">
        <v>456892.44535529899</v>
      </c>
      <c r="H16747" s="56">
        <v>0.10554856530078065</v>
      </c>
      <c r="I16747" s="224" t="s">
        <v>2</v>
      </c>
    </row>
    <row r="16748" spans="1:9" x14ac:dyDescent="0.25">
      <c r="A16748" s="515">
        <v>24256</v>
      </c>
      <c r="C16748" s="52">
        <v>79115.044909671196</v>
      </c>
      <c r="D16748" s="56">
        <v>0.16992587477607715</v>
      </c>
      <c r="E16748" s="224" t="s">
        <v>2</v>
      </c>
      <c r="F16748" s="515" t="s">
        <v>17924</v>
      </c>
      <c r="G16748" s="52">
        <v>209888.678571428</v>
      </c>
      <c r="H16748" s="56">
        <v>0</v>
      </c>
      <c r="I16748" s="224" t="s">
        <v>2</v>
      </c>
    </row>
    <row r="16749" spans="1:9" x14ac:dyDescent="0.25">
      <c r="A16749" s="515">
        <v>15437</v>
      </c>
      <c r="B16749" s="515" t="s">
        <v>297</v>
      </c>
      <c r="C16749" s="52">
        <v>190932.76094457199</v>
      </c>
      <c r="D16749" s="56">
        <v>-7.4714564856699969E-3</v>
      </c>
      <c r="E16749" s="224" t="s">
        <v>2</v>
      </c>
      <c r="F16749" s="515" t="s">
        <v>17925</v>
      </c>
      <c r="G16749" s="52">
        <v>111102.24919258201</v>
      </c>
      <c r="H16749" s="56">
        <v>-1.0324530273541228E-2</v>
      </c>
      <c r="I16749" s="224" t="s">
        <v>2</v>
      </c>
    </row>
    <row r="16750" spans="1:9" x14ac:dyDescent="0.25">
      <c r="A16750" s="515">
        <v>31018</v>
      </c>
      <c r="C16750" s="52">
        <v>92880.790800761504</v>
      </c>
      <c r="D16750" s="56">
        <v>2.0184091759086049E-2</v>
      </c>
      <c r="E16750" s="224" t="s">
        <v>2</v>
      </c>
      <c r="F16750" s="515" t="s">
        <v>17926</v>
      </c>
      <c r="G16750" s="52">
        <v>228413.156288578</v>
      </c>
      <c r="H16750" s="56">
        <v>8.4528936773651517E-2</v>
      </c>
      <c r="I16750" s="224" t="s">
        <v>2</v>
      </c>
    </row>
    <row r="16751" spans="1:9" x14ac:dyDescent="0.25">
      <c r="A16751" s="515">
        <v>5857</v>
      </c>
      <c r="C16751" s="52">
        <v>264845.50884341501</v>
      </c>
      <c r="D16751" s="56">
        <v>9.3335488648127921E-2</v>
      </c>
      <c r="E16751" s="224" t="s">
        <v>2</v>
      </c>
      <c r="F16751" s="515" t="s">
        <v>17927</v>
      </c>
      <c r="G16751" s="52">
        <v>303604.17230543803</v>
      </c>
      <c r="H16751" s="56">
        <v>9.8581000007078076E-2</v>
      </c>
      <c r="I16751" s="224" t="s">
        <v>2</v>
      </c>
    </row>
    <row r="16752" spans="1:9" x14ac:dyDescent="0.25">
      <c r="A16752" s="515">
        <v>49916</v>
      </c>
      <c r="B16752" s="515" t="s">
        <v>462</v>
      </c>
      <c r="C16752" s="52">
        <v>188254.83774903699</v>
      </c>
      <c r="D16752" s="56">
        <v>8.5269983711554281E-2</v>
      </c>
      <c r="E16752" s="224" t="s">
        <v>2</v>
      </c>
      <c r="F16752" s="515" t="s">
        <v>17928</v>
      </c>
      <c r="G16752" s="52">
        <v>530827.82868557295</v>
      </c>
      <c r="H16752" s="56">
        <v>0.13056957525989016</v>
      </c>
      <c r="I16752" s="224" t="s">
        <v>2</v>
      </c>
    </row>
    <row r="16753" spans="1:9" x14ac:dyDescent="0.25">
      <c r="A16753" s="515">
        <v>39039</v>
      </c>
      <c r="B16753" s="515" t="s">
        <v>851</v>
      </c>
      <c r="C16753" s="52">
        <v>139470.123962985</v>
      </c>
      <c r="D16753" s="56">
        <v>-1.266435886048607E-2</v>
      </c>
      <c r="E16753" s="224" t="s">
        <v>2</v>
      </c>
      <c r="F16753" s="515" t="s">
        <v>17929</v>
      </c>
      <c r="G16753" s="52">
        <v>277662.3</v>
      </c>
      <c r="H16753" s="56">
        <v>0</v>
      </c>
      <c r="I16753" s="224" t="s">
        <v>2</v>
      </c>
    </row>
    <row r="16754" spans="1:9" x14ac:dyDescent="0.25">
      <c r="A16754" s="515">
        <v>26807</v>
      </c>
      <c r="C16754" s="52">
        <v>159701.78722178601</v>
      </c>
      <c r="D16754" s="56">
        <v>8.8753361287278232E-2</v>
      </c>
      <c r="E16754" s="224" t="s">
        <v>2</v>
      </c>
      <c r="F16754" s="515" t="s">
        <v>17930</v>
      </c>
      <c r="G16754" s="52">
        <v>157694.96445070099</v>
      </c>
      <c r="H16754" s="56">
        <v>0</v>
      </c>
      <c r="I16754" s="224" t="s">
        <v>2</v>
      </c>
    </row>
    <row r="16755" spans="1:9" x14ac:dyDescent="0.25">
      <c r="A16755" s="515">
        <v>37345</v>
      </c>
      <c r="B16755" s="515" t="s">
        <v>977</v>
      </c>
      <c r="C16755" s="52">
        <v>184331.61127153999</v>
      </c>
      <c r="D16755" s="56">
        <v>8.8495306767491871E-2</v>
      </c>
      <c r="E16755" s="224" t="s">
        <v>2</v>
      </c>
      <c r="F16755" s="515" t="s">
        <v>17931</v>
      </c>
      <c r="G16755" s="52">
        <v>153637.81457315001</v>
      </c>
      <c r="H16755" s="56">
        <v>9.8591170412390725E-2</v>
      </c>
      <c r="I16755" s="224" t="s">
        <v>2</v>
      </c>
    </row>
    <row r="16756" spans="1:9" x14ac:dyDescent="0.25">
      <c r="A16756" s="515">
        <v>48069</v>
      </c>
      <c r="B16756" s="515" t="s">
        <v>685</v>
      </c>
      <c r="C16756" s="52">
        <v>413262.93337670201</v>
      </c>
      <c r="D16756" s="56">
        <v>4.0117595228546181E-2</v>
      </c>
      <c r="E16756" s="224" t="s">
        <v>2</v>
      </c>
      <c r="F16756" s="515" t="s">
        <v>17932</v>
      </c>
      <c r="G16756" s="52">
        <v>87287.368022490802</v>
      </c>
      <c r="H16756" s="56">
        <v>7.5246790675030539E-2</v>
      </c>
      <c r="I16756" s="224" t="s">
        <v>2</v>
      </c>
    </row>
    <row r="16757" spans="1:9" x14ac:dyDescent="0.25">
      <c r="A16757" s="515">
        <v>33585</v>
      </c>
      <c r="B16757" s="515" t="s">
        <v>558</v>
      </c>
      <c r="C16757" s="52">
        <v>369033.22274184698</v>
      </c>
      <c r="D16757" s="56">
        <v>9.5231954699931384E-2</v>
      </c>
      <c r="E16757" s="224" t="s">
        <v>2</v>
      </c>
      <c r="F16757" s="515" t="s">
        <v>17933</v>
      </c>
      <c r="G16757" s="52">
        <v>367962.25532459997</v>
      </c>
      <c r="H16757" s="56">
        <v>0.19289790656068978</v>
      </c>
      <c r="I16757" s="224" t="s">
        <v>2</v>
      </c>
    </row>
    <row r="16758" spans="1:9" x14ac:dyDescent="0.25">
      <c r="A16758" s="515">
        <v>46532</v>
      </c>
      <c r="C16758" s="52">
        <v>168010.451836022</v>
      </c>
      <c r="D16758" s="56">
        <v>8.6052043003768564E-2</v>
      </c>
      <c r="E16758" s="224" t="s">
        <v>2</v>
      </c>
      <c r="F16758" s="515" t="s">
        <v>17934</v>
      </c>
      <c r="G16758" s="52">
        <v>386627.89340118098</v>
      </c>
      <c r="H16758" s="56">
        <v>6.8003254455502912E-2</v>
      </c>
      <c r="I16758" s="224" t="s">
        <v>2</v>
      </c>
    </row>
    <row r="16759" spans="1:9" x14ac:dyDescent="0.25">
      <c r="A16759" s="515">
        <v>27024</v>
      </c>
      <c r="B16759" s="515" t="s">
        <v>1046</v>
      </c>
      <c r="C16759" s="52">
        <v>177872.31948718199</v>
      </c>
      <c r="D16759" s="56">
        <v>6.2674142236337785E-2</v>
      </c>
      <c r="E16759" s="224" t="s">
        <v>2</v>
      </c>
      <c r="F16759" s="515" t="s">
        <v>17935</v>
      </c>
      <c r="G16759" s="52">
        <v>232663.141378228</v>
      </c>
      <c r="H16759" s="56">
        <v>6.051237735963598E-2</v>
      </c>
      <c r="I16759" s="224" t="s">
        <v>2</v>
      </c>
    </row>
    <row r="16760" spans="1:9" x14ac:dyDescent="0.25">
      <c r="A16760" s="515">
        <v>98392</v>
      </c>
      <c r="B16760" s="515" t="s">
        <v>620</v>
      </c>
      <c r="C16760" s="52">
        <v>432064.98046303599</v>
      </c>
      <c r="D16760" s="56">
        <v>2.7735458298311092E-2</v>
      </c>
      <c r="E16760" s="224" t="s">
        <v>2</v>
      </c>
      <c r="F16760" s="515" t="s">
        <v>17936</v>
      </c>
      <c r="G16760" s="52">
        <v>556218.62009063503</v>
      </c>
      <c r="H16760" s="56">
        <v>2.0358327762241356E-2</v>
      </c>
      <c r="I16760" s="224" t="s">
        <v>2</v>
      </c>
    </row>
    <row r="16761" spans="1:9" x14ac:dyDescent="0.25">
      <c r="A16761" s="515">
        <v>36453</v>
      </c>
      <c r="B16761" s="515" t="s">
        <v>1013</v>
      </c>
      <c r="C16761" s="52">
        <v>134099.72917638201</v>
      </c>
      <c r="D16761" s="56">
        <v>2.6776055941035989E-2</v>
      </c>
      <c r="E16761" s="224" t="s">
        <v>2</v>
      </c>
      <c r="F16761" s="515" t="s">
        <v>17937</v>
      </c>
      <c r="G16761" s="52">
        <v>216467.69237493299</v>
      </c>
      <c r="H16761" s="56">
        <v>4.0510493089451309E-2</v>
      </c>
      <c r="I16761" s="224" t="s">
        <v>2</v>
      </c>
    </row>
    <row r="16762" spans="1:9" x14ac:dyDescent="0.25">
      <c r="A16762" s="515">
        <v>30816</v>
      </c>
      <c r="C16762" s="52">
        <v>146457.865868742</v>
      </c>
      <c r="D16762" s="56">
        <v>4.3521096255180927E-2</v>
      </c>
      <c r="E16762" s="224" t="s">
        <v>2</v>
      </c>
      <c r="F16762" s="515" t="s">
        <v>17938</v>
      </c>
      <c r="G16762" s="52">
        <v>90476.333533329002</v>
      </c>
      <c r="H16762" s="56">
        <v>8.7127643436848562E-2</v>
      </c>
      <c r="I16762" s="224" t="s">
        <v>2</v>
      </c>
    </row>
    <row r="16763" spans="1:9" x14ac:dyDescent="0.25">
      <c r="A16763" s="515">
        <v>7077</v>
      </c>
      <c r="B16763" s="515" t="s">
        <v>324</v>
      </c>
      <c r="C16763" s="52">
        <v>393071.27300213499</v>
      </c>
      <c r="D16763" s="56">
        <v>4.834946077098308E-2</v>
      </c>
      <c r="E16763" s="224" t="s">
        <v>2</v>
      </c>
      <c r="F16763" s="515" t="s">
        <v>17939</v>
      </c>
      <c r="G16763" s="52">
        <v>264688.14893616998</v>
      </c>
      <c r="H16763" s="56">
        <v>0</v>
      </c>
      <c r="I16763" s="224" t="s">
        <v>2</v>
      </c>
    </row>
    <row r="16764" spans="1:9" x14ac:dyDescent="0.25">
      <c r="A16764" s="515">
        <v>1103</v>
      </c>
      <c r="B16764" s="515" t="s">
        <v>575</v>
      </c>
      <c r="C16764" s="52">
        <v>114220.815938175</v>
      </c>
      <c r="D16764" s="56">
        <v>0.10612345273901114</v>
      </c>
      <c r="E16764" s="224" t="s">
        <v>2</v>
      </c>
      <c r="F16764" s="515" t="s">
        <v>17940</v>
      </c>
      <c r="G16764" s="52">
        <v>166272.54705782299</v>
      </c>
      <c r="H16764" s="56">
        <v>3.6225687871596086E-2</v>
      </c>
      <c r="I16764" s="224" t="s">
        <v>2</v>
      </c>
    </row>
    <row r="16765" spans="1:9" x14ac:dyDescent="0.25">
      <c r="A16765" s="515">
        <v>66533</v>
      </c>
      <c r="B16765" s="515" t="s">
        <v>549</v>
      </c>
      <c r="C16765" s="52">
        <v>197890.28081494599</v>
      </c>
      <c r="D16765" s="56">
        <v>0.10121646589552485</v>
      </c>
      <c r="E16765" s="224" t="s">
        <v>2</v>
      </c>
      <c r="F16765" s="515" t="s">
        <v>17941</v>
      </c>
      <c r="G16765" s="52">
        <v>495535.28448275803</v>
      </c>
      <c r="H16765" s="56">
        <v>0</v>
      </c>
      <c r="I16765" s="224" t="s">
        <v>2</v>
      </c>
    </row>
    <row r="16766" spans="1:9" x14ac:dyDescent="0.25">
      <c r="A16766" s="515">
        <v>76524</v>
      </c>
      <c r="B16766" s="515" t="s">
        <v>1057</v>
      </c>
      <c r="C16766" s="52">
        <v>251930.50979131801</v>
      </c>
      <c r="D16766" s="56">
        <v>6.8706736262120371E-2</v>
      </c>
      <c r="E16766" s="224" t="s">
        <v>2</v>
      </c>
      <c r="F16766" s="515" t="s">
        <v>17942</v>
      </c>
      <c r="G16766" s="52">
        <v>299136.786220935</v>
      </c>
      <c r="H16766" s="56">
        <v>8.3260252199730184E-2</v>
      </c>
      <c r="I16766" s="224" t="s">
        <v>2</v>
      </c>
    </row>
    <row r="16767" spans="1:9" x14ac:dyDescent="0.25">
      <c r="A16767" s="515">
        <v>50579</v>
      </c>
      <c r="C16767" s="52">
        <v>108486.07606148699</v>
      </c>
      <c r="D16767" s="56">
        <v>4.8797779445985977E-2</v>
      </c>
      <c r="E16767" s="224" t="s">
        <v>2</v>
      </c>
      <c r="F16767" s="515" t="s">
        <v>17943</v>
      </c>
      <c r="G16767" s="52">
        <v>160553.15950924199</v>
      </c>
      <c r="H16767" s="56">
        <v>0.11391370272463298</v>
      </c>
      <c r="I16767" s="224" t="s">
        <v>2</v>
      </c>
    </row>
    <row r="16768" spans="1:9" x14ac:dyDescent="0.25">
      <c r="A16768" s="515">
        <v>4461</v>
      </c>
      <c r="B16768" s="515" t="s">
        <v>792</v>
      </c>
      <c r="C16768" s="52">
        <v>201350.336232084</v>
      </c>
      <c r="D16768" s="56">
        <v>0.13752385587381263</v>
      </c>
      <c r="E16768" s="224" t="s">
        <v>2</v>
      </c>
      <c r="F16768" s="515" t="s">
        <v>17944</v>
      </c>
      <c r="G16768" s="52">
        <v>2404111.4591948702</v>
      </c>
      <c r="H16768" s="56">
        <v>0.15716757976330609</v>
      </c>
      <c r="I16768" s="224" t="s">
        <v>2</v>
      </c>
    </row>
    <row r="16769" spans="1:9" x14ac:dyDescent="0.25">
      <c r="A16769" s="515">
        <v>95228</v>
      </c>
      <c r="C16769" s="52">
        <v>521600.61185337999</v>
      </c>
      <c r="D16769" s="56">
        <v>1.1631137408999731E-2</v>
      </c>
      <c r="E16769" s="224" t="s">
        <v>2</v>
      </c>
      <c r="F16769" s="515" t="s">
        <v>17945</v>
      </c>
      <c r="G16769" s="52">
        <v>623572.40801197302</v>
      </c>
      <c r="H16769" s="56">
        <v>3.1324714474627501E-2</v>
      </c>
      <c r="I16769" s="224" t="s">
        <v>2</v>
      </c>
    </row>
    <row r="16770" spans="1:9" x14ac:dyDescent="0.25">
      <c r="A16770" s="515">
        <v>75846</v>
      </c>
      <c r="C16770" s="52">
        <v>220387.67538841601</v>
      </c>
      <c r="D16770" s="56">
        <v>-3.8221262371029255E-2</v>
      </c>
      <c r="E16770" s="224" t="s">
        <v>2</v>
      </c>
      <c r="F16770" s="515" t="s">
        <v>17946</v>
      </c>
      <c r="G16770" s="52">
        <v>235757.66672768799</v>
      </c>
      <c r="H16770" s="56">
        <v>0.10759016836084095</v>
      </c>
      <c r="I16770" s="224" t="s">
        <v>2</v>
      </c>
    </row>
    <row r="16771" spans="1:9" x14ac:dyDescent="0.25">
      <c r="A16771" s="515">
        <v>31738</v>
      </c>
      <c r="B16771" s="515" t="s">
        <v>402</v>
      </c>
      <c r="C16771" s="52">
        <v>156183.319950317</v>
      </c>
      <c r="D16771" s="56">
        <v>2.9671599992692636E-2</v>
      </c>
      <c r="E16771" s="224" t="s">
        <v>2</v>
      </c>
      <c r="F16771" s="515" t="s">
        <v>17947</v>
      </c>
      <c r="G16771" s="52">
        <v>107751.876543209</v>
      </c>
      <c r="H16771" s="56">
        <v>0</v>
      </c>
      <c r="I16771" s="224" t="s">
        <v>2</v>
      </c>
    </row>
    <row r="16772" spans="1:9" x14ac:dyDescent="0.25">
      <c r="A16772" s="515">
        <v>56381</v>
      </c>
      <c r="C16772" s="52">
        <v>229809.23295406401</v>
      </c>
      <c r="D16772" s="56">
        <v>4.1099190305094999E-2</v>
      </c>
      <c r="E16772" s="224" t="s">
        <v>2</v>
      </c>
      <c r="F16772" s="515" t="s">
        <v>17948</v>
      </c>
      <c r="G16772" s="52">
        <v>372350.03396030702</v>
      </c>
      <c r="H16772" s="56">
        <v>8.5505779515812896E-2</v>
      </c>
      <c r="I16772" s="224" t="s">
        <v>2</v>
      </c>
    </row>
    <row r="16773" spans="1:9" x14ac:dyDescent="0.25">
      <c r="A16773" s="515">
        <v>59313</v>
      </c>
      <c r="C16773" s="52">
        <v>217091.62535238799</v>
      </c>
      <c r="D16773" s="56">
        <v>2.3402246579537413E-2</v>
      </c>
      <c r="E16773" s="224" t="s">
        <v>2</v>
      </c>
      <c r="F16773" s="515" t="s">
        <v>17949</v>
      </c>
      <c r="G16773" s="52">
        <v>204486.27582155899</v>
      </c>
      <c r="H16773" s="56">
        <v>8.1421372932007782E-2</v>
      </c>
      <c r="I16773" s="224" t="s">
        <v>2</v>
      </c>
    </row>
    <row r="16774" spans="1:9" x14ac:dyDescent="0.25">
      <c r="A16774" s="515">
        <v>43071</v>
      </c>
      <c r="B16774" s="515" t="s">
        <v>345</v>
      </c>
      <c r="C16774" s="52">
        <v>247168.686314942</v>
      </c>
      <c r="D16774" s="56">
        <v>0.11991267131693967</v>
      </c>
      <c r="E16774" s="224" t="s">
        <v>2</v>
      </c>
      <c r="F16774" s="515" t="s">
        <v>17950</v>
      </c>
      <c r="G16774" s="52">
        <v>277139.94683502201</v>
      </c>
      <c r="H16774" s="56">
        <v>4.831842046841725E-2</v>
      </c>
      <c r="I16774" s="224" t="s">
        <v>2</v>
      </c>
    </row>
    <row r="16775" spans="1:9" x14ac:dyDescent="0.25">
      <c r="A16775" s="515">
        <v>16946</v>
      </c>
      <c r="C16775" s="52">
        <v>175799.41606320199</v>
      </c>
      <c r="D16775" s="56">
        <v>8.9533711775094227E-2</v>
      </c>
      <c r="E16775" s="224" t="s">
        <v>2</v>
      </c>
      <c r="F16775" s="515" t="s">
        <v>17951</v>
      </c>
      <c r="G16775" s="52"/>
      <c r="H16775" s="56">
        <v>0</v>
      </c>
      <c r="I16775" s="224" t="s">
        <v>2</v>
      </c>
    </row>
    <row r="16776" spans="1:9" x14ac:dyDescent="0.25">
      <c r="A16776" s="515">
        <v>14517</v>
      </c>
      <c r="B16776" s="515" t="s">
        <v>337</v>
      </c>
      <c r="C16776" s="52">
        <v>145673.554799748</v>
      </c>
      <c r="D16776" s="56">
        <v>8.7812832679650496E-2</v>
      </c>
      <c r="E16776" s="224" t="s">
        <v>2</v>
      </c>
      <c r="F16776" s="515" t="s">
        <v>17952</v>
      </c>
      <c r="G16776" s="52">
        <v>1057443.9400502699</v>
      </c>
      <c r="H16776" s="56">
        <v>4.2041448252597945E-2</v>
      </c>
      <c r="I16776" s="224" t="s">
        <v>2</v>
      </c>
    </row>
    <row r="16777" spans="1:9" x14ac:dyDescent="0.25">
      <c r="A16777" s="515">
        <v>14735</v>
      </c>
      <c r="C16777" s="52">
        <v>116246.59819473801</v>
      </c>
      <c r="D16777" s="56">
        <v>0.11515159542457622</v>
      </c>
      <c r="E16777" s="224" t="s">
        <v>2</v>
      </c>
      <c r="F16777" s="515" t="s">
        <v>17953</v>
      </c>
      <c r="G16777" s="52">
        <v>230230.320912444</v>
      </c>
      <c r="H16777" s="56">
        <v>5.0948366757870872E-2</v>
      </c>
      <c r="I16777" s="224" t="s">
        <v>2</v>
      </c>
    </row>
    <row r="16778" spans="1:9" x14ac:dyDescent="0.25">
      <c r="A16778" s="515">
        <v>72946</v>
      </c>
      <c r="B16778" s="515" t="s">
        <v>326</v>
      </c>
      <c r="C16778" s="52">
        <v>148475.22908505099</v>
      </c>
      <c r="D16778" s="56">
        <v>6.1257755329890441E-4</v>
      </c>
      <c r="E16778" s="224" t="s">
        <v>2</v>
      </c>
      <c r="F16778" s="515" t="s">
        <v>17954</v>
      </c>
      <c r="G16778" s="52">
        <v>149950.127302193</v>
      </c>
      <c r="H16778" s="56">
        <v>0.23493263562601835</v>
      </c>
      <c r="I16778" s="224" t="s">
        <v>2</v>
      </c>
    </row>
    <row r="16779" spans="1:9" x14ac:dyDescent="0.25">
      <c r="A16779" s="515">
        <v>15360</v>
      </c>
      <c r="B16779" s="515" t="s">
        <v>297</v>
      </c>
      <c r="C16779" s="52">
        <v>226406.17785543299</v>
      </c>
      <c r="D16779" s="56">
        <v>9.0716921310877136E-2</v>
      </c>
      <c r="E16779" s="224" t="s">
        <v>2</v>
      </c>
      <c r="F16779" s="515" t="s">
        <v>17955</v>
      </c>
      <c r="G16779" s="52">
        <v>94255.811860186703</v>
      </c>
      <c r="H16779" s="56">
        <v>9.9883384605539666E-2</v>
      </c>
      <c r="I16779" s="224" t="s">
        <v>2</v>
      </c>
    </row>
    <row r="16780" spans="1:9" x14ac:dyDescent="0.25">
      <c r="A16780" s="515">
        <v>62884</v>
      </c>
      <c r="C16780" s="52">
        <v>82196.140338404395</v>
      </c>
      <c r="D16780" s="56">
        <v>0.13295055094484212</v>
      </c>
      <c r="E16780" s="224" t="s">
        <v>2</v>
      </c>
      <c r="F16780" s="515" t="s">
        <v>17956</v>
      </c>
      <c r="G16780" s="52">
        <v>217911.78200536399</v>
      </c>
      <c r="H16780" s="56">
        <v>0</v>
      </c>
      <c r="I16780" s="224" t="s">
        <v>2</v>
      </c>
    </row>
    <row r="16781" spans="1:9" x14ac:dyDescent="0.25">
      <c r="A16781" s="515">
        <v>20751</v>
      </c>
      <c r="B16781" s="515" t="s">
        <v>582</v>
      </c>
      <c r="C16781" s="52">
        <v>459521.18997344503</v>
      </c>
      <c r="D16781" s="56">
        <v>5.2524421583481258E-2</v>
      </c>
      <c r="E16781" s="224" t="s">
        <v>2</v>
      </c>
      <c r="F16781" s="515" t="s">
        <v>17957</v>
      </c>
      <c r="G16781" s="52">
        <v>94099.885261763004</v>
      </c>
      <c r="H16781" s="56">
        <v>2.8927258242143757E-2</v>
      </c>
      <c r="I16781" s="224" t="s">
        <v>2</v>
      </c>
    </row>
    <row r="16782" spans="1:9" x14ac:dyDescent="0.25">
      <c r="A16782" s="515">
        <v>23308</v>
      </c>
      <c r="C16782" s="52">
        <v>127117.69737306501</v>
      </c>
      <c r="D16782" s="56">
        <v>-2.0629852348657413E-2</v>
      </c>
      <c r="E16782" s="224" t="s">
        <v>2</v>
      </c>
      <c r="F16782" s="515" t="s">
        <v>17958</v>
      </c>
      <c r="G16782" s="52">
        <v>348831.11314210301</v>
      </c>
      <c r="H16782" s="56">
        <v>6.2087454381283651E-2</v>
      </c>
      <c r="I16782" s="224" t="s">
        <v>2</v>
      </c>
    </row>
    <row r="16783" spans="1:9" x14ac:dyDescent="0.25">
      <c r="A16783" s="515">
        <v>29546</v>
      </c>
      <c r="C16783" s="52">
        <v>62276.5833942463</v>
      </c>
      <c r="D16783" s="56">
        <v>3.1676149268953915E-2</v>
      </c>
      <c r="E16783" s="224" t="s">
        <v>2</v>
      </c>
      <c r="F16783" s="515" t="s">
        <v>17959</v>
      </c>
      <c r="G16783" s="52">
        <v>394577.98202521098</v>
      </c>
      <c r="H16783" s="56">
        <v>9.4413192078504654E-2</v>
      </c>
      <c r="I16783" s="224" t="s">
        <v>2</v>
      </c>
    </row>
    <row r="16784" spans="1:9" x14ac:dyDescent="0.25">
      <c r="A16784" s="515">
        <v>24827</v>
      </c>
      <c r="C16784" s="52">
        <v>54661.912514345197</v>
      </c>
      <c r="D16784" s="56">
        <v>7.6207975516667151E-2</v>
      </c>
      <c r="E16784" s="224" t="s">
        <v>2</v>
      </c>
      <c r="F16784" s="515" t="s">
        <v>17960</v>
      </c>
      <c r="G16784" s="52">
        <v>255848.00056943801</v>
      </c>
      <c r="H16784" s="56">
        <v>8.1226033065743136E-2</v>
      </c>
      <c r="I16784" s="224" t="s">
        <v>2</v>
      </c>
    </row>
    <row r="16785" spans="1:9" x14ac:dyDescent="0.25">
      <c r="A16785" s="515">
        <v>69343</v>
      </c>
      <c r="C16785" s="52">
        <v>109734.05290931</v>
      </c>
      <c r="D16785" s="56">
        <v>0.22153524801694258</v>
      </c>
      <c r="E16785" s="224" t="s">
        <v>2</v>
      </c>
      <c r="F16785" s="515" t="s">
        <v>17961</v>
      </c>
      <c r="G16785" s="52">
        <v>152566.555876675</v>
      </c>
      <c r="H16785" s="56">
        <v>3.1405286341167959E-2</v>
      </c>
      <c r="I16785" s="224" t="s">
        <v>2</v>
      </c>
    </row>
    <row r="16786" spans="1:9" x14ac:dyDescent="0.25">
      <c r="A16786" s="515">
        <v>66052</v>
      </c>
      <c r="B16786" s="515" t="s">
        <v>455</v>
      </c>
      <c r="C16786" s="52">
        <v>386429.11061819899</v>
      </c>
      <c r="D16786" s="56">
        <v>0.11109905293271739</v>
      </c>
      <c r="E16786" s="224" t="s">
        <v>2</v>
      </c>
      <c r="F16786" s="515" t="s">
        <v>17962</v>
      </c>
      <c r="G16786" s="52">
        <v>369430.20129033498</v>
      </c>
      <c r="H16786" s="56">
        <v>0.12080202513354868</v>
      </c>
      <c r="I16786" s="224" t="s">
        <v>2</v>
      </c>
    </row>
    <row r="16787" spans="1:9" x14ac:dyDescent="0.25">
      <c r="A16787" s="515">
        <v>57369</v>
      </c>
      <c r="C16787" s="52">
        <v>263467.198662084</v>
      </c>
      <c r="D16787" s="56">
        <v>0.15812556027131788</v>
      </c>
      <c r="E16787" s="224" t="s">
        <v>2</v>
      </c>
      <c r="F16787" s="515" t="s">
        <v>17963</v>
      </c>
      <c r="G16787" s="52">
        <v>171228.66926198601</v>
      </c>
      <c r="H16787" s="56">
        <v>8.5477069145178219E-2</v>
      </c>
      <c r="I16787" s="224" t="s">
        <v>2</v>
      </c>
    </row>
    <row r="16788" spans="1:9" x14ac:dyDescent="0.25">
      <c r="A16788" s="515">
        <v>61047</v>
      </c>
      <c r="B16788" s="515" t="s">
        <v>429</v>
      </c>
      <c r="C16788" s="52">
        <v>169942.629526392</v>
      </c>
      <c r="D16788" s="56">
        <v>4.7608361735449301E-2</v>
      </c>
      <c r="E16788" s="224" t="s">
        <v>2</v>
      </c>
      <c r="F16788" s="515" t="s">
        <v>17964</v>
      </c>
      <c r="G16788" s="52">
        <v>667335.23653678806</v>
      </c>
      <c r="H16788" s="56">
        <v>4.0494081726359064E-2</v>
      </c>
      <c r="I16788" s="224" t="s">
        <v>2</v>
      </c>
    </row>
    <row r="16789" spans="1:9" x14ac:dyDescent="0.25">
      <c r="A16789" s="515">
        <v>48022</v>
      </c>
      <c r="B16789" s="515" t="s">
        <v>685</v>
      </c>
      <c r="C16789" s="52">
        <v>265731.11412341299</v>
      </c>
      <c r="D16789" s="56">
        <v>9.0696549314367506E-2</v>
      </c>
      <c r="E16789" s="224" t="s">
        <v>2</v>
      </c>
      <c r="F16789" s="515" t="s">
        <v>17965</v>
      </c>
      <c r="G16789" s="52">
        <v>189428.205650933</v>
      </c>
      <c r="H16789" s="56">
        <v>5.3830685249109014E-2</v>
      </c>
      <c r="I16789" s="224" t="s">
        <v>2</v>
      </c>
    </row>
    <row r="16790" spans="1:9" x14ac:dyDescent="0.25">
      <c r="A16790" s="515">
        <v>7435</v>
      </c>
      <c r="B16790" s="515" t="s">
        <v>324</v>
      </c>
      <c r="C16790" s="52">
        <v>491269.47018453502</v>
      </c>
      <c r="D16790" s="56">
        <v>5.9168494258943785E-2</v>
      </c>
      <c r="E16790" s="224" t="s">
        <v>2</v>
      </c>
      <c r="F16790" s="515" t="s">
        <v>17966</v>
      </c>
      <c r="G16790" s="52">
        <v>109069.783950593</v>
      </c>
      <c r="H16790" s="56">
        <v>5.4536683817420314E-2</v>
      </c>
      <c r="I16790" s="224" t="s">
        <v>2</v>
      </c>
    </row>
    <row r="16791" spans="1:9" x14ac:dyDescent="0.25">
      <c r="A16791" s="515">
        <v>79245</v>
      </c>
      <c r="C16791" s="52">
        <v>62249.4467818142</v>
      </c>
      <c r="D16791" s="56">
        <v>6.2285845722989765E-2</v>
      </c>
      <c r="E16791" s="224" t="s">
        <v>2</v>
      </c>
      <c r="F16791" s="515" t="s">
        <v>17967</v>
      </c>
      <c r="G16791" s="52">
        <v>167077.91101054</v>
      </c>
      <c r="H16791" s="56">
        <v>-3.7410089160991457E-2</v>
      </c>
      <c r="I16791" s="224" t="s">
        <v>2</v>
      </c>
    </row>
    <row r="16792" spans="1:9" x14ac:dyDescent="0.25">
      <c r="A16792" s="515">
        <v>41002</v>
      </c>
      <c r="B16792" s="515" t="s">
        <v>344</v>
      </c>
      <c r="C16792" s="52">
        <v>144676.169899008</v>
      </c>
      <c r="D16792" s="56">
        <v>0.16658759606322354</v>
      </c>
      <c r="E16792" s="224" t="s">
        <v>2</v>
      </c>
      <c r="F16792" s="515" t="s">
        <v>17968</v>
      </c>
      <c r="G16792" s="52">
        <v>470101.46901423897</v>
      </c>
      <c r="H16792" s="56">
        <v>9.9611887826631301E-2</v>
      </c>
      <c r="I16792" s="224" t="s">
        <v>2</v>
      </c>
    </row>
    <row r="16793" spans="1:9" x14ac:dyDescent="0.25">
      <c r="A16793" s="515">
        <v>28357</v>
      </c>
      <c r="B16793" s="515" t="s">
        <v>1149</v>
      </c>
      <c r="C16793" s="52">
        <v>158243.98234369999</v>
      </c>
      <c r="D16793" s="56">
        <v>0.1018771781007448</v>
      </c>
      <c r="E16793" s="224" t="s">
        <v>2</v>
      </c>
      <c r="F16793" s="515" t="s">
        <v>17969</v>
      </c>
      <c r="G16793" s="52">
        <v>333022.27268519701</v>
      </c>
      <c r="H16793" s="56">
        <v>5.3037127240739397E-2</v>
      </c>
      <c r="I16793" s="224" t="s">
        <v>2</v>
      </c>
    </row>
    <row r="16794" spans="1:9" x14ac:dyDescent="0.25">
      <c r="A16794" s="515">
        <v>50124</v>
      </c>
      <c r="B16794" s="515" t="s">
        <v>568</v>
      </c>
      <c r="C16794" s="52">
        <v>300499.55749007798</v>
      </c>
      <c r="D16794" s="56">
        <v>5.8430094843224888E-2</v>
      </c>
      <c r="E16794" s="224" t="s">
        <v>2</v>
      </c>
      <c r="F16794" s="515" t="s">
        <v>17970</v>
      </c>
      <c r="G16794" s="52">
        <v>135384.75429309701</v>
      </c>
      <c r="H16794" s="56">
        <v>7.0714423953005395E-2</v>
      </c>
      <c r="I16794" s="224" t="s">
        <v>2</v>
      </c>
    </row>
    <row r="16795" spans="1:9" x14ac:dyDescent="0.25">
      <c r="A16795" s="515">
        <v>16145</v>
      </c>
      <c r="B16795" s="515" t="s">
        <v>397</v>
      </c>
      <c r="C16795" s="52">
        <v>148883.30531527399</v>
      </c>
      <c r="D16795" s="56">
        <v>3.4487019923321961E-2</v>
      </c>
      <c r="E16795" s="224" t="s">
        <v>2</v>
      </c>
      <c r="F16795" s="515" t="s">
        <v>17971</v>
      </c>
      <c r="G16795" s="52">
        <v>303156.59319352597</v>
      </c>
      <c r="H16795" s="56">
        <v>5.9960018445598222E-2</v>
      </c>
      <c r="I16795" s="224" t="s">
        <v>2</v>
      </c>
    </row>
    <row r="16796" spans="1:9" x14ac:dyDescent="0.25">
      <c r="A16796" s="515">
        <v>38862</v>
      </c>
      <c r="B16796" s="515" t="s">
        <v>1010</v>
      </c>
      <c r="C16796" s="52">
        <v>135040.76961600099</v>
      </c>
      <c r="D16796" s="56">
        <v>-9.3330978078331305E-3</v>
      </c>
      <c r="E16796" s="224" t="s">
        <v>2</v>
      </c>
      <c r="F16796" s="515" t="s">
        <v>17972</v>
      </c>
      <c r="G16796" s="52">
        <v>189211.87078574399</v>
      </c>
      <c r="H16796" s="56">
        <v>6.3142531686827333E-2</v>
      </c>
      <c r="I16796" s="224" t="s">
        <v>2</v>
      </c>
    </row>
    <row r="16797" spans="1:9" x14ac:dyDescent="0.25">
      <c r="A16797" s="515">
        <v>67546</v>
      </c>
      <c r="B16797" s="515" t="s">
        <v>812</v>
      </c>
      <c r="C16797" s="52">
        <v>215428.198163202</v>
      </c>
      <c r="D16797" s="56">
        <v>9.9699769848713191E-2</v>
      </c>
      <c r="E16797" s="224" t="s">
        <v>2</v>
      </c>
      <c r="F16797" s="515" t="s">
        <v>17973</v>
      </c>
      <c r="G16797" s="52">
        <v>263030.28561252699</v>
      </c>
      <c r="H16797" s="56">
        <v>7.0879999031946694E-2</v>
      </c>
      <c r="I16797" s="224" t="s">
        <v>2</v>
      </c>
    </row>
    <row r="16798" spans="1:9" x14ac:dyDescent="0.25">
      <c r="A16798" s="515">
        <v>59422</v>
      </c>
      <c r="C16798" s="52">
        <v>241640.67073264599</v>
      </c>
      <c r="D16798" s="56">
        <v>0.10031626188862394</v>
      </c>
      <c r="E16798" s="224" t="s">
        <v>2</v>
      </c>
      <c r="F16798" s="515" t="s">
        <v>17974</v>
      </c>
      <c r="G16798" s="52">
        <v>554184.10428865405</v>
      </c>
      <c r="H16798" s="56">
        <v>4.0273330336380329E-2</v>
      </c>
      <c r="I16798" s="224" t="s">
        <v>2</v>
      </c>
    </row>
    <row r="16799" spans="1:9" x14ac:dyDescent="0.25">
      <c r="A16799" s="515">
        <v>5458</v>
      </c>
      <c r="B16799" s="515" t="s">
        <v>441</v>
      </c>
      <c r="C16799" s="52">
        <v>443803.37449136301</v>
      </c>
      <c r="D16799" s="56">
        <v>8.3872803107001181E-2</v>
      </c>
      <c r="E16799" s="224" t="s">
        <v>2</v>
      </c>
      <c r="F16799" s="515" t="s">
        <v>17975</v>
      </c>
      <c r="G16799" s="52">
        <v>131135.40243113</v>
      </c>
      <c r="H16799" s="56">
        <v>0.21843913550260888</v>
      </c>
      <c r="I16799" s="224" t="s">
        <v>2</v>
      </c>
    </row>
    <row r="16800" spans="1:9" x14ac:dyDescent="0.25">
      <c r="A16800" s="515">
        <v>18470</v>
      </c>
      <c r="C16800" s="52">
        <v>259168.88043950801</v>
      </c>
      <c r="D16800" s="56">
        <v>8.8077313282413264E-2</v>
      </c>
      <c r="E16800" s="224" t="s">
        <v>2</v>
      </c>
      <c r="F16800" s="515" t="s">
        <v>17976</v>
      </c>
      <c r="G16800" s="52">
        <v>152554.77747356499</v>
      </c>
      <c r="H16800" s="56">
        <v>2.4397617183586837E-2</v>
      </c>
      <c r="I16800" s="224" t="s">
        <v>2</v>
      </c>
    </row>
    <row r="16801" spans="1:9" x14ac:dyDescent="0.25">
      <c r="A16801" s="515">
        <v>62910</v>
      </c>
      <c r="B16801" s="515" t="s">
        <v>846</v>
      </c>
      <c r="C16801" s="52">
        <v>61970.541746457297</v>
      </c>
      <c r="D16801" s="56">
        <v>3.8505809108700965E-4</v>
      </c>
      <c r="E16801" s="224" t="s">
        <v>2</v>
      </c>
      <c r="F16801" s="515" t="s">
        <v>17977</v>
      </c>
      <c r="G16801" s="52">
        <v>49031.5666666666</v>
      </c>
      <c r="H16801" s="56">
        <v>0</v>
      </c>
      <c r="I16801" s="224" t="s">
        <v>2</v>
      </c>
    </row>
    <row r="16802" spans="1:9" x14ac:dyDescent="0.25">
      <c r="A16802" s="515">
        <v>43155</v>
      </c>
      <c r="B16802" s="515" t="s">
        <v>345</v>
      </c>
      <c r="C16802" s="52">
        <v>283151.74399038497</v>
      </c>
      <c r="D16802" s="56">
        <v>0.15143907409044005</v>
      </c>
      <c r="E16802" s="224" t="s">
        <v>2</v>
      </c>
      <c r="F16802" s="515" t="s">
        <v>17978</v>
      </c>
      <c r="G16802" s="52">
        <v>167361.24018757901</v>
      </c>
      <c r="H16802" s="56">
        <v>8.711622805301833E-2</v>
      </c>
      <c r="I16802" s="224" t="s">
        <v>2</v>
      </c>
    </row>
    <row r="16803" spans="1:9" x14ac:dyDescent="0.25">
      <c r="A16803" s="515">
        <v>54028</v>
      </c>
      <c r="B16803" s="515" t="s">
        <v>532</v>
      </c>
      <c r="C16803" s="52">
        <v>283443.49674941</v>
      </c>
      <c r="D16803" s="56">
        <v>3.7473604051313343E-2</v>
      </c>
      <c r="E16803" s="224" t="s">
        <v>2</v>
      </c>
      <c r="F16803" s="515" t="s">
        <v>17979</v>
      </c>
      <c r="G16803" s="52">
        <v>185460.26273094301</v>
      </c>
      <c r="H16803" s="56">
        <v>8.1237407906361372E-2</v>
      </c>
      <c r="I16803" s="224" t="s">
        <v>2</v>
      </c>
    </row>
    <row r="16804" spans="1:9" x14ac:dyDescent="0.25">
      <c r="A16804" s="515">
        <v>79843</v>
      </c>
      <c r="C16804" s="52">
        <v>276050.39921632601</v>
      </c>
      <c r="D16804" s="56">
        <v>1.6694216213706276E-2</v>
      </c>
      <c r="E16804" s="224" t="s">
        <v>2</v>
      </c>
      <c r="F16804" s="515" t="s">
        <v>17980</v>
      </c>
      <c r="G16804" s="52">
        <v>92533.186967615795</v>
      </c>
      <c r="H16804" s="56">
        <v>2.8893472992688261E-2</v>
      </c>
      <c r="I16804" s="224" t="s">
        <v>2</v>
      </c>
    </row>
    <row r="16805" spans="1:9" x14ac:dyDescent="0.25">
      <c r="A16805" s="515">
        <v>97495</v>
      </c>
      <c r="B16805" s="515" t="s">
        <v>449</v>
      </c>
      <c r="C16805" s="52">
        <v>481656.433948119</v>
      </c>
      <c r="D16805" s="56">
        <v>4.85858875374795E-2</v>
      </c>
      <c r="E16805" s="224" t="s">
        <v>2</v>
      </c>
      <c r="F16805" s="515" t="s">
        <v>17981</v>
      </c>
      <c r="G16805" s="52">
        <v>256682.22537224201</v>
      </c>
      <c r="H16805" s="56">
        <v>0.11929955386361238</v>
      </c>
      <c r="I16805" s="224" t="s">
        <v>2</v>
      </c>
    </row>
    <row r="16806" spans="1:9" x14ac:dyDescent="0.25">
      <c r="A16806" s="515">
        <v>68450</v>
      </c>
      <c r="C16806" s="52">
        <v>135926.85268363301</v>
      </c>
      <c r="D16806" s="56">
        <v>9.9665229737464014E-2</v>
      </c>
      <c r="E16806" s="224" t="s">
        <v>2</v>
      </c>
      <c r="F16806" s="515" t="s">
        <v>17982</v>
      </c>
      <c r="G16806" s="52">
        <v>114154.34486974801</v>
      </c>
      <c r="H16806" s="56">
        <v>-0.12698142608048368</v>
      </c>
      <c r="I16806" s="224" t="s">
        <v>2</v>
      </c>
    </row>
    <row r="16807" spans="1:9" x14ac:dyDescent="0.25">
      <c r="A16807" s="515">
        <v>27283</v>
      </c>
      <c r="B16807" s="515" t="s">
        <v>1148</v>
      </c>
      <c r="C16807" s="52">
        <v>218495.92766673901</v>
      </c>
      <c r="D16807" s="56">
        <v>0.12770580071995324</v>
      </c>
      <c r="E16807" s="224" t="s">
        <v>2</v>
      </c>
      <c r="F16807" s="515" t="s">
        <v>17983</v>
      </c>
      <c r="G16807" s="52">
        <v>166420.21381424399</v>
      </c>
      <c r="H16807" s="56">
        <v>0</v>
      </c>
      <c r="I16807" s="224" t="s">
        <v>2</v>
      </c>
    </row>
    <row r="16808" spans="1:9" x14ac:dyDescent="0.25">
      <c r="A16808" s="515">
        <v>97389</v>
      </c>
      <c r="B16808" s="515" t="s">
        <v>591</v>
      </c>
      <c r="C16808" s="52">
        <v>459058.52724210703</v>
      </c>
      <c r="D16808" s="56">
        <v>6.2911219055118831E-2</v>
      </c>
      <c r="E16808" s="224" t="s">
        <v>2</v>
      </c>
      <c r="F16808" s="515" t="s">
        <v>17984</v>
      </c>
      <c r="G16808" s="52">
        <v>324261.76965782698</v>
      </c>
      <c r="H16808" s="56">
        <v>0.12105292223264451</v>
      </c>
      <c r="I16808" s="224" t="s">
        <v>2</v>
      </c>
    </row>
    <row r="16809" spans="1:9" x14ac:dyDescent="0.25">
      <c r="A16809" s="515">
        <v>45715</v>
      </c>
      <c r="C16809" s="52">
        <v>153214.71418257899</v>
      </c>
      <c r="D16809" s="56">
        <v>9.0709703920076976E-2</v>
      </c>
      <c r="E16809" s="224" t="s">
        <v>2</v>
      </c>
      <c r="F16809" s="515" t="s">
        <v>17985</v>
      </c>
      <c r="G16809" s="52">
        <v>294515.29641691101</v>
      </c>
      <c r="H16809" s="56">
        <v>0.13708539130839381</v>
      </c>
      <c r="I16809" s="224" t="s">
        <v>2</v>
      </c>
    </row>
    <row r="16810" spans="1:9" x14ac:dyDescent="0.25">
      <c r="A16810" s="515">
        <v>7852</v>
      </c>
      <c r="B16810" s="515" t="s">
        <v>324</v>
      </c>
      <c r="C16810" s="52">
        <v>423395.355994315</v>
      </c>
      <c r="D16810" s="56">
        <v>3.892706869376969E-2</v>
      </c>
      <c r="E16810" s="224" t="s">
        <v>2</v>
      </c>
      <c r="F16810" s="515" t="s">
        <v>17986</v>
      </c>
      <c r="G16810" s="52">
        <v>137564.857552834</v>
      </c>
      <c r="H16810" s="56">
        <v>0</v>
      </c>
      <c r="I16810" s="224" t="s">
        <v>2</v>
      </c>
    </row>
    <row r="16811" spans="1:9" x14ac:dyDescent="0.25">
      <c r="A16811" s="515">
        <v>45873</v>
      </c>
      <c r="C16811" s="52">
        <v>116419.074284438</v>
      </c>
      <c r="D16811" s="56">
        <v>8.6394640083763921E-2</v>
      </c>
      <c r="E16811" s="224" t="s">
        <v>2</v>
      </c>
      <c r="F16811" s="515" t="s">
        <v>17987</v>
      </c>
      <c r="G16811" s="52">
        <v>157746.542059008</v>
      </c>
      <c r="H16811" s="56">
        <v>2.8986678083309167E-2</v>
      </c>
      <c r="I16811" s="224" t="s">
        <v>2</v>
      </c>
    </row>
    <row r="16812" spans="1:9" x14ac:dyDescent="0.25">
      <c r="A16812" s="515">
        <v>49713</v>
      </c>
      <c r="C16812" s="52">
        <v>240822.96793941199</v>
      </c>
      <c r="D16812" s="56">
        <v>2.1217510208732162E-2</v>
      </c>
      <c r="E16812" s="224" t="s">
        <v>2</v>
      </c>
      <c r="F16812" s="515" t="s">
        <v>17988</v>
      </c>
      <c r="G16812" s="52">
        <v>110897.29309144799</v>
      </c>
      <c r="H16812" s="56">
        <v>1.2638984479563941E-2</v>
      </c>
      <c r="I16812" s="224" t="s">
        <v>2</v>
      </c>
    </row>
    <row r="16813" spans="1:9" x14ac:dyDescent="0.25">
      <c r="A16813" s="515">
        <v>12072</v>
      </c>
      <c r="B16813" s="515" t="s">
        <v>378</v>
      </c>
      <c r="C16813" s="52">
        <v>194114.44262775601</v>
      </c>
      <c r="D16813" s="56">
        <v>8.4424521489787935E-2</v>
      </c>
      <c r="E16813" s="224" t="s">
        <v>2</v>
      </c>
      <c r="F16813" s="515" t="s">
        <v>17989</v>
      </c>
      <c r="G16813" s="52">
        <v>273106.23481746402</v>
      </c>
      <c r="H16813" s="56">
        <v>0.10427131192854854</v>
      </c>
      <c r="I16813" s="224" t="s">
        <v>2</v>
      </c>
    </row>
    <row r="16814" spans="1:9" x14ac:dyDescent="0.25">
      <c r="A16814" s="515">
        <v>66935</v>
      </c>
      <c r="C16814" s="52">
        <v>79663.972254205204</v>
      </c>
      <c r="D16814" s="56">
        <v>0.1281819980194395</v>
      </c>
      <c r="E16814" s="224" t="s">
        <v>2</v>
      </c>
      <c r="F16814" s="515" t="s">
        <v>17990</v>
      </c>
      <c r="G16814" s="52">
        <v>125421.353524794</v>
      </c>
      <c r="H16814" s="56">
        <v>0.13615683609631113</v>
      </c>
      <c r="I16814" s="224" t="s">
        <v>2</v>
      </c>
    </row>
    <row r="16815" spans="1:9" x14ac:dyDescent="0.25">
      <c r="A16815" s="515">
        <v>76433</v>
      </c>
      <c r="B16815" s="515" t="s">
        <v>931</v>
      </c>
      <c r="C16815" s="52">
        <v>419282.04064517398</v>
      </c>
      <c r="D16815" s="56">
        <v>0.1184847141804211</v>
      </c>
      <c r="E16815" s="224" t="s">
        <v>2</v>
      </c>
      <c r="F16815" s="515" t="s">
        <v>17991</v>
      </c>
      <c r="G16815" s="52">
        <v>225602.07767626701</v>
      </c>
      <c r="H16815" s="56">
        <v>7.5478659296808429E-2</v>
      </c>
      <c r="I16815" s="224" t="s">
        <v>2</v>
      </c>
    </row>
    <row r="16816" spans="1:9" x14ac:dyDescent="0.25">
      <c r="A16816" s="515">
        <v>70041</v>
      </c>
      <c r="B16816" s="515" t="s">
        <v>777</v>
      </c>
      <c r="C16816" s="52">
        <v>72267.291689631194</v>
      </c>
      <c r="D16816" s="56">
        <v>1.9996735588450769E-2</v>
      </c>
      <c r="E16816" s="224" t="s">
        <v>2</v>
      </c>
      <c r="F16816" s="515" t="s">
        <v>17992</v>
      </c>
      <c r="G16816" s="52">
        <v>237701.63658286</v>
      </c>
      <c r="H16816" s="56">
        <v>0</v>
      </c>
      <c r="I16816" s="224" t="s">
        <v>2</v>
      </c>
    </row>
    <row r="16817" spans="1:9" x14ac:dyDescent="0.25">
      <c r="A16817" s="515">
        <v>30576</v>
      </c>
      <c r="C16817" s="52">
        <v>354864.62068064802</v>
      </c>
      <c r="D16817" s="56">
        <v>9.7915006693192766E-2</v>
      </c>
      <c r="E16817" s="224" t="s">
        <v>2</v>
      </c>
      <c r="F16817" s="515" t="s">
        <v>17993</v>
      </c>
      <c r="G16817" s="52">
        <v>136549.08230894399</v>
      </c>
      <c r="H16817" s="56">
        <v>0</v>
      </c>
      <c r="I16817" s="224" t="s">
        <v>2</v>
      </c>
    </row>
    <row r="16818" spans="1:9" x14ac:dyDescent="0.25">
      <c r="A16818" s="515">
        <v>67144</v>
      </c>
      <c r="B16818" s="515" t="s">
        <v>485</v>
      </c>
      <c r="C16818" s="52">
        <v>222190.730064164</v>
      </c>
      <c r="D16818" s="56">
        <v>8.8059329150851864E-2</v>
      </c>
      <c r="E16818" s="224" t="s">
        <v>2</v>
      </c>
      <c r="F16818" s="515" t="s">
        <v>17994</v>
      </c>
      <c r="G16818" s="52">
        <v>159429.519844747</v>
      </c>
      <c r="H16818" s="56">
        <v>1.4264292999708106E-2</v>
      </c>
      <c r="I16818" s="224" t="s">
        <v>2</v>
      </c>
    </row>
    <row r="16819" spans="1:9" x14ac:dyDescent="0.25">
      <c r="A16819" s="515">
        <v>28571</v>
      </c>
      <c r="B16819" s="515" t="s">
        <v>574</v>
      </c>
      <c r="C16819" s="52">
        <v>371571.22116735898</v>
      </c>
      <c r="D16819" s="56">
        <v>0.10262739683523575</v>
      </c>
      <c r="E16819" s="224" t="s">
        <v>2</v>
      </c>
      <c r="F16819" s="515" t="s">
        <v>17995</v>
      </c>
      <c r="G16819" s="52">
        <v>297328.58205923199</v>
      </c>
      <c r="H16819" s="56">
        <v>0.13447526447641509</v>
      </c>
      <c r="I16819" s="224" t="s">
        <v>2</v>
      </c>
    </row>
    <row r="16820" spans="1:9" x14ac:dyDescent="0.25">
      <c r="A16820" s="515">
        <v>13461</v>
      </c>
      <c r="B16820" s="515" t="s">
        <v>543</v>
      </c>
      <c r="C16820" s="52">
        <v>212545.80849504599</v>
      </c>
      <c r="D16820" s="56">
        <v>5.3903949106250543E-2</v>
      </c>
      <c r="E16820" s="224" t="s">
        <v>2</v>
      </c>
      <c r="F16820" s="515" t="s">
        <v>17996</v>
      </c>
      <c r="G16820" s="52">
        <v>312818.17532771302</v>
      </c>
      <c r="H16820" s="56">
        <v>2.3455754753752205E-2</v>
      </c>
      <c r="I16820" s="224" t="s">
        <v>2</v>
      </c>
    </row>
    <row r="16821" spans="1:9" x14ac:dyDescent="0.25">
      <c r="A16821" s="515">
        <v>68446</v>
      </c>
      <c r="C16821" s="52">
        <v>214381.00449611701</v>
      </c>
      <c r="D16821" s="56">
        <v>0.10260537535703759</v>
      </c>
      <c r="E16821" s="224" t="s">
        <v>2</v>
      </c>
      <c r="F16821" s="515" t="s">
        <v>17997</v>
      </c>
      <c r="G16821" s="52">
        <v>231162.792564081</v>
      </c>
      <c r="H16821" s="56">
        <v>-1.9329824107987274E-2</v>
      </c>
      <c r="I16821" s="224" t="s">
        <v>2</v>
      </c>
    </row>
    <row r="16822" spans="1:9" x14ac:dyDescent="0.25">
      <c r="A16822" s="515">
        <v>4001</v>
      </c>
      <c r="B16822" s="515" t="s">
        <v>570</v>
      </c>
      <c r="C16822" s="52">
        <v>406704.29969297798</v>
      </c>
      <c r="D16822" s="56">
        <v>7.1063170301253892E-2</v>
      </c>
      <c r="E16822" s="224" t="s">
        <v>2</v>
      </c>
      <c r="F16822" s="515" t="s">
        <v>17998</v>
      </c>
      <c r="G16822" s="52">
        <v>235906.73737929299</v>
      </c>
      <c r="H16822" s="56">
        <v>0.10243651526814129</v>
      </c>
      <c r="I16822" s="224" t="s">
        <v>2</v>
      </c>
    </row>
    <row r="16823" spans="1:9" x14ac:dyDescent="0.25">
      <c r="A16823" s="515">
        <v>12183</v>
      </c>
      <c r="B16823" s="515" t="s">
        <v>609</v>
      </c>
      <c r="C16823" s="52">
        <v>191552.69102790501</v>
      </c>
      <c r="D16823" s="56">
        <v>2.6999378151789731E-2</v>
      </c>
      <c r="E16823" s="224" t="s">
        <v>2</v>
      </c>
      <c r="F16823" s="515" t="s">
        <v>17999</v>
      </c>
      <c r="G16823" s="52">
        <v>249343.88580666101</v>
      </c>
      <c r="H16823" s="56">
        <v>6.6788800069499915E-2</v>
      </c>
      <c r="I16823" s="224" t="s">
        <v>2</v>
      </c>
    </row>
    <row r="16824" spans="1:9" x14ac:dyDescent="0.25">
      <c r="A16824" s="515">
        <v>56026</v>
      </c>
      <c r="B16824" s="515" t="s">
        <v>1077</v>
      </c>
      <c r="C16824" s="52">
        <v>255177.459377152</v>
      </c>
      <c r="D16824" s="56">
        <v>6.7809339703606336E-2</v>
      </c>
      <c r="E16824" s="224" t="s">
        <v>2</v>
      </c>
      <c r="F16824" s="515" t="s">
        <v>18000</v>
      </c>
      <c r="G16824" s="52">
        <v>226972.97744244899</v>
      </c>
      <c r="H16824" s="56">
        <v>0.12963716580613224</v>
      </c>
      <c r="I16824" s="224" t="s">
        <v>2</v>
      </c>
    </row>
    <row r="16825" spans="1:9" x14ac:dyDescent="0.25">
      <c r="A16825" s="515">
        <v>4363</v>
      </c>
      <c r="B16825" s="515" t="s">
        <v>848</v>
      </c>
      <c r="C16825" s="52">
        <v>279847.55968042399</v>
      </c>
      <c r="D16825" s="56">
        <v>5.037792324827698E-2</v>
      </c>
      <c r="E16825" s="224" t="s">
        <v>2</v>
      </c>
      <c r="F16825" s="515" t="s">
        <v>18001</v>
      </c>
      <c r="G16825" s="52">
        <v>73611.021465004305</v>
      </c>
      <c r="H16825" s="56">
        <v>1.1482160146672039E-2</v>
      </c>
      <c r="I16825" s="224" t="s">
        <v>2</v>
      </c>
    </row>
    <row r="16826" spans="1:9" x14ac:dyDescent="0.25">
      <c r="A16826" s="515">
        <v>12514</v>
      </c>
      <c r="B16826" s="515" t="s">
        <v>529</v>
      </c>
      <c r="C16826" s="52">
        <v>475090.09331403498</v>
      </c>
      <c r="D16826" s="56">
        <v>9.3629871499541814E-2</v>
      </c>
      <c r="E16826" s="224" t="s">
        <v>2</v>
      </c>
      <c r="F16826" s="515" t="s">
        <v>18002</v>
      </c>
      <c r="G16826" s="52">
        <v>85422.878461730201</v>
      </c>
      <c r="H16826" s="56">
        <v>0.24594260635116097</v>
      </c>
      <c r="I16826" s="224" t="s">
        <v>2</v>
      </c>
    </row>
    <row r="16827" spans="1:9" x14ac:dyDescent="0.25">
      <c r="A16827" s="515">
        <v>48894</v>
      </c>
      <c r="B16827" s="515" t="s">
        <v>528</v>
      </c>
      <c r="C16827" s="52">
        <v>270514.481194405</v>
      </c>
      <c r="D16827" s="56">
        <v>0.11273000592969824</v>
      </c>
      <c r="E16827" s="224" t="s">
        <v>2</v>
      </c>
      <c r="F16827" s="515" t="s">
        <v>18003</v>
      </c>
      <c r="G16827" s="52">
        <v>333126.12015214103</v>
      </c>
      <c r="H16827" s="56">
        <v>6.5441136008074177E-2</v>
      </c>
      <c r="I16827" s="224" t="s">
        <v>2</v>
      </c>
    </row>
    <row r="16828" spans="1:9" x14ac:dyDescent="0.25">
      <c r="A16828" s="515">
        <v>75630</v>
      </c>
      <c r="C16828" s="52">
        <v>142517.056468992</v>
      </c>
      <c r="D16828" s="56">
        <v>2.5200853335992115E-2</v>
      </c>
      <c r="E16828" s="224" t="s">
        <v>2</v>
      </c>
      <c r="F16828" s="515" t="s">
        <v>18004</v>
      </c>
      <c r="G16828" s="52">
        <v>106389.582608695</v>
      </c>
      <c r="H16828" s="56">
        <v>0</v>
      </c>
      <c r="I16828" s="224" t="s">
        <v>2</v>
      </c>
    </row>
    <row r="16829" spans="1:9" x14ac:dyDescent="0.25">
      <c r="A16829" s="515">
        <v>98376</v>
      </c>
      <c r="C16829" s="52">
        <v>479123.05110818701</v>
      </c>
      <c r="D16829" s="56">
        <v>5.0378153083757433E-2</v>
      </c>
      <c r="E16829" s="224" t="s">
        <v>2</v>
      </c>
      <c r="F16829" s="515" t="s">
        <v>18005</v>
      </c>
      <c r="G16829" s="52">
        <v>272607.13011337299</v>
      </c>
      <c r="H16829" s="56">
        <v>0.12070534468553142</v>
      </c>
      <c r="I16829" s="224" t="s">
        <v>2</v>
      </c>
    </row>
    <row r="16830" spans="1:9" x14ac:dyDescent="0.25">
      <c r="A16830" s="515">
        <v>83332</v>
      </c>
      <c r="C16830" s="52">
        <v>380760.89893726498</v>
      </c>
      <c r="D16830" s="56">
        <v>8.2083044850238152E-2</v>
      </c>
      <c r="E16830" s="224" t="s">
        <v>2</v>
      </c>
      <c r="F16830" s="515" t="s">
        <v>18006</v>
      </c>
      <c r="G16830" s="52">
        <v>51599.504812763698</v>
      </c>
      <c r="H16830" s="56">
        <v>6.9673637201919256E-2</v>
      </c>
      <c r="I16830" s="224" t="s">
        <v>2</v>
      </c>
    </row>
    <row r="16831" spans="1:9" x14ac:dyDescent="0.25">
      <c r="A16831" s="515">
        <v>32328</v>
      </c>
      <c r="C16831" s="52">
        <v>755925.46368356096</v>
      </c>
      <c r="D16831" s="56">
        <v>7.9132726833346587E-2</v>
      </c>
      <c r="E16831" s="224" t="s">
        <v>2</v>
      </c>
      <c r="F16831" s="515" t="s">
        <v>18007</v>
      </c>
      <c r="G16831" s="52">
        <v>221429.417014801</v>
      </c>
      <c r="H16831" s="56">
        <v>8.4544237056655785E-2</v>
      </c>
      <c r="I16831" s="224" t="s">
        <v>2</v>
      </c>
    </row>
    <row r="16832" spans="1:9" x14ac:dyDescent="0.25">
      <c r="A16832" s="515">
        <v>61281</v>
      </c>
      <c r="B16832" s="515" t="s">
        <v>439</v>
      </c>
      <c r="C16832" s="52">
        <v>204193.02597797199</v>
      </c>
      <c r="D16832" s="56">
        <v>5.1757723235644322E-2</v>
      </c>
      <c r="E16832" s="224" t="s">
        <v>2</v>
      </c>
      <c r="F16832" s="515" t="s">
        <v>18008</v>
      </c>
      <c r="G16832" s="52">
        <v>116849.901052421</v>
      </c>
      <c r="H16832" s="56">
        <v>2.6810045974469675E-4</v>
      </c>
      <c r="I16832" s="224" t="s">
        <v>2</v>
      </c>
    </row>
    <row r="16833" spans="1:9" x14ac:dyDescent="0.25">
      <c r="A16833" s="515">
        <v>15046</v>
      </c>
      <c r="B16833" s="515" t="s">
        <v>297</v>
      </c>
      <c r="C16833" s="52">
        <v>198180.29469007501</v>
      </c>
      <c r="D16833" s="56">
        <v>7.8891731248421401E-2</v>
      </c>
      <c r="E16833" s="224" t="s">
        <v>2</v>
      </c>
      <c r="F16833" s="515" t="s">
        <v>18009</v>
      </c>
      <c r="G16833" s="52">
        <v>112566.53673031701</v>
      </c>
      <c r="H16833" s="56">
        <v>7.8130305623042101E-2</v>
      </c>
      <c r="I16833" s="224" t="s">
        <v>2</v>
      </c>
    </row>
    <row r="16834" spans="1:9" x14ac:dyDescent="0.25">
      <c r="A16834" s="515">
        <v>36069</v>
      </c>
      <c r="B16834" s="515" t="s">
        <v>806</v>
      </c>
      <c r="C16834" s="52">
        <v>150960.302817722</v>
      </c>
      <c r="D16834" s="56">
        <v>6.2809362575623764E-2</v>
      </c>
      <c r="E16834" s="224" t="s">
        <v>2</v>
      </c>
      <c r="F16834" s="515" t="s">
        <v>18010</v>
      </c>
      <c r="G16834" s="52">
        <v>754088.11998284701</v>
      </c>
      <c r="H16834" s="56">
        <v>0.10014657609865912</v>
      </c>
      <c r="I16834" s="224" t="s">
        <v>2</v>
      </c>
    </row>
    <row r="16835" spans="1:9" x14ac:dyDescent="0.25">
      <c r="A16835" s="515">
        <v>97753</v>
      </c>
      <c r="B16835" s="515" t="s">
        <v>1147</v>
      </c>
      <c r="C16835" s="52">
        <v>886071.03109920397</v>
      </c>
      <c r="D16835" s="56">
        <v>8.8830368021164882E-2</v>
      </c>
      <c r="E16835" s="224" t="s">
        <v>2</v>
      </c>
      <c r="F16835" s="515" t="s">
        <v>18011</v>
      </c>
      <c r="G16835" s="52">
        <v>136449.77738997401</v>
      </c>
      <c r="H16835" s="56">
        <v>0</v>
      </c>
      <c r="I16835" s="224" t="s">
        <v>2</v>
      </c>
    </row>
    <row r="16836" spans="1:9" x14ac:dyDescent="0.25">
      <c r="A16836" s="515">
        <v>76630</v>
      </c>
      <c r="B16836" s="515" t="s">
        <v>1057</v>
      </c>
      <c r="C16836" s="52">
        <v>295886.459459459</v>
      </c>
      <c r="D16836" s="56">
        <v>0</v>
      </c>
      <c r="E16836" s="224" t="s">
        <v>2</v>
      </c>
      <c r="F16836" s="515" t="s">
        <v>18012</v>
      </c>
      <c r="G16836" s="52">
        <v>136048.15702368799</v>
      </c>
      <c r="H16836" s="56">
        <v>4.7675261886057106E-2</v>
      </c>
      <c r="I16836" s="224" t="s">
        <v>2</v>
      </c>
    </row>
    <row r="16837" spans="1:9" x14ac:dyDescent="0.25">
      <c r="A16837" s="515">
        <v>68718</v>
      </c>
      <c r="C16837" s="52">
        <v>120198.005111216</v>
      </c>
      <c r="D16837" s="56">
        <v>5.6134433692842454E-2</v>
      </c>
      <c r="E16837" s="224" t="s">
        <v>2</v>
      </c>
      <c r="F16837" s="515" t="s">
        <v>18013</v>
      </c>
      <c r="G16837" s="52">
        <v>246940.230753215</v>
      </c>
      <c r="H16837" s="56">
        <v>6.3146429636906018E-2</v>
      </c>
      <c r="I16837" s="224" t="s">
        <v>2</v>
      </c>
    </row>
    <row r="16838" spans="1:9" x14ac:dyDescent="0.25">
      <c r="A16838" s="515">
        <v>44445</v>
      </c>
      <c r="B16838" s="515" t="s">
        <v>627</v>
      </c>
      <c r="C16838" s="52">
        <v>159445.210006076</v>
      </c>
      <c r="D16838" s="56">
        <v>0.10119979491296546</v>
      </c>
      <c r="E16838" s="224" t="s">
        <v>2</v>
      </c>
      <c r="F16838" s="515" t="s">
        <v>18014</v>
      </c>
      <c r="G16838" s="52">
        <v>468173.93098519603</v>
      </c>
      <c r="H16838" s="56">
        <v>6.1388667645965241E-2</v>
      </c>
      <c r="I16838" s="224" t="s">
        <v>2</v>
      </c>
    </row>
    <row r="16839" spans="1:9" x14ac:dyDescent="0.25">
      <c r="A16839" s="515">
        <v>4258</v>
      </c>
      <c r="B16839" s="515" t="s">
        <v>1120</v>
      </c>
      <c r="C16839" s="52">
        <v>303192.65988566098</v>
      </c>
      <c r="D16839" s="56">
        <v>2.8528118781707617E-2</v>
      </c>
      <c r="E16839" s="224" t="s">
        <v>2</v>
      </c>
      <c r="F16839" s="515" t="s">
        <v>18015</v>
      </c>
      <c r="G16839" s="52">
        <v>600563.86230561102</v>
      </c>
      <c r="H16839" s="56">
        <v>9.1345280604051435E-2</v>
      </c>
      <c r="I16839" s="224" t="s">
        <v>2</v>
      </c>
    </row>
    <row r="16840" spans="1:9" x14ac:dyDescent="0.25">
      <c r="A16840" s="515">
        <v>46982</v>
      </c>
      <c r="B16840" s="515" t="s">
        <v>1127</v>
      </c>
      <c r="C16840" s="52">
        <v>158512.77986406899</v>
      </c>
      <c r="D16840" s="56">
        <v>7.1966678514357743E-2</v>
      </c>
      <c r="E16840" s="224" t="s">
        <v>2</v>
      </c>
      <c r="F16840" s="515" t="s">
        <v>18016</v>
      </c>
      <c r="G16840" s="52">
        <v>445054.35343633901</v>
      </c>
      <c r="H16840" s="56">
        <v>2.2796820439517664E-2</v>
      </c>
      <c r="I16840" s="224" t="s">
        <v>2</v>
      </c>
    </row>
    <row r="16841" spans="1:9" x14ac:dyDescent="0.25">
      <c r="A16841" s="515">
        <v>46779</v>
      </c>
      <c r="B16841" s="515" t="s">
        <v>1072</v>
      </c>
      <c r="C16841" s="52">
        <v>190580.071313286</v>
      </c>
      <c r="D16841" s="56">
        <v>6.8618373345104497E-2</v>
      </c>
      <c r="E16841" s="224" t="s">
        <v>2</v>
      </c>
      <c r="F16841" s="515" t="s">
        <v>18017</v>
      </c>
      <c r="G16841" s="52">
        <v>112800.27851069599</v>
      </c>
      <c r="H16841" s="56">
        <v>1.8970803792623238E-3</v>
      </c>
      <c r="I16841" s="224" t="s">
        <v>2</v>
      </c>
    </row>
    <row r="16842" spans="1:9" x14ac:dyDescent="0.25">
      <c r="A16842" s="515">
        <v>76559</v>
      </c>
      <c r="B16842" s="515" t="s">
        <v>859</v>
      </c>
      <c r="C16842" s="52">
        <v>279705.98462157702</v>
      </c>
      <c r="D16842" s="56">
        <v>9.2412100044018911E-2</v>
      </c>
      <c r="E16842" s="224" t="s">
        <v>2</v>
      </c>
      <c r="F16842" s="515" t="s">
        <v>18018</v>
      </c>
      <c r="G16842" s="52">
        <v>139839.72660590999</v>
      </c>
      <c r="H16842" s="56">
        <v>7.3189456174401576E-2</v>
      </c>
      <c r="I16842" s="224" t="s">
        <v>2</v>
      </c>
    </row>
    <row r="16843" spans="1:9" x14ac:dyDescent="0.25">
      <c r="A16843" s="515">
        <v>55334</v>
      </c>
      <c r="C16843" s="52">
        <v>208434.142540278</v>
      </c>
      <c r="D16843" s="56">
        <v>1.7288276256725386E-2</v>
      </c>
      <c r="E16843" s="224" t="s">
        <v>2</v>
      </c>
      <c r="F16843" s="515" t="s">
        <v>18019</v>
      </c>
      <c r="G16843" s="52">
        <v>271871.97938229598</v>
      </c>
      <c r="H16843" s="56">
        <v>7.3788163455408187E-2</v>
      </c>
      <c r="I16843" s="224" t="s">
        <v>2</v>
      </c>
    </row>
    <row r="16844" spans="1:9" x14ac:dyDescent="0.25">
      <c r="A16844" s="515">
        <v>14525</v>
      </c>
      <c r="B16844" s="515" t="s">
        <v>1014</v>
      </c>
      <c r="C16844" s="52">
        <v>191031.94759128301</v>
      </c>
      <c r="D16844" s="56">
        <v>8.138323766474212E-2</v>
      </c>
      <c r="E16844" s="224" t="s">
        <v>2</v>
      </c>
      <c r="F16844" s="515" t="s">
        <v>18020</v>
      </c>
      <c r="G16844" s="52">
        <v>387731.20975872502</v>
      </c>
      <c r="H16844" s="56">
        <v>7.3398598687432134E-2</v>
      </c>
      <c r="I16844" s="224" t="s">
        <v>2</v>
      </c>
    </row>
    <row r="16845" spans="1:9" x14ac:dyDescent="0.25">
      <c r="A16845" s="515">
        <v>14775</v>
      </c>
      <c r="B16845" s="515" t="s">
        <v>560</v>
      </c>
      <c r="C16845" s="52">
        <v>114857.965405233</v>
      </c>
      <c r="D16845" s="56">
        <v>0.13667536933161242</v>
      </c>
      <c r="E16845" s="224" t="s">
        <v>2</v>
      </c>
      <c r="F16845" s="515" t="s">
        <v>18021</v>
      </c>
      <c r="G16845" s="52">
        <v>232470.72424583699</v>
      </c>
      <c r="H16845" s="56">
        <v>6.7985352174322569E-2</v>
      </c>
      <c r="I16845" s="224" t="s">
        <v>2</v>
      </c>
    </row>
    <row r="16846" spans="1:9" x14ac:dyDescent="0.25">
      <c r="A16846" s="515">
        <v>98253</v>
      </c>
      <c r="B16846" s="515" t="s">
        <v>1146</v>
      </c>
      <c r="C16846" s="52">
        <v>682984.921893124</v>
      </c>
      <c r="D16846" s="56">
        <v>2.1308219890560195E-2</v>
      </c>
      <c r="E16846" s="224" t="s">
        <v>2</v>
      </c>
      <c r="F16846" s="515" t="s">
        <v>18022</v>
      </c>
      <c r="G16846" s="52">
        <v>298670.634451391</v>
      </c>
      <c r="H16846" s="56">
        <v>0.13297544886033433</v>
      </c>
      <c r="I16846" s="224" t="s">
        <v>2</v>
      </c>
    </row>
    <row r="16847" spans="1:9" x14ac:dyDescent="0.25">
      <c r="A16847" s="515">
        <v>53156</v>
      </c>
      <c r="B16847" s="515" t="s">
        <v>1085</v>
      </c>
      <c r="C16847" s="52">
        <v>271501.48145612399</v>
      </c>
      <c r="D16847" s="56">
        <v>4.547681559384948E-2</v>
      </c>
      <c r="E16847" s="224" t="s">
        <v>2</v>
      </c>
      <c r="F16847" s="515" t="s">
        <v>18023</v>
      </c>
      <c r="G16847" s="52">
        <v>147597.72588545701</v>
      </c>
      <c r="H16847" s="56">
        <v>-1.8382616520702753E-3</v>
      </c>
      <c r="I16847" s="224" t="s">
        <v>2</v>
      </c>
    </row>
    <row r="16848" spans="1:9" x14ac:dyDescent="0.25">
      <c r="A16848" s="515">
        <v>49220</v>
      </c>
      <c r="B16848" s="515" t="s">
        <v>958</v>
      </c>
      <c r="C16848" s="52">
        <v>203239.486653984</v>
      </c>
      <c r="D16848" s="56">
        <v>8.4226570712047061E-2</v>
      </c>
      <c r="E16848" s="224" t="s">
        <v>2</v>
      </c>
      <c r="F16848" s="515" t="s">
        <v>18024</v>
      </c>
      <c r="G16848" s="52">
        <v>80744.500940591694</v>
      </c>
      <c r="H16848" s="56">
        <v>3.0802159847635378E-2</v>
      </c>
      <c r="I16848" s="224" t="s">
        <v>2</v>
      </c>
    </row>
    <row r="16849" spans="1:9" x14ac:dyDescent="0.25">
      <c r="A16849" s="515">
        <v>75569</v>
      </c>
      <c r="B16849" s="515" t="s">
        <v>390</v>
      </c>
      <c r="C16849" s="52">
        <v>140566.135480189</v>
      </c>
      <c r="D16849" s="56">
        <v>6.0797847765216489E-2</v>
      </c>
      <c r="E16849" s="224" t="s">
        <v>2</v>
      </c>
      <c r="F16849" s="515" t="s">
        <v>18025</v>
      </c>
      <c r="G16849" s="52">
        <v>712955.31062287302</v>
      </c>
      <c r="H16849" s="56">
        <v>4.8443780827177894E-2</v>
      </c>
      <c r="I16849" s="224" t="s">
        <v>2</v>
      </c>
    </row>
    <row r="16850" spans="1:9" x14ac:dyDescent="0.25">
      <c r="A16850" s="515">
        <v>28726</v>
      </c>
      <c r="B16850" s="515" t="s">
        <v>668</v>
      </c>
      <c r="C16850" s="52">
        <v>271461.847102714</v>
      </c>
      <c r="D16850" s="56">
        <v>0.12804405026651136</v>
      </c>
      <c r="E16850" s="224" t="s">
        <v>2</v>
      </c>
      <c r="F16850" s="515" t="s">
        <v>18026</v>
      </c>
      <c r="G16850" s="52">
        <v>70678.688360026805</v>
      </c>
      <c r="H16850" s="56">
        <v>0</v>
      </c>
      <c r="I16850" s="224" t="s">
        <v>2</v>
      </c>
    </row>
    <row r="16851" spans="1:9" x14ac:dyDescent="0.25">
      <c r="A16851" s="515">
        <v>95951</v>
      </c>
      <c r="C16851" s="52">
        <v>300423.179659374</v>
      </c>
      <c r="D16851" s="56">
        <v>0.10146145820691656</v>
      </c>
      <c r="E16851" s="224" t="s">
        <v>2</v>
      </c>
      <c r="F16851" s="515" t="s">
        <v>18027</v>
      </c>
      <c r="G16851" s="52">
        <v>187871.534482758</v>
      </c>
      <c r="H16851" s="56">
        <v>0</v>
      </c>
      <c r="I16851" s="224" t="s">
        <v>2</v>
      </c>
    </row>
    <row r="16852" spans="1:9" x14ac:dyDescent="0.25">
      <c r="A16852" s="515">
        <v>49033</v>
      </c>
      <c r="B16852" s="515" t="s">
        <v>1062</v>
      </c>
      <c r="C16852" s="52">
        <v>239132.40476298201</v>
      </c>
      <c r="D16852" s="56">
        <v>9.5652480658940855E-3</v>
      </c>
      <c r="E16852" s="224" t="s">
        <v>2</v>
      </c>
      <c r="F16852" s="515" t="s">
        <v>18028</v>
      </c>
      <c r="G16852" s="52">
        <v>97277.224636650702</v>
      </c>
      <c r="H16852" s="56">
        <v>0</v>
      </c>
      <c r="I16852" s="224" t="s">
        <v>2</v>
      </c>
    </row>
    <row r="16853" spans="1:9" x14ac:dyDescent="0.25">
      <c r="A16853" s="515">
        <v>56484</v>
      </c>
      <c r="B16853" s="515" t="s">
        <v>674</v>
      </c>
      <c r="C16853" s="52">
        <v>315967.13204220001</v>
      </c>
      <c r="D16853" s="56">
        <v>7.4568578281234615E-2</v>
      </c>
      <c r="E16853" s="224" t="s">
        <v>2</v>
      </c>
      <c r="F16853" s="515" t="s">
        <v>18029</v>
      </c>
      <c r="G16853" s="52">
        <v>211410.5772386</v>
      </c>
      <c r="H16853" s="56">
        <v>8.1017060707818556E-2</v>
      </c>
      <c r="I16853" s="224" t="s">
        <v>2</v>
      </c>
    </row>
    <row r="16854" spans="1:9" x14ac:dyDescent="0.25">
      <c r="A16854" s="515">
        <v>1096</v>
      </c>
      <c r="B16854" s="515" t="s">
        <v>575</v>
      </c>
      <c r="C16854" s="52">
        <v>371163.67896016699</v>
      </c>
      <c r="D16854" s="56">
        <v>0.10062610599607899</v>
      </c>
      <c r="E16854" s="224" t="s">
        <v>2</v>
      </c>
      <c r="F16854" s="515" t="s">
        <v>18030</v>
      </c>
      <c r="G16854" s="52">
        <v>189971.953642384</v>
      </c>
      <c r="H16854" s="56">
        <v>0</v>
      </c>
      <c r="I16854" s="224" t="s">
        <v>2</v>
      </c>
    </row>
    <row r="16855" spans="1:9" x14ac:dyDescent="0.25">
      <c r="A16855" s="515">
        <v>56589</v>
      </c>
      <c r="C16855" s="52">
        <v>244856.944816523</v>
      </c>
      <c r="D16855" s="56">
        <v>0.10569922051557519</v>
      </c>
      <c r="E16855" s="224" t="s">
        <v>2</v>
      </c>
      <c r="F16855" s="515" t="s">
        <v>18031</v>
      </c>
      <c r="G16855" s="52">
        <v>758882.40030260896</v>
      </c>
      <c r="H16855" s="56">
        <v>4.511712139264927E-2</v>
      </c>
      <c r="I16855" s="224" t="s">
        <v>2</v>
      </c>
    </row>
    <row r="16856" spans="1:9" x14ac:dyDescent="0.25">
      <c r="A16856" s="515">
        <v>37882</v>
      </c>
      <c r="B16856" s="515" t="s">
        <v>907</v>
      </c>
      <c r="C16856" s="52">
        <v>366267.99584326701</v>
      </c>
      <c r="D16856" s="56">
        <v>0.17949835731720348</v>
      </c>
      <c r="E16856" s="224" t="s">
        <v>2</v>
      </c>
      <c r="F16856" s="515" t="s">
        <v>18032</v>
      </c>
      <c r="G16856" s="52">
        <v>288238.26954617799</v>
      </c>
      <c r="H16856" s="56">
        <v>0.11391526072441654</v>
      </c>
      <c r="I16856" s="224" t="s">
        <v>2</v>
      </c>
    </row>
    <row r="16857" spans="1:9" x14ac:dyDescent="0.25">
      <c r="A16857" s="515">
        <v>6247</v>
      </c>
      <c r="B16857" s="515" t="s">
        <v>751</v>
      </c>
      <c r="C16857" s="52">
        <v>299414.66659172601</v>
      </c>
      <c r="D16857" s="56">
        <v>9.3828554387683269E-2</v>
      </c>
      <c r="E16857" s="224" t="s">
        <v>2</v>
      </c>
      <c r="F16857" s="515" t="s">
        <v>18033</v>
      </c>
      <c r="G16857" s="52">
        <v>173904.17860520299</v>
      </c>
      <c r="H16857" s="56">
        <v>0.14105354230258466</v>
      </c>
      <c r="I16857" s="224" t="s">
        <v>2</v>
      </c>
    </row>
    <row r="16858" spans="1:9" x14ac:dyDescent="0.25">
      <c r="A16858" s="515">
        <v>29712</v>
      </c>
      <c r="B16858" s="515" t="s">
        <v>360</v>
      </c>
      <c r="C16858" s="52"/>
      <c r="D16858" s="56">
        <v>0</v>
      </c>
      <c r="E16858" s="224" t="s">
        <v>2</v>
      </c>
      <c r="F16858" s="515" t="s">
        <v>18034</v>
      </c>
      <c r="G16858" s="52">
        <v>211402.26052998201</v>
      </c>
      <c r="H16858" s="56">
        <v>0.10615840120204406</v>
      </c>
      <c r="I16858" s="224" t="s">
        <v>2</v>
      </c>
    </row>
    <row r="16859" spans="1:9" x14ac:dyDescent="0.25">
      <c r="A16859" s="515">
        <v>36279</v>
      </c>
      <c r="B16859" s="515" t="s">
        <v>927</v>
      </c>
      <c r="C16859" s="52">
        <v>167939.029370581</v>
      </c>
      <c r="D16859" s="56">
        <v>3.4761701892121043E-2</v>
      </c>
      <c r="E16859" s="224" t="s">
        <v>2</v>
      </c>
      <c r="F16859" s="515" t="s">
        <v>18035</v>
      </c>
      <c r="G16859" s="52">
        <v>233418.953832461</v>
      </c>
      <c r="H16859" s="56">
        <v>6.0093747967724813E-2</v>
      </c>
      <c r="I16859" s="224" t="s">
        <v>2</v>
      </c>
    </row>
    <row r="16860" spans="1:9" x14ac:dyDescent="0.25">
      <c r="A16860" s="515">
        <v>26833</v>
      </c>
      <c r="C16860" s="52">
        <v>150616.55923115101</v>
      </c>
      <c r="D16860" s="56">
        <v>4.2035966129991588E-2</v>
      </c>
      <c r="E16860" s="224" t="s">
        <v>2</v>
      </c>
      <c r="F16860" s="515" t="s">
        <v>18036</v>
      </c>
      <c r="G16860" s="52">
        <v>357317.243669116</v>
      </c>
      <c r="H16860" s="56">
        <v>8.5563473090033676E-2</v>
      </c>
      <c r="I16860" s="224" t="s">
        <v>2</v>
      </c>
    </row>
    <row r="16861" spans="1:9" x14ac:dyDescent="0.25">
      <c r="A16861" s="515">
        <v>51455</v>
      </c>
      <c r="B16861" s="515" t="s">
        <v>436</v>
      </c>
      <c r="C16861" s="52">
        <v>143050.33508694801</v>
      </c>
      <c r="D16861" s="56">
        <v>0.10732453918195772</v>
      </c>
      <c r="E16861" s="224" t="s">
        <v>2</v>
      </c>
      <c r="F16861" s="515" t="s">
        <v>18037</v>
      </c>
      <c r="G16861" s="52">
        <v>197644.18285393401</v>
      </c>
      <c r="H16861" s="56">
        <v>0.12925987888190801</v>
      </c>
      <c r="I16861" s="224" t="s">
        <v>2</v>
      </c>
    </row>
    <row r="16862" spans="1:9" x14ac:dyDescent="0.25">
      <c r="A16862" s="515">
        <v>21813</v>
      </c>
      <c r="B16862" s="515" t="s">
        <v>552</v>
      </c>
      <c r="C16862" s="52">
        <v>476265.58025161503</v>
      </c>
      <c r="D16862" s="56">
        <v>6.0750504494804763E-2</v>
      </c>
      <c r="E16862" s="224" t="s">
        <v>2</v>
      </c>
      <c r="F16862" s="515" t="s">
        <v>18038</v>
      </c>
      <c r="G16862" s="52">
        <v>296279.4665489</v>
      </c>
      <c r="H16862" s="56">
        <v>0.17847231490607823</v>
      </c>
      <c r="I16862" s="224" t="s">
        <v>2</v>
      </c>
    </row>
    <row r="16863" spans="1:9" x14ac:dyDescent="0.25">
      <c r="A16863" s="515">
        <v>3057</v>
      </c>
      <c r="B16863" s="515" t="s">
        <v>996</v>
      </c>
      <c r="C16863" s="52">
        <v>519471.96448862902</v>
      </c>
      <c r="D16863" s="56">
        <v>7.85470829667448E-2</v>
      </c>
      <c r="E16863" s="224" t="s">
        <v>2</v>
      </c>
      <c r="F16863" s="515" t="s">
        <v>18039</v>
      </c>
      <c r="G16863" s="52">
        <v>114971.878863324</v>
      </c>
      <c r="H16863" s="56">
        <v>6.707866730061228E-2</v>
      </c>
      <c r="I16863" s="224" t="s">
        <v>2</v>
      </c>
    </row>
    <row r="16864" spans="1:9" x14ac:dyDescent="0.25">
      <c r="A16864" s="515">
        <v>15333</v>
      </c>
      <c r="B16864" s="515" t="s">
        <v>297</v>
      </c>
      <c r="C16864" s="52">
        <v>131160.60448343001</v>
      </c>
      <c r="D16864" s="56">
        <v>8.1370443593978228E-2</v>
      </c>
      <c r="E16864" s="224" t="s">
        <v>2</v>
      </c>
      <c r="F16864" s="515" t="s">
        <v>18040</v>
      </c>
      <c r="G16864" s="52">
        <v>131787.13038576499</v>
      </c>
      <c r="H16864" s="56">
        <v>4.6329532559547776E-2</v>
      </c>
      <c r="I16864" s="224" t="s">
        <v>2</v>
      </c>
    </row>
    <row r="16865" spans="1:9" x14ac:dyDescent="0.25">
      <c r="A16865" s="515">
        <v>12776</v>
      </c>
      <c r="C16865" s="52">
        <v>248539.145990144</v>
      </c>
      <c r="D16865" s="56">
        <v>0.10409746268841333</v>
      </c>
      <c r="E16865" s="224" t="s">
        <v>2</v>
      </c>
      <c r="F16865" s="515" t="s">
        <v>18041</v>
      </c>
      <c r="G16865" s="52">
        <v>292344.41723935102</v>
      </c>
      <c r="H16865" s="56">
        <v>7.2206102370675707E-2</v>
      </c>
      <c r="I16865" s="224" t="s">
        <v>2</v>
      </c>
    </row>
    <row r="16866" spans="1:9" x14ac:dyDescent="0.25">
      <c r="A16866" s="515">
        <v>46747</v>
      </c>
      <c r="B16866" s="515" t="s">
        <v>1072</v>
      </c>
      <c r="C16866" s="52">
        <v>205472.26685342201</v>
      </c>
      <c r="D16866" s="56">
        <v>6.8561708629514814E-2</v>
      </c>
      <c r="E16866" s="224" t="s">
        <v>2</v>
      </c>
      <c r="F16866" s="515" t="s">
        <v>18042</v>
      </c>
      <c r="G16866" s="52">
        <v>96666.426488470795</v>
      </c>
      <c r="H16866" s="56">
        <v>-0.13229132380964076</v>
      </c>
      <c r="I16866" s="224" t="s">
        <v>2</v>
      </c>
    </row>
    <row r="16867" spans="1:9" x14ac:dyDescent="0.25">
      <c r="A16867" s="515">
        <v>51028</v>
      </c>
      <c r="C16867" s="52">
        <v>193987.441168822</v>
      </c>
      <c r="D16867" s="56">
        <v>0.14050560608912466</v>
      </c>
      <c r="E16867" s="224" t="s">
        <v>2</v>
      </c>
      <c r="F16867" s="515" t="s">
        <v>18043</v>
      </c>
      <c r="G16867" s="52">
        <v>139417.30032535599</v>
      </c>
      <c r="H16867" s="56">
        <v>0</v>
      </c>
      <c r="I16867" s="224" t="s">
        <v>2</v>
      </c>
    </row>
    <row r="16868" spans="1:9" x14ac:dyDescent="0.25">
      <c r="A16868" s="515">
        <v>81432</v>
      </c>
      <c r="B16868" s="515" t="s">
        <v>677</v>
      </c>
      <c r="C16868" s="52">
        <v>818102.56127827498</v>
      </c>
      <c r="D16868" s="56">
        <v>0.10728979098188723</v>
      </c>
      <c r="E16868" s="224" t="s">
        <v>2</v>
      </c>
      <c r="F16868" s="515" t="s">
        <v>18044</v>
      </c>
      <c r="G16868" s="52">
        <v>325848.034593124</v>
      </c>
      <c r="H16868" s="56">
        <v>6.8023894967886078E-2</v>
      </c>
      <c r="I16868" s="224" t="s">
        <v>2</v>
      </c>
    </row>
    <row r="16869" spans="1:9" x14ac:dyDescent="0.25">
      <c r="A16869" s="515">
        <v>22534</v>
      </c>
      <c r="B16869" s="515" t="s">
        <v>321</v>
      </c>
      <c r="C16869" s="52">
        <v>322626.30479479698</v>
      </c>
      <c r="D16869" s="56">
        <v>7.9942547253222307E-2</v>
      </c>
      <c r="E16869" s="224" t="s">
        <v>2</v>
      </c>
      <c r="F16869" s="515" t="s">
        <v>18045</v>
      </c>
      <c r="G16869" s="52">
        <v>231427.750115287</v>
      </c>
      <c r="H16869" s="56">
        <v>0.12171823710426219</v>
      </c>
      <c r="I16869" s="224" t="s">
        <v>2</v>
      </c>
    </row>
    <row r="16870" spans="1:9" x14ac:dyDescent="0.25">
      <c r="A16870" s="515">
        <v>30420</v>
      </c>
      <c r="C16870" s="52">
        <v>148517.09536707099</v>
      </c>
      <c r="D16870" s="56">
        <v>9.7208745489631536E-3</v>
      </c>
      <c r="E16870" s="224" t="s">
        <v>2</v>
      </c>
      <c r="F16870" s="515" t="s">
        <v>18046</v>
      </c>
      <c r="G16870" s="52">
        <v>323229.29162668303</v>
      </c>
      <c r="H16870" s="56">
        <v>0.10467602219459307</v>
      </c>
      <c r="I16870" s="224" t="s">
        <v>2</v>
      </c>
    </row>
    <row r="16871" spans="1:9" x14ac:dyDescent="0.25">
      <c r="A16871" s="515">
        <v>36748</v>
      </c>
      <c r="C16871" s="52">
        <v>97615.875062446998</v>
      </c>
      <c r="D16871" s="56">
        <v>1.2134501669430475E-2</v>
      </c>
      <c r="E16871" s="224" t="s">
        <v>2</v>
      </c>
      <c r="F16871" s="515" t="s">
        <v>18047</v>
      </c>
      <c r="G16871" s="52">
        <v>1005556.9144428</v>
      </c>
      <c r="H16871" s="56">
        <v>2.2759114239288603E-2</v>
      </c>
      <c r="I16871" s="224" t="s">
        <v>2</v>
      </c>
    </row>
    <row r="16872" spans="1:9" x14ac:dyDescent="0.25">
      <c r="A16872" s="515">
        <v>82636</v>
      </c>
      <c r="B16872" s="515" t="s">
        <v>766</v>
      </c>
      <c r="C16872" s="52">
        <v>285794.67613609199</v>
      </c>
      <c r="D16872" s="56">
        <v>7.7966661863762707E-2</v>
      </c>
      <c r="E16872" s="224" t="s">
        <v>2</v>
      </c>
      <c r="F16872" s="515" t="s">
        <v>18048</v>
      </c>
      <c r="G16872" s="52">
        <v>152789.49418452501</v>
      </c>
      <c r="H16872" s="56">
        <v>6.8351077343587696E-2</v>
      </c>
      <c r="I16872" s="224" t="s">
        <v>2</v>
      </c>
    </row>
    <row r="16873" spans="1:9" x14ac:dyDescent="0.25">
      <c r="A16873" s="515">
        <v>36475</v>
      </c>
      <c r="C16873" s="52">
        <v>129391.775136058</v>
      </c>
      <c r="D16873" s="56">
        <v>4.9173929850713685E-2</v>
      </c>
      <c r="E16873" s="224" t="s">
        <v>2</v>
      </c>
      <c r="F16873" s="515" t="s">
        <v>18049</v>
      </c>
      <c r="G16873" s="52">
        <v>256212.64311188299</v>
      </c>
      <c r="H16873" s="56">
        <v>9.9884869847866944E-2</v>
      </c>
      <c r="I16873" s="224" t="s">
        <v>2</v>
      </c>
    </row>
    <row r="16874" spans="1:9" x14ac:dyDescent="0.25">
      <c r="A16874" s="515">
        <v>95663</v>
      </c>
      <c r="B16874" s="515" t="s">
        <v>355</v>
      </c>
      <c r="C16874" s="52">
        <v>825766.17418062105</v>
      </c>
      <c r="D16874" s="56">
        <v>-2.9062765399688571E-2</v>
      </c>
      <c r="E16874" s="224" t="s">
        <v>2</v>
      </c>
      <c r="F16874" s="515" t="s">
        <v>18050</v>
      </c>
      <c r="G16874" s="52">
        <v>171184.25287503999</v>
      </c>
      <c r="H16874" s="56">
        <v>6.3968395595486408E-2</v>
      </c>
      <c r="I16874" s="224" t="s">
        <v>2</v>
      </c>
    </row>
    <row r="16875" spans="1:9" x14ac:dyDescent="0.25">
      <c r="A16875" s="515">
        <v>54947</v>
      </c>
      <c r="B16875" s="515" t="s">
        <v>383</v>
      </c>
      <c r="C16875" s="52">
        <v>263118.420230255</v>
      </c>
      <c r="D16875" s="56">
        <v>6.6005924197003768E-2</v>
      </c>
      <c r="E16875" s="224" t="s">
        <v>2</v>
      </c>
      <c r="F16875" s="515" t="s">
        <v>18051</v>
      </c>
      <c r="G16875" s="52">
        <v>79107.476356233004</v>
      </c>
      <c r="H16875" s="56">
        <v>0</v>
      </c>
      <c r="I16875" s="224" t="s">
        <v>2</v>
      </c>
    </row>
    <row r="16876" spans="1:9" x14ac:dyDescent="0.25">
      <c r="A16876" s="515">
        <v>78058</v>
      </c>
      <c r="B16876" s="515" t="s">
        <v>1105</v>
      </c>
      <c r="C16876" s="52">
        <v>457771.45096907701</v>
      </c>
      <c r="D16876" s="56">
        <v>4.1663252677011132E-2</v>
      </c>
      <c r="E16876" s="224" t="s">
        <v>2</v>
      </c>
      <c r="F16876" s="515" t="s">
        <v>18052</v>
      </c>
      <c r="G16876" s="52">
        <v>205308.75257731901</v>
      </c>
      <c r="H16876" s="56">
        <v>0</v>
      </c>
      <c r="I16876" s="224" t="s">
        <v>2</v>
      </c>
    </row>
    <row r="16877" spans="1:9" x14ac:dyDescent="0.25">
      <c r="A16877" s="515">
        <v>62257</v>
      </c>
      <c r="B16877" s="515" t="s">
        <v>498</v>
      </c>
      <c r="C16877" s="52">
        <v>87292.961233017006</v>
      </c>
      <c r="D16877" s="56">
        <v>5.9086648344283449E-4</v>
      </c>
      <c r="E16877" s="224" t="s">
        <v>2</v>
      </c>
      <c r="F16877" s="515" t="s">
        <v>18053</v>
      </c>
      <c r="G16877" s="52">
        <v>96264.043701971794</v>
      </c>
      <c r="H16877" s="56">
        <v>0.15447211476315606</v>
      </c>
      <c r="I16877" s="224" t="s">
        <v>2</v>
      </c>
    </row>
    <row r="16878" spans="1:9" x14ac:dyDescent="0.25">
      <c r="A16878" s="515">
        <v>13409</v>
      </c>
      <c r="B16878" s="515" t="s">
        <v>361</v>
      </c>
      <c r="C16878" s="52">
        <v>155738.812488089</v>
      </c>
      <c r="D16878" s="56">
        <v>7.4035238315171115E-2</v>
      </c>
      <c r="E16878" s="224" t="s">
        <v>2</v>
      </c>
      <c r="F16878" s="515" t="s">
        <v>18054</v>
      </c>
      <c r="G16878" s="52">
        <v>388539.03219672601</v>
      </c>
      <c r="H16878" s="56">
        <v>-2.2054563229296654E-3</v>
      </c>
      <c r="I16878" s="224" t="s">
        <v>2</v>
      </c>
    </row>
    <row r="16879" spans="1:9" x14ac:dyDescent="0.25">
      <c r="A16879" s="515">
        <v>54498</v>
      </c>
      <c r="C16879" s="52">
        <v>139418.11413067899</v>
      </c>
      <c r="D16879" s="56">
        <v>0.1232345099460628</v>
      </c>
      <c r="E16879" s="224" t="s">
        <v>2</v>
      </c>
      <c r="F16879" s="515" t="s">
        <v>18055</v>
      </c>
      <c r="G16879" s="52">
        <v>170123.803497913</v>
      </c>
      <c r="H16879" s="56">
        <v>0.11030054234081021</v>
      </c>
      <c r="I16879" s="224" t="s">
        <v>2</v>
      </c>
    </row>
    <row r="16880" spans="1:9" x14ac:dyDescent="0.25">
      <c r="A16880" s="515">
        <v>61020</v>
      </c>
      <c r="B16880" s="515" t="s">
        <v>429</v>
      </c>
      <c r="C16880" s="52">
        <v>213115.944916526</v>
      </c>
      <c r="D16880" s="56">
        <v>7.2896967727006046E-2</v>
      </c>
      <c r="E16880" s="224" t="s">
        <v>2</v>
      </c>
      <c r="F16880" s="515" t="s">
        <v>18056</v>
      </c>
      <c r="G16880" s="52">
        <v>70081.444419937194</v>
      </c>
      <c r="H16880" s="56">
        <v>0.29618917591603855</v>
      </c>
      <c r="I16880" s="224" t="s">
        <v>2</v>
      </c>
    </row>
    <row r="16881" spans="1:9" x14ac:dyDescent="0.25">
      <c r="A16881" s="515">
        <v>57366</v>
      </c>
      <c r="C16881" s="52">
        <v>196881.01023355799</v>
      </c>
      <c r="D16881" s="56">
        <v>8.7378553917226293E-2</v>
      </c>
      <c r="E16881" s="224" t="s">
        <v>2</v>
      </c>
      <c r="F16881" s="515" t="s">
        <v>18057</v>
      </c>
      <c r="G16881" s="52">
        <v>183248.690060572</v>
      </c>
      <c r="H16881" s="56">
        <v>0.10088004783246302</v>
      </c>
      <c r="I16881" s="224" t="s">
        <v>2</v>
      </c>
    </row>
    <row r="16882" spans="1:9" x14ac:dyDescent="0.25">
      <c r="A16882" s="515">
        <v>3224</v>
      </c>
      <c r="B16882" s="515" t="s">
        <v>981</v>
      </c>
      <c r="C16882" s="52">
        <v>412573.535821172</v>
      </c>
      <c r="D16882" s="56">
        <v>0.11970099480904585</v>
      </c>
      <c r="E16882" s="224" t="s">
        <v>2</v>
      </c>
      <c r="F16882" s="515" t="s">
        <v>18058</v>
      </c>
      <c r="G16882" s="52">
        <v>99278.247180944498</v>
      </c>
      <c r="H16882" s="56">
        <v>0.13587378945152312</v>
      </c>
      <c r="I16882" s="224" t="s">
        <v>2</v>
      </c>
    </row>
    <row r="16883" spans="1:9" x14ac:dyDescent="0.25">
      <c r="A16883" s="515">
        <v>37052</v>
      </c>
      <c r="B16883" s="515" t="s">
        <v>651</v>
      </c>
      <c r="C16883" s="52">
        <v>295884.52031062503</v>
      </c>
      <c r="D16883" s="56">
        <v>6.1563927881769447E-2</v>
      </c>
      <c r="E16883" s="224" t="s">
        <v>2</v>
      </c>
      <c r="F16883" s="515" t="s">
        <v>18059</v>
      </c>
      <c r="G16883" s="52">
        <v>160566.01060844099</v>
      </c>
      <c r="H16883" s="56">
        <v>5.7347728734758859E-2</v>
      </c>
      <c r="I16883" s="224" t="s">
        <v>2</v>
      </c>
    </row>
    <row r="16884" spans="1:9" x14ac:dyDescent="0.25">
      <c r="A16884" s="515">
        <v>6438</v>
      </c>
      <c r="B16884" s="515" t="s">
        <v>894</v>
      </c>
      <c r="C16884" s="52">
        <v>390003.45748743502</v>
      </c>
      <c r="D16884" s="56">
        <v>8.6509941375108451E-2</v>
      </c>
      <c r="E16884" s="224" t="s">
        <v>2</v>
      </c>
      <c r="F16884" s="515" t="s">
        <v>18060</v>
      </c>
      <c r="G16884" s="52">
        <v>383398.79905161</v>
      </c>
      <c r="H16884" s="56">
        <v>5.4413544943908952E-2</v>
      </c>
      <c r="I16884" s="224" t="s">
        <v>2</v>
      </c>
    </row>
    <row r="16885" spans="1:9" x14ac:dyDescent="0.25">
      <c r="A16885" s="515">
        <v>4418</v>
      </c>
      <c r="B16885" s="515" t="s">
        <v>792</v>
      </c>
      <c r="C16885" s="52">
        <v>167372.06596789201</v>
      </c>
      <c r="D16885" s="56">
        <v>7.0166618011826484E-2</v>
      </c>
      <c r="E16885" s="224" t="s">
        <v>2</v>
      </c>
      <c r="F16885" s="515" t="s">
        <v>18061</v>
      </c>
      <c r="G16885" s="52">
        <v>932975.82649630203</v>
      </c>
      <c r="H16885" s="56">
        <v>2.97523036984636E-2</v>
      </c>
      <c r="I16885" s="224" t="s">
        <v>2</v>
      </c>
    </row>
    <row r="16886" spans="1:9" x14ac:dyDescent="0.25">
      <c r="A16886" s="515">
        <v>14807</v>
      </c>
      <c r="B16886" s="515" t="s">
        <v>585</v>
      </c>
      <c r="C16886" s="52">
        <v>146409.56725901601</v>
      </c>
      <c r="D16886" s="56">
        <v>0.1212086012107222</v>
      </c>
      <c r="E16886" s="224" t="s">
        <v>2</v>
      </c>
      <c r="F16886" s="515" t="s">
        <v>18062</v>
      </c>
      <c r="G16886" s="52">
        <v>544025.08098299697</v>
      </c>
      <c r="H16886" s="56">
        <v>0.14215108790834519</v>
      </c>
      <c r="I16886" s="224" t="s">
        <v>2</v>
      </c>
    </row>
    <row r="16887" spans="1:9" x14ac:dyDescent="0.25">
      <c r="A16887" s="515">
        <v>36505</v>
      </c>
      <c r="B16887" s="515" t="s">
        <v>815</v>
      </c>
      <c r="C16887" s="52">
        <v>181476.770040114</v>
      </c>
      <c r="D16887" s="56">
        <v>8.6764749347753356E-2</v>
      </c>
      <c r="E16887" s="224" t="s">
        <v>2</v>
      </c>
      <c r="F16887" s="515" t="s">
        <v>18063</v>
      </c>
      <c r="G16887" s="52">
        <v>246332.95217348199</v>
      </c>
      <c r="H16887" s="56">
        <v>0.15211037536162578</v>
      </c>
      <c r="I16887" s="224" t="s">
        <v>2</v>
      </c>
    </row>
    <row r="16888" spans="1:9" x14ac:dyDescent="0.25">
      <c r="A16888" s="515">
        <v>4981</v>
      </c>
      <c r="C16888" s="52">
        <v>310586.629647016</v>
      </c>
      <c r="D16888" s="56">
        <v>5.7434041020087354E-2</v>
      </c>
      <c r="E16888" s="224" t="s">
        <v>2</v>
      </c>
      <c r="F16888" s="515" t="s">
        <v>18064</v>
      </c>
      <c r="G16888" s="52">
        <v>378051.38500678202</v>
      </c>
      <c r="H16888" s="56">
        <v>0.10222236889406376</v>
      </c>
      <c r="I16888" s="224" t="s">
        <v>2</v>
      </c>
    </row>
    <row r="16889" spans="1:9" x14ac:dyDescent="0.25">
      <c r="A16889" s="515">
        <v>25003</v>
      </c>
      <c r="B16889" s="515" t="s">
        <v>322</v>
      </c>
      <c r="C16889" s="52">
        <v>133822.57060849</v>
      </c>
      <c r="D16889" s="56">
        <v>6.4826108573153352E-2</v>
      </c>
      <c r="E16889" s="224" t="s">
        <v>2</v>
      </c>
      <c r="F16889" s="515" t="s">
        <v>18065</v>
      </c>
      <c r="G16889" s="52">
        <v>273791.712765957</v>
      </c>
      <c r="H16889" s="56">
        <v>0</v>
      </c>
      <c r="I16889" s="224" t="s">
        <v>2</v>
      </c>
    </row>
    <row r="16890" spans="1:9" x14ac:dyDescent="0.25">
      <c r="A16890" s="515">
        <v>74364</v>
      </c>
      <c r="C16890" s="52">
        <v>212587.15133373399</v>
      </c>
      <c r="D16890" s="56">
        <v>6.0029151926933498E-2</v>
      </c>
      <c r="E16890" s="224" t="s">
        <v>2</v>
      </c>
      <c r="F16890" s="515" t="s">
        <v>18066</v>
      </c>
      <c r="G16890" s="52">
        <v>233316.508530594</v>
      </c>
      <c r="H16890" s="56">
        <v>0.14217300047662537</v>
      </c>
      <c r="I16890" s="224" t="s">
        <v>2</v>
      </c>
    </row>
    <row r="16891" spans="1:9" x14ac:dyDescent="0.25">
      <c r="A16891" s="515">
        <v>39116</v>
      </c>
      <c r="C16891" s="52">
        <v>152470.42050400999</v>
      </c>
      <c r="D16891" s="56">
        <v>1.2332452513008848E-2</v>
      </c>
      <c r="E16891" s="224" t="s">
        <v>2</v>
      </c>
      <c r="F16891" s="515" t="s">
        <v>18067</v>
      </c>
      <c r="G16891" s="52">
        <v>164122.44317837001</v>
      </c>
      <c r="H16891" s="56">
        <v>6.728665671254784E-2</v>
      </c>
      <c r="I16891" s="224" t="s">
        <v>2</v>
      </c>
    </row>
    <row r="16892" spans="1:9" x14ac:dyDescent="0.25">
      <c r="A16892" s="515">
        <v>68430</v>
      </c>
      <c r="B16892" s="515" t="s">
        <v>486</v>
      </c>
      <c r="C16892" s="52">
        <v>541121.04172110895</v>
      </c>
      <c r="D16892" s="56">
        <v>9.8633752941209574E-2</v>
      </c>
      <c r="E16892" s="224" t="s">
        <v>2</v>
      </c>
      <c r="F16892" s="515" t="s">
        <v>18068</v>
      </c>
      <c r="G16892" s="52">
        <v>444553.727272727</v>
      </c>
      <c r="H16892" s="56">
        <v>0</v>
      </c>
      <c r="I16892" s="224" t="s">
        <v>2</v>
      </c>
    </row>
    <row r="16893" spans="1:9" x14ac:dyDescent="0.25">
      <c r="A16893" s="515">
        <v>58540</v>
      </c>
      <c r="C16893" s="52">
        <v>198091.766918732</v>
      </c>
      <c r="D16893" s="56">
        <v>3.2960302243521082E-2</v>
      </c>
      <c r="E16893" s="224" t="s">
        <v>2</v>
      </c>
      <c r="F16893" s="515" t="s">
        <v>18069</v>
      </c>
      <c r="G16893" s="52">
        <v>325343.84810230602</v>
      </c>
      <c r="H16893" s="56">
        <v>7.0065671983334202E-2</v>
      </c>
      <c r="I16893" s="224" t="s">
        <v>2</v>
      </c>
    </row>
    <row r="16894" spans="1:9" x14ac:dyDescent="0.25">
      <c r="A16894" s="515">
        <v>18051</v>
      </c>
      <c r="B16894" s="515" t="s">
        <v>327</v>
      </c>
      <c r="C16894" s="52">
        <v>420799.177469038</v>
      </c>
      <c r="D16894" s="56">
        <v>7.8837839926202288E-2</v>
      </c>
      <c r="E16894" s="224" t="s">
        <v>2</v>
      </c>
      <c r="F16894" s="515" t="s">
        <v>18070</v>
      </c>
      <c r="G16894" s="52">
        <v>156739.99664415201</v>
      </c>
      <c r="H16894" s="56">
        <v>2.9001563347174807E-2</v>
      </c>
      <c r="I16894" s="224" t="s">
        <v>2</v>
      </c>
    </row>
    <row r="16895" spans="1:9" x14ac:dyDescent="0.25">
      <c r="A16895" s="515">
        <v>16327</v>
      </c>
      <c r="B16895" s="515" t="s">
        <v>1042</v>
      </c>
      <c r="C16895" s="52">
        <v>153635.71304773001</v>
      </c>
      <c r="D16895" s="56">
        <v>3.0417279967632826E-2</v>
      </c>
      <c r="E16895" s="224" t="s">
        <v>2</v>
      </c>
      <c r="F16895" s="515" t="s">
        <v>18071</v>
      </c>
      <c r="G16895" s="52">
        <v>114868.694002918</v>
      </c>
      <c r="H16895" s="56">
        <v>0.14160667020538401</v>
      </c>
      <c r="I16895" s="224" t="s">
        <v>2</v>
      </c>
    </row>
    <row r="16896" spans="1:9" x14ac:dyDescent="0.25">
      <c r="A16896" s="515">
        <v>73027</v>
      </c>
      <c r="B16896" s="515" t="s">
        <v>385</v>
      </c>
      <c r="C16896" s="52">
        <v>148970.40190615901</v>
      </c>
      <c r="D16896" s="56">
        <v>3.9779529236925203E-2</v>
      </c>
      <c r="E16896" s="224" t="s">
        <v>2</v>
      </c>
      <c r="F16896" s="515" t="s">
        <v>18072</v>
      </c>
      <c r="G16896" s="52">
        <v>50676.623405238097</v>
      </c>
      <c r="H16896" s="56">
        <v>6.501713451986418E-3</v>
      </c>
      <c r="I16896" s="224" t="s">
        <v>2</v>
      </c>
    </row>
    <row r="16897" spans="1:9" x14ac:dyDescent="0.25">
      <c r="A16897" s="515">
        <v>49892</v>
      </c>
      <c r="B16897" s="515" t="s">
        <v>990</v>
      </c>
      <c r="C16897" s="52">
        <v>166218.51558219199</v>
      </c>
      <c r="D16897" s="56">
        <v>6.1323149505743316E-2</v>
      </c>
      <c r="E16897" s="224" t="s">
        <v>2</v>
      </c>
      <c r="F16897" s="515" t="s">
        <v>18073</v>
      </c>
      <c r="G16897" s="52">
        <v>103034.059099655</v>
      </c>
      <c r="H16897" s="56">
        <v>0.11209287615903675</v>
      </c>
      <c r="I16897" s="224" t="s">
        <v>2</v>
      </c>
    </row>
    <row r="16898" spans="1:9" x14ac:dyDescent="0.25">
      <c r="A16898" s="515">
        <v>54960</v>
      </c>
      <c r="C16898" s="52">
        <v>207104.62025484</v>
      </c>
      <c r="D16898" s="56">
        <v>8.8456685007170494E-2</v>
      </c>
      <c r="E16898" s="224" t="s">
        <v>2</v>
      </c>
      <c r="F16898" s="515" t="s">
        <v>18074</v>
      </c>
      <c r="G16898" s="52">
        <v>307106.30872647098</v>
      </c>
      <c r="H16898" s="56">
        <v>0.11774855798777588</v>
      </c>
      <c r="I16898" s="224" t="s">
        <v>2</v>
      </c>
    </row>
    <row r="16899" spans="1:9" x14ac:dyDescent="0.25">
      <c r="A16899" s="515">
        <v>53502</v>
      </c>
      <c r="B16899" s="515" t="s">
        <v>727</v>
      </c>
      <c r="C16899" s="52">
        <v>254778.28587483001</v>
      </c>
      <c r="D16899" s="56">
        <v>-1.9968007125699353E-2</v>
      </c>
      <c r="E16899" s="224" t="s">
        <v>2</v>
      </c>
      <c r="F16899" s="515" t="s">
        <v>18075</v>
      </c>
      <c r="G16899" s="52">
        <v>210321.09337503201</v>
      </c>
      <c r="H16899" s="56">
        <v>0</v>
      </c>
      <c r="I16899" s="224" t="s">
        <v>2</v>
      </c>
    </row>
    <row r="16900" spans="1:9" x14ac:dyDescent="0.25">
      <c r="A16900" s="515">
        <v>6377</v>
      </c>
      <c r="B16900" s="515" t="s">
        <v>751</v>
      </c>
      <c r="C16900" s="52">
        <v>300634.57108776399</v>
      </c>
      <c r="D16900" s="56">
        <v>7.6242274864203E-2</v>
      </c>
      <c r="E16900" s="224" t="s">
        <v>2</v>
      </c>
      <c r="F16900" s="515" t="s">
        <v>18076</v>
      </c>
      <c r="G16900" s="52">
        <v>200911.17300917901</v>
      </c>
      <c r="H16900" s="56">
        <v>4.3382854100605141E-2</v>
      </c>
      <c r="I16900" s="224" t="s">
        <v>2</v>
      </c>
    </row>
    <row r="16901" spans="1:9" x14ac:dyDescent="0.25">
      <c r="A16901" s="515">
        <v>18445</v>
      </c>
      <c r="B16901" s="515" t="s">
        <v>324</v>
      </c>
      <c r="C16901" s="52">
        <v>253026.61780080199</v>
      </c>
      <c r="D16901" s="56">
        <v>7.1505060029931941E-2</v>
      </c>
      <c r="E16901" s="224" t="s">
        <v>2</v>
      </c>
      <c r="F16901" s="515" t="s">
        <v>18077</v>
      </c>
      <c r="G16901" s="52">
        <v>346631.00000218599</v>
      </c>
      <c r="H16901" s="56">
        <v>2.5669805322809939E-2</v>
      </c>
      <c r="I16901" s="224" t="s">
        <v>2</v>
      </c>
    </row>
    <row r="16902" spans="1:9" x14ac:dyDescent="0.25">
      <c r="A16902" s="515">
        <v>14170</v>
      </c>
      <c r="B16902" s="515" t="s">
        <v>336</v>
      </c>
      <c r="C16902" s="52">
        <v>310272.35011964699</v>
      </c>
      <c r="D16902" s="56">
        <v>9.0841460706693411E-2</v>
      </c>
      <c r="E16902" s="224" t="s">
        <v>2</v>
      </c>
      <c r="F16902" s="515" t="s">
        <v>18078</v>
      </c>
      <c r="G16902" s="52">
        <v>219060.20409705499</v>
      </c>
      <c r="H16902" s="56">
        <v>0.21973405765394652</v>
      </c>
      <c r="I16902" s="224" t="s">
        <v>2</v>
      </c>
    </row>
    <row r="16903" spans="1:9" x14ac:dyDescent="0.25">
      <c r="A16903" s="515">
        <v>47140</v>
      </c>
      <c r="C16903" s="52">
        <v>141912.15341259699</v>
      </c>
      <c r="D16903" s="56">
        <v>7.9421023241150954E-2</v>
      </c>
      <c r="E16903" s="224" t="s">
        <v>2</v>
      </c>
      <c r="F16903" s="515" t="s">
        <v>18079</v>
      </c>
      <c r="G16903" s="52">
        <v>234399.483001374</v>
      </c>
      <c r="H16903" s="56">
        <v>2.6520755109049804E-2</v>
      </c>
      <c r="I16903" s="224" t="s">
        <v>2</v>
      </c>
    </row>
    <row r="16904" spans="1:9" x14ac:dyDescent="0.25">
      <c r="A16904" s="515">
        <v>62458</v>
      </c>
      <c r="C16904" s="52">
        <v>91126.713978518994</v>
      </c>
      <c r="D16904" s="56">
        <v>8.311784038321833E-2</v>
      </c>
      <c r="E16904" s="224" t="s">
        <v>2</v>
      </c>
      <c r="F16904" s="515" t="s">
        <v>18080</v>
      </c>
      <c r="G16904" s="52">
        <v>186712.735332693</v>
      </c>
      <c r="H16904" s="56">
        <v>0.1087514982233424</v>
      </c>
      <c r="I16904" s="224" t="s">
        <v>2</v>
      </c>
    </row>
    <row r="16905" spans="1:9" x14ac:dyDescent="0.25">
      <c r="A16905" s="515">
        <v>44450</v>
      </c>
      <c r="B16905" s="515" t="s">
        <v>397</v>
      </c>
      <c r="C16905" s="52">
        <v>158997.442949494</v>
      </c>
      <c r="D16905" s="56">
        <v>7.8586663520521863E-2</v>
      </c>
      <c r="E16905" s="224" t="s">
        <v>2</v>
      </c>
      <c r="F16905" s="515" t="s">
        <v>18081</v>
      </c>
      <c r="G16905" s="52">
        <v>233420.40476159801</v>
      </c>
      <c r="H16905" s="56">
        <v>8.4547832893252933E-2</v>
      </c>
      <c r="I16905" s="224" t="s">
        <v>2</v>
      </c>
    </row>
    <row r="16906" spans="1:9" x14ac:dyDescent="0.25">
      <c r="A16906" s="515">
        <v>1542</v>
      </c>
      <c r="B16906" s="515" t="s">
        <v>751</v>
      </c>
      <c r="C16906" s="52">
        <v>397492.75072092301</v>
      </c>
      <c r="D16906" s="56">
        <v>9.772577566747398E-2</v>
      </c>
      <c r="E16906" s="224" t="s">
        <v>2</v>
      </c>
      <c r="F16906" s="515" t="s">
        <v>18082</v>
      </c>
      <c r="G16906" s="52">
        <v>301856.46361419302</v>
      </c>
      <c r="H16906" s="56">
        <v>8.2156362455298185E-2</v>
      </c>
      <c r="I16906" s="224" t="s">
        <v>2</v>
      </c>
    </row>
    <row r="16907" spans="1:9" x14ac:dyDescent="0.25">
      <c r="A16907" s="515">
        <v>12547</v>
      </c>
      <c r="B16907" s="515" t="s">
        <v>307</v>
      </c>
      <c r="C16907" s="52">
        <v>391311.74104869098</v>
      </c>
      <c r="D16907" s="56">
        <v>0.10368393355065961</v>
      </c>
      <c r="E16907" s="224" t="s">
        <v>2</v>
      </c>
      <c r="F16907" s="515" t="s">
        <v>18083</v>
      </c>
      <c r="G16907" s="52">
        <v>98055.058272430702</v>
      </c>
      <c r="H16907" s="56">
        <v>6.9717772852452189E-2</v>
      </c>
      <c r="I16907" s="224" t="s">
        <v>2</v>
      </c>
    </row>
    <row r="16908" spans="1:9" x14ac:dyDescent="0.25">
      <c r="A16908" s="515">
        <v>79758</v>
      </c>
      <c r="B16908" s="515" t="s">
        <v>1001</v>
      </c>
      <c r="C16908" s="52">
        <v>325119.07168755098</v>
      </c>
      <c r="D16908" s="56">
        <v>-1.8191873539089434E-2</v>
      </c>
      <c r="E16908" s="224" t="s">
        <v>2</v>
      </c>
      <c r="F16908" s="515" t="s">
        <v>18084</v>
      </c>
      <c r="G16908" s="52">
        <v>178878.74982219501</v>
      </c>
      <c r="H16908" s="56">
        <v>8.7088658622159143E-2</v>
      </c>
      <c r="I16908" s="224" t="s">
        <v>2</v>
      </c>
    </row>
    <row r="16909" spans="1:9" x14ac:dyDescent="0.25">
      <c r="A16909" s="515">
        <v>38080</v>
      </c>
      <c r="C16909" s="52">
        <v>69604.045941819699</v>
      </c>
      <c r="D16909" s="56">
        <v>8.4084685143628671E-3</v>
      </c>
      <c r="E16909" s="224" t="s">
        <v>2</v>
      </c>
      <c r="F16909" s="515" t="s">
        <v>18085</v>
      </c>
      <c r="G16909" s="52">
        <v>429258.91172656597</v>
      </c>
      <c r="H16909" s="56">
        <v>0.1291247419678937</v>
      </c>
      <c r="I16909" s="224" t="s">
        <v>2</v>
      </c>
    </row>
    <row r="16910" spans="1:9" x14ac:dyDescent="0.25">
      <c r="A16910" s="515">
        <v>97455</v>
      </c>
      <c r="B16910" s="515" t="s">
        <v>801</v>
      </c>
      <c r="C16910" s="52">
        <v>631682.25777794898</v>
      </c>
      <c r="D16910" s="56">
        <v>6.6839886901281342E-2</v>
      </c>
      <c r="E16910" s="224" t="s">
        <v>2</v>
      </c>
      <c r="F16910" s="515" t="s">
        <v>18086</v>
      </c>
      <c r="G16910" s="52">
        <v>561437.74353972694</v>
      </c>
      <c r="H16910" s="56">
        <v>6.0908242840346516E-2</v>
      </c>
      <c r="I16910" s="224" t="s">
        <v>2</v>
      </c>
    </row>
    <row r="16911" spans="1:9" x14ac:dyDescent="0.25">
      <c r="A16911" s="515">
        <v>46161</v>
      </c>
      <c r="B16911" s="515" t="s">
        <v>403</v>
      </c>
      <c r="C16911" s="52">
        <v>225793.779546267</v>
      </c>
      <c r="D16911" s="56">
        <v>6.5014833436806641E-2</v>
      </c>
      <c r="E16911" s="224" t="s">
        <v>2</v>
      </c>
      <c r="F16911" s="515" t="s">
        <v>18087</v>
      </c>
      <c r="G16911" s="52">
        <v>203646.59966293999</v>
      </c>
      <c r="H16911" s="56">
        <v>0</v>
      </c>
      <c r="I16911" s="224" t="s">
        <v>2</v>
      </c>
    </row>
    <row r="16912" spans="1:9" x14ac:dyDescent="0.25">
      <c r="A16912" s="515">
        <v>4355</v>
      </c>
      <c r="B16912" s="515" t="s">
        <v>848</v>
      </c>
      <c r="C16912" s="52">
        <v>313913.45156418899</v>
      </c>
      <c r="D16912" s="56">
        <v>4.3579820842688521E-2</v>
      </c>
      <c r="E16912" s="224" t="s">
        <v>2</v>
      </c>
      <c r="F16912" s="515" t="s">
        <v>18088</v>
      </c>
      <c r="G16912" s="52">
        <v>142858.442108808</v>
      </c>
      <c r="H16912" s="56">
        <v>0.10953862151821205</v>
      </c>
      <c r="I16912" s="224" t="s">
        <v>2</v>
      </c>
    </row>
    <row r="16913" spans="1:9" x14ac:dyDescent="0.25">
      <c r="A16913" s="515">
        <v>30105</v>
      </c>
      <c r="B16913" s="515" t="s">
        <v>1138</v>
      </c>
      <c r="C16913" s="52">
        <v>221248.20160906401</v>
      </c>
      <c r="D16913" s="56">
        <v>3.6830983130514895E-2</v>
      </c>
      <c r="E16913" s="224" t="s">
        <v>2</v>
      </c>
      <c r="F16913" s="515" t="s">
        <v>18089</v>
      </c>
      <c r="G16913" s="52">
        <v>132462.26809455099</v>
      </c>
      <c r="H16913" s="56">
        <v>0</v>
      </c>
      <c r="I16913" s="224" t="s">
        <v>2</v>
      </c>
    </row>
    <row r="16914" spans="1:9" x14ac:dyDescent="0.25">
      <c r="A16914" s="515">
        <v>15639</v>
      </c>
      <c r="B16914" s="515" t="s">
        <v>297</v>
      </c>
      <c r="C16914" s="52">
        <v>164039.35523792001</v>
      </c>
      <c r="D16914" s="56">
        <v>9.4205730637313967E-3</v>
      </c>
      <c r="E16914" s="224" t="s">
        <v>2</v>
      </c>
      <c r="F16914" s="515" t="s">
        <v>18090</v>
      </c>
      <c r="G16914" s="52">
        <v>145451.47528312099</v>
      </c>
      <c r="H16914" s="56">
        <v>0</v>
      </c>
      <c r="I16914" s="224" t="s">
        <v>2</v>
      </c>
    </row>
    <row r="16915" spans="1:9" x14ac:dyDescent="0.25">
      <c r="A16915" s="515">
        <v>43977</v>
      </c>
      <c r="B16915" s="515" t="s">
        <v>442</v>
      </c>
      <c r="C16915" s="52">
        <v>89804.019201440693</v>
      </c>
      <c r="D16915" s="56">
        <v>3.2753630621175152E-2</v>
      </c>
      <c r="E16915" s="224" t="s">
        <v>2</v>
      </c>
      <c r="F16915" s="515" t="s">
        <v>18091</v>
      </c>
      <c r="G16915" s="52">
        <v>222538.21498968999</v>
      </c>
      <c r="H16915" s="56">
        <v>0.14451150093533785</v>
      </c>
      <c r="I16915" s="224" t="s">
        <v>2</v>
      </c>
    </row>
    <row r="16916" spans="1:9" x14ac:dyDescent="0.25">
      <c r="A16916" s="515">
        <v>1521</v>
      </c>
      <c r="B16916" s="515" t="s">
        <v>575</v>
      </c>
      <c r="C16916" s="52">
        <v>312716.15065434802</v>
      </c>
      <c r="D16916" s="56">
        <v>0.10226680808095831</v>
      </c>
      <c r="E16916" s="224" t="s">
        <v>2</v>
      </c>
      <c r="F16916" s="515" t="s">
        <v>18092</v>
      </c>
      <c r="G16916" s="52">
        <v>328376.60340894799</v>
      </c>
      <c r="H16916" s="56">
        <v>-6.5793672578313034E-2</v>
      </c>
      <c r="I16916" s="224" t="s">
        <v>2</v>
      </c>
    </row>
    <row r="16917" spans="1:9" x14ac:dyDescent="0.25">
      <c r="A16917" s="515">
        <v>27920</v>
      </c>
      <c r="B16917" s="515" t="s">
        <v>407</v>
      </c>
      <c r="C16917" s="52">
        <v>430820.493238936</v>
      </c>
      <c r="D16917" s="56">
        <v>0.11891476703165071</v>
      </c>
      <c r="E16917" s="224" t="s">
        <v>2</v>
      </c>
      <c r="F16917" s="515" t="s">
        <v>18093</v>
      </c>
      <c r="G16917" s="52">
        <v>78324.769617104306</v>
      </c>
      <c r="H16917" s="56">
        <v>-3.3426739456708342E-2</v>
      </c>
      <c r="I16917" s="224" t="s">
        <v>2</v>
      </c>
    </row>
    <row r="16918" spans="1:9" x14ac:dyDescent="0.25">
      <c r="A16918" s="515">
        <v>42518</v>
      </c>
      <c r="B16918" s="515" t="s">
        <v>1145</v>
      </c>
      <c r="C16918" s="52">
        <v>182545.36670285001</v>
      </c>
      <c r="D16918" s="56">
        <v>4.7776266925426782E-2</v>
      </c>
      <c r="E16918" s="224" t="s">
        <v>2</v>
      </c>
      <c r="F16918" s="515" t="s">
        <v>18094</v>
      </c>
      <c r="G16918" s="52">
        <v>122810.078446908</v>
      </c>
      <c r="H16918" s="56">
        <v>7.9118951987761338E-2</v>
      </c>
      <c r="I16918" s="224" t="s">
        <v>2</v>
      </c>
    </row>
    <row r="16919" spans="1:9" x14ac:dyDescent="0.25">
      <c r="A16919" s="515">
        <v>22843</v>
      </c>
      <c r="B16919" s="515" t="s">
        <v>728</v>
      </c>
      <c r="C16919" s="52">
        <v>311961.82943371998</v>
      </c>
      <c r="D16919" s="56">
        <v>0.12022657041375194</v>
      </c>
      <c r="E16919" s="224" t="s">
        <v>2</v>
      </c>
      <c r="F16919" s="515" t="s">
        <v>18095</v>
      </c>
      <c r="G16919" s="52">
        <v>102122.02452363601</v>
      </c>
      <c r="H16919" s="56">
        <v>-5.3764655354437745E-2</v>
      </c>
      <c r="I16919" s="224" t="s">
        <v>2</v>
      </c>
    </row>
    <row r="16920" spans="1:9" x14ac:dyDescent="0.25">
      <c r="A16920" s="515">
        <v>1237</v>
      </c>
      <c r="B16920" s="515" t="s">
        <v>497</v>
      </c>
      <c r="C16920" s="52">
        <v>318364.68410926103</v>
      </c>
      <c r="D16920" s="56">
        <v>0.11157291735690046</v>
      </c>
      <c r="E16920" s="224" t="s">
        <v>2</v>
      </c>
      <c r="F16920" s="515" t="s">
        <v>18096</v>
      </c>
      <c r="G16920" s="52">
        <v>297145.05200536898</v>
      </c>
      <c r="H16920" s="56">
        <v>0.17950096168891055</v>
      </c>
      <c r="I16920" s="224" t="s">
        <v>2</v>
      </c>
    </row>
    <row r="16921" spans="1:9" x14ac:dyDescent="0.25">
      <c r="A16921" s="515">
        <v>31565</v>
      </c>
      <c r="B16921" s="515" t="s">
        <v>946</v>
      </c>
      <c r="C16921" s="52">
        <v>291032.60830242903</v>
      </c>
      <c r="D16921" s="56">
        <v>0.10565464832638202</v>
      </c>
      <c r="E16921" s="224" t="s">
        <v>2</v>
      </c>
      <c r="F16921" s="515" t="s">
        <v>18097</v>
      </c>
      <c r="G16921" s="52">
        <v>1191816.7630684499</v>
      </c>
      <c r="H16921" s="56">
        <v>2.9699841838418353E-2</v>
      </c>
      <c r="I16921" s="224" t="s">
        <v>2</v>
      </c>
    </row>
    <row r="16922" spans="1:9" x14ac:dyDescent="0.25">
      <c r="A16922" s="515">
        <v>67107</v>
      </c>
      <c r="B16922" s="515" t="s">
        <v>812</v>
      </c>
      <c r="C16922" s="52">
        <v>198385.466508866</v>
      </c>
      <c r="D16922" s="56">
        <v>4.6242395128851956E-2</v>
      </c>
      <c r="E16922" s="224" t="s">
        <v>2</v>
      </c>
      <c r="F16922" s="515" t="s">
        <v>18098</v>
      </c>
      <c r="G16922" s="52">
        <v>353151.34643024002</v>
      </c>
      <c r="H16922" s="56">
        <v>6.1670626536310405E-2</v>
      </c>
      <c r="I16922" s="224" t="s">
        <v>2</v>
      </c>
    </row>
    <row r="16923" spans="1:9" x14ac:dyDescent="0.25">
      <c r="A16923" s="515">
        <v>97107</v>
      </c>
      <c r="C16923" s="52">
        <v>375308.609307634</v>
      </c>
      <c r="D16923" s="56">
        <v>3.1652305172179818E-2</v>
      </c>
      <c r="E16923" s="224" t="s">
        <v>2</v>
      </c>
      <c r="F16923" s="515" t="s">
        <v>18099</v>
      </c>
      <c r="G16923" s="52">
        <v>341336.13094002701</v>
      </c>
      <c r="H16923" s="56">
        <v>6.992489721019593E-2</v>
      </c>
      <c r="I16923" s="224" t="s">
        <v>2</v>
      </c>
    </row>
    <row r="16924" spans="1:9" x14ac:dyDescent="0.25">
      <c r="A16924" s="515">
        <v>54968</v>
      </c>
      <c r="C16924" s="52">
        <v>167792.68761977801</v>
      </c>
      <c r="D16924" s="56">
        <v>0.10846518334333105</v>
      </c>
      <c r="E16924" s="224" t="s">
        <v>2</v>
      </c>
      <c r="F16924" s="515" t="s">
        <v>18100</v>
      </c>
      <c r="G16924" s="52">
        <v>94249.1672690712</v>
      </c>
      <c r="H16924" s="56">
        <v>4.2489837649858843E-2</v>
      </c>
      <c r="I16924" s="224" t="s">
        <v>2</v>
      </c>
    </row>
    <row r="16925" spans="1:9" x14ac:dyDescent="0.25">
      <c r="A16925" s="515">
        <v>61053</v>
      </c>
      <c r="C16925" s="52">
        <v>111451.959814631</v>
      </c>
      <c r="D16925" s="56">
        <v>0.11066824136261462</v>
      </c>
      <c r="E16925" s="224" t="s">
        <v>2</v>
      </c>
      <c r="F16925" s="515" t="s">
        <v>18101</v>
      </c>
      <c r="G16925" s="52">
        <v>192455.09729452399</v>
      </c>
      <c r="H16925" s="56">
        <v>2.2059738681246954E-2</v>
      </c>
      <c r="I16925" s="224" t="s">
        <v>2</v>
      </c>
    </row>
    <row r="16926" spans="1:9" x14ac:dyDescent="0.25">
      <c r="A16926" s="515">
        <v>43760</v>
      </c>
      <c r="B16926" s="515" t="s">
        <v>345</v>
      </c>
      <c r="C16926" s="52">
        <v>210221.11758216601</v>
      </c>
      <c r="D16926" s="56">
        <v>0.15959283549760425</v>
      </c>
      <c r="E16926" s="224" t="s">
        <v>2</v>
      </c>
      <c r="F16926" s="515" t="s">
        <v>18102</v>
      </c>
      <c r="G16926" s="52">
        <v>447509.08245091699</v>
      </c>
      <c r="H16926" s="56">
        <v>5.8262219482116441E-2</v>
      </c>
      <c r="I16926" s="224" t="s">
        <v>2</v>
      </c>
    </row>
    <row r="16927" spans="1:9" x14ac:dyDescent="0.25">
      <c r="A16927" s="515">
        <v>15067</v>
      </c>
      <c r="B16927" s="515" t="s">
        <v>297</v>
      </c>
      <c r="C16927" s="52">
        <v>116462.67274318299</v>
      </c>
      <c r="D16927" s="56">
        <v>0.13915684265740777</v>
      </c>
      <c r="E16927" s="224" t="s">
        <v>2</v>
      </c>
      <c r="F16927" s="515" t="s">
        <v>18103</v>
      </c>
      <c r="G16927" s="52">
        <v>96962.003480081301</v>
      </c>
      <c r="H16927" s="56">
        <v>-6.0607223079326552E-3</v>
      </c>
      <c r="I16927" s="224" t="s">
        <v>2</v>
      </c>
    </row>
    <row r="16928" spans="1:9" x14ac:dyDescent="0.25">
      <c r="A16928" s="515">
        <v>53516</v>
      </c>
      <c r="C16928" s="52">
        <v>254130.60891729899</v>
      </c>
      <c r="D16928" s="56">
        <v>7.3709879559287331E-2</v>
      </c>
      <c r="E16928" s="224" t="s">
        <v>2</v>
      </c>
      <c r="F16928" s="515" t="s">
        <v>18104</v>
      </c>
      <c r="G16928" s="52">
        <v>259467.41437569901</v>
      </c>
      <c r="H16928" s="56">
        <v>7.7912162247808447E-2</v>
      </c>
      <c r="I16928" s="224" t="s">
        <v>2</v>
      </c>
    </row>
    <row r="16929" spans="1:9" x14ac:dyDescent="0.25">
      <c r="A16929" s="515">
        <v>35983</v>
      </c>
      <c r="C16929" s="52">
        <v>217147.211351712</v>
      </c>
      <c r="D16929" s="56">
        <v>8.5721949514166937E-2</v>
      </c>
      <c r="E16929" s="224" t="s">
        <v>2</v>
      </c>
      <c r="F16929" s="515" t="s">
        <v>18105</v>
      </c>
      <c r="G16929" s="52">
        <v>66497.209310847</v>
      </c>
      <c r="H16929" s="56">
        <v>0.30932176455939553</v>
      </c>
      <c r="I16929" s="224" t="s">
        <v>2</v>
      </c>
    </row>
    <row r="16930" spans="1:9" x14ac:dyDescent="0.25">
      <c r="A16930" s="515">
        <v>62320</v>
      </c>
      <c r="B16930" s="515" t="s">
        <v>697</v>
      </c>
      <c r="C16930" s="52">
        <v>149366.05020431799</v>
      </c>
      <c r="D16930" s="56">
        <v>7.8126613447507709E-2</v>
      </c>
      <c r="E16930" s="224" t="s">
        <v>2</v>
      </c>
      <c r="F16930" s="515" t="s">
        <v>18106</v>
      </c>
      <c r="G16930" s="52">
        <v>168107.282524938</v>
      </c>
      <c r="H16930" s="56">
        <v>9.2135836407314015E-2</v>
      </c>
      <c r="I16930" s="224" t="s">
        <v>2</v>
      </c>
    </row>
    <row r="16931" spans="1:9" x14ac:dyDescent="0.25">
      <c r="A16931" s="515">
        <v>41141</v>
      </c>
      <c r="C16931" s="52">
        <v>76874.109069210797</v>
      </c>
      <c r="D16931" s="56">
        <v>0.17527770115787517</v>
      </c>
      <c r="E16931" s="224" t="s">
        <v>2</v>
      </c>
      <c r="F16931" s="515" t="s">
        <v>18107</v>
      </c>
      <c r="G16931" s="52">
        <v>226950.45037318501</v>
      </c>
      <c r="H16931" s="56">
        <v>5.1529390649471284E-2</v>
      </c>
      <c r="I16931" s="224" t="s">
        <v>2</v>
      </c>
    </row>
    <row r="16932" spans="1:9" x14ac:dyDescent="0.25">
      <c r="A16932" s="515">
        <v>4974</v>
      </c>
      <c r="C16932" s="52">
        <v>267070.11157110502</v>
      </c>
      <c r="D16932" s="56">
        <v>8.246462142823531E-2</v>
      </c>
      <c r="E16932" s="224" t="s">
        <v>2</v>
      </c>
      <c r="F16932" s="515" t="s">
        <v>18108</v>
      </c>
      <c r="G16932" s="52">
        <v>151989.30849688701</v>
      </c>
      <c r="H16932" s="56">
        <v>8.3651880060008857E-2</v>
      </c>
      <c r="I16932" s="224" t="s">
        <v>2</v>
      </c>
    </row>
    <row r="16933" spans="1:9" x14ac:dyDescent="0.25">
      <c r="A16933" s="515">
        <v>23102</v>
      </c>
      <c r="B16933" s="515" t="s">
        <v>667</v>
      </c>
      <c r="C16933" s="52">
        <v>409979.76810239401</v>
      </c>
      <c r="D16933" s="56">
        <v>5.6168358747640909E-2</v>
      </c>
      <c r="E16933" s="224" t="s">
        <v>2</v>
      </c>
      <c r="F16933" s="515" t="s">
        <v>18109</v>
      </c>
      <c r="G16933" s="52">
        <v>254097.249606856</v>
      </c>
      <c r="H16933" s="56">
        <v>0.27224238599514705</v>
      </c>
      <c r="I16933" s="224" t="s">
        <v>2</v>
      </c>
    </row>
    <row r="16934" spans="1:9" x14ac:dyDescent="0.25">
      <c r="A16934" s="515">
        <v>29056</v>
      </c>
      <c r="C16934" s="52">
        <v>84822.613054650297</v>
      </c>
      <c r="D16934" s="56">
        <v>7.1206283604387952E-2</v>
      </c>
      <c r="E16934" s="224" t="s">
        <v>2</v>
      </c>
      <c r="F16934" s="515" t="s">
        <v>18110</v>
      </c>
      <c r="G16934" s="52">
        <v>357069.33426517702</v>
      </c>
      <c r="H16934" s="56">
        <v>6.0294937774069544E-2</v>
      </c>
      <c r="I16934" s="224" t="s">
        <v>2</v>
      </c>
    </row>
    <row r="16935" spans="1:9" x14ac:dyDescent="0.25">
      <c r="A16935" s="515">
        <v>46068</v>
      </c>
      <c r="C16935" s="52">
        <v>212103.74278103001</v>
      </c>
      <c r="D16935" s="56">
        <v>6.8383638407375297E-2</v>
      </c>
      <c r="E16935" s="224" t="s">
        <v>2</v>
      </c>
      <c r="F16935" s="515" t="s">
        <v>18111</v>
      </c>
      <c r="G16935" s="52">
        <v>124848.737931034</v>
      </c>
      <c r="H16935" s="56">
        <v>0</v>
      </c>
      <c r="I16935" s="224" t="s">
        <v>2</v>
      </c>
    </row>
    <row r="16936" spans="1:9" x14ac:dyDescent="0.25">
      <c r="A16936" s="515">
        <v>66401</v>
      </c>
      <c r="B16936" s="515" t="s">
        <v>549</v>
      </c>
      <c r="C16936" s="52">
        <v>226955.096757391</v>
      </c>
      <c r="D16936" s="56">
        <v>0.12355641847062167</v>
      </c>
      <c r="E16936" s="224" t="s">
        <v>2</v>
      </c>
      <c r="F16936" s="515" t="s">
        <v>18112</v>
      </c>
      <c r="G16936" s="52">
        <v>188591.785220619</v>
      </c>
      <c r="H16936" s="56">
        <v>5.9350206624978953E-2</v>
      </c>
      <c r="I16936" s="224" t="s">
        <v>2</v>
      </c>
    </row>
    <row r="16937" spans="1:9" x14ac:dyDescent="0.25">
      <c r="A16937" s="515">
        <v>98938</v>
      </c>
      <c r="B16937" s="515" t="s">
        <v>948</v>
      </c>
      <c r="C16937" s="52">
        <v>313622.84116809699</v>
      </c>
      <c r="D16937" s="56">
        <v>6.5771109690045279E-2</v>
      </c>
      <c r="E16937" s="224" t="s">
        <v>2</v>
      </c>
      <c r="F16937" s="515" t="s">
        <v>18113</v>
      </c>
      <c r="G16937" s="52">
        <v>147349.417177914</v>
      </c>
      <c r="H16937" s="56">
        <v>0</v>
      </c>
      <c r="I16937" s="224" t="s">
        <v>2</v>
      </c>
    </row>
    <row r="16938" spans="1:9" x14ac:dyDescent="0.25">
      <c r="A16938" s="515">
        <v>61540</v>
      </c>
      <c r="B16938" s="515" t="s">
        <v>303</v>
      </c>
      <c r="C16938" s="52">
        <v>105935.274672304</v>
      </c>
      <c r="D16938" s="56">
        <v>8.5651995374895748E-2</v>
      </c>
      <c r="E16938" s="224" t="s">
        <v>2</v>
      </c>
      <c r="F16938" s="515" t="s">
        <v>18114</v>
      </c>
      <c r="G16938" s="52">
        <v>201404.734273009</v>
      </c>
      <c r="H16938" s="56">
        <v>8.3915477260098639E-2</v>
      </c>
      <c r="I16938" s="224" t="s">
        <v>2</v>
      </c>
    </row>
    <row r="16939" spans="1:9" x14ac:dyDescent="0.25">
      <c r="A16939" s="515">
        <v>5667</v>
      </c>
      <c r="B16939" s="515" t="s">
        <v>945</v>
      </c>
      <c r="C16939" s="52">
        <v>294795.31870713801</v>
      </c>
      <c r="D16939" s="56">
        <v>6.942884202917092E-2</v>
      </c>
      <c r="E16939" s="224" t="s">
        <v>2</v>
      </c>
      <c r="F16939" s="515" t="s">
        <v>18115</v>
      </c>
      <c r="G16939" s="52">
        <v>101852.69887774601</v>
      </c>
      <c r="H16939" s="56">
        <v>5.0741574172144574E-2</v>
      </c>
      <c r="I16939" s="224" t="s">
        <v>2</v>
      </c>
    </row>
    <row r="16940" spans="1:9" x14ac:dyDescent="0.25">
      <c r="A16940" s="515">
        <v>80927</v>
      </c>
      <c r="B16940" s="515" t="s">
        <v>701</v>
      </c>
      <c r="C16940" s="52">
        <v>515266.45083952497</v>
      </c>
      <c r="D16940" s="56">
        <v>1.8408068987203522E-3</v>
      </c>
      <c r="E16940" s="224" t="s">
        <v>2</v>
      </c>
      <c r="F16940" s="515" t="s">
        <v>18116</v>
      </c>
      <c r="G16940" s="52">
        <v>274331.26315789402</v>
      </c>
      <c r="H16940" s="56">
        <v>0</v>
      </c>
      <c r="I16940" s="224" t="s">
        <v>2</v>
      </c>
    </row>
    <row r="16941" spans="1:9" x14ac:dyDescent="0.25">
      <c r="A16941" s="515">
        <v>17981</v>
      </c>
      <c r="B16941" s="515" t="s">
        <v>994</v>
      </c>
      <c r="C16941" s="52">
        <v>69510.680983303304</v>
      </c>
      <c r="D16941" s="56">
        <v>0.16035133654077124</v>
      </c>
      <c r="E16941" s="224" t="s">
        <v>2</v>
      </c>
      <c r="F16941" s="515" t="s">
        <v>18117</v>
      </c>
      <c r="G16941" s="52">
        <v>310189.33626966499</v>
      </c>
      <c r="H16941" s="56">
        <v>6.7382702269900563E-2</v>
      </c>
      <c r="I16941" s="224" t="s">
        <v>2</v>
      </c>
    </row>
    <row r="16942" spans="1:9" x14ac:dyDescent="0.25">
      <c r="A16942" s="515">
        <v>25559</v>
      </c>
      <c r="B16942" s="515" t="s">
        <v>602</v>
      </c>
      <c r="C16942" s="52">
        <v>125139.81207981201</v>
      </c>
      <c r="D16942" s="56">
        <v>5.1037318799586603E-2</v>
      </c>
      <c r="E16942" s="224" t="s">
        <v>2</v>
      </c>
      <c r="F16942" s="515" t="s">
        <v>18118</v>
      </c>
      <c r="G16942" s="52">
        <v>544473.05851951696</v>
      </c>
      <c r="H16942" s="56">
        <v>5.3057886299974391E-2</v>
      </c>
      <c r="I16942" s="224" t="s">
        <v>2</v>
      </c>
    </row>
    <row r="16943" spans="1:9" x14ac:dyDescent="0.25">
      <c r="A16943" s="515">
        <v>40510</v>
      </c>
      <c r="B16943" s="515" t="s">
        <v>515</v>
      </c>
      <c r="C16943" s="52">
        <v>602579.64846041705</v>
      </c>
      <c r="D16943" s="56">
        <v>9.1349930157756512E-2</v>
      </c>
      <c r="E16943" s="224" t="s">
        <v>2</v>
      </c>
      <c r="F16943" s="515" t="s">
        <v>18119</v>
      </c>
      <c r="G16943" s="52">
        <v>293141.87979476497</v>
      </c>
      <c r="H16943" s="56">
        <v>4.3419460108000629E-2</v>
      </c>
      <c r="I16943" s="224" t="s">
        <v>2</v>
      </c>
    </row>
    <row r="16944" spans="1:9" x14ac:dyDescent="0.25">
      <c r="A16944" s="515">
        <v>45370</v>
      </c>
      <c r="B16944" s="515" t="s">
        <v>340</v>
      </c>
      <c r="C16944" s="52">
        <v>359414.58976310299</v>
      </c>
      <c r="D16944" s="56">
        <v>0.10220984257223398</v>
      </c>
      <c r="E16944" s="224" t="s">
        <v>2</v>
      </c>
      <c r="F16944" s="515" t="s">
        <v>18120</v>
      </c>
      <c r="G16944" s="52">
        <v>364445.38402404601</v>
      </c>
      <c r="H16944" s="56">
        <v>0.10250513878535607</v>
      </c>
      <c r="I16944" s="224" t="s">
        <v>2</v>
      </c>
    </row>
    <row r="16945" spans="1:9" x14ac:dyDescent="0.25">
      <c r="A16945" s="515">
        <v>18850</v>
      </c>
      <c r="B16945" s="515" t="s">
        <v>699</v>
      </c>
      <c r="C16945" s="52">
        <v>175195.44435755801</v>
      </c>
      <c r="D16945" s="56">
        <v>5.0929388330411177E-2</v>
      </c>
      <c r="E16945" s="224" t="s">
        <v>2</v>
      </c>
      <c r="F16945" s="515" t="s">
        <v>18121</v>
      </c>
      <c r="G16945" s="52">
        <v>736488.17985777697</v>
      </c>
      <c r="H16945" s="56">
        <v>5.8212657108880843E-2</v>
      </c>
      <c r="I16945" s="224" t="s">
        <v>2</v>
      </c>
    </row>
    <row r="16946" spans="1:9" x14ac:dyDescent="0.25">
      <c r="A16946" s="515">
        <v>35171</v>
      </c>
      <c r="B16946" s="515" t="s">
        <v>640</v>
      </c>
      <c r="C16946" s="52">
        <v>201906.06473964101</v>
      </c>
      <c r="D16946" s="56">
        <v>8.8721907799757055E-2</v>
      </c>
      <c r="E16946" s="224" t="s">
        <v>2</v>
      </c>
      <c r="F16946" s="515" t="s">
        <v>18122</v>
      </c>
      <c r="G16946" s="52">
        <v>352514.87564950797</v>
      </c>
      <c r="H16946" s="56">
        <v>5.4209052476133751E-2</v>
      </c>
      <c r="I16946" s="224" t="s">
        <v>2</v>
      </c>
    </row>
    <row r="16947" spans="1:9" x14ac:dyDescent="0.25">
      <c r="A16947" s="515">
        <v>49622</v>
      </c>
      <c r="C16947" s="52">
        <v>257571.044131984</v>
      </c>
      <c r="D16947" s="56">
        <v>7.1163184370374083E-2</v>
      </c>
      <c r="E16947" s="224" t="s">
        <v>2</v>
      </c>
      <c r="F16947" s="515" t="s">
        <v>18123</v>
      </c>
      <c r="G16947" s="52">
        <v>138862.90343802201</v>
      </c>
      <c r="H16947" s="56">
        <v>0</v>
      </c>
      <c r="I16947" s="224" t="s">
        <v>2</v>
      </c>
    </row>
    <row r="16948" spans="1:9" x14ac:dyDescent="0.25">
      <c r="A16948" s="515">
        <v>65707</v>
      </c>
      <c r="C16948" s="52">
        <v>161424.77444396401</v>
      </c>
      <c r="D16948" s="56">
        <v>0.16244796143613327</v>
      </c>
      <c r="E16948" s="224" t="s">
        <v>2</v>
      </c>
      <c r="F16948" s="515" t="s">
        <v>18124</v>
      </c>
      <c r="G16948" s="52">
        <v>189710.765926867</v>
      </c>
      <c r="H16948" s="56">
        <v>6.5541667753517482E-2</v>
      </c>
      <c r="I16948" s="224" t="s">
        <v>2</v>
      </c>
    </row>
    <row r="16949" spans="1:9" x14ac:dyDescent="0.25">
      <c r="A16949" s="515">
        <v>4351</v>
      </c>
      <c r="B16949" s="515" t="s">
        <v>848</v>
      </c>
      <c r="C16949" s="52">
        <v>345614.06946466601</v>
      </c>
      <c r="D16949" s="56">
        <v>6.1582443870921134E-2</v>
      </c>
      <c r="E16949" s="224" t="s">
        <v>2</v>
      </c>
      <c r="F16949" s="515" t="s">
        <v>18125</v>
      </c>
      <c r="G16949" s="52">
        <v>154508.598672316</v>
      </c>
      <c r="H16949" s="56">
        <v>7.9085578949370447E-2</v>
      </c>
      <c r="I16949" s="224" t="s">
        <v>2</v>
      </c>
    </row>
    <row r="16950" spans="1:9" x14ac:dyDescent="0.25">
      <c r="A16950" s="515">
        <v>16664</v>
      </c>
      <c r="C16950" s="52">
        <v>219586.08034788599</v>
      </c>
      <c r="D16950" s="56">
        <v>2.9206752975265496E-2</v>
      </c>
      <c r="E16950" s="224" t="s">
        <v>2</v>
      </c>
      <c r="F16950" s="515" t="s">
        <v>18126</v>
      </c>
      <c r="G16950" s="52">
        <v>65124.2376778994</v>
      </c>
      <c r="H16950" s="56">
        <v>-5.8904081645582862E-2</v>
      </c>
      <c r="I16950" s="224" t="s">
        <v>2</v>
      </c>
    </row>
    <row r="16951" spans="1:9" x14ac:dyDescent="0.25">
      <c r="A16951" s="515">
        <v>56630</v>
      </c>
      <c r="B16951" s="515" t="s">
        <v>690</v>
      </c>
      <c r="C16951" s="52">
        <v>160812.697195949</v>
      </c>
      <c r="D16951" s="56">
        <v>8.1127930371423476E-2</v>
      </c>
      <c r="E16951" s="224" t="s">
        <v>2</v>
      </c>
      <c r="F16951" s="515" t="s">
        <v>18127</v>
      </c>
      <c r="G16951" s="52">
        <v>238806.939614742</v>
      </c>
      <c r="H16951" s="56">
        <v>0.11265148548414283</v>
      </c>
      <c r="I16951" s="224" t="s">
        <v>2</v>
      </c>
    </row>
    <row r="16952" spans="1:9" x14ac:dyDescent="0.25">
      <c r="A16952" s="515">
        <v>3753</v>
      </c>
      <c r="B16952" s="515" t="s">
        <v>420</v>
      </c>
      <c r="C16952" s="52">
        <v>416599.08616813901</v>
      </c>
      <c r="D16952" s="56">
        <v>4.7978653848243395E-2</v>
      </c>
      <c r="E16952" s="224" t="s">
        <v>2</v>
      </c>
      <c r="F16952" s="515" t="s">
        <v>18128</v>
      </c>
      <c r="G16952" s="52">
        <v>128754.44672696599</v>
      </c>
      <c r="H16952" s="56">
        <v>0.13324817761441232</v>
      </c>
      <c r="I16952" s="224" t="s">
        <v>2</v>
      </c>
    </row>
    <row r="16953" spans="1:9" x14ac:dyDescent="0.25">
      <c r="A16953" s="515">
        <v>83876</v>
      </c>
      <c r="B16953" s="515" t="s">
        <v>992</v>
      </c>
      <c r="C16953" s="52">
        <v>697468.66180561704</v>
      </c>
      <c r="D16953" s="56">
        <v>9.1894637860969269E-2</v>
      </c>
      <c r="E16953" s="224" t="s">
        <v>2</v>
      </c>
      <c r="F16953" s="515" t="s">
        <v>18129</v>
      </c>
      <c r="G16953" s="52">
        <v>135105.61060043599</v>
      </c>
      <c r="H16953" s="56">
        <v>0</v>
      </c>
      <c r="I16953" s="224" t="s">
        <v>2</v>
      </c>
    </row>
    <row r="16954" spans="1:9" x14ac:dyDescent="0.25">
      <c r="A16954" s="515">
        <v>22952</v>
      </c>
      <c r="B16954" s="515" t="s">
        <v>728</v>
      </c>
      <c r="C16954" s="52">
        <v>279139.37616729998</v>
      </c>
      <c r="D16954" s="56">
        <v>7.7342520707725598E-2</v>
      </c>
      <c r="E16954" s="224" t="s">
        <v>2</v>
      </c>
      <c r="F16954" s="515" t="s">
        <v>18130</v>
      </c>
      <c r="G16954" s="52">
        <v>275541.82006080099</v>
      </c>
      <c r="H16954" s="56">
        <v>6.1823979013166809E-2</v>
      </c>
      <c r="I16954" s="224" t="s">
        <v>2</v>
      </c>
    </row>
    <row r="16955" spans="1:9" x14ac:dyDescent="0.25">
      <c r="A16955" s="515">
        <v>93285</v>
      </c>
      <c r="B16955" s="515" t="s">
        <v>419</v>
      </c>
      <c r="C16955" s="52">
        <v>224709.18682117999</v>
      </c>
      <c r="D16955" s="56">
        <v>6.0192073131151741E-2</v>
      </c>
      <c r="E16955" s="224" t="s">
        <v>2</v>
      </c>
      <c r="F16955" s="515" t="s">
        <v>18131</v>
      </c>
      <c r="G16955" s="52">
        <v>133613.108409187</v>
      </c>
      <c r="H16955" s="56">
        <v>0.11144314269958533</v>
      </c>
      <c r="I16955" s="224" t="s">
        <v>2</v>
      </c>
    </row>
    <row r="16956" spans="1:9" x14ac:dyDescent="0.25">
      <c r="A16956" s="515">
        <v>1337</v>
      </c>
      <c r="B16956" s="515" t="s">
        <v>575</v>
      </c>
      <c r="C16956" s="52">
        <v>317647.66182802001</v>
      </c>
      <c r="D16956" s="56">
        <v>5.0029204254311177E-2</v>
      </c>
      <c r="E16956" s="224" t="s">
        <v>2</v>
      </c>
      <c r="F16956" s="515" t="s">
        <v>18132</v>
      </c>
      <c r="G16956" s="52">
        <v>116604.003366497</v>
      </c>
      <c r="H16956" s="56">
        <v>0</v>
      </c>
      <c r="I16956" s="224" t="s">
        <v>2</v>
      </c>
    </row>
    <row r="16957" spans="1:9" x14ac:dyDescent="0.25">
      <c r="A16957" s="515">
        <v>56209</v>
      </c>
      <c r="B16957" s="515" t="s">
        <v>803</v>
      </c>
      <c r="C16957" s="52">
        <v>222239.36734721001</v>
      </c>
      <c r="D16957" s="56">
        <v>4.9665072608799682E-2</v>
      </c>
      <c r="E16957" s="224" t="s">
        <v>2</v>
      </c>
      <c r="F16957" s="515" t="s">
        <v>18133</v>
      </c>
      <c r="G16957" s="52">
        <v>58509.496909982197</v>
      </c>
      <c r="H16957" s="56">
        <v>6.7602634928738387E-2</v>
      </c>
      <c r="I16957" s="224" t="s">
        <v>2</v>
      </c>
    </row>
    <row r="16958" spans="1:9" x14ac:dyDescent="0.25">
      <c r="A16958" s="515">
        <v>70783</v>
      </c>
      <c r="B16958" s="515" t="s">
        <v>610</v>
      </c>
      <c r="C16958" s="52">
        <v>262413.07709372998</v>
      </c>
      <c r="D16958" s="56">
        <v>4.2896413752932648E-2</v>
      </c>
      <c r="E16958" s="224" t="s">
        <v>2</v>
      </c>
      <c r="F16958" s="515" t="s">
        <v>18134</v>
      </c>
      <c r="G16958" s="52">
        <v>323804.61208499601</v>
      </c>
      <c r="H16958" s="56">
        <v>-1.3918449759545662E-2</v>
      </c>
      <c r="I16958" s="224" t="s">
        <v>2</v>
      </c>
    </row>
    <row r="16959" spans="1:9" x14ac:dyDescent="0.25">
      <c r="A16959" s="515">
        <v>62849</v>
      </c>
      <c r="B16959" s="515" t="s">
        <v>1211</v>
      </c>
      <c r="C16959" s="52">
        <v>130769.646247508</v>
      </c>
      <c r="D16959" s="56">
        <v>9.1380115101751883E-2</v>
      </c>
      <c r="E16959" s="224" t="s">
        <v>2</v>
      </c>
      <c r="F16959" s="515" t="s">
        <v>18135</v>
      </c>
      <c r="G16959" s="52">
        <v>83162.920195147904</v>
      </c>
      <c r="H16959" s="56">
        <v>-3.6248083092544491E-3</v>
      </c>
      <c r="I16959" s="224" t="s">
        <v>2</v>
      </c>
    </row>
    <row r="16960" spans="1:9" x14ac:dyDescent="0.25">
      <c r="A16960" s="515">
        <v>47952</v>
      </c>
      <c r="C16960" s="52">
        <v>139531.56333848901</v>
      </c>
      <c r="D16960" s="56">
        <v>7.3443597288572818E-2</v>
      </c>
      <c r="E16960" s="224" t="s">
        <v>2</v>
      </c>
      <c r="F16960" s="515" t="s">
        <v>18136</v>
      </c>
      <c r="G16960" s="52">
        <v>336128.73132352502</v>
      </c>
      <c r="H16960" s="56">
        <v>0.11039780402029423</v>
      </c>
      <c r="I16960" s="224" t="s">
        <v>2</v>
      </c>
    </row>
    <row r="16961" spans="1:9" x14ac:dyDescent="0.25">
      <c r="A16961" s="515">
        <v>45303</v>
      </c>
      <c r="B16961" s="515" t="s">
        <v>316</v>
      </c>
      <c r="C16961" s="52">
        <v>154525.441698996</v>
      </c>
      <c r="D16961" s="56">
        <v>6.8124892911768903E-2</v>
      </c>
      <c r="E16961" s="224" t="s">
        <v>2</v>
      </c>
      <c r="F16961" s="515" t="s">
        <v>18137</v>
      </c>
      <c r="G16961" s="52">
        <v>113558.66672330099</v>
      </c>
      <c r="H16961" s="56">
        <v>7.9833500356748688E-2</v>
      </c>
      <c r="I16961" s="224" t="s">
        <v>2</v>
      </c>
    </row>
    <row r="16962" spans="1:9" x14ac:dyDescent="0.25">
      <c r="A16962" s="515">
        <v>40117</v>
      </c>
      <c r="B16962" s="515" t="s">
        <v>671</v>
      </c>
      <c r="C16962" s="52">
        <v>226990.15011727199</v>
      </c>
      <c r="D16962" s="56">
        <v>5.9945345612825378E-2</v>
      </c>
      <c r="E16962" s="224" t="s">
        <v>2</v>
      </c>
      <c r="F16962" s="515" t="s">
        <v>18138</v>
      </c>
      <c r="G16962" s="52">
        <v>74966.708690981104</v>
      </c>
      <c r="H16962" s="56">
        <v>9.4534833640345137E-2</v>
      </c>
      <c r="I16962" s="224" t="s">
        <v>2</v>
      </c>
    </row>
    <row r="16963" spans="1:9" x14ac:dyDescent="0.25">
      <c r="A16963" s="515">
        <v>13783</v>
      </c>
      <c r="C16963" s="52">
        <v>170413.848381527</v>
      </c>
      <c r="D16963" s="56">
        <v>0.13354397370334836</v>
      </c>
      <c r="E16963" s="224" t="s">
        <v>2</v>
      </c>
      <c r="F16963" s="515" t="s">
        <v>18139</v>
      </c>
      <c r="G16963" s="52">
        <v>162929.89614762101</v>
      </c>
      <c r="H16963" s="56">
        <v>0.13017471506276218</v>
      </c>
      <c r="I16963" s="224" t="s">
        <v>2</v>
      </c>
    </row>
    <row r="16964" spans="1:9" x14ac:dyDescent="0.25">
      <c r="A16964" s="515">
        <v>12149</v>
      </c>
      <c r="B16964" s="515" t="s">
        <v>609</v>
      </c>
      <c r="C16964" s="52">
        <v>192831.89778771499</v>
      </c>
      <c r="D16964" s="56">
        <v>9.5427337325213912E-2</v>
      </c>
      <c r="E16964" s="224" t="s">
        <v>2</v>
      </c>
      <c r="F16964" s="515" t="s">
        <v>18140</v>
      </c>
      <c r="G16964" s="52">
        <v>354548.35999906599</v>
      </c>
      <c r="H16964" s="56">
        <v>6.7981243074856396E-2</v>
      </c>
      <c r="I16964" s="224" t="s">
        <v>2</v>
      </c>
    </row>
    <row r="16965" spans="1:9" x14ac:dyDescent="0.25">
      <c r="A16965" s="515">
        <v>45882</v>
      </c>
      <c r="B16965" s="515" t="s">
        <v>432</v>
      </c>
      <c r="C16965" s="52">
        <v>170204.89706423599</v>
      </c>
      <c r="D16965" s="56">
        <v>7.1887294623508291E-2</v>
      </c>
      <c r="E16965" s="224" t="s">
        <v>2</v>
      </c>
      <c r="F16965" s="515" t="s">
        <v>18141</v>
      </c>
      <c r="G16965" s="52">
        <v>96053.692674607795</v>
      </c>
      <c r="H16965" s="56">
        <v>0.27689426668873773</v>
      </c>
      <c r="I16965" s="224" t="s">
        <v>2</v>
      </c>
    </row>
    <row r="16966" spans="1:9" x14ac:dyDescent="0.25">
      <c r="A16966" s="515">
        <v>24870</v>
      </c>
      <c r="C16966" s="52">
        <v>49315.224566311597</v>
      </c>
      <c r="D16966" s="56">
        <v>-1.7306913413857324E-2</v>
      </c>
      <c r="E16966" s="224" t="s">
        <v>2</v>
      </c>
      <c r="F16966" s="515" t="s">
        <v>18142</v>
      </c>
      <c r="G16966" s="52">
        <v>811481.69851336698</v>
      </c>
      <c r="H16966" s="56">
        <v>8.9978274485762746E-2</v>
      </c>
      <c r="I16966" s="224" t="s">
        <v>2</v>
      </c>
    </row>
    <row r="16967" spans="1:9" x14ac:dyDescent="0.25">
      <c r="A16967" s="515">
        <v>65243</v>
      </c>
      <c r="B16967" s="515" t="s">
        <v>785</v>
      </c>
      <c r="C16967" s="52">
        <v>253652.85006898499</v>
      </c>
      <c r="D16967" s="56">
        <v>8.359946522164069E-2</v>
      </c>
      <c r="E16967" s="224" t="s">
        <v>2</v>
      </c>
      <c r="F16967" s="515" t="s">
        <v>18143</v>
      </c>
      <c r="G16967" s="52">
        <v>77328.112967033507</v>
      </c>
      <c r="H16967" s="56">
        <v>2.8442327988334095E-2</v>
      </c>
      <c r="I16967" s="224" t="s">
        <v>2</v>
      </c>
    </row>
    <row r="16968" spans="1:9" x14ac:dyDescent="0.25">
      <c r="A16968" s="515">
        <v>49092</v>
      </c>
      <c r="B16968" s="515" t="s">
        <v>1062</v>
      </c>
      <c r="C16968" s="52">
        <v>144038.647734553</v>
      </c>
      <c r="D16968" s="56">
        <v>1.1616198573802593E-2</v>
      </c>
      <c r="E16968" s="224" t="s">
        <v>2</v>
      </c>
      <c r="F16968" s="515" t="s">
        <v>18144</v>
      </c>
      <c r="G16968" s="52">
        <v>230162.23011328699</v>
      </c>
      <c r="H16968" s="56">
        <v>0.1593506444867496</v>
      </c>
      <c r="I16968" s="224" t="s">
        <v>2</v>
      </c>
    </row>
    <row r="16969" spans="1:9" x14ac:dyDescent="0.25">
      <c r="A16969" s="515">
        <v>33514</v>
      </c>
      <c r="B16969" s="515" t="s">
        <v>558</v>
      </c>
      <c r="C16969" s="52">
        <v>274254.178792099</v>
      </c>
      <c r="D16969" s="56">
        <v>0.12204522334415685</v>
      </c>
      <c r="E16969" s="224" t="s">
        <v>2</v>
      </c>
      <c r="F16969" s="515" t="s">
        <v>18145</v>
      </c>
      <c r="G16969" s="52">
        <v>139698.85455891801</v>
      </c>
      <c r="H16969" s="56">
        <v>0</v>
      </c>
      <c r="I16969" s="224" t="s">
        <v>2</v>
      </c>
    </row>
    <row r="16970" spans="1:9" x14ac:dyDescent="0.25">
      <c r="A16970" s="515">
        <v>79084</v>
      </c>
      <c r="C16970" s="52">
        <v>120070.99235088</v>
      </c>
      <c r="D16970" s="56">
        <v>0</v>
      </c>
      <c r="E16970" s="224" t="s">
        <v>2</v>
      </c>
      <c r="F16970" s="515" t="s">
        <v>18146</v>
      </c>
      <c r="G16970" s="52">
        <v>76650.491918363201</v>
      </c>
      <c r="H16970" s="56">
        <v>0.12478476862781705</v>
      </c>
      <c r="I16970" s="224" t="s">
        <v>2</v>
      </c>
    </row>
    <row r="16971" spans="1:9" x14ac:dyDescent="0.25">
      <c r="A16971" s="515">
        <v>3902</v>
      </c>
      <c r="B16971" s="515" t="s">
        <v>570</v>
      </c>
      <c r="C16971" s="52">
        <v>635828.176370439</v>
      </c>
      <c r="D16971" s="56">
        <v>9.8537931445737567E-2</v>
      </c>
      <c r="E16971" s="224" t="s">
        <v>2</v>
      </c>
      <c r="F16971" s="515" t="s">
        <v>18147</v>
      </c>
      <c r="G16971" s="52">
        <v>149144.89600196201</v>
      </c>
      <c r="H16971" s="56">
        <v>0.12492472666176563</v>
      </c>
      <c r="I16971" s="224" t="s">
        <v>2</v>
      </c>
    </row>
    <row r="16972" spans="1:9" x14ac:dyDescent="0.25">
      <c r="A16972" s="515">
        <v>5673</v>
      </c>
      <c r="B16972" s="515" t="s">
        <v>945</v>
      </c>
      <c r="C16972" s="52">
        <v>467445.13463708397</v>
      </c>
      <c r="D16972" s="56">
        <v>0.10368855106294105</v>
      </c>
      <c r="E16972" s="224" t="s">
        <v>2</v>
      </c>
      <c r="F16972" s="515" t="s">
        <v>18148</v>
      </c>
      <c r="G16972" s="52">
        <v>117396.64924594401</v>
      </c>
      <c r="H16972" s="56">
        <v>3.2547892707289153E-2</v>
      </c>
      <c r="I16972" s="224" t="s">
        <v>2</v>
      </c>
    </row>
    <row r="16973" spans="1:9" x14ac:dyDescent="0.25">
      <c r="A16973" s="515">
        <v>86441</v>
      </c>
      <c r="B16973" s="515" t="s">
        <v>453</v>
      </c>
      <c r="C16973" s="52">
        <v>125798.702020525</v>
      </c>
      <c r="D16973" s="56">
        <v>6.7176318809527125E-2</v>
      </c>
      <c r="E16973" s="224" t="s">
        <v>2</v>
      </c>
      <c r="F16973" s="515" t="s">
        <v>18149</v>
      </c>
      <c r="G16973" s="52">
        <v>70015.018065771699</v>
      </c>
      <c r="H16973" s="56">
        <v>0</v>
      </c>
      <c r="I16973" s="224" t="s">
        <v>2</v>
      </c>
    </row>
    <row r="16974" spans="1:9" x14ac:dyDescent="0.25">
      <c r="A16974" s="515">
        <v>17329</v>
      </c>
      <c r="B16974" s="515" t="s">
        <v>509</v>
      </c>
      <c r="C16974" s="52">
        <v>365921.54265759297</v>
      </c>
      <c r="D16974" s="56">
        <v>0.11471258879074973</v>
      </c>
      <c r="E16974" s="224" t="s">
        <v>2</v>
      </c>
      <c r="F16974" s="515" t="s">
        <v>18150</v>
      </c>
      <c r="G16974" s="52">
        <v>329913.57281124103</v>
      </c>
      <c r="H16974" s="56">
        <v>9.2105030745281757E-2</v>
      </c>
      <c r="I16974" s="224" t="s">
        <v>2</v>
      </c>
    </row>
    <row r="16975" spans="1:9" x14ac:dyDescent="0.25">
      <c r="A16975" s="515">
        <v>72102</v>
      </c>
      <c r="B16975" s="515" t="s">
        <v>414</v>
      </c>
      <c r="C16975" s="52">
        <v>130724.747659902</v>
      </c>
      <c r="D16975" s="56">
        <v>5.8811233507183487E-2</v>
      </c>
      <c r="E16975" s="224" t="s">
        <v>2</v>
      </c>
      <c r="F16975" s="515" t="s">
        <v>18151</v>
      </c>
      <c r="G16975" s="52">
        <v>182408.09092311701</v>
      </c>
      <c r="H16975" s="56">
        <v>2.8196213625335993E-2</v>
      </c>
      <c r="I16975" s="224" t="s">
        <v>2</v>
      </c>
    </row>
    <row r="16976" spans="1:9" x14ac:dyDescent="0.25">
      <c r="A16976" s="515">
        <v>58341</v>
      </c>
      <c r="C16976" s="52">
        <v>103084.810400965</v>
      </c>
      <c r="D16976" s="56">
        <v>4.1133046528553444E-2</v>
      </c>
      <c r="E16976" s="224" t="s">
        <v>2</v>
      </c>
      <c r="F16976" s="515" t="s">
        <v>18152</v>
      </c>
      <c r="G16976" s="52">
        <v>86272.046245933103</v>
      </c>
      <c r="H16976" s="56">
        <v>0.16307983125858652</v>
      </c>
      <c r="I16976" s="224" t="s">
        <v>2</v>
      </c>
    </row>
    <row r="16977" spans="1:9" x14ac:dyDescent="0.25">
      <c r="A16977" s="515">
        <v>79095</v>
      </c>
      <c r="C16977" s="52">
        <v>77380.072926153298</v>
      </c>
      <c r="D16977" s="56">
        <v>-6.7372692103038262E-3</v>
      </c>
      <c r="E16977" s="224" t="s">
        <v>2</v>
      </c>
      <c r="F16977" s="515" t="s">
        <v>18153</v>
      </c>
      <c r="G16977" s="52">
        <v>261698.95252772199</v>
      </c>
      <c r="H16977" s="56">
        <v>4.1372522261235278E-2</v>
      </c>
      <c r="I16977" s="224" t="s">
        <v>2</v>
      </c>
    </row>
    <row r="16978" spans="1:9" x14ac:dyDescent="0.25">
      <c r="A16978" s="515">
        <v>14806</v>
      </c>
      <c r="C16978" s="52">
        <v>99629.927650729005</v>
      </c>
      <c r="D16978" s="56">
        <v>0.1181730113900866</v>
      </c>
      <c r="E16978" s="224" t="s">
        <v>2</v>
      </c>
      <c r="F16978" s="515" t="s">
        <v>18154</v>
      </c>
      <c r="G16978" s="52">
        <v>432944.16485155601</v>
      </c>
      <c r="H16978" s="56">
        <v>-3.7036235935504736E-3</v>
      </c>
      <c r="I16978" s="224" t="s">
        <v>2</v>
      </c>
    </row>
    <row r="16979" spans="1:9" x14ac:dyDescent="0.25">
      <c r="A16979" s="515">
        <v>5048</v>
      </c>
      <c r="B16979" s="515" t="s">
        <v>420</v>
      </c>
      <c r="C16979" s="52">
        <v>409256.39783015201</v>
      </c>
      <c r="D16979" s="56">
        <v>0.10744788934142302</v>
      </c>
      <c r="E16979" s="224" t="s">
        <v>2</v>
      </c>
      <c r="F16979" s="515" t="s">
        <v>18155</v>
      </c>
      <c r="G16979" s="52">
        <v>512987.10270774103</v>
      </c>
      <c r="H16979" s="56">
        <v>0.14249332545622251</v>
      </c>
      <c r="I16979" s="224" t="s">
        <v>2</v>
      </c>
    </row>
    <row r="16980" spans="1:9" x14ac:dyDescent="0.25">
      <c r="A16980" s="515">
        <v>44048</v>
      </c>
      <c r="B16980" s="515" t="s">
        <v>592</v>
      </c>
      <c r="C16980" s="52">
        <v>179523.878638831</v>
      </c>
      <c r="D16980" s="56">
        <v>8.2495682242261434E-2</v>
      </c>
      <c r="E16980" s="224" t="s">
        <v>2</v>
      </c>
      <c r="F16980" s="515" t="s">
        <v>18156</v>
      </c>
      <c r="G16980" s="52">
        <v>125257.828089385</v>
      </c>
      <c r="H16980" s="56">
        <v>0</v>
      </c>
      <c r="I16980" s="224" t="s">
        <v>2</v>
      </c>
    </row>
    <row r="16981" spans="1:9" x14ac:dyDescent="0.25">
      <c r="A16981" s="515">
        <v>38015</v>
      </c>
      <c r="B16981" s="515" t="s">
        <v>951</v>
      </c>
      <c r="C16981" s="52">
        <v>192283.525141575</v>
      </c>
      <c r="D16981" s="56">
        <v>7.7270186916420791E-2</v>
      </c>
      <c r="E16981" s="224" t="s">
        <v>2</v>
      </c>
      <c r="F16981" s="515" t="s">
        <v>18157</v>
      </c>
      <c r="G16981" s="52">
        <v>84662.077294685994</v>
      </c>
      <c r="H16981" s="56">
        <v>0</v>
      </c>
      <c r="I16981" s="224" t="s">
        <v>2</v>
      </c>
    </row>
    <row r="16982" spans="1:9" x14ac:dyDescent="0.25">
      <c r="A16982" s="515">
        <v>31078</v>
      </c>
      <c r="B16982" s="515" t="s">
        <v>995</v>
      </c>
      <c r="C16982" s="52">
        <v>103515.423337559</v>
      </c>
      <c r="D16982" s="56">
        <v>0.19180492001505137</v>
      </c>
      <c r="E16982" s="224" t="s">
        <v>2</v>
      </c>
      <c r="F16982" s="515" t="s">
        <v>18158</v>
      </c>
      <c r="G16982" s="52">
        <v>471525.68632436701</v>
      </c>
      <c r="H16982" s="56">
        <v>0.12420069692870159</v>
      </c>
      <c r="I16982" s="224" t="s">
        <v>2</v>
      </c>
    </row>
    <row r="16983" spans="1:9" x14ac:dyDescent="0.25">
      <c r="A16983" s="515">
        <v>76511</v>
      </c>
      <c r="B16983" s="515" t="s">
        <v>859</v>
      </c>
      <c r="C16983" s="52">
        <v>218256.854038511</v>
      </c>
      <c r="D16983" s="56">
        <v>6.7379601559776375E-2</v>
      </c>
      <c r="E16983" s="224" t="s">
        <v>2</v>
      </c>
      <c r="F16983" s="515" t="s">
        <v>18159</v>
      </c>
      <c r="G16983" s="52">
        <v>163623.849855604</v>
      </c>
      <c r="H16983" s="56">
        <v>0.11921296757768458</v>
      </c>
      <c r="I16983" s="224" t="s">
        <v>2</v>
      </c>
    </row>
    <row r="16984" spans="1:9" x14ac:dyDescent="0.25">
      <c r="A16984" s="515">
        <v>55979</v>
      </c>
      <c r="B16984" s="515" t="s">
        <v>875</v>
      </c>
      <c r="C16984" s="52">
        <v>335733.919464765</v>
      </c>
      <c r="D16984" s="56">
        <v>0.20276177138058468</v>
      </c>
      <c r="E16984" s="224" t="s">
        <v>2</v>
      </c>
      <c r="F16984" s="515" t="s">
        <v>18160</v>
      </c>
      <c r="G16984" s="52">
        <v>338997.26640443201</v>
      </c>
      <c r="H16984" s="56">
        <v>4.3910095445855682E-2</v>
      </c>
      <c r="I16984" s="224" t="s">
        <v>2</v>
      </c>
    </row>
    <row r="16985" spans="1:9" x14ac:dyDescent="0.25">
      <c r="A16985" s="515">
        <v>54629</v>
      </c>
      <c r="C16985" s="52">
        <v>214399.63222160001</v>
      </c>
      <c r="D16985" s="56">
        <v>4.7686917181761185E-2</v>
      </c>
      <c r="E16985" s="224" t="s">
        <v>2</v>
      </c>
      <c r="F16985" s="515" t="s">
        <v>18161</v>
      </c>
      <c r="G16985" s="52">
        <v>167835.532116797</v>
      </c>
      <c r="H16985" s="56">
        <v>5.7604636056345117E-2</v>
      </c>
      <c r="I16985" s="224" t="s">
        <v>2</v>
      </c>
    </row>
    <row r="16986" spans="1:9" x14ac:dyDescent="0.25">
      <c r="A16986" s="515">
        <v>66612</v>
      </c>
      <c r="B16986" s="515" t="s">
        <v>549</v>
      </c>
      <c r="C16986" s="52">
        <v>63770.666628346298</v>
      </c>
      <c r="D16986" s="56">
        <v>0.23177127248872775</v>
      </c>
      <c r="E16986" s="224" t="s">
        <v>2</v>
      </c>
      <c r="F16986" s="515" t="s">
        <v>18162</v>
      </c>
      <c r="G16986" s="52">
        <v>147739.59504287399</v>
      </c>
      <c r="H16986" s="56">
        <v>7.6523314294770217E-2</v>
      </c>
      <c r="I16986" s="224" t="s">
        <v>2</v>
      </c>
    </row>
    <row r="16987" spans="1:9" x14ac:dyDescent="0.25">
      <c r="A16987" s="515">
        <v>67003</v>
      </c>
      <c r="C16987" s="52">
        <v>72238.385397955703</v>
      </c>
      <c r="D16987" s="56">
        <v>0.13693728120715784</v>
      </c>
      <c r="E16987" s="224" t="s">
        <v>2</v>
      </c>
      <c r="F16987" s="515" t="s">
        <v>18163</v>
      </c>
      <c r="G16987" s="52">
        <v>149044.267457679</v>
      </c>
      <c r="H16987" s="56">
        <v>0</v>
      </c>
      <c r="I16987" s="224" t="s">
        <v>2</v>
      </c>
    </row>
    <row r="16988" spans="1:9" x14ac:dyDescent="0.25">
      <c r="A16988" s="515">
        <v>62417</v>
      </c>
      <c r="C16988" s="52">
        <v>65577.596134713705</v>
      </c>
      <c r="D16988" s="56">
        <v>-0.14565769354373168</v>
      </c>
      <c r="E16988" s="224" t="s">
        <v>2</v>
      </c>
      <c r="F16988" s="515" t="s">
        <v>18164</v>
      </c>
      <c r="G16988" s="52">
        <v>54964.462164322598</v>
      </c>
      <c r="H16988" s="56">
        <v>0</v>
      </c>
      <c r="I16988" s="224" t="s">
        <v>2</v>
      </c>
    </row>
    <row r="16989" spans="1:9" x14ac:dyDescent="0.25">
      <c r="A16989" s="515">
        <v>71371</v>
      </c>
      <c r="C16989" s="52">
        <v>127446.588191805</v>
      </c>
      <c r="D16989" s="56">
        <v>0</v>
      </c>
      <c r="E16989" s="224" t="s">
        <v>2</v>
      </c>
      <c r="F16989" s="515" t="s">
        <v>18165</v>
      </c>
      <c r="G16989" s="52">
        <v>127473.09460090801</v>
      </c>
      <c r="H16989" s="56">
        <v>0.20298531093175198</v>
      </c>
      <c r="I16989" s="224" t="s">
        <v>2</v>
      </c>
    </row>
    <row r="16990" spans="1:9" x14ac:dyDescent="0.25">
      <c r="A16990" s="515">
        <v>50060</v>
      </c>
      <c r="C16990" s="52">
        <v>126502.13620750701</v>
      </c>
      <c r="D16990" s="56">
        <v>0.13638333143315376</v>
      </c>
      <c r="E16990" s="224" t="s">
        <v>2</v>
      </c>
      <c r="F16990" s="515" t="s">
        <v>18166</v>
      </c>
      <c r="G16990" s="52">
        <v>306317.64534392202</v>
      </c>
      <c r="H16990" s="56">
        <v>2.2586895754649203E-2</v>
      </c>
      <c r="I16990" s="224" t="s">
        <v>2</v>
      </c>
    </row>
    <row r="16991" spans="1:9" x14ac:dyDescent="0.25">
      <c r="A16991" s="515">
        <v>53015</v>
      </c>
      <c r="B16991" s="515" t="s">
        <v>446</v>
      </c>
      <c r="C16991" s="52">
        <v>239631.087923263</v>
      </c>
      <c r="D16991" s="56">
        <v>5.4672767444894334E-2</v>
      </c>
      <c r="E16991" s="224" t="s">
        <v>2</v>
      </c>
      <c r="F16991" s="515" t="s">
        <v>18167</v>
      </c>
      <c r="G16991" s="52">
        <v>352189.036087532</v>
      </c>
      <c r="H16991" s="56">
        <v>5.8330911944145879E-2</v>
      </c>
      <c r="I16991" s="224" t="s">
        <v>2</v>
      </c>
    </row>
    <row r="16992" spans="1:9" x14ac:dyDescent="0.25">
      <c r="A16992" s="515">
        <v>48659</v>
      </c>
      <c r="C16992" s="52">
        <v>120471.378304328</v>
      </c>
      <c r="D16992" s="56">
        <v>5.048461141355598E-2</v>
      </c>
      <c r="E16992" s="224" t="s">
        <v>2</v>
      </c>
      <c r="F16992" s="515" t="s">
        <v>18168</v>
      </c>
      <c r="G16992" s="52">
        <v>117543.912391098</v>
      </c>
      <c r="H16992" s="56">
        <v>5.8467080251186909E-2</v>
      </c>
      <c r="I16992" s="224" t="s">
        <v>2</v>
      </c>
    </row>
    <row r="16993" spans="1:9" x14ac:dyDescent="0.25">
      <c r="A16993" s="515">
        <v>22733</v>
      </c>
      <c r="B16993" s="515" t="s">
        <v>321</v>
      </c>
      <c r="C16993" s="52">
        <v>313544.83632051502</v>
      </c>
      <c r="D16993" s="56">
        <v>9.4109196956989827E-2</v>
      </c>
      <c r="E16993" s="224" t="s">
        <v>2</v>
      </c>
      <c r="F16993" s="515" t="s">
        <v>18169</v>
      </c>
      <c r="G16993" s="52">
        <v>305964.11227179802</v>
      </c>
      <c r="H16993" s="56">
        <v>0.10649578665994233</v>
      </c>
      <c r="I16993" s="224" t="s">
        <v>2</v>
      </c>
    </row>
    <row r="16994" spans="1:9" x14ac:dyDescent="0.25">
      <c r="A16994" s="515">
        <v>56342</v>
      </c>
      <c r="C16994" s="52">
        <v>259191.76631933</v>
      </c>
      <c r="D16994" s="56">
        <v>8.0480941449410232E-2</v>
      </c>
      <c r="E16994" s="224" t="s">
        <v>2</v>
      </c>
      <c r="F16994" s="515" t="s">
        <v>18170</v>
      </c>
      <c r="G16994" s="52">
        <v>902709.249057126</v>
      </c>
      <c r="H16994" s="56">
        <v>-7.2932457525369326E-4</v>
      </c>
      <c r="I16994" s="224" t="s">
        <v>2</v>
      </c>
    </row>
    <row r="16995" spans="1:9" x14ac:dyDescent="0.25">
      <c r="A16995" s="515">
        <v>22967</v>
      </c>
      <c r="B16995" s="515" t="s">
        <v>630</v>
      </c>
      <c r="C16995" s="52">
        <v>373297.49703784601</v>
      </c>
      <c r="D16995" s="56">
        <v>0.14470277678464727</v>
      </c>
      <c r="E16995" s="224" t="s">
        <v>2</v>
      </c>
      <c r="F16995" s="515" t="s">
        <v>18171</v>
      </c>
      <c r="G16995" s="52">
        <v>138896.24146540699</v>
      </c>
      <c r="H16995" s="56">
        <v>0.1323264791095205</v>
      </c>
      <c r="I16995" s="224" t="s">
        <v>2</v>
      </c>
    </row>
    <row r="16996" spans="1:9" x14ac:dyDescent="0.25">
      <c r="A16996" s="515">
        <v>49339</v>
      </c>
      <c r="B16996" s="515" t="s">
        <v>631</v>
      </c>
      <c r="C16996" s="52">
        <v>241489.60471069999</v>
      </c>
      <c r="D16996" s="56">
        <v>2.8175980431230502E-2</v>
      </c>
      <c r="E16996" s="224" t="s">
        <v>2</v>
      </c>
      <c r="F16996" s="515" t="s">
        <v>18172</v>
      </c>
      <c r="G16996" s="52">
        <v>111084.87535582</v>
      </c>
      <c r="H16996" s="56">
        <v>0</v>
      </c>
      <c r="I16996" s="224" t="s">
        <v>2</v>
      </c>
    </row>
    <row r="16997" spans="1:9" x14ac:dyDescent="0.25">
      <c r="A16997" s="515">
        <v>98261</v>
      </c>
      <c r="C16997" s="52">
        <v>810885.59311725199</v>
      </c>
      <c r="D16997" s="56">
        <v>4.3787907620883963E-2</v>
      </c>
      <c r="E16997" s="224" t="s">
        <v>2</v>
      </c>
      <c r="F16997" s="515" t="s">
        <v>18173</v>
      </c>
      <c r="G16997" s="52">
        <v>295001.21656672098</v>
      </c>
      <c r="H16997" s="56">
        <v>8.7905467705779589E-2</v>
      </c>
      <c r="I16997" s="224" t="s">
        <v>2</v>
      </c>
    </row>
    <row r="16998" spans="1:9" x14ac:dyDescent="0.25">
      <c r="A16998" s="515">
        <v>12413</v>
      </c>
      <c r="C16998" s="52">
        <v>244764.28442806599</v>
      </c>
      <c r="D16998" s="56">
        <v>0.11043062789498832</v>
      </c>
      <c r="E16998" s="224" t="s">
        <v>2</v>
      </c>
      <c r="F16998" s="515" t="s">
        <v>18174</v>
      </c>
      <c r="G16998" s="52">
        <v>671829.59172587004</v>
      </c>
      <c r="H16998" s="56">
        <v>2.6487152874665586E-2</v>
      </c>
      <c r="I16998" s="224" t="s">
        <v>2</v>
      </c>
    </row>
    <row r="16999" spans="1:9" x14ac:dyDescent="0.25">
      <c r="A16999" s="515">
        <v>88337</v>
      </c>
      <c r="B16999" s="515" t="s">
        <v>476</v>
      </c>
      <c r="C16999" s="52">
        <v>237307.73969789999</v>
      </c>
      <c r="D16999" s="56">
        <v>0.10920987212064148</v>
      </c>
      <c r="E16999" s="224" t="s">
        <v>2</v>
      </c>
      <c r="F16999" s="515" t="s">
        <v>18175</v>
      </c>
      <c r="G16999" s="52">
        <v>572399.79488598905</v>
      </c>
      <c r="H16999" s="56">
        <v>1.910865329033145E-3</v>
      </c>
      <c r="I16999" s="224" t="s">
        <v>2</v>
      </c>
    </row>
    <row r="17000" spans="1:9" x14ac:dyDescent="0.25">
      <c r="A17000" s="515">
        <v>83352</v>
      </c>
      <c r="C17000" s="52">
        <v>266591.42528051301</v>
      </c>
      <c r="D17000" s="56">
        <v>9.2321770078114415E-2</v>
      </c>
      <c r="E17000" s="224" t="s">
        <v>2</v>
      </c>
      <c r="F17000" s="515" t="s">
        <v>18176</v>
      </c>
      <c r="G17000" s="52">
        <v>161597.30207292299</v>
      </c>
      <c r="H17000" s="56">
        <v>-2.562344124718699E-2</v>
      </c>
      <c r="I17000" s="224" t="s">
        <v>2</v>
      </c>
    </row>
    <row r="17001" spans="1:9" x14ac:dyDescent="0.25">
      <c r="A17001" s="515">
        <v>84631</v>
      </c>
      <c r="C17001" s="52">
        <v>292955.12337741198</v>
      </c>
      <c r="D17001" s="56">
        <v>5.9764586681654151E-2</v>
      </c>
      <c r="E17001" s="224" t="s">
        <v>2</v>
      </c>
      <c r="F17001" s="515" t="s">
        <v>18177</v>
      </c>
      <c r="G17001" s="52">
        <v>75973.923394804893</v>
      </c>
      <c r="H17001" s="56">
        <v>2.315718767608901E-2</v>
      </c>
      <c r="I17001" s="224" t="s">
        <v>2</v>
      </c>
    </row>
    <row r="17002" spans="1:9" x14ac:dyDescent="0.25">
      <c r="A17002" s="515">
        <v>24248</v>
      </c>
      <c r="C17002" s="52">
        <v>100419.054059213</v>
      </c>
      <c r="D17002" s="56">
        <v>1.1478538663488119E-2</v>
      </c>
      <c r="E17002" s="224" t="s">
        <v>2</v>
      </c>
      <c r="F17002" s="515" t="s">
        <v>18178</v>
      </c>
      <c r="G17002" s="52">
        <v>142162.55837645</v>
      </c>
      <c r="H17002" s="56">
        <v>9.8971775631120973E-2</v>
      </c>
      <c r="I17002" s="224" t="s">
        <v>2</v>
      </c>
    </row>
    <row r="17003" spans="1:9" x14ac:dyDescent="0.25">
      <c r="A17003" s="515">
        <v>48835</v>
      </c>
      <c r="B17003" s="515" t="s">
        <v>528</v>
      </c>
      <c r="C17003" s="52">
        <v>236786.11789275901</v>
      </c>
      <c r="D17003" s="56">
        <v>0.10543513507782663</v>
      </c>
      <c r="E17003" s="224" t="s">
        <v>2</v>
      </c>
      <c r="F17003" s="515" t="s">
        <v>18179</v>
      </c>
      <c r="G17003" s="52">
        <v>499951.052493494</v>
      </c>
      <c r="H17003" s="56">
        <v>8.2174287537332955E-2</v>
      </c>
      <c r="I17003" s="224" t="s">
        <v>2</v>
      </c>
    </row>
    <row r="17004" spans="1:9" x14ac:dyDescent="0.25">
      <c r="A17004" s="515">
        <v>73048</v>
      </c>
      <c r="C17004" s="52">
        <v>116191.036976977</v>
      </c>
      <c r="D17004" s="56">
        <v>-2.8621410549462961E-2</v>
      </c>
      <c r="E17004" s="224" t="s">
        <v>2</v>
      </c>
      <c r="F17004" s="515" t="s">
        <v>18180</v>
      </c>
      <c r="G17004" s="52">
        <v>184725.745325383</v>
      </c>
      <c r="H17004" s="56">
        <v>0.13600932294213278</v>
      </c>
      <c r="I17004" s="224" t="s">
        <v>2</v>
      </c>
    </row>
    <row r="17005" spans="1:9" x14ac:dyDescent="0.25">
      <c r="A17005" s="515">
        <v>92662</v>
      </c>
      <c r="B17005" s="515" t="s">
        <v>375</v>
      </c>
      <c r="C17005" s="52">
        <v>3536887.65376999</v>
      </c>
      <c r="D17005" s="56">
        <v>5.0539835812944106E-2</v>
      </c>
      <c r="E17005" s="224" t="s">
        <v>2</v>
      </c>
      <c r="F17005" s="515" t="s">
        <v>18181</v>
      </c>
      <c r="G17005" s="52">
        <v>1213227.1220116301</v>
      </c>
      <c r="H17005" s="56">
        <v>0.12641877075779492</v>
      </c>
      <c r="I17005" s="224" t="s">
        <v>2</v>
      </c>
    </row>
    <row r="17006" spans="1:9" x14ac:dyDescent="0.25">
      <c r="A17006" s="515">
        <v>65786</v>
      </c>
      <c r="C17006" s="52">
        <v>160192.261393508</v>
      </c>
      <c r="D17006" s="56">
        <v>-6.3711265698773833E-2</v>
      </c>
      <c r="E17006" s="224" t="s">
        <v>2</v>
      </c>
      <c r="F17006" s="515" t="s">
        <v>18182</v>
      </c>
      <c r="G17006" s="52">
        <v>269120.92650940601</v>
      </c>
      <c r="H17006" s="56">
        <v>6.1652062748678002E-2</v>
      </c>
      <c r="I17006" s="224" t="s">
        <v>2</v>
      </c>
    </row>
    <row r="17007" spans="1:9" x14ac:dyDescent="0.25">
      <c r="A17007" s="515">
        <v>66105</v>
      </c>
      <c r="B17007" s="515" t="s">
        <v>455</v>
      </c>
      <c r="C17007" s="52">
        <v>90766.385702684594</v>
      </c>
      <c r="D17007" s="56">
        <v>0.34334682696593449</v>
      </c>
      <c r="E17007" s="224" t="s">
        <v>2</v>
      </c>
      <c r="F17007" s="515" t="s">
        <v>18183</v>
      </c>
      <c r="G17007" s="52">
        <v>78260.012195041505</v>
      </c>
      <c r="H17007" s="56">
        <v>-9.1967546536514851E-3</v>
      </c>
      <c r="I17007" s="224" t="s">
        <v>2</v>
      </c>
    </row>
    <row r="17008" spans="1:9" x14ac:dyDescent="0.25">
      <c r="A17008" s="515">
        <v>54473</v>
      </c>
      <c r="B17008" s="515" t="s">
        <v>1095</v>
      </c>
      <c r="C17008" s="52">
        <v>215915.80344043</v>
      </c>
      <c r="D17008" s="56">
        <v>8.4237660015259869E-2</v>
      </c>
      <c r="E17008" s="224" t="s">
        <v>2</v>
      </c>
      <c r="F17008" s="515" t="s">
        <v>18184</v>
      </c>
      <c r="G17008" s="52">
        <v>194636.27582887799</v>
      </c>
      <c r="H17008" s="56">
        <v>0</v>
      </c>
      <c r="I17008" s="224" t="s">
        <v>2</v>
      </c>
    </row>
    <row r="17009" spans="1:9" x14ac:dyDescent="0.25">
      <c r="A17009" s="515">
        <v>29332</v>
      </c>
      <c r="B17009" s="515" t="s">
        <v>613</v>
      </c>
      <c r="C17009" s="52">
        <v>171838.07820614599</v>
      </c>
      <c r="D17009" s="56">
        <v>0.16310391373304775</v>
      </c>
      <c r="E17009" s="224" t="s">
        <v>2</v>
      </c>
      <c r="F17009" s="515" t="s">
        <v>18185</v>
      </c>
      <c r="G17009" s="52">
        <v>352338.27751695301</v>
      </c>
      <c r="H17009" s="56">
        <v>8.0107995526885828E-2</v>
      </c>
      <c r="I17009" s="224" t="s">
        <v>2</v>
      </c>
    </row>
    <row r="17010" spans="1:9" x14ac:dyDescent="0.25">
      <c r="A17010" s="515">
        <v>3455</v>
      </c>
      <c r="B17010" s="515" t="s">
        <v>747</v>
      </c>
      <c r="C17010" s="52">
        <v>291457.78614854999</v>
      </c>
      <c r="D17010" s="56">
        <v>0.1532317493815944</v>
      </c>
      <c r="E17010" s="224" t="s">
        <v>2</v>
      </c>
      <c r="F17010" s="515" t="s">
        <v>18186</v>
      </c>
      <c r="G17010" s="52">
        <v>69191.937068116094</v>
      </c>
      <c r="H17010" s="56">
        <v>0.20635999238725738</v>
      </c>
      <c r="I17010" s="224" t="s">
        <v>2</v>
      </c>
    </row>
    <row r="17011" spans="1:9" x14ac:dyDescent="0.25">
      <c r="A17011" s="515">
        <v>13042</v>
      </c>
      <c r="B17011" s="515" t="s">
        <v>543</v>
      </c>
      <c r="C17011" s="52">
        <v>188279.30178517799</v>
      </c>
      <c r="D17011" s="56">
        <v>8.9818691389639715E-2</v>
      </c>
      <c r="E17011" s="224" t="s">
        <v>2</v>
      </c>
      <c r="F17011" s="515" t="s">
        <v>18187</v>
      </c>
      <c r="G17011" s="52">
        <v>233127.65388503799</v>
      </c>
      <c r="H17011" s="56">
        <v>8.0206039866883461E-2</v>
      </c>
      <c r="I17011" s="224" t="s">
        <v>2</v>
      </c>
    </row>
    <row r="17012" spans="1:9" x14ac:dyDescent="0.25">
      <c r="A17012" s="515">
        <v>29038</v>
      </c>
      <c r="B17012" s="515" t="s">
        <v>1036</v>
      </c>
      <c r="C17012" s="52">
        <v>122335.51123545899</v>
      </c>
      <c r="D17012" s="56">
        <v>-3.781366074402126E-2</v>
      </c>
      <c r="E17012" s="224" t="s">
        <v>2</v>
      </c>
      <c r="F17012" s="515" t="s">
        <v>18188</v>
      </c>
      <c r="G17012" s="52">
        <v>207199.28001183999</v>
      </c>
      <c r="H17012" s="56">
        <v>4.7161036847006975E-2</v>
      </c>
      <c r="I17012" s="224" t="s">
        <v>2</v>
      </c>
    </row>
    <row r="17013" spans="1:9" x14ac:dyDescent="0.25">
      <c r="A17013" s="515">
        <v>24479</v>
      </c>
      <c r="B17013" s="515" t="s">
        <v>728</v>
      </c>
      <c r="C17013" s="52">
        <v>331814.330318199</v>
      </c>
      <c r="D17013" s="56">
        <v>9.8829863352070252E-2</v>
      </c>
      <c r="E17013" s="224" t="s">
        <v>2</v>
      </c>
      <c r="F17013" s="515" t="s">
        <v>18189</v>
      </c>
      <c r="G17013" s="52">
        <v>249010.35348378701</v>
      </c>
      <c r="H17013" s="56">
        <v>8.239096785418594E-2</v>
      </c>
      <c r="I17013" s="224" t="s">
        <v>2</v>
      </c>
    </row>
    <row r="17014" spans="1:9" x14ac:dyDescent="0.25">
      <c r="A17014" s="515">
        <v>73015</v>
      </c>
      <c r="C17014" s="52">
        <v>58932.525181564997</v>
      </c>
      <c r="D17014" s="56">
        <v>-1.4899005239315621E-2</v>
      </c>
      <c r="E17014" s="224" t="s">
        <v>2</v>
      </c>
      <c r="F17014" s="515" t="s">
        <v>18190</v>
      </c>
      <c r="G17014" s="52">
        <v>226896.73933168699</v>
      </c>
      <c r="H17014" s="56">
        <v>9.327991948874334E-2</v>
      </c>
      <c r="I17014" s="224" t="s">
        <v>2</v>
      </c>
    </row>
    <row r="17015" spans="1:9" x14ac:dyDescent="0.25">
      <c r="A17015" s="515">
        <v>45337</v>
      </c>
      <c r="B17015" s="515" t="s">
        <v>340</v>
      </c>
      <c r="C17015" s="52">
        <v>212845.32647344799</v>
      </c>
      <c r="D17015" s="56">
        <v>0.10587417514570087</v>
      </c>
      <c r="E17015" s="224" t="s">
        <v>2</v>
      </c>
      <c r="F17015" s="515" t="s">
        <v>18191</v>
      </c>
      <c r="G17015" s="52">
        <v>407547.51171910198</v>
      </c>
      <c r="H17015" s="56">
        <v>5.6313977018510611E-2</v>
      </c>
      <c r="I17015" s="224" t="s">
        <v>2</v>
      </c>
    </row>
    <row r="17016" spans="1:9" x14ac:dyDescent="0.25">
      <c r="A17016" s="515">
        <v>50841</v>
      </c>
      <c r="C17016" s="52">
        <v>120450.80654572599</v>
      </c>
      <c r="D17016" s="56">
        <v>0.10130816319176399</v>
      </c>
      <c r="E17016" s="224" t="s">
        <v>2</v>
      </c>
      <c r="F17016" s="515" t="s">
        <v>18192</v>
      </c>
      <c r="G17016" s="52">
        <v>258580.04212350899</v>
      </c>
      <c r="H17016" s="56">
        <v>4.0434009529027544E-2</v>
      </c>
      <c r="I17016" s="224" t="s">
        <v>2</v>
      </c>
    </row>
    <row r="17017" spans="1:9" x14ac:dyDescent="0.25">
      <c r="A17017" s="515">
        <v>40109</v>
      </c>
      <c r="B17017" s="515" t="s">
        <v>479</v>
      </c>
      <c r="C17017" s="52">
        <v>236499.054158702</v>
      </c>
      <c r="D17017" s="56">
        <v>9.891246242343596E-2</v>
      </c>
      <c r="E17017" s="224" t="s">
        <v>2</v>
      </c>
      <c r="F17017" s="515" t="s">
        <v>18193</v>
      </c>
      <c r="G17017" s="52">
        <v>152460.24605939601</v>
      </c>
      <c r="H17017" s="56">
        <v>0.11213470574586368</v>
      </c>
      <c r="I17017" s="224" t="s">
        <v>2</v>
      </c>
    </row>
    <row r="17018" spans="1:9" x14ac:dyDescent="0.25">
      <c r="A17018" s="515">
        <v>17365</v>
      </c>
      <c r="B17018" s="515" t="s">
        <v>509</v>
      </c>
      <c r="C17018" s="52">
        <v>282035.70992964099</v>
      </c>
      <c r="D17018" s="56">
        <v>0.10210756667705703</v>
      </c>
      <c r="E17018" s="224" t="s">
        <v>2</v>
      </c>
      <c r="F17018" s="515" t="s">
        <v>18194</v>
      </c>
      <c r="G17018" s="52">
        <v>306033.21138020599</v>
      </c>
      <c r="H17018" s="56">
        <v>5.2615005228466648E-2</v>
      </c>
      <c r="I17018" s="224" t="s">
        <v>2</v>
      </c>
    </row>
    <row r="17019" spans="1:9" x14ac:dyDescent="0.25">
      <c r="A17019" s="515">
        <v>54732</v>
      </c>
      <c r="B17019" s="515" t="s">
        <v>1028</v>
      </c>
      <c r="C17019" s="52">
        <v>167556.633146457</v>
      </c>
      <c r="D17019" s="56">
        <v>6.770045874928543E-2</v>
      </c>
      <c r="E17019" s="224" t="s">
        <v>2</v>
      </c>
      <c r="F17019" s="515" t="s">
        <v>18195</v>
      </c>
      <c r="G17019" s="52">
        <v>110429.993192779</v>
      </c>
      <c r="H17019" s="56">
        <v>2.3223970199494168E-2</v>
      </c>
      <c r="I17019" s="224" t="s">
        <v>2</v>
      </c>
    </row>
    <row r="17020" spans="1:9" x14ac:dyDescent="0.25">
      <c r="A17020" s="515">
        <v>65661</v>
      </c>
      <c r="C17020" s="52">
        <v>133123.999381189</v>
      </c>
      <c r="D17020" s="56">
        <v>7.44282803574291E-2</v>
      </c>
      <c r="E17020" s="224" t="s">
        <v>2</v>
      </c>
      <c r="F17020" s="515" t="s">
        <v>18196</v>
      </c>
      <c r="G17020" s="52">
        <v>216342.00694798099</v>
      </c>
      <c r="H17020" s="56">
        <v>0</v>
      </c>
      <c r="I17020" s="224" t="s">
        <v>2</v>
      </c>
    </row>
    <row r="17021" spans="1:9" x14ac:dyDescent="0.25">
      <c r="A17021" s="515">
        <v>28159</v>
      </c>
      <c r="B17021" s="515" t="s">
        <v>360</v>
      </c>
      <c r="C17021" s="52">
        <v>174553.646913809</v>
      </c>
      <c r="D17021" s="56">
        <v>0.15055065786083077</v>
      </c>
      <c r="E17021" s="224" t="s">
        <v>2</v>
      </c>
      <c r="F17021" s="515" t="s">
        <v>18197</v>
      </c>
      <c r="G17021" s="52">
        <v>78158.940071332996</v>
      </c>
      <c r="H17021" s="56">
        <v>0.19414867754220594</v>
      </c>
      <c r="I17021" s="224" t="s">
        <v>2</v>
      </c>
    </row>
    <row r="17022" spans="1:9" x14ac:dyDescent="0.25">
      <c r="A17022" s="515">
        <v>42337</v>
      </c>
      <c r="B17022" s="515" t="s">
        <v>686</v>
      </c>
      <c r="C17022" s="52">
        <v>84713.479437867296</v>
      </c>
      <c r="D17022" s="56">
        <v>0.18145700861207059</v>
      </c>
      <c r="E17022" s="224" t="s">
        <v>2</v>
      </c>
      <c r="F17022" s="515" t="s">
        <v>18198</v>
      </c>
      <c r="G17022" s="52">
        <v>157148.70073990501</v>
      </c>
      <c r="H17022" s="56">
        <v>2.9429199726535703E-2</v>
      </c>
      <c r="I17022" s="224" t="s">
        <v>2</v>
      </c>
    </row>
    <row r="17023" spans="1:9" x14ac:dyDescent="0.25">
      <c r="A17023" s="515">
        <v>44082</v>
      </c>
      <c r="B17023" s="515" t="s">
        <v>592</v>
      </c>
      <c r="C17023" s="52">
        <v>160606.36690498801</v>
      </c>
      <c r="D17023" s="56">
        <v>9.5319758529185381E-2</v>
      </c>
      <c r="E17023" s="224" t="s">
        <v>2</v>
      </c>
      <c r="F17023" s="515" t="s">
        <v>18199</v>
      </c>
      <c r="G17023" s="52">
        <v>520857.35029587499</v>
      </c>
      <c r="H17023" s="56">
        <v>4.0846442762571308E-2</v>
      </c>
      <c r="I17023" s="224" t="s">
        <v>2</v>
      </c>
    </row>
    <row r="17024" spans="1:9" x14ac:dyDescent="0.25">
      <c r="A17024" s="515">
        <v>53178</v>
      </c>
      <c r="B17024" s="515" t="s">
        <v>1085</v>
      </c>
      <c r="C17024" s="52">
        <v>324159.48240722</v>
      </c>
      <c r="D17024" s="56">
        <v>5.0422894590768375E-2</v>
      </c>
      <c r="E17024" s="224" t="s">
        <v>2</v>
      </c>
      <c r="F17024" s="515" t="s">
        <v>18200</v>
      </c>
      <c r="G17024" s="52">
        <v>2014203.8152542999</v>
      </c>
      <c r="H17024" s="56">
        <v>-1.7165161680375636E-2</v>
      </c>
      <c r="I17024" s="224" t="s">
        <v>2</v>
      </c>
    </row>
    <row r="17025" spans="1:9" x14ac:dyDescent="0.25">
      <c r="A17025" s="515">
        <v>64402</v>
      </c>
      <c r="C17025" s="52">
        <v>109563.045942153</v>
      </c>
      <c r="D17025" s="56">
        <v>-7.8909224317561089E-2</v>
      </c>
      <c r="E17025" s="224" t="s">
        <v>2</v>
      </c>
      <c r="F17025" s="515" t="s">
        <v>18201</v>
      </c>
      <c r="G17025" s="52">
        <v>134156.24020595601</v>
      </c>
      <c r="H17025" s="56">
        <v>6.7942826521268082E-2</v>
      </c>
      <c r="I17025" s="224" t="s">
        <v>2</v>
      </c>
    </row>
    <row r="17026" spans="1:9" x14ac:dyDescent="0.25">
      <c r="A17026" s="515">
        <v>28464</v>
      </c>
      <c r="C17026" s="52">
        <v>164710.162689708</v>
      </c>
      <c r="D17026" s="56">
        <v>0.23236792391320488</v>
      </c>
      <c r="E17026" s="224" t="s">
        <v>2</v>
      </c>
      <c r="F17026" s="515" t="s">
        <v>18202</v>
      </c>
      <c r="G17026" s="52">
        <v>115026.50786569199</v>
      </c>
      <c r="H17026" s="56">
        <v>7.3491975727089362E-2</v>
      </c>
      <c r="I17026" s="224" t="s">
        <v>2</v>
      </c>
    </row>
    <row r="17027" spans="1:9" x14ac:dyDescent="0.25">
      <c r="A17027" s="515">
        <v>58563</v>
      </c>
      <c r="B17027" s="515" t="s">
        <v>930</v>
      </c>
      <c r="C17027" s="52">
        <v>184150.98152964399</v>
      </c>
      <c r="D17027" s="56">
        <v>3.4753168380626094E-2</v>
      </c>
      <c r="E17027" s="224" t="s">
        <v>2</v>
      </c>
      <c r="F17027" s="515" t="s">
        <v>18203</v>
      </c>
      <c r="G17027" s="52">
        <v>115311.119569164</v>
      </c>
      <c r="H17027" s="56">
        <v>0</v>
      </c>
      <c r="I17027" s="224" t="s">
        <v>2</v>
      </c>
    </row>
    <row r="17028" spans="1:9" x14ac:dyDescent="0.25">
      <c r="A17028" s="515">
        <v>83452</v>
      </c>
      <c r="B17028" s="515" t="s">
        <v>490</v>
      </c>
      <c r="C17028" s="52">
        <v>662227.72945658094</v>
      </c>
      <c r="D17028" s="56">
        <v>9.1147858971699691E-2</v>
      </c>
      <c r="E17028" s="224" t="s">
        <v>2</v>
      </c>
      <c r="F17028" s="515" t="s">
        <v>18204</v>
      </c>
      <c r="G17028" s="52">
        <v>912426.17653873598</v>
      </c>
      <c r="H17028" s="56">
        <v>4.0975019347740879E-2</v>
      </c>
      <c r="I17028" s="224" t="s">
        <v>2</v>
      </c>
    </row>
    <row r="17029" spans="1:9" x14ac:dyDescent="0.25">
      <c r="A17029" s="515">
        <v>17764</v>
      </c>
      <c r="B17029" s="515" t="s">
        <v>776</v>
      </c>
      <c r="C17029" s="52">
        <v>49387.436845262397</v>
      </c>
      <c r="D17029" s="56">
        <v>5.8096009786699376E-2</v>
      </c>
      <c r="E17029" s="224" t="s">
        <v>2</v>
      </c>
      <c r="F17029" s="515" t="s">
        <v>18205</v>
      </c>
      <c r="G17029" s="52">
        <v>425906.39414368599</v>
      </c>
      <c r="H17029" s="56">
        <v>-4.3827021839790994E-2</v>
      </c>
      <c r="I17029" s="224" t="s">
        <v>2</v>
      </c>
    </row>
    <row r="17030" spans="1:9" x14ac:dyDescent="0.25">
      <c r="A17030" s="515">
        <v>36080</v>
      </c>
      <c r="B17030" s="515" t="s">
        <v>806</v>
      </c>
      <c r="C17030" s="52">
        <v>277328.49140213599</v>
      </c>
      <c r="D17030" s="56">
        <v>6.8693265737651193E-2</v>
      </c>
      <c r="E17030" s="224" t="s">
        <v>2</v>
      </c>
      <c r="F17030" s="515" t="s">
        <v>18206</v>
      </c>
      <c r="G17030" s="52">
        <v>170683.72895351399</v>
      </c>
      <c r="H17030" s="56">
        <v>0.11150122463556848</v>
      </c>
      <c r="I17030" s="224" t="s">
        <v>2</v>
      </c>
    </row>
    <row r="17031" spans="1:9" x14ac:dyDescent="0.25">
      <c r="A17031" s="515">
        <v>47977</v>
      </c>
      <c r="B17031" s="515" t="s">
        <v>394</v>
      </c>
      <c r="C17031" s="52">
        <v>185638.53444706401</v>
      </c>
      <c r="D17031" s="56">
        <v>7.1874727323791354E-2</v>
      </c>
      <c r="E17031" s="224" t="s">
        <v>2</v>
      </c>
      <c r="F17031" s="515" t="s">
        <v>18207</v>
      </c>
      <c r="G17031" s="52">
        <v>274931.81553219102</v>
      </c>
      <c r="H17031" s="56">
        <v>3.8752386913022525E-2</v>
      </c>
      <c r="I17031" s="224" t="s">
        <v>2</v>
      </c>
    </row>
    <row r="17032" spans="1:9" x14ac:dyDescent="0.25">
      <c r="A17032" s="515">
        <v>72137</v>
      </c>
      <c r="B17032" s="515" t="s">
        <v>414</v>
      </c>
      <c r="C17032" s="52">
        <v>160722.71841435801</v>
      </c>
      <c r="D17032" s="56">
        <v>7.5326880506611196E-2</v>
      </c>
      <c r="E17032" s="224" t="s">
        <v>2</v>
      </c>
      <c r="F17032" s="515" t="s">
        <v>18208</v>
      </c>
      <c r="G17032" s="52">
        <v>324812.54146980803</v>
      </c>
      <c r="H17032" s="56">
        <v>2.1276173532027539E-2</v>
      </c>
      <c r="I17032" s="224" t="s">
        <v>2</v>
      </c>
    </row>
    <row r="17033" spans="1:9" x14ac:dyDescent="0.25">
      <c r="A17033" s="515">
        <v>3285</v>
      </c>
      <c r="B17033" s="515" t="s">
        <v>420</v>
      </c>
      <c r="C17033" s="52">
        <v>338111.43148659403</v>
      </c>
      <c r="D17033" s="56">
        <v>0.15782292248226337</v>
      </c>
      <c r="E17033" s="224" t="s">
        <v>2</v>
      </c>
      <c r="F17033" s="515" t="s">
        <v>18209</v>
      </c>
      <c r="G17033" s="52">
        <v>86865.470298882399</v>
      </c>
      <c r="H17033" s="56">
        <v>0.12743505321413251</v>
      </c>
      <c r="I17033" s="224" t="s">
        <v>2</v>
      </c>
    </row>
    <row r="17034" spans="1:9" x14ac:dyDescent="0.25">
      <c r="A17034" s="515">
        <v>93920</v>
      </c>
      <c r="B17034" s="515" t="s">
        <v>443</v>
      </c>
      <c r="C17034" s="52">
        <v>2023639.62053996</v>
      </c>
      <c r="D17034" s="56">
        <v>7.8163481438845023E-2</v>
      </c>
      <c r="E17034" s="224" t="s">
        <v>2</v>
      </c>
      <c r="F17034" s="515" t="s">
        <v>18210</v>
      </c>
      <c r="G17034" s="52">
        <v>98749.454810055497</v>
      </c>
      <c r="H17034" s="56">
        <v>-0.13813426910663193</v>
      </c>
      <c r="I17034" s="224" t="s">
        <v>2</v>
      </c>
    </row>
    <row r="17035" spans="1:9" x14ac:dyDescent="0.25">
      <c r="A17035" s="515">
        <v>50472</v>
      </c>
      <c r="C17035" s="52">
        <v>192648.66779497999</v>
      </c>
      <c r="D17035" s="56">
        <v>0.11877616725414838</v>
      </c>
      <c r="E17035" s="224" t="s">
        <v>2</v>
      </c>
      <c r="F17035" s="515" t="s">
        <v>18211</v>
      </c>
      <c r="G17035" s="52">
        <v>254156.57777480001</v>
      </c>
      <c r="H17035" s="56">
        <v>0</v>
      </c>
      <c r="I17035" s="224" t="s">
        <v>2</v>
      </c>
    </row>
    <row r="17036" spans="1:9" x14ac:dyDescent="0.25">
      <c r="A17036" s="515">
        <v>66535</v>
      </c>
      <c r="B17036" s="515" t="s">
        <v>795</v>
      </c>
      <c r="C17036" s="52">
        <v>291555.10073400801</v>
      </c>
      <c r="D17036" s="56">
        <v>9.074332024349567E-2</v>
      </c>
      <c r="E17036" s="224" t="s">
        <v>2</v>
      </c>
      <c r="F17036" s="515" t="s">
        <v>18212</v>
      </c>
      <c r="G17036" s="52">
        <v>140243.56963007399</v>
      </c>
      <c r="H17036" s="56">
        <v>8.8473812859918618E-3</v>
      </c>
      <c r="I17036" s="224" t="s">
        <v>2</v>
      </c>
    </row>
    <row r="17037" spans="1:9" x14ac:dyDescent="0.25">
      <c r="A17037" s="515">
        <v>6334</v>
      </c>
      <c r="B17037" s="515" t="s">
        <v>1091</v>
      </c>
      <c r="C17037" s="52">
        <v>291927.62941348099</v>
      </c>
      <c r="D17037" s="56">
        <v>0</v>
      </c>
      <c r="E17037" s="224" t="s">
        <v>2</v>
      </c>
      <c r="F17037" s="515" t="s">
        <v>18213</v>
      </c>
      <c r="G17037" s="52">
        <v>56923.041708949597</v>
      </c>
      <c r="H17037" s="56">
        <v>8.5079575239318084E-2</v>
      </c>
      <c r="I17037" s="224" t="s">
        <v>2</v>
      </c>
    </row>
    <row r="17038" spans="1:9" x14ac:dyDescent="0.25">
      <c r="A17038" s="515">
        <v>55341</v>
      </c>
      <c r="B17038" s="515" t="s">
        <v>532</v>
      </c>
      <c r="C17038" s="52">
        <v>415408.48544697702</v>
      </c>
      <c r="D17038" s="56">
        <v>1.2597618355205243E-2</v>
      </c>
      <c r="E17038" s="224" t="s">
        <v>2</v>
      </c>
      <c r="F17038" s="515" t="s">
        <v>18214</v>
      </c>
      <c r="G17038" s="52">
        <v>289441.41033525101</v>
      </c>
      <c r="H17038" s="56">
        <v>5.8055927576252005E-2</v>
      </c>
      <c r="I17038" s="224" t="s">
        <v>2</v>
      </c>
    </row>
    <row r="17039" spans="1:9" x14ac:dyDescent="0.25">
      <c r="A17039" s="515">
        <v>21651</v>
      </c>
      <c r="B17039" s="515" t="s">
        <v>582</v>
      </c>
      <c r="C17039" s="52">
        <v>277721.84050021798</v>
      </c>
      <c r="D17039" s="56">
        <v>2.5779664835498029E-2</v>
      </c>
      <c r="E17039" s="224" t="s">
        <v>2</v>
      </c>
      <c r="F17039" s="515" t="s">
        <v>18215</v>
      </c>
      <c r="G17039" s="52">
        <v>100785.05681916</v>
      </c>
      <c r="H17039" s="56">
        <v>2.0142971376245464E-2</v>
      </c>
      <c r="I17039" s="224" t="s">
        <v>2</v>
      </c>
    </row>
    <row r="17040" spans="1:9" x14ac:dyDescent="0.25">
      <c r="A17040" s="515">
        <v>47990</v>
      </c>
      <c r="B17040" s="515" t="s">
        <v>408</v>
      </c>
      <c r="C17040" s="52">
        <v>171725.60026285099</v>
      </c>
      <c r="D17040" s="56">
        <v>3.6667594322740853E-2</v>
      </c>
      <c r="E17040" s="224" t="s">
        <v>2</v>
      </c>
      <c r="F17040" s="515" t="s">
        <v>18216</v>
      </c>
      <c r="G17040" s="52">
        <v>208280.75333160299</v>
      </c>
      <c r="H17040" s="56">
        <v>2.3597980058035664E-2</v>
      </c>
      <c r="I17040" s="224" t="s">
        <v>2</v>
      </c>
    </row>
    <row r="17041" spans="1:9" x14ac:dyDescent="0.25">
      <c r="A17041" s="515">
        <v>44629</v>
      </c>
      <c r="B17041" s="515" t="s">
        <v>309</v>
      </c>
      <c r="C17041" s="52">
        <v>150586.036932316</v>
      </c>
      <c r="D17041" s="56">
        <v>4.7730360129621653E-2</v>
      </c>
      <c r="E17041" s="224" t="s">
        <v>2</v>
      </c>
      <c r="F17041" s="515" t="s">
        <v>18217</v>
      </c>
      <c r="G17041" s="52">
        <v>536112.53113428794</v>
      </c>
      <c r="H17041" s="56">
        <v>6.8151091750155934E-2</v>
      </c>
      <c r="I17041" s="224" t="s">
        <v>2</v>
      </c>
    </row>
    <row r="17042" spans="1:9" x14ac:dyDescent="0.25">
      <c r="A17042" s="515">
        <v>63638</v>
      </c>
      <c r="C17042" s="52">
        <v>125640.25699597401</v>
      </c>
      <c r="D17042" s="56">
        <v>0</v>
      </c>
      <c r="E17042" s="224" t="s">
        <v>2</v>
      </c>
      <c r="F17042" s="515" t="s">
        <v>18218</v>
      </c>
      <c r="G17042" s="52">
        <v>136417.189655172</v>
      </c>
      <c r="H17042" s="56">
        <v>0</v>
      </c>
      <c r="I17042" s="224" t="s">
        <v>2</v>
      </c>
    </row>
    <row r="17043" spans="1:9" x14ac:dyDescent="0.25">
      <c r="A17043" s="515">
        <v>13112</v>
      </c>
      <c r="B17043" s="515" t="s">
        <v>361</v>
      </c>
      <c r="C17043" s="52">
        <v>209120.41132004201</v>
      </c>
      <c r="D17043" s="56">
        <v>9.4390796611476563E-2</v>
      </c>
      <c r="E17043" s="224" t="s">
        <v>2</v>
      </c>
      <c r="F17043" s="515" t="s">
        <v>18219</v>
      </c>
      <c r="G17043" s="52">
        <v>850558.10087033303</v>
      </c>
      <c r="H17043" s="56">
        <v>7.4649920558634758E-2</v>
      </c>
      <c r="I17043" s="224" t="s">
        <v>2</v>
      </c>
    </row>
    <row r="17044" spans="1:9" x14ac:dyDescent="0.25">
      <c r="A17044" s="515">
        <v>62983</v>
      </c>
      <c r="C17044" s="52">
        <v>70488.063131310904</v>
      </c>
      <c r="D17044" s="56">
        <v>5.564542705797982E-2</v>
      </c>
      <c r="E17044" s="224" t="s">
        <v>2</v>
      </c>
      <c r="F17044" s="515" t="s">
        <v>18220</v>
      </c>
      <c r="G17044" s="52">
        <v>326341.548454854</v>
      </c>
      <c r="H17044" s="56">
        <v>0.11541151284998147</v>
      </c>
      <c r="I17044" s="224" t="s">
        <v>2</v>
      </c>
    </row>
    <row r="17045" spans="1:9" x14ac:dyDescent="0.25">
      <c r="A17045" s="515">
        <v>62379</v>
      </c>
      <c r="B17045" s="515" t="s">
        <v>496</v>
      </c>
      <c r="C17045" s="52">
        <v>90843.776916740506</v>
      </c>
      <c r="D17045" s="56">
        <v>1.9711712858427349E-2</v>
      </c>
      <c r="E17045" s="224" t="s">
        <v>2</v>
      </c>
      <c r="F17045" s="515" t="s">
        <v>18221</v>
      </c>
      <c r="G17045" s="52">
        <v>325410.81224663602</v>
      </c>
      <c r="H17045" s="56">
        <v>4.6901052664229857E-2</v>
      </c>
      <c r="I17045" s="224" t="s">
        <v>2</v>
      </c>
    </row>
    <row r="17046" spans="1:9" x14ac:dyDescent="0.25">
      <c r="A17046" s="515">
        <v>44086</v>
      </c>
      <c r="B17046" s="515" t="s">
        <v>520</v>
      </c>
      <c r="C17046" s="52">
        <v>243441.19701274199</v>
      </c>
      <c r="D17046" s="56">
        <v>7.5025244161904744E-2</v>
      </c>
      <c r="E17046" s="224" t="s">
        <v>2</v>
      </c>
      <c r="F17046" s="515" t="s">
        <v>18222</v>
      </c>
      <c r="G17046" s="52">
        <v>162606.08014011901</v>
      </c>
      <c r="H17046" s="56">
        <v>0</v>
      </c>
      <c r="I17046" s="224" t="s">
        <v>2</v>
      </c>
    </row>
    <row r="17047" spans="1:9" x14ac:dyDescent="0.25">
      <c r="A17047" s="515">
        <v>67031</v>
      </c>
      <c r="B17047" s="515" t="s">
        <v>485</v>
      </c>
      <c r="C17047" s="52">
        <v>156246.81504336599</v>
      </c>
      <c r="D17047" s="56">
        <v>5.7406709957266731E-2</v>
      </c>
      <c r="E17047" s="224" t="s">
        <v>2</v>
      </c>
      <c r="F17047" s="515" t="s">
        <v>18223</v>
      </c>
      <c r="G17047" s="52">
        <v>338980.45149483101</v>
      </c>
      <c r="H17047" s="56">
        <v>0.10416828318841062</v>
      </c>
      <c r="I17047" s="224" t="s">
        <v>2</v>
      </c>
    </row>
    <row r="17048" spans="1:9" x14ac:dyDescent="0.25">
      <c r="A17048" s="515">
        <v>27009</v>
      </c>
      <c r="B17048" s="515" t="s">
        <v>735</v>
      </c>
      <c r="C17048" s="52">
        <v>273371.963443438</v>
      </c>
      <c r="D17048" s="56">
        <v>0.12215385415660546</v>
      </c>
      <c r="E17048" s="224" t="s">
        <v>2</v>
      </c>
      <c r="F17048" s="515" t="s">
        <v>18224</v>
      </c>
      <c r="G17048" s="52">
        <v>176635.835540325</v>
      </c>
      <c r="H17048" s="56">
        <v>0.41747323623512367</v>
      </c>
      <c r="I17048" s="224" t="s">
        <v>2</v>
      </c>
    </row>
    <row r="17049" spans="1:9" x14ac:dyDescent="0.25">
      <c r="A17049" s="515">
        <v>93601</v>
      </c>
      <c r="B17049" s="515" t="s">
        <v>681</v>
      </c>
      <c r="C17049" s="52">
        <v>429928.19828490599</v>
      </c>
      <c r="D17049" s="56">
        <v>1.0895801440742741E-2</v>
      </c>
      <c r="E17049" s="224" t="s">
        <v>2</v>
      </c>
      <c r="F17049" s="515" t="s">
        <v>18225</v>
      </c>
      <c r="G17049" s="52">
        <v>137883.67927881601</v>
      </c>
      <c r="H17049" s="56">
        <v>4.8884470006931774E-2</v>
      </c>
      <c r="I17049" s="224" t="s">
        <v>2</v>
      </c>
    </row>
    <row r="17050" spans="1:9" x14ac:dyDescent="0.25">
      <c r="A17050" s="515">
        <v>12921</v>
      </c>
      <c r="B17050" s="515" t="s">
        <v>395</v>
      </c>
      <c r="C17050" s="52">
        <v>215876.56728869001</v>
      </c>
      <c r="D17050" s="56">
        <v>9.2360039164896421E-2</v>
      </c>
      <c r="E17050" s="224" t="s">
        <v>2</v>
      </c>
      <c r="F17050" s="515" t="s">
        <v>18226</v>
      </c>
      <c r="G17050" s="52">
        <v>287080.16494845302</v>
      </c>
      <c r="H17050" s="56">
        <v>0</v>
      </c>
      <c r="I17050" s="224" t="s">
        <v>2</v>
      </c>
    </row>
    <row r="17051" spans="1:9" x14ac:dyDescent="0.25">
      <c r="A17051" s="515">
        <v>47520</v>
      </c>
      <c r="C17051" s="52">
        <v>128206.103041893</v>
      </c>
      <c r="D17051" s="56">
        <v>9.4781012319341398E-2</v>
      </c>
      <c r="E17051" s="224" t="s">
        <v>2</v>
      </c>
      <c r="F17051" s="515" t="s">
        <v>18227</v>
      </c>
      <c r="G17051" s="52">
        <v>240718.49663870101</v>
      </c>
      <c r="H17051" s="56">
        <v>1.9452475354145828E-2</v>
      </c>
      <c r="I17051" s="224" t="s">
        <v>2</v>
      </c>
    </row>
    <row r="17052" spans="1:9" x14ac:dyDescent="0.25">
      <c r="A17052" s="515">
        <v>1537</v>
      </c>
      <c r="B17052" s="515" t="s">
        <v>751</v>
      </c>
      <c r="C17052" s="52">
        <v>318926.126493875</v>
      </c>
      <c r="D17052" s="56">
        <v>8.5378354950429614E-2</v>
      </c>
      <c r="E17052" s="224" t="s">
        <v>2</v>
      </c>
      <c r="F17052" s="515" t="s">
        <v>18228</v>
      </c>
      <c r="G17052" s="52">
        <v>170522.45794247801</v>
      </c>
      <c r="H17052" s="56">
        <v>7.0053937778315714E-2</v>
      </c>
      <c r="I17052" s="224" t="s">
        <v>2</v>
      </c>
    </row>
    <row r="17053" spans="1:9" x14ac:dyDescent="0.25">
      <c r="A17053" s="515">
        <v>49402</v>
      </c>
      <c r="B17053" s="515" t="s">
        <v>993</v>
      </c>
      <c r="C17053" s="52">
        <v>151149.86424402101</v>
      </c>
      <c r="D17053" s="56">
        <v>5.7732657188633608E-2</v>
      </c>
      <c r="E17053" s="224" t="s">
        <v>2</v>
      </c>
      <c r="F17053" s="515" t="s">
        <v>18229</v>
      </c>
      <c r="G17053" s="52">
        <v>254320.883573575</v>
      </c>
      <c r="H17053" s="56">
        <v>0.1114710611171161</v>
      </c>
      <c r="I17053" s="224" t="s">
        <v>2</v>
      </c>
    </row>
    <row r="17054" spans="1:9" x14ac:dyDescent="0.25">
      <c r="A17054" s="515">
        <v>46130</v>
      </c>
      <c r="B17054" s="515" t="s">
        <v>403</v>
      </c>
      <c r="C17054" s="52">
        <v>274816.37147272401</v>
      </c>
      <c r="D17054" s="56">
        <v>6.7236583130538055E-2</v>
      </c>
      <c r="E17054" s="224" t="s">
        <v>2</v>
      </c>
      <c r="F17054" s="515" t="s">
        <v>18230</v>
      </c>
      <c r="G17054" s="52">
        <v>205112.178770739</v>
      </c>
      <c r="H17054" s="56">
        <v>0.11704313581246215</v>
      </c>
      <c r="I17054" s="224" t="s">
        <v>2</v>
      </c>
    </row>
    <row r="17055" spans="1:9" x14ac:dyDescent="0.25">
      <c r="A17055" s="515">
        <v>98601</v>
      </c>
      <c r="B17055" s="515" t="s">
        <v>659</v>
      </c>
      <c r="C17055" s="52">
        <v>622220.326065336</v>
      </c>
      <c r="D17055" s="56">
        <v>6.4214217043274097E-2</v>
      </c>
      <c r="E17055" s="224" t="s">
        <v>2</v>
      </c>
      <c r="F17055" s="515" t="s">
        <v>18231</v>
      </c>
      <c r="G17055" s="52">
        <v>352368.19660993997</v>
      </c>
      <c r="H17055" s="56">
        <v>5.674132642201693E-2</v>
      </c>
      <c r="I17055" s="224" t="s">
        <v>2</v>
      </c>
    </row>
    <row r="17056" spans="1:9" x14ac:dyDescent="0.25">
      <c r="A17056" s="515">
        <v>53919</v>
      </c>
      <c r="B17056" s="515" t="s">
        <v>987</v>
      </c>
      <c r="C17056" s="52">
        <v>212558.73430875101</v>
      </c>
      <c r="D17056" s="56">
        <v>6.789198855173105E-2</v>
      </c>
      <c r="E17056" s="224" t="s">
        <v>2</v>
      </c>
      <c r="F17056" s="515" t="s">
        <v>18232</v>
      </c>
      <c r="G17056" s="52">
        <v>180989.88206274499</v>
      </c>
      <c r="H17056" s="56">
        <v>-2.7742414984086881E-2</v>
      </c>
      <c r="I17056" s="224" t="s">
        <v>2</v>
      </c>
    </row>
    <row r="17057" spans="1:9" x14ac:dyDescent="0.25">
      <c r="A17057" s="515">
        <v>36376</v>
      </c>
      <c r="B17057" s="515" t="s">
        <v>816</v>
      </c>
      <c r="C17057" s="52">
        <v>140378.80147580101</v>
      </c>
      <c r="D17057" s="56">
        <v>5.8130578139582841E-2</v>
      </c>
      <c r="E17057" s="224" t="s">
        <v>2</v>
      </c>
      <c r="F17057" s="515" t="s">
        <v>18233</v>
      </c>
      <c r="G17057" s="52">
        <v>180008.93981451099</v>
      </c>
      <c r="H17057" s="56">
        <v>-5.8555482124764508E-3</v>
      </c>
      <c r="I17057" s="224" t="s">
        <v>2</v>
      </c>
    </row>
    <row r="17058" spans="1:9" x14ac:dyDescent="0.25">
      <c r="A17058" s="515">
        <v>72039</v>
      </c>
      <c r="B17058" s="515" t="s">
        <v>393</v>
      </c>
      <c r="C17058" s="52">
        <v>152665.241730201</v>
      </c>
      <c r="D17058" s="56">
        <v>6.7348018311490454E-2</v>
      </c>
      <c r="E17058" s="224" t="s">
        <v>2</v>
      </c>
      <c r="F17058" s="515" t="s">
        <v>18234</v>
      </c>
      <c r="G17058" s="52">
        <v>176303.64465582499</v>
      </c>
      <c r="H17058" s="56">
        <v>9.3325111273211803E-2</v>
      </c>
      <c r="I17058" s="224" t="s">
        <v>2</v>
      </c>
    </row>
    <row r="17059" spans="1:9" x14ac:dyDescent="0.25">
      <c r="A17059" s="515">
        <v>53035</v>
      </c>
      <c r="B17059" s="515" t="s">
        <v>955</v>
      </c>
      <c r="C17059" s="52">
        <v>286987.30033918697</v>
      </c>
      <c r="D17059" s="56">
        <v>5.3790509615813706E-2</v>
      </c>
      <c r="E17059" s="224" t="s">
        <v>2</v>
      </c>
      <c r="F17059" s="515" t="s">
        <v>18235</v>
      </c>
      <c r="G17059" s="52">
        <v>240675.89655297101</v>
      </c>
      <c r="H17059" s="56">
        <v>9.4249195788447079E-2</v>
      </c>
      <c r="I17059" s="224" t="s">
        <v>2</v>
      </c>
    </row>
    <row r="17060" spans="1:9" x14ac:dyDescent="0.25">
      <c r="A17060" s="515">
        <v>17034</v>
      </c>
      <c r="B17060" s="515" t="s">
        <v>428</v>
      </c>
      <c r="C17060" s="52">
        <v>145540.71593668</v>
      </c>
      <c r="D17060" s="56">
        <v>0.11600146661734909</v>
      </c>
      <c r="E17060" s="224" t="s">
        <v>2</v>
      </c>
      <c r="F17060" s="515" t="s">
        <v>18236</v>
      </c>
      <c r="G17060" s="52">
        <v>119446.075087308</v>
      </c>
      <c r="H17060" s="56">
        <v>4.8464829112789182E-2</v>
      </c>
      <c r="I17060" s="224" t="s">
        <v>2</v>
      </c>
    </row>
    <row r="17061" spans="1:9" x14ac:dyDescent="0.25">
      <c r="A17061" s="515">
        <v>39746</v>
      </c>
      <c r="C17061" s="52">
        <v>141421.26592284301</v>
      </c>
      <c r="D17061" s="56">
        <v>-2.6842831357485102E-2</v>
      </c>
      <c r="E17061" s="224" t="s">
        <v>2</v>
      </c>
      <c r="F17061" s="515" t="s">
        <v>18237</v>
      </c>
      <c r="G17061" s="52">
        <v>225315.048158964</v>
      </c>
      <c r="H17061" s="56">
        <v>7.9829500970969733E-2</v>
      </c>
      <c r="I17061" s="224" t="s">
        <v>2</v>
      </c>
    </row>
    <row r="17062" spans="1:9" x14ac:dyDescent="0.25">
      <c r="A17062" s="515">
        <v>24431</v>
      </c>
      <c r="B17062" s="515" t="s">
        <v>728</v>
      </c>
      <c r="C17062" s="52">
        <v>289040.72321463999</v>
      </c>
      <c r="D17062" s="56">
        <v>8.6033348842966817E-2</v>
      </c>
      <c r="E17062" s="224" t="s">
        <v>2</v>
      </c>
      <c r="F17062" s="515" t="s">
        <v>18238</v>
      </c>
      <c r="G17062" s="52">
        <v>504260.45461615903</v>
      </c>
      <c r="H17062" s="56">
        <v>0.13541306258585697</v>
      </c>
      <c r="I17062" s="224" t="s">
        <v>2</v>
      </c>
    </row>
    <row r="17063" spans="1:9" x14ac:dyDescent="0.25">
      <c r="A17063" s="515">
        <v>28665</v>
      </c>
      <c r="B17063" s="515" t="s">
        <v>1018</v>
      </c>
      <c r="C17063" s="52">
        <v>278128.19881244597</v>
      </c>
      <c r="D17063" s="56">
        <v>0.16991014491880257</v>
      </c>
      <c r="E17063" s="224" t="s">
        <v>2</v>
      </c>
      <c r="F17063" s="515" t="s">
        <v>18239</v>
      </c>
      <c r="G17063" s="52">
        <v>134616.86456112601</v>
      </c>
      <c r="H17063" s="56">
        <v>7.1861439081489065E-2</v>
      </c>
      <c r="I17063" s="224" t="s">
        <v>2</v>
      </c>
    </row>
    <row r="17064" spans="1:9" x14ac:dyDescent="0.25">
      <c r="A17064" s="515">
        <v>97538</v>
      </c>
      <c r="B17064" s="515" t="s">
        <v>626</v>
      </c>
      <c r="C17064" s="52">
        <v>324935.88623903599</v>
      </c>
      <c r="D17064" s="56">
        <v>-3.2094608668437385E-2</v>
      </c>
      <c r="E17064" s="224" t="s">
        <v>2</v>
      </c>
      <c r="F17064" s="515" t="s">
        <v>18240</v>
      </c>
      <c r="G17064" s="52">
        <v>192164.15029597</v>
      </c>
      <c r="H17064" s="56">
        <v>6.104045196671893E-2</v>
      </c>
      <c r="I17064" s="224" t="s">
        <v>2</v>
      </c>
    </row>
    <row r="17065" spans="1:9" x14ac:dyDescent="0.25">
      <c r="A17065" s="515">
        <v>49043</v>
      </c>
      <c r="C17065" s="52">
        <v>148271.869335708</v>
      </c>
      <c r="D17065" s="56">
        <v>1.8587282013778874E-2</v>
      </c>
      <c r="E17065" s="224" t="s">
        <v>2</v>
      </c>
      <c r="F17065" s="515" t="s">
        <v>18241</v>
      </c>
      <c r="G17065" s="52">
        <v>122500.765825061</v>
      </c>
      <c r="H17065" s="56">
        <v>5.2087563440501604E-2</v>
      </c>
      <c r="I17065" s="224" t="s">
        <v>2</v>
      </c>
    </row>
    <row r="17066" spans="1:9" x14ac:dyDescent="0.25">
      <c r="A17066" s="515">
        <v>97049</v>
      </c>
      <c r="B17066" s="515" t="s">
        <v>659</v>
      </c>
      <c r="C17066" s="52">
        <v>427355.28438109998</v>
      </c>
      <c r="D17066" s="56">
        <v>6.1564128419850636E-2</v>
      </c>
      <c r="E17066" s="224" t="s">
        <v>2</v>
      </c>
      <c r="F17066" s="515" t="s">
        <v>18242</v>
      </c>
      <c r="G17066" s="52">
        <v>129011.352171026</v>
      </c>
      <c r="H17066" s="56">
        <v>8.1820033031980793E-2</v>
      </c>
      <c r="I17066" s="224" t="s">
        <v>2</v>
      </c>
    </row>
    <row r="17067" spans="1:9" x14ac:dyDescent="0.25">
      <c r="A17067" s="515">
        <v>23923</v>
      </c>
      <c r="C17067" s="52">
        <v>137704.10522624099</v>
      </c>
      <c r="D17067" s="56">
        <v>-9.7114952654593564E-3</v>
      </c>
      <c r="E17067" s="224" t="s">
        <v>2</v>
      </c>
      <c r="F17067" s="515" t="s">
        <v>18243</v>
      </c>
      <c r="G17067" s="52">
        <v>100160.17449018999</v>
      </c>
      <c r="H17067" s="56">
        <v>0</v>
      </c>
      <c r="I17067" s="224" t="s">
        <v>2</v>
      </c>
    </row>
    <row r="17068" spans="1:9" x14ac:dyDescent="0.25">
      <c r="A17068" s="515">
        <v>83522</v>
      </c>
      <c r="C17068" s="52">
        <v>305815.741229215</v>
      </c>
      <c r="D17068" s="56">
        <v>6.4682117547433624E-2</v>
      </c>
      <c r="E17068" s="224" t="s">
        <v>2</v>
      </c>
      <c r="F17068" s="515" t="s">
        <v>18244</v>
      </c>
      <c r="G17068" s="52">
        <v>236963.20828765401</v>
      </c>
      <c r="H17068" s="56">
        <v>0.11382277017855992</v>
      </c>
      <c r="I17068" s="224" t="s">
        <v>2</v>
      </c>
    </row>
    <row r="17069" spans="1:9" x14ac:dyDescent="0.25">
      <c r="A17069" s="515">
        <v>65275</v>
      </c>
      <c r="C17069" s="52">
        <v>143645.92577694901</v>
      </c>
      <c r="D17069" s="56">
        <v>4.7580852864364913E-2</v>
      </c>
      <c r="E17069" s="224" t="s">
        <v>2</v>
      </c>
      <c r="F17069" s="515" t="s">
        <v>18245</v>
      </c>
      <c r="G17069" s="52">
        <v>189307.21099560001</v>
      </c>
      <c r="H17069" s="56">
        <v>0</v>
      </c>
      <c r="I17069" s="224" t="s">
        <v>2</v>
      </c>
    </row>
    <row r="17070" spans="1:9" x14ac:dyDescent="0.25">
      <c r="A17070" s="515">
        <v>22576</v>
      </c>
      <c r="C17070" s="52">
        <v>361380.61694351299</v>
      </c>
      <c r="D17070" s="56">
        <v>0.14892310954900681</v>
      </c>
      <c r="E17070" s="224" t="s">
        <v>2</v>
      </c>
      <c r="F17070" s="515" t="s">
        <v>18246</v>
      </c>
      <c r="G17070" s="52">
        <v>536019.48887936305</v>
      </c>
      <c r="H17070" s="56">
        <v>6.3704251314294899E-2</v>
      </c>
      <c r="I17070" s="224" t="s">
        <v>2</v>
      </c>
    </row>
    <row r="17071" spans="1:9" x14ac:dyDescent="0.25">
      <c r="A17071" s="515">
        <v>16123</v>
      </c>
      <c r="B17071" s="515" t="s">
        <v>297</v>
      </c>
      <c r="C17071" s="52">
        <v>215343.00298364699</v>
      </c>
      <c r="D17071" s="56">
        <v>3.0201191819266764E-2</v>
      </c>
      <c r="E17071" s="224" t="s">
        <v>2</v>
      </c>
      <c r="F17071" s="515" t="s">
        <v>18247</v>
      </c>
      <c r="G17071" s="52">
        <v>274006.75107105699</v>
      </c>
      <c r="H17071" s="56">
        <v>0.12753250012071185</v>
      </c>
      <c r="I17071" s="224" t="s">
        <v>2</v>
      </c>
    </row>
    <row r="17072" spans="1:9" x14ac:dyDescent="0.25">
      <c r="A17072" s="515">
        <v>5843</v>
      </c>
      <c r="C17072" s="52">
        <v>211749.96284471001</v>
      </c>
      <c r="D17072" s="56">
        <v>6.4454191462880631E-2</v>
      </c>
      <c r="E17072" s="224" t="s">
        <v>2</v>
      </c>
      <c r="F17072" s="515" t="s">
        <v>18248</v>
      </c>
      <c r="G17072" s="52">
        <v>318901.09295669501</v>
      </c>
      <c r="H17072" s="56">
        <v>6.8640111418176122E-2</v>
      </c>
      <c r="I17072" s="224" t="s">
        <v>2</v>
      </c>
    </row>
    <row r="17073" spans="1:9" x14ac:dyDescent="0.25">
      <c r="A17073" s="515">
        <v>13812</v>
      </c>
      <c r="B17073" s="515" t="s">
        <v>840</v>
      </c>
      <c r="C17073" s="52">
        <v>143039.305265362</v>
      </c>
      <c r="D17073" s="56">
        <v>0.10662875985784839</v>
      </c>
      <c r="E17073" s="224" t="s">
        <v>2</v>
      </c>
      <c r="F17073" s="515" t="s">
        <v>18249</v>
      </c>
      <c r="G17073" s="52">
        <v>120008.541753928</v>
      </c>
      <c r="H17073" s="56">
        <v>0.1460450916651003</v>
      </c>
      <c r="I17073" s="224" t="s">
        <v>2</v>
      </c>
    </row>
    <row r="17074" spans="1:9" x14ac:dyDescent="0.25">
      <c r="A17074" s="515">
        <v>72324</v>
      </c>
      <c r="C17074" s="52">
        <v>107889.17078106399</v>
      </c>
      <c r="D17074" s="56">
        <v>1.8468868405402648E-2</v>
      </c>
      <c r="E17074" s="224" t="s">
        <v>2</v>
      </c>
      <c r="F17074" s="515" t="s">
        <v>18250</v>
      </c>
      <c r="G17074" s="52">
        <v>186456.707004175</v>
      </c>
      <c r="H17074" s="56">
        <v>0</v>
      </c>
      <c r="I17074" s="224" t="s">
        <v>2</v>
      </c>
    </row>
    <row r="17075" spans="1:9" x14ac:dyDescent="0.25">
      <c r="A17075" s="515">
        <v>97827</v>
      </c>
      <c r="B17075" s="515" t="s">
        <v>606</v>
      </c>
      <c r="C17075" s="52">
        <v>220961.86607568001</v>
      </c>
      <c r="D17075" s="56">
        <v>4.2321361477797671E-2</v>
      </c>
      <c r="E17075" s="224" t="s">
        <v>2</v>
      </c>
      <c r="F17075" s="515" t="s">
        <v>18251</v>
      </c>
      <c r="G17075" s="52">
        <v>159175.63458107499</v>
      </c>
      <c r="H17075" s="56">
        <v>-4.5568174919564469E-2</v>
      </c>
      <c r="I17075" s="224" t="s">
        <v>2</v>
      </c>
    </row>
    <row r="17076" spans="1:9" x14ac:dyDescent="0.25">
      <c r="A17076" s="515">
        <v>36273</v>
      </c>
      <c r="C17076" s="52">
        <v>209114.61014531</v>
      </c>
      <c r="D17076" s="56">
        <v>6.2118896117108593E-2</v>
      </c>
      <c r="E17076" s="224" t="s">
        <v>2</v>
      </c>
      <c r="F17076" s="515" t="s">
        <v>18252</v>
      </c>
      <c r="G17076" s="52">
        <v>162545.643916381</v>
      </c>
      <c r="H17076" s="56">
        <v>6.8129434407483355E-3</v>
      </c>
      <c r="I17076" s="224" t="s">
        <v>2</v>
      </c>
    </row>
    <row r="17077" spans="1:9" x14ac:dyDescent="0.25">
      <c r="A17077" s="515">
        <v>65011</v>
      </c>
      <c r="C17077" s="52">
        <v>259551.35936494201</v>
      </c>
      <c r="D17077" s="56">
        <v>7.7174014179226758E-2</v>
      </c>
      <c r="E17077" s="224" t="s">
        <v>2</v>
      </c>
      <c r="F17077" s="515" t="s">
        <v>18253</v>
      </c>
      <c r="G17077" s="52">
        <v>133693.023619493</v>
      </c>
      <c r="H17077" s="56">
        <v>4.2075157349236406E-2</v>
      </c>
      <c r="I17077" s="224" t="s">
        <v>2</v>
      </c>
    </row>
    <row r="17078" spans="1:9" x14ac:dyDescent="0.25">
      <c r="A17078" s="515">
        <v>3844</v>
      </c>
      <c r="B17078" s="515" t="s">
        <v>534</v>
      </c>
      <c r="C17078" s="52">
        <v>705074.91705128097</v>
      </c>
      <c r="D17078" s="56">
        <v>0.14809297144834241</v>
      </c>
      <c r="E17078" s="224" t="s">
        <v>2</v>
      </c>
      <c r="F17078" s="515" t="s">
        <v>18254</v>
      </c>
      <c r="G17078" s="52">
        <v>38962.227335861498</v>
      </c>
      <c r="H17078" s="56">
        <v>-9.0236515796880856E-2</v>
      </c>
      <c r="I17078" s="224" t="s">
        <v>2</v>
      </c>
    </row>
    <row r="17079" spans="1:9" x14ac:dyDescent="0.25">
      <c r="A17079" s="515">
        <v>75631</v>
      </c>
      <c r="C17079" s="52">
        <v>181144.46747099899</v>
      </c>
      <c r="D17079" s="56">
        <v>4.0057850210196776E-2</v>
      </c>
      <c r="E17079" s="224" t="s">
        <v>2</v>
      </c>
      <c r="F17079" s="515" t="s">
        <v>18255</v>
      </c>
      <c r="G17079" s="52">
        <v>352836.52667462401</v>
      </c>
      <c r="H17079" s="56">
        <v>4.5508080520955348E-2</v>
      </c>
      <c r="I17079" s="224" t="s">
        <v>2</v>
      </c>
    </row>
    <row r="17080" spans="1:9" x14ac:dyDescent="0.25">
      <c r="A17080" s="515">
        <v>59829</v>
      </c>
      <c r="C17080" s="52">
        <v>489836.87212684902</v>
      </c>
      <c r="D17080" s="56">
        <v>5.3697306214365893E-2</v>
      </c>
      <c r="E17080" s="224" t="s">
        <v>2</v>
      </c>
      <c r="F17080" s="515" t="s">
        <v>18256</v>
      </c>
      <c r="G17080" s="52">
        <v>1356148.7807998499</v>
      </c>
      <c r="H17080" s="56">
        <v>1.2987989388658675E-2</v>
      </c>
      <c r="I17080" s="224" t="s">
        <v>2</v>
      </c>
    </row>
    <row r="17081" spans="1:9" x14ac:dyDescent="0.25">
      <c r="A17081" s="515">
        <v>76430</v>
      </c>
      <c r="C17081" s="52">
        <v>125348.84765485799</v>
      </c>
      <c r="D17081" s="56">
        <v>-1.6505005553601515E-2</v>
      </c>
      <c r="E17081" s="224" t="s">
        <v>2</v>
      </c>
      <c r="F17081" s="515" t="s">
        <v>18257</v>
      </c>
      <c r="G17081" s="52">
        <v>123063.11975668999</v>
      </c>
      <c r="H17081" s="56">
        <v>0</v>
      </c>
      <c r="I17081" s="224" t="s">
        <v>2</v>
      </c>
    </row>
    <row r="17082" spans="1:9" x14ac:dyDescent="0.25">
      <c r="A17082" s="515">
        <v>77865</v>
      </c>
      <c r="C17082" s="52">
        <v>278971.806024527</v>
      </c>
      <c r="D17082" s="56">
        <v>-4.3262012769804077E-2</v>
      </c>
      <c r="E17082" s="224" t="s">
        <v>2</v>
      </c>
      <c r="F17082" s="515" t="s">
        <v>18258</v>
      </c>
      <c r="G17082" s="52">
        <v>67224.720950953997</v>
      </c>
      <c r="H17082" s="56">
        <v>-1.3025360910282249E-2</v>
      </c>
      <c r="I17082" s="224" t="s">
        <v>2</v>
      </c>
    </row>
    <row r="17083" spans="1:9" x14ac:dyDescent="0.25">
      <c r="A17083" s="515">
        <v>79546</v>
      </c>
      <c r="C17083" s="52">
        <v>71658.896540703703</v>
      </c>
      <c r="D17083" s="56">
        <v>0</v>
      </c>
      <c r="E17083" s="224" t="s">
        <v>2</v>
      </c>
      <c r="F17083" s="515" t="s">
        <v>18259</v>
      </c>
      <c r="G17083" s="52">
        <v>239650.927555584</v>
      </c>
      <c r="H17083" s="56">
        <v>0.19152262842510978</v>
      </c>
      <c r="I17083" s="224" t="s">
        <v>2</v>
      </c>
    </row>
    <row r="17084" spans="1:9" x14ac:dyDescent="0.25">
      <c r="A17084" s="515">
        <v>29009</v>
      </c>
      <c r="B17084" s="515" t="s">
        <v>762</v>
      </c>
      <c r="C17084" s="52">
        <v>106741.201440837</v>
      </c>
      <c r="D17084" s="56">
        <v>1.858890107835541E-2</v>
      </c>
      <c r="E17084" s="224" t="s">
        <v>2</v>
      </c>
      <c r="F17084" s="515" t="s">
        <v>18260</v>
      </c>
      <c r="G17084" s="52">
        <v>189124.40269060401</v>
      </c>
      <c r="H17084" s="56">
        <v>9.0349262932811578E-2</v>
      </c>
      <c r="I17084" s="224" t="s">
        <v>2</v>
      </c>
    </row>
    <row r="17085" spans="1:9" x14ac:dyDescent="0.25">
      <c r="A17085" s="515">
        <v>17970</v>
      </c>
      <c r="B17085" s="515" t="s">
        <v>994</v>
      </c>
      <c r="C17085" s="52">
        <v>66480.632844872802</v>
      </c>
      <c r="D17085" s="56">
        <v>0.20975077570819248</v>
      </c>
      <c r="E17085" s="224" t="s">
        <v>2</v>
      </c>
      <c r="F17085" s="515" t="s">
        <v>18261</v>
      </c>
      <c r="G17085" s="52">
        <v>253147.389814225</v>
      </c>
      <c r="H17085" s="56">
        <v>0.19082373631911556</v>
      </c>
      <c r="I17085" s="224" t="s">
        <v>2</v>
      </c>
    </row>
    <row r="17086" spans="1:9" x14ac:dyDescent="0.25">
      <c r="A17086" s="515">
        <v>6782</v>
      </c>
      <c r="B17086" s="515" t="s">
        <v>559</v>
      </c>
      <c r="C17086" s="52">
        <v>287302.22627274803</v>
      </c>
      <c r="D17086" s="56">
        <v>0.151252241498331</v>
      </c>
      <c r="E17086" s="224" t="s">
        <v>2</v>
      </c>
      <c r="F17086" s="515" t="s">
        <v>18262</v>
      </c>
      <c r="G17086" s="52">
        <v>1094447.8491485601</v>
      </c>
      <c r="H17086" s="56">
        <v>5.2506127033498697E-2</v>
      </c>
      <c r="I17086" s="224" t="s">
        <v>2</v>
      </c>
    </row>
    <row r="17087" spans="1:9" x14ac:dyDescent="0.25">
      <c r="A17087" s="515">
        <v>72326</v>
      </c>
      <c r="C17087" s="52">
        <v>104359.224092112</v>
      </c>
      <c r="D17087" s="56">
        <v>-2.3991778957251878E-3</v>
      </c>
      <c r="E17087" s="224" t="s">
        <v>2</v>
      </c>
      <c r="F17087" s="515" t="s">
        <v>18263</v>
      </c>
      <c r="G17087" s="52">
        <v>76633.555248580393</v>
      </c>
      <c r="H17087" s="56">
        <v>0.12214174520970775</v>
      </c>
      <c r="I17087" s="224" t="s">
        <v>2</v>
      </c>
    </row>
    <row r="17088" spans="1:9" x14ac:dyDescent="0.25">
      <c r="A17088" s="515">
        <v>88047</v>
      </c>
      <c r="B17088" s="515" t="s">
        <v>317</v>
      </c>
      <c r="C17088" s="52">
        <v>317460.18062342098</v>
      </c>
      <c r="D17088" s="56">
        <v>8.2734316443863115E-2</v>
      </c>
      <c r="E17088" s="224" t="s">
        <v>2</v>
      </c>
      <c r="F17088" s="515" t="s">
        <v>18264</v>
      </c>
      <c r="G17088" s="52">
        <v>264487.83669037803</v>
      </c>
      <c r="H17088" s="56">
        <v>5.2274785438072138E-2</v>
      </c>
      <c r="I17088" s="224" t="s">
        <v>2</v>
      </c>
    </row>
    <row r="17089" spans="1:9" x14ac:dyDescent="0.25">
      <c r="A17089" s="515">
        <v>37694</v>
      </c>
      <c r="B17089" s="515" t="s">
        <v>988</v>
      </c>
      <c r="C17089" s="52">
        <v>185632.570286634</v>
      </c>
      <c r="D17089" s="56">
        <v>2.0998486265324721E-2</v>
      </c>
      <c r="E17089" s="224" t="s">
        <v>2</v>
      </c>
      <c r="F17089" s="515" t="s">
        <v>18265</v>
      </c>
      <c r="G17089" s="52">
        <v>210387.86517112001</v>
      </c>
      <c r="H17089" s="56">
        <v>5.5026977802363146E-2</v>
      </c>
      <c r="I17089" s="224" t="s">
        <v>2</v>
      </c>
    </row>
    <row r="17090" spans="1:9" x14ac:dyDescent="0.25">
      <c r="A17090" s="515">
        <v>78393</v>
      </c>
      <c r="C17090" s="52">
        <v>103680.949256932</v>
      </c>
      <c r="D17090" s="56">
        <v>-3.7967718982088366E-2</v>
      </c>
      <c r="E17090" s="224" t="s">
        <v>2</v>
      </c>
      <c r="F17090" s="515" t="s">
        <v>18266</v>
      </c>
      <c r="G17090" s="52">
        <v>154734.13261507501</v>
      </c>
      <c r="H17090" s="56">
        <v>0</v>
      </c>
      <c r="I17090" s="224" t="s">
        <v>2</v>
      </c>
    </row>
    <row r="17091" spans="1:9" x14ac:dyDescent="0.25">
      <c r="A17091" s="515">
        <v>19043</v>
      </c>
      <c r="B17091" s="515" t="s">
        <v>294</v>
      </c>
      <c r="C17091" s="52">
        <v>268520.63545740698</v>
      </c>
      <c r="D17091" s="56">
        <v>7.4627964452308862E-2</v>
      </c>
      <c r="E17091" s="224" t="s">
        <v>2</v>
      </c>
      <c r="F17091" s="515" t="s">
        <v>18267</v>
      </c>
      <c r="G17091" s="52">
        <v>417193.69354838697</v>
      </c>
      <c r="H17091" s="56">
        <v>0</v>
      </c>
      <c r="I17091" s="224" t="s">
        <v>2</v>
      </c>
    </row>
    <row r="17092" spans="1:9" x14ac:dyDescent="0.25">
      <c r="A17092" s="515">
        <v>62084</v>
      </c>
      <c r="B17092" s="515" t="s">
        <v>498</v>
      </c>
      <c r="C17092" s="52">
        <v>90568.244659812393</v>
      </c>
      <c r="D17092" s="56">
        <v>0.1106128498403493</v>
      </c>
      <c r="E17092" s="224" t="s">
        <v>2</v>
      </c>
      <c r="F17092" s="515" t="s">
        <v>18268</v>
      </c>
      <c r="G17092" s="52">
        <v>138569.91032066999</v>
      </c>
      <c r="H17092" s="56">
        <v>0.10252267565807213</v>
      </c>
      <c r="I17092" s="224" t="s">
        <v>2</v>
      </c>
    </row>
    <row r="17093" spans="1:9" x14ac:dyDescent="0.25">
      <c r="A17093" s="515">
        <v>26184</v>
      </c>
      <c r="B17093" s="515" t="s">
        <v>956</v>
      </c>
      <c r="C17093" s="52">
        <v>167428.300249836</v>
      </c>
      <c r="D17093" s="56">
        <v>9.600921761925986E-2</v>
      </c>
      <c r="E17093" s="224" t="s">
        <v>2</v>
      </c>
      <c r="F17093" s="515" t="s">
        <v>18269</v>
      </c>
      <c r="G17093" s="52">
        <v>149643.88200960401</v>
      </c>
      <c r="H17093" s="56">
        <v>2.7893564278021896E-2</v>
      </c>
      <c r="I17093" s="224" t="s">
        <v>2</v>
      </c>
    </row>
    <row r="17094" spans="1:9" x14ac:dyDescent="0.25">
      <c r="A17094" s="515">
        <v>56172</v>
      </c>
      <c r="C17094" s="52">
        <v>158895.99348094899</v>
      </c>
      <c r="D17094" s="56">
        <v>6.1267289490260612E-2</v>
      </c>
      <c r="E17094" s="224" t="s">
        <v>2</v>
      </c>
      <c r="F17094" s="515" t="s">
        <v>18270</v>
      </c>
      <c r="G17094" s="52">
        <v>87760.522568845103</v>
      </c>
      <c r="H17094" s="56">
        <v>3.1876018071069274E-2</v>
      </c>
      <c r="I17094" s="224" t="s">
        <v>2</v>
      </c>
    </row>
    <row r="17095" spans="1:9" x14ac:dyDescent="0.25">
      <c r="A17095" s="515">
        <v>23083</v>
      </c>
      <c r="B17095" s="515" t="s">
        <v>667</v>
      </c>
      <c r="C17095" s="52">
        <v>254043.379850228</v>
      </c>
      <c r="D17095" s="56">
        <v>0.1861352333761776</v>
      </c>
      <c r="E17095" s="224" t="s">
        <v>2</v>
      </c>
      <c r="F17095" s="515" t="s">
        <v>18271</v>
      </c>
      <c r="G17095" s="52">
        <v>119162.78399552099</v>
      </c>
      <c r="H17095" s="56">
        <v>0.15775149598031243</v>
      </c>
      <c r="I17095" s="224" t="s">
        <v>2</v>
      </c>
    </row>
    <row r="17096" spans="1:9" x14ac:dyDescent="0.25">
      <c r="A17096" s="515">
        <v>74964</v>
      </c>
      <c r="C17096" s="52">
        <v>159103.31328911701</v>
      </c>
      <c r="D17096" s="56">
        <v>0.13365915594772099</v>
      </c>
      <c r="E17096" s="224" t="s">
        <v>2</v>
      </c>
      <c r="F17096" s="515" t="s">
        <v>18272</v>
      </c>
      <c r="G17096" s="52">
        <v>318440.72193002299</v>
      </c>
      <c r="H17096" s="56">
        <v>0</v>
      </c>
      <c r="I17096" s="224" t="s">
        <v>2</v>
      </c>
    </row>
    <row r="17097" spans="1:9" x14ac:dyDescent="0.25">
      <c r="A17097" s="515">
        <v>7737</v>
      </c>
      <c r="B17097" s="515" t="s">
        <v>324</v>
      </c>
      <c r="C17097" s="52">
        <v>492301.18079080002</v>
      </c>
      <c r="D17097" s="56">
        <v>7.4976632630848611E-2</v>
      </c>
      <c r="E17097" s="224" t="s">
        <v>2</v>
      </c>
      <c r="F17097" s="515" t="s">
        <v>18273</v>
      </c>
      <c r="G17097" s="52">
        <v>249187.238943676</v>
      </c>
      <c r="H17097" s="56">
        <v>4.7421381147835534E-2</v>
      </c>
      <c r="I17097" s="224" t="s">
        <v>2</v>
      </c>
    </row>
    <row r="17098" spans="1:9" x14ac:dyDescent="0.25">
      <c r="A17098" s="515">
        <v>81069</v>
      </c>
      <c r="C17098" s="52">
        <v>321499.850178522</v>
      </c>
      <c r="D17098" s="56">
        <v>8.2695575645466868E-2</v>
      </c>
      <c r="E17098" s="224" t="s">
        <v>2</v>
      </c>
      <c r="F17098" s="515" t="s">
        <v>18274</v>
      </c>
      <c r="G17098" s="52">
        <v>203811.10640619599</v>
      </c>
      <c r="H17098" s="56">
        <v>0.11959546180123358</v>
      </c>
      <c r="I17098" s="224" t="s">
        <v>2</v>
      </c>
    </row>
    <row r="17099" spans="1:9" x14ac:dyDescent="0.25">
      <c r="A17099" s="515">
        <v>34756</v>
      </c>
      <c r="B17099" s="515" t="s">
        <v>517</v>
      </c>
      <c r="C17099" s="52">
        <v>555731.70869425498</v>
      </c>
      <c r="D17099" s="56">
        <v>0.12091476522668665</v>
      </c>
      <c r="E17099" s="224" t="s">
        <v>2</v>
      </c>
      <c r="F17099" s="515" t="s">
        <v>18275</v>
      </c>
      <c r="G17099" s="52">
        <v>3567241.6297498699</v>
      </c>
      <c r="H17099" s="56">
        <v>9.0461453269363404E-2</v>
      </c>
      <c r="I17099" s="224">
        <v>97222</v>
      </c>
    </row>
    <row r="17100" spans="1:9" x14ac:dyDescent="0.25">
      <c r="A17100" s="515">
        <v>46702</v>
      </c>
      <c r="B17100" s="515" t="s">
        <v>1144</v>
      </c>
      <c r="C17100" s="52">
        <v>150365.73973575199</v>
      </c>
      <c r="D17100" s="56">
        <v>6.6899783161157869E-2</v>
      </c>
      <c r="E17100" s="224" t="s">
        <v>2</v>
      </c>
      <c r="F17100" s="515" t="s">
        <v>18276</v>
      </c>
      <c r="G17100" s="52">
        <v>146321.40527801</v>
      </c>
      <c r="H17100" s="56">
        <v>0.11567374574487414</v>
      </c>
      <c r="I17100" s="224" t="s">
        <v>2</v>
      </c>
    </row>
    <row r="17101" spans="1:9" x14ac:dyDescent="0.25">
      <c r="A17101" s="515">
        <v>32798</v>
      </c>
      <c r="B17101" s="515" t="s">
        <v>517</v>
      </c>
      <c r="C17101" s="52">
        <v>193175.947826819</v>
      </c>
      <c r="D17101" s="56">
        <v>0.17548716902600642</v>
      </c>
      <c r="E17101" s="224" t="s">
        <v>2</v>
      </c>
      <c r="F17101" s="515" t="s">
        <v>18277</v>
      </c>
      <c r="G17101" s="52">
        <v>199523.120048215</v>
      </c>
      <c r="H17101" s="56">
        <v>7.3953362903765849E-2</v>
      </c>
      <c r="I17101" s="224" t="s">
        <v>2</v>
      </c>
    </row>
    <row r="17102" spans="1:9" x14ac:dyDescent="0.25">
      <c r="A17102" s="515">
        <v>3869</v>
      </c>
      <c r="B17102" s="515" t="s">
        <v>534</v>
      </c>
      <c r="C17102" s="52">
        <v>397014.20040675398</v>
      </c>
      <c r="D17102" s="56">
        <v>8.8678102493453356E-2</v>
      </c>
      <c r="E17102" s="224" t="s">
        <v>2</v>
      </c>
      <c r="F17102" s="515" t="s">
        <v>18278</v>
      </c>
      <c r="G17102" s="52">
        <v>174318.18537630499</v>
      </c>
      <c r="H17102" s="56">
        <v>7.834622002886675E-2</v>
      </c>
      <c r="I17102" s="224" t="s">
        <v>2</v>
      </c>
    </row>
    <row r="17103" spans="1:9" x14ac:dyDescent="0.25">
      <c r="A17103" s="515">
        <v>1351</v>
      </c>
      <c r="B17103" s="515" t="s">
        <v>575</v>
      </c>
      <c r="C17103" s="52">
        <v>334093.16331216699</v>
      </c>
      <c r="D17103" s="56">
        <v>7.0274759461274927E-2</v>
      </c>
      <c r="E17103" s="224" t="s">
        <v>2</v>
      </c>
      <c r="F17103" s="515" t="s">
        <v>18279</v>
      </c>
      <c r="G17103" s="52">
        <v>201985.10126215499</v>
      </c>
      <c r="H17103" s="56">
        <v>9.0469758809516548E-2</v>
      </c>
      <c r="I17103" s="224" t="s">
        <v>2</v>
      </c>
    </row>
    <row r="17104" spans="1:9" x14ac:dyDescent="0.25">
      <c r="A17104" s="515">
        <v>42058</v>
      </c>
      <c r="B17104" s="515" t="s">
        <v>846</v>
      </c>
      <c r="C17104" s="52">
        <v>130942.49678375501</v>
      </c>
      <c r="D17104" s="56">
        <v>0.12369117126288412</v>
      </c>
      <c r="E17104" s="224" t="s">
        <v>2</v>
      </c>
      <c r="F17104" s="515" t="s">
        <v>18280</v>
      </c>
      <c r="G17104" s="52">
        <v>160129.39982551601</v>
      </c>
      <c r="H17104" s="56">
        <v>7.0556774438452541E-2</v>
      </c>
      <c r="I17104" s="224" t="s">
        <v>2</v>
      </c>
    </row>
    <row r="17105" spans="1:9" x14ac:dyDescent="0.25">
      <c r="A17105" s="515">
        <v>50636</v>
      </c>
      <c r="C17105" s="52">
        <v>148519.608414491</v>
      </c>
      <c r="D17105" s="56">
        <v>8.4447231177040935E-2</v>
      </c>
      <c r="E17105" s="224" t="s">
        <v>2</v>
      </c>
      <c r="F17105" s="515" t="s">
        <v>18281</v>
      </c>
      <c r="G17105" s="52">
        <v>132813.328878498</v>
      </c>
      <c r="H17105" s="56">
        <v>0.13798864451621351</v>
      </c>
      <c r="I17105" s="224" t="s">
        <v>2</v>
      </c>
    </row>
    <row r="17106" spans="1:9" x14ac:dyDescent="0.25">
      <c r="A17106" s="515">
        <v>3826</v>
      </c>
      <c r="B17106" s="515" t="s">
        <v>534</v>
      </c>
      <c r="C17106" s="52">
        <v>491064.00392999302</v>
      </c>
      <c r="D17106" s="56">
        <v>7.1511860848640821E-2</v>
      </c>
      <c r="E17106" s="224" t="s">
        <v>2</v>
      </c>
      <c r="F17106" s="515" t="s">
        <v>18282</v>
      </c>
      <c r="G17106" s="52">
        <v>241267.943417381</v>
      </c>
      <c r="H17106" s="56">
        <v>6.7232551242310021E-2</v>
      </c>
      <c r="I17106" s="224" t="s">
        <v>2</v>
      </c>
    </row>
    <row r="17107" spans="1:9" x14ac:dyDescent="0.25">
      <c r="A17107" s="515">
        <v>38940</v>
      </c>
      <c r="B17107" s="515" t="s">
        <v>983</v>
      </c>
      <c r="C17107" s="52">
        <v>121591.58958100399</v>
      </c>
      <c r="D17107" s="56">
        <v>-4.1738975446826788E-2</v>
      </c>
      <c r="E17107" s="224" t="s">
        <v>2</v>
      </c>
      <c r="F17107" s="515" t="s">
        <v>18283</v>
      </c>
      <c r="G17107" s="52">
        <v>165601.41817559901</v>
      </c>
      <c r="H17107" s="56">
        <v>9.4024926077229593E-2</v>
      </c>
      <c r="I17107" s="224" t="s">
        <v>2</v>
      </c>
    </row>
    <row r="17108" spans="1:9" x14ac:dyDescent="0.25">
      <c r="A17108" s="515">
        <v>48628</v>
      </c>
      <c r="B17108" s="515" t="s">
        <v>1121</v>
      </c>
      <c r="C17108" s="52">
        <v>175727.47413779801</v>
      </c>
      <c r="D17108" s="56">
        <v>6.7334618108850081E-2</v>
      </c>
      <c r="E17108" s="224" t="s">
        <v>2</v>
      </c>
      <c r="F17108" s="515" t="s">
        <v>18284</v>
      </c>
      <c r="G17108" s="52">
        <v>115688.93342322799</v>
      </c>
      <c r="H17108" s="56">
        <v>-2.4270927185728293E-3</v>
      </c>
      <c r="I17108" s="224" t="s">
        <v>2</v>
      </c>
    </row>
    <row r="17109" spans="1:9" x14ac:dyDescent="0.25">
      <c r="A17109" s="515">
        <v>75778</v>
      </c>
      <c r="B17109" s="515" t="s">
        <v>1088</v>
      </c>
      <c r="C17109" s="52">
        <v>202866.428506581</v>
      </c>
      <c r="D17109" s="56">
        <v>4.0797326238321649E-2</v>
      </c>
      <c r="E17109" s="224" t="s">
        <v>2</v>
      </c>
      <c r="F17109" s="515" t="s">
        <v>18285</v>
      </c>
      <c r="G17109" s="52">
        <v>230234.68736370301</v>
      </c>
      <c r="H17109" s="56">
        <v>9.6781173908485132E-2</v>
      </c>
      <c r="I17109" s="224" t="s">
        <v>2</v>
      </c>
    </row>
    <row r="17110" spans="1:9" x14ac:dyDescent="0.25">
      <c r="A17110" s="515">
        <v>25678</v>
      </c>
      <c r="C17110" s="52">
        <v>53670.8960309916</v>
      </c>
      <c r="D17110" s="56">
        <v>7.6314749579649954E-2</v>
      </c>
      <c r="E17110" s="224" t="s">
        <v>2</v>
      </c>
      <c r="F17110" s="515" t="s">
        <v>18286</v>
      </c>
      <c r="G17110" s="52">
        <v>134248.38169251601</v>
      </c>
      <c r="H17110" s="56">
        <v>8.3889307103345773E-2</v>
      </c>
      <c r="I17110" s="224" t="s">
        <v>2</v>
      </c>
    </row>
    <row r="17111" spans="1:9" x14ac:dyDescent="0.25">
      <c r="A17111" s="515">
        <v>13146</v>
      </c>
      <c r="B17111" s="515" t="s">
        <v>337</v>
      </c>
      <c r="C17111" s="52">
        <v>129079.168176979</v>
      </c>
      <c r="D17111" s="56">
        <v>0.11299887797296723</v>
      </c>
      <c r="E17111" s="224" t="s">
        <v>2</v>
      </c>
      <c r="F17111" s="515" t="s">
        <v>18287</v>
      </c>
      <c r="G17111" s="52">
        <v>105846.520675682</v>
      </c>
      <c r="H17111" s="56">
        <v>-6.1331987842992111E-2</v>
      </c>
      <c r="I17111" s="224" t="s">
        <v>2</v>
      </c>
    </row>
    <row r="17112" spans="1:9" x14ac:dyDescent="0.25">
      <c r="A17112" s="515">
        <v>39813</v>
      </c>
      <c r="C17112" s="52">
        <v>71471.399543871506</v>
      </c>
      <c r="D17112" s="56">
        <v>4.7083379851146356E-2</v>
      </c>
      <c r="E17112" s="224" t="s">
        <v>2</v>
      </c>
      <c r="F17112" s="515" t="s">
        <v>18288</v>
      </c>
      <c r="G17112" s="52">
        <v>76920.067914997097</v>
      </c>
      <c r="H17112" s="56">
        <v>0.17296455451161924</v>
      </c>
      <c r="I17112" s="224" t="s">
        <v>2</v>
      </c>
    </row>
    <row r="17113" spans="1:9" x14ac:dyDescent="0.25">
      <c r="A17113" s="515">
        <v>22620</v>
      </c>
      <c r="B17113" s="515" t="s">
        <v>321</v>
      </c>
      <c r="C17113" s="52">
        <v>480168.85285727802</v>
      </c>
      <c r="D17113" s="56">
        <v>5.9455621113547019E-2</v>
      </c>
      <c r="E17113" s="224" t="s">
        <v>2</v>
      </c>
      <c r="F17113" s="515" t="s">
        <v>18289</v>
      </c>
      <c r="G17113" s="52">
        <v>282866.17699115002</v>
      </c>
      <c r="H17113" s="56">
        <v>0</v>
      </c>
      <c r="I17113" s="224" t="s">
        <v>2</v>
      </c>
    </row>
    <row r="17114" spans="1:9" x14ac:dyDescent="0.25">
      <c r="A17114" s="515">
        <v>14435</v>
      </c>
      <c r="B17114" s="515" t="s">
        <v>337</v>
      </c>
      <c r="C17114" s="52">
        <v>257965.82371763699</v>
      </c>
      <c r="D17114" s="56">
        <v>0.12474117438651428</v>
      </c>
      <c r="E17114" s="224" t="s">
        <v>2</v>
      </c>
      <c r="F17114" s="515" t="s">
        <v>18290</v>
      </c>
      <c r="G17114" s="52">
        <v>340478.51232339599</v>
      </c>
      <c r="H17114" s="56">
        <v>-2.9875645772267827E-3</v>
      </c>
      <c r="I17114" s="224" t="s">
        <v>2</v>
      </c>
    </row>
    <row r="17115" spans="1:9" x14ac:dyDescent="0.25">
      <c r="A17115" s="515">
        <v>13613</v>
      </c>
      <c r="B17115" s="515" t="s">
        <v>511</v>
      </c>
      <c r="C17115" s="52">
        <v>125683.306302061</v>
      </c>
      <c r="D17115" s="56">
        <v>6.6742818777317942E-2</v>
      </c>
      <c r="E17115" s="224" t="s">
        <v>2</v>
      </c>
      <c r="F17115" s="515" t="s">
        <v>18291</v>
      </c>
      <c r="G17115" s="52">
        <v>93072.675924233903</v>
      </c>
      <c r="H17115" s="56">
        <v>8.7946494440341152E-2</v>
      </c>
      <c r="I17115" s="224" t="s">
        <v>2</v>
      </c>
    </row>
    <row r="17116" spans="1:9" x14ac:dyDescent="0.25">
      <c r="A17116" s="515">
        <v>54824</v>
      </c>
      <c r="C17116" s="52">
        <v>232113.40432455801</v>
      </c>
      <c r="D17116" s="56">
        <v>7.4507166821976334E-2</v>
      </c>
      <c r="E17116" s="224" t="s">
        <v>2</v>
      </c>
      <c r="F17116" s="515" t="s">
        <v>18292</v>
      </c>
      <c r="G17116" s="52">
        <v>96251.199999999997</v>
      </c>
      <c r="H17116" s="56">
        <v>0</v>
      </c>
      <c r="I17116" s="224" t="s">
        <v>2</v>
      </c>
    </row>
    <row r="17117" spans="1:9" x14ac:dyDescent="0.25">
      <c r="A17117" s="515">
        <v>54817</v>
      </c>
      <c r="C17117" s="52">
        <v>304573.30382550199</v>
      </c>
      <c r="D17117" s="56">
        <v>0.14956597754246501</v>
      </c>
      <c r="E17117" s="224" t="s">
        <v>2</v>
      </c>
      <c r="F17117" s="515" t="s">
        <v>18293</v>
      </c>
      <c r="G17117" s="52">
        <v>134754.593052868</v>
      </c>
      <c r="H17117" s="56">
        <v>8.1330111726705429E-2</v>
      </c>
      <c r="I17117" s="224" t="s">
        <v>2</v>
      </c>
    </row>
    <row r="17118" spans="1:9" x14ac:dyDescent="0.25">
      <c r="A17118" s="515">
        <v>48449</v>
      </c>
      <c r="B17118" s="515" t="s">
        <v>759</v>
      </c>
      <c r="C17118" s="52">
        <v>191874.62343011799</v>
      </c>
      <c r="D17118" s="56">
        <v>-5.9997789782403131E-2</v>
      </c>
      <c r="E17118" s="224" t="s">
        <v>2</v>
      </c>
      <c r="F17118" s="515" t="s">
        <v>18294</v>
      </c>
      <c r="G17118" s="52">
        <v>458192.068122303</v>
      </c>
      <c r="H17118" s="56">
        <v>4.7386986411923085E-2</v>
      </c>
      <c r="I17118" s="224" t="s">
        <v>2</v>
      </c>
    </row>
    <row r="17119" spans="1:9" x14ac:dyDescent="0.25">
      <c r="A17119" s="515">
        <v>54534</v>
      </c>
      <c r="C17119" s="52">
        <v>93324.627928249305</v>
      </c>
      <c r="D17119" s="56">
        <v>8.3209758116371893E-2</v>
      </c>
      <c r="E17119" s="224" t="s">
        <v>2</v>
      </c>
      <c r="F17119" s="515" t="s">
        <v>18295</v>
      </c>
      <c r="G17119" s="52">
        <v>204882.19190536399</v>
      </c>
      <c r="H17119" s="56">
        <v>7.0924498510538461E-2</v>
      </c>
      <c r="I17119" s="224" t="s">
        <v>2</v>
      </c>
    </row>
    <row r="17120" spans="1:9" x14ac:dyDescent="0.25">
      <c r="A17120" s="515">
        <v>39176</v>
      </c>
      <c r="B17120" s="515" t="s">
        <v>293</v>
      </c>
      <c r="C17120" s="52">
        <v>122447.01076489</v>
      </c>
      <c r="D17120" s="56">
        <v>-5.5859508907647036E-2</v>
      </c>
      <c r="E17120" s="224" t="s">
        <v>2</v>
      </c>
      <c r="F17120" s="515" t="s">
        <v>18296</v>
      </c>
      <c r="G17120" s="52">
        <v>137190.83588966701</v>
      </c>
      <c r="H17120" s="56">
        <v>8.0653102671593424E-2</v>
      </c>
      <c r="I17120" s="224" t="s">
        <v>2</v>
      </c>
    </row>
    <row r="17121" spans="1:9" x14ac:dyDescent="0.25">
      <c r="A17121" s="515">
        <v>10006</v>
      </c>
      <c r="B17121" s="515" t="s">
        <v>324</v>
      </c>
      <c r="C17121" s="52">
        <v>944970.50119082397</v>
      </c>
      <c r="D17121" s="56">
        <v>-2.9647254531513879E-2</v>
      </c>
      <c r="E17121" s="224">
        <v>3835.8492063491999</v>
      </c>
      <c r="F17121" s="515" t="s">
        <v>18297</v>
      </c>
      <c r="G17121" s="52">
        <v>237169.06858652001</v>
      </c>
      <c r="H17121" s="56">
        <v>3.9265484594840118E-2</v>
      </c>
      <c r="I17121" s="224" t="s">
        <v>2</v>
      </c>
    </row>
    <row r="17122" spans="1:9" x14ac:dyDescent="0.25">
      <c r="A17122" s="515">
        <v>47341</v>
      </c>
      <c r="B17122" s="515" t="s">
        <v>883</v>
      </c>
      <c r="C17122" s="52">
        <v>177536.88823001701</v>
      </c>
      <c r="D17122" s="56">
        <v>8.4630237149894982E-2</v>
      </c>
      <c r="E17122" s="224" t="s">
        <v>2</v>
      </c>
      <c r="F17122" s="515" t="s">
        <v>18298</v>
      </c>
      <c r="G17122" s="52">
        <v>178773.347368421</v>
      </c>
      <c r="H17122" s="56">
        <v>0</v>
      </c>
      <c r="I17122" s="224" t="s">
        <v>2</v>
      </c>
    </row>
    <row r="17123" spans="1:9" x14ac:dyDescent="0.25">
      <c r="A17123" s="515">
        <v>37180</v>
      </c>
      <c r="B17123" s="515" t="s">
        <v>1098</v>
      </c>
      <c r="C17123" s="52">
        <v>296263.21114246798</v>
      </c>
      <c r="D17123" s="56">
        <v>9.2149005847715321E-2</v>
      </c>
      <c r="E17123" s="224" t="s">
        <v>2</v>
      </c>
      <c r="F17123" s="515" t="s">
        <v>18299</v>
      </c>
      <c r="G17123" s="52">
        <v>160508.929677985</v>
      </c>
      <c r="H17123" s="56">
        <v>-3.4588950382448122E-2</v>
      </c>
      <c r="I17123" s="224" t="s">
        <v>2</v>
      </c>
    </row>
    <row r="17124" spans="1:9" x14ac:dyDescent="0.25">
      <c r="A17124" s="515">
        <v>29729</v>
      </c>
      <c r="B17124" s="515" t="s">
        <v>360</v>
      </c>
      <c r="C17124" s="52">
        <v>204037.49495121901</v>
      </c>
      <c r="D17124" s="56">
        <v>4.8021102462846833E-2</v>
      </c>
      <c r="E17124" s="224" t="s">
        <v>2</v>
      </c>
      <c r="F17124" s="515" t="s">
        <v>18300</v>
      </c>
      <c r="G17124" s="52">
        <v>103720.574468085</v>
      </c>
      <c r="H17124" s="56">
        <v>0</v>
      </c>
      <c r="I17124" s="224" t="s">
        <v>2</v>
      </c>
    </row>
    <row r="17125" spans="1:9" x14ac:dyDescent="0.25">
      <c r="A17125" s="515">
        <v>38069</v>
      </c>
      <c r="B17125" s="515" t="s">
        <v>1070</v>
      </c>
      <c r="C17125" s="52">
        <v>121705.959507949</v>
      </c>
      <c r="D17125" s="56">
        <v>-2.0232593501641589E-2</v>
      </c>
      <c r="E17125" s="224" t="s">
        <v>2</v>
      </c>
      <c r="F17125" s="515" t="s">
        <v>18301</v>
      </c>
      <c r="G17125" s="52">
        <v>111746.93596597901</v>
      </c>
      <c r="H17125" s="56">
        <v>2.7686549406326692E-2</v>
      </c>
      <c r="I17125" s="224" t="s">
        <v>2</v>
      </c>
    </row>
    <row r="17126" spans="1:9" x14ac:dyDescent="0.25">
      <c r="A17126" s="515">
        <v>87421</v>
      </c>
      <c r="B17126" s="515" t="s">
        <v>893</v>
      </c>
      <c r="C17126" s="52">
        <v>172504.531654911</v>
      </c>
      <c r="D17126" s="56">
        <v>9.0300944930628464E-3</v>
      </c>
      <c r="E17126" s="224" t="s">
        <v>2</v>
      </c>
      <c r="F17126" s="515" t="s">
        <v>18302</v>
      </c>
      <c r="G17126" s="52">
        <v>60481.196721311397</v>
      </c>
      <c r="H17126" s="56">
        <v>0</v>
      </c>
      <c r="I17126" s="224" t="s">
        <v>2</v>
      </c>
    </row>
    <row r="17127" spans="1:9" x14ac:dyDescent="0.25">
      <c r="A17127" s="515">
        <v>6756</v>
      </c>
      <c r="B17127" s="515" t="s">
        <v>559</v>
      </c>
      <c r="C17127" s="52">
        <v>469156.38724500098</v>
      </c>
      <c r="D17127" s="56">
        <v>0.10265762901928792</v>
      </c>
      <c r="E17127" s="224" t="s">
        <v>2</v>
      </c>
      <c r="F17127" s="515" t="s">
        <v>18303</v>
      </c>
      <c r="G17127" s="52">
        <v>83754.851506773906</v>
      </c>
      <c r="H17127" s="56">
        <v>6.8126095662503411E-2</v>
      </c>
      <c r="I17127" s="224" t="s">
        <v>2</v>
      </c>
    </row>
    <row r="17128" spans="1:9" x14ac:dyDescent="0.25">
      <c r="A17128" s="515">
        <v>17086</v>
      </c>
      <c r="C17128" s="52">
        <v>178284.68853962899</v>
      </c>
      <c r="D17128" s="56">
        <v>6.2029281478109412E-2</v>
      </c>
      <c r="E17128" s="224" t="s">
        <v>2</v>
      </c>
      <c r="F17128" s="515" t="s">
        <v>18304</v>
      </c>
      <c r="G17128" s="52">
        <v>148021.48561679199</v>
      </c>
      <c r="H17128" s="56">
        <v>5.6722275673344154E-2</v>
      </c>
      <c r="I17128" s="224" t="s">
        <v>2</v>
      </c>
    </row>
    <row r="17129" spans="1:9" x14ac:dyDescent="0.25">
      <c r="A17129" s="515">
        <v>99824</v>
      </c>
      <c r="B17129" s="515" t="s">
        <v>1143</v>
      </c>
      <c r="C17129" s="52">
        <v>336200.26751781901</v>
      </c>
      <c r="D17129" s="56">
        <v>7.8612619557797882E-3</v>
      </c>
      <c r="E17129" s="224" t="s">
        <v>2</v>
      </c>
      <c r="F17129" s="515" t="s">
        <v>18305</v>
      </c>
      <c r="G17129" s="52">
        <v>242427.31447336799</v>
      </c>
      <c r="H17129" s="56">
        <v>7.0767265381741232E-2</v>
      </c>
      <c r="I17129" s="224" t="s">
        <v>2</v>
      </c>
    </row>
    <row r="17130" spans="1:9" x14ac:dyDescent="0.25">
      <c r="A17130" s="515">
        <v>88048</v>
      </c>
      <c r="B17130" s="515" t="s">
        <v>317</v>
      </c>
      <c r="C17130" s="52">
        <v>178476.02883572699</v>
      </c>
      <c r="D17130" s="56">
        <v>0.13070138373834436</v>
      </c>
      <c r="E17130" s="224" t="s">
        <v>2</v>
      </c>
      <c r="F17130" s="515" t="s">
        <v>18306</v>
      </c>
      <c r="G17130" s="52">
        <v>191614.90501637201</v>
      </c>
      <c r="H17130" s="56">
        <v>5.938067473515353E-2</v>
      </c>
      <c r="I17130" s="224" t="s">
        <v>2</v>
      </c>
    </row>
    <row r="17131" spans="1:9" x14ac:dyDescent="0.25">
      <c r="A17131" s="515">
        <v>49253</v>
      </c>
      <c r="B17131" s="515" t="s">
        <v>958</v>
      </c>
      <c r="C17131" s="52">
        <v>269864.58083061402</v>
      </c>
      <c r="D17131" s="56">
        <v>0.11321749086425835</v>
      </c>
      <c r="E17131" s="224" t="s">
        <v>2</v>
      </c>
      <c r="F17131" s="515" t="s">
        <v>18307</v>
      </c>
      <c r="G17131" s="52">
        <v>317881.03267342201</v>
      </c>
      <c r="H17131" s="56">
        <v>7.7985940813259616E-2</v>
      </c>
      <c r="I17131" s="224" t="s">
        <v>2</v>
      </c>
    </row>
    <row r="17132" spans="1:9" x14ac:dyDescent="0.25">
      <c r="A17132" s="515">
        <v>17502</v>
      </c>
      <c r="B17132" s="515" t="s">
        <v>537</v>
      </c>
      <c r="C17132" s="52">
        <v>278691.66597690299</v>
      </c>
      <c r="D17132" s="56">
        <v>9.9181989393815007E-2</v>
      </c>
      <c r="E17132" s="224" t="s">
        <v>2</v>
      </c>
      <c r="F17132" s="515" t="s">
        <v>18308</v>
      </c>
      <c r="G17132" s="52">
        <v>107580.43125572101</v>
      </c>
      <c r="H17132" s="56">
        <v>0.11502872716910417</v>
      </c>
      <c r="I17132" s="224" t="s">
        <v>2</v>
      </c>
    </row>
    <row r="17133" spans="1:9" x14ac:dyDescent="0.25">
      <c r="A17133" s="515">
        <v>63468</v>
      </c>
      <c r="C17133" s="52">
        <v>112971.963802953</v>
      </c>
      <c r="D17133" s="56">
        <v>8.6231284542349032E-2</v>
      </c>
      <c r="E17133" s="224" t="s">
        <v>2</v>
      </c>
      <c r="F17133" s="515" t="s">
        <v>18309</v>
      </c>
      <c r="G17133" s="52">
        <v>194563.34661734401</v>
      </c>
      <c r="H17133" s="56">
        <v>0.12065219899066117</v>
      </c>
      <c r="I17133" s="224" t="s">
        <v>2</v>
      </c>
    </row>
    <row r="17134" spans="1:9" x14ac:dyDescent="0.25">
      <c r="A17134" s="515">
        <v>12780</v>
      </c>
      <c r="B17134" s="515" t="s">
        <v>529</v>
      </c>
      <c r="C17134" s="52">
        <v>289271.13937324501</v>
      </c>
      <c r="D17134" s="56">
        <v>0.15571824572763332</v>
      </c>
      <c r="E17134" s="224" t="s">
        <v>2</v>
      </c>
      <c r="F17134" s="515" t="s">
        <v>18310</v>
      </c>
      <c r="G17134" s="52">
        <v>406420.873783388</v>
      </c>
      <c r="H17134" s="56">
        <v>8.718421873241354E-2</v>
      </c>
      <c r="I17134" s="224" t="s">
        <v>2</v>
      </c>
    </row>
    <row r="17135" spans="1:9" x14ac:dyDescent="0.25">
      <c r="A17135" s="515">
        <v>93643</v>
      </c>
      <c r="B17135" s="515" t="s">
        <v>681</v>
      </c>
      <c r="C17135" s="52">
        <v>370612.020904153</v>
      </c>
      <c r="D17135" s="56">
        <v>2.3498166992697096E-2</v>
      </c>
      <c r="E17135" s="224" t="s">
        <v>2</v>
      </c>
      <c r="F17135" s="515" t="s">
        <v>18311</v>
      </c>
      <c r="G17135" s="52">
        <v>238903.43902439001</v>
      </c>
      <c r="H17135" s="56">
        <v>0</v>
      </c>
      <c r="I17135" s="224" t="s">
        <v>2</v>
      </c>
    </row>
    <row r="17136" spans="1:9" x14ac:dyDescent="0.25">
      <c r="A17136" s="515">
        <v>38948</v>
      </c>
      <c r="C17136" s="52">
        <v>111234.37783997301</v>
      </c>
      <c r="D17136" s="56">
        <v>-0.12528260398077709</v>
      </c>
      <c r="E17136" s="224" t="s">
        <v>2</v>
      </c>
      <c r="F17136" s="515" t="s">
        <v>18312</v>
      </c>
      <c r="G17136" s="52">
        <v>304437.19659225299</v>
      </c>
      <c r="H17136" s="56">
        <v>7.208682432633591E-2</v>
      </c>
      <c r="I17136" s="224" t="s">
        <v>2</v>
      </c>
    </row>
    <row r="17137" spans="1:9" x14ac:dyDescent="0.25">
      <c r="A17137" s="515">
        <v>65351</v>
      </c>
      <c r="B17137" s="515" t="s">
        <v>1142</v>
      </c>
      <c r="C17137" s="52">
        <v>132807.044067796</v>
      </c>
      <c r="D17137" s="56">
        <v>0</v>
      </c>
      <c r="E17137" s="224" t="s">
        <v>2</v>
      </c>
      <c r="F17137" s="515" t="s">
        <v>18313</v>
      </c>
      <c r="G17137" s="52">
        <v>466300.663495455</v>
      </c>
      <c r="H17137" s="56">
        <v>5.0146787430340352E-2</v>
      </c>
      <c r="I17137" s="224" t="s">
        <v>2</v>
      </c>
    </row>
    <row r="17138" spans="1:9" x14ac:dyDescent="0.25">
      <c r="A17138" s="515">
        <v>32181</v>
      </c>
      <c r="B17138" s="515" t="s">
        <v>920</v>
      </c>
      <c r="C17138" s="52">
        <v>187072.75970592099</v>
      </c>
      <c r="D17138" s="56">
        <v>5.1318483588408889E-2</v>
      </c>
      <c r="E17138" s="224" t="s">
        <v>2</v>
      </c>
      <c r="F17138" s="515" t="s">
        <v>18314</v>
      </c>
      <c r="G17138" s="52">
        <v>92314.153019078803</v>
      </c>
      <c r="H17138" s="56">
        <v>0</v>
      </c>
      <c r="I17138" s="224" t="s">
        <v>2</v>
      </c>
    </row>
    <row r="17139" spans="1:9" x14ac:dyDescent="0.25">
      <c r="A17139" s="515">
        <v>56467</v>
      </c>
      <c r="C17139" s="52">
        <v>299315.91126557201</v>
      </c>
      <c r="D17139" s="56">
        <v>8.2956791451558959E-2</v>
      </c>
      <c r="E17139" s="224" t="s">
        <v>2</v>
      </c>
      <c r="F17139" s="515" t="s">
        <v>18315</v>
      </c>
      <c r="G17139" s="52">
        <v>548248.03502129496</v>
      </c>
      <c r="H17139" s="56">
        <v>4.237321615843225E-3</v>
      </c>
      <c r="I17139" s="224" t="s">
        <v>2</v>
      </c>
    </row>
    <row r="17140" spans="1:9" x14ac:dyDescent="0.25">
      <c r="A17140" s="515">
        <v>48822</v>
      </c>
      <c r="B17140" s="515" t="s">
        <v>528</v>
      </c>
      <c r="C17140" s="52">
        <v>282381.97534146201</v>
      </c>
      <c r="D17140" s="56">
        <v>9.6890344744784154E-2</v>
      </c>
      <c r="E17140" s="224" t="s">
        <v>2</v>
      </c>
      <c r="F17140" s="515" t="s">
        <v>18316</v>
      </c>
      <c r="G17140" s="52">
        <v>180100.68307762101</v>
      </c>
      <c r="H17140" s="56">
        <v>0.23315170705882535</v>
      </c>
      <c r="I17140" s="224" t="s">
        <v>2</v>
      </c>
    </row>
    <row r="17141" spans="1:9" x14ac:dyDescent="0.25">
      <c r="A17141" s="515">
        <v>44822</v>
      </c>
      <c r="B17141" s="515" t="s">
        <v>1140</v>
      </c>
      <c r="C17141" s="52">
        <v>206770.77965065799</v>
      </c>
      <c r="D17141" s="56">
        <v>9.3796317988035768E-2</v>
      </c>
      <c r="E17141" s="224" t="s">
        <v>2</v>
      </c>
      <c r="F17141" s="515" t="s">
        <v>18317</v>
      </c>
      <c r="G17141" s="52">
        <v>70628.041540269696</v>
      </c>
      <c r="H17141" s="56">
        <v>0</v>
      </c>
      <c r="I17141" s="224" t="s">
        <v>2</v>
      </c>
    </row>
    <row r="17142" spans="1:9" x14ac:dyDescent="0.25">
      <c r="A17142" s="515">
        <v>75980</v>
      </c>
      <c r="B17142" s="515" t="s">
        <v>1141</v>
      </c>
      <c r="C17142" s="52">
        <v>142547.77070162099</v>
      </c>
      <c r="D17142" s="56">
        <v>-7.1726405543281677E-2</v>
      </c>
      <c r="E17142" s="224" t="s">
        <v>2</v>
      </c>
      <c r="F17142" s="515" t="s">
        <v>18318</v>
      </c>
      <c r="G17142" s="52">
        <v>163523.234776775</v>
      </c>
      <c r="H17142" s="56">
        <v>0.13398807572755306</v>
      </c>
      <c r="I17142" s="224" t="s">
        <v>2</v>
      </c>
    </row>
    <row r="17143" spans="1:9" x14ac:dyDescent="0.25">
      <c r="A17143" s="515">
        <v>5860</v>
      </c>
      <c r="C17143" s="52">
        <v>213323.057727017</v>
      </c>
      <c r="D17143" s="56">
        <v>0.11809663777114279</v>
      </c>
      <c r="E17143" s="224" t="s">
        <v>2</v>
      </c>
      <c r="F17143" s="515" t="s">
        <v>18319</v>
      </c>
      <c r="G17143" s="52">
        <v>65382.138984845296</v>
      </c>
      <c r="H17143" s="56">
        <v>0.11127923508811492</v>
      </c>
      <c r="I17143" s="224" t="s">
        <v>2</v>
      </c>
    </row>
    <row r="17144" spans="1:9" x14ac:dyDescent="0.25">
      <c r="A17144" s="515">
        <v>67672</v>
      </c>
      <c r="C17144" s="52">
        <v>115195.11971863599</v>
      </c>
      <c r="D17144" s="56">
        <v>9.9018866497113001E-2</v>
      </c>
      <c r="E17144" s="224" t="s">
        <v>2</v>
      </c>
      <c r="F17144" s="515" t="s">
        <v>18320</v>
      </c>
      <c r="G17144" s="52">
        <v>338348.62777484901</v>
      </c>
      <c r="H17144" s="56">
        <v>5.7194836002125202E-2</v>
      </c>
      <c r="I17144" s="224" t="s">
        <v>2</v>
      </c>
    </row>
    <row r="17145" spans="1:9" x14ac:dyDescent="0.25">
      <c r="A17145" s="515">
        <v>13459</v>
      </c>
      <c r="B17145" s="515" t="s">
        <v>609</v>
      </c>
      <c r="C17145" s="52">
        <v>183938.620022888</v>
      </c>
      <c r="D17145" s="56">
        <v>0.1319442615100716</v>
      </c>
      <c r="E17145" s="224" t="s">
        <v>2</v>
      </c>
      <c r="F17145" s="515" t="s">
        <v>18321</v>
      </c>
      <c r="G17145" s="52">
        <v>429640.17283214303</v>
      </c>
      <c r="H17145" s="56">
        <v>0.10851869883581387</v>
      </c>
      <c r="I17145" s="224" t="s">
        <v>2</v>
      </c>
    </row>
    <row r="17146" spans="1:9" x14ac:dyDescent="0.25">
      <c r="A17146" s="515">
        <v>28618</v>
      </c>
      <c r="B17146" s="515" t="s">
        <v>1103</v>
      </c>
      <c r="C17146" s="52">
        <v>344451.70183705899</v>
      </c>
      <c r="D17146" s="56">
        <v>0.11160418018540419</v>
      </c>
      <c r="E17146" s="224" t="s">
        <v>2</v>
      </c>
      <c r="F17146" s="515" t="s">
        <v>18322</v>
      </c>
      <c r="G17146" s="52">
        <v>320735.33180895698</v>
      </c>
      <c r="H17146" s="56">
        <v>6.912242212273377E-2</v>
      </c>
      <c r="I17146" s="224" t="s">
        <v>2</v>
      </c>
    </row>
    <row r="17147" spans="1:9" x14ac:dyDescent="0.25">
      <c r="A17147" s="515">
        <v>54747</v>
      </c>
      <c r="C17147" s="52">
        <v>177183.81050319501</v>
      </c>
      <c r="D17147" s="56">
        <v>4.9484427771680273E-2</v>
      </c>
      <c r="E17147" s="224" t="s">
        <v>2</v>
      </c>
      <c r="F17147" s="515" t="s">
        <v>18323</v>
      </c>
      <c r="G17147" s="52">
        <v>236470.74102225801</v>
      </c>
      <c r="H17147" s="56">
        <v>0</v>
      </c>
      <c r="I17147" s="224" t="s">
        <v>2</v>
      </c>
    </row>
    <row r="17148" spans="1:9" x14ac:dyDescent="0.25">
      <c r="A17148" s="515">
        <v>12466</v>
      </c>
      <c r="B17148" s="515" t="s">
        <v>307</v>
      </c>
      <c r="C17148" s="52">
        <v>314472.593524225</v>
      </c>
      <c r="D17148" s="56">
        <v>7.0913209127101487E-2</v>
      </c>
      <c r="E17148" s="224" t="s">
        <v>2</v>
      </c>
      <c r="F17148" s="515" t="s">
        <v>18324</v>
      </c>
      <c r="G17148" s="52">
        <v>157551.25189847301</v>
      </c>
      <c r="H17148" s="56">
        <v>0.12695154304677825</v>
      </c>
      <c r="I17148" s="224" t="s">
        <v>2</v>
      </c>
    </row>
    <row r="17149" spans="1:9" x14ac:dyDescent="0.25">
      <c r="A17149" s="515">
        <v>59323</v>
      </c>
      <c r="C17149" s="52">
        <v>243798.57892589</v>
      </c>
      <c r="D17149" s="56">
        <v>0.10968136364809886</v>
      </c>
      <c r="E17149" s="224" t="s">
        <v>2</v>
      </c>
      <c r="F17149" s="515" t="s">
        <v>18325</v>
      </c>
      <c r="G17149" s="52">
        <v>161953.13322125701</v>
      </c>
      <c r="H17149" s="56">
        <v>0.15911512888992091</v>
      </c>
      <c r="I17149" s="224" t="s">
        <v>2</v>
      </c>
    </row>
    <row r="17150" spans="1:9" x14ac:dyDescent="0.25">
      <c r="A17150" s="515">
        <v>97456</v>
      </c>
      <c r="B17150" s="515" t="s">
        <v>1094</v>
      </c>
      <c r="C17150" s="52">
        <v>491508.64414714201</v>
      </c>
      <c r="D17150" s="56">
        <v>2.9183093586224219E-2</v>
      </c>
      <c r="E17150" s="224" t="s">
        <v>2</v>
      </c>
      <c r="F17150" s="515" t="s">
        <v>18326</v>
      </c>
      <c r="G17150" s="52">
        <v>48526.928113670197</v>
      </c>
      <c r="H17150" s="56">
        <v>0</v>
      </c>
      <c r="I17150" s="224" t="s">
        <v>2</v>
      </c>
    </row>
    <row r="17151" spans="1:9" x14ac:dyDescent="0.25">
      <c r="A17151" s="515">
        <v>77835</v>
      </c>
      <c r="B17151" s="515" t="s">
        <v>962</v>
      </c>
      <c r="C17151" s="52">
        <v>428789.16090673301</v>
      </c>
      <c r="D17151" s="56">
        <v>0.13052336806140563</v>
      </c>
      <c r="E17151" s="224" t="s">
        <v>2</v>
      </c>
      <c r="F17151" s="515" t="s">
        <v>18327</v>
      </c>
      <c r="G17151" s="52">
        <v>123939.289824732</v>
      </c>
      <c r="H17151" s="56">
        <v>0.12094762073020685</v>
      </c>
      <c r="I17151" s="224" t="s">
        <v>2</v>
      </c>
    </row>
    <row r="17152" spans="1:9" x14ac:dyDescent="0.25">
      <c r="A17152" s="515">
        <v>47901</v>
      </c>
      <c r="B17152" s="515" t="s">
        <v>433</v>
      </c>
      <c r="C17152" s="52">
        <v>206366.096976865</v>
      </c>
      <c r="D17152" s="56">
        <v>1.7517144429704243E-2</v>
      </c>
      <c r="E17152" s="224">
        <v>946.5</v>
      </c>
      <c r="F17152" s="515" t="s">
        <v>18328</v>
      </c>
      <c r="G17152" s="52">
        <v>310119.77530432498</v>
      </c>
      <c r="H17152" s="56">
        <v>5.3068407866590082E-2</v>
      </c>
      <c r="I17152" s="224" t="s">
        <v>2</v>
      </c>
    </row>
    <row r="17153" spans="1:9" x14ac:dyDescent="0.25">
      <c r="A17153" s="515">
        <v>68361</v>
      </c>
      <c r="C17153" s="52">
        <v>138578.317926647</v>
      </c>
      <c r="D17153" s="56">
        <v>7.5682756222259007E-2</v>
      </c>
      <c r="E17153" s="224" t="s">
        <v>2</v>
      </c>
      <c r="F17153" s="515" t="s">
        <v>18329</v>
      </c>
      <c r="G17153" s="52">
        <v>86619.636363565907</v>
      </c>
      <c r="H17153" s="56">
        <v>0.15216518464483617</v>
      </c>
      <c r="I17153" s="224" t="s">
        <v>2</v>
      </c>
    </row>
    <row r="17154" spans="1:9" x14ac:dyDescent="0.25">
      <c r="A17154" s="515">
        <v>39834</v>
      </c>
      <c r="B17154" s="515" t="s">
        <v>1049</v>
      </c>
      <c r="C17154" s="52">
        <v>164098.28644010299</v>
      </c>
      <c r="D17154" s="56">
        <v>0</v>
      </c>
      <c r="E17154" s="224" t="s">
        <v>2</v>
      </c>
      <c r="F17154" s="515" t="s">
        <v>18330</v>
      </c>
      <c r="G17154" s="52">
        <v>146651.83553359</v>
      </c>
      <c r="H17154" s="56">
        <v>0.25317661373302336</v>
      </c>
      <c r="I17154" s="224" t="s">
        <v>2</v>
      </c>
    </row>
    <row r="17155" spans="1:9" x14ac:dyDescent="0.25">
      <c r="A17155" s="515">
        <v>50675</v>
      </c>
      <c r="C17155" s="52">
        <v>153200.56220898201</v>
      </c>
      <c r="D17155" s="56">
        <v>4.6844211612038063E-2</v>
      </c>
      <c r="E17155" s="224" t="s">
        <v>2</v>
      </c>
      <c r="F17155" s="515" t="s">
        <v>18331</v>
      </c>
      <c r="G17155" s="52">
        <v>472655.13225207699</v>
      </c>
      <c r="H17155" s="56">
        <v>-1.8284810360924181E-2</v>
      </c>
      <c r="I17155" s="224" t="s">
        <v>2</v>
      </c>
    </row>
    <row r="17156" spans="1:9" x14ac:dyDescent="0.25">
      <c r="A17156" s="515">
        <v>39108</v>
      </c>
      <c r="C17156" s="52">
        <v>115249.594035709</v>
      </c>
      <c r="D17156" s="56">
        <v>2.1027017222968337E-2</v>
      </c>
      <c r="E17156" s="224" t="s">
        <v>2</v>
      </c>
      <c r="F17156" s="515" t="s">
        <v>18332</v>
      </c>
      <c r="G17156" s="52">
        <v>289734.55910977902</v>
      </c>
      <c r="H17156" s="56">
        <v>5.5218998173635715E-2</v>
      </c>
      <c r="I17156" s="224" t="s">
        <v>2</v>
      </c>
    </row>
    <row r="17157" spans="1:9" x14ac:dyDescent="0.25">
      <c r="A17157" s="515">
        <v>23410</v>
      </c>
      <c r="C17157" s="52">
        <v>169033.04965217601</v>
      </c>
      <c r="D17157" s="56">
        <v>9.7226295861863321E-3</v>
      </c>
      <c r="E17157" s="224" t="s">
        <v>2</v>
      </c>
      <c r="F17157" s="515" t="s">
        <v>18333</v>
      </c>
      <c r="G17157" s="52">
        <v>323028.72541140398</v>
      </c>
      <c r="H17157" s="56">
        <v>8.3097187236308892E-2</v>
      </c>
      <c r="I17157" s="224" t="s">
        <v>2</v>
      </c>
    </row>
    <row r="17158" spans="1:9" x14ac:dyDescent="0.25">
      <c r="A17158" s="515">
        <v>24324</v>
      </c>
      <c r="B17158" s="515" t="s">
        <v>597</v>
      </c>
      <c r="C17158" s="52">
        <v>192274.84075221201</v>
      </c>
      <c r="D17158" s="56">
        <v>5.2177994042849347E-2</v>
      </c>
      <c r="E17158" s="224" t="s">
        <v>2</v>
      </c>
      <c r="F17158" s="515" t="s">
        <v>18334</v>
      </c>
      <c r="G17158" s="52">
        <v>133685.71446705199</v>
      </c>
      <c r="H17158" s="56">
        <v>0</v>
      </c>
      <c r="I17158" s="224" t="s">
        <v>2</v>
      </c>
    </row>
    <row r="17159" spans="1:9" x14ac:dyDescent="0.25">
      <c r="A17159" s="515">
        <v>72016</v>
      </c>
      <c r="B17159" s="515" t="s">
        <v>393</v>
      </c>
      <c r="C17159" s="52">
        <v>175578.13769505901</v>
      </c>
      <c r="D17159" s="56">
        <v>8.951330816528532E-4</v>
      </c>
      <c r="E17159" s="224" t="s">
        <v>2</v>
      </c>
      <c r="F17159" s="515" t="s">
        <v>18335</v>
      </c>
      <c r="G17159" s="52">
        <v>154427.989438316</v>
      </c>
      <c r="H17159" s="56">
        <v>0</v>
      </c>
      <c r="I17159" s="224" t="s">
        <v>2</v>
      </c>
    </row>
    <row r="17160" spans="1:9" x14ac:dyDescent="0.25">
      <c r="A17160" s="515">
        <v>76064</v>
      </c>
      <c r="B17160" s="515" t="s">
        <v>458</v>
      </c>
      <c r="C17160" s="52">
        <v>322952.745248986</v>
      </c>
      <c r="D17160" s="56">
        <v>5.9420672804272164E-2</v>
      </c>
      <c r="E17160" s="224" t="s">
        <v>2</v>
      </c>
      <c r="F17160" s="515" t="s">
        <v>18336</v>
      </c>
      <c r="G17160" s="52">
        <v>465070.869052044</v>
      </c>
      <c r="H17160" s="56">
        <v>5.1249725620471268E-2</v>
      </c>
      <c r="I17160" s="224" t="s">
        <v>2</v>
      </c>
    </row>
    <row r="17161" spans="1:9" x14ac:dyDescent="0.25">
      <c r="A17161" s="515">
        <v>21917</v>
      </c>
      <c r="B17161" s="515" t="s">
        <v>294</v>
      </c>
      <c r="C17161" s="52">
        <v>339624.88733692799</v>
      </c>
      <c r="D17161" s="56">
        <v>2.4706171213656737E-2</v>
      </c>
      <c r="E17161" s="224" t="s">
        <v>2</v>
      </c>
      <c r="F17161" s="515" t="s">
        <v>18337</v>
      </c>
      <c r="G17161" s="52">
        <v>394470.92055871902</v>
      </c>
      <c r="H17161" s="56">
        <v>5.1768085376208257E-2</v>
      </c>
      <c r="I17161" s="224" t="s">
        <v>2</v>
      </c>
    </row>
    <row r="17162" spans="1:9" x14ac:dyDescent="0.25">
      <c r="A17162" s="515">
        <v>75246</v>
      </c>
      <c r="B17162" s="515" t="s">
        <v>458</v>
      </c>
      <c r="C17162" s="52">
        <v>347560.913086163</v>
      </c>
      <c r="D17162" s="56">
        <v>8.9626514282791045E-2</v>
      </c>
      <c r="E17162" s="224" t="s">
        <v>2</v>
      </c>
      <c r="F17162" s="515" t="s">
        <v>18338</v>
      </c>
      <c r="G17162" s="52">
        <v>390656.78580067499</v>
      </c>
      <c r="H17162" s="56">
        <v>0.12501308177061149</v>
      </c>
      <c r="I17162" s="224" t="s">
        <v>2</v>
      </c>
    </row>
    <row r="17163" spans="1:9" x14ac:dyDescent="0.25">
      <c r="A17163" s="515">
        <v>4347</v>
      </c>
      <c r="B17163" s="515" t="s">
        <v>848</v>
      </c>
      <c r="C17163" s="52">
        <v>309507.82920498302</v>
      </c>
      <c r="D17163" s="56">
        <v>8.5963141038068777E-2</v>
      </c>
      <c r="E17163" s="224" t="s">
        <v>2</v>
      </c>
      <c r="F17163" s="515" t="s">
        <v>18339</v>
      </c>
      <c r="G17163" s="52">
        <v>665889.90591033397</v>
      </c>
      <c r="H17163" s="56">
        <v>8.1766214688779315E-3</v>
      </c>
      <c r="I17163" s="224" t="s">
        <v>2</v>
      </c>
    </row>
    <row r="17164" spans="1:9" x14ac:dyDescent="0.25">
      <c r="A17164" s="515">
        <v>12567</v>
      </c>
      <c r="B17164" s="515" t="s">
        <v>529</v>
      </c>
      <c r="C17164" s="52">
        <v>370915.78134741698</v>
      </c>
      <c r="D17164" s="56">
        <v>9.0965052866579618E-2</v>
      </c>
      <c r="E17164" s="224" t="s">
        <v>2</v>
      </c>
      <c r="F17164" s="515" t="s">
        <v>18340</v>
      </c>
      <c r="G17164" s="52">
        <v>27323.710526315699</v>
      </c>
      <c r="H17164" s="56">
        <v>0</v>
      </c>
      <c r="I17164" s="224" t="s">
        <v>2</v>
      </c>
    </row>
    <row r="17165" spans="1:9" x14ac:dyDescent="0.25">
      <c r="A17165" s="515">
        <v>38925</v>
      </c>
      <c r="C17165" s="52">
        <v>116037.96917782701</v>
      </c>
      <c r="D17165" s="56">
        <v>2.8588286569721568E-4</v>
      </c>
      <c r="E17165" s="224" t="s">
        <v>2</v>
      </c>
      <c r="F17165" s="515" t="s">
        <v>18341</v>
      </c>
      <c r="G17165" s="52">
        <v>209164.99090909</v>
      </c>
      <c r="H17165" s="56">
        <v>0</v>
      </c>
      <c r="I17165" s="224" t="s">
        <v>2</v>
      </c>
    </row>
    <row r="17166" spans="1:9" x14ac:dyDescent="0.25">
      <c r="A17166" s="515">
        <v>52306</v>
      </c>
      <c r="C17166" s="52">
        <v>186663.33825787099</v>
      </c>
      <c r="D17166" s="56">
        <v>5.9179920245335957E-2</v>
      </c>
      <c r="E17166" s="224" t="s">
        <v>2</v>
      </c>
      <c r="F17166" s="515" t="s">
        <v>18342</v>
      </c>
      <c r="G17166" s="52">
        <v>114671.814110056</v>
      </c>
      <c r="H17166" s="56">
        <v>0.10661767778128595</v>
      </c>
      <c r="I17166" s="224" t="s">
        <v>2</v>
      </c>
    </row>
    <row r="17167" spans="1:9" x14ac:dyDescent="0.25">
      <c r="A17167" s="515">
        <v>98537</v>
      </c>
      <c r="B17167" s="515" t="s">
        <v>683</v>
      </c>
      <c r="C17167" s="52">
        <v>307820.71295515099</v>
      </c>
      <c r="D17167" s="56">
        <v>1.5554588380541445E-2</v>
      </c>
      <c r="E17167" s="224" t="s">
        <v>2</v>
      </c>
      <c r="F17167" s="515" t="s">
        <v>18343</v>
      </c>
      <c r="G17167" s="52">
        <v>169936.476238645</v>
      </c>
      <c r="H17167" s="56">
        <v>6.5111483259786912E-2</v>
      </c>
      <c r="I17167" s="224" t="s">
        <v>2</v>
      </c>
    </row>
    <row r="17168" spans="1:9" x14ac:dyDescent="0.25">
      <c r="A17168" s="515">
        <v>50833</v>
      </c>
      <c r="C17168" s="52">
        <v>106917.456340031</v>
      </c>
      <c r="D17168" s="56">
        <v>8.6127991418566183E-2</v>
      </c>
      <c r="E17168" s="224" t="s">
        <v>2</v>
      </c>
      <c r="F17168" s="515" t="s">
        <v>18344</v>
      </c>
      <c r="G17168" s="52">
        <v>216644.314712116</v>
      </c>
      <c r="H17168" s="56">
        <v>5.7093786778248043E-2</v>
      </c>
      <c r="I17168" s="224" t="s">
        <v>2</v>
      </c>
    </row>
    <row r="17169" spans="1:9" x14ac:dyDescent="0.25">
      <c r="A17169" s="515">
        <v>70067</v>
      </c>
      <c r="B17169" s="515" t="s">
        <v>777</v>
      </c>
      <c r="C17169" s="52">
        <v>123746.46949975401</v>
      </c>
      <c r="D17169" s="56">
        <v>-0.18745551765875573</v>
      </c>
      <c r="E17169" s="224" t="s">
        <v>2</v>
      </c>
      <c r="F17169" s="515" t="s">
        <v>18345</v>
      </c>
      <c r="G17169" s="52">
        <v>418779.48064015602</v>
      </c>
      <c r="H17169" s="56">
        <v>1.5067351540348229E-2</v>
      </c>
      <c r="I17169" s="224" t="s">
        <v>2</v>
      </c>
    </row>
    <row r="17170" spans="1:9" x14ac:dyDescent="0.25">
      <c r="A17170" s="515">
        <v>73550</v>
      </c>
      <c r="C17170" s="52">
        <v>44916.973423821903</v>
      </c>
      <c r="D17170" s="56">
        <v>9.1940265104635945E-4</v>
      </c>
      <c r="E17170" s="224" t="s">
        <v>2</v>
      </c>
      <c r="F17170" s="515" t="s">
        <v>18346</v>
      </c>
      <c r="G17170" s="52">
        <v>108432.51523984</v>
      </c>
      <c r="H17170" s="56">
        <v>4.1758250503881364E-2</v>
      </c>
      <c r="I17170" s="224" t="s">
        <v>2</v>
      </c>
    </row>
    <row r="17171" spans="1:9" x14ac:dyDescent="0.25">
      <c r="A17171" s="515">
        <v>93602</v>
      </c>
      <c r="B17171" s="515" t="s">
        <v>541</v>
      </c>
      <c r="C17171" s="52">
        <v>335100.76383773901</v>
      </c>
      <c r="D17171" s="56">
        <v>-2.1973006712589123E-2</v>
      </c>
      <c r="E17171" s="224" t="s">
        <v>2</v>
      </c>
      <c r="F17171" s="515" t="s">
        <v>18347</v>
      </c>
      <c r="G17171" s="52">
        <v>240150.404613655</v>
      </c>
      <c r="H17171" s="56">
        <v>7.5417744432462144E-2</v>
      </c>
      <c r="I17171" s="224" t="s">
        <v>2</v>
      </c>
    </row>
    <row r="17172" spans="1:9" x14ac:dyDescent="0.25">
      <c r="A17172" s="515">
        <v>44843</v>
      </c>
      <c r="B17172" s="515" t="s">
        <v>1140</v>
      </c>
      <c r="C17172" s="52">
        <v>199765.204012556</v>
      </c>
      <c r="D17172" s="56">
        <v>7.8284660852342688E-2</v>
      </c>
      <c r="E17172" s="224" t="s">
        <v>2</v>
      </c>
      <c r="F17172" s="515" t="s">
        <v>18348</v>
      </c>
      <c r="G17172" s="52">
        <v>147173.15281152399</v>
      </c>
      <c r="H17172" s="56">
        <v>3.0378657996792645E-2</v>
      </c>
      <c r="I17172" s="224" t="s">
        <v>2</v>
      </c>
    </row>
    <row r="17173" spans="1:9" x14ac:dyDescent="0.25">
      <c r="A17173" s="515">
        <v>75930</v>
      </c>
      <c r="C17173" s="52">
        <v>127003.10812494501</v>
      </c>
      <c r="D17173" s="56">
        <v>0</v>
      </c>
      <c r="E17173" s="224" t="s">
        <v>2</v>
      </c>
      <c r="F17173" s="515" t="s">
        <v>18349</v>
      </c>
      <c r="G17173" s="52">
        <v>92175.6</v>
      </c>
      <c r="H17173" s="56">
        <v>0</v>
      </c>
      <c r="I17173" s="224" t="s">
        <v>2</v>
      </c>
    </row>
    <row r="17174" spans="1:9" x14ac:dyDescent="0.25">
      <c r="A17174" s="515">
        <v>12926</v>
      </c>
      <c r="B17174" s="515" t="s">
        <v>706</v>
      </c>
      <c r="C17174" s="52">
        <v>138209.20730407399</v>
      </c>
      <c r="D17174" s="56">
        <v>0.21113232875736593</v>
      </c>
      <c r="E17174" s="224" t="s">
        <v>2</v>
      </c>
      <c r="F17174" s="515" t="s">
        <v>18350</v>
      </c>
      <c r="G17174" s="52">
        <v>84011.852095816095</v>
      </c>
      <c r="H17174" s="56">
        <v>0</v>
      </c>
      <c r="I17174" s="224" t="s">
        <v>2</v>
      </c>
    </row>
    <row r="17175" spans="1:9" x14ac:dyDescent="0.25">
      <c r="A17175" s="515">
        <v>30627</v>
      </c>
      <c r="B17175" s="515" t="s">
        <v>991</v>
      </c>
      <c r="C17175" s="52">
        <v>196998.33217717599</v>
      </c>
      <c r="D17175" s="56">
        <v>0.10366717008154322</v>
      </c>
      <c r="E17175" s="224" t="s">
        <v>2</v>
      </c>
      <c r="F17175" s="515" t="s">
        <v>18351</v>
      </c>
      <c r="G17175" s="52">
        <v>670846.331287993</v>
      </c>
      <c r="H17175" s="56">
        <v>3.0119103675292053E-2</v>
      </c>
      <c r="I17175" s="224" t="s">
        <v>2</v>
      </c>
    </row>
    <row r="17176" spans="1:9" x14ac:dyDescent="0.25">
      <c r="A17176" s="515">
        <v>47513</v>
      </c>
      <c r="B17176" s="515" t="s">
        <v>544</v>
      </c>
      <c r="C17176" s="52">
        <v>122918.45959051199</v>
      </c>
      <c r="D17176" s="56">
        <v>0.11412741281849191</v>
      </c>
      <c r="E17176" s="224" t="s">
        <v>2</v>
      </c>
      <c r="F17176" s="515" t="s">
        <v>18352</v>
      </c>
      <c r="G17176" s="52">
        <v>222340.66666666599</v>
      </c>
      <c r="H17176" s="56">
        <v>0</v>
      </c>
      <c r="I17176" s="224" t="s">
        <v>2</v>
      </c>
    </row>
    <row r="17177" spans="1:9" x14ac:dyDescent="0.25">
      <c r="A17177" s="515">
        <v>13697</v>
      </c>
      <c r="B17177" s="515" t="s">
        <v>511</v>
      </c>
      <c r="C17177" s="52">
        <v>129681.16211168301</v>
      </c>
      <c r="D17177" s="56">
        <v>8.7390219677986727E-2</v>
      </c>
      <c r="E17177" s="224" t="s">
        <v>2</v>
      </c>
      <c r="F17177" s="515" t="s">
        <v>18353</v>
      </c>
      <c r="G17177" s="52">
        <v>142319.35674952</v>
      </c>
      <c r="H17177" s="56">
        <v>-4.4193960603601812E-3</v>
      </c>
      <c r="I17177" s="224" t="s">
        <v>2</v>
      </c>
    </row>
    <row r="17178" spans="1:9" x14ac:dyDescent="0.25">
      <c r="A17178" s="515">
        <v>15148</v>
      </c>
      <c r="B17178" s="515" t="s">
        <v>297</v>
      </c>
      <c r="C17178" s="52">
        <v>57339.6883255914</v>
      </c>
      <c r="D17178" s="56">
        <v>7.2795488758286384E-2</v>
      </c>
      <c r="E17178" s="224" t="s">
        <v>2</v>
      </c>
      <c r="F17178" s="515" t="s">
        <v>18354</v>
      </c>
      <c r="G17178" s="52">
        <v>223134.03061221199</v>
      </c>
      <c r="H17178" s="56">
        <v>0.11953305648360292</v>
      </c>
      <c r="I17178" s="224" t="s">
        <v>2</v>
      </c>
    </row>
    <row r="17179" spans="1:9" x14ac:dyDescent="0.25">
      <c r="A17179" s="515">
        <v>77880</v>
      </c>
      <c r="B17179" s="515" t="s">
        <v>962</v>
      </c>
      <c r="C17179" s="52">
        <v>432139.30111119</v>
      </c>
      <c r="D17179" s="56">
        <v>0.16812337200526645</v>
      </c>
      <c r="E17179" s="224" t="s">
        <v>2</v>
      </c>
      <c r="F17179" s="515" t="s">
        <v>18355</v>
      </c>
      <c r="G17179" s="52">
        <v>123175.19985274199</v>
      </c>
      <c r="H17179" s="56">
        <v>0.13476575086294609</v>
      </c>
      <c r="I17179" s="224" t="s">
        <v>2</v>
      </c>
    </row>
    <row r="17180" spans="1:9" x14ac:dyDescent="0.25">
      <c r="A17180" s="515">
        <v>21874</v>
      </c>
      <c r="B17180" s="515" t="s">
        <v>552</v>
      </c>
      <c r="C17180" s="52">
        <v>226579.64282680399</v>
      </c>
      <c r="D17180" s="56">
        <v>7.2414765621384491E-2</v>
      </c>
      <c r="E17180" s="224" t="s">
        <v>2</v>
      </c>
      <c r="F17180" s="515" t="s">
        <v>18356</v>
      </c>
      <c r="G17180" s="52">
        <v>104570.835985756</v>
      </c>
      <c r="H17180" s="56">
        <v>6.8665343268739807E-3</v>
      </c>
      <c r="I17180" s="224" t="s">
        <v>2</v>
      </c>
    </row>
    <row r="17181" spans="1:9" x14ac:dyDescent="0.25">
      <c r="A17181" s="515">
        <v>80535</v>
      </c>
      <c r="B17181" s="515" t="s">
        <v>738</v>
      </c>
      <c r="C17181" s="52">
        <v>510127.12138728902</v>
      </c>
      <c r="D17181" s="56">
        <v>4.3523674414219934E-2</v>
      </c>
      <c r="E17181" s="224" t="s">
        <v>2</v>
      </c>
      <c r="F17181" s="515" t="s">
        <v>18357</v>
      </c>
      <c r="G17181" s="52">
        <v>150458.23564034101</v>
      </c>
      <c r="H17181" s="56">
        <v>6.8944246180193083E-2</v>
      </c>
      <c r="I17181" s="224" t="s">
        <v>2</v>
      </c>
    </row>
    <row r="17182" spans="1:9" x14ac:dyDescent="0.25">
      <c r="A17182" s="515">
        <v>24128</v>
      </c>
      <c r="B17182" s="515" t="s">
        <v>597</v>
      </c>
      <c r="C17182" s="52">
        <v>258723.710551433</v>
      </c>
      <c r="D17182" s="56">
        <v>3.0906339762337434E-2</v>
      </c>
      <c r="E17182" s="224" t="s">
        <v>2</v>
      </c>
      <c r="F17182" s="515" t="s">
        <v>18358</v>
      </c>
      <c r="G17182" s="52">
        <v>110499.019522933</v>
      </c>
      <c r="H17182" s="56">
        <v>5.8144551922174464E-2</v>
      </c>
      <c r="I17182" s="224" t="s">
        <v>2</v>
      </c>
    </row>
    <row r="17183" spans="1:9" x14ac:dyDescent="0.25">
      <c r="A17183" s="515">
        <v>72013</v>
      </c>
      <c r="C17183" s="52">
        <v>185784.50490182801</v>
      </c>
      <c r="D17183" s="56">
        <v>5.4225115326886404E-2</v>
      </c>
      <c r="E17183" s="224" t="s">
        <v>2</v>
      </c>
      <c r="F17183" s="515" t="s">
        <v>18359</v>
      </c>
      <c r="G17183" s="52">
        <v>215731.99611012399</v>
      </c>
      <c r="H17183" s="56">
        <v>9.6799682102449131E-2</v>
      </c>
      <c r="I17183" s="224" t="s">
        <v>2</v>
      </c>
    </row>
    <row r="17184" spans="1:9" x14ac:dyDescent="0.25">
      <c r="A17184" s="515">
        <v>67480</v>
      </c>
      <c r="C17184" s="52">
        <v>159522.88476259899</v>
      </c>
      <c r="D17184" s="56">
        <v>5.364372548227099E-2</v>
      </c>
      <c r="E17184" s="224" t="s">
        <v>2</v>
      </c>
      <c r="F17184" s="515" t="s">
        <v>18360</v>
      </c>
      <c r="G17184" s="52">
        <v>386447.84137931</v>
      </c>
      <c r="H17184" s="56">
        <v>0</v>
      </c>
      <c r="I17184" s="224" t="s">
        <v>2</v>
      </c>
    </row>
    <row r="17185" spans="1:9" x14ac:dyDescent="0.25">
      <c r="A17185" s="515">
        <v>56531</v>
      </c>
      <c r="C17185" s="52">
        <v>162449.14018550701</v>
      </c>
      <c r="D17185" s="56">
        <v>5.4086982387721159E-2</v>
      </c>
      <c r="E17185" s="224" t="s">
        <v>2</v>
      </c>
      <c r="F17185" s="515" t="s">
        <v>18361</v>
      </c>
      <c r="G17185" s="52">
        <v>238439.179487179</v>
      </c>
      <c r="H17185" s="56">
        <v>0</v>
      </c>
      <c r="I17185" s="224" t="s">
        <v>2</v>
      </c>
    </row>
    <row r="17186" spans="1:9" x14ac:dyDescent="0.25">
      <c r="A17186" s="515">
        <v>35443</v>
      </c>
      <c r="B17186" s="515" t="s">
        <v>841</v>
      </c>
      <c r="C17186" s="52">
        <v>93753.534246575306</v>
      </c>
      <c r="D17186" s="56">
        <v>0</v>
      </c>
      <c r="E17186" s="224" t="s">
        <v>2</v>
      </c>
      <c r="F17186" s="515" t="s">
        <v>18362</v>
      </c>
      <c r="G17186" s="52">
        <v>121583.15520213</v>
      </c>
      <c r="H17186" s="56">
        <v>1.9820810497445541E-2</v>
      </c>
      <c r="I17186" s="224" t="s">
        <v>2</v>
      </c>
    </row>
    <row r="17187" spans="1:9" x14ac:dyDescent="0.25">
      <c r="A17187" s="515">
        <v>54562</v>
      </c>
      <c r="C17187" s="52">
        <v>346944.72647471901</v>
      </c>
      <c r="D17187" s="56">
        <v>7.704561761012807E-2</v>
      </c>
      <c r="E17187" s="224" t="s">
        <v>2</v>
      </c>
      <c r="F17187" s="515" t="s">
        <v>18363</v>
      </c>
      <c r="G17187" s="52">
        <v>130347.029701286</v>
      </c>
      <c r="H17187" s="56">
        <v>0.12170092715972966</v>
      </c>
      <c r="I17187" s="224" t="s">
        <v>2</v>
      </c>
    </row>
    <row r="17188" spans="1:9" x14ac:dyDescent="0.25">
      <c r="A17188" s="515">
        <v>45761</v>
      </c>
      <c r="B17188" s="515" t="s">
        <v>578</v>
      </c>
      <c r="C17188" s="52">
        <v>108660.160944673</v>
      </c>
      <c r="D17188" s="56">
        <v>7.302886744765133E-2</v>
      </c>
      <c r="E17188" s="224" t="s">
        <v>2</v>
      </c>
      <c r="F17188" s="515" t="s">
        <v>18364</v>
      </c>
      <c r="G17188" s="52">
        <v>155678.04101256901</v>
      </c>
      <c r="H17188" s="56">
        <v>8.1285521117435505E-2</v>
      </c>
      <c r="I17188" s="224" t="s">
        <v>2</v>
      </c>
    </row>
    <row r="17189" spans="1:9" x14ac:dyDescent="0.25">
      <c r="A17189" s="515">
        <v>37352</v>
      </c>
      <c r="B17189" s="515" t="s">
        <v>977</v>
      </c>
      <c r="C17189" s="52">
        <v>288582.003349579</v>
      </c>
      <c r="D17189" s="56">
        <v>0.11313322084311285</v>
      </c>
      <c r="E17189" s="224" t="s">
        <v>2</v>
      </c>
      <c r="F17189" s="515" t="s">
        <v>18365</v>
      </c>
      <c r="G17189" s="52">
        <v>1407841.3064238799</v>
      </c>
      <c r="H17189" s="56">
        <v>5.4756386553466596E-2</v>
      </c>
      <c r="I17189" s="224" t="s">
        <v>2</v>
      </c>
    </row>
    <row r="17190" spans="1:9" x14ac:dyDescent="0.25">
      <c r="A17190" s="515">
        <v>17864</v>
      </c>
      <c r="B17190" s="515" t="s">
        <v>1084</v>
      </c>
      <c r="C17190" s="52">
        <v>187257.89130434699</v>
      </c>
      <c r="D17190" s="56">
        <v>0</v>
      </c>
      <c r="E17190" s="224" t="s">
        <v>2</v>
      </c>
      <c r="F17190" s="515" t="s">
        <v>18366</v>
      </c>
      <c r="G17190" s="52">
        <v>92563.362615361097</v>
      </c>
      <c r="H17190" s="56">
        <v>2.0721578703860117E-2</v>
      </c>
      <c r="I17190" s="224" t="s">
        <v>2</v>
      </c>
    </row>
    <row r="17191" spans="1:9" x14ac:dyDescent="0.25">
      <c r="A17191" s="515">
        <v>16844</v>
      </c>
      <c r="B17191" s="515" t="s">
        <v>491</v>
      </c>
      <c r="C17191" s="52">
        <v>244574.384908348</v>
      </c>
      <c r="D17191" s="56">
        <v>6.8757483283330575E-2</v>
      </c>
      <c r="E17191" s="224" t="s">
        <v>2</v>
      </c>
      <c r="F17191" s="515" t="s">
        <v>18367</v>
      </c>
      <c r="G17191" s="52">
        <v>373185.493266768</v>
      </c>
      <c r="H17191" s="56">
        <v>4.9940815090698538E-2</v>
      </c>
      <c r="I17191" s="224" t="s">
        <v>2</v>
      </c>
    </row>
    <row r="17192" spans="1:9" x14ac:dyDescent="0.25">
      <c r="A17192" s="515">
        <v>79357</v>
      </c>
      <c r="B17192" s="515" t="s">
        <v>354</v>
      </c>
      <c r="C17192" s="52">
        <v>64693.779474452902</v>
      </c>
      <c r="D17192" s="56">
        <v>0</v>
      </c>
      <c r="E17192" s="224" t="s">
        <v>2</v>
      </c>
      <c r="F17192" s="515" t="s">
        <v>18368</v>
      </c>
      <c r="G17192" s="52">
        <v>317191.73875432502</v>
      </c>
      <c r="H17192" s="56">
        <v>0</v>
      </c>
      <c r="I17192" s="224" t="s">
        <v>2</v>
      </c>
    </row>
    <row r="17193" spans="1:9" x14ac:dyDescent="0.25">
      <c r="A17193" s="515">
        <v>37762</v>
      </c>
      <c r="B17193" s="515" t="s">
        <v>907</v>
      </c>
      <c r="C17193" s="52">
        <v>110446.746230769</v>
      </c>
      <c r="D17193" s="56">
        <v>0.14626562771249971</v>
      </c>
      <c r="E17193" s="224" t="s">
        <v>2</v>
      </c>
      <c r="F17193" s="515" t="s">
        <v>18369</v>
      </c>
      <c r="G17193" s="52">
        <v>127067.06500890201</v>
      </c>
      <c r="H17193" s="56">
        <v>9.135671544499116E-2</v>
      </c>
      <c r="I17193" s="224" t="s">
        <v>2</v>
      </c>
    </row>
    <row r="17194" spans="1:9" x14ac:dyDescent="0.25">
      <c r="A17194" s="515">
        <v>43406</v>
      </c>
      <c r="B17194" s="515" t="s">
        <v>300</v>
      </c>
      <c r="C17194" s="52">
        <v>138217.550507682</v>
      </c>
      <c r="D17194" s="56">
        <v>-2.9025415077756126E-3</v>
      </c>
      <c r="E17194" s="224" t="s">
        <v>2</v>
      </c>
      <c r="F17194" s="515" t="s">
        <v>18370</v>
      </c>
      <c r="G17194" s="52">
        <v>198418.23413689999</v>
      </c>
      <c r="H17194" s="56">
        <v>9.8381702197182216E-2</v>
      </c>
      <c r="I17194" s="224" t="s">
        <v>2</v>
      </c>
    </row>
    <row r="17195" spans="1:9" x14ac:dyDescent="0.25">
      <c r="A17195" s="515">
        <v>53923</v>
      </c>
      <c r="B17195" s="515" t="s">
        <v>727</v>
      </c>
      <c r="C17195" s="52">
        <v>205898.95534781099</v>
      </c>
      <c r="D17195" s="56">
        <v>5.7302761675596732E-2</v>
      </c>
      <c r="E17195" s="224" t="s">
        <v>2</v>
      </c>
      <c r="F17195" s="515" t="s">
        <v>18371</v>
      </c>
      <c r="G17195" s="52">
        <v>216692.03535380599</v>
      </c>
      <c r="H17195" s="56">
        <v>3.7588938692135136E-2</v>
      </c>
      <c r="I17195" s="224" t="s">
        <v>2</v>
      </c>
    </row>
    <row r="17196" spans="1:9" x14ac:dyDescent="0.25">
      <c r="A17196" s="515">
        <v>54950</v>
      </c>
      <c r="C17196" s="52">
        <v>152906.90725350901</v>
      </c>
      <c r="D17196" s="56">
        <v>7.9135943230308439E-2</v>
      </c>
      <c r="E17196" s="224" t="s">
        <v>2</v>
      </c>
      <c r="F17196" s="515" t="s">
        <v>18372</v>
      </c>
      <c r="G17196" s="52">
        <v>103764.179737229</v>
      </c>
      <c r="H17196" s="56">
        <v>0.18212353203495285</v>
      </c>
      <c r="I17196" s="224" t="s">
        <v>2</v>
      </c>
    </row>
    <row r="17197" spans="1:9" x14ac:dyDescent="0.25">
      <c r="A17197" s="515">
        <v>37902</v>
      </c>
      <c r="B17197" s="515" t="s">
        <v>907</v>
      </c>
      <c r="C17197" s="52">
        <v>468121.865540481</v>
      </c>
      <c r="D17197" s="56">
        <v>7.2788343292932656E-2</v>
      </c>
      <c r="E17197" s="224" t="s">
        <v>2</v>
      </c>
      <c r="F17197" s="515" t="s">
        <v>18373</v>
      </c>
      <c r="G17197" s="52">
        <v>110406.912403553</v>
      </c>
      <c r="H17197" s="56">
        <v>2.2351860047698513E-2</v>
      </c>
      <c r="I17197" s="224" t="s">
        <v>2</v>
      </c>
    </row>
    <row r="17198" spans="1:9" x14ac:dyDescent="0.25">
      <c r="A17198" s="515">
        <v>28430</v>
      </c>
      <c r="C17198" s="52">
        <v>172261.938461538</v>
      </c>
      <c r="D17198" s="56">
        <v>0</v>
      </c>
      <c r="E17198" s="224" t="s">
        <v>2</v>
      </c>
      <c r="F17198" s="515" t="s">
        <v>18374</v>
      </c>
      <c r="G17198" s="52">
        <v>179725.125882291</v>
      </c>
      <c r="H17198" s="56">
        <v>0</v>
      </c>
      <c r="I17198" s="224" t="s">
        <v>2</v>
      </c>
    </row>
    <row r="17199" spans="1:9" x14ac:dyDescent="0.25">
      <c r="A17199" s="515">
        <v>97019</v>
      </c>
      <c r="B17199" s="515" t="s">
        <v>659</v>
      </c>
      <c r="C17199" s="52">
        <v>585419.876043731</v>
      </c>
      <c r="D17199" s="56">
        <v>-4.9939797580701101E-3</v>
      </c>
      <c r="E17199" s="224" t="s">
        <v>2</v>
      </c>
      <c r="F17199" s="515" t="s">
        <v>18375</v>
      </c>
      <c r="G17199" s="52">
        <v>350828.87010304199</v>
      </c>
      <c r="H17199" s="56">
        <v>9.7685497243388444E-2</v>
      </c>
      <c r="I17199" s="224" t="s">
        <v>2</v>
      </c>
    </row>
    <row r="17200" spans="1:9" x14ac:dyDescent="0.25">
      <c r="A17200" s="515">
        <v>61533</v>
      </c>
      <c r="B17200" s="515" t="s">
        <v>303</v>
      </c>
      <c r="C17200" s="52">
        <v>139799.34015552301</v>
      </c>
      <c r="D17200" s="56">
        <v>8.1546474134424535E-2</v>
      </c>
      <c r="E17200" s="224" t="s">
        <v>2</v>
      </c>
      <c r="F17200" s="515" t="s">
        <v>18376</v>
      </c>
      <c r="G17200" s="52">
        <v>134642.782244667</v>
      </c>
      <c r="H17200" s="56">
        <v>9.6491935136492152E-2</v>
      </c>
      <c r="I17200" s="224" t="s">
        <v>2</v>
      </c>
    </row>
    <row r="17201" spans="1:9" x14ac:dyDescent="0.25">
      <c r="A17201" s="515">
        <v>66439</v>
      </c>
      <c r="C17201" s="52">
        <v>88123.652687627895</v>
      </c>
      <c r="D17201" s="56">
        <v>0.14839723764193535</v>
      </c>
      <c r="E17201" s="224" t="s">
        <v>2</v>
      </c>
      <c r="F17201" s="515" t="s">
        <v>18377</v>
      </c>
      <c r="G17201" s="52">
        <v>143108.108711126</v>
      </c>
      <c r="H17201" s="56">
        <v>2.8022870283904203E-3</v>
      </c>
      <c r="I17201" s="224" t="s">
        <v>2</v>
      </c>
    </row>
    <row r="17202" spans="1:9" x14ac:dyDescent="0.25">
      <c r="A17202" s="515">
        <v>36759</v>
      </c>
      <c r="B17202" s="515" t="s">
        <v>483</v>
      </c>
      <c r="C17202" s="52">
        <v>119564.48979591799</v>
      </c>
      <c r="D17202" s="56">
        <v>0</v>
      </c>
      <c r="E17202" s="224" t="s">
        <v>2</v>
      </c>
      <c r="F17202" s="515" t="s">
        <v>18378</v>
      </c>
      <c r="G17202" s="52">
        <v>408138.95602979203</v>
      </c>
      <c r="H17202" s="56">
        <v>7.4173002687127079E-2</v>
      </c>
      <c r="I17202" s="224" t="s">
        <v>2</v>
      </c>
    </row>
    <row r="17203" spans="1:9" x14ac:dyDescent="0.25">
      <c r="A17203" s="515">
        <v>15486</v>
      </c>
      <c r="B17203" s="515" t="s">
        <v>297</v>
      </c>
      <c r="C17203" s="52">
        <v>153569.18884858699</v>
      </c>
      <c r="D17203" s="56">
        <v>3.3242710894471048E-2</v>
      </c>
      <c r="E17203" s="224" t="s">
        <v>2</v>
      </c>
      <c r="F17203" s="515" t="s">
        <v>18379</v>
      </c>
      <c r="G17203" s="52">
        <v>72429.197802197799</v>
      </c>
      <c r="H17203" s="56">
        <v>0</v>
      </c>
      <c r="I17203" s="224" t="s">
        <v>2</v>
      </c>
    </row>
    <row r="17204" spans="1:9" x14ac:dyDescent="0.25">
      <c r="A17204" s="515">
        <v>31016</v>
      </c>
      <c r="B17204" s="515" t="s">
        <v>995</v>
      </c>
      <c r="C17204" s="52">
        <v>183670.62368085299</v>
      </c>
      <c r="D17204" s="56">
        <v>0.10324273059243888</v>
      </c>
      <c r="E17204" s="224" t="s">
        <v>2</v>
      </c>
      <c r="F17204" s="515" t="s">
        <v>18380</v>
      </c>
      <c r="G17204" s="52">
        <v>178416.75415178199</v>
      </c>
      <c r="H17204" s="56">
        <v>0.11863816237863278</v>
      </c>
      <c r="I17204" s="224" t="s">
        <v>2</v>
      </c>
    </row>
    <row r="17205" spans="1:9" x14ac:dyDescent="0.25">
      <c r="A17205" s="515">
        <v>13328</v>
      </c>
      <c r="B17205" s="515" t="s">
        <v>543</v>
      </c>
      <c r="C17205" s="52">
        <v>204336.13070437199</v>
      </c>
      <c r="D17205" s="56">
        <v>0.12700926813983049</v>
      </c>
      <c r="E17205" s="224" t="s">
        <v>2</v>
      </c>
      <c r="F17205" s="515" t="s">
        <v>18381</v>
      </c>
      <c r="G17205" s="52">
        <v>2050557.38228199</v>
      </c>
      <c r="H17205" s="56">
        <v>0.10774203770561371</v>
      </c>
      <c r="I17205" s="224" t="s">
        <v>2</v>
      </c>
    </row>
    <row r="17206" spans="1:9" x14ac:dyDescent="0.25">
      <c r="A17206" s="515">
        <v>72562</v>
      </c>
      <c r="B17206" s="515" t="s">
        <v>693</v>
      </c>
      <c r="C17206" s="52">
        <v>116663.867927842</v>
      </c>
      <c r="D17206" s="56">
        <v>4.7637803399065849E-2</v>
      </c>
      <c r="E17206" s="224" t="s">
        <v>2</v>
      </c>
      <c r="F17206" s="515" t="s">
        <v>18382</v>
      </c>
      <c r="G17206" s="52">
        <v>125123.23086761399</v>
      </c>
      <c r="H17206" s="56">
        <v>0.11359637323914602</v>
      </c>
      <c r="I17206" s="224" t="s">
        <v>2</v>
      </c>
    </row>
    <row r="17207" spans="1:9" x14ac:dyDescent="0.25">
      <c r="A17207" s="515">
        <v>42023</v>
      </c>
      <c r="C17207" s="52">
        <v>104248.815449025</v>
      </c>
      <c r="D17207" s="56">
        <v>0.23464332091897905</v>
      </c>
      <c r="E17207" s="224" t="s">
        <v>2</v>
      </c>
      <c r="F17207" s="515" t="s">
        <v>18383</v>
      </c>
      <c r="G17207" s="52">
        <v>255792.287425149</v>
      </c>
      <c r="H17207" s="56">
        <v>0</v>
      </c>
      <c r="I17207" s="224" t="s">
        <v>2</v>
      </c>
    </row>
    <row r="17208" spans="1:9" x14ac:dyDescent="0.25">
      <c r="A17208" s="515">
        <v>20860</v>
      </c>
      <c r="B17208" s="515" t="s">
        <v>321</v>
      </c>
      <c r="C17208" s="52">
        <v>730935.05713085097</v>
      </c>
      <c r="D17208" s="56">
        <v>7.6864879988634274E-3</v>
      </c>
      <c r="E17208" s="224" t="s">
        <v>2</v>
      </c>
      <c r="F17208" s="515" t="s">
        <v>18384</v>
      </c>
      <c r="G17208" s="52">
        <v>180337.79520566901</v>
      </c>
      <c r="H17208" s="56">
        <v>-2.4550396436477551E-2</v>
      </c>
      <c r="I17208" s="224" t="s">
        <v>2</v>
      </c>
    </row>
    <row r="17209" spans="1:9" x14ac:dyDescent="0.25">
      <c r="A17209" s="515">
        <v>90067</v>
      </c>
      <c r="B17209" s="515" t="s">
        <v>375</v>
      </c>
      <c r="C17209" s="52">
        <v>1347911.47531229</v>
      </c>
      <c r="D17209" s="56">
        <v>-7.5476891134627477E-3</v>
      </c>
      <c r="E17209" s="224">
        <v>11633.333333333299</v>
      </c>
      <c r="F17209" s="515" t="s">
        <v>18385</v>
      </c>
      <c r="G17209" s="52">
        <v>355119.05317554198</v>
      </c>
      <c r="H17209" s="56">
        <v>0.15138364885870284</v>
      </c>
      <c r="I17209" s="224" t="s">
        <v>2</v>
      </c>
    </row>
    <row r="17210" spans="1:9" x14ac:dyDescent="0.25">
      <c r="A17210" s="515">
        <v>76449</v>
      </c>
      <c r="B17210" s="515" t="s">
        <v>935</v>
      </c>
      <c r="C17210" s="52">
        <v>541195.70162142604</v>
      </c>
      <c r="D17210" s="56">
        <v>7.9162902787336703E-2</v>
      </c>
      <c r="E17210" s="224" t="s">
        <v>2</v>
      </c>
      <c r="F17210" s="515" t="s">
        <v>18386</v>
      </c>
      <c r="G17210" s="52">
        <v>502545.21381384198</v>
      </c>
      <c r="H17210" s="56">
        <v>5.8811687494505709E-2</v>
      </c>
      <c r="I17210" s="224" t="s">
        <v>2</v>
      </c>
    </row>
    <row r="17211" spans="1:9" x14ac:dyDescent="0.25">
      <c r="A17211" s="515">
        <v>44849</v>
      </c>
      <c r="C17211" s="52">
        <v>145918.05233145499</v>
      </c>
      <c r="D17211" s="56">
        <v>9.0478705664975886E-2</v>
      </c>
      <c r="E17211" s="224" t="s">
        <v>2</v>
      </c>
      <c r="F17211" s="515" t="s">
        <v>18387</v>
      </c>
      <c r="G17211" s="52">
        <v>206863.56633073199</v>
      </c>
      <c r="H17211" s="56">
        <v>8.6334717856117599E-2</v>
      </c>
      <c r="I17211" s="224" t="s">
        <v>2</v>
      </c>
    </row>
    <row r="17212" spans="1:9" x14ac:dyDescent="0.25">
      <c r="A17212" s="515">
        <v>28515</v>
      </c>
      <c r="B17212" s="515" t="s">
        <v>574</v>
      </c>
      <c r="C17212" s="52">
        <v>156948.72271316699</v>
      </c>
      <c r="D17212" s="56">
        <v>0.1633087900942885</v>
      </c>
      <c r="E17212" s="224" t="s">
        <v>2</v>
      </c>
      <c r="F17212" s="515" t="s">
        <v>18388</v>
      </c>
      <c r="G17212" s="52">
        <v>176347.58812771901</v>
      </c>
      <c r="H17212" s="56">
        <v>9.1203983843132247E-2</v>
      </c>
      <c r="I17212" s="224" t="s">
        <v>2</v>
      </c>
    </row>
    <row r="17213" spans="1:9" x14ac:dyDescent="0.25">
      <c r="A17213" s="515">
        <v>73456</v>
      </c>
      <c r="C17213" s="52">
        <v>86660.114003214403</v>
      </c>
      <c r="D17213" s="56">
        <v>0.17537225436986695</v>
      </c>
      <c r="E17213" s="224" t="s">
        <v>2</v>
      </c>
      <c r="F17213" s="515" t="s">
        <v>18389</v>
      </c>
      <c r="G17213" s="52">
        <v>323599.76317051298</v>
      </c>
      <c r="H17213" s="56">
        <v>0.13175947052305789</v>
      </c>
      <c r="I17213" s="224" t="s">
        <v>2</v>
      </c>
    </row>
    <row r="17214" spans="1:9" x14ac:dyDescent="0.25">
      <c r="A17214" s="515">
        <v>21539</v>
      </c>
      <c r="B17214" s="515" t="s">
        <v>362</v>
      </c>
      <c r="C17214" s="52">
        <v>85403.428136200106</v>
      </c>
      <c r="D17214" s="56">
        <v>1.057780216678093E-2</v>
      </c>
      <c r="E17214" s="224" t="s">
        <v>2</v>
      </c>
      <c r="F17214" s="515" t="s">
        <v>18390</v>
      </c>
      <c r="G17214" s="52">
        <v>271238.58616083098</v>
      </c>
      <c r="H17214" s="56">
        <v>8.4801713650808741E-2</v>
      </c>
      <c r="I17214" s="224" t="s">
        <v>2</v>
      </c>
    </row>
    <row r="17215" spans="1:9" x14ac:dyDescent="0.25">
      <c r="A17215" s="515">
        <v>56232</v>
      </c>
      <c r="C17215" s="52">
        <v>147725.603367954</v>
      </c>
      <c r="D17215" s="56">
        <v>7.2130486022875501E-2</v>
      </c>
      <c r="E17215" s="224" t="s">
        <v>2</v>
      </c>
      <c r="F17215" s="515" t="s">
        <v>18391</v>
      </c>
      <c r="G17215" s="52">
        <v>272243.87821385398</v>
      </c>
      <c r="H17215" s="56">
        <v>0</v>
      </c>
      <c r="I17215" s="224" t="s">
        <v>2</v>
      </c>
    </row>
    <row r="17216" spans="1:9" x14ac:dyDescent="0.25">
      <c r="A17216" s="515">
        <v>66783</v>
      </c>
      <c r="C17216" s="52">
        <v>90693.397475687001</v>
      </c>
      <c r="D17216" s="56">
        <v>0.13610070522888743</v>
      </c>
      <c r="E17216" s="224" t="s">
        <v>2</v>
      </c>
      <c r="F17216" s="515" t="s">
        <v>18392</v>
      </c>
      <c r="G17216" s="52">
        <v>121762.225783509</v>
      </c>
      <c r="H17216" s="56">
        <v>5.516064125195639E-2</v>
      </c>
      <c r="I17216" s="224" t="s">
        <v>2</v>
      </c>
    </row>
    <row r="17217" spans="1:9" x14ac:dyDescent="0.25">
      <c r="A17217" s="515">
        <v>38366</v>
      </c>
      <c r="B17217" s="515" t="s">
        <v>691</v>
      </c>
      <c r="C17217" s="52">
        <v>154846.219284411</v>
      </c>
      <c r="D17217" s="56">
        <v>6.4823841046389899E-2</v>
      </c>
      <c r="E17217" s="224" t="s">
        <v>2</v>
      </c>
      <c r="F17217" s="515" t="s">
        <v>18393</v>
      </c>
      <c r="G17217" s="52">
        <v>136116.77244711801</v>
      </c>
      <c r="H17217" s="56">
        <v>3.3191448979222049E-2</v>
      </c>
      <c r="I17217" s="224" t="s">
        <v>2</v>
      </c>
    </row>
    <row r="17218" spans="1:9" x14ac:dyDescent="0.25">
      <c r="A17218" s="515">
        <v>13679</v>
      </c>
      <c r="B17218" s="515" t="s">
        <v>431</v>
      </c>
      <c r="C17218" s="52">
        <v>177340.545952327</v>
      </c>
      <c r="D17218" s="56">
        <v>4.8446993195391072E-2</v>
      </c>
      <c r="E17218" s="224" t="s">
        <v>2</v>
      </c>
      <c r="F17218" s="515" t="s">
        <v>18394</v>
      </c>
      <c r="G17218" s="52">
        <v>184017.78183449301</v>
      </c>
      <c r="H17218" s="56">
        <v>0.10737092703769276</v>
      </c>
      <c r="I17218" s="224" t="s">
        <v>2</v>
      </c>
    </row>
    <row r="17219" spans="1:9" x14ac:dyDescent="0.25">
      <c r="A17219" s="515">
        <v>94525</v>
      </c>
      <c r="B17219" s="515" t="s">
        <v>593</v>
      </c>
      <c r="C17219" s="52">
        <v>658551.69909575605</v>
      </c>
      <c r="D17219" s="56">
        <v>-1.216045565029112E-2</v>
      </c>
      <c r="E17219" s="224" t="s">
        <v>2</v>
      </c>
      <c r="F17219" s="515" t="s">
        <v>18395</v>
      </c>
      <c r="G17219" s="52">
        <v>107227.38609606</v>
      </c>
      <c r="H17219" s="56">
        <v>0.14181271177532553</v>
      </c>
      <c r="I17219" s="224" t="s">
        <v>2</v>
      </c>
    </row>
    <row r="17220" spans="1:9" x14ac:dyDescent="0.25">
      <c r="A17220" s="515">
        <v>4614</v>
      </c>
      <c r="C17220" s="52">
        <v>398292.35347935802</v>
      </c>
      <c r="D17220" s="56">
        <v>5.9616818710774414E-2</v>
      </c>
      <c r="E17220" s="224" t="s">
        <v>2</v>
      </c>
      <c r="F17220" s="515" t="s">
        <v>18396</v>
      </c>
      <c r="G17220" s="52">
        <v>127338.96401832299</v>
      </c>
      <c r="H17220" s="56">
        <v>6.4212626060802094E-2</v>
      </c>
      <c r="I17220" s="224" t="s">
        <v>2</v>
      </c>
    </row>
    <row r="17221" spans="1:9" x14ac:dyDescent="0.25">
      <c r="A17221" s="515">
        <v>38665</v>
      </c>
      <c r="B17221" s="515" t="s">
        <v>951</v>
      </c>
      <c r="C17221" s="52">
        <v>177779.055752371</v>
      </c>
      <c r="D17221" s="56">
        <v>6.3687118037036153E-2</v>
      </c>
      <c r="E17221" s="224" t="s">
        <v>2</v>
      </c>
      <c r="F17221" s="515" t="s">
        <v>18397</v>
      </c>
      <c r="G17221" s="52">
        <v>177439.85417244499</v>
      </c>
      <c r="H17221" s="56">
        <v>4.6529632951908817E-2</v>
      </c>
      <c r="I17221" s="224" t="s">
        <v>2</v>
      </c>
    </row>
    <row r="17222" spans="1:9" x14ac:dyDescent="0.25">
      <c r="A17222" s="515">
        <v>78881</v>
      </c>
      <c r="B17222" s="515" t="s">
        <v>688</v>
      </c>
      <c r="C17222" s="52">
        <v>143611.02306717599</v>
      </c>
      <c r="D17222" s="56">
        <v>-1.8064584651251967E-2</v>
      </c>
      <c r="E17222" s="224" t="s">
        <v>2</v>
      </c>
      <c r="F17222" s="515" t="s">
        <v>18398</v>
      </c>
      <c r="G17222" s="52">
        <v>351854.33003417798</v>
      </c>
      <c r="H17222" s="56">
        <v>0.13132019809811668</v>
      </c>
      <c r="I17222" s="224" t="s">
        <v>2</v>
      </c>
    </row>
    <row r="17223" spans="1:9" x14ac:dyDescent="0.25">
      <c r="A17223" s="515">
        <v>26031</v>
      </c>
      <c r="B17223" s="515" t="s">
        <v>442</v>
      </c>
      <c r="C17223" s="52">
        <v>57993.125149471402</v>
      </c>
      <c r="D17223" s="56">
        <v>-1.4055898250509864E-2</v>
      </c>
      <c r="E17223" s="224" t="s">
        <v>2</v>
      </c>
      <c r="F17223" s="515" t="s">
        <v>18399</v>
      </c>
      <c r="G17223" s="52">
        <v>356682.02855685801</v>
      </c>
      <c r="H17223" s="56">
        <v>0.15610230932735722</v>
      </c>
      <c r="I17223" s="224" t="s">
        <v>2</v>
      </c>
    </row>
    <row r="17224" spans="1:9" x14ac:dyDescent="0.25">
      <c r="A17224" s="515">
        <v>14724</v>
      </c>
      <c r="B17224" s="515" t="s">
        <v>560</v>
      </c>
      <c r="C17224" s="52">
        <v>192302.88866751501</v>
      </c>
      <c r="D17224" s="56">
        <v>9.9436753214064949E-2</v>
      </c>
      <c r="E17224" s="224" t="s">
        <v>2</v>
      </c>
      <c r="F17224" s="515" t="s">
        <v>18400</v>
      </c>
      <c r="G17224" s="52">
        <v>128607.42146684301</v>
      </c>
      <c r="H17224" s="56">
        <v>6.7818160046368578E-2</v>
      </c>
      <c r="I17224" s="224" t="s">
        <v>2</v>
      </c>
    </row>
    <row r="17225" spans="1:9" x14ac:dyDescent="0.25">
      <c r="A17225" s="515">
        <v>20676</v>
      </c>
      <c r="B17225" s="515" t="s">
        <v>321</v>
      </c>
      <c r="C17225" s="52">
        <v>445097.93583548802</v>
      </c>
      <c r="D17225" s="56">
        <v>3.2870021598759833E-2</v>
      </c>
      <c r="E17225" s="224" t="s">
        <v>2</v>
      </c>
      <c r="F17225" s="515" t="s">
        <v>18401</v>
      </c>
      <c r="G17225" s="52">
        <v>199017.43794090301</v>
      </c>
      <c r="H17225" s="56">
        <v>0.10781089307391296</v>
      </c>
      <c r="I17225" s="224" t="s">
        <v>2</v>
      </c>
    </row>
    <row r="17226" spans="1:9" x14ac:dyDescent="0.25">
      <c r="A17226" s="515">
        <v>21738</v>
      </c>
      <c r="B17226" s="515" t="s">
        <v>582</v>
      </c>
      <c r="C17226" s="52">
        <v>844677.07313862699</v>
      </c>
      <c r="D17226" s="56">
        <v>3.9037349438050151E-2</v>
      </c>
      <c r="E17226" s="224" t="s">
        <v>2</v>
      </c>
      <c r="F17226" s="515" t="s">
        <v>18402</v>
      </c>
      <c r="G17226" s="52">
        <v>209111.91358068801</v>
      </c>
      <c r="H17226" s="56">
        <v>7.3491770403943821E-2</v>
      </c>
      <c r="I17226" s="224" t="s">
        <v>2</v>
      </c>
    </row>
    <row r="17227" spans="1:9" x14ac:dyDescent="0.25">
      <c r="A17227" s="515">
        <v>7865</v>
      </c>
      <c r="B17227" s="515" t="s">
        <v>324</v>
      </c>
      <c r="C17227" s="52">
        <v>398737.64562030201</v>
      </c>
      <c r="D17227" s="56">
        <v>6.0451086000697304E-3</v>
      </c>
      <c r="E17227" s="224" t="s">
        <v>2</v>
      </c>
      <c r="F17227" s="515" t="s">
        <v>18403</v>
      </c>
      <c r="G17227" s="52">
        <v>738036.37777977495</v>
      </c>
      <c r="H17227" s="56">
        <v>5.0513818124070825E-2</v>
      </c>
      <c r="I17227" s="224" t="s">
        <v>2</v>
      </c>
    </row>
    <row r="17228" spans="1:9" x14ac:dyDescent="0.25">
      <c r="A17228" s="515">
        <v>50072</v>
      </c>
      <c r="B17228" s="515" t="s">
        <v>295</v>
      </c>
      <c r="C17228" s="52">
        <v>287733.34068994899</v>
      </c>
      <c r="D17228" s="56">
        <v>0.11468677815269906</v>
      </c>
      <c r="E17228" s="224" t="s">
        <v>2</v>
      </c>
      <c r="F17228" s="515" t="s">
        <v>18404</v>
      </c>
      <c r="G17228" s="52">
        <v>189532.554609771</v>
      </c>
      <c r="H17228" s="56">
        <v>0</v>
      </c>
      <c r="I17228" s="224" t="s">
        <v>2</v>
      </c>
    </row>
    <row r="17229" spans="1:9" x14ac:dyDescent="0.25">
      <c r="A17229" s="515">
        <v>66076</v>
      </c>
      <c r="B17229" s="515" t="s">
        <v>880</v>
      </c>
      <c r="C17229" s="52">
        <v>221167.44998205101</v>
      </c>
      <c r="D17229" s="56">
        <v>9.9636129664852816E-2</v>
      </c>
      <c r="E17229" s="224" t="s">
        <v>2</v>
      </c>
      <c r="F17229" s="515" t="s">
        <v>18405</v>
      </c>
      <c r="G17229" s="52">
        <v>747533.86302544002</v>
      </c>
      <c r="H17229" s="56">
        <v>7.9163987741145123E-2</v>
      </c>
      <c r="I17229" s="224" t="s">
        <v>2</v>
      </c>
    </row>
    <row r="17230" spans="1:9" x14ac:dyDescent="0.25">
      <c r="A17230" s="515">
        <v>4924</v>
      </c>
      <c r="C17230" s="52">
        <v>199549.17233182199</v>
      </c>
      <c r="D17230" s="56">
        <v>0.10412669176725549</v>
      </c>
      <c r="E17230" s="224" t="s">
        <v>2</v>
      </c>
      <c r="F17230" s="515" t="s">
        <v>18406</v>
      </c>
      <c r="G17230" s="52">
        <v>135177.22593455701</v>
      </c>
      <c r="H17230" s="56">
        <v>5.0370830249689205E-2</v>
      </c>
      <c r="I17230" s="224" t="s">
        <v>2</v>
      </c>
    </row>
    <row r="17231" spans="1:9" x14ac:dyDescent="0.25">
      <c r="A17231" s="515">
        <v>16929</v>
      </c>
      <c r="C17231" s="52">
        <v>196377.18366188699</v>
      </c>
      <c r="D17231" s="56">
        <v>8.4030160501780096E-2</v>
      </c>
      <c r="E17231" s="224" t="s">
        <v>2</v>
      </c>
      <c r="F17231" s="515" t="s">
        <v>18407</v>
      </c>
      <c r="G17231" s="52">
        <v>99090.2285729164</v>
      </c>
      <c r="H17231" s="56">
        <v>0</v>
      </c>
      <c r="I17231" s="224" t="s">
        <v>2</v>
      </c>
    </row>
    <row r="17232" spans="1:9" x14ac:dyDescent="0.25">
      <c r="A17232" s="515">
        <v>29051</v>
      </c>
      <c r="B17232" s="515" t="s">
        <v>1065</v>
      </c>
      <c r="C17232" s="52">
        <v>129401.06052316399</v>
      </c>
      <c r="D17232" s="56">
        <v>2.1118276396335897E-3</v>
      </c>
      <c r="E17232" s="224" t="s">
        <v>2</v>
      </c>
      <c r="F17232" s="515" t="s">
        <v>18408</v>
      </c>
      <c r="G17232" s="52">
        <v>157939.18281900301</v>
      </c>
      <c r="H17232" s="56">
        <v>2.3417381547561202E-2</v>
      </c>
      <c r="I17232" s="224" t="s">
        <v>2</v>
      </c>
    </row>
    <row r="17233" spans="1:9" x14ac:dyDescent="0.25">
      <c r="A17233" s="515">
        <v>49287</v>
      </c>
      <c r="B17233" s="515" t="s">
        <v>958</v>
      </c>
      <c r="C17233" s="52">
        <v>271386.91921333602</v>
      </c>
      <c r="D17233" s="56">
        <v>9.9352444596422132E-2</v>
      </c>
      <c r="E17233" s="224" t="s">
        <v>2</v>
      </c>
      <c r="F17233" s="515" t="s">
        <v>18409</v>
      </c>
      <c r="G17233" s="52">
        <v>204985.765595901</v>
      </c>
      <c r="H17233" s="56">
        <v>8.1371761127472561E-2</v>
      </c>
      <c r="I17233" s="224" t="s">
        <v>2</v>
      </c>
    </row>
    <row r="17234" spans="1:9" x14ac:dyDescent="0.25">
      <c r="A17234" s="515">
        <v>16731</v>
      </c>
      <c r="B17234" s="515" t="s">
        <v>604</v>
      </c>
      <c r="C17234" s="52">
        <v>80510.6800711244</v>
      </c>
      <c r="D17234" s="56">
        <v>2.4136664833708368E-2</v>
      </c>
      <c r="E17234" s="224" t="s">
        <v>2</v>
      </c>
      <c r="F17234" s="515" t="s">
        <v>18410</v>
      </c>
      <c r="G17234" s="52">
        <v>87932.458354795701</v>
      </c>
      <c r="H17234" s="56">
        <v>0.11995633298289958</v>
      </c>
      <c r="I17234" s="224" t="s">
        <v>2</v>
      </c>
    </row>
    <row r="17235" spans="1:9" x14ac:dyDescent="0.25">
      <c r="A17235" s="515">
        <v>95458</v>
      </c>
      <c r="B17235" s="515" t="s">
        <v>363</v>
      </c>
      <c r="C17235" s="52">
        <v>251715.25704152501</v>
      </c>
      <c r="D17235" s="56">
        <v>3.2849746585880302E-2</v>
      </c>
      <c r="E17235" s="224" t="s">
        <v>2</v>
      </c>
      <c r="F17235" s="515" t="s">
        <v>18411</v>
      </c>
      <c r="G17235" s="52">
        <v>273736.06883626903</v>
      </c>
      <c r="H17235" s="56">
        <v>6.7305681156018635E-2</v>
      </c>
      <c r="I17235" s="224" t="s">
        <v>2</v>
      </c>
    </row>
    <row r="17236" spans="1:9" x14ac:dyDescent="0.25">
      <c r="A17236" s="515">
        <v>14033</v>
      </c>
      <c r="B17236" s="515" t="s">
        <v>336</v>
      </c>
      <c r="C17236" s="52">
        <v>303681.68844113703</v>
      </c>
      <c r="D17236" s="56">
        <v>6.3619529989242626E-2</v>
      </c>
      <c r="E17236" s="224" t="s">
        <v>2</v>
      </c>
      <c r="F17236" s="515" t="s">
        <v>18412</v>
      </c>
      <c r="G17236" s="52">
        <v>142880.28399616401</v>
      </c>
      <c r="H17236" s="56">
        <v>0.10552144986724402</v>
      </c>
      <c r="I17236" s="224" t="s">
        <v>2</v>
      </c>
    </row>
    <row r="17237" spans="1:9" x14ac:dyDescent="0.25">
      <c r="A17237" s="515">
        <v>71419</v>
      </c>
      <c r="C17237" s="52">
        <v>127452.203928327</v>
      </c>
      <c r="D17237" s="56">
        <v>9.1454896049843443E-2</v>
      </c>
      <c r="E17237" s="224" t="s">
        <v>2</v>
      </c>
      <c r="F17237" s="515" t="s">
        <v>18413</v>
      </c>
      <c r="G17237" s="52">
        <v>1451574.5713569999</v>
      </c>
      <c r="H17237" s="56">
        <v>0.13114828990659858</v>
      </c>
      <c r="I17237" s="224" t="s">
        <v>2</v>
      </c>
    </row>
    <row r="17238" spans="1:9" x14ac:dyDescent="0.25">
      <c r="A17238" s="515">
        <v>40056</v>
      </c>
      <c r="B17238" s="515" t="s">
        <v>479</v>
      </c>
      <c r="C17238" s="52">
        <v>304767.75135113701</v>
      </c>
      <c r="D17238" s="56">
        <v>5.0483683433415721E-2</v>
      </c>
      <c r="E17238" s="224" t="s">
        <v>2</v>
      </c>
      <c r="F17238" s="515" t="s">
        <v>18414</v>
      </c>
      <c r="G17238" s="52">
        <v>124102.47007750301</v>
      </c>
      <c r="H17238" s="56">
        <v>6.7856180960419649E-2</v>
      </c>
      <c r="I17238" s="224" t="s">
        <v>2</v>
      </c>
    </row>
    <row r="17239" spans="1:9" x14ac:dyDescent="0.25">
      <c r="A17239" s="515">
        <v>2556</v>
      </c>
      <c r="B17239" s="515" t="s">
        <v>427</v>
      </c>
      <c r="C17239" s="52">
        <v>845421.93745589501</v>
      </c>
      <c r="D17239" s="56">
        <v>8.3434440247584007E-2</v>
      </c>
      <c r="E17239" s="224" t="s">
        <v>2</v>
      </c>
      <c r="F17239" s="515" t="s">
        <v>18415</v>
      </c>
      <c r="G17239" s="52">
        <v>481502.15173905803</v>
      </c>
      <c r="H17239" s="56">
        <v>5.7647806286227669E-2</v>
      </c>
      <c r="I17239" s="224" t="s">
        <v>2</v>
      </c>
    </row>
    <row r="17240" spans="1:9" x14ac:dyDescent="0.25">
      <c r="A17240" s="515">
        <v>37881</v>
      </c>
      <c r="C17240" s="52">
        <v>173313.93751409699</v>
      </c>
      <c r="D17240" s="56">
        <v>3.7938428290407146E-2</v>
      </c>
      <c r="E17240" s="224" t="s">
        <v>2</v>
      </c>
      <c r="F17240" s="515" t="s">
        <v>18416</v>
      </c>
      <c r="G17240" s="52">
        <v>267734.25491915899</v>
      </c>
      <c r="H17240" s="56">
        <v>0.11339291210320059</v>
      </c>
      <c r="I17240" s="224" t="s">
        <v>2</v>
      </c>
    </row>
    <row r="17241" spans="1:9" x14ac:dyDescent="0.25">
      <c r="A17241" s="515">
        <v>56256</v>
      </c>
      <c r="C17241" s="52">
        <v>128244.170516381</v>
      </c>
      <c r="D17241" s="56">
        <v>5.2805036236871356E-2</v>
      </c>
      <c r="E17241" s="224" t="s">
        <v>2</v>
      </c>
      <c r="F17241" s="515" t="s">
        <v>18417</v>
      </c>
      <c r="G17241" s="52">
        <v>222093.83211132599</v>
      </c>
      <c r="H17241" s="56">
        <v>8.5483682336843878E-2</v>
      </c>
      <c r="I17241" s="224" t="s">
        <v>2</v>
      </c>
    </row>
    <row r="17242" spans="1:9" x14ac:dyDescent="0.25">
      <c r="A17242" s="515">
        <v>60963</v>
      </c>
      <c r="B17242" s="515" t="s">
        <v>999</v>
      </c>
      <c r="C17242" s="52">
        <v>89046.438832658096</v>
      </c>
      <c r="D17242" s="56">
        <v>9.218810992298139E-2</v>
      </c>
      <c r="E17242" s="224" t="s">
        <v>2</v>
      </c>
      <c r="F17242" s="515" t="s">
        <v>18418</v>
      </c>
      <c r="G17242" s="52">
        <v>218763.77552103499</v>
      </c>
      <c r="H17242" s="56">
        <v>0.24586331318783744</v>
      </c>
      <c r="I17242" s="224" t="s">
        <v>2</v>
      </c>
    </row>
    <row r="17243" spans="1:9" x14ac:dyDescent="0.25">
      <c r="A17243" s="515">
        <v>8310</v>
      </c>
      <c r="B17243" s="515" t="s">
        <v>800</v>
      </c>
      <c r="C17243" s="52">
        <v>275463.13678718999</v>
      </c>
      <c r="D17243" s="56">
        <v>4.4161739092199476E-2</v>
      </c>
      <c r="E17243" s="224" t="s">
        <v>2</v>
      </c>
      <c r="F17243" s="515" t="s">
        <v>18419</v>
      </c>
      <c r="G17243" s="52">
        <v>229846.69304908</v>
      </c>
      <c r="H17243" s="56">
        <v>8.9235668339994856E-2</v>
      </c>
      <c r="I17243" s="224" t="s">
        <v>2</v>
      </c>
    </row>
    <row r="17244" spans="1:9" x14ac:dyDescent="0.25">
      <c r="A17244" s="515">
        <v>5354</v>
      </c>
      <c r="C17244" s="52">
        <v>308248.25890612201</v>
      </c>
      <c r="D17244" s="56">
        <v>3.7147962040851967E-2</v>
      </c>
      <c r="E17244" s="224" t="s">
        <v>2</v>
      </c>
      <c r="F17244" s="515" t="s">
        <v>18420</v>
      </c>
      <c r="G17244" s="52">
        <v>93640.925158569706</v>
      </c>
      <c r="H17244" s="56">
        <v>8.7572738264916822E-2</v>
      </c>
      <c r="I17244" s="224" t="s">
        <v>2</v>
      </c>
    </row>
    <row r="17245" spans="1:9" x14ac:dyDescent="0.25">
      <c r="A17245" s="515">
        <v>16153</v>
      </c>
      <c r="B17245" s="515" t="s">
        <v>397</v>
      </c>
      <c r="C17245" s="52">
        <v>141247.90854037699</v>
      </c>
      <c r="D17245" s="56">
        <v>-6.5987781243932227E-3</v>
      </c>
      <c r="E17245" s="224" t="s">
        <v>2</v>
      </c>
      <c r="F17245" s="515" t="s">
        <v>18421</v>
      </c>
      <c r="G17245" s="52">
        <v>148888.67839816801</v>
      </c>
      <c r="H17245" s="56">
        <v>0.20156715993434302</v>
      </c>
      <c r="I17245" s="224" t="s">
        <v>2</v>
      </c>
    </row>
    <row r="17246" spans="1:9" x14ac:dyDescent="0.25">
      <c r="A17246" s="515">
        <v>77702</v>
      </c>
      <c r="B17246" s="515" t="s">
        <v>492</v>
      </c>
      <c r="C17246" s="52">
        <v>132527.848766524</v>
      </c>
      <c r="D17246" s="56">
        <v>7.3175232268222843E-3</v>
      </c>
      <c r="E17246" s="224" t="s">
        <v>2</v>
      </c>
      <c r="F17246" s="515" t="s">
        <v>18422</v>
      </c>
      <c r="G17246" s="52">
        <v>144977.30626522601</v>
      </c>
      <c r="H17246" s="56">
        <v>0</v>
      </c>
      <c r="I17246" s="224" t="s">
        <v>2</v>
      </c>
    </row>
    <row r="17247" spans="1:9" x14ac:dyDescent="0.25">
      <c r="A17247" s="515">
        <v>80654</v>
      </c>
      <c r="B17247" s="515" t="s">
        <v>510</v>
      </c>
      <c r="C17247" s="52">
        <v>432128.40022840101</v>
      </c>
      <c r="D17247" s="56">
        <v>6.0738020562457661E-2</v>
      </c>
      <c r="E17247" s="224" t="s">
        <v>2</v>
      </c>
      <c r="F17247" s="515" t="s">
        <v>18423</v>
      </c>
      <c r="G17247" s="52">
        <v>407843.86566487502</v>
      </c>
      <c r="H17247" s="56">
        <v>0</v>
      </c>
      <c r="I17247" s="224" t="s">
        <v>2</v>
      </c>
    </row>
    <row r="17248" spans="1:9" x14ac:dyDescent="0.25">
      <c r="A17248" s="515">
        <v>43440</v>
      </c>
      <c r="B17248" s="515" t="s">
        <v>300</v>
      </c>
      <c r="C17248" s="52">
        <v>277648.14976912702</v>
      </c>
      <c r="D17248" s="56">
        <v>5.0892726119319991E-2</v>
      </c>
      <c r="E17248" s="224" t="s">
        <v>2</v>
      </c>
      <c r="F17248" s="515" t="s">
        <v>18424</v>
      </c>
      <c r="G17248" s="52">
        <v>251675.88217102599</v>
      </c>
      <c r="H17248" s="56">
        <v>8.6480021452953248E-2</v>
      </c>
      <c r="I17248" s="224" t="s">
        <v>2</v>
      </c>
    </row>
    <row r="17249" spans="1:9" x14ac:dyDescent="0.25">
      <c r="A17249" s="515">
        <v>27844</v>
      </c>
      <c r="B17249" s="515" t="s">
        <v>909</v>
      </c>
      <c r="C17249" s="52">
        <v>52898.165403392202</v>
      </c>
      <c r="D17249" s="56">
        <v>6.0313958757475555E-2</v>
      </c>
      <c r="E17249" s="224" t="s">
        <v>2</v>
      </c>
      <c r="F17249" s="515" t="s">
        <v>18425</v>
      </c>
      <c r="G17249" s="52">
        <v>303595.83276697301</v>
      </c>
      <c r="H17249" s="56">
        <v>9.6197083696638999E-2</v>
      </c>
      <c r="I17249" s="224" t="s">
        <v>2</v>
      </c>
    </row>
    <row r="17250" spans="1:9" x14ac:dyDescent="0.25">
      <c r="A17250" s="515">
        <v>6469</v>
      </c>
      <c r="B17250" s="515" t="s">
        <v>894</v>
      </c>
      <c r="C17250" s="52">
        <v>303262.88701679802</v>
      </c>
      <c r="D17250" s="56">
        <v>8.6949401258547415E-2</v>
      </c>
      <c r="E17250" s="224" t="s">
        <v>2</v>
      </c>
      <c r="F17250" s="515" t="s">
        <v>18426</v>
      </c>
      <c r="G17250" s="52">
        <v>116589.976167449</v>
      </c>
      <c r="H17250" s="56">
        <v>0</v>
      </c>
      <c r="I17250" s="224" t="s">
        <v>2</v>
      </c>
    </row>
    <row r="17251" spans="1:9" x14ac:dyDescent="0.25">
      <c r="A17251" s="515">
        <v>24844</v>
      </c>
      <c r="C17251" s="52">
        <v>42744.748910850198</v>
      </c>
      <c r="D17251" s="56">
        <v>-8.5939428361944847E-2</v>
      </c>
      <c r="E17251" s="224" t="s">
        <v>2</v>
      </c>
      <c r="F17251" s="515" t="s">
        <v>18427</v>
      </c>
      <c r="G17251" s="52">
        <v>1856898.3137932899</v>
      </c>
      <c r="H17251" s="56">
        <v>2.635846513906915E-2</v>
      </c>
      <c r="I17251" s="224" t="s">
        <v>2</v>
      </c>
    </row>
    <row r="17252" spans="1:9" x14ac:dyDescent="0.25">
      <c r="A17252" s="515">
        <v>39057</v>
      </c>
      <c r="C17252" s="52">
        <v>138140.20990945399</v>
      </c>
      <c r="D17252" s="56">
        <v>-3.7895459544917097E-2</v>
      </c>
      <c r="E17252" s="224" t="s">
        <v>2</v>
      </c>
      <c r="F17252" s="515" t="s">
        <v>18428</v>
      </c>
      <c r="G17252" s="52">
        <v>67287.181946318495</v>
      </c>
      <c r="H17252" s="56">
        <v>0</v>
      </c>
      <c r="I17252" s="224" t="s">
        <v>2</v>
      </c>
    </row>
    <row r="17253" spans="1:9" x14ac:dyDescent="0.25">
      <c r="A17253" s="515">
        <v>68527</v>
      </c>
      <c r="B17253" s="515" t="s">
        <v>486</v>
      </c>
      <c r="C17253" s="52">
        <v>490754.27263926202</v>
      </c>
      <c r="D17253" s="56">
        <v>7.2032508651638252E-2</v>
      </c>
      <c r="E17253" s="224" t="s">
        <v>2</v>
      </c>
      <c r="F17253" s="515" t="s">
        <v>18429</v>
      </c>
      <c r="G17253" s="52">
        <v>285413.25438596401</v>
      </c>
      <c r="H17253" s="56">
        <v>0</v>
      </c>
      <c r="I17253" s="224" t="s">
        <v>2</v>
      </c>
    </row>
    <row r="17254" spans="1:9" x14ac:dyDescent="0.25">
      <c r="A17254" s="515">
        <v>67017</v>
      </c>
      <c r="B17254" s="515" t="s">
        <v>485</v>
      </c>
      <c r="C17254" s="52">
        <v>270217.93846912403</v>
      </c>
      <c r="D17254" s="56">
        <v>8.5252631884257829E-2</v>
      </c>
      <c r="E17254" s="224" t="s">
        <v>2</v>
      </c>
      <c r="F17254" s="515" t="s">
        <v>18430</v>
      </c>
      <c r="G17254" s="52">
        <v>170927.24930157099</v>
      </c>
      <c r="H17254" s="56">
        <v>0</v>
      </c>
      <c r="I17254" s="224" t="s">
        <v>2</v>
      </c>
    </row>
    <row r="17255" spans="1:9" x14ac:dyDescent="0.25">
      <c r="A17255" s="515">
        <v>74130</v>
      </c>
      <c r="B17255" s="515" t="s">
        <v>348</v>
      </c>
      <c r="C17255" s="52">
        <v>77609.132725964504</v>
      </c>
      <c r="D17255" s="56">
        <v>9.8095686168675575E-2</v>
      </c>
      <c r="E17255" s="224" t="s">
        <v>2</v>
      </c>
      <c r="F17255" s="515" t="s">
        <v>18431</v>
      </c>
      <c r="G17255" s="52">
        <v>286090.70192469499</v>
      </c>
      <c r="H17255" s="56">
        <v>0</v>
      </c>
      <c r="I17255" s="224" t="s">
        <v>2</v>
      </c>
    </row>
    <row r="17256" spans="1:9" x14ac:dyDescent="0.25">
      <c r="A17256" s="515">
        <v>39480</v>
      </c>
      <c r="B17256" s="515" t="s">
        <v>793</v>
      </c>
      <c r="C17256" s="52">
        <v>146078.416852102</v>
      </c>
      <c r="D17256" s="56">
        <v>-3.636852888733072E-2</v>
      </c>
      <c r="E17256" s="224" t="s">
        <v>2</v>
      </c>
      <c r="F17256" s="515" t="s">
        <v>18432</v>
      </c>
      <c r="G17256" s="52">
        <v>125088.75701000101</v>
      </c>
      <c r="H17256" s="56">
        <v>0.11075494153232988</v>
      </c>
      <c r="I17256" s="224" t="s">
        <v>2</v>
      </c>
    </row>
    <row r="17257" spans="1:9" x14ac:dyDescent="0.25">
      <c r="A17257" s="515">
        <v>71229</v>
      </c>
      <c r="B17257" s="515" t="s">
        <v>695</v>
      </c>
      <c r="C17257" s="52">
        <v>126254.68516594901</v>
      </c>
      <c r="D17257" s="56">
        <v>0.1255714181172759</v>
      </c>
      <c r="E17257" s="224" t="s">
        <v>2</v>
      </c>
      <c r="F17257" s="515" t="s">
        <v>18433</v>
      </c>
      <c r="G17257" s="52">
        <v>293857.15366717399</v>
      </c>
      <c r="H17257" s="56">
        <v>0.11124714684765855</v>
      </c>
      <c r="I17257" s="224" t="s">
        <v>2</v>
      </c>
    </row>
    <row r="17258" spans="1:9" x14ac:dyDescent="0.25">
      <c r="A17258" s="515">
        <v>62869</v>
      </c>
      <c r="C17258" s="52">
        <v>78277.342692701699</v>
      </c>
      <c r="D17258" s="56">
        <v>5.0108775812405547E-2</v>
      </c>
      <c r="E17258" s="224" t="s">
        <v>2</v>
      </c>
      <c r="F17258" s="515" t="s">
        <v>18434</v>
      </c>
      <c r="G17258" s="52">
        <v>212426.260684546</v>
      </c>
      <c r="H17258" s="56">
        <v>7.2220642619045525E-2</v>
      </c>
      <c r="I17258" s="224" t="s">
        <v>2</v>
      </c>
    </row>
    <row r="17259" spans="1:9" x14ac:dyDescent="0.25">
      <c r="A17259" s="515">
        <v>41553</v>
      </c>
      <c r="C17259" s="52">
        <v>61194.618583947602</v>
      </c>
      <c r="D17259" s="56">
        <v>0.20959561219548964</v>
      </c>
      <c r="E17259" s="224" t="s">
        <v>2</v>
      </c>
      <c r="F17259" s="515" t="s">
        <v>18435</v>
      </c>
      <c r="G17259" s="52">
        <v>196415.15147213099</v>
      </c>
      <c r="H17259" s="56">
        <v>3.1930099417966047E-2</v>
      </c>
      <c r="I17259" s="224" t="s">
        <v>2</v>
      </c>
    </row>
    <row r="17260" spans="1:9" x14ac:dyDescent="0.25">
      <c r="A17260" s="515">
        <v>64019</v>
      </c>
      <c r="B17260" s="515" t="s">
        <v>1047</v>
      </c>
      <c r="C17260" s="52">
        <v>262817.64603271999</v>
      </c>
      <c r="D17260" s="56">
        <v>9.8661381261580302E-3</v>
      </c>
      <c r="E17260" s="224" t="s">
        <v>2</v>
      </c>
      <c r="F17260" s="515" t="s">
        <v>18436</v>
      </c>
      <c r="G17260" s="52">
        <v>158881.002994696</v>
      </c>
      <c r="H17260" s="56">
        <v>4.4401135492901568E-2</v>
      </c>
      <c r="I17260" s="224" t="s">
        <v>2</v>
      </c>
    </row>
    <row r="17261" spans="1:9" x14ac:dyDescent="0.25">
      <c r="A17261" s="515">
        <v>72433</v>
      </c>
      <c r="C17261" s="52">
        <v>71962.988678948299</v>
      </c>
      <c r="D17261" s="56">
        <v>6.0401561467530243E-2</v>
      </c>
      <c r="E17261" s="224" t="s">
        <v>2</v>
      </c>
      <c r="F17261" s="515" t="s">
        <v>18437</v>
      </c>
      <c r="G17261" s="52">
        <v>375450.25974255498</v>
      </c>
      <c r="H17261" s="56">
        <v>-5.7000289339541425E-2</v>
      </c>
      <c r="I17261" s="224" t="s">
        <v>2</v>
      </c>
    </row>
    <row r="17262" spans="1:9" x14ac:dyDescent="0.25">
      <c r="A17262" s="515">
        <v>49233</v>
      </c>
      <c r="B17262" s="515" t="s">
        <v>958</v>
      </c>
      <c r="C17262" s="52">
        <v>238860.20643511799</v>
      </c>
      <c r="D17262" s="56">
        <v>7.6391183223458517E-2</v>
      </c>
      <c r="E17262" s="224" t="s">
        <v>2</v>
      </c>
      <c r="F17262" s="515" t="s">
        <v>18438</v>
      </c>
      <c r="G17262" s="52">
        <v>65121.122133802099</v>
      </c>
      <c r="H17262" s="56">
        <v>0</v>
      </c>
      <c r="I17262" s="224" t="s">
        <v>2</v>
      </c>
    </row>
    <row r="17263" spans="1:9" x14ac:dyDescent="0.25">
      <c r="A17263" s="515">
        <v>43009</v>
      </c>
      <c r="B17263" s="515" t="s">
        <v>430</v>
      </c>
      <c r="C17263" s="52">
        <v>244279.58322714499</v>
      </c>
      <c r="D17263" s="56">
        <v>0.13890971139915109</v>
      </c>
      <c r="E17263" s="224" t="s">
        <v>2</v>
      </c>
      <c r="F17263" s="515" t="s">
        <v>18439</v>
      </c>
      <c r="G17263" s="52">
        <v>217123.33869229601</v>
      </c>
      <c r="H17263" s="56">
        <v>5.589591622968916E-2</v>
      </c>
      <c r="I17263" s="224" t="s">
        <v>2</v>
      </c>
    </row>
    <row r="17264" spans="1:9" x14ac:dyDescent="0.25">
      <c r="A17264" s="515">
        <v>68002</v>
      </c>
      <c r="B17264" s="515" t="s">
        <v>367</v>
      </c>
      <c r="C17264" s="52">
        <v>311267.29004505201</v>
      </c>
      <c r="D17264" s="56">
        <v>7.4899158818540465E-2</v>
      </c>
      <c r="E17264" s="224" t="s">
        <v>2</v>
      </c>
      <c r="F17264" s="515" t="s">
        <v>18440</v>
      </c>
      <c r="G17264" s="52">
        <v>221051.01428571399</v>
      </c>
      <c r="H17264" s="56">
        <v>0</v>
      </c>
      <c r="I17264" s="224" t="s">
        <v>2</v>
      </c>
    </row>
    <row r="17265" spans="1:9" x14ac:dyDescent="0.25">
      <c r="A17265" s="515">
        <v>57642</v>
      </c>
      <c r="C17265" s="52">
        <v>104323.288648388</v>
      </c>
      <c r="D17265" s="56">
        <v>7.5067826640045979E-2</v>
      </c>
      <c r="E17265" s="224" t="s">
        <v>2</v>
      </c>
      <c r="F17265" s="515" t="s">
        <v>18441</v>
      </c>
      <c r="G17265" s="52">
        <v>268942.615981735</v>
      </c>
      <c r="H17265" s="56">
        <v>2.3402965843721736E-2</v>
      </c>
      <c r="I17265" s="224" t="s">
        <v>2</v>
      </c>
    </row>
    <row r="17266" spans="1:9" x14ac:dyDescent="0.25">
      <c r="A17266" s="515">
        <v>49234</v>
      </c>
      <c r="B17266" s="515" t="s">
        <v>1125</v>
      </c>
      <c r="C17266" s="52">
        <v>274004.163955172</v>
      </c>
      <c r="D17266" s="56">
        <v>4.5213643966231926E-2</v>
      </c>
      <c r="E17266" s="224" t="s">
        <v>2</v>
      </c>
      <c r="F17266" s="515" t="s">
        <v>18442</v>
      </c>
      <c r="G17266" s="52">
        <v>156859.118757572</v>
      </c>
      <c r="H17266" s="56">
        <v>9.972236505286175E-2</v>
      </c>
      <c r="I17266" s="224" t="s">
        <v>2</v>
      </c>
    </row>
    <row r="17267" spans="1:9" x14ac:dyDescent="0.25">
      <c r="A17267" s="515">
        <v>15428</v>
      </c>
      <c r="B17267" s="515" t="s">
        <v>297</v>
      </c>
      <c r="C17267" s="52">
        <v>130182.694941851</v>
      </c>
      <c r="D17267" s="56">
        <v>5.9875104543470101E-2</v>
      </c>
      <c r="E17267" s="224" t="s">
        <v>2</v>
      </c>
      <c r="F17267" s="515" t="s">
        <v>18443</v>
      </c>
      <c r="G17267" s="52">
        <v>140410.62155622401</v>
      </c>
      <c r="H17267" s="56">
        <v>4.4076909033859267E-2</v>
      </c>
      <c r="I17267" s="224" t="s">
        <v>2</v>
      </c>
    </row>
    <row r="17268" spans="1:9" x14ac:dyDescent="0.25">
      <c r="A17268" s="515">
        <v>73932</v>
      </c>
      <c r="C17268" s="52">
        <v>114760.300705302</v>
      </c>
      <c r="D17268" s="56">
        <v>0.13893315661056965</v>
      </c>
      <c r="E17268" s="224" t="s">
        <v>2</v>
      </c>
      <c r="F17268" s="515" t="s">
        <v>18444</v>
      </c>
      <c r="G17268" s="52">
        <v>109785.192661223</v>
      </c>
      <c r="H17268" s="56">
        <v>7.8636245718442924E-2</v>
      </c>
      <c r="I17268" s="224" t="s">
        <v>2</v>
      </c>
    </row>
    <row r="17269" spans="1:9" x14ac:dyDescent="0.25">
      <c r="A17269" s="515">
        <v>16249</v>
      </c>
      <c r="B17269" s="515" t="s">
        <v>297</v>
      </c>
      <c r="C17269" s="52">
        <v>144013.137519418</v>
      </c>
      <c r="D17269" s="56">
        <v>8.9368401632458142E-2</v>
      </c>
      <c r="E17269" s="224" t="s">
        <v>2</v>
      </c>
      <c r="F17269" s="515" t="s">
        <v>18445</v>
      </c>
      <c r="G17269" s="52">
        <v>96152.705237866001</v>
      </c>
      <c r="H17269" s="56">
        <v>0.19970633716557465</v>
      </c>
      <c r="I17269" s="224" t="s">
        <v>2</v>
      </c>
    </row>
    <row r="17270" spans="1:9" x14ac:dyDescent="0.25">
      <c r="A17270" s="515">
        <v>35091</v>
      </c>
      <c r="B17270" s="515" t="s">
        <v>640</v>
      </c>
      <c r="C17270" s="52">
        <v>282351.866934077</v>
      </c>
      <c r="D17270" s="56">
        <v>0.10164456431222568</v>
      </c>
      <c r="E17270" s="224" t="s">
        <v>2</v>
      </c>
      <c r="F17270" s="515" t="s">
        <v>18446</v>
      </c>
      <c r="G17270" s="52">
        <v>228062.25982851101</v>
      </c>
      <c r="H17270" s="56">
        <v>5.8759067260375913E-2</v>
      </c>
      <c r="I17270" s="224" t="s">
        <v>2</v>
      </c>
    </row>
    <row r="17271" spans="1:9" x14ac:dyDescent="0.25">
      <c r="A17271" s="515">
        <v>95536</v>
      </c>
      <c r="B17271" s="515" t="s">
        <v>352</v>
      </c>
      <c r="C17271" s="52">
        <v>485860.60958808701</v>
      </c>
      <c r="D17271" s="56">
        <v>-1.0662604993429588E-3</v>
      </c>
      <c r="E17271" s="224" t="s">
        <v>2</v>
      </c>
      <c r="F17271" s="515" t="s">
        <v>18447</v>
      </c>
      <c r="G17271" s="52">
        <v>183414.17105263099</v>
      </c>
      <c r="H17271" s="56">
        <v>0</v>
      </c>
      <c r="I17271" s="224" t="s">
        <v>2</v>
      </c>
    </row>
    <row r="17272" spans="1:9" x14ac:dyDescent="0.25">
      <c r="A17272" s="515">
        <v>67333</v>
      </c>
      <c r="B17272" s="515" t="s">
        <v>377</v>
      </c>
      <c r="C17272" s="52">
        <v>74993.718083005006</v>
      </c>
      <c r="D17272" s="56">
        <v>5.2114337424052588E-2</v>
      </c>
      <c r="E17272" s="224" t="s">
        <v>2</v>
      </c>
      <c r="F17272" s="515" t="s">
        <v>18448</v>
      </c>
      <c r="G17272" s="52">
        <v>368419.109365082</v>
      </c>
      <c r="H17272" s="56">
        <v>9.6001696992205454E-2</v>
      </c>
      <c r="I17272" s="224" t="s">
        <v>2</v>
      </c>
    </row>
    <row r="17273" spans="1:9" x14ac:dyDescent="0.25">
      <c r="A17273" s="515">
        <v>42266</v>
      </c>
      <c r="B17273" s="515" t="s">
        <v>651</v>
      </c>
      <c r="C17273" s="52">
        <v>222779.43577791401</v>
      </c>
      <c r="D17273" s="56">
        <v>0.16572408564982025</v>
      </c>
      <c r="E17273" s="224" t="s">
        <v>2</v>
      </c>
      <c r="F17273" s="515" t="s">
        <v>18449</v>
      </c>
      <c r="G17273" s="52">
        <v>223305.76620656499</v>
      </c>
      <c r="H17273" s="56">
        <v>0.16599902589493298</v>
      </c>
      <c r="I17273" s="224" t="s">
        <v>2</v>
      </c>
    </row>
    <row r="17274" spans="1:9" x14ac:dyDescent="0.25">
      <c r="A17274" s="515">
        <v>97544</v>
      </c>
      <c r="B17274" s="515" t="s">
        <v>626</v>
      </c>
      <c r="C17274" s="52">
        <v>456682.16205890698</v>
      </c>
      <c r="D17274" s="56">
        <v>-1.7557152856891512E-2</v>
      </c>
      <c r="E17274" s="224" t="s">
        <v>2</v>
      </c>
      <c r="F17274" s="515" t="s">
        <v>18450</v>
      </c>
      <c r="G17274" s="52">
        <v>97272.661567716103</v>
      </c>
      <c r="H17274" s="56">
        <v>0.17525698107270807</v>
      </c>
      <c r="I17274" s="224" t="s">
        <v>2</v>
      </c>
    </row>
    <row r="17275" spans="1:9" x14ac:dyDescent="0.25">
      <c r="A17275" s="515">
        <v>3781</v>
      </c>
      <c r="B17275" s="515" t="s">
        <v>420</v>
      </c>
      <c r="C17275" s="52">
        <v>430124.596879469</v>
      </c>
      <c r="D17275" s="56">
        <v>8.003196790585676E-2</v>
      </c>
      <c r="E17275" s="224" t="s">
        <v>2</v>
      </c>
      <c r="F17275" s="515" t="s">
        <v>18451</v>
      </c>
      <c r="G17275" s="52">
        <v>215948.30134551099</v>
      </c>
      <c r="H17275" s="56">
        <v>8.2902202804036582E-2</v>
      </c>
      <c r="I17275" s="224" t="s">
        <v>2</v>
      </c>
    </row>
    <row r="17276" spans="1:9" x14ac:dyDescent="0.25">
      <c r="A17276" s="515">
        <v>44412</v>
      </c>
      <c r="B17276" s="515" t="s">
        <v>1000</v>
      </c>
      <c r="C17276" s="52">
        <v>230109.25553123199</v>
      </c>
      <c r="D17276" s="56">
        <v>0.10250557120598783</v>
      </c>
      <c r="E17276" s="224" t="s">
        <v>2</v>
      </c>
      <c r="F17276" s="515" t="s">
        <v>18452</v>
      </c>
      <c r="G17276" s="52">
        <v>185649.45493836401</v>
      </c>
      <c r="H17276" s="56">
        <v>0.22092195631337103</v>
      </c>
      <c r="I17276" s="224" t="s">
        <v>2</v>
      </c>
    </row>
    <row r="17277" spans="1:9" x14ac:dyDescent="0.25">
      <c r="A17277" s="515">
        <v>64061</v>
      </c>
      <c r="B17277" s="515" t="s">
        <v>1047</v>
      </c>
      <c r="C17277" s="52">
        <v>310966.01431182103</v>
      </c>
      <c r="D17277" s="56">
        <v>7.0958457804181391E-2</v>
      </c>
      <c r="E17277" s="224" t="s">
        <v>2</v>
      </c>
      <c r="F17277" s="515" t="s">
        <v>18453</v>
      </c>
      <c r="G17277" s="52">
        <v>174470.892854879</v>
      </c>
      <c r="H17277" s="56">
        <v>0.12252034578452471</v>
      </c>
      <c r="I17277" s="224" t="s">
        <v>2</v>
      </c>
    </row>
    <row r="17278" spans="1:9" x14ac:dyDescent="0.25">
      <c r="A17278" s="515">
        <v>64454</v>
      </c>
      <c r="B17278" s="515" t="s">
        <v>455</v>
      </c>
      <c r="C17278" s="52">
        <v>243867.12356372399</v>
      </c>
      <c r="D17278" s="56">
        <v>9.1374438928789353E-2</v>
      </c>
      <c r="E17278" s="224" t="s">
        <v>2</v>
      </c>
      <c r="F17278" s="515" t="s">
        <v>18454</v>
      </c>
      <c r="G17278" s="52">
        <v>127311.50796431</v>
      </c>
      <c r="H17278" s="56">
        <v>1.316757289241228E-2</v>
      </c>
      <c r="I17278" s="224" t="s">
        <v>2</v>
      </c>
    </row>
    <row r="17279" spans="1:9" x14ac:dyDescent="0.25">
      <c r="A17279" s="515">
        <v>14826</v>
      </c>
      <c r="B17279" s="515" t="s">
        <v>585</v>
      </c>
      <c r="C17279" s="52">
        <v>127656.007919889</v>
      </c>
      <c r="D17279" s="56">
        <v>9.3035132423150702E-2</v>
      </c>
      <c r="E17279" s="224" t="s">
        <v>2</v>
      </c>
      <c r="F17279" s="515" t="s">
        <v>18455</v>
      </c>
      <c r="G17279" s="52">
        <v>1603433.83174137</v>
      </c>
      <c r="H17279" s="56">
        <v>0.18778848835090914</v>
      </c>
      <c r="I17279" s="224" t="s">
        <v>2</v>
      </c>
    </row>
    <row r="17280" spans="1:9" x14ac:dyDescent="0.25">
      <c r="A17280" s="515">
        <v>28709</v>
      </c>
      <c r="B17280" s="515" t="s">
        <v>668</v>
      </c>
      <c r="C17280" s="52">
        <v>339733.00304153899</v>
      </c>
      <c r="D17280" s="56">
        <v>0.1459786439893844</v>
      </c>
      <c r="E17280" s="224" t="s">
        <v>2</v>
      </c>
      <c r="F17280" s="515" t="s">
        <v>18456</v>
      </c>
      <c r="G17280" s="52">
        <v>80828.538248436394</v>
      </c>
      <c r="H17280" s="56">
        <v>-1.9143548488415495E-2</v>
      </c>
      <c r="I17280" s="224" t="s">
        <v>2</v>
      </c>
    </row>
    <row r="17281" spans="1:9" x14ac:dyDescent="0.25">
      <c r="A17281" s="515">
        <v>54486</v>
      </c>
      <c r="B17281" s="515" t="s">
        <v>985</v>
      </c>
      <c r="C17281" s="52">
        <v>132996.947539043</v>
      </c>
      <c r="D17281" s="56">
        <v>3.8058320478341644E-2</v>
      </c>
      <c r="E17281" s="224" t="s">
        <v>2</v>
      </c>
      <c r="F17281" s="515" t="s">
        <v>18457</v>
      </c>
      <c r="G17281" s="52">
        <v>228874.60917524999</v>
      </c>
      <c r="H17281" s="56">
        <v>9.4134302759948163E-2</v>
      </c>
      <c r="I17281" s="224" t="s">
        <v>2</v>
      </c>
    </row>
    <row r="17282" spans="1:9" x14ac:dyDescent="0.25">
      <c r="A17282" s="515">
        <v>66087</v>
      </c>
      <c r="B17282" s="515" t="s">
        <v>371</v>
      </c>
      <c r="C17282" s="52">
        <v>127546.00011523999</v>
      </c>
      <c r="D17282" s="56">
        <v>0.11135349327366618</v>
      </c>
      <c r="E17282" s="224" t="s">
        <v>2</v>
      </c>
      <c r="F17282" s="515" t="s">
        <v>18458</v>
      </c>
      <c r="G17282" s="52">
        <v>163483.98565084601</v>
      </c>
      <c r="H17282" s="56">
        <v>0.13461911968964474</v>
      </c>
      <c r="I17282" s="224" t="s">
        <v>2</v>
      </c>
    </row>
    <row r="17283" spans="1:9" x14ac:dyDescent="0.25">
      <c r="A17283" s="515">
        <v>23047</v>
      </c>
      <c r="B17283" s="515" t="s">
        <v>667</v>
      </c>
      <c r="C17283" s="52">
        <v>349721.85247968702</v>
      </c>
      <c r="D17283" s="56">
        <v>6.4850905261648453E-2</v>
      </c>
      <c r="E17283" s="224" t="s">
        <v>2</v>
      </c>
      <c r="F17283" s="515" t="s">
        <v>18459</v>
      </c>
      <c r="G17283" s="52">
        <v>459793.98945221701</v>
      </c>
      <c r="H17283" s="56">
        <v>7.6055407890707721E-2</v>
      </c>
      <c r="I17283" s="224" t="s">
        <v>2</v>
      </c>
    </row>
    <row r="17284" spans="1:9" x14ac:dyDescent="0.25">
      <c r="A17284" s="515">
        <v>74740</v>
      </c>
      <c r="C17284" s="52">
        <v>132751.03654751001</v>
      </c>
      <c r="D17284" s="56">
        <v>8.2760520266612972E-2</v>
      </c>
      <c r="E17284" s="224" t="s">
        <v>2</v>
      </c>
      <c r="F17284" s="515" t="s">
        <v>18460</v>
      </c>
      <c r="G17284" s="52">
        <v>201826.35392361201</v>
      </c>
      <c r="H17284" s="56">
        <v>0.11042135015143324</v>
      </c>
      <c r="I17284" s="224" t="s">
        <v>2</v>
      </c>
    </row>
    <row r="17285" spans="1:9" x14ac:dyDescent="0.25">
      <c r="A17285" s="515">
        <v>28538</v>
      </c>
      <c r="C17285" s="52">
        <v>145638.976214008</v>
      </c>
      <c r="D17285" s="56">
        <v>0.13990128830733897</v>
      </c>
      <c r="E17285" s="224" t="s">
        <v>2</v>
      </c>
      <c r="F17285" s="515" t="s">
        <v>18461</v>
      </c>
      <c r="G17285" s="52">
        <v>608330.56192694104</v>
      </c>
      <c r="H17285" s="56">
        <v>0.10591996118694683</v>
      </c>
      <c r="I17285" s="224" t="s">
        <v>2</v>
      </c>
    </row>
    <row r="17286" spans="1:9" x14ac:dyDescent="0.25">
      <c r="A17286" s="515">
        <v>62922</v>
      </c>
      <c r="B17286" s="515" t="s">
        <v>471</v>
      </c>
      <c r="C17286" s="52">
        <v>153116.83222074399</v>
      </c>
      <c r="D17286" s="56">
        <v>-8.2281002215171279E-3</v>
      </c>
      <c r="E17286" s="224" t="s">
        <v>2</v>
      </c>
      <c r="F17286" s="515" t="s">
        <v>18462</v>
      </c>
      <c r="G17286" s="52">
        <v>199763.147720704</v>
      </c>
      <c r="H17286" s="56">
        <v>5.5279423458737618E-2</v>
      </c>
      <c r="I17286" s="224" t="s">
        <v>2</v>
      </c>
    </row>
    <row r="17287" spans="1:9" x14ac:dyDescent="0.25">
      <c r="A17287" s="515">
        <v>44214</v>
      </c>
      <c r="B17287" s="515" t="s">
        <v>1136</v>
      </c>
      <c r="C17287" s="52">
        <v>362657.51785337302</v>
      </c>
      <c r="D17287" s="56">
        <v>0.44857831083999544</v>
      </c>
      <c r="E17287" s="224" t="s">
        <v>2</v>
      </c>
      <c r="F17287" s="515" t="s">
        <v>18463</v>
      </c>
      <c r="G17287" s="52">
        <v>315096.348552674</v>
      </c>
      <c r="H17287" s="56">
        <v>0.15254221133443305</v>
      </c>
      <c r="I17287" s="224" t="s">
        <v>2</v>
      </c>
    </row>
    <row r="17288" spans="1:9" x14ac:dyDescent="0.25">
      <c r="A17288" s="515">
        <v>26055</v>
      </c>
      <c r="C17288" s="52">
        <v>112453.514910221</v>
      </c>
      <c r="D17288" s="56">
        <v>5.3921719639006833E-2</v>
      </c>
      <c r="E17288" s="224" t="s">
        <v>2</v>
      </c>
      <c r="F17288" s="515" t="s">
        <v>18464</v>
      </c>
      <c r="G17288" s="52">
        <v>144416.005970784</v>
      </c>
      <c r="H17288" s="56">
        <v>9.1871287355713441E-2</v>
      </c>
      <c r="I17288" s="224" t="s">
        <v>2</v>
      </c>
    </row>
    <row r="17289" spans="1:9" x14ac:dyDescent="0.25">
      <c r="A17289" s="515">
        <v>24137</v>
      </c>
      <c r="B17289" s="515" t="s">
        <v>861</v>
      </c>
      <c r="C17289" s="52">
        <v>427229.48225595098</v>
      </c>
      <c r="D17289" s="56">
        <v>8.1788457627398115E-2</v>
      </c>
      <c r="E17289" s="224" t="s">
        <v>2</v>
      </c>
      <c r="F17289" s="515" t="s">
        <v>18465</v>
      </c>
      <c r="G17289" s="52">
        <v>179410.22697494901</v>
      </c>
      <c r="H17289" s="56">
        <v>3.5069127413442712E-3</v>
      </c>
      <c r="I17289" s="224" t="s">
        <v>2</v>
      </c>
    </row>
    <row r="17290" spans="1:9" x14ac:dyDescent="0.25">
      <c r="A17290" s="515">
        <v>17771</v>
      </c>
      <c r="B17290" s="515" t="s">
        <v>296</v>
      </c>
      <c r="C17290" s="52">
        <v>202487.00726684701</v>
      </c>
      <c r="D17290" s="56">
        <v>4.9957019845889239E-2</v>
      </c>
      <c r="E17290" s="224" t="s">
        <v>2</v>
      </c>
      <c r="F17290" s="515" t="s">
        <v>18466</v>
      </c>
      <c r="G17290" s="52">
        <v>189480.100225876</v>
      </c>
      <c r="H17290" s="56">
        <v>5.781993964354476E-2</v>
      </c>
      <c r="I17290" s="224" t="s">
        <v>2</v>
      </c>
    </row>
    <row r="17291" spans="1:9" x14ac:dyDescent="0.25">
      <c r="A17291" s="515">
        <v>17565</v>
      </c>
      <c r="B17291" s="515" t="s">
        <v>537</v>
      </c>
      <c r="C17291" s="52">
        <v>340377.80819345498</v>
      </c>
      <c r="D17291" s="56">
        <v>8.2484897399799292E-2</v>
      </c>
      <c r="E17291" s="224" t="s">
        <v>2</v>
      </c>
      <c r="F17291" s="515" t="s">
        <v>18467</v>
      </c>
      <c r="G17291" s="52">
        <v>60516</v>
      </c>
      <c r="H17291" s="56">
        <v>0</v>
      </c>
      <c r="I17291" s="224" t="s">
        <v>2</v>
      </c>
    </row>
    <row r="17292" spans="1:9" x14ac:dyDescent="0.25">
      <c r="A17292" s="515">
        <v>24620</v>
      </c>
      <c r="C17292" s="52">
        <v>69338.491350078999</v>
      </c>
      <c r="D17292" s="56">
        <v>1.6280639776964003E-2</v>
      </c>
      <c r="E17292" s="224" t="s">
        <v>2</v>
      </c>
      <c r="F17292" s="515" t="s">
        <v>18468</v>
      </c>
      <c r="G17292" s="52">
        <v>227416.090380879</v>
      </c>
      <c r="H17292" s="56">
        <v>5.6541566143403318E-2</v>
      </c>
      <c r="I17292" s="224" t="s">
        <v>2</v>
      </c>
    </row>
    <row r="17293" spans="1:9" x14ac:dyDescent="0.25">
      <c r="A17293" s="515">
        <v>44807</v>
      </c>
      <c r="B17293" s="515" t="s">
        <v>463</v>
      </c>
      <c r="C17293" s="52">
        <v>140780.67851744199</v>
      </c>
      <c r="D17293" s="56">
        <v>3.7384195263179654E-2</v>
      </c>
      <c r="E17293" s="224" t="s">
        <v>2</v>
      </c>
      <c r="F17293" s="515" t="s">
        <v>18469</v>
      </c>
      <c r="G17293" s="52">
        <v>140844.18778252101</v>
      </c>
      <c r="H17293" s="56">
        <v>0.12879313170516929</v>
      </c>
      <c r="I17293" s="224" t="s">
        <v>2</v>
      </c>
    </row>
    <row r="17294" spans="1:9" x14ac:dyDescent="0.25">
      <c r="A17294" s="515">
        <v>48414</v>
      </c>
      <c r="B17294" s="515" t="s">
        <v>528</v>
      </c>
      <c r="C17294" s="52">
        <v>163339.51094918701</v>
      </c>
      <c r="D17294" s="56">
        <v>3.2751089776491903E-2</v>
      </c>
      <c r="E17294" s="224" t="s">
        <v>2</v>
      </c>
      <c r="F17294" s="515" t="s">
        <v>18470</v>
      </c>
      <c r="G17294" s="52">
        <v>181877.45</v>
      </c>
      <c r="H17294" s="56">
        <v>0</v>
      </c>
      <c r="I17294" s="224" t="s">
        <v>2</v>
      </c>
    </row>
    <row r="17295" spans="1:9" x14ac:dyDescent="0.25">
      <c r="A17295" s="515">
        <v>24593</v>
      </c>
      <c r="B17295" s="515" t="s">
        <v>705</v>
      </c>
      <c r="C17295" s="52">
        <v>258197.719768009</v>
      </c>
      <c r="D17295" s="56">
        <v>0.10322333358820626</v>
      </c>
      <c r="E17295" s="224" t="s">
        <v>2</v>
      </c>
      <c r="F17295" s="515" t="s">
        <v>18471</v>
      </c>
      <c r="G17295" s="52">
        <v>105613.63181376101</v>
      </c>
      <c r="H17295" s="56">
        <v>0</v>
      </c>
      <c r="I17295" s="224" t="s">
        <v>2</v>
      </c>
    </row>
    <row r="17296" spans="1:9" x14ac:dyDescent="0.25">
      <c r="A17296" s="515">
        <v>62692</v>
      </c>
      <c r="B17296" s="515" t="s">
        <v>531</v>
      </c>
      <c r="C17296" s="52">
        <v>87935.639347480595</v>
      </c>
      <c r="D17296" s="56">
        <v>1.1327110535776662E-2</v>
      </c>
      <c r="E17296" s="224" t="s">
        <v>2</v>
      </c>
      <c r="F17296" s="515" t="s">
        <v>18472</v>
      </c>
      <c r="G17296" s="52">
        <v>183299.37191079999</v>
      </c>
      <c r="H17296" s="56">
        <v>2.0934816332763163E-4</v>
      </c>
      <c r="I17296" s="224" t="s">
        <v>2</v>
      </c>
    </row>
    <row r="17297" spans="1:9" x14ac:dyDescent="0.25">
      <c r="A17297" s="515">
        <v>63937</v>
      </c>
      <c r="C17297" s="52">
        <v>195229.23970544801</v>
      </c>
      <c r="D17297" s="56">
        <v>4.6819022998519956E-2</v>
      </c>
      <c r="E17297" s="224" t="s">
        <v>2</v>
      </c>
      <c r="F17297" s="515" t="s">
        <v>18473</v>
      </c>
      <c r="G17297" s="52">
        <v>32934.229496858097</v>
      </c>
      <c r="H17297" s="56">
        <v>-2.198178865520951E-2</v>
      </c>
      <c r="I17297" s="224" t="s">
        <v>2</v>
      </c>
    </row>
    <row r="17298" spans="1:9" x14ac:dyDescent="0.25">
      <c r="A17298" s="515">
        <v>17094</v>
      </c>
      <c r="C17298" s="52">
        <v>193637.07741517801</v>
      </c>
      <c r="D17298" s="56">
        <v>3.9305125893194973E-2</v>
      </c>
      <c r="E17298" s="224" t="s">
        <v>2</v>
      </c>
      <c r="F17298" s="515" t="s">
        <v>18474</v>
      </c>
      <c r="G17298" s="52">
        <v>105330.26848360601</v>
      </c>
      <c r="H17298" s="56">
        <v>1.9488053498760333E-2</v>
      </c>
      <c r="I17298" s="224" t="s">
        <v>2</v>
      </c>
    </row>
    <row r="17299" spans="1:9" x14ac:dyDescent="0.25">
      <c r="A17299" s="515">
        <v>16637</v>
      </c>
      <c r="B17299" s="515" t="s">
        <v>1086</v>
      </c>
      <c r="C17299" s="52">
        <v>148491.45112333001</v>
      </c>
      <c r="D17299" s="56">
        <v>-2.0032731008941956E-2</v>
      </c>
      <c r="E17299" s="224" t="s">
        <v>2</v>
      </c>
      <c r="F17299" s="515" t="s">
        <v>18475</v>
      </c>
      <c r="G17299" s="52">
        <v>62669.002131818197</v>
      </c>
      <c r="H17299" s="56">
        <v>0</v>
      </c>
      <c r="I17299" s="224" t="s">
        <v>2</v>
      </c>
    </row>
    <row r="17300" spans="1:9" x14ac:dyDescent="0.25">
      <c r="A17300" s="515">
        <v>16120</v>
      </c>
      <c r="B17300" s="515" t="s">
        <v>652</v>
      </c>
      <c r="C17300" s="52">
        <v>199148.61518592501</v>
      </c>
      <c r="D17300" s="56">
        <v>0.13737724599660864</v>
      </c>
      <c r="E17300" s="224" t="s">
        <v>2</v>
      </c>
      <c r="F17300" s="515" t="s">
        <v>18476</v>
      </c>
      <c r="G17300" s="52">
        <v>137490.15672033501</v>
      </c>
      <c r="H17300" s="56">
        <v>0.13157673891898986</v>
      </c>
      <c r="I17300" s="224" t="s">
        <v>2</v>
      </c>
    </row>
    <row r="17301" spans="1:9" x14ac:dyDescent="0.25">
      <c r="A17301" s="515">
        <v>39750</v>
      </c>
      <c r="B17301" s="515" t="s">
        <v>722</v>
      </c>
      <c r="C17301" s="52">
        <v>160553.40945591</v>
      </c>
      <c r="D17301" s="56">
        <v>-2.1856265050386351E-2</v>
      </c>
      <c r="E17301" s="224" t="s">
        <v>2</v>
      </c>
      <c r="F17301" s="515" t="s">
        <v>18477</v>
      </c>
      <c r="G17301" s="52">
        <v>243787.81358221601</v>
      </c>
      <c r="H17301" s="56">
        <v>7.313225194311293E-2</v>
      </c>
      <c r="I17301" s="224" t="s">
        <v>2</v>
      </c>
    </row>
    <row r="17302" spans="1:9" x14ac:dyDescent="0.25">
      <c r="A17302" s="515">
        <v>27832</v>
      </c>
      <c r="B17302" s="515" t="s">
        <v>909</v>
      </c>
      <c r="C17302" s="52">
        <v>109936.119765703</v>
      </c>
      <c r="D17302" s="56">
        <v>0.1004627735288636</v>
      </c>
      <c r="E17302" s="224" t="s">
        <v>2</v>
      </c>
      <c r="F17302" s="515" t="s">
        <v>18478</v>
      </c>
      <c r="G17302" s="52">
        <v>74540.119334655406</v>
      </c>
      <c r="H17302" s="56">
        <v>2.6613568695132952E-2</v>
      </c>
      <c r="I17302" s="224" t="s">
        <v>2</v>
      </c>
    </row>
    <row r="17303" spans="1:9" x14ac:dyDescent="0.25">
      <c r="A17303" s="515">
        <v>98858</v>
      </c>
      <c r="B17303" s="515" t="s">
        <v>521</v>
      </c>
      <c r="C17303" s="52">
        <v>302597.99574690399</v>
      </c>
      <c r="D17303" s="56">
        <v>8.5101195635126706E-2</v>
      </c>
      <c r="E17303" s="224" t="s">
        <v>2</v>
      </c>
      <c r="F17303" s="515" t="s">
        <v>18479</v>
      </c>
      <c r="G17303" s="52">
        <v>290864.29819676699</v>
      </c>
      <c r="H17303" s="56">
        <v>7.397389256954072E-2</v>
      </c>
      <c r="I17303" s="224" t="s">
        <v>2</v>
      </c>
    </row>
    <row r="17304" spans="1:9" x14ac:dyDescent="0.25">
      <c r="A17304" s="515">
        <v>68869</v>
      </c>
      <c r="B17304" s="515" t="s">
        <v>660</v>
      </c>
      <c r="C17304" s="52">
        <v>165896.80104028399</v>
      </c>
      <c r="D17304" s="56">
        <v>0.12785565847329652</v>
      </c>
      <c r="E17304" s="224" t="s">
        <v>2</v>
      </c>
      <c r="F17304" s="515" t="s">
        <v>18480</v>
      </c>
      <c r="G17304" s="52">
        <v>209078.022390976</v>
      </c>
      <c r="H17304" s="56">
        <v>0.1177186355650159</v>
      </c>
      <c r="I17304" s="224" t="s">
        <v>2</v>
      </c>
    </row>
    <row r="17305" spans="1:9" x14ac:dyDescent="0.25">
      <c r="A17305" s="515">
        <v>4353</v>
      </c>
      <c r="C17305" s="52">
        <v>261668.63817806999</v>
      </c>
      <c r="D17305" s="56">
        <v>0.12324131836919597</v>
      </c>
      <c r="E17305" s="224" t="s">
        <v>2</v>
      </c>
      <c r="F17305" s="515" t="s">
        <v>18481</v>
      </c>
      <c r="G17305" s="52">
        <v>155258.667514937</v>
      </c>
      <c r="H17305" s="56">
        <v>0.13066719419100983</v>
      </c>
      <c r="I17305" s="224" t="s">
        <v>2</v>
      </c>
    </row>
    <row r="17306" spans="1:9" x14ac:dyDescent="0.25">
      <c r="A17306" s="515">
        <v>6235</v>
      </c>
      <c r="B17306" s="515" t="s">
        <v>751</v>
      </c>
      <c r="C17306" s="52">
        <v>270221.71547363402</v>
      </c>
      <c r="D17306" s="56">
        <v>7.5066204489911845E-2</v>
      </c>
      <c r="E17306" s="224" t="s">
        <v>2</v>
      </c>
      <c r="F17306" s="515" t="s">
        <v>18482</v>
      </c>
      <c r="G17306" s="52">
        <v>179347.82954916099</v>
      </c>
      <c r="H17306" s="56">
        <v>9.2279203595770173E-2</v>
      </c>
      <c r="I17306" s="224" t="s">
        <v>2</v>
      </c>
    </row>
    <row r="17307" spans="1:9" x14ac:dyDescent="0.25">
      <c r="A17307" s="515">
        <v>82727</v>
      </c>
      <c r="B17307" s="515" t="s">
        <v>589</v>
      </c>
      <c r="C17307" s="52">
        <v>366089.10743085999</v>
      </c>
      <c r="D17307" s="56">
        <v>6.1917654899797253E-2</v>
      </c>
      <c r="E17307" s="224" t="s">
        <v>2</v>
      </c>
      <c r="F17307" s="515" t="s">
        <v>18483</v>
      </c>
      <c r="G17307" s="52">
        <v>263023.77215189801</v>
      </c>
      <c r="H17307" s="56">
        <v>0</v>
      </c>
      <c r="I17307" s="224" t="s">
        <v>2</v>
      </c>
    </row>
    <row r="17308" spans="1:9" x14ac:dyDescent="0.25">
      <c r="A17308" s="515">
        <v>74727</v>
      </c>
      <c r="C17308" s="52">
        <v>114828.45670584901</v>
      </c>
      <c r="D17308" s="56">
        <v>0.1693079418931861</v>
      </c>
      <c r="E17308" s="224" t="s">
        <v>2</v>
      </c>
      <c r="F17308" s="515" t="s">
        <v>18484</v>
      </c>
      <c r="G17308" s="52">
        <v>144052.62686791699</v>
      </c>
      <c r="H17308" s="56">
        <v>0</v>
      </c>
      <c r="I17308" s="224" t="s">
        <v>2</v>
      </c>
    </row>
    <row r="17309" spans="1:9" x14ac:dyDescent="0.25">
      <c r="A17309" s="515">
        <v>74825</v>
      </c>
      <c r="B17309" s="515" t="s">
        <v>694</v>
      </c>
      <c r="C17309" s="52">
        <v>137339.810828652</v>
      </c>
      <c r="D17309" s="56">
        <v>0.11124404782940599</v>
      </c>
      <c r="E17309" s="224" t="s">
        <v>2</v>
      </c>
      <c r="F17309" s="515" t="s">
        <v>18485</v>
      </c>
      <c r="G17309" s="52">
        <v>153669.44810684799</v>
      </c>
      <c r="H17309" s="56">
        <v>0.10540476195044607</v>
      </c>
      <c r="I17309" s="224" t="s">
        <v>2</v>
      </c>
    </row>
    <row r="17310" spans="1:9" x14ac:dyDescent="0.25">
      <c r="A17310" s="515">
        <v>40507</v>
      </c>
      <c r="B17310" s="515" t="s">
        <v>515</v>
      </c>
      <c r="C17310" s="52">
        <v>323605.41609514598</v>
      </c>
      <c r="D17310" s="56">
        <v>6.2226246431249618E-2</v>
      </c>
      <c r="E17310" s="224" t="s">
        <v>2</v>
      </c>
      <c r="F17310" s="515" t="s">
        <v>18486</v>
      </c>
      <c r="G17310" s="52">
        <v>210245.63146588099</v>
      </c>
      <c r="H17310" s="56">
        <v>5.2958356791642319E-2</v>
      </c>
      <c r="I17310" s="224" t="s">
        <v>2</v>
      </c>
    </row>
    <row r="17311" spans="1:9" x14ac:dyDescent="0.25">
      <c r="A17311" s="515">
        <v>78638</v>
      </c>
      <c r="B17311" s="515" t="s">
        <v>717</v>
      </c>
      <c r="C17311" s="52">
        <v>339693.53166086797</v>
      </c>
      <c r="D17311" s="56">
        <v>-7.5198776458896693E-2</v>
      </c>
      <c r="E17311" s="224" t="s">
        <v>2</v>
      </c>
      <c r="F17311" s="515" t="s">
        <v>18487</v>
      </c>
      <c r="G17311" s="52">
        <v>127464.018651978</v>
      </c>
      <c r="H17311" s="56">
        <v>4.1072676038616397E-2</v>
      </c>
      <c r="I17311" s="224" t="s">
        <v>2</v>
      </c>
    </row>
    <row r="17312" spans="1:9" x14ac:dyDescent="0.25">
      <c r="A17312" s="515">
        <v>48815</v>
      </c>
      <c r="B17312" s="515" t="s">
        <v>631</v>
      </c>
      <c r="C17312" s="52">
        <v>239634.80320089101</v>
      </c>
      <c r="D17312" s="56">
        <v>8.215456286163754E-2</v>
      </c>
      <c r="E17312" s="224" t="s">
        <v>2</v>
      </c>
      <c r="F17312" s="515" t="s">
        <v>18488</v>
      </c>
      <c r="G17312" s="52">
        <v>233309.95476843801</v>
      </c>
      <c r="H17312" s="56">
        <v>-1.0664618329427382E-2</v>
      </c>
      <c r="I17312" s="224" t="s">
        <v>2</v>
      </c>
    </row>
    <row r="17313" spans="1:9" x14ac:dyDescent="0.25">
      <c r="A17313" s="515">
        <v>52033</v>
      </c>
      <c r="B17313" s="515" t="s">
        <v>404</v>
      </c>
      <c r="C17313" s="52">
        <v>220741.91516704601</v>
      </c>
      <c r="D17313" s="56">
        <v>0.11342167907479578</v>
      </c>
      <c r="E17313" s="224" t="s">
        <v>2</v>
      </c>
      <c r="F17313" s="515" t="s">
        <v>18489</v>
      </c>
      <c r="G17313" s="52">
        <v>439694.960400793</v>
      </c>
      <c r="H17313" s="56">
        <v>4.1881182979153053E-2</v>
      </c>
      <c r="I17313" s="224" t="s">
        <v>2</v>
      </c>
    </row>
    <row r="17314" spans="1:9" x14ac:dyDescent="0.25">
      <c r="A17314" s="515">
        <v>42409</v>
      </c>
      <c r="C17314" s="52">
        <v>130753.774935209</v>
      </c>
      <c r="D17314" s="56">
        <v>0.12832233867270335</v>
      </c>
      <c r="E17314" s="224" t="s">
        <v>2</v>
      </c>
      <c r="F17314" s="515" t="s">
        <v>18490</v>
      </c>
      <c r="G17314" s="52">
        <v>123148.140372586</v>
      </c>
      <c r="H17314" s="56">
        <v>0.11720859831433299</v>
      </c>
      <c r="I17314" s="224" t="s">
        <v>2</v>
      </c>
    </row>
    <row r="17315" spans="1:9" x14ac:dyDescent="0.25">
      <c r="A17315" s="515">
        <v>36088</v>
      </c>
      <c r="C17315" s="52">
        <v>70891.874710053497</v>
      </c>
      <c r="D17315" s="56">
        <v>-6.7085973171813491E-3</v>
      </c>
      <c r="E17315" s="224" t="s">
        <v>2</v>
      </c>
      <c r="F17315" s="515" t="s">
        <v>18491</v>
      </c>
      <c r="G17315" s="52">
        <v>342997.80083296698</v>
      </c>
      <c r="H17315" s="56">
        <v>8.1075069140905717E-2</v>
      </c>
      <c r="I17315" s="224" t="s">
        <v>2</v>
      </c>
    </row>
    <row r="17316" spans="1:9" x14ac:dyDescent="0.25">
      <c r="A17316" s="515">
        <v>72821</v>
      </c>
      <c r="C17316" s="52">
        <v>104369.291125738</v>
      </c>
      <c r="D17316" s="56">
        <v>8.1770151912135769E-2</v>
      </c>
      <c r="E17316" s="224" t="s">
        <v>2</v>
      </c>
      <c r="F17316" s="515" t="s">
        <v>18492</v>
      </c>
      <c r="G17316" s="52">
        <v>264694.90383644501</v>
      </c>
      <c r="H17316" s="56">
        <v>1.2947907877558121E-2</v>
      </c>
      <c r="I17316" s="224" t="s">
        <v>2</v>
      </c>
    </row>
    <row r="17317" spans="1:9" x14ac:dyDescent="0.25">
      <c r="A17317" s="515">
        <v>43727</v>
      </c>
      <c r="B17317" s="515" t="s">
        <v>518</v>
      </c>
      <c r="C17317" s="52">
        <v>179641.69642201299</v>
      </c>
      <c r="D17317" s="56">
        <v>0.17836319995304115</v>
      </c>
      <c r="E17317" s="224" t="s">
        <v>2</v>
      </c>
      <c r="F17317" s="515" t="s">
        <v>18493</v>
      </c>
      <c r="G17317" s="52">
        <v>428906.00659242499</v>
      </c>
      <c r="H17317" s="56">
        <v>8.7674539406233681E-2</v>
      </c>
      <c r="I17317" s="224" t="s">
        <v>2</v>
      </c>
    </row>
    <row r="17318" spans="1:9" x14ac:dyDescent="0.25">
      <c r="A17318" s="515">
        <v>59845</v>
      </c>
      <c r="B17318" s="515" t="s">
        <v>459</v>
      </c>
      <c r="C17318" s="52">
        <v>230484.95854699399</v>
      </c>
      <c r="D17318" s="56">
        <v>0.10343566810431559</v>
      </c>
      <c r="E17318" s="224" t="s">
        <v>2</v>
      </c>
      <c r="F17318" s="515" t="s">
        <v>18494</v>
      </c>
      <c r="G17318" s="52">
        <v>205899.24590491501</v>
      </c>
      <c r="H17318" s="56">
        <v>0</v>
      </c>
      <c r="I17318" s="224" t="s">
        <v>2</v>
      </c>
    </row>
    <row r="17319" spans="1:9" x14ac:dyDescent="0.25">
      <c r="A17319" s="515">
        <v>29643</v>
      </c>
      <c r="B17319" s="515" t="s">
        <v>804</v>
      </c>
      <c r="C17319" s="52">
        <v>325234.23225266399</v>
      </c>
      <c r="D17319" s="56">
        <v>0.10344907220400262</v>
      </c>
      <c r="E17319" s="224" t="s">
        <v>2</v>
      </c>
      <c r="F17319" s="515" t="s">
        <v>18495</v>
      </c>
      <c r="G17319" s="52">
        <v>1349502.12544672</v>
      </c>
      <c r="H17319" s="56">
        <v>7.4174467304581521E-2</v>
      </c>
      <c r="I17319" s="224" t="s">
        <v>2</v>
      </c>
    </row>
    <row r="17320" spans="1:9" x14ac:dyDescent="0.25">
      <c r="A17320" s="515">
        <v>84333</v>
      </c>
      <c r="B17320" s="515" t="s">
        <v>632</v>
      </c>
      <c r="C17320" s="52">
        <v>435391.36821443599</v>
      </c>
      <c r="D17320" s="56">
        <v>5.6003181875042149E-2</v>
      </c>
      <c r="E17320" s="224" t="s">
        <v>2</v>
      </c>
      <c r="F17320" s="515" t="s">
        <v>18496</v>
      </c>
      <c r="G17320" s="52">
        <v>147826.559688137</v>
      </c>
      <c r="H17320" s="56">
        <v>5.9453993401150609E-2</v>
      </c>
      <c r="I17320" s="224" t="s">
        <v>2</v>
      </c>
    </row>
    <row r="17321" spans="1:9" x14ac:dyDescent="0.25">
      <c r="A17321" s="515">
        <v>56449</v>
      </c>
      <c r="B17321" s="515" t="s">
        <v>674</v>
      </c>
      <c r="C17321" s="52">
        <v>307908.99491737399</v>
      </c>
      <c r="D17321" s="56">
        <v>0.12636241393181544</v>
      </c>
      <c r="E17321" s="224" t="s">
        <v>2</v>
      </c>
      <c r="F17321" s="515" t="s">
        <v>18497</v>
      </c>
      <c r="G17321" s="52">
        <v>370191.76001672301</v>
      </c>
      <c r="H17321" s="56">
        <v>2.0832789200394379E-2</v>
      </c>
      <c r="I17321" s="224" t="s">
        <v>2</v>
      </c>
    </row>
    <row r="17322" spans="1:9" x14ac:dyDescent="0.25">
      <c r="A17322" s="515">
        <v>76624</v>
      </c>
      <c r="B17322" s="515" t="s">
        <v>1057</v>
      </c>
      <c r="C17322" s="52">
        <v>324014.52261709899</v>
      </c>
      <c r="D17322" s="56">
        <v>0.16175558174345159</v>
      </c>
      <c r="E17322" s="224" t="s">
        <v>2</v>
      </c>
      <c r="F17322" s="515" t="s">
        <v>18498</v>
      </c>
      <c r="G17322" s="52">
        <v>124437.87687168201</v>
      </c>
      <c r="H17322" s="56">
        <v>0</v>
      </c>
      <c r="I17322" s="224" t="s">
        <v>2</v>
      </c>
    </row>
    <row r="17323" spans="1:9" x14ac:dyDescent="0.25">
      <c r="A17323" s="515">
        <v>46171</v>
      </c>
      <c r="B17323" s="515" t="s">
        <v>403</v>
      </c>
      <c r="C17323" s="52">
        <v>218307.446837169</v>
      </c>
      <c r="D17323" s="56">
        <v>2.728615424250494E-2</v>
      </c>
      <c r="E17323" s="224" t="s">
        <v>2</v>
      </c>
      <c r="F17323" s="515" t="s">
        <v>18499</v>
      </c>
      <c r="G17323" s="52">
        <v>194662.85688595101</v>
      </c>
      <c r="H17323" s="56">
        <v>5.9765284075896576E-2</v>
      </c>
      <c r="I17323" s="224" t="s">
        <v>2</v>
      </c>
    </row>
    <row r="17324" spans="1:9" x14ac:dyDescent="0.25">
      <c r="A17324" s="515">
        <v>13417</v>
      </c>
      <c r="B17324" s="515" t="s">
        <v>543</v>
      </c>
      <c r="C17324" s="52">
        <v>183765.010694141</v>
      </c>
      <c r="D17324" s="56">
        <v>9.0399494432345309E-2</v>
      </c>
      <c r="E17324" s="224" t="s">
        <v>2</v>
      </c>
      <c r="F17324" s="515" t="s">
        <v>18500</v>
      </c>
      <c r="G17324" s="52">
        <v>222481.446580088</v>
      </c>
      <c r="H17324" s="56">
        <v>0.11528921425995212</v>
      </c>
      <c r="I17324" s="224" t="s">
        <v>2</v>
      </c>
    </row>
    <row r="17325" spans="1:9" x14ac:dyDescent="0.25">
      <c r="A17325" s="515">
        <v>54891</v>
      </c>
      <c r="C17325" s="52">
        <v>211977.52221470399</v>
      </c>
      <c r="D17325" s="56">
        <v>5.0742358450652572E-2</v>
      </c>
      <c r="E17325" s="224" t="s">
        <v>2</v>
      </c>
      <c r="F17325" s="515" t="s">
        <v>18501</v>
      </c>
      <c r="G17325" s="52">
        <v>1250365.4958615899</v>
      </c>
      <c r="H17325" s="56">
        <v>-4.3290324175419698E-3</v>
      </c>
      <c r="I17325" s="224" t="s">
        <v>2</v>
      </c>
    </row>
    <row r="17326" spans="1:9" x14ac:dyDescent="0.25">
      <c r="A17326" s="515">
        <v>54443</v>
      </c>
      <c r="B17326" s="515" t="s">
        <v>1095</v>
      </c>
      <c r="C17326" s="52">
        <v>250046.29339440999</v>
      </c>
      <c r="D17326" s="56">
        <v>3.6626755371931594E-2</v>
      </c>
      <c r="E17326" s="224" t="s">
        <v>2</v>
      </c>
      <c r="F17326" s="515" t="s">
        <v>18502</v>
      </c>
      <c r="G17326" s="52">
        <v>132272.56994443</v>
      </c>
      <c r="H17326" s="56">
        <v>7.3368938554396579E-2</v>
      </c>
      <c r="I17326" s="224" t="s">
        <v>2</v>
      </c>
    </row>
    <row r="17327" spans="1:9" x14ac:dyDescent="0.25">
      <c r="A17327" s="515">
        <v>89444</v>
      </c>
      <c r="B17327" s="515" t="s">
        <v>718</v>
      </c>
      <c r="C17327" s="52">
        <v>457434.884264016</v>
      </c>
      <c r="D17327" s="56">
        <v>2.0024542299427087E-2</v>
      </c>
      <c r="E17327" s="224" t="s">
        <v>2</v>
      </c>
      <c r="F17327" s="515" t="s">
        <v>18503</v>
      </c>
      <c r="G17327" s="52">
        <v>150902.64765412599</v>
      </c>
      <c r="H17327" s="56">
        <v>8.8577390520892876E-2</v>
      </c>
      <c r="I17327" s="224" t="s">
        <v>2</v>
      </c>
    </row>
    <row r="17328" spans="1:9" x14ac:dyDescent="0.25">
      <c r="A17328" s="515">
        <v>97738</v>
      </c>
      <c r="C17328" s="52">
        <v>217428.17400786499</v>
      </c>
      <c r="D17328" s="56">
        <v>7.6186180062318296E-2</v>
      </c>
      <c r="E17328" s="224" t="s">
        <v>2</v>
      </c>
      <c r="F17328" s="515" t="s">
        <v>18504</v>
      </c>
      <c r="G17328" s="52">
        <v>2263799.84657297</v>
      </c>
      <c r="H17328" s="56">
        <v>0.23870117423309417</v>
      </c>
      <c r="I17328" s="224" t="s">
        <v>2</v>
      </c>
    </row>
    <row r="17329" spans="1:9" x14ac:dyDescent="0.25">
      <c r="A17329" s="515">
        <v>49011</v>
      </c>
      <c r="B17329" s="515" t="s">
        <v>1062</v>
      </c>
      <c r="C17329" s="52">
        <v>161094.85396358499</v>
      </c>
      <c r="D17329" s="56">
        <v>3.9080941145573221E-2</v>
      </c>
      <c r="E17329" s="224" t="s">
        <v>2</v>
      </c>
      <c r="F17329" s="515" t="s">
        <v>18505</v>
      </c>
      <c r="G17329" s="52">
        <v>103452.553901608</v>
      </c>
      <c r="H17329" s="56">
        <v>9.3985982974385734E-2</v>
      </c>
      <c r="I17329" s="224" t="s">
        <v>2</v>
      </c>
    </row>
    <row r="17330" spans="1:9" x14ac:dyDescent="0.25">
      <c r="A17330" s="515">
        <v>53944</v>
      </c>
      <c r="C17330" s="52">
        <v>195176.23517297499</v>
      </c>
      <c r="D17330" s="56">
        <v>6.3299165351421438E-2</v>
      </c>
      <c r="E17330" s="224" t="s">
        <v>2</v>
      </c>
      <c r="F17330" s="515" t="s">
        <v>18506</v>
      </c>
      <c r="G17330" s="52">
        <v>133943.01020408099</v>
      </c>
      <c r="H17330" s="56">
        <v>0</v>
      </c>
      <c r="I17330" s="224" t="s">
        <v>2</v>
      </c>
    </row>
    <row r="17331" spans="1:9" x14ac:dyDescent="0.25">
      <c r="A17331" s="515">
        <v>61517</v>
      </c>
      <c r="B17331" s="515" t="s">
        <v>303</v>
      </c>
      <c r="C17331" s="52">
        <v>216361.20917751899</v>
      </c>
      <c r="D17331" s="56">
        <v>7.96977222425337E-2</v>
      </c>
      <c r="E17331" s="224" t="s">
        <v>2</v>
      </c>
      <c r="F17331" s="515" t="s">
        <v>18507</v>
      </c>
      <c r="G17331" s="52">
        <v>156094.89333333299</v>
      </c>
      <c r="H17331" s="56">
        <v>0</v>
      </c>
      <c r="I17331" s="224" t="s">
        <v>2</v>
      </c>
    </row>
    <row r="17332" spans="1:9" x14ac:dyDescent="0.25">
      <c r="A17332" s="515">
        <v>96145</v>
      </c>
      <c r="B17332" s="515" t="s">
        <v>355</v>
      </c>
      <c r="C17332" s="52">
        <v>1115244.3037677801</v>
      </c>
      <c r="D17332" s="56">
        <v>-1.0157697168337323E-3</v>
      </c>
      <c r="E17332" s="224" t="s">
        <v>2</v>
      </c>
      <c r="F17332" s="515" t="s">
        <v>18508</v>
      </c>
      <c r="G17332" s="52">
        <v>1993951.6587930899</v>
      </c>
      <c r="H17332" s="56">
        <v>3.4572210513016156E-2</v>
      </c>
      <c r="I17332" s="224" t="s">
        <v>2</v>
      </c>
    </row>
    <row r="17333" spans="1:9" x14ac:dyDescent="0.25">
      <c r="A17333" s="515">
        <v>41049</v>
      </c>
      <c r="C17333" s="52">
        <v>164079.04649126899</v>
      </c>
      <c r="D17333" s="56">
        <v>0.2316420171388163</v>
      </c>
      <c r="E17333" s="224" t="s">
        <v>2</v>
      </c>
      <c r="F17333" s="515" t="s">
        <v>18509</v>
      </c>
      <c r="G17333" s="52">
        <v>159094.319479019</v>
      </c>
      <c r="H17333" s="56">
        <v>6.9013936066002323E-3</v>
      </c>
      <c r="I17333" s="224" t="s">
        <v>2</v>
      </c>
    </row>
    <row r="17334" spans="1:9" x14ac:dyDescent="0.25">
      <c r="A17334" s="515">
        <v>62914</v>
      </c>
      <c r="B17334" s="515" t="s">
        <v>424</v>
      </c>
      <c r="C17334" s="52">
        <v>23937.9758012934</v>
      </c>
      <c r="D17334" s="56">
        <v>-0.31306856809692174</v>
      </c>
      <c r="E17334" s="224" t="s">
        <v>2</v>
      </c>
      <c r="F17334" s="515" t="s">
        <v>18510</v>
      </c>
      <c r="G17334" s="52">
        <v>207101.04166666599</v>
      </c>
      <c r="H17334" s="56">
        <v>0</v>
      </c>
      <c r="I17334" s="224" t="s">
        <v>2</v>
      </c>
    </row>
    <row r="17335" spans="1:9" x14ac:dyDescent="0.25">
      <c r="A17335" s="515">
        <v>49911</v>
      </c>
      <c r="C17335" s="52">
        <v>88064.350151009901</v>
      </c>
      <c r="D17335" s="56">
        <v>8.3501901317280691E-2</v>
      </c>
      <c r="E17335" s="224" t="s">
        <v>2</v>
      </c>
      <c r="F17335" s="515" t="s">
        <v>18511</v>
      </c>
      <c r="G17335" s="52">
        <v>80036.338177061698</v>
      </c>
      <c r="H17335" s="56">
        <v>1.5050362518410142E-2</v>
      </c>
      <c r="I17335" s="224" t="s">
        <v>2</v>
      </c>
    </row>
    <row r="17336" spans="1:9" x14ac:dyDescent="0.25">
      <c r="A17336" s="515">
        <v>16914</v>
      </c>
      <c r="B17336" s="515" t="s">
        <v>699</v>
      </c>
      <c r="C17336" s="52">
        <v>164705.80497500801</v>
      </c>
      <c r="D17336" s="56">
        <v>6.0994791418777734E-2</v>
      </c>
      <c r="E17336" s="224" t="s">
        <v>2</v>
      </c>
      <c r="F17336" s="515" t="s">
        <v>18512</v>
      </c>
      <c r="G17336" s="52">
        <v>132811.79813202299</v>
      </c>
      <c r="H17336" s="56">
        <v>9.3157828829142642E-2</v>
      </c>
      <c r="I17336" s="224" t="s">
        <v>2</v>
      </c>
    </row>
    <row r="17337" spans="1:9" x14ac:dyDescent="0.25">
      <c r="A17337" s="515">
        <v>32187</v>
      </c>
      <c r="B17337" s="515" t="s">
        <v>920</v>
      </c>
      <c r="C17337" s="52">
        <v>197652.06029072299</v>
      </c>
      <c r="D17337" s="56">
        <v>4.9114933406676768E-2</v>
      </c>
      <c r="E17337" s="224" t="s">
        <v>2</v>
      </c>
      <c r="F17337" s="515" t="s">
        <v>18513</v>
      </c>
      <c r="G17337" s="52">
        <v>136325.57909700001</v>
      </c>
      <c r="H17337" s="56">
        <v>0.14355460526527994</v>
      </c>
      <c r="I17337" s="224" t="s">
        <v>2</v>
      </c>
    </row>
    <row r="17338" spans="1:9" x14ac:dyDescent="0.25">
      <c r="A17338" s="515">
        <v>37018</v>
      </c>
      <c r="B17338" s="515" t="s">
        <v>977</v>
      </c>
      <c r="C17338" s="52">
        <v>199147.48290087099</v>
      </c>
      <c r="D17338" s="56">
        <v>-5.9827685198801231E-2</v>
      </c>
      <c r="E17338" s="224" t="s">
        <v>2</v>
      </c>
      <c r="F17338" s="515" t="s">
        <v>18514</v>
      </c>
      <c r="G17338" s="52">
        <v>35993.438909158998</v>
      </c>
      <c r="H17338" s="56">
        <v>-4.2346793771185498E-2</v>
      </c>
      <c r="I17338" s="224" t="s">
        <v>2</v>
      </c>
    </row>
    <row r="17339" spans="1:9" x14ac:dyDescent="0.25">
      <c r="A17339" s="515">
        <v>8828</v>
      </c>
      <c r="B17339" s="515" t="s">
        <v>324</v>
      </c>
      <c r="C17339" s="52">
        <v>327296.157392074</v>
      </c>
      <c r="D17339" s="56">
        <v>5.3021636070919968E-2</v>
      </c>
      <c r="E17339" s="224" t="s">
        <v>2</v>
      </c>
      <c r="F17339" s="515" t="s">
        <v>18515</v>
      </c>
      <c r="G17339" s="52">
        <v>138922.65004977799</v>
      </c>
      <c r="H17339" s="56">
        <v>0.17635783455025358</v>
      </c>
      <c r="I17339" s="224" t="s">
        <v>2</v>
      </c>
    </row>
    <row r="17340" spans="1:9" x14ac:dyDescent="0.25">
      <c r="A17340" s="515">
        <v>24053</v>
      </c>
      <c r="C17340" s="52">
        <v>127360.257873718</v>
      </c>
      <c r="D17340" s="56">
        <v>2.5302318722073464E-2</v>
      </c>
      <c r="E17340" s="224" t="s">
        <v>2</v>
      </c>
      <c r="F17340" s="515" t="s">
        <v>18516</v>
      </c>
      <c r="G17340" s="52">
        <v>232399.07912131501</v>
      </c>
      <c r="H17340" s="56">
        <v>0.13378402928433888</v>
      </c>
      <c r="I17340" s="224" t="s">
        <v>2</v>
      </c>
    </row>
    <row r="17341" spans="1:9" x14ac:dyDescent="0.25">
      <c r="A17341" s="515">
        <v>47273</v>
      </c>
      <c r="B17341" s="515" t="s">
        <v>526</v>
      </c>
      <c r="C17341" s="52">
        <v>208737.633520467</v>
      </c>
      <c r="D17341" s="56">
        <v>9.8171064692503876E-2</v>
      </c>
      <c r="E17341" s="224" t="s">
        <v>2</v>
      </c>
      <c r="F17341" s="515" t="s">
        <v>18517</v>
      </c>
      <c r="G17341" s="52">
        <v>201006.98252048</v>
      </c>
      <c r="H17341" s="56">
        <v>5.7284980053994169E-2</v>
      </c>
      <c r="I17341" s="224" t="s">
        <v>2</v>
      </c>
    </row>
    <row r="17342" spans="1:9" x14ac:dyDescent="0.25">
      <c r="A17342" s="515">
        <v>62326</v>
      </c>
      <c r="B17342" s="515" t="s">
        <v>493</v>
      </c>
      <c r="C17342" s="52">
        <v>69928.421123577005</v>
      </c>
      <c r="D17342" s="56">
        <v>9.530720441997563E-2</v>
      </c>
      <c r="E17342" s="224" t="s">
        <v>2</v>
      </c>
      <c r="F17342" s="515" t="s">
        <v>18518</v>
      </c>
      <c r="G17342" s="52">
        <v>276230.09890929598</v>
      </c>
      <c r="H17342" s="56">
        <v>6.9462916629395216E-2</v>
      </c>
      <c r="I17342" s="224" t="s">
        <v>2</v>
      </c>
    </row>
    <row r="17343" spans="1:9" x14ac:dyDescent="0.25">
      <c r="A17343" s="515">
        <v>19373</v>
      </c>
      <c r="B17343" s="515" t="s">
        <v>294</v>
      </c>
      <c r="C17343" s="52">
        <v>712433.88788429496</v>
      </c>
      <c r="D17343" s="56">
        <v>7.7177057729716739E-2</v>
      </c>
      <c r="E17343" s="224" t="s">
        <v>2</v>
      </c>
      <c r="F17343" s="515" t="s">
        <v>18519</v>
      </c>
      <c r="G17343" s="52">
        <v>265354.86118388001</v>
      </c>
      <c r="H17343" s="56">
        <v>0.11112470577050604</v>
      </c>
      <c r="I17343" s="224" t="s">
        <v>2</v>
      </c>
    </row>
    <row r="17344" spans="1:9" x14ac:dyDescent="0.25">
      <c r="A17344" s="515">
        <v>54141</v>
      </c>
      <c r="B17344" s="515" t="s">
        <v>897</v>
      </c>
      <c r="C17344" s="52">
        <v>302964.44709294703</v>
      </c>
      <c r="D17344" s="56">
        <v>9.3887027893285707E-2</v>
      </c>
      <c r="E17344" s="224" t="s">
        <v>2</v>
      </c>
      <c r="F17344" s="515" t="s">
        <v>18520</v>
      </c>
      <c r="G17344" s="52">
        <v>132489.449069853</v>
      </c>
      <c r="H17344" s="56">
        <v>3.0935393510758694E-2</v>
      </c>
      <c r="I17344" s="224" t="s">
        <v>2</v>
      </c>
    </row>
    <row r="17345" spans="1:9" x14ac:dyDescent="0.25">
      <c r="A17345" s="515">
        <v>27553</v>
      </c>
      <c r="B17345" s="515" t="s">
        <v>1112</v>
      </c>
      <c r="C17345" s="52">
        <v>233619.43450281801</v>
      </c>
      <c r="D17345" s="56">
        <v>9.2606260885190819E-2</v>
      </c>
      <c r="E17345" s="224" t="s">
        <v>2</v>
      </c>
      <c r="F17345" s="515" t="s">
        <v>18521</v>
      </c>
      <c r="G17345" s="52">
        <v>189269.781629971</v>
      </c>
      <c r="H17345" s="56">
        <v>0.18505928559163642</v>
      </c>
      <c r="I17345" s="224" t="s">
        <v>2</v>
      </c>
    </row>
    <row r="17346" spans="1:9" x14ac:dyDescent="0.25">
      <c r="A17346" s="515">
        <v>19534</v>
      </c>
      <c r="B17346" s="515" t="s">
        <v>569</v>
      </c>
      <c r="C17346" s="52">
        <v>311009.223116629</v>
      </c>
      <c r="D17346" s="56">
        <v>0.13371452015740126</v>
      </c>
      <c r="E17346" s="224" t="s">
        <v>2</v>
      </c>
      <c r="F17346" s="515" t="s">
        <v>18522</v>
      </c>
      <c r="G17346" s="52">
        <v>261201.63004698601</v>
      </c>
      <c r="H17346" s="56">
        <v>0</v>
      </c>
      <c r="I17346" s="224" t="s">
        <v>2</v>
      </c>
    </row>
    <row r="17347" spans="1:9" x14ac:dyDescent="0.25">
      <c r="A17347" s="515">
        <v>8311</v>
      </c>
      <c r="B17347" s="515" t="s">
        <v>557</v>
      </c>
      <c r="C17347" s="52">
        <v>212013.363017392</v>
      </c>
      <c r="D17347" s="56">
        <v>9.4630718001613712E-2</v>
      </c>
      <c r="E17347" s="224" t="s">
        <v>2</v>
      </c>
      <c r="F17347" s="515" t="s">
        <v>18523</v>
      </c>
      <c r="G17347" s="52">
        <v>257133.10139348</v>
      </c>
      <c r="H17347" s="56">
        <v>0.15650240346889793</v>
      </c>
      <c r="I17347" s="224" t="s">
        <v>2</v>
      </c>
    </row>
    <row r="17348" spans="1:9" x14ac:dyDescent="0.25">
      <c r="A17348" s="515">
        <v>60953</v>
      </c>
      <c r="C17348" s="52">
        <v>79078.181517316305</v>
      </c>
      <c r="D17348" s="56">
        <v>7.1531048371211673E-4</v>
      </c>
      <c r="E17348" s="224" t="s">
        <v>2</v>
      </c>
      <c r="F17348" s="515" t="s">
        <v>18524</v>
      </c>
      <c r="G17348" s="52">
        <v>109577.13202480599</v>
      </c>
      <c r="H17348" s="56">
        <v>4.1528318127556176E-2</v>
      </c>
      <c r="I17348" s="224" t="s">
        <v>2</v>
      </c>
    </row>
    <row r="17349" spans="1:9" x14ac:dyDescent="0.25">
      <c r="A17349" s="515">
        <v>58249</v>
      </c>
      <c r="C17349" s="52">
        <v>134506.03555584399</v>
      </c>
      <c r="D17349" s="56">
        <v>2.6301834050136266E-2</v>
      </c>
      <c r="E17349" s="224" t="s">
        <v>2</v>
      </c>
      <c r="F17349" s="515" t="s">
        <v>18525</v>
      </c>
      <c r="G17349" s="52">
        <v>302136.08654402901</v>
      </c>
      <c r="H17349" s="56">
        <v>0.17137061982925994</v>
      </c>
      <c r="I17349" s="224" t="s">
        <v>2</v>
      </c>
    </row>
    <row r="17350" spans="1:9" x14ac:dyDescent="0.25">
      <c r="A17350" s="515">
        <v>16611</v>
      </c>
      <c r="B17350" s="515" t="s">
        <v>539</v>
      </c>
      <c r="C17350" s="52">
        <v>176104.05566390001</v>
      </c>
      <c r="D17350" s="56">
        <v>3.3409304093351563E-2</v>
      </c>
      <c r="E17350" s="224" t="s">
        <v>2</v>
      </c>
      <c r="F17350" s="515" t="s">
        <v>18526</v>
      </c>
      <c r="G17350" s="52">
        <v>115827.207666171</v>
      </c>
      <c r="H17350" s="56">
        <v>-1.9229351072052658E-2</v>
      </c>
      <c r="I17350" s="224" t="s">
        <v>2</v>
      </c>
    </row>
    <row r="17351" spans="1:9" x14ac:dyDescent="0.25">
      <c r="A17351" s="515">
        <v>38341</v>
      </c>
      <c r="C17351" s="52">
        <v>127460.392156153</v>
      </c>
      <c r="D17351" s="56">
        <v>7.6856533977878949E-2</v>
      </c>
      <c r="E17351" s="224" t="s">
        <v>2</v>
      </c>
      <c r="F17351" s="515" t="s">
        <v>18527</v>
      </c>
      <c r="G17351" s="52">
        <v>193816.516502276</v>
      </c>
      <c r="H17351" s="56">
        <v>0.18929640513521365</v>
      </c>
      <c r="I17351" s="224" t="s">
        <v>2</v>
      </c>
    </row>
    <row r="17352" spans="1:9" x14ac:dyDescent="0.25">
      <c r="A17352" s="515">
        <v>76693</v>
      </c>
      <c r="C17352" s="52">
        <v>158107.96008861801</v>
      </c>
      <c r="D17352" s="56">
        <v>2.2784351881805574E-2</v>
      </c>
      <c r="E17352" s="224" t="s">
        <v>2</v>
      </c>
      <c r="F17352" s="515" t="s">
        <v>18528</v>
      </c>
      <c r="G17352" s="52">
        <v>338004.47203374398</v>
      </c>
      <c r="H17352" s="56">
        <v>2.3594055234679976E-2</v>
      </c>
      <c r="I17352" s="224" t="s">
        <v>2</v>
      </c>
    </row>
    <row r="17353" spans="1:9" x14ac:dyDescent="0.25">
      <c r="A17353" s="515">
        <v>3221</v>
      </c>
      <c r="B17353" s="515" t="s">
        <v>981</v>
      </c>
      <c r="C17353" s="52">
        <v>370421.66125995998</v>
      </c>
      <c r="D17353" s="56">
        <v>0.10039964247231437</v>
      </c>
      <c r="E17353" s="224" t="s">
        <v>2</v>
      </c>
      <c r="F17353" s="515" t="s">
        <v>18529</v>
      </c>
      <c r="G17353" s="52">
        <v>355245.71646623401</v>
      </c>
      <c r="H17353" s="56">
        <v>3.071483753318317E-2</v>
      </c>
      <c r="I17353" s="224" t="s">
        <v>2</v>
      </c>
    </row>
    <row r="17354" spans="1:9" x14ac:dyDescent="0.25">
      <c r="A17354" s="515">
        <v>15722</v>
      </c>
      <c r="B17354" s="515" t="s">
        <v>828</v>
      </c>
      <c r="C17354" s="52">
        <v>98461.160209548005</v>
      </c>
      <c r="D17354" s="56">
        <v>1.3138028740442257E-2</v>
      </c>
      <c r="E17354" s="224" t="s">
        <v>2</v>
      </c>
      <c r="F17354" s="515" t="s">
        <v>18530</v>
      </c>
      <c r="G17354" s="52">
        <v>203301.20696473101</v>
      </c>
      <c r="H17354" s="56">
        <v>2.3828216550909494E-2</v>
      </c>
      <c r="I17354" s="224" t="s">
        <v>2</v>
      </c>
    </row>
    <row r="17355" spans="1:9" x14ac:dyDescent="0.25">
      <c r="A17355" s="515">
        <v>25827</v>
      </c>
      <c r="B17355" s="515" t="s">
        <v>566</v>
      </c>
      <c r="C17355" s="52">
        <v>107557.51758957699</v>
      </c>
      <c r="D17355" s="56">
        <v>0.11922465304054396</v>
      </c>
      <c r="E17355" s="224" t="s">
        <v>2</v>
      </c>
      <c r="F17355" s="515" t="s">
        <v>18531</v>
      </c>
      <c r="G17355" s="52">
        <v>247536.24087591199</v>
      </c>
      <c r="H17355" s="56">
        <v>0</v>
      </c>
      <c r="I17355" s="224" t="s">
        <v>2</v>
      </c>
    </row>
    <row r="17356" spans="1:9" x14ac:dyDescent="0.25">
      <c r="A17356" s="515">
        <v>17264</v>
      </c>
      <c r="B17356" s="515" t="s">
        <v>539</v>
      </c>
      <c r="C17356" s="52">
        <v>147706.28873491599</v>
      </c>
      <c r="D17356" s="56">
        <v>6.2351664974441605E-2</v>
      </c>
      <c r="E17356" s="224" t="s">
        <v>2</v>
      </c>
      <c r="F17356" s="515" t="s">
        <v>18532</v>
      </c>
      <c r="G17356" s="52">
        <v>193882.222420051</v>
      </c>
      <c r="H17356" s="56">
        <v>0.11727221083472805</v>
      </c>
      <c r="I17356" s="224" t="s">
        <v>2</v>
      </c>
    </row>
    <row r="17357" spans="1:9" x14ac:dyDescent="0.25">
      <c r="A17357" s="515">
        <v>18077</v>
      </c>
      <c r="B17357" s="515" t="s">
        <v>294</v>
      </c>
      <c r="C17357" s="52">
        <v>419489.21907673503</v>
      </c>
      <c r="D17357" s="56">
        <v>6.7845808005759747E-2</v>
      </c>
      <c r="E17357" s="224" t="s">
        <v>2</v>
      </c>
      <c r="F17357" s="515" t="s">
        <v>18533</v>
      </c>
      <c r="G17357" s="52">
        <v>94057.666320370001</v>
      </c>
      <c r="H17357" s="56">
        <v>4.1079487390992583E-2</v>
      </c>
      <c r="I17357" s="224" t="s">
        <v>2</v>
      </c>
    </row>
    <row r="17358" spans="1:9" x14ac:dyDescent="0.25">
      <c r="A17358" s="515">
        <v>36319</v>
      </c>
      <c r="B17358" s="515" t="s">
        <v>816</v>
      </c>
      <c r="C17358" s="52">
        <v>131851.25258003001</v>
      </c>
      <c r="D17358" s="56">
        <v>4.5244607229011698E-2</v>
      </c>
      <c r="E17358" s="224" t="s">
        <v>2</v>
      </c>
      <c r="F17358" s="515" t="s">
        <v>18534</v>
      </c>
      <c r="G17358" s="52">
        <v>74528.772215372999</v>
      </c>
      <c r="H17358" s="56">
        <v>-1.7289954801642332E-2</v>
      </c>
      <c r="I17358" s="224" t="s">
        <v>2</v>
      </c>
    </row>
    <row r="17359" spans="1:9" x14ac:dyDescent="0.25">
      <c r="A17359" s="515">
        <v>56554</v>
      </c>
      <c r="C17359" s="52">
        <v>378008.93190571701</v>
      </c>
      <c r="D17359" s="56">
        <v>9.1742432080805084E-2</v>
      </c>
      <c r="E17359" s="224" t="s">
        <v>2</v>
      </c>
      <c r="F17359" s="515" t="s">
        <v>18535</v>
      </c>
      <c r="G17359" s="52">
        <v>167661.001435324</v>
      </c>
      <c r="H17359" s="56">
        <v>5.9250633391122035E-2</v>
      </c>
      <c r="I17359" s="224" t="s">
        <v>2</v>
      </c>
    </row>
    <row r="17360" spans="1:9" x14ac:dyDescent="0.25">
      <c r="A17360" s="515">
        <v>12859</v>
      </c>
      <c r="B17360" s="515" t="s">
        <v>609</v>
      </c>
      <c r="C17360" s="52">
        <v>308473.26178171003</v>
      </c>
      <c r="D17360" s="56">
        <v>5.9710800197353142E-2</v>
      </c>
      <c r="E17360" s="224" t="s">
        <v>2</v>
      </c>
      <c r="F17360" s="515" t="s">
        <v>18536</v>
      </c>
      <c r="G17360" s="52">
        <v>106111.094339622</v>
      </c>
      <c r="H17360" s="56">
        <v>0</v>
      </c>
      <c r="I17360" s="224" t="s">
        <v>2</v>
      </c>
    </row>
    <row r="17361" spans="1:9" x14ac:dyDescent="0.25">
      <c r="A17361" s="515">
        <v>80643</v>
      </c>
      <c r="B17361" s="515" t="s">
        <v>382</v>
      </c>
      <c r="C17361" s="52">
        <v>484754.02208213299</v>
      </c>
      <c r="D17361" s="56">
        <v>3.0042810707472646E-2</v>
      </c>
      <c r="E17361" s="224" t="s">
        <v>2</v>
      </c>
      <c r="F17361" s="515" t="s">
        <v>18537</v>
      </c>
      <c r="G17361" s="52">
        <v>155012.568589153</v>
      </c>
      <c r="H17361" s="56">
        <v>5.0715166783525285E-2</v>
      </c>
      <c r="I17361" s="224" t="s">
        <v>2</v>
      </c>
    </row>
    <row r="17362" spans="1:9" x14ac:dyDescent="0.25">
      <c r="A17362" s="515">
        <v>42160</v>
      </c>
      <c r="B17362" s="515" t="s">
        <v>829</v>
      </c>
      <c r="C17362" s="52">
        <v>157783.03696726999</v>
      </c>
      <c r="D17362" s="56">
        <v>6.3531671024761913E-2</v>
      </c>
      <c r="E17362" s="224" t="s">
        <v>2</v>
      </c>
      <c r="F17362" s="515" t="s">
        <v>18538</v>
      </c>
      <c r="G17362" s="52">
        <v>154319.01438848901</v>
      </c>
      <c r="H17362" s="56">
        <v>0</v>
      </c>
      <c r="I17362" s="224" t="s">
        <v>2</v>
      </c>
    </row>
    <row r="17363" spans="1:9" x14ac:dyDescent="0.25">
      <c r="A17363" s="515">
        <v>25033</v>
      </c>
      <c r="B17363" s="515" t="s">
        <v>602</v>
      </c>
      <c r="C17363" s="52">
        <v>132466.61046704001</v>
      </c>
      <c r="D17363" s="56">
        <v>2.5087667182461734E-2</v>
      </c>
      <c r="E17363" s="224" t="s">
        <v>2</v>
      </c>
      <c r="F17363" s="515" t="s">
        <v>18539</v>
      </c>
      <c r="G17363" s="52">
        <v>184895.016976129</v>
      </c>
      <c r="H17363" s="56">
        <v>0.107331780598466</v>
      </c>
      <c r="I17363" s="224" t="s">
        <v>2</v>
      </c>
    </row>
    <row r="17364" spans="1:9" x14ac:dyDescent="0.25">
      <c r="A17364" s="515">
        <v>46524</v>
      </c>
      <c r="B17364" s="515" t="s">
        <v>1127</v>
      </c>
      <c r="C17364" s="52">
        <v>235423.83373828599</v>
      </c>
      <c r="D17364" s="56">
        <v>7.9544564400167841E-2</v>
      </c>
      <c r="E17364" s="224" t="s">
        <v>2</v>
      </c>
      <c r="F17364" s="515" t="s">
        <v>18540</v>
      </c>
      <c r="G17364" s="52">
        <v>125531.402292819</v>
      </c>
      <c r="H17364" s="56">
        <v>0.25554430212137891</v>
      </c>
      <c r="I17364" s="224" t="s">
        <v>2</v>
      </c>
    </row>
    <row r="17365" spans="1:9" x14ac:dyDescent="0.25">
      <c r="A17365" s="515">
        <v>62468</v>
      </c>
      <c r="B17365" s="515" t="s">
        <v>853</v>
      </c>
      <c r="C17365" s="52">
        <v>103962.380031623</v>
      </c>
      <c r="D17365" s="56">
        <v>8.869589274668041E-2</v>
      </c>
      <c r="E17365" s="224" t="s">
        <v>2</v>
      </c>
      <c r="F17365" s="515" t="s">
        <v>18541</v>
      </c>
      <c r="G17365" s="52">
        <v>135488.88505747099</v>
      </c>
      <c r="H17365" s="56">
        <v>0</v>
      </c>
      <c r="I17365" s="224" t="s">
        <v>2</v>
      </c>
    </row>
    <row r="17366" spans="1:9" x14ac:dyDescent="0.25">
      <c r="A17366" s="515">
        <v>67851</v>
      </c>
      <c r="B17366" s="515" t="s">
        <v>855</v>
      </c>
      <c r="C17366" s="52">
        <v>228353.55191451099</v>
      </c>
      <c r="D17366" s="56">
        <v>3.2819397736243802E-2</v>
      </c>
      <c r="E17366" s="224" t="s">
        <v>2</v>
      </c>
      <c r="F17366" s="515" t="s">
        <v>18542</v>
      </c>
      <c r="G17366" s="52">
        <v>176875.10298290901</v>
      </c>
      <c r="H17366" s="56">
        <v>0</v>
      </c>
      <c r="I17366" s="224" t="s">
        <v>2</v>
      </c>
    </row>
    <row r="17367" spans="1:9" x14ac:dyDescent="0.25">
      <c r="A17367" s="515">
        <v>24529</v>
      </c>
      <c r="C17367" s="52">
        <v>203992.75157616299</v>
      </c>
      <c r="D17367" s="56">
        <v>0.13871690284622695</v>
      </c>
      <c r="E17367" s="224" t="s">
        <v>2</v>
      </c>
      <c r="F17367" s="515" t="s">
        <v>18543</v>
      </c>
      <c r="G17367" s="52">
        <v>340579.24719091901</v>
      </c>
      <c r="H17367" s="56">
        <v>0.10277418301330385</v>
      </c>
      <c r="I17367" s="224" t="s">
        <v>2</v>
      </c>
    </row>
    <row r="17368" spans="1:9" x14ac:dyDescent="0.25">
      <c r="A17368" s="515">
        <v>97360</v>
      </c>
      <c r="B17368" s="515" t="s">
        <v>591</v>
      </c>
      <c r="C17368" s="52">
        <v>321231.85784181301</v>
      </c>
      <c r="D17368" s="56">
        <v>5.973728109269167E-2</v>
      </c>
      <c r="E17368" s="224" t="s">
        <v>2</v>
      </c>
      <c r="F17368" s="515" t="s">
        <v>18544</v>
      </c>
      <c r="G17368" s="52">
        <v>160395.177993605</v>
      </c>
      <c r="H17368" s="56">
        <v>8.3946810624608584E-2</v>
      </c>
      <c r="I17368" s="224" t="s">
        <v>2</v>
      </c>
    </row>
    <row r="17369" spans="1:9" x14ac:dyDescent="0.25">
      <c r="A17369" s="515">
        <v>42274</v>
      </c>
      <c r="B17369" s="515" t="s">
        <v>799</v>
      </c>
      <c r="C17369" s="52">
        <v>253711.65483358299</v>
      </c>
      <c r="D17369" s="56">
        <v>0.14320366504235513</v>
      </c>
      <c r="E17369" s="224" t="s">
        <v>2</v>
      </c>
      <c r="F17369" s="515" t="s">
        <v>18545</v>
      </c>
      <c r="G17369" s="52">
        <v>232548.49564823799</v>
      </c>
      <c r="H17369" s="56">
        <v>0.13694379071308593</v>
      </c>
      <c r="I17369" s="224" t="s">
        <v>2</v>
      </c>
    </row>
    <row r="17370" spans="1:9" x14ac:dyDescent="0.25">
      <c r="A17370" s="515">
        <v>6069</v>
      </c>
      <c r="B17370" s="515" t="s">
        <v>559</v>
      </c>
      <c r="C17370" s="52">
        <v>552761.71027422405</v>
      </c>
      <c r="D17370" s="56">
        <v>0.10925524454934753</v>
      </c>
      <c r="E17370" s="224" t="s">
        <v>2</v>
      </c>
      <c r="F17370" s="515" t="s">
        <v>18546</v>
      </c>
      <c r="G17370" s="52">
        <v>226141.310852264</v>
      </c>
      <c r="H17370" s="56">
        <v>9.949773617605083E-2</v>
      </c>
      <c r="I17370" s="224" t="s">
        <v>2</v>
      </c>
    </row>
    <row r="17371" spans="1:9" x14ac:dyDescent="0.25">
      <c r="A17371" s="515">
        <v>54618</v>
      </c>
      <c r="C17371" s="52">
        <v>176983.92151819801</v>
      </c>
      <c r="D17371" s="56">
        <v>6.030999032637805E-2</v>
      </c>
      <c r="E17371" s="224" t="s">
        <v>2</v>
      </c>
      <c r="F17371" s="515" t="s">
        <v>18547</v>
      </c>
      <c r="G17371" s="52">
        <v>236732.34005870699</v>
      </c>
      <c r="H17371" s="56">
        <v>3.9222750469832791E-2</v>
      </c>
      <c r="I17371" s="224" t="s">
        <v>2</v>
      </c>
    </row>
    <row r="17372" spans="1:9" x14ac:dyDescent="0.25">
      <c r="A17372" s="515">
        <v>15479</v>
      </c>
      <c r="B17372" s="515" t="s">
        <v>297</v>
      </c>
      <c r="C17372" s="52">
        <v>118879.082987551</v>
      </c>
      <c r="D17372" s="56">
        <v>0</v>
      </c>
      <c r="E17372" s="224" t="s">
        <v>2</v>
      </c>
      <c r="F17372" s="515" t="s">
        <v>18548</v>
      </c>
      <c r="G17372" s="52">
        <v>283672.73594347597</v>
      </c>
      <c r="H17372" s="56">
        <v>4.5654519068061283E-2</v>
      </c>
      <c r="I17372" s="224" t="s">
        <v>2</v>
      </c>
    </row>
    <row r="17373" spans="1:9" x14ac:dyDescent="0.25">
      <c r="A17373" s="515">
        <v>13324</v>
      </c>
      <c r="B17373" s="515" t="s">
        <v>543</v>
      </c>
      <c r="C17373" s="52">
        <v>151569.24770790499</v>
      </c>
      <c r="D17373" s="56">
        <v>0.19968250272665675</v>
      </c>
      <c r="E17373" s="224" t="s">
        <v>2</v>
      </c>
      <c r="F17373" s="515" t="s">
        <v>18549</v>
      </c>
      <c r="G17373" s="52">
        <v>121860.48780487799</v>
      </c>
      <c r="H17373" s="56">
        <v>0</v>
      </c>
      <c r="I17373" s="224" t="s">
        <v>2</v>
      </c>
    </row>
    <row r="17374" spans="1:9" x14ac:dyDescent="0.25">
      <c r="A17374" s="515">
        <v>68713</v>
      </c>
      <c r="C17374" s="52">
        <v>161297.40041959699</v>
      </c>
      <c r="D17374" s="56">
        <v>9.8655222692074468E-2</v>
      </c>
      <c r="E17374" s="224" t="s">
        <v>2</v>
      </c>
      <c r="F17374" s="515" t="s">
        <v>18550</v>
      </c>
      <c r="G17374" s="52">
        <v>201968.792928593</v>
      </c>
      <c r="H17374" s="56">
        <v>9.6683763426388417E-2</v>
      </c>
      <c r="I17374" s="224" t="s">
        <v>2</v>
      </c>
    </row>
    <row r="17375" spans="1:9" x14ac:dyDescent="0.25">
      <c r="A17375" s="515">
        <v>39169</v>
      </c>
      <c r="B17375" s="515" t="s">
        <v>851</v>
      </c>
      <c r="C17375" s="52">
        <v>66020.413339686202</v>
      </c>
      <c r="D17375" s="56">
        <v>-0.15915891409325458</v>
      </c>
      <c r="E17375" s="224" t="s">
        <v>2</v>
      </c>
      <c r="F17375" s="515" t="s">
        <v>18551</v>
      </c>
      <c r="G17375" s="52">
        <v>149412.83667456501</v>
      </c>
      <c r="H17375" s="56">
        <v>7.7357132852627464E-2</v>
      </c>
      <c r="I17375" s="224" t="s">
        <v>2</v>
      </c>
    </row>
    <row r="17376" spans="1:9" x14ac:dyDescent="0.25">
      <c r="A17376" s="515">
        <v>95465</v>
      </c>
      <c r="B17376" s="515" t="s">
        <v>331</v>
      </c>
      <c r="C17376" s="52">
        <v>1043386.19282983</v>
      </c>
      <c r="D17376" s="56">
        <v>-2.2299060725812565E-2</v>
      </c>
      <c r="E17376" s="224" t="s">
        <v>2</v>
      </c>
      <c r="F17376" s="515" t="s">
        <v>18552</v>
      </c>
      <c r="G17376" s="52">
        <v>271560.16111490497</v>
      </c>
      <c r="H17376" s="56">
        <v>7.2144408537443597E-2</v>
      </c>
      <c r="I17376" s="224" t="s">
        <v>2</v>
      </c>
    </row>
    <row r="17377" spans="1:9" x14ac:dyDescent="0.25">
      <c r="A17377" s="515">
        <v>25130</v>
      </c>
      <c r="B17377" s="515" t="s">
        <v>322</v>
      </c>
      <c r="C17377" s="52">
        <v>105499.514627171</v>
      </c>
      <c r="D17377" s="56">
        <v>7.2069138940693056E-2</v>
      </c>
      <c r="E17377" s="224" t="s">
        <v>2</v>
      </c>
      <c r="F17377" s="515" t="s">
        <v>18553</v>
      </c>
      <c r="G17377" s="52">
        <v>76664.254047493305</v>
      </c>
      <c r="H17377" s="56">
        <v>0.1453100431833742</v>
      </c>
      <c r="I17377" s="224" t="s">
        <v>2</v>
      </c>
    </row>
    <row r="17378" spans="1:9" x14ac:dyDescent="0.25">
      <c r="A17378" s="515">
        <v>97390</v>
      </c>
      <c r="B17378" s="515" t="s">
        <v>618</v>
      </c>
      <c r="C17378" s="52">
        <v>398581.38569013902</v>
      </c>
      <c r="D17378" s="56">
        <v>9.4754349962712328E-2</v>
      </c>
      <c r="E17378" s="224" t="s">
        <v>2</v>
      </c>
      <c r="F17378" s="515" t="s">
        <v>18554</v>
      </c>
      <c r="G17378" s="52">
        <v>417208.25405304699</v>
      </c>
      <c r="H17378" s="56">
        <v>0.10590047460519761</v>
      </c>
      <c r="I17378" s="224" t="s">
        <v>2</v>
      </c>
    </row>
    <row r="17379" spans="1:9" x14ac:dyDescent="0.25">
      <c r="A17379" s="515">
        <v>50240</v>
      </c>
      <c r="B17379" s="515" t="s">
        <v>295</v>
      </c>
      <c r="C17379" s="52">
        <v>291938.00088965701</v>
      </c>
      <c r="D17379" s="56">
        <v>0.13549382645332081</v>
      </c>
      <c r="E17379" s="224" t="s">
        <v>2</v>
      </c>
      <c r="F17379" s="515" t="s">
        <v>18555</v>
      </c>
      <c r="G17379" s="52">
        <v>102851.269180074</v>
      </c>
      <c r="H17379" s="56">
        <v>2.4879709307025103E-2</v>
      </c>
      <c r="I17379" s="224" t="s">
        <v>2</v>
      </c>
    </row>
    <row r="17380" spans="1:9" x14ac:dyDescent="0.25">
      <c r="A17380" s="515">
        <v>61547</v>
      </c>
      <c r="B17380" s="515" t="s">
        <v>303</v>
      </c>
      <c r="C17380" s="52">
        <v>210935.46942983</v>
      </c>
      <c r="D17380" s="56">
        <v>4.7795740993492382E-2</v>
      </c>
      <c r="E17380" s="224" t="s">
        <v>2</v>
      </c>
      <c r="F17380" s="515" t="s">
        <v>18556</v>
      </c>
      <c r="G17380" s="52">
        <v>138590.91191192501</v>
      </c>
      <c r="H17380" s="56">
        <v>2.5188850044555809E-2</v>
      </c>
      <c r="I17380" s="224" t="s">
        <v>2</v>
      </c>
    </row>
    <row r="17381" spans="1:9" x14ac:dyDescent="0.25">
      <c r="A17381" s="515">
        <v>48818</v>
      </c>
      <c r="B17381" s="515" t="s">
        <v>631</v>
      </c>
      <c r="C17381" s="52">
        <v>155175.24678676401</v>
      </c>
      <c r="D17381" s="56">
        <v>7.5187699829191934E-2</v>
      </c>
      <c r="E17381" s="224" t="s">
        <v>2</v>
      </c>
      <c r="F17381" s="515" t="s">
        <v>18557</v>
      </c>
      <c r="G17381" s="52">
        <v>221881.151677863</v>
      </c>
      <c r="H17381" s="56">
        <v>4.8987729760189176E-2</v>
      </c>
      <c r="I17381" s="224" t="s">
        <v>2</v>
      </c>
    </row>
    <row r="17382" spans="1:9" x14ac:dyDescent="0.25">
      <c r="A17382" s="515">
        <v>35136</v>
      </c>
      <c r="B17382" s="515" t="s">
        <v>862</v>
      </c>
      <c r="C17382" s="52">
        <v>174243.732804097</v>
      </c>
      <c r="D17382" s="56">
        <v>3.7124579600445705E-2</v>
      </c>
      <c r="E17382" s="224" t="s">
        <v>2</v>
      </c>
      <c r="F17382" s="515" t="s">
        <v>18558</v>
      </c>
      <c r="G17382" s="52">
        <v>59576.492758806598</v>
      </c>
      <c r="H17382" s="56">
        <v>9.1060237372107514E-2</v>
      </c>
      <c r="I17382" s="224" t="s">
        <v>2</v>
      </c>
    </row>
    <row r="17383" spans="1:9" x14ac:dyDescent="0.25">
      <c r="A17383" s="515">
        <v>12067</v>
      </c>
      <c r="B17383" s="515" t="s">
        <v>609</v>
      </c>
      <c r="C17383" s="52">
        <v>298119.11412945902</v>
      </c>
      <c r="D17383" s="56">
        <v>4.6426740603734439E-2</v>
      </c>
      <c r="E17383" s="224" t="s">
        <v>2</v>
      </c>
      <c r="F17383" s="515" t="s">
        <v>18559</v>
      </c>
      <c r="G17383" s="52">
        <v>144339.81807983399</v>
      </c>
      <c r="H17383" s="56">
        <v>2.0121750301112466E-2</v>
      </c>
      <c r="I17383" s="224" t="s">
        <v>2</v>
      </c>
    </row>
    <row r="17384" spans="1:9" x14ac:dyDescent="0.25">
      <c r="A17384" s="515">
        <v>73104</v>
      </c>
      <c r="B17384" s="515" t="s">
        <v>385</v>
      </c>
      <c r="C17384" s="52">
        <v>323823.82087330997</v>
      </c>
      <c r="D17384" s="56">
        <v>-1.9792281834501491E-2</v>
      </c>
      <c r="E17384" s="224">
        <v>1583.8333333333301</v>
      </c>
      <c r="F17384" s="515" t="s">
        <v>18560</v>
      </c>
      <c r="G17384" s="52">
        <v>281357.98157596</v>
      </c>
      <c r="H17384" s="56">
        <v>1.7335384176766659E-2</v>
      </c>
      <c r="I17384" s="224" t="s">
        <v>2</v>
      </c>
    </row>
    <row r="17385" spans="1:9" x14ac:dyDescent="0.25">
      <c r="A17385" s="515">
        <v>3256</v>
      </c>
      <c r="B17385" s="515" t="s">
        <v>1006</v>
      </c>
      <c r="C17385" s="52">
        <v>373947.28450802801</v>
      </c>
      <c r="D17385" s="56">
        <v>0.16615157185293242</v>
      </c>
      <c r="E17385" s="224" t="s">
        <v>2</v>
      </c>
      <c r="F17385" s="515" t="s">
        <v>18561</v>
      </c>
      <c r="G17385" s="52">
        <v>414797.85356034501</v>
      </c>
      <c r="H17385" s="56">
        <v>9.9841715416415164E-2</v>
      </c>
      <c r="I17385" s="224" t="s">
        <v>2</v>
      </c>
    </row>
    <row r="17386" spans="1:9" x14ac:dyDescent="0.25">
      <c r="A17386" s="515">
        <v>95690</v>
      </c>
      <c r="B17386" s="515" t="s">
        <v>355</v>
      </c>
      <c r="C17386" s="52">
        <v>522801.51245296898</v>
      </c>
      <c r="D17386" s="56">
        <v>1.2148606843120561E-2</v>
      </c>
      <c r="E17386" s="224" t="s">
        <v>2</v>
      </c>
      <c r="F17386" s="515" t="s">
        <v>18562</v>
      </c>
      <c r="G17386" s="52">
        <v>72908.416468933297</v>
      </c>
      <c r="H17386" s="56">
        <v>1.5308402110721146E-2</v>
      </c>
      <c r="I17386" s="224" t="s">
        <v>2</v>
      </c>
    </row>
    <row r="17387" spans="1:9" x14ac:dyDescent="0.25">
      <c r="A17387" s="515">
        <v>12094</v>
      </c>
      <c r="B17387" s="515" t="s">
        <v>609</v>
      </c>
      <c r="C17387" s="52">
        <v>268546.86187642202</v>
      </c>
      <c r="D17387" s="56">
        <v>8.6693303446877173E-2</v>
      </c>
      <c r="E17387" s="224" t="s">
        <v>2</v>
      </c>
      <c r="F17387" s="515" t="s">
        <v>18563</v>
      </c>
      <c r="G17387" s="52">
        <v>146185.46378557899</v>
      </c>
      <c r="H17387" s="56">
        <v>0.15099886529243298</v>
      </c>
      <c r="I17387" s="224" t="s">
        <v>2</v>
      </c>
    </row>
    <row r="17388" spans="1:9" x14ac:dyDescent="0.25">
      <c r="A17388" s="515">
        <v>93544</v>
      </c>
      <c r="B17388" s="515" t="s">
        <v>375</v>
      </c>
      <c r="C17388" s="52">
        <v>388848.99882664299</v>
      </c>
      <c r="D17388" s="56">
        <v>2.8637281048802365E-2</v>
      </c>
      <c r="E17388" s="224" t="s">
        <v>2</v>
      </c>
      <c r="F17388" s="515" t="s">
        <v>18564</v>
      </c>
      <c r="G17388" s="52">
        <v>77455.200934579407</v>
      </c>
      <c r="H17388" s="56">
        <v>0</v>
      </c>
      <c r="I17388" s="224" t="s">
        <v>2</v>
      </c>
    </row>
    <row r="17389" spans="1:9" x14ac:dyDescent="0.25">
      <c r="A17389" s="515">
        <v>98635</v>
      </c>
      <c r="C17389" s="52">
        <v>469980.78972564702</v>
      </c>
      <c r="D17389" s="56">
        <v>2.239781857033659E-2</v>
      </c>
      <c r="E17389" s="224" t="s">
        <v>2</v>
      </c>
      <c r="F17389" s="515" t="s">
        <v>18565</v>
      </c>
      <c r="G17389" s="52">
        <v>552576.08633461699</v>
      </c>
      <c r="H17389" s="56">
        <v>-8.1710936501956004E-4</v>
      </c>
      <c r="I17389" s="224" t="s">
        <v>2</v>
      </c>
    </row>
    <row r="17390" spans="1:9" x14ac:dyDescent="0.25">
      <c r="A17390" s="515">
        <v>42732</v>
      </c>
      <c r="B17390" s="515" t="s">
        <v>671</v>
      </c>
      <c r="C17390" s="52">
        <v>106872.70599151999</v>
      </c>
      <c r="D17390" s="56">
        <v>4.6269731623134913E-2</v>
      </c>
      <c r="E17390" s="224" t="s">
        <v>2</v>
      </c>
      <c r="F17390" s="515" t="s">
        <v>18566</v>
      </c>
      <c r="G17390" s="52">
        <v>127305.807361969</v>
      </c>
      <c r="H17390" s="56">
        <v>0.10057078504812925</v>
      </c>
      <c r="I17390" s="224" t="s">
        <v>2</v>
      </c>
    </row>
    <row r="17391" spans="1:9" x14ac:dyDescent="0.25">
      <c r="A17391" s="515">
        <v>47954</v>
      </c>
      <c r="B17391" s="515" t="s">
        <v>408</v>
      </c>
      <c r="C17391" s="52">
        <v>195639.12073787701</v>
      </c>
      <c r="D17391" s="56">
        <v>0.1005223159583269</v>
      </c>
      <c r="E17391" s="224" t="s">
        <v>2</v>
      </c>
      <c r="F17391" s="515" t="s">
        <v>18567</v>
      </c>
      <c r="G17391" s="52">
        <v>115457.782403654</v>
      </c>
      <c r="H17391" s="56">
        <v>0.12653488865911441</v>
      </c>
      <c r="I17391" s="224" t="s">
        <v>2</v>
      </c>
    </row>
    <row r="17392" spans="1:9" x14ac:dyDescent="0.25">
      <c r="A17392" s="515">
        <v>43748</v>
      </c>
      <c r="B17392" s="515" t="s">
        <v>345</v>
      </c>
      <c r="C17392" s="52">
        <v>186775.149615145</v>
      </c>
      <c r="D17392" s="56">
        <v>0.14017643283725575</v>
      </c>
      <c r="E17392" s="224" t="s">
        <v>2</v>
      </c>
      <c r="F17392" s="515" t="s">
        <v>18568</v>
      </c>
      <c r="G17392" s="52">
        <v>208436.47508883799</v>
      </c>
      <c r="H17392" s="56">
        <v>0.11209868733468858</v>
      </c>
      <c r="I17392" s="224" t="s">
        <v>2</v>
      </c>
    </row>
    <row r="17393" spans="1:9" x14ac:dyDescent="0.25">
      <c r="A17393" s="515">
        <v>68978</v>
      </c>
      <c r="C17393" s="52">
        <v>81315.531024027398</v>
      </c>
      <c r="D17393" s="56">
        <v>0.13296792471881683</v>
      </c>
      <c r="E17393" s="224" t="s">
        <v>2</v>
      </c>
      <c r="F17393" s="515" t="s">
        <v>18569</v>
      </c>
      <c r="G17393" s="52">
        <v>210741.54538943499</v>
      </c>
      <c r="H17393" s="56">
        <v>0</v>
      </c>
      <c r="I17393" s="224" t="s">
        <v>2</v>
      </c>
    </row>
    <row r="17394" spans="1:9" x14ac:dyDescent="0.25">
      <c r="A17394" s="515">
        <v>40387</v>
      </c>
      <c r="B17394" s="515" t="s">
        <v>900</v>
      </c>
      <c r="C17394" s="52">
        <v>101640.698147498</v>
      </c>
      <c r="D17394" s="56">
        <v>0.30420955246956355</v>
      </c>
      <c r="E17394" s="224" t="s">
        <v>2</v>
      </c>
      <c r="F17394" s="515" t="s">
        <v>18570</v>
      </c>
      <c r="G17394" s="52">
        <v>205259.85032015701</v>
      </c>
      <c r="H17394" s="56">
        <v>-8.2440301928302685E-3</v>
      </c>
      <c r="I17394" s="224" t="s">
        <v>2</v>
      </c>
    </row>
    <row r="17395" spans="1:9" x14ac:dyDescent="0.25">
      <c r="A17395" s="515">
        <v>38356</v>
      </c>
      <c r="B17395" s="515" t="s">
        <v>691</v>
      </c>
      <c r="C17395" s="52">
        <v>168425.57193663399</v>
      </c>
      <c r="D17395" s="56">
        <v>2.6191062185215271E-2</v>
      </c>
      <c r="E17395" s="224" t="s">
        <v>2</v>
      </c>
      <c r="F17395" s="515" t="s">
        <v>18571</v>
      </c>
      <c r="G17395" s="52">
        <v>421770.00141219998</v>
      </c>
      <c r="H17395" s="56">
        <v>5.4725543298952553E-3</v>
      </c>
      <c r="I17395" s="224" t="s">
        <v>2</v>
      </c>
    </row>
    <row r="17396" spans="1:9" x14ac:dyDescent="0.25">
      <c r="A17396" s="515">
        <v>83241</v>
      </c>
      <c r="C17396" s="52">
        <v>262780.46443514602</v>
      </c>
      <c r="D17396" s="56">
        <v>0</v>
      </c>
      <c r="E17396" s="224" t="s">
        <v>2</v>
      </c>
      <c r="F17396" s="515" t="s">
        <v>18572</v>
      </c>
      <c r="G17396" s="52">
        <v>140808.34722395201</v>
      </c>
      <c r="H17396" s="56">
        <v>8.5971593707950322E-2</v>
      </c>
      <c r="I17396" s="224" t="s">
        <v>2</v>
      </c>
    </row>
    <row r="17397" spans="1:9" x14ac:dyDescent="0.25">
      <c r="A17397" s="515">
        <v>33865</v>
      </c>
      <c r="B17397" s="515" t="s">
        <v>1139</v>
      </c>
      <c r="C17397" s="52">
        <v>328501.52597597701</v>
      </c>
      <c r="D17397" s="56">
        <v>9.4898098432385738E-2</v>
      </c>
      <c r="E17397" s="224" t="s">
        <v>2</v>
      </c>
      <c r="F17397" s="515" t="s">
        <v>18573</v>
      </c>
      <c r="G17397" s="52">
        <v>161960.5</v>
      </c>
      <c r="H17397" s="56">
        <v>0</v>
      </c>
      <c r="I17397" s="224" t="s">
        <v>2</v>
      </c>
    </row>
    <row r="17398" spans="1:9" x14ac:dyDescent="0.25">
      <c r="A17398" s="515">
        <v>19951</v>
      </c>
      <c r="B17398" s="515" t="s">
        <v>552</v>
      </c>
      <c r="C17398" s="52">
        <v>462123.19185750402</v>
      </c>
      <c r="D17398" s="56">
        <v>2.8179739295879604E-2</v>
      </c>
      <c r="E17398" s="224" t="s">
        <v>2</v>
      </c>
      <c r="F17398" s="515" t="s">
        <v>18574</v>
      </c>
      <c r="G17398" s="52">
        <v>155597.528877993</v>
      </c>
      <c r="H17398" s="56">
        <v>2.8009432581577499E-2</v>
      </c>
      <c r="I17398" s="224" t="s">
        <v>2</v>
      </c>
    </row>
    <row r="17399" spans="1:9" x14ac:dyDescent="0.25">
      <c r="A17399" s="515">
        <v>49751</v>
      </c>
      <c r="C17399" s="52">
        <v>163219.04628371299</v>
      </c>
      <c r="D17399" s="56">
        <v>2.2411175933445104E-2</v>
      </c>
      <c r="E17399" s="224" t="s">
        <v>2</v>
      </c>
      <c r="F17399" s="515" t="s">
        <v>18575</v>
      </c>
      <c r="G17399" s="52">
        <v>119741.896632875</v>
      </c>
      <c r="H17399" s="56">
        <v>0</v>
      </c>
      <c r="I17399" s="224" t="s">
        <v>2</v>
      </c>
    </row>
    <row r="17400" spans="1:9" x14ac:dyDescent="0.25">
      <c r="A17400" s="515">
        <v>46070</v>
      </c>
      <c r="B17400" s="515" t="s">
        <v>403</v>
      </c>
      <c r="C17400" s="52">
        <v>155338.68930205901</v>
      </c>
      <c r="D17400" s="56">
        <v>2.5919632921824851E-2</v>
      </c>
      <c r="E17400" s="224" t="s">
        <v>2</v>
      </c>
      <c r="F17400" s="515" t="s">
        <v>18576</v>
      </c>
      <c r="G17400" s="52">
        <v>107723.145171703</v>
      </c>
      <c r="H17400" s="56">
        <v>0.11391905858208849</v>
      </c>
      <c r="I17400" s="224" t="s">
        <v>2</v>
      </c>
    </row>
    <row r="17401" spans="1:9" x14ac:dyDescent="0.25">
      <c r="A17401" s="515">
        <v>70083</v>
      </c>
      <c r="B17401" s="515" t="s">
        <v>777</v>
      </c>
      <c r="C17401" s="52">
        <v>121074.30083871901</v>
      </c>
      <c r="D17401" s="56">
        <v>-3.7845431835912144E-2</v>
      </c>
      <c r="E17401" s="224" t="s">
        <v>2</v>
      </c>
      <c r="F17401" s="515" t="s">
        <v>18577</v>
      </c>
      <c r="G17401" s="52">
        <v>188486.34666666601</v>
      </c>
      <c r="H17401" s="56">
        <v>0</v>
      </c>
      <c r="I17401" s="224" t="s">
        <v>2</v>
      </c>
    </row>
    <row r="17402" spans="1:9" x14ac:dyDescent="0.25">
      <c r="A17402" s="515">
        <v>53125</v>
      </c>
      <c r="B17402" s="515" t="s">
        <v>1089</v>
      </c>
      <c r="C17402" s="52">
        <v>514273.340327179</v>
      </c>
      <c r="D17402" s="56">
        <v>8.7217988727820231E-2</v>
      </c>
      <c r="E17402" s="224" t="s">
        <v>2</v>
      </c>
      <c r="F17402" s="515" t="s">
        <v>18578</v>
      </c>
      <c r="G17402" s="52">
        <v>124839.317806493</v>
      </c>
      <c r="H17402" s="56">
        <v>2.5892955609357411E-2</v>
      </c>
      <c r="I17402" s="224" t="s">
        <v>2</v>
      </c>
    </row>
    <row r="17403" spans="1:9" x14ac:dyDescent="0.25">
      <c r="A17403" s="515">
        <v>68836</v>
      </c>
      <c r="B17403" s="515" t="s">
        <v>660</v>
      </c>
      <c r="C17403" s="52">
        <v>231278.80930013201</v>
      </c>
      <c r="D17403" s="56">
        <v>0.11404299879471357</v>
      </c>
      <c r="E17403" s="224" t="s">
        <v>2</v>
      </c>
      <c r="F17403" s="515" t="s">
        <v>18579</v>
      </c>
      <c r="G17403" s="52">
        <v>158442.37356067501</v>
      </c>
      <c r="H17403" s="56">
        <v>6.6347313986267073E-2</v>
      </c>
      <c r="I17403" s="224" t="s">
        <v>2</v>
      </c>
    </row>
    <row r="17404" spans="1:9" x14ac:dyDescent="0.25">
      <c r="A17404" s="515">
        <v>55052</v>
      </c>
      <c r="B17404" s="515" t="s">
        <v>504</v>
      </c>
      <c r="C17404" s="52">
        <v>274573.34242051298</v>
      </c>
      <c r="D17404" s="56">
        <v>4.8219569405444196E-2</v>
      </c>
      <c r="E17404" s="224" t="s">
        <v>2</v>
      </c>
      <c r="F17404" s="515" t="s">
        <v>18580</v>
      </c>
      <c r="G17404" s="52">
        <v>131340.95786033699</v>
      </c>
      <c r="H17404" s="56">
        <v>-0.17736248325867657</v>
      </c>
      <c r="I17404" s="224" t="s">
        <v>2</v>
      </c>
    </row>
    <row r="17405" spans="1:9" x14ac:dyDescent="0.25">
      <c r="A17405" s="515">
        <v>29030</v>
      </c>
      <c r="B17405" s="515" t="s">
        <v>762</v>
      </c>
      <c r="C17405" s="52">
        <v>190515.00392188001</v>
      </c>
      <c r="D17405" s="56">
        <v>0.10594262665255474</v>
      </c>
      <c r="E17405" s="224" t="s">
        <v>2</v>
      </c>
      <c r="F17405" s="515" t="s">
        <v>18581</v>
      </c>
      <c r="G17405" s="52">
        <v>238004.27230284701</v>
      </c>
      <c r="H17405" s="56">
        <v>4.2934465992301801E-2</v>
      </c>
      <c r="I17405" s="224" t="s">
        <v>2</v>
      </c>
    </row>
    <row r="17406" spans="1:9" x14ac:dyDescent="0.25">
      <c r="A17406" s="515">
        <v>20677</v>
      </c>
      <c r="B17406" s="515" t="s">
        <v>321</v>
      </c>
      <c r="C17406" s="52">
        <v>543364.35080927995</v>
      </c>
      <c r="D17406" s="56">
        <v>3.1676393716998041E-2</v>
      </c>
      <c r="E17406" s="224" t="s">
        <v>2</v>
      </c>
      <c r="F17406" s="515" t="s">
        <v>18582</v>
      </c>
      <c r="G17406" s="52">
        <v>336886.03551071498</v>
      </c>
      <c r="H17406" s="56">
        <v>0.10502473386715394</v>
      </c>
      <c r="I17406" s="224" t="s">
        <v>2</v>
      </c>
    </row>
    <row r="17407" spans="1:9" x14ac:dyDescent="0.25">
      <c r="A17407" s="515">
        <v>75436</v>
      </c>
      <c r="C17407" s="52">
        <v>167946.11114917599</v>
      </c>
      <c r="D17407" s="56">
        <v>7.8103093441516849E-2</v>
      </c>
      <c r="E17407" s="224" t="s">
        <v>2</v>
      </c>
      <c r="F17407" s="515" t="s">
        <v>18583</v>
      </c>
      <c r="G17407" s="52">
        <v>239355.34782608601</v>
      </c>
      <c r="H17407" s="56">
        <v>0</v>
      </c>
      <c r="I17407" s="224" t="s">
        <v>2</v>
      </c>
    </row>
    <row r="17408" spans="1:9" x14ac:dyDescent="0.25">
      <c r="A17408" s="515">
        <v>29593</v>
      </c>
      <c r="C17408" s="52">
        <v>83518.531073897597</v>
      </c>
      <c r="D17408" s="56">
        <v>1.7991849582071784E-2</v>
      </c>
      <c r="E17408" s="224" t="s">
        <v>2</v>
      </c>
      <c r="F17408" s="515" t="s">
        <v>18584</v>
      </c>
      <c r="G17408" s="52">
        <v>369161.61104682297</v>
      </c>
      <c r="H17408" s="56">
        <v>6.2129908595700958E-2</v>
      </c>
      <c r="I17408" s="224" t="s">
        <v>2</v>
      </c>
    </row>
    <row r="17409" spans="1:9" x14ac:dyDescent="0.25">
      <c r="A17409" s="515">
        <v>97845</v>
      </c>
      <c r="C17409" s="52">
        <v>255153.71024556801</v>
      </c>
      <c r="D17409" s="56">
        <v>7.5443595280188971E-2</v>
      </c>
      <c r="E17409" s="224" t="s">
        <v>2</v>
      </c>
      <c r="F17409" s="515" t="s">
        <v>18585</v>
      </c>
      <c r="G17409" s="52">
        <v>202406.86273426301</v>
      </c>
      <c r="H17409" s="56">
        <v>0.1035273929535022</v>
      </c>
      <c r="I17409" s="224" t="s">
        <v>2</v>
      </c>
    </row>
    <row r="17410" spans="1:9" x14ac:dyDescent="0.25">
      <c r="A17410" s="515">
        <v>15697</v>
      </c>
      <c r="B17410" s="515" t="s">
        <v>297</v>
      </c>
      <c r="C17410" s="52">
        <v>135865.48351708899</v>
      </c>
      <c r="D17410" s="56">
        <v>2.118032803483666E-2</v>
      </c>
      <c r="E17410" s="224" t="s">
        <v>2</v>
      </c>
      <c r="F17410" s="515" t="s">
        <v>18586</v>
      </c>
      <c r="G17410" s="52">
        <v>92324.824494451503</v>
      </c>
      <c r="H17410" s="56">
        <v>7.7639576288523818E-2</v>
      </c>
      <c r="I17410" s="224" t="s">
        <v>2</v>
      </c>
    </row>
    <row r="17411" spans="1:9" x14ac:dyDescent="0.25">
      <c r="A17411" s="515">
        <v>45645</v>
      </c>
      <c r="B17411" s="515" t="s">
        <v>602</v>
      </c>
      <c r="C17411" s="52">
        <v>125159.585823143</v>
      </c>
      <c r="D17411" s="56">
        <v>4.6152321703906179E-2</v>
      </c>
      <c r="E17411" s="224" t="s">
        <v>2</v>
      </c>
      <c r="F17411" s="515" t="s">
        <v>18587</v>
      </c>
      <c r="G17411" s="52">
        <v>224401.67007649201</v>
      </c>
      <c r="H17411" s="56">
        <v>3.1256283838056599E-2</v>
      </c>
      <c r="I17411" s="224" t="s">
        <v>2</v>
      </c>
    </row>
    <row r="17412" spans="1:9" x14ac:dyDescent="0.25">
      <c r="A17412" s="515">
        <v>14012</v>
      </c>
      <c r="B17412" s="515" t="s">
        <v>336</v>
      </c>
      <c r="C17412" s="52">
        <v>198073.51041573301</v>
      </c>
      <c r="D17412" s="56">
        <v>7.8082416677084543E-2</v>
      </c>
      <c r="E17412" s="224" t="s">
        <v>2</v>
      </c>
      <c r="F17412" s="515" t="s">
        <v>18588</v>
      </c>
      <c r="G17412" s="52">
        <v>334560.45493965398</v>
      </c>
      <c r="H17412" s="56">
        <v>0</v>
      </c>
      <c r="I17412" s="224" t="s">
        <v>2</v>
      </c>
    </row>
    <row r="17413" spans="1:9" x14ac:dyDescent="0.25">
      <c r="A17413" s="515">
        <v>49252</v>
      </c>
      <c r="B17413" s="515" t="s">
        <v>971</v>
      </c>
      <c r="C17413" s="52">
        <v>161001.447750355</v>
      </c>
      <c r="D17413" s="56">
        <v>2.942561738798628E-2</v>
      </c>
      <c r="E17413" s="224" t="s">
        <v>2</v>
      </c>
      <c r="F17413" s="515" t="s">
        <v>18589</v>
      </c>
      <c r="G17413" s="52">
        <v>731591.62906329695</v>
      </c>
      <c r="H17413" s="56">
        <v>9.9794043296581231E-2</v>
      </c>
      <c r="I17413" s="224" t="s">
        <v>2</v>
      </c>
    </row>
    <row r="17414" spans="1:9" x14ac:dyDescent="0.25">
      <c r="A17414" s="515">
        <v>15458</v>
      </c>
      <c r="B17414" s="515" t="s">
        <v>297</v>
      </c>
      <c r="C17414" s="52">
        <v>107018.352634567</v>
      </c>
      <c r="D17414" s="56">
        <v>6.7421868755358771E-2</v>
      </c>
      <c r="E17414" s="224" t="s">
        <v>2</v>
      </c>
      <c r="F17414" s="515" t="s">
        <v>18590</v>
      </c>
      <c r="G17414" s="52">
        <v>284016.41734078398</v>
      </c>
      <c r="H17414" s="56">
        <v>4.5989389230652274E-2</v>
      </c>
      <c r="I17414" s="224" t="s">
        <v>2</v>
      </c>
    </row>
    <row r="17415" spans="1:9" x14ac:dyDescent="0.25">
      <c r="A17415" s="515">
        <v>60034</v>
      </c>
      <c r="B17415" s="515" t="s">
        <v>394</v>
      </c>
      <c r="C17415" s="52">
        <v>232130.88988041799</v>
      </c>
      <c r="D17415" s="56">
        <v>6.9047848204914303E-2</v>
      </c>
      <c r="E17415" s="224" t="s">
        <v>2</v>
      </c>
      <c r="F17415" s="515" t="s">
        <v>18591</v>
      </c>
      <c r="G17415" s="52">
        <v>178719.05528297299</v>
      </c>
      <c r="H17415" s="56">
        <v>4.6085780935623433E-2</v>
      </c>
      <c r="I17415" s="224" t="s">
        <v>2</v>
      </c>
    </row>
    <row r="17416" spans="1:9" x14ac:dyDescent="0.25">
      <c r="A17416" s="515">
        <v>14847</v>
      </c>
      <c r="B17416" s="515" t="s">
        <v>1032</v>
      </c>
      <c r="C17416" s="52">
        <v>202234.323180368</v>
      </c>
      <c r="D17416" s="56">
        <v>5.3121857391183122E-2</v>
      </c>
      <c r="E17416" s="224" t="s">
        <v>2</v>
      </c>
      <c r="F17416" s="515" t="s">
        <v>18592</v>
      </c>
      <c r="G17416" s="52">
        <v>70224.595702969295</v>
      </c>
      <c r="H17416" s="56">
        <v>-6.4478713880442351E-2</v>
      </c>
      <c r="I17416" s="224" t="s">
        <v>2</v>
      </c>
    </row>
    <row r="17417" spans="1:9" x14ac:dyDescent="0.25">
      <c r="A17417" s="515">
        <v>54623</v>
      </c>
      <c r="B17417" s="515" t="s">
        <v>635</v>
      </c>
      <c r="C17417" s="52">
        <v>243094.636573417</v>
      </c>
      <c r="D17417" s="56">
        <v>2.1527640784526968E-2</v>
      </c>
      <c r="E17417" s="224" t="s">
        <v>2</v>
      </c>
      <c r="F17417" s="515" t="s">
        <v>18593</v>
      </c>
      <c r="G17417" s="52">
        <v>90045.428730587606</v>
      </c>
      <c r="H17417" s="56">
        <v>-2.1166391043637333E-2</v>
      </c>
      <c r="I17417" s="224" t="s">
        <v>2</v>
      </c>
    </row>
    <row r="17418" spans="1:9" x14ac:dyDescent="0.25">
      <c r="A17418" s="515">
        <v>72847</v>
      </c>
      <c r="B17418" s="515" t="s">
        <v>636</v>
      </c>
      <c r="C17418" s="52">
        <v>156633.220365999</v>
      </c>
      <c r="D17418" s="56">
        <v>1.7180483611309472E-2</v>
      </c>
      <c r="E17418" s="224" t="s">
        <v>2</v>
      </c>
      <c r="F17418" s="515" t="s">
        <v>18594</v>
      </c>
      <c r="G17418" s="52">
        <v>274835.28373975703</v>
      </c>
      <c r="H17418" s="56">
        <v>0.16026559495527079</v>
      </c>
      <c r="I17418" s="224" t="s">
        <v>2</v>
      </c>
    </row>
    <row r="17419" spans="1:9" x14ac:dyDescent="0.25">
      <c r="A17419" s="515">
        <v>31075</v>
      </c>
      <c r="B17419" s="515" t="s">
        <v>929</v>
      </c>
      <c r="C17419" s="52">
        <v>148472.89306645899</v>
      </c>
      <c r="D17419" s="56">
        <v>9.8112684342997455E-2</v>
      </c>
      <c r="E17419" s="224" t="s">
        <v>2</v>
      </c>
      <c r="F17419" s="515" t="s">
        <v>18595</v>
      </c>
      <c r="G17419" s="52">
        <v>100420.153112079</v>
      </c>
      <c r="H17419" s="56">
        <v>3.4063364008564884E-2</v>
      </c>
      <c r="I17419" s="224" t="s">
        <v>2</v>
      </c>
    </row>
    <row r="17420" spans="1:9" x14ac:dyDescent="0.25">
      <c r="A17420" s="515">
        <v>71833</v>
      </c>
      <c r="C17420" s="52">
        <v>104200.524509803</v>
      </c>
      <c r="D17420" s="56">
        <v>0</v>
      </c>
      <c r="E17420" s="224" t="s">
        <v>2</v>
      </c>
      <c r="F17420" s="515" t="s">
        <v>18596</v>
      </c>
      <c r="G17420" s="52">
        <v>174763.92171687601</v>
      </c>
      <c r="H17420" s="56">
        <v>0.11191891298632776</v>
      </c>
      <c r="I17420" s="224" t="s">
        <v>2</v>
      </c>
    </row>
    <row r="17421" spans="1:9" x14ac:dyDescent="0.25">
      <c r="A17421" s="515">
        <v>4785</v>
      </c>
      <c r="C17421" s="52">
        <v>113224.116068726</v>
      </c>
      <c r="D17421" s="56">
        <v>9.1211558471762946E-2</v>
      </c>
      <c r="E17421" s="224" t="s">
        <v>2</v>
      </c>
      <c r="F17421" s="515" t="s">
        <v>18597</v>
      </c>
      <c r="G17421" s="52">
        <v>271158.89794582198</v>
      </c>
      <c r="H17421" s="56">
        <v>9.9228914661904727E-2</v>
      </c>
      <c r="I17421" s="224" t="s">
        <v>2</v>
      </c>
    </row>
    <row r="17422" spans="1:9" x14ac:dyDescent="0.25">
      <c r="A17422" s="515">
        <v>24330</v>
      </c>
      <c r="C17422" s="52">
        <v>105330.50897666</v>
      </c>
      <c r="D17422" s="56">
        <v>2.8662640199089224E-2</v>
      </c>
      <c r="E17422" s="224" t="s">
        <v>2</v>
      </c>
      <c r="F17422" s="515" t="s">
        <v>18598</v>
      </c>
      <c r="G17422" s="52">
        <v>300934.59696204902</v>
      </c>
      <c r="H17422" s="56">
        <v>0.10284126164769596</v>
      </c>
      <c r="I17422" s="224" t="s">
        <v>2</v>
      </c>
    </row>
    <row r="17423" spans="1:9" x14ac:dyDescent="0.25">
      <c r="A17423" s="515">
        <v>62347</v>
      </c>
      <c r="B17423" s="515" t="s">
        <v>697</v>
      </c>
      <c r="C17423" s="52">
        <v>172256.95695073099</v>
      </c>
      <c r="D17423" s="56">
        <v>6.3763439732071668E-4</v>
      </c>
      <c r="E17423" s="224" t="s">
        <v>2</v>
      </c>
      <c r="F17423" s="515" t="s">
        <v>18599</v>
      </c>
      <c r="G17423" s="52">
        <v>120993.361190607</v>
      </c>
      <c r="H17423" s="56">
        <v>0.17181048385488348</v>
      </c>
      <c r="I17423" s="224" t="s">
        <v>2</v>
      </c>
    </row>
    <row r="17424" spans="1:9" x14ac:dyDescent="0.25">
      <c r="A17424" s="515">
        <v>4289</v>
      </c>
      <c r="C17424" s="52">
        <v>229889.73834228099</v>
      </c>
      <c r="D17424" s="56">
        <v>5.2990205119934283E-3</v>
      </c>
      <c r="E17424" s="224" t="s">
        <v>2</v>
      </c>
      <c r="F17424" s="515" t="s">
        <v>18600</v>
      </c>
      <c r="G17424" s="52">
        <v>83214.175553935696</v>
      </c>
      <c r="H17424" s="56">
        <v>0.25621119633969835</v>
      </c>
      <c r="I17424" s="224" t="s">
        <v>2</v>
      </c>
    </row>
    <row r="17425" spans="1:9" x14ac:dyDescent="0.25">
      <c r="A17425" s="515">
        <v>49968</v>
      </c>
      <c r="C17425" s="52">
        <v>76165.301540504006</v>
      </c>
      <c r="D17425" s="56">
        <v>7.2398395750379416E-2</v>
      </c>
      <c r="E17425" s="224" t="s">
        <v>2</v>
      </c>
      <c r="F17425" s="515" t="s">
        <v>18601</v>
      </c>
      <c r="G17425" s="52">
        <v>319329.37742857297</v>
      </c>
      <c r="H17425" s="56">
        <v>0.1056187255472716</v>
      </c>
      <c r="I17425" s="224" t="s">
        <v>2</v>
      </c>
    </row>
    <row r="17426" spans="1:9" x14ac:dyDescent="0.25">
      <c r="A17426" s="515">
        <v>27814</v>
      </c>
      <c r="B17426" s="515" t="s">
        <v>768</v>
      </c>
      <c r="C17426" s="52">
        <v>196375.198292683</v>
      </c>
      <c r="D17426" s="56">
        <v>0.15941219657185726</v>
      </c>
      <c r="E17426" s="224" t="s">
        <v>2</v>
      </c>
      <c r="F17426" s="515" t="s">
        <v>18602</v>
      </c>
      <c r="G17426" s="52">
        <v>482606.08260449697</v>
      </c>
      <c r="H17426" s="56">
        <v>9.2260901239949136E-2</v>
      </c>
      <c r="I17426" s="224" t="s">
        <v>2</v>
      </c>
    </row>
    <row r="17427" spans="1:9" x14ac:dyDescent="0.25">
      <c r="A17427" s="515">
        <v>60301</v>
      </c>
      <c r="B17427" s="515" t="s">
        <v>394</v>
      </c>
      <c r="C17427" s="52">
        <v>230490.39610190099</v>
      </c>
      <c r="D17427" s="56">
        <v>-2.3913280831852186E-2</v>
      </c>
      <c r="E17427" s="224">
        <v>2259.24074074074</v>
      </c>
      <c r="F17427" s="515" t="s">
        <v>18603</v>
      </c>
      <c r="G17427" s="52">
        <v>172692.51716561901</v>
      </c>
      <c r="H17427" s="56">
        <v>0.11363656774265983</v>
      </c>
      <c r="I17427" s="224" t="s">
        <v>2</v>
      </c>
    </row>
    <row r="17428" spans="1:9" x14ac:dyDescent="0.25">
      <c r="A17428" s="515">
        <v>71770</v>
      </c>
      <c r="B17428" s="515" t="s">
        <v>764</v>
      </c>
      <c r="C17428" s="52">
        <v>69775.040990270296</v>
      </c>
      <c r="D17428" s="56">
        <v>-7.4457218750015958E-2</v>
      </c>
      <c r="E17428" s="224" t="s">
        <v>2</v>
      </c>
      <c r="F17428" s="515" t="s">
        <v>18604</v>
      </c>
      <c r="G17428" s="52">
        <v>148456.11621726601</v>
      </c>
      <c r="H17428" s="56">
        <v>2.120020073311761E-3</v>
      </c>
      <c r="I17428" s="224" t="s">
        <v>2</v>
      </c>
    </row>
    <row r="17429" spans="1:9" x14ac:dyDescent="0.25">
      <c r="A17429" s="515">
        <v>14770</v>
      </c>
      <c r="B17429" s="515" t="s">
        <v>870</v>
      </c>
      <c r="C17429" s="52">
        <v>120912.317592491</v>
      </c>
      <c r="D17429" s="56">
        <v>0.14461152047133019</v>
      </c>
      <c r="E17429" s="224" t="s">
        <v>2</v>
      </c>
      <c r="F17429" s="515" t="s">
        <v>18605</v>
      </c>
      <c r="G17429" s="52">
        <v>172043.6</v>
      </c>
      <c r="H17429" s="56">
        <v>0</v>
      </c>
      <c r="I17429" s="224" t="s">
        <v>2</v>
      </c>
    </row>
    <row r="17430" spans="1:9" x14ac:dyDescent="0.25">
      <c r="A17430" s="515">
        <v>50244</v>
      </c>
      <c r="B17430" s="515" t="s">
        <v>295</v>
      </c>
      <c r="C17430" s="52">
        <v>240240.637732553</v>
      </c>
      <c r="D17430" s="56">
        <v>4.2538316286350936E-2</v>
      </c>
      <c r="E17430" s="224" t="s">
        <v>2</v>
      </c>
      <c r="F17430" s="515" t="s">
        <v>18606</v>
      </c>
      <c r="G17430" s="52">
        <v>107428.09459774</v>
      </c>
      <c r="H17430" s="56">
        <v>0.13237881732730136</v>
      </c>
      <c r="I17430" s="224" t="s">
        <v>2</v>
      </c>
    </row>
    <row r="17431" spans="1:9" x14ac:dyDescent="0.25">
      <c r="A17431" s="515">
        <v>60955</v>
      </c>
      <c r="C17431" s="52">
        <v>101618.51485063801</v>
      </c>
      <c r="D17431" s="56">
        <v>5.9100166544382361E-2</v>
      </c>
      <c r="E17431" s="224" t="s">
        <v>2</v>
      </c>
      <c r="F17431" s="515" t="s">
        <v>18607</v>
      </c>
      <c r="G17431" s="52">
        <v>191989.96957581499</v>
      </c>
      <c r="H17431" s="56">
        <v>0.11461301957067094</v>
      </c>
      <c r="I17431" s="224" t="s">
        <v>2</v>
      </c>
    </row>
    <row r="17432" spans="1:9" x14ac:dyDescent="0.25">
      <c r="A17432" s="515">
        <v>2646</v>
      </c>
      <c r="B17432" s="515" t="s">
        <v>427</v>
      </c>
      <c r="C17432" s="52">
        <v>924677.37534631498</v>
      </c>
      <c r="D17432" s="56">
        <v>8.7091326836380614E-2</v>
      </c>
      <c r="E17432" s="224" t="s">
        <v>2</v>
      </c>
      <c r="F17432" s="515" t="s">
        <v>18608</v>
      </c>
      <c r="G17432" s="52">
        <v>101827.104684007</v>
      </c>
      <c r="H17432" s="56">
        <v>4.5635029065667727E-3</v>
      </c>
      <c r="I17432" s="224" t="s">
        <v>2</v>
      </c>
    </row>
    <row r="17433" spans="1:9" x14ac:dyDescent="0.25">
      <c r="A17433" s="515">
        <v>16881</v>
      </c>
      <c r="B17433" s="515" t="s">
        <v>876</v>
      </c>
      <c r="C17433" s="52">
        <v>106792.578181818</v>
      </c>
      <c r="D17433" s="56">
        <v>0</v>
      </c>
      <c r="E17433" s="224" t="s">
        <v>2</v>
      </c>
      <c r="F17433" s="515" t="s">
        <v>18609</v>
      </c>
      <c r="G17433" s="52">
        <v>789150.81076205103</v>
      </c>
      <c r="H17433" s="56">
        <v>0.10798338982025393</v>
      </c>
      <c r="I17433" s="224" t="s">
        <v>2</v>
      </c>
    </row>
    <row r="17434" spans="1:9" x14ac:dyDescent="0.25">
      <c r="A17434" s="515">
        <v>27808</v>
      </c>
      <c r="B17434" s="515" t="s">
        <v>768</v>
      </c>
      <c r="C17434" s="52">
        <v>350799.11232405697</v>
      </c>
      <c r="D17434" s="56">
        <v>0.13828056228294433</v>
      </c>
      <c r="E17434" s="224" t="s">
        <v>2</v>
      </c>
      <c r="F17434" s="515" t="s">
        <v>18610</v>
      </c>
      <c r="G17434" s="52">
        <v>261928.64866481401</v>
      </c>
      <c r="H17434" s="56">
        <v>0.1417554774579409</v>
      </c>
      <c r="I17434" s="224" t="s">
        <v>2</v>
      </c>
    </row>
    <row r="17435" spans="1:9" x14ac:dyDescent="0.25">
      <c r="A17435" s="515">
        <v>96093</v>
      </c>
      <c r="C17435" s="52">
        <v>304435.38972254202</v>
      </c>
      <c r="D17435" s="56">
        <v>-1.037152414225026E-2</v>
      </c>
      <c r="E17435" s="224" t="s">
        <v>2</v>
      </c>
      <c r="F17435" s="515" t="s">
        <v>18611</v>
      </c>
      <c r="G17435" s="52">
        <v>219886.39760795701</v>
      </c>
      <c r="H17435" s="56">
        <v>0.10035641714241079</v>
      </c>
      <c r="I17435" s="224" t="s">
        <v>2</v>
      </c>
    </row>
    <row r="17436" spans="1:9" x14ac:dyDescent="0.25">
      <c r="A17436" s="515">
        <v>66075</v>
      </c>
      <c r="B17436" s="515" t="s">
        <v>455</v>
      </c>
      <c r="C17436" s="52">
        <v>136499.610946859</v>
      </c>
      <c r="D17436" s="56">
        <v>0.16777316085189545</v>
      </c>
      <c r="E17436" s="224" t="s">
        <v>2</v>
      </c>
      <c r="F17436" s="515" t="s">
        <v>18612</v>
      </c>
      <c r="G17436" s="52">
        <v>798823.48231919098</v>
      </c>
      <c r="H17436" s="56">
        <v>0</v>
      </c>
      <c r="I17436" s="224" t="s">
        <v>2</v>
      </c>
    </row>
    <row r="17437" spans="1:9" x14ac:dyDescent="0.25">
      <c r="A17437" s="515">
        <v>50643</v>
      </c>
      <c r="B17437" s="515" t="s">
        <v>315</v>
      </c>
      <c r="C17437" s="52">
        <v>228535.77759926199</v>
      </c>
      <c r="D17437" s="56">
        <v>8.1043791938149701E-2</v>
      </c>
      <c r="E17437" s="224" t="s">
        <v>2</v>
      </c>
      <c r="F17437" s="515" t="s">
        <v>18613</v>
      </c>
      <c r="G17437" s="52">
        <v>232810.24983631601</v>
      </c>
      <c r="H17437" s="56">
        <v>0.14566593292129634</v>
      </c>
      <c r="I17437" s="224" t="s">
        <v>2</v>
      </c>
    </row>
    <row r="17438" spans="1:9" x14ac:dyDescent="0.25">
      <c r="A17438" s="515">
        <v>57445</v>
      </c>
      <c r="B17438" s="515" t="s">
        <v>662</v>
      </c>
      <c r="C17438" s="52">
        <v>185318.769850326</v>
      </c>
      <c r="D17438" s="56">
        <v>-7.2186223484797685E-3</v>
      </c>
      <c r="E17438" s="224" t="s">
        <v>2</v>
      </c>
      <c r="F17438" s="515" t="s">
        <v>18614</v>
      </c>
      <c r="G17438" s="52">
        <v>536988.74244977802</v>
      </c>
      <c r="H17438" s="56">
        <v>0.12679725582876306</v>
      </c>
      <c r="I17438" s="224" t="s">
        <v>2</v>
      </c>
    </row>
    <row r="17439" spans="1:9" x14ac:dyDescent="0.25">
      <c r="A17439" s="515">
        <v>45724</v>
      </c>
      <c r="B17439" s="515" t="s">
        <v>665</v>
      </c>
      <c r="C17439" s="52">
        <v>173808.733211182</v>
      </c>
      <c r="D17439" s="56">
        <v>6.0110267230704083E-2</v>
      </c>
      <c r="E17439" s="224" t="s">
        <v>2</v>
      </c>
      <c r="F17439" s="515" t="s">
        <v>18615</v>
      </c>
      <c r="G17439" s="52">
        <v>135335.99129598399</v>
      </c>
      <c r="H17439" s="56">
        <v>2.8253020209030817E-2</v>
      </c>
      <c r="I17439" s="224" t="s">
        <v>2</v>
      </c>
    </row>
    <row r="17440" spans="1:9" x14ac:dyDescent="0.25">
      <c r="A17440" s="515">
        <v>30124</v>
      </c>
      <c r="B17440" s="515" t="s">
        <v>1138</v>
      </c>
      <c r="C17440" s="52">
        <v>202014.26802567201</v>
      </c>
      <c r="D17440" s="56">
        <v>5.8359647093468178E-2</v>
      </c>
      <c r="E17440" s="224" t="s">
        <v>2</v>
      </c>
      <c r="F17440" s="515" t="s">
        <v>18616</v>
      </c>
      <c r="G17440" s="52">
        <v>134067.79166666599</v>
      </c>
      <c r="H17440" s="56">
        <v>0</v>
      </c>
      <c r="I17440" s="224" t="s">
        <v>2</v>
      </c>
    </row>
    <row r="17441" spans="1:9" x14ac:dyDescent="0.25">
      <c r="A17441" s="515">
        <v>13332</v>
      </c>
      <c r="B17441" s="515" t="s">
        <v>361</v>
      </c>
      <c r="C17441" s="52">
        <v>143878.015986618</v>
      </c>
      <c r="D17441" s="56">
        <v>0.12983262160236564</v>
      </c>
      <c r="E17441" s="224" t="s">
        <v>2</v>
      </c>
      <c r="F17441" s="515" t="s">
        <v>18617</v>
      </c>
      <c r="G17441" s="52">
        <v>539722.940167433</v>
      </c>
      <c r="H17441" s="56">
        <v>5.1880870070789946E-2</v>
      </c>
      <c r="I17441" s="224" t="s">
        <v>2</v>
      </c>
    </row>
    <row r="17442" spans="1:9" x14ac:dyDescent="0.25">
      <c r="A17442" s="515">
        <v>13746</v>
      </c>
      <c r="B17442" s="515" t="s">
        <v>840</v>
      </c>
      <c r="C17442" s="52">
        <v>164393.59825906399</v>
      </c>
      <c r="D17442" s="56">
        <v>7.85948040906711E-2</v>
      </c>
      <c r="E17442" s="224" t="s">
        <v>2</v>
      </c>
      <c r="F17442" s="515" t="s">
        <v>18618</v>
      </c>
      <c r="G17442" s="52">
        <v>152637.64661654099</v>
      </c>
      <c r="H17442" s="56">
        <v>0</v>
      </c>
      <c r="I17442" s="224" t="s">
        <v>2</v>
      </c>
    </row>
    <row r="17443" spans="1:9" x14ac:dyDescent="0.25">
      <c r="A17443" s="515">
        <v>71362</v>
      </c>
      <c r="C17443" s="52">
        <v>106967.415793262</v>
      </c>
      <c r="D17443" s="56">
        <v>5.6570511132790671E-2</v>
      </c>
      <c r="E17443" s="224" t="s">
        <v>2</v>
      </c>
      <c r="F17443" s="515" t="s">
        <v>18619</v>
      </c>
      <c r="G17443" s="52">
        <v>101236.505857613</v>
      </c>
      <c r="H17443" s="56">
        <v>9.3157187797463098E-3</v>
      </c>
      <c r="I17443" s="224" t="s">
        <v>2</v>
      </c>
    </row>
    <row r="17444" spans="1:9" x14ac:dyDescent="0.25">
      <c r="A17444" s="515">
        <v>6384</v>
      </c>
      <c r="B17444" s="515" t="s">
        <v>1091</v>
      </c>
      <c r="C17444" s="52">
        <v>323149.24213158101</v>
      </c>
      <c r="D17444" s="56">
        <v>0.11120056442792572</v>
      </c>
      <c r="E17444" s="224" t="s">
        <v>2</v>
      </c>
      <c r="F17444" s="515" t="s">
        <v>18620</v>
      </c>
      <c r="G17444" s="52">
        <v>94174.518138337793</v>
      </c>
      <c r="H17444" s="56">
        <v>8.978155452577477E-2</v>
      </c>
      <c r="I17444" s="224" t="s">
        <v>2</v>
      </c>
    </row>
    <row r="17445" spans="1:9" x14ac:dyDescent="0.25">
      <c r="A17445" s="515">
        <v>44867</v>
      </c>
      <c r="B17445" s="515" t="s">
        <v>463</v>
      </c>
      <c r="C17445" s="52">
        <v>174240.16522280499</v>
      </c>
      <c r="D17445" s="56">
        <v>7.3726419087808873E-2</v>
      </c>
      <c r="E17445" s="224" t="s">
        <v>2</v>
      </c>
      <c r="F17445" s="515" t="s">
        <v>18621</v>
      </c>
      <c r="G17445" s="52">
        <v>113583.90952881399</v>
      </c>
      <c r="H17445" s="56">
        <v>0.20109110412306341</v>
      </c>
      <c r="I17445" s="224" t="s">
        <v>2</v>
      </c>
    </row>
    <row r="17446" spans="1:9" x14ac:dyDescent="0.25">
      <c r="A17446" s="515">
        <v>13334</v>
      </c>
      <c r="B17446" s="515" t="s">
        <v>361</v>
      </c>
      <c r="C17446" s="52">
        <v>180336.78517140701</v>
      </c>
      <c r="D17446" s="56">
        <v>0.13568093255626168</v>
      </c>
      <c r="E17446" s="224" t="s">
        <v>2</v>
      </c>
      <c r="F17446" s="515" t="s">
        <v>18622</v>
      </c>
      <c r="G17446" s="52">
        <v>127624.48577851801</v>
      </c>
      <c r="H17446" s="56">
        <v>0.12352904303423684</v>
      </c>
      <c r="I17446" s="224" t="s">
        <v>2</v>
      </c>
    </row>
    <row r="17447" spans="1:9" x14ac:dyDescent="0.25">
      <c r="A17447" s="515">
        <v>12783</v>
      </c>
      <c r="C17447" s="52">
        <v>267066.04230349098</v>
      </c>
      <c r="D17447" s="56">
        <v>0.18941968353210442</v>
      </c>
      <c r="E17447" s="224" t="s">
        <v>2</v>
      </c>
      <c r="F17447" s="515" t="s">
        <v>18623</v>
      </c>
      <c r="G17447" s="52">
        <v>83749.274969509293</v>
      </c>
      <c r="H17447" s="56">
        <v>-1.5227080734590675E-2</v>
      </c>
      <c r="I17447" s="224" t="s">
        <v>2</v>
      </c>
    </row>
    <row r="17448" spans="1:9" x14ac:dyDescent="0.25">
      <c r="A17448" s="515">
        <v>49061</v>
      </c>
      <c r="B17448" s="515" t="s">
        <v>1002</v>
      </c>
      <c r="C17448" s="52">
        <v>186202.6580011</v>
      </c>
      <c r="D17448" s="56">
        <v>5.8129694254303671E-2</v>
      </c>
      <c r="E17448" s="224" t="s">
        <v>2</v>
      </c>
      <c r="F17448" s="515" t="s">
        <v>18624</v>
      </c>
      <c r="G17448" s="52">
        <v>123297.486829666</v>
      </c>
      <c r="H17448" s="56">
        <v>7.4244704632759007E-2</v>
      </c>
      <c r="I17448" s="224" t="s">
        <v>2</v>
      </c>
    </row>
    <row r="17449" spans="1:9" x14ac:dyDescent="0.25">
      <c r="A17449" s="515">
        <v>67748</v>
      </c>
      <c r="C17449" s="52">
        <v>122998.421781656</v>
      </c>
      <c r="D17449" s="56">
        <v>0.10233927020289761</v>
      </c>
      <c r="E17449" s="224" t="s">
        <v>2</v>
      </c>
      <c r="F17449" s="515" t="s">
        <v>18625</v>
      </c>
      <c r="G17449" s="52">
        <v>190853.806084151</v>
      </c>
      <c r="H17449" s="56">
        <v>-4.5098029125263339E-2</v>
      </c>
      <c r="I17449" s="224" t="s">
        <v>2</v>
      </c>
    </row>
    <row r="17450" spans="1:9" x14ac:dyDescent="0.25">
      <c r="A17450" s="515">
        <v>22482</v>
      </c>
      <c r="C17450" s="52">
        <v>311721.18503653002</v>
      </c>
      <c r="D17450" s="56">
        <v>3.9665047458903112E-2</v>
      </c>
      <c r="E17450" s="224" t="s">
        <v>2</v>
      </c>
      <c r="F17450" s="515" t="s">
        <v>18626</v>
      </c>
      <c r="G17450" s="52">
        <v>251476.617430671</v>
      </c>
      <c r="H17450" s="56">
        <v>7.5898467226980071E-2</v>
      </c>
      <c r="I17450" s="224" t="s">
        <v>2</v>
      </c>
    </row>
    <row r="17451" spans="1:9" x14ac:dyDescent="0.25">
      <c r="A17451" s="515">
        <v>54228</v>
      </c>
      <c r="B17451" s="515" t="s">
        <v>446</v>
      </c>
      <c r="C17451" s="52">
        <v>181654.617442066</v>
      </c>
      <c r="D17451" s="56">
        <v>4.9702364503235286E-2</v>
      </c>
      <c r="E17451" s="224" t="s">
        <v>2</v>
      </c>
      <c r="F17451" s="515" t="s">
        <v>18627</v>
      </c>
      <c r="G17451" s="52">
        <v>748437.14340485295</v>
      </c>
      <c r="H17451" s="56">
        <v>8.8287606170038502E-2</v>
      </c>
      <c r="I17451" s="224" t="s">
        <v>2</v>
      </c>
    </row>
    <row r="17452" spans="1:9" x14ac:dyDescent="0.25">
      <c r="A17452" s="515">
        <v>67877</v>
      </c>
      <c r="C17452" s="52">
        <v>160922.64049063699</v>
      </c>
      <c r="D17452" s="56">
        <v>8.7782523541149599E-2</v>
      </c>
      <c r="E17452" s="224" t="s">
        <v>2</v>
      </c>
      <c r="F17452" s="515" t="s">
        <v>18628</v>
      </c>
      <c r="G17452" s="52">
        <v>159578.59581899899</v>
      </c>
      <c r="H17452" s="56">
        <v>0</v>
      </c>
      <c r="I17452" s="224" t="s">
        <v>2</v>
      </c>
    </row>
    <row r="17453" spans="1:9" x14ac:dyDescent="0.25">
      <c r="A17453" s="515">
        <v>13736</v>
      </c>
      <c r="B17453" s="515" t="s">
        <v>840</v>
      </c>
      <c r="C17453" s="52">
        <v>156832.104943318</v>
      </c>
      <c r="D17453" s="56">
        <v>0.1418325923933165</v>
      </c>
      <c r="E17453" s="224" t="s">
        <v>2</v>
      </c>
      <c r="F17453" s="515" t="s">
        <v>18629</v>
      </c>
      <c r="G17453" s="52">
        <v>390664.20362443099</v>
      </c>
      <c r="H17453" s="56">
        <v>8.4043795226241794E-2</v>
      </c>
      <c r="I17453" s="224" t="s">
        <v>2</v>
      </c>
    </row>
    <row r="17454" spans="1:9" x14ac:dyDescent="0.25">
      <c r="A17454" s="515">
        <v>26347</v>
      </c>
      <c r="B17454" s="515" t="s">
        <v>347</v>
      </c>
      <c r="C17454" s="52">
        <v>137919.008122536</v>
      </c>
      <c r="D17454" s="56">
        <v>0.10438111516648139</v>
      </c>
      <c r="E17454" s="224" t="s">
        <v>2</v>
      </c>
      <c r="F17454" s="515" t="s">
        <v>18630</v>
      </c>
      <c r="G17454" s="52">
        <v>269833.15348789102</v>
      </c>
      <c r="H17454" s="56">
        <v>0</v>
      </c>
      <c r="I17454" s="224" t="s">
        <v>2</v>
      </c>
    </row>
    <row r="17455" spans="1:9" x14ac:dyDescent="0.25">
      <c r="A17455" s="515">
        <v>39346</v>
      </c>
      <c r="C17455" s="52">
        <v>124589.992587954</v>
      </c>
      <c r="D17455" s="56">
        <v>2.6919599821331724E-2</v>
      </c>
      <c r="E17455" s="224" t="s">
        <v>2</v>
      </c>
      <c r="F17455" s="515" t="s">
        <v>18631</v>
      </c>
      <c r="G17455" s="52">
        <v>252344.969875109</v>
      </c>
      <c r="H17455" s="56">
        <v>0.11929652684639917</v>
      </c>
      <c r="I17455" s="224" t="s">
        <v>2</v>
      </c>
    </row>
    <row r="17456" spans="1:9" x14ac:dyDescent="0.25">
      <c r="A17456" s="515">
        <v>95460</v>
      </c>
      <c r="B17456" s="515" t="s">
        <v>644</v>
      </c>
      <c r="C17456" s="52">
        <v>806600.90969168802</v>
      </c>
      <c r="D17456" s="56">
        <v>-9.5215094769990308E-2</v>
      </c>
      <c r="E17456" s="224" t="s">
        <v>2</v>
      </c>
      <c r="F17456" s="515" t="s">
        <v>18632</v>
      </c>
      <c r="G17456" s="52">
        <v>285702.25462772802</v>
      </c>
      <c r="H17456" s="56">
        <v>5.5389216277010843E-2</v>
      </c>
      <c r="I17456" s="224" t="s">
        <v>2</v>
      </c>
    </row>
    <row r="17457" spans="1:9" x14ac:dyDescent="0.25">
      <c r="A17457" s="515">
        <v>10511</v>
      </c>
      <c r="B17457" s="515" t="s">
        <v>324</v>
      </c>
      <c r="C17457" s="52">
        <v>465555.80643040099</v>
      </c>
      <c r="D17457" s="56">
        <v>-2.5790774335455371E-2</v>
      </c>
      <c r="E17457" s="224" t="s">
        <v>2</v>
      </c>
      <c r="F17457" s="515" t="s">
        <v>18633</v>
      </c>
      <c r="G17457" s="52">
        <v>178569.934766238</v>
      </c>
      <c r="H17457" s="56">
        <v>9.3587106262254055E-2</v>
      </c>
      <c r="I17457" s="224" t="s">
        <v>2</v>
      </c>
    </row>
    <row r="17458" spans="1:9" x14ac:dyDescent="0.25">
      <c r="A17458" s="515">
        <v>43554</v>
      </c>
      <c r="C17458" s="52">
        <v>133303.66124315499</v>
      </c>
      <c r="D17458" s="56">
        <v>9.0802991924138446E-2</v>
      </c>
      <c r="E17458" s="224" t="s">
        <v>2</v>
      </c>
      <c r="F17458" s="515" t="s">
        <v>18634</v>
      </c>
      <c r="G17458" s="52">
        <v>447097.64865259698</v>
      </c>
      <c r="H17458" s="56">
        <v>7.6996466126875621E-2</v>
      </c>
      <c r="I17458" s="224" t="s">
        <v>2</v>
      </c>
    </row>
    <row r="17459" spans="1:9" x14ac:dyDescent="0.25">
      <c r="A17459" s="515">
        <v>22834</v>
      </c>
      <c r="B17459" s="515" t="s">
        <v>1026</v>
      </c>
      <c r="C17459" s="52">
        <v>286926.87341037602</v>
      </c>
      <c r="D17459" s="56">
        <v>0.10456693598655946</v>
      </c>
      <c r="E17459" s="224" t="s">
        <v>2</v>
      </c>
      <c r="F17459" s="515" t="s">
        <v>18635</v>
      </c>
      <c r="G17459" s="52">
        <v>183035.35369217399</v>
      </c>
      <c r="H17459" s="56">
        <v>4.5508909807958804E-2</v>
      </c>
      <c r="I17459" s="224" t="s">
        <v>2</v>
      </c>
    </row>
    <row r="17460" spans="1:9" x14ac:dyDescent="0.25">
      <c r="A17460" s="515">
        <v>31641</v>
      </c>
      <c r="B17460" s="515" t="s">
        <v>505</v>
      </c>
      <c r="C17460" s="52">
        <v>188733.89106785401</v>
      </c>
      <c r="D17460" s="56">
        <v>8.7485291563504E-2</v>
      </c>
      <c r="E17460" s="224" t="s">
        <v>2</v>
      </c>
      <c r="F17460" s="515" t="s">
        <v>18636</v>
      </c>
      <c r="G17460" s="52">
        <v>183827.59237444901</v>
      </c>
      <c r="H17460" s="56">
        <v>4.1425994671376191E-2</v>
      </c>
      <c r="I17460" s="224" t="s">
        <v>2</v>
      </c>
    </row>
    <row r="17461" spans="1:9" x14ac:dyDescent="0.25">
      <c r="A17461" s="515">
        <v>38222</v>
      </c>
      <c r="B17461" s="515" t="s">
        <v>975</v>
      </c>
      <c r="C17461" s="52">
        <v>230451.85422087699</v>
      </c>
      <c r="D17461" s="56">
        <v>7.2569153432703357E-2</v>
      </c>
      <c r="E17461" s="224" t="s">
        <v>2</v>
      </c>
      <c r="F17461" s="515" t="s">
        <v>18637</v>
      </c>
      <c r="G17461" s="52">
        <v>212584.13238007401</v>
      </c>
      <c r="H17461" s="56">
        <v>0</v>
      </c>
      <c r="I17461" s="224" t="s">
        <v>2</v>
      </c>
    </row>
    <row r="17462" spans="1:9" x14ac:dyDescent="0.25">
      <c r="A17462" s="515">
        <v>62882</v>
      </c>
      <c r="B17462" s="515" t="s">
        <v>1211</v>
      </c>
      <c r="C17462" s="52">
        <v>59551.194462808999</v>
      </c>
      <c r="D17462" s="56">
        <v>5.1811756719721963E-2</v>
      </c>
      <c r="E17462" s="224" t="s">
        <v>2</v>
      </c>
      <c r="F17462" s="515" t="s">
        <v>18638</v>
      </c>
      <c r="G17462" s="52">
        <v>157180.503394953</v>
      </c>
      <c r="H17462" s="56">
        <v>-3.2705984229628234E-2</v>
      </c>
      <c r="I17462" s="224" t="s">
        <v>2</v>
      </c>
    </row>
    <row r="17463" spans="1:9" x14ac:dyDescent="0.25">
      <c r="A17463" s="515">
        <v>52332</v>
      </c>
      <c r="B17463" s="515" t="s">
        <v>404</v>
      </c>
      <c r="C17463" s="52">
        <v>229740.90250474299</v>
      </c>
      <c r="D17463" s="56">
        <v>6.7922269004784916E-2</v>
      </c>
      <c r="E17463" s="224" t="s">
        <v>2</v>
      </c>
      <c r="F17463" s="515" t="s">
        <v>18639</v>
      </c>
      <c r="G17463" s="52">
        <v>312918.86945682799</v>
      </c>
      <c r="H17463" s="56">
        <v>0.13574711180919541</v>
      </c>
      <c r="I17463" s="224" t="s">
        <v>2</v>
      </c>
    </row>
    <row r="17464" spans="1:9" x14ac:dyDescent="0.25">
      <c r="A17464" s="515">
        <v>60180</v>
      </c>
      <c r="B17464" s="515" t="s">
        <v>394</v>
      </c>
      <c r="C17464" s="52">
        <v>315537.88566903799</v>
      </c>
      <c r="D17464" s="56">
        <v>8.1791469944833925E-2</v>
      </c>
      <c r="E17464" s="224" t="s">
        <v>2</v>
      </c>
      <c r="F17464" s="515" t="s">
        <v>18640</v>
      </c>
      <c r="G17464" s="52">
        <v>203760.66859183201</v>
      </c>
      <c r="H17464" s="56">
        <v>0.17106776833117696</v>
      </c>
      <c r="I17464" s="224" t="s">
        <v>2</v>
      </c>
    </row>
    <row r="17465" spans="1:9" x14ac:dyDescent="0.25">
      <c r="A17465" s="515">
        <v>23833</v>
      </c>
      <c r="B17465" s="515" t="s">
        <v>667</v>
      </c>
      <c r="C17465" s="52">
        <v>293995.67035912903</v>
      </c>
      <c r="D17465" s="56">
        <v>0.20277662211255168</v>
      </c>
      <c r="E17465" s="224" t="s">
        <v>2</v>
      </c>
      <c r="F17465" s="515" t="s">
        <v>18641</v>
      </c>
      <c r="G17465" s="52">
        <v>78988.081669695996</v>
      </c>
      <c r="H17465" s="56">
        <v>-6.7990862367597424E-2</v>
      </c>
      <c r="I17465" s="224" t="s">
        <v>2</v>
      </c>
    </row>
    <row r="17466" spans="1:9" x14ac:dyDescent="0.25">
      <c r="A17466" s="515">
        <v>37097</v>
      </c>
      <c r="C17466" s="52">
        <v>142705.16117037801</v>
      </c>
      <c r="D17466" s="56">
        <v>6.7803074402242924E-2</v>
      </c>
      <c r="E17466" s="224" t="s">
        <v>2</v>
      </c>
      <c r="F17466" s="515" t="s">
        <v>18642</v>
      </c>
      <c r="G17466" s="52">
        <v>91641.861685204698</v>
      </c>
      <c r="H17466" s="56">
        <v>-2.0066500801590263E-4</v>
      </c>
      <c r="I17466" s="224" t="s">
        <v>2</v>
      </c>
    </row>
    <row r="17467" spans="1:9" x14ac:dyDescent="0.25">
      <c r="A17467" s="515">
        <v>40107</v>
      </c>
      <c r="B17467" s="515" t="s">
        <v>866</v>
      </c>
      <c r="C17467" s="52">
        <v>202860.187510291</v>
      </c>
      <c r="D17467" s="56">
        <v>0.12605233802560653</v>
      </c>
      <c r="E17467" s="224" t="s">
        <v>2</v>
      </c>
      <c r="F17467" s="515" t="s">
        <v>18643</v>
      </c>
      <c r="G17467" s="52">
        <v>350051.27695555403</v>
      </c>
      <c r="H17467" s="56">
        <v>0.15813639977953464</v>
      </c>
      <c r="I17467" s="224" t="s">
        <v>2</v>
      </c>
    </row>
    <row r="17468" spans="1:9" x14ac:dyDescent="0.25">
      <c r="A17468" s="515">
        <v>13110</v>
      </c>
      <c r="B17468" s="515" t="s">
        <v>361</v>
      </c>
      <c r="C17468" s="52">
        <v>251341.369143202</v>
      </c>
      <c r="D17468" s="56">
        <v>0.13477726943303928</v>
      </c>
      <c r="E17468" s="224" t="s">
        <v>2</v>
      </c>
      <c r="F17468" s="515" t="s">
        <v>18644</v>
      </c>
      <c r="G17468" s="52">
        <v>3166766.0964059201</v>
      </c>
      <c r="H17468" s="56">
        <v>0.21732002663928313</v>
      </c>
      <c r="I17468" s="224" t="s">
        <v>2</v>
      </c>
    </row>
    <row r="17469" spans="1:9" x14ac:dyDescent="0.25">
      <c r="A17469" s="515">
        <v>31560</v>
      </c>
      <c r="B17469" s="515" t="s">
        <v>1137</v>
      </c>
      <c r="C17469" s="52">
        <v>156745.186423921</v>
      </c>
      <c r="D17469" s="56">
        <v>-3.1471059403037738E-2</v>
      </c>
      <c r="E17469" s="224" t="s">
        <v>2</v>
      </c>
      <c r="F17469" s="515" t="s">
        <v>18645</v>
      </c>
      <c r="G17469" s="52">
        <v>176553.91778780401</v>
      </c>
      <c r="H17469" s="56">
        <v>0.11087972392687398</v>
      </c>
      <c r="I17469" s="224" t="s">
        <v>2</v>
      </c>
    </row>
    <row r="17470" spans="1:9" x14ac:dyDescent="0.25">
      <c r="A17470" s="515">
        <v>64673</v>
      </c>
      <c r="C17470" s="52">
        <v>110451.571465809</v>
      </c>
      <c r="D17470" s="56">
        <v>-5.7380221442824154E-2</v>
      </c>
      <c r="E17470" s="224" t="s">
        <v>2</v>
      </c>
      <c r="F17470" s="515" t="s">
        <v>18646</v>
      </c>
      <c r="G17470" s="52">
        <v>140921.56622881</v>
      </c>
      <c r="H17470" s="56">
        <v>0.12671869531268837</v>
      </c>
      <c r="I17470" s="224" t="s">
        <v>2</v>
      </c>
    </row>
    <row r="17471" spans="1:9" x14ac:dyDescent="0.25">
      <c r="A17471" s="515">
        <v>68370</v>
      </c>
      <c r="C17471" s="52">
        <v>151133.051850466</v>
      </c>
      <c r="D17471" s="56">
        <v>0.22388836156969846</v>
      </c>
      <c r="E17471" s="224" t="s">
        <v>2</v>
      </c>
      <c r="F17471" s="515" t="s">
        <v>18647</v>
      </c>
      <c r="G17471" s="52">
        <v>66331.723739614798</v>
      </c>
      <c r="H17471" s="56">
        <v>6.1983327385085205E-2</v>
      </c>
      <c r="I17471" s="224" t="s">
        <v>2</v>
      </c>
    </row>
    <row r="17472" spans="1:9" x14ac:dyDescent="0.25">
      <c r="A17472" s="515">
        <v>52076</v>
      </c>
      <c r="C17472" s="52">
        <v>155178.07672909001</v>
      </c>
      <c r="D17472" s="56">
        <v>0.10926934309579983</v>
      </c>
      <c r="E17472" s="224" t="s">
        <v>2</v>
      </c>
      <c r="F17472" s="515" t="s">
        <v>18648</v>
      </c>
      <c r="G17472" s="52">
        <v>111613.009521167</v>
      </c>
      <c r="H17472" s="56">
        <v>0.1077776045825443</v>
      </c>
      <c r="I17472" s="224" t="s">
        <v>2</v>
      </c>
    </row>
    <row r="17473" spans="1:9" x14ac:dyDescent="0.25">
      <c r="A17473" s="515">
        <v>42081</v>
      </c>
      <c r="B17473" s="515" t="s">
        <v>846</v>
      </c>
      <c r="C17473" s="52">
        <v>108859.56423685599</v>
      </c>
      <c r="D17473" s="56">
        <v>0.14909544566173252</v>
      </c>
      <c r="E17473" s="224" t="s">
        <v>2</v>
      </c>
      <c r="F17473" s="515" t="s">
        <v>18649</v>
      </c>
      <c r="G17473" s="52">
        <v>198977.753473669</v>
      </c>
      <c r="H17473" s="56">
        <v>8.6302662823127277E-2</v>
      </c>
      <c r="I17473" s="224" t="s">
        <v>2</v>
      </c>
    </row>
    <row r="17474" spans="1:9" x14ac:dyDescent="0.25">
      <c r="A17474" s="515">
        <v>85617</v>
      </c>
      <c r="B17474" s="515" t="s">
        <v>374</v>
      </c>
      <c r="C17474" s="52">
        <v>160622.986029038</v>
      </c>
      <c r="D17474" s="56">
        <v>7.4378861345804584E-2</v>
      </c>
      <c r="E17474" s="224" t="s">
        <v>2</v>
      </c>
      <c r="F17474" s="515" t="s">
        <v>18650</v>
      </c>
      <c r="G17474" s="52">
        <v>125420.302367849</v>
      </c>
      <c r="H17474" s="56">
        <v>0.14592457472523276</v>
      </c>
      <c r="I17474" s="224" t="s">
        <v>2</v>
      </c>
    </row>
    <row r="17475" spans="1:9" x14ac:dyDescent="0.25">
      <c r="A17475" s="515">
        <v>7439</v>
      </c>
      <c r="B17475" s="515" t="s">
        <v>324</v>
      </c>
      <c r="C17475" s="52">
        <v>324073.09741948202</v>
      </c>
      <c r="D17475" s="56">
        <v>4.0066258716174766E-2</v>
      </c>
      <c r="E17475" s="224" t="s">
        <v>2</v>
      </c>
      <c r="F17475" s="515" t="s">
        <v>18651</v>
      </c>
      <c r="G17475" s="52">
        <v>51177.410117427797</v>
      </c>
      <c r="H17475" s="56">
        <v>6.6978502340787907E-2</v>
      </c>
      <c r="I17475" s="224" t="s">
        <v>2</v>
      </c>
    </row>
    <row r="17476" spans="1:9" x14ac:dyDescent="0.25">
      <c r="A17476" s="515">
        <v>31827</v>
      </c>
      <c r="B17476" s="515" t="s">
        <v>778</v>
      </c>
      <c r="C17476" s="52">
        <v>111276.890382499</v>
      </c>
      <c r="D17476" s="56">
        <v>0.14831152711364157</v>
      </c>
      <c r="E17476" s="224" t="s">
        <v>2</v>
      </c>
      <c r="F17476" s="515" t="s">
        <v>18652</v>
      </c>
      <c r="G17476" s="52">
        <v>87213.356103816797</v>
      </c>
      <c r="H17476" s="56">
        <v>0</v>
      </c>
      <c r="I17476" s="224" t="s">
        <v>2</v>
      </c>
    </row>
    <row r="17477" spans="1:9" x14ac:dyDescent="0.25">
      <c r="A17477" s="515">
        <v>5032</v>
      </c>
      <c r="B17477" s="515" t="s">
        <v>420</v>
      </c>
      <c r="C17477" s="52">
        <v>313809.73190965998</v>
      </c>
      <c r="D17477" s="56">
        <v>0.10282771449183011</v>
      </c>
      <c r="E17477" s="224" t="s">
        <v>2</v>
      </c>
      <c r="F17477" s="515" t="s">
        <v>18653</v>
      </c>
      <c r="G17477" s="52">
        <v>207535.891807006</v>
      </c>
      <c r="H17477" s="56">
        <v>0.15965156431728939</v>
      </c>
      <c r="I17477" s="224" t="s">
        <v>2</v>
      </c>
    </row>
    <row r="17478" spans="1:9" x14ac:dyDescent="0.25">
      <c r="A17478" s="515">
        <v>98849</v>
      </c>
      <c r="C17478" s="52">
        <v>265482.56797417899</v>
      </c>
      <c r="D17478" s="56">
        <v>4.1481910213071183E-2</v>
      </c>
      <c r="E17478" s="224" t="s">
        <v>2</v>
      </c>
      <c r="F17478" s="515" t="s">
        <v>18654</v>
      </c>
      <c r="G17478" s="52">
        <v>212530.03647974099</v>
      </c>
      <c r="H17478" s="56">
        <v>8.5112791728727752E-2</v>
      </c>
      <c r="I17478" s="224" t="s">
        <v>2</v>
      </c>
    </row>
    <row r="17479" spans="1:9" x14ac:dyDescent="0.25">
      <c r="A17479" s="515">
        <v>43780</v>
      </c>
      <c r="C17479" s="52">
        <v>127829.25257769199</v>
      </c>
      <c r="D17479" s="56">
        <v>-1.6504379678421062E-3</v>
      </c>
      <c r="E17479" s="224" t="s">
        <v>2</v>
      </c>
      <c r="F17479" s="515" t="s">
        <v>18655</v>
      </c>
      <c r="G17479" s="52">
        <v>179931.579950919</v>
      </c>
      <c r="H17479" s="56">
        <v>0.10422086829677536</v>
      </c>
      <c r="I17479" s="224" t="s">
        <v>2</v>
      </c>
    </row>
    <row r="17480" spans="1:9" x14ac:dyDescent="0.25">
      <c r="A17480" s="515">
        <v>8243</v>
      </c>
      <c r="B17480" s="515" t="s">
        <v>653</v>
      </c>
      <c r="C17480" s="52">
        <v>1176051.7283105201</v>
      </c>
      <c r="D17480" s="56">
        <v>3.8452030006169757E-2</v>
      </c>
      <c r="E17480" s="224" t="s">
        <v>2</v>
      </c>
      <c r="F17480" s="515" t="s">
        <v>18656</v>
      </c>
      <c r="G17480" s="52">
        <v>81701.486910937805</v>
      </c>
      <c r="H17480" s="56">
        <v>8.2094976123618005E-2</v>
      </c>
      <c r="I17480" s="224" t="s">
        <v>2</v>
      </c>
    </row>
    <row r="17481" spans="1:9" x14ac:dyDescent="0.25">
      <c r="A17481" s="515">
        <v>25082</v>
      </c>
      <c r="B17481" s="515" t="s">
        <v>445</v>
      </c>
      <c r="C17481" s="52">
        <v>206162.93710604799</v>
      </c>
      <c r="D17481" s="56">
        <v>5.367520139568311E-2</v>
      </c>
      <c r="E17481" s="224" t="s">
        <v>2</v>
      </c>
      <c r="F17481" s="515" t="s">
        <v>18657</v>
      </c>
      <c r="G17481" s="52">
        <v>228018.454912421</v>
      </c>
      <c r="H17481" s="56">
        <v>5.9632453636782511E-2</v>
      </c>
      <c r="I17481" s="224" t="s">
        <v>2</v>
      </c>
    </row>
    <row r="17482" spans="1:9" x14ac:dyDescent="0.25">
      <c r="A17482" s="515">
        <v>38229</v>
      </c>
      <c r="B17482" s="515" t="s">
        <v>788</v>
      </c>
      <c r="C17482" s="52">
        <v>120401.17693667499</v>
      </c>
      <c r="D17482" s="56">
        <v>0.1271977321461718</v>
      </c>
      <c r="E17482" s="224" t="s">
        <v>2</v>
      </c>
      <c r="F17482" s="515" t="s">
        <v>18658</v>
      </c>
      <c r="G17482" s="52">
        <v>137939.576271186</v>
      </c>
      <c r="H17482" s="56">
        <v>0</v>
      </c>
      <c r="I17482" s="224" t="s">
        <v>2</v>
      </c>
    </row>
    <row r="17483" spans="1:9" x14ac:dyDescent="0.25">
      <c r="A17483" s="515">
        <v>54423</v>
      </c>
      <c r="B17483" s="515" t="s">
        <v>1095</v>
      </c>
      <c r="C17483" s="52">
        <v>305632.49450790498</v>
      </c>
      <c r="D17483" s="56">
        <v>9.6076007462382818E-2</v>
      </c>
      <c r="E17483" s="224" t="s">
        <v>2</v>
      </c>
      <c r="F17483" s="515" t="s">
        <v>18659</v>
      </c>
      <c r="G17483" s="52">
        <v>126355.937021848</v>
      </c>
      <c r="H17483" s="56">
        <v>5.511691653474194E-2</v>
      </c>
      <c r="I17483" s="224" t="s">
        <v>2</v>
      </c>
    </row>
    <row r="17484" spans="1:9" x14ac:dyDescent="0.25">
      <c r="A17484" s="515">
        <v>14757</v>
      </c>
      <c r="B17484" s="515" t="s">
        <v>560</v>
      </c>
      <c r="C17484" s="52">
        <v>216426.67115379099</v>
      </c>
      <c r="D17484" s="56">
        <v>0.1129700606577194</v>
      </c>
      <c r="E17484" s="224" t="s">
        <v>2</v>
      </c>
      <c r="F17484" s="515" t="s">
        <v>18660</v>
      </c>
      <c r="G17484" s="52">
        <v>63335.358626911402</v>
      </c>
      <c r="H17484" s="56">
        <v>1.4971738792082264E-2</v>
      </c>
      <c r="I17484" s="224" t="s">
        <v>2</v>
      </c>
    </row>
    <row r="17485" spans="1:9" x14ac:dyDescent="0.25">
      <c r="A17485" s="515">
        <v>48460</v>
      </c>
      <c r="B17485" s="515" t="s">
        <v>528</v>
      </c>
      <c r="C17485" s="52">
        <v>195660.449650953</v>
      </c>
      <c r="D17485" s="56">
        <v>3.6827158495860622E-2</v>
      </c>
      <c r="E17485" s="224" t="s">
        <v>2</v>
      </c>
      <c r="F17485" s="515" t="s">
        <v>18661</v>
      </c>
      <c r="G17485" s="52">
        <v>129632.50316326199</v>
      </c>
      <c r="H17485" s="56">
        <v>0.10457212822644717</v>
      </c>
      <c r="I17485" s="224" t="s">
        <v>2</v>
      </c>
    </row>
    <row r="17486" spans="1:9" x14ac:dyDescent="0.25">
      <c r="A17486" s="515">
        <v>71016</v>
      </c>
      <c r="C17486" s="52">
        <v>110742.656934306</v>
      </c>
      <c r="D17486" s="56">
        <v>0</v>
      </c>
      <c r="E17486" s="224" t="s">
        <v>2</v>
      </c>
      <c r="F17486" s="515" t="s">
        <v>18662</v>
      </c>
      <c r="G17486" s="52">
        <v>256560.05084745699</v>
      </c>
      <c r="H17486" s="56">
        <v>0</v>
      </c>
      <c r="I17486" s="224" t="s">
        <v>2</v>
      </c>
    </row>
    <row r="17487" spans="1:9" x14ac:dyDescent="0.25">
      <c r="A17487" s="515">
        <v>29468</v>
      </c>
      <c r="B17487" s="515" t="s">
        <v>1009</v>
      </c>
      <c r="C17487" s="52">
        <v>196344.64404037301</v>
      </c>
      <c r="D17487" s="56">
        <v>3.4097882023803858E-2</v>
      </c>
      <c r="E17487" s="224" t="s">
        <v>2</v>
      </c>
      <c r="F17487" s="515" t="s">
        <v>18663</v>
      </c>
      <c r="G17487" s="52">
        <v>127741.50796176599</v>
      </c>
      <c r="H17487" s="56">
        <v>4.4746522704275184E-2</v>
      </c>
      <c r="I17487" s="224" t="s">
        <v>2</v>
      </c>
    </row>
    <row r="17488" spans="1:9" x14ac:dyDescent="0.25">
      <c r="A17488" s="515">
        <v>31019</v>
      </c>
      <c r="B17488" s="515" t="s">
        <v>929</v>
      </c>
      <c r="C17488" s="52">
        <v>173266.500803178</v>
      </c>
      <c r="D17488" s="56">
        <v>8.1566833255773255E-2</v>
      </c>
      <c r="E17488" s="224" t="s">
        <v>2</v>
      </c>
      <c r="F17488" s="515" t="s">
        <v>18664</v>
      </c>
      <c r="G17488" s="52">
        <v>444111.91009658499</v>
      </c>
      <c r="H17488" s="56">
        <v>0.11701822576830669</v>
      </c>
      <c r="I17488" s="224" t="s">
        <v>2</v>
      </c>
    </row>
    <row r="17489" spans="1:9" x14ac:dyDescent="0.25">
      <c r="A17489" s="515">
        <v>85938</v>
      </c>
      <c r="C17489" s="52">
        <v>204206.67649983699</v>
      </c>
      <c r="D17489" s="56">
        <v>5.2557096358530793E-2</v>
      </c>
      <c r="E17489" s="224" t="s">
        <v>2</v>
      </c>
      <c r="F17489" s="515" t="s">
        <v>18665</v>
      </c>
      <c r="G17489" s="52">
        <v>291447.86339048803</v>
      </c>
      <c r="H17489" s="56">
        <v>0.13551585635197366</v>
      </c>
      <c r="I17489" s="224" t="s">
        <v>2</v>
      </c>
    </row>
    <row r="17490" spans="1:9" x14ac:dyDescent="0.25">
      <c r="A17490" s="515">
        <v>97541</v>
      </c>
      <c r="B17490" s="515" t="s">
        <v>775</v>
      </c>
      <c r="C17490" s="52">
        <v>444435.18281893799</v>
      </c>
      <c r="D17490" s="56">
        <v>1.0430001809004668E-2</v>
      </c>
      <c r="E17490" s="224" t="s">
        <v>2</v>
      </c>
      <c r="F17490" s="515" t="s">
        <v>18666</v>
      </c>
      <c r="G17490" s="52">
        <v>117332.38095238</v>
      </c>
      <c r="H17490" s="56">
        <v>0</v>
      </c>
      <c r="I17490" s="224" t="s">
        <v>2</v>
      </c>
    </row>
    <row r="17491" spans="1:9" x14ac:dyDescent="0.25">
      <c r="A17491" s="515">
        <v>98356</v>
      </c>
      <c r="B17491" s="515" t="s">
        <v>468</v>
      </c>
      <c r="C17491" s="52">
        <v>341510.55206182</v>
      </c>
      <c r="D17491" s="56">
        <v>6.0857728129733217E-2</v>
      </c>
      <c r="E17491" s="224" t="s">
        <v>2</v>
      </c>
      <c r="F17491" s="515" t="s">
        <v>18667</v>
      </c>
      <c r="G17491" s="52">
        <v>222177.72946230401</v>
      </c>
      <c r="H17491" s="56">
        <v>0.10173118234096382</v>
      </c>
      <c r="I17491" s="224" t="s">
        <v>2</v>
      </c>
    </row>
    <row r="17492" spans="1:9" x14ac:dyDescent="0.25">
      <c r="A17492" s="515">
        <v>56072</v>
      </c>
      <c r="C17492" s="52">
        <v>220132.226335621</v>
      </c>
      <c r="D17492" s="56">
        <v>3.8582417191836589E-2</v>
      </c>
      <c r="E17492" s="224" t="s">
        <v>2</v>
      </c>
      <c r="F17492" s="515" t="s">
        <v>18668</v>
      </c>
      <c r="G17492" s="52">
        <v>127160.362749943</v>
      </c>
      <c r="H17492" s="56">
        <v>4.8546652860788062E-2</v>
      </c>
      <c r="I17492" s="224" t="s">
        <v>2</v>
      </c>
    </row>
    <row r="17493" spans="1:9" x14ac:dyDescent="0.25">
      <c r="A17493" s="515">
        <v>1223</v>
      </c>
      <c r="B17493" s="515" t="s">
        <v>497</v>
      </c>
      <c r="C17493" s="52">
        <v>325798.43256053497</v>
      </c>
      <c r="D17493" s="56">
        <v>0.10177936582964978</v>
      </c>
      <c r="E17493" s="224" t="s">
        <v>2</v>
      </c>
      <c r="F17493" s="515" t="s">
        <v>18669</v>
      </c>
      <c r="G17493" s="52">
        <v>570837.00614498102</v>
      </c>
      <c r="H17493" s="56">
        <v>0.10673509275259373</v>
      </c>
      <c r="I17493" s="224" t="s">
        <v>2</v>
      </c>
    </row>
    <row r="17494" spans="1:9" x14ac:dyDescent="0.25">
      <c r="A17494" s="515">
        <v>13646</v>
      </c>
      <c r="B17494" s="515" t="s">
        <v>511</v>
      </c>
      <c r="C17494" s="52">
        <v>155496.34569811501</v>
      </c>
      <c r="D17494" s="56">
        <v>7.0334284044476517E-2</v>
      </c>
      <c r="E17494" s="224" t="s">
        <v>2</v>
      </c>
      <c r="F17494" s="515" t="s">
        <v>18670</v>
      </c>
      <c r="G17494" s="52">
        <v>127351.375552624</v>
      </c>
      <c r="H17494" s="56">
        <v>0.17267558888899454</v>
      </c>
      <c r="I17494" s="224" t="s">
        <v>2</v>
      </c>
    </row>
    <row r="17495" spans="1:9" x14ac:dyDescent="0.25">
      <c r="A17495" s="515">
        <v>98586</v>
      </c>
      <c r="C17495" s="52">
        <v>252966.55952357201</v>
      </c>
      <c r="D17495" s="56">
        <v>6.008507896330826E-2</v>
      </c>
      <c r="E17495" s="224" t="s">
        <v>2</v>
      </c>
      <c r="F17495" s="515" t="s">
        <v>18671</v>
      </c>
      <c r="G17495" s="52">
        <v>380041.70206538099</v>
      </c>
      <c r="H17495" s="56">
        <v>6.521374196176441E-2</v>
      </c>
      <c r="I17495" s="224" t="s">
        <v>2</v>
      </c>
    </row>
    <row r="17496" spans="1:9" x14ac:dyDescent="0.25">
      <c r="A17496" s="515">
        <v>49051</v>
      </c>
      <c r="B17496" s="515" t="s">
        <v>1062</v>
      </c>
      <c r="C17496" s="52">
        <v>225586.15981464001</v>
      </c>
      <c r="D17496" s="56">
        <v>2.7061669884306326E-2</v>
      </c>
      <c r="E17496" s="224" t="s">
        <v>2</v>
      </c>
      <c r="F17496" s="515" t="s">
        <v>18672</v>
      </c>
      <c r="G17496" s="52">
        <v>143150.20182622701</v>
      </c>
      <c r="H17496" s="56">
        <v>1.5451524010830671E-2</v>
      </c>
      <c r="I17496" s="224" t="s">
        <v>2</v>
      </c>
    </row>
    <row r="17497" spans="1:9" x14ac:dyDescent="0.25">
      <c r="A17497" s="515">
        <v>45827</v>
      </c>
      <c r="C17497" s="52">
        <v>213681.119801205</v>
      </c>
      <c r="D17497" s="56">
        <v>6.6095187403569344E-2</v>
      </c>
      <c r="E17497" s="224" t="s">
        <v>2</v>
      </c>
      <c r="F17497" s="515" t="s">
        <v>18673</v>
      </c>
      <c r="G17497" s="52">
        <v>263948.74914658099</v>
      </c>
      <c r="H17497" s="56">
        <v>0</v>
      </c>
      <c r="I17497" s="224" t="s">
        <v>2</v>
      </c>
    </row>
    <row r="17498" spans="1:9" x14ac:dyDescent="0.25">
      <c r="A17498" s="515">
        <v>63056</v>
      </c>
      <c r="B17498" s="515" t="s">
        <v>498</v>
      </c>
      <c r="C17498" s="52">
        <v>208591.760709647</v>
      </c>
      <c r="D17498" s="56">
        <v>0.10777343570217847</v>
      </c>
      <c r="E17498" s="224" t="s">
        <v>2</v>
      </c>
      <c r="F17498" s="515" t="s">
        <v>18674</v>
      </c>
      <c r="G17498" s="52">
        <v>158803.56152742801</v>
      </c>
      <c r="H17498" s="56">
        <v>-6.2610078173899984E-3</v>
      </c>
      <c r="I17498" s="224" t="s">
        <v>2</v>
      </c>
    </row>
    <row r="17499" spans="1:9" x14ac:dyDescent="0.25">
      <c r="A17499" s="515">
        <v>15050</v>
      </c>
      <c r="B17499" s="515" t="s">
        <v>297</v>
      </c>
      <c r="C17499" s="52">
        <v>228655.13216305399</v>
      </c>
      <c r="D17499" s="56">
        <v>4.089707646277093E-2</v>
      </c>
      <c r="E17499" s="224" t="s">
        <v>2</v>
      </c>
      <c r="F17499" s="515" t="s">
        <v>18675</v>
      </c>
      <c r="G17499" s="52">
        <v>301805.92785893002</v>
      </c>
      <c r="H17499" s="56">
        <v>0.12733526143486912</v>
      </c>
      <c r="I17499" s="224" t="s">
        <v>2</v>
      </c>
    </row>
    <row r="17500" spans="1:9" x14ac:dyDescent="0.25">
      <c r="A17500" s="515">
        <v>17101</v>
      </c>
      <c r="B17500" s="515" t="s">
        <v>428</v>
      </c>
      <c r="C17500" s="52">
        <v>174571.299989427</v>
      </c>
      <c r="D17500" s="56">
        <v>4.2718849346979414E-2</v>
      </c>
      <c r="E17500" s="224">
        <v>1262.2777777777701</v>
      </c>
      <c r="F17500" s="515" t="s">
        <v>18676</v>
      </c>
      <c r="G17500" s="52">
        <v>196636.150658717</v>
      </c>
      <c r="H17500" s="56">
        <v>8.8401745679163174E-2</v>
      </c>
      <c r="I17500" s="224" t="s">
        <v>2</v>
      </c>
    </row>
    <row r="17501" spans="1:9" x14ac:dyDescent="0.25">
      <c r="A17501" s="515">
        <v>79855</v>
      </c>
      <c r="C17501" s="52">
        <v>105816.377143839</v>
      </c>
      <c r="D17501" s="56">
        <v>0</v>
      </c>
      <c r="E17501" s="224" t="s">
        <v>2</v>
      </c>
      <c r="F17501" s="515" t="s">
        <v>18677</v>
      </c>
      <c r="G17501" s="52">
        <v>197326.67240053299</v>
      </c>
      <c r="H17501" s="56">
        <v>0</v>
      </c>
      <c r="I17501" s="224" t="s">
        <v>2</v>
      </c>
    </row>
    <row r="17502" spans="1:9" x14ac:dyDescent="0.25">
      <c r="A17502" s="515">
        <v>15438</v>
      </c>
      <c r="B17502" s="515" t="s">
        <v>297</v>
      </c>
      <c r="C17502" s="52">
        <v>103905.34019479901</v>
      </c>
      <c r="D17502" s="56">
        <v>3.7727337505971286E-3</v>
      </c>
      <c r="E17502" s="224" t="s">
        <v>2</v>
      </c>
      <c r="F17502" s="515" t="s">
        <v>18678</v>
      </c>
      <c r="G17502" s="52">
        <v>206426.520040412</v>
      </c>
      <c r="H17502" s="56">
        <v>8.7871775497970289E-2</v>
      </c>
      <c r="I17502" s="224" t="s">
        <v>2</v>
      </c>
    </row>
    <row r="17503" spans="1:9" x14ac:dyDescent="0.25">
      <c r="A17503" s="515">
        <v>79562</v>
      </c>
      <c r="B17503" s="515" t="s">
        <v>704</v>
      </c>
      <c r="C17503" s="52">
        <v>333257.604812184</v>
      </c>
      <c r="D17503" s="56">
        <v>4.6592323481380142E-2</v>
      </c>
      <c r="E17503" s="224" t="s">
        <v>2</v>
      </c>
      <c r="F17503" s="515" t="s">
        <v>18679</v>
      </c>
      <c r="G17503" s="52">
        <v>103736.37246374199</v>
      </c>
      <c r="H17503" s="56">
        <v>5.8612559793737772E-2</v>
      </c>
      <c r="I17503" s="224" t="s">
        <v>2</v>
      </c>
    </row>
    <row r="17504" spans="1:9" x14ac:dyDescent="0.25">
      <c r="A17504" s="515">
        <v>13654</v>
      </c>
      <c r="B17504" s="515" t="s">
        <v>511</v>
      </c>
      <c r="C17504" s="52">
        <v>129500.210631157</v>
      </c>
      <c r="D17504" s="56">
        <v>0.10124731760096191</v>
      </c>
      <c r="E17504" s="224" t="s">
        <v>2</v>
      </c>
      <c r="F17504" s="515" t="s">
        <v>18680</v>
      </c>
      <c r="G17504" s="52">
        <v>99888.133869312995</v>
      </c>
      <c r="H17504" s="56">
        <v>0</v>
      </c>
      <c r="I17504" s="224" t="s">
        <v>2</v>
      </c>
    </row>
    <row r="17505" spans="1:9" x14ac:dyDescent="0.25">
      <c r="A17505" s="515">
        <v>48654</v>
      </c>
      <c r="C17505" s="52">
        <v>125548.70968011</v>
      </c>
      <c r="D17505" s="56">
        <v>0.13020269622143027</v>
      </c>
      <c r="E17505" s="224" t="s">
        <v>2</v>
      </c>
      <c r="F17505" s="515" t="s">
        <v>18681</v>
      </c>
      <c r="G17505" s="52">
        <v>161567.919380106</v>
      </c>
      <c r="H17505" s="56">
        <v>8.6442178695169555E-2</v>
      </c>
      <c r="I17505" s="224" t="s">
        <v>2</v>
      </c>
    </row>
    <row r="17506" spans="1:9" x14ac:dyDescent="0.25">
      <c r="A17506" s="515">
        <v>14028</v>
      </c>
      <c r="B17506" s="515" t="s">
        <v>336</v>
      </c>
      <c r="C17506" s="52">
        <v>220240.94119340999</v>
      </c>
      <c r="D17506" s="56">
        <v>8.9611922374498651E-2</v>
      </c>
      <c r="E17506" s="224" t="s">
        <v>2</v>
      </c>
      <c r="F17506" s="515" t="s">
        <v>18682</v>
      </c>
      <c r="G17506" s="52">
        <v>180158.22793458201</v>
      </c>
      <c r="H17506" s="56">
        <v>7.4198122688559548E-2</v>
      </c>
      <c r="I17506" s="224" t="s">
        <v>2</v>
      </c>
    </row>
    <row r="17507" spans="1:9" x14ac:dyDescent="0.25">
      <c r="A17507" s="515">
        <v>39478</v>
      </c>
      <c r="C17507" s="52">
        <v>133394.42935031999</v>
      </c>
      <c r="D17507" s="56">
        <v>-4.3539249863363862E-2</v>
      </c>
      <c r="E17507" s="224" t="s">
        <v>2</v>
      </c>
      <c r="F17507" s="515" t="s">
        <v>18683</v>
      </c>
      <c r="G17507" s="52">
        <v>78928.703071650598</v>
      </c>
      <c r="H17507" s="56">
        <v>0.10777472114791498</v>
      </c>
      <c r="I17507" s="224" t="s">
        <v>2</v>
      </c>
    </row>
    <row r="17508" spans="1:9" x14ac:dyDescent="0.25">
      <c r="A17508" s="515">
        <v>24571</v>
      </c>
      <c r="B17508" s="515" t="s">
        <v>705</v>
      </c>
      <c r="C17508" s="52">
        <v>186238.62695433799</v>
      </c>
      <c r="D17508" s="56">
        <v>0.14247055762553937</v>
      </c>
      <c r="E17508" s="224" t="s">
        <v>2</v>
      </c>
      <c r="F17508" s="515" t="s">
        <v>18684</v>
      </c>
      <c r="G17508" s="52">
        <v>340008.65660289302</v>
      </c>
      <c r="H17508" s="56">
        <v>0.11203471044372382</v>
      </c>
      <c r="I17508" s="224" t="s">
        <v>2</v>
      </c>
    </row>
    <row r="17509" spans="1:9" x14ac:dyDescent="0.25">
      <c r="A17509" s="515">
        <v>61956</v>
      </c>
      <c r="C17509" s="52">
        <v>107040.96701268799</v>
      </c>
      <c r="D17509" s="56">
        <v>6.8684714893185422E-2</v>
      </c>
      <c r="E17509" s="224" t="s">
        <v>2</v>
      </c>
      <c r="F17509" s="515" t="s">
        <v>18685</v>
      </c>
      <c r="G17509" s="52">
        <v>87556.173413653596</v>
      </c>
      <c r="H17509" s="56">
        <v>0.236984400196806</v>
      </c>
      <c r="I17509" s="224" t="s">
        <v>2</v>
      </c>
    </row>
    <row r="17510" spans="1:9" x14ac:dyDescent="0.25">
      <c r="A17510" s="515">
        <v>95549</v>
      </c>
      <c r="B17510" s="515" t="s">
        <v>352</v>
      </c>
      <c r="C17510" s="52">
        <v>576010.07842893805</v>
      </c>
      <c r="D17510" s="56">
        <v>-3.228064285972751E-2</v>
      </c>
      <c r="E17510" s="224" t="s">
        <v>2</v>
      </c>
      <c r="F17510" s="515" t="s">
        <v>18686</v>
      </c>
      <c r="G17510" s="52">
        <v>154721.080850261</v>
      </c>
      <c r="H17510" s="56">
        <v>0.11294671671869895</v>
      </c>
      <c r="I17510" s="224" t="s">
        <v>2</v>
      </c>
    </row>
    <row r="17511" spans="1:9" x14ac:dyDescent="0.25">
      <c r="A17511" s="515">
        <v>30552</v>
      </c>
      <c r="C17511" s="52">
        <v>488308.33013797598</v>
      </c>
      <c r="D17511" s="56">
        <v>0.12181674752389803</v>
      </c>
      <c r="E17511" s="224" t="s">
        <v>2</v>
      </c>
      <c r="F17511" s="515" t="s">
        <v>18687</v>
      </c>
      <c r="G17511" s="52">
        <v>141512.75310052701</v>
      </c>
      <c r="H17511" s="56">
        <v>7.558515768839727E-2</v>
      </c>
      <c r="I17511" s="224" t="s">
        <v>2</v>
      </c>
    </row>
    <row r="17512" spans="1:9" x14ac:dyDescent="0.25">
      <c r="A17512" s="515">
        <v>72006</v>
      </c>
      <c r="C17512" s="52">
        <v>62197.601269532701</v>
      </c>
      <c r="D17512" s="56">
        <v>5.9568678104654535E-2</v>
      </c>
      <c r="E17512" s="224" t="s">
        <v>2</v>
      </c>
      <c r="F17512" s="515" t="s">
        <v>18688</v>
      </c>
      <c r="G17512" s="52">
        <v>144956.67500659599</v>
      </c>
      <c r="H17512" s="56">
        <v>7.9975963794844757E-2</v>
      </c>
      <c r="I17512" s="224" t="s">
        <v>2</v>
      </c>
    </row>
    <row r="17513" spans="1:9" x14ac:dyDescent="0.25">
      <c r="A17513" s="515">
        <v>16421</v>
      </c>
      <c r="B17513" s="515" t="s">
        <v>753</v>
      </c>
      <c r="C17513" s="52">
        <v>201245.23433066101</v>
      </c>
      <c r="D17513" s="56">
        <v>7.7006313822023623E-2</v>
      </c>
      <c r="E17513" s="224" t="s">
        <v>2</v>
      </c>
      <c r="F17513" s="515" t="s">
        <v>18689</v>
      </c>
      <c r="G17513" s="52">
        <v>153037.38765453099</v>
      </c>
      <c r="H17513" s="56">
        <v>0</v>
      </c>
      <c r="I17513" s="224" t="s">
        <v>2</v>
      </c>
    </row>
    <row r="17514" spans="1:9" x14ac:dyDescent="0.25">
      <c r="A17514" s="515">
        <v>39140</v>
      </c>
      <c r="C17514" s="52">
        <v>103555.100372068</v>
      </c>
      <c r="D17514" s="56">
        <v>-6.0499630440426284E-2</v>
      </c>
      <c r="E17514" s="224" t="s">
        <v>2</v>
      </c>
      <c r="F17514" s="515" t="s">
        <v>18690</v>
      </c>
      <c r="G17514" s="52">
        <v>261882.179406032</v>
      </c>
      <c r="H17514" s="56">
        <v>-3.6358607196112572E-2</v>
      </c>
      <c r="I17514" s="224" t="s">
        <v>2</v>
      </c>
    </row>
    <row r="17515" spans="1:9" x14ac:dyDescent="0.25">
      <c r="A17515" s="515">
        <v>13363</v>
      </c>
      <c r="B17515" s="515" t="s">
        <v>543</v>
      </c>
      <c r="C17515" s="52">
        <v>182539.782930093</v>
      </c>
      <c r="D17515" s="56">
        <v>5.9416812777877449E-2</v>
      </c>
      <c r="E17515" s="224" t="s">
        <v>2</v>
      </c>
      <c r="F17515" s="515" t="s">
        <v>18691</v>
      </c>
      <c r="G17515" s="52">
        <v>300843.04171073902</v>
      </c>
      <c r="H17515" s="56">
        <v>0.1822559915436974</v>
      </c>
      <c r="I17515" s="224" t="s">
        <v>2</v>
      </c>
    </row>
    <row r="17516" spans="1:9" x14ac:dyDescent="0.25">
      <c r="A17516" s="515">
        <v>65017</v>
      </c>
      <c r="C17516" s="52">
        <v>173492.914410967</v>
      </c>
      <c r="D17516" s="56">
        <v>5.5229573548999843E-2</v>
      </c>
      <c r="E17516" s="224" t="s">
        <v>2</v>
      </c>
      <c r="F17516" s="515" t="s">
        <v>18692</v>
      </c>
      <c r="G17516" s="52">
        <v>98212.266968780794</v>
      </c>
      <c r="H17516" s="56">
        <v>0.19384933679004115</v>
      </c>
      <c r="I17516" s="224" t="s">
        <v>2</v>
      </c>
    </row>
    <row r="17517" spans="1:9" x14ac:dyDescent="0.25">
      <c r="A17517" s="515">
        <v>54810</v>
      </c>
      <c r="C17517" s="52">
        <v>319812.15169107</v>
      </c>
      <c r="D17517" s="56">
        <v>8.951725941482172E-2</v>
      </c>
      <c r="E17517" s="224" t="s">
        <v>2</v>
      </c>
      <c r="F17517" s="515" t="s">
        <v>18693</v>
      </c>
      <c r="G17517" s="52">
        <v>174657.20140969101</v>
      </c>
      <c r="H17517" s="56">
        <v>8.7823902386887504E-2</v>
      </c>
      <c r="I17517" s="224" t="s">
        <v>2</v>
      </c>
    </row>
    <row r="17518" spans="1:9" x14ac:dyDescent="0.25">
      <c r="A17518" s="515">
        <v>24918</v>
      </c>
      <c r="C17518" s="52">
        <v>152126.970190608</v>
      </c>
      <c r="D17518" s="56">
        <v>5.4076808076490221E-2</v>
      </c>
      <c r="E17518" s="224" t="s">
        <v>2</v>
      </c>
      <c r="F17518" s="515" t="s">
        <v>18694</v>
      </c>
      <c r="G17518" s="52">
        <v>172890.79502654899</v>
      </c>
      <c r="H17518" s="56">
        <v>9.513624936606517E-2</v>
      </c>
      <c r="I17518" s="224" t="s">
        <v>2</v>
      </c>
    </row>
    <row r="17519" spans="1:9" x14ac:dyDescent="0.25">
      <c r="A17519" s="515">
        <v>54405</v>
      </c>
      <c r="C17519" s="52">
        <v>144010.85401173399</v>
      </c>
      <c r="D17519" s="56">
        <v>4.9929288961469115E-2</v>
      </c>
      <c r="E17519" s="224" t="s">
        <v>2</v>
      </c>
      <c r="F17519" s="515" t="s">
        <v>18695</v>
      </c>
      <c r="G17519" s="52">
        <v>76960.169747899097</v>
      </c>
      <c r="H17519" s="56">
        <v>0</v>
      </c>
      <c r="I17519" s="224" t="s">
        <v>2</v>
      </c>
    </row>
    <row r="17520" spans="1:9" x14ac:dyDescent="0.25">
      <c r="A17520" s="515">
        <v>61937</v>
      </c>
      <c r="C17520" s="52">
        <v>98043.911384931402</v>
      </c>
      <c r="D17520" s="56">
        <v>7.7435386029826775E-2</v>
      </c>
      <c r="E17520" s="224" t="s">
        <v>2</v>
      </c>
      <c r="F17520" s="515" t="s">
        <v>18696</v>
      </c>
      <c r="G17520" s="52">
        <v>218031.909355643</v>
      </c>
      <c r="H17520" s="56">
        <v>0.10579686869462132</v>
      </c>
      <c r="I17520" s="224" t="s">
        <v>2</v>
      </c>
    </row>
    <row r="17521" spans="1:9" x14ac:dyDescent="0.25">
      <c r="A17521" s="515">
        <v>24527</v>
      </c>
      <c r="B17521" s="515" t="s">
        <v>901</v>
      </c>
      <c r="C17521" s="52">
        <v>167005.81710248499</v>
      </c>
      <c r="D17521" s="56">
        <v>0.13295313144584303</v>
      </c>
      <c r="E17521" s="224" t="s">
        <v>2</v>
      </c>
      <c r="F17521" s="515" t="s">
        <v>18697</v>
      </c>
      <c r="G17521" s="52">
        <v>413648.08386656601</v>
      </c>
      <c r="H17521" s="56">
        <v>0.10792735428538015</v>
      </c>
      <c r="I17521" s="224" t="s">
        <v>2</v>
      </c>
    </row>
    <row r="17522" spans="1:9" x14ac:dyDescent="0.25">
      <c r="A17522" s="515">
        <v>56284</v>
      </c>
      <c r="C17522" s="52">
        <v>166418.16294337501</v>
      </c>
      <c r="D17522" s="56">
        <v>6.9818404504170151E-2</v>
      </c>
      <c r="E17522" s="224" t="s">
        <v>2</v>
      </c>
      <c r="F17522" s="515" t="s">
        <v>18698</v>
      </c>
      <c r="G17522" s="52">
        <v>110549.92433743599</v>
      </c>
      <c r="H17522" s="56">
        <v>0</v>
      </c>
      <c r="I17522" s="224" t="s">
        <v>2</v>
      </c>
    </row>
    <row r="17523" spans="1:9" x14ac:dyDescent="0.25">
      <c r="A17523" s="515">
        <v>5680</v>
      </c>
      <c r="C17523" s="52">
        <v>297891.99605467799</v>
      </c>
      <c r="D17523" s="56">
        <v>9.9169288528905553E-2</v>
      </c>
      <c r="E17523" s="224" t="s">
        <v>2</v>
      </c>
      <c r="F17523" s="515" t="s">
        <v>18699</v>
      </c>
      <c r="G17523" s="52">
        <v>95871.362584995193</v>
      </c>
      <c r="H17523" s="56">
        <v>-0.13873413211978042</v>
      </c>
      <c r="I17523" s="224" t="s">
        <v>2</v>
      </c>
    </row>
    <row r="17524" spans="1:9" x14ac:dyDescent="0.25">
      <c r="A17524" s="515">
        <v>74085</v>
      </c>
      <c r="B17524" s="515" t="s">
        <v>969</v>
      </c>
      <c r="C17524" s="52">
        <v>117252.123114046</v>
      </c>
      <c r="D17524" s="56">
        <v>5.9660987760156971E-2</v>
      </c>
      <c r="E17524" s="224" t="s">
        <v>2</v>
      </c>
      <c r="F17524" s="515" t="s">
        <v>18700</v>
      </c>
      <c r="G17524" s="52">
        <v>177072.58106376999</v>
      </c>
      <c r="H17524" s="56">
        <v>6.7337931778041912E-2</v>
      </c>
      <c r="I17524" s="224" t="s">
        <v>2</v>
      </c>
    </row>
    <row r="17525" spans="1:9" x14ac:dyDescent="0.25">
      <c r="A17525" s="515">
        <v>26033</v>
      </c>
      <c r="B17525" s="515" t="s">
        <v>442</v>
      </c>
      <c r="C17525" s="52">
        <v>82320.722599374902</v>
      </c>
      <c r="D17525" s="56">
        <v>-1.3077129324587081E-2</v>
      </c>
      <c r="E17525" s="224" t="s">
        <v>2</v>
      </c>
      <c r="F17525" s="515" t="s">
        <v>18701</v>
      </c>
      <c r="G17525" s="52">
        <v>1596984.8989878199</v>
      </c>
      <c r="H17525" s="56">
        <v>-7.8083181378770352E-3</v>
      </c>
      <c r="I17525" s="224" t="s">
        <v>2</v>
      </c>
    </row>
    <row r="17526" spans="1:9" x14ac:dyDescent="0.25">
      <c r="A17526" s="515">
        <v>39322</v>
      </c>
      <c r="C17526" s="52">
        <v>138033.380908869</v>
      </c>
      <c r="D17526" s="56">
        <v>-8.980295898277665E-3</v>
      </c>
      <c r="E17526" s="224" t="s">
        <v>2</v>
      </c>
      <c r="F17526" s="515" t="s">
        <v>18702</v>
      </c>
      <c r="G17526" s="52">
        <v>146404.774408536</v>
      </c>
      <c r="H17526" s="56">
        <v>0.11919202570907939</v>
      </c>
      <c r="I17526" s="224" t="s">
        <v>2</v>
      </c>
    </row>
    <row r="17527" spans="1:9" x14ac:dyDescent="0.25">
      <c r="A17527" s="515">
        <v>29104</v>
      </c>
      <c r="C17527" s="52">
        <v>91273.218384273394</v>
      </c>
      <c r="D17527" s="56">
        <v>1.2887884241200685E-2</v>
      </c>
      <c r="E17527" s="224" t="s">
        <v>2</v>
      </c>
      <c r="F17527" s="515" t="s">
        <v>18703</v>
      </c>
      <c r="G17527" s="52">
        <v>114138.791784751</v>
      </c>
      <c r="H17527" s="56">
        <v>0.1250463706048166</v>
      </c>
      <c r="I17527" s="224" t="s">
        <v>2</v>
      </c>
    </row>
    <row r="17528" spans="1:9" x14ac:dyDescent="0.25">
      <c r="A17528" s="515">
        <v>83650</v>
      </c>
      <c r="B17528" s="515" t="s">
        <v>500</v>
      </c>
      <c r="C17528" s="52">
        <v>406894.97982623399</v>
      </c>
      <c r="D17528" s="56">
        <v>9.9980342281010895E-2</v>
      </c>
      <c r="E17528" s="224" t="s">
        <v>2</v>
      </c>
      <c r="F17528" s="515" t="s">
        <v>18704</v>
      </c>
      <c r="G17528" s="52">
        <v>65419.403315913303</v>
      </c>
      <c r="H17528" s="56">
        <v>0</v>
      </c>
      <c r="I17528" s="224" t="s">
        <v>2</v>
      </c>
    </row>
    <row r="17529" spans="1:9" x14ac:dyDescent="0.25">
      <c r="A17529" s="515">
        <v>31033</v>
      </c>
      <c r="B17529" s="515" t="s">
        <v>995</v>
      </c>
      <c r="C17529" s="52">
        <v>156421.474396351</v>
      </c>
      <c r="D17529" s="56">
        <v>5.5896093801756717E-2</v>
      </c>
      <c r="E17529" s="224" t="s">
        <v>2</v>
      </c>
      <c r="F17529" s="515" t="s">
        <v>18705</v>
      </c>
      <c r="G17529" s="52">
        <v>180570.811811361</v>
      </c>
      <c r="H17529" s="56">
        <v>4.728830451341972E-2</v>
      </c>
      <c r="I17529" s="224" t="s">
        <v>2</v>
      </c>
    </row>
    <row r="17530" spans="1:9" x14ac:dyDescent="0.25">
      <c r="A17530" s="515">
        <v>51560</v>
      </c>
      <c r="B17530" s="515" t="s">
        <v>367</v>
      </c>
      <c r="C17530" s="52">
        <v>179617.758786388</v>
      </c>
      <c r="D17530" s="56">
        <v>8.7017451953225688E-2</v>
      </c>
      <c r="E17530" s="224" t="s">
        <v>2</v>
      </c>
      <c r="F17530" s="515" t="s">
        <v>18706</v>
      </c>
      <c r="G17530" s="52">
        <v>269949.89670190302</v>
      </c>
      <c r="H17530" s="56">
        <v>8.5348141756732207E-2</v>
      </c>
      <c r="I17530" s="224" t="s">
        <v>2</v>
      </c>
    </row>
    <row r="17531" spans="1:9" x14ac:dyDescent="0.25">
      <c r="A17531" s="515">
        <v>36075</v>
      </c>
      <c r="C17531" s="52">
        <v>122348.619336838</v>
      </c>
      <c r="D17531" s="56">
        <v>1.7003067166092699E-2</v>
      </c>
      <c r="E17531" s="224" t="s">
        <v>2</v>
      </c>
      <c r="F17531" s="515" t="s">
        <v>18707</v>
      </c>
      <c r="G17531" s="52">
        <v>101475.543164815</v>
      </c>
      <c r="H17531" s="56">
        <v>0.2105308317091438</v>
      </c>
      <c r="I17531" s="224" t="s">
        <v>2</v>
      </c>
    </row>
    <row r="17532" spans="1:9" x14ac:dyDescent="0.25">
      <c r="A17532" s="515">
        <v>75668</v>
      </c>
      <c r="C17532" s="52">
        <v>81530.569477332494</v>
      </c>
      <c r="D17532" s="56">
        <v>0</v>
      </c>
      <c r="E17532" s="224" t="s">
        <v>2</v>
      </c>
      <c r="F17532" s="515" t="s">
        <v>18708</v>
      </c>
      <c r="G17532" s="52">
        <v>295630.01315789402</v>
      </c>
      <c r="H17532" s="56">
        <v>0</v>
      </c>
      <c r="I17532" s="224" t="s">
        <v>2</v>
      </c>
    </row>
    <row r="17533" spans="1:9" x14ac:dyDescent="0.25">
      <c r="A17533" s="515">
        <v>50658</v>
      </c>
      <c r="C17533" s="52">
        <v>150281.524082497</v>
      </c>
      <c r="D17533" s="56">
        <v>9.8698623808342142E-2</v>
      </c>
      <c r="E17533" s="224" t="s">
        <v>2</v>
      </c>
      <c r="F17533" s="515" t="s">
        <v>18709</v>
      </c>
      <c r="G17533" s="52">
        <v>374607.11971194402</v>
      </c>
      <c r="H17533" s="56">
        <v>5.7264748520197341E-2</v>
      </c>
      <c r="I17533" s="224" t="s">
        <v>2</v>
      </c>
    </row>
    <row r="17534" spans="1:9" x14ac:dyDescent="0.25">
      <c r="A17534" s="515">
        <v>62926</v>
      </c>
      <c r="C17534" s="52">
        <v>84710.662315651294</v>
      </c>
      <c r="D17534" s="56">
        <v>0.14724703796767791</v>
      </c>
      <c r="E17534" s="224" t="s">
        <v>2</v>
      </c>
      <c r="F17534" s="515" t="s">
        <v>18710</v>
      </c>
      <c r="G17534" s="52">
        <v>71577.741214976806</v>
      </c>
      <c r="H17534" s="56">
        <v>0.20005553595973943</v>
      </c>
      <c r="I17534" s="224" t="s">
        <v>2</v>
      </c>
    </row>
    <row r="17535" spans="1:9" x14ac:dyDescent="0.25">
      <c r="A17535" s="515">
        <v>45174</v>
      </c>
      <c r="B17535" s="515" t="s">
        <v>344</v>
      </c>
      <c r="C17535" s="52">
        <v>584404.51087071002</v>
      </c>
      <c r="D17535" s="56">
        <v>5.5712742567774115E-2</v>
      </c>
      <c r="E17535" s="224" t="s">
        <v>2</v>
      </c>
      <c r="F17535" s="515" t="s">
        <v>18711</v>
      </c>
      <c r="G17535" s="52">
        <v>71277.307485768499</v>
      </c>
      <c r="H17535" s="56">
        <v>9.0690269308138713E-2</v>
      </c>
      <c r="I17535" s="224" t="s">
        <v>2</v>
      </c>
    </row>
    <row r="17536" spans="1:9" x14ac:dyDescent="0.25">
      <c r="A17536" s="515">
        <v>35984</v>
      </c>
      <c r="B17536" s="515" t="s">
        <v>979</v>
      </c>
      <c r="C17536" s="52">
        <v>258146.23893080399</v>
      </c>
      <c r="D17536" s="56">
        <v>0.1327030222605676</v>
      </c>
      <c r="E17536" s="224" t="s">
        <v>2</v>
      </c>
      <c r="F17536" s="515" t="s">
        <v>18712</v>
      </c>
      <c r="G17536" s="52">
        <v>427231.74372797698</v>
      </c>
      <c r="H17536" s="56">
        <v>5.6178624803175328E-2</v>
      </c>
      <c r="I17536" s="224" t="s">
        <v>2</v>
      </c>
    </row>
    <row r="17537" spans="1:9" x14ac:dyDescent="0.25">
      <c r="A17537" s="515">
        <v>83436</v>
      </c>
      <c r="B17537" s="515" t="s">
        <v>843</v>
      </c>
      <c r="C17537" s="52">
        <v>363398.93023255799</v>
      </c>
      <c r="D17537" s="56">
        <v>0</v>
      </c>
      <c r="E17537" s="224" t="s">
        <v>2</v>
      </c>
      <c r="F17537" s="515" t="s">
        <v>18713</v>
      </c>
      <c r="G17537" s="52">
        <v>138385.09409143199</v>
      </c>
      <c r="H17537" s="56">
        <v>0.10466519147809603</v>
      </c>
      <c r="I17537" s="224" t="s">
        <v>2</v>
      </c>
    </row>
    <row r="17538" spans="1:9" x14ac:dyDescent="0.25">
      <c r="A17538" s="515">
        <v>40055</v>
      </c>
      <c r="C17538" s="52">
        <v>295619.92605535802</v>
      </c>
      <c r="D17538" s="56">
        <v>6.7806097538395324E-2</v>
      </c>
      <c r="E17538" s="224" t="s">
        <v>2</v>
      </c>
      <c r="F17538" s="515" t="s">
        <v>18714</v>
      </c>
      <c r="G17538" s="52">
        <v>216647.64362999101</v>
      </c>
      <c r="H17538" s="56">
        <v>0.12448756155311165</v>
      </c>
      <c r="I17538" s="224" t="s">
        <v>2</v>
      </c>
    </row>
    <row r="17539" spans="1:9" x14ac:dyDescent="0.25">
      <c r="A17539" s="515">
        <v>54440</v>
      </c>
      <c r="B17539" s="515" t="s">
        <v>940</v>
      </c>
      <c r="C17539" s="52">
        <v>200793.832612625</v>
      </c>
      <c r="D17539" s="56">
        <v>2.3887729600084447E-2</v>
      </c>
      <c r="E17539" s="224" t="s">
        <v>2</v>
      </c>
      <c r="F17539" s="515" t="s">
        <v>18715</v>
      </c>
      <c r="G17539" s="52">
        <v>251774.42578563601</v>
      </c>
      <c r="H17539" s="56">
        <v>0.16464009310873584</v>
      </c>
      <c r="I17539" s="224" t="s">
        <v>2</v>
      </c>
    </row>
    <row r="17540" spans="1:9" x14ac:dyDescent="0.25">
      <c r="A17540" s="515">
        <v>38664</v>
      </c>
      <c r="B17540" s="515" t="s">
        <v>951</v>
      </c>
      <c r="C17540" s="52">
        <v>157527.29052499699</v>
      </c>
      <c r="D17540" s="56">
        <v>1.3688374413287888E-3</v>
      </c>
      <c r="E17540" s="224" t="s">
        <v>2</v>
      </c>
      <c r="F17540" s="515" t="s">
        <v>18716</v>
      </c>
      <c r="G17540" s="52">
        <v>124610.25224995</v>
      </c>
      <c r="H17540" s="56">
        <v>3.7904361677842044E-2</v>
      </c>
      <c r="I17540" s="224" t="s">
        <v>2</v>
      </c>
    </row>
    <row r="17541" spans="1:9" x14ac:dyDescent="0.25">
      <c r="A17541" s="515">
        <v>64742</v>
      </c>
      <c r="B17541" s="515" t="s">
        <v>455</v>
      </c>
      <c r="C17541" s="52">
        <v>238084.62004099999</v>
      </c>
      <c r="D17541" s="56">
        <v>0.26102769697516365</v>
      </c>
      <c r="E17541" s="224" t="s">
        <v>2</v>
      </c>
      <c r="F17541" s="515" t="s">
        <v>18717</v>
      </c>
      <c r="G17541" s="52">
        <v>120689.695202808</v>
      </c>
      <c r="H17541" s="56">
        <v>2.6015956699742597E-2</v>
      </c>
      <c r="I17541" s="224" t="s">
        <v>2</v>
      </c>
    </row>
    <row r="17542" spans="1:9" x14ac:dyDescent="0.25">
      <c r="A17542" s="515">
        <v>40374</v>
      </c>
      <c r="B17542" s="515" t="s">
        <v>900</v>
      </c>
      <c r="C17542" s="52">
        <v>136203.813070581</v>
      </c>
      <c r="D17542" s="56">
        <v>0.14593919179982989</v>
      </c>
      <c r="E17542" s="224" t="s">
        <v>2</v>
      </c>
      <c r="F17542" s="515" t="s">
        <v>18718</v>
      </c>
      <c r="G17542" s="52">
        <v>891279.58496309898</v>
      </c>
      <c r="H17542" s="56">
        <v>0.10223194048022437</v>
      </c>
      <c r="I17542" s="224" t="s">
        <v>2</v>
      </c>
    </row>
    <row r="17543" spans="1:9" x14ac:dyDescent="0.25">
      <c r="A17543" s="515">
        <v>51579</v>
      </c>
      <c r="B17543" s="515" t="s">
        <v>367</v>
      </c>
      <c r="C17543" s="52">
        <v>172342.71116046299</v>
      </c>
      <c r="D17543" s="56">
        <v>7.6767092045097365E-2</v>
      </c>
      <c r="E17543" s="224" t="s">
        <v>2</v>
      </c>
      <c r="F17543" s="515" t="s">
        <v>18719</v>
      </c>
      <c r="G17543" s="52">
        <v>125312.491726133</v>
      </c>
      <c r="H17543" s="56">
        <v>1.1964734344222513E-2</v>
      </c>
      <c r="I17543" s="224" t="s">
        <v>2</v>
      </c>
    </row>
    <row r="17544" spans="1:9" x14ac:dyDescent="0.25">
      <c r="A17544" s="515">
        <v>99929</v>
      </c>
      <c r="C17544" s="52">
        <v>245072.084807206</v>
      </c>
      <c r="D17544" s="56">
        <v>0</v>
      </c>
      <c r="E17544" s="224" t="s">
        <v>2</v>
      </c>
      <c r="F17544" s="515" t="s">
        <v>18720</v>
      </c>
      <c r="G17544" s="52">
        <v>89534.134345832805</v>
      </c>
      <c r="H17544" s="56">
        <v>4.8307525506919365E-2</v>
      </c>
      <c r="I17544" s="224" t="s">
        <v>2</v>
      </c>
    </row>
    <row r="17545" spans="1:9" x14ac:dyDescent="0.25">
      <c r="A17545" s="515">
        <v>28527</v>
      </c>
      <c r="B17545" s="515" t="s">
        <v>574</v>
      </c>
      <c r="C17545" s="52">
        <v>183618.11606221899</v>
      </c>
      <c r="D17545" s="56">
        <v>0.21467801638650957</v>
      </c>
      <c r="E17545" s="224" t="s">
        <v>2</v>
      </c>
      <c r="F17545" s="515" t="s">
        <v>18721</v>
      </c>
      <c r="G17545" s="52">
        <v>75842.206410031999</v>
      </c>
      <c r="H17545" s="56">
        <v>8.6081129006591817E-2</v>
      </c>
      <c r="I17545" s="224" t="s">
        <v>2</v>
      </c>
    </row>
    <row r="17546" spans="1:9" x14ac:dyDescent="0.25">
      <c r="A17546" s="515">
        <v>17321</v>
      </c>
      <c r="B17546" s="515" t="s">
        <v>509</v>
      </c>
      <c r="C17546" s="52">
        <v>333970.39053537702</v>
      </c>
      <c r="D17546" s="56">
        <v>7.3869987343410506E-2</v>
      </c>
      <c r="E17546" s="224" t="s">
        <v>2</v>
      </c>
      <c r="F17546" s="515" t="s">
        <v>18722</v>
      </c>
      <c r="G17546" s="52">
        <v>119558.961934843</v>
      </c>
      <c r="H17546" s="56">
        <v>0</v>
      </c>
      <c r="I17546" s="224" t="s">
        <v>2</v>
      </c>
    </row>
    <row r="17547" spans="1:9" x14ac:dyDescent="0.25">
      <c r="A17547" s="515">
        <v>44276</v>
      </c>
      <c r="B17547" s="515" t="s">
        <v>1136</v>
      </c>
      <c r="C17547" s="52">
        <v>390157.29632566398</v>
      </c>
      <c r="D17547" s="56">
        <v>0.28386066009871153</v>
      </c>
      <c r="E17547" s="224" t="s">
        <v>2</v>
      </c>
      <c r="F17547" s="515" t="s">
        <v>18723</v>
      </c>
      <c r="G17547" s="52">
        <v>776114.19089058205</v>
      </c>
      <c r="H17547" s="56">
        <v>2.601562215082491E-2</v>
      </c>
      <c r="I17547" s="224" t="s">
        <v>2</v>
      </c>
    </row>
    <row r="17548" spans="1:9" x14ac:dyDescent="0.25">
      <c r="A17548" s="515">
        <v>43719</v>
      </c>
      <c r="B17548" s="515" t="s">
        <v>442</v>
      </c>
      <c r="C17548" s="52">
        <v>137464.79941118899</v>
      </c>
      <c r="D17548" s="56">
        <v>7.176302842121883E-2</v>
      </c>
      <c r="E17548" s="224" t="s">
        <v>2</v>
      </c>
      <c r="F17548" s="515" t="s">
        <v>18724</v>
      </c>
      <c r="G17548" s="52">
        <v>308089.31649785698</v>
      </c>
      <c r="H17548" s="56">
        <v>0.12723497554254612</v>
      </c>
      <c r="I17548" s="224" t="s">
        <v>2</v>
      </c>
    </row>
    <row r="17549" spans="1:9" x14ac:dyDescent="0.25">
      <c r="A17549" s="515">
        <v>61250</v>
      </c>
      <c r="B17549" s="515" t="s">
        <v>756</v>
      </c>
      <c r="C17549" s="52">
        <v>141849.42922258499</v>
      </c>
      <c r="D17549" s="56">
        <v>7.0412860472214331E-2</v>
      </c>
      <c r="E17549" s="224" t="s">
        <v>2</v>
      </c>
      <c r="F17549" s="515" t="s">
        <v>18725</v>
      </c>
      <c r="G17549" s="52">
        <v>134120.70021201501</v>
      </c>
      <c r="H17549" s="56">
        <v>9.9406935768768204E-2</v>
      </c>
      <c r="I17549" s="224" t="s">
        <v>2</v>
      </c>
    </row>
    <row r="17550" spans="1:9" x14ac:dyDescent="0.25">
      <c r="A17550" s="515">
        <v>85263</v>
      </c>
      <c r="B17550" s="515" t="s">
        <v>563</v>
      </c>
      <c r="C17550" s="52">
        <v>802843.42817508394</v>
      </c>
      <c r="D17550" s="56">
        <v>6.795369487155356E-2</v>
      </c>
      <c r="E17550" s="224" t="s">
        <v>2</v>
      </c>
      <c r="F17550" s="515" t="s">
        <v>18726</v>
      </c>
      <c r="G17550" s="52">
        <v>296598.15054478298</v>
      </c>
      <c r="H17550" s="56">
        <v>0.14198537951842613</v>
      </c>
      <c r="I17550" s="224" t="s">
        <v>2</v>
      </c>
    </row>
    <row r="17551" spans="1:9" x14ac:dyDescent="0.25">
      <c r="A17551" s="515">
        <v>78959</v>
      </c>
      <c r="C17551" s="52">
        <v>236162.482503801</v>
      </c>
      <c r="D17551" s="56">
        <v>6.6027843172157624E-2</v>
      </c>
      <c r="E17551" s="224" t="s">
        <v>2</v>
      </c>
      <c r="F17551" s="515" t="s">
        <v>18727</v>
      </c>
      <c r="G17551" s="52">
        <v>105991.550898203</v>
      </c>
      <c r="H17551" s="56">
        <v>0</v>
      </c>
      <c r="I17551" s="224" t="s">
        <v>2</v>
      </c>
    </row>
    <row r="17552" spans="1:9" x14ac:dyDescent="0.25">
      <c r="A17552" s="515">
        <v>45871</v>
      </c>
      <c r="B17552" s="515" t="s">
        <v>329</v>
      </c>
      <c r="C17552" s="52">
        <v>199527.88960164</v>
      </c>
      <c r="D17552" s="56">
        <v>8.9082917278537246E-2</v>
      </c>
      <c r="E17552" s="224" t="s">
        <v>2</v>
      </c>
      <c r="F17552" s="515" t="s">
        <v>18728</v>
      </c>
      <c r="G17552" s="52">
        <v>200349.75907711399</v>
      </c>
      <c r="H17552" s="56">
        <v>0.14550152697667826</v>
      </c>
      <c r="I17552" s="224" t="s">
        <v>2</v>
      </c>
    </row>
    <row r="17553" spans="1:9" x14ac:dyDescent="0.25">
      <c r="A17553" s="515">
        <v>15554</v>
      </c>
      <c r="C17553" s="52">
        <v>180833.897173859</v>
      </c>
      <c r="D17553" s="56">
        <v>-2.8429040616688899E-3</v>
      </c>
      <c r="E17553" s="224" t="s">
        <v>2</v>
      </c>
      <c r="F17553" s="515" t="s">
        <v>18729</v>
      </c>
      <c r="G17553" s="52">
        <v>86966.578211985907</v>
      </c>
      <c r="H17553" s="56">
        <v>0.12305075315353234</v>
      </c>
      <c r="I17553" s="224" t="s">
        <v>2</v>
      </c>
    </row>
    <row r="17554" spans="1:9" x14ac:dyDescent="0.25">
      <c r="A17554" s="515">
        <v>12458</v>
      </c>
      <c r="B17554" s="515" t="s">
        <v>307</v>
      </c>
      <c r="C17554" s="52">
        <v>228749.16746886499</v>
      </c>
      <c r="D17554" s="56">
        <v>0.10754703170189078</v>
      </c>
      <c r="E17554" s="224" t="s">
        <v>2</v>
      </c>
      <c r="F17554" s="515" t="s">
        <v>18730</v>
      </c>
      <c r="G17554" s="52">
        <v>127191.055947228</v>
      </c>
      <c r="H17554" s="56">
        <v>9.7464585268479662E-2</v>
      </c>
      <c r="I17554" s="224" t="s">
        <v>2</v>
      </c>
    </row>
    <row r="17555" spans="1:9" x14ac:dyDescent="0.25">
      <c r="A17555" s="515">
        <v>22460</v>
      </c>
      <c r="C17555" s="52">
        <v>199916.85622954101</v>
      </c>
      <c r="D17555" s="56">
        <v>0.12513389967487693</v>
      </c>
      <c r="E17555" s="224" t="s">
        <v>2</v>
      </c>
      <c r="F17555" s="515" t="s">
        <v>18731</v>
      </c>
      <c r="G17555" s="52">
        <v>78033.368777246695</v>
      </c>
      <c r="H17555" s="56">
        <v>6.76978380913274E-2</v>
      </c>
      <c r="I17555" s="224" t="s">
        <v>2</v>
      </c>
    </row>
    <row r="17556" spans="1:9" x14ac:dyDescent="0.25">
      <c r="A17556" s="515">
        <v>38553</v>
      </c>
      <c r="C17556" s="52">
        <v>207557.68704667999</v>
      </c>
      <c r="D17556" s="56">
        <v>0.10100128009105087</v>
      </c>
      <c r="E17556" s="224" t="s">
        <v>2</v>
      </c>
      <c r="F17556" s="515" t="s">
        <v>18732</v>
      </c>
      <c r="G17556" s="52">
        <v>227789.53949042701</v>
      </c>
      <c r="H17556" s="56">
        <v>0.11155045446424118</v>
      </c>
      <c r="I17556" s="224" t="s">
        <v>2</v>
      </c>
    </row>
    <row r="17557" spans="1:9" x14ac:dyDescent="0.25">
      <c r="A17557" s="515">
        <v>13101</v>
      </c>
      <c r="B17557" s="515" t="s">
        <v>507</v>
      </c>
      <c r="C17557" s="52">
        <v>146479.908001423</v>
      </c>
      <c r="D17557" s="56">
        <v>7.6509829906777127E-2</v>
      </c>
      <c r="E17557" s="224" t="s">
        <v>2</v>
      </c>
      <c r="F17557" s="515" t="s">
        <v>18733</v>
      </c>
      <c r="G17557" s="52">
        <v>167082.450105094</v>
      </c>
      <c r="H17557" s="56">
        <v>7.6676593069395865E-2</v>
      </c>
      <c r="I17557" s="224" t="s">
        <v>2</v>
      </c>
    </row>
    <row r="17558" spans="1:9" x14ac:dyDescent="0.25">
      <c r="A17558" s="515">
        <v>49255</v>
      </c>
      <c r="B17558" s="515" t="s">
        <v>1107</v>
      </c>
      <c r="C17558" s="52">
        <v>137754.704553727</v>
      </c>
      <c r="D17558" s="56">
        <v>-1.4734008849577132E-2</v>
      </c>
      <c r="E17558" s="224" t="s">
        <v>2</v>
      </c>
      <c r="F17558" s="515" t="s">
        <v>18734</v>
      </c>
      <c r="G17558" s="52">
        <v>129594.54174154199</v>
      </c>
      <c r="H17558" s="56">
        <v>0.18994771698854229</v>
      </c>
      <c r="I17558" s="224" t="s">
        <v>2</v>
      </c>
    </row>
    <row r="17559" spans="1:9" x14ac:dyDescent="0.25">
      <c r="A17559" s="515">
        <v>74726</v>
      </c>
      <c r="B17559" s="515" t="s">
        <v>1052</v>
      </c>
      <c r="C17559" s="52">
        <v>188747.64901266099</v>
      </c>
      <c r="D17559" s="56">
        <v>0.1521379710238901</v>
      </c>
      <c r="E17559" s="224" t="s">
        <v>2</v>
      </c>
      <c r="F17559" s="515" t="s">
        <v>18735</v>
      </c>
      <c r="G17559" s="52">
        <v>98130.451586320894</v>
      </c>
      <c r="H17559" s="56">
        <v>4.8829830320780795E-2</v>
      </c>
      <c r="I17559" s="224" t="s">
        <v>2</v>
      </c>
    </row>
    <row r="17560" spans="1:9" x14ac:dyDescent="0.25">
      <c r="A17560" s="515">
        <v>97499</v>
      </c>
      <c r="B17560" s="515" t="s">
        <v>449</v>
      </c>
      <c r="C17560" s="52">
        <v>297914.78438194899</v>
      </c>
      <c r="D17560" s="56">
        <v>6.3406667283395349E-2</v>
      </c>
      <c r="E17560" s="224" t="s">
        <v>2</v>
      </c>
      <c r="F17560" s="515" t="s">
        <v>18736</v>
      </c>
      <c r="G17560" s="52">
        <v>57526.132892804802</v>
      </c>
      <c r="H17560" s="56">
        <v>8.0392647390661001E-2</v>
      </c>
      <c r="I17560" s="224" t="s">
        <v>2</v>
      </c>
    </row>
    <row r="17561" spans="1:9" x14ac:dyDescent="0.25">
      <c r="A17561" s="515">
        <v>35019</v>
      </c>
      <c r="B17561" s="515" t="s">
        <v>1110</v>
      </c>
      <c r="C17561" s="52">
        <v>193979.97168222701</v>
      </c>
      <c r="D17561" s="56">
        <v>9.4460556142652599E-2</v>
      </c>
      <c r="E17561" s="224" t="s">
        <v>2</v>
      </c>
      <c r="F17561" s="515" t="s">
        <v>18737</v>
      </c>
      <c r="G17561" s="52">
        <v>380532.02069330501</v>
      </c>
      <c r="H17561" s="56">
        <v>0.24737683191611032</v>
      </c>
      <c r="I17561" s="224" t="s">
        <v>2</v>
      </c>
    </row>
    <row r="17562" spans="1:9" x14ac:dyDescent="0.25">
      <c r="A17562" s="515">
        <v>45325</v>
      </c>
      <c r="B17562" s="515" t="s">
        <v>340</v>
      </c>
      <c r="C17562" s="52">
        <v>233534.11245148201</v>
      </c>
      <c r="D17562" s="56">
        <v>8.1696370358167375E-2</v>
      </c>
      <c r="E17562" s="224" t="s">
        <v>2</v>
      </c>
      <c r="F17562" s="515" t="s">
        <v>18738</v>
      </c>
      <c r="G17562" s="52">
        <v>76589.478000259696</v>
      </c>
      <c r="H17562" s="56">
        <v>6.1132238012085109E-2</v>
      </c>
      <c r="I17562" s="224" t="s">
        <v>2</v>
      </c>
    </row>
    <row r="17563" spans="1:9" x14ac:dyDescent="0.25">
      <c r="A17563" s="515">
        <v>54412</v>
      </c>
      <c r="B17563" s="515" t="s">
        <v>607</v>
      </c>
      <c r="C17563" s="52">
        <v>208431.68603506099</v>
      </c>
      <c r="D17563" s="56">
        <v>3.9258974508179126E-2</v>
      </c>
      <c r="E17563" s="224" t="s">
        <v>2</v>
      </c>
      <c r="F17563" s="515" t="s">
        <v>18739</v>
      </c>
      <c r="G17563" s="52">
        <v>132112.979139173</v>
      </c>
      <c r="H17563" s="56">
        <v>3.7323232942872729E-2</v>
      </c>
      <c r="I17563" s="224" t="s">
        <v>2</v>
      </c>
    </row>
    <row r="17564" spans="1:9" x14ac:dyDescent="0.25">
      <c r="A17564" s="515">
        <v>18917</v>
      </c>
      <c r="B17564" s="515" t="s">
        <v>294</v>
      </c>
      <c r="C17564" s="52">
        <v>400433.89481517999</v>
      </c>
      <c r="D17564" s="56">
        <v>8.9964990513590332E-2</v>
      </c>
      <c r="E17564" s="224" t="s">
        <v>2</v>
      </c>
      <c r="F17564" s="515" t="s">
        <v>18740</v>
      </c>
      <c r="G17564" s="52">
        <v>305672.51127819502</v>
      </c>
      <c r="H17564" s="56">
        <v>0</v>
      </c>
      <c r="I17564" s="224" t="s">
        <v>2</v>
      </c>
    </row>
    <row r="17565" spans="1:9" x14ac:dyDescent="0.25">
      <c r="A17565" s="515">
        <v>22625</v>
      </c>
      <c r="B17565" s="515" t="s">
        <v>629</v>
      </c>
      <c r="C17565" s="52">
        <v>368807.85570440203</v>
      </c>
      <c r="D17565" s="56">
        <v>6.2943569100596938E-2</v>
      </c>
      <c r="E17565" s="224" t="s">
        <v>2</v>
      </c>
      <c r="F17565" s="515" t="s">
        <v>18741</v>
      </c>
      <c r="G17565" s="52">
        <v>541026.20409750298</v>
      </c>
      <c r="H17565" s="56">
        <v>0.14595298504046789</v>
      </c>
      <c r="I17565" s="224" t="s">
        <v>2</v>
      </c>
    </row>
    <row r="17566" spans="1:9" x14ac:dyDescent="0.25">
      <c r="A17566" s="515">
        <v>50216</v>
      </c>
      <c r="B17566" s="515" t="s">
        <v>295</v>
      </c>
      <c r="C17566" s="52">
        <v>412899.837768019</v>
      </c>
      <c r="D17566" s="56">
        <v>9.8934714653017494E-2</v>
      </c>
      <c r="E17566" s="224" t="s">
        <v>2</v>
      </c>
      <c r="F17566" s="515" t="s">
        <v>18742</v>
      </c>
      <c r="G17566" s="52">
        <v>380815.517664588</v>
      </c>
      <c r="H17566" s="56">
        <v>9.5107582938448482E-2</v>
      </c>
      <c r="I17566" s="224" t="s">
        <v>2</v>
      </c>
    </row>
    <row r="17567" spans="1:9" x14ac:dyDescent="0.25">
      <c r="A17567" s="515">
        <v>62424</v>
      </c>
      <c r="B17567" s="515" t="s">
        <v>952</v>
      </c>
      <c r="C17567" s="52">
        <v>194098.869402301</v>
      </c>
      <c r="D17567" s="56">
        <v>9.1098559385355396E-2</v>
      </c>
      <c r="E17567" s="224" t="s">
        <v>2</v>
      </c>
      <c r="F17567" s="515" t="s">
        <v>18743</v>
      </c>
      <c r="G17567" s="52">
        <v>271649.237437615</v>
      </c>
      <c r="H17567" s="56">
        <v>0.14770415847259732</v>
      </c>
      <c r="I17567" s="224" t="s">
        <v>2</v>
      </c>
    </row>
    <row r="17568" spans="1:9" x14ac:dyDescent="0.25">
      <c r="A17568" s="515">
        <v>46172</v>
      </c>
      <c r="B17568" s="515" t="s">
        <v>403</v>
      </c>
      <c r="C17568" s="52">
        <v>206871.92468255601</v>
      </c>
      <c r="D17568" s="56">
        <v>9.5542050453370483E-2</v>
      </c>
      <c r="E17568" s="224" t="s">
        <v>2</v>
      </c>
      <c r="F17568" s="515" t="s">
        <v>18744</v>
      </c>
      <c r="G17568" s="52">
        <v>171044.108115665</v>
      </c>
      <c r="H17568" s="56">
        <v>0.20830232246215796</v>
      </c>
      <c r="I17568" s="224" t="s">
        <v>2</v>
      </c>
    </row>
    <row r="17569" spans="1:9" x14ac:dyDescent="0.25">
      <c r="A17569" s="515">
        <v>41214</v>
      </c>
      <c r="C17569" s="52">
        <v>104216.593630405</v>
      </c>
      <c r="D17569" s="56">
        <v>0.25256917596186135</v>
      </c>
      <c r="E17569" s="224" t="s">
        <v>2</v>
      </c>
      <c r="F17569" s="515" t="s">
        <v>18745</v>
      </c>
      <c r="G17569" s="52">
        <v>1451059.09810256</v>
      </c>
      <c r="H17569" s="56">
        <v>0.14178266591927652</v>
      </c>
      <c r="I17569" s="224" t="s">
        <v>2</v>
      </c>
    </row>
    <row r="17570" spans="1:9" x14ac:dyDescent="0.25">
      <c r="A17570" s="515">
        <v>68823</v>
      </c>
      <c r="C17570" s="52">
        <v>222913.11001441401</v>
      </c>
      <c r="D17570" s="56">
        <v>0.11085261056476961</v>
      </c>
      <c r="E17570" s="224" t="s">
        <v>2</v>
      </c>
      <c r="F17570" s="515" t="s">
        <v>18746</v>
      </c>
      <c r="G17570" s="52">
        <v>336017.666303484</v>
      </c>
      <c r="H17570" s="56">
        <v>8.9555264640695645E-2</v>
      </c>
      <c r="I17570" s="224" t="s">
        <v>2</v>
      </c>
    </row>
    <row r="17571" spans="1:9" x14ac:dyDescent="0.25">
      <c r="A17571" s="515">
        <v>68731</v>
      </c>
      <c r="B17571" s="515" t="s">
        <v>649</v>
      </c>
      <c r="C17571" s="52">
        <v>209707.913103581</v>
      </c>
      <c r="D17571" s="56">
        <v>7.0188161991923834E-2</v>
      </c>
      <c r="E17571" s="224" t="s">
        <v>2</v>
      </c>
      <c r="F17571" s="515" t="s">
        <v>18747</v>
      </c>
      <c r="G17571" s="52">
        <v>245078.43046716001</v>
      </c>
      <c r="H17571" s="56">
        <v>5.0408066355904939E-2</v>
      </c>
      <c r="I17571" s="224" t="s">
        <v>2</v>
      </c>
    </row>
    <row r="17572" spans="1:9" x14ac:dyDescent="0.25">
      <c r="A17572" s="515">
        <v>44510</v>
      </c>
      <c r="B17572" s="515" t="s">
        <v>397</v>
      </c>
      <c r="C17572" s="52">
        <v>29917.487628320199</v>
      </c>
      <c r="D17572" s="56">
        <v>0.17588696094891809</v>
      </c>
      <c r="E17572" s="224" t="s">
        <v>2</v>
      </c>
      <c r="F17572" s="515" t="s">
        <v>18748</v>
      </c>
      <c r="G17572" s="52">
        <v>422742.78406514099</v>
      </c>
      <c r="H17572" s="56">
        <v>5.0664009771637077E-2</v>
      </c>
      <c r="I17572" s="224" t="s">
        <v>2</v>
      </c>
    </row>
    <row r="17573" spans="1:9" x14ac:dyDescent="0.25">
      <c r="A17573" s="515">
        <v>13034</v>
      </c>
      <c r="B17573" s="515" t="s">
        <v>986</v>
      </c>
      <c r="C17573" s="52">
        <v>214091.31893775499</v>
      </c>
      <c r="D17573" s="56">
        <v>7.1436922308531478E-2</v>
      </c>
      <c r="E17573" s="224" t="s">
        <v>2</v>
      </c>
      <c r="F17573" s="515" t="s">
        <v>18749</v>
      </c>
      <c r="G17573" s="52">
        <v>183659.413592022</v>
      </c>
      <c r="H17573" s="56">
        <v>4.07190863929437E-2</v>
      </c>
      <c r="I17573" s="224" t="s">
        <v>2</v>
      </c>
    </row>
    <row r="17574" spans="1:9" x14ac:dyDescent="0.25">
      <c r="A17574" s="515">
        <v>45153</v>
      </c>
      <c r="B17574" s="515" t="s">
        <v>344</v>
      </c>
      <c r="C17574" s="52">
        <v>216111.12111419701</v>
      </c>
      <c r="D17574" s="56">
        <v>6.5511523539063712E-2</v>
      </c>
      <c r="E17574" s="224" t="s">
        <v>2</v>
      </c>
      <c r="F17574" s="515" t="s">
        <v>18750</v>
      </c>
      <c r="G17574" s="52">
        <v>241298.46993588901</v>
      </c>
      <c r="H17574" s="56">
        <v>0.13329682545275578</v>
      </c>
      <c r="I17574" s="224" t="s">
        <v>2</v>
      </c>
    </row>
    <row r="17575" spans="1:9" x14ac:dyDescent="0.25">
      <c r="A17575" s="515">
        <v>3447</v>
      </c>
      <c r="B17575" s="515" t="s">
        <v>747</v>
      </c>
      <c r="C17575" s="52">
        <v>312941.62911850802</v>
      </c>
      <c r="D17575" s="56">
        <v>0.16632471186937087</v>
      </c>
      <c r="E17575" s="224" t="s">
        <v>2</v>
      </c>
      <c r="F17575" s="515" t="s">
        <v>18751</v>
      </c>
      <c r="G17575" s="52">
        <v>206372.35335393599</v>
      </c>
      <c r="H17575" s="56">
        <v>9.2312466194613849E-2</v>
      </c>
      <c r="I17575" s="224" t="s">
        <v>2</v>
      </c>
    </row>
    <row r="17576" spans="1:9" x14ac:dyDescent="0.25">
      <c r="A17576" s="515">
        <v>58257</v>
      </c>
      <c r="C17576" s="52">
        <v>158909.29187630999</v>
      </c>
      <c r="D17576" s="56">
        <v>5.5702395909973237E-2</v>
      </c>
      <c r="E17576" s="224" t="s">
        <v>2</v>
      </c>
      <c r="F17576" s="515" t="s">
        <v>18752</v>
      </c>
      <c r="G17576" s="52">
        <v>93660.106217851397</v>
      </c>
      <c r="H17576" s="56">
        <v>4.0976973731130011E-2</v>
      </c>
      <c r="I17576" s="224" t="s">
        <v>2</v>
      </c>
    </row>
    <row r="17577" spans="1:9" x14ac:dyDescent="0.25">
      <c r="A17577" s="515">
        <v>67749</v>
      </c>
      <c r="C17577" s="52">
        <v>79503.472450284797</v>
      </c>
      <c r="D17577" s="56">
        <v>8.832464355920798E-2</v>
      </c>
      <c r="E17577" s="224" t="s">
        <v>2</v>
      </c>
      <c r="F17577" s="515" t="s">
        <v>18753</v>
      </c>
      <c r="G17577" s="52">
        <v>387695.08080807998</v>
      </c>
      <c r="H17577" s="56">
        <v>0</v>
      </c>
      <c r="I17577" s="224" t="s">
        <v>2</v>
      </c>
    </row>
    <row r="17578" spans="1:9" x14ac:dyDescent="0.25">
      <c r="A17578" s="515">
        <v>33857</v>
      </c>
      <c r="B17578" s="515" t="s">
        <v>1099</v>
      </c>
      <c r="C17578" s="52">
        <v>246399.35621209501</v>
      </c>
      <c r="D17578" s="56">
        <v>0.16115966265226964</v>
      </c>
      <c r="E17578" s="224" t="s">
        <v>2</v>
      </c>
      <c r="F17578" s="515" t="s">
        <v>18754</v>
      </c>
      <c r="G17578" s="52">
        <v>165114.07148580701</v>
      </c>
      <c r="H17578" s="56">
        <v>6.1464959659681968E-2</v>
      </c>
      <c r="I17578" s="224" t="s">
        <v>2</v>
      </c>
    </row>
    <row r="17579" spans="1:9" x14ac:dyDescent="0.25">
      <c r="A17579" s="515">
        <v>53820</v>
      </c>
      <c r="B17579" s="515" t="s">
        <v>664</v>
      </c>
      <c r="C17579" s="52">
        <v>188039.02303705199</v>
      </c>
      <c r="D17579" s="56">
        <v>4.1583337541326815E-2</v>
      </c>
      <c r="E17579" s="224" t="s">
        <v>2</v>
      </c>
      <c r="F17579" s="515" t="s">
        <v>18755</v>
      </c>
      <c r="G17579" s="52">
        <v>132311.29055547199</v>
      </c>
      <c r="H17579" s="56">
        <v>0</v>
      </c>
      <c r="I17579" s="224" t="s">
        <v>2</v>
      </c>
    </row>
    <row r="17580" spans="1:9" x14ac:dyDescent="0.25">
      <c r="A17580" s="515">
        <v>5045</v>
      </c>
      <c r="B17580" s="515" t="s">
        <v>420</v>
      </c>
      <c r="C17580" s="52">
        <v>346050.81581368501</v>
      </c>
      <c r="D17580" s="56">
        <v>9.4682267051501401E-2</v>
      </c>
      <c r="E17580" s="224" t="s">
        <v>2</v>
      </c>
      <c r="F17580" s="515" t="s">
        <v>18756</v>
      </c>
      <c r="G17580" s="52">
        <v>264869.77950807498</v>
      </c>
      <c r="H17580" s="56">
        <v>0.12110283297736398</v>
      </c>
      <c r="I17580" s="224" t="s">
        <v>2</v>
      </c>
    </row>
    <row r="17581" spans="1:9" x14ac:dyDescent="0.25">
      <c r="A17581" s="515">
        <v>4224</v>
      </c>
      <c r="C17581" s="52">
        <v>175436.311897609</v>
      </c>
      <c r="D17581" s="56">
        <v>0.20372039893688054</v>
      </c>
      <c r="E17581" s="224" t="s">
        <v>2</v>
      </c>
      <c r="F17581" s="515" t="s">
        <v>18757</v>
      </c>
      <c r="G17581" s="52">
        <v>202650.43589480201</v>
      </c>
      <c r="H17581" s="56">
        <v>8.2872516590397377E-2</v>
      </c>
      <c r="I17581" s="224" t="s">
        <v>2</v>
      </c>
    </row>
    <row r="17582" spans="1:9" x14ac:dyDescent="0.25">
      <c r="A17582" s="515">
        <v>25674</v>
      </c>
      <c r="C17582" s="52">
        <v>66335.778824130204</v>
      </c>
      <c r="D17582" s="56">
        <v>7.9138398462092488E-2</v>
      </c>
      <c r="E17582" s="224" t="s">
        <v>2</v>
      </c>
      <c r="F17582" s="515" t="s">
        <v>18758</v>
      </c>
      <c r="G17582" s="52">
        <v>120933.362597314</v>
      </c>
      <c r="H17582" s="56">
        <v>8.1793786483103481E-2</v>
      </c>
      <c r="I17582" s="224" t="s">
        <v>2</v>
      </c>
    </row>
    <row r="17583" spans="1:9" x14ac:dyDescent="0.25">
      <c r="A17583" s="515">
        <v>51050</v>
      </c>
      <c r="C17583" s="52">
        <v>217266.13079784799</v>
      </c>
      <c r="D17583" s="56">
        <v>0.12924365629742024</v>
      </c>
      <c r="E17583" s="224" t="s">
        <v>2</v>
      </c>
      <c r="F17583" s="515" t="s">
        <v>18759</v>
      </c>
      <c r="G17583" s="52">
        <v>97569.7061561382</v>
      </c>
      <c r="H17583" s="56">
        <v>5.1345452777257772E-2</v>
      </c>
      <c r="I17583" s="224" t="s">
        <v>2</v>
      </c>
    </row>
    <row r="17584" spans="1:9" x14ac:dyDescent="0.25">
      <c r="A17584" s="515">
        <v>38871</v>
      </c>
      <c r="B17584" s="515" t="s">
        <v>1010</v>
      </c>
      <c r="C17584" s="52">
        <v>154590.12169174699</v>
      </c>
      <c r="D17584" s="56">
        <v>1.1918584887220385E-2</v>
      </c>
      <c r="E17584" s="224" t="s">
        <v>2</v>
      </c>
      <c r="F17584" s="515" t="s">
        <v>18760</v>
      </c>
      <c r="G17584" s="52">
        <v>150254.95675061099</v>
      </c>
      <c r="H17584" s="56">
        <v>0.10545083854647598</v>
      </c>
      <c r="I17584" s="224" t="s">
        <v>2</v>
      </c>
    </row>
    <row r="17585" spans="1:9" x14ac:dyDescent="0.25">
      <c r="A17585" s="515">
        <v>73040</v>
      </c>
      <c r="C17585" s="52">
        <v>89574.913090365997</v>
      </c>
      <c r="D17585" s="56">
        <v>6.3195974035759411E-2</v>
      </c>
      <c r="E17585" s="224" t="s">
        <v>2</v>
      </c>
      <c r="F17585" s="515" t="s">
        <v>18761</v>
      </c>
      <c r="G17585" s="52">
        <v>298245.528936018</v>
      </c>
      <c r="H17585" s="56">
        <v>0.10192385125230286</v>
      </c>
      <c r="I17585" s="224" t="s">
        <v>2</v>
      </c>
    </row>
    <row r="17586" spans="1:9" x14ac:dyDescent="0.25">
      <c r="A17586" s="515">
        <v>65014</v>
      </c>
      <c r="C17586" s="52">
        <v>175170.61978523401</v>
      </c>
      <c r="D17586" s="56">
        <v>0.12813390281664216</v>
      </c>
      <c r="E17586" s="224" t="s">
        <v>2</v>
      </c>
      <c r="F17586" s="515" t="s">
        <v>18762</v>
      </c>
      <c r="G17586" s="52">
        <v>156011.08730158699</v>
      </c>
      <c r="H17586" s="56">
        <v>0</v>
      </c>
      <c r="I17586" s="224" t="s">
        <v>2</v>
      </c>
    </row>
    <row r="17587" spans="1:9" x14ac:dyDescent="0.25">
      <c r="A17587" s="515">
        <v>55732</v>
      </c>
      <c r="B17587" s="515" t="s">
        <v>350</v>
      </c>
      <c r="C17587" s="52">
        <v>166478.65678839499</v>
      </c>
      <c r="D17587" s="56">
        <v>0.13682945735618141</v>
      </c>
      <c r="E17587" s="224" t="s">
        <v>2</v>
      </c>
      <c r="F17587" s="515" t="s">
        <v>18763</v>
      </c>
      <c r="G17587" s="52">
        <v>61306.298335225998</v>
      </c>
      <c r="H17587" s="56">
        <v>0.15380569315761564</v>
      </c>
      <c r="I17587" s="224" t="s">
        <v>2</v>
      </c>
    </row>
    <row r="17588" spans="1:9" x14ac:dyDescent="0.25">
      <c r="A17588" s="515">
        <v>43766</v>
      </c>
      <c r="B17588" s="515" t="s">
        <v>345</v>
      </c>
      <c r="C17588" s="52">
        <v>85348.545774771497</v>
      </c>
      <c r="D17588" s="56">
        <v>0.13900439693202626</v>
      </c>
      <c r="E17588" s="224" t="s">
        <v>2</v>
      </c>
      <c r="F17588" s="515" t="s">
        <v>18764</v>
      </c>
      <c r="G17588" s="52">
        <v>102596.00107021299</v>
      </c>
      <c r="H17588" s="56">
        <v>0.16819863441126676</v>
      </c>
      <c r="I17588" s="224" t="s">
        <v>2</v>
      </c>
    </row>
    <row r="17589" spans="1:9" x14ac:dyDescent="0.25">
      <c r="A17589" s="515">
        <v>74435</v>
      </c>
      <c r="B17589" s="515" t="s">
        <v>326</v>
      </c>
      <c r="C17589" s="52">
        <v>161604.219941758</v>
      </c>
      <c r="D17589" s="56">
        <v>0.13404831321624949</v>
      </c>
      <c r="E17589" s="224" t="s">
        <v>2</v>
      </c>
      <c r="F17589" s="515" t="s">
        <v>18765</v>
      </c>
      <c r="G17589" s="52">
        <v>83089.791636593596</v>
      </c>
      <c r="H17589" s="56">
        <v>0.26087363855375917</v>
      </c>
      <c r="I17589" s="224" t="s">
        <v>2</v>
      </c>
    </row>
    <row r="17590" spans="1:9" x14ac:dyDescent="0.25">
      <c r="A17590" s="515">
        <v>28660</v>
      </c>
      <c r="B17590" s="515" t="s">
        <v>360</v>
      </c>
      <c r="C17590" s="52">
        <v>287230.996343292</v>
      </c>
      <c r="D17590" s="56">
        <v>0.16445145706653719</v>
      </c>
      <c r="E17590" s="224" t="s">
        <v>2</v>
      </c>
      <c r="F17590" s="515" t="s">
        <v>18766</v>
      </c>
      <c r="G17590" s="52">
        <v>221500.68899383099</v>
      </c>
      <c r="H17590" s="56">
        <v>2.5262735067834805E-2</v>
      </c>
      <c r="I17590" s="224" t="s">
        <v>2</v>
      </c>
    </row>
    <row r="17591" spans="1:9" x14ac:dyDescent="0.25">
      <c r="A17591" s="515">
        <v>58623</v>
      </c>
      <c r="C17591" s="52">
        <v>199050.001192681</v>
      </c>
      <c r="D17591" s="56">
        <v>-9.2472829545237924E-3</v>
      </c>
      <c r="E17591" s="224" t="s">
        <v>2</v>
      </c>
      <c r="F17591" s="515" t="s">
        <v>18767</v>
      </c>
      <c r="G17591" s="52">
        <v>344759.38860314502</v>
      </c>
      <c r="H17591" s="56">
        <v>9.8733326139587366E-2</v>
      </c>
      <c r="I17591" s="224" t="s">
        <v>2</v>
      </c>
    </row>
    <row r="17592" spans="1:9" x14ac:dyDescent="0.25">
      <c r="A17592" s="515">
        <v>26059</v>
      </c>
      <c r="B17592" s="515" t="s">
        <v>442</v>
      </c>
      <c r="C17592" s="52">
        <v>144482.24827491201</v>
      </c>
      <c r="D17592" s="56">
        <v>4.6062742263348277E-2</v>
      </c>
      <c r="E17592" s="224" t="s">
        <v>2</v>
      </c>
      <c r="F17592" s="515" t="s">
        <v>18768</v>
      </c>
      <c r="G17592" s="52">
        <v>165656.130758524</v>
      </c>
      <c r="H17592" s="56">
        <v>6.5193737948201713E-2</v>
      </c>
      <c r="I17592" s="224" t="s">
        <v>2</v>
      </c>
    </row>
    <row r="17593" spans="1:9" x14ac:dyDescent="0.25">
      <c r="A17593" s="515">
        <v>13076</v>
      </c>
      <c r="B17593" s="515" t="s">
        <v>361</v>
      </c>
      <c r="C17593" s="52">
        <v>183265.70082002899</v>
      </c>
      <c r="D17593" s="56">
        <v>0.12245799717194029</v>
      </c>
      <c r="E17593" s="224" t="s">
        <v>2</v>
      </c>
      <c r="F17593" s="515" t="s">
        <v>18769</v>
      </c>
      <c r="G17593" s="52">
        <v>421689.636809383</v>
      </c>
      <c r="H17593" s="56">
        <v>5.7421123062322424E-3</v>
      </c>
      <c r="I17593" s="224" t="s">
        <v>2</v>
      </c>
    </row>
    <row r="17594" spans="1:9" x14ac:dyDescent="0.25">
      <c r="A17594" s="515">
        <v>13734</v>
      </c>
      <c r="B17594" s="515" t="s">
        <v>840</v>
      </c>
      <c r="C17594" s="52">
        <v>164956.71270485601</v>
      </c>
      <c r="D17594" s="56">
        <v>0.10461325997993046</v>
      </c>
      <c r="E17594" s="224" t="s">
        <v>2</v>
      </c>
      <c r="F17594" s="515" t="s">
        <v>18770</v>
      </c>
      <c r="G17594" s="52">
        <v>127926.657035682</v>
      </c>
      <c r="H17594" s="56">
        <v>3.5412170497737601E-2</v>
      </c>
      <c r="I17594" s="224" t="s">
        <v>2</v>
      </c>
    </row>
    <row r="17595" spans="1:9" x14ac:dyDescent="0.25">
      <c r="A17595" s="515">
        <v>29742</v>
      </c>
      <c r="B17595" s="515" t="s">
        <v>360</v>
      </c>
      <c r="C17595" s="52">
        <v>196431.50322352801</v>
      </c>
      <c r="D17595" s="56">
        <v>3.5848720326918507E-2</v>
      </c>
      <c r="E17595" s="224" t="s">
        <v>2</v>
      </c>
      <c r="F17595" s="515" t="s">
        <v>18771</v>
      </c>
      <c r="G17595" s="52">
        <v>71905.879488472201</v>
      </c>
      <c r="H17595" s="56">
        <v>3.8630815572888361E-2</v>
      </c>
      <c r="I17595" s="224" t="s">
        <v>2</v>
      </c>
    </row>
    <row r="17596" spans="1:9" x14ac:dyDescent="0.25">
      <c r="A17596" s="515">
        <v>83320</v>
      </c>
      <c r="B17596" s="515" t="s">
        <v>595</v>
      </c>
      <c r="C17596" s="52">
        <v>394012.90576072602</v>
      </c>
      <c r="D17596" s="56">
        <v>7.5209263050854763E-2</v>
      </c>
      <c r="E17596" s="224" t="s">
        <v>2</v>
      </c>
      <c r="F17596" s="515" t="s">
        <v>18772</v>
      </c>
      <c r="G17596" s="52">
        <v>814933.72363606305</v>
      </c>
      <c r="H17596" s="56">
        <v>0.13328660174361245</v>
      </c>
      <c r="I17596" s="224" t="s">
        <v>2</v>
      </c>
    </row>
    <row r="17597" spans="1:9" x14ac:dyDescent="0.25">
      <c r="A17597" s="515">
        <v>95223</v>
      </c>
      <c r="C17597" s="52">
        <v>445211.08105302003</v>
      </c>
      <c r="D17597" s="56">
        <v>6.4276385815254192E-3</v>
      </c>
      <c r="E17597" s="224" t="s">
        <v>2</v>
      </c>
      <c r="F17597" s="515" t="s">
        <v>18773</v>
      </c>
      <c r="G17597" s="52">
        <v>359209.83678198198</v>
      </c>
      <c r="H17597" s="56">
        <v>0.16548491185965558</v>
      </c>
      <c r="I17597" s="224" t="s">
        <v>2</v>
      </c>
    </row>
    <row r="17598" spans="1:9" x14ac:dyDescent="0.25">
      <c r="A17598" s="515">
        <v>75681</v>
      </c>
      <c r="B17598" s="515" t="s">
        <v>319</v>
      </c>
      <c r="C17598" s="52">
        <v>177112.72358349201</v>
      </c>
      <c r="D17598" s="56">
        <v>7.4494101201018306E-2</v>
      </c>
      <c r="E17598" s="224" t="s">
        <v>2</v>
      </c>
      <c r="F17598" s="515" t="s">
        <v>18774</v>
      </c>
      <c r="G17598" s="52">
        <v>113186.591902254</v>
      </c>
      <c r="H17598" s="56">
        <v>0.26617088211973106</v>
      </c>
      <c r="I17598" s="224" t="s">
        <v>2</v>
      </c>
    </row>
    <row r="17599" spans="1:9" x14ac:dyDescent="0.25">
      <c r="A17599" s="515">
        <v>55007</v>
      </c>
      <c r="C17599" s="52">
        <v>226335.103824791</v>
      </c>
      <c r="D17599" s="56">
        <v>0.18057306012216184</v>
      </c>
      <c r="E17599" s="224" t="s">
        <v>2</v>
      </c>
      <c r="F17599" s="515" t="s">
        <v>18775</v>
      </c>
      <c r="G17599" s="52">
        <v>312227.47368420998</v>
      </c>
      <c r="H17599" s="56">
        <v>0</v>
      </c>
      <c r="I17599" s="224" t="s">
        <v>2</v>
      </c>
    </row>
    <row r="17600" spans="1:9" x14ac:dyDescent="0.25">
      <c r="A17600" s="515">
        <v>41649</v>
      </c>
      <c r="C17600" s="52">
        <v>60800.024926087703</v>
      </c>
      <c r="D17600" s="56">
        <v>0.28209398175885636</v>
      </c>
      <c r="E17600" s="224" t="s">
        <v>2</v>
      </c>
      <c r="F17600" s="515" t="s">
        <v>18776</v>
      </c>
      <c r="G17600" s="52">
        <v>257663.377185113</v>
      </c>
      <c r="H17600" s="56">
        <v>-1.7032181100386842E-2</v>
      </c>
      <c r="I17600" s="224" t="s">
        <v>2</v>
      </c>
    </row>
    <row r="17601" spans="1:9" x14ac:dyDescent="0.25">
      <c r="A17601" s="515">
        <v>23301</v>
      </c>
      <c r="C17601" s="52">
        <v>136424.68566471501</v>
      </c>
      <c r="D17601" s="56">
        <v>-1.9668869007627762E-2</v>
      </c>
      <c r="E17601" s="224" t="s">
        <v>2</v>
      </c>
      <c r="F17601" s="515" t="s">
        <v>18777</v>
      </c>
      <c r="G17601" s="52">
        <v>128939.235306009</v>
      </c>
      <c r="H17601" s="56">
        <v>5.3331916973152586E-2</v>
      </c>
      <c r="I17601" s="224" t="s">
        <v>2</v>
      </c>
    </row>
    <row r="17602" spans="1:9" x14ac:dyDescent="0.25">
      <c r="A17602" s="515">
        <v>37309</v>
      </c>
      <c r="B17602" s="515" t="s">
        <v>1135</v>
      </c>
      <c r="C17602" s="52">
        <v>190229.47908524299</v>
      </c>
      <c r="D17602" s="56">
        <v>6.7418117878520645E-2</v>
      </c>
      <c r="E17602" s="224" t="s">
        <v>2</v>
      </c>
      <c r="F17602" s="515" t="s">
        <v>18778</v>
      </c>
      <c r="G17602" s="52">
        <v>187699.538449118</v>
      </c>
      <c r="H17602" s="56">
        <v>8.6184577276790603E-2</v>
      </c>
      <c r="I17602" s="224" t="s">
        <v>2</v>
      </c>
    </row>
    <row r="17603" spans="1:9" x14ac:dyDescent="0.25">
      <c r="A17603" s="515">
        <v>16141</v>
      </c>
      <c r="B17603" s="515" t="s">
        <v>652</v>
      </c>
      <c r="C17603" s="52">
        <v>152627.880716919</v>
      </c>
      <c r="D17603" s="56">
        <v>2.2626403651069656E-2</v>
      </c>
      <c r="E17603" s="224" t="s">
        <v>2</v>
      </c>
      <c r="F17603" s="515" t="s">
        <v>18779</v>
      </c>
      <c r="G17603" s="52">
        <v>769654.65559596603</v>
      </c>
      <c r="H17603" s="56">
        <v>3.7314832529450281E-2</v>
      </c>
      <c r="I17603" s="224" t="s">
        <v>2</v>
      </c>
    </row>
    <row r="17604" spans="1:9" x14ac:dyDescent="0.25">
      <c r="A17604" s="515">
        <v>77455</v>
      </c>
      <c r="B17604" s="515" t="s">
        <v>320</v>
      </c>
      <c r="C17604" s="52">
        <v>232714.009658244</v>
      </c>
      <c r="D17604" s="56">
        <v>5.2547223654919553E-2</v>
      </c>
      <c r="E17604" s="224" t="s">
        <v>2</v>
      </c>
      <c r="F17604" s="515" t="s">
        <v>18780</v>
      </c>
      <c r="G17604" s="52">
        <v>230278.233663536</v>
      </c>
      <c r="H17604" s="56">
        <v>7.2989923882653365E-2</v>
      </c>
      <c r="I17604" s="224" t="s">
        <v>2</v>
      </c>
    </row>
    <row r="17605" spans="1:9" x14ac:dyDescent="0.25">
      <c r="A17605" s="515">
        <v>73067</v>
      </c>
      <c r="B17605" s="515" t="s">
        <v>385</v>
      </c>
      <c r="C17605" s="52">
        <v>166751.29004827701</v>
      </c>
      <c r="D17605" s="56">
        <v>0.11806033905851498</v>
      </c>
      <c r="E17605" s="224" t="s">
        <v>2</v>
      </c>
      <c r="F17605" s="515" t="s">
        <v>18781</v>
      </c>
      <c r="G17605" s="52">
        <v>142201.18315268101</v>
      </c>
      <c r="H17605" s="56">
        <v>8.0389874529136429E-2</v>
      </c>
      <c r="I17605" s="224" t="s">
        <v>2</v>
      </c>
    </row>
    <row r="17606" spans="1:9" x14ac:dyDescent="0.25">
      <c r="A17606" s="515">
        <v>54410</v>
      </c>
      <c r="B17606" s="515" t="s">
        <v>607</v>
      </c>
      <c r="C17606" s="52">
        <v>199896.21006796599</v>
      </c>
      <c r="D17606" s="56">
        <v>3.10005112086317E-2</v>
      </c>
      <c r="E17606" s="224" t="s">
        <v>2</v>
      </c>
      <c r="F17606" s="515" t="s">
        <v>18782</v>
      </c>
      <c r="G17606" s="52">
        <v>414988.77775866102</v>
      </c>
      <c r="H17606" s="56">
        <v>4.7584865261176092E-2</v>
      </c>
      <c r="I17606" s="224" t="s">
        <v>2</v>
      </c>
    </row>
    <row r="17607" spans="1:9" x14ac:dyDescent="0.25">
      <c r="A17607" s="515">
        <v>54101</v>
      </c>
      <c r="B17607" s="515" t="s">
        <v>897</v>
      </c>
      <c r="C17607" s="52">
        <v>303764.62316203403</v>
      </c>
      <c r="D17607" s="56">
        <v>9.9885962001785983E-2</v>
      </c>
      <c r="E17607" s="224" t="s">
        <v>2</v>
      </c>
      <c r="F17607" s="515" t="s">
        <v>18783</v>
      </c>
      <c r="G17607" s="52">
        <v>97050.511067887695</v>
      </c>
      <c r="H17607" s="56">
        <v>0</v>
      </c>
      <c r="I17607" s="224" t="s">
        <v>2</v>
      </c>
    </row>
    <row r="17608" spans="1:9" x14ac:dyDescent="0.25">
      <c r="A17608" s="515">
        <v>63822</v>
      </c>
      <c r="C17608" s="52">
        <v>95538.966051844705</v>
      </c>
      <c r="D17608" s="56">
        <v>4.3710265231404442E-2</v>
      </c>
      <c r="E17608" s="224" t="s">
        <v>2</v>
      </c>
      <c r="F17608" s="515" t="s">
        <v>18784</v>
      </c>
      <c r="G17608" s="52">
        <v>110668.218125204</v>
      </c>
      <c r="H17608" s="56">
        <v>0.18909273871297114</v>
      </c>
      <c r="I17608" s="224" t="s">
        <v>2</v>
      </c>
    </row>
    <row r="17609" spans="1:9" x14ac:dyDescent="0.25">
      <c r="A17609" s="515">
        <v>74883</v>
      </c>
      <c r="C17609" s="52">
        <v>101339.883522114</v>
      </c>
      <c r="D17609" s="56">
        <v>0.20395553958171619</v>
      </c>
      <c r="E17609" s="224" t="s">
        <v>2</v>
      </c>
      <c r="F17609" s="515" t="s">
        <v>18785</v>
      </c>
      <c r="G17609" s="52">
        <v>548137.77378587704</v>
      </c>
      <c r="H17609" s="56">
        <v>4.7340150709452855E-2</v>
      </c>
      <c r="I17609" s="224" t="s">
        <v>2</v>
      </c>
    </row>
    <row r="17610" spans="1:9" x14ac:dyDescent="0.25">
      <c r="A17610" s="515">
        <v>69336</v>
      </c>
      <c r="C17610" s="52">
        <v>131388.70254854701</v>
      </c>
      <c r="D17610" s="56">
        <v>9.909311099154236E-2</v>
      </c>
      <c r="E17610" s="224" t="s">
        <v>2</v>
      </c>
      <c r="F17610" s="515" t="s">
        <v>18786</v>
      </c>
      <c r="G17610" s="52">
        <v>219549.89120237101</v>
      </c>
      <c r="H17610" s="56">
        <v>0.12283955905515329</v>
      </c>
      <c r="I17610" s="224" t="s">
        <v>2</v>
      </c>
    </row>
    <row r="17611" spans="1:9" x14ac:dyDescent="0.25">
      <c r="A17611" s="515">
        <v>41033</v>
      </c>
      <c r="B17611" s="515" t="s">
        <v>344</v>
      </c>
      <c r="C17611" s="52">
        <v>202607.06232254801</v>
      </c>
      <c r="D17611" s="56">
        <v>0.17517847760465785</v>
      </c>
      <c r="E17611" s="224" t="s">
        <v>2</v>
      </c>
      <c r="F17611" s="515" t="s">
        <v>18787</v>
      </c>
      <c r="G17611" s="52">
        <v>107277.54240453499</v>
      </c>
      <c r="H17611" s="56">
        <v>0.10365405651925454</v>
      </c>
      <c r="I17611" s="224" t="s">
        <v>2</v>
      </c>
    </row>
    <row r="17612" spans="1:9" x14ac:dyDescent="0.25">
      <c r="A17612" s="515">
        <v>56110</v>
      </c>
      <c r="B17612" s="515" t="s">
        <v>782</v>
      </c>
      <c r="C17612" s="52">
        <v>193484.84136947201</v>
      </c>
      <c r="D17612" s="56">
        <v>1.7567880226196809E-2</v>
      </c>
      <c r="E17612" s="224" t="s">
        <v>2</v>
      </c>
      <c r="F17612" s="515" t="s">
        <v>18788</v>
      </c>
      <c r="G17612" s="52">
        <v>177289.825558198</v>
      </c>
      <c r="H17612" s="56">
        <v>0.10020744877836288</v>
      </c>
      <c r="I17612" s="224" t="s">
        <v>2</v>
      </c>
    </row>
    <row r="17613" spans="1:9" x14ac:dyDescent="0.25">
      <c r="A17613" s="515">
        <v>13620</v>
      </c>
      <c r="C17613" s="52">
        <v>182750.44502252201</v>
      </c>
      <c r="D17613" s="56">
        <v>0.1133792987381501</v>
      </c>
      <c r="E17613" s="224" t="s">
        <v>2</v>
      </c>
      <c r="F17613" s="515" t="s">
        <v>18789</v>
      </c>
      <c r="G17613" s="52">
        <v>1247529.9054789201</v>
      </c>
      <c r="H17613" s="56">
        <v>7.7227361957177998E-2</v>
      </c>
      <c r="I17613" s="224" t="s">
        <v>2</v>
      </c>
    </row>
    <row r="17614" spans="1:9" x14ac:dyDescent="0.25">
      <c r="A17614" s="515">
        <v>65023</v>
      </c>
      <c r="B17614" s="515" t="s">
        <v>711</v>
      </c>
      <c r="C17614" s="52">
        <v>248390.07560548</v>
      </c>
      <c r="D17614" s="56">
        <v>0.13991680882584176</v>
      </c>
      <c r="E17614" s="224" t="s">
        <v>2</v>
      </c>
      <c r="F17614" s="515" t="s">
        <v>18790</v>
      </c>
      <c r="G17614" s="52">
        <v>167225.788846827</v>
      </c>
      <c r="H17614" s="56">
        <v>6.7700966911173374E-2</v>
      </c>
      <c r="I17614" s="224" t="s">
        <v>2</v>
      </c>
    </row>
    <row r="17615" spans="1:9" x14ac:dyDescent="0.25">
      <c r="A17615" s="515">
        <v>62917</v>
      </c>
      <c r="C17615" s="52">
        <v>50864.627015349601</v>
      </c>
      <c r="D17615" s="56">
        <v>1.0785719812306509E-3</v>
      </c>
      <c r="E17615" s="224" t="s">
        <v>2</v>
      </c>
      <c r="F17615" s="515" t="s">
        <v>18791</v>
      </c>
      <c r="G17615" s="52">
        <v>452964.41611861001</v>
      </c>
      <c r="H17615" s="56">
        <v>3.6875085299437914E-2</v>
      </c>
      <c r="I17615" s="224" t="s">
        <v>2</v>
      </c>
    </row>
    <row r="17616" spans="1:9" x14ac:dyDescent="0.25">
      <c r="A17616" s="515">
        <v>52338</v>
      </c>
      <c r="B17616" s="515" t="s">
        <v>587</v>
      </c>
      <c r="C17616" s="52">
        <v>368475.30151191598</v>
      </c>
      <c r="D17616" s="56">
        <v>7.5296791210710617E-2</v>
      </c>
      <c r="E17616" s="224" t="s">
        <v>2</v>
      </c>
      <c r="F17616" s="515" t="s">
        <v>18792</v>
      </c>
      <c r="G17616" s="52">
        <v>373744.91945689602</v>
      </c>
      <c r="H17616" s="56">
        <v>1.5102584598972306E-2</v>
      </c>
      <c r="I17616" s="224" t="s">
        <v>2</v>
      </c>
    </row>
    <row r="17617" spans="1:9" x14ac:dyDescent="0.25">
      <c r="A17617" s="515">
        <v>54819</v>
      </c>
      <c r="C17617" s="52">
        <v>158746.24664095801</v>
      </c>
      <c r="D17617" s="56">
        <v>7.7272106179729128E-2</v>
      </c>
      <c r="E17617" s="224" t="s">
        <v>2</v>
      </c>
      <c r="F17617" s="515" t="s">
        <v>18793</v>
      </c>
      <c r="G17617" s="52">
        <v>119490.020743018</v>
      </c>
      <c r="H17617" s="56">
        <v>0</v>
      </c>
      <c r="I17617" s="224" t="s">
        <v>2</v>
      </c>
    </row>
    <row r="17618" spans="1:9" x14ac:dyDescent="0.25">
      <c r="A17618" s="515">
        <v>62544</v>
      </c>
      <c r="B17618" s="515" t="s">
        <v>540</v>
      </c>
      <c r="C17618" s="52">
        <v>120472.032130337</v>
      </c>
      <c r="D17618" s="56">
        <v>3.28170102023553E-2</v>
      </c>
      <c r="E17618" s="224" t="s">
        <v>2</v>
      </c>
      <c r="F17618" s="515" t="s">
        <v>18794</v>
      </c>
      <c r="G17618" s="52">
        <v>293187.85946795699</v>
      </c>
      <c r="H17618" s="56">
        <v>2.4407321700940676E-2</v>
      </c>
      <c r="I17618" s="224" t="s">
        <v>2</v>
      </c>
    </row>
    <row r="17619" spans="1:9" x14ac:dyDescent="0.25">
      <c r="A17619" s="515">
        <v>45346</v>
      </c>
      <c r="B17619" s="515" t="s">
        <v>316</v>
      </c>
      <c r="C17619" s="52">
        <v>171007.242922401</v>
      </c>
      <c r="D17619" s="56">
        <v>8.9760261751032272E-2</v>
      </c>
      <c r="E17619" s="224" t="s">
        <v>2</v>
      </c>
      <c r="F17619" s="515" t="s">
        <v>18795</v>
      </c>
      <c r="G17619" s="52">
        <v>167116.05972604899</v>
      </c>
      <c r="H17619" s="56">
        <v>0.19240961478658822</v>
      </c>
      <c r="I17619" s="224" t="s">
        <v>2</v>
      </c>
    </row>
    <row r="17620" spans="1:9" x14ac:dyDescent="0.25">
      <c r="A17620" s="515">
        <v>53023</v>
      </c>
      <c r="B17620" s="515" t="s">
        <v>1063</v>
      </c>
      <c r="C17620" s="52">
        <v>264546.97005988</v>
      </c>
      <c r="D17620" s="56">
        <v>0</v>
      </c>
      <c r="E17620" s="224" t="s">
        <v>2</v>
      </c>
      <c r="F17620" s="515" t="s">
        <v>18796</v>
      </c>
      <c r="G17620" s="52">
        <v>208034.185162968</v>
      </c>
      <c r="H17620" s="56">
        <v>6.8009738190144581E-2</v>
      </c>
      <c r="I17620" s="224" t="s">
        <v>2</v>
      </c>
    </row>
    <row r="17621" spans="1:9" x14ac:dyDescent="0.25">
      <c r="A17621" s="515">
        <v>88316</v>
      </c>
      <c r="B17621" s="515" t="s">
        <v>616</v>
      </c>
      <c r="C17621" s="52">
        <v>219935.82211538401</v>
      </c>
      <c r="D17621" s="56">
        <v>0</v>
      </c>
      <c r="E17621" s="224" t="s">
        <v>2</v>
      </c>
      <c r="F17621" s="515" t="s">
        <v>18797</v>
      </c>
      <c r="G17621" s="52">
        <v>128022.672056697</v>
      </c>
      <c r="H17621" s="56">
        <v>0</v>
      </c>
      <c r="I17621" s="224" t="s">
        <v>2</v>
      </c>
    </row>
    <row r="17622" spans="1:9" x14ac:dyDescent="0.25">
      <c r="A17622" s="515">
        <v>88317</v>
      </c>
      <c r="B17622" s="515" t="s">
        <v>476</v>
      </c>
      <c r="C17622" s="52">
        <v>251948.798234627</v>
      </c>
      <c r="D17622" s="56">
        <v>9.3444039292040426E-2</v>
      </c>
      <c r="E17622" s="224" t="s">
        <v>2</v>
      </c>
      <c r="F17622" s="515" t="s">
        <v>18798</v>
      </c>
      <c r="G17622" s="52">
        <v>94255.259583333405</v>
      </c>
      <c r="H17622" s="56">
        <v>0.14190369185934709</v>
      </c>
      <c r="I17622" s="224" t="s">
        <v>2</v>
      </c>
    </row>
    <row r="17623" spans="1:9" x14ac:dyDescent="0.25">
      <c r="A17623" s="515">
        <v>40372</v>
      </c>
      <c r="C17623" s="52">
        <v>223031.27169095699</v>
      </c>
      <c r="D17623" s="56">
        <v>0.19257676988950381</v>
      </c>
      <c r="E17623" s="224" t="s">
        <v>2</v>
      </c>
      <c r="F17623" s="515" t="s">
        <v>18799</v>
      </c>
      <c r="G17623" s="52">
        <v>66987.180270934405</v>
      </c>
      <c r="H17623" s="56">
        <v>0.21982634580326121</v>
      </c>
      <c r="I17623" s="224" t="s">
        <v>2</v>
      </c>
    </row>
    <row r="17624" spans="1:9" x14ac:dyDescent="0.25">
      <c r="A17624" s="515">
        <v>81524</v>
      </c>
      <c r="B17624" s="515" t="s">
        <v>619</v>
      </c>
      <c r="C17624" s="52">
        <v>566310.464658599</v>
      </c>
      <c r="D17624" s="56">
        <v>3.8614589799918761E-2</v>
      </c>
      <c r="E17624" s="224" t="s">
        <v>2</v>
      </c>
      <c r="F17624" s="515" t="s">
        <v>18800</v>
      </c>
      <c r="G17624" s="52">
        <v>140052.36977960501</v>
      </c>
      <c r="H17624" s="56">
        <v>-5.8206033721437636E-2</v>
      </c>
      <c r="I17624" s="224" t="s">
        <v>2</v>
      </c>
    </row>
    <row r="17625" spans="1:9" x14ac:dyDescent="0.25">
      <c r="A17625" s="515">
        <v>52336</v>
      </c>
      <c r="B17625" s="515" t="s">
        <v>404</v>
      </c>
      <c r="C17625" s="52">
        <v>228541.65817241001</v>
      </c>
      <c r="D17625" s="56">
        <v>7.8971887047237496E-2</v>
      </c>
      <c r="E17625" s="224" t="s">
        <v>2</v>
      </c>
      <c r="F17625" s="515" t="s">
        <v>18801</v>
      </c>
      <c r="G17625" s="52">
        <v>65119.792598468201</v>
      </c>
      <c r="H17625" s="56">
        <v>7.1196497481003235E-2</v>
      </c>
      <c r="I17625" s="224" t="s">
        <v>2</v>
      </c>
    </row>
    <row r="17626" spans="1:9" x14ac:dyDescent="0.25">
      <c r="A17626" s="515">
        <v>73647</v>
      </c>
      <c r="C17626" s="52">
        <v>73213.220515260793</v>
      </c>
      <c r="D17626" s="56">
        <v>1.5720797724643753E-2</v>
      </c>
      <c r="E17626" s="224" t="s">
        <v>2</v>
      </c>
      <c r="F17626" s="515" t="s">
        <v>18802</v>
      </c>
      <c r="G17626" s="52">
        <v>195701.044339435</v>
      </c>
      <c r="H17626" s="56">
        <v>9.5887429367840352E-2</v>
      </c>
      <c r="I17626" s="224" t="s">
        <v>2</v>
      </c>
    </row>
    <row r="17627" spans="1:9" x14ac:dyDescent="0.25">
      <c r="A17627" s="515">
        <v>16340</v>
      </c>
      <c r="B17627" s="515" t="s">
        <v>584</v>
      </c>
      <c r="C17627" s="52">
        <v>134197.48749661999</v>
      </c>
      <c r="D17627" s="56">
        <v>0.14955183601326796</v>
      </c>
      <c r="E17627" s="224" t="s">
        <v>2</v>
      </c>
      <c r="F17627" s="515" t="s">
        <v>18803</v>
      </c>
      <c r="G17627" s="52">
        <v>279912.55967628502</v>
      </c>
      <c r="H17627" s="56">
        <v>0.13295951789367433</v>
      </c>
      <c r="I17627" s="224" t="s">
        <v>2</v>
      </c>
    </row>
    <row r="17628" spans="1:9" x14ac:dyDescent="0.25">
      <c r="A17628" s="515">
        <v>24613</v>
      </c>
      <c r="B17628" s="515" t="s">
        <v>306</v>
      </c>
      <c r="C17628" s="52">
        <v>93412.223243819899</v>
      </c>
      <c r="D17628" s="56">
        <v>3.5932411464973592E-2</v>
      </c>
      <c r="E17628" s="224" t="s">
        <v>2</v>
      </c>
      <c r="F17628" s="515" t="s">
        <v>18804</v>
      </c>
      <c r="G17628" s="52">
        <v>255495.16534681999</v>
      </c>
      <c r="H17628" s="56">
        <v>0.18635630161488967</v>
      </c>
      <c r="I17628" s="224" t="s">
        <v>2</v>
      </c>
    </row>
    <row r="17629" spans="1:9" x14ac:dyDescent="0.25">
      <c r="A17629" s="515">
        <v>40440</v>
      </c>
      <c r="B17629" s="515" t="s">
        <v>1015</v>
      </c>
      <c r="C17629" s="52">
        <v>141575.047363705</v>
      </c>
      <c r="D17629" s="56">
        <v>0.14456592690163217</v>
      </c>
      <c r="E17629" s="224" t="s">
        <v>2</v>
      </c>
      <c r="F17629" s="515" t="s">
        <v>18805</v>
      </c>
      <c r="G17629" s="52">
        <v>1191905.0745906699</v>
      </c>
      <c r="H17629" s="56">
        <v>9.8405273912825386E-2</v>
      </c>
      <c r="I17629" s="224" t="s">
        <v>2</v>
      </c>
    </row>
    <row r="17630" spans="1:9" x14ac:dyDescent="0.25">
      <c r="A17630" s="515">
        <v>74956</v>
      </c>
      <c r="C17630" s="52">
        <v>139110.749731669</v>
      </c>
      <c r="D17630" s="56">
        <v>8.5246074157818458E-2</v>
      </c>
      <c r="E17630" s="224" t="s">
        <v>2</v>
      </c>
      <c r="F17630" s="515" t="s">
        <v>18806</v>
      </c>
      <c r="G17630" s="52">
        <v>123960.63314901901</v>
      </c>
      <c r="H17630" s="56">
        <v>0.20582055870276333</v>
      </c>
      <c r="I17630" s="224" t="s">
        <v>2</v>
      </c>
    </row>
    <row r="17631" spans="1:9" x14ac:dyDescent="0.25">
      <c r="A17631" s="515">
        <v>60927</v>
      </c>
      <c r="C17631" s="52">
        <v>180215.53853530699</v>
      </c>
      <c r="D17631" s="56">
        <v>8.0820003033086216E-2</v>
      </c>
      <c r="E17631" s="224" t="s">
        <v>2</v>
      </c>
      <c r="F17631" s="515" t="s">
        <v>18807</v>
      </c>
      <c r="G17631" s="52">
        <v>124558.985107632</v>
      </c>
      <c r="H17631" s="56">
        <v>8.4060753041548128E-2</v>
      </c>
      <c r="I17631" s="224" t="s">
        <v>2</v>
      </c>
    </row>
    <row r="17632" spans="1:9" x14ac:dyDescent="0.25">
      <c r="A17632" s="515">
        <v>41557</v>
      </c>
      <c r="C17632" s="52">
        <v>92945.400645620495</v>
      </c>
      <c r="D17632" s="56">
        <v>0.27047956873949913</v>
      </c>
      <c r="E17632" s="224" t="s">
        <v>2</v>
      </c>
      <c r="F17632" s="515" t="s">
        <v>18808</v>
      </c>
      <c r="G17632" s="52">
        <v>69944.252487902806</v>
      </c>
      <c r="H17632" s="56">
        <v>0.15915368416865891</v>
      </c>
      <c r="I17632" s="224" t="s">
        <v>2</v>
      </c>
    </row>
    <row r="17633" spans="1:9" x14ac:dyDescent="0.25">
      <c r="A17633" s="515">
        <v>29685</v>
      </c>
      <c r="B17633" s="515" t="s">
        <v>613</v>
      </c>
      <c r="C17633" s="52">
        <v>1099366.85908886</v>
      </c>
      <c r="D17633" s="56">
        <v>0.1984309492304516</v>
      </c>
      <c r="E17633" s="224" t="s">
        <v>2</v>
      </c>
      <c r="F17633" s="515" t="s">
        <v>18809</v>
      </c>
      <c r="G17633" s="52">
        <v>134723.10478170801</v>
      </c>
      <c r="H17633" s="56">
        <v>8.0800941110700172E-2</v>
      </c>
      <c r="I17633" s="224" t="s">
        <v>2</v>
      </c>
    </row>
    <row r="17634" spans="1:9" x14ac:dyDescent="0.25">
      <c r="A17634" s="515">
        <v>76656</v>
      </c>
      <c r="B17634" s="515" t="s">
        <v>1057</v>
      </c>
      <c r="C17634" s="52">
        <v>180940.43088044599</v>
      </c>
      <c r="D17634" s="56">
        <v>-6.2472832673964196E-2</v>
      </c>
      <c r="E17634" s="224" t="s">
        <v>2</v>
      </c>
      <c r="F17634" s="515" t="s">
        <v>18810</v>
      </c>
      <c r="G17634" s="52">
        <v>247667.6978269</v>
      </c>
      <c r="H17634" s="56">
        <v>1.5401825769933286E-2</v>
      </c>
      <c r="I17634" s="224" t="s">
        <v>2</v>
      </c>
    </row>
    <row r="17635" spans="1:9" x14ac:dyDescent="0.25">
      <c r="A17635" s="515">
        <v>53504</v>
      </c>
      <c r="C17635" s="52">
        <v>198509.34125386801</v>
      </c>
      <c r="D17635" s="56">
        <v>4.9157982352135018E-2</v>
      </c>
      <c r="E17635" s="224" t="s">
        <v>2</v>
      </c>
      <c r="F17635" s="515" t="s">
        <v>18811</v>
      </c>
      <c r="G17635" s="52">
        <v>517074.16389340803</v>
      </c>
      <c r="H17635" s="56">
        <v>3.5303368565330145E-2</v>
      </c>
      <c r="I17635" s="224" t="s">
        <v>2</v>
      </c>
    </row>
    <row r="17636" spans="1:9" x14ac:dyDescent="0.25">
      <c r="A17636" s="515">
        <v>24467</v>
      </c>
      <c r="B17636" s="515" t="s">
        <v>728</v>
      </c>
      <c r="C17636" s="52">
        <v>352103.07455436699</v>
      </c>
      <c r="D17636" s="56">
        <v>9.5170821440957912E-2</v>
      </c>
      <c r="E17636" s="224" t="s">
        <v>2</v>
      </c>
      <c r="F17636" s="515" t="s">
        <v>18812</v>
      </c>
      <c r="G17636" s="52">
        <v>226873.843351911</v>
      </c>
      <c r="H17636" s="56">
        <v>0.1594601795294591</v>
      </c>
      <c r="I17636" s="224" t="s">
        <v>2</v>
      </c>
    </row>
    <row r="17637" spans="1:9" x14ac:dyDescent="0.25">
      <c r="A17637" s="515">
        <v>54740</v>
      </c>
      <c r="B17637" s="515" t="s">
        <v>532</v>
      </c>
      <c r="C17637" s="52">
        <v>205970.867192354</v>
      </c>
      <c r="D17637" s="56">
        <v>5.1141801791518331E-2</v>
      </c>
      <c r="E17637" s="224" t="s">
        <v>2</v>
      </c>
      <c r="F17637" s="515" t="s">
        <v>18813</v>
      </c>
      <c r="G17637" s="52">
        <v>438296.48320740002</v>
      </c>
      <c r="H17637" s="56">
        <v>5.0170914803553929E-2</v>
      </c>
      <c r="I17637" s="224" t="s">
        <v>2</v>
      </c>
    </row>
    <row r="17638" spans="1:9" x14ac:dyDescent="0.25">
      <c r="A17638" s="515">
        <v>48933</v>
      </c>
      <c r="B17638" s="515" t="s">
        <v>528</v>
      </c>
      <c r="C17638" s="52">
        <v>129425.47547884499</v>
      </c>
      <c r="D17638" s="56">
        <v>7.1097175569411739E-2</v>
      </c>
      <c r="E17638" s="224">
        <v>840</v>
      </c>
      <c r="F17638" s="515" t="s">
        <v>18814</v>
      </c>
      <c r="G17638" s="52">
        <v>62465.222231157597</v>
      </c>
      <c r="H17638" s="56">
        <v>4.9702733299516126E-2</v>
      </c>
      <c r="I17638" s="224" t="s">
        <v>2</v>
      </c>
    </row>
    <row r="17639" spans="1:9" x14ac:dyDescent="0.25">
      <c r="A17639" s="515">
        <v>65745</v>
      </c>
      <c r="C17639" s="52">
        <v>180450.78452922101</v>
      </c>
      <c r="D17639" s="56">
        <v>0.14636956939202803</v>
      </c>
      <c r="E17639" s="224" t="s">
        <v>2</v>
      </c>
      <c r="F17639" s="515" t="s">
        <v>18815</v>
      </c>
      <c r="G17639" s="52">
        <v>171989.142857142</v>
      </c>
      <c r="H17639" s="56">
        <v>0</v>
      </c>
      <c r="I17639" s="224" t="s">
        <v>2</v>
      </c>
    </row>
    <row r="17640" spans="1:9" x14ac:dyDescent="0.25">
      <c r="A17640" s="515">
        <v>27869</v>
      </c>
      <c r="B17640" s="515" t="s">
        <v>909</v>
      </c>
      <c r="C17640" s="52">
        <v>70109.488623377998</v>
      </c>
      <c r="D17640" s="56">
        <v>0.15972096264473074</v>
      </c>
      <c r="E17640" s="224" t="s">
        <v>2</v>
      </c>
      <c r="F17640" s="515" t="s">
        <v>18816</v>
      </c>
      <c r="G17640" s="52">
        <v>185377.864652569</v>
      </c>
      <c r="H17640" s="56">
        <v>6.4960957076827641E-2</v>
      </c>
      <c r="I17640" s="224" t="s">
        <v>2</v>
      </c>
    </row>
    <row r="17641" spans="1:9" x14ac:dyDescent="0.25">
      <c r="A17641" s="515">
        <v>68317</v>
      </c>
      <c r="B17641" s="515" t="s">
        <v>486</v>
      </c>
      <c r="C17641" s="52">
        <v>358451.26371426799</v>
      </c>
      <c r="D17641" s="56">
        <v>7.9952815062167309E-2</v>
      </c>
      <c r="E17641" s="224" t="s">
        <v>2</v>
      </c>
      <c r="F17641" s="515" t="s">
        <v>18817</v>
      </c>
      <c r="G17641" s="52">
        <v>1686373.2108245001</v>
      </c>
      <c r="H17641" s="56">
        <v>0.20537394452178181</v>
      </c>
      <c r="I17641" s="224" t="s">
        <v>2</v>
      </c>
    </row>
    <row r="17642" spans="1:9" x14ac:dyDescent="0.25">
      <c r="A17642" s="515">
        <v>39354</v>
      </c>
      <c r="B17642" s="515" t="s">
        <v>970</v>
      </c>
      <c r="C17642" s="52">
        <v>116704.436281053</v>
      </c>
      <c r="D17642" s="56">
        <v>-5.3629475602773955E-3</v>
      </c>
      <c r="E17642" s="224" t="s">
        <v>2</v>
      </c>
      <c r="F17642" s="515" t="s">
        <v>18818</v>
      </c>
      <c r="G17642" s="52">
        <v>143907.79518072199</v>
      </c>
      <c r="H17642" s="56">
        <v>0</v>
      </c>
      <c r="I17642" s="224" t="s">
        <v>2</v>
      </c>
    </row>
    <row r="17643" spans="1:9" x14ac:dyDescent="0.25">
      <c r="A17643" s="515">
        <v>16052</v>
      </c>
      <c r="B17643" s="515" t="s">
        <v>297</v>
      </c>
      <c r="C17643" s="52">
        <v>247363.56322257101</v>
      </c>
      <c r="D17643" s="56">
        <v>7.3673391187484491E-2</v>
      </c>
      <c r="E17643" s="224" t="s">
        <v>2</v>
      </c>
      <c r="F17643" s="515" t="s">
        <v>18819</v>
      </c>
      <c r="G17643" s="52">
        <v>192123.77613604101</v>
      </c>
      <c r="H17643" s="56">
        <v>0</v>
      </c>
      <c r="I17643" s="224" t="s">
        <v>2</v>
      </c>
    </row>
    <row r="17644" spans="1:9" x14ac:dyDescent="0.25">
      <c r="A17644" s="515">
        <v>79101</v>
      </c>
      <c r="B17644" s="515" t="s">
        <v>869</v>
      </c>
      <c r="C17644" s="52">
        <v>104756.521141727</v>
      </c>
      <c r="D17644" s="56">
        <v>0.15051655250987606</v>
      </c>
      <c r="E17644" s="224" t="s">
        <v>2</v>
      </c>
      <c r="F17644" s="515" t="s">
        <v>18820</v>
      </c>
      <c r="G17644" s="52">
        <v>28641.264705882299</v>
      </c>
      <c r="H17644" s="56">
        <v>0</v>
      </c>
      <c r="I17644" s="224" t="s">
        <v>2</v>
      </c>
    </row>
    <row r="17645" spans="1:9" x14ac:dyDescent="0.25">
      <c r="A17645" s="515">
        <v>43749</v>
      </c>
      <c r="B17645" s="515" t="s">
        <v>499</v>
      </c>
      <c r="C17645" s="52">
        <v>91784.298749961599</v>
      </c>
      <c r="D17645" s="56">
        <v>7.7738370834259746E-2</v>
      </c>
      <c r="E17645" s="224" t="s">
        <v>2</v>
      </c>
      <c r="F17645" s="515" t="s">
        <v>18821</v>
      </c>
      <c r="G17645" s="52">
        <v>227782.99415429699</v>
      </c>
      <c r="H17645" s="56">
        <v>0.20600331365240632</v>
      </c>
      <c r="I17645" s="224" t="s">
        <v>2</v>
      </c>
    </row>
    <row r="17646" spans="1:9" x14ac:dyDescent="0.25">
      <c r="A17646" s="515">
        <v>48740</v>
      </c>
      <c r="C17646" s="52">
        <v>158872.93026282001</v>
      </c>
      <c r="D17646" s="56">
        <v>5.4680350664366668E-2</v>
      </c>
      <c r="E17646" s="224" t="s">
        <v>2</v>
      </c>
      <c r="F17646" s="515" t="s">
        <v>18822</v>
      </c>
      <c r="G17646" s="52">
        <v>475246.06707316998</v>
      </c>
      <c r="H17646" s="56">
        <v>0</v>
      </c>
      <c r="I17646" s="224" t="s">
        <v>2</v>
      </c>
    </row>
    <row r="17647" spans="1:9" x14ac:dyDescent="0.25">
      <c r="A17647" s="515">
        <v>30473</v>
      </c>
      <c r="B17647" s="515" t="s">
        <v>1134</v>
      </c>
      <c r="C17647" s="52">
        <v>97294.282624619795</v>
      </c>
      <c r="D17647" s="56">
        <v>2.5080457775535782E-2</v>
      </c>
      <c r="E17647" s="224" t="s">
        <v>2</v>
      </c>
      <c r="F17647" s="515" t="s">
        <v>18823</v>
      </c>
      <c r="G17647" s="52">
        <v>74815.921471351205</v>
      </c>
      <c r="H17647" s="56">
        <v>0.22605805069424095</v>
      </c>
      <c r="I17647" s="224" t="s">
        <v>2</v>
      </c>
    </row>
    <row r="17648" spans="1:9" x14ac:dyDescent="0.25">
      <c r="A17648" s="515">
        <v>30630</v>
      </c>
      <c r="B17648" s="515" t="s">
        <v>991</v>
      </c>
      <c r="C17648" s="52">
        <v>231994.52339617501</v>
      </c>
      <c r="D17648" s="56">
        <v>0.13194894655951667</v>
      </c>
      <c r="E17648" s="224" t="s">
        <v>2</v>
      </c>
      <c r="F17648" s="515" t="s">
        <v>18824</v>
      </c>
      <c r="G17648" s="52">
        <v>168032.67103155999</v>
      </c>
      <c r="H17648" s="56">
        <v>7.0049042770822911E-2</v>
      </c>
      <c r="I17648" s="224" t="s">
        <v>2</v>
      </c>
    </row>
    <row r="17649" spans="1:9" x14ac:dyDescent="0.25">
      <c r="A17649" s="515">
        <v>12578</v>
      </c>
      <c r="B17649" s="515" t="s">
        <v>529</v>
      </c>
      <c r="C17649" s="52">
        <v>427940.62848132499</v>
      </c>
      <c r="D17649" s="56">
        <v>9.2403698294539871E-2</v>
      </c>
      <c r="E17649" s="224" t="s">
        <v>2</v>
      </c>
      <c r="F17649" s="515" t="s">
        <v>18825</v>
      </c>
      <c r="G17649" s="52">
        <v>137719.674938888</v>
      </c>
      <c r="H17649" s="56">
        <v>6.1733461632450581E-2</v>
      </c>
      <c r="I17649" s="224" t="s">
        <v>2</v>
      </c>
    </row>
    <row r="17650" spans="1:9" x14ac:dyDescent="0.25">
      <c r="A17650" s="515">
        <v>65582</v>
      </c>
      <c r="C17650" s="52">
        <v>185761.95768525</v>
      </c>
      <c r="D17650" s="56">
        <v>9.9741407886200756E-2</v>
      </c>
      <c r="E17650" s="224" t="s">
        <v>2</v>
      </c>
      <c r="F17650" s="515" t="s">
        <v>18826</v>
      </c>
      <c r="G17650" s="52">
        <v>243249.80159071801</v>
      </c>
      <c r="H17650" s="56">
        <v>0.10460163495367984</v>
      </c>
      <c r="I17650" s="224" t="s">
        <v>2</v>
      </c>
    </row>
    <row r="17651" spans="1:9" x14ac:dyDescent="0.25">
      <c r="A17651" s="515">
        <v>49799</v>
      </c>
      <c r="C17651" s="52">
        <v>77838.825534685006</v>
      </c>
      <c r="D17651" s="56">
        <v>-2.1661047722411533E-2</v>
      </c>
      <c r="E17651" s="224" t="s">
        <v>2</v>
      </c>
      <c r="F17651" s="515" t="s">
        <v>18827</v>
      </c>
      <c r="G17651" s="52">
        <v>118946.529995847</v>
      </c>
      <c r="H17651" s="56">
        <v>0</v>
      </c>
      <c r="I17651" s="224" t="s">
        <v>2</v>
      </c>
    </row>
    <row r="17652" spans="1:9" x14ac:dyDescent="0.25">
      <c r="A17652" s="515">
        <v>4750</v>
      </c>
      <c r="C17652" s="52">
        <v>114813.107238328</v>
      </c>
      <c r="D17652" s="56">
        <v>0.1269183707630549</v>
      </c>
      <c r="E17652" s="224" t="s">
        <v>2</v>
      </c>
      <c r="F17652" s="515" t="s">
        <v>18828</v>
      </c>
      <c r="G17652" s="52">
        <v>687980.39313570596</v>
      </c>
      <c r="H17652" s="56">
        <v>6.7289602636479165E-2</v>
      </c>
      <c r="I17652" s="224" t="s">
        <v>2</v>
      </c>
    </row>
    <row r="17653" spans="1:9" x14ac:dyDescent="0.25">
      <c r="A17653" s="515">
        <v>21635</v>
      </c>
      <c r="C17653" s="52">
        <v>337576.170725765</v>
      </c>
      <c r="D17653" s="56">
        <v>4.8964507667388205E-2</v>
      </c>
      <c r="E17653" s="224" t="s">
        <v>2</v>
      </c>
      <c r="F17653" s="515" t="s">
        <v>18829</v>
      </c>
      <c r="G17653" s="52">
        <v>361414.46801109798</v>
      </c>
      <c r="H17653" s="56">
        <v>0.11520552839292601</v>
      </c>
      <c r="I17653" s="224" t="s">
        <v>2</v>
      </c>
    </row>
    <row r="17654" spans="1:9" x14ac:dyDescent="0.25">
      <c r="A17654" s="515">
        <v>43128</v>
      </c>
      <c r="B17654" s="515" t="s">
        <v>1054</v>
      </c>
      <c r="C17654" s="52">
        <v>181100.28105575399</v>
      </c>
      <c r="D17654" s="56">
        <v>8.5553617357192469E-2</v>
      </c>
      <c r="E17654" s="224" t="s">
        <v>2</v>
      </c>
      <c r="F17654" s="515" t="s">
        <v>18830</v>
      </c>
      <c r="G17654" s="52">
        <v>152687.88405797101</v>
      </c>
      <c r="H17654" s="56">
        <v>0</v>
      </c>
      <c r="I17654" s="224" t="s">
        <v>2</v>
      </c>
    </row>
    <row r="17655" spans="1:9" x14ac:dyDescent="0.25">
      <c r="A17655" s="515">
        <v>4911</v>
      </c>
      <c r="C17655" s="52">
        <v>176324.856597912</v>
      </c>
      <c r="D17655" s="56">
        <v>0.12350694185404608</v>
      </c>
      <c r="E17655" s="224" t="s">
        <v>2</v>
      </c>
      <c r="F17655" s="515" t="s">
        <v>18831</v>
      </c>
      <c r="G17655" s="52">
        <v>78700.847821566596</v>
      </c>
      <c r="H17655" s="56">
        <v>8.0429222205236406E-2</v>
      </c>
      <c r="I17655" s="224" t="s">
        <v>2</v>
      </c>
    </row>
    <row r="17656" spans="1:9" x14ac:dyDescent="0.25">
      <c r="A17656" s="515">
        <v>65080</v>
      </c>
      <c r="B17656" s="515" t="s">
        <v>711</v>
      </c>
      <c r="C17656" s="52">
        <v>226697.343559617</v>
      </c>
      <c r="D17656" s="56">
        <v>0</v>
      </c>
      <c r="E17656" s="224" t="s">
        <v>2</v>
      </c>
      <c r="F17656" s="515" t="s">
        <v>18832</v>
      </c>
      <c r="G17656" s="52">
        <v>210915.945215268</v>
      </c>
      <c r="H17656" s="56">
        <v>0</v>
      </c>
      <c r="I17656" s="224" t="s">
        <v>2</v>
      </c>
    </row>
    <row r="17657" spans="1:9" x14ac:dyDescent="0.25">
      <c r="A17657" s="515">
        <v>32140</v>
      </c>
      <c r="B17657" s="515" t="s">
        <v>920</v>
      </c>
      <c r="C17657" s="52">
        <v>180633.39592227701</v>
      </c>
      <c r="D17657" s="56">
        <v>7.8627597004694835E-2</v>
      </c>
      <c r="E17657" s="224" t="s">
        <v>2</v>
      </c>
      <c r="F17657" s="515" t="s">
        <v>18833</v>
      </c>
      <c r="G17657" s="52">
        <v>142447.94657564699</v>
      </c>
      <c r="H17657" s="56">
        <v>9.6791381462458401E-2</v>
      </c>
      <c r="I17657" s="224" t="s">
        <v>2</v>
      </c>
    </row>
    <row r="17658" spans="1:9" x14ac:dyDescent="0.25">
      <c r="A17658" s="515">
        <v>72444</v>
      </c>
      <c r="C17658" s="52">
        <v>111527.075807924</v>
      </c>
      <c r="D17658" s="56">
        <v>1.896668049532374E-2</v>
      </c>
      <c r="E17658" s="224" t="s">
        <v>2</v>
      </c>
      <c r="F17658" s="515" t="s">
        <v>18834</v>
      </c>
      <c r="G17658" s="52">
        <v>473825.17571912298</v>
      </c>
      <c r="H17658" s="56">
        <v>0.125942594334711</v>
      </c>
      <c r="I17658" s="224" t="s">
        <v>2</v>
      </c>
    </row>
    <row r="17659" spans="1:9" x14ac:dyDescent="0.25">
      <c r="A17659" s="515">
        <v>14058</v>
      </c>
      <c r="B17659" s="515" t="s">
        <v>1014</v>
      </c>
      <c r="C17659" s="52">
        <v>171483.973471014</v>
      </c>
      <c r="D17659" s="56">
        <v>7.0613538234693241E-2</v>
      </c>
      <c r="E17659" s="224" t="s">
        <v>2</v>
      </c>
      <c r="F17659" s="515" t="s">
        <v>18835</v>
      </c>
      <c r="G17659" s="52">
        <v>179781.50654381901</v>
      </c>
      <c r="H17659" s="56">
        <v>0.10219712474045754</v>
      </c>
      <c r="I17659" s="224" t="s">
        <v>2</v>
      </c>
    </row>
    <row r="17660" spans="1:9" x14ac:dyDescent="0.25">
      <c r="A17660" s="515">
        <v>93925</v>
      </c>
      <c r="B17660" s="515" t="s">
        <v>443</v>
      </c>
      <c r="C17660" s="52">
        <v>616278.25069822802</v>
      </c>
      <c r="D17660" s="56">
        <v>1.5680546009467538E-2</v>
      </c>
      <c r="E17660" s="224" t="s">
        <v>2</v>
      </c>
      <c r="F17660" s="515" t="s">
        <v>18836</v>
      </c>
      <c r="G17660" s="52">
        <v>101802.469151599</v>
      </c>
      <c r="H17660" s="56">
        <v>6.4133068236914378E-2</v>
      </c>
      <c r="I17660" s="224" t="s">
        <v>2</v>
      </c>
    </row>
    <row r="17661" spans="1:9" x14ac:dyDescent="0.25">
      <c r="A17661" s="515">
        <v>55760</v>
      </c>
      <c r="C17661" s="52">
        <v>233933.34693718501</v>
      </c>
      <c r="D17661" s="56">
        <v>8.4710068169360456E-2</v>
      </c>
      <c r="E17661" s="224" t="s">
        <v>2</v>
      </c>
      <c r="F17661" s="515" t="s">
        <v>18837</v>
      </c>
      <c r="G17661" s="52">
        <v>195154.89130434699</v>
      </c>
      <c r="H17661" s="56">
        <v>0</v>
      </c>
      <c r="I17661" s="224" t="s">
        <v>2</v>
      </c>
    </row>
    <row r="17662" spans="1:9" x14ac:dyDescent="0.25">
      <c r="A17662" s="515">
        <v>29014</v>
      </c>
      <c r="B17662" s="515" t="s">
        <v>360</v>
      </c>
      <c r="C17662" s="52"/>
      <c r="D17662" s="56">
        <v>0</v>
      </c>
      <c r="E17662" s="224" t="s">
        <v>2</v>
      </c>
      <c r="F17662" s="515" t="s">
        <v>18838</v>
      </c>
      <c r="G17662" s="52">
        <v>256396.908163265</v>
      </c>
      <c r="H17662" s="56">
        <v>0</v>
      </c>
      <c r="I17662" s="224" t="s">
        <v>2</v>
      </c>
    </row>
    <row r="17663" spans="1:9" x14ac:dyDescent="0.25">
      <c r="A17663" s="515">
        <v>72386</v>
      </c>
      <c r="B17663" s="515" t="s">
        <v>673</v>
      </c>
      <c r="C17663" s="52">
        <v>78412.937308410503</v>
      </c>
      <c r="D17663" s="56">
        <v>-5.9763215342282627E-2</v>
      </c>
      <c r="E17663" s="224" t="s">
        <v>2</v>
      </c>
      <c r="F17663" s="515" t="s">
        <v>18839</v>
      </c>
      <c r="G17663" s="52">
        <v>162144.39399706401</v>
      </c>
      <c r="H17663" s="56">
        <v>9.6579504238434977E-2</v>
      </c>
      <c r="I17663" s="224" t="s">
        <v>2</v>
      </c>
    </row>
    <row r="17664" spans="1:9" x14ac:dyDescent="0.25">
      <c r="A17664" s="515">
        <v>52043</v>
      </c>
      <c r="C17664" s="52">
        <v>145254.44873567499</v>
      </c>
      <c r="D17664" s="56">
        <v>8.3140948285418598E-2</v>
      </c>
      <c r="E17664" s="224" t="s">
        <v>2</v>
      </c>
      <c r="F17664" s="515" t="s">
        <v>18840</v>
      </c>
      <c r="G17664" s="52">
        <v>212832.00777044799</v>
      </c>
      <c r="H17664" s="56">
        <v>0.16445292248247037</v>
      </c>
      <c r="I17664" s="224" t="s">
        <v>2</v>
      </c>
    </row>
    <row r="17665" spans="1:9" x14ac:dyDescent="0.25">
      <c r="A17665" s="515">
        <v>40003</v>
      </c>
      <c r="B17665" s="515" t="s">
        <v>479</v>
      </c>
      <c r="C17665" s="52">
        <v>189154.30739825999</v>
      </c>
      <c r="D17665" s="56">
        <v>3.7813366954642283E-2</v>
      </c>
      <c r="E17665" s="224" t="s">
        <v>2</v>
      </c>
      <c r="F17665" s="515" t="s">
        <v>18841</v>
      </c>
      <c r="G17665" s="52">
        <v>492870.509337097</v>
      </c>
      <c r="H17665" s="56">
        <v>3.1422900273220243E-3</v>
      </c>
      <c r="I17665" s="224" t="s">
        <v>2</v>
      </c>
    </row>
    <row r="17666" spans="1:9" x14ac:dyDescent="0.25">
      <c r="A17666" s="515">
        <v>32949</v>
      </c>
      <c r="B17666" s="515" t="s">
        <v>1133</v>
      </c>
      <c r="C17666" s="52">
        <v>566137.63123879698</v>
      </c>
      <c r="D17666" s="56">
        <v>0.12140985928795371</v>
      </c>
      <c r="E17666" s="224" t="s">
        <v>2</v>
      </c>
      <c r="F17666" s="515" t="s">
        <v>18842</v>
      </c>
      <c r="G17666" s="52">
        <v>297918.62820512801</v>
      </c>
      <c r="H17666" s="56">
        <v>0</v>
      </c>
      <c r="I17666" s="224" t="s">
        <v>2</v>
      </c>
    </row>
    <row r="17667" spans="1:9" x14ac:dyDescent="0.25">
      <c r="A17667" s="515">
        <v>49945</v>
      </c>
      <c r="B17667" s="515" t="s">
        <v>462</v>
      </c>
      <c r="C17667" s="52">
        <v>139023.84459760299</v>
      </c>
      <c r="D17667" s="56">
        <v>4.4631725307135293E-2</v>
      </c>
      <c r="E17667" s="224" t="s">
        <v>2</v>
      </c>
      <c r="F17667" s="515" t="s">
        <v>18843</v>
      </c>
      <c r="G17667" s="52">
        <v>386700.51490198099</v>
      </c>
      <c r="H17667" s="56">
        <v>6.5686448906049424E-2</v>
      </c>
      <c r="I17667" s="224" t="s">
        <v>2</v>
      </c>
    </row>
    <row r="17668" spans="1:9" x14ac:dyDescent="0.25">
      <c r="A17668" s="515">
        <v>70450</v>
      </c>
      <c r="B17668" s="515" t="s">
        <v>1132</v>
      </c>
      <c r="C17668" s="52">
        <v>138472.77245354</v>
      </c>
      <c r="D17668" s="56">
        <v>2.1633588002181715E-2</v>
      </c>
      <c r="E17668" s="224" t="s">
        <v>2</v>
      </c>
      <c r="F17668" s="515" t="s">
        <v>18844</v>
      </c>
      <c r="G17668" s="52">
        <v>242846.57177631499</v>
      </c>
      <c r="H17668" s="56">
        <v>6.7216472436842326E-2</v>
      </c>
      <c r="I17668" s="224" t="s">
        <v>2</v>
      </c>
    </row>
    <row r="17669" spans="1:9" x14ac:dyDescent="0.25">
      <c r="A17669" s="515">
        <v>12910</v>
      </c>
      <c r="B17669" s="515" t="s">
        <v>395</v>
      </c>
      <c r="C17669" s="52">
        <v>134269.513272229</v>
      </c>
      <c r="D17669" s="56">
        <v>0.12672668501195902</v>
      </c>
      <c r="E17669" s="224" t="s">
        <v>2</v>
      </c>
      <c r="F17669" s="515" t="s">
        <v>18845</v>
      </c>
      <c r="G17669" s="52">
        <v>458937.77383701497</v>
      </c>
      <c r="H17669" s="56">
        <v>4.4156021606055522E-2</v>
      </c>
      <c r="I17669" s="224" t="s">
        <v>2</v>
      </c>
    </row>
    <row r="17670" spans="1:9" x14ac:dyDescent="0.25">
      <c r="A17670" s="515">
        <v>52656</v>
      </c>
      <c r="B17670" s="515" t="s">
        <v>496</v>
      </c>
      <c r="C17670" s="52">
        <v>189501.014291267</v>
      </c>
      <c r="D17670" s="56">
        <v>9.8309397234240647E-2</v>
      </c>
      <c r="E17670" s="224" t="s">
        <v>2</v>
      </c>
      <c r="F17670" s="515" t="s">
        <v>15392</v>
      </c>
      <c r="G17670" s="52">
        <v>106076.95348342101</v>
      </c>
      <c r="H17670" s="56">
        <v>7.8664985928832143E-3</v>
      </c>
      <c r="I17670" s="224" t="s">
        <v>2</v>
      </c>
    </row>
    <row r="17671" spans="1:9" x14ac:dyDescent="0.25">
      <c r="A17671" s="515">
        <v>78940</v>
      </c>
      <c r="C17671" s="52">
        <v>542071.10701612802</v>
      </c>
      <c r="D17671" s="56">
        <v>3.1437152650789189E-2</v>
      </c>
      <c r="E17671" s="224" t="s">
        <v>2</v>
      </c>
      <c r="F17671" s="515" t="s">
        <v>18846</v>
      </c>
      <c r="G17671" s="52">
        <v>84314.635460277204</v>
      </c>
      <c r="H17671" s="56">
        <v>-0.11887947066923188</v>
      </c>
      <c r="I17671" s="224" t="s">
        <v>2</v>
      </c>
    </row>
    <row r="17672" spans="1:9" x14ac:dyDescent="0.25">
      <c r="A17672" s="515">
        <v>48417</v>
      </c>
      <c r="B17672" s="515" t="s">
        <v>904</v>
      </c>
      <c r="C17672" s="52">
        <v>159972.147753684</v>
      </c>
      <c r="D17672" s="56">
        <v>0.10891111879961828</v>
      </c>
      <c r="E17672" s="224" t="s">
        <v>2</v>
      </c>
      <c r="F17672" s="515" t="s">
        <v>18847</v>
      </c>
      <c r="G17672" s="52">
        <v>624335.30900232401</v>
      </c>
      <c r="H17672" s="56">
        <v>4.454712834001063E-4</v>
      </c>
      <c r="I17672" s="224" t="s">
        <v>2</v>
      </c>
    </row>
    <row r="17673" spans="1:9" x14ac:dyDescent="0.25">
      <c r="A17673" s="515">
        <v>4694</v>
      </c>
      <c r="C17673" s="52">
        <v>153625.61921428301</v>
      </c>
      <c r="D17673" s="56">
        <v>8.3680589145475312E-2</v>
      </c>
      <c r="E17673" s="224" t="s">
        <v>2</v>
      </c>
      <c r="F17673" s="515" t="s">
        <v>18848</v>
      </c>
      <c r="G17673" s="52">
        <v>247143.71806685801</v>
      </c>
      <c r="H17673" s="56">
        <v>0.24495993307812453</v>
      </c>
      <c r="I17673" s="224" t="s">
        <v>2</v>
      </c>
    </row>
    <row r="17674" spans="1:9" x14ac:dyDescent="0.25">
      <c r="A17674" s="515">
        <v>15618</v>
      </c>
      <c r="B17674" s="515" t="s">
        <v>297</v>
      </c>
      <c r="C17674" s="52">
        <v>121017.560236408</v>
      </c>
      <c r="D17674" s="56">
        <v>4.2207191638625498E-2</v>
      </c>
      <c r="E17674" s="224" t="s">
        <v>2</v>
      </c>
      <c r="F17674" s="515" t="s">
        <v>18849</v>
      </c>
      <c r="G17674" s="52">
        <v>74436.687175068495</v>
      </c>
      <c r="H17674" s="56">
        <v>0.10721783172011404</v>
      </c>
      <c r="I17674" s="224" t="s">
        <v>2</v>
      </c>
    </row>
    <row r="17675" spans="1:9" x14ac:dyDescent="0.25">
      <c r="A17675" s="515">
        <v>72354</v>
      </c>
      <c r="B17675" s="515" t="s">
        <v>673</v>
      </c>
      <c r="C17675" s="52">
        <v>69675.549559000196</v>
      </c>
      <c r="D17675" s="56">
        <v>4.4474686378395113E-2</v>
      </c>
      <c r="E17675" s="224" t="s">
        <v>2</v>
      </c>
      <c r="F17675" s="515" t="s">
        <v>18850</v>
      </c>
      <c r="G17675" s="52">
        <v>493678.32096468902</v>
      </c>
      <c r="H17675" s="56">
        <v>4.3241685455510243E-2</v>
      </c>
      <c r="I17675" s="224" t="s">
        <v>2</v>
      </c>
    </row>
    <row r="17676" spans="1:9" x14ac:dyDescent="0.25">
      <c r="A17676" s="515">
        <v>57029</v>
      </c>
      <c r="C17676" s="52">
        <v>193050.395768819</v>
      </c>
      <c r="D17676" s="56">
        <v>9.0273086870069116E-2</v>
      </c>
      <c r="E17676" s="224" t="s">
        <v>2</v>
      </c>
      <c r="F17676" s="515" t="s">
        <v>18851</v>
      </c>
      <c r="G17676" s="52">
        <v>284703.55111045798</v>
      </c>
      <c r="H17676" s="56">
        <v>8.4581894003106242E-2</v>
      </c>
      <c r="I17676" s="224" t="s">
        <v>2</v>
      </c>
    </row>
    <row r="17677" spans="1:9" x14ac:dyDescent="0.25">
      <c r="A17677" s="515">
        <v>38425</v>
      </c>
      <c r="C17677" s="52">
        <v>144795.563952492</v>
      </c>
      <c r="D17677" s="56">
        <v>6.1471233597916987E-2</v>
      </c>
      <c r="E17677" s="224" t="s">
        <v>2</v>
      </c>
      <c r="F17677" s="515" t="s">
        <v>18852</v>
      </c>
      <c r="G17677" s="52">
        <v>118239.676282247</v>
      </c>
      <c r="H17677" s="56">
        <v>0.11717038510555522</v>
      </c>
      <c r="I17677" s="224" t="s">
        <v>2</v>
      </c>
    </row>
    <row r="17678" spans="1:9" x14ac:dyDescent="0.25">
      <c r="A17678" s="515">
        <v>77597</v>
      </c>
      <c r="B17678" s="515" t="s">
        <v>314</v>
      </c>
      <c r="C17678" s="52">
        <v>277275.35731468198</v>
      </c>
      <c r="D17678" s="56">
        <v>0</v>
      </c>
      <c r="E17678" s="224" t="s">
        <v>2</v>
      </c>
      <c r="F17678" s="515" t="s">
        <v>18853</v>
      </c>
      <c r="G17678" s="52">
        <v>149215.699917605</v>
      </c>
      <c r="H17678" s="56">
        <v>0.15837778441944336</v>
      </c>
      <c r="I17678" s="224" t="s">
        <v>2</v>
      </c>
    </row>
    <row r="17679" spans="1:9" x14ac:dyDescent="0.25">
      <c r="A17679" s="515">
        <v>4537</v>
      </c>
      <c r="C17679" s="52">
        <v>462489.71383294801</v>
      </c>
      <c r="D17679" s="56">
        <v>0.10024528012858654</v>
      </c>
      <c r="E17679" s="224" t="s">
        <v>2</v>
      </c>
      <c r="F17679" s="515" t="s">
        <v>18854</v>
      </c>
      <c r="G17679" s="52">
        <v>108227.66063994099</v>
      </c>
      <c r="H17679" s="56">
        <v>-2.6831047295171457E-2</v>
      </c>
      <c r="I17679" s="224" t="s">
        <v>2</v>
      </c>
    </row>
    <row r="17680" spans="1:9" x14ac:dyDescent="0.25">
      <c r="A17680" s="515">
        <v>61028</v>
      </c>
      <c r="C17680" s="52">
        <v>142236.418742326</v>
      </c>
      <c r="D17680" s="56">
        <v>7.6599024075532859E-2</v>
      </c>
      <c r="E17680" s="224" t="s">
        <v>2</v>
      </c>
      <c r="F17680" s="515" t="s">
        <v>18855</v>
      </c>
      <c r="G17680" s="52">
        <v>71817.576759771895</v>
      </c>
      <c r="H17680" s="56">
        <v>0.34092316128249767</v>
      </c>
      <c r="I17680" s="224" t="s">
        <v>2</v>
      </c>
    </row>
    <row r="17681" spans="1:9" x14ac:dyDescent="0.25">
      <c r="A17681" s="515">
        <v>29819</v>
      </c>
      <c r="B17681" s="515" t="s">
        <v>1075</v>
      </c>
      <c r="C17681" s="52">
        <v>74595.526899744204</v>
      </c>
      <c r="D17681" s="56">
        <v>9.0484598632328717E-2</v>
      </c>
      <c r="E17681" s="224" t="s">
        <v>2</v>
      </c>
      <c r="F17681" s="515" t="s">
        <v>18856</v>
      </c>
      <c r="G17681" s="52">
        <v>377906.514383698</v>
      </c>
      <c r="H17681" s="56">
        <v>5.5592324784554017E-2</v>
      </c>
      <c r="I17681" s="224" t="s">
        <v>2</v>
      </c>
    </row>
    <row r="17682" spans="1:9" x14ac:dyDescent="0.25">
      <c r="A17682" s="515">
        <v>38367</v>
      </c>
      <c r="C17682" s="52">
        <v>144455.05681794701</v>
      </c>
      <c r="D17682" s="56">
        <v>9.1416475154636093E-2</v>
      </c>
      <c r="E17682" s="224" t="s">
        <v>2</v>
      </c>
      <c r="F17682" s="515" t="s">
        <v>18857</v>
      </c>
      <c r="G17682" s="52">
        <v>157845.33679002701</v>
      </c>
      <c r="H17682" s="56">
        <v>0.11354174135391414</v>
      </c>
      <c r="I17682" s="224" t="s">
        <v>2</v>
      </c>
    </row>
    <row r="17683" spans="1:9" x14ac:dyDescent="0.25">
      <c r="A17683" s="515">
        <v>24133</v>
      </c>
      <c r="C17683" s="52">
        <v>124630.78988362799</v>
      </c>
      <c r="D17683" s="56">
        <v>4.1899908231233803E-2</v>
      </c>
      <c r="E17683" s="224" t="s">
        <v>2</v>
      </c>
      <c r="F17683" s="515" t="s">
        <v>18858</v>
      </c>
      <c r="G17683" s="52">
        <v>114934.486864729</v>
      </c>
      <c r="H17683" s="56">
        <v>9.5768508311516842E-2</v>
      </c>
      <c r="I17683" s="224" t="s">
        <v>2</v>
      </c>
    </row>
    <row r="17684" spans="1:9" x14ac:dyDescent="0.25">
      <c r="A17684" s="515">
        <v>62044</v>
      </c>
      <c r="C17684" s="52">
        <v>83196.116279069698</v>
      </c>
      <c r="D17684" s="56">
        <v>0</v>
      </c>
      <c r="E17684" s="224" t="s">
        <v>2</v>
      </c>
      <c r="F17684" s="515" t="s">
        <v>18859</v>
      </c>
      <c r="G17684" s="52">
        <v>261387.99552573499</v>
      </c>
      <c r="H17684" s="56">
        <v>0.12628330735931814</v>
      </c>
      <c r="I17684" s="224" t="s">
        <v>2</v>
      </c>
    </row>
    <row r="17685" spans="1:9" x14ac:dyDescent="0.25">
      <c r="A17685" s="515">
        <v>71720</v>
      </c>
      <c r="B17685" s="515" t="s">
        <v>773</v>
      </c>
      <c r="C17685" s="52">
        <v>71507.299053335504</v>
      </c>
      <c r="D17685" s="56">
        <v>2.2564862229033453E-2</v>
      </c>
      <c r="E17685" s="224" t="s">
        <v>2</v>
      </c>
      <c r="F17685" s="515" t="s">
        <v>18860</v>
      </c>
      <c r="G17685" s="52">
        <v>717546.431467243</v>
      </c>
      <c r="H17685" s="56">
        <v>1.7753219383770356E-2</v>
      </c>
      <c r="I17685" s="224" t="s">
        <v>2</v>
      </c>
    </row>
    <row r="17686" spans="1:9" x14ac:dyDescent="0.25">
      <c r="A17686" s="515">
        <v>49766</v>
      </c>
      <c r="B17686" s="515" t="s">
        <v>912</v>
      </c>
      <c r="C17686" s="52">
        <v>157154.50225322199</v>
      </c>
      <c r="D17686" s="56">
        <v>0.10721652456295216</v>
      </c>
      <c r="E17686" s="224" t="s">
        <v>2</v>
      </c>
      <c r="F17686" s="515" t="s">
        <v>18861</v>
      </c>
      <c r="G17686" s="52">
        <v>87923.597938144303</v>
      </c>
      <c r="H17686" s="56">
        <v>0</v>
      </c>
      <c r="I17686" s="224" t="s">
        <v>2</v>
      </c>
    </row>
    <row r="17687" spans="1:9" x14ac:dyDescent="0.25">
      <c r="A17687" s="515">
        <v>18833</v>
      </c>
      <c r="B17687" s="515" t="s">
        <v>699</v>
      </c>
      <c r="C17687" s="52">
        <v>169639.48722646901</v>
      </c>
      <c r="D17687" s="56">
        <v>0.10444536982729004</v>
      </c>
      <c r="E17687" s="224" t="s">
        <v>2</v>
      </c>
      <c r="F17687" s="515" t="s">
        <v>18862</v>
      </c>
      <c r="G17687" s="52">
        <v>320417.27043258399</v>
      </c>
      <c r="H17687" s="56">
        <v>0.10943330573509294</v>
      </c>
      <c r="I17687" s="224" t="s">
        <v>2</v>
      </c>
    </row>
    <row r="17688" spans="1:9" x14ac:dyDescent="0.25">
      <c r="A17688" s="515">
        <v>56331</v>
      </c>
      <c r="B17688" s="515" t="s">
        <v>418</v>
      </c>
      <c r="C17688" s="52">
        <v>320701.55119536998</v>
      </c>
      <c r="D17688" s="56">
        <v>0.10811057344550853</v>
      </c>
      <c r="E17688" s="224" t="s">
        <v>2</v>
      </c>
      <c r="F17688" s="515" t="s">
        <v>18863</v>
      </c>
      <c r="G17688" s="52">
        <v>611198.36543667596</v>
      </c>
      <c r="H17688" s="56">
        <v>5.3863036203724381E-2</v>
      </c>
      <c r="I17688" s="224" t="s">
        <v>2</v>
      </c>
    </row>
    <row r="17689" spans="1:9" x14ac:dyDescent="0.25">
      <c r="A17689" s="515">
        <v>63549</v>
      </c>
      <c r="C17689" s="52">
        <v>137149.24974072201</v>
      </c>
      <c r="D17689" s="56">
        <v>7.9323257118657411E-2</v>
      </c>
      <c r="E17689" s="224" t="s">
        <v>2</v>
      </c>
      <c r="F17689" s="515" t="s">
        <v>18864</v>
      </c>
      <c r="G17689" s="52">
        <v>312893.06666666601</v>
      </c>
      <c r="H17689" s="56">
        <v>0</v>
      </c>
      <c r="I17689" s="224" t="s">
        <v>2</v>
      </c>
    </row>
    <row r="17690" spans="1:9" x14ac:dyDescent="0.25">
      <c r="A17690" s="515">
        <v>3266</v>
      </c>
      <c r="B17690" s="515" t="s">
        <v>420</v>
      </c>
      <c r="C17690" s="52">
        <v>273921.65851118998</v>
      </c>
      <c r="D17690" s="56">
        <v>0.16913039400336941</v>
      </c>
      <c r="E17690" s="224" t="s">
        <v>2</v>
      </c>
      <c r="F17690" s="515" t="s">
        <v>18865</v>
      </c>
      <c r="G17690" s="52">
        <v>671036.88328559499</v>
      </c>
      <c r="H17690" s="56">
        <v>7.6504106916756409E-2</v>
      </c>
      <c r="I17690" s="224" t="s">
        <v>2</v>
      </c>
    </row>
    <row r="17691" spans="1:9" x14ac:dyDescent="0.25">
      <c r="A17691" s="515">
        <v>56128</v>
      </c>
      <c r="C17691" s="52">
        <v>192417.42967312699</v>
      </c>
      <c r="D17691" s="56">
        <v>5.8309890619094681E-2</v>
      </c>
      <c r="E17691" s="224" t="s">
        <v>2</v>
      </c>
      <c r="F17691" s="515" t="s">
        <v>18866</v>
      </c>
      <c r="G17691" s="52">
        <v>284304.65929600701</v>
      </c>
      <c r="H17691" s="56">
        <v>0.1588333090698569</v>
      </c>
      <c r="I17691" s="224" t="s">
        <v>2</v>
      </c>
    </row>
    <row r="17692" spans="1:9" x14ac:dyDescent="0.25">
      <c r="A17692" s="515">
        <v>38220</v>
      </c>
      <c r="C17692" s="52">
        <v>110268.80576376901</v>
      </c>
      <c r="D17692" s="56">
        <v>3.9104772471358108E-2</v>
      </c>
      <c r="E17692" s="224" t="s">
        <v>2</v>
      </c>
      <c r="F17692" s="515" t="s">
        <v>18867</v>
      </c>
      <c r="G17692" s="52">
        <v>228470.035398935</v>
      </c>
      <c r="H17692" s="56">
        <v>9.5396929905219155E-2</v>
      </c>
      <c r="I17692" s="224" t="s">
        <v>2</v>
      </c>
    </row>
    <row r="17693" spans="1:9" x14ac:dyDescent="0.25">
      <c r="A17693" s="515">
        <v>88023</v>
      </c>
      <c r="B17693" s="515" t="s">
        <v>423</v>
      </c>
      <c r="C17693" s="52">
        <v>110985.23160501799</v>
      </c>
      <c r="D17693" s="56">
        <v>0.23445978685600755</v>
      </c>
      <c r="E17693" s="224" t="s">
        <v>2</v>
      </c>
      <c r="F17693" s="515" t="s">
        <v>18868</v>
      </c>
      <c r="G17693" s="52">
        <v>186651.82685353301</v>
      </c>
      <c r="H17693" s="56">
        <v>4.6577212394304401E-2</v>
      </c>
      <c r="I17693" s="224" t="s">
        <v>2</v>
      </c>
    </row>
    <row r="17694" spans="1:9" x14ac:dyDescent="0.25">
      <c r="A17694" s="515">
        <v>40078</v>
      </c>
      <c r="C17694" s="52">
        <v>157820.294657664</v>
      </c>
      <c r="D17694" s="56">
        <v>0.18428703051374862</v>
      </c>
      <c r="E17694" s="224" t="s">
        <v>2</v>
      </c>
      <c r="F17694" s="515" t="s">
        <v>18869</v>
      </c>
      <c r="G17694" s="52">
        <v>93843.447731639404</v>
      </c>
      <c r="H17694" s="56">
        <v>9.3405243730402612E-2</v>
      </c>
      <c r="I17694" s="224" t="s">
        <v>2</v>
      </c>
    </row>
    <row r="17695" spans="1:9" x14ac:dyDescent="0.25">
      <c r="A17695" s="515">
        <v>15027</v>
      </c>
      <c r="B17695" s="515" t="s">
        <v>297</v>
      </c>
      <c r="C17695" s="52">
        <v>168718.88877376801</v>
      </c>
      <c r="D17695" s="56">
        <v>7.5000922590243504E-2</v>
      </c>
      <c r="E17695" s="224" t="s">
        <v>2</v>
      </c>
      <c r="F17695" s="515" t="s">
        <v>18870</v>
      </c>
      <c r="G17695" s="52">
        <v>93640.253018191303</v>
      </c>
      <c r="H17695" s="56">
        <v>-1.2114552102043864E-2</v>
      </c>
      <c r="I17695" s="224" t="s">
        <v>2</v>
      </c>
    </row>
    <row r="17696" spans="1:9" x14ac:dyDescent="0.25">
      <c r="A17696" s="515">
        <v>3887</v>
      </c>
      <c r="B17696" s="515" t="s">
        <v>534</v>
      </c>
      <c r="C17696" s="52">
        <v>323074.88450279599</v>
      </c>
      <c r="D17696" s="56">
        <v>0.17060067888253538</v>
      </c>
      <c r="E17696" s="224" t="s">
        <v>2</v>
      </c>
      <c r="F17696" s="515" t="s">
        <v>18871</v>
      </c>
      <c r="G17696" s="52">
        <v>230935.49302965699</v>
      </c>
      <c r="H17696" s="56">
        <v>3.3280347808468246E-2</v>
      </c>
      <c r="I17696" s="224" t="s">
        <v>2</v>
      </c>
    </row>
    <row r="17697" spans="1:9" x14ac:dyDescent="0.25">
      <c r="A17697" s="515">
        <v>4640</v>
      </c>
      <c r="C17697" s="52">
        <v>331522.803076551</v>
      </c>
      <c r="D17697" s="56">
        <v>9.7917812671992951E-3</v>
      </c>
      <c r="E17697" s="224" t="s">
        <v>2</v>
      </c>
      <c r="F17697" s="515" t="s">
        <v>18872</v>
      </c>
      <c r="G17697" s="52">
        <v>156166.185715956</v>
      </c>
      <c r="H17697" s="56">
        <v>5.4728977178916248E-2</v>
      </c>
      <c r="I17697" s="224" t="s">
        <v>2</v>
      </c>
    </row>
    <row r="17698" spans="1:9" x14ac:dyDescent="0.25">
      <c r="A17698" s="515">
        <v>64463</v>
      </c>
      <c r="C17698" s="52">
        <v>126763.253547178</v>
      </c>
      <c r="D17698" s="56">
        <v>-3.7346401547651321E-2</v>
      </c>
      <c r="E17698" s="224" t="s">
        <v>2</v>
      </c>
      <c r="F17698" s="515" t="s">
        <v>18873</v>
      </c>
      <c r="G17698" s="52">
        <v>375361.585886791</v>
      </c>
      <c r="H17698" s="56">
        <v>0.12601393301104408</v>
      </c>
      <c r="I17698" s="224" t="s">
        <v>2</v>
      </c>
    </row>
    <row r="17699" spans="1:9" x14ac:dyDescent="0.25">
      <c r="A17699" s="515">
        <v>61744</v>
      </c>
      <c r="B17699" s="515" t="s">
        <v>645</v>
      </c>
      <c r="C17699" s="52">
        <v>160618.099439493</v>
      </c>
      <c r="D17699" s="56">
        <v>7.8031581565900107E-2</v>
      </c>
      <c r="E17699" s="224" t="s">
        <v>2</v>
      </c>
      <c r="F17699" s="515" t="s">
        <v>18874</v>
      </c>
      <c r="G17699" s="52">
        <v>1994962.4094134001</v>
      </c>
      <c r="H17699" s="56">
        <v>0.11399301217134013</v>
      </c>
      <c r="I17699" s="224" t="s">
        <v>2</v>
      </c>
    </row>
    <row r="17700" spans="1:9" x14ac:dyDescent="0.25">
      <c r="A17700" s="515">
        <v>50058</v>
      </c>
      <c r="B17700" s="515" t="s">
        <v>295</v>
      </c>
      <c r="C17700" s="52">
        <v>133311.035509498</v>
      </c>
      <c r="D17700" s="56">
        <v>0.14989225339166645</v>
      </c>
      <c r="E17700" s="224" t="s">
        <v>2</v>
      </c>
      <c r="F17700" s="515" t="s">
        <v>18875</v>
      </c>
      <c r="G17700" s="52">
        <v>466141.626998619</v>
      </c>
      <c r="H17700" s="56">
        <v>-8.7296910707109918E-2</v>
      </c>
      <c r="I17700" s="224" t="s">
        <v>2</v>
      </c>
    </row>
    <row r="17701" spans="1:9" x14ac:dyDescent="0.25">
      <c r="A17701" s="515">
        <v>71341</v>
      </c>
      <c r="C17701" s="52">
        <v>105274.58107762301</v>
      </c>
      <c r="D17701" s="56">
        <v>9.6137955723927082E-2</v>
      </c>
      <c r="E17701" s="224" t="s">
        <v>2</v>
      </c>
      <c r="F17701" s="515" t="s">
        <v>18876</v>
      </c>
      <c r="G17701" s="52">
        <v>161907.87651860699</v>
      </c>
      <c r="H17701" s="56">
        <v>0.32546802255331247</v>
      </c>
      <c r="I17701" s="224" t="s">
        <v>2</v>
      </c>
    </row>
    <row r="17702" spans="1:9" x14ac:dyDescent="0.25">
      <c r="A17702" s="515">
        <v>67431</v>
      </c>
      <c r="C17702" s="52">
        <v>200957.946498526</v>
      </c>
      <c r="D17702" s="56">
        <v>7.8352649051557088E-2</v>
      </c>
      <c r="E17702" s="224" t="s">
        <v>2</v>
      </c>
      <c r="F17702" s="515" t="s">
        <v>18877</v>
      </c>
      <c r="G17702" s="52">
        <v>41147.453956547201</v>
      </c>
      <c r="H17702" s="56">
        <v>-2.518917308706271E-2</v>
      </c>
      <c r="I17702" s="224" t="s">
        <v>2</v>
      </c>
    </row>
    <row r="17703" spans="1:9" x14ac:dyDescent="0.25">
      <c r="A17703" s="515">
        <v>67543</v>
      </c>
      <c r="B17703" s="515" t="s">
        <v>700</v>
      </c>
      <c r="C17703" s="52">
        <v>144767.96144414399</v>
      </c>
      <c r="D17703" s="56">
        <v>7.996287662963307E-2</v>
      </c>
      <c r="E17703" s="224" t="s">
        <v>2</v>
      </c>
      <c r="F17703" s="515" t="s">
        <v>18878</v>
      </c>
      <c r="G17703" s="52">
        <v>362585.09790868999</v>
      </c>
      <c r="H17703" s="56">
        <v>-5.4672795040305276E-2</v>
      </c>
      <c r="I17703" s="224" t="s">
        <v>2</v>
      </c>
    </row>
    <row r="17704" spans="1:9" x14ac:dyDescent="0.25">
      <c r="A17704" s="515">
        <v>43149</v>
      </c>
      <c r="B17704" s="515" t="s">
        <v>345</v>
      </c>
      <c r="C17704" s="52">
        <v>256296.19849138401</v>
      </c>
      <c r="D17704" s="56">
        <v>0.18972123309451266</v>
      </c>
      <c r="E17704" s="224" t="s">
        <v>2</v>
      </c>
      <c r="F17704" s="515" t="s">
        <v>18879</v>
      </c>
      <c r="G17704" s="52">
        <v>246435.66807410301</v>
      </c>
      <c r="H17704" s="56">
        <v>0.16092567836050536</v>
      </c>
      <c r="I17704" s="224" t="s">
        <v>2</v>
      </c>
    </row>
    <row r="17705" spans="1:9" x14ac:dyDescent="0.25">
      <c r="A17705" s="515">
        <v>37892</v>
      </c>
      <c r="C17705" s="52">
        <v>135371.320439459</v>
      </c>
      <c r="D17705" s="56">
        <v>0</v>
      </c>
      <c r="E17705" s="224" t="s">
        <v>2</v>
      </c>
      <c r="F17705" s="515" t="s">
        <v>18880</v>
      </c>
      <c r="G17705" s="52">
        <v>137307.89947301999</v>
      </c>
      <c r="H17705" s="56">
        <v>5.4609957886763552E-2</v>
      </c>
      <c r="I17705" s="224" t="s">
        <v>2</v>
      </c>
    </row>
    <row r="17706" spans="1:9" x14ac:dyDescent="0.25">
      <c r="A17706" s="515">
        <v>3810</v>
      </c>
      <c r="B17706" s="515" t="s">
        <v>1006</v>
      </c>
      <c r="C17706" s="52">
        <v>567844.45096949104</v>
      </c>
      <c r="D17706" s="56">
        <v>0.16182319426737551</v>
      </c>
      <c r="E17706" s="224" t="s">
        <v>2</v>
      </c>
      <c r="F17706" s="515" t="s">
        <v>18881</v>
      </c>
      <c r="G17706" s="52">
        <v>161997.42780863299</v>
      </c>
      <c r="H17706" s="56">
        <v>0.12104904865759783</v>
      </c>
      <c r="I17706" s="224" t="s">
        <v>2</v>
      </c>
    </row>
    <row r="17707" spans="1:9" x14ac:dyDescent="0.25">
      <c r="A17707" s="515">
        <v>62939</v>
      </c>
      <c r="B17707" s="515" t="s">
        <v>471</v>
      </c>
      <c r="C17707" s="52">
        <v>147197.22959058799</v>
      </c>
      <c r="D17707" s="56">
        <v>9.5806534835792989E-2</v>
      </c>
      <c r="E17707" s="224" t="s">
        <v>2</v>
      </c>
      <c r="F17707" s="515" t="s">
        <v>18882</v>
      </c>
      <c r="G17707" s="52">
        <v>151370.81113898999</v>
      </c>
      <c r="H17707" s="56">
        <v>0.10391468546584327</v>
      </c>
      <c r="I17707" s="224" t="s">
        <v>2</v>
      </c>
    </row>
    <row r="17708" spans="1:9" x14ac:dyDescent="0.25">
      <c r="A17708" s="515">
        <v>61924</v>
      </c>
      <c r="C17708" s="52">
        <v>72584.280302068393</v>
      </c>
      <c r="D17708" s="56">
        <v>8.3961391107294442E-4</v>
      </c>
      <c r="E17708" s="224" t="s">
        <v>2</v>
      </c>
      <c r="F17708" s="515" t="s">
        <v>18883</v>
      </c>
      <c r="G17708" s="52">
        <v>118952.550254445</v>
      </c>
      <c r="H17708" s="56">
        <v>4.4682689213221466E-2</v>
      </c>
      <c r="I17708" s="224" t="s">
        <v>2</v>
      </c>
    </row>
    <row r="17709" spans="1:9" x14ac:dyDescent="0.25">
      <c r="A17709" s="515">
        <v>57744</v>
      </c>
      <c r="C17709" s="52">
        <v>480659.32156075002</v>
      </c>
      <c r="D17709" s="56">
        <v>0.17616105099290799</v>
      </c>
      <c r="E17709" s="224" t="s">
        <v>2</v>
      </c>
      <c r="F17709" s="515" t="s">
        <v>18884</v>
      </c>
      <c r="G17709" s="52">
        <v>179346.36600932301</v>
      </c>
      <c r="H17709" s="56">
        <v>9.0958701952694523E-2</v>
      </c>
      <c r="I17709" s="224" t="s">
        <v>2</v>
      </c>
    </row>
    <row r="17710" spans="1:9" x14ac:dyDescent="0.25">
      <c r="A17710" s="515">
        <v>56024</v>
      </c>
      <c r="B17710" s="515" t="s">
        <v>542</v>
      </c>
      <c r="C17710" s="52">
        <v>298275.06951081898</v>
      </c>
      <c r="D17710" s="56">
        <v>5.3198271023359493E-2</v>
      </c>
      <c r="E17710" s="224" t="s">
        <v>2</v>
      </c>
      <c r="F17710" s="515" t="s">
        <v>18885</v>
      </c>
      <c r="G17710" s="52">
        <v>193221.59403852801</v>
      </c>
      <c r="H17710" s="56">
        <v>7.3820262108588663E-2</v>
      </c>
      <c r="I17710" s="224" t="s">
        <v>2</v>
      </c>
    </row>
    <row r="17711" spans="1:9" x14ac:dyDescent="0.25">
      <c r="A17711" s="515">
        <v>27212</v>
      </c>
      <c r="C17711" s="52">
        <v>181636.77473051799</v>
      </c>
      <c r="D17711" s="56">
        <v>0.14840438336177667</v>
      </c>
      <c r="E17711" s="224" t="s">
        <v>2</v>
      </c>
      <c r="F17711" s="515" t="s">
        <v>18886</v>
      </c>
      <c r="G17711" s="52">
        <v>152148.084393875</v>
      </c>
      <c r="H17711" s="56">
        <v>8.4987681555261166E-2</v>
      </c>
      <c r="I17711" s="224" t="s">
        <v>2</v>
      </c>
    </row>
    <row r="17712" spans="1:9" x14ac:dyDescent="0.25">
      <c r="A17712" s="515">
        <v>68057</v>
      </c>
      <c r="B17712" s="515" t="s">
        <v>334</v>
      </c>
      <c r="C17712" s="52">
        <v>190593.14287108899</v>
      </c>
      <c r="D17712" s="56">
        <v>0.12467084004230759</v>
      </c>
      <c r="E17712" s="224" t="s">
        <v>2</v>
      </c>
      <c r="F17712" s="515" t="s">
        <v>18887</v>
      </c>
      <c r="G17712" s="52">
        <v>161566.43101644001</v>
      </c>
      <c r="H17712" s="56">
        <v>0.15601707432960862</v>
      </c>
      <c r="I17712" s="224" t="s">
        <v>2</v>
      </c>
    </row>
    <row r="17713" spans="1:9" x14ac:dyDescent="0.25">
      <c r="A17713" s="515">
        <v>12151</v>
      </c>
      <c r="B17713" s="515" t="s">
        <v>609</v>
      </c>
      <c r="C17713" s="52">
        <v>324807.59731470898</v>
      </c>
      <c r="D17713" s="56">
        <v>0.12523095895587735</v>
      </c>
      <c r="E17713" s="224" t="s">
        <v>2</v>
      </c>
      <c r="F17713" s="515" t="s">
        <v>18888</v>
      </c>
      <c r="G17713" s="52">
        <v>208656.135025681</v>
      </c>
      <c r="H17713" s="56">
        <v>0.26586477714250545</v>
      </c>
      <c r="I17713" s="224" t="s">
        <v>2</v>
      </c>
    </row>
    <row r="17714" spans="1:9" x14ac:dyDescent="0.25">
      <c r="A17714" s="515">
        <v>14809</v>
      </c>
      <c r="B17714" s="515" t="s">
        <v>585</v>
      </c>
      <c r="C17714" s="52">
        <v>118447.67283185699</v>
      </c>
      <c r="D17714" s="56">
        <v>0.12398143997696835</v>
      </c>
      <c r="E17714" s="224" t="s">
        <v>2</v>
      </c>
      <c r="F17714" s="515" t="s">
        <v>18889</v>
      </c>
      <c r="G17714" s="52">
        <v>124165.55447657</v>
      </c>
      <c r="H17714" s="56">
        <v>-1.9819553737849913E-2</v>
      </c>
      <c r="I17714" s="224" t="s">
        <v>2</v>
      </c>
    </row>
    <row r="17715" spans="1:9" x14ac:dyDescent="0.25">
      <c r="A17715" s="515">
        <v>38233</v>
      </c>
      <c r="B17715" s="515" t="s">
        <v>691</v>
      </c>
      <c r="C17715" s="52">
        <v>99873.974791588305</v>
      </c>
      <c r="D17715" s="56">
        <v>-1.5325603945518381E-3</v>
      </c>
      <c r="E17715" s="224" t="s">
        <v>2</v>
      </c>
      <c r="F17715" s="515" t="s">
        <v>18890</v>
      </c>
      <c r="G17715" s="52">
        <v>192096.815135476</v>
      </c>
      <c r="H17715" s="56">
        <v>0.10370844560885735</v>
      </c>
      <c r="I17715" s="224" t="s">
        <v>2</v>
      </c>
    </row>
    <row r="17716" spans="1:9" x14ac:dyDescent="0.25">
      <c r="A17716" s="515">
        <v>14139</v>
      </c>
      <c r="B17716" s="515" t="s">
        <v>336</v>
      </c>
      <c r="C17716" s="52">
        <v>300786.50709155999</v>
      </c>
      <c r="D17716" s="56">
        <v>7.3059079255178058E-2</v>
      </c>
      <c r="E17716" s="224" t="s">
        <v>2</v>
      </c>
      <c r="F17716" s="515" t="s">
        <v>18891</v>
      </c>
      <c r="G17716" s="52">
        <v>285401.06335605402</v>
      </c>
      <c r="H17716" s="56">
        <v>0.17377151158749027</v>
      </c>
      <c r="I17716" s="224" t="s">
        <v>2</v>
      </c>
    </row>
    <row r="17717" spans="1:9" x14ac:dyDescent="0.25">
      <c r="A17717" s="515">
        <v>84759</v>
      </c>
      <c r="C17717" s="52">
        <v>359405.60311760899</v>
      </c>
      <c r="D17717" s="56">
        <v>4.6028340526701531E-2</v>
      </c>
      <c r="E17717" s="224" t="s">
        <v>2</v>
      </c>
      <c r="F17717" s="515" t="s">
        <v>18892</v>
      </c>
      <c r="G17717" s="52">
        <v>175405.337900785</v>
      </c>
      <c r="H17717" s="56">
        <v>0.15984096817027982</v>
      </c>
      <c r="I17717" s="224" t="s">
        <v>2</v>
      </c>
    </row>
    <row r="17718" spans="1:9" x14ac:dyDescent="0.25">
      <c r="A17718" s="515">
        <v>31778</v>
      </c>
      <c r="B17718" s="515" t="s">
        <v>505</v>
      </c>
      <c r="C17718" s="52">
        <v>145270.73922848399</v>
      </c>
      <c r="D17718" s="56">
        <v>5.6555536079581747E-2</v>
      </c>
      <c r="E17718" s="224" t="s">
        <v>2</v>
      </c>
      <c r="F17718" s="515" t="s">
        <v>18893</v>
      </c>
      <c r="G17718" s="52">
        <v>61473.102564102497</v>
      </c>
      <c r="H17718" s="56">
        <v>0</v>
      </c>
      <c r="I17718" s="224" t="s">
        <v>2</v>
      </c>
    </row>
    <row r="17719" spans="1:9" x14ac:dyDescent="0.25">
      <c r="A17719" s="515">
        <v>53968</v>
      </c>
      <c r="C17719" s="52">
        <v>149034.005346483</v>
      </c>
      <c r="D17719" s="56">
        <v>9.3149062759463747E-2</v>
      </c>
      <c r="E17719" s="224" t="s">
        <v>2</v>
      </c>
      <c r="F17719" s="515" t="s">
        <v>18894</v>
      </c>
      <c r="G17719" s="52">
        <v>197115.51105532699</v>
      </c>
      <c r="H17719" s="56">
        <v>0</v>
      </c>
      <c r="I17719" s="224" t="s">
        <v>2</v>
      </c>
    </row>
    <row r="17720" spans="1:9" x14ac:dyDescent="0.25">
      <c r="A17720" s="515">
        <v>47561</v>
      </c>
      <c r="B17720" s="515" t="s">
        <v>573</v>
      </c>
      <c r="C17720" s="52">
        <v>130266.41518837601</v>
      </c>
      <c r="D17720" s="56">
        <v>3.5462928568586675E-2</v>
      </c>
      <c r="E17720" s="224" t="s">
        <v>2</v>
      </c>
      <c r="F17720" s="515" t="s">
        <v>18895</v>
      </c>
      <c r="G17720" s="52">
        <v>174609.486967551</v>
      </c>
      <c r="H17720" s="56">
        <v>0.14488944851347729</v>
      </c>
      <c r="I17720" s="224" t="s">
        <v>2</v>
      </c>
    </row>
    <row r="17721" spans="1:9" x14ac:dyDescent="0.25">
      <c r="A17721" s="515">
        <v>50851</v>
      </c>
      <c r="C17721" s="52">
        <v>131100.08969091999</v>
      </c>
      <c r="D17721" s="56">
        <v>8.3244666359260935E-2</v>
      </c>
      <c r="E17721" s="224" t="s">
        <v>2</v>
      </c>
      <c r="F17721" s="515" t="s">
        <v>18896</v>
      </c>
      <c r="G17721" s="52">
        <v>410537.405433851</v>
      </c>
      <c r="H17721" s="56">
        <v>3.9505680998461856E-2</v>
      </c>
      <c r="I17721" s="224" t="s">
        <v>2</v>
      </c>
    </row>
    <row r="17722" spans="1:9" x14ac:dyDescent="0.25">
      <c r="A17722" s="515">
        <v>63347</v>
      </c>
      <c r="B17722" s="515" t="s">
        <v>498</v>
      </c>
      <c r="C17722" s="52">
        <v>232591.38077632699</v>
      </c>
      <c r="D17722" s="56">
        <v>7.7528589601115125E-3</v>
      </c>
      <c r="E17722" s="224" t="s">
        <v>2</v>
      </c>
      <c r="F17722" s="515" t="s">
        <v>18897</v>
      </c>
      <c r="G17722" s="52">
        <v>188463.45675968099</v>
      </c>
      <c r="H17722" s="56">
        <v>7.1209474491171668E-2</v>
      </c>
      <c r="I17722" s="224" t="s">
        <v>2</v>
      </c>
    </row>
    <row r="17723" spans="1:9" x14ac:dyDescent="0.25">
      <c r="A17723" s="515">
        <v>37178</v>
      </c>
      <c r="B17723" s="515" t="s">
        <v>651</v>
      </c>
      <c r="C17723" s="52">
        <v>190250.470805833</v>
      </c>
      <c r="D17723" s="56">
        <v>9.374913708655036E-2</v>
      </c>
      <c r="E17723" s="224" t="s">
        <v>2</v>
      </c>
      <c r="F17723" s="515" t="s">
        <v>18898</v>
      </c>
      <c r="G17723" s="52">
        <v>122981.339720945</v>
      </c>
      <c r="H17723" s="56">
        <v>0</v>
      </c>
      <c r="I17723" s="224" t="s">
        <v>2</v>
      </c>
    </row>
    <row r="17724" spans="1:9" x14ac:dyDescent="0.25">
      <c r="A17724" s="515">
        <v>55088</v>
      </c>
      <c r="B17724" s="515" t="s">
        <v>504</v>
      </c>
      <c r="C17724" s="52">
        <v>516432.53498665302</v>
      </c>
      <c r="D17724" s="56">
        <v>6.3682189382626903E-2</v>
      </c>
      <c r="E17724" s="224" t="s">
        <v>2</v>
      </c>
      <c r="F17724" s="515" t="s">
        <v>18899</v>
      </c>
      <c r="G17724" s="52">
        <v>166961.67081351599</v>
      </c>
      <c r="H17724" s="56">
        <v>4.0485044428635167E-2</v>
      </c>
      <c r="I17724" s="224" t="s">
        <v>2</v>
      </c>
    </row>
    <row r="17725" spans="1:9" x14ac:dyDescent="0.25">
      <c r="A17725" s="515">
        <v>49780</v>
      </c>
      <c r="B17725" s="515" t="s">
        <v>740</v>
      </c>
      <c r="C17725" s="52">
        <v>125498.789351546</v>
      </c>
      <c r="D17725" s="56">
        <v>6.4709672827577044E-2</v>
      </c>
      <c r="E17725" s="224" t="s">
        <v>2</v>
      </c>
      <c r="F17725" s="515" t="s">
        <v>18900</v>
      </c>
      <c r="G17725" s="52">
        <v>184259.95945375401</v>
      </c>
      <c r="H17725" s="56">
        <v>6.617141380350737E-2</v>
      </c>
      <c r="I17725" s="224" t="s">
        <v>2</v>
      </c>
    </row>
    <row r="17726" spans="1:9" x14ac:dyDescent="0.25">
      <c r="A17726" s="515">
        <v>64855</v>
      </c>
      <c r="B17726" s="515" t="s">
        <v>784</v>
      </c>
      <c r="C17726" s="52">
        <v>217987.47785286899</v>
      </c>
      <c r="D17726" s="56">
        <v>9.6092220173745524E-2</v>
      </c>
      <c r="E17726" s="224" t="s">
        <v>2</v>
      </c>
      <c r="F17726" s="515" t="s">
        <v>18901</v>
      </c>
      <c r="G17726" s="52">
        <v>84609.416666666599</v>
      </c>
      <c r="H17726" s="56">
        <v>0</v>
      </c>
      <c r="I17726" s="224" t="s">
        <v>2</v>
      </c>
    </row>
    <row r="17727" spans="1:9" x14ac:dyDescent="0.25">
      <c r="A17727" s="515">
        <v>39421</v>
      </c>
      <c r="C17727" s="52">
        <v>98962.996601957697</v>
      </c>
      <c r="D17727" s="56">
        <v>-0.11441821116391446</v>
      </c>
      <c r="E17727" s="224" t="s">
        <v>2</v>
      </c>
      <c r="F17727" s="515" t="s">
        <v>18902</v>
      </c>
      <c r="G17727" s="52">
        <v>184152.31001800401</v>
      </c>
      <c r="H17727" s="56">
        <v>0</v>
      </c>
      <c r="I17727" s="224" t="s">
        <v>2</v>
      </c>
    </row>
    <row r="17728" spans="1:9" x14ac:dyDescent="0.25">
      <c r="A17728" s="515">
        <v>22713</v>
      </c>
      <c r="B17728" s="515" t="s">
        <v>321</v>
      </c>
      <c r="C17728" s="52">
        <v>448843.972404</v>
      </c>
      <c r="D17728" s="56">
        <v>6.6266158525904242E-2</v>
      </c>
      <c r="E17728" s="224" t="s">
        <v>2</v>
      </c>
      <c r="F17728" s="515" t="s">
        <v>18903</v>
      </c>
      <c r="G17728" s="52">
        <v>145212.66422195701</v>
      </c>
      <c r="H17728" s="56">
        <v>2.9508782274153093E-2</v>
      </c>
      <c r="I17728" s="224" t="s">
        <v>2</v>
      </c>
    </row>
    <row r="17729" spans="1:9" x14ac:dyDescent="0.25">
      <c r="A17729" s="515">
        <v>51001</v>
      </c>
      <c r="C17729" s="52">
        <v>174456.13183843499</v>
      </c>
      <c r="D17729" s="56">
        <v>0.11091690857893417</v>
      </c>
      <c r="E17729" s="224" t="s">
        <v>2</v>
      </c>
      <c r="F17729" s="515" t="s">
        <v>18904</v>
      </c>
      <c r="G17729" s="52">
        <v>74271.807397974902</v>
      </c>
      <c r="H17729" s="56">
        <v>0.10563859168719757</v>
      </c>
      <c r="I17729" s="224" t="s">
        <v>2</v>
      </c>
    </row>
    <row r="17730" spans="1:9" x14ac:dyDescent="0.25">
      <c r="A17730" s="515">
        <v>12023</v>
      </c>
      <c r="B17730" s="515" t="s">
        <v>609</v>
      </c>
      <c r="C17730" s="52">
        <v>251405.10802287699</v>
      </c>
      <c r="D17730" s="56">
        <v>5.0784194156636313E-2</v>
      </c>
      <c r="E17730" s="224" t="s">
        <v>2</v>
      </c>
      <c r="F17730" s="515" t="s">
        <v>18905</v>
      </c>
      <c r="G17730" s="52">
        <v>54559.304114988103</v>
      </c>
      <c r="H17730" s="56">
        <v>4.7369493580518993E-2</v>
      </c>
      <c r="I17730" s="224" t="s">
        <v>2</v>
      </c>
    </row>
    <row r="17731" spans="1:9" x14ac:dyDescent="0.25">
      <c r="A17731" s="515">
        <v>24083</v>
      </c>
      <c r="B17731" s="515" t="s">
        <v>861</v>
      </c>
      <c r="C17731" s="52">
        <v>389920.543676125</v>
      </c>
      <c r="D17731" s="56">
        <v>5.6852456694027234E-2</v>
      </c>
      <c r="E17731" s="224" t="s">
        <v>2</v>
      </c>
      <c r="F17731" s="515" t="s">
        <v>18906</v>
      </c>
      <c r="G17731" s="52">
        <v>178986.34267131501</v>
      </c>
      <c r="H17731" s="56">
        <v>-1.7957184274456132E-2</v>
      </c>
      <c r="I17731" s="224" t="s">
        <v>2</v>
      </c>
    </row>
    <row r="17732" spans="1:9" x14ac:dyDescent="0.25">
      <c r="A17732" s="515">
        <v>13612</v>
      </c>
      <c r="B17732" s="515" t="s">
        <v>431</v>
      </c>
      <c r="C17732" s="52">
        <v>210440.19697793701</v>
      </c>
      <c r="D17732" s="56">
        <v>6.1241714125496678E-2</v>
      </c>
      <c r="E17732" s="224" t="s">
        <v>2</v>
      </c>
      <c r="F17732" s="515" t="s">
        <v>18907</v>
      </c>
      <c r="G17732" s="52">
        <v>320060.43661971798</v>
      </c>
      <c r="H17732" s="56">
        <v>0</v>
      </c>
      <c r="I17732" s="224" t="s">
        <v>2</v>
      </c>
    </row>
    <row r="17733" spans="1:9" x14ac:dyDescent="0.25">
      <c r="A17733" s="515">
        <v>68769</v>
      </c>
      <c r="B17733" s="515" t="s">
        <v>615</v>
      </c>
      <c r="C17733" s="52">
        <v>108975.46309557901</v>
      </c>
      <c r="D17733" s="56">
        <v>2.8057939946730739E-2</v>
      </c>
      <c r="E17733" s="224" t="s">
        <v>2</v>
      </c>
      <c r="F17733" s="515" t="s">
        <v>18908</v>
      </c>
      <c r="G17733" s="52">
        <v>322677.572557048</v>
      </c>
      <c r="H17733" s="56">
        <v>0.30049982258977681</v>
      </c>
      <c r="I17733" s="224" t="s">
        <v>2</v>
      </c>
    </row>
    <row r="17734" spans="1:9" x14ac:dyDescent="0.25">
      <c r="A17734" s="515">
        <v>43944</v>
      </c>
      <c r="B17734" s="515" t="s">
        <v>389</v>
      </c>
      <c r="C17734" s="52">
        <v>150101.78447917101</v>
      </c>
      <c r="D17734" s="56">
        <v>4.7351378543302562E-2</v>
      </c>
      <c r="E17734" s="224" t="s">
        <v>2</v>
      </c>
      <c r="F17734" s="515" t="s">
        <v>18909</v>
      </c>
      <c r="G17734" s="52">
        <v>114141.936347572</v>
      </c>
      <c r="H17734" s="56">
        <v>9.9023385000603537E-2</v>
      </c>
      <c r="I17734" s="224" t="s">
        <v>2</v>
      </c>
    </row>
    <row r="17735" spans="1:9" x14ac:dyDescent="0.25">
      <c r="A17735" s="515">
        <v>32502</v>
      </c>
      <c r="B17735" s="515" t="s">
        <v>1131</v>
      </c>
      <c r="C17735" s="52">
        <v>313968.77666472702</v>
      </c>
      <c r="D17735" s="56">
        <v>0.14022159894545347</v>
      </c>
      <c r="E17735" s="224" t="s">
        <v>2</v>
      </c>
      <c r="F17735" s="515" t="s">
        <v>18910</v>
      </c>
      <c r="G17735" s="52">
        <v>137882.256971044</v>
      </c>
      <c r="H17735" s="56">
        <v>-1.5878012972090211E-2</v>
      </c>
      <c r="I17735" s="224" t="s">
        <v>2</v>
      </c>
    </row>
    <row r="17736" spans="1:9" x14ac:dyDescent="0.25">
      <c r="A17736" s="515">
        <v>96779</v>
      </c>
      <c r="B17736" s="515" t="s">
        <v>400</v>
      </c>
      <c r="C17736" s="52">
        <v>1242556.0702951499</v>
      </c>
      <c r="D17736" s="56">
        <v>0.11684507181170491</v>
      </c>
      <c r="E17736" s="224" t="s">
        <v>2</v>
      </c>
      <c r="F17736" s="515" t="s">
        <v>18911</v>
      </c>
      <c r="G17736" s="52">
        <v>128859.84981593399</v>
      </c>
      <c r="H17736" s="56">
        <v>6.0187622968911544E-2</v>
      </c>
      <c r="I17736" s="224" t="s">
        <v>2</v>
      </c>
    </row>
    <row r="17737" spans="1:9" x14ac:dyDescent="0.25">
      <c r="A17737" s="515">
        <v>78933</v>
      </c>
      <c r="C17737" s="52">
        <v>494625.53495531599</v>
      </c>
      <c r="D17737" s="56">
        <v>2.616886935107365E-2</v>
      </c>
      <c r="E17737" s="224" t="s">
        <v>2</v>
      </c>
      <c r="F17737" s="515" t="s">
        <v>18912</v>
      </c>
      <c r="G17737" s="52">
        <v>170515.314532394</v>
      </c>
      <c r="H17737" s="56">
        <v>0.11201424675802438</v>
      </c>
      <c r="I17737" s="224" t="s">
        <v>2</v>
      </c>
    </row>
    <row r="17738" spans="1:9" x14ac:dyDescent="0.25">
      <c r="A17738" s="515">
        <v>79042</v>
      </c>
      <c r="C17738" s="52">
        <v>132267.55290733199</v>
      </c>
      <c r="D17738" s="56">
        <v>2.4559958564596782E-3</v>
      </c>
      <c r="E17738" s="224" t="s">
        <v>2</v>
      </c>
      <c r="F17738" s="515" t="s">
        <v>18913</v>
      </c>
      <c r="G17738" s="52">
        <v>241579.01824995299</v>
      </c>
      <c r="H17738" s="56">
        <v>0.12780253065252681</v>
      </c>
      <c r="I17738" s="224" t="s">
        <v>2</v>
      </c>
    </row>
    <row r="17739" spans="1:9" x14ac:dyDescent="0.25">
      <c r="A17739" s="515">
        <v>92397</v>
      </c>
      <c r="B17739" s="515" t="s">
        <v>599</v>
      </c>
      <c r="C17739" s="52">
        <v>426382.84017707099</v>
      </c>
      <c r="D17739" s="56">
        <v>3.5586919546822395E-2</v>
      </c>
      <c r="E17739" s="224" t="s">
        <v>2</v>
      </c>
      <c r="F17739" s="515" t="s">
        <v>18914</v>
      </c>
      <c r="G17739" s="52">
        <v>400094.26037005999</v>
      </c>
      <c r="H17739" s="56">
        <v>6.7134357458622312E-2</v>
      </c>
      <c r="I17739" s="224" t="s">
        <v>2</v>
      </c>
    </row>
    <row r="17740" spans="1:9" x14ac:dyDescent="0.25">
      <c r="A17740" s="515">
        <v>37726</v>
      </c>
      <c r="B17740" s="515" t="s">
        <v>907</v>
      </c>
      <c r="C17740" s="52">
        <v>164499.20533634999</v>
      </c>
      <c r="D17740" s="56">
        <v>6.3895734090407358E-2</v>
      </c>
      <c r="E17740" s="224" t="s">
        <v>2</v>
      </c>
      <c r="F17740" s="515" t="s">
        <v>18915</v>
      </c>
      <c r="G17740" s="52">
        <v>111057.06703978901</v>
      </c>
      <c r="H17740" s="56">
        <v>3.0293864891513835E-2</v>
      </c>
      <c r="I17740" s="224" t="s">
        <v>2</v>
      </c>
    </row>
    <row r="17741" spans="1:9" x14ac:dyDescent="0.25">
      <c r="A17741" s="515">
        <v>13673</v>
      </c>
      <c r="B17741" s="515" t="s">
        <v>431</v>
      </c>
      <c r="C17741" s="52">
        <v>175463.65125600301</v>
      </c>
      <c r="D17741" s="56">
        <v>7.5982481487471734E-2</v>
      </c>
      <c r="E17741" s="224" t="s">
        <v>2</v>
      </c>
      <c r="F17741" s="515" t="s">
        <v>18916</v>
      </c>
      <c r="G17741" s="52">
        <v>110510.521168042</v>
      </c>
      <c r="H17741" s="56">
        <v>0.16214403478612663</v>
      </c>
      <c r="I17741" s="224" t="s">
        <v>2</v>
      </c>
    </row>
    <row r="17742" spans="1:9" x14ac:dyDescent="0.25">
      <c r="A17742" s="515">
        <v>4263</v>
      </c>
      <c r="B17742" s="515" t="s">
        <v>1120</v>
      </c>
      <c r="C17742" s="52">
        <v>273019.936224862</v>
      </c>
      <c r="D17742" s="56">
        <v>7.4853718680872539E-2</v>
      </c>
      <c r="E17742" s="224" t="s">
        <v>2</v>
      </c>
      <c r="F17742" s="515" t="s">
        <v>18917</v>
      </c>
      <c r="G17742" s="52">
        <v>242851.70125570899</v>
      </c>
      <c r="H17742" s="56">
        <v>5.8614789443253934E-2</v>
      </c>
      <c r="I17742" s="224" t="s">
        <v>2</v>
      </c>
    </row>
    <row r="17743" spans="1:9" x14ac:dyDescent="0.25">
      <c r="A17743" s="515">
        <v>37095</v>
      </c>
      <c r="C17743" s="52">
        <v>256712.30497922099</v>
      </c>
      <c r="D17743" s="56">
        <v>8.8115002629131037E-2</v>
      </c>
      <c r="E17743" s="224" t="s">
        <v>2</v>
      </c>
      <c r="F17743" s="515" t="s">
        <v>18918</v>
      </c>
      <c r="G17743" s="52">
        <v>352097.79245588899</v>
      </c>
      <c r="H17743" s="56">
        <v>3.3199912777167745E-2</v>
      </c>
      <c r="I17743" s="224" t="s">
        <v>2</v>
      </c>
    </row>
    <row r="17744" spans="1:9" x14ac:dyDescent="0.25">
      <c r="A17744" s="515">
        <v>49453</v>
      </c>
      <c r="B17744" s="515" t="s">
        <v>856</v>
      </c>
      <c r="C17744" s="52">
        <v>506071.58148363099</v>
      </c>
      <c r="D17744" s="56">
        <v>0.11811450292586387</v>
      </c>
      <c r="E17744" s="224" t="s">
        <v>2</v>
      </c>
      <c r="F17744" s="515" t="s">
        <v>18919</v>
      </c>
      <c r="G17744" s="52">
        <v>250866.421786149</v>
      </c>
      <c r="H17744" s="56">
        <v>2.8216942650226586E-2</v>
      </c>
      <c r="I17744" s="224" t="s">
        <v>2</v>
      </c>
    </row>
    <row r="17745" spans="1:9" x14ac:dyDescent="0.25">
      <c r="A17745" s="515">
        <v>6442</v>
      </c>
      <c r="B17745" s="515" t="s">
        <v>894</v>
      </c>
      <c r="C17745" s="52">
        <v>421933.39774073899</v>
      </c>
      <c r="D17745" s="56">
        <v>9.6186938284034462E-2</v>
      </c>
      <c r="E17745" s="224" t="s">
        <v>2</v>
      </c>
      <c r="F17745" s="515" t="s">
        <v>18920</v>
      </c>
      <c r="G17745" s="52">
        <v>505435.65042020299</v>
      </c>
      <c r="H17745" s="56">
        <v>0.17248062141990386</v>
      </c>
      <c r="I17745" s="224" t="s">
        <v>2</v>
      </c>
    </row>
    <row r="17746" spans="1:9" x14ac:dyDescent="0.25">
      <c r="A17746" s="515">
        <v>54425</v>
      </c>
      <c r="C17746" s="52">
        <v>148937.20583068501</v>
      </c>
      <c r="D17746" s="56">
        <v>3.7423074019446091E-2</v>
      </c>
      <c r="E17746" s="224" t="s">
        <v>2</v>
      </c>
      <c r="F17746" s="515" t="s">
        <v>18921</v>
      </c>
      <c r="G17746" s="52">
        <v>240033.63114396101</v>
      </c>
      <c r="H17746" s="56">
        <v>0.14177078270113813</v>
      </c>
      <c r="I17746" s="224" t="s">
        <v>2</v>
      </c>
    </row>
    <row r="17747" spans="1:9" x14ac:dyDescent="0.25">
      <c r="A17747" s="515">
        <v>15535</v>
      </c>
      <c r="C17747" s="52">
        <v>214788.034852004</v>
      </c>
      <c r="D17747" s="56">
        <v>3.3723316545826984E-2</v>
      </c>
      <c r="E17747" s="224" t="s">
        <v>2</v>
      </c>
      <c r="F17747" s="515" t="s">
        <v>18922</v>
      </c>
      <c r="G17747" s="52">
        <v>156314.81304835301</v>
      </c>
      <c r="H17747" s="56">
        <v>4.7038539960381431E-2</v>
      </c>
      <c r="I17747" s="224" t="s">
        <v>2</v>
      </c>
    </row>
    <row r="17748" spans="1:9" x14ac:dyDescent="0.25">
      <c r="A17748" s="515">
        <v>36441</v>
      </c>
      <c r="B17748" s="515" t="s">
        <v>919</v>
      </c>
      <c r="C17748" s="52">
        <v>131387.15684080799</v>
      </c>
      <c r="D17748" s="56">
        <v>7.2308578834625617E-2</v>
      </c>
      <c r="E17748" s="224" t="s">
        <v>2</v>
      </c>
      <c r="F17748" s="515" t="s">
        <v>18923</v>
      </c>
      <c r="G17748" s="52">
        <v>445413.71559633</v>
      </c>
      <c r="H17748" s="56">
        <v>0</v>
      </c>
      <c r="I17748" s="224" t="s">
        <v>2</v>
      </c>
    </row>
    <row r="17749" spans="1:9" x14ac:dyDescent="0.25">
      <c r="A17749" s="515">
        <v>39423</v>
      </c>
      <c r="B17749" s="515" t="s">
        <v>1074</v>
      </c>
      <c r="C17749" s="52">
        <v>124299.80445248399</v>
      </c>
      <c r="D17749" s="56">
        <v>-6.9703580729748443E-2</v>
      </c>
      <c r="E17749" s="224" t="s">
        <v>2</v>
      </c>
      <c r="F17749" s="515" t="s">
        <v>18924</v>
      </c>
      <c r="G17749" s="52">
        <v>133887.50275227599</v>
      </c>
      <c r="H17749" s="56">
        <v>0.12750246154849926</v>
      </c>
      <c r="I17749" s="224" t="s">
        <v>2</v>
      </c>
    </row>
    <row r="17750" spans="1:9" x14ac:dyDescent="0.25">
      <c r="A17750" s="515">
        <v>24472</v>
      </c>
      <c r="C17750" s="52">
        <v>305015.22460481798</v>
      </c>
      <c r="D17750" s="56">
        <v>8.1652733654919471E-2</v>
      </c>
      <c r="E17750" s="224" t="s">
        <v>2</v>
      </c>
      <c r="F17750" s="515" t="s">
        <v>18925</v>
      </c>
      <c r="G17750" s="52">
        <v>184458.78892480501</v>
      </c>
      <c r="H17750" s="56">
        <v>7.5921964821120971E-2</v>
      </c>
      <c r="I17750" s="224" t="s">
        <v>2</v>
      </c>
    </row>
    <row r="17751" spans="1:9" x14ac:dyDescent="0.25">
      <c r="A17751" s="515">
        <v>11941</v>
      </c>
      <c r="B17751" s="515" t="s">
        <v>324</v>
      </c>
      <c r="C17751" s="52">
        <v>677948.65377664997</v>
      </c>
      <c r="D17751" s="56">
        <v>4.2611191644332379E-2</v>
      </c>
      <c r="E17751" s="224" t="s">
        <v>2</v>
      </c>
      <c r="F17751" s="515" t="s">
        <v>18926</v>
      </c>
      <c r="G17751" s="52">
        <v>143412.599400882</v>
      </c>
      <c r="H17751" s="56">
        <v>0.15756563996814549</v>
      </c>
      <c r="I17751" s="224" t="s">
        <v>2</v>
      </c>
    </row>
    <row r="17752" spans="1:9" x14ac:dyDescent="0.25">
      <c r="A17752" s="515">
        <v>28615</v>
      </c>
      <c r="C17752" s="52">
        <v>231481.395159298</v>
      </c>
      <c r="D17752" s="56">
        <v>0.10994509430363245</v>
      </c>
      <c r="E17752" s="224" t="s">
        <v>2</v>
      </c>
      <c r="F17752" s="515" t="s">
        <v>18927</v>
      </c>
      <c r="G17752" s="52">
        <v>135472.14415541699</v>
      </c>
      <c r="H17752" s="56">
        <v>6.2751391347889277E-2</v>
      </c>
      <c r="I17752" s="224" t="s">
        <v>2</v>
      </c>
    </row>
    <row r="17753" spans="1:9" x14ac:dyDescent="0.25">
      <c r="A17753" s="515">
        <v>71762</v>
      </c>
      <c r="B17753" s="515" t="s">
        <v>838</v>
      </c>
      <c r="C17753" s="52">
        <v>89470.550383363196</v>
      </c>
      <c r="D17753" s="56">
        <v>-5.0539982227314283E-2</v>
      </c>
      <c r="E17753" s="224" t="s">
        <v>2</v>
      </c>
      <c r="F17753" s="515" t="s">
        <v>18928</v>
      </c>
      <c r="G17753" s="52">
        <v>136096.230573156</v>
      </c>
      <c r="H17753" s="56">
        <v>5.8309521333165679E-2</v>
      </c>
      <c r="I17753" s="224" t="s">
        <v>2</v>
      </c>
    </row>
    <row r="17754" spans="1:9" x14ac:dyDescent="0.25">
      <c r="A17754" s="515">
        <v>44836</v>
      </c>
      <c r="B17754" s="515" t="s">
        <v>463</v>
      </c>
      <c r="C17754" s="52">
        <v>143232.758403032</v>
      </c>
      <c r="D17754" s="56">
        <v>6.5971676632673795E-2</v>
      </c>
      <c r="E17754" s="224" t="s">
        <v>2</v>
      </c>
      <c r="F17754" s="515" t="s">
        <v>18929</v>
      </c>
      <c r="G17754" s="52">
        <v>100627.976022243</v>
      </c>
      <c r="H17754" s="56">
        <v>6.6756929306256305E-2</v>
      </c>
      <c r="I17754" s="224" t="s">
        <v>2</v>
      </c>
    </row>
    <row r="17755" spans="1:9" x14ac:dyDescent="0.25">
      <c r="A17755" s="515">
        <v>18656</v>
      </c>
      <c r="B17755" s="515" t="s">
        <v>512</v>
      </c>
      <c r="C17755" s="52">
        <v>203570.37256612201</v>
      </c>
      <c r="D17755" s="56">
        <v>4.3354098934759201E-2</v>
      </c>
      <c r="E17755" s="224" t="s">
        <v>2</v>
      </c>
      <c r="F17755" s="515" t="s">
        <v>18930</v>
      </c>
      <c r="G17755" s="52">
        <v>198476.89463100999</v>
      </c>
      <c r="H17755" s="56">
        <v>0.11515357373133248</v>
      </c>
      <c r="I17755" s="224" t="s">
        <v>2</v>
      </c>
    </row>
    <row r="17756" spans="1:9" x14ac:dyDescent="0.25">
      <c r="A17756" s="515">
        <v>82639</v>
      </c>
      <c r="C17756" s="52">
        <v>348786.50927154499</v>
      </c>
      <c r="D17756" s="56">
        <v>8.1251339576151174E-2</v>
      </c>
      <c r="E17756" s="224" t="s">
        <v>2</v>
      </c>
      <c r="F17756" s="515" t="s">
        <v>18931</v>
      </c>
      <c r="G17756" s="52">
        <v>162283.067702684</v>
      </c>
      <c r="H17756" s="56">
        <v>0</v>
      </c>
      <c r="I17756" s="224" t="s">
        <v>2</v>
      </c>
    </row>
    <row r="17757" spans="1:9" x14ac:dyDescent="0.25">
      <c r="A17757" s="515">
        <v>55381</v>
      </c>
      <c r="B17757" s="515" t="s">
        <v>882</v>
      </c>
      <c r="C17757" s="52">
        <v>261118.827151137</v>
      </c>
      <c r="D17757" s="56">
        <v>4.931860508796844E-2</v>
      </c>
      <c r="E17757" s="224" t="s">
        <v>2</v>
      </c>
      <c r="F17757" s="515" t="s">
        <v>18932</v>
      </c>
      <c r="G17757" s="52">
        <v>66381.504863624097</v>
      </c>
      <c r="H17757" s="56">
        <v>0.37789672632749882</v>
      </c>
      <c r="I17757" s="224" t="s">
        <v>2</v>
      </c>
    </row>
    <row r="17758" spans="1:9" x14ac:dyDescent="0.25">
      <c r="A17758" s="515">
        <v>13431</v>
      </c>
      <c r="B17758" s="515" t="s">
        <v>543</v>
      </c>
      <c r="C17758" s="52">
        <v>206896.032857882</v>
      </c>
      <c r="D17758" s="56">
        <v>0.18090602060996583</v>
      </c>
      <c r="E17758" s="224" t="s">
        <v>2</v>
      </c>
      <c r="F17758" s="515" t="s">
        <v>18933</v>
      </c>
      <c r="G17758" s="52">
        <v>178641.21895864501</v>
      </c>
      <c r="H17758" s="56">
        <v>9.0426104825412537E-2</v>
      </c>
      <c r="I17758" s="224" t="s">
        <v>2</v>
      </c>
    </row>
    <row r="17759" spans="1:9" x14ac:dyDescent="0.25">
      <c r="A17759" s="515">
        <v>14716</v>
      </c>
      <c r="B17759" s="515" t="s">
        <v>560</v>
      </c>
      <c r="C17759" s="52">
        <v>141673.80984557999</v>
      </c>
      <c r="D17759" s="56">
        <v>0.13557170372884472</v>
      </c>
      <c r="E17759" s="224" t="s">
        <v>2</v>
      </c>
      <c r="F17759" s="515" t="s">
        <v>18934</v>
      </c>
      <c r="G17759" s="52">
        <v>142690.18714035299</v>
      </c>
      <c r="H17759" s="56">
        <v>0</v>
      </c>
      <c r="I17759" s="224" t="s">
        <v>2</v>
      </c>
    </row>
    <row r="17760" spans="1:9" x14ac:dyDescent="0.25">
      <c r="A17760" s="515">
        <v>67104</v>
      </c>
      <c r="C17760" s="52">
        <v>84726.215196164703</v>
      </c>
      <c r="D17760" s="56">
        <v>0.11823724370362514</v>
      </c>
      <c r="E17760" s="224" t="s">
        <v>2</v>
      </c>
      <c r="F17760" s="515" t="s">
        <v>18935</v>
      </c>
      <c r="G17760" s="52">
        <v>158269.57231151601</v>
      </c>
      <c r="H17760" s="56">
        <v>5.7603608686405232E-2</v>
      </c>
      <c r="I17760" s="224" t="s">
        <v>2</v>
      </c>
    </row>
    <row r="17761" spans="1:9" x14ac:dyDescent="0.25">
      <c r="A17761" s="515">
        <v>98377</v>
      </c>
      <c r="B17761" s="515" t="s">
        <v>468</v>
      </c>
      <c r="C17761" s="52">
        <v>343645.51383047103</v>
      </c>
      <c r="D17761" s="56">
        <v>7.6730817169600764E-3</v>
      </c>
      <c r="E17761" s="224" t="s">
        <v>2</v>
      </c>
      <c r="F17761" s="515" t="s">
        <v>18936</v>
      </c>
      <c r="G17761" s="52">
        <v>229378.47901675</v>
      </c>
      <c r="H17761" s="56">
        <v>8.3528806984803083E-3</v>
      </c>
      <c r="I17761" s="224" t="s">
        <v>2</v>
      </c>
    </row>
    <row r="17762" spans="1:9" x14ac:dyDescent="0.25">
      <c r="A17762" s="515">
        <v>13416</v>
      </c>
      <c r="B17762" s="515" t="s">
        <v>543</v>
      </c>
      <c r="C17762" s="52">
        <v>185609.07506676301</v>
      </c>
      <c r="D17762" s="56">
        <v>0.17317039778122512</v>
      </c>
      <c r="E17762" s="224" t="s">
        <v>2</v>
      </c>
      <c r="F17762" s="515" t="s">
        <v>18937</v>
      </c>
      <c r="G17762" s="52">
        <v>236142.63577216101</v>
      </c>
      <c r="H17762" s="56">
        <v>0.14914606388176399</v>
      </c>
      <c r="I17762" s="224" t="s">
        <v>2</v>
      </c>
    </row>
    <row r="17763" spans="1:9" x14ac:dyDescent="0.25">
      <c r="A17763" s="515">
        <v>38255</v>
      </c>
      <c r="B17763" s="515" t="s">
        <v>788</v>
      </c>
      <c r="C17763" s="52">
        <v>103206.657577191</v>
      </c>
      <c r="D17763" s="56">
        <v>0.10006932609388444</v>
      </c>
      <c r="E17763" s="224" t="s">
        <v>2</v>
      </c>
      <c r="F17763" s="515" t="s">
        <v>18938</v>
      </c>
      <c r="G17763" s="52">
        <v>213043.36626192901</v>
      </c>
      <c r="H17763" s="56">
        <v>7.676726038603271E-2</v>
      </c>
      <c r="I17763" s="224" t="s">
        <v>2</v>
      </c>
    </row>
    <row r="17764" spans="1:9" x14ac:dyDescent="0.25">
      <c r="A17764" s="515">
        <v>53556</v>
      </c>
      <c r="C17764" s="52">
        <v>191611.052284868</v>
      </c>
      <c r="D17764" s="56">
        <v>6.8644744026048324E-2</v>
      </c>
      <c r="E17764" s="224" t="s">
        <v>2</v>
      </c>
      <c r="F17764" s="515" t="s">
        <v>18939</v>
      </c>
      <c r="G17764" s="52">
        <v>156725.74033294499</v>
      </c>
      <c r="H17764" s="56">
        <v>9.9634979326426024E-2</v>
      </c>
      <c r="I17764" s="224" t="s">
        <v>2</v>
      </c>
    </row>
    <row r="17765" spans="1:9" x14ac:dyDescent="0.25">
      <c r="A17765" s="515">
        <v>3245</v>
      </c>
      <c r="B17765" s="515" t="s">
        <v>420</v>
      </c>
      <c r="C17765" s="52">
        <v>546279.34871036396</v>
      </c>
      <c r="D17765" s="56">
        <v>0.14446430743018596</v>
      </c>
      <c r="E17765" s="224" t="s">
        <v>2</v>
      </c>
      <c r="F17765" s="515" t="s">
        <v>10438</v>
      </c>
      <c r="G17765" s="52">
        <v>296098.609375</v>
      </c>
      <c r="H17765" s="56">
        <v>0</v>
      </c>
      <c r="I17765" s="224" t="s">
        <v>2</v>
      </c>
    </row>
    <row r="17766" spans="1:9" x14ac:dyDescent="0.25">
      <c r="A17766" s="515">
        <v>29596</v>
      </c>
      <c r="B17766" s="515" t="s">
        <v>1130</v>
      </c>
      <c r="C17766" s="52">
        <v>66953.840963933602</v>
      </c>
      <c r="D17766" s="56">
        <v>0</v>
      </c>
      <c r="E17766" s="224" t="s">
        <v>2</v>
      </c>
      <c r="F17766" s="515" t="s">
        <v>18940</v>
      </c>
      <c r="G17766" s="52">
        <v>159351.86536095501</v>
      </c>
      <c r="H17766" s="56">
        <v>4.7721554805763861E-3</v>
      </c>
      <c r="I17766" s="224" t="s">
        <v>2</v>
      </c>
    </row>
    <row r="17767" spans="1:9" x14ac:dyDescent="0.25">
      <c r="A17767" s="515">
        <v>54161</v>
      </c>
      <c r="B17767" s="515" t="s">
        <v>897</v>
      </c>
      <c r="C17767" s="52">
        <v>199984.78411615401</v>
      </c>
      <c r="D17767" s="56">
        <v>8.6075889646987799E-2</v>
      </c>
      <c r="E17767" s="224" t="s">
        <v>2</v>
      </c>
      <c r="F17767" s="515" t="s">
        <v>18941</v>
      </c>
      <c r="G17767" s="52">
        <v>74795.481920381397</v>
      </c>
      <c r="H17767" s="56">
        <v>0.1293647878083507</v>
      </c>
      <c r="I17767" s="224" t="s">
        <v>2</v>
      </c>
    </row>
    <row r="17768" spans="1:9" x14ac:dyDescent="0.25">
      <c r="A17768" s="515">
        <v>47230</v>
      </c>
      <c r="B17768" s="515" t="s">
        <v>865</v>
      </c>
      <c r="C17768" s="52">
        <v>178367.53998398801</v>
      </c>
      <c r="D17768" s="56">
        <v>7.6794802110128402E-2</v>
      </c>
      <c r="E17768" s="224" t="s">
        <v>2</v>
      </c>
      <c r="F17768" s="515" t="s">
        <v>18942</v>
      </c>
      <c r="G17768" s="52">
        <v>145771.20964082101</v>
      </c>
      <c r="H17768" s="56">
        <v>8.8126766466128215E-2</v>
      </c>
      <c r="I17768" s="224" t="s">
        <v>2</v>
      </c>
    </row>
    <row r="17769" spans="1:9" x14ac:dyDescent="0.25">
      <c r="A17769" s="515">
        <v>53079</v>
      </c>
      <c r="B17769" s="515" t="s">
        <v>987</v>
      </c>
      <c r="C17769" s="52">
        <v>239883.64591066001</v>
      </c>
      <c r="D17769" s="56">
        <v>5.4520793869065186E-2</v>
      </c>
      <c r="E17769" s="224" t="s">
        <v>2</v>
      </c>
      <c r="F17769" s="515" t="s">
        <v>18943</v>
      </c>
      <c r="G17769" s="52">
        <v>85528.793907628802</v>
      </c>
      <c r="H17769" s="56">
        <v>1.8517853497716081E-2</v>
      </c>
      <c r="I17769" s="224" t="s">
        <v>2</v>
      </c>
    </row>
    <row r="17770" spans="1:9" x14ac:dyDescent="0.25">
      <c r="A17770" s="515">
        <v>28617</v>
      </c>
      <c r="C17770" s="52">
        <v>267604.23798441398</v>
      </c>
      <c r="D17770" s="56">
        <v>8.4733390383382498E-2</v>
      </c>
      <c r="E17770" s="224" t="s">
        <v>2</v>
      </c>
      <c r="F17770" s="515" t="s">
        <v>18944</v>
      </c>
      <c r="G17770" s="52">
        <v>72982.965075937202</v>
      </c>
      <c r="H17770" s="56">
        <v>-4.5432662649427066E-2</v>
      </c>
      <c r="I17770" s="224" t="s">
        <v>2</v>
      </c>
    </row>
    <row r="17771" spans="1:9" x14ac:dyDescent="0.25">
      <c r="A17771" s="515">
        <v>14008</v>
      </c>
      <c r="B17771" s="515" t="s">
        <v>336</v>
      </c>
      <c r="C17771" s="52">
        <v>205092.04568731799</v>
      </c>
      <c r="D17771" s="56">
        <v>0.10186515874179082</v>
      </c>
      <c r="E17771" s="224" t="s">
        <v>2</v>
      </c>
      <c r="F17771" s="515" t="s">
        <v>18945</v>
      </c>
      <c r="G17771" s="52">
        <v>163558.45341475101</v>
      </c>
      <c r="H17771" s="56">
        <v>9.9213995610509489E-2</v>
      </c>
      <c r="I17771" s="224" t="s">
        <v>2</v>
      </c>
    </row>
    <row r="17772" spans="1:9" x14ac:dyDescent="0.25">
      <c r="A17772" s="515">
        <v>37047</v>
      </c>
      <c r="B17772" s="515" t="s">
        <v>877</v>
      </c>
      <c r="C17772" s="52">
        <v>256243.973370894</v>
      </c>
      <c r="D17772" s="56">
        <v>7.6390676055651349E-2</v>
      </c>
      <c r="E17772" s="224" t="s">
        <v>2</v>
      </c>
      <c r="F17772" s="515" t="s">
        <v>18946</v>
      </c>
      <c r="G17772" s="52">
        <v>244932.13666071501</v>
      </c>
      <c r="H17772" s="56">
        <v>0.14871200762384876</v>
      </c>
      <c r="I17772" s="224" t="s">
        <v>2</v>
      </c>
    </row>
    <row r="17773" spans="1:9" x14ac:dyDescent="0.25">
      <c r="A17773" s="515">
        <v>4965</v>
      </c>
      <c r="C17773" s="52">
        <v>192288.16955573001</v>
      </c>
      <c r="D17773" s="56">
        <v>9.9096571016241558E-2</v>
      </c>
      <c r="E17773" s="224" t="s">
        <v>2</v>
      </c>
      <c r="F17773" s="515" t="s">
        <v>18947</v>
      </c>
      <c r="G17773" s="52">
        <v>267508.278443733</v>
      </c>
      <c r="H17773" s="56">
        <v>0</v>
      </c>
      <c r="I17773" s="224" t="s">
        <v>2</v>
      </c>
    </row>
    <row r="17774" spans="1:9" x14ac:dyDescent="0.25">
      <c r="A17774" s="515">
        <v>52206</v>
      </c>
      <c r="B17774" s="515" t="s">
        <v>404</v>
      </c>
      <c r="C17774" s="52">
        <v>304813.50926471601</v>
      </c>
      <c r="D17774" s="56">
        <v>6.2803005414473353E-2</v>
      </c>
      <c r="E17774" s="224" t="s">
        <v>2</v>
      </c>
      <c r="F17774" s="515" t="s">
        <v>18948</v>
      </c>
      <c r="G17774" s="52">
        <v>253828.96591942199</v>
      </c>
      <c r="H17774" s="56">
        <v>5.4239668181720387E-2</v>
      </c>
      <c r="I17774" s="224" t="s">
        <v>2</v>
      </c>
    </row>
    <row r="17775" spans="1:9" x14ac:dyDescent="0.25">
      <c r="A17775" s="515">
        <v>44046</v>
      </c>
      <c r="B17775" s="515" t="s">
        <v>520</v>
      </c>
      <c r="C17775" s="52">
        <v>252835.33408675299</v>
      </c>
      <c r="D17775" s="56">
        <v>6.6894951555447599E-2</v>
      </c>
      <c r="E17775" s="224" t="s">
        <v>2</v>
      </c>
      <c r="F17775" s="515" t="s">
        <v>18949</v>
      </c>
      <c r="G17775" s="52">
        <v>315174.27211021702</v>
      </c>
      <c r="H17775" s="56">
        <v>0.10674124737741333</v>
      </c>
      <c r="I17775" s="224" t="s">
        <v>2</v>
      </c>
    </row>
    <row r="17776" spans="1:9" x14ac:dyDescent="0.25">
      <c r="A17776" s="515">
        <v>66546</v>
      </c>
      <c r="B17776" s="515" t="s">
        <v>549</v>
      </c>
      <c r="C17776" s="52">
        <v>271796.46466230601</v>
      </c>
      <c r="D17776" s="56">
        <v>0.11356315789961269</v>
      </c>
      <c r="E17776" s="224" t="s">
        <v>2</v>
      </c>
      <c r="F17776" s="515" t="s">
        <v>18950</v>
      </c>
      <c r="G17776" s="52">
        <v>526102.062340345</v>
      </c>
      <c r="H17776" s="56">
        <v>9.4906149408019419E-2</v>
      </c>
      <c r="I17776" s="224" t="s">
        <v>2</v>
      </c>
    </row>
    <row r="17777" spans="1:9" x14ac:dyDescent="0.25">
      <c r="A17777" s="515">
        <v>30663</v>
      </c>
      <c r="B17777" s="515" t="s">
        <v>957</v>
      </c>
      <c r="C17777" s="52">
        <v>361448.435162173</v>
      </c>
      <c r="D17777" s="56">
        <v>8.0715451620468573E-2</v>
      </c>
      <c r="E17777" s="224" t="s">
        <v>2</v>
      </c>
      <c r="F17777" s="515" t="s">
        <v>18951</v>
      </c>
      <c r="G17777" s="52">
        <v>87680.997984221496</v>
      </c>
      <c r="H17777" s="56">
        <v>0.1027839901921776</v>
      </c>
      <c r="I17777" s="224" t="s">
        <v>2</v>
      </c>
    </row>
    <row r="17778" spans="1:9" x14ac:dyDescent="0.25">
      <c r="A17778" s="515">
        <v>18930</v>
      </c>
      <c r="B17778" s="515" t="s">
        <v>294</v>
      </c>
      <c r="C17778" s="52">
        <v>485355.64598504797</v>
      </c>
      <c r="D17778" s="56">
        <v>8.5901798398591328E-2</v>
      </c>
      <c r="E17778" s="224" t="s">
        <v>2</v>
      </c>
      <c r="F17778" s="515" t="s">
        <v>18952</v>
      </c>
      <c r="G17778" s="52">
        <v>249477.48203203001</v>
      </c>
      <c r="H17778" s="56">
        <v>8.8957814285573519E-2</v>
      </c>
      <c r="I17778" s="224" t="s">
        <v>2</v>
      </c>
    </row>
    <row r="17779" spans="1:9" x14ac:dyDescent="0.25">
      <c r="A17779" s="515">
        <v>38326</v>
      </c>
      <c r="C17779" s="52">
        <v>249916.80595316799</v>
      </c>
      <c r="D17779" s="56">
        <v>8.5990372136036761E-2</v>
      </c>
      <c r="E17779" s="224" t="s">
        <v>2</v>
      </c>
      <c r="F17779" s="515" t="s">
        <v>18953</v>
      </c>
      <c r="G17779" s="52">
        <v>196667.17135801399</v>
      </c>
      <c r="H17779" s="56">
        <v>0.1439627514526568</v>
      </c>
      <c r="I17779" s="224" t="s">
        <v>2</v>
      </c>
    </row>
    <row r="17780" spans="1:9" x14ac:dyDescent="0.25">
      <c r="A17780" s="515">
        <v>95918</v>
      </c>
      <c r="B17780" s="515" t="s">
        <v>796</v>
      </c>
      <c r="C17780" s="52">
        <v>550145.85017184995</v>
      </c>
      <c r="D17780" s="56">
        <v>-4.3720097495984794E-2</v>
      </c>
      <c r="E17780" s="224" t="s">
        <v>2</v>
      </c>
      <c r="F17780" s="515" t="s">
        <v>18954</v>
      </c>
      <c r="G17780" s="52">
        <v>180070.33580042599</v>
      </c>
      <c r="H17780" s="56">
        <v>6.8064750730371271E-2</v>
      </c>
      <c r="I17780" s="224" t="s">
        <v>2</v>
      </c>
    </row>
    <row r="17781" spans="1:9" x14ac:dyDescent="0.25">
      <c r="A17781" s="515">
        <v>12920</v>
      </c>
      <c r="B17781" s="515" t="s">
        <v>706</v>
      </c>
      <c r="C17781" s="52">
        <v>149811.95540754401</v>
      </c>
      <c r="D17781" s="56">
        <v>0.17116464770816328</v>
      </c>
      <c r="E17781" s="224" t="s">
        <v>2</v>
      </c>
      <c r="F17781" s="515" t="s">
        <v>18955</v>
      </c>
      <c r="G17781" s="52">
        <v>105356.21523523099</v>
      </c>
      <c r="H17781" s="56">
        <v>-3.2839592214929547E-2</v>
      </c>
      <c r="I17781" s="224" t="s">
        <v>2</v>
      </c>
    </row>
    <row r="17782" spans="1:9" x14ac:dyDescent="0.25">
      <c r="A17782" s="515">
        <v>79241</v>
      </c>
      <c r="C17782" s="52">
        <v>90418.995105431997</v>
      </c>
      <c r="D17782" s="56">
        <v>0</v>
      </c>
      <c r="E17782" s="224" t="s">
        <v>2</v>
      </c>
      <c r="F17782" s="515" t="s">
        <v>18956</v>
      </c>
      <c r="G17782" s="52">
        <v>176667.08889042001</v>
      </c>
      <c r="H17782" s="56">
        <v>7.5187802926609204E-2</v>
      </c>
      <c r="I17782" s="224" t="s">
        <v>2</v>
      </c>
    </row>
    <row r="17783" spans="1:9" x14ac:dyDescent="0.25">
      <c r="A17783" s="515">
        <v>43988</v>
      </c>
      <c r="C17783" s="52">
        <v>152447.392005053</v>
      </c>
      <c r="D17783" s="56">
        <v>6.7512313136399202E-2</v>
      </c>
      <c r="E17783" s="224" t="s">
        <v>2</v>
      </c>
      <c r="F17783" s="515" t="s">
        <v>18957</v>
      </c>
      <c r="G17783" s="52">
        <v>285047.92531706602</v>
      </c>
      <c r="H17783" s="56">
        <v>0.10507006731633965</v>
      </c>
      <c r="I17783" s="224" t="s">
        <v>2</v>
      </c>
    </row>
    <row r="17784" spans="1:9" x14ac:dyDescent="0.25">
      <c r="A17784" s="515">
        <v>25520</v>
      </c>
      <c r="B17784" s="515" t="s">
        <v>602</v>
      </c>
      <c r="C17784" s="52">
        <v>116780.84116209501</v>
      </c>
      <c r="D17784" s="56">
        <v>3.6365120126327269E-2</v>
      </c>
      <c r="E17784" s="224" t="s">
        <v>2</v>
      </c>
      <c r="F17784" s="515" t="s">
        <v>18958</v>
      </c>
      <c r="G17784" s="52">
        <v>108764.789377334</v>
      </c>
      <c r="H17784" s="56">
        <v>5.4352989953550104E-2</v>
      </c>
      <c r="I17784" s="224" t="s">
        <v>2</v>
      </c>
    </row>
    <row r="17785" spans="1:9" x14ac:dyDescent="0.25">
      <c r="A17785" s="515">
        <v>70030</v>
      </c>
      <c r="B17785" s="515" t="s">
        <v>777</v>
      </c>
      <c r="C17785" s="52">
        <v>176252.52783112301</v>
      </c>
      <c r="D17785" s="56">
        <v>-0.11222545226782073</v>
      </c>
      <c r="E17785" s="224" t="s">
        <v>2</v>
      </c>
      <c r="F17785" s="515" t="s">
        <v>18959</v>
      </c>
      <c r="G17785" s="52">
        <v>257195.713256427</v>
      </c>
      <c r="H17785" s="56">
        <v>0.11234761554084194</v>
      </c>
      <c r="I17785" s="224" t="s">
        <v>2</v>
      </c>
    </row>
    <row r="17786" spans="1:9" x14ac:dyDescent="0.25">
      <c r="A17786" s="515">
        <v>94957</v>
      </c>
      <c r="B17786" s="515" t="s">
        <v>593</v>
      </c>
      <c r="C17786" s="52">
        <v>3444924.2014842001</v>
      </c>
      <c r="D17786" s="56">
        <v>1.411374098207961E-2</v>
      </c>
      <c r="E17786" s="224" t="s">
        <v>2</v>
      </c>
      <c r="F17786" s="515" t="s">
        <v>18960</v>
      </c>
      <c r="G17786" s="52">
        <v>344650.96153846098</v>
      </c>
      <c r="H17786" s="56">
        <v>0</v>
      </c>
      <c r="I17786" s="224" t="s">
        <v>2</v>
      </c>
    </row>
    <row r="17787" spans="1:9" x14ac:dyDescent="0.25">
      <c r="A17787" s="515">
        <v>15956</v>
      </c>
      <c r="B17787" s="515" t="s">
        <v>828</v>
      </c>
      <c r="C17787" s="52">
        <v>62737.055621914697</v>
      </c>
      <c r="D17787" s="56">
        <v>-0.1198787327003759</v>
      </c>
      <c r="E17787" s="224" t="s">
        <v>2</v>
      </c>
      <c r="F17787" s="515" t="s">
        <v>18961</v>
      </c>
      <c r="G17787" s="52">
        <v>113524.06317413499</v>
      </c>
      <c r="H17787" s="56">
        <v>0</v>
      </c>
      <c r="I17787" s="224" t="s">
        <v>2</v>
      </c>
    </row>
    <row r="17788" spans="1:9" x14ac:dyDescent="0.25">
      <c r="A17788" s="515">
        <v>65611</v>
      </c>
      <c r="C17788" s="52">
        <v>348856.03002171498</v>
      </c>
      <c r="D17788" s="56">
        <v>5.3348949422669989E-2</v>
      </c>
      <c r="E17788" s="224" t="s">
        <v>2</v>
      </c>
      <c r="F17788" s="515" t="s">
        <v>18962</v>
      </c>
      <c r="G17788" s="52">
        <v>112979.776222972</v>
      </c>
      <c r="H17788" s="56">
        <v>0.15279193805925093</v>
      </c>
      <c r="I17788" s="224" t="s">
        <v>2</v>
      </c>
    </row>
    <row r="17789" spans="1:9" x14ac:dyDescent="0.25">
      <c r="A17789" s="515">
        <v>42464</v>
      </c>
      <c r="B17789" s="515" t="s">
        <v>598</v>
      </c>
      <c r="C17789" s="52">
        <v>111354.51036319901</v>
      </c>
      <c r="D17789" s="56">
        <v>9.118734936029381E-2</v>
      </c>
      <c r="E17789" s="224" t="s">
        <v>2</v>
      </c>
      <c r="F17789" s="515" t="s">
        <v>18963</v>
      </c>
      <c r="G17789" s="52">
        <v>196268.235165305</v>
      </c>
      <c r="H17789" s="56">
        <v>0.1551618369403063</v>
      </c>
      <c r="I17789" s="224" t="s">
        <v>2</v>
      </c>
    </row>
    <row r="17790" spans="1:9" x14ac:dyDescent="0.25">
      <c r="A17790" s="515">
        <v>49235</v>
      </c>
      <c r="B17790" s="515" t="s">
        <v>958</v>
      </c>
      <c r="C17790" s="52">
        <v>170814.90887826699</v>
      </c>
      <c r="D17790" s="56">
        <v>7.2469871925917792E-2</v>
      </c>
      <c r="E17790" s="224" t="s">
        <v>2</v>
      </c>
      <c r="F17790" s="515" t="s">
        <v>18964</v>
      </c>
      <c r="G17790" s="52">
        <v>67447.637985138499</v>
      </c>
      <c r="H17790" s="56">
        <v>5.7755011695264799E-2</v>
      </c>
      <c r="I17790" s="224" t="s">
        <v>2</v>
      </c>
    </row>
    <row r="17791" spans="1:9" x14ac:dyDescent="0.25">
      <c r="A17791" s="515">
        <v>56098</v>
      </c>
      <c r="C17791" s="52">
        <v>141422.473682037</v>
      </c>
      <c r="D17791" s="56">
        <v>9.5536198997369925E-2</v>
      </c>
      <c r="E17791" s="224" t="s">
        <v>2</v>
      </c>
      <c r="F17791" s="515" t="s">
        <v>18965</v>
      </c>
      <c r="G17791" s="52">
        <v>179996.94071245199</v>
      </c>
      <c r="H17791" s="56">
        <v>0.18354958594529908</v>
      </c>
      <c r="I17791" s="224" t="s">
        <v>2</v>
      </c>
    </row>
    <row r="17792" spans="1:9" x14ac:dyDescent="0.25">
      <c r="A17792" s="515">
        <v>54872</v>
      </c>
      <c r="C17792" s="52">
        <v>223626.15235070599</v>
      </c>
      <c r="D17792" s="56">
        <v>4.0831925125270389E-2</v>
      </c>
      <c r="E17792" s="224" t="s">
        <v>2</v>
      </c>
      <c r="F17792" s="515" t="s">
        <v>18966</v>
      </c>
      <c r="G17792" s="52">
        <v>571329.63559559104</v>
      </c>
      <c r="H17792" s="56">
        <v>-0.10377157359155224</v>
      </c>
      <c r="I17792" s="224" t="s">
        <v>2</v>
      </c>
    </row>
    <row r="17793" spans="1:9" x14ac:dyDescent="0.25">
      <c r="A17793" s="515">
        <v>40472</v>
      </c>
      <c r="B17793" s="515" t="s">
        <v>1129</v>
      </c>
      <c r="C17793" s="52">
        <v>79206.785673017206</v>
      </c>
      <c r="D17793" s="56">
        <v>0.16704281758159883</v>
      </c>
      <c r="E17793" s="224" t="s">
        <v>2</v>
      </c>
      <c r="F17793" s="515" t="s">
        <v>18967</v>
      </c>
      <c r="G17793" s="52">
        <v>132641.54776682999</v>
      </c>
      <c r="H17793" s="56">
        <v>6.9887318711992899E-2</v>
      </c>
      <c r="I17793" s="224" t="s">
        <v>2</v>
      </c>
    </row>
    <row r="17794" spans="1:9" x14ac:dyDescent="0.25">
      <c r="A17794" s="515">
        <v>55771</v>
      </c>
      <c r="B17794" s="515" t="s">
        <v>350</v>
      </c>
      <c r="C17794" s="52">
        <v>186885.268488456</v>
      </c>
      <c r="D17794" s="56">
        <v>5.8378574960456862E-2</v>
      </c>
      <c r="E17794" s="224" t="s">
        <v>2</v>
      </c>
      <c r="F17794" s="515" t="s">
        <v>18968</v>
      </c>
      <c r="G17794" s="52">
        <v>206502.48198086</v>
      </c>
      <c r="H17794" s="56">
        <v>0</v>
      </c>
      <c r="I17794" s="224" t="s">
        <v>2</v>
      </c>
    </row>
    <row r="17795" spans="1:9" x14ac:dyDescent="0.25">
      <c r="A17795" s="515">
        <v>42234</v>
      </c>
      <c r="C17795" s="52">
        <v>148006.291268286</v>
      </c>
      <c r="D17795" s="56">
        <v>0.12532998712637783</v>
      </c>
      <c r="E17795" s="224" t="s">
        <v>2</v>
      </c>
      <c r="F17795" s="515" t="s">
        <v>18969</v>
      </c>
      <c r="G17795" s="52">
        <v>141141.26126126101</v>
      </c>
      <c r="H17795" s="56">
        <v>0</v>
      </c>
      <c r="I17795" s="224" t="s">
        <v>2</v>
      </c>
    </row>
    <row r="17796" spans="1:9" x14ac:dyDescent="0.25">
      <c r="A17796" s="515">
        <v>49070</v>
      </c>
      <c r="B17796" s="515" t="s">
        <v>856</v>
      </c>
      <c r="C17796" s="52">
        <v>230663.13177855799</v>
      </c>
      <c r="D17796" s="56">
        <v>7.3185975894964117E-2</v>
      </c>
      <c r="E17796" s="224" t="s">
        <v>2</v>
      </c>
      <c r="F17796" s="515" t="s">
        <v>18970</v>
      </c>
      <c r="G17796" s="52">
        <v>63551.936138475197</v>
      </c>
      <c r="H17796" s="56">
        <v>0.16512053483992817</v>
      </c>
      <c r="I17796" s="224" t="s">
        <v>2</v>
      </c>
    </row>
    <row r="17797" spans="1:9" x14ac:dyDescent="0.25">
      <c r="A17797" s="515">
        <v>66763</v>
      </c>
      <c r="B17797" s="515" t="s">
        <v>669</v>
      </c>
      <c r="C17797" s="52">
        <v>138722.25357305701</v>
      </c>
      <c r="D17797" s="56">
        <v>0.12672489163994755</v>
      </c>
      <c r="E17797" s="224" t="s">
        <v>2</v>
      </c>
      <c r="F17797" s="515" t="s">
        <v>18971</v>
      </c>
      <c r="G17797" s="52">
        <v>187805.346403954</v>
      </c>
      <c r="H17797" s="56">
        <v>6.2222262255600035E-2</v>
      </c>
      <c r="I17797" s="224" t="s">
        <v>2</v>
      </c>
    </row>
    <row r="17798" spans="1:9" x14ac:dyDescent="0.25">
      <c r="A17798" s="515">
        <v>47841</v>
      </c>
      <c r="B17798" s="515" t="s">
        <v>318</v>
      </c>
      <c r="C17798" s="52">
        <v>134388.73924726501</v>
      </c>
      <c r="D17798" s="56">
        <v>6.9345848239916449E-2</v>
      </c>
      <c r="E17798" s="224" t="s">
        <v>2</v>
      </c>
      <c r="F17798" s="515" t="s">
        <v>18972</v>
      </c>
      <c r="G17798" s="52">
        <v>361436.33349842601</v>
      </c>
      <c r="H17798" s="56">
        <v>6.3090356888864163E-2</v>
      </c>
      <c r="I17798" s="224" t="s">
        <v>2</v>
      </c>
    </row>
    <row r="17799" spans="1:9" x14ac:dyDescent="0.25">
      <c r="A17799" s="515">
        <v>1038</v>
      </c>
      <c r="B17799" s="515" t="s">
        <v>575</v>
      </c>
      <c r="C17799" s="52">
        <v>402682.871849232</v>
      </c>
      <c r="D17799" s="56">
        <v>7.1611646285031402E-2</v>
      </c>
      <c r="E17799" s="224" t="s">
        <v>2</v>
      </c>
      <c r="F17799" s="515" t="s">
        <v>18973</v>
      </c>
      <c r="G17799" s="52">
        <v>125261.858288376</v>
      </c>
      <c r="H17799" s="56">
        <v>0.1136115466222188</v>
      </c>
      <c r="I17799" s="224" t="s">
        <v>2</v>
      </c>
    </row>
    <row r="17800" spans="1:9" x14ac:dyDescent="0.25">
      <c r="A17800" s="515">
        <v>12106</v>
      </c>
      <c r="B17800" s="515" t="s">
        <v>564</v>
      </c>
      <c r="C17800" s="52">
        <v>396323.92374223197</v>
      </c>
      <c r="D17800" s="56">
        <v>8.8080108364104348E-2</v>
      </c>
      <c r="E17800" s="224" t="s">
        <v>2</v>
      </c>
      <c r="F17800" s="515" t="s">
        <v>18974</v>
      </c>
      <c r="G17800" s="52">
        <v>402122.83748077502</v>
      </c>
      <c r="H17800" s="56">
        <v>1.0344511107556142E-2</v>
      </c>
      <c r="I17800" s="224">
        <v>2070</v>
      </c>
    </row>
    <row r="17801" spans="1:9" x14ac:dyDescent="0.25">
      <c r="A17801" s="515">
        <v>14476</v>
      </c>
      <c r="B17801" s="515" t="s">
        <v>337</v>
      </c>
      <c r="C17801" s="52">
        <v>199482.90054755399</v>
      </c>
      <c r="D17801" s="56">
        <v>8.9814602135803209E-2</v>
      </c>
      <c r="E17801" s="224" t="s">
        <v>2</v>
      </c>
      <c r="F17801" s="515" t="s">
        <v>18975</v>
      </c>
      <c r="G17801" s="52">
        <v>228377.79658820701</v>
      </c>
      <c r="H17801" s="56">
        <v>0.27641852646676224</v>
      </c>
      <c r="I17801" s="224" t="s">
        <v>2</v>
      </c>
    </row>
    <row r="17802" spans="1:9" x14ac:dyDescent="0.25">
      <c r="A17802" s="515">
        <v>4983</v>
      </c>
      <c r="C17802" s="52">
        <v>219915.99343899</v>
      </c>
      <c r="D17802" s="56">
        <v>0.1439105062498813</v>
      </c>
      <c r="E17802" s="224" t="s">
        <v>2</v>
      </c>
      <c r="F17802" s="515" t="s">
        <v>18976</v>
      </c>
      <c r="G17802" s="52">
        <v>254782.78082504499</v>
      </c>
      <c r="H17802" s="56">
        <v>4.2891103496000338E-2</v>
      </c>
      <c r="I17802" s="224" t="s">
        <v>2</v>
      </c>
    </row>
    <row r="17803" spans="1:9" x14ac:dyDescent="0.25">
      <c r="A17803" s="515">
        <v>80536</v>
      </c>
      <c r="B17803" s="515" t="s">
        <v>738</v>
      </c>
      <c r="C17803" s="52">
        <v>569517.79397403297</v>
      </c>
      <c r="D17803" s="56">
        <v>5.3677176614482673E-2</v>
      </c>
      <c r="E17803" s="224" t="s">
        <v>2</v>
      </c>
      <c r="F17803" s="515" t="s">
        <v>18977</v>
      </c>
      <c r="G17803" s="52">
        <v>141057.937875456</v>
      </c>
      <c r="H17803" s="56">
        <v>6.9128382819993631E-2</v>
      </c>
      <c r="I17803" s="224" t="s">
        <v>2</v>
      </c>
    </row>
    <row r="17804" spans="1:9" x14ac:dyDescent="0.25">
      <c r="A17804" s="515">
        <v>64469</v>
      </c>
      <c r="B17804" s="515" t="s">
        <v>371</v>
      </c>
      <c r="C17804" s="52">
        <v>171511.65674545401</v>
      </c>
      <c r="D17804" s="56">
        <v>2.5217928002265428E-2</v>
      </c>
      <c r="E17804" s="224" t="s">
        <v>2</v>
      </c>
      <c r="F17804" s="515" t="s">
        <v>18978</v>
      </c>
      <c r="G17804" s="52">
        <v>204543.39594453399</v>
      </c>
      <c r="H17804" s="56">
        <v>0.11461747957704171</v>
      </c>
      <c r="I17804" s="224" t="s">
        <v>2</v>
      </c>
    </row>
    <row r="17805" spans="1:9" x14ac:dyDescent="0.25">
      <c r="A17805" s="515">
        <v>27291</v>
      </c>
      <c r="C17805" s="52">
        <v>266199.46695059398</v>
      </c>
      <c r="D17805" s="56">
        <v>0.10117179658829201</v>
      </c>
      <c r="E17805" s="224" t="s">
        <v>2</v>
      </c>
      <c r="F17805" s="515" t="s">
        <v>18979</v>
      </c>
      <c r="G17805" s="52">
        <v>1507064.47110676</v>
      </c>
      <c r="H17805" s="56">
        <v>0.10288321105012134</v>
      </c>
      <c r="I17805" s="224" t="s">
        <v>2</v>
      </c>
    </row>
    <row r="17806" spans="1:9" x14ac:dyDescent="0.25">
      <c r="A17806" s="515">
        <v>68883</v>
      </c>
      <c r="B17806" s="515" t="s">
        <v>650</v>
      </c>
      <c r="C17806" s="52">
        <v>225401.85706801701</v>
      </c>
      <c r="D17806" s="56">
        <v>7.5750745462598912E-2</v>
      </c>
      <c r="E17806" s="224" t="s">
        <v>2</v>
      </c>
      <c r="F17806" s="515" t="s">
        <v>18980</v>
      </c>
      <c r="G17806" s="52">
        <v>150778.17333333299</v>
      </c>
      <c r="H17806" s="56">
        <v>0</v>
      </c>
      <c r="I17806" s="224" t="s">
        <v>2</v>
      </c>
    </row>
    <row r="17807" spans="1:9" x14ac:dyDescent="0.25">
      <c r="A17807" s="515">
        <v>17935</v>
      </c>
      <c r="B17807" s="515" t="s">
        <v>994</v>
      </c>
      <c r="C17807" s="52">
        <v>29872.998744070701</v>
      </c>
      <c r="D17807" s="56">
        <v>1.9127016696499237E-2</v>
      </c>
      <c r="E17807" s="224" t="s">
        <v>2</v>
      </c>
      <c r="F17807" s="515" t="s">
        <v>18981</v>
      </c>
      <c r="G17807" s="52">
        <v>165884.75284917501</v>
      </c>
      <c r="H17807" s="56">
        <v>9.7082334606230725E-2</v>
      </c>
      <c r="I17807" s="224" t="s">
        <v>2</v>
      </c>
    </row>
    <row r="17808" spans="1:9" x14ac:dyDescent="0.25">
      <c r="A17808" s="515">
        <v>56481</v>
      </c>
      <c r="C17808" s="52">
        <v>205776.03320509501</v>
      </c>
      <c r="D17808" s="56">
        <v>2.9656336193148242E-2</v>
      </c>
      <c r="E17808" s="224" t="s">
        <v>2</v>
      </c>
      <c r="F17808" s="515" t="s">
        <v>18982</v>
      </c>
      <c r="G17808" s="52">
        <v>111834.557728764</v>
      </c>
      <c r="H17808" s="56">
        <v>0.19430178617219176</v>
      </c>
      <c r="I17808" s="224" t="s">
        <v>2</v>
      </c>
    </row>
    <row r="17809" spans="1:9" x14ac:dyDescent="0.25">
      <c r="A17809" s="515">
        <v>27964</v>
      </c>
      <c r="B17809" s="515" t="s">
        <v>301</v>
      </c>
      <c r="C17809" s="52">
        <v>402997.00894171698</v>
      </c>
      <c r="D17809" s="56">
        <v>0.16562744778009411</v>
      </c>
      <c r="E17809" s="224" t="s">
        <v>2</v>
      </c>
      <c r="F17809" s="515" t="s">
        <v>18983</v>
      </c>
      <c r="G17809" s="52">
        <v>88532.326654396893</v>
      </c>
      <c r="H17809" s="56">
        <v>0.3372363348812154</v>
      </c>
      <c r="I17809" s="224" t="s">
        <v>2</v>
      </c>
    </row>
    <row r="17810" spans="1:9" x14ac:dyDescent="0.25">
      <c r="A17810" s="515">
        <v>29628</v>
      </c>
      <c r="C17810" s="52">
        <v>78443.833004389002</v>
      </c>
      <c r="D17810" s="56">
        <v>4.5591116641823005E-2</v>
      </c>
      <c r="E17810" s="224" t="s">
        <v>2</v>
      </c>
      <c r="F17810" s="515" t="s">
        <v>18984</v>
      </c>
      <c r="G17810" s="52">
        <v>119834.41180667</v>
      </c>
      <c r="H17810" s="56">
        <v>7.094600118350812E-2</v>
      </c>
      <c r="I17810" s="224" t="s">
        <v>2</v>
      </c>
    </row>
    <row r="17811" spans="1:9" x14ac:dyDescent="0.25">
      <c r="A17811" s="515">
        <v>28746</v>
      </c>
      <c r="B17811" s="515" t="s">
        <v>1128</v>
      </c>
      <c r="C17811" s="52">
        <v>419062.25751947699</v>
      </c>
      <c r="D17811" s="56">
        <v>0.14835904555762167</v>
      </c>
      <c r="E17811" s="224" t="s">
        <v>2</v>
      </c>
      <c r="F17811" s="515" t="s">
        <v>18985</v>
      </c>
      <c r="G17811" s="52">
        <v>179201.67168196899</v>
      </c>
      <c r="H17811" s="56">
        <v>8.670508925861227E-2</v>
      </c>
      <c r="I17811" s="224" t="s">
        <v>2</v>
      </c>
    </row>
    <row r="17812" spans="1:9" x14ac:dyDescent="0.25">
      <c r="A17812" s="515">
        <v>28523</v>
      </c>
      <c r="B17812" s="515" t="s">
        <v>574</v>
      </c>
      <c r="C17812" s="52">
        <v>161140.24070311</v>
      </c>
      <c r="D17812" s="56">
        <v>0.21656745107646896</v>
      </c>
      <c r="E17812" s="224" t="s">
        <v>2</v>
      </c>
      <c r="F17812" s="515" t="s">
        <v>18986</v>
      </c>
      <c r="G17812" s="52">
        <v>210377.74335345801</v>
      </c>
      <c r="H17812" s="56">
        <v>0.11874980536397201</v>
      </c>
      <c r="I17812" s="224" t="s">
        <v>2</v>
      </c>
    </row>
    <row r="17813" spans="1:9" x14ac:dyDescent="0.25">
      <c r="A17813" s="515">
        <v>63966</v>
      </c>
      <c r="C17813" s="52">
        <v>145325.587780364</v>
      </c>
      <c r="D17813" s="56">
        <v>2.8504689293521467E-2</v>
      </c>
      <c r="E17813" s="224" t="s">
        <v>2</v>
      </c>
      <c r="F17813" s="515" t="s">
        <v>18987</v>
      </c>
      <c r="G17813" s="52">
        <v>124798.24349323301</v>
      </c>
      <c r="H17813" s="56">
        <v>0.11473425988079378</v>
      </c>
      <c r="I17813" s="224" t="s">
        <v>2</v>
      </c>
    </row>
    <row r="17814" spans="1:9" x14ac:dyDescent="0.25">
      <c r="A17814" s="515">
        <v>12484</v>
      </c>
      <c r="B17814" s="515" t="s">
        <v>307</v>
      </c>
      <c r="C17814" s="52">
        <v>475779.36953424802</v>
      </c>
      <c r="D17814" s="56">
        <v>0.12070519189608242</v>
      </c>
      <c r="E17814" s="224" t="s">
        <v>2</v>
      </c>
      <c r="F17814" s="515" t="s">
        <v>18988</v>
      </c>
      <c r="G17814" s="52">
        <v>190247.80337363199</v>
      </c>
      <c r="H17814" s="56">
        <v>0.13599857425181761</v>
      </c>
      <c r="I17814" s="224" t="s">
        <v>2</v>
      </c>
    </row>
    <row r="17815" spans="1:9" x14ac:dyDescent="0.25">
      <c r="A17815" s="515">
        <v>46058</v>
      </c>
      <c r="B17815" s="515" t="s">
        <v>808</v>
      </c>
      <c r="C17815" s="52">
        <v>206326.14902891999</v>
      </c>
      <c r="D17815" s="56">
        <v>7.7638815801068906E-2</v>
      </c>
      <c r="E17815" s="224" t="s">
        <v>2</v>
      </c>
      <c r="F17815" s="515" t="s">
        <v>18989</v>
      </c>
      <c r="G17815" s="52">
        <v>366343.90411519702</v>
      </c>
      <c r="H17815" s="56">
        <v>9.2110869953570235E-2</v>
      </c>
      <c r="I17815" s="224" t="s">
        <v>2</v>
      </c>
    </row>
    <row r="17816" spans="1:9" x14ac:dyDescent="0.25">
      <c r="A17816" s="515">
        <v>95570</v>
      </c>
      <c r="B17816" s="515" t="s">
        <v>352</v>
      </c>
      <c r="C17816" s="52">
        <v>596415.29513544706</v>
      </c>
      <c r="D17816" s="56">
        <v>-2.1781406906311369E-2</v>
      </c>
      <c r="E17816" s="224" t="s">
        <v>2</v>
      </c>
      <c r="F17816" s="515" t="s">
        <v>18990</v>
      </c>
      <c r="G17816" s="52">
        <v>243877.88522043999</v>
      </c>
      <c r="H17816" s="56">
        <v>3.6128629445623534E-2</v>
      </c>
      <c r="I17816" s="224" t="s">
        <v>2</v>
      </c>
    </row>
    <row r="17817" spans="1:9" x14ac:dyDescent="0.25">
      <c r="A17817" s="515">
        <v>57226</v>
      </c>
      <c r="C17817" s="52">
        <v>205669.708291702</v>
      </c>
      <c r="D17817" s="56">
        <v>0.12840517878388186</v>
      </c>
      <c r="E17817" s="224" t="s">
        <v>2</v>
      </c>
      <c r="F17817" s="515" t="s">
        <v>18991</v>
      </c>
      <c r="G17817" s="52">
        <v>384873.08335734799</v>
      </c>
      <c r="H17817" s="56">
        <v>0.13793548745929143</v>
      </c>
      <c r="I17817" s="224" t="s">
        <v>2</v>
      </c>
    </row>
    <row r="17818" spans="1:9" x14ac:dyDescent="0.25">
      <c r="A17818" s="515">
        <v>49259</v>
      </c>
      <c r="B17818" s="515" t="s">
        <v>1125</v>
      </c>
      <c r="C17818" s="52">
        <v>213076.02779714001</v>
      </c>
      <c r="D17818" s="56">
        <v>3.9665226722047316E-2</v>
      </c>
      <c r="E17818" s="224" t="s">
        <v>2</v>
      </c>
      <c r="F17818" s="515" t="s">
        <v>18992</v>
      </c>
      <c r="G17818" s="52">
        <v>502164.359477124</v>
      </c>
      <c r="H17818" s="56">
        <v>0</v>
      </c>
      <c r="I17818" s="224" t="s">
        <v>2</v>
      </c>
    </row>
    <row r="17819" spans="1:9" x14ac:dyDescent="0.25">
      <c r="A17819" s="515">
        <v>24622</v>
      </c>
      <c r="C17819" s="52">
        <v>49529.417394712698</v>
      </c>
      <c r="D17819" s="56">
        <v>7.8640631806041417E-2</v>
      </c>
      <c r="E17819" s="224" t="s">
        <v>2</v>
      </c>
      <c r="F17819" s="515" t="s">
        <v>18993</v>
      </c>
      <c r="G17819" s="52">
        <v>323695.30487804802</v>
      </c>
      <c r="H17819" s="56">
        <v>0</v>
      </c>
      <c r="I17819" s="224" t="s">
        <v>2</v>
      </c>
    </row>
    <row r="17820" spans="1:9" x14ac:dyDescent="0.25">
      <c r="A17820" s="515">
        <v>71845</v>
      </c>
      <c r="C17820" s="52">
        <v>73450.107623318298</v>
      </c>
      <c r="D17820" s="56">
        <v>0</v>
      </c>
      <c r="E17820" s="224" t="s">
        <v>2</v>
      </c>
      <c r="F17820" s="515" t="s">
        <v>18994</v>
      </c>
      <c r="G17820" s="52">
        <v>93372.546660802298</v>
      </c>
      <c r="H17820" s="56">
        <v>1.1946360840386543E-2</v>
      </c>
      <c r="I17820" s="224" t="s">
        <v>2</v>
      </c>
    </row>
    <row r="17821" spans="1:9" x14ac:dyDescent="0.25">
      <c r="A17821" s="515">
        <v>67522</v>
      </c>
      <c r="B17821" s="515" t="s">
        <v>700</v>
      </c>
      <c r="C17821" s="52">
        <v>160490.25320396799</v>
      </c>
      <c r="D17821" s="56">
        <v>9.6776206619706082E-2</v>
      </c>
      <c r="E17821" s="224" t="s">
        <v>2</v>
      </c>
      <c r="F17821" s="515" t="s">
        <v>18995</v>
      </c>
      <c r="G17821" s="52">
        <v>62338.8723404255</v>
      </c>
      <c r="H17821" s="56">
        <v>0</v>
      </c>
      <c r="I17821" s="224" t="s">
        <v>2</v>
      </c>
    </row>
    <row r="17822" spans="1:9" x14ac:dyDescent="0.25">
      <c r="A17822" s="515">
        <v>15747</v>
      </c>
      <c r="B17822" s="515" t="s">
        <v>343</v>
      </c>
      <c r="C17822" s="52">
        <v>161410.10902658699</v>
      </c>
      <c r="D17822" s="56">
        <v>7.6783974905901234E-2</v>
      </c>
      <c r="E17822" s="224" t="s">
        <v>2</v>
      </c>
      <c r="F17822" s="515" t="s">
        <v>18996</v>
      </c>
      <c r="G17822" s="52">
        <v>454932.092557589</v>
      </c>
      <c r="H17822" s="56">
        <v>0.13499050629570292</v>
      </c>
      <c r="I17822" s="224" t="s">
        <v>2</v>
      </c>
    </row>
    <row r="17823" spans="1:9" x14ac:dyDescent="0.25">
      <c r="A17823" s="515">
        <v>70372</v>
      </c>
      <c r="B17823" s="515" t="s">
        <v>898</v>
      </c>
      <c r="C17823" s="52">
        <v>129214.87137567899</v>
      </c>
      <c r="D17823" s="56">
        <v>8.2351598094131867E-2</v>
      </c>
      <c r="E17823" s="224" t="s">
        <v>2</v>
      </c>
      <c r="F17823" s="515" t="s">
        <v>18997</v>
      </c>
      <c r="G17823" s="52">
        <v>472773.37475269602</v>
      </c>
      <c r="H17823" s="56">
        <v>0</v>
      </c>
      <c r="I17823" s="224" t="s">
        <v>2</v>
      </c>
    </row>
    <row r="17824" spans="1:9" x14ac:dyDescent="0.25">
      <c r="A17824" s="515">
        <v>16347</v>
      </c>
      <c r="B17824" s="515" t="s">
        <v>584</v>
      </c>
      <c r="C17824" s="52">
        <v>76974.976703240594</v>
      </c>
      <c r="D17824" s="56">
        <v>8.7513810949157361E-2</v>
      </c>
      <c r="E17824" s="224" t="s">
        <v>2</v>
      </c>
      <c r="F17824" s="515" t="s">
        <v>18998</v>
      </c>
      <c r="G17824" s="52">
        <v>178045.644942632</v>
      </c>
      <c r="H17824" s="56">
        <v>0.158712221756106</v>
      </c>
      <c r="I17824" s="224" t="s">
        <v>2</v>
      </c>
    </row>
    <row r="17825" spans="1:9" x14ac:dyDescent="0.25">
      <c r="A17825" s="515">
        <v>60444</v>
      </c>
      <c r="B17825" s="515" t="s">
        <v>394</v>
      </c>
      <c r="C17825" s="52">
        <v>211857.949334876</v>
      </c>
      <c r="D17825" s="56">
        <v>6.166662395534378E-2</v>
      </c>
      <c r="E17825" s="224" t="s">
        <v>2</v>
      </c>
      <c r="F17825" s="515" t="s">
        <v>18999</v>
      </c>
      <c r="G17825" s="52">
        <v>303740.31780055899</v>
      </c>
      <c r="H17825" s="56">
        <v>7.7242341740777598E-2</v>
      </c>
      <c r="I17825" s="224" t="s">
        <v>2</v>
      </c>
    </row>
    <row r="17826" spans="1:9" x14ac:dyDescent="0.25">
      <c r="A17826" s="515">
        <v>29438</v>
      </c>
      <c r="B17826" s="515" t="s">
        <v>1009</v>
      </c>
      <c r="C17826" s="52">
        <v>625036.99581757502</v>
      </c>
      <c r="D17826" s="56">
        <v>0.15684257680356251</v>
      </c>
      <c r="E17826" s="224" t="s">
        <v>2</v>
      </c>
      <c r="F17826" s="515" t="s">
        <v>19000</v>
      </c>
      <c r="G17826" s="52">
        <v>330508.277733656</v>
      </c>
      <c r="H17826" s="56">
        <v>-3.4851233053395611E-3</v>
      </c>
      <c r="I17826" s="224" t="s">
        <v>2</v>
      </c>
    </row>
    <row r="17827" spans="1:9" x14ac:dyDescent="0.25">
      <c r="A17827" s="515">
        <v>56074</v>
      </c>
      <c r="B17827" s="515" t="s">
        <v>542</v>
      </c>
      <c r="C17827" s="52">
        <v>275809.37010480999</v>
      </c>
      <c r="D17827" s="56">
        <v>5.5522737350424171E-2</v>
      </c>
      <c r="E17827" s="224" t="s">
        <v>2</v>
      </c>
      <c r="F17827" s="515" t="s">
        <v>19001</v>
      </c>
      <c r="G17827" s="52">
        <v>150990.075522172</v>
      </c>
      <c r="H17827" s="56">
        <v>2.8649556735118781E-2</v>
      </c>
      <c r="I17827" s="224" t="s">
        <v>2</v>
      </c>
    </row>
    <row r="17828" spans="1:9" x14ac:dyDescent="0.25">
      <c r="A17828" s="515">
        <v>12723</v>
      </c>
      <c r="C17828" s="52">
        <v>311667.86362269102</v>
      </c>
      <c r="D17828" s="56">
        <v>0.18506923372757497</v>
      </c>
      <c r="E17828" s="224" t="s">
        <v>2</v>
      </c>
      <c r="F17828" s="515" t="s">
        <v>19002</v>
      </c>
      <c r="G17828" s="52">
        <v>103803.353953061</v>
      </c>
      <c r="H17828" s="56">
        <v>-2.0646662647923072E-2</v>
      </c>
      <c r="I17828" s="224" t="s">
        <v>2</v>
      </c>
    </row>
    <row r="17829" spans="1:9" x14ac:dyDescent="0.25">
      <c r="A17829" s="515">
        <v>12817</v>
      </c>
      <c r="B17829" s="515" t="s">
        <v>422</v>
      </c>
      <c r="C17829" s="52">
        <v>323253.57025542698</v>
      </c>
      <c r="D17829" s="56">
        <v>9.9587961807763942E-2</v>
      </c>
      <c r="E17829" s="224" t="s">
        <v>2</v>
      </c>
      <c r="F17829" s="515" t="s">
        <v>19003</v>
      </c>
      <c r="G17829" s="52">
        <v>179904.84028023499</v>
      </c>
      <c r="H17829" s="56">
        <v>-9.5986089089626983E-3</v>
      </c>
      <c r="I17829" s="224" t="s">
        <v>2</v>
      </c>
    </row>
    <row r="17830" spans="1:9" x14ac:dyDescent="0.25">
      <c r="A17830" s="515">
        <v>29448</v>
      </c>
      <c r="B17830" s="515" t="s">
        <v>1009</v>
      </c>
      <c r="C17830" s="52">
        <v>242107.71558551601</v>
      </c>
      <c r="D17830" s="56">
        <v>0.17112937167428033</v>
      </c>
      <c r="E17830" s="224" t="s">
        <v>2</v>
      </c>
      <c r="F17830" s="515" t="s">
        <v>19004</v>
      </c>
      <c r="G17830" s="52">
        <v>320252.98254052998</v>
      </c>
      <c r="H17830" s="56">
        <v>0.11961276180024262</v>
      </c>
      <c r="I17830" s="224" t="s">
        <v>2</v>
      </c>
    </row>
    <row r="17831" spans="1:9" x14ac:dyDescent="0.25">
      <c r="A17831" s="515">
        <v>57058</v>
      </c>
      <c r="B17831" s="515" t="s">
        <v>579</v>
      </c>
      <c r="C17831" s="52">
        <v>209011.332142828</v>
      </c>
      <c r="D17831" s="56">
        <v>0.11372908607514927</v>
      </c>
      <c r="E17831" s="224" t="s">
        <v>2</v>
      </c>
      <c r="F17831" s="515" t="s">
        <v>19005</v>
      </c>
      <c r="G17831" s="52">
        <v>227749.68538631999</v>
      </c>
      <c r="H17831" s="56">
        <v>8.234591435971686E-2</v>
      </c>
      <c r="I17831" s="224" t="s">
        <v>2</v>
      </c>
    </row>
    <row r="17832" spans="1:9" x14ac:dyDescent="0.25">
      <c r="A17832" s="515">
        <v>62958</v>
      </c>
      <c r="B17832" s="515" t="s">
        <v>471</v>
      </c>
      <c r="C17832" s="52">
        <v>155479.709963039</v>
      </c>
      <c r="D17832" s="56">
        <v>6.0233601618061822E-2</v>
      </c>
      <c r="E17832" s="224" t="s">
        <v>2</v>
      </c>
      <c r="F17832" s="515" t="s">
        <v>19006</v>
      </c>
      <c r="G17832" s="52">
        <v>205820.274732566</v>
      </c>
      <c r="H17832" s="56">
        <v>9.2281110556467913E-2</v>
      </c>
      <c r="I17832" s="224" t="s">
        <v>2</v>
      </c>
    </row>
    <row r="17833" spans="1:9" x14ac:dyDescent="0.25">
      <c r="A17833" s="515">
        <v>98595</v>
      </c>
      <c r="B17833" s="515" t="s">
        <v>683</v>
      </c>
      <c r="C17833" s="52">
        <v>289626.08261770901</v>
      </c>
      <c r="D17833" s="56">
        <v>4.5981621850263873E-2</v>
      </c>
      <c r="E17833" s="224" t="s">
        <v>2</v>
      </c>
      <c r="F17833" s="515" t="s">
        <v>19007</v>
      </c>
      <c r="G17833" s="52">
        <v>262782.92226274899</v>
      </c>
      <c r="H17833" s="56">
        <v>0.10631455406321948</v>
      </c>
      <c r="I17833" s="224" t="s">
        <v>2</v>
      </c>
    </row>
    <row r="17834" spans="1:9" x14ac:dyDescent="0.25">
      <c r="A17834" s="515">
        <v>75431</v>
      </c>
      <c r="B17834" s="515" t="s">
        <v>980</v>
      </c>
      <c r="C17834" s="52">
        <v>209371.24837936199</v>
      </c>
      <c r="D17834" s="56">
        <v>-6.6829168608010057E-3</v>
      </c>
      <c r="E17834" s="224" t="s">
        <v>2</v>
      </c>
      <c r="F17834" s="515" t="s">
        <v>19008</v>
      </c>
      <c r="G17834" s="52">
        <v>81838.442400969507</v>
      </c>
      <c r="H17834" s="56">
        <v>0</v>
      </c>
      <c r="I17834" s="224" t="s">
        <v>2</v>
      </c>
    </row>
    <row r="17835" spans="1:9" x14ac:dyDescent="0.25">
      <c r="A17835" s="515">
        <v>59920</v>
      </c>
      <c r="B17835" s="515" t="s">
        <v>459</v>
      </c>
      <c r="C17835" s="52">
        <v>618695.29846257705</v>
      </c>
      <c r="D17835" s="56">
        <v>6.4810219958042536E-2</v>
      </c>
      <c r="E17835" s="224" t="s">
        <v>2</v>
      </c>
      <c r="F17835" s="515" t="s">
        <v>19009</v>
      </c>
      <c r="G17835" s="52">
        <v>628327.54846719396</v>
      </c>
      <c r="H17835" s="56">
        <v>0.12071250778986321</v>
      </c>
      <c r="I17835" s="224" t="s">
        <v>2</v>
      </c>
    </row>
    <row r="17836" spans="1:9" x14ac:dyDescent="0.25">
      <c r="A17836" s="515">
        <v>16346</v>
      </c>
      <c r="B17836" s="515" t="s">
        <v>349</v>
      </c>
      <c r="C17836" s="52">
        <v>141031.35668678701</v>
      </c>
      <c r="D17836" s="56">
        <v>7.7424671700421721E-2</v>
      </c>
      <c r="E17836" s="224" t="s">
        <v>2</v>
      </c>
      <c r="F17836" s="515" t="s">
        <v>19010</v>
      </c>
      <c r="G17836" s="52">
        <v>219924.168407271</v>
      </c>
      <c r="H17836" s="56">
        <v>4.0454420963526749E-2</v>
      </c>
      <c r="I17836" s="224" t="s">
        <v>2</v>
      </c>
    </row>
    <row r="17837" spans="1:9" x14ac:dyDescent="0.25">
      <c r="A17837" s="515">
        <v>1080</v>
      </c>
      <c r="B17837" s="515" t="s">
        <v>575</v>
      </c>
      <c r="C17837" s="52">
        <v>249466.52104233799</v>
      </c>
      <c r="D17837" s="56">
        <v>9.5281601158521245E-2</v>
      </c>
      <c r="E17837" s="224" t="s">
        <v>2</v>
      </c>
      <c r="F17837" s="515" t="s">
        <v>19011</v>
      </c>
      <c r="G17837" s="52">
        <v>578958.80909090897</v>
      </c>
      <c r="H17837" s="56">
        <v>0</v>
      </c>
      <c r="I17837" s="224" t="s">
        <v>2</v>
      </c>
    </row>
    <row r="17838" spans="1:9" x14ac:dyDescent="0.25">
      <c r="A17838" s="515">
        <v>46555</v>
      </c>
      <c r="B17838" s="515" t="s">
        <v>1127</v>
      </c>
      <c r="C17838" s="52">
        <v>226158.16572433201</v>
      </c>
      <c r="D17838" s="56">
        <v>8.3778264535490116E-2</v>
      </c>
      <c r="E17838" s="224" t="s">
        <v>2</v>
      </c>
      <c r="F17838" s="515" t="s">
        <v>19012</v>
      </c>
      <c r="G17838" s="52">
        <v>155592.18571428501</v>
      </c>
      <c r="H17838" s="56">
        <v>0</v>
      </c>
      <c r="I17838" s="224" t="s">
        <v>2</v>
      </c>
    </row>
    <row r="17839" spans="1:9" x14ac:dyDescent="0.25">
      <c r="A17839" s="515">
        <v>99347</v>
      </c>
      <c r="C17839" s="52">
        <v>215012.98642038499</v>
      </c>
      <c r="D17839" s="56">
        <v>4.114997884712697E-2</v>
      </c>
      <c r="E17839" s="224" t="s">
        <v>2</v>
      </c>
      <c r="F17839" s="515" t="s">
        <v>19013</v>
      </c>
      <c r="G17839" s="52">
        <v>236221.24054121799</v>
      </c>
      <c r="H17839" s="56">
        <v>4.3419617093262919E-2</v>
      </c>
      <c r="I17839" s="224" t="s">
        <v>2</v>
      </c>
    </row>
    <row r="17840" spans="1:9" x14ac:dyDescent="0.25">
      <c r="A17840" s="515">
        <v>54112</v>
      </c>
      <c r="B17840" s="515" t="s">
        <v>923</v>
      </c>
      <c r="C17840" s="52">
        <v>190575.492322912</v>
      </c>
      <c r="D17840" s="56">
        <v>0.10064719476288955</v>
      </c>
      <c r="E17840" s="224" t="s">
        <v>2</v>
      </c>
      <c r="F17840" s="515" t="s">
        <v>19014</v>
      </c>
      <c r="G17840" s="52">
        <v>109732.799079266</v>
      </c>
      <c r="H17840" s="56">
        <v>5.6305326278080277E-2</v>
      </c>
      <c r="I17840" s="224" t="s">
        <v>2</v>
      </c>
    </row>
    <row r="17841" spans="1:9" x14ac:dyDescent="0.25">
      <c r="A17841" s="515">
        <v>62288</v>
      </c>
      <c r="C17841" s="52">
        <v>125832.930225929</v>
      </c>
      <c r="D17841" s="56">
        <v>6.2217260081733838E-2</v>
      </c>
      <c r="E17841" s="224" t="s">
        <v>2</v>
      </c>
      <c r="F17841" s="515" t="s">
        <v>19015</v>
      </c>
      <c r="G17841" s="52">
        <v>262405.515669477</v>
      </c>
      <c r="H17841" s="56">
        <v>0.11585500661622665</v>
      </c>
      <c r="I17841" s="224" t="s">
        <v>2</v>
      </c>
    </row>
    <row r="17842" spans="1:9" x14ac:dyDescent="0.25">
      <c r="A17842" s="515">
        <v>44675</v>
      </c>
      <c r="B17842" s="515" t="s">
        <v>863</v>
      </c>
      <c r="C17842" s="52">
        <v>184828.380905242</v>
      </c>
      <c r="D17842" s="56">
        <v>5.9648893881298293E-2</v>
      </c>
      <c r="E17842" s="224" t="s">
        <v>2</v>
      </c>
      <c r="F17842" s="515" t="s">
        <v>19016</v>
      </c>
      <c r="G17842" s="52">
        <v>141229.536090632</v>
      </c>
      <c r="H17842" s="56">
        <v>2.246093233556164E-2</v>
      </c>
      <c r="I17842" s="224" t="s">
        <v>2</v>
      </c>
    </row>
    <row r="17843" spans="1:9" x14ac:dyDescent="0.25">
      <c r="A17843" s="515">
        <v>22454</v>
      </c>
      <c r="C17843" s="52">
        <v>244184.46883647901</v>
      </c>
      <c r="D17843" s="56">
        <v>0.13764239023992519</v>
      </c>
      <c r="E17843" s="224" t="s">
        <v>2</v>
      </c>
      <c r="F17843" s="515" t="s">
        <v>19017</v>
      </c>
      <c r="G17843" s="52">
        <v>75648.258427152599</v>
      </c>
      <c r="H17843" s="56">
        <v>0.28780229959710579</v>
      </c>
      <c r="I17843" s="224" t="s">
        <v>2</v>
      </c>
    </row>
    <row r="17844" spans="1:9" x14ac:dyDescent="0.25">
      <c r="A17844" s="515">
        <v>97810</v>
      </c>
      <c r="B17844" s="515" t="s">
        <v>733</v>
      </c>
      <c r="C17844" s="52">
        <v>310282.53626763599</v>
      </c>
      <c r="D17844" s="56">
        <v>7.2801444197843762E-2</v>
      </c>
      <c r="E17844" s="224" t="s">
        <v>2</v>
      </c>
      <c r="F17844" s="515" t="s">
        <v>19018</v>
      </c>
      <c r="G17844" s="52">
        <v>72464.505369829494</v>
      </c>
      <c r="H17844" s="56">
        <v>-4.2862908969009093E-2</v>
      </c>
      <c r="I17844" s="224" t="s">
        <v>2</v>
      </c>
    </row>
    <row r="17845" spans="1:9" x14ac:dyDescent="0.25">
      <c r="A17845" s="515">
        <v>37181</v>
      </c>
      <c r="B17845" s="515" t="s">
        <v>684</v>
      </c>
      <c r="C17845" s="52">
        <v>260859.68512919199</v>
      </c>
      <c r="D17845" s="56">
        <v>5.9888239490990786E-2</v>
      </c>
      <c r="E17845" s="224" t="s">
        <v>2</v>
      </c>
      <c r="F17845" s="515" t="s">
        <v>19019</v>
      </c>
      <c r="G17845" s="52">
        <v>156272.36275318201</v>
      </c>
      <c r="H17845" s="56">
        <v>8.8378153841565707E-2</v>
      </c>
      <c r="I17845" s="224" t="s">
        <v>2</v>
      </c>
    </row>
    <row r="17846" spans="1:9" x14ac:dyDescent="0.25">
      <c r="A17846" s="515">
        <v>8026</v>
      </c>
      <c r="B17846" s="515" t="s">
        <v>294</v>
      </c>
      <c r="C17846" s="52">
        <v>299183.84562303702</v>
      </c>
      <c r="D17846" s="56">
        <v>6.0513605988243804E-2</v>
      </c>
      <c r="E17846" s="224" t="s">
        <v>2</v>
      </c>
      <c r="F17846" s="515" t="s">
        <v>19020</v>
      </c>
      <c r="G17846" s="52">
        <v>113891.80457538999</v>
      </c>
      <c r="H17846" s="56">
        <v>0.12849268535968342</v>
      </c>
      <c r="I17846" s="224" t="s">
        <v>2</v>
      </c>
    </row>
    <row r="17847" spans="1:9" x14ac:dyDescent="0.25">
      <c r="A17847" s="515">
        <v>71670</v>
      </c>
      <c r="C17847" s="52">
        <v>90239.6582499121</v>
      </c>
      <c r="D17847" s="56">
        <v>-6.5575124518034725E-2</v>
      </c>
      <c r="E17847" s="224" t="s">
        <v>2</v>
      </c>
      <c r="F17847" s="515" t="s">
        <v>19021</v>
      </c>
      <c r="G17847" s="52">
        <v>173103.90062474899</v>
      </c>
      <c r="H17847" s="56">
        <v>0.11252745155368539</v>
      </c>
      <c r="I17847" s="224" t="s">
        <v>2</v>
      </c>
    </row>
    <row r="17848" spans="1:9" x14ac:dyDescent="0.25">
      <c r="A17848" s="515">
        <v>95454</v>
      </c>
      <c r="B17848" s="515" t="s">
        <v>644</v>
      </c>
      <c r="C17848" s="52">
        <v>352666.380949329</v>
      </c>
      <c r="D17848" s="56">
        <v>-0.16499042468265718</v>
      </c>
      <c r="E17848" s="224" t="s">
        <v>2</v>
      </c>
      <c r="F17848" s="515" t="s">
        <v>19022</v>
      </c>
      <c r="G17848" s="52">
        <v>177528.86610805601</v>
      </c>
      <c r="H17848" s="56">
        <v>0.13928723977758786</v>
      </c>
      <c r="I17848" s="224" t="s">
        <v>2</v>
      </c>
    </row>
    <row r="17849" spans="1:9" x14ac:dyDescent="0.25">
      <c r="A17849" s="515">
        <v>72633</v>
      </c>
      <c r="B17849" s="515" t="s">
        <v>647</v>
      </c>
      <c r="C17849" s="52">
        <v>164605.523187463</v>
      </c>
      <c r="D17849" s="56">
        <v>0.10337743025295822</v>
      </c>
      <c r="E17849" s="224" t="s">
        <v>2</v>
      </c>
      <c r="F17849" s="515" t="s">
        <v>19023</v>
      </c>
      <c r="G17849" s="52">
        <v>126421.825116701</v>
      </c>
      <c r="H17849" s="56">
        <v>4.2130966721046034E-2</v>
      </c>
      <c r="I17849" s="224" t="s">
        <v>2</v>
      </c>
    </row>
    <row r="17850" spans="1:9" x14ac:dyDescent="0.25">
      <c r="A17850" s="515">
        <v>28626</v>
      </c>
      <c r="C17850" s="52">
        <v>340374.58263769897</v>
      </c>
      <c r="D17850" s="56">
        <v>4.4234013607947424E-2</v>
      </c>
      <c r="E17850" s="224" t="s">
        <v>2</v>
      </c>
      <c r="F17850" s="515" t="s">
        <v>19024</v>
      </c>
      <c r="G17850" s="52">
        <v>59197.990730085599</v>
      </c>
      <c r="H17850" s="56">
        <v>0</v>
      </c>
      <c r="I17850" s="224" t="s">
        <v>2</v>
      </c>
    </row>
    <row r="17851" spans="1:9" x14ac:dyDescent="0.25">
      <c r="A17851" s="515">
        <v>55396</v>
      </c>
      <c r="C17851" s="52">
        <v>190147.271220497</v>
      </c>
      <c r="D17851" s="56">
        <v>8.3341442193520885E-3</v>
      </c>
      <c r="E17851" s="224" t="s">
        <v>2</v>
      </c>
      <c r="F17851" s="515" t="s">
        <v>19025</v>
      </c>
      <c r="G17851" s="52">
        <v>392624.50826717401</v>
      </c>
      <c r="H17851" s="56">
        <v>8.1324524852131347E-2</v>
      </c>
      <c r="I17851" s="224" t="s">
        <v>2</v>
      </c>
    </row>
    <row r="17852" spans="1:9" x14ac:dyDescent="0.25">
      <c r="A17852" s="515">
        <v>21531</v>
      </c>
      <c r="C17852" s="52">
        <v>187246.35083573801</v>
      </c>
      <c r="D17852" s="56">
        <v>2.3871270385767689E-2</v>
      </c>
      <c r="E17852" s="224" t="s">
        <v>2</v>
      </c>
      <c r="F17852" s="515" t="s">
        <v>8241</v>
      </c>
      <c r="G17852" s="52">
        <v>257580.93466631399</v>
      </c>
      <c r="H17852" s="56">
        <v>1.893171653122042E-2</v>
      </c>
      <c r="I17852" s="224" t="s">
        <v>2</v>
      </c>
    </row>
    <row r="17853" spans="1:9" x14ac:dyDescent="0.25">
      <c r="A17853" s="515">
        <v>62312</v>
      </c>
      <c r="C17853" s="52">
        <v>75292.027153793504</v>
      </c>
      <c r="D17853" s="56">
        <v>9.4382419274911478E-2</v>
      </c>
      <c r="E17853" s="224" t="s">
        <v>2</v>
      </c>
      <c r="F17853" s="515" t="s">
        <v>19026</v>
      </c>
      <c r="G17853" s="52">
        <v>187982.260844656</v>
      </c>
      <c r="H17853" s="56">
        <v>-2.7433833757163268E-3</v>
      </c>
      <c r="I17853" s="224" t="s">
        <v>2</v>
      </c>
    </row>
    <row r="17854" spans="1:9" x14ac:dyDescent="0.25">
      <c r="A17854" s="515">
        <v>39851</v>
      </c>
      <c r="C17854" s="52">
        <v>115296.27590153999</v>
      </c>
      <c r="D17854" s="56">
        <v>1.4893296995349421E-2</v>
      </c>
      <c r="E17854" s="224" t="s">
        <v>2</v>
      </c>
      <c r="F17854" s="515" t="s">
        <v>19027</v>
      </c>
      <c r="G17854" s="52">
        <v>62031.860787286001</v>
      </c>
      <c r="H17854" s="56">
        <v>-1.6495162936207636E-2</v>
      </c>
      <c r="I17854" s="224" t="s">
        <v>2</v>
      </c>
    </row>
    <row r="17855" spans="1:9" x14ac:dyDescent="0.25">
      <c r="A17855" s="515">
        <v>83850</v>
      </c>
      <c r="C17855" s="52">
        <v>306085.55099593598</v>
      </c>
      <c r="D17855" s="56">
        <v>9.0547560910565188E-3</v>
      </c>
      <c r="E17855" s="224" t="s">
        <v>2</v>
      </c>
      <c r="F17855" s="515" t="s">
        <v>19028</v>
      </c>
      <c r="G17855" s="52">
        <v>201699.590351716</v>
      </c>
      <c r="H17855" s="56">
        <v>0.10395846177350376</v>
      </c>
      <c r="I17855" s="224" t="s">
        <v>2</v>
      </c>
    </row>
    <row r="17856" spans="1:9" x14ac:dyDescent="0.25">
      <c r="A17856" s="515">
        <v>47951</v>
      </c>
      <c r="B17856" s="515" t="s">
        <v>394</v>
      </c>
      <c r="C17856" s="52">
        <v>150651.98267657901</v>
      </c>
      <c r="D17856" s="56">
        <v>8.9001512676944519E-2</v>
      </c>
      <c r="E17856" s="224" t="s">
        <v>2</v>
      </c>
      <c r="F17856" s="515" t="s">
        <v>19029</v>
      </c>
      <c r="G17856" s="52">
        <v>191422.119642684</v>
      </c>
      <c r="H17856" s="56">
        <v>7.6316210293453701E-2</v>
      </c>
      <c r="I17856" s="224" t="s">
        <v>2</v>
      </c>
    </row>
    <row r="17857" spans="1:9" x14ac:dyDescent="0.25">
      <c r="A17857" s="515">
        <v>80547</v>
      </c>
      <c r="B17857" s="515" t="s">
        <v>738</v>
      </c>
      <c r="C17857" s="52">
        <v>689089.83907091594</v>
      </c>
      <c r="D17857" s="56">
        <v>4.6702419139264664E-2</v>
      </c>
      <c r="E17857" s="224" t="s">
        <v>2</v>
      </c>
      <c r="F17857" s="515" t="s">
        <v>19030</v>
      </c>
      <c r="G17857" s="52">
        <v>138406.37351957901</v>
      </c>
      <c r="H17857" s="56">
        <v>0.10750414989218102</v>
      </c>
      <c r="I17857" s="224" t="s">
        <v>2</v>
      </c>
    </row>
    <row r="17858" spans="1:9" x14ac:dyDescent="0.25">
      <c r="A17858" s="515">
        <v>27820</v>
      </c>
      <c r="B17858" s="515" t="s">
        <v>909</v>
      </c>
      <c r="C17858" s="52">
        <v>110457.372978017</v>
      </c>
      <c r="D17858" s="56">
        <v>0.16426294201800196</v>
      </c>
      <c r="E17858" s="224" t="s">
        <v>2</v>
      </c>
      <c r="F17858" s="515" t="s">
        <v>19031</v>
      </c>
      <c r="G17858" s="52">
        <v>549481.86333612702</v>
      </c>
      <c r="H17858" s="56">
        <v>9.1590212621077721E-2</v>
      </c>
      <c r="I17858" s="224" t="s">
        <v>2</v>
      </c>
    </row>
    <row r="17859" spans="1:9" x14ac:dyDescent="0.25">
      <c r="A17859" s="515">
        <v>3465</v>
      </c>
      <c r="B17859" s="515" t="s">
        <v>747</v>
      </c>
      <c r="C17859" s="52">
        <v>258961.31812077801</v>
      </c>
      <c r="D17859" s="56">
        <v>0.14447952068401954</v>
      </c>
      <c r="E17859" s="224" t="s">
        <v>2</v>
      </c>
      <c r="F17859" s="515" t="s">
        <v>19032</v>
      </c>
      <c r="G17859" s="52">
        <v>69187.2374103724</v>
      </c>
      <c r="H17859" s="56">
        <v>0.16685577646828351</v>
      </c>
      <c r="I17859" s="224" t="s">
        <v>2</v>
      </c>
    </row>
    <row r="17860" spans="1:9" x14ac:dyDescent="0.25">
      <c r="A17860" s="515">
        <v>76859</v>
      </c>
      <c r="C17860" s="52">
        <v>143260.89661250901</v>
      </c>
      <c r="D17860" s="56">
        <v>0</v>
      </c>
      <c r="E17860" s="224" t="s">
        <v>2</v>
      </c>
      <c r="F17860" s="515" t="s">
        <v>19033</v>
      </c>
      <c r="G17860" s="52">
        <v>153207.870290686</v>
      </c>
      <c r="H17860" s="56">
        <v>-0.13201780774923944</v>
      </c>
      <c r="I17860" s="224" t="s">
        <v>2</v>
      </c>
    </row>
    <row r="17861" spans="1:9" x14ac:dyDescent="0.25">
      <c r="A17861" s="515">
        <v>47469</v>
      </c>
      <c r="C17861" s="52">
        <v>157482.79448827199</v>
      </c>
      <c r="D17861" s="56">
        <v>4.2303755735721614E-2</v>
      </c>
      <c r="E17861" s="224" t="s">
        <v>2</v>
      </c>
      <c r="F17861" s="515" t="s">
        <v>19034</v>
      </c>
      <c r="G17861" s="52">
        <v>398388.12390265299</v>
      </c>
      <c r="H17861" s="56">
        <v>-1.3947781335040939E-2</v>
      </c>
      <c r="I17861" s="224" t="s">
        <v>2</v>
      </c>
    </row>
    <row r="17862" spans="1:9" x14ac:dyDescent="0.25">
      <c r="A17862" s="515">
        <v>24174</v>
      </c>
      <c r="B17862" s="515" t="s">
        <v>705</v>
      </c>
      <c r="C17862" s="52">
        <v>178992.53276733801</v>
      </c>
      <c r="D17862" s="56">
        <v>9.514490553492809E-2</v>
      </c>
      <c r="E17862" s="224" t="s">
        <v>2</v>
      </c>
      <c r="F17862" s="515" t="s">
        <v>19035</v>
      </c>
      <c r="G17862" s="52">
        <v>232279.37949788</v>
      </c>
      <c r="H17862" s="56">
        <v>2.3300841569100846E-2</v>
      </c>
      <c r="I17862" s="224" t="s">
        <v>2</v>
      </c>
    </row>
    <row r="17863" spans="1:9" x14ac:dyDescent="0.25">
      <c r="A17863" s="515">
        <v>67576</v>
      </c>
      <c r="C17863" s="52">
        <v>94775.623662106605</v>
      </c>
      <c r="D17863" s="56">
        <v>0.16419238863400321</v>
      </c>
      <c r="E17863" s="224" t="s">
        <v>2</v>
      </c>
      <c r="F17863" s="515" t="s">
        <v>19036</v>
      </c>
      <c r="G17863" s="52">
        <v>97181.178627049594</v>
      </c>
      <c r="H17863" s="56">
        <v>-7.2615843909572597E-2</v>
      </c>
      <c r="I17863" s="224" t="s">
        <v>2</v>
      </c>
    </row>
    <row r="17864" spans="1:9" x14ac:dyDescent="0.25">
      <c r="A17864" s="515">
        <v>12060</v>
      </c>
      <c r="B17864" s="515" t="s">
        <v>564</v>
      </c>
      <c r="C17864" s="52">
        <v>446015.93843387399</v>
      </c>
      <c r="D17864" s="56">
        <v>0.11516977703954163</v>
      </c>
      <c r="E17864" s="224" t="s">
        <v>2</v>
      </c>
      <c r="F17864" s="515" t="s">
        <v>19037</v>
      </c>
      <c r="G17864" s="52">
        <v>673093.99671687698</v>
      </c>
      <c r="H17864" s="56">
        <v>0</v>
      </c>
      <c r="I17864" s="224" t="s">
        <v>2</v>
      </c>
    </row>
    <row r="17865" spans="1:9" x14ac:dyDescent="0.25">
      <c r="A17865" s="515">
        <v>35744</v>
      </c>
      <c r="B17865" s="515" t="s">
        <v>748</v>
      </c>
      <c r="C17865" s="52">
        <v>164256.893998221</v>
      </c>
      <c r="D17865" s="56">
        <v>0.15408504616316804</v>
      </c>
      <c r="E17865" s="224" t="s">
        <v>2</v>
      </c>
      <c r="F17865" s="515" t="s">
        <v>19038</v>
      </c>
      <c r="G17865" s="52">
        <v>211607.80802254</v>
      </c>
      <c r="H17865" s="56">
        <v>4.7236719805778128E-2</v>
      </c>
      <c r="I17865" s="224" t="s">
        <v>2</v>
      </c>
    </row>
    <row r="17866" spans="1:9" x14ac:dyDescent="0.25">
      <c r="A17866" s="515">
        <v>61732</v>
      </c>
      <c r="B17866" s="515" t="s">
        <v>645</v>
      </c>
      <c r="C17866" s="52">
        <v>192116.10049952101</v>
      </c>
      <c r="D17866" s="56">
        <v>0.11998672553152324</v>
      </c>
      <c r="E17866" s="224" t="s">
        <v>2</v>
      </c>
      <c r="F17866" s="515" t="s">
        <v>19039</v>
      </c>
      <c r="G17866" s="52">
        <v>139783.6563653</v>
      </c>
      <c r="H17866" s="56">
        <v>-1.4849114687500086E-2</v>
      </c>
      <c r="I17866" s="224" t="s">
        <v>2</v>
      </c>
    </row>
    <row r="17867" spans="1:9" x14ac:dyDescent="0.25">
      <c r="A17867" s="515">
        <v>13625</v>
      </c>
      <c r="B17867" s="515" t="s">
        <v>511</v>
      </c>
      <c r="C17867" s="52">
        <v>168149.368281959</v>
      </c>
      <c r="D17867" s="56">
        <v>8.2187334112020741E-2</v>
      </c>
      <c r="E17867" s="224" t="s">
        <v>2</v>
      </c>
      <c r="F17867" s="515" t="s">
        <v>19040</v>
      </c>
      <c r="G17867" s="52">
        <v>163467.34713531801</v>
      </c>
      <c r="H17867" s="56">
        <v>8.6923581520910717E-2</v>
      </c>
      <c r="I17867" s="224" t="s">
        <v>2</v>
      </c>
    </row>
    <row r="17868" spans="1:9" x14ac:dyDescent="0.25">
      <c r="A17868" s="515">
        <v>28622</v>
      </c>
      <c r="C17868" s="52">
        <v>243769.95676928101</v>
      </c>
      <c r="D17868" s="56">
        <v>0.13797498244742484</v>
      </c>
      <c r="E17868" s="224" t="s">
        <v>2</v>
      </c>
      <c r="F17868" s="515" t="s">
        <v>19041</v>
      </c>
      <c r="G17868" s="52">
        <v>121196.208471224</v>
      </c>
      <c r="H17868" s="56">
        <v>0.18695841217656864</v>
      </c>
      <c r="I17868" s="224" t="s">
        <v>2</v>
      </c>
    </row>
    <row r="17869" spans="1:9" x14ac:dyDescent="0.25">
      <c r="A17869" s="515">
        <v>2808</v>
      </c>
      <c r="B17869" s="515" t="s">
        <v>513</v>
      </c>
      <c r="C17869" s="52">
        <v>358543.63502561999</v>
      </c>
      <c r="D17869" s="56">
        <v>6.1028154322013126E-2</v>
      </c>
      <c r="E17869" s="224" t="s">
        <v>2</v>
      </c>
      <c r="F17869" s="515" t="s">
        <v>19042</v>
      </c>
      <c r="G17869" s="52">
        <v>121914.301550569</v>
      </c>
      <c r="H17869" s="56">
        <v>0</v>
      </c>
      <c r="I17869" s="224" t="s">
        <v>2</v>
      </c>
    </row>
    <row r="17870" spans="1:9" x14ac:dyDescent="0.25">
      <c r="A17870" s="515">
        <v>45101</v>
      </c>
      <c r="B17870" s="515" t="s">
        <v>344</v>
      </c>
      <c r="C17870" s="52">
        <v>158403.45602258301</v>
      </c>
      <c r="D17870" s="56">
        <v>2.2720001874678732E-2</v>
      </c>
      <c r="E17870" s="224" t="s">
        <v>2</v>
      </c>
      <c r="F17870" s="515" t="s">
        <v>19043</v>
      </c>
      <c r="G17870" s="52">
        <v>86808.059915033999</v>
      </c>
      <c r="H17870" s="56">
        <v>8.9624401135708021E-2</v>
      </c>
      <c r="I17870" s="224" t="s">
        <v>2</v>
      </c>
    </row>
    <row r="17871" spans="1:9" x14ac:dyDescent="0.25">
      <c r="A17871" s="515">
        <v>1081</v>
      </c>
      <c r="B17871" s="515" t="s">
        <v>575</v>
      </c>
      <c r="C17871" s="52">
        <v>278495.10347160301</v>
      </c>
      <c r="D17871" s="56">
        <v>9.0164570157207441E-2</v>
      </c>
      <c r="E17871" s="224" t="s">
        <v>2</v>
      </c>
      <c r="F17871" s="515" t="s">
        <v>19044</v>
      </c>
      <c r="G17871" s="52">
        <v>154494.86658540001</v>
      </c>
      <c r="H17871" s="56">
        <v>0.1494074538009196</v>
      </c>
      <c r="I17871" s="224" t="s">
        <v>2</v>
      </c>
    </row>
    <row r="17872" spans="1:9" x14ac:dyDescent="0.25">
      <c r="A17872" s="515">
        <v>79098</v>
      </c>
      <c r="B17872" s="515" t="s">
        <v>1126</v>
      </c>
      <c r="C17872" s="52">
        <v>282849.92442718899</v>
      </c>
      <c r="D17872" s="56">
        <v>0</v>
      </c>
      <c r="E17872" s="224" t="s">
        <v>2</v>
      </c>
      <c r="F17872" s="515" t="s">
        <v>19045</v>
      </c>
      <c r="G17872" s="52">
        <v>196291.64557528601</v>
      </c>
      <c r="H17872" s="56">
        <v>6.2295062598026009E-2</v>
      </c>
      <c r="I17872" s="224" t="s">
        <v>2</v>
      </c>
    </row>
    <row r="17873" spans="1:9" x14ac:dyDescent="0.25">
      <c r="A17873" s="515">
        <v>49272</v>
      </c>
      <c r="B17873" s="515" t="s">
        <v>1125</v>
      </c>
      <c r="C17873" s="52">
        <v>238996.7819832</v>
      </c>
      <c r="D17873" s="56">
        <v>3.6388699979949576E-2</v>
      </c>
      <c r="E17873" s="224" t="s">
        <v>2</v>
      </c>
      <c r="F17873" s="515" t="s">
        <v>19046</v>
      </c>
      <c r="G17873" s="52">
        <v>221362.08499409101</v>
      </c>
      <c r="H17873" s="56">
        <v>6.4935128411521534E-2</v>
      </c>
      <c r="I17873" s="224" t="s">
        <v>2</v>
      </c>
    </row>
    <row r="17874" spans="1:9" x14ac:dyDescent="0.25">
      <c r="A17874" s="515">
        <v>30730</v>
      </c>
      <c r="B17874" s="515" t="s">
        <v>1124</v>
      </c>
      <c r="C17874" s="52">
        <v>155327.39260684099</v>
      </c>
      <c r="D17874" s="56">
        <v>0.10116532550586009</v>
      </c>
      <c r="E17874" s="224" t="s">
        <v>2</v>
      </c>
      <c r="F17874" s="515" t="s">
        <v>19047</v>
      </c>
      <c r="G17874" s="52">
        <v>265614.57142857101</v>
      </c>
      <c r="H17874" s="56">
        <v>0</v>
      </c>
      <c r="I17874" s="224" t="s">
        <v>2</v>
      </c>
    </row>
    <row r="17875" spans="1:9" x14ac:dyDescent="0.25">
      <c r="A17875" s="515">
        <v>68045</v>
      </c>
      <c r="C17875" s="52">
        <v>157609.55136449999</v>
      </c>
      <c r="D17875" s="56">
        <v>0.15527454976042646</v>
      </c>
      <c r="E17875" s="224" t="s">
        <v>2</v>
      </c>
      <c r="F17875" s="515" t="s">
        <v>19048</v>
      </c>
      <c r="G17875" s="52">
        <v>66963.702490673502</v>
      </c>
      <c r="H17875" s="56">
        <v>0</v>
      </c>
      <c r="I17875" s="224" t="s">
        <v>2</v>
      </c>
    </row>
    <row r="17876" spans="1:9" x14ac:dyDescent="0.25">
      <c r="A17876" s="515">
        <v>29126</v>
      </c>
      <c r="B17876" s="515" t="s">
        <v>1011</v>
      </c>
      <c r="C17876" s="52">
        <v>231793.47480070699</v>
      </c>
      <c r="D17876" s="56">
        <v>-2.0497253654437182E-2</v>
      </c>
      <c r="E17876" s="224" t="s">
        <v>2</v>
      </c>
      <c r="F17876" s="515" t="s">
        <v>19049</v>
      </c>
      <c r="G17876" s="52">
        <v>86108.685094869099</v>
      </c>
      <c r="H17876" s="56">
        <v>2.1495479558406444E-2</v>
      </c>
      <c r="I17876" s="224" t="s">
        <v>2</v>
      </c>
    </row>
    <row r="17877" spans="1:9" x14ac:dyDescent="0.25">
      <c r="A17877" s="515">
        <v>27007</v>
      </c>
      <c r="B17877" s="515" t="s">
        <v>1046</v>
      </c>
      <c r="C17877" s="52">
        <v>217856.192865472</v>
      </c>
      <c r="D17877" s="56">
        <v>4.7119174328744802E-2</v>
      </c>
      <c r="E17877" s="224" t="s">
        <v>2</v>
      </c>
      <c r="F17877" s="515" t="s">
        <v>19050</v>
      </c>
      <c r="G17877" s="52">
        <v>333885.054070301</v>
      </c>
      <c r="H17877" s="56">
        <v>-8.811246056057917E-2</v>
      </c>
      <c r="I17877" s="224" t="s">
        <v>2</v>
      </c>
    </row>
    <row r="17878" spans="1:9" x14ac:dyDescent="0.25">
      <c r="A17878" s="515">
        <v>26159</v>
      </c>
      <c r="C17878" s="52">
        <v>92865.616740134195</v>
      </c>
      <c r="D17878" s="56">
        <v>8.1609651984669657E-2</v>
      </c>
      <c r="E17878" s="224" t="s">
        <v>2</v>
      </c>
      <c r="F17878" s="515" t="s">
        <v>19051</v>
      </c>
      <c r="G17878" s="52">
        <v>141622.538096918</v>
      </c>
      <c r="H17878" s="56">
        <v>3.1260033968303603E-3</v>
      </c>
      <c r="I17878" s="224" t="s">
        <v>2</v>
      </c>
    </row>
    <row r="17879" spans="1:9" x14ac:dyDescent="0.25">
      <c r="A17879" s="515">
        <v>45880</v>
      </c>
      <c r="C17879" s="52">
        <v>138001.11096022901</v>
      </c>
      <c r="D17879" s="56">
        <v>0.10075287191723335</v>
      </c>
      <c r="E17879" s="224" t="s">
        <v>2</v>
      </c>
      <c r="F17879" s="515" t="s">
        <v>19052</v>
      </c>
      <c r="G17879" s="52">
        <v>68143.4737256558</v>
      </c>
      <c r="H17879" s="56">
        <v>-1.385105807807354E-2</v>
      </c>
      <c r="I17879" s="224" t="s">
        <v>2</v>
      </c>
    </row>
    <row r="17880" spans="1:9" x14ac:dyDescent="0.25">
      <c r="A17880" s="515">
        <v>24225</v>
      </c>
      <c r="C17880" s="52">
        <v>80734.776502155699</v>
      </c>
      <c r="D17880" s="56">
        <v>5.5369034075008844E-2</v>
      </c>
      <c r="E17880" s="224" t="s">
        <v>2</v>
      </c>
      <c r="F17880" s="515" t="s">
        <v>19053</v>
      </c>
      <c r="G17880" s="52">
        <v>277002.21667990199</v>
      </c>
      <c r="H17880" s="56">
        <v>0.15966079100405881</v>
      </c>
      <c r="I17880" s="224" t="s">
        <v>2</v>
      </c>
    </row>
    <row r="17881" spans="1:9" x14ac:dyDescent="0.25">
      <c r="A17881" s="515">
        <v>46743</v>
      </c>
      <c r="B17881" s="515" t="s">
        <v>1031</v>
      </c>
      <c r="C17881" s="52">
        <v>222733.32017530399</v>
      </c>
      <c r="D17881" s="56">
        <v>5.0465995697667174E-2</v>
      </c>
      <c r="E17881" s="224" t="s">
        <v>2</v>
      </c>
      <c r="F17881" s="515" t="s">
        <v>19054</v>
      </c>
      <c r="G17881" s="52">
        <v>377464.14941825799</v>
      </c>
      <c r="H17881" s="56">
        <v>4.4954411018449499E-2</v>
      </c>
      <c r="I17881" s="224" t="s">
        <v>2</v>
      </c>
    </row>
    <row r="17882" spans="1:9" x14ac:dyDescent="0.25">
      <c r="A17882" s="515">
        <v>47946</v>
      </c>
      <c r="C17882" s="52">
        <v>168017.05173763999</v>
      </c>
      <c r="D17882" s="56">
        <v>5.7560770680226699E-2</v>
      </c>
      <c r="E17882" s="224" t="s">
        <v>2</v>
      </c>
      <c r="F17882" s="515" t="s">
        <v>19055</v>
      </c>
      <c r="G17882" s="52">
        <v>129037.104347826</v>
      </c>
      <c r="H17882" s="56">
        <v>0</v>
      </c>
      <c r="I17882" s="224" t="s">
        <v>2</v>
      </c>
    </row>
    <row r="17883" spans="1:9" x14ac:dyDescent="0.25">
      <c r="A17883" s="515">
        <v>12958</v>
      </c>
      <c r="B17883" s="515" t="s">
        <v>395</v>
      </c>
      <c r="C17883" s="52">
        <v>157733.54673547301</v>
      </c>
      <c r="D17883" s="56">
        <v>0.14174009569824975</v>
      </c>
      <c r="E17883" s="224" t="s">
        <v>2</v>
      </c>
      <c r="F17883" s="515" t="s">
        <v>19056</v>
      </c>
      <c r="G17883" s="52">
        <v>138199.59565299901</v>
      </c>
      <c r="H17883" s="56">
        <v>0.10733329605146495</v>
      </c>
      <c r="I17883" s="224" t="s">
        <v>2</v>
      </c>
    </row>
    <row r="17884" spans="1:9" x14ac:dyDescent="0.25">
      <c r="A17884" s="515">
        <v>22830</v>
      </c>
      <c r="B17884" s="515" t="s">
        <v>1026</v>
      </c>
      <c r="C17884" s="52">
        <v>216544.250484269</v>
      </c>
      <c r="D17884" s="56">
        <v>9.2320130725195307E-2</v>
      </c>
      <c r="E17884" s="224" t="s">
        <v>2</v>
      </c>
      <c r="F17884" s="515" t="s">
        <v>19057</v>
      </c>
      <c r="G17884" s="52">
        <v>227359.45444767599</v>
      </c>
      <c r="H17884" s="56">
        <v>8.598903748202244E-2</v>
      </c>
      <c r="I17884" s="224" t="s">
        <v>2</v>
      </c>
    </row>
    <row r="17885" spans="1:9" x14ac:dyDescent="0.25">
      <c r="A17885" s="515">
        <v>49680</v>
      </c>
      <c r="B17885" s="515" t="s">
        <v>366</v>
      </c>
      <c r="C17885" s="52">
        <v>163175.11147237901</v>
      </c>
      <c r="D17885" s="56">
        <v>6.0699582468429804E-2</v>
      </c>
      <c r="E17885" s="224" t="s">
        <v>2</v>
      </c>
      <c r="F17885" s="515" t="s">
        <v>19058</v>
      </c>
      <c r="G17885" s="52">
        <v>305981.648468111</v>
      </c>
      <c r="H17885" s="56">
        <v>0.19756329189881225</v>
      </c>
      <c r="I17885" s="224" t="s">
        <v>2</v>
      </c>
    </row>
    <row r="17886" spans="1:9" x14ac:dyDescent="0.25">
      <c r="A17886" s="515">
        <v>20006</v>
      </c>
      <c r="B17886" s="515" t="s">
        <v>321</v>
      </c>
      <c r="C17886" s="52">
        <v>250022.28085068101</v>
      </c>
      <c r="D17886" s="56">
        <v>-9.59259668080026E-3</v>
      </c>
      <c r="E17886" s="224">
        <v>2185.8333333333298</v>
      </c>
      <c r="F17886" s="515" t="s">
        <v>19059</v>
      </c>
      <c r="G17886" s="52">
        <v>223551.94042288701</v>
      </c>
      <c r="H17886" s="56">
        <v>9.7943034881539187E-2</v>
      </c>
      <c r="I17886" s="224" t="s">
        <v>2</v>
      </c>
    </row>
    <row r="17887" spans="1:9" x14ac:dyDescent="0.25">
      <c r="A17887" s="515">
        <v>15724</v>
      </c>
      <c r="B17887" s="515" t="s">
        <v>343</v>
      </c>
      <c r="C17887" s="52">
        <v>105338.54294705301</v>
      </c>
      <c r="D17887" s="56">
        <v>7.4982741571330447E-2</v>
      </c>
      <c r="E17887" s="224" t="s">
        <v>2</v>
      </c>
      <c r="F17887" s="515" t="s">
        <v>19060</v>
      </c>
      <c r="G17887" s="52">
        <v>85134.7372806075</v>
      </c>
      <c r="H17887" s="56">
        <v>5.6434231847208291E-2</v>
      </c>
      <c r="I17887" s="224" t="s">
        <v>2</v>
      </c>
    </row>
    <row r="17888" spans="1:9" x14ac:dyDescent="0.25">
      <c r="A17888" s="515">
        <v>26374</v>
      </c>
      <c r="B17888" s="515" t="s">
        <v>643</v>
      </c>
      <c r="C17888" s="52">
        <v>170488.376143348</v>
      </c>
      <c r="D17888" s="56">
        <v>5.277061674625691E-2</v>
      </c>
      <c r="E17888" s="224" t="s">
        <v>2</v>
      </c>
      <c r="F17888" s="515" t="s">
        <v>19061</v>
      </c>
      <c r="G17888" s="52">
        <v>105747.190215214</v>
      </c>
      <c r="H17888" s="56">
        <v>9.3159282056289788E-2</v>
      </c>
      <c r="I17888" s="224" t="s">
        <v>2</v>
      </c>
    </row>
    <row r="17889" spans="1:9" x14ac:dyDescent="0.25">
      <c r="A17889" s="515">
        <v>28679</v>
      </c>
      <c r="B17889" s="515" t="s">
        <v>1103</v>
      </c>
      <c r="C17889" s="52">
        <v>356569.98833243502</v>
      </c>
      <c r="D17889" s="56">
        <v>0.16600877674069339</v>
      </c>
      <c r="E17889" s="224" t="s">
        <v>2</v>
      </c>
      <c r="F17889" s="515" t="s">
        <v>19062</v>
      </c>
      <c r="G17889" s="52">
        <v>249511.43372759601</v>
      </c>
      <c r="H17889" s="56">
        <v>8.3598248854215046E-2</v>
      </c>
      <c r="I17889" s="224" t="s">
        <v>2</v>
      </c>
    </row>
    <row r="17890" spans="1:9" x14ac:dyDescent="0.25">
      <c r="A17890" s="515">
        <v>62271</v>
      </c>
      <c r="C17890" s="52">
        <v>133816.40160419</v>
      </c>
      <c r="D17890" s="56">
        <v>3.6073752890185634E-2</v>
      </c>
      <c r="E17890" s="224" t="s">
        <v>2</v>
      </c>
      <c r="F17890" s="515" t="s">
        <v>19063</v>
      </c>
      <c r="G17890" s="52">
        <v>221652.376302975</v>
      </c>
      <c r="H17890" s="56">
        <v>0</v>
      </c>
      <c r="I17890" s="224" t="s">
        <v>2</v>
      </c>
    </row>
    <row r="17891" spans="1:9" x14ac:dyDescent="0.25">
      <c r="A17891" s="515">
        <v>14718</v>
      </c>
      <c r="B17891" s="515" t="s">
        <v>560</v>
      </c>
      <c r="C17891" s="52">
        <v>161131.29134694199</v>
      </c>
      <c r="D17891" s="56">
        <v>9.5984454609083114E-2</v>
      </c>
      <c r="E17891" s="224" t="s">
        <v>2</v>
      </c>
      <c r="F17891" s="515" t="s">
        <v>19064</v>
      </c>
      <c r="G17891" s="52">
        <v>207226.317670294</v>
      </c>
      <c r="H17891" s="56">
        <v>0.15447311045677645</v>
      </c>
      <c r="I17891" s="224" t="s">
        <v>2</v>
      </c>
    </row>
    <row r="17892" spans="1:9" x14ac:dyDescent="0.25">
      <c r="A17892" s="515">
        <v>4472</v>
      </c>
      <c r="C17892" s="52">
        <v>257217.86901635301</v>
      </c>
      <c r="D17892" s="56">
        <v>0.16586543707447648</v>
      </c>
      <c r="E17892" s="224" t="s">
        <v>2</v>
      </c>
      <c r="F17892" s="515" t="s">
        <v>19065</v>
      </c>
      <c r="G17892" s="52">
        <v>253912.77546612499</v>
      </c>
      <c r="H17892" s="56">
        <v>8.6606123688889147E-2</v>
      </c>
      <c r="I17892" s="224" t="s">
        <v>2</v>
      </c>
    </row>
    <row r="17893" spans="1:9" x14ac:dyDescent="0.25">
      <c r="A17893" s="515">
        <v>7980</v>
      </c>
      <c r="B17893" s="515" t="s">
        <v>324</v>
      </c>
      <c r="C17893" s="52">
        <v>576866.11989319895</v>
      </c>
      <c r="D17893" s="56">
        <v>3.9667902215723375E-2</v>
      </c>
      <c r="E17893" s="224" t="s">
        <v>2</v>
      </c>
      <c r="F17893" s="515" t="s">
        <v>19066</v>
      </c>
      <c r="G17893" s="52">
        <v>148291.88400693701</v>
      </c>
      <c r="H17893" s="56">
        <v>0</v>
      </c>
      <c r="I17893" s="224" t="s">
        <v>2</v>
      </c>
    </row>
    <row r="17894" spans="1:9" x14ac:dyDescent="0.25">
      <c r="A17894" s="515">
        <v>29743</v>
      </c>
      <c r="B17894" s="515" t="s">
        <v>360</v>
      </c>
      <c r="C17894" s="52">
        <v>215783.27727278401</v>
      </c>
      <c r="D17894" s="56">
        <v>7.8855078025665354E-2</v>
      </c>
      <c r="E17894" s="224" t="s">
        <v>2</v>
      </c>
      <c r="F17894" s="515" t="s">
        <v>19067</v>
      </c>
      <c r="G17894" s="52">
        <v>194802.227861641</v>
      </c>
      <c r="H17894" s="56">
        <v>0.1264578013290753</v>
      </c>
      <c r="I17894" s="224" t="s">
        <v>2</v>
      </c>
    </row>
    <row r="17895" spans="1:9" x14ac:dyDescent="0.25">
      <c r="A17895" s="515">
        <v>5773</v>
      </c>
      <c r="B17895" s="515" t="s">
        <v>791</v>
      </c>
      <c r="C17895" s="52">
        <v>287870.96709410899</v>
      </c>
      <c r="D17895" s="56">
        <v>7.594770414370236E-2</v>
      </c>
      <c r="E17895" s="224" t="s">
        <v>2</v>
      </c>
      <c r="F17895" s="515" t="s">
        <v>19068</v>
      </c>
      <c r="G17895" s="52">
        <v>462897.69797466497</v>
      </c>
      <c r="H17895" s="56">
        <v>0.18263802976667889</v>
      </c>
      <c r="I17895" s="224" t="s">
        <v>2</v>
      </c>
    </row>
    <row r="17896" spans="1:9" x14ac:dyDescent="0.25">
      <c r="A17896" s="515">
        <v>45874</v>
      </c>
      <c r="B17896" s="515" t="s">
        <v>818</v>
      </c>
      <c r="C17896" s="52">
        <v>130759.985733957</v>
      </c>
      <c r="D17896" s="56">
        <v>7.9922357121486279E-2</v>
      </c>
      <c r="E17896" s="224" t="s">
        <v>2</v>
      </c>
      <c r="F17896" s="515" t="s">
        <v>19069</v>
      </c>
      <c r="G17896" s="52">
        <v>153367.44984214799</v>
      </c>
      <c r="H17896" s="56">
        <v>8.7765345934534209E-2</v>
      </c>
      <c r="I17896" s="224" t="s">
        <v>2</v>
      </c>
    </row>
    <row r="17897" spans="1:9" x14ac:dyDescent="0.25">
      <c r="A17897" s="515">
        <v>30625</v>
      </c>
      <c r="B17897" s="515" t="s">
        <v>957</v>
      </c>
      <c r="C17897" s="52">
        <v>442399.507051097</v>
      </c>
      <c r="D17897" s="56">
        <v>7.3487084188324295E-2</v>
      </c>
      <c r="E17897" s="224" t="s">
        <v>2</v>
      </c>
      <c r="F17897" s="515" t="s">
        <v>19070</v>
      </c>
      <c r="G17897" s="52">
        <v>171247.78408083</v>
      </c>
      <c r="H17897" s="56">
        <v>8.1445370473540071E-2</v>
      </c>
      <c r="I17897" s="224" t="s">
        <v>2</v>
      </c>
    </row>
    <row r="17898" spans="1:9" x14ac:dyDescent="0.25">
      <c r="A17898" s="515">
        <v>62360</v>
      </c>
      <c r="B17898" s="515" t="s">
        <v>697</v>
      </c>
      <c r="C17898" s="52">
        <v>132538.50204610999</v>
      </c>
      <c r="D17898" s="56">
        <v>3.3578293271902086E-2</v>
      </c>
      <c r="E17898" s="224" t="s">
        <v>2</v>
      </c>
      <c r="F17898" s="515" t="s">
        <v>19071</v>
      </c>
      <c r="G17898" s="52">
        <v>511845.16267085</v>
      </c>
      <c r="H17898" s="56">
        <v>6.446861005572152E-2</v>
      </c>
      <c r="I17898" s="224" t="s">
        <v>2</v>
      </c>
    </row>
    <row r="17899" spans="1:9" x14ac:dyDescent="0.25">
      <c r="A17899" s="515">
        <v>38642</v>
      </c>
      <c r="C17899" s="52">
        <v>138924.04184249401</v>
      </c>
      <c r="D17899" s="56">
        <v>-2.8311669235956408E-2</v>
      </c>
      <c r="E17899" s="224" t="s">
        <v>2</v>
      </c>
      <c r="F17899" s="515" t="s">
        <v>19072</v>
      </c>
      <c r="G17899" s="52">
        <v>157095.31683168301</v>
      </c>
      <c r="H17899" s="56">
        <v>0</v>
      </c>
      <c r="I17899" s="224" t="s">
        <v>2</v>
      </c>
    </row>
    <row r="17900" spans="1:9" x14ac:dyDescent="0.25">
      <c r="A17900" s="515">
        <v>12835</v>
      </c>
      <c r="B17900" s="515" t="s">
        <v>609</v>
      </c>
      <c r="C17900" s="52">
        <v>277373.79353320098</v>
      </c>
      <c r="D17900" s="56">
        <v>0.11120635345895261</v>
      </c>
      <c r="E17900" s="224" t="s">
        <v>2</v>
      </c>
      <c r="F17900" s="515" t="s">
        <v>19073</v>
      </c>
      <c r="G17900" s="52">
        <v>204663.852293103</v>
      </c>
      <c r="H17900" s="56">
        <v>0.21410593377944648</v>
      </c>
      <c r="I17900" s="224" t="s">
        <v>2</v>
      </c>
    </row>
    <row r="17901" spans="1:9" x14ac:dyDescent="0.25">
      <c r="A17901" s="515">
        <v>32096</v>
      </c>
      <c r="C17901" s="52">
        <v>182068.999774828</v>
      </c>
      <c r="D17901" s="56">
        <v>0.18438662311566356</v>
      </c>
      <c r="E17901" s="224" t="s">
        <v>2</v>
      </c>
      <c r="F17901" s="515" t="s">
        <v>19074</v>
      </c>
      <c r="G17901" s="52">
        <v>112643.480503916</v>
      </c>
      <c r="H17901" s="56">
        <v>-2.9914329775222737E-3</v>
      </c>
      <c r="I17901" s="224" t="s">
        <v>2</v>
      </c>
    </row>
    <row r="17902" spans="1:9" x14ac:dyDescent="0.25">
      <c r="A17902" s="515">
        <v>17845</v>
      </c>
      <c r="B17902" s="515" t="s">
        <v>794</v>
      </c>
      <c r="C17902" s="52">
        <v>198260.91417930901</v>
      </c>
      <c r="D17902" s="56">
        <v>7.7721214015461823E-2</v>
      </c>
      <c r="E17902" s="224" t="s">
        <v>2</v>
      </c>
      <c r="F17902" s="515" t="s">
        <v>19075</v>
      </c>
      <c r="G17902" s="52">
        <v>396433.957998053</v>
      </c>
      <c r="H17902" s="56">
        <v>1.4838175424594639E-2</v>
      </c>
      <c r="I17902" s="224" t="s">
        <v>2</v>
      </c>
    </row>
    <row r="17903" spans="1:9" x14ac:dyDescent="0.25">
      <c r="A17903" s="515">
        <v>5363</v>
      </c>
      <c r="C17903" s="52">
        <v>344365.313809813</v>
      </c>
      <c r="D17903" s="56">
        <v>6.8409781317139318E-2</v>
      </c>
      <c r="E17903" s="224" t="s">
        <v>2</v>
      </c>
      <c r="F17903" s="515" t="s">
        <v>19076</v>
      </c>
      <c r="G17903" s="52">
        <v>197823.627561186</v>
      </c>
      <c r="H17903" s="56">
        <v>6.4340734308798289E-2</v>
      </c>
      <c r="I17903" s="224" t="s">
        <v>2</v>
      </c>
    </row>
    <row r="17904" spans="1:9" x14ac:dyDescent="0.25">
      <c r="A17904" s="515">
        <v>13116</v>
      </c>
      <c r="B17904" s="515" t="s">
        <v>361</v>
      </c>
      <c r="C17904" s="52">
        <v>192002.154860432</v>
      </c>
      <c r="D17904" s="56">
        <v>9.2907551582780398E-2</v>
      </c>
      <c r="E17904" s="224" t="s">
        <v>2</v>
      </c>
      <c r="F17904" s="515" t="s">
        <v>19077</v>
      </c>
      <c r="G17904" s="52">
        <v>177796.38391077099</v>
      </c>
      <c r="H17904" s="56">
        <v>2.6481588477617009E-2</v>
      </c>
      <c r="I17904" s="224" t="s">
        <v>2</v>
      </c>
    </row>
    <row r="17905" spans="1:9" x14ac:dyDescent="0.25">
      <c r="A17905" s="515">
        <v>16912</v>
      </c>
      <c r="C17905" s="52">
        <v>132014.20485556801</v>
      </c>
      <c r="D17905" s="56">
        <v>0.11156840424004356</v>
      </c>
      <c r="E17905" s="224" t="s">
        <v>2</v>
      </c>
      <c r="F17905" s="515" t="s">
        <v>19078</v>
      </c>
      <c r="G17905" s="52">
        <v>83060.526871868104</v>
      </c>
      <c r="H17905" s="56">
        <v>0</v>
      </c>
      <c r="I17905" s="224" t="s">
        <v>2</v>
      </c>
    </row>
    <row r="17906" spans="1:9" x14ac:dyDescent="0.25">
      <c r="A17906" s="515">
        <v>50207</v>
      </c>
      <c r="B17906" s="515" t="s">
        <v>477</v>
      </c>
      <c r="C17906" s="52">
        <v>169923.86985333401</v>
      </c>
      <c r="D17906" s="56">
        <v>0.11447119755157294</v>
      </c>
      <c r="E17906" s="224" t="s">
        <v>2</v>
      </c>
      <c r="F17906" s="515" t="s">
        <v>19079</v>
      </c>
      <c r="G17906" s="52">
        <v>84128.370000220501</v>
      </c>
      <c r="H17906" s="56">
        <v>0</v>
      </c>
      <c r="I17906" s="224" t="s">
        <v>2</v>
      </c>
    </row>
    <row r="17907" spans="1:9" x14ac:dyDescent="0.25">
      <c r="A17907" s="515">
        <v>20197</v>
      </c>
      <c r="B17907" s="515" t="s">
        <v>321</v>
      </c>
      <c r="C17907" s="52">
        <v>1049773.5241438199</v>
      </c>
      <c r="D17907" s="56">
        <v>8.2117638868672752E-2</v>
      </c>
      <c r="E17907" s="224" t="s">
        <v>2</v>
      </c>
      <c r="F17907" s="515" t="s">
        <v>19080</v>
      </c>
      <c r="G17907" s="52">
        <v>180122.84906569601</v>
      </c>
      <c r="H17907" s="56">
        <v>5.7192299542231907E-2</v>
      </c>
      <c r="I17907" s="224" t="s">
        <v>2</v>
      </c>
    </row>
    <row r="17908" spans="1:9" x14ac:dyDescent="0.25">
      <c r="A17908" s="515">
        <v>16374</v>
      </c>
      <c r="B17908" s="515" t="s">
        <v>349</v>
      </c>
      <c r="C17908" s="52">
        <v>125266.91469542201</v>
      </c>
      <c r="D17908" s="56">
        <v>0.13102107209516939</v>
      </c>
      <c r="E17908" s="224" t="s">
        <v>2</v>
      </c>
      <c r="F17908" s="515" t="s">
        <v>19081</v>
      </c>
      <c r="G17908" s="52">
        <v>149451.203123479</v>
      </c>
      <c r="H17908" s="56">
        <v>0</v>
      </c>
      <c r="I17908" s="224" t="s">
        <v>2</v>
      </c>
    </row>
    <row r="17909" spans="1:9" x14ac:dyDescent="0.25">
      <c r="A17909" s="515">
        <v>7847</v>
      </c>
      <c r="B17909" s="515" t="s">
        <v>324</v>
      </c>
      <c r="C17909" s="52">
        <v>381360.12473465397</v>
      </c>
      <c r="D17909" s="56">
        <v>2.1713404179662273E-2</v>
      </c>
      <c r="E17909" s="224" t="s">
        <v>2</v>
      </c>
      <c r="F17909" s="515" t="s">
        <v>19082</v>
      </c>
      <c r="G17909" s="52">
        <v>329733.18403985898</v>
      </c>
      <c r="H17909" s="56">
        <v>9.3678678284424471E-2</v>
      </c>
      <c r="I17909" s="224" t="s">
        <v>2</v>
      </c>
    </row>
    <row r="17910" spans="1:9" x14ac:dyDescent="0.25">
      <c r="A17910" s="515">
        <v>25621</v>
      </c>
      <c r="C17910" s="52">
        <v>75664.222640953798</v>
      </c>
      <c r="D17910" s="56">
        <v>6.3425052626435219E-2</v>
      </c>
      <c r="E17910" s="224" t="s">
        <v>2</v>
      </c>
      <c r="F17910" s="515" t="s">
        <v>19083</v>
      </c>
      <c r="G17910" s="52">
        <v>137165.15154750901</v>
      </c>
      <c r="H17910" s="56">
        <v>0</v>
      </c>
      <c r="I17910" s="224" t="s">
        <v>2</v>
      </c>
    </row>
    <row r="17911" spans="1:9" x14ac:dyDescent="0.25">
      <c r="A17911" s="515">
        <v>14741</v>
      </c>
      <c r="B17911" s="515" t="s">
        <v>870</v>
      </c>
      <c r="C17911" s="52">
        <v>198014.27136766701</v>
      </c>
      <c r="D17911" s="56">
        <v>0.11424765714491851</v>
      </c>
      <c r="E17911" s="224" t="s">
        <v>2</v>
      </c>
      <c r="F17911" s="515" t="s">
        <v>19084</v>
      </c>
      <c r="G17911" s="52">
        <v>236977.33291080399</v>
      </c>
      <c r="H17911" s="56">
        <v>3.1685467198274468E-2</v>
      </c>
      <c r="I17911" s="224" t="s">
        <v>2</v>
      </c>
    </row>
    <row r="17912" spans="1:9" x14ac:dyDescent="0.25">
      <c r="A17912" s="515">
        <v>31781</v>
      </c>
      <c r="B17912" s="515" t="s">
        <v>746</v>
      </c>
      <c r="C17912" s="52">
        <v>98075.734253651899</v>
      </c>
      <c r="D17912" s="56">
        <v>-1.7072216178789654E-2</v>
      </c>
      <c r="E17912" s="224" t="s">
        <v>2</v>
      </c>
      <c r="F17912" s="515" t="s">
        <v>19085</v>
      </c>
      <c r="G17912" s="52">
        <v>77804.904514240698</v>
      </c>
      <c r="H17912" s="56">
        <v>-2.1179636715549892E-3</v>
      </c>
      <c r="I17912" s="224" t="s">
        <v>2</v>
      </c>
    </row>
    <row r="17913" spans="1:9" x14ac:dyDescent="0.25">
      <c r="A17913" s="515">
        <v>74002</v>
      </c>
      <c r="B17913" s="515" t="s">
        <v>348</v>
      </c>
      <c r="C17913" s="52">
        <v>118811.596946969</v>
      </c>
      <c r="D17913" s="56">
        <v>-1.748019448606581E-2</v>
      </c>
      <c r="E17913" s="224" t="s">
        <v>2</v>
      </c>
      <c r="F17913" s="515" t="s">
        <v>19086</v>
      </c>
      <c r="G17913" s="52">
        <v>53860.421838237598</v>
      </c>
      <c r="H17913" s="56">
        <v>0.10581105540849957</v>
      </c>
      <c r="I17913" s="224" t="s">
        <v>2</v>
      </c>
    </row>
    <row r="17914" spans="1:9" x14ac:dyDescent="0.25">
      <c r="A17914" s="515">
        <v>39846</v>
      </c>
      <c r="C17914" s="52">
        <v>83848.245228345593</v>
      </c>
      <c r="D17914" s="56">
        <v>0.10104728252420865</v>
      </c>
      <c r="E17914" s="224" t="s">
        <v>2</v>
      </c>
      <c r="F17914" s="515" t="s">
        <v>19087</v>
      </c>
      <c r="G17914" s="52">
        <v>490203.37376425997</v>
      </c>
      <c r="H17914" s="56">
        <v>0.14965587891319709</v>
      </c>
      <c r="I17914" s="224" t="s">
        <v>2</v>
      </c>
    </row>
    <row r="17915" spans="1:9" x14ac:dyDescent="0.25">
      <c r="A17915" s="515">
        <v>45647</v>
      </c>
      <c r="C17915" s="52">
        <v>143446.30479399001</v>
      </c>
      <c r="D17915" s="56">
        <v>0.10264653750430938</v>
      </c>
      <c r="E17915" s="224" t="s">
        <v>2</v>
      </c>
      <c r="F17915" s="515" t="s">
        <v>19088</v>
      </c>
      <c r="G17915" s="52">
        <v>231620.17958547399</v>
      </c>
      <c r="H17915" s="56">
        <v>0.13862753002008824</v>
      </c>
      <c r="I17915" s="224" t="s">
        <v>2</v>
      </c>
    </row>
    <row r="17916" spans="1:9" x14ac:dyDescent="0.25">
      <c r="A17916" s="515">
        <v>18915</v>
      </c>
      <c r="B17916" s="515" t="s">
        <v>294</v>
      </c>
      <c r="C17916" s="52">
        <v>473714.13487406197</v>
      </c>
      <c r="D17916" s="56">
        <v>9.2821224176135503E-2</v>
      </c>
      <c r="E17916" s="224" t="s">
        <v>2</v>
      </c>
      <c r="F17916" s="515" t="s">
        <v>19089</v>
      </c>
      <c r="G17916" s="52">
        <v>172851.19029873601</v>
      </c>
      <c r="H17916" s="56">
        <v>-2.2871029871783452E-3</v>
      </c>
      <c r="I17916" s="224" t="s">
        <v>2</v>
      </c>
    </row>
    <row r="17917" spans="1:9" x14ac:dyDescent="0.25">
      <c r="A17917" s="515">
        <v>28455</v>
      </c>
      <c r="C17917" s="52">
        <v>182728.727272727</v>
      </c>
      <c r="D17917" s="56">
        <v>0</v>
      </c>
      <c r="E17917" s="224" t="s">
        <v>2</v>
      </c>
      <c r="F17917" s="515" t="s">
        <v>19090</v>
      </c>
      <c r="G17917" s="52">
        <v>27967.929565670798</v>
      </c>
      <c r="H17917" s="56">
        <v>3.145859264168941E-2</v>
      </c>
      <c r="I17917" s="224" t="s">
        <v>2</v>
      </c>
    </row>
    <row r="17918" spans="1:9" x14ac:dyDescent="0.25">
      <c r="A17918" s="515">
        <v>17098</v>
      </c>
      <c r="B17918" s="515" t="s">
        <v>428</v>
      </c>
      <c r="C17918" s="52">
        <v>107620.86450326</v>
      </c>
      <c r="D17918" s="56">
        <v>0.14629595828699943</v>
      </c>
      <c r="E17918" s="224" t="s">
        <v>2</v>
      </c>
      <c r="F17918" s="515" t="s">
        <v>19091</v>
      </c>
      <c r="G17918" s="52">
        <v>2356163.6486574602</v>
      </c>
      <c r="H17918" s="56">
        <v>0.11453072160268074</v>
      </c>
      <c r="I17918" s="224" t="s">
        <v>2</v>
      </c>
    </row>
    <row r="17919" spans="1:9" x14ac:dyDescent="0.25">
      <c r="A17919" s="515">
        <v>70652</v>
      </c>
      <c r="B17919" s="515" t="s">
        <v>879</v>
      </c>
      <c r="C17919" s="52">
        <v>180789.421657033</v>
      </c>
      <c r="D17919" s="56">
        <v>3.5303706497989487E-2</v>
      </c>
      <c r="E17919" s="224" t="s">
        <v>2</v>
      </c>
      <c r="F17919" s="515" t="s">
        <v>19092</v>
      </c>
      <c r="G17919" s="52">
        <v>157966.329471039</v>
      </c>
      <c r="H17919" s="56">
        <v>8.1113059635328388E-2</v>
      </c>
      <c r="I17919" s="224" t="s">
        <v>2</v>
      </c>
    </row>
    <row r="17920" spans="1:9" x14ac:dyDescent="0.25">
      <c r="A17920" s="515">
        <v>43045</v>
      </c>
      <c r="B17920" s="515" t="s">
        <v>345</v>
      </c>
      <c r="C17920" s="52">
        <v>258645.00050081901</v>
      </c>
      <c r="D17920" s="56">
        <v>7.4303049504289273E-2</v>
      </c>
      <c r="E17920" s="224" t="s">
        <v>2</v>
      </c>
      <c r="F17920" s="515" t="s">
        <v>19093</v>
      </c>
      <c r="G17920" s="52">
        <v>61647.293493062301</v>
      </c>
      <c r="H17920" s="56">
        <v>-3.0070042583021796E-2</v>
      </c>
      <c r="I17920" s="224" t="s">
        <v>2</v>
      </c>
    </row>
    <row r="17921" spans="1:9" x14ac:dyDescent="0.25">
      <c r="A17921" s="515">
        <v>75931</v>
      </c>
      <c r="C17921" s="52">
        <v>224692.170943606</v>
      </c>
      <c r="D17921" s="56">
        <v>4.9363754522721209E-2</v>
      </c>
      <c r="E17921" s="224" t="s">
        <v>2</v>
      </c>
      <c r="F17921" s="515" t="s">
        <v>19094</v>
      </c>
      <c r="G17921" s="52">
        <v>419021.93659865903</v>
      </c>
      <c r="H17921" s="56">
        <v>0.18478271675952693</v>
      </c>
      <c r="I17921" s="224" t="s">
        <v>2</v>
      </c>
    </row>
    <row r="17922" spans="1:9" x14ac:dyDescent="0.25">
      <c r="A17922" s="515">
        <v>42027</v>
      </c>
      <c r="B17922" s="515" t="s">
        <v>933</v>
      </c>
      <c r="C17922" s="52">
        <v>183142.22101126399</v>
      </c>
      <c r="D17922" s="56">
        <v>0.11817985423533243</v>
      </c>
      <c r="E17922" s="224" t="s">
        <v>2</v>
      </c>
      <c r="F17922" s="515" t="s">
        <v>19095</v>
      </c>
      <c r="G17922" s="52">
        <v>530432.73000551097</v>
      </c>
      <c r="H17922" s="56">
        <v>4.1418976825629394E-2</v>
      </c>
      <c r="I17922" s="224" t="s">
        <v>2</v>
      </c>
    </row>
    <row r="17923" spans="1:9" x14ac:dyDescent="0.25">
      <c r="A17923" s="515">
        <v>63349</v>
      </c>
      <c r="B17923" s="515" t="s">
        <v>498</v>
      </c>
      <c r="C17923" s="52">
        <v>242422.77321193001</v>
      </c>
      <c r="D17923" s="56">
        <v>8.0333919388524008E-2</v>
      </c>
      <c r="E17923" s="224" t="s">
        <v>2</v>
      </c>
      <c r="F17923" s="515" t="s">
        <v>19096</v>
      </c>
      <c r="G17923" s="52">
        <v>718507.94108556397</v>
      </c>
      <c r="H17923" s="56">
        <v>0.15780945067045216</v>
      </c>
      <c r="I17923" s="224" t="s">
        <v>2</v>
      </c>
    </row>
    <row r="17924" spans="1:9" x14ac:dyDescent="0.25">
      <c r="A17924" s="515">
        <v>31829</v>
      </c>
      <c r="B17924" s="515" t="s">
        <v>778</v>
      </c>
      <c r="C17924" s="52">
        <v>331652.45113461802</v>
      </c>
      <c r="D17924" s="56">
        <v>6.6552640497968565E-2</v>
      </c>
      <c r="E17924" s="224" t="s">
        <v>2</v>
      </c>
      <c r="F17924" s="515" t="s">
        <v>19097</v>
      </c>
      <c r="G17924" s="52">
        <v>362645.45783132501</v>
      </c>
      <c r="H17924" s="56">
        <v>0</v>
      </c>
      <c r="I17924" s="224" t="s">
        <v>2</v>
      </c>
    </row>
    <row r="17925" spans="1:9" x14ac:dyDescent="0.25">
      <c r="A17925" s="515">
        <v>44429</v>
      </c>
      <c r="B17925" s="515" t="s">
        <v>397</v>
      </c>
      <c r="C17925" s="52">
        <v>188137.973140288</v>
      </c>
      <c r="D17925" s="56">
        <v>0.10861256677122816</v>
      </c>
      <c r="E17925" s="224" t="s">
        <v>2</v>
      </c>
      <c r="F17925" s="515" t="s">
        <v>19098</v>
      </c>
      <c r="G17925" s="52">
        <v>48557.663134531198</v>
      </c>
      <c r="H17925" s="56">
        <v>0.29675320186460569</v>
      </c>
      <c r="I17925" s="224" t="s">
        <v>2</v>
      </c>
    </row>
    <row r="17926" spans="1:9" x14ac:dyDescent="0.25">
      <c r="A17926" s="515">
        <v>62685</v>
      </c>
      <c r="B17926" s="515" t="s">
        <v>498</v>
      </c>
      <c r="C17926" s="52">
        <v>117754.420480667</v>
      </c>
      <c r="D17926" s="56">
        <v>3.1379492265863965E-2</v>
      </c>
      <c r="E17926" s="224" t="s">
        <v>2</v>
      </c>
      <c r="F17926" s="515" t="s">
        <v>19099</v>
      </c>
      <c r="G17926" s="52">
        <v>222330.69021387599</v>
      </c>
      <c r="H17926" s="56">
        <v>4.951143792563488E-2</v>
      </c>
      <c r="I17926" s="224" t="s">
        <v>2</v>
      </c>
    </row>
    <row r="17927" spans="1:9" x14ac:dyDescent="0.25">
      <c r="A17927" s="515">
        <v>55932</v>
      </c>
      <c r="B17927" s="515" t="s">
        <v>470</v>
      </c>
      <c r="C17927" s="52">
        <v>289625.19877008902</v>
      </c>
      <c r="D17927" s="56">
        <v>6.4461622548268441E-2</v>
      </c>
      <c r="E17927" s="224" t="s">
        <v>2</v>
      </c>
      <c r="F17927" s="515" t="s">
        <v>19100</v>
      </c>
      <c r="G17927" s="52">
        <v>231132.465405772</v>
      </c>
      <c r="H17927" s="56">
        <v>6.8294863866752056E-2</v>
      </c>
      <c r="I17927" s="224" t="s">
        <v>2</v>
      </c>
    </row>
    <row r="17928" spans="1:9" x14ac:dyDescent="0.25">
      <c r="A17928" s="515">
        <v>21850</v>
      </c>
      <c r="B17928" s="515" t="s">
        <v>552</v>
      </c>
      <c r="C17928" s="52">
        <v>244184.23454331301</v>
      </c>
      <c r="D17928" s="56">
        <v>6.7618574665960357E-2</v>
      </c>
      <c r="E17928" s="224" t="s">
        <v>2</v>
      </c>
      <c r="F17928" s="515" t="s">
        <v>19101</v>
      </c>
      <c r="G17928" s="52">
        <v>267991.58098842902</v>
      </c>
      <c r="H17928" s="56">
        <v>9.9089020115237625E-2</v>
      </c>
      <c r="I17928" s="224" t="s">
        <v>2</v>
      </c>
    </row>
    <row r="17929" spans="1:9" x14ac:dyDescent="0.25">
      <c r="A17929" s="515">
        <v>61491</v>
      </c>
      <c r="B17929" s="515" t="s">
        <v>303</v>
      </c>
      <c r="C17929" s="52">
        <v>94158.073914885506</v>
      </c>
      <c r="D17929" s="56">
        <v>0.11101925975967339</v>
      </c>
      <c r="E17929" s="224" t="s">
        <v>2</v>
      </c>
      <c r="F17929" s="515" t="s">
        <v>19102</v>
      </c>
      <c r="G17929" s="52">
        <v>131961.90013731699</v>
      </c>
      <c r="H17929" s="56">
        <v>0.12016356118960067</v>
      </c>
      <c r="I17929" s="224" t="s">
        <v>2</v>
      </c>
    </row>
    <row r="17930" spans="1:9" x14ac:dyDescent="0.25">
      <c r="A17930" s="515">
        <v>49264</v>
      </c>
      <c r="B17930" s="515" t="s">
        <v>528</v>
      </c>
      <c r="C17930" s="52">
        <v>198185.553824559</v>
      </c>
      <c r="D17930" s="56">
        <v>6.8870331498390183E-2</v>
      </c>
      <c r="E17930" s="224" t="s">
        <v>2</v>
      </c>
      <c r="F17930" s="515" t="s">
        <v>19103</v>
      </c>
      <c r="G17930" s="52">
        <v>68494.206521739106</v>
      </c>
      <c r="H17930" s="56">
        <v>0</v>
      </c>
      <c r="I17930" s="224" t="s">
        <v>2</v>
      </c>
    </row>
    <row r="17931" spans="1:9" x14ac:dyDescent="0.25">
      <c r="A17931" s="515">
        <v>57004</v>
      </c>
      <c r="B17931" s="515" t="s">
        <v>579</v>
      </c>
      <c r="C17931" s="52">
        <v>254658.36315560699</v>
      </c>
      <c r="D17931" s="56">
        <v>0.11254327825452907</v>
      </c>
      <c r="E17931" s="224" t="s">
        <v>2</v>
      </c>
      <c r="F17931" s="515" t="s">
        <v>19104</v>
      </c>
      <c r="G17931" s="52">
        <v>223285.311349667</v>
      </c>
      <c r="H17931" s="56">
        <v>6.3466187966472562E-2</v>
      </c>
      <c r="I17931" s="224" t="s">
        <v>2</v>
      </c>
    </row>
    <row r="17932" spans="1:9" x14ac:dyDescent="0.25">
      <c r="A17932" s="515">
        <v>56580</v>
      </c>
      <c r="B17932" s="515" t="s">
        <v>928</v>
      </c>
      <c r="C17932" s="52">
        <v>282040.47925223102</v>
      </c>
      <c r="D17932" s="56">
        <v>3.3193913001181269E-2</v>
      </c>
      <c r="E17932" s="224" t="s">
        <v>2</v>
      </c>
      <c r="F17932" s="515" t="s">
        <v>19105</v>
      </c>
      <c r="G17932" s="52">
        <v>1152715.05509701</v>
      </c>
      <c r="H17932" s="56">
        <v>4.6618105460815892E-2</v>
      </c>
      <c r="I17932" s="224" t="s">
        <v>2</v>
      </c>
    </row>
    <row r="17933" spans="1:9" x14ac:dyDescent="0.25">
      <c r="A17933" s="515">
        <v>67864</v>
      </c>
      <c r="C17933" s="52">
        <v>97398.541589880901</v>
      </c>
      <c r="D17933" s="56">
        <v>0.1175977029662137</v>
      </c>
      <c r="E17933" s="224" t="s">
        <v>2</v>
      </c>
      <c r="F17933" s="515" t="s">
        <v>19106</v>
      </c>
      <c r="G17933" s="52">
        <v>156312.77358961801</v>
      </c>
      <c r="H17933" s="56">
        <v>0</v>
      </c>
      <c r="I17933" s="224" t="s">
        <v>2</v>
      </c>
    </row>
    <row r="17934" spans="1:9" x14ac:dyDescent="0.25">
      <c r="A17934" s="515">
        <v>15480</v>
      </c>
      <c r="B17934" s="515" t="s">
        <v>297</v>
      </c>
      <c r="C17934" s="52">
        <v>137015.45601395101</v>
      </c>
      <c r="D17934" s="56">
        <v>2.6961881125699336E-2</v>
      </c>
      <c r="E17934" s="224" t="s">
        <v>2</v>
      </c>
      <c r="F17934" s="515" t="s">
        <v>19107</v>
      </c>
      <c r="G17934" s="52">
        <v>111597.820287631</v>
      </c>
      <c r="H17934" s="56">
        <v>4.2054613053100626E-2</v>
      </c>
      <c r="I17934" s="224" t="s">
        <v>2</v>
      </c>
    </row>
    <row r="17935" spans="1:9" x14ac:dyDescent="0.25">
      <c r="A17935" s="515">
        <v>14034</v>
      </c>
      <c r="B17935" s="515" t="s">
        <v>336</v>
      </c>
      <c r="C17935" s="52">
        <v>176596.06472720101</v>
      </c>
      <c r="D17935" s="56">
        <v>0.11693032169700397</v>
      </c>
      <c r="E17935" s="224" t="s">
        <v>2</v>
      </c>
      <c r="F17935" s="515" t="s">
        <v>19108</v>
      </c>
      <c r="G17935" s="52">
        <v>147648.024119412</v>
      </c>
      <c r="H17935" s="56">
        <v>5.5204203430524387E-3</v>
      </c>
      <c r="I17935" s="224" t="s">
        <v>2</v>
      </c>
    </row>
    <row r="17936" spans="1:9" x14ac:dyDescent="0.25">
      <c r="A17936" s="515">
        <v>77861</v>
      </c>
      <c r="C17936" s="52">
        <v>415416.97699288401</v>
      </c>
      <c r="D17936" s="56">
        <v>7.6325101198447834E-2</v>
      </c>
      <c r="E17936" s="224" t="s">
        <v>2</v>
      </c>
      <c r="F17936" s="515" t="s">
        <v>19109</v>
      </c>
      <c r="G17936" s="52">
        <v>379500.35676738899</v>
      </c>
      <c r="H17936" s="56">
        <v>0.14069893309014189</v>
      </c>
      <c r="I17936" s="224" t="s">
        <v>2</v>
      </c>
    </row>
    <row r="17937" spans="1:9" x14ac:dyDescent="0.25">
      <c r="A17937" s="515">
        <v>37339</v>
      </c>
      <c r="C17937" s="52">
        <v>137722.886846899</v>
      </c>
      <c r="D17937" s="56">
        <v>1.7838401764540674E-2</v>
      </c>
      <c r="E17937" s="224" t="s">
        <v>2</v>
      </c>
      <c r="F17937" s="515" t="s">
        <v>19110</v>
      </c>
      <c r="G17937" s="52">
        <v>144211.04279569301</v>
      </c>
      <c r="H17937" s="56">
        <v>6.685769855074819E-2</v>
      </c>
      <c r="I17937" s="224" t="s">
        <v>2</v>
      </c>
    </row>
    <row r="17938" spans="1:9" x14ac:dyDescent="0.25">
      <c r="A17938" s="515">
        <v>15436</v>
      </c>
      <c r="B17938" s="515" t="s">
        <v>297</v>
      </c>
      <c r="C17938" s="52">
        <v>115224.949815065</v>
      </c>
      <c r="D17938" s="56">
        <v>3.9610864295707973E-3</v>
      </c>
      <c r="E17938" s="224" t="s">
        <v>2</v>
      </c>
      <c r="F17938" s="515" t="s">
        <v>19111</v>
      </c>
      <c r="G17938" s="52">
        <v>163790.203966392</v>
      </c>
      <c r="H17938" s="56">
        <v>6.6704164113034467E-2</v>
      </c>
      <c r="I17938" s="224" t="s">
        <v>2</v>
      </c>
    </row>
    <row r="17939" spans="1:9" x14ac:dyDescent="0.25">
      <c r="A17939" s="515">
        <v>43933</v>
      </c>
      <c r="B17939" s="515" t="s">
        <v>442</v>
      </c>
      <c r="C17939" s="52">
        <v>135432.80313067799</v>
      </c>
      <c r="D17939" s="56">
        <v>6.0181200905509762E-2</v>
      </c>
      <c r="E17939" s="224" t="s">
        <v>2</v>
      </c>
      <c r="F17939" s="515" t="s">
        <v>19112</v>
      </c>
      <c r="G17939" s="52">
        <v>159754.178866159</v>
      </c>
      <c r="H17939" s="56">
        <v>0</v>
      </c>
      <c r="I17939" s="224" t="s">
        <v>2</v>
      </c>
    </row>
    <row r="17940" spans="1:9" x14ac:dyDescent="0.25">
      <c r="A17940" s="515">
        <v>12185</v>
      </c>
      <c r="B17940" s="515" t="s">
        <v>609</v>
      </c>
      <c r="C17940" s="52">
        <v>256779.84529700299</v>
      </c>
      <c r="D17940" s="56">
        <v>6.9735805033157086E-2</v>
      </c>
      <c r="E17940" s="224" t="s">
        <v>2</v>
      </c>
      <c r="F17940" s="515" t="s">
        <v>19113</v>
      </c>
      <c r="G17940" s="52">
        <v>73625.648606584</v>
      </c>
      <c r="H17940" s="56">
        <v>-3.4553577154554968E-2</v>
      </c>
      <c r="I17940" s="224" t="s">
        <v>2</v>
      </c>
    </row>
    <row r="17941" spans="1:9" x14ac:dyDescent="0.25">
      <c r="A17941" s="515">
        <v>51449</v>
      </c>
      <c r="C17941" s="52">
        <v>107962.66495617801</v>
      </c>
      <c r="D17941" s="56">
        <v>4.9343274103591551E-2</v>
      </c>
      <c r="E17941" s="224" t="s">
        <v>2</v>
      </c>
      <c r="F17941" s="515" t="s">
        <v>19114</v>
      </c>
      <c r="G17941" s="52">
        <v>593761.22139311105</v>
      </c>
      <c r="H17941" s="56">
        <v>0.12739364240998297</v>
      </c>
      <c r="I17941" s="224" t="s">
        <v>2</v>
      </c>
    </row>
    <row r="17942" spans="1:9" x14ac:dyDescent="0.25">
      <c r="A17942" s="515">
        <v>14814</v>
      </c>
      <c r="B17942" s="515" t="s">
        <v>724</v>
      </c>
      <c r="C17942" s="52">
        <v>236561.720895295</v>
      </c>
      <c r="D17942" s="56">
        <v>6.9640899030724193E-2</v>
      </c>
      <c r="E17942" s="224" t="s">
        <v>2</v>
      </c>
      <c r="F17942" s="515" t="s">
        <v>19115</v>
      </c>
      <c r="G17942" s="52">
        <v>177038.45210876199</v>
      </c>
      <c r="H17942" s="56">
        <v>0.1522879852308569</v>
      </c>
      <c r="I17942" s="224" t="s">
        <v>2</v>
      </c>
    </row>
    <row r="17943" spans="1:9" x14ac:dyDescent="0.25">
      <c r="A17943" s="515">
        <v>32767</v>
      </c>
      <c r="B17943" s="515" t="s">
        <v>517</v>
      </c>
      <c r="C17943" s="52">
        <v>202493.36568415599</v>
      </c>
      <c r="D17943" s="56">
        <v>0.17865645429542965</v>
      </c>
      <c r="E17943" s="224" t="s">
        <v>2</v>
      </c>
      <c r="F17943" s="515" t="s">
        <v>19116</v>
      </c>
      <c r="G17943" s="52">
        <v>228933.921045553</v>
      </c>
      <c r="H17943" s="56">
        <v>8.3323609561160014E-2</v>
      </c>
      <c r="I17943" s="224" t="s">
        <v>2</v>
      </c>
    </row>
    <row r="17944" spans="1:9" x14ac:dyDescent="0.25">
      <c r="A17944" s="515">
        <v>92386</v>
      </c>
      <c r="B17944" s="515" t="s">
        <v>599</v>
      </c>
      <c r="C17944" s="52">
        <v>331596.02786984801</v>
      </c>
      <c r="D17944" s="56">
        <v>8.240934883803408E-2</v>
      </c>
      <c r="E17944" s="224" t="s">
        <v>2</v>
      </c>
      <c r="F17944" s="515" t="s">
        <v>19117</v>
      </c>
      <c r="G17944" s="52">
        <v>154292.08480610501</v>
      </c>
      <c r="H17944" s="56">
        <v>0.13828620222658017</v>
      </c>
      <c r="I17944" s="224" t="s">
        <v>2</v>
      </c>
    </row>
    <row r="17945" spans="1:9" x14ac:dyDescent="0.25">
      <c r="A17945" s="515">
        <v>47963</v>
      </c>
      <c r="B17945" s="515" t="s">
        <v>394</v>
      </c>
      <c r="C17945" s="52">
        <v>164562.515562771</v>
      </c>
      <c r="D17945" s="56">
        <v>8.42712033984932E-2</v>
      </c>
      <c r="E17945" s="224" t="s">
        <v>2</v>
      </c>
      <c r="F17945" s="515" t="s">
        <v>19118</v>
      </c>
      <c r="G17945" s="52">
        <v>547414.81041824701</v>
      </c>
      <c r="H17945" s="56">
        <v>2.5217873259486469E-2</v>
      </c>
      <c r="I17945" s="224" t="s">
        <v>2</v>
      </c>
    </row>
    <row r="17946" spans="1:9" x14ac:dyDescent="0.25">
      <c r="A17946" s="515">
        <v>25625</v>
      </c>
      <c r="B17946" s="515" t="s">
        <v>464</v>
      </c>
      <c r="C17946" s="52">
        <v>72343.063015664899</v>
      </c>
      <c r="D17946" s="56">
        <v>0.15921684461585398</v>
      </c>
      <c r="E17946" s="224" t="s">
        <v>2</v>
      </c>
      <c r="F17946" s="515" t="s">
        <v>19119</v>
      </c>
      <c r="G17946" s="52">
        <v>148118.974839881</v>
      </c>
      <c r="H17946" s="56">
        <v>0.17926720273091845</v>
      </c>
      <c r="I17946" s="224" t="s">
        <v>2</v>
      </c>
    </row>
    <row r="17947" spans="1:9" x14ac:dyDescent="0.25">
      <c r="A17947" s="515">
        <v>29163</v>
      </c>
      <c r="B17947" s="515" t="s">
        <v>1036</v>
      </c>
      <c r="C17947" s="52">
        <v>122546.70069566301</v>
      </c>
      <c r="D17947" s="56">
        <v>-3.0669019783481674E-2</v>
      </c>
      <c r="E17947" s="224" t="s">
        <v>2</v>
      </c>
      <c r="F17947" s="515" t="s">
        <v>19120</v>
      </c>
      <c r="G17947" s="52">
        <v>273804.91742928699</v>
      </c>
      <c r="H17947" s="56">
        <v>0.12616099654391913</v>
      </c>
      <c r="I17947" s="224" t="s">
        <v>2</v>
      </c>
    </row>
    <row r="17948" spans="1:9" x14ac:dyDescent="0.25">
      <c r="A17948" s="515">
        <v>55939</v>
      </c>
      <c r="B17948" s="515" t="s">
        <v>470</v>
      </c>
      <c r="C17948" s="52">
        <v>203308.508633152</v>
      </c>
      <c r="D17948" s="56">
        <v>0.11295246681773539</v>
      </c>
      <c r="E17948" s="224" t="s">
        <v>2</v>
      </c>
      <c r="F17948" s="515" t="s">
        <v>19121</v>
      </c>
      <c r="G17948" s="52">
        <v>75971.963560249002</v>
      </c>
      <c r="H17948" s="56">
        <v>0.10704821469655153</v>
      </c>
      <c r="I17948" s="224" t="s">
        <v>2</v>
      </c>
    </row>
    <row r="17949" spans="1:9" x14ac:dyDescent="0.25">
      <c r="A17949" s="515">
        <v>45203</v>
      </c>
      <c r="B17949" s="515" t="s">
        <v>344</v>
      </c>
      <c r="C17949" s="52">
        <v>320358.69583274698</v>
      </c>
      <c r="D17949" s="56">
        <v>5.9208310255745765E-2</v>
      </c>
      <c r="E17949" s="224" t="s">
        <v>2</v>
      </c>
      <c r="F17949" s="515" t="s">
        <v>19122</v>
      </c>
      <c r="G17949" s="52">
        <v>90421.200246754001</v>
      </c>
      <c r="H17949" s="56">
        <v>0.12079311777839523</v>
      </c>
      <c r="I17949" s="224" t="s">
        <v>2</v>
      </c>
    </row>
    <row r="17950" spans="1:9" x14ac:dyDescent="0.25">
      <c r="A17950" s="515">
        <v>48032</v>
      </c>
      <c r="B17950" s="515" t="s">
        <v>685</v>
      </c>
      <c r="C17950" s="52">
        <v>254055.58000409801</v>
      </c>
      <c r="D17950" s="56">
        <v>4.0929913370719759E-2</v>
      </c>
      <c r="E17950" s="224" t="s">
        <v>2</v>
      </c>
      <c r="F17950" s="515" t="s">
        <v>19123</v>
      </c>
      <c r="G17950" s="52">
        <v>178778.96967076999</v>
      </c>
      <c r="H17950" s="56">
        <v>8.5123017430059705E-2</v>
      </c>
      <c r="I17950" s="224" t="s">
        <v>2</v>
      </c>
    </row>
    <row r="17951" spans="1:9" x14ac:dyDescent="0.25">
      <c r="A17951" s="515">
        <v>37810</v>
      </c>
      <c r="B17951" s="515" t="s">
        <v>1117</v>
      </c>
      <c r="C17951" s="52">
        <v>165030.202563617</v>
      </c>
      <c r="D17951" s="56">
        <v>5.8171053699540731E-2</v>
      </c>
      <c r="E17951" s="224" t="s">
        <v>2</v>
      </c>
      <c r="F17951" s="515" t="s">
        <v>19124</v>
      </c>
      <c r="G17951" s="52">
        <v>113292.164464585</v>
      </c>
      <c r="H17951" s="56">
        <v>0.14259156569904852</v>
      </c>
      <c r="I17951" s="224" t="s">
        <v>2</v>
      </c>
    </row>
    <row r="17952" spans="1:9" x14ac:dyDescent="0.25">
      <c r="A17952" s="515">
        <v>97449</v>
      </c>
      <c r="B17952" s="515" t="s">
        <v>868</v>
      </c>
      <c r="C17952" s="52">
        <v>285982.23143267003</v>
      </c>
      <c r="D17952" s="56">
        <v>8.0563524664750419E-2</v>
      </c>
      <c r="E17952" s="224" t="s">
        <v>2</v>
      </c>
      <c r="F17952" s="515" t="s">
        <v>19125</v>
      </c>
      <c r="G17952" s="52">
        <v>263452.69050853199</v>
      </c>
      <c r="H17952" s="56">
        <v>9.4292701679660917E-2</v>
      </c>
      <c r="I17952" s="224" t="s">
        <v>2</v>
      </c>
    </row>
    <row r="17953" spans="1:9" x14ac:dyDescent="0.25">
      <c r="A17953" s="515">
        <v>72843</v>
      </c>
      <c r="B17953" s="515" t="s">
        <v>636</v>
      </c>
      <c r="C17953" s="52">
        <v>126998.66559554701</v>
      </c>
      <c r="D17953" s="56">
        <v>3.2233999109886176E-2</v>
      </c>
      <c r="E17953" s="224" t="s">
        <v>2</v>
      </c>
      <c r="F17953" s="515" t="s">
        <v>19126</v>
      </c>
      <c r="G17953" s="52">
        <v>102447.47236589099</v>
      </c>
      <c r="H17953" s="56">
        <v>0.1567699381061021</v>
      </c>
      <c r="I17953" s="224" t="s">
        <v>2</v>
      </c>
    </row>
    <row r="17954" spans="1:9" x14ac:dyDescent="0.25">
      <c r="A17954" s="515">
        <v>8608</v>
      </c>
      <c r="B17954" s="515" t="s">
        <v>938</v>
      </c>
      <c r="C17954" s="52">
        <v>171810.31252998899</v>
      </c>
      <c r="D17954" s="56">
        <v>3.4723846768357908E-2</v>
      </c>
      <c r="E17954" s="224" t="s">
        <v>2</v>
      </c>
      <c r="F17954" s="515" t="s">
        <v>19127</v>
      </c>
      <c r="G17954" s="52">
        <v>179773.42703807499</v>
      </c>
      <c r="H17954" s="56">
        <v>0.12085846275401808</v>
      </c>
      <c r="I17954" s="224" t="s">
        <v>2</v>
      </c>
    </row>
    <row r="17955" spans="1:9" x14ac:dyDescent="0.25">
      <c r="A17955" s="515">
        <v>56623</v>
      </c>
      <c r="C17955" s="52">
        <v>180063.852805275</v>
      </c>
      <c r="D17955" s="56">
        <v>8.6349056861002541E-2</v>
      </c>
      <c r="E17955" s="224" t="s">
        <v>2</v>
      </c>
      <c r="F17955" s="515" t="s">
        <v>19128</v>
      </c>
      <c r="G17955" s="52">
        <v>163895.769575424</v>
      </c>
      <c r="H17955" s="56">
        <v>0.18712580249717764</v>
      </c>
      <c r="I17955" s="224" t="s">
        <v>2</v>
      </c>
    </row>
    <row r="17956" spans="1:9" x14ac:dyDescent="0.25">
      <c r="A17956" s="515">
        <v>43837</v>
      </c>
      <c r="B17956" s="515" t="s">
        <v>309</v>
      </c>
      <c r="C17956" s="52">
        <v>171627.16254231299</v>
      </c>
      <c r="D17956" s="56">
        <v>4.1462226982950774E-2</v>
      </c>
      <c r="E17956" s="224" t="s">
        <v>2</v>
      </c>
      <c r="F17956" s="515" t="s">
        <v>19129</v>
      </c>
      <c r="G17956" s="52">
        <v>85206.908459908998</v>
      </c>
      <c r="H17956" s="56">
        <v>-3.4769159946559859E-2</v>
      </c>
      <c r="I17956" s="224" t="s">
        <v>2</v>
      </c>
    </row>
    <row r="17957" spans="1:9" x14ac:dyDescent="0.25">
      <c r="A17957" s="515">
        <v>53019</v>
      </c>
      <c r="B17957" s="515" t="s">
        <v>987</v>
      </c>
      <c r="C17957" s="52">
        <v>275357.64405130799</v>
      </c>
      <c r="D17957" s="56">
        <v>4.3097963514424693E-2</v>
      </c>
      <c r="E17957" s="224" t="s">
        <v>2</v>
      </c>
      <c r="F17957" s="515" t="s">
        <v>19130</v>
      </c>
      <c r="G17957" s="52">
        <v>145507.492385786</v>
      </c>
      <c r="H17957" s="56">
        <v>0</v>
      </c>
      <c r="I17957" s="224" t="s">
        <v>2</v>
      </c>
    </row>
    <row r="17958" spans="1:9" x14ac:dyDescent="0.25">
      <c r="A17958" s="515">
        <v>66733</v>
      </c>
      <c r="C17958" s="52">
        <v>98027.494797610299</v>
      </c>
      <c r="D17958" s="56">
        <v>0.12613194044545858</v>
      </c>
      <c r="E17958" s="224" t="s">
        <v>2</v>
      </c>
      <c r="F17958" s="515" t="s">
        <v>19131</v>
      </c>
      <c r="G17958" s="52">
        <v>151140.89486335</v>
      </c>
      <c r="H17958" s="56">
        <v>0</v>
      </c>
      <c r="I17958" s="224" t="s">
        <v>2</v>
      </c>
    </row>
    <row r="17959" spans="1:9" x14ac:dyDescent="0.25">
      <c r="A17959" s="515">
        <v>26743</v>
      </c>
      <c r="B17959" s="515" t="s">
        <v>362</v>
      </c>
      <c r="C17959" s="52">
        <v>187281.39968356301</v>
      </c>
      <c r="D17959" s="56">
        <v>5.3923420708657653E-2</v>
      </c>
      <c r="E17959" s="224" t="s">
        <v>2</v>
      </c>
      <c r="F17959" s="515" t="s">
        <v>19132</v>
      </c>
      <c r="G17959" s="52">
        <v>67000.745571412699</v>
      </c>
      <c r="H17959" s="56">
        <v>0.15731224442569169</v>
      </c>
      <c r="I17959" s="224" t="s">
        <v>2</v>
      </c>
    </row>
    <row r="17960" spans="1:9" x14ac:dyDescent="0.25">
      <c r="A17960" s="515">
        <v>78623</v>
      </c>
      <c r="B17960" s="515" t="s">
        <v>717</v>
      </c>
      <c r="C17960" s="52">
        <v>462672.93598738499</v>
      </c>
      <c r="D17960" s="56">
        <v>0.10076710223023762</v>
      </c>
      <c r="E17960" s="224" t="s">
        <v>2</v>
      </c>
      <c r="F17960" s="515" t="s">
        <v>19133</v>
      </c>
      <c r="G17960" s="52">
        <v>758863.59345567995</v>
      </c>
      <c r="H17960" s="56">
        <v>6.1076599980318128E-2</v>
      </c>
      <c r="I17960" s="224" t="s">
        <v>2</v>
      </c>
    </row>
    <row r="17961" spans="1:9" x14ac:dyDescent="0.25">
      <c r="A17961" s="515">
        <v>55332</v>
      </c>
      <c r="C17961" s="52">
        <v>150525.15829287301</v>
      </c>
      <c r="D17961" s="56">
        <v>3.8214424550291753E-2</v>
      </c>
      <c r="E17961" s="224" t="s">
        <v>2</v>
      </c>
      <c r="F17961" s="515" t="s">
        <v>19134</v>
      </c>
      <c r="G17961" s="52">
        <v>148126.038812165</v>
      </c>
      <c r="H17961" s="56">
        <v>6.2750265679575812E-2</v>
      </c>
      <c r="I17961" s="224" t="s">
        <v>2</v>
      </c>
    </row>
    <row r="17962" spans="1:9" x14ac:dyDescent="0.25">
      <c r="A17962" s="515">
        <v>46939</v>
      </c>
      <c r="C17962" s="52">
        <v>146847.747602408</v>
      </c>
      <c r="D17962" s="56">
        <v>8.3205367421897977E-2</v>
      </c>
      <c r="E17962" s="224" t="s">
        <v>2</v>
      </c>
      <c r="F17962" s="515" t="s">
        <v>19135</v>
      </c>
      <c r="G17962" s="52">
        <v>157604.051569061</v>
      </c>
      <c r="H17962" s="56">
        <v>0.19860426006972776</v>
      </c>
      <c r="I17962" s="224" t="s">
        <v>2</v>
      </c>
    </row>
    <row r="17963" spans="1:9" x14ac:dyDescent="0.25">
      <c r="A17963" s="515">
        <v>12789</v>
      </c>
      <c r="C17963" s="52">
        <v>223117.97984171699</v>
      </c>
      <c r="D17963" s="56">
        <v>0.17241140222621285</v>
      </c>
      <c r="E17963" s="224" t="s">
        <v>2</v>
      </c>
      <c r="F17963" s="515" t="s">
        <v>19136</v>
      </c>
      <c r="G17963" s="52">
        <v>102653.977141211</v>
      </c>
      <c r="H17963" s="56">
        <v>0.3025765544724407</v>
      </c>
      <c r="I17963" s="224" t="s">
        <v>2</v>
      </c>
    </row>
    <row r="17964" spans="1:9" x14ac:dyDescent="0.25">
      <c r="A17964" s="515">
        <v>75643</v>
      </c>
      <c r="C17964" s="52">
        <v>171756.95138370001</v>
      </c>
      <c r="D17964" s="56">
        <v>3.0980728880097799E-2</v>
      </c>
      <c r="E17964" s="224" t="s">
        <v>2</v>
      </c>
      <c r="F17964" s="515" t="s">
        <v>19137</v>
      </c>
      <c r="G17964" s="52">
        <v>65484.814385157697</v>
      </c>
      <c r="H17964" s="56">
        <v>0.14879053087014626</v>
      </c>
      <c r="I17964" s="224" t="s">
        <v>2</v>
      </c>
    </row>
    <row r="17965" spans="1:9" x14ac:dyDescent="0.25">
      <c r="A17965" s="515">
        <v>62021</v>
      </c>
      <c r="B17965" s="515" t="s">
        <v>498</v>
      </c>
      <c r="C17965" s="52">
        <v>229293.01424693401</v>
      </c>
      <c r="D17965" s="56">
        <v>0.16703399021972232</v>
      </c>
      <c r="E17965" s="224" t="s">
        <v>2</v>
      </c>
      <c r="F17965" s="515" t="s">
        <v>19138</v>
      </c>
      <c r="G17965" s="52">
        <v>795544.26146546402</v>
      </c>
      <c r="H17965" s="56">
        <v>5.4731591688699441E-2</v>
      </c>
      <c r="I17965" s="224" t="s">
        <v>2</v>
      </c>
    </row>
    <row r="17966" spans="1:9" x14ac:dyDescent="0.25">
      <c r="A17966" s="515">
        <v>45784</v>
      </c>
      <c r="B17966" s="515" t="s">
        <v>665</v>
      </c>
      <c r="C17966" s="52">
        <v>214374.33188171801</v>
      </c>
      <c r="D17966" s="56">
        <v>7.0354480743703957E-2</v>
      </c>
      <c r="E17966" s="224" t="s">
        <v>2</v>
      </c>
      <c r="F17966" s="515" t="s">
        <v>19139</v>
      </c>
      <c r="G17966" s="52">
        <v>912095.88792531798</v>
      </c>
      <c r="H17966" s="56">
        <v>3.3782853888435514E-2</v>
      </c>
      <c r="I17966" s="224" t="s">
        <v>2</v>
      </c>
    </row>
    <row r="17967" spans="1:9" x14ac:dyDescent="0.25">
      <c r="A17967" s="515">
        <v>74860</v>
      </c>
      <c r="C17967" s="52">
        <v>150136.382170881</v>
      </c>
      <c r="D17967" s="56">
        <v>0.17203531602683991</v>
      </c>
      <c r="E17967" s="224" t="s">
        <v>2</v>
      </c>
      <c r="F17967" s="515" t="s">
        <v>19140</v>
      </c>
      <c r="G17967" s="52">
        <v>107543.542372881</v>
      </c>
      <c r="H17967" s="56">
        <v>0</v>
      </c>
      <c r="I17967" s="224" t="s">
        <v>2</v>
      </c>
    </row>
    <row r="17968" spans="1:9" x14ac:dyDescent="0.25">
      <c r="A17968" s="515">
        <v>49411</v>
      </c>
      <c r="B17968" s="515" t="s">
        <v>993</v>
      </c>
      <c r="C17968" s="52">
        <v>183536.61684306699</v>
      </c>
      <c r="D17968" s="56">
        <v>4.12897915530386E-2</v>
      </c>
      <c r="E17968" s="224" t="s">
        <v>2</v>
      </c>
      <c r="F17968" s="515" t="s">
        <v>19141</v>
      </c>
      <c r="G17968" s="52">
        <v>164518.893530728</v>
      </c>
      <c r="H17968" s="56">
        <v>0.10203845622942567</v>
      </c>
      <c r="I17968" s="224" t="s">
        <v>2</v>
      </c>
    </row>
    <row r="17969" spans="1:9" x14ac:dyDescent="0.25">
      <c r="A17969" s="515">
        <v>40046</v>
      </c>
      <c r="B17969" s="515" t="s">
        <v>479</v>
      </c>
      <c r="C17969" s="52">
        <v>201373.93774755899</v>
      </c>
      <c r="D17969" s="56">
        <v>0.11052317558379379</v>
      </c>
      <c r="E17969" s="224" t="s">
        <v>2</v>
      </c>
      <c r="F17969" s="515" t="s">
        <v>19142</v>
      </c>
      <c r="G17969" s="52">
        <v>104860.328780949</v>
      </c>
      <c r="H17969" s="56">
        <v>0.14030044219860338</v>
      </c>
      <c r="I17969" s="224" t="s">
        <v>2</v>
      </c>
    </row>
    <row r="17970" spans="1:9" x14ac:dyDescent="0.25">
      <c r="A17970" s="515">
        <v>93426</v>
      </c>
      <c r="B17970" s="515" t="s">
        <v>959</v>
      </c>
      <c r="C17970" s="52">
        <v>563160.62215612095</v>
      </c>
      <c r="D17970" s="56">
        <v>7.1411260686664634E-3</v>
      </c>
      <c r="E17970" s="224" t="s">
        <v>2</v>
      </c>
      <c r="F17970" s="515" t="s">
        <v>19143</v>
      </c>
      <c r="G17970" s="52">
        <v>129174.347765003</v>
      </c>
      <c r="H17970" s="56">
        <v>0</v>
      </c>
      <c r="I17970" s="224" t="s">
        <v>2</v>
      </c>
    </row>
    <row r="17971" spans="1:9" x14ac:dyDescent="0.25">
      <c r="A17971" s="515">
        <v>49755</v>
      </c>
      <c r="C17971" s="52">
        <v>181995.427777245</v>
      </c>
      <c r="D17971" s="56">
        <v>3.8142158081197246E-2</v>
      </c>
      <c r="E17971" s="224" t="s">
        <v>2</v>
      </c>
      <c r="F17971" s="515" t="s">
        <v>19144</v>
      </c>
      <c r="G17971" s="52">
        <v>141507.104797498</v>
      </c>
      <c r="H17971" s="56">
        <v>0.12802024700212628</v>
      </c>
      <c r="I17971" s="224" t="s">
        <v>2</v>
      </c>
    </row>
    <row r="17972" spans="1:9" x14ac:dyDescent="0.25">
      <c r="A17972" s="515">
        <v>31049</v>
      </c>
      <c r="B17972" s="515" t="s">
        <v>929</v>
      </c>
      <c r="C17972" s="52">
        <v>108258.174394537</v>
      </c>
      <c r="D17972" s="56">
        <v>7.9329319093719611E-2</v>
      </c>
      <c r="E17972" s="224" t="s">
        <v>2</v>
      </c>
      <c r="F17972" s="515" t="s">
        <v>19145</v>
      </c>
      <c r="G17972" s="52">
        <v>279575.27219909301</v>
      </c>
      <c r="H17972" s="56">
        <v>0.11072548381824822</v>
      </c>
      <c r="I17972" s="224" t="s">
        <v>2</v>
      </c>
    </row>
    <row r="17973" spans="1:9" x14ac:dyDescent="0.25">
      <c r="A17973" s="515">
        <v>74901</v>
      </c>
      <c r="C17973" s="52">
        <v>77210.287911424501</v>
      </c>
      <c r="D17973" s="56">
        <v>0.11747845165860719</v>
      </c>
      <c r="E17973" s="224" t="s">
        <v>2</v>
      </c>
      <c r="F17973" s="515" t="s">
        <v>19146</v>
      </c>
      <c r="G17973" s="52">
        <v>452416.00843235198</v>
      </c>
      <c r="H17973" s="56">
        <v>4.9625344058376479E-2</v>
      </c>
      <c r="I17973" s="224" t="s">
        <v>2</v>
      </c>
    </row>
    <row r="17974" spans="1:9" x14ac:dyDescent="0.25">
      <c r="A17974" s="515">
        <v>43527</v>
      </c>
      <c r="C17974" s="52">
        <v>122973.71837920501</v>
      </c>
      <c r="D17974" s="56">
        <v>-7.9141292656741298E-4</v>
      </c>
      <c r="E17974" s="224" t="s">
        <v>2</v>
      </c>
      <c r="F17974" s="515" t="s">
        <v>19147</v>
      </c>
      <c r="G17974" s="52">
        <v>799473.44053068606</v>
      </c>
      <c r="H17974" s="56">
        <v>5.3416001982729201E-2</v>
      </c>
      <c r="I17974" s="224" t="s">
        <v>2</v>
      </c>
    </row>
    <row r="17975" spans="1:9" x14ac:dyDescent="0.25">
      <c r="A17975" s="515">
        <v>28644</v>
      </c>
      <c r="C17975" s="52">
        <v>264354.06773564901</v>
      </c>
      <c r="D17975" s="56">
        <v>0.11918321841464587</v>
      </c>
      <c r="E17975" s="224" t="s">
        <v>2</v>
      </c>
      <c r="F17975" s="515" t="s">
        <v>19148</v>
      </c>
      <c r="G17975" s="52">
        <v>113034.839596584</v>
      </c>
      <c r="H17975" s="56">
        <v>-7.7815169705742357E-2</v>
      </c>
      <c r="I17975" s="224" t="s">
        <v>2</v>
      </c>
    </row>
    <row r="17976" spans="1:9" x14ac:dyDescent="0.25">
      <c r="A17976" s="515">
        <v>48767</v>
      </c>
      <c r="C17976" s="52">
        <v>102135.383240375</v>
      </c>
      <c r="D17976" s="56">
        <v>3.6899844585178608E-2</v>
      </c>
      <c r="E17976" s="224" t="s">
        <v>2</v>
      </c>
      <c r="F17976" s="515" t="s">
        <v>19149</v>
      </c>
      <c r="G17976" s="52">
        <v>297588.72651353799</v>
      </c>
      <c r="H17976" s="56">
        <v>1.3003552270580589E-2</v>
      </c>
      <c r="I17976" s="224" t="s">
        <v>2</v>
      </c>
    </row>
    <row r="17977" spans="1:9" x14ac:dyDescent="0.25">
      <c r="A17977" s="515">
        <v>45657</v>
      </c>
      <c r="B17977" s="515" t="s">
        <v>772</v>
      </c>
      <c r="C17977" s="52">
        <v>120026.967345774</v>
      </c>
      <c r="D17977" s="56">
        <v>5.1094170755899386E-2</v>
      </c>
      <c r="E17977" s="224" t="s">
        <v>2</v>
      </c>
      <c r="F17977" s="515" t="s">
        <v>19150</v>
      </c>
      <c r="G17977" s="52">
        <v>207348.51597187499</v>
      </c>
      <c r="H17977" s="56">
        <v>6.5724985859330259E-2</v>
      </c>
      <c r="I17977" s="224" t="s">
        <v>2</v>
      </c>
    </row>
    <row r="17978" spans="1:9" x14ac:dyDescent="0.25">
      <c r="A17978" s="515">
        <v>62868</v>
      </c>
      <c r="C17978" s="52">
        <v>86238.287063838099</v>
      </c>
      <c r="D17978" s="56">
        <v>9.0327235463733946E-2</v>
      </c>
      <c r="E17978" s="224" t="s">
        <v>2</v>
      </c>
      <c r="F17978" s="515" t="s">
        <v>19151</v>
      </c>
      <c r="G17978" s="52">
        <v>205046.15189304101</v>
      </c>
      <c r="H17978" s="56">
        <v>0.10608894880656551</v>
      </c>
      <c r="I17978" s="224" t="s">
        <v>2</v>
      </c>
    </row>
    <row r="17979" spans="1:9" x14ac:dyDescent="0.25">
      <c r="A17979" s="515">
        <v>48467</v>
      </c>
      <c r="C17979" s="52">
        <v>164161.970179525</v>
      </c>
      <c r="D17979" s="56">
        <v>4.9294578781057537E-2</v>
      </c>
      <c r="E17979" s="224" t="s">
        <v>2</v>
      </c>
      <c r="F17979" s="515" t="s">
        <v>19152</v>
      </c>
      <c r="G17979" s="52">
        <v>308305.98095237999</v>
      </c>
      <c r="H17979" s="56">
        <v>0</v>
      </c>
      <c r="I17979" s="224" t="s">
        <v>2</v>
      </c>
    </row>
    <row r="17980" spans="1:9" x14ac:dyDescent="0.25">
      <c r="A17980" s="515">
        <v>65772</v>
      </c>
      <c r="C17980" s="52">
        <v>197755.359342157</v>
      </c>
      <c r="D17980" s="56">
        <v>0.10947907336294802</v>
      </c>
      <c r="E17980" s="224" t="s">
        <v>2</v>
      </c>
      <c r="F17980" s="515" t="s">
        <v>19153</v>
      </c>
      <c r="G17980" s="52">
        <v>195754.29189548601</v>
      </c>
      <c r="H17980" s="56">
        <v>-2.1414607503042159E-2</v>
      </c>
      <c r="I17980" s="224" t="s">
        <v>2</v>
      </c>
    </row>
    <row r="17981" spans="1:9" x14ac:dyDescent="0.25">
      <c r="A17981" s="515">
        <v>43973</v>
      </c>
      <c r="C17981" s="52">
        <v>128653.270374107</v>
      </c>
      <c r="D17981" s="56">
        <v>5.693772982867449E-2</v>
      </c>
      <c r="E17981" s="224" t="s">
        <v>2</v>
      </c>
      <c r="F17981" s="515" t="s">
        <v>19154</v>
      </c>
      <c r="G17981" s="52">
        <v>549088.462148063</v>
      </c>
      <c r="H17981" s="56">
        <v>5.0348661747541004E-2</v>
      </c>
      <c r="I17981" s="224" t="s">
        <v>2</v>
      </c>
    </row>
    <row r="17982" spans="1:9" x14ac:dyDescent="0.25">
      <c r="A17982" s="515">
        <v>26149</v>
      </c>
      <c r="C17982" s="52">
        <v>108092.29772616499</v>
      </c>
      <c r="D17982" s="56">
        <v>5.4241004603241369E-2</v>
      </c>
      <c r="E17982" s="224" t="s">
        <v>2</v>
      </c>
      <c r="F17982" s="515" t="s">
        <v>19155</v>
      </c>
      <c r="G17982" s="52">
        <v>276724.19156084</v>
      </c>
      <c r="H17982" s="56">
        <v>0.1225874013341381</v>
      </c>
      <c r="I17982" s="224" t="s">
        <v>2</v>
      </c>
    </row>
    <row r="17983" spans="1:9" x14ac:dyDescent="0.25">
      <c r="A17983" s="515">
        <v>28450</v>
      </c>
      <c r="C17983" s="52">
        <v>310017.14930532902</v>
      </c>
      <c r="D17983" s="56">
        <v>0.12824657256304026</v>
      </c>
      <c r="E17983" s="224" t="s">
        <v>2</v>
      </c>
      <c r="F17983" s="515" t="s">
        <v>19156</v>
      </c>
      <c r="G17983" s="52">
        <v>177302.17794031199</v>
      </c>
      <c r="H17983" s="56">
        <v>0</v>
      </c>
      <c r="I17983" s="224" t="s">
        <v>2</v>
      </c>
    </row>
    <row r="17984" spans="1:9" x14ac:dyDescent="0.25">
      <c r="A17984" s="515">
        <v>52623</v>
      </c>
      <c r="B17984" s="515" t="s">
        <v>672</v>
      </c>
      <c r="C17984" s="52">
        <v>194728.231376068</v>
      </c>
      <c r="D17984" s="56">
        <v>7.5129379679726493E-2</v>
      </c>
      <c r="E17984" s="224" t="s">
        <v>2</v>
      </c>
      <c r="F17984" s="515" t="s">
        <v>19157</v>
      </c>
      <c r="G17984" s="52">
        <v>509031.87274013303</v>
      </c>
      <c r="H17984" s="56">
        <v>-3.4987460345925044E-2</v>
      </c>
      <c r="I17984" s="224" t="s">
        <v>2</v>
      </c>
    </row>
    <row r="17985" spans="1:9" x14ac:dyDescent="0.25">
      <c r="A17985" s="515">
        <v>36602</v>
      </c>
      <c r="B17985" s="515" t="s">
        <v>815</v>
      </c>
      <c r="C17985" s="52">
        <v>260199.10418010401</v>
      </c>
      <c r="D17985" s="56">
        <v>9.3064837990995989E-4</v>
      </c>
      <c r="E17985" s="224" t="s">
        <v>2</v>
      </c>
      <c r="F17985" s="515" t="s">
        <v>19158</v>
      </c>
      <c r="G17985" s="52">
        <v>268038.518959596</v>
      </c>
      <c r="H17985" s="56">
        <v>0</v>
      </c>
      <c r="I17985" s="224" t="s">
        <v>2</v>
      </c>
    </row>
    <row r="17986" spans="1:9" x14ac:dyDescent="0.25">
      <c r="A17986" s="515">
        <v>28088</v>
      </c>
      <c r="B17986" s="515" t="s">
        <v>360</v>
      </c>
      <c r="C17986" s="52">
        <v>245669.941451311</v>
      </c>
      <c r="D17986" s="56">
        <v>0.1007168402161005</v>
      </c>
      <c r="E17986" s="224" t="s">
        <v>2</v>
      </c>
      <c r="F17986" s="515" t="s">
        <v>19159</v>
      </c>
      <c r="G17986" s="52">
        <v>454475.81519728003</v>
      </c>
      <c r="H17986" s="56">
        <v>0.11242384813910249</v>
      </c>
      <c r="I17986" s="224" t="s">
        <v>2</v>
      </c>
    </row>
    <row r="17987" spans="1:9" x14ac:dyDescent="0.25">
      <c r="A17987" s="515">
        <v>15442</v>
      </c>
      <c r="B17987" s="515" t="s">
        <v>297</v>
      </c>
      <c r="C17987" s="52">
        <v>92453.918492684301</v>
      </c>
      <c r="D17987" s="56">
        <v>2.949366841481204E-2</v>
      </c>
      <c r="E17987" s="224" t="s">
        <v>2</v>
      </c>
      <c r="F17987" s="515" t="s">
        <v>19160</v>
      </c>
      <c r="G17987" s="52">
        <v>179132.200508037</v>
      </c>
      <c r="H17987" s="56">
        <v>0.1033287384977417</v>
      </c>
      <c r="I17987" s="224" t="s">
        <v>2</v>
      </c>
    </row>
    <row r="17988" spans="1:9" x14ac:dyDescent="0.25">
      <c r="A17988" s="515">
        <v>66451</v>
      </c>
      <c r="B17988" s="515" t="s">
        <v>549</v>
      </c>
      <c r="C17988" s="52">
        <v>168172.23834789899</v>
      </c>
      <c r="D17988" s="56">
        <v>9.2335548592611005E-2</v>
      </c>
      <c r="E17988" s="224" t="s">
        <v>2</v>
      </c>
      <c r="F17988" s="515" t="s">
        <v>19161</v>
      </c>
      <c r="G17988" s="52">
        <v>285551.55486108898</v>
      </c>
      <c r="H17988" s="56">
        <v>0.13865527677773951</v>
      </c>
      <c r="I17988" s="224" t="s">
        <v>2</v>
      </c>
    </row>
    <row r="17989" spans="1:9" x14ac:dyDescent="0.25">
      <c r="A17989" s="515">
        <v>38568</v>
      </c>
      <c r="C17989" s="52">
        <v>199184.644358505</v>
      </c>
      <c r="D17989" s="56">
        <v>9.5599557183121131E-2</v>
      </c>
      <c r="E17989" s="224" t="s">
        <v>2</v>
      </c>
      <c r="F17989" s="515" t="s">
        <v>19162</v>
      </c>
      <c r="G17989" s="52">
        <v>395899.07774444402</v>
      </c>
      <c r="H17989" s="56">
        <v>-3.3531655275906479E-2</v>
      </c>
      <c r="I17989" s="224" t="s">
        <v>2</v>
      </c>
    </row>
    <row r="17990" spans="1:9" x14ac:dyDescent="0.25">
      <c r="A17990" s="515">
        <v>65326</v>
      </c>
      <c r="C17990" s="52">
        <v>160287.43040842001</v>
      </c>
      <c r="D17990" s="56">
        <v>-1.1345310215576561E-2</v>
      </c>
      <c r="E17990" s="224" t="s">
        <v>2</v>
      </c>
      <c r="F17990" s="515" t="s">
        <v>19163</v>
      </c>
      <c r="G17990" s="52">
        <v>175712.11714295699</v>
      </c>
      <c r="H17990" s="56">
        <v>8.1235826809411119E-2</v>
      </c>
      <c r="I17990" s="224" t="s">
        <v>2</v>
      </c>
    </row>
    <row r="17991" spans="1:9" x14ac:dyDescent="0.25">
      <c r="A17991" s="515">
        <v>68922</v>
      </c>
      <c r="C17991" s="52">
        <v>123135.77039823501</v>
      </c>
      <c r="D17991" s="56">
        <v>0.14152996907303578</v>
      </c>
      <c r="E17991" s="224" t="s">
        <v>2</v>
      </c>
      <c r="F17991" s="515" t="s">
        <v>19164</v>
      </c>
      <c r="G17991" s="52">
        <v>99746.546349904107</v>
      </c>
      <c r="H17991" s="56">
        <v>0.15979221239260022</v>
      </c>
      <c r="I17991" s="224" t="s">
        <v>2</v>
      </c>
    </row>
    <row r="17992" spans="1:9" x14ac:dyDescent="0.25">
      <c r="A17992" s="515">
        <v>15424</v>
      </c>
      <c r="B17992" s="515" t="s">
        <v>370</v>
      </c>
      <c r="C17992" s="52">
        <v>129261.292027385</v>
      </c>
      <c r="D17992" s="56">
        <v>8.5475374729187245E-2</v>
      </c>
      <c r="E17992" s="224" t="s">
        <v>2</v>
      </c>
      <c r="F17992" s="515" t="s">
        <v>19165</v>
      </c>
      <c r="G17992" s="52">
        <v>81746.302536849194</v>
      </c>
      <c r="H17992" s="56">
        <v>1.9908108816787815E-2</v>
      </c>
      <c r="I17992" s="224" t="s">
        <v>2</v>
      </c>
    </row>
    <row r="17993" spans="1:9" x14ac:dyDescent="0.25">
      <c r="A17993" s="515">
        <v>74931</v>
      </c>
      <c r="C17993" s="52">
        <v>142729.69704622499</v>
      </c>
      <c r="D17993" s="56">
        <v>0.14119479678146771</v>
      </c>
      <c r="E17993" s="224" t="s">
        <v>2</v>
      </c>
      <c r="F17993" s="515" t="s">
        <v>19166</v>
      </c>
      <c r="G17993" s="52">
        <v>152223.941720673</v>
      </c>
      <c r="H17993" s="56">
        <v>6.200726312602723E-2</v>
      </c>
      <c r="I17993" s="224" t="s">
        <v>2</v>
      </c>
    </row>
    <row r="17994" spans="1:9" x14ac:dyDescent="0.25">
      <c r="A17994" s="515">
        <v>54489</v>
      </c>
      <c r="B17994" s="515" t="s">
        <v>607</v>
      </c>
      <c r="C17994" s="52">
        <v>179295.068216657</v>
      </c>
      <c r="D17994" s="56">
        <v>3.95206078709293E-2</v>
      </c>
      <c r="E17994" s="224" t="s">
        <v>2</v>
      </c>
      <c r="F17994" s="515" t="s">
        <v>19167</v>
      </c>
      <c r="G17994" s="52">
        <v>399205.11949367099</v>
      </c>
      <c r="H17994" s="56">
        <v>4.1346559545483774E-2</v>
      </c>
      <c r="I17994" s="224" t="s">
        <v>2</v>
      </c>
    </row>
    <row r="17995" spans="1:9" x14ac:dyDescent="0.25">
      <c r="A17995" s="515">
        <v>62340</v>
      </c>
      <c r="C17995" s="52">
        <v>73410.125714285707</v>
      </c>
      <c r="D17995" s="56">
        <v>0</v>
      </c>
      <c r="E17995" s="224" t="s">
        <v>2</v>
      </c>
      <c r="F17995" s="515" t="s">
        <v>19168</v>
      </c>
      <c r="G17995" s="52">
        <v>109406.960014431</v>
      </c>
      <c r="H17995" s="56">
        <v>7.3963322752998675E-2</v>
      </c>
      <c r="I17995" s="224" t="s">
        <v>2</v>
      </c>
    </row>
    <row r="17996" spans="1:9" x14ac:dyDescent="0.25">
      <c r="A17996" s="515">
        <v>74735</v>
      </c>
      <c r="C17996" s="52">
        <v>173586.53800795099</v>
      </c>
      <c r="D17996" s="56">
        <v>7.3639894489888003E-2</v>
      </c>
      <c r="E17996" s="224" t="s">
        <v>2</v>
      </c>
      <c r="F17996" s="515" t="s">
        <v>19169</v>
      </c>
      <c r="G17996" s="52">
        <v>159841.791843991</v>
      </c>
      <c r="H17996" s="56">
        <v>0.14398890062888869</v>
      </c>
      <c r="I17996" s="224" t="s">
        <v>2</v>
      </c>
    </row>
    <row r="17997" spans="1:9" x14ac:dyDescent="0.25">
      <c r="A17997" s="515">
        <v>78409</v>
      </c>
      <c r="B17997" s="515" t="s">
        <v>415</v>
      </c>
      <c r="C17997" s="52">
        <v>169032.009158498</v>
      </c>
      <c r="D17997" s="56">
        <v>7.9325220435288567E-3</v>
      </c>
      <c r="E17997" s="224" t="s">
        <v>2</v>
      </c>
      <c r="F17997" s="515" t="s">
        <v>19170</v>
      </c>
      <c r="G17997" s="52">
        <v>60446.704885009502</v>
      </c>
      <c r="H17997" s="56">
        <v>0.14855325305467909</v>
      </c>
      <c r="I17997" s="224" t="s">
        <v>2</v>
      </c>
    </row>
    <row r="17998" spans="1:9" x14ac:dyDescent="0.25">
      <c r="A17998" s="515">
        <v>53063</v>
      </c>
      <c r="B17998" s="515" t="s">
        <v>446</v>
      </c>
      <c r="C17998" s="52">
        <v>250085.29336505799</v>
      </c>
      <c r="D17998" s="56">
        <v>2.90435553420915E-2</v>
      </c>
      <c r="E17998" s="224" t="s">
        <v>2</v>
      </c>
      <c r="F17998" s="515" t="s">
        <v>19171</v>
      </c>
      <c r="G17998" s="52">
        <v>99340.748330211994</v>
      </c>
      <c r="H17998" s="56">
        <v>1.4274797619854762E-2</v>
      </c>
      <c r="I17998" s="224" t="s">
        <v>2</v>
      </c>
    </row>
    <row r="17999" spans="1:9" x14ac:dyDescent="0.25">
      <c r="A17999" s="515">
        <v>30516</v>
      </c>
      <c r="C17999" s="52">
        <v>204617.455683901</v>
      </c>
      <c r="D17999" s="56">
        <v>0.1110549521698219</v>
      </c>
      <c r="E17999" s="224" t="s">
        <v>2</v>
      </c>
      <c r="F17999" s="515" t="s">
        <v>19172</v>
      </c>
      <c r="G17999" s="52">
        <v>118675.612125359</v>
      </c>
      <c r="H17999" s="56">
        <v>6.5807629172964816E-2</v>
      </c>
      <c r="I17999" s="224" t="s">
        <v>2</v>
      </c>
    </row>
    <row r="18000" spans="1:9" x14ac:dyDescent="0.25">
      <c r="A18000" s="515">
        <v>41045</v>
      </c>
      <c r="C18000" s="52">
        <v>149746.73664503099</v>
      </c>
      <c r="D18000" s="56">
        <v>9.2166282844533029E-2</v>
      </c>
      <c r="E18000" s="224" t="s">
        <v>2</v>
      </c>
      <c r="F18000" s="515" t="s">
        <v>19173</v>
      </c>
      <c r="G18000" s="52">
        <v>153423.56568666201</v>
      </c>
      <c r="H18000" s="56">
        <v>0</v>
      </c>
      <c r="I18000" s="224" t="s">
        <v>2</v>
      </c>
    </row>
    <row r="18001" spans="1:9" x14ac:dyDescent="0.25">
      <c r="A18001" s="515">
        <v>71051</v>
      </c>
      <c r="B18001" s="515" t="s">
        <v>739</v>
      </c>
      <c r="C18001" s="52">
        <v>181323.918966</v>
      </c>
      <c r="D18001" s="56">
        <v>9.1748749954172121E-2</v>
      </c>
      <c r="E18001" s="224" t="s">
        <v>2</v>
      </c>
      <c r="F18001" s="515" t="s">
        <v>19174</v>
      </c>
      <c r="G18001" s="52">
        <v>75111.958479297697</v>
      </c>
      <c r="H18001" s="56">
        <v>5.658314127385624E-2</v>
      </c>
      <c r="I18001" s="224" t="s">
        <v>2</v>
      </c>
    </row>
    <row r="18002" spans="1:9" x14ac:dyDescent="0.25">
      <c r="A18002" s="515">
        <v>15958</v>
      </c>
      <c r="B18002" s="515" t="s">
        <v>828</v>
      </c>
      <c r="C18002" s="52">
        <v>144565.86841889899</v>
      </c>
      <c r="D18002" s="56">
        <v>-6.3198492421866218E-2</v>
      </c>
      <c r="E18002" s="224" t="s">
        <v>2</v>
      </c>
      <c r="F18002" s="515" t="s">
        <v>19175</v>
      </c>
      <c r="G18002" s="52">
        <v>121231.07755746999</v>
      </c>
      <c r="H18002" s="56">
        <v>0.11258796960328878</v>
      </c>
      <c r="I18002" s="224" t="s">
        <v>2</v>
      </c>
    </row>
    <row r="18003" spans="1:9" x14ac:dyDescent="0.25">
      <c r="A18003" s="515">
        <v>4087</v>
      </c>
      <c r="B18003" s="515" t="s">
        <v>570</v>
      </c>
      <c r="C18003" s="52">
        <v>361680.88177621597</v>
      </c>
      <c r="D18003" s="56">
        <v>6.1453626307559177E-2</v>
      </c>
      <c r="E18003" s="224" t="s">
        <v>2</v>
      </c>
      <c r="F18003" s="515" t="s">
        <v>19176</v>
      </c>
      <c r="G18003" s="52">
        <v>306820.71091315598</v>
      </c>
      <c r="H18003" s="56">
        <v>8.689318919092287E-2</v>
      </c>
      <c r="I18003" s="224" t="s">
        <v>2</v>
      </c>
    </row>
    <row r="18004" spans="1:9" x14ac:dyDescent="0.25">
      <c r="A18004" s="515">
        <v>50647</v>
      </c>
      <c r="B18004" s="515" t="s">
        <v>315</v>
      </c>
      <c r="C18004" s="52">
        <v>248713.0621643</v>
      </c>
      <c r="D18004" s="56">
        <v>8.7797221573825301E-2</v>
      </c>
      <c r="E18004" s="224" t="s">
        <v>2</v>
      </c>
      <c r="F18004" s="515" t="s">
        <v>19177</v>
      </c>
      <c r="G18004" s="52">
        <v>117116.252642829</v>
      </c>
      <c r="H18004" s="56">
        <v>8.6647331648119386E-2</v>
      </c>
      <c r="I18004" s="224" t="s">
        <v>2</v>
      </c>
    </row>
    <row r="18005" spans="1:9" x14ac:dyDescent="0.25">
      <c r="A18005" s="515">
        <v>78950</v>
      </c>
      <c r="B18005" s="515" t="s">
        <v>314</v>
      </c>
      <c r="C18005" s="52">
        <v>456484.11278614501</v>
      </c>
      <c r="D18005" s="56">
        <v>1.1116172343305572E-2</v>
      </c>
      <c r="E18005" s="224" t="s">
        <v>2</v>
      </c>
      <c r="F18005" s="515" t="s">
        <v>19178</v>
      </c>
      <c r="G18005" s="52">
        <v>325320.47642801399</v>
      </c>
      <c r="H18005" s="56">
        <v>7.102909318397635E-2</v>
      </c>
      <c r="I18005" s="224" t="s">
        <v>2</v>
      </c>
    </row>
    <row r="18006" spans="1:9" x14ac:dyDescent="0.25">
      <c r="A18006" s="515">
        <v>59834</v>
      </c>
      <c r="B18006" s="515" t="s">
        <v>1060</v>
      </c>
      <c r="C18006" s="52">
        <v>582582.65287562797</v>
      </c>
      <c r="D18006" s="56">
        <v>2.7502617164839368E-2</v>
      </c>
      <c r="E18006" s="224" t="s">
        <v>2</v>
      </c>
      <c r="F18006" s="515" t="s">
        <v>19179</v>
      </c>
      <c r="G18006" s="52">
        <v>538439.52025965694</v>
      </c>
      <c r="H18006" s="56">
        <v>0.14005519067980562</v>
      </c>
      <c r="I18006" s="224" t="s">
        <v>2</v>
      </c>
    </row>
    <row r="18007" spans="1:9" x14ac:dyDescent="0.25">
      <c r="A18007" s="515">
        <v>21555</v>
      </c>
      <c r="B18007" s="515" t="s">
        <v>362</v>
      </c>
      <c r="C18007" s="52">
        <v>157185.57262929899</v>
      </c>
      <c r="D18007" s="56">
        <v>1.219724484763309E-2</v>
      </c>
      <c r="E18007" s="224" t="s">
        <v>2</v>
      </c>
      <c r="F18007" s="515" t="s">
        <v>19180</v>
      </c>
      <c r="G18007" s="52">
        <v>173155.59349627799</v>
      </c>
      <c r="H18007" s="56">
        <v>2.5958414566834558E-2</v>
      </c>
      <c r="I18007" s="224" t="s">
        <v>2</v>
      </c>
    </row>
    <row r="18008" spans="1:9" x14ac:dyDescent="0.25">
      <c r="A18008" s="515">
        <v>56551</v>
      </c>
      <c r="B18008" s="515" t="s">
        <v>601</v>
      </c>
      <c r="C18008" s="52">
        <v>235028.98024293501</v>
      </c>
      <c r="D18008" s="56">
        <v>8.4394583112270133E-2</v>
      </c>
      <c r="E18008" s="224" t="s">
        <v>2</v>
      </c>
      <c r="F18008" s="515" t="s">
        <v>19181</v>
      </c>
      <c r="G18008" s="52">
        <v>226089.66971687501</v>
      </c>
      <c r="H18008" s="56">
        <v>7.9412694447665008E-2</v>
      </c>
      <c r="I18008" s="224" t="s">
        <v>2</v>
      </c>
    </row>
    <row r="18009" spans="1:9" x14ac:dyDescent="0.25">
      <c r="A18009" s="515">
        <v>49733</v>
      </c>
      <c r="C18009" s="52">
        <v>146644.71889840101</v>
      </c>
      <c r="D18009" s="56">
        <v>4.8599484712500647E-2</v>
      </c>
      <c r="E18009" s="224" t="s">
        <v>2</v>
      </c>
      <c r="F18009" s="515" t="s">
        <v>19182</v>
      </c>
      <c r="G18009" s="52">
        <v>111537.01451664</v>
      </c>
      <c r="H18009" s="56">
        <v>0.1668357747624532</v>
      </c>
      <c r="I18009" s="224" t="s">
        <v>2</v>
      </c>
    </row>
    <row r="18010" spans="1:9" x14ac:dyDescent="0.25">
      <c r="A18010" s="515">
        <v>48464</v>
      </c>
      <c r="B18010" s="515" t="s">
        <v>685</v>
      </c>
      <c r="C18010" s="52">
        <v>187077.93252080999</v>
      </c>
      <c r="D18010" s="56">
        <v>1.7053332378243621E-2</v>
      </c>
      <c r="E18010" s="224" t="s">
        <v>2</v>
      </c>
      <c r="F18010" s="515" t="s">
        <v>19183</v>
      </c>
      <c r="G18010" s="52">
        <v>113937.420289855</v>
      </c>
      <c r="H18010" s="56">
        <v>0</v>
      </c>
      <c r="I18010" s="224" t="s">
        <v>2</v>
      </c>
    </row>
    <row r="18011" spans="1:9" x14ac:dyDescent="0.25">
      <c r="A18011" s="515">
        <v>38769</v>
      </c>
      <c r="B18011" s="515" t="s">
        <v>982</v>
      </c>
      <c r="C18011" s="52">
        <v>86361.005542109997</v>
      </c>
      <c r="D18011" s="56">
        <v>-0.16091383384529764</v>
      </c>
      <c r="E18011" s="224" t="s">
        <v>2</v>
      </c>
      <c r="F18011" s="515" t="s">
        <v>19184</v>
      </c>
      <c r="G18011" s="52">
        <v>142103.91016318201</v>
      </c>
      <c r="H18011" s="56">
        <v>1.3378350328322791E-2</v>
      </c>
      <c r="I18011" s="224" t="s">
        <v>2</v>
      </c>
    </row>
    <row r="18012" spans="1:9" x14ac:dyDescent="0.25">
      <c r="A18012" s="515">
        <v>47380</v>
      </c>
      <c r="C18012" s="52">
        <v>116987.207199917</v>
      </c>
      <c r="D18012" s="56">
        <v>7.6735687863285162E-2</v>
      </c>
      <c r="E18012" s="224" t="s">
        <v>2</v>
      </c>
      <c r="F18012" s="515" t="s">
        <v>19185</v>
      </c>
      <c r="G18012" s="52">
        <v>275165.97363219701</v>
      </c>
      <c r="H18012" s="56">
        <v>7.6193528404040936E-2</v>
      </c>
      <c r="I18012" s="224" t="s">
        <v>2</v>
      </c>
    </row>
    <row r="18013" spans="1:9" x14ac:dyDescent="0.25">
      <c r="A18013" s="515">
        <v>61818</v>
      </c>
      <c r="B18013" s="515" t="s">
        <v>417</v>
      </c>
      <c r="C18013" s="52">
        <v>110483.37086029199</v>
      </c>
      <c r="D18013" s="56">
        <v>7.0615065963467935E-2</v>
      </c>
      <c r="E18013" s="224" t="s">
        <v>2</v>
      </c>
      <c r="F18013" s="515" t="s">
        <v>19186</v>
      </c>
      <c r="G18013" s="52">
        <v>752160.09910629201</v>
      </c>
      <c r="H18013" s="56">
        <v>0.11372025688006719</v>
      </c>
      <c r="I18013" s="224" t="s">
        <v>2</v>
      </c>
    </row>
    <row r="18014" spans="1:9" x14ac:dyDescent="0.25">
      <c r="A18014" s="515">
        <v>48890</v>
      </c>
      <c r="B18014" s="515" t="s">
        <v>528</v>
      </c>
      <c r="C18014" s="52">
        <v>196117.44519191299</v>
      </c>
      <c r="D18014" s="56">
        <v>9.8361123753403265E-2</v>
      </c>
      <c r="E18014" s="224" t="s">
        <v>2</v>
      </c>
      <c r="F18014" s="515" t="s">
        <v>19187</v>
      </c>
      <c r="G18014" s="52">
        <v>499656.27229438501</v>
      </c>
      <c r="H18014" s="56">
        <v>4.9439248294098695E-2</v>
      </c>
      <c r="I18014" s="224" t="s">
        <v>2</v>
      </c>
    </row>
    <row r="18015" spans="1:9" x14ac:dyDescent="0.25">
      <c r="A18015" s="515">
        <v>83420</v>
      </c>
      <c r="B18015" s="515" t="s">
        <v>843</v>
      </c>
      <c r="C18015" s="52">
        <v>357061.80623134802</v>
      </c>
      <c r="D18015" s="56">
        <v>3.6762379708205513E-2</v>
      </c>
      <c r="E18015" s="224" t="s">
        <v>2</v>
      </c>
      <c r="F18015" s="515" t="s">
        <v>19188</v>
      </c>
      <c r="G18015" s="52">
        <v>149922.898713281</v>
      </c>
      <c r="H18015" s="56">
        <v>5.5580570650587011E-2</v>
      </c>
      <c r="I18015" s="224" t="s">
        <v>2</v>
      </c>
    </row>
    <row r="18016" spans="1:9" x14ac:dyDescent="0.25">
      <c r="A18016" s="515">
        <v>36028</v>
      </c>
      <c r="C18016" s="52">
        <v>139586.52384861899</v>
      </c>
      <c r="D18016" s="56">
        <v>1.6025582506725627E-2</v>
      </c>
      <c r="E18016" s="224" t="s">
        <v>2</v>
      </c>
      <c r="F18016" s="515" t="s">
        <v>19189</v>
      </c>
      <c r="G18016" s="52">
        <v>373418.044528133</v>
      </c>
      <c r="H18016" s="56">
        <v>0.12841942209284074</v>
      </c>
      <c r="I18016" s="224" t="s">
        <v>2</v>
      </c>
    </row>
    <row r="18017" spans="1:9" x14ac:dyDescent="0.25">
      <c r="A18017" s="515">
        <v>55949</v>
      </c>
      <c r="B18017" s="515" t="s">
        <v>470</v>
      </c>
      <c r="C18017" s="52">
        <v>270995.40208250697</v>
      </c>
      <c r="D18017" s="56">
        <v>0.10851384104133474</v>
      </c>
      <c r="E18017" s="224" t="s">
        <v>2</v>
      </c>
      <c r="F18017" s="515" t="s">
        <v>19190</v>
      </c>
      <c r="G18017" s="52">
        <v>153910.169496852</v>
      </c>
      <c r="H18017" s="56">
        <v>0.12545222672913744</v>
      </c>
      <c r="I18017" s="224" t="s">
        <v>2</v>
      </c>
    </row>
    <row r="18018" spans="1:9" x14ac:dyDescent="0.25">
      <c r="A18018" s="515">
        <v>45812</v>
      </c>
      <c r="C18018" s="52">
        <v>119628.377664571</v>
      </c>
      <c r="D18018" s="56">
        <v>7.7079411568837117E-2</v>
      </c>
      <c r="E18018" s="224" t="s">
        <v>2</v>
      </c>
      <c r="F18018" s="515" t="s">
        <v>19191</v>
      </c>
      <c r="G18018" s="52">
        <v>175561.11047629299</v>
      </c>
      <c r="H18018" s="56">
        <v>0.11571888589197604</v>
      </c>
      <c r="I18018" s="224" t="s">
        <v>2</v>
      </c>
    </row>
    <row r="18019" spans="1:9" x14ac:dyDescent="0.25">
      <c r="A18019" s="515">
        <v>75058</v>
      </c>
      <c r="B18019" s="515" t="s">
        <v>553</v>
      </c>
      <c r="C18019" s="52">
        <v>577873.16108767898</v>
      </c>
      <c r="D18019" s="56">
        <v>0.14228231144451708</v>
      </c>
      <c r="E18019" s="224" t="s">
        <v>2</v>
      </c>
      <c r="F18019" s="515" t="s">
        <v>19192</v>
      </c>
      <c r="G18019" s="52">
        <v>82764.228645643598</v>
      </c>
      <c r="H18019" s="56">
        <v>-6.0031168294634542E-2</v>
      </c>
      <c r="I18019" s="224" t="s">
        <v>2</v>
      </c>
    </row>
    <row r="18020" spans="1:9" x14ac:dyDescent="0.25">
      <c r="A18020" s="515">
        <v>14767</v>
      </c>
      <c r="B18020" s="515" t="s">
        <v>560</v>
      </c>
      <c r="C18020" s="52">
        <v>151694.00936351999</v>
      </c>
      <c r="D18020" s="56">
        <v>0.12124977301150777</v>
      </c>
      <c r="E18020" s="224" t="s">
        <v>2</v>
      </c>
      <c r="F18020" s="515" t="s">
        <v>19193</v>
      </c>
      <c r="G18020" s="52">
        <v>75878.5064935064</v>
      </c>
      <c r="H18020" s="56">
        <v>0</v>
      </c>
      <c r="I18020" s="224" t="s">
        <v>2</v>
      </c>
    </row>
    <row r="18021" spans="1:9" x14ac:dyDescent="0.25">
      <c r="A18021" s="515">
        <v>62932</v>
      </c>
      <c r="B18021" s="515" t="s">
        <v>471</v>
      </c>
      <c r="C18021" s="52">
        <v>65876.466194857698</v>
      </c>
      <c r="D18021" s="56">
        <v>-3.8977793528893787E-2</v>
      </c>
      <c r="E18021" s="224" t="s">
        <v>2</v>
      </c>
      <c r="F18021" s="515" t="s">
        <v>19194</v>
      </c>
      <c r="G18021" s="52">
        <v>77329.003371476894</v>
      </c>
      <c r="H18021" s="56">
        <v>0</v>
      </c>
      <c r="I18021" s="224" t="s">
        <v>2</v>
      </c>
    </row>
    <row r="18022" spans="1:9" x14ac:dyDescent="0.25">
      <c r="A18022" s="515">
        <v>78631</v>
      </c>
      <c r="B18022" s="515" t="s">
        <v>826</v>
      </c>
      <c r="C18022" s="52">
        <v>375089.79734347598</v>
      </c>
      <c r="D18022" s="56">
        <v>-5.4043151894837107E-3</v>
      </c>
      <c r="E18022" s="224" t="s">
        <v>2</v>
      </c>
      <c r="F18022" s="515" t="s">
        <v>19195</v>
      </c>
      <c r="G18022" s="52">
        <v>203116.82095333099</v>
      </c>
      <c r="H18022" s="56">
        <v>9.0226904458588789E-2</v>
      </c>
      <c r="I18022" s="224" t="s">
        <v>2</v>
      </c>
    </row>
    <row r="18023" spans="1:9" x14ac:dyDescent="0.25">
      <c r="A18023" s="515">
        <v>7021</v>
      </c>
      <c r="B18023" s="515" t="s">
        <v>324</v>
      </c>
      <c r="C18023" s="52">
        <v>1085041.74322632</v>
      </c>
      <c r="D18023" s="56">
        <v>3.8472977993576886E-2</v>
      </c>
      <c r="E18023" s="224" t="s">
        <v>2</v>
      </c>
      <c r="F18023" s="515" t="s">
        <v>19196</v>
      </c>
      <c r="G18023" s="52">
        <v>114948.921786163</v>
      </c>
      <c r="H18023" s="56">
        <v>9.6918638225345147E-2</v>
      </c>
      <c r="I18023" s="224" t="s">
        <v>2</v>
      </c>
    </row>
    <row r="18024" spans="1:9" x14ac:dyDescent="0.25">
      <c r="A18024" s="515">
        <v>93513</v>
      </c>
      <c r="C18024" s="52">
        <v>367479.03859542101</v>
      </c>
      <c r="D18024" s="56">
        <v>0</v>
      </c>
      <c r="E18024" s="224" t="s">
        <v>2</v>
      </c>
      <c r="F18024" s="515" t="s">
        <v>19197</v>
      </c>
      <c r="G18024" s="52">
        <v>176901.233095395</v>
      </c>
      <c r="H18024" s="56">
        <v>9.5825631904748534E-2</v>
      </c>
      <c r="I18024" s="224" t="s">
        <v>2</v>
      </c>
    </row>
    <row r="18025" spans="1:9" x14ac:dyDescent="0.25">
      <c r="A18025" s="515">
        <v>16669</v>
      </c>
      <c r="B18025" s="515" t="s">
        <v>539</v>
      </c>
      <c r="C18025" s="52">
        <v>184885.52840087801</v>
      </c>
      <c r="D18025" s="56">
        <v>0</v>
      </c>
      <c r="E18025" s="224" t="s">
        <v>2</v>
      </c>
      <c r="F18025" s="515" t="s">
        <v>19198</v>
      </c>
      <c r="G18025" s="52">
        <v>486100.325067989</v>
      </c>
      <c r="H18025" s="56">
        <v>5.1473304061541374E-2</v>
      </c>
      <c r="I18025" s="224" t="s">
        <v>2</v>
      </c>
    </row>
    <row r="18026" spans="1:9" x14ac:dyDescent="0.25">
      <c r="A18026" s="515">
        <v>26386</v>
      </c>
      <c r="B18026" s="515" t="s">
        <v>347</v>
      </c>
      <c r="C18026" s="52">
        <v>98403.811545931894</v>
      </c>
      <c r="D18026" s="56">
        <v>-1.0684408320960681E-2</v>
      </c>
      <c r="E18026" s="224" t="s">
        <v>2</v>
      </c>
      <c r="F18026" s="515" t="s">
        <v>19199</v>
      </c>
      <c r="G18026" s="52">
        <v>82150.282256780498</v>
      </c>
      <c r="H18026" s="56">
        <v>0</v>
      </c>
      <c r="I18026" s="224" t="s">
        <v>2</v>
      </c>
    </row>
    <row r="18027" spans="1:9" x14ac:dyDescent="0.25">
      <c r="A18027" s="515">
        <v>31826</v>
      </c>
      <c r="B18027" s="515" t="s">
        <v>778</v>
      </c>
      <c r="C18027" s="52">
        <v>158873.00950399801</v>
      </c>
      <c r="D18027" s="56">
        <v>0.11615595737559345</v>
      </c>
      <c r="E18027" s="224" t="s">
        <v>2</v>
      </c>
      <c r="F18027" s="515" t="s">
        <v>19200</v>
      </c>
      <c r="G18027" s="52">
        <v>186941.07793886401</v>
      </c>
      <c r="H18027" s="56">
        <v>7.7911882309194422E-2</v>
      </c>
      <c r="I18027" s="224" t="s">
        <v>2</v>
      </c>
    </row>
    <row r="18028" spans="1:9" x14ac:dyDescent="0.25">
      <c r="A18028" s="515">
        <v>42784</v>
      </c>
      <c r="B18028" s="515" t="s">
        <v>671</v>
      </c>
      <c r="C18028" s="52">
        <v>144092.01330571799</v>
      </c>
      <c r="D18028" s="56">
        <v>0.1331459113826825</v>
      </c>
      <c r="E18028" s="224" t="s">
        <v>2</v>
      </c>
      <c r="F18028" s="515" t="s">
        <v>19201</v>
      </c>
      <c r="G18028" s="52">
        <v>107139.85711647999</v>
      </c>
      <c r="H18028" s="56">
        <v>0.13564599064504473</v>
      </c>
      <c r="I18028" s="224" t="s">
        <v>2</v>
      </c>
    </row>
    <row r="18029" spans="1:9" x14ac:dyDescent="0.25">
      <c r="A18029" s="515">
        <v>45684</v>
      </c>
      <c r="B18029" s="515" t="s">
        <v>772</v>
      </c>
      <c r="C18029" s="52">
        <v>153076.70739211599</v>
      </c>
      <c r="D18029" s="56">
        <v>7.3065915103886006E-2</v>
      </c>
      <c r="E18029" s="224" t="s">
        <v>2</v>
      </c>
      <c r="F18029" s="515" t="s">
        <v>19202</v>
      </c>
      <c r="G18029" s="52">
        <v>344248.98747146101</v>
      </c>
      <c r="H18029" s="56">
        <v>8.7669543391009866E-2</v>
      </c>
      <c r="I18029" s="224" t="s">
        <v>2</v>
      </c>
    </row>
    <row r="18030" spans="1:9" x14ac:dyDescent="0.25">
      <c r="A18030" s="515">
        <v>92391</v>
      </c>
      <c r="B18030" s="515" t="s">
        <v>599</v>
      </c>
      <c r="C18030" s="52">
        <v>382272.36942497903</v>
      </c>
      <c r="D18030" s="56">
        <v>6.2692640487487655E-2</v>
      </c>
      <c r="E18030" s="224" t="s">
        <v>2</v>
      </c>
      <c r="F18030" s="515" t="s">
        <v>19203</v>
      </c>
      <c r="G18030" s="52">
        <v>215419.374894518</v>
      </c>
      <c r="H18030" s="56">
        <v>6.0638742839460351E-2</v>
      </c>
      <c r="I18030" s="224" t="s">
        <v>2</v>
      </c>
    </row>
    <row r="18031" spans="1:9" x14ac:dyDescent="0.25">
      <c r="A18031" s="515">
        <v>54941</v>
      </c>
      <c r="C18031" s="52">
        <v>334355.54542758199</v>
      </c>
      <c r="D18031" s="56">
        <v>9.8452253389077718E-2</v>
      </c>
      <c r="E18031" s="224" t="s">
        <v>2</v>
      </c>
      <c r="F18031" s="515" t="s">
        <v>19204</v>
      </c>
      <c r="G18031" s="52">
        <v>128378.25104228999</v>
      </c>
      <c r="H18031" s="56">
        <v>6.031654021019181E-2</v>
      </c>
      <c r="I18031" s="224" t="s">
        <v>2</v>
      </c>
    </row>
    <row r="18032" spans="1:9" x14ac:dyDescent="0.25">
      <c r="A18032" s="515">
        <v>28521</v>
      </c>
      <c r="C18032" s="52">
        <v>170246.33635958601</v>
      </c>
      <c r="D18032" s="56">
        <v>0.19229677583097576</v>
      </c>
      <c r="E18032" s="224" t="s">
        <v>2</v>
      </c>
      <c r="F18032" s="515" t="s">
        <v>19205</v>
      </c>
      <c r="G18032" s="52">
        <v>458050.67808733502</v>
      </c>
      <c r="H18032" s="56">
        <v>4.6871801579562021E-2</v>
      </c>
      <c r="I18032" s="224" t="s">
        <v>2</v>
      </c>
    </row>
    <row r="18033" spans="1:9" x14ac:dyDescent="0.25">
      <c r="A18033" s="515">
        <v>55614</v>
      </c>
      <c r="B18033" s="515" t="s">
        <v>350</v>
      </c>
      <c r="C18033" s="52">
        <v>155859.473125422</v>
      </c>
      <c r="D18033" s="56">
        <v>0.10264174490538171</v>
      </c>
      <c r="E18033" s="224" t="s">
        <v>2</v>
      </c>
      <c r="F18033" s="515" t="s">
        <v>19206</v>
      </c>
      <c r="G18033" s="52">
        <v>213279.547358065</v>
      </c>
      <c r="H18033" s="56">
        <v>0.14406972904629292</v>
      </c>
      <c r="I18033" s="224" t="s">
        <v>2</v>
      </c>
    </row>
    <row r="18034" spans="1:9" x14ac:dyDescent="0.25">
      <c r="A18034" s="515">
        <v>18615</v>
      </c>
      <c r="B18034" s="515" t="s">
        <v>512</v>
      </c>
      <c r="C18034" s="52">
        <v>177456.19134437601</v>
      </c>
      <c r="D18034" s="56">
        <v>1.0251594517566806E-3</v>
      </c>
      <c r="E18034" s="224" t="s">
        <v>2</v>
      </c>
      <c r="F18034" s="515" t="s">
        <v>19207</v>
      </c>
      <c r="G18034" s="52">
        <v>67045.333333333299</v>
      </c>
      <c r="H18034" s="56">
        <v>0</v>
      </c>
      <c r="I18034" s="224" t="s">
        <v>2</v>
      </c>
    </row>
    <row r="18035" spans="1:9" x14ac:dyDescent="0.25">
      <c r="A18035" s="515">
        <v>98952</v>
      </c>
      <c r="B18035" s="515" t="s">
        <v>948</v>
      </c>
      <c r="C18035" s="52">
        <v>251058.23360486</v>
      </c>
      <c r="D18035" s="56">
        <v>4.2176948462223786E-2</v>
      </c>
      <c r="E18035" s="224" t="s">
        <v>2</v>
      </c>
      <c r="F18035" s="515" t="s">
        <v>19208</v>
      </c>
      <c r="G18035" s="52">
        <v>147350.23635640499</v>
      </c>
      <c r="H18035" s="56">
        <v>3.3897906572902696E-2</v>
      </c>
      <c r="I18035" s="224" t="s">
        <v>2</v>
      </c>
    </row>
    <row r="18036" spans="1:9" x14ac:dyDescent="0.25">
      <c r="A18036" s="515">
        <v>22435</v>
      </c>
      <c r="C18036" s="52">
        <v>187070.417777558</v>
      </c>
      <c r="D18036" s="56">
        <v>-1.613064577986207E-2</v>
      </c>
      <c r="E18036" s="224" t="s">
        <v>2</v>
      </c>
      <c r="F18036" s="515" t="s">
        <v>19209</v>
      </c>
      <c r="G18036" s="52">
        <v>427236.88745334902</v>
      </c>
      <c r="H18036" s="56">
        <v>3.3566098818234413E-2</v>
      </c>
      <c r="I18036" s="224" t="s">
        <v>2</v>
      </c>
    </row>
    <row r="18037" spans="1:9" x14ac:dyDescent="0.25">
      <c r="A18037" s="515">
        <v>62691</v>
      </c>
      <c r="C18037" s="52">
        <v>91680.144426971907</v>
      </c>
      <c r="D18037" s="56">
        <v>2.8663722279999099E-2</v>
      </c>
      <c r="E18037" s="224" t="s">
        <v>2</v>
      </c>
      <c r="F18037" s="515" t="s">
        <v>19210</v>
      </c>
      <c r="G18037" s="52">
        <v>611322.61795416404</v>
      </c>
      <c r="H18037" s="56">
        <v>4.0239706872855004E-2</v>
      </c>
      <c r="I18037" s="224" t="s">
        <v>2</v>
      </c>
    </row>
    <row r="18038" spans="1:9" x14ac:dyDescent="0.25">
      <c r="A18038" s="515">
        <v>64734</v>
      </c>
      <c r="B18038" s="515" t="s">
        <v>455</v>
      </c>
      <c r="C18038" s="52">
        <v>346733.21713364602</v>
      </c>
      <c r="D18038" s="56">
        <v>0.14629104544861338</v>
      </c>
      <c r="E18038" s="224" t="s">
        <v>2</v>
      </c>
      <c r="F18038" s="515" t="s">
        <v>19211</v>
      </c>
      <c r="G18038" s="52">
        <v>141251.58629763601</v>
      </c>
      <c r="H18038" s="56">
        <v>0.14264949377326802</v>
      </c>
      <c r="I18038" s="224" t="s">
        <v>2</v>
      </c>
    </row>
    <row r="18039" spans="1:9" x14ac:dyDescent="0.25">
      <c r="A18039" s="515">
        <v>51559</v>
      </c>
      <c r="B18039" s="515" t="s">
        <v>367</v>
      </c>
      <c r="C18039" s="52">
        <v>234897.900752613</v>
      </c>
      <c r="D18039" s="56">
        <v>8.4656971190337174E-2</v>
      </c>
      <c r="E18039" s="224" t="s">
        <v>2</v>
      </c>
      <c r="F18039" s="515" t="s">
        <v>19212</v>
      </c>
      <c r="G18039" s="52">
        <v>122031.88266367601</v>
      </c>
      <c r="H18039" s="56">
        <v>0.10229245565847082</v>
      </c>
      <c r="I18039" s="224" t="s">
        <v>2</v>
      </c>
    </row>
    <row r="18040" spans="1:9" x14ac:dyDescent="0.25">
      <c r="A18040" s="515">
        <v>6783</v>
      </c>
      <c r="B18040" s="515" t="s">
        <v>559</v>
      </c>
      <c r="C18040" s="52">
        <v>799544.68286062905</v>
      </c>
      <c r="D18040" s="56">
        <v>4.1093438940609635E-2</v>
      </c>
      <c r="E18040" s="224" t="s">
        <v>2</v>
      </c>
      <c r="F18040" s="515" t="s">
        <v>19213</v>
      </c>
      <c r="G18040" s="52">
        <v>158023.60513430301</v>
      </c>
      <c r="H18040" s="56">
        <v>0.25445675022937508</v>
      </c>
      <c r="I18040" s="224" t="s">
        <v>2</v>
      </c>
    </row>
    <row r="18041" spans="1:9" x14ac:dyDescent="0.25">
      <c r="A18041" s="515">
        <v>56433</v>
      </c>
      <c r="C18041" s="52">
        <v>245839.81506721099</v>
      </c>
      <c r="D18041" s="56">
        <v>0.11163360929067771</v>
      </c>
      <c r="E18041" s="224" t="s">
        <v>2</v>
      </c>
      <c r="F18041" s="515" t="s">
        <v>19214</v>
      </c>
      <c r="G18041" s="52">
        <v>128196.23107895799</v>
      </c>
      <c r="H18041" s="56">
        <v>4.1416146491234179E-2</v>
      </c>
      <c r="I18041" s="224" t="s">
        <v>2</v>
      </c>
    </row>
    <row r="18042" spans="1:9" x14ac:dyDescent="0.25">
      <c r="A18042" s="515">
        <v>73754</v>
      </c>
      <c r="B18042" s="515" t="s">
        <v>730</v>
      </c>
      <c r="C18042" s="52">
        <v>118344.671395718</v>
      </c>
      <c r="D18042" s="56">
        <v>5.3608659933321159E-2</v>
      </c>
      <c r="E18042" s="224" t="s">
        <v>2</v>
      </c>
      <c r="F18042" s="515" t="s">
        <v>19215</v>
      </c>
      <c r="G18042" s="52">
        <v>188054.14609591899</v>
      </c>
      <c r="H18042" s="56">
        <v>9.838672694313623E-2</v>
      </c>
      <c r="I18042" s="224" t="s">
        <v>2</v>
      </c>
    </row>
    <row r="18043" spans="1:9" x14ac:dyDescent="0.25">
      <c r="A18043" s="515">
        <v>47264</v>
      </c>
      <c r="B18043" s="515" t="s">
        <v>1016</v>
      </c>
      <c r="C18043" s="52">
        <v>188545.288016498</v>
      </c>
      <c r="D18043" s="56">
        <v>7.0989918586175399E-2</v>
      </c>
      <c r="E18043" s="224" t="s">
        <v>2</v>
      </c>
      <c r="F18043" s="515" t="s">
        <v>19216</v>
      </c>
      <c r="G18043" s="52">
        <v>875240.528557354</v>
      </c>
      <c r="H18043" s="56">
        <v>0.16640668818682047</v>
      </c>
      <c r="I18043" s="224" t="s">
        <v>2</v>
      </c>
    </row>
    <row r="18044" spans="1:9" x14ac:dyDescent="0.25">
      <c r="A18044" s="515">
        <v>12197</v>
      </c>
      <c r="B18044" s="515" t="s">
        <v>460</v>
      </c>
      <c r="C18044" s="52">
        <v>166214.525392738</v>
      </c>
      <c r="D18044" s="56">
        <v>7.4806330879604852E-2</v>
      </c>
      <c r="E18044" s="224" t="s">
        <v>2</v>
      </c>
      <c r="F18044" s="515" t="s">
        <v>19217</v>
      </c>
      <c r="G18044" s="52">
        <v>362510.34375321702</v>
      </c>
      <c r="H18044" s="56">
        <v>0.10589336248598206</v>
      </c>
      <c r="I18044" s="224" t="s">
        <v>2</v>
      </c>
    </row>
    <row r="18045" spans="1:9" x14ac:dyDescent="0.25">
      <c r="A18045" s="515">
        <v>39752</v>
      </c>
      <c r="B18045" s="515" t="s">
        <v>722</v>
      </c>
      <c r="C18045" s="52">
        <v>151866.789973165</v>
      </c>
      <c r="D18045" s="56">
        <v>1.4818873951481565E-2</v>
      </c>
      <c r="E18045" s="224" t="s">
        <v>2</v>
      </c>
      <c r="F18045" s="515" t="s">
        <v>19218</v>
      </c>
      <c r="G18045" s="52">
        <v>95964.367125719</v>
      </c>
      <c r="H18045" s="56">
        <v>0.10747498351842721</v>
      </c>
      <c r="I18045" s="224" t="s">
        <v>2</v>
      </c>
    </row>
    <row r="18046" spans="1:9" x14ac:dyDescent="0.25">
      <c r="A18046" s="515">
        <v>38870</v>
      </c>
      <c r="C18046" s="52">
        <v>140088.48553619601</v>
      </c>
      <c r="D18046" s="56">
        <v>-1.4500402053250412E-4</v>
      </c>
      <c r="E18046" s="224" t="s">
        <v>2</v>
      </c>
      <c r="F18046" s="515" t="s">
        <v>19219</v>
      </c>
      <c r="G18046" s="52">
        <v>444377.71308552503</v>
      </c>
      <c r="H18046" s="56">
        <v>4.0659675187763304E-2</v>
      </c>
      <c r="I18046" s="224" t="s">
        <v>2</v>
      </c>
    </row>
    <row r="18047" spans="1:9" x14ac:dyDescent="0.25">
      <c r="A18047" s="515">
        <v>6763</v>
      </c>
      <c r="B18047" s="515" t="s">
        <v>559</v>
      </c>
      <c r="C18047" s="52">
        <v>438369.110358465</v>
      </c>
      <c r="D18047" s="56">
        <v>8.7403398953876985E-2</v>
      </c>
      <c r="E18047" s="224" t="s">
        <v>2</v>
      </c>
      <c r="F18047" s="515" t="s">
        <v>19220</v>
      </c>
      <c r="G18047" s="52">
        <v>472832.35011166101</v>
      </c>
      <c r="H18047" s="56">
        <v>5.9805163078536831E-2</v>
      </c>
      <c r="I18047" s="224" t="s">
        <v>2</v>
      </c>
    </row>
    <row r="18048" spans="1:9" x14ac:dyDescent="0.25">
      <c r="A18048" s="515">
        <v>16646</v>
      </c>
      <c r="B18048" s="515" t="s">
        <v>828</v>
      </c>
      <c r="C18048" s="52">
        <v>81160.886261328793</v>
      </c>
      <c r="D18048" s="56">
        <v>-6.1719209608532916E-2</v>
      </c>
      <c r="E18048" s="224" t="s">
        <v>2</v>
      </c>
      <c r="F18048" s="515" t="s">
        <v>19221</v>
      </c>
      <c r="G18048" s="52">
        <v>134800.72526688001</v>
      </c>
      <c r="H18048" s="56">
        <v>0.13026223263937997</v>
      </c>
      <c r="I18048" s="224" t="s">
        <v>2</v>
      </c>
    </row>
    <row r="18049" spans="1:9" x14ac:dyDescent="0.25">
      <c r="A18049" s="515">
        <v>73852</v>
      </c>
      <c r="B18049" s="515" t="s">
        <v>830</v>
      </c>
      <c r="C18049" s="52">
        <v>115107.065160301</v>
      </c>
      <c r="D18049" s="56">
        <v>4.7657733047902807E-2</v>
      </c>
      <c r="E18049" s="224" t="s">
        <v>2</v>
      </c>
      <c r="F18049" s="515" t="s">
        <v>19222</v>
      </c>
      <c r="G18049" s="52">
        <v>215225.99576847401</v>
      </c>
      <c r="H18049" s="56">
        <v>0.12337168208521758</v>
      </c>
      <c r="I18049" s="224" t="s">
        <v>2</v>
      </c>
    </row>
    <row r="18050" spans="1:9" x14ac:dyDescent="0.25">
      <c r="A18050" s="515">
        <v>66967</v>
      </c>
      <c r="C18050" s="52">
        <v>80087.379410694906</v>
      </c>
      <c r="D18050" s="56">
        <v>0.10387711612805978</v>
      </c>
      <c r="E18050" s="224" t="s">
        <v>2</v>
      </c>
      <c r="F18050" s="515" t="s">
        <v>19223</v>
      </c>
      <c r="G18050" s="52">
        <v>288990.543898959</v>
      </c>
      <c r="H18050" s="56">
        <v>-1.7993931521690508E-2</v>
      </c>
      <c r="I18050" s="224" t="s">
        <v>2</v>
      </c>
    </row>
    <row r="18051" spans="1:9" x14ac:dyDescent="0.25">
      <c r="A18051" s="515">
        <v>59632</v>
      </c>
      <c r="B18051" s="515" t="s">
        <v>750</v>
      </c>
      <c r="C18051" s="52">
        <v>328431.664369073</v>
      </c>
      <c r="D18051" s="56">
        <v>0.10087322159460503</v>
      </c>
      <c r="E18051" s="224" t="s">
        <v>2</v>
      </c>
      <c r="F18051" s="515" t="s">
        <v>19224</v>
      </c>
      <c r="G18051" s="52">
        <v>63657.6144409033</v>
      </c>
      <c r="H18051" s="56">
        <v>0.11428439680133561</v>
      </c>
      <c r="I18051" s="224" t="s">
        <v>2</v>
      </c>
    </row>
    <row r="18052" spans="1:9" x14ac:dyDescent="0.25">
      <c r="A18052" s="515">
        <v>46784</v>
      </c>
      <c r="B18052" s="515" t="s">
        <v>1058</v>
      </c>
      <c r="C18052" s="52">
        <v>268462.40061343199</v>
      </c>
      <c r="D18052" s="56">
        <v>8.8065107045055005E-2</v>
      </c>
      <c r="E18052" s="224" t="s">
        <v>2</v>
      </c>
      <c r="F18052" s="515" t="s">
        <v>19225</v>
      </c>
      <c r="G18052" s="52">
        <v>196853.84360666</v>
      </c>
      <c r="H18052" s="56">
        <v>6.8206889989177469E-2</v>
      </c>
      <c r="I18052" s="224" t="s">
        <v>2</v>
      </c>
    </row>
    <row r="18053" spans="1:9" x14ac:dyDescent="0.25">
      <c r="A18053" s="515">
        <v>15926</v>
      </c>
      <c r="B18053" s="515" t="s">
        <v>370</v>
      </c>
      <c r="C18053" s="52">
        <v>130323.81068944</v>
      </c>
      <c r="D18053" s="56">
        <v>7.5571378292787858E-2</v>
      </c>
      <c r="E18053" s="224" t="s">
        <v>2</v>
      </c>
      <c r="F18053" s="515" t="s">
        <v>19226</v>
      </c>
      <c r="G18053" s="52">
        <v>131121.86321021401</v>
      </c>
      <c r="H18053" s="56">
        <v>5.2043860489077796E-2</v>
      </c>
      <c r="I18053" s="224" t="s">
        <v>2</v>
      </c>
    </row>
    <row r="18054" spans="1:9" x14ac:dyDescent="0.25">
      <c r="A18054" s="515">
        <v>81418</v>
      </c>
      <c r="C18054" s="52">
        <v>346078.45926694397</v>
      </c>
      <c r="D18054" s="56">
        <v>4.4331055214177843E-2</v>
      </c>
      <c r="E18054" s="224" t="s">
        <v>2</v>
      </c>
      <c r="F18054" s="515" t="s">
        <v>19227</v>
      </c>
      <c r="G18054" s="52">
        <v>438424.49642956897</v>
      </c>
      <c r="H18054" s="56">
        <v>0</v>
      </c>
      <c r="I18054" s="224" t="s">
        <v>2</v>
      </c>
    </row>
    <row r="18055" spans="1:9" x14ac:dyDescent="0.25">
      <c r="A18055" s="515">
        <v>32336</v>
      </c>
      <c r="B18055" s="515" t="s">
        <v>335</v>
      </c>
      <c r="C18055" s="52">
        <v>212525.889638202</v>
      </c>
      <c r="D18055" s="56">
        <v>0.13395151741295647</v>
      </c>
      <c r="E18055" s="224" t="s">
        <v>2</v>
      </c>
      <c r="F18055" s="515" t="s">
        <v>19228</v>
      </c>
      <c r="G18055" s="52">
        <v>163003.86699150299</v>
      </c>
      <c r="H18055" s="56">
        <v>5.0687044823686613E-2</v>
      </c>
      <c r="I18055" s="224" t="s">
        <v>2</v>
      </c>
    </row>
    <row r="18056" spans="1:9" x14ac:dyDescent="0.25">
      <c r="A18056" s="515">
        <v>2827</v>
      </c>
      <c r="B18056" s="515" t="s">
        <v>513</v>
      </c>
      <c r="C18056" s="52">
        <v>438858.73822574801</v>
      </c>
      <c r="D18056" s="56">
        <v>7.745286046557498E-2</v>
      </c>
      <c r="E18056" s="224" t="s">
        <v>2</v>
      </c>
      <c r="F18056" s="515" t="s">
        <v>19229</v>
      </c>
      <c r="G18056" s="52">
        <v>714152.77053242701</v>
      </c>
      <c r="H18056" s="56">
        <v>4.8641558652414055E-2</v>
      </c>
      <c r="I18056" s="224" t="s">
        <v>2</v>
      </c>
    </row>
    <row r="18057" spans="1:9" x14ac:dyDescent="0.25">
      <c r="A18057" s="515">
        <v>14747</v>
      </c>
      <c r="B18057" s="515" t="s">
        <v>560</v>
      </c>
      <c r="C18057" s="52">
        <v>137014.47286392201</v>
      </c>
      <c r="D18057" s="56">
        <v>0.11258792669091693</v>
      </c>
      <c r="E18057" s="224" t="s">
        <v>2</v>
      </c>
      <c r="F18057" s="515" t="s">
        <v>19230</v>
      </c>
      <c r="G18057" s="52">
        <v>115814.998838146</v>
      </c>
      <c r="H18057" s="56">
        <v>0.29029404156623684</v>
      </c>
      <c r="I18057" s="224" t="s">
        <v>2</v>
      </c>
    </row>
    <row r="18058" spans="1:9" x14ac:dyDescent="0.25">
      <c r="A18058" s="515">
        <v>71933</v>
      </c>
      <c r="B18058" s="515" t="s">
        <v>1082</v>
      </c>
      <c r="C18058" s="52">
        <v>193562.924211859</v>
      </c>
      <c r="D18058" s="56">
        <v>0.11537535721758101</v>
      </c>
      <c r="E18058" s="224" t="s">
        <v>2</v>
      </c>
      <c r="F18058" s="515" t="s">
        <v>19231</v>
      </c>
      <c r="G18058" s="52">
        <v>158369.32590172699</v>
      </c>
      <c r="H18058" s="56">
        <v>0.10558017420152631</v>
      </c>
      <c r="I18058" s="224" t="s">
        <v>2</v>
      </c>
    </row>
    <row r="18059" spans="1:9" x14ac:dyDescent="0.25">
      <c r="A18059" s="515">
        <v>54245</v>
      </c>
      <c r="B18059" s="515" t="s">
        <v>446</v>
      </c>
      <c r="C18059" s="52">
        <v>232899.14154815601</v>
      </c>
      <c r="D18059" s="56">
        <v>4.4749740067809997E-2</v>
      </c>
      <c r="E18059" s="224" t="s">
        <v>2</v>
      </c>
      <c r="F18059" s="515" t="s">
        <v>19232</v>
      </c>
      <c r="G18059" s="52">
        <v>160315.38181818099</v>
      </c>
      <c r="H18059" s="56">
        <v>0</v>
      </c>
      <c r="I18059" s="224" t="s">
        <v>2</v>
      </c>
    </row>
    <row r="18060" spans="1:9" x14ac:dyDescent="0.25">
      <c r="A18060" s="515">
        <v>63967</v>
      </c>
      <c r="C18060" s="52">
        <v>181272.22637248301</v>
      </c>
      <c r="D18060" s="56">
        <v>7.1923455354203969E-2</v>
      </c>
      <c r="E18060" s="224" t="s">
        <v>2</v>
      </c>
      <c r="F18060" s="515" t="s">
        <v>19233</v>
      </c>
      <c r="G18060" s="52">
        <v>288931.29198621499</v>
      </c>
      <c r="H18060" s="56">
        <v>9.068174289916682E-2</v>
      </c>
      <c r="I18060" s="224" t="s">
        <v>2</v>
      </c>
    </row>
    <row r="18061" spans="1:9" x14ac:dyDescent="0.25">
      <c r="A18061" s="515">
        <v>24818</v>
      </c>
      <c r="C18061" s="52">
        <v>43415.888438921203</v>
      </c>
      <c r="D18061" s="56">
        <v>-4.4434515772305658E-2</v>
      </c>
      <c r="E18061" s="224" t="s">
        <v>2</v>
      </c>
      <c r="F18061" s="515" t="s">
        <v>19234</v>
      </c>
      <c r="G18061" s="52">
        <v>118596.45114197901</v>
      </c>
      <c r="H18061" s="56">
        <v>0</v>
      </c>
      <c r="I18061" s="224" t="s">
        <v>2</v>
      </c>
    </row>
    <row r="18062" spans="1:9" x14ac:dyDescent="0.25">
      <c r="A18062" s="515">
        <v>95469</v>
      </c>
      <c r="B18062" s="515" t="s">
        <v>644</v>
      </c>
      <c r="C18062" s="52">
        <v>444908.11958428402</v>
      </c>
      <c r="D18062" s="56">
        <v>-0.1564876007313046</v>
      </c>
      <c r="E18062" s="224" t="s">
        <v>2</v>
      </c>
      <c r="F18062" s="515" t="s">
        <v>19235</v>
      </c>
      <c r="G18062" s="52">
        <v>105412.377675287</v>
      </c>
      <c r="H18062" s="56">
        <v>1.4190992377725602E-2</v>
      </c>
      <c r="I18062" s="224" t="s">
        <v>2</v>
      </c>
    </row>
    <row r="18063" spans="1:9" x14ac:dyDescent="0.25">
      <c r="A18063" s="515">
        <v>14560</v>
      </c>
      <c r="B18063" s="515" t="s">
        <v>337</v>
      </c>
      <c r="C18063" s="52">
        <v>179348.58874285</v>
      </c>
      <c r="D18063" s="56">
        <v>9.4414371539327968E-2</v>
      </c>
      <c r="E18063" s="224" t="s">
        <v>2</v>
      </c>
      <c r="F18063" s="515" t="s">
        <v>19236</v>
      </c>
      <c r="G18063" s="52">
        <v>152174.91532649301</v>
      </c>
      <c r="H18063" s="56">
        <v>0.19795725075862519</v>
      </c>
      <c r="I18063" s="224" t="s">
        <v>2</v>
      </c>
    </row>
    <row r="18064" spans="1:9" x14ac:dyDescent="0.25">
      <c r="A18064" s="515">
        <v>51024</v>
      </c>
      <c r="C18064" s="52">
        <v>302169.84054492298</v>
      </c>
      <c r="D18064" s="56">
        <v>0.11303571715449813</v>
      </c>
      <c r="E18064" s="224" t="s">
        <v>2</v>
      </c>
      <c r="F18064" s="515" t="s">
        <v>19237</v>
      </c>
      <c r="G18064" s="52">
        <v>323880.39291291003</v>
      </c>
      <c r="H18064" s="56">
        <v>6.4033324423669935E-2</v>
      </c>
      <c r="I18064" s="224" t="s">
        <v>2</v>
      </c>
    </row>
    <row r="18065" spans="1:9" x14ac:dyDescent="0.25">
      <c r="A18065" s="515">
        <v>47326</v>
      </c>
      <c r="C18065" s="52">
        <v>188605.03908914901</v>
      </c>
      <c r="D18065" s="56">
        <v>0.11167691760680325</v>
      </c>
      <c r="E18065" s="224" t="s">
        <v>2</v>
      </c>
      <c r="F18065" s="515" t="s">
        <v>19238</v>
      </c>
      <c r="G18065" s="52">
        <v>76591.045173655395</v>
      </c>
      <c r="H18065" s="56">
        <v>8.9926918515748022E-2</v>
      </c>
      <c r="I18065" s="224" t="s">
        <v>2</v>
      </c>
    </row>
    <row r="18066" spans="1:9" x14ac:dyDescent="0.25">
      <c r="A18066" s="515">
        <v>14804</v>
      </c>
      <c r="C18066" s="52">
        <v>124039.06466848199</v>
      </c>
      <c r="D18066" s="56">
        <v>6.3482011625970947E-2</v>
      </c>
      <c r="E18066" s="224" t="s">
        <v>2</v>
      </c>
      <c r="F18066" s="515" t="s">
        <v>19239</v>
      </c>
      <c r="G18066" s="52">
        <v>92820.343321782493</v>
      </c>
      <c r="H18066" s="56">
        <v>-5.3568090186124802E-2</v>
      </c>
      <c r="I18066" s="224" t="s">
        <v>2</v>
      </c>
    </row>
    <row r="18067" spans="1:9" x14ac:dyDescent="0.25">
      <c r="A18067" s="515">
        <v>43772</v>
      </c>
      <c r="C18067" s="52">
        <v>108696.46876350899</v>
      </c>
      <c r="D18067" s="56">
        <v>8.9629281252081111E-2</v>
      </c>
      <c r="E18067" s="224" t="s">
        <v>2</v>
      </c>
      <c r="F18067" s="515" t="s">
        <v>19240</v>
      </c>
      <c r="G18067" s="52">
        <v>347324.61225687002</v>
      </c>
      <c r="H18067" s="56">
        <v>0</v>
      </c>
      <c r="I18067" s="224" t="s">
        <v>2</v>
      </c>
    </row>
    <row r="18068" spans="1:9" x14ac:dyDescent="0.25">
      <c r="A18068" s="515">
        <v>74445</v>
      </c>
      <c r="B18068" s="515" t="s">
        <v>348</v>
      </c>
      <c r="C18068" s="52">
        <v>160870.238907978</v>
      </c>
      <c r="D18068" s="56">
        <v>0.11027468310151271</v>
      </c>
      <c r="E18068" s="224" t="s">
        <v>2</v>
      </c>
      <c r="F18068" s="515" t="s">
        <v>19241</v>
      </c>
      <c r="G18068" s="52">
        <v>273417.77939807798</v>
      </c>
      <c r="H18068" s="56">
        <v>0</v>
      </c>
      <c r="I18068" s="224" t="s">
        <v>2</v>
      </c>
    </row>
    <row r="18069" spans="1:9" x14ac:dyDescent="0.25">
      <c r="A18069" s="515">
        <v>29726</v>
      </c>
      <c r="B18069" s="515" t="s">
        <v>360</v>
      </c>
      <c r="C18069" s="52">
        <v>269506.84081433702</v>
      </c>
      <c r="D18069" s="56">
        <v>8.7356334750042772E-2</v>
      </c>
      <c r="E18069" s="224" t="s">
        <v>2</v>
      </c>
      <c r="F18069" s="515" t="s">
        <v>19242</v>
      </c>
      <c r="G18069" s="52">
        <v>170183.507644331</v>
      </c>
      <c r="H18069" s="56">
        <v>7.9486697840676371E-2</v>
      </c>
      <c r="I18069" s="224" t="s">
        <v>2</v>
      </c>
    </row>
    <row r="18070" spans="1:9" x14ac:dyDescent="0.25">
      <c r="A18070" s="515">
        <v>38388</v>
      </c>
      <c r="C18070" s="52">
        <v>166160.74653918299</v>
      </c>
      <c r="D18070" s="56">
        <v>2.6091769589013304E-2</v>
      </c>
      <c r="E18070" s="224" t="s">
        <v>2</v>
      </c>
      <c r="F18070" s="515" t="s">
        <v>19243</v>
      </c>
      <c r="G18070" s="52">
        <v>157857.44842810999</v>
      </c>
      <c r="H18070" s="56">
        <v>3.828411918062477E-2</v>
      </c>
      <c r="I18070" s="224" t="s">
        <v>2</v>
      </c>
    </row>
    <row r="18071" spans="1:9" x14ac:dyDescent="0.25">
      <c r="A18071" s="515">
        <v>27897</v>
      </c>
      <c r="B18071" s="515" t="s">
        <v>909</v>
      </c>
      <c r="C18071" s="52">
        <v>83846.593429218105</v>
      </c>
      <c r="D18071" s="56">
        <v>0.18569003339744472</v>
      </c>
      <c r="E18071" s="224" t="s">
        <v>2</v>
      </c>
      <c r="F18071" s="515" t="s">
        <v>19244</v>
      </c>
      <c r="G18071" s="52">
        <v>224696.54539418401</v>
      </c>
      <c r="H18071" s="56">
        <v>0.17783063518123648</v>
      </c>
      <c r="I18071" s="224" t="s">
        <v>2</v>
      </c>
    </row>
    <row r="18072" spans="1:9" x14ac:dyDescent="0.25">
      <c r="A18072" s="515">
        <v>61736</v>
      </c>
      <c r="B18072" s="515" t="s">
        <v>645</v>
      </c>
      <c r="C18072" s="52">
        <v>247769.341135928</v>
      </c>
      <c r="D18072" s="56">
        <v>0.13327990038556908</v>
      </c>
      <c r="E18072" s="224" t="s">
        <v>2</v>
      </c>
      <c r="F18072" s="515" t="s">
        <v>19245</v>
      </c>
      <c r="G18072" s="52">
        <v>267612.08529872901</v>
      </c>
      <c r="H18072" s="56">
        <v>4.0123950541805689E-2</v>
      </c>
      <c r="I18072" s="224" t="s">
        <v>2</v>
      </c>
    </row>
    <row r="18073" spans="1:9" x14ac:dyDescent="0.25">
      <c r="A18073" s="515">
        <v>37335</v>
      </c>
      <c r="C18073" s="52">
        <v>212917.61061515301</v>
      </c>
      <c r="D18073" s="56">
        <v>9.7149523150859049E-2</v>
      </c>
      <c r="E18073" s="224" t="s">
        <v>2</v>
      </c>
      <c r="F18073" s="515" t="s">
        <v>19246</v>
      </c>
      <c r="G18073" s="52">
        <v>80670.922709729304</v>
      </c>
      <c r="H18073" s="56">
        <v>0</v>
      </c>
      <c r="I18073" s="224" t="s">
        <v>2</v>
      </c>
    </row>
    <row r="18074" spans="1:9" x14ac:dyDescent="0.25">
      <c r="A18074" s="515">
        <v>37350</v>
      </c>
      <c r="B18074" s="515" t="s">
        <v>622</v>
      </c>
      <c r="C18074" s="52">
        <v>774257.55004130595</v>
      </c>
      <c r="D18074" s="56">
        <v>9.8316447615300465E-2</v>
      </c>
      <c r="E18074" s="224" t="s">
        <v>2</v>
      </c>
      <c r="F18074" s="515" t="s">
        <v>19247</v>
      </c>
      <c r="G18074" s="52">
        <v>342172.81074417202</v>
      </c>
      <c r="H18074" s="56">
        <v>-2.2146829506137629E-4</v>
      </c>
      <c r="I18074" s="224" t="s">
        <v>2</v>
      </c>
    </row>
    <row r="18075" spans="1:9" x14ac:dyDescent="0.25">
      <c r="A18075" s="515">
        <v>68071</v>
      </c>
      <c r="C18075" s="52">
        <v>236554.47877955</v>
      </c>
      <c r="D18075" s="56">
        <v>0.24502539945859678</v>
      </c>
      <c r="E18075" s="224" t="s">
        <v>2</v>
      </c>
      <c r="F18075" s="515" t="s">
        <v>19248</v>
      </c>
      <c r="G18075" s="52">
        <v>124147.508631148</v>
      </c>
      <c r="H18075" s="56">
        <v>9.2150234529049135E-2</v>
      </c>
      <c r="I18075" s="224" t="s">
        <v>2</v>
      </c>
    </row>
    <row r="18076" spans="1:9" x14ac:dyDescent="0.25">
      <c r="A18076" s="515">
        <v>63876</v>
      </c>
      <c r="B18076" s="515" t="s">
        <v>910</v>
      </c>
      <c r="C18076" s="52">
        <v>69218.644385974199</v>
      </c>
      <c r="D18076" s="56">
        <v>-1.6250356526839763E-2</v>
      </c>
      <c r="E18076" s="224" t="s">
        <v>2</v>
      </c>
      <c r="F18076" s="515" t="s">
        <v>19249</v>
      </c>
      <c r="G18076" s="52">
        <v>55558.554212531701</v>
      </c>
      <c r="H18076" s="56">
        <v>0.22819775648969051</v>
      </c>
      <c r="I18076" s="224" t="s">
        <v>2</v>
      </c>
    </row>
    <row r="18077" spans="1:9" x14ac:dyDescent="0.25">
      <c r="A18077" s="515">
        <v>39657</v>
      </c>
      <c r="C18077" s="52">
        <v>123553.75350734001</v>
      </c>
      <c r="D18077" s="56">
        <v>-7.5350908429407781E-2</v>
      </c>
      <c r="E18077" s="224" t="s">
        <v>2</v>
      </c>
      <c r="F18077" s="515" t="s">
        <v>19250</v>
      </c>
      <c r="G18077" s="52">
        <v>129035.660266853</v>
      </c>
      <c r="H18077" s="56">
        <v>0</v>
      </c>
      <c r="I18077" s="224" t="s">
        <v>2</v>
      </c>
    </row>
    <row r="18078" spans="1:9" x14ac:dyDescent="0.25">
      <c r="A18078" s="515">
        <v>79064</v>
      </c>
      <c r="C18078" s="52">
        <v>104886.977971719</v>
      </c>
      <c r="D18078" s="56">
        <v>-1.1995051511417502E-2</v>
      </c>
      <c r="E18078" s="224" t="s">
        <v>2</v>
      </c>
      <c r="F18078" s="515" t="s">
        <v>19251</v>
      </c>
      <c r="G18078" s="52">
        <v>330608.764705882</v>
      </c>
      <c r="H18078" s="56">
        <v>0</v>
      </c>
      <c r="I18078" s="224" t="s">
        <v>2</v>
      </c>
    </row>
    <row r="18079" spans="1:9" x14ac:dyDescent="0.25">
      <c r="A18079" s="515">
        <v>68876</v>
      </c>
      <c r="B18079" s="515" t="s">
        <v>660</v>
      </c>
      <c r="C18079" s="52">
        <v>184193.56213516701</v>
      </c>
      <c r="D18079" s="56">
        <v>6.3393118946962423E-2</v>
      </c>
      <c r="E18079" s="224" t="s">
        <v>2</v>
      </c>
      <c r="F18079" s="515" t="s">
        <v>19252</v>
      </c>
      <c r="G18079" s="52">
        <v>226432.84062270599</v>
      </c>
      <c r="H18079" s="56">
        <v>0.10034384258542008</v>
      </c>
      <c r="I18079" s="224" t="s">
        <v>2</v>
      </c>
    </row>
    <row r="18080" spans="1:9" x14ac:dyDescent="0.25">
      <c r="A18080" s="515">
        <v>65337</v>
      </c>
      <c r="B18080" s="515" t="s">
        <v>798</v>
      </c>
      <c r="C18080" s="52">
        <v>163554.015589858</v>
      </c>
      <c r="D18080" s="56">
        <v>6.2555012269790863E-2</v>
      </c>
      <c r="E18080" s="224" t="s">
        <v>2</v>
      </c>
      <c r="F18080" s="515" t="s">
        <v>19253</v>
      </c>
      <c r="G18080" s="52">
        <v>233342.92621926899</v>
      </c>
      <c r="H18080" s="56">
        <v>0.15034368966369951</v>
      </c>
      <c r="I18080" s="224" t="s">
        <v>2</v>
      </c>
    </row>
    <row r="18081" spans="1:9" x14ac:dyDescent="0.25">
      <c r="A18081" s="515">
        <v>75933</v>
      </c>
      <c r="C18081" s="52">
        <v>131451.465008295</v>
      </c>
      <c r="D18081" s="56">
        <v>4.6453262065333671E-2</v>
      </c>
      <c r="E18081" s="224" t="s">
        <v>2</v>
      </c>
      <c r="F18081" s="515" t="s">
        <v>19254</v>
      </c>
      <c r="G18081" s="52">
        <v>213197.71430306099</v>
      </c>
      <c r="H18081" s="56">
        <v>0.14775633444702979</v>
      </c>
      <c r="I18081" s="224" t="s">
        <v>2</v>
      </c>
    </row>
    <row r="18082" spans="1:9" x14ac:dyDescent="0.25">
      <c r="A18082" s="515">
        <v>96703</v>
      </c>
      <c r="B18082" s="515" t="s">
        <v>452</v>
      </c>
      <c r="C18082" s="52">
        <v>844148.47686665901</v>
      </c>
      <c r="D18082" s="56">
        <v>0.16354831235868475</v>
      </c>
      <c r="E18082" s="224" t="s">
        <v>2</v>
      </c>
      <c r="F18082" s="515" t="s">
        <v>19255</v>
      </c>
      <c r="G18082" s="52">
        <v>93610.078776961294</v>
      </c>
      <c r="H18082" s="56">
        <v>4.5224112697406726E-2</v>
      </c>
      <c r="I18082" s="224" t="s">
        <v>2</v>
      </c>
    </row>
    <row r="18083" spans="1:9" x14ac:dyDescent="0.25">
      <c r="A18083" s="515">
        <v>63015</v>
      </c>
      <c r="B18083" s="515" t="s">
        <v>498</v>
      </c>
      <c r="C18083" s="52">
        <v>222416.632134571</v>
      </c>
      <c r="D18083" s="56">
        <v>-1.8720907919849743E-2</v>
      </c>
      <c r="E18083" s="224" t="s">
        <v>2</v>
      </c>
      <c r="F18083" s="515" t="s">
        <v>19256</v>
      </c>
      <c r="G18083" s="52">
        <v>409148.42014408502</v>
      </c>
      <c r="H18083" s="56">
        <v>7.8978649149100522E-2</v>
      </c>
      <c r="I18083" s="224" t="s">
        <v>2</v>
      </c>
    </row>
    <row r="18084" spans="1:9" x14ac:dyDescent="0.25">
      <c r="A18084" s="515">
        <v>53059</v>
      </c>
      <c r="B18084" s="515" t="s">
        <v>955</v>
      </c>
      <c r="C18084" s="52">
        <v>344061.00731860998</v>
      </c>
      <c r="D18084" s="56">
        <v>3.5575315328466244E-2</v>
      </c>
      <c r="E18084" s="224" t="s">
        <v>2</v>
      </c>
      <c r="F18084" s="515" t="s">
        <v>19257</v>
      </c>
      <c r="G18084" s="52">
        <v>337168.69518266403</v>
      </c>
      <c r="H18084" s="56">
        <v>0.12304700846669557</v>
      </c>
      <c r="I18084" s="224" t="s">
        <v>2</v>
      </c>
    </row>
    <row r="18085" spans="1:9" x14ac:dyDescent="0.25">
      <c r="A18085" s="515">
        <v>75760</v>
      </c>
      <c r="B18085" s="515" t="s">
        <v>1035</v>
      </c>
      <c r="C18085" s="52">
        <v>157334.33100767399</v>
      </c>
      <c r="D18085" s="56">
        <v>9.3636762458768966E-3</v>
      </c>
      <c r="E18085" s="224" t="s">
        <v>2</v>
      </c>
      <c r="F18085" s="515" t="s">
        <v>19258</v>
      </c>
      <c r="G18085" s="52">
        <v>81283.342228916896</v>
      </c>
      <c r="H18085" s="56">
        <v>1.7848982115771846E-2</v>
      </c>
      <c r="I18085" s="224" t="s">
        <v>2</v>
      </c>
    </row>
    <row r="18086" spans="1:9" x14ac:dyDescent="0.25">
      <c r="A18086" s="515">
        <v>16041</v>
      </c>
      <c r="B18086" s="515" t="s">
        <v>297</v>
      </c>
      <c r="C18086" s="52">
        <v>151994.368262712</v>
      </c>
      <c r="D18086" s="56">
        <v>7.7231339745793548E-2</v>
      </c>
      <c r="E18086" s="224" t="s">
        <v>2</v>
      </c>
      <c r="F18086" s="515" t="s">
        <v>19259</v>
      </c>
      <c r="G18086" s="52">
        <v>175812.677993458</v>
      </c>
      <c r="H18086" s="56">
        <v>6.587371449991905E-2</v>
      </c>
      <c r="I18086" s="224" t="s">
        <v>2</v>
      </c>
    </row>
    <row r="18087" spans="1:9" x14ac:dyDescent="0.25">
      <c r="A18087" s="515">
        <v>39079</v>
      </c>
      <c r="B18087" s="515" t="s">
        <v>851</v>
      </c>
      <c r="C18087" s="52">
        <v>62604.086174599201</v>
      </c>
      <c r="D18087" s="56">
        <v>-9.7831917900789878E-2</v>
      </c>
      <c r="E18087" s="224" t="s">
        <v>2</v>
      </c>
      <c r="F18087" s="515" t="s">
        <v>19260</v>
      </c>
      <c r="G18087" s="52">
        <v>89324.805777524205</v>
      </c>
      <c r="H18087" s="56">
        <v>0</v>
      </c>
      <c r="I18087" s="224" t="s">
        <v>2</v>
      </c>
    </row>
    <row r="18088" spans="1:9" x14ac:dyDescent="0.25">
      <c r="A18088" s="515">
        <v>28435</v>
      </c>
      <c r="B18088" s="515" t="s">
        <v>1038</v>
      </c>
      <c r="C18088" s="52">
        <v>202737.829138014</v>
      </c>
      <c r="D18088" s="56">
        <v>0.1197092703002138</v>
      </c>
      <c r="E18088" s="224" t="s">
        <v>2</v>
      </c>
      <c r="F18088" s="515" t="s">
        <v>19261</v>
      </c>
      <c r="G18088" s="52">
        <v>102097.606085573</v>
      </c>
      <c r="H18088" s="56">
        <v>0.12081096046694616</v>
      </c>
      <c r="I18088" s="224" t="s">
        <v>2</v>
      </c>
    </row>
    <row r="18089" spans="1:9" x14ac:dyDescent="0.25">
      <c r="A18089" s="515">
        <v>27231</v>
      </c>
      <c r="B18089" s="515" t="s">
        <v>467</v>
      </c>
      <c r="C18089" s="52">
        <v>307768.44679163198</v>
      </c>
      <c r="D18089" s="56">
        <v>0.13428767827639987</v>
      </c>
      <c r="E18089" s="224" t="s">
        <v>2</v>
      </c>
      <c r="F18089" s="515" t="s">
        <v>19262</v>
      </c>
      <c r="G18089" s="52">
        <v>758899.00049953104</v>
      </c>
      <c r="H18089" s="56">
        <v>0.11856958396176966</v>
      </c>
      <c r="I18089" s="224" t="s">
        <v>2</v>
      </c>
    </row>
    <row r="18090" spans="1:9" x14ac:dyDescent="0.25">
      <c r="A18090" s="515">
        <v>43148</v>
      </c>
      <c r="B18090" s="515" t="s">
        <v>345</v>
      </c>
      <c r="C18090" s="52">
        <v>253218.913764025</v>
      </c>
      <c r="D18090" s="56">
        <v>0.11622532165553397</v>
      </c>
      <c r="E18090" s="224" t="s">
        <v>2</v>
      </c>
      <c r="F18090" s="515" t="s">
        <v>19263</v>
      </c>
      <c r="G18090" s="52">
        <v>46631.239647505303</v>
      </c>
      <c r="H18090" s="56">
        <v>-4.3628750426882822E-2</v>
      </c>
      <c r="I18090" s="224" t="s">
        <v>2</v>
      </c>
    </row>
    <row r="18091" spans="1:9" x14ac:dyDescent="0.25">
      <c r="A18091" s="515">
        <v>82225</v>
      </c>
      <c r="C18091" s="52">
        <v>161260.70965595101</v>
      </c>
      <c r="D18091" s="56">
        <v>6.7874121188979605E-2</v>
      </c>
      <c r="E18091" s="224" t="s">
        <v>2</v>
      </c>
      <c r="F18091" s="515" t="s">
        <v>19264</v>
      </c>
      <c r="G18091" s="52">
        <v>173250.51009141901</v>
      </c>
      <c r="H18091" s="56">
        <v>9.1329202082074387E-2</v>
      </c>
      <c r="I18091" s="224" t="s">
        <v>2</v>
      </c>
    </row>
    <row r="18092" spans="1:9" x14ac:dyDescent="0.25">
      <c r="A18092" s="515">
        <v>79086</v>
      </c>
      <c r="B18092" s="515" t="s">
        <v>1113</v>
      </c>
      <c r="C18092" s="52">
        <v>122172.891204621</v>
      </c>
      <c r="D18092" s="56">
        <v>5.6497537614867067E-2</v>
      </c>
      <c r="E18092" s="224" t="s">
        <v>2</v>
      </c>
      <c r="F18092" s="515" t="s">
        <v>19265</v>
      </c>
      <c r="G18092" s="52">
        <v>315620.08284212003</v>
      </c>
      <c r="H18092" s="56">
        <v>9.5614119708547871E-2</v>
      </c>
      <c r="I18092" s="224" t="s">
        <v>2</v>
      </c>
    </row>
    <row r="18093" spans="1:9" x14ac:dyDescent="0.25">
      <c r="A18093" s="515">
        <v>46978</v>
      </c>
      <c r="B18093" s="515" t="s">
        <v>391</v>
      </c>
      <c r="C18093" s="52">
        <v>140256.459712804</v>
      </c>
      <c r="D18093" s="56">
        <v>7.4115948492611841E-2</v>
      </c>
      <c r="E18093" s="224" t="s">
        <v>2</v>
      </c>
      <c r="F18093" s="515" t="s">
        <v>19266</v>
      </c>
      <c r="G18093" s="52">
        <v>93825.182333950303</v>
      </c>
      <c r="H18093" s="56">
        <v>1.1922897834079583E-3</v>
      </c>
      <c r="I18093" s="224" t="s">
        <v>2</v>
      </c>
    </row>
    <row r="18094" spans="1:9" x14ac:dyDescent="0.25">
      <c r="A18094" s="515">
        <v>14516</v>
      </c>
      <c r="B18094" s="515" t="s">
        <v>337</v>
      </c>
      <c r="C18094" s="52">
        <v>151413.83523862399</v>
      </c>
      <c r="D18094" s="56">
        <v>7.4923886541592974E-2</v>
      </c>
      <c r="E18094" s="224" t="s">
        <v>2</v>
      </c>
      <c r="F18094" s="515" t="s">
        <v>19267</v>
      </c>
      <c r="G18094" s="52">
        <v>483148.38940100401</v>
      </c>
      <c r="H18094" s="56">
        <v>3.4525959072076014E-2</v>
      </c>
      <c r="I18094" s="224" t="s">
        <v>2</v>
      </c>
    </row>
    <row r="18095" spans="1:9" x14ac:dyDescent="0.25">
      <c r="A18095" s="515">
        <v>83822</v>
      </c>
      <c r="B18095" s="515" t="s">
        <v>623</v>
      </c>
      <c r="C18095" s="52">
        <v>433639.554093001</v>
      </c>
      <c r="D18095" s="56">
        <v>5.6966683245715369E-2</v>
      </c>
      <c r="E18095" s="224" t="s">
        <v>2</v>
      </c>
      <c r="F18095" s="515" t="s">
        <v>19268</v>
      </c>
      <c r="G18095" s="52">
        <v>214446.44385678699</v>
      </c>
      <c r="H18095" s="56">
        <v>5.2119970708775595E-2</v>
      </c>
      <c r="I18095" s="224" t="s">
        <v>2</v>
      </c>
    </row>
    <row r="18096" spans="1:9" x14ac:dyDescent="0.25">
      <c r="A18096" s="515">
        <v>91917</v>
      </c>
      <c r="B18096" s="515" t="s">
        <v>396</v>
      </c>
      <c r="C18096" s="52">
        <v>631291.05597607698</v>
      </c>
      <c r="D18096" s="56">
        <v>5.63343876954931E-2</v>
      </c>
      <c r="E18096" s="224" t="s">
        <v>2</v>
      </c>
      <c r="F18096" s="515" t="s">
        <v>19269</v>
      </c>
      <c r="G18096" s="52">
        <v>207435.045418072</v>
      </c>
      <c r="H18096" s="56">
        <v>4.784817746390975E-2</v>
      </c>
      <c r="I18096" s="224" t="s">
        <v>2</v>
      </c>
    </row>
    <row r="18097" spans="1:9" x14ac:dyDescent="0.25">
      <c r="A18097" s="515">
        <v>67882</v>
      </c>
      <c r="B18097" s="515" t="s">
        <v>809</v>
      </c>
      <c r="C18097" s="52">
        <v>199903.198358561</v>
      </c>
      <c r="D18097" s="56">
        <v>9.3027121862866088E-2</v>
      </c>
      <c r="E18097" s="224" t="s">
        <v>2</v>
      </c>
      <c r="F18097" s="515" t="s">
        <v>19270</v>
      </c>
      <c r="G18097" s="52">
        <v>124026.38166347799</v>
      </c>
      <c r="H18097" s="56">
        <v>0.18551587401919042</v>
      </c>
      <c r="I18097" s="224" t="s">
        <v>2</v>
      </c>
    </row>
    <row r="18098" spans="1:9" x14ac:dyDescent="0.25">
      <c r="A18098" s="515">
        <v>72127</v>
      </c>
      <c r="C18098" s="52">
        <v>119435.067919194</v>
      </c>
      <c r="D18098" s="56">
        <v>3.6706452173626641E-2</v>
      </c>
      <c r="E18098" s="224" t="s">
        <v>2</v>
      </c>
      <c r="F18098" s="515" t="s">
        <v>19271</v>
      </c>
      <c r="G18098" s="52">
        <v>118824.98261970701</v>
      </c>
      <c r="H18098" s="56">
        <v>-8.2927894245409005E-4</v>
      </c>
      <c r="I18098" s="224" t="s">
        <v>2</v>
      </c>
    </row>
    <row r="18099" spans="1:9" x14ac:dyDescent="0.25">
      <c r="A18099" s="515">
        <v>58045</v>
      </c>
      <c r="C18099" s="52">
        <v>189157.946966438</v>
      </c>
      <c r="D18099" s="56">
        <v>5.5254945903849152E-3</v>
      </c>
      <c r="E18099" s="224" t="s">
        <v>2</v>
      </c>
      <c r="F18099" s="515" t="s">
        <v>19272</v>
      </c>
      <c r="G18099" s="52">
        <v>195691.17922815899</v>
      </c>
      <c r="H18099" s="56">
        <v>0.2143730394561722</v>
      </c>
      <c r="I18099" s="224" t="s">
        <v>2</v>
      </c>
    </row>
    <row r="18100" spans="1:9" x14ac:dyDescent="0.25">
      <c r="A18100" s="515">
        <v>49271</v>
      </c>
      <c r="B18100" s="515" t="s">
        <v>971</v>
      </c>
      <c r="C18100" s="52">
        <v>170299.062282511</v>
      </c>
      <c r="D18100" s="56">
        <v>6.6594364144630533E-2</v>
      </c>
      <c r="E18100" s="224" t="s">
        <v>2</v>
      </c>
      <c r="F18100" s="515" t="s">
        <v>19273</v>
      </c>
      <c r="G18100" s="52">
        <v>187398.426339506</v>
      </c>
      <c r="H18100" s="56">
        <v>0</v>
      </c>
      <c r="I18100" s="224" t="s">
        <v>2</v>
      </c>
    </row>
    <row r="18101" spans="1:9" x14ac:dyDescent="0.25">
      <c r="A18101" s="515">
        <v>10917</v>
      </c>
      <c r="B18101" s="515" t="s">
        <v>529</v>
      </c>
      <c r="C18101" s="52">
        <v>483622.01491585397</v>
      </c>
      <c r="D18101" s="56">
        <v>7.2749166648749419E-2</v>
      </c>
      <c r="E18101" s="224" t="s">
        <v>2</v>
      </c>
      <c r="F18101" s="515" t="s">
        <v>19274</v>
      </c>
      <c r="G18101" s="52">
        <v>165964.13484121699</v>
      </c>
      <c r="H18101" s="56">
        <v>8.9908275467002696E-2</v>
      </c>
      <c r="I18101" s="224" t="s">
        <v>2</v>
      </c>
    </row>
    <row r="18102" spans="1:9" x14ac:dyDescent="0.25">
      <c r="A18102" s="515">
        <v>59041</v>
      </c>
      <c r="B18102" s="515" t="s">
        <v>637</v>
      </c>
      <c r="C18102" s="52">
        <v>422741.56715021998</v>
      </c>
      <c r="D18102" s="56">
        <v>6.183910897661471E-2</v>
      </c>
      <c r="E18102" s="224" t="s">
        <v>2</v>
      </c>
      <c r="F18102" s="515" t="s">
        <v>19275</v>
      </c>
      <c r="G18102" s="52">
        <v>289190.81337465299</v>
      </c>
      <c r="H18102" s="56">
        <v>6.3792750358529535E-2</v>
      </c>
      <c r="I18102" s="224" t="s">
        <v>2</v>
      </c>
    </row>
    <row r="18103" spans="1:9" x14ac:dyDescent="0.25">
      <c r="A18103" s="515">
        <v>40119</v>
      </c>
      <c r="C18103" s="52">
        <v>198337.62508042</v>
      </c>
      <c r="D18103" s="56">
        <v>0.2305488604477699</v>
      </c>
      <c r="E18103" s="224" t="s">
        <v>2</v>
      </c>
      <c r="F18103" s="515" t="s">
        <v>19276</v>
      </c>
      <c r="G18103" s="52">
        <v>237732.53698561399</v>
      </c>
      <c r="H18103" s="56">
        <v>0.22536726494888687</v>
      </c>
      <c r="I18103" s="224" t="s">
        <v>2</v>
      </c>
    </row>
    <row r="18104" spans="1:9" x14ac:dyDescent="0.25">
      <c r="A18104" s="515">
        <v>93249</v>
      </c>
      <c r="B18104" s="515" t="s">
        <v>419</v>
      </c>
      <c r="C18104" s="52">
        <v>243878.99846657601</v>
      </c>
      <c r="D18104" s="56">
        <v>0.1161500645082154</v>
      </c>
      <c r="E18104" s="224" t="s">
        <v>2</v>
      </c>
      <c r="F18104" s="515" t="s">
        <v>19277</v>
      </c>
      <c r="G18104" s="52">
        <v>104569.423631998</v>
      </c>
      <c r="H18104" s="56">
        <v>9.1810680945825188E-2</v>
      </c>
      <c r="I18104" s="224" t="s">
        <v>2</v>
      </c>
    </row>
    <row r="18105" spans="1:9" x14ac:dyDescent="0.25">
      <c r="A18105" s="515">
        <v>85638</v>
      </c>
      <c r="B18105" s="515" t="s">
        <v>374</v>
      </c>
      <c r="C18105" s="52">
        <v>206832.71678078</v>
      </c>
      <c r="D18105" s="56">
        <v>9.3727021843776709E-2</v>
      </c>
      <c r="E18105" s="224" t="s">
        <v>2</v>
      </c>
      <c r="F18105" s="515" t="s">
        <v>19278</v>
      </c>
      <c r="G18105" s="52">
        <v>221237.45769116201</v>
      </c>
      <c r="H18105" s="56">
        <v>0</v>
      </c>
      <c r="I18105" s="224" t="s">
        <v>2</v>
      </c>
    </row>
    <row r="18106" spans="1:9" x14ac:dyDescent="0.25">
      <c r="A18106" s="515">
        <v>24555</v>
      </c>
      <c r="C18106" s="52">
        <v>169670.73608359499</v>
      </c>
      <c r="D18106" s="56">
        <v>6.2516449338837918E-2</v>
      </c>
      <c r="E18106" s="224" t="s">
        <v>2</v>
      </c>
      <c r="F18106" s="515" t="s">
        <v>19279</v>
      </c>
      <c r="G18106" s="52">
        <v>94843.3644568171</v>
      </c>
      <c r="H18106" s="56">
        <v>0.28413301838600019</v>
      </c>
      <c r="I18106" s="224" t="s">
        <v>2</v>
      </c>
    </row>
    <row r="18107" spans="1:9" x14ac:dyDescent="0.25">
      <c r="A18107" s="515">
        <v>77417</v>
      </c>
      <c r="B18107" s="515" t="s">
        <v>314</v>
      </c>
      <c r="C18107" s="52">
        <v>233599.239840889</v>
      </c>
      <c r="D18107" s="56">
        <v>7.4683373720841204E-2</v>
      </c>
      <c r="E18107" s="224" t="s">
        <v>2</v>
      </c>
      <c r="F18107" s="515" t="s">
        <v>19280</v>
      </c>
      <c r="G18107" s="52">
        <v>90481.081452527695</v>
      </c>
      <c r="H18107" s="56">
        <v>0.10093649138530983</v>
      </c>
      <c r="I18107" s="224" t="s">
        <v>2</v>
      </c>
    </row>
    <row r="18108" spans="1:9" x14ac:dyDescent="0.25">
      <c r="A18108" s="515">
        <v>59858</v>
      </c>
      <c r="C18108" s="52">
        <v>417069.652623198</v>
      </c>
      <c r="D18108" s="56">
        <v>8.2703720962191044E-2</v>
      </c>
      <c r="E18108" s="224" t="s">
        <v>2</v>
      </c>
      <c r="F18108" s="515" t="s">
        <v>19281</v>
      </c>
      <c r="G18108" s="52">
        <v>49193.862019223801</v>
      </c>
      <c r="H18108" s="56">
        <v>0</v>
      </c>
      <c r="I18108" s="224" t="s">
        <v>2</v>
      </c>
    </row>
    <row r="18109" spans="1:9" x14ac:dyDescent="0.25">
      <c r="A18109" s="515">
        <v>28119</v>
      </c>
      <c r="B18109" s="515" t="s">
        <v>360</v>
      </c>
      <c r="C18109" s="52">
        <v>69135.506369478404</v>
      </c>
      <c r="D18109" s="56">
        <v>0.22391854065082287</v>
      </c>
      <c r="E18109" s="224" t="s">
        <v>2</v>
      </c>
      <c r="F18109" s="515" t="s">
        <v>19282</v>
      </c>
      <c r="G18109" s="52">
        <v>315037.73304984398</v>
      </c>
      <c r="H18109" s="56">
        <v>8.836581737152821E-2</v>
      </c>
      <c r="I18109" s="224" t="s">
        <v>2</v>
      </c>
    </row>
    <row r="18110" spans="1:9" x14ac:dyDescent="0.25">
      <c r="A18110" s="515">
        <v>4085</v>
      </c>
      <c r="B18110" s="515" t="s">
        <v>570</v>
      </c>
      <c r="C18110" s="52">
        <v>359670.76528351603</v>
      </c>
      <c r="D18110" s="56">
        <v>5.5677394865310113E-2</v>
      </c>
      <c r="E18110" s="224" t="s">
        <v>2</v>
      </c>
      <c r="F18110" s="515" t="s">
        <v>19283</v>
      </c>
      <c r="G18110" s="52">
        <v>283849.47234398499</v>
      </c>
      <c r="H18110" s="56">
        <v>1.8015013459923544E-2</v>
      </c>
      <c r="I18110" s="224" t="s">
        <v>2</v>
      </c>
    </row>
    <row r="18111" spans="1:9" x14ac:dyDescent="0.25">
      <c r="A18111" s="515">
        <v>48652</v>
      </c>
      <c r="B18111" s="515" t="s">
        <v>1121</v>
      </c>
      <c r="C18111" s="52">
        <v>167637.94967280701</v>
      </c>
      <c r="D18111" s="56">
        <v>6.1226939984769163E-2</v>
      </c>
      <c r="E18111" s="224" t="s">
        <v>2</v>
      </c>
      <c r="F18111" s="515" t="s">
        <v>19284</v>
      </c>
      <c r="G18111" s="52">
        <v>163781.50197327801</v>
      </c>
      <c r="H18111" s="56">
        <v>0.1260227350233003</v>
      </c>
      <c r="I18111" s="224" t="s">
        <v>2</v>
      </c>
    </row>
    <row r="18112" spans="1:9" x14ac:dyDescent="0.25">
      <c r="A18112" s="515">
        <v>13425</v>
      </c>
      <c r="B18112" s="515" t="s">
        <v>543</v>
      </c>
      <c r="C18112" s="52">
        <v>161542.68306437199</v>
      </c>
      <c r="D18112" s="56">
        <v>0.10937076575519833</v>
      </c>
      <c r="E18112" s="224" t="s">
        <v>2</v>
      </c>
      <c r="F18112" s="515" t="s">
        <v>19285</v>
      </c>
      <c r="G18112" s="52">
        <v>349734.28677860001</v>
      </c>
      <c r="H18112" s="56">
        <v>8.5164772719858228E-2</v>
      </c>
      <c r="I18112" s="224" t="s">
        <v>2</v>
      </c>
    </row>
    <row r="18113" spans="1:9" x14ac:dyDescent="0.25">
      <c r="A18113" s="515">
        <v>79734</v>
      </c>
      <c r="C18113" s="52">
        <v>213579.81961444099</v>
      </c>
      <c r="D18113" s="56">
        <v>5.7967725485985173E-2</v>
      </c>
      <c r="E18113" s="224" t="s">
        <v>2</v>
      </c>
      <c r="F18113" s="515" t="s">
        <v>19286</v>
      </c>
      <c r="G18113" s="52">
        <v>165364.755120424</v>
      </c>
      <c r="H18113" s="56">
        <v>4.6382412864067794E-2</v>
      </c>
      <c r="I18113" s="224" t="s">
        <v>2</v>
      </c>
    </row>
    <row r="18114" spans="1:9" x14ac:dyDescent="0.25">
      <c r="A18114" s="515">
        <v>50864</v>
      </c>
      <c r="C18114" s="52">
        <v>103189.756368662</v>
      </c>
      <c r="D18114" s="56">
        <v>6.7148865010500894E-2</v>
      </c>
      <c r="E18114" s="224" t="s">
        <v>2</v>
      </c>
      <c r="F18114" s="515" t="s">
        <v>19287</v>
      </c>
      <c r="G18114" s="52">
        <v>204631.24705882301</v>
      </c>
      <c r="H18114" s="56">
        <v>0</v>
      </c>
      <c r="I18114" s="224" t="s">
        <v>2</v>
      </c>
    </row>
    <row r="18115" spans="1:9" x14ac:dyDescent="0.25">
      <c r="A18115" s="515">
        <v>40402</v>
      </c>
      <c r="C18115" s="52">
        <v>106722.414345351</v>
      </c>
      <c r="D18115" s="56">
        <v>0.17454542468908557</v>
      </c>
      <c r="E18115" s="224" t="s">
        <v>2</v>
      </c>
      <c r="F18115" s="515" t="s">
        <v>19288</v>
      </c>
      <c r="G18115" s="52">
        <v>245558.14598575199</v>
      </c>
      <c r="H18115" s="56">
        <v>0.10359278922906008</v>
      </c>
      <c r="I18115" s="224" t="s">
        <v>2</v>
      </c>
    </row>
    <row r="18116" spans="1:9" x14ac:dyDescent="0.25">
      <c r="A18116" s="515">
        <v>52211</v>
      </c>
      <c r="C18116" s="52">
        <v>170705.354016508</v>
      </c>
      <c r="D18116" s="56">
        <v>8.3175263020544649E-2</v>
      </c>
      <c r="E18116" s="224" t="s">
        <v>2</v>
      </c>
      <c r="F18116" s="515" t="s">
        <v>19289</v>
      </c>
      <c r="G18116" s="52">
        <v>71455.327586206899</v>
      </c>
      <c r="H18116" s="56">
        <v>0</v>
      </c>
      <c r="I18116" s="224" t="s">
        <v>2</v>
      </c>
    </row>
    <row r="18117" spans="1:9" x14ac:dyDescent="0.25">
      <c r="A18117" s="515">
        <v>46732</v>
      </c>
      <c r="B18117" s="515" t="s">
        <v>1058</v>
      </c>
      <c r="C18117" s="52">
        <v>191029.74716856601</v>
      </c>
      <c r="D18117" s="56">
        <v>0.10385750065468274</v>
      </c>
      <c r="E18117" s="224" t="s">
        <v>2</v>
      </c>
      <c r="F18117" s="515" t="s">
        <v>19290</v>
      </c>
      <c r="G18117" s="52">
        <v>139769.16800000001</v>
      </c>
      <c r="H18117" s="56">
        <v>0</v>
      </c>
      <c r="I18117" s="224" t="s">
        <v>2</v>
      </c>
    </row>
    <row r="18118" spans="1:9" x14ac:dyDescent="0.25">
      <c r="A18118" s="515">
        <v>65682</v>
      </c>
      <c r="C18118" s="52">
        <v>146046.541700609</v>
      </c>
      <c r="D18118" s="56">
        <v>0.10028658836159421</v>
      </c>
      <c r="E18118" s="224" t="s">
        <v>2</v>
      </c>
      <c r="F18118" s="515" t="s">
        <v>19291</v>
      </c>
      <c r="G18118" s="52">
        <v>95980.776488012096</v>
      </c>
      <c r="H18118" s="56">
        <v>0.12292236633861009</v>
      </c>
      <c r="I18118" s="224" t="s">
        <v>2</v>
      </c>
    </row>
    <row r="18119" spans="1:9" x14ac:dyDescent="0.25">
      <c r="A18119" s="515">
        <v>59823</v>
      </c>
      <c r="B18119" s="515" t="s">
        <v>1060</v>
      </c>
      <c r="C18119" s="52">
        <v>554074.37917919899</v>
      </c>
      <c r="D18119" s="56">
        <v>4.825307278548123E-2</v>
      </c>
      <c r="E18119" s="224" t="s">
        <v>2</v>
      </c>
      <c r="F18119" s="515" t="s">
        <v>19292</v>
      </c>
      <c r="G18119" s="52">
        <v>118770.37876888301</v>
      </c>
      <c r="H18119" s="56">
        <v>6.7540525378216282E-2</v>
      </c>
      <c r="I18119" s="224" t="s">
        <v>2</v>
      </c>
    </row>
    <row r="18120" spans="1:9" x14ac:dyDescent="0.25">
      <c r="A18120" s="515">
        <v>58042</v>
      </c>
      <c r="B18120" s="515" t="s">
        <v>928</v>
      </c>
      <c r="C18120" s="52">
        <v>301039.97137520602</v>
      </c>
      <c r="D18120" s="56">
        <v>5.3770202194199201E-2</v>
      </c>
      <c r="E18120" s="224" t="s">
        <v>2</v>
      </c>
      <c r="F18120" s="515" t="s">
        <v>19293</v>
      </c>
      <c r="G18120" s="52">
        <v>145939.91549295699</v>
      </c>
      <c r="H18120" s="56">
        <v>0</v>
      </c>
      <c r="I18120" s="224" t="s">
        <v>2</v>
      </c>
    </row>
    <row r="18121" spans="1:9" x14ac:dyDescent="0.25">
      <c r="A18121" s="515">
        <v>49648</v>
      </c>
      <c r="C18121" s="52">
        <v>636503.25944021298</v>
      </c>
      <c r="D18121" s="56">
        <v>0.1165869669807905</v>
      </c>
      <c r="E18121" s="224" t="s">
        <v>2</v>
      </c>
      <c r="F18121" s="515" t="s">
        <v>19294</v>
      </c>
      <c r="G18121" s="52">
        <v>195588.54010024699</v>
      </c>
      <c r="H18121" s="56">
        <v>7.3411933927852391E-2</v>
      </c>
      <c r="I18121" s="224" t="s">
        <v>2</v>
      </c>
    </row>
    <row r="18122" spans="1:9" x14ac:dyDescent="0.25">
      <c r="A18122" s="515">
        <v>4257</v>
      </c>
      <c r="C18122" s="52">
        <v>157396.20691820499</v>
      </c>
      <c r="D18122" s="56">
        <v>0.10381436130016826</v>
      </c>
      <c r="E18122" s="224" t="s">
        <v>2</v>
      </c>
      <c r="F18122" s="515" t="s">
        <v>19295</v>
      </c>
      <c r="G18122" s="52">
        <v>124573.96723403499</v>
      </c>
      <c r="H18122" s="56">
        <v>0</v>
      </c>
      <c r="I18122" s="224" t="s">
        <v>2</v>
      </c>
    </row>
    <row r="18123" spans="1:9" x14ac:dyDescent="0.25">
      <c r="A18123" s="515">
        <v>84326</v>
      </c>
      <c r="B18123" s="515" t="s">
        <v>632</v>
      </c>
      <c r="C18123" s="52">
        <v>509904.03596941801</v>
      </c>
      <c r="D18123" s="56">
        <v>0</v>
      </c>
      <c r="E18123" s="224" t="s">
        <v>2</v>
      </c>
      <c r="F18123" s="515" t="s">
        <v>19296</v>
      </c>
      <c r="G18123" s="52">
        <v>239975.47899146599</v>
      </c>
      <c r="H18123" s="56">
        <v>4.7918162021127857E-2</v>
      </c>
      <c r="I18123" s="224" t="s">
        <v>2</v>
      </c>
    </row>
    <row r="18124" spans="1:9" x14ac:dyDescent="0.25">
      <c r="A18124" s="515">
        <v>41043</v>
      </c>
      <c r="B18124" s="515" t="s">
        <v>344</v>
      </c>
      <c r="C18124" s="52">
        <v>190330.68585914301</v>
      </c>
      <c r="D18124" s="56">
        <v>8.9470684024833103E-2</v>
      </c>
      <c r="E18124" s="224" t="s">
        <v>2</v>
      </c>
      <c r="F18124" s="515" t="s">
        <v>19297</v>
      </c>
      <c r="G18124" s="52">
        <v>264615.06210218399</v>
      </c>
      <c r="H18124" s="56">
        <v>7.095768416850215E-2</v>
      </c>
      <c r="I18124" s="224" t="s">
        <v>2</v>
      </c>
    </row>
    <row r="18125" spans="1:9" x14ac:dyDescent="0.25">
      <c r="A18125" s="515">
        <v>65787</v>
      </c>
      <c r="C18125" s="52">
        <v>300197.307258302</v>
      </c>
      <c r="D18125" s="56">
        <v>-2.9373062827237714E-2</v>
      </c>
      <c r="E18125" s="224" t="s">
        <v>2</v>
      </c>
      <c r="F18125" s="515" t="s">
        <v>19298</v>
      </c>
      <c r="G18125" s="52">
        <v>370910.84234112402</v>
      </c>
      <c r="H18125" s="56">
        <v>8.6144356623852447E-2</v>
      </c>
      <c r="I18125" s="224" t="s">
        <v>2</v>
      </c>
    </row>
    <row r="18126" spans="1:9" x14ac:dyDescent="0.25">
      <c r="A18126" s="515">
        <v>64136</v>
      </c>
      <c r="B18126" s="515" t="s">
        <v>455</v>
      </c>
      <c r="C18126" s="52">
        <v>233983.56529475501</v>
      </c>
      <c r="D18126" s="56">
        <v>6.9919820795654231E-2</v>
      </c>
      <c r="E18126" s="224" t="s">
        <v>2</v>
      </c>
      <c r="F18126" s="515" t="s">
        <v>19299</v>
      </c>
      <c r="G18126" s="52">
        <v>344183.68388270098</v>
      </c>
      <c r="H18126" s="56">
        <v>6.9255964249681098E-2</v>
      </c>
      <c r="I18126" s="224" t="s">
        <v>2</v>
      </c>
    </row>
    <row r="18127" spans="1:9" x14ac:dyDescent="0.25">
      <c r="A18127" s="515">
        <v>94511</v>
      </c>
      <c r="B18127" s="515" t="s">
        <v>593</v>
      </c>
      <c r="C18127" s="52">
        <v>637644.17870364804</v>
      </c>
      <c r="D18127" s="56">
        <v>1.8668528756161366E-2</v>
      </c>
      <c r="E18127" s="224" t="s">
        <v>2</v>
      </c>
      <c r="F18127" s="515" t="s">
        <v>19300</v>
      </c>
      <c r="G18127" s="52">
        <v>336946.926317112</v>
      </c>
      <c r="H18127" s="56">
        <v>0.13003053146011459</v>
      </c>
      <c r="I18127" s="224" t="s">
        <v>2</v>
      </c>
    </row>
    <row r="18128" spans="1:9" x14ac:dyDescent="0.25">
      <c r="A18128" s="515">
        <v>56050</v>
      </c>
      <c r="B18128" s="515" t="s">
        <v>532</v>
      </c>
      <c r="C18128" s="52">
        <v>292772.78928349202</v>
      </c>
      <c r="D18128" s="56">
        <v>5.5913817310913279E-2</v>
      </c>
      <c r="E18128" s="224" t="s">
        <v>2</v>
      </c>
      <c r="F18128" s="515" t="s">
        <v>19301</v>
      </c>
      <c r="G18128" s="52">
        <v>244342.596178284</v>
      </c>
      <c r="H18128" s="56">
        <v>4.1904683147676043E-2</v>
      </c>
      <c r="I18128" s="224" t="s">
        <v>2</v>
      </c>
    </row>
    <row r="18129" spans="1:9" x14ac:dyDescent="0.25">
      <c r="A18129" s="515">
        <v>16341</v>
      </c>
      <c r="B18129" s="515" t="s">
        <v>349</v>
      </c>
      <c r="C18129" s="52">
        <v>115692.886085619</v>
      </c>
      <c r="D18129" s="56">
        <v>8.5206253859144043E-2</v>
      </c>
      <c r="E18129" s="224" t="s">
        <v>2</v>
      </c>
      <c r="F18129" s="515" t="s">
        <v>19302</v>
      </c>
      <c r="G18129" s="52">
        <v>324531.30564544501</v>
      </c>
      <c r="H18129" s="56">
        <v>0.10121851612237563</v>
      </c>
      <c r="I18129" s="224" t="s">
        <v>2</v>
      </c>
    </row>
    <row r="18130" spans="1:9" x14ac:dyDescent="0.25">
      <c r="A18130" s="515">
        <v>1034</v>
      </c>
      <c r="B18130" s="515" t="s">
        <v>575</v>
      </c>
      <c r="C18130" s="52">
        <v>348622.995287803</v>
      </c>
      <c r="D18130" s="56">
        <v>9.5781657098432588E-2</v>
      </c>
      <c r="E18130" s="224" t="s">
        <v>2</v>
      </c>
      <c r="F18130" s="515" t="s">
        <v>19303</v>
      </c>
      <c r="G18130" s="52">
        <v>69839.558139534798</v>
      </c>
      <c r="H18130" s="56">
        <v>0</v>
      </c>
      <c r="I18130" s="224" t="s">
        <v>2</v>
      </c>
    </row>
    <row r="18131" spans="1:9" x14ac:dyDescent="0.25">
      <c r="A18131" s="515">
        <v>27884</v>
      </c>
      <c r="B18131" s="515" t="s">
        <v>1101</v>
      </c>
      <c r="C18131" s="52">
        <v>198248.658561661</v>
      </c>
      <c r="D18131" s="56">
        <v>0.13679643270403086</v>
      </c>
      <c r="E18131" s="224" t="s">
        <v>2</v>
      </c>
      <c r="F18131" s="515" t="s">
        <v>19304</v>
      </c>
      <c r="G18131" s="52">
        <v>54726.6471057487</v>
      </c>
      <c r="H18131" s="56">
        <v>0.21211383051051136</v>
      </c>
      <c r="I18131" s="224" t="s">
        <v>2</v>
      </c>
    </row>
    <row r="18132" spans="1:9" x14ac:dyDescent="0.25">
      <c r="A18132" s="515">
        <v>18053</v>
      </c>
      <c r="B18132" s="515" t="s">
        <v>327</v>
      </c>
      <c r="C18132" s="52">
        <v>326019.36585107399</v>
      </c>
      <c r="D18132" s="56">
        <v>6.5417201847621856E-2</v>
      </c>
      <c r="E18132" s="224" t="s">
        <v>2</v>
      </c>
      <c r="F18132" s="515" t="s">
        <v>19305</v>
      </c>
      <c r="G18132" s="52">
        <v>140590.079143746</v>
      </c>
      <c r="H18132" s="56">
        <v>4.3637904455155349E-2</v>
      </c>
      <c r="I18132" s="224" t="s">
        <v>2</v>
      </c>
    </row>
    <row r="18133" spans="1:9" x14ac:dyDescent="0.25">
      <c r="A18133" s="515">
        <v>20714</v>
      </c>
      <c r="B18133" s="515" t="s">
        <v>321</v>
      </c>
      <c r="C18133" s="52">
        <v>360897.555846303</v>
      </c>
      <c r="D18133" s="56">
        <v>4.5878547290858988E-2</v>
      </c>
      <c r="E18133" s="224" t="s">
        <v>2</v>
      </c>
      <c r="F18133" s="515" t="s">
        <v>19306</v>
      </c>
      <c r="G18133" s="52">
        <v>418417.90713116003</v>
      </c>
      <c r="H18133" s="56">
        <v>2.5476998774762005E-2</v>
      </c>
      <c r="I18133" s="224" t="s">
        <v>2</v>
      </c>
    </row>
    <row r="18134" spans="1:9" x14ac:dyDescent="0.25">
      <c r="A18134" s="515">
        <v>63620</v>
      </c>
      <c r="C18134" s="52">
        <v>139522.56004166201</v>
      </c>
      <c r="D18134" s="56">
        <v>8.0486025071602074E-2</v>
      </c>
      <c r="E18134" s="224" t="s">
        <v>2</v>
      </c>
      <c r="F18134" s="515" t="s">
        <v>19307</v>
      </c>
      <c r="G18134" s="52">
        <v>285334.80316499399</v>
      </c>
      <c r="H18134" s="56">
        <v>7.8743928333358609E-2</v>
      </c>
      <c r="I18134" s="224" t="s">
        <v>2</v>
      </c>
    </row>
    <row r="18135" spans="1:9" x14ac:dyDescent="0.25">
      <c r="A18135" s="515">
        <v>64491</v>
      </c>
      <c r="C18135" s="52">
        <v>107352.50535273799</v>
      </c>
      <c r="D18135" s="56">
        <v>0.10320801869117163</v>
      </c>
      <c r="E18135" s="224" t="s">
        <v>2</v>
      </c>
      <c r="F18135" s="515" t="s">
        <v>19308</v>
      </c>
      <c r="G18135" s="52">
        <v>238193.69360682199</v>
      </c>
      <c r="H18135" s="56">
        <v>7.8354896306688654E-2</v>
      </c>
      <c r="I18135" s="224" t="s">
        <v>2</v>
      </c>
    </row>
    <row r="18136" spans="1:9" x14ac:dyDescent="0.25">
      <c r="A18136" s="515">
        <v>96041</v>
      </c>
      <c r="C18136" s="52">
        <v>266370.13581663801</v>
      </c>
      <c r="D18136" s="56">
        <v>-7.0927603993181543E-2</v>
      </c>
      <c r="E18136" s="224" t="s">
        <v>2</v>
      </c>
      <c r="F18136" s="515" t="s">
        <v>19309</v>
      </c>
      <c r="G18136" s="52">
        <v>71480.653037454802</v>
      </c>
      <c r="H18136" s="56">
        <v>0</v>
      </c>
      <c r="I18136" s="224" t="s">
        <v>2</v>
      </c>
    </row>
    <row r="18137" spans="1:9" x14ac:dyDescent="0.25">
      <c r="A18137" s="515">
        <v>39662</v>
      </c>
      <c r="B18137" s="515" t="s">
        <v>1118</v>
      </c>
      <c r="C18137" s="52">
        <v>172718.65011713101</v>
      </c>
      <c r="D18137" s="56">
        <v>-1.3729145977780268E-2</v>
      </c>
      <c r="E18137" s="224" t="s">
        <v>2</v>
      </c>
      <c r="F18137" s="515" t="s">
        <v>19310</v>
      </c>
      <c r="G18137" s="52">
        <v>252291.518937872</v>
      </c>
      <c r="H18137" s="56">
        <v>0.15952903298376425</v>
      </c>
      <c r="I18137" s="224" t="s">
        <v>2</v>
      </c>
    </row>
    <row r="18138" spans="1:9" x14ac:dyDescent="0.25">
      <c r="A18138" s="515">
        <v>61376</v>
      </c>
      <c r="B18138" s="515" t="s">
        <v>556</v>
      </c>
      <c r="C18138" s="52">
        <v>105317.240457038</v>
      </c>
      <c r="D18138" s="56">
        <v>1.328196851006095E-2</v>
      </c>
      <c r="E18138" s="224" t="s">
        <v>2</v>
      </c>
      <c r="F18138" s="515" t="s">
        <v>19311</v>
      </c>
      <c r="G18138" s="52">
        <v>149659.17215184201</v>
      </c>
      <c r="H18138" s="56">
        <v>0.12314337409063782</v>
      </c>
      <c r="I18138" s="224" t="s">
        <v>2</v>
      </c>
    </row>
    <row r="18139" spans="1:9" x14ac:dyDescent="0.25">
      <c r="A18139" s="515">
        <v>47634</v>
      </c>
      <c r="C18139" s="52">
        <v>148621.49359045501</v>
      </c>
      <c r="D18139" s="56">
        <v>6.2656325120015316E-2</v>
      </c>
      <c r="E18139" s="224" t="s">
        <v>2</v>
      </c>
      <c r="F18139" s="515" t="s">
        <v>19312</v>
      </c>
      <c r="G18139" s="52">
        <v>218911.488875974</v>
      </c>
      <c r="H18139" s="56">
        <v>0.10602003950820925</v>
      </c>
      <c r="I18139" s="224" t="s">
        <v>2</v>
      </c>
    </row>
    <row r="18140" spans="1:9" x14ac:dyDescent="0.25">
      <c r="A18140" s="515">
        <v>41189</v>
      </c>
      <c r="C18140" s="52">
        <v>108686.40668008701</v>
      </c>
      <c r="D18140" s="56">
        <v>0.18631310438033244</v>
      </c>
      <c r="E18140" s="224" t="s">
        <v>2</v>
      </c>
      <c r="F18140" s="515" t="s">
        <v>19313</v>
      </c>
      <c r="G18140" s="52">
        <v>135864.36996886399</v>
      </c>
      <c r="H18140" s="56">
        <v>3.5965456572385271E-2</v>
      </c>
      <c r="I18140" s="224" t="s">
        <v>2</v>
      </c>
    </row>
    <row r="18141" spans="1:9" x14ac:dyDescent="0.25">
      <c r="A18141" s="515">
        <v>64671</v>
      </c>
      <c r="B18141" s="515" t="s">
        <v>455</v>
      </c>
      <c r="C18141" s="52">
        <v>208487.48042775999</v>
      </c>
      <c r="D18141" s="56">
        <v>4.4605318401220714E-2</v>
      </c>
      <c r="E18141" s="224" t="s">
        <v>2</v>
      </c>
      <c r="F18141" s="515" t="s">
        <v>19314</v>
      </c>
      <c r="G18141" s="52">
        <v>296236.45422070997</v>
      </c>
      <c r="H18141" s="56">
        <v>0.18117408820361158</v>
      </c>
      <c r="I18141" s="224" t="s">
        <v>2</v>
      </c>
    </row>
    <row r="18142" spans="1:9" x14ac:dyDescent="0.25">
      <c r="A18142" s="515">
        <v>59421</v>
      </c>
      <c r="B18142" s="515" t="s">
        <v>373</v>
      </c>
      <c r="C18142" s="52">
        <v>357195.86092920997</v>
      </c>
      <c r="D18142" s="56">
        <v>0.13175449742176598</v>
      </c>
      <c r="E18142" s="224" t="s">
        <v>2</v>
      </c>
      <c r="F18142" s="515" t="s">
        <v>19315</v>
      </c>
      <c r="G18142" s="52">
        <v>390366.76476800599</v>
      </c>
      <c r="H18142" s="56">
        <v>9.1074067591625493E-2</v>
      </c>
      <c r="I18142" s="224" t="s">
        <v>2</v>
      </c>
    </row>
    <row r="18143" spans="1:9" x14ac:dyDescent="0.25">
      <c r="A18143" s="515">
        <v>12173</v>
      </c>
      <c r="B18143" s="515" t="s">
        <v>564</v>
      </c>
      <c r="C18143" s="52">
        <v>311496.46208546602</v>
      </c>
      <c r="D18143" s="56">
        <v>7.956940272716731E-2</v>
      </c>
      <c r="E18143" s="224" t="s">
        <v>2</v>
      </c>
      <c r="F18143" s="515" t="s">
        <v>19316</v>
      </c>
      <c r="G18143" s="52">
        <v>224949.14473684199</v>
      </c>
      <c r="H18143" s="56">
        <v>0</v>
      </c>
      <c r="I18143" s="224" t="s">
        <v>2</v>
      </c>
    </row>
    <row r="18144" spans="1:9" x14ac:dyDescent="0.25">
      <c r="A18144" s="515">
        <v>57793</v>
      </c>
      <c r="B18144" s="515" t="s">
        <v>934</v>
      </c>
      <c r="C18144" s="52">
        <v>324781.30048588401</v>
      </c>
      <c r="D18144" s="56">
        <v>8.4399076532563566E-2</v>
      </c>
      <c r="E18144" s="224" t="s">
        <v>2</v>
      </c>
      <c r="F18144" s="515" t="s">
        <v>19317</v>
      </c>
      <c r="G18144" s="52">
        <v>236088.87645338799</v>
      </c>
      <c r="H18144" s="56">
        <v>2.1242096344939825E-2</v>
      </c>
      <c r="I18144" s="224" t="s">
        <v>2</v>
      </c>
    </row>
    <row r="18145" spans="1:9" x14ac:dyDescent="0.25">
      <c r="A18145" s="515">
        <v>96722</v>
      </c>
      <c r="B18145" s="515" t="s">
        <v>452</v>
      </c>
      <c r="C18145" s="52">
        <v>1240798.41090333</v>
      </c>
      <c r="D18145" s="56">
        <v>0.16515321002344319</v>
      </c>
      <c r="E18145" s="224" t="s">
        <v>2</v>
      </c>
      <c r="F18145" s="515" t="s">
        <v>19318</v>
      </c>
      <c r="G18145" s="52">
        <v>451671.69976519299</v>
      </c>
      <c r="H18145" s="56">
        <v>8.9830258737790929E-3</v>
      </c>
      <c r="I18145" s="224" t="s">
        <v>2</v>
      </c>
    </row>
    <row r="18146" spans="1:9" x14ac:dyDescent="0.25">
      <c r="A18146" s="515">
        <v>43466</v>
      </c>
      <c r="B18146" s="515" t="s">
        <v>300</v>
      </c>
      <c r="C18146" s="52">
        <v>148128.599621256</v>
      </c>
      <c r="D18146" s="56">
        <v>1.8364777678541597E-2</v>
      </c>
      <c r="E18146" s="224" t="s">
        <v>2</v>
      </c>
      <c r="F18146" s="515" t="s">
        <v>19319</v>
      </c>
      <c r="G18146" s="52">
        <v>213118.659296105</v>
      </c>
      <c r="H18146" s="56">
        <v>0.12485887908481495</v>
      </c>
      <c r="I18146" s="224" t="s">
        <v>2</v>
      </c>
    </row>
    <row r="18147" spans="1:9" x14ac:dyDescent="0.25">
      <c r="A18147" s="515">
        <v>52224</v>
      </c>
      <c r="C18147" s="52">
        <v>178606.77691326701</v>
      </c>
      <c r="D18147" s="56">
        <v>5.3547289766417115E-2</v>
      </c>
      <c r="E18147" s="224" t="s">
        <v>2</v>
      </c>
      <c r="F18147" s="515" t="s">
        <v>19320</v>
      </c>
      <c r="G18147" s="52">
        <v>292763.97573677398</v>
      </c>
      <c r="H18147" s="56">
        <v>0.12142373174735334</v>
      </c>
      <c r="I18147" s="224" t="s">
        <v>2</v>
      </c>
    </row>
    <row r="18148" spans="1:9" x14ac:dyDescent="0.25">
      <c r="A18148" s="515">
        <v>4253</v>
      </c>
      <c r="B18148" s="515" t="s">
        <v>1120</v>
      </c>
      <c r="C18148" s="52">
        <v>257909.31583102699</v>
      </c>
      <c r="D18148" s="56">
        <v>7.205202963545311E-2</v>
      </c>
      <c r="E18148" s="224" t="s">
        <v>2</v>
      </c>
      <c r="F18148" s="515" t="s">
        <v>19321</v>
      </c>
      <c r="G18148" s="52">
        <v>187662.66963076199</v>
      </c>
      <c r="H18148" s="56">
        <v>0.24779475036176804</v>
      </c>
      <c r="I18148" s="224" t="s">
        <v>2</v>
      </c>
    </row>
    <row r="18149" spans="1:9" x14ac:dyDescent="0.25">
      <c r="A18149" s="515">
        <v>76270</v>
      </c>
      <c r="C18149" s="52">
        <v>413246.88664564298</v>
      </c>
      <c r="D18149" s="56">
        <v>6.5321826325840215E-2</v>
      </c>
      <c r="E18149" s="224" t="s">
        <v>2</v>
      </c>
      <c r="F18149" s="515" t="s">
        <v>19322</v>
      </c>
      <c r="G18149" s="52">
        <v>49619.3284831696</v>
      </c>
      <c r="H18149" s="56">
        <v>-7.1204038527066915E-2</v>
      </c>
      <c r="I18149" s="224" t="s">
        <v>2</v>
      </c>
    </row>
    <row r="18150" spans="1:9" x14ac:dyDescent="0.25">
      <c r="A18150" s="515">
        <v>92061</v>
      </c>
      <c r="B18150" s="515" t="s">
        <v>396</v>
      </c>
      <c r="C18150" s="52">
        <v>728018.78195361595</v>
      </c>
      <c r="D18150" s="56">
        <v>4.2427303972390404E-2</v>
      </c>
      <c r="E18150" s="224" t="s">
        <v>2</v>
      </c>
      <c r="F18150" s="515" t="s">
        <v>19323</v>
      </c>
      <c r="G18150" s="52">
        <v>92781.859458803199</v>
      </c>
      <c r="H18150" s="56">
        <v>0.14773065926507797</v>
      </c>
      <c r="I18150" s="224" t="s">
        <v>2</v>
      </c>
    </row>
    <row r="18151" spans="1:9" x14ac:dyDescent="0.25">
      <c r="A18151" s="515">
        <v>44010</v>
      </c>
      <c r="B18151" s="515" t="s">
        <v>592</v>
      </c>
      <c r="C18151" s="52">
        <v>226523.938891219</v>
      </c>
      <c r="D18151" s="56">
        <v>0.10239065698438156</v>
      </c>
      <c r="E18151" s="224" t="s">
        <v>2</v>
      </c>
      <c r="F18151" s="515" t="s">
        <v>19324</v>
      </c>
      <c r="G18151" s="52">
        <v>125909.613832273</v>
      </c>
      <c r="H18151" s="56">
        <v>7.7920160706454855E-2</v>
      </c>
      <c r="I18151" s="224" t="s">
        <v>2</v>
      </c>
    </row>
    <row r="18152" spans="1:9" x14ac:dyDescent="0.25">
      <c r="A18152" s="515">
        <v>43739</v>
      </c>
      <c r="B18152" s="515" t="s">
        <v>345</v>
      </c>
      <c r="C18152" s="52">
        <v>270569.39990632201</v>
      </c>
      <c r="D18152" s="56">
        <v>0.11210333227190912</v>
      </c>
      <c r="E18152" s="224" t="s">
        <v>2</v>
      </c>
      <c r="F18152" s="515" t="s">
        <v>19325</v>
      </c>
      <c r="G18152" s="52">
        <v>182602.23213655001</v>
      </c>
      <c r="H18152" s="56">
        <v>0.14494571246372606</v>
      </c>
      <c r="I18152" s="224" t="s">
        <v>2</v>
      </c>
    </row>
    <row r="18153" spans="1:9" x14ac:dyDescent="0.25">
      <c r="A18153" s="515">
        <v>83434</v>
      </c>
      <c r="B18153" s="515" t="s">
        <v>409</v>
      </c>
      <c r="C18153" s="52">
        <v>362157.53446628898</v>
      </c>
      <c r="D18153" s="56">
        <v>3.0942619708839832E-2</v>
      </c>
      <c r="E18153" s="224" t="s">
        <v>2</v>
      </c>
      <c r="F18153" s="515" t="s">
        <v>19326</v>
      </c>
      <c r="G18153" s="52">
        <v>188269.21074618</v>
      </c>
      <c r="H18153" s="56">
        <v>-1.4464976818295614E-2</v>
      </c>
      <c r="I18153" s="224" t="s">
        <v>2</v>
      </c>
    </row>
    <row r="18154" spans="1:9" x14ac:dyDescent="0.25">
      <c r="A18154" s="515">
        <v>87556</v>
      </c>
      <c r="B18154" s="515" t="s">
        <v>481</v>
      </c>
      <c r="C18154" s="52">
        <v>303930.78378378297</v>
      </c>
      <c r="D18154" s="56">
        <v>0</v>
      </c>
      <c r="E18154" s="224" t="s">
        <v>2</v>
      </c>
      <c r="F18154" s="515" t="s">
        <v>19327</v>
      </c>
      <c r="G18154" s="52">
        <v>143012.02976862399</v>
      </c>
      <c r="H18154" s="56">
        <v>4.0886129784217691E-2</v>
      </c>
      <c r="I18154" s="224" t="s">
        <v>2</v>
      </c>
    </row>
    <row r="18155" spans="1:9" x14ac:dyDescent="0.25">
      <c r="A18155" s="515">
        <v>67756</v>
      </c>
      <c r="C18155" s="52">
        <v>125155.201850098</v>
      </c>
      <c r="D18155" s="56">
        <v>0.1618267512865581</v>
      </c>
      <c r="E18155" s="224" t="s">
        <v>2</v>
      </c>
      <c r="F18155" s="515" t="s">
        <v>19328</v>
      </c>
      <c r="G18155" s="52">
        <v>161233.59396412401</v>
      </c>
      <c r="H18155" s="56">
        <v>-5.3569660998405155E-3</v>
      </c>
      <c r="I18155" s="224" t="s">
        <v>2</v>
      </c>
    </row>
    <row r="18156" spans="1:9" x14ac:dyDescent="0.25">
      <c r="A18156" s="515">
        <v>52401</v>
      </c>
      <c r="B18156" s="515" t="s">
        <v>404</v>
      </c>
      <c r="C18156" s="52">
        <v>123111.316465903</v>
      </c>
      <c r="D18156" s="56">
        <v>6.6086131365604914E-2</v>
      </c>
      <c r="E18156" s="224" t="s">
        <v>2</v>
      </c>
      <c r="F18156" s="515" t="s">
        <v>19329</v>
      </c>
      <c r="G18156" s="52">
        <v>193169.41776220701</v>
      </c>
      <c r="H18156" s="56">
        <v>0.12938391796455667</v>
      </c>
      <c r="I18156" s="224" t="s">
        <v>2</v>
      </c>
    </row>
    <row r="18157" spans="1:9" x14ac:dyDescent="0.25">
      <c r="A18157" s="515">
        <v>16627</v>
      </c>
      <c r="B18157" s="515" t="s">
        <v>876</v>
      </c>
      <c r="C18157" s="52">
        <v>71059.073186689697</v>
      </c>
      <c r="D18157" s="56">
        <v>-3.6985078081551159E-2</v>
      </c>
      <c r="E18157" s="224" t="s">
        <v>2</v>
      </c>
      <c r="F18157" s="515" t="s">
        <v>19330</v>
      </c>
      <c r="G18157" s="52">
        <v>106008.31940872601</v>
      </c>
      <c r="H18157" s="56">
        <v>-0.12192607965822191</v>
      </c>
      <c r="I18157" s="224" t="s">
        <v>2</v>
      </c>
    </row>
    <row r="18158" spans="1:9" x14ac:dyDescent="0.25">
      <c r="A18158" s="515">
        <v>42411</v>
      </c>
      <c r="C18158" s="52">
        <v>124012.958386935</v>
      </c>
      <c r="D18158" s="56">
        <v>0.22301439175736124</v>
      </c>
      <c r="E18158" s="224" t="s">
        <v>2</v>
      </c>
      <c r="F18158" s="515" t="s">
        <v>19331</v>
      </c>
      <c r="G18158" s="52">
        <v>224555.44761904699</v>
      </c>
      <c r="H18158" s="56">
        <v>0</v>
      </c>
      <c r="I18158" s="224" t="s">
        <v>2</v>
      </c>
    </row>
    <row r="18159" spans="1:9" x14ac:dyDescent="0.25">
      <c r="A18159" s="515">
        <v>55965</v>
      </c>
      <c r="B18159" s="515" t="s">
        <v>470</v>
      </c>
      <c r="C18159" s="52">
        <v>226478.33324172901</v>
      </c>
      <c r="D18159" s="56">
        <v>9.0538246276547066E-2</v>
      </c>
      <c r="E18159" s="224" t="s">
        <v>2</v>
      </c>
      <c r="F18159" s="515" t="s">
        <v>19332</v>
      </c>
      <c r="G18159" s="52">
        <v>177598.19484305801</v>
      </c>
      <c r="H18159" s="56">
        <v>0</v>
      </c>
      <c r="I18159" s="224" t="s">
        <v>2</v>
      </c>
    </row>
    <row r="18160" spans="1:9" x14ac:dyDescent="0.25">
      <c r="A18160" s="515">
        <v>79083</v>
      </c>
      <c r="B18160" s="515" t="s">
        <v>425</v>
      </c>
      <c r="C18160" s="52">
        <v>90780.311219765805</v>
      </c>
      <c r="D18160" s="56">
        <v>-8.2100045300890587E-2</v>
      </c>
      <c r="E18160" s="224" t="s">
        <v>2</v>
      </c>
      <c r="F18160" s="515" t="s">
        <v>19333</v>
      </c>
      <c r="G18160" s="52">
        <v>139518.176541772</v>
      </c>
      <c r="H18160" s="56">
        <v>-4.4888440709652255E-3</v>
      </c>
      <c r="I18160" s="224" t="s">
        <v>2</v>
      </c>
    </row>
    <row r="18161" spans="1:9" x14ac:dyDescent="0.25">
      <c r="A18161" s="515">
        <v>22539</v>
      </c>
      <c r="C18161" s="52">
        <v>328029.759187972</v>
      </c>
      <c r="D18161" s="56">
        <v>4.4276372407365046E-2</v>
      </c>
      <c r="E18161" s="224" t="s">
        <v>2</v>
      </c>
      <c r="F18161" s="515" t="s">
        <v>19334</v>
      </c>
      <c r="G18161" s="52">
        <v>518966.69243848202</v>
      </c>
      <c r="H18161" s="56">
        <v>2.9795338840187008E-2</v>
      </c>
      <c r="I18161" s="224" t="s">
        <v>2</v>
      </c>
    </row>
    <row r="18162" spans="1:9" x14ac:dyDescent="0.25">
      <c r="A18162" s="515">
        <v>81039</v>
      </c>
      <c r="C18162" s="52">
        <v>186968.473768317</v>
      </c>
      <c r="D18162" s="56">
        <v>0.14654992181724608</v>
      </c>
      <c r="E18162" s="224" t="s">
        <v>2</v>
      </c>
      <c r="F18162" s="515" t="s">
        <v>19335</v>
      </c>
      <c r="G18162" s="52">
        <v>213112.85055037899</v>
      </c>
      <c r="H18162" s="56">
        <v>9.0957860312851233E-2</v>
      </c>
      <c r="I18162" s="224" t="s">
        <v>2</v>
      </c>
    </row>
    <row r="18163" spans="1:9" x14ac:dyDescent="0.25">
      <c r="A18163" s="515">
        <v>76271</v>
      </c>
      <c r="B18163" s="515" t="s">
        <v>553</v>
      </c>
      <c r="C18163" s="52">
        <v>347287.53431726899</v>
      </c>
      <c r="D18163" s="56">
        <v>0.12121600236680458</v>
      </c>
      <c r="E18163" s="224" t="s">
        <v>2</v>
      </c>
      <c r="F18163" s="515" t="s">
        <v>19336</v>
      </c>
      <c r="G18163" s="52">
        <v>265942.25198824302</v>
      </c>
      <c r="H18163" s="56">
        <v>5.7491793398880782E-2</v>
      </c>
      <c r="I18163" s="224" t="s">
        <v>2</v>
      </c>
    </row>
    <row r="18164" spans="1:9" x14ac:dyDescent="0.25">
      <c r="A18164" s="515">
        <v>64724</v>
      </c>
      <c r="C18164" s="52">
        <v>138462.23085893801</v>
      </c>
      <c r="D18164" s="56">
        <v>0.1544096503687786</v>
      </c>
      <c r="E18164" s="224" t="s">
        <v>2</v>
      </c>
      <c r="F18164" s="515" t="s">
        <v>19337</v>
      </c>
      <c r="G18164" s="52">
        <v>258353.79464834399</v>
      </c>
      <c r="H18164" s="56">
        <v>4.5845445609432094E-2</v>
      </c>
      <c r="I18164" s="224" t="s">
        <v>2</v>
      </c>
    </row>
    <row r="18165" spans="1:9" x14ac:dyDescent="0.25">
      <c r="A18165" s="515">
        <v>26206</v>
      </c>
      <c r="C18165" s="52">
        <v>64670.1376052954</v>
      </c>
      <c r="D18165" s="56">
        <v>0.12399235874121743</v>
      </c>
      <c r="E18165" s="224" t="s">
        <v>2</v>
      </c>
      <c r="F18165" s="515" t="s">
        <v>19338</v>
      </c>
      <c r="G18165" s="52">
        <v>57025.797849655399</v>
      </c>
      <c r="H18165" s="56">
        <v>9.8958540426850136E-2</v>
      </c>
      <c r="I18165" s="224" t="s">
        <v>2</v>
      </c>
    </row>
    <row r="18166" spans="1:9" x14ac:dyDescent="0.25">
      <c r="A18166" s="515">
        <v>51025</v>
      </c>
      <c r="C18166" s="52">
        <v>137392.10248449299</v>
      </c>
      <c r="D18166" s="56">
        <v>6.1174010231825351E-2</v>
      </c>
      <c r="E18166" s="224" t="s">
        <v>2</v>
      </c>
      <c r="F18166" s="515" t="s">
        <v>19339</v>
      </c>
      <c r="G18166" s="52">
        <v>78319.831747803197</v>
      </c>
      <c r="H18166" s="56">
        <v>0.20199371646864447</v>
      </c>
      <c r="I18166" s="224" t="s">
        <v>2</v>
      </c>
    </row>
    <row r="18167" spans="1:9" x14ac:dyDescent="0.25">
      <c r="A18167" s="515">
        <v>62295</v>
      </c>
      <c r="B18167" s="515" t="s">
        <v>498</v>
      </c>
      <c r="C18167" s="52">
        <v>186742.10537055301</v>
      </c>
      <c r="D18167" s="56">
        <v>0.10535527153479504</v>
      </c>
      <c r="E18167" s="224" t="s">
        <v>2</v>
      </c>
      <c r="F18167" s="515" t="s">
        <v>19340</v>
      </c>
      <c r="G18167" s="52">
        <v>90710.249628142701</v>
      </c>
      <c r="H18167" s="56">
        <v>5.1859319550436128E-2</v>
      </c>
      <c r="I18167" s="224" t="s">
        <v>2</v>
      </c>
    </row>
    <row r="18168" spans="1:9" x14ac:dyDescent="0.25">
      <c r="A18168" s="515">
        <v>79096</v>
      </c>
      <c r="C18168" s="52">
        <v>109464.43502111601</v>
      </c>
      <c r="D18168" s="56">
        <v>0</v>
      </c>
      <c r="E18168" s="224" t="s">
        <v>2</v>
      </c>
      <c r="F18168" s="515" t="s">
        <v>19341</v>
      </c>
      <c r="G18168" s="52">
        <v>417636.86046511598</v>
      </c>
      <c r="H18168" s="56">
        <v>0</v>
      </c>
      <c r="I18168" s="224" t="s">
        <v>2</v>
      </c>
    </row>
    <row r="18169" spans="1:9" x14ac:dyDescent="0.25">
      <c r="A18169" s="515">
        <v>26142</v>
      </c>
      <c r="B18169" s="515" t="s">
        <v>956</v>
      </c>
      <c r="C18169" s="52">
        <v>130649.750591986</v>
      </c>
      <c r="D18169" s="56">
        <v>2.3712827723977044E-2</v>
      </c>
      <c r="E18169" s="224" t="s">
        <v>2</v>
      </c>
      <c r="F18169" s="515" t="s">
        <v>19342</v>
      </c>
      <c r="G18169" s="52">
        <v>281774.00000504497</v>
      </c>
      <c r="H18169" s="56">
        <v>7.8114411930237035E-2</v>
      </c>
      <c r="I18169" s="224" t="s">
        <v>2</v>
      </c>
    </row>
    <row r="18170" spans="1:9" x14ac:dyDescent="0.25">
      <c r="A18170" s="515">
        <v>96055</v>
      </c>
      <c r="B18170" s="515" t="s">
        <v>525</v>
      </c>
      <c r="C18170" s="52">
        <v>296833.12045086001</v>
      </c>
      <c r="D18170" s="56">
        <v>1.5492634387817408E-2</v>
      </c>
      <c r="E18170" s="224" t="s">
        <v>2</v>
      </c>
      <c r="F18170" s="515" t="s">
        <v>19343</v>
      </c>
      <c r="G18170" s="52">
        <v>145596.98903354799</v>
      </c>
      <c r="H18170" s="56">
        <v>9.4580754705651318E-2</v>
      </c>
      <c r="I18170" s="224" t="s">
        <v>2</v>
      </c>
    </row>
    <row r="18171" spans="1:9" x14ac:dyDescent="0.25">
      <c r="A18171" s="515">
        <v>62943</v>
      </c>
      <c r="B18171" s="515" t="s">
        <v>471</v>
      </c>
      <c r="C18171" s="52">
        <v>114595.731425826</v>
      </c>
      <c r="D18171" s="56">
        <v>2.8024136393254701E-2</v>
      </c>
      <c r="E18171" s="224" t="s">
        <v>2</v>
      </c>
      <c r="F18171" s="515" t="s">
        <v>19344</v>
      </c>
      <c r="G18171" s="52">
        <v>300449.41176653397</v>
      </c>
      <c r="H18171" s="56">
        <v>6.1319586978707034E-2</v>
      </c>
      <c r="I18171" s="224" t="s">
        <v>2</v>
      </c>
    </row>
    <row r="18172" spans="1:9" x14ac:dyDescent="0.25">
      <c r="A18172" s="515">
        <v>27508</v>
      </c>
      <c r="B18172" s="515" t="s">
        <v>484</v>
      </c>
      <c r="C18172" s="52">
        <v>223730.82420942499</v>
      </c>
      <c r="D18172" s="56">
        <v>0.17632028508465722</v>
      </c>
      <c r="E18172" s="224" t="s">
        <v>2</v>
      </c>
      <c r="F18172" s="515" t="s">
        <v>19345</v>
      </c>
      <c r="G18172" s="52">
        <v>270858.03480741999</v>
      </c>
      <c r="H18172" s="56">
        <v>0.13208772298717181</v>
      </c>
      <c r="I18172" s="224" t="s">
        <v>2</v>
      </c>
    </row>
    <row r="18173" spans="1:9" x14ac:dyDescent="0.25">
      <c r="A18173" s="515">
        <v>68047</v>
      </c>
      <c r="C18173" s="52">
        <v>179384.92324030501</v>
      </c>
      <c r="D18173" s="56">
        <v>0.12323912986223684</v>
      </c>
      <c r="E18173" s="224" t="s">
        <v>2</v>
      </c>
      <c r="F18173" s="515" t="s">
        <v>19346</v>
      </c>
      <c r="G18173" s="52">
        <v>200143.58146772601</v>
      </c>
      <c r="H18173" s="56">
        <v>0.1019485507387981</v>
      </c>
      <c r="I18173" s="224" t="s">
        <v>2</v>
      </c>
    </row>
    <row r="18174" spans="1:9" x14ac:dyDescent="0.25">
      <c r="A18174" s="515">
        <v>74369</v>
      </c>
      <c r="C18174" s="52">
        <v>173594.37669064201</v>
      </c>
      <c r="D18174" s="56">
        <v>0.16229327689962825</v>
      </c>
      <c r="E18174" s="224" t="s">
        <v>2</v>
      </c>
      <c r="F18174" s="515" t="s">
        <v>19347</v>
      </c>
      <c r="G18174" s="52">
        <v>99793.471210371805</v>
      </c>
      <c r="H18174" s="56">
        <v>0</v>
      </c>
      <c r="I18174" s="224" t="s">
        <v>2</v>
      </c>
    </row>
    <row r="18175" spans="1:9" x14ac:dyDescent="0.25">
      <c r="A18175" s="515">
        <v>41055</v>
      </c>
      <c r="B18175" s="515" t="s">
        <v>967</v>
      </c>
      <c r="C18175" s="52">
        <v>196139.701323452</v>
      </c>
      <c r="D18175" s="56">
        <v>0.10649164258910319</v>
      </c>
      <c r="E18175" s="224" t="s">
        <v>2</v>
      </c>
      <c r="F18175" s="515" t="s">
        <v>19348</v>
      </c>
      <c r="G18175" s="52">
        <v>127145.61380352201</v>
      </c>
      <c r="H18175" s="56">
        <v>-2.5972040452695628E-5</v>
      </c>
      <c r="I18175" s="224" t="s">
        <v>2</v>
      </c>
    </row>
    <row r="18176" spans="1:9" x14ac:dyDescent="0.25">
      <c r="A18176" s="515">
        <v>28729</v>
      </c>
      <c r="B18176" s="515" t="s">
        <v>668</v>
      </c>
      <c r="C18176" s="52">
        <v>377425.12099606701</v>
      </c>
      <c r="D18176" s="56">
        <v>9.4322112572261585E-2</v>
      </c>
      <c r="E18176" s="224" t="s">
        <v>2</v>
      </c>
      <c r="F18176" s="515" t="s">
        <v>19349</v>
      </c>
      <c r="G18176" s="52">
        <v>286140.564837365</v>
      </c>
      <c r="H18176" s="56">
        <v>0.14870895477153306</v>
      </c>
      <c r="I18176" s="224" t="s">
        <v>2</v>
      </c>
    </row>
    <row r="18177" spans="1:9" x14ac:dyDescent="0.25">
      <c r="A18177" s="515">
        <v>24070</v>
      </c>
      <c r="B18177" s="515" t="s">
        <v>861</v>
      </c>
      <c r="C18177" s="52">
        <v>260526.49157943</v>
      </c>
      <c r="D18177" s="56">
        <v>6.2710354072684549E-2</v>
      </c>
      <c r="E18177" s="224" t="s">
        <v>2</v>
      </c>
      <c r="F18177" s="515" t="s">
        <v>19350</v>
      </c>
      <c r="G18177" s="52">
        <v>346673.58015943802</v>
      </c>
      <c r="H18177" s="56">
        <v>8.6959721770119361E-2</v>
      </c>
      <c r="I18177" s="224" t="s">
        <v>2</v>
      </c>
    </row>
    <row r="18178" spans="1:9" x14ac:dyDescent="0.25">
      <c r="A18178" s="515">
        <v>12155</v>
      </c>
      <c r="B18178" s="515" t="s">
        <v>460</v>
      </c>
      <c r="C18178" s="52">
        <v>162490.40180553799</v>
      </c>
      <c r="D18178" s="56">
        <v>9.2442656054340336E-2</v>
      </c>
      <c r="E18178" s="224" t="s">
        <v>2</v>
      </c>
      <c r="F18178" s="515" t="s">
        <v>19351</v>
      </c>
      <c r="G18178" s="52">
        <v>146265.26713969099</v>
      </c>
      <c r="H18178" s="56">
        <v>1.1267528588952413E-4</v>
      </c>
      <c r="I18178" s="224" t="s">
        <v>2</v>
      </c>
    </row>
    <row r="18179" spans="1:9" x14ac:dyDescent="0.25">
      <c r="A18179" s="515">
        <v>28393</v>
      </c>
      <c r="C18179" s="52">
        <v>91687.685046488798</v>
      </c>
      <c r="D18179" s="56">
        <v>0.16416802120270133</v>
      </c>
      <c r="E18179" s="224" t="s">
        <v>2</v>
      </c>
      <c r="F18179" s="515" t="s">
        <v>19352</v>
      </c>
      <c r="G18179" s="52">
        <v>64244.8967719996</v>
      </c>
      <c r="H18179" s="56">
        <v>0.34834705411401268</v>
      </c>
      <c r="I18179" s="224" t="s">
        <v>2</v>
      </c>
    </row>
    <row r="18180" spans="1:9" x14ac:dyDescent="0.25">
      <c r="A18180" s="515">
        <v>79853</v>
      </c>
      <c r="B18180" s="515" t="s">
        <v>1119</v>
      </c>
      <c r="C18180" s="52">
        <v>138247.81937638001</v>
      </c>
      <c r="D18180" s="56">
        <v>9.9442756535278121E-2</v>
      </c>
      <c r="E18180" s="224" t="s">
        <v>2</v>
      </c>
      <c r="F18180" s="515" t="s">
        <v>19353</v>
      </c>
      <c r="G18180" s="52">
        <v>1035428.49348744</v>
      </c>
      <c r="H18180" s="56">
        <v>-1.774985489905332E-2</v>
      </c>
      <c r="I18180" s="224" t="s">
        <v>2</v>
      </c>
    </row>
    <row r="18181" spans="1:9" x14ac:dyDescent="0.25">
      <c r="A18181" s="515">
        <v>43901</v>
      </c>
      <c r="B18181" s="515" t="s">
        <v>389</v>
      </c>
      <c r="C18181" s="52">
        <v>103121.19127372</v>
      </c>
      <c r="D18181" s="56">
        <v>2.5324768871512967E-2</v>
      </c>
      <c r="E18181" s="224" t="s">
        <v>2</v>
      </c>
      <c r="F18181" s="515" t="s">
        <v>19354</v>
      </c>
      <c r="G18181" s="52">
        <v>113936.588939162</v>
      </c>
      <c r="H18181" s="56">
        <v>7.8068630297630073E-2</v>
      </c>
      <c r="I18181" s="224" t="s">
        <v>2</v>
      </c>
    </row>
    <row r="18182" spans="1:9" x14ac:dyDescent="0.25">
      <c r="A18182" s="515">
        <v>80440</v>
      </c>
      <c r="B18182" s="515" t="s">
        <v>401</v>
      </c>
      <c r="C18182" s="52">
        <v>568976.59635907097</v>
      </c>
      <c r="D18182" s="56">
        <v>6.6536778011795888E-2</v>
      </c>
      <c r="E18182" s="224" t="s">
        <v>2</v>
      </c>
      <c r="F18182" s="515" t="s">
        <v>19355</v>
      </c>
      <c r="G18182" s="52">
        <v>270469.83873537497</v>
      </c>
      <c r="H18182" s="56">
        <v>5.9794101590245168E-3</v>
      </c>
      <c r="I18182" s="224" t="s">
        <v>2</v>
      </c>
    </row>
    <row r="18183" spans="1:9" x14ac:dyDescent="0.25">
      <c r="A18183" s="515">
        <v>4928</v>
      </c>
      <c r="B18183" s="515" t="s">
        <v>792</v>
      </c>
      <c r="C18183" s="52">
        <v>167275.90449738401</v>
      </c>
      <c r="D18183" s="56">
        <v>0.15593783590243263</v>
      </c>
      <c r="E18183" s="224" t="s">
        <v>2</v>
      </c>
      <c r="F18183" s="515" t="s">
        <v>19356</v>
      </c>
      <c r="G18183" s="52">
        <v>300960.08139534801</v>
      </c>
      <c r="H18183" s="56">
        <v>0</v>
      </c>
      <c r="I18183" s="224" t="s">
        <v>2</v>
      </c>
    </row>
    <row r="18184" spans="1:9" x14ac:dyDescent="0.25">
      <c r="A18184" s="515">
        <v>39664</v>
      </c>
      <c r="B18184" s="515" t="s">
        <v>1118</v>
      </c>
      <c r="C18184" s="52">
        <v>153273.33253869999</v>
      </c>
      <c r="D18184" s="56">
        <v>-6.3657993418575171E-2</v>
      </c>
      <c r="E18184" s="224" t="s">
        <v>2</v>
      </c>
      <c r="F18184" s="515" t="s">
        <v>19357</v>
      </c>
      <c r="G18184" s="52">
        <v>245968.04602324101</v>
      </c>
      <c r="H18184" s="56">
        <v>0.11677910069156404</v>
      </c>
      <c r="I18184" s="224" t="s">
        <v>2</v>
      </c>
    </row>
    <row r="18185" spans="1:9" x14ac:dyDescent="0.25">
      <c r="A18185" s="515">
        <v>56229</v>
      </c>
      <c r="B18185" s="515" t="s">
        <v>708</v>
      </c>
      <c r="C18185" s="52">
        <v>203990.16794646601</v>
      </c>
      <c r="D18185" s="56">
        <v>6.8832519558596719E-2</v>
      </c>
      <c r="E18185" s="224" t="s">
        <v>2</v>
      </c>
      <c r="F18185" s="515" t="s">
        <v>19358</v>
      </c>
      <c r="G18185" s="52">
        <v>416373.30769230699</v>
      </c>
      <c r="H18185" s="56">
        <v>0</v>
      </c>
      <c r="I18185" s="224" t="s">
        <v>2</v>
      </c>
    </row>
    <row r="18186" spans="1:9" x14ac:dyDescent="0.25">
      <c r="A18186" s="515">
        <v>21036</v>
      </c>
      <c r="B18186" s="515" t="s">
        <v>582</v>
      </c>
      <c r="C18186" s="52">
        <v>831041.97554735898</v>
      </c>
      <c r="D18186" s="56">
        <v>3.2316084929772594E-2</v>
      </c>
      <c r="E18186" s="224" t="s">
        <v>2</v>
      </c>
      <c r="F18186" s="515" t="s">
        <v>19359</v>
      </c>
      <c r="G18186" s="52">
        <v>154623.542593199</v>
      </c>
      <c r="H18186" s="56">
        <v>0.12646506992786349</v>
      </c>
      <c r="I18186" s="224" t="s">
        <v>2</v>
      </c>
    </row>
    <row r="18187" spans="1:9" x14ac:dyDescent="0.25">
      <c r="A18187" s="515">
        <v>82054</v>
      </c>
      <c r="B18187" s="515" t="s">
        <v>639</v>
      </c>
      <c r="C18187" s="52">
        <v>405055.27629063599</v>
      </c>
      <c r="D18187" s="56">
        <v>6.2882046049960671E-2</v>
      </c>
      <c r="E18187" s="224" t="s">
        <v>2</v>
      </c>
      <c r="F18187" s="515" t="s">
        <v>19360</v>
      </c>
      <c r="G18187" s="52">
        <v>101027.63417628199</v>
      </c>
      <c r="H18187" s="56">
        <v>9.8400346467114111E-2</v>
      </c>
      <c r="I18187" s="224" t="s">
        <v>2</v>
      </c>
    </row>
    <row r="18188" spans="1:9" x14ac:dyDescent="0.25">
      <c r="A18188" s="515">
        <v>97348</v>
      </c>
      <c r="B18188" s="515" t="s">
        <v>591</v>
      </c>
      <c r="C18188" s="52">
        <v>354759.81354707998</v>
      </c>
      <c r="D18188" s="56">
        <v>2.3458519166450652E-2</v>
      </c>
      <c r="E18188" s="224" t="s">
        <v>2</v>
      </c>
      <c r="F18188" s="515" t="s">
        <v>19361</v>
      </c>
      <c r="G18188" s="52">
        <v>113837.254382998</v>
      </c>
      <c r="H18188" s="56">
        <v>3.926607637373087E-2</v>
      </c>
      <c r="I18188" s="224" t="s">
        <v>2</v>
      </c>
    </row>
    <row r="18189" spans="1:9" x14ac:dyDescent="0.25">
      <c r="A18189" s="515">
        <v>81140</v>
      </c>
      <c r="C18189" s="52">
        <v>180418.72319824001</v>
      </c>
      <c r="D18189" s="56">
        <v>8.6972124570034712E-2</v>
      </c>
      <c r="E18189" s="224" t="s">
        <v>2</v>
      </c>
      <c r="F18189" s="515" t="s">
        <v>19362</v>
      </c>
      <c r="G18189" s="52">
        <v>99295.163980549405</v>
      </c>
      <c r="H18189" s="56">
        <v>0.10461791350314865</v>
      </c>
      <c r="I18189" s="224" t="s">
        <v>2</v>
      </c>
    </row>
    <row r="18190" spans="1:9" x14ac:dyDescent="0.25">
      <c r="A18190" s="515">
        <v>12062</v>
      </c>
      <c r="B18190" s="515" t="s">
        <v>609</v>
      </c>
      <c r="C18190" s="52">
        <v>274290.06828307197</v>
      </c>
      <c r="D18190" s="56">
        <v>0.10726686421860444</v>
      </c>
      <c r="E18190" s="224" t="s">
        <v>2</v>
      </c>
      <c r="F18190" s="515" t="s">
        <v>19363</v>
      </c>
      <c r="G18190" s="52">
        <v>281996.11600713199</v>
      </c>
      <c r="H18190" s="56">
        <v>8.7787642720428591E-2</v>
      </c>
      <c r="I18190" s="224" t="s">
        <v>2</v>
      </c>
    </row>
    <row r="18191" spans="1:9" x14ac:dyDescent="0.25">
      <c r="A18191" s="515">
        <v>14005</v>
      </c>
      <c r="B18191" s="515" t="s">
        <v>1014</v>
      </c>
      <c r="C18191" s="52">
        <v>193416.262362888</v>
      </c>
      <c r="D18191" s="56">
        <v>0.11052028471018474</v>
      </c>
      <c r="E18191" s="224" t="s">
        <v>2</v>
      </c>
      <c r="F18191" s="515" t="s">
        <v>19364</v>
      </c>
      <c r="G18191" s="52">
        <v>404686.365135147</v>
      </c>
      <c r="H18191" s="56">
        <v>3.125615192516851E-3</v>
      </c>
      <c r="I18191" s="224" t="s">
        <v>2</v>
      </c>
    </row>
    <row r="18192" spans="1:9" x14ac:dyDescent="0.25">
      <c r="A18192" s="515">
        <v>31549</v>
      </c>
      <c r="C18192" s="52">
        <v>75049.137288538099</v>
      </c>
      <c r="D18192" s="56">
        <v>-1.1366224475533036E-2</v>
      </c>
      <c r="E18192" s="224" t="s">
        <v>2</v>
      </c>
      <c r="F18192" s="515" t="s">
        <v>19365</v>
      </c>
      <c r="G18192" s="52">
        <v>132626.40079142299</v>
      </c>
      <c r="H18192" s="56">
        <v>5.6938817920090486E-2</v>
      </c>
      <c r="I18192" s="224" t="s">
        <v>2</v>
      </c>
    </row>
    <row r="18193" spans="1:9" x14ac:dyDescent="0.25">
      <c r="A18193" s="515">
        <v>95245</v>
      </c>
      <c r="C18193" s="52">
        <v>363365.38403905299</v>
      </c>
      <c r="D18193" s="56">
        <v>-2.8087202664555732E-2</v>
      </c>
      <c r="E18193" s="224" t="s">
        <v>2</v>
      </c>
      <c r="F18193" s="515" t="s">
        <v>19366</v>
      </c>
      <c r="G18193" s="52">
        <v>362618.00767466502</v>
      </c>
      <c r="H18193" s="56">
        <v>0.13020910644463715</v>
      </c>
      <c r="I18193" s="224" t="s">
        <v>2</v>
      </c>
    </row>
    <row r="18194" spans="1:9" x14ac:dyDescent="0.25">
      <c r="A18194" s="515">
        <v>76265</v>
      </c>
      <c r="C18194" s="52">
        <v>182687.29968394301</v>
      </c>
      <c r="D18194" s="56">
        <v>0.11277309149317108</v>
      </c>
      <c r="E18194" s="224" t="s">
        <v>2</v>
      </c>
      <c r="F18194" s="515" t="s">
        <v>19367</v>
      </c>
      <c r="G18194" s="52">
        <v>271398.04189706099</v>
      </c>
      <c r="H18194" s="56">
        <v>8.929502664250083E-2</v>
      </c>
      <c r="I18194" s="224" t="s">
        <v>2</v>
      </c>
    </row>
    <row r="18195" spans="1:9" x14ac:dyDescent="0.25">
      <c r="A18195" s="515">
        <v>44423</v>
      </c>
      <c r="B18195" s="515" t="s">
        <v>627</v>
      </c>
      <c r="C18195" s="52">
        <v>151503.19263730801</v>
      </c>
      <c r="D18195" s="56">
        <v>0.11868636136771765</v>
      </c>
      <c r="E18195" s="224" t="s">
        <v>2</v>
      </c>
      <c r="F18195" s="515" t="s">
        <v>19368</v>
      </c>
      <c r="G18195" s="52">
        <v>297152.19982608099</v>
      </c>
      <c r="H18195" s="56">
        <v>9.1702906680480964E-2</v>
      </c>
      <c r="I18195" s="224" t="s">
        <v>2</v>
      </c>
    </row>
    <row r="18196" spans="1:9" x14ac:dyDescent="0.25">
      <c r="A18196" s="515">
        <v>51521</v>
      </c>
      <c r="B18196" s="515" t="s">
        <v>367</v>
      </c>
      <c r="C18196" s="52">
        <v>182796.812017733</v>
      </c>
      <c r="D18196" s="56">
        <v>0.1122733383077264</v>
      </c>
      <c r="E18196" s="224" t="s">
        <v>2</v>
      </c>
      <c r="F18196" s="515" t="s">
        <v>19369</v>
      </c>
      <c r="G18196" s="52">
        <v>133237.140820411</v>
      </c>
      <c r="H18196" s="56">
        <v>1.3448217773847762E-2</v>
      </c>
      <c r="I18196" s="224" t="s">
        <v>2</v>
      </c>
    </row>
    <row r="18197" spans="1:9" x14ac:dyDescent="0.25">
      <c r="A18197" s="515">
        <v>17813</v>
      </c>
      <c r="B18197" s="515" t="s">
        <v>1084</v>
      </c>
      <c r="C18197" s="52">
        <v>160933.617751952</v>
      </c>
      <c r="D18197" s="56">
        <v>5.26447356008811E-2</v>
      </c>
      <c r="E18197" s="224" t="s">
        <v>2</v>
      </c>
      <c r="F18197" s="515" t="s">
        <v>19370</v>
      </c>
      <c r="G18197" s="52">
        <v>321014.33072045201</v>
      </c>
      <c r="H18197" s="56">
        <v>-6.7119496661517591E-2</v>
      </c>
      <c r="I18197" s="224" t="s">
        <v>2</v>
      </c>
    </row>
    <row r="18198" spans="1:9" x14ac:dyDescent="0.25">
      <c r="A18198" s="515">
        <v>78123</v>
      </c>
      <c r="B18198" s="515" t="s">
        <v>717</v>
      </c>
      <c r="C18198" s="52">
        <v>482197.48413369199</v>
      </c>
      <c r="D18198" s="56">
        <v>0.10850548036431117</v>
      </c>
      <c r="E18198" s="224" t="s">
        <v>2</v>
      </c>
      <c r="F18198" s="515" t="s">
        <v>19371</v>
      </c>
      <c r="G18198" s="52">
        <v>236100.53575256301</v>
      </c>
      <c r="H18198" s="56">
        <v>7.0728972227309714E-2</v>
      </c>
      <c r="I18198" s="224" t="s">
        <v>2</v>
      </c>
    </row>
    <row r="18199" spans="1:9" x14ac:dyDescent="0.25">
      <c r="A18199" s="515">
        <v>56222</v>
      </c>
      <c r="C18199" s="52">
        <v>186654.30411676201</v>
      </c>
      <c r="D18199" s="56">
        <v>5.8694765466943737E-2</v>
      </c>
      <c r="E18199" s="224" t="s">
        <v>2</v>
      </c>
      <c r="F18199" s="515" t="s">
        <v>19372</v>
      </c>
      <c r="G18199" s="52">
        <v>230131.06598325801</v>
      </c>
      <c r="H18199" s="56">
        <v>0.12191999825234451</v>
      </c>
      <c r="I18199" s="224" t="s">
        <v>2</v>
      </c>
    </row>
    <row r="18200" spans="1:9" x14ac:dyDescent="0.25">
      <c r="A18200" s="515">
        <v>51248</v>
      </c>
      <c r="C18200" s="52">
        <v>148198.60827928601</v>
      </c>
      <c r="D18200" s="56">
        <v>8.4344328136361363E-2</v>
      </c>
      <c r="E18200" s="224" t="s">
        <v>2</v>
      </c>
      <c r="F18200" s="515" t="s">
        <v>19373</v>
      </c>
      <c r="G18200" s="52">
        <v>99965.198639522001</v>
      </c>
      <c r="H18200" s="56">
        <v>0.10611714423411434</v>
      </c>
      <c r="I18200" s="224" t="s">
        <v>2</v>
      </c>
    </row>
    <row r="18201" spans="1:9" x14ac:dyDescent="0.25">
      <c r="A18201" s="515">
        <v>15322</v>
      </c>
      <c r="C18201" s="52">
        <v>81418.467866153602</v>
      </c>
      <c r="D18201" s="56">
        <v>0.10600524751897479</v>
      </c>
      <c r="E18201" s="224" t="s">
        <v>2</v>
      </c>
      <c r="F18201" s="515" t="s">
        <v>19374</v>
      </c>
      <c r="G18201" s="52">
        <v>176388.87208883601</v>
      </c>
      <c r="H18201" s="56">
        <v>6.1398294158938799E-2</v>
      </c>
      <c r="I18201" s="224" t="s">
        <v>2</v>
      </c>
    </row>
    <row r="18202" spans="1:9" x14ac:dyDescent="0.25">
      <c r="A18202" s="515">
        <v>31017</v>
      </c>
      <c r="B18202" s="515" t="s">
        <v>995</v>
      </c>
      <c r="C18202" s="52">
        <v>126963.057966472</v>
      </c>
      <c r="D18202" s="56">
        <v>0.10435061823390034</v>
      </c>
      <c r="E18202" s="224" t="s">
        <v>2</v>
      </c>
      <c r="F18202" s="515" t="s">
        <v>19375</v>
      </c>
      <c r="G18202" s="52">
        <v>256378.113329126</v>
      </c>
      <c r="H18202" s="56">
        <v>0</v>
      </c>
      <c r="I18202" s="224" t="s">
        <v>2</v>
      </c>
    </row>
    <row r="18203" spans="1:9" x14ac:dyDescent="0.25">
      <c r="A18203" s="515">
        <v>16256</v>
      </c>
      <c r="B18203" s="515" t="s">
        <v>343</v>
      </c>
      <c r="C18203" s="52">
        <v>160218.61295149301</v>
      </c>
      <c r="D18203" s="56">
        <v>4.0425577954525421E-2</v>
      </c>
      <c r="E18203" s="224" t="s">
        <v>2</v>
      </c>
      <c r="F18203" s="515" t="s">
        <v>19376</v>
      </c>
      <c r="G18203" s="52">
        <v>188626.96176785999</v>
      </c>
      <c r="H18203" s="56">
        <v>0</v>
      </c>
      <c r="I18203" s="224" t="s">
        <v>2</v>
      </c>
    </row>
    <row r="18204" spans="1:9" x14ac:dyDescent="0.25">
      <c r="A18204" s="515">
        <v>72943</v>
      </c>
      <c r="C18204" s="52">
        <v>127015.904915753</v>
      </c>
      <c r="D18204" s="56">
        <v>-1.7209441815318097E-2</v>
      </c>
      <c r="E18204" s="224" t="s">
        <v>2</v>
      </c>
      <c r="F18204" s="515" t="s">
        <v>19377</v>
      </c>
      <c r="G18204" s="52">
        <v>111658.259105073</v>
      </c>
      <c r="H18204" s="56">
        <v>0.1151360823611443</v>
      </c>
      <c r="I18204" s="224" t="s">
        <v>2</v>
      </c>
    </row>
    <row r="18205" spans="1:9" x14ac:dyDescent="0.25">
      <c r="A18205" s="515">
        <v>27935</v>
      </c>
      <c r="B18205" s="515" t="s">
        <v>301</v>
      </c>
      <c r="C18205" s="52">
        <v>197281.74336783399</v>
      </c>
      <c r="D18205" s="56">
        <v>0.13677670643350309</v>
      </c>
      <c r="E18205" s="224" t="s">
        <v>2</v>
      </c>
      <c r="F18205" s="515" t="s">
        <v>19378</v>
      </c>
      <c r="G18205" s="52">
        <v>287466.85987356899</v>
      </c>
      <c r="H18205" s="56">
        <v>0.12940812614311478</v>
      </c>
      <c r="I18205" s="224" t="s">
        <v>2</v>
      </c>
    </row>
    <row r="18206" spans="1:9" x14ac:dyDescent="0.25">
      <c r="A18206" s="515">
        <v>62935</v>
      </c>
      <c r="C18206" s="52">
        <v>80753.499782110201</v>
      </c>
      <c r="D18206" s="56">
        <v>0.17226914482165612</v>
      </c>
      <c r="E18206" s="224" t="s">
        <v>2</v>
      </c>
      <c r="F18206" s="515" t="s">
        <v>19379</v>
      </c>
      <c r="G18206" s="52">
        <v>191944.17290395399</v>
      </c>
      <c r="H18206" s="56">
        <v>1.3463980189333438E-2</v>
      </c>
      <c r="I18206" s="224" t="s">
        <v>2</v>
      </c>
    </row>
    <row r="18207" spans="1:9" x14ac:dyDescent="0.25">
      <c r="A18207" s="515">
        <v>44817</v>
      </c>
      <c r="B18207" s="515" t="s">
        <v>300</v>
      </c>
      <c r="C18207" s="52">
        <v>152928.52293452699</v>
      </c>
      <c r="D18207" s="56">
        <v>-5.121225727288274E-3</v>
      </c>
      <c r="E18207" s="224" t="s">
        <v>2</v>
      </c>
      <c r="F18207" s="515" t="s">
        <v>19380</v>
      </c>
      <c r="G18207" s="52">
        <v>243931.139460292</v>
      </c>
      <c r="H18207" s="56">
        <v>0.10078867213195412</v>
      </c>
      <c r="I18207" s="224" t="s">
        <v>2</v>
      </c>
    </row>
    <row r="18208" spans="1:9" x14ac:dyDescent="0.25">
      <c r="A18208" s="515">
        <v>49753</v>
      </c>
      <c r="B18208" s="515" t="s">
        <v>912</v>
      </c>
      <c r="C18208" s="52">
        <v>155560.90696263799</v>
      </c>
      <c r="D18208" s="56">
        <v>8.9134241946121004E-2</v>
      </c>
      <c r="E18208" s="224" t="s">
        <v>2</v>
      </c>
      <c r="F18208" s="515" t="s">
        <v>19381</v>
      </c>
      <c r="G18208" s="52">
        <v>90780.079645704594</v>
      </c>
      <c r="H18208" s="56">
        <v>0.17959830551228184</v>
      </c>
      <c r="I18208" s="224" t="s">
        <v>2</v>
      </c>
    </row>
    <row r="18209" spans="1:9" x14ac:dyDescent="0.25">
      <c r="A18209" s="515">
        <v>14782</v>
      </c>
      <c r="B18209" s="515" t="s">
        <v>560</v>
      </c>
      <c r="C18209" s="52">
        <v>139147.39586499799</v>
      </c>
      <c r="D18209" s="56">
        <v>0.13574678682215927</v>
      </c>
      <c r="E18209" s="224" t="s">
        <v>2</v>
      </c>
      <c r="F18209" s="515" t="s">
        <v>19382</v>
      </c>
      <c r="G18209" s="52">
        <v>554435.41758241702</v>
      </c>
      <c r="H18209" s="56">
        <v>0</v>
      </c>
      <c r="I18209" s="224" t="s">
        <v>2</v>
      </c>
    </row>
    <row r="18210" spans="1:9" x14ac:dyDescent="0.25">
      <c r="A18210" s="515">
        <v>39332</v>
      </c>
      <c r="C18210" s="52">
        <v>151330.32892925799</v>
      </c>
      <c r="D18210" s="56">
        <v>-2.9475969121725197E-2</v>
      </c>
      <c r="E18210" s="224" t="s">
        <v>2</v>
      </c>
      <c r="F18210" s="515" t="s">
        <v>19383</v>
      </c>
      <c r="G18210" s="52">
        <v>216300.94090061399</v>
      </c>
      <c r="H18210" s="56">
        <v>8.295774076926353E-2</v>
      </c>
      <c r="I18210" s="224" t="s">
        <v>2</v>
      </c>
    </row>
    <row r="18211" spans="1:9" x14ac:dyDescent="0.25">
      <c r="A18211" s="515">
        <v>30452</v>
      </c>
      <c r="B18211" s="515" t="s">
        <v>1108</v>
      </c>
      <c r="C18211" s="52">
        <v>206340.24684598099</v>
      </c>
      <c r="D18211" s="56">
        <v>0.10838836926090374</v>
      </c>
      <c r="E18211" s="224" t="s">
        <v>2</v>
      </c>
      <c r="F18211" s="515" t="s">
        <v>19384</v>
      </c>
      <c r="G18211" s="52">
        <v>76434.7310842804</v>
      </c>
      <c r="H18211" s="56">
        <v>0.1108436596349993</v>
      </c>
      <c r="I18211" s="224" t="s">
        <v>2</v>
      </c>
    </row>
    <row r="18212" spans="1:9" x14ac:dyDescent="0.25">
      <c r="A18212" s="515">
        <v>45860</v>
      </c>
      <c r="B18212" s="515" t="s">
        <v>432</v>
      </c>
      <c r="C18212" s="52">
        <v>349755.32797412801</v>
      </c>
      <c r="D18212" s="56">
        <v>6.7345308080043936E-2</v>
      </c>
      <c r="E18212" s="224" t="s">
        <v>2</v>
      </c>
      <c r="F18212" s="515" t="s">
        <v>19385</v>
      </c>
      <c r="G18212" s="52">
        <v>126658.49156147899</v>
      </c>
      <c r="H18212" s="56">
        <v>0</v>
      </c>
      <c r="I18212" s="224" t="s">
        <v>2</v>
      </c>
    </row>
    <row r="18213" spans="1:9" x14ac:dyDescent="0.25">
      <c r="A18213" s="515">
        <v>69356</v>
      </c>
      <c r="B18213" s="515" t="s">
        <v>966</v>
      </c>
      <c r="C18213" s="52">
        <v>171490.454480455</v>
      </c>
      <c r="D18213" s="56">
        <v>0.10496684710407307</v>
      </c>
      <c r="E18213" s="224" t="s">
        <v>2</v>
      </c>
      <c r="F18213" s="515" t="s">
        <v>19386</v>
      </c>
      <c r="G18213" s="52">
        <v>311153.42900512501</v>
      </c>
      <c r="H18213" s="56">
        <v>0.10561578337054459</v>
      </c>
      <c r="I18213" s="224" t="s">
        <v>2</v>
      </c>
    </row>
    <row r="18214" spans="1:9" x14ac:dyDescent="0.25">
      <c r="A18214" s="515">
        <v>78152</v>
      </c>
      <c r="B18214" s="515" t="s">
        <v>717</v>
      </c>
      <c r="C18214" s="52">
        <v>349266.77436171501</v>
      </c>
      <c r="D18214" s="56">
        <v>6.6846361737582863E-2</v>
      </c>
      <c r="E18214" s="224" t="s">
        <v>2</v>
      </c>
      <c r="F18214" s="515" t="s">
        <v>19387</v>
      </c>
      <c r="G18214" s="52">
        <v>165527.156029301</v>
      </c>
      <c r="H18214" s="56">
        <v>2.4458600096637122E-2</v>
      </c>
      <c r="I18214" s="224" t="s">
        <v>2</v>
      </c>
    </row>
    <row r="18215" spans="1:9" x14ac:dyDescent="0.25">
      <c r="A18215" s="515">
        <v>42355</v>
      </c>
      <c r="B18215" s="515" t="s">
        <v>1024</v>
      </c>
      <c r="C18215" s="52">
        <v>161569.18518348501</v>
      </c>
      <c r="D18215" s="56">
        <v>0.11951487992831299</v>
      </c>
      <c r="E18215" s="224" t="s">
        <v>2</v>
      </c>
      <c r="F18215" s="515" t="s">
        <v>19388</v>
      </c>
      <c r="G18215" s="52">
        <v>286787.77895758703</v>
      </c>
      <c r="H18215" s="56">
        <v>7.5050157421039973E-2</v>
      </c>
      <c r="I18215" s="224" t="s">
        <v>2</v>
      </c>
    </row>
    <row r="18216" spans="1:9" x14ac:dyDescent="0.25">
      <c r="A18216" s="515">
        <v>1515</v>
      </c>
      <c r="B18216" s="515" t="s">
        <v>751</v>
      </c>
      <c r="C18216" s="52">
        <v>363120.74635653698</v>
      </c>
      <c r="D18216" s="56">
        <v>8.8904877067673457E-2</v>
      </c>
      <c r="E18216" s="224" t="s">
        <v>2</v>
      </c>
      <c r="F18216" s="515" t="s">
        <v>19389</v>
      </c>
      <c r="G18216" s="52">
        <v>61854.775000000001</v>
      </c>
      <c r="H18216" s="56">
        <v>0</v>
      </c>
      <c r="I18216" s="224" t="s">
        <v>2</v>
      </c>
    </row>
    <row r="18217" spans="1:9" x14ac:dyDescent="0.25">
      <c r="A18217" s="515">
        <v>14422</v>
      </c>
      <c r="B18217" s="515" t="s">
        <v>1014</v>
      </c>
      <c r="C18217" s="52">
        <v>172224.18237336999</v>
      </c>
      <c r="D18217" s="56">
        <v>7.2577938380179549E-2</v>
      </c>
      <c r="E18217" s="224" t="s">
        <v>2</v>
      </c>
      <c r="F18217" s="515" t="s">
        <v>19390</v>
      </c>
      <c r="G18217" s="52">
        <v>219266.756813905</v>
      </c>
      <c r="H18217" s="56">
        <v>8.7143876935388026E-2</v>
      </c>
      <c r="I18217" s="224" t="s">
        <v>2</v>
      </c>
    </row>
    <row r="18218" spans="1:9" x14ac:dyDescent="0.25">
      <c r="A18218" s="515">
        <v>45896</v>
      </c>
      <c r="B18218" s="515" t="s">
        <v>480</v>
      </c>
      <c r="C18218" s="52">
        <v>150308.71233410499</v>
      </c>
      <c r="D18218" s="56">
        <v>9.051636185115583E-2</v>
      </c>
      <c r="E18218" s="224" t="s">
        <v>2</v>
      </c>
      <c r="F18218" s="515" t="s">
        <v>19391</v>
      </c>
      <c r="G18218" s="52">
        <v>154356.36781609099</v>
      </c>
      <c r="H18218" s="56">
        <v>0</v>
      </c>
      <c r="I18218" s="224" t="s">
        <v>2</v>
      </c>
    </row>
    <row r="18219" spans="1:9" x14ac:dyDescent="0.25">
      <c r="A18219" s="515">
        <v>27343</v>
      </c>
      <c r="B18219" s="515" t="s">
        <v>467</v>
      </c>
      <c r="C18219" s="52">
        <v>476006.50000521401</v>
      </c>
      <c r="D18219" s="56">
        <v>8.2891745631064356E-2</v>
      </c>
      <c r="E18219" s="224" t="s">
        <v>2</v>
      </c>
      <c r="F18219" s="515" t="s">
        <v>19392</v>
      </c>
      <c r="G18219" s="52">
        <v>203416.053238049</v>
      </c>
      <c r="H18219" s="56">
        <v>0.13614346599265506</v>
      </c>
      <c r="I18219" s="224" t="s">
        <v>2</v>
      </c>
    </row>
    <row r="18220" spans="1:9" x14ac:dyDescent="0.25">
      <c r="A18220" s="515">
        <v>29922</v>
      </c>
      <c r="B18220" s="515" t="s">
        <v>734</v>
      </c>
      <c r="C18220" s="52">
        <v>122543.638326289</v>
      </c>
      <c r="D18220" s="56">
        <v>-2.1183769862525587E-2</v>
      </c>
      <c r="E18220" s="224" t="s">
        <v>2</v>
      </c>
      <c r="F18220" s="515" t="s">
        <v>19393</v>
      </c>
      <c r="G18220" s="52">
        <v>152946.66578966001</v>
      </c>
      <c r="H18220" s="56">
        <v>7.9612167166540626E-2</v>
      </c>
      <c r="I18220" s="224" t="s">
        <v>2</v>
      </c>
    </row>
    <row r="18221" spans="1:9" x14ac:dyDescent="0.25">
      <c r="A18221" s="515">
        <v>59820</v>
      </c>
      <c r="C18221" s="52">
        <v>457020.51022362598</v>
      </c>
      <c r="D18221" s="56">
        <v>9.5906140797319711E-2</v>
      </c>
      <c r="E18221" s="224" t="s">
        <v>2</v>
      </c>
      <c r="F18221" s="515" t="s">
        <v>19394</v>
      </c>
      <c r="G18221" s="52">
        <v>149884.837234976</v>
      </c>
      <c r="H18221" s="56">
        <v>2.6292540139129583E-2</v>
      </c>
      <c r="I18221" s="224" t="s">
        <v>2</v>
      </c>
    </row>
    <row r="18222" spans="1:9" x14ac:dyDescent="0.25">
      <c r="A18222" s="515">
        <v>57225</v>
      </c>
      <c r="C18222" s="52">
        <v>153808.15345938201</v>
      </c>
      <c r="D18222" s="56">
        <v>4.4457029189396445E-2</v>
      </c>
      <c r="E18222" s="224" t="s">
        <v>2</v>
      </c>
      <c r="F18222" s="515" t="s">
        <v>19395</v>
      </c>
      <c r="G18222" s="52">
        <v>75133.447299362902</v>
      </c>
      <c r="H18222" s="56">
        <v>2.4056293528881147E-2</v>
      </c>
      <c r="I18222" s="224" t="s">
        <v>2</v>
      </c>
    </row>
    <row r="18223" spans="1:9" x14ac:dyDescent="0.25">
      <c r="A18223" s="515">
        <v>4543</v>
      </c>
      <c r="C18223" s="52">
        <v>405636.99746182701</v>
      </c>
      <c r="D18223" s="56">
        <v>5.5003791408596819E-2</v>
      </c>
      <c r="E18223" s="224" t="s">
        <v>2</v>
      </c>
      <c r="F18223" s="515" t="s">
        <v>19396</v>
      </c>
      <c r="G18223" s="52">
        <v>204176.417428585</v>
      </c>
      <c r="H18223" s="56">
        <v>1.4298902499685035E-2</v>
      </c>
      <c r="I18223" s="224" t="s">
        <v>2</v>
      </c>
    </row>
    <row r="18224" spans="1:9" x14ac:dyDescent="0.25">
      <c r="A18224" s="515">
        <v>21737</v>
      </c>
      <c r="B18224" s="515" t="s">
        <v>582</v>
      </c>
      <c r="C18224" s="52">
        <v>1016354.70114854</v>
      </c>
      <c r="D18224" s="56">
        <v>4.6104411356741856E-2</v>
      </c>
      <c r="E18224" s="224" t="s">
        <v>2</v>
      </c>
      <c r="F18224" s="515" t="s">
        <v>19397</v>
      </c>
      <c r="G18224" s="52">
        <v>190557.60845531299</v>
      </c>
      <c r="H18224" s="56">
        <v>0</v>
      </c>
      <c r="I18224" s="224" t="s">
        <v>2</v>
      </c>
    </row>
    <row r="18225" spans="1:9" x14ac:dyDescent="0.25">
      <c r="A18225" s="515">
        <v>49113</v>
      </c>
      <c r="B18225" s="515" t="s">
        <v>698</v>
      </c>
      <c r="C18225" s="52">
        <v>184675.563890519</v>
      </c>
      <c r="D18225" s="56">
        <v>0.11527706474884186</v>
      </c>
      <c r="E18225" s="224" t="s">
        <v>2</v>
      </c>
      <c r="F18225" s="515" t="s">
        <v>19398</v>
      </c>
      <c r="G18225" s="52">
        <v>519909.87867047603</v>
      </c>
      <c r="H18225" s="56">
        <v>9.1283004642809321E-2</v>
      </c>
      <c r="I18225" s="224" t="s">
        <v>2</v>
      </c>
    </row>
    <row r="18226" spans="1:9" x14ac:dyDescent="0.25">
      <c r="A18226" s="515">
        <v>14818</v>
      </c>
      <c r="C18226" s="52">
        <v>235003.68040091501</v>
      </c>
      <c r="D18226" s="56">
        <v>6.8847891940820166E-2</v>
      </c>
      <c r="E18226" s="224" t="s">
        <v>2</v>
      </c>
      <c r="F18226" s="515" t="s">
        <v>19399</v>
      </c>
      <c r="G18226" s="52">
        <v>442729.90594448399</v>
      </c>
      <c r="H18226" s="56">
        <v>3.1643529044967533E-2</v>
      </c>
      <c r="I18226" s="224" t="s">
        <v>2</v>
      </c>
    </row>
    <row r="18227" spans="1:9" x14ac:dyDescent="0.25">
      <c r="A18227" s="515">
        <v>30810</v>
      </c>
      <c r="C18227" s="52">
        <v>136937.990941589</v>
      </c>
      <c r="D18227" s="56">
        <v>-4.6086263627040805E-3</v>
      </c>
      <c r="E18227" s="224" t="s">
        <v>2</v>
      </c>
      <c r="F18227" s="515" t="s">
        <v>19400</v>
      </c>
      <c r="G18227" s="52">
        <v>577237.80864197505</v>
      </c>
      <c r="H18227" s="56">
        <v>0</v>
      </c>
      <c r="I18227" s="224" t="s">
        <v>2</v>
      </c>
    </row>
    <row r="18228" spans="1:9" x14ac:dyDescent="0.25">
      <c r="A18228" s="515">
        <v>50669</v>
      </c>
      <c r="B18228" s="515" t="s">
        <v>315</v>
      </c>
      <c r="C18228" s="52">
        <v>167515.83239301099</v>
      </c>
      <c r="D18228" s="56">
        <v>7.9651672069046262E-2</v>
      </c>
      <c r="E18228" s="224" t="s">
        <v>2</v>
      </c>
      <c r="F18228" s="515" t="s">
        <v>19401</v>
      </c>
      <c r="G18228" s="52">
        <v>226456.54092149099</v>
      </c>
      <c r="H18228" s="56">
        <v>0.1198704188471926</v>
      </c>
      <c r="I18228" s="224" t="s">
        <v>2</v>
      </c>
    </row>
    <row r="18229" spans="1:9" x14ac:dyDescent="0.25">
      <c r="A18229" s="515">
        <v>73004</v>
      </c>
      <c r="B18229" s="515" t="s">
        <v>385</v>
      </c>
      <c r="C18229" s="52">
        <v>178255.11181480999</v>
      </c>
      <c r="D18229" s="56">
        <v>7.2051963767327129E-2</v>
      </c>
      <c r="E18229" s="224" t="s">
        <v>2</v>
      </c>
      <c r="F18229" s="515" t="s">
        <v>19402</v>
      </c>
      <c r="G18229" s="52">
        <v>152538.21860870099</v>
      </c>
      <c r="H18229" s="56">
        <v>0.15417122855477358</v>
      </c>
      <c r="I18229" s="224" t="s">
        <v>2</v>
      </c>
    </row>
    <row r="18230" spans="1:9" x14ac:dyDescent="0.25">
      <c r="A18230" s="515">
        <v>50250</v>
      </c>
      <c r="C18230" s="52">
        <v>172795.63752337199</v>
      </c>
      <c r="D18230" s="56">
        <v>0.11059808145777589</v>
      </c>
      <c r="E18230" s="224" t="s">
        <v>2</v>
      </c>
      <c r="F18230" s="515" t="s">
        <v>19403</v>
      </c>
      <c r="G18230" s="52">
        <v>617536.91468834504</v>
      </c>
      <c r="H18230" s="56">
        <v>9.4160148979054406E-2</v>
      </c>
      <c r="I18230" s="224" t="s">
        <v>2</v>
      </c>
    </row>
    <row r="18231" spans="1:9" x14ac:dyDescent="0.25">
      <c r="A18231" s="515">
        <v>68784</v>
      </c>
      <c r="B18231" s="515" t="s">
        <v>649</v>
      </c>
      <c r="C18231" s="52">
        <v>159717.96550595001</v>
      </c>
      <c r="D18231" s="56">
        <v>7.0585913014183335E-2</v>
      </c>
      <c r="E18231" s="224" t="s">
        <v>2</v>
      </c>
      <c r="F18231" s="515" t="s">
        <v>19404</v>
      </c>
      <c r="G18231" s="52">
        <v>265221.62248974497</v>
      </c>
      <c r="H18231" s="56">
        <v>0.17357974592127307</v>
      </c>
      <c r="I18231" s="224" t="s">
        <v>2</v>
      </c>
    </row>
    <row r="18232" spans="1:9" x14ac:dyDescent="0.25">
      <c r="A18232" s="515">
        <v>16650</v>
      </c>
      <c r="C18232" s="52">
        <v>131495.04562064001</v>
      </c>
      <c r="D18232" s="56">
        <v>-2.0588587635937045E-2</v>
      </c>
      <c r="E18232" s="224" t="s">
        <v>2</v>
      </c>
      <c r="F18232" s="515" t="s">
        <v>19405</v>
      </c>
      <c r="G18232" s="52">
        <v>441045.80541153997</v>
      </c>
      <c r="H18232" s="56">
        <v>3.1881641514183032E-2</v>
      </c>
      <c r="I18232" s="224" t="s">
        <v>2</v>
      </c>
    </row>
    <row r="18233" spans="1:9" x14ac:dyDescent="0.25">
      <c r="A18233" s="515">
        <v>27551</v>
      </c>
      <c r="C18233" s="52">
        <v>329361.53159232298</v>
      </c>
      <c r="D18233" s="56">
        <v>0.13403848788560646</v>
      </c>
      <c r="E18233" s="224" t="s">
        <v>2</v>
      </c>
      <c r="F18233" s="515" t="s">
        <v>19406</v>
      </c>
      <c r="G18233" s="52">
        <v>320009.48363012599</v>
      </c>
      <c r="H18233" s="56">
        <v>5.0067320730447909E-2</v>
      </c>
      <c r="I18233" s="224" t="s">
        <v>2</v>
      </c>
    </row>
    <row r="18234" spans="1:9" x14ac:dyDescent="0.25">
      <c r="A18234" s="515">
        <v>14138</v>
      </c>
      <c r="B18234" s="515" t="s">
        <v>870</v>
      </c>
      <c r="C18234" s="52">
        <v>128135.61817460701</v>
      </c>
      <c r="D18234" s="56">
        <v>0.1692411315074169</v>
      </c>
      <c r="E18234" s="224" t="s">
        <v>2</v>
      </c>
      <c r="F18234" s="515" t="s">
        <v>19407</v>
      </c>
      <c r="G18234" s="52">
        <v>104183.93325353401</v>
      </c>
      <c r="H18234" s="56">
        <v>6.6064963379527719E-2</v>
      </c>
      <c r="I18234" s="224" t="s">
        <v>2</v>
      </c>
    </row>
    <row r="18235" spans="1:9" x14ac:dyDescent="0.25">
      <c r="A18235" s="515">
        <v>48897</v>
      </c>
      <c r="C18235" s="52">
        <v>203198.93802109201</v>
      </c>
      <c r="D18235" s="56">
        <v>0.10991576018256659</v>
      </c>
      <c r="E18235" s="224" t="s">
        <v>2</v>
      </c>
      <c r="F18235" s="515" t="s">
        <v>19408</v>
      </c>
      <c r="G18235" s="52">
        <v>258704.13222066601</v>
      </c>
      <c r="H18235" s="56">
        <v>4.638121801103777E-2</v>
      </c>
      <c r="I18235" s="224" t="s">
        <v>2</v>
      </c>
    </row>
    <row r="18236" spans="1:9" x14ac:dyDescent="0.25">
      <c r="A18236" s="515">
        <v>44625</v>
      </c>
      <c r="B18236" s="515" t="s">
        <v>627</v>
      </c>
      <c r="C18236" s="52">
        <v>165648.09783003599</v>
      </c>
      <c r="D18236" s="56">
        <v>9.3730716107075437E-2</v>
      </c>
      <c r="E18236" s="224" t="s">
        <v>2</v>
      </c>
      <c r="F18236" s="515" t="s">
        <v>19409</v>
      </c>
      <c r="G18236" s="52">
        <v>493853.857977145</v>
      </c>
      <c r="H18236" s="56">
        <v>-3.0563455993372606E-4</v>
      </c>
      <c r="I18236" s="224">
        <v>1518.13333333333</v>
      </c>
    </row>
    <row r="18237" spans="1:9" x14ac:dyDescent="0.25">
      <c r="A18237" s="515">
        <v>66050</v>
      </c>
      <c r="B18237" s="515" t="s">
        <v>1116</v>
      </c>
      <c r="C18237" s="52">
        <v>295341.86597268801</v>
      </c>
      <c r="D18237" s="56">
        <v>0.12835235320618901</v>
      </c>
      <c r="E18237" s="224" t="s">
        <v>2</v>
      </c>
      <c r="F18237" s="515" t="s">
        <v>19410</v>
      </c>
      <c r="G18237" s="52">
        <v>339576.51078691002</v>
      </c>
      <c r="H18237" s="56">
        <v>0.10698942626889933</v>
      </c>
      <c r="I18237" s="224" t="s">
        <v>2</v>
      </c>
    </row>
    <row r="18238" spans="1:9" x14ac:dyDescent="0.25">
      <c r="A18238" s="515">
        <v>56036</v>
      </c>
      <c r="B18238" s="515" t="s">
        <v>565</v>
      </c>
      <c r="C18238" s="52">
        <v>181938.88045906599</v>
      </c>
      <c r="D18238" s="56">
        <v>0.12377789070805068</v>
      </c>
      <c r="E18238" s="224" t="s">
        <v>2</v>
      </c>
      <c r="F18238" s="515" t="s">
        <v>19411</v>
      </c>
      <c r="G18238" s="52">
        <v>131262.56729216001</v>
      </c>
      <c r="H18238" s="56">
        <v>1.9658563890039182E-2</v>
      </c>
      <c r="I18238" s="224" t="s">
        <v>2</v>
      </c>
    </row>
    <row r="18239" spans="1:9" x14ac:dyDescent="0.25">
      <c r="A18239" s="515">
        <v>55723</v>
      </c>
      <c r="B18239" s="515" t="s">
        <v>350</v>
      </c>
      <c r="C18239" s="52">
        <v>197947.21193767499</v>
      </c>
      <c r="D18239" s="56">
        <v>8.8614317786038954E-2</v>
      </c>
      <c r="E18239" s="224" t="s">
        <v>2</v>
      </c>
      <c r="F18239" s="515" t="s">
        <v>19412</v>
      </c>
      <c r="G18239" s="52">
        <v>194765.213516394</v>
      </c>
      <c r="H18239" s="56">
        <v>0.13575654674459023</v>
      </c>
      <c r="I18239" s="224" t="s">
        <v>2</v>
      </c>
    </row>
    <row r="18240" spans="1:9" x14ac:dyDescent="0.25">
      <c r="A18240" s="515">
        <v>37809</v>
      </c>
      <c r="B18240" s="515" t="s">
        <v>1117</v>
      </c>
      <c r="C18240" s="52">
        <v>152719.78235018399</v>
      </c>
      <c r="D18240" s="56">
        <v>6.3522455141760623E-2</v>
      </c>
      <c r="E18240" s="224" t="s">
        <v>2</v>
      </c>
      <c r="F18240" s="515" t="s">
        <v>19413</v>
      </c>
      <c r="G18240" s="52">
        <v>279478.92296715197</v>
      </c>
      <c r="H18240" s="56">
        <v>9.0717482029171945E-2</v>
      </c>
      <c r="I18240" s="224" t="s">
        <v>2</v>
      </c>
    </row>
    <row r="18241" spans="1:9" x14ac:dyDescent="0.25">
      <c r="A18241" s="515">
        <v>52754</v>
      </c>
      <c r="B18241" s="515" t="s">
        <v>755</v>
      </c>
      <c r="C18241" s="52">
        <v>208118.315749275</v>
      </c>
      <c r="D18241" s="56">
        <v>0.12297808084865884</v>
      </c>
      <c r="E18241" s="224" t="s">
        <v>2</v>
      </c>
      <c r="F18241" s="515" t="s">
        <v>19414</v>
      </c>
      <c r="G18241" s="52">
        <v>471800.450150772</v>
      </c>
      <c r="H18241" s="56">
        <v>1.8787314272410972E-2</v>
      </c>
      <c r="I18241" s="224" t="s">
        <v>2</v>
      </c>
    </row>
    <row r="18242" spans="1:9" x14ac:dyDescent="0.25">
      <c r="A18242" s="515">
        <v>35593</v>
      </c>
      <c r="C18242" s="52">
        <v>137245.52547380899</v>
      </c>
      <c r="D18242" s="56">
        <v>0.12153865493600197</v>
      </c>
      <c r="E18242" s="224" t="s">
        <v>2</v>
      </c>
      <c r="F18242" s="515" t="s">
        <v>19415</v>
      </c>
      <c r="G18242" s="52">
        <v>156072.09837812599</v>
      </c>
      <c r="H18242" s="56">
        <v>6.624970490866345E-3</v>
      </c>
      <c r="I18242" s="224" t="s">
        <v>2</v>
      </c>
    </row>
    <row r="18243" spans="1:9" x14ac:dyDescent="0.25">
      <c r="A18243" s="515">
        <v>38659</v>
      </c>
      <c r="B18243" s="515" t="s">
        <v>951</v>
      </c>
      <c r="C18243" s="52">
        <v>123920.124654271</v>
      </c>
      <c r="D18243" s="56">
        <v>2.6360630954527682E-2</v>
      </c>
      <c r="E18243" s="224" t="s">
        <v>2</v>
      </c>
      <c r="F18243" s="515" t="s">
        <v>19416</v>
      </c>
      <c r="G18243" s="52">
        <v>107618.02926226</v>
      </c>
      <c r="H18243" s="56">
        <v>6.8000441251429664E-2</v>
      </c>
      <c r="I18243" s="224" t="s">
        <v>2</v>
      </c>
    </row>
    <row r="18244" spans="1:9" x14ac:dyDescent="0.25">
      <c r="A18244" s="515">
        <v>99029</v>
      </c>
      <c r="B18244" s="515" t="s">
        <v>820</v>
      </c>
      <c r="C18244" s="52">
        <v>404125.08006469201</v>
      </c>
      <c r="D18244" s="56">
        <v>5.1606794097317131E-2</v>
      </c>
      <c r="E18244" s="224" t="s">
        <v>2</v>
      </c>
      <c r="F18244" s="515" t="s">
        <v>19417</v>
      </c>
      <c r="G18244" s="52">
        <v>433255.545454545</v>
      </c>
      <c r="H18244" s="56">
        <v>0</v>
      </c>
      <c r="I18244" s="224" t="s">
        <v>2</v>
      </c>
    </row>
    <row r="18245" spans="1:9" x14ac:dyDescent="0.25">
      <c r="A18245" s="515">
        <v>5487</v>
      </c>
      <c r="C18245" s="52">
        <v>341636.04135737399</v>
      </c>
      <c r="D18245" s="56">
        <v>9.1741019156227607E-2</v>
      </c>
      <c r="E18245" s="224" t="s">
        <v>2</v>
      </c>
      <c r="F18245" s="515" t="s">
        <v>19418</v>
      </c>
      <c r="G18245" s="52">
        <v>110195.82647741601</v>
      </c>
      <c r="H18245" s="56">
        <v>3.2571237818833747E-2</v>
      </c>
      <c r="I18245" s="224" t="s">
        <v>2</v>
      </c>
    </row>
    <row r="18246" spans="1:9" x14ac:dyDescent="0.25">
      <c r="A18246" s="515">
        <v>62443</v>
      </c>
      <c r="B18246" s="515" t="s">
        <v>952</v>
      </c>
      <c r="C18246" s="52">
        <v>150819.21070810599</v>
      </c>
      <c r="D18246" s="56">
        <v>4.3730491799964528E-2</v>
      </c>
      <c r="E18246" s="224" t="s">
        <v>2</v>
      </c>
      <c r="F18246" s="515" t="s">
        <v>19419</v>
      </c>
      <c r="G18246" s="52">
        <v>363643.907858925</v>
      </c>
      <c r="H18246" s="56">
        <v>9.0526442070070212E-2</v>
      </c>
      <c r="I18246" s="224" t="s">
        <v>2</v>
      </c>
    </row>
    <row r="18247" spans="1:9" x14ac:dyDescent="0.25">
      <c r="A18247" s="515">
        <v>57451</v>
      </c>
      <c r="B18247" s="515" t="s">
        <v>662</v>
      </c>
      <c r="C18247" s="52">
        <v>242994.90008219</v>
      </c>
      <c r="D18247" s="56">
        <v>7.5096229692895922E-2</v>
      </c>
      <c r="E18247" s="224" t="s">
        <v>2</v>
      </c>
      <c r="F18247" s="515" t="s">
        <v>19420</v>
      </c>
      <c r="G18247" s="52">
        <v>256557.86081172299</v>
      </c>
      <c r="H18247" s="56">
        <v>0</v>
      </c>
      <c r="I18247" s="224" t="s">
        <v>2</v>
      </c>
    </row>
    <row r="18248" spans="1:9" x14ac:dyDescent="0.25">
      <c r="A18248" s="515">
        <v>54642</v>
      </c>
      <c r="C18248" s="52">
        <v>183312.31146920301</v>
      </c>
      <c r="D18248" s="56">
        <v>5.6998079295846694E-2</v>
      </c>
      <c r="E18248" s="224" t="s">
        <v>2</v>
      </c>
      <c r="F18248" s="515" t="s">
        <v>19421</v>
      </c>
      <c r="G18248" s="52">
        <v>188438.721426223</v>
      </c>
      <c r="H18248" s="56">
        <v>6.662302515252011E-2</v>
      </c>
      <c r="I18248" s="224" t="s">
        <v>2</v>
      </c>
    </row>
    <row r="18249" spans="1:9" x14ac:dyDescent="0.25">
      <c r="A18249" s="515">
        <v>95310</v>
      </c>
      <c r="B18249" s="515" t="s">
        <v>555</v>
      </c>
      <c r="C18249" s="52">
        <v>368235.228652341</v>
      </c>
      <c r="D18249" s="56">
        <v>-1.5676412599187093E-2</v>
      </c>
      <c r="E18249" s="224" t="s">
        <v>2</v>
      </c>
      <c r="F18249" s="515" t="s">
        <v>19422</v>
      </c>
      <c r="G18249" s="52">
        <v>329083.41284891899</v>
      </c>
      <c r="H18249" s="56">
        <v>8.6986734628868162E-2</v>
      </c>
      <c r="I18249" s="224" t="s">
        <v>2</v>
      </c>
    </row>
    <row r="18250" spans="1:9" x14ac:dyDescent="0.25">
      <c r="A18250" s="515">
        <v>54111</v>
      </c>
      <c r="B18250" s="515" t="s">
        <v>985</v>
      </c>
      <c r="C18250" s="52">
        <v>215322.077520299</v>
      </c>
      <c r="D18250" s="56">
        <v>3.498245738884042E-2</v>
      </c>
      <c r="E18250" s="224" t="s">
        <v>2</v>
      </c>
      <c r="F18250" s="515" t="s">
        <v>19423</v>
      </c>
      <c r="G18250" s="52">
        <v>107936.67307692301</v>
      </c>
      <c r="H18250" s="56">
        <v>0</v>
      </c>
      <c r="I18250" s="224" t="s">
        <v>2</v>
      </c>
    </row>
    <row r="18251" spans="1:9" x14ac:dyDescent="0.25">
      <c r="A18251" s="515">
        <v>66413</v>
      </c>
      <c r="B18251" s="515" t="s">
        <v>549</v>
      </c>
      <c r="C18251" s="52">
        <v>150316.15445567301</v>
      </c>
      <c r="D18251" s="56">
        <v>6.267522921399149E-2</v>
      </c>
      <c r="E18251" s="224" t="s">
        <v>2</v>
      </c>
      <c r="F18251" s="515" t="s">
        <v>19424</v>
      </c>
      <c r="G18251" s="52">
        <v>62958.234646499703</v>
      </c>
      <c r="H18251" s="56">
        <v>8.9719305466616786E-2</v>
      </c>
      <c r="I18251" s="224" t="s">
        <v>2</v>
      </c>
    </row>
    <row r="18252" spans="1:9" x14ac:dyDescent="0.25">
      <c r="A18252" s="515">
        <v>37050</v>
      </c>
      <c r="C18252" s="52">
        <v>215645.13162595301</v>
      </c>
      <c r="D18252" s="56">
        <v>6.5505552418389595E-2</v>
      </c>
      <c r="E18252" s="224" t="s">
        <v>2</v>
      </c>
      <c r="F18252" s="515" t="s">
        <v>19425</v>
      </c>
      <c r="G18252" s="52">
        <v>479668.61487144802</v>
      </c>
      <c r="H18252" s="56">
        <v>2.5444604876643916E-2</v>
      </c>
      <c r="I18252" s="224" t="s">
        <v>2</v>
      </c>
    </row>
    <row r="18253" spans="1:9" x14ac:dyDescent="0.25">
      <c r="A18253" s="515">
        <v>61561</v>
      </c>
      <c r="B18253" s="515" t="s">
        <v>303</v>
      </c>
      <c r="C18253" s="52">
        <v>134466.62910010599</v>
      </c>
      <c r="D18253" s="56">
        <v>6.4982057247777378E-2</v>
      </c>
      <c r="E18253" s="224" t="s">
        <v>2</v>
      </c>
      <c r="F18253" s="515" t="s">
        <v>19426</v>
      </c>
      <c r="G18253" s="52">
        <v>264247.713416657</v>
      </c>
      <c r="H18253" s="56">
        <v>0.15537177145995371</v>
      </c>
      <c r="I18253" s="224" t="s">
        <v>2</v>
      </c>
    </row>
    <row r="18254" spans="1:9" x14ac:dyDescent="0.25">
      <c r="A18254" s="515">
        <v>55985</v>
      </c>
      <c r="B18254" s="515" t="s">
        <v>470</v>
      </c>
      <c r="C18254" s="52">
        <v>248272.529100349</v>
      </c>
      <c r="D18254" s="56">
        <v>8.5993520011837007E-2</v>
      </c>
      <c r="E18254" s="224" t="s">
        <v>2</v>
      </c>
      <c r="F18254" s="515" t="s">
        <v>19427</v>
      </c>
      <c r="G18254" s="52">
        <v>100309.32234778399</v>
      </c>
      <c r="H18254" s="56">
        <v>-3.2730400261010414E-2</v>
      </c>
      <c r="I18254" s="224" t="s">
        <v>2</v>
      </c>
    </row>
    <row r="18255" spans="1:9" x14ac:dyDescent="0.25">
      <c r="A18255" s="515">
        <v>31780</v>
      </c>
      <c r="B18255" s="515" t="s">
        <v>763</v>
      </c>
      <c r="C18255" s="52">
        <v>92047.642635417098</v>
      </c>
      <c r="D18255" s="56">
        <v>7.3386255980762274E-2</v>
      </c>
      <c r="E18255" s="224" t="s">
        <v>2</v>
      </c>
      <c r="F18255" s="515" t="s">
        <v>19428</v>
      </c>
      <c r="G18255" s="52">
        <v>112050.84164076</v>
      </c>
      <c r="H18255" s="56">
        <v>2.9167664563476758E-2</v>
      </c>
      <c r="I18255" s="224" t="s">
        <v>2</v>
      </c>
    </row>
    <row r="18256" spans="1:9" x14ac:dyDescent="0.25">
      <c r="A18256" s="515">
        <v>5261</v>
      </c>
      <c r="B18256" s="515" t="s">
        <v>657</v>
      </c>
      <c r="C18256" s="52">
        <v>255108.30271044499</v>
      </c>
      <c r="D18256" s="56">
        <v>5.1074406327874571E-2</v>
      </c>
      <c r="E18256" s="224" t="s">
        <v>2</v>
      </c>
      <c r="F18256" s="515" t="s">
        <v>19429</v>
      </c>
      <c r="G18256" s="52">
        <v>197931.435883803</v>
      </c>
      <c r="H18256" s="56">
        <v>0.10029258655031402</v>
      </c>
      <c r="I18256" s="224" t="s">
        <v>2</v>
      </c>
    </row>
    <row r="18257" spans="1:9" x14ac:dyDescent="0.25">
      <c r="A18257" s="515">
        <v>45729</v>
      </c>
      <c r="B18257" s="515" t="s">
        <v>665</v>
      </c>
      <c r="C18257" s="52">
        <v>214762.516876473</v>
      </c>
      <c r="D18257" s="56">
        <v>6.3999602814729842E-2</v>
      </c>
      <c r="E18257" s="224" t="s">
        <v>2</v>
      </c>
      <c r="F18257" s="515" t="s">
        <v>19430</v>
      </c>
      <c r="G18257" s="52">
        <v>107730.098834759</v>
      </c>
      <c r="H18257" s="56">
        <v>6.4160252696829942E-2</v>
      </c>
      <c r="I18257" s="224" t="s">
        <v>2</v>
      </c>
    </row>
    <row r="18258" spans="1:9" x14ac:dyDescent="0.25">
      <c r="A18258" s="515">
        <v>12192</v>
      </c>
      <c r="C18258" s="52">
        <v>282443.723023856</v>
      </c>
      <c r="D18258" s="56">
        <v>7.2315797739127302E-2</v>
      </c>
      <c r="E18258" s="224" t="s">
        <v>2</v>
      </c>
      <c r="F18258" s="515" t="s">
        <v>19431</v>
      </c>
      <c r="G18258" s="52">
        <v>276515.59437768802</v>
      </c>
      <c r="H18258" s="56">
        <v>0.11748940504832965</v>
      </c>
      <c r="I18258" s="224" t="s">
        <v>2</v>
      </c>
    </row>
    <row r="18259" spans="1:9" x14ac:dyDescent="0.25">
      <c r="A18259" s="515">
        <v>99827</v>
      </c>
      <c r="C18259" s="52">
        <v>312412.79643118102</v>
      </c>
      <c r="D18259" s="56">
        <v>1.0267160086362227E-2</v>
      </c>
      <c r="E18259" s="224" t="s">
        <v>2</v>
      </c>
      <c r="F18259" s="515" t="s">
        <v>19432</v>
      </c>
      <c r="G18259" s="52">
        <v>162105.06787746199</v>
      </c>
      <c r="H18259" s="56">
        <v>0</v>
      </c>
      <c r="I18259" s="224" t="s">
        <v>2</v>
      </c>
    </row>
    <row r="18260" spans="1:9" x14ac:dyDescent="0.25">
      <c r="A18260" s="515">
        <v>6103</v>
      </c>
      <c r="B18260" s="515" t="s">
        <v>894</v>
      </c>
      <c r="C18260" s="52">
        <v>154299.61233366301</v>
      </c>
      <c r="D18260" s="56">
        <v>0.13532217271426936</v>
      </c>
      <c r="E18260" s="224" t="s">
        <v>2</v>
      </c>
      <c r="F18260" s="515" t="s">
        <v>19433</v>
      </c>
      <c r="G18260" s="52">
        <v>194423.63949276201</v>
      </c>
      <c r="H18260" s="56">
        <v>5.5441066383971033E-2</v>
      </c>
      <c r="I18260" s="224" t="s">
        <v>2</v>
      </c>
    </row>
    <row r="18261" spans="1:9" x14ac:dyDescent="0.25">
      <c r="A18261" s="515">
        <v>67050</v>
      </c>
      <c r="B18261" s="515" t="s">
        <v>485</v>
      </c>
      <c r="C18261" s="52">
        <v>277104.31492838898</v>
      </c>
      <c r="D18261" s="56">
        <v>7.8164205247650498E-2</v>
      </c>
      <c r="E18261" s="224" t="s">
        <v>2</v>
      </c>
      <c r="F18261" s="515" t="s">
        <v>19434</v>
      </c>
      <c r="G18261" s="52">
        <v>114283.041930316</v>
      </c>
      <c r="H18261" s="56">
        <v>0.10106622599746697</v>
      </c>
      <c r="I18261" s="224" t="s">
        <v>2</v>
      </c>
    </row>
    <row r="18262" spans="1:9" x14ac:dyDescent="0.25">
      <c r="A18262" s="515">
        <v>17772</v>
      </c>
      <c r="B18262" s="515" t="s">
        <v>939</v>
      </c>
      <c r="C18262" s="52">
        <v>220454.78530263301</v>
      </c>
      <c r="D18262" s="56">
        <v>2.283961664974124E-2</v>
      </c>
      <c r="E18262" s="224" t="s">
        <v>2</v>
      </c>
      <c r="F18262" s="515" t="s">
        <v>19435</v>
      </c>
      <c r="G18262" s="52">
        <v>323563.191479459</v>
      </c>
      <c r="H18262" s="56">
        <v>4.3883026630674338E-2</v>
      </c>
      <c r="I18262" s="224" t="s">
        <v>2</v>
      </c>
    </row>
    <row r="18263" spans="1:9" x14ac:dyDescent="0.25">
      <c r="A18263" s="515">
        <v>63965</v>
      </c>
      <c r="C18263" s="52">
        <v>188378.77289242001</v>
      </c>
      <c r="D18263" s="56">
        <v>-3.0047761643129129E-2</v>
      </c>
      <c r="E18263" s="224" t="s">
        <v>2</v>
      </c>
      <c r="F18263" s="515" t="s">
        <v>19436</v>
      </c>
      <c r="G18263" s="52">
        <v>474467.53505580098</v>
      </c>
      <c r="H18263" s="56">
        <v>3.1546886345099404E-2</v>
      </c>
      <c r="I18263" s="224" t="s">
        <v>2</v>
      </c>
    </row>
    <row r="18264" spans="1:9" x14ac:dyDescent="0.25">
      <c r="A18264" s="515">
        <v>56586</v>
      </c>
      <c r="B18264" s="515" t="s">
        <v>601</v>
      </c>
      <c r="C18264" s="52">
        <v>298760.88099812501</v>
      </c>
      <c r="D18264" s="56">
        <v>0.10838830431754913</v>
      </c>
      <c r="E18264" s="224" t="s">
        <v>2</v>
      </c>
      <c r="F18264" s="515" t="s">
        <v>19437</v>
      </c>
      <c r="G18264" s="52">
        <v>384828.02962604503</v>
      </c>
      <c r="H18264" s="56">
        <v>2.5438676993411766E-2</v>
      </c>
      <c r="I18264" s="224" t="s">
        <v>2</v>
      </c>
    </row>
    <row r="18265" spans="1:9" x14ac:dyDescent="0.25">
      <c r="A18265" s="515">
        <v>64120</v>
      </c>
      <c r="B18265" s="515" t="s">
        <v>455</v>
      </c>
      <c r="C18265" s="52">
        <v>72184.960477215398</v>
      </c>
      <c r="D18265" s="56">
        <v>0.27387714469373897</v>
      </c>
      <c r="E18265" s="224">
        <v>1351.25</v>
      </c>
      <c r="F18265" s="515" t="s">
        <v>19438</v>
      </c>
      <c r="G18265" s="52">
        <v>320792.115209601</v>
      </c>
      <c r="H18265" s="56">
        <v>6.8225530176662011E-2</v>
      </c>
      <c r="I18265" s="224" t="s">
        <v>2</v>
      </c>
    </row>
    <row r="18266" spans="1:9" x14ac:dyDescent="0.25">
      <c r="A18266" s="515">
        <v>51241</v>
      </c>
      <c r="C18266" s="52">
        <v>253141.04515845401</v>
      </c>
      <c r="D18266" s="56">
        <v>6.3160160776581709E-2</v>
      </c>
      <c r="E18266" s="224" t="s">
        <v>2</v>
      </c>
      <c r="F18266" s="515" t="s">
        <v>19439</v>
      </c>
      <c r="G18266" s="52">
        <v>208960.2</v>
      </c>
      <c r="H18266" s="56">
        <v>0</v>
      </c>
      <c r="I18266" s="224" t="s">
        <v>2</v>
      </c>
    </row>
    <row r="18267" spans="1:9" x14ac:dyDescent="0.25">
      <c r="A18267" s="515">
        <v>83448</v>
      </c>
      <c r="B18267" s="515" t="s">
        <v>843</v>
      </c>
      <c r="C18267" s="52">
        <v>373183.12365898001</v>
      </c>
      <c r="D18267" s="56">
        <v>2.0748712693418325E-2</v>
      </c>
      <c r="E18267" s="224" t="s">
        <v>2</v>
      </c>
      <c r="F18267" s="515" t="s">
        <v>19440</v>
      </c>
      <c r="G18267" s="52">
        <v>101425.474430862</v>
      </c>
      <c r="H18267" s="56">
        <v>3.1276343270885611E-2</v>
      </c>
      <c r="I18267" s="224" t="s">
        <v>2</v>
      </c>
    </row>
    <row r="18268" spans="1:9" x14ac:dyDescent="0.25">
      <c r="A18268" s="515">
        <v>74865</v>
      </c>
      <c r="B18268" s="515" t="s">
        <v>694</v>
      </c>
      <c r="C18268" s="52">
        <v>165405.18285063599</v>
      </c>
      <c r="D18268" s="56">
        <v>0.14984440299444882</v>
      </c>
      <c r="E18268" s="224" t="s">
        <v>2</v>
      </c>
      <c r="F18268" s="515" t="s">
        <v>19441</v>
      </c>
      <c r="G18268" s="52">
        <v>147658.169305941</v>
      </c>
      <c r="H18268" s="56">
        <v>-4.9818811369631233E-2</v>
      </c>
      <c r="I18268" s="224" t="s">
        <v>2</v>
      </c>
    </row>
    <row r="18269" spans="1:9" x14ac:dyDescent="0.25">
      <c r="A18269" s="515">
        <v>24649</v>
      </c>
      <c r="C18269" s="52">
        <v>70015.323790507202</v>
      </c>
      <c r="D18269" s="56">
        <v>6.4008062499248064E-2</v>
      </c>
      <c r="E18269" s="224" t="s">
        <v>2</v>
      </c>
      <c r="F18269" s="515" t="s">
        <v>19442</v>
      </c>
      <c r="G18269" s="52">
        <v>181363.771906468</v>
      </c>
      <c r="H18269" s="56">
        <v>2.0603492460080093E-2</v>
      </c>
      <c r="I18269" s="224" t="s">
        <v>2</v>
      </c>
    </row>
    <row r="18270" spans="1:9" x14ac:dyDescent="0.25">
      <c r="A18270" s="515">
        <v>14817</v>
      </c>
      <c r="B18270" s="515" t="s">
        <v>1115</v>
      </c>
      <c r="C18270" s="52">
        <v>230523.884322055</v>
      </c>
      <c r="D18270" s="56">
        <v>9.8502381590311508E-2</v>
      </c>
      <c r="E18270" s="224" t="s">
        <v>2</v>
      </c>
      <c r="F18270" s="515" t="s">
        <v>19443</v>
      </c>
      <c r="G18270" s="52">
        <v>148525.44815823401</v>
      </c>
      <c r="H18270" s="56">
        <v>6.8312571234659031E-2</v>
      </c>
      <c r="I18270" s="224" t="s">
        <v>2</v>
      </c>
    </row>
    <row r="18271" spans="1:9" x14ac:dyDescent="0.25">
      <c r="A18271" s="515">
        <v>21520</v>
      </c>
      <c r="C18271" s="52">
        <v>260908.192978987</v>
      </c>
      <c r="D18271" s="56">
        <v>5.6594729394148925E-2</v>
      </c>
      <c r="E18271" s="224" t="s">
        <v>2</v>
      </c>
      <c r="F18271" s="515" t="s">
        <v>19444</v>
      </c>
      <c r="G18271" s="52">
        <v>258529.69506763</v>
      </c>
      <c r="H18271" s="56">
        <v>0</v>
      </c>
      <c r="I18271" s="224" t="s">
        <v>2</v>
      </c>
    </row>
    <row r="18272" spans="1:9" x14ac:dyDescent="0.25">
      <c r="A18272" s="515">
        <v>60941</v>
      </c>
      <c r="B18272" s="515" t="s">
        <v>774</v>
      </c>
      <c r="C18272" s="52">
        <v>206448.28726434399</v>
      </c>
      <c r="D18272" s="56">
        <v>8.655052996690156E-2</v>
      </c>
      <c r="E18272" s="224" t="s">
        <v>2</v>
      </c>
      <c r="F18272" s="515" t="s">
        <v>19445</v>
      </c>
      <c r="G18272" s="52">
        <v>196050.325895057</v>
      </c>
      <c r="H18272" s="56">
        <v>0.16560706247202645</v>
      </c>
      <c r="I18272" s="224" t="s">
        <v>2</v>
      </c>
    </row>
    <row r="18273" spans="1:9" x14ac:dyDescent="0.25">
      <c r="A18273" s="515">
        <v>23882</v>
      </c>
      <c r="B18273" s="515" t="s">
        <v>667</v>
      </c>
      <c r="C18273" s="52">
        <v>168068.03228157299</v>
      </c>
      <c r="D18273" s="56">
        <v>0.26102481594566335</v>
      </c>
      <c r="E18273" s="224" t="s">
        <v>2</v>
      </c>
      <c r="F18273" s="515" t="s">
        <v>19446</v>
      </c>
      <c r="G18273" s="52">
        <v>682615.05092631304</v>
      </c>
      <c r="H18273" s="56">
        <v>-1.1365968989641727E-2</v>
      </c>
      <c r="I18273" s="224" t="s">
        <v>2</v>
      </c>
    </row>
    <row r="18274" spans="1:9" x14ac:dyDescent="0.25">
      <c r="A18274" s="515">
        <v>60407</v>
      </c>
      <c r="B18274" s="515" t="s">
        <v>394</v>
      </c>
      <c r="C18274" s="52">
        <v>172891.13936549501</v>
      </c>
      <c r="D18274" s="56">
        <v>4.6569477301357326E-2</v>
      </c>
      <c r="E18274" s="224" t="s">
        <v>2</v>
      </c>
      <c r="F18274" s="515" t="s">
        <v>19447</v>
      </c>
      <c r="G18274" s="52">
        <v>101346.10574051</v>
      </c>
      <c r="H18274" s="56">
        <v>-6.3654660364297802E-2</v>
      </c>
      <c r="I18274" s="224" t="s">
        <v>2</v>
      </c>
    </row>
    <row r="18275" spans="1:9" x14ac:dyDescent="0.25">
      <c r="A18275" s="515">
        <v>96058</v>
      </c>
      <c r="C18275" s="52">
        <v>113627.62824885501</v>
      </c>
      <c r="D18275" s="56">
        <v>-2.7810087467482418E-2</v>
      </c>
      <c r="E18275" s="224" t="s">
        <v>2</v>
      </c>
      <c r="F18275" s="515" t="s">
        <v>19448</v>
      </c>
      <c r="G18275" s="52">
        <v>206961.182916016</v>
      </c>
      <c r="H18275" s="56">
        <v>0</v>
      </c>
      <c r="I18275" s="224" t="s">
        <v>2</v>
      </c>
    </row>
    <row r="18276" spans="1:9" x14ac:dyDescent="0.25">
      <c r="A18276" s="515">
        <v>68301</v>
      </c>
      <c r="B18276" s="515" t="s">
        <v>745</v>
      </c>
      <c r="C18276" s="52">
        <v>349862.61127732001</v>
      </c>
      <c r="D18276" s="56">
        <v>0.11356453431700764</v>
      </c>
      <c r="E18276" s="224" t="s">
        <v>2</v>
      </c>
      <c r="F18276" s="515" t="s">
        <v>19449</v>
      </c>
      <c r="G18276" s="52">
        <v>279147.83004071901</v>
      </c>
      <c r="H18276" s="56">
        <v>7.7806031083792096E-2</v>
      </c>
      <c r="I18276" s="224" t="s">
        <v>2</v>
      </c>
    </row>
    <row r="18277" spans="1:9" x14ac:dyDescent="0.25">
      <c r="A18277" s="515">
        <v>41640</v>
      </c>
      <c r="C18277" s="52">
        <v>69742.6042256535</v>
      </c>
      <c r="D18277" s="56">
        <v>0.15420966777906123</v>
      </c>
      <c r="E18277" s="224" t="s">
        <v>2</v>
      </c>
      <c r="F18277" s="515" t="s">
        <v>19450</v>
      </c>
      <c r="G18277" s="52">
        <v>145522.777949601</v>
      </c>
      <c r="H18277" s="56">
        <v>0.23747592421113931</v>
      </c>
      <c r="I18277" s="224" t="s">
        <v>2</v>
      </c>
    </row>
    <row r="18278" spans="1:9" x14ac:dyDescent="0.25">
      <c r="A18278" s="515">
        <v>35564</v>
      </c>
      <c r="C18278" s="52">
        <v>125061.88295612</v>
      </c>
      <c r="D18278" s="56">
        <v>0.14611117089498835</v>
      </c>
      <c r="E18278" s="224" t="s">
        <v>2</v>
      </c>
      <c r="F18278" s="515" t="s">
        <v>19451</v>
      </c>
      <c r="G18278" s="52">
        <v>146313.783330579</v>
      </c>
      <c r="H18278" s="56">
        <v>0</v>
      </c>
      <c r="I18278" s="224" t="s">
        <v>2</v>
      </c>
    </row>
    <row r="18279" spans="1:9" x14ac:dyDescent="0.25">
      <c r="A18279" s="515">
        <v>47145</v>
      </c>
      <c r="C18279" s="52">
        <v>164366.605858403</v>
      </c>
      <c r="D18279" s="56">
        <v>7.6678960812732955E-2</v>
      </c>
      <c r="E18279" s="224" t="s">
        <v>2</v>
      </c>
      <c r="F18279" s="515" t="s">
        <v>19452</v>
      </c>
      <c r="G18279" s="52">
        <v>226023.41488921599</v>
      </c>
      <c r="H18279" s="56">
        <v>0.12891744941849673</v>
      </c>
      <c r="I18279" s="224" t="s">
        <v>2</v>
      </c>
    </row>
    <row r="18280" spans="1:9" x14ac:dyDescent="0.25">
      <c r="A18280" s="515">
        <v>92401</v>
      </c>
      <c r="B18280" s="515" t="s">
        <v>599</v>
      </c>
      <c r="C18280" s="52">
        <v>307894.588878943</v>
      </c>
      <c r="D18280" s="56">
        <v>0.12472589087353397</v>
      </c>
      <c r="E18280" s="224" t="s">
        <v>2</v>
      </c>
      <c r="F18280" s="515" t="s">
        <v>19453</v>
      </c>
      <c r="G18280" s="52">
        <v>120241.846184763</v>
      </c>
      <c r="H18280" s="56">
        <v>7.8884048076248173E-2</v>
      </c>
      <c r="I18280" s="224" t="s">
        <v>2</v>
      </c>
    </row>
    <row r="18281" spans="1:9" x14ac:dyDescent="0.25">
      <c r="A18281" s="515">
        <v>93283</v>
      </c>
      <c r="B18281" s="515" t="s">
        <v>419</v>
      </c>
      <c r="C18281" s="52">
        <v>198158.61176133101</v>
      </c>
      <c r="D18281" s="56">
        <v>5.2874709662648713E-2</v>
      </c>
      <c r="E18281" s="224" t="s">
        <v>2</v>
      </c>
      <c r="F18281" s="515" t="s">
        <v>19454</v>
      </c>
      <c r="G18281" s="52">
        <v>542810.32492174499</v>
      </c>
      <c r="H18281" s="56">
        <v>-3.0780047489392909E-2</v>
      </c>
      <c r="I18281" s="224" t="s">
        <v>2</v>
      </c>
    </row>
    <row r="18282" spans="1:9" x14ac:dyDescent="0.25">
      <c r="A18282" s="515">
        <v>96047</v>
      </c>
      <c r="B18282" s="515" t="s">
        <v>514</v>
      </c>
      <c r="C18282" s="52">
        <v>325611.347506597</v>
      </c>
      <c r="D18282" s="56">
        <v>-8.3543815457077522E-2</v>
      </c>
      <c r="E18282" s="224" t="s">
        <v>2</v>
      </c>
      <c r="F18282" s="515" t="s">
        <v>19455</v>
      </c>
      <c r="G18282" s="52">
        <v>123632.96282124</v>
      </c>
      <c r="H18282" s="56">
        <v>4.6209287241626817E-2</v>
      </c>
      <c r="I18282" s="224" t="s">
        <v>2</v>
      </c>
    </row>
    <row r="18283" spans="1:9" x14ac:dyDescent="0.25">
      <c r="A18283" s="515">
        <v>24165</v>
      </c>
      <c r="B18283" s="515" t="s">
        <v>1114</v>
      </c>
      <c r="C18283" s="52">
        <v>116642.75003112599</v>
      </c>
      <c r="D18283" s="56">
        <v>9.5281348878675245E-2</v>
      </c>
      <c r="E18283" s="224" t="s">
        <v>2</v>
      </c>
      <c r="F18283" s="515" t="s">
        <v>19456</v>
      </c>
      <c r="G18283" s="52">
        <v>201244.19297858101</v>
      </c>
      <c r="H18283" s="56">
        <v>4.6967272460062999E-2</v>
      </c>
      <c r="I18283" s="224" t="s">
        <v>2</v>
      </c>
    </row>
    <row r="18284" spans="1:9" x14ac:dyDescent="0.25">
      <c r="A18284" s="515">
        <v>61849</v>
      </c>
      <c r="B18284" s="515" t="s">
        <v>417</v>
      </c>
      <c r="C18284" s="52">
        <v>142307.58957466899</v>
      </c>
      <c r="D18284" s="56">
        <v>1.4987940911777485E-2</v>
      </c>
      <c r="E18284" s="224" t="s">
        <v>2</v>
      </c>
      <c r="F18284" s="515" t="s">
        <v>19457</v>
      </c>
      <c r="G18284" s="52">
        <v>129330.862834656</v>
      </c>
      <c r="H18284" s="56">
        <v>0.11320816953685364</v>
      </c>
      <c r="I18284" s="224" t="s">
        <v>2</v>
      </c>
    </row>
    <row r="18285" spans="1:9" x14ac:dyDescent="0.25">
      <c r="A18285" s="515">
        <v>55031</v>
      </c>
      <c r="B18285" s="515" t="s">
        <v>532</v>
      </c>
      <c r="C18285" s="52">
        <v>410250.66727270099</v>
      </c>
      <c r="D18285" s="56">
        <v>2.6829722378487447E-2</v>
      </c>
      <c r="E18285" s="224" t="s">
        <v>2</v>
      </c>
      <c r="F18285" s="515" t="s">
        <v>19458</v>
      </c>
      <c r="G18285" s="52">
        <v>204937.11039008599</v>
      </c>
      <c r="H18285" s="56">
        <v>8.904048163722246E-2</v>
      </c>
      <c r="I18285" s="224" t="s">
        <v>2</v>
      </c>
    </row>
    <row r="18286" spans="1:9" x14ac:dyDescent="0.25">
      <c r="A18286" s="515">
        <v>99173</v>
      </c>
      <c r="B18286" s="515" t="s">
        <v>820</v>
      </c>
      <c r="C18286" s="52">
        <v>290831.65451621899</v>
      </c>
      <c r="D18286" s="56">
        <v>4.1074218821098948E-2</v>
      </c>
      <c r="E18286" s="224" t="s">
        <v>2</v>
      </c>
      <c r="F18286" s="515" t="s">
        <v>19459</v>
      </c>
      <c r="G18286" s="52">
        <v>211393.83371783799</v>
      </c>
      <c r="H18286" s="56">
        <v>7.5313113225114692E-2</v>
      </c>
      <c r="I18286" s="224" t="s">
        <v>2</v>
      </c>
    </row>
    <row r="18287" spans="1:9" x14ac:dyDescent="0.25">
      <c r="A18287" s="515">
        <v>62938</v>
      </c>
      <c r="C18287" s="52">
        <v>118907.189497498</v>
      </c>
      <c r="D18287" s="56">
        <v>-6.7145384718236625E-2</v>
      </c>
      <c r="E18287" s="224" t="s">
        <v>2</v>
      </c>
      <c r="F18287" s="515" t="s">
        <v>19460</v>
      </c>
      <c r="G18287" s="52">
        <v>330410.70262616599</v>
      </c>
      <c r="H18287" s="56">
        <v>0.11854491021406643</v>
      </c>
      <c r="I18287" s="224" t="s">
        <v>2</v>
      </c>
    </row>
    <row r="18288" spans="1:9" x14ac:dyDescent="0.25">
      <c r="A18288" s="515">
        <v>53932</v>
      </c>
      <c r="B18288" s="515" t="s">
        <v>727</v>
      </c>
      <c r="C18288" s="52">
        <v>288404.68444368697</v>
      </c>
      <c r="D18288" s="56">
        <v>6.4864016941939856E-2</v>
      </c>
      <c r="E18288" s="224" t="s">
        <v>2</v>
      </c>
      <c r="F18288" s="515" t="s">
        <v>19461</v>
      </c>
      <c r="G18288" s="52">
        <v>164281.086101455</v>
      </c>
      <c r="H18288" s="56">
        <v>0.22637846504264469</v>
      </c>
      <c r="I18288" s="224" t="s">
        <v>2</v>
      </c>
    </row>
    <row r="18289" spans="1:9" x14ac:dyDescent="0.25">
      <c r="A18289" s="515">
        <v>5262</v>
      </c>
      <c r="B18289" s="515" t="s">
        <v>657</v>
      </c>
      <c r="C18289" s="52">
        <v>332242.87587606697</v>
      </c>
      <c r="D18289" s="56">
        <v>8.2750973136888201E-2</v>
      </c>
      <c r="E18289" s="224" t="s">
        <v>2</v>
      </c>
      <c r="F18289" s="515" t="s">
        <v>19462</v>
      </c>
      <c r="G18289" s="52">
        <v>296201.47881392098</v>
      </c>
      <c r="H18289" s="56">
        <v>8.1475221369247092E-2</v>
      </c>
      <c r="I18289" s="224" t="s">
        <v>2</v>
      </c>
    </row>
    <row r="18290" spans="1:9" x14ac:dyDescent="0.25">
      <c r="A18290" s="515">
        <v>49795</v>
      </c>
      <c r="C18290" s="52">
        <v>151912.47425374601</v>
      </c>
      <c r="D18290" s="56">
        <v>5.0292642264453284E-2</v>
      </c>
      <c r="E18290" s="224" t="s">
        <v>2</v>
      </c>
      <c r="F18290" s="515" t="s">
        <v>19463</v>
      </c>
      <c r="G18290" s="52">
        <v>71258.857142857101</v>
      </c>
      <c r="H18290" s="56">
        <v>0</v>
      </c>
      <c r="I18290" s="224" t="s">
        <v>2</v>
      </c>
    </row>
    <row r="18291" spans="1:9" x14ac:dyDescent="0.25">
      <c r="A18291" s="515">
        <v>47227</v>
      </c>
      <c r="B18291" s="515" t="s">
        <v>526</v>
      </c>
      <c r="C18291" s="52">
        <v>202137.08073746701</v>
      </c>
      <c r="D18291" s="56">
        <v>0.10315334681605529</v>
      </c>
      <c r="E18291" s="224" t="s">
        <v>2</v>
      </c>
      <c r="F18291" s="515" t="s">
        <v>19464</v>
      </c>
      <c r="G18291" s="52">
        <v>237363.790938752</v>
      </c>
      <c r="H18291" s="56">
        <v>5.7917761372569002E-2</v>
      </c>
      <c r="I18291" s="224" t="s">
        <v>2</v>
      </c>
    </row>
    <row r="18292" spans="1:9" x14ac:dyDescent="0.25">
      <c r="A18292" s="515">
        <v>71454</v>
      </c>
      <c r="B18292" s="515" t="s">
        <v>968</v>
      </c>
      <c r="C18292" s="52">
        <v>91086.470743521597</v>
      </c>
      <c r="D18292" s="56">
        <v>3.5048475638033455E-2</v>
      </c>
      <c r="E18292" s="224" t="s">
        <v>2</v>
      </c>
      <c r="F18292" s="515" t="s">
        <v>19465</v>
      </c>
      <c r="G18292" s="52">
        <v>66979.898143768994</v>
      </c>
      <c r="H18292" s="56">
        <v>8.5211603765116509E-2</v>
      </c>
      <c r="I18292" s="224" t="s">
        <v>2</v>
      </c>
    </row>
    <row r="18293" spans="1:9" x14ac:dyDescent="0.25">
      <c r="A18293" s="515">
        <v>79371</v>
      </c>
      <c r="C18293" s="52">
        <v>115218.251060694</v>
      </c>
      <c r="D18293" s="56">
        <v>-0.10992842142128713</v>
      </c>
      <c r="E18293" s="224" t="s">
        <v>2</v>
      </c>
      <c r="F18293" s="515" t="s">
        <v>19466</v>
      </c>
      <c r="G18293" s="52">
        <v>97777.748031495998</v>
      </c>
      <c r="H18293" s="56">
        <v>0</v>
      </c>
      <c r="I18293" s="224" t="s">
        <v>2</v>
      </c>
    </row>
    <row r="18294" spans="1:9" x14ac:dyDescent="0.25">
      <c r="A18294" s="515">
        <v>49446</v>
      </c>
      <c r="C18294" s="52">
        <v>189303.10628328199</v>
      </c>
      <c r="D18294" s="56">
        <v>3.1876034757296695E-2</v>
      </c>
      <c r="E18294" s="224" t="s">
        <v>2</v>
      </c>
      <c r="F18294" s="515" t="s">
        <v>19467</v>
      </c>
      <c r="G18294" s="52">
        <v>163535.518253199</v>
      </c>
      <c r="H18294" s="56">
        <v>3.4846118442348049E-2</v>
      </c>
      <c r="I18294" s="224" t="s">
        <v>2</v>
      </c>
    </row>
    <row r="18295" spans="1:9" x14ac:dyDescent="0.25">
      <c r="A18295" s="515">
        <v>67861</v>
      </c>
      <c r="C18295" s="52">
        <v>129412.77299251901</v>
      </c>
      <c r="D18295" s="56">
        <v>0.13096922417403098</v>
      </c>
      <c r="E18295" s="224" t="s">
        <v>2</v>
      </c>
      <c r="F18295" s="515" t="s">
        <v>19468</v>
      </c>
      <c r="G18295" s="52">
        <v>274634.71643668902</v>
      </c>
      <c r="H18295" s="56">
        <v>0.1092279906116662</v>
      </c>
      <c r="I18295" s="224" t="s">
        <v>2</v>
      </c>
    </row>
    <row r="18296" spans="1:9" x14ac:dyDescent="0.25">
      <c r="A18296" s="515">
        <v>43716</v>
      </c>
      <c r="C18296" s="52">
        <v>133905.05793965701</v>
      </c>
      <c r="D18296" s="56">
        <v>5.03543930208786E-3</v>
      </c>
      <c r="E18296" s="224" t="s">
        <v>2</v>
      </c>
      <c r="F18296" s="515" t="s">
        <v>19469</v>
      </c>
      <c r="G18296" s="52">
        <v>181662.86820029601</v>
      </c>
      <c r="H18296" s="56">
        <v>5.2818448003950349E-4</v>
      </c>
      <c r="I18296" s="224" t="s">
        <v>2</v>
      </c>
    </row>
    <row r="18297" spans="1:9" x14ac:dyDescent="0.25">
      <c r="A18297" s="515">
        <v>14533</v>
      </c>
      <c r="B18297" s="515" t="s">
        <v>337</v>
      </c>
      <c r="C18297" s="52">
        <v>184167.01299103099</v>
      </c>
      <c r="D18297" s="56">
        <v>7.3175094556531664E-2</v>
      </c>
      <c r="E18297" s="224" t="s">
        <v>2</v>
      </c>
      <c r="F18297" s="515" t="s">
        <v>19470</v>
      </c>
      <c r="G18297" s="52">
        <v>93545.794168254695</v>
      </c>
      <c r="H18297" s="56">
        <v>4.9947695403622587E-2</v>
      </c>
      <c r="I18297" s="224" t="s">
        <v>2</v>
      </c>
    </row>
    <row r="18298" spans="1:9" x14ac:dyDescent="0.25">
      <c r="A18298" s="515">
        <v>48725</v>
      </c>
      <c r="C18298" s="52">
        <v>154935.92002772499</v>
      </c>
      <c r="D18298" s="56">
        <v>5.8588388223595605E-2</v>
      </c>
      <c r="E18298" s="224" t="s">
        <v>2</v>
      </c>
      <c r="F18298" s="515" t="s">
        <v>19471</v>
      </c>
      <c r="G18298" s="52">
        <v>70174.9374898924</v>
      </c>
      <c r="H18298" s="56">
        <v>3.1054246760879506E-2</v>
      </c>
      <c r="I18298" s="224" t="s">
        <v>2</v>
      </c>
    </row>
    <row r="18299" spans="1:9" x14ac:dyDescent="0.25">
      <c r="A18299" s="515">
        <v>38450</v>
      </c>
      <c r="C18299" s="52">
        <v>120817.117660045</v>
      </c>
      <c r="D18299" s="56">
        <v>1.2772777502291499E-2</v>
      </c>
      <c r="E18299" s="224" t="s">
        <v>2</v>
      </c>
      <c r="F18299" s="515" t="s">
        <v>19472</v>
      </c>
      <c r="G18299" s="52">
        <v>150134.037689558</v>
      </c>
      <c r="H18299" s="56">
        <v>5.5509235095144188E-2</v>
      </c>
      <c r="I18299" s="224" t="s">
        <v>2</v>
      </c>
    </row>
    <row r="18300" spans="1:9" x14ac:dyDescent="0.25">
      <c r="A18300" s="515">
        <v>12937</v>
      </c>
      <c r="B18300" s="515" t="s">
        <v>706</v>
      </c>
      <c r="C18300" s="52">
        <v>120226.109273763</v>
      </c>
      <c r="D18300" s="56">
        <v>0.23404486786858933</v>
      </c>
      <c r="E18300" s="224" t="s">
        <v>2</v>
      </c>
      <c r="F18300" s="515" t="s">
        <v>19473</v>
      </c>
      <c r="G18300" s="52">
        <v>182531.033506331</v>
      </c>
      <c r="H18300" s="56">
        <v>-1.4001539874373678E-2</v>
      </c>
      <c r="I18300" s="224" t="s">
        <v>2</v>
      </c>
    </row>
    <row r="18301" spans="1:9" x14ac:dyDescent="0.25">
      <c r="A18301" s="515">
        <v>16936</v>
      </c>
      <c r="C18301" s="52">
        <v>176155.948613268</v>
      </c>
      <c r="D18301" s="56">
        <v>0.10514015260690156</v>
      </c>
      <c r="E18301" s="224" t="s">
        <v>2</v>
      </c>
      <c r="F18301" s="515" t="s">
        <v>19474</v>
      </c>
      <c r="G18301" s="52">
        <v>194120.773160023</v>
      </c>
      <c r="H18301" s="56">
        <v>3.0948228771904604E-2</v>
      </c>
      <c r="I18301" s="224" t="s">
        <v>2</v>
      </c>
    </row>
    <row r="18302" spans="1:9" x14ac:dyDescent="0.25">
      <c r="A18302" s="515">
        <v>68979</v>
      </c>
      <c r="C18302" s="52">
        <v>167845.15268512501</v>
      </c>
      <c r="D18302" s="56">
        <v>0.15969593029638346</v>
      </c>
      <c r="E18302" s="224" t="s">
        <v>2</v>
      </c>
      <c r="F18302" s="515" t="s">
        <v>19475</v>
      </c>
      <c r="G18302" s="52">
        <v>131392.77099432601</v>
      </c>
      <c r="H18302" s="56">
        <v>0.12637376628364497</v>
      </c>
      <c r="I18302" s="224" t="s">
        <v>2</v>
      </c>
    </row>
    <row r="18303" spans="1:9" x14ac:dyDescent="0.25">
      <c r="A18303" s="515">
        <v>53543</v>
      </c>
      <c r="B18303" s="515" t="s">
        <v>727</v>
      </c>
      <c r="C18303" s="52">
        <v>194166.577094787</v>
      </c>
      <c r="D18303" s="56">
        <v>8.5285070086913856E-2</v>
      </c>
      <c r="E18303" s="224" t="s">
        <v>2</v>
      </c>
      <c r="F18303" s="515" t="s">
        <v>19476</v>
      </c>
      <c r="G18303" s="52">
        <v>77970.929292929199</v>
      </c>
      <c r="H18303" s="56">
        <v>0</v>
      </c>
      <c r="I18303" s="224" t="s">
        <v>2</v>
      </c>
    </row>
    <row r="18304" spans="1:9" x14ac:dyDescent="0.25">
      <c r="A18304" s="515">
        <v>25515</v>
      </c>
      <c r="B18304" s="515" t="s">
        <v>445</v>
      </c>
      <c r="C18304" s="52">
        <v>120587.43898551101</v>
      </c>
      <c r="D18304" s="56">
        <v>9.4293197175293345E-2</v>
      </c>
      <c r="E18304" s="224" t="s">
        <v>2</v>
      </c>
      <c r="F18304" s="515" t="s">
        <v>19477</v>
      </c>
      <c r="G18304" s="52">
        <v>1121186.0226841299</v>
      </c>
      <c r="H18304" s="56">
        <v>0.13527906778441437</v>
      </c>
      <c r="I18304" s="224" t="s">
        <v>2</v>
      </c>
    </row>
    <row r="18305" spans="1:9" x14ac:dyDescent="0.25">
      <c r="A18305" s="515">
        <v>2898</v>
      </c>
      <c r="B18305" s="515" t="s">
        <v>513</v>
      </c>
      <c r="C18305" s="52">
        <v>406490.63246440003</v>
      </c>
      <c r="D18305" s="56">
        <v>6.8253547767838277E-2</v>
      </c>
      <c r="E18305" s="224" t="s">
        <v>2</v>
      </c>
      <c r="F18305" s="515" t="s">
        <v>19478</v>
      </c>
      <c r="G18305" s="52">
        <v>82741.132544401597</v>
      </c>
      <c r="H18305" s="56">
        <v>8.7154088715197225E-2</v>
      </c>
      <c r="I18305" s="224" t="s">
        <v>2</v>
      </c>
    </row>
    <row r="18306" spans="1:9" x14ac:dyDescent="0.25">
      <c r="A18306" s="515">
        <v>38658</v>
      </c>
      <c r="C18306" s="52">
        <v>143295.80282438701</v>
      </c>
      <c r="D18306" s="56">
        <v>5.6253495654844776E-2</v>
      </c>
      <c r="E18306" s="224" t="s">
        <v>2</v>
      </c>
      <c r="F18306" s="515" t="s">
        <v>19479</v>
      </c>
      <c r="G18306" s="52">
        <v>277891.89024390199</v>
      </c>
      <c r="H18306" s="56">
        <v>0</v>
      </c>
      <c r="I18306" s="224" t="s">
        <v>2</v>
      </c>
    </row>
    <row r="18307" spans="1:9" x14ac:dyDescent="0.25">
      <c r="A18307" s="515">
        <v>46056</v>
      </c>
      <c r="B18307" s="515" t="s">
        <v>403</v>
      </c>
      <c r="C18307" s="52">
        <v>219929.0784655</v>
      </c>
      <c r="D18307" s="56">
        <v>7.2035651262099917E-2</v>
      </c>
      <c r="E18307" s="224" t="s">
        <v>2</v>
      </c>
      <c r="F18307" s="515" t="s">
        <v>19480</v>
      </c>
      <c r="G18307" s="52">
        <v>84943.386873733296</v>
      </c>
      <c r="H18307" s="56">
        <v>6.4743201100224787E-2</v>
      </c>
      <c r="I18307" s="224" t="s">
        <v>2</v>
      </c>
    </row>
    <row r="18308" spans="1:9" x14ac:dyDescent="0.25">
      <c r="A18308" s="515">
        <v>44411</v>
      </c>
      <c r="B18308" s="515" t="s">
        <v>1000</v>
      </c>
      <c r="C18308" s="52">
        <v>190502.626827392</v>
      </c>
      <c r="D18308" s="56">
        <v>0.12095271876856722</v>
      </c>
      <c r="E18308" s="224" t="s">
        <v>2</v>
      </c>
      <c r="F18308" s="515" t="s">
        <v>19481</v>
      </c>
      <c r="G18308" s="52">
        <v>280476.449428597</v>
      </c>
      <c r="H18308" s="56">
        <v>0.11575626729287009</v>
      </c>
      <c r="I18308" s="224" t="s">
        <v>2</v>
      </c>
    </row>
    <row r="18309" spans="1:9" x14ac:dyDescent="0.25">
      <c r="A18309" s="515">
        <v>87540</v>
      </c>
      <c r="B18309" s="515" t="s">
        <v>926</v>
      </c>
      <c r="C18309" s="52">
        <v>743560.50739171298</v>
      </c>
      <c r="D18309" s="56">
        <v>7.3183013096519242E-2</v>
      </c>
      <c r="E18309" s="224" t="s">
        <v>2</v>
      </c>
      <c r="F18309" s="515" t="s">
        <v>19482</v>
      </c>
      <c r="G18309" s="52">
        <v>58081.571670932499</v>
      </c>
      <c r="H18309" s="56">
        <v>0.16422397105967487</v>
      </c>
      <c r="I18309" s="224" t="s">
        <v>2</v>
      </c>
    </row>
    <row r="18310" spans="1:9" x14ac:dyDescent="0.25">
      <c r="A18310" s="515">
        <v>20818</v>
      </c>
      <c r="B18310" s="515" t="s">
        <v>321</v>
      </c>
      <c r="C18310" s="52">
        <v>1103501.7067358601</v>
      </c>
      <c r="D18310" s="56">
        <v>1.7204771896509909E-2</v>
      </c>
      <c r="E18310" s="224" t="s">
        <v>2</v>
      </c>
      <c r="F18310" s="515" t="s">
        <v>19483</v>
      </c>
      <c r="G18310" s="52">
        <v>108308.452763657</v>
      </c>
      <c r="H18310" s="56">
        <v>-1.1293877330501734E-2</v>
      </c>
      <c r="I18310" s="224" t="s">
        <v>2</v>
      </c>
    </row>
    <row r="18311" spans="1:9" x14ac:dyDescent="0.25">
      <c r="A18311" s="515">
        <v>57442</v>
      </c>
      <c r="C18311" s="52">
        <v>135902.72972972901</v>
      </c>
      <c r="D18311" s="56">
        <v>0</v>
      </c>
      <c r="E18311" s="224" t="s">
        <v>2</v>
      </c>
      <c r="F18311" s="515" t="s">
        <v>19484</v>
      </c>
      <c r="G18311" s="52">
        <v>127455.454267869</v>
      </c>
      <c r="H18311" s="56">
        <v>0.15535365762182474</v>
      </c>
      <c r="I18311" s="224" t="s">
        <v>2</v>
      </c>
    </row>
    <row r="18312" spans="1:9" x14ac:dyDescent="0.25">
      <c r="A18312" s="515">
        <v>58270</v>
      </c>
      <c r="C18312" s="52">
        <v>140478.200092432</v>
      </c>
      <c r="D18312" s="56">
        <v>0.14959592411075942</v>
      </c>
      <c r="E18312" s="224" t="s">
        <v>2</v>
      </c>
      <c r="F18312" s="515" t="s">
        <v>19485</v>
      </c>
      <c r="G18312" s="52">
        <v>186589.31728323299</v>
      </c>
      <c r="H18312" s="56">
        <v>9.0028583764493367E-2</v>
      </c>
      <c r="I18312" s="224" t="s">
        <v>2</v>
      </c>
    </row>
    <row r="18313" spans="1:9" x14ac:dyDescent="0.25">
      <c r="A18313" s="515">
        <v>38661</v>
      </c>
      <c r="B18313" s="515" t="s">
        <v>951</v>
      </c>
      <c r="C18313" s="52">
        <v>188222.10210901001</v>
      </c>
      <c r="D18313" s="56">
        <v>7.5237654210232666E-2</v>
      </c>
      <c r="E18313" s="224" t="s">
        <v>2</v>
      </c>
      <c r="F18313" s="515" t="s">
        <v>19486</v>
      </c>
      <c r="G18313" s="52">
        <v>197353.87804878</v>
      </c>
      <c r="H18313" s="56">
        <v>0</v>
      </c>
      <c r="I18313" s="224" t="s">
        <v>2</v>
      </c>
    </row>
    <row r="18314" spans="1:9" x14ac:dyDescent="0.25">
      <c r="A18314" s="515">
        <v>72645</v>
      </c>
      <c r="C18314" s="52">
        <v>106196.66104045</v>
      </c>
      <c r="D18314" s="56">
        <v>7.2585828989486248E-2</v>
      </c>
      <c r="E18314" s="224" t="s">
        <v>2</v>
      </c>
      <c r="F18314" s="515" t="s">
        <v>19487</v>
      </c>
      <c r="G18314" s="52">
        <v>110302.654438739</v>
      </c>
      <c r="H18314" s="56">
        <v>0.10355956312019388</v>
      </c>
      <c r="I18314" s="224" t="s">
        <v>2</v>
      </c>
    </row>
    <row r="18315" spans="1:9" x14ac:dyDescent="0.25">
      <c r="A18315" s="515">
        <v>41216</v>
      </c>
      <c r="C18315" s="52">
        <v>128025.152996565</v>
      </c>
      <c r="D18315" s="56">
        <v>0.14385708656693688</v>
      </c>
      <c r="E18315" s="224" t="s">
        <v>2</v>
      </c>
      <c r="F18315" s="515" t="s">
        <v>19488</v>
      </c>
      <c r="G18315" s="52">
        <v>305360.315803745</v>
      </c>
      <c r="H18315" s="56">
        <v>4.0152680794075808E-2</v>
      </c>
      <c r="I18315" s="224" t="s">
        <v>2</v>
      </c>
    </row>
    <row r="18316" spans="1:9" x14ac:dyDescent="0.25">
      <c r="A18316" s="515">
        <v>57761</v>
      </c>
      <c r="B18316" s="515" t="s">
        <v>854</v>
      </c>
      <c r="C18316" s="52">
        <v>317209.45684932999</v>
      </c>
      <c r="D18316" s="56">
        <v>0.23506841638025724</v>
      </c>
      <c r="E18316" s="224" t="s">
        <v>2</v>
      </c>
      <c r="F18316" s="515" t="s">
        <v>19489</v>
      </c>
      <c r="G18316" s="52">
        <v>96421.989764488797</v>
      </c>
      <c r="H18316" s="56">
        <v>0.19758238303277167</v>
      </c>
      <c r="I18316" s="224" t="s">
        <v>2</v>
      </c>
    </row>
    <row r="18317" spans="1:9" x14ac:dyDescent="0.25">
      <c r="A18317" s="515">
        <v>56131</v>
      </c>
      <c r="C18317" s="52">
        <v>172957.97348709701</v>
      </c>
      <c r="D18317" s="56">
        <v>6.1122288227231932E-2</v>
      </c>
      <c r="E18317" s="224" t="s">
        <v>2</v>
      </c>
      <c r="F18317" s="515" t="s">
        <v>19490</v>
      </c>
      <c r="G18317" s="52">
        <v>456945.34883093397</v>
      </c>
      <c r="H18317" s="56">
        <v>3.316524366440593E-2</v>
      </c>
      <c r="I18317" s="224" t="s">
        <v>2</v>
      </c>
    </row>
    <row r="18318" spans="1:9" x14ac:dyDescent="0.25">
      <c r="A18318" s="515">
        <v>1054</v>
      </c>
      <c r="B18318" s="515" t="s">
        <v>575</v>
      </c>
      <c r="C18318" s="52">
        <v>422023.45010712201</v>
      </c>
      <c r="D18318" s="56">
        <v>8.2484991252706169E-2</v>
      </c>
      <c r="E18318" s="224" t="s">
        <v>2</v>
      </c>
      <c r="F18318" s="515" t="s">
        <v>19491</v>
      </c>
      <c r="G18318" s="52">
        <v>323755.705940101</v>
      </c>
      <c r="H18318" s="56">
        <v>0</v>
      </c>
      <c r="I18318" s="224" t="s">
        <v>2</v>
      </c>
    </row>
    <row r="18319" spans="1:9" x14ac:dyDescent="0.25">
      <c r="A18319" s="515">
        <v>75102</v>
      </c>
      <c r="B18319" s="515" t="s">
        <v>655</v>
      </c>
      <c r="C18319" s="52">
        <v>273089.66666666599</v>
      </c>
      <c r="D18319" s="56">
        <v>0</v>
      </c>
      <c r="E18319" s="224" t="s">
        <v>2</v>
      </c>
      <c r="F18319" s="515" t="s">
        <v>19492</v>
      </c>
      <c r="G18319" s="52">
        <v>295695.68424425798</v>
      </c>
      <c r="H18319" s="56">
        <v>1.9057482669907047E-2</v>
      </c>
      <c r="I18319" s="224" t="s">
        <v>2</v>
      </c>
    </row>
    <row r="18320" spans="1:9" x14ac:dyDescent="0.25">
      <c r="A18320" s="515">
        <v>61030</v>
      </c>
      <c r="B18320" s="515" t="s">
        <v>429</v>
      </c>
      <c r="C18320" s="52">
        <v>125146.261281967</v>
      </c>
      <c r="D18320" s="56">
        <v>5.5995147511182154E-2</v>
      </c>
      <c r="E18320" s="224" t="s">
        <v>2</v>
      </c>
      <c r="F18320" s="515" t="s">
        <v>19493</v>
      </c>
      <c r="G18320" s="52">
        <v>278500.83205732302</v>
      </c>
      <c r="H18320" s="56">
        <v>1.9551157543401459E-2</v>
      </c>
      <c r="I18320" s="224" t="s">
        <v>2</v>
      </c>
    </row>
    <row r="18321" spans="1:9" x14ac:dyDescent="0.25">
      <c r="A18321" s="515">
        <v>98323</v>
      </c>
      <c r="B18321" s="515" t="s">
        <v>384</v>
      </c>
      <c r="C18321" s="52">
        <v>464467.51755774301</v>
      </c>
      <c r="D18321" s="56">
        <v>1.5659919270464732E-2</v>
      </c>
      <c r="E18321" s="224" t="s">
        <v>2</v>
      </c>
      <c r="F18321" s="515" t="s">
        <v>19494</v>
      </c>
      <c r="G18321" s="52">
        <v>280890.43922464101</v>
      </c>
      <c r="H18321" s="56">
        <v>0.10885506465174899</v>
      </c>
      <c r="I18321" s="224" t="s">
        <v>2</v>
      </c>
    </row>
    <row r="18322" spans="1:9" x14ac:dyDescent="0.25">
      <c r="A18322" s="515">
        <v>79013</v>
      </c>
      <c r="B18322" s="515" t="s">
        <v>1113</v>
      </c>
      <c r="C18322" s="52">
        <v>117501.620689655</v>
      </c>
      <c r="D18322" s="56">
        <v>0</v>
      </c>
      <c r="E18322" s="224" t="s">
        <v>2</v>
      </c>
      <c r="F18322" s="515" t="s">
        <v>19495</v>
      </c>
      <c r="G18322" s="52">
        <v>127361.18029863</v>
      </c>
      <c r="H18322" s="56">
        <v>5.2013930930472588E-2</v>
      </c>
      <c r="I18322" s="224" t="s">
        <v>2</v>
      </c>
    </row>
    <row r="18323" spans="1:9" x14ac:dyDescent="0.25">
      <c r="A18323" s="515">
        <v>65535</v>
      </c>
      <c r="C18323" s="52">
        <v>175195.03344305401</v>
      </c>
      <c r="D18323" s="56">
        <v>2.6558972304334634E-2</v>
      </c>
      <c r="E18323" s="224" t="s">
        <v>2</v>
      </c>
      <c r="F18323" s="515" t="s">
        <v>19496</v>
      </c>
      <c r="G18323" s="52">
        <v>185193.3213902</v>
      </c>
      <c r="H18323" s="56">
        <v>0</v>
      </c>
      <c r="I18323" s="224" t="s">
        <v>2</v>
      </c>
    </row>
    <row r="18324" spans="1:9" x14ac:dyDescent="0.25">
      <c r="A18324" s="515">
        <v>16124</v>
      </c>
      <c r="B18324" s="515" t="s">
        <v>397</v>
      </c>
      <c r="C18324" s="52">
        <v>139836.81725208001</v>
      </c>
      <c r="D18324" s="56">
        <v>-1.4030331270796094E-2</v>
      </c>
      <c r="E18324" s="224" t="s">
        <v>2</v>
      </c>
      <c r="F18324" s="515" t="s">
        <v>19497</v>
      </c>
      <c r="G18324" s="52">
        <v>123183.62343805</v>
      </c>
      <c r="H18324" s="56">
        <v>0</v>
      </c>
      <c r="I18324" s="224" t="s">
        <v>2</v>
      </c>
    </row>
    <row r="18325" spans="1:9" x14ac:dyDescent="0.25">
      <c r="A18325" s="515">
        <v>74854</v>
      </c>
      <c r="C18325" s="52">
        <v>96198.999827203501</v>
      </c>
      <c r="D18325" s="56">
        <v>0.18171056396042312</v>
      </c>
      <c r="E18325" s="224" t="s">
        <v>2</v>
      </c>
      <c r="F18325" s="515" t="s">
        <v>19498</v>
      </c>
      <c r="G18325" s="52">
        <v>198449.038367039</v>
      </c>
      <c r="H18325" s="56">
        <v>0.1266936057863895</v>
      </c>
      <c r="I18325" s="224" t="s">
        <v>2</v>
      </c>
    </row>
    <row r="18326" spans="1:9" x14ac:dyDescent="0.25">
      <c r="A18326" s="515">
        <v>68065</v>
      </c>
      <c r="B18326" s="515" t="s">
        <v>367</v>
      </c>
      <c r="C18326" s="52">
        <v>325456.56158823002</v>
      </c>
      <c r="D18326" s="56">
        <v>0.11713423053166951</v>
      </c>
      <c r="E18326" s="224" t="s">
        <v>2</v>
      </c>
      <c r="F18326" s="515" t="s">
        <v>19499</v>
      </c>
      <c r="G18326" s="52">
        <v>257164.47975314999</v>
      </c>
      <c r="H18326" s="56">
        <v>6.834449058025116E-2</v>
      </c>
      <c r="I18326" s="224" t="s">
        <v>2</v>
      </c>
    </row>
    <row r="18327" spans="1:9" x14ac:dyDescent="0.25">
      <c r="A18327" s="515">
        <v>56296</v>
      </c>
      <c r="C18327" s="52">
        <v>99063.427174475393</v>
      </c>
      <c r="D18327" s="56">
        <v>8.7374412088405042E-3</v>
      </c>
      <c r="E18327" s="224" t="s">
        <v>2</v>
      </c>
      <c r="F18327" s="515" t="s">
        <v>19500</v>
      </c>
      <c r="G18327" s="52">
        <v>163159.518109839</v>
      </c>
      <c r="H18327" s="56">
        <v>7.9582904147296379E-2</v>
      </c>
      <c r="I18327" s="224" t="s">
        <v>2</v>
      </c>
    </row>
    <row r="18328" spans="1:9" x14ac:dyDescent="0.25">
      <c r="A18328" s="515">
        <v>61427</v>
      </c>
      <c r="B18328" s="515" t="s">
        <v>303</v>
      </c>
      <c r="C18328" s="52">
        <v>86523.360382277897</v>
      </c>
      <c r="D18328" s="56">
        <v>5.8170473721910233E-2</v>
      </c>
      <c r="E18328" s="224" t="s">
        <v>2</v>
      </c>
      <c r="F18328" s="515" t="s">
        <v>19501</v>
      </c>
      <c r="G18328" s="52">
        <v>242528.08988764</v>
      </c>
      <c r="H18328" s="56">
        <v>0</v>
      </c>
      <c r="I18328" s="224" t="s">
        <v>2</v>
      </c>
    </row>
    <row r="18329" spans="1:9" x14ac:dyDescent="0.25">
      <c r="A18329" s="515">
        <v>91916</v>
      </c>
      <c r="B18329" s="515" t="s">
        <v>396</v>
      </c>
      <c r="C18329" s="52">
        <v>608248.06711249903</v>
      </c>
      <c r="D18329" s="56">
        <v>3.7397743496329738E-2</v>
      </c>
      <c r="E18329" s="224" t="s">
        <v>2</v>
      </c>
      <c r="F18329" s="515" t="s">
        <v>19502</v>
      </c>
      <c r="G18329" s="52">
        <v>343656.03712165402</v>
      </c>
      <c r="H18329" s="56">
        <v>0.11068516800940086</v>
      </c>
      <c r="I18329" s="224" t="s">
        <v>2</v>
      </c>
    </row>
    <row r="18330" spans="1:9" x14ac:dyDescent="0.25">
      <c r="A18330" s="515">
        <v>7418</v>
      </c>
      <c r="B18330" s="515" t="s">
        <v>324</v>
      </c>
      <c r="C18330" s="52">
        <v>369664.45136094902</v>
      </c>
      <c r="D18330" s="56">
        <v>4.9564260228574394E-2</v>
      </c>
      <c r="E18330" s="224" t="s">
        <v>2</v>
      </c>
      <c r="F18330" s="515" t="s">
        <v>19503</v>
      </c>
      <c r="G18330" s="52">
        <v>57657.140171494502</v>
      </c>
      <c r="H18330" s="56">
        <v>-5.0592685639996762E-2</v>
      </c>
      <c r="I18330" s="224" t="s">
        <v>2</v>
      </c>
    </row>
    <row r="18331" spans="1:9" x14ac:dyDescent="0.25">
      <c r="A18331" s="515">
        <v>50670</v>
      </c>
      <c r="C18331" s="52">
        <v>206455.52885506401</v>
      </c>
      <c r="D18331" s="56">
        <v>6.9073955122545549E-2</v>
      </c>
      <c r="E18331" s="224" t="s">
        <v>2</v>
      </c>
      <c r="F18331" s="515" t="s">
        <v>19504</v>
      </c>
      <c r="G18331" s="52">
        <v>83567.492555198594</v>
      </c>
      <c r="H18331" s="56">
        <v>8.0592766233656507E-2</v>
      </c>
      <c r="I18331" s="224" t="s">
        <v>2</v>
      </c>
    </row>
    <row r="18332" spans="1:9" x14ac:dyDescent="0.25">
      <c r="A18332" s="515">
        <v>53191</v>
      </c>
      <c r="B18332" s="515" t="s">
        <v>1089</v>
      </c>
      <c r="C18332" s="52">
        <v>411401.78294617799</v>
      </c>
      <c r="D18332" s="56">
        <v>7.9586355906447637E-2</v>
      </c>
      <c r="E18332" s="224" t="s">
        <v>2</v>
      </c>
      <c r="F18332" s="515" t="s">
        <v>19505</v>
      </c>
      <c r="G18332" s="52">
        <v>103236.664399741</v>
      </c>
      <c r="H18332" s="56">
        <v>2.1797270956321727E-2</v>
      </c>
      <c r="I18332" s="224" t="s">
        <v>2</v>
      </c>
    </row>
    <row r="18333" spans="1:9" x14ac:dyDescent="0.25">
      <c r="A18333" s="515">
        <v>74339</v>
      </c>
      <c r="B18333" s="515" t="s">
        <v>469</v>
      </c>
      <c r="C18333" s="52">
        <v>57251.139727777598</v>
      </c>
      <c r="D18333" s="56">
        <v>1.9231996217575639E-2</v>
      </c>
      <c r="E18333" s="224" t="s">
        <v>2</v>
      </c>
      <c r="F18333" s="515" t="s">
        <v>19506</v>
      </c>
      <c r="G18333" s="52">
        <v>95229.789403121802</v>
      </c>
      <c r="H18333" s="56">
        <v>0.13820161756037044</v>
      </c>
      <c r="I18333" s="224" t="s">
        <v>2</v>
      </c>
    </row>
    <row r="18334" spans="1:9" x14ac:dyDescent="0.25">
      <c r="A18334" s="515">
        <v>4562</v>
      </c>
      <c r="B18334" s="515" t="s">
        <v>570</v>
      </c>
      <c r="C18334" s="52">
        <v>438649.95796553098</v>
      </c>
      <c r="D18334" s="56">
        <v>0.10069537500106501</v>
      </c>
      <c r="E18334" s="224" t="s">
        <v>2</v>
      </c>
      <c r="F18334" s="515" t="s">
        <v>19507</v>
      </c>
      <c r="G18334" s="52">
        <v>181837.83400705</v>
      </c>
      <c r="H18334" s="56">
        <v>7.3165190323626714E-2</v>
      </c>
      <c r="I18334" s="224" t="s">
        <v>2</v>
      </c>
    </row>
    <row r="18335" spans="1:9" x14ac:dyDescent="0.25">
      <c r="A18335" s="515">
        <v>20778</v>
      </c>
      <c r="B18335" s="515" t="s">
        <v>582</v>
      </c>
      <c r="C18335" s="52">
        <v>572832.56225182</v>
      </c>
      <c r="D18335" s="56">
        <v>4.0656781529145876E-2</v>
      </c>
      <c r="E18335" s="224" t="s">
        <v>2</v>
      </c>
      <c r="F18335" s="515" t="s">
        <v>19508</v>
      </c>
      <c r="G18335" s="52">
        <v>166028.09758395501</v>
      </c>
      <c r="H18335" s="56">
        <v>3.8996057865868849E-2</v>
      </c>
      <c r="I18335" s="224" t="s">
        <v>2</v>
      </c>
    </row>
    <row r="18336" spans="1:9" x14ac:dyDescent="0.25">
      <c r="A18336" s="515">
        <v>16920</v>
      </c>
      <c r="C18336" s="52">
        <v>119270.179994099</v>
      </c>
      <c r="D18336" s="56">
        <v>0.11809345631947218</v>
      </c>
      <c r="E18336" s="224" t="s">
        <v>2</v>
      </c>
      <c r="F18336" s="515" t="s">
        <v>19509</v>
      </c>
      <c r="G18336" s="52">
        <v>214339.93811879799</v>
      </c>
      <c r="H18336" s="56">
        <v>0</v>
      </c>
      <c r="I18336" s="224" t="s">
        <v>2</v>
      </c>
    </row>
    <row r="18337" spans="1:9" x14ac:dyDescent="0.25">
      <c r="A18337" s="515">
        <v>56465</v>
      </c>
      <c r="B18337" s="515" t="s">
        <v>674</v>
      </c>
      <c r="C18337" s="52">
        <v>366908.58813338302</v>
      </c>
      <c r="D18337" s="56">
        <v>0.17609977904714966</v>
      </c>
      <c r="E18337" s="224" t="s">
        <v>2</v>
      </c>
      <c r="F18337" s="515" t="s">
        <v>19510</v>
      </c>
      <c r="G18337" s="52">
        <v>296636.91363255499</v>
      </c>
      <c r="H18337" s="56">
        <v>4.0899735658857149E-2</v>
      </c>
      <c r="I18337" s="224" t="s">
        <v>2</v>
      </c>
    </row>
    <row r="18338" spans="1:9" x14ac:dyDescent="0.25">
      <c r="A18338" s="515">
        <v>99013</v>
      </c>
      <c r="B18338" s="515" t="s">
        <v>820</v>
      </c>
      <c r="C18338" s="52">
        <v>304771.29127947899</v>
      </c>
      <c r="D18338" s="56">
        <v>5.9887804017921348E-2</v>
      </c>
      <c r="E18338" s="224" t="s">
        <v>2</v>
      </c>
      <c r="F18338" s="515" t="s">
        <v>19511</v>
      </c>
      <c r="G18338" s="52">
        <v>190245.56040811801</v>
      </c>
      <c r="H18338" s="56">
        <v>0</v>
      </c>
      <c r="I18338" s="224" t="s">
        <v>2</v>
      </c>
    </row>
    <row r="18339" spans="1:9" x14ac:dyDescent="0.25">
      <c r="A18339" s="515">
        <v>26719</v>
      </c>
      <c r="B18339" s="515" t="s">
        <v>362</v>
      </c>
      <c r="C18339" s="52">
        <v>204823.025716996</v>
      </c>
      <c r="D18339" s="56">
        <v>9.4710272831459844E-2</v>
      </c>
      <c r="E18339" s="224" t="s">
        <v>2</v>
      </c>
      <c r="F18339" s="515" t="s">
        <v>19512</v>
      </c>
      <c r="G18339" s="52">
        <v>244604.30769230699</v>
      </c>
      <c r="H18339" s="56">
        <v>0</v>
      </c>
      <c r="I18339" s="224" t="s">
        <v>2</v>
      </c>
    </row>
    <row r="18340" spans="1:9" x14ac:dyDescent="0.25">
      <c r="A18340" s="515">
        <v>16034</v>
      </c>
      <c r="B18340" s="515" t="s">
        <v>297</v>
      </c>
      <c r="C18340" s="52">
        <v>222875.12258064499</v>
      </c>
      <c r="D18340" s="56">
        <v>0</v>
      </c>
      <c r="E18340" s="224" t="s">
        <v>2</v>
      </c>
      <c r="F18340" s="515" t="s">
        <v>19513</v>
      </c>
      <c r="G18340" s="52">
        <v>182366.544027656</v>
      </c>
      <c r="H18340" s="56">
        <v>0.11417881811907175</v>
      </c>
      <c r="I18340" s="224" t="s">
        <v>2</v>
      </c>
    </row>
    <row r="18341" spans="1:9" x14ac:dyDescent="0.25">
      <c r="A18341" s="515">
        <v>13318</v>
      </c>
      <c r="B18341" s="515" t="s">
        <v>543</v>
      </c>
      <c r="C18341" s="52">
        <v>199531.68599206401</v>
      </c>
      <c r="D18341" s="56">
        <v>0.10667891742681074</v>
      </c>
      <c r="E18341" s="224" t="s">
        <v>2</v>
      </c>
      <c r="F18341" s="515" t="s">
        <v>19514</v>
      </c>
      <c r="G18341" s="52">
        <v>447753.614736697</v>
      </c>
      <c r="H18341" s="56">
        <v>8.3279895264161657E-2</v>
      </c>
      <c r="I18341" s="224" t="s">
        <v>2</v>
      </c>
    </row>
    <row r="18342" spans="1:9" x14ac:dyDescent="0.25">
      <c r="A18342" s="515">
        <v>25181</v>
      </c>
      <c r="B18342" s="515" t="s">
        <v>322</v>
      </c>
      <c r="C18342" s="52">
        <v>60335.679121245397</v>
      </c>
      <c r="D18342" s="56">
        <v>6.3046718231986959E-2</v>
      </c>
      <c r="E18342" s="224" t="s">
        <v>2</v>
      </c>
      <c r="F18342" s="515" t="s">
        <v>19515</v>
      </c>
      <c r="G18342" s="52">
        <v>132636.13626514401</v>
      </c>
      <c r="H18342" s="56">
        <v>0</v>
      </c>
      <c r="I18342" s="224" t="s">
        <v>2</v>
      </c>
    </row>
    <row r="18343" spans="1:9" x14ac:dyDescent="0.25">
      <c r="A18343" s="515">
        <v>42045</v>
      </c>
      <c r="B18343" s="515" t="s">
        <v>846</v>
      </c>
      <c r="C18343" s="52">
        <v>137692.52486969999</v>
      </c>
      <c r="D18343" s="56">
        <v>9.5279111706713812E-2</v>
      </c>
      <c r="E18343" s="224" t="s">
        <v>2</v>
      </c>
      <c r="F18343" s="515" t="s">
        <v>19516</v>
      </c>
      <c r="G18343" s="52">
        <v>138102.05738370499</v>
      </c>
      <c r="H18343" s="56">
        <v>0.15312532409417159</v>
      </c>
      <c r="I18343" s="224" t="s">
        <v>2</v>
      </c>
    </row>
    <row r="18344" spans="1:9" x14ac:dyDescent="0.25">
      <c r="A18344" s="515">
        <v>68359</v>
      </c>
      <c r="C18344" s="52">
        <v>189756.19207911601</v>
      </c>
      <c r="D18344" s="56">
        <v>0.12883571447019856</v>
      </c>
      <c r="E18344" s="224" t="s">
        <v>2</v>
      </c>
      <c r="F18344" s="515" t="s">
        <v>19517</v>
      </c>
      <c r="G18344" s="52">
        <v>103577.219439742</v>
      </c>
      <c r="H18344" s="56">
        <v>3.6230388225376935E-2</v>
      </c>
      <c r="I18344" s="224" t="s">
        <v>2</v>
      </c>
    </row>
    <row r="18345" spans="1:9" x14ac:dyDescent="0.25">
      <c r="A18345" s="515">
        <v>49342</v>
      </c>
      <c r="B18345" s="515" t="s">
        <v>494</v>
      </c>
      <c r="C18345" s="52">
        <v>151914.99237568901</v>
      </c>
      <c r="D18345" s="56">
        <v>0.10925865146330936</v>
      </c>
      <c r="E18345" s="224" t="s">
        <v>2</v>
      </c>
      <c r="F18345" s="515" t="s">
        <v>19518</v>
      </c>
      <c r="G18345" s="52">
        <v>104021.651454126</v>
      </c>
      <c r="H18345" s="56">
        <v>0.12545727103268736</v>
      </c>
      <c r="I18345" s="224" t="s">
        <v>2</v>
      </c>
    </row>
    <row r="18346" spans="1:9" x14ac:dyDescent="0.25">
      <c r="A18346" s="515">
        <v>24594</v>
      </c>
      <c r="C18346" s="52">
        <v>149166.133298703</v>
      </c>
      <c r="D18346" s="56">
        <v>0.14985766639489956</v>
      </c>
      <c r="E18346" s="224" t="s">
        <v>2</v>
      </c>
      <c r="F18346" s="515" t="s">
        <v>19519</v>
      </c>
      <c r="G18346" s="52">
        <v>255000.42925312201</v>
      </c>
      <c r="H18346" s="56">
        <v>7.0283480653488162E-2</v>
      </c>
      <c r="I18346" s="224" t="s">
        <v>2</v>
      </c>
    </row>
    <row r="18347" spans="1:9" x14ac:dyDescent="0.25">
      <c r="A18347" s="515">
        <v>3745</v>
      </c>
      <c r="B18347" s="515" t="s">
        <v>420</v>
      </c>
      <c r="C18347" s="52">
        <v>374378.44918530202</v>
      </c>
      <c r="D18347" s="56">
        <v>0.1047116271599678</v>
      </c>
      <c r="E18347" s="224" t="s">
        <v>2</v>
      </c>
      <c r="F18347" s="515" t="s">
        <v>19520</v>
      </c>
      <c r="G18347" s="52">
        <v>218732.514141366</v>
      </c>
      <c r="H18347" s="56">
        <v>1.5104191185158598E-2</v>
      </c>
      <c r="I18347" s="224" t="s">
        <v>2</v>
      </c>
    </row>
    <row r="18348" spans="1:9" x14ac:dyDescent="0.25">
      <c r="A18348" s="515">
        <v>7711</v>
      </c>
      <c r="B18348" s="515" t="s">
        <v>324</v>
      </c>
      <c r="C18348" s="52">
        <v>1753614.09408716</v>
      </c>
      <c r="D18348" s="56">
        <v>0.16284712052387404</v>
      </c>
      <c r="E18348" s="224" t="s">
        <v>2</v>
      </c>
      <c r="F18348" s="515" t="s">
        <v>19521</v>
      </c>
      <c r="G18348" s="52">
        <v>264646.312280346</v>
      </c>
      <c r="H18348" s="56">
        <v>-1.7099907107729091E-2</v>
      </c>
      <c r="I18348" s="224" t="s">
        <v>2</v>
      </c>
    </row>
    <row r="18349" spans="1:9" x14ac:dyDescent="0.25">
      <c r="A18349" s="515">
        <v>54135</v>
      </c>
      <c r="B18349" s="515" t="s">
        <v>985</v>
      </c>
      <c r="C18349" s="52">
        <v>234024.771281558</v>
      </c>
      <c r="D18349" s="56">
        <v>0.12238978135292206</v>
      </c>
      <c r="E18349" s="224" t="s">
        <v>2</v>
      </c>
      <c r="F18349" s="515" t="s">
        <v>19522</v>
      </c>
      <c r="G18349" s="52">
        <v>194863.98534485299</v>
      </c>
      <c r="H18349" s="56">
        <v>8.2658415508817445E-2</v>
      </c>
      <c r="I18349" s="224" t="s">
        <v>2</v>
      </c>
    </row>
    <row r="18350" spans="1:9" x14ac:dyDescent="0.25">
      <c r="A18350" s="515">
        <v>93243</v>
      </c>
      <c r="B18350" s="515" t="s">
        <v>419</v>
      </c>
      <c r="C18350" s="52">
        <v>343982.78910364403</v>
      </c>
      <c r="D18350" s="56">
        <v>1.915321361110266E-2</v>
      </c>
      <c r="E18350" s="224" t="s">
        <v>2</v>
      </c>
      <c r="F18350" s="515" t="s">
        <v>19523</v>
      </c>
      <c r="G18350" s="52">
        <v>181319.89218008501</v>
      </c>
      <c r="H18350" s="56">
        <v>5.3544139095876443E-2</v>
      </c>
      <c r="I18350" s="224" t="s">
        <v>2</v>
      </c>
    </row>
    <row r="18351" spans="1:9" x14ac:dyDescent="0.25">
      <c r="A18351" s="515">
        <v>12916</v>
      </c>
      <c r="B18351" s="515" t="s">
        <v>706</v>
      </c>
      <c r="C18351" s="52">
        <v>132830.70336630699</v>
      </c>
      <c r="D18351" s="56">
        <v>0.20356104388494181</v>
      </c>
      <c r="E18351" s="224" t="s">
        <v>2</v>
      </c>
      <c r="F18351" s="515" t="s">
        <v>19524</v>
      </c>
      <c r="G18351" s="52">
        <v>272821.88494574901</v>
      </c>
      <c r="H18351" s="56">
        <v>0</v>
      </c>
      <c r="I18351" s="224" t="s">
        <v>2</v>
      </c>
    </row>
    <row r="18352" spans="1:9" x14ac:dyDescent="0.25">
      <c r="A18352" s="515">
        <v>38563</v>
      </c>
      <c r="B18352" s="515" t="s">
        <v>684</v>
      </c>
      <c r="C18352" s="52">
        <v>255221.335762148</v>
      </c>
      <c r="D18352" s="56">
        <v>7.0201417839322891E-2</v>
      </c>
      <c r="E18352" s="224" t="s">
        <v>2</v>
      </c>
      <c r="F18352" s="515" t="s">
        <v>19525</v>
      </c>
      <c r="G18352" s="52">
        <v>162891.338164099</v>
      </c>
      <c r="H18352" s="56">
        <v>7.8836996412159036E-2</v>
      </c>
      <c r="I18352" s="224" t="s">
        <v>2</v>
      </c>
    </row>
    <row r="18353" spans="1:9" x14ac:dyDescent="0.25">
      <c r="A18353" s="515">
        <v>12996</v>
      </c>
      <c r="C18353" s="52">
        <v>233741.53088419599</v>
      </c>
      <c r="D18353" s="56">
        <v>0.13318360210419022</v>
      </c>
      <c r="E18353" s="224" t="s">
        <v>2</v>
      </c>
      <c r="F18353" s="515" t="s">
        <v>19526</v>
      </c>
      <c r="G18353" s="52">
        <v>155053.99826448201</v>
      </c>
      <c r="H18353" s="56">
        <v>3.7610409839080206E-2</v>
      </c>
      <c r="I18353" s="224" t="s">
        <v>2</v>
      </c>
    </row>
    <row r="18354" spans="1:9" x14ac:dyDescent="0.25">
      <c r="A18354" s="515">
        <v>92365</v>
      </c>
      <c r="B18354" s="515" t="s">
        <v>599</v>
      </c>
      <c r="C18354" s="52">
        <v>224367.80084261199</v>
      </c>
      <c r="D18354" s="56">
        <v>1.2922269083512546E-2</v>
      </c>
      <c r="E18354" s="224" t="s">
        <v>2</v>
      </c>
      <c r="F18354" s="515" t="s">
        <v>19527</v>
      </c>
      <c r="G18354" s="52">
        <v>85900.023897132603</v>
      </c>
      <c r="H18354" s="56">
        <v>7.5240505514871603E-2</v>
      </c>
      <c r="I18354" s="224" t="s">
        <v>2</v>
      </c>
    </row>
    <row r="18355" spans="1:9" x14ac:dyDescent="0.25">
      <c r="A18355" s="515">
        <v>24136</v>
      </c>
      <c r="B18355" s="515" t="s">
        <v>597</v>
      </c>
      <c r="C18355" s="52">
        <v>198416.71567180799</v>
      </c>
      <c r="D18355" s="56">
        <v>6.8320418119332552E-2</v>
      </c>
      <c r="E18355" s="224" t="s">
        <v>2</v>
      </c>
      <c r="F18355" s="515" t="s">
        <v>19528</v>
      </c>
      <c r="G18355" s="52">
        <v>154411.462749136</v>
      </c>
      <c r="H18355" s="56">
        <v>0.12574202777285204</v>
      </c>
      <c r="I18355" s="224" t="s">
        <v>2</v>
      </c>
    </row>
    <row r="18356" spans="1:9" x14ac:dyDescent="0.25">
      <c r="A18356" s="515">
        <v>66509</v>
      </c>
      <c r="B18356" s="515" t="s">
        <v>549</v>
      </c>
      <c r="C18356" s="52">
        <v>250295.54623894699</v>
      </c>
      <c r="D18356" s="56">
        <v>0.1645587783153884</v>
      </c>
      <c r="E18356" s="224" t="s">
        <v>2</v>
      </c>
      <c r="F18356" s="515" t="s">
        <v>19529</v>
      </c>
      <c r="G18356" s="52">
        <v>209647.49681780901</v>
      </c>
      <c r="H18356" s="56">
        <v>0</v>
      </c>
      <c r="I18356" s="224" t="s">
        <v>2</v>
      </c>
    </row>
    <row r="18357" spans="1:9" x14ac:dyDescent="0.25">
      <c r="A18357" s="515">
        <v>67020</v>
      </c>
      <c r="B18357" s="515" t="s">
        <v>485</v>
      </c>
      <c r="C18357" s="52">
        <v>128296.68483395901</v>
      </c>
      <c r="D18357" s="56">
        <v>8.0466782373206341E-2</v>
      </c>
      <c r="E18357" s="224" t="s">
        <v>2</v>
      </c>
      <c r="F18357" s="515" t="s">
        <v>19530</v>
      </c>
      <c r="G18357" s="52">
        <v>128674.62839860099</v>
      </c>
      <c r="H18357" s="56">
        <v>0.23188807659035382</v>
      </c>
      <c r="I18357" s="224" t="s">
        <v>2</v>
      </c>
    </row>
    <row r="18358" spans="1:9" x14ac:dyDescent="0.25">
      <c r="A18358" s="515">
        <v>50130</v>
      </c>
      <c r="C18358" s="52">
        <v>177203.21046397599</v>
      </c>
      <c r="D18358" s="56">
        <v>9.7037735099576347E-2</v>
      </c>
      <c r="E18358" s="224" t="s">
        <v>2</v>
      </c>
      <c r="F18358" s="515" t="s">
        <v>19531</v>
      </c>
      <c r="G18358" s="52">
        <v>51792.004542116301</v>
      </c>
      <c r="H18358" s="56">
        <v>0.18319466192654693</v>
      </c>
      <c r="I18358" s="224" t="s">
        <v>2</v>
      </c>
    </row>
    <row r="18359" spans="1:9" x14ac:dyDescent="0.25">
      <c r="A18359" s="515">
        <v>35087</v>
      </c>
      <c r="B18359" s="515" t="s">
        <v>1110</v>
      </c>
      <c r="C18359" s="52">
        <v>181242.04232860799</v>
      </c>
      <c r="D18359" s="56">
        <v>6.817109528859823E-2</v>
      </c>
      <c r="E18359" s="224" t="s">
        <v>2</v>
      </c>
      <c r="F18359" s="515" t="s">
        <v>19532</v>
      </c>
      <c r="G18359" s="52">
        <v>347648.65224440501</v>
      </c>
      <c r="H18359" s="56">
        <v>5.7084280480032952E-2</v>
      </c>
      <c r="I18359" s="224" t="s">
        <v>2</v>
      </c>
    </row>
    <row r="18360" spans="1:9" x14ac:dyDescent="0.25">
      <c r="A18360" s="515">
        <v>38461</v>
      </c>
      <c r="B18360" s="515" t="s">
        <v>684</v>
      </c>
      <c r="C18360" s="52">
        <v>332207.90224286198</v>
      </c>
      <c r="D18360" s="56">
        <v>8.0191075614986229E-2</v>
      </c>
      <c r="E18360" s="224" t="s">
        <v>2</v>
      </c>
      <c r="F18360" s="515" t="s">
        <v>19533</v>
      </c>
      <c r="G18360" s="52">
        <v>212080.19886464</v>
      </c>
      <c r="H18360" s="56">
        <v>0</v>
      </c>
      <c r="I18360" s="224" t="s">
        <v>2</v>
      </c>
    </row>
    <row r="18361" spans="1:9" x14ac:dyDescent="0.25">
      <c r="A18361" s="515">
        <v>93271</v>
      </c>
      <c r="B18361" s="515" t="s">
        <v>358</v>
      </c>
      <c r="C18361" s="52">
        <v>470103.75592416199</v>
      </c>
      <c r="D18361" s="56">
        <v>5.0800492452894926E-2</v>
      </c>
      <c r="E18361" s="224" t="s">
        <v>2</v>
      </c>
      <c r="F18361" s="515" t="s">
        <v>19534</v>
      </c>
      <c r="G18361" s="52">
        <v>159550.102375899</v>
      </c>
      <c r="H18361" s="56">
        <v>-6.0958851904375465E-2</v>
      </c>
      <c r="I18361" s="224" t="s">
        <v>2</v>
      </c>
    </row>
    <row r="18362" spans="1:9" x14ac:dyDescent="0.25">
      <c r="A18362" s="515">
        <v>78056</v>
      </c>
      <c r="B18362" s="515" t="s">
        <v>717</v>
      </c>
      <c r="C18362" s="52">
        <v>525988.39181448298</v>
      </c>
      <c r="D18362" s="56">
        <v>7.9390596633164667E-2</v>
      </c>
      <c r="E18362" s="224" t="s">
        <v>2</v>
      </c>
      <c r="F18362" s="515" t="s">
        <v>19535</v>
      </c>
      <c r="G18362" s="52">
        <v>164465.58887094399</v>
      </c>
      <c r="H18362" s="56">
        <v>0.15053976672898781</v>
      </c>
      <c r="I18362" s="224" t="s">
        <v>2</v>
      </c>
    </row>
    <row r="18363" spans="1:9" x14ac:dyDescent="0.25">
      <c r="A18363" s="515">
        <v>56672</v>
      </c>
      <c r="B18363" s="515" t="s">
        <v>674</v>
      </c>
      <c r="C18363" s="52">
        <v>279500.03762311698</v>
      </c>
      <c r="D18363" s="56">
        <v>0.11727701931308403</v>
      </c>
      <c r="E18363" s="224" t="s">
        <v>2</v>
      </c>
      <c r="F18363" s="515" t="s">
        <v>19536</v>
      </c>
      <c r="G18363" s="52">
        <v>1081331.03647465</v>
      </c>
      <c r="H18363" s="56">
        <v>8.6586131663052027E-2</v>
      </c>
      <c r="I18363" s="224" t="s">
        <v>2</v>
      </c>
    </row>
    <row r="18364" spans="1:9" x14ac:dyDescent="0.25">
      <c r="A18364" s="515">
        <v>38232</v>
      </c>
      <c r="B18364" s="515" t="s">
        <v>1044</v>
      </c>
      <c r="C18364" s="52">
        <v>121782.049319364</v>
      </c>
      <c r="D18364" s="56">
        <v>3.2900487631623135E-2</v>
      </c>
      <c r="E18364" s="224" t="s">
        <v>2</v>
      </c>
      <c r="F18364" s="515" t="s">
        <v>19537</v>
      </c>
      <c r="G18364" s="52">
        <v>516298.911078926</v>
      </c>
      <c r="H18364" s="56">
        <v>0</v>
      </c>
      <c r="I18364" s="224" t="s">
        <v>2</v>
      </c>
    </row>
    <row r="18365" spans="1:9" x14ac:dyDescent="0.25">
      <c r="A18365" s="515">
        <v>53529</v>
      </c>
      <c r="B18365" s="515" t="s">
        <v>727</v>
      </c>
      <c r="C18365" s="52">
        <v>393357.70079307398</v>
      </c>
      <c r="D18365" s="56">
        <v>5.9389595759947199E-2</v>
      </c>
      <c r="E18365" s="224" t="s">
        <v>2</v>
      </c>
      <c r="F18365" s="515" t="s">
        <v>19538</v>
      </c>
      <c r="G18365" s="52">
        <v>181293.828892583</v>
      </c>
      <c r="H18365" s="56">
        <v>0.10075292365574819</v>
      </c>
      <c r="I18365" s="224" t="s">
        <v>2</v>
      </c>
    </row>
    <row r="18366" spans="1:9" x14ac:dyDescent="0.25">
      <c r="A18366" s="515">
        <v>78341</v>
      </c>
      <c r="B18366" s="515" t="s">
        <v>709</v>
      </c>
      <c r="C18366" s="52">
        <v>74446.061729832596</v>
      </c>
      <c r="D18366" s="56">
        <v>0</v>
      </c>
      <c r="E18366" s="224" t="s">
        <v>2</v>
      </c>
      <c r="F18366" s="515" t="s">
        <v>19539</v>
      </c>
      <c r="G18366" s="52">
        <v>465865.11041660298</v>
      </c>
      <c r="H18366" s="56">
        <v>0.13610591329533353</v>
      </c>
      <c r="I18366" s="224" t="s">
        <v>2</v>
      </c>
    </row>
    <row r="18367" spans="1:9" x14ac:dyDescent="0.25">
      <c r="A18367" s="515">
        <v>13054</v>
      </c>
      <c r="B18367" s="515" t="s">
        <v>543</v>
      </c>
      <c r="C18367" s="52">
        <v>174535.88278925201</v>
      </c>
      <c r="D18367" s="56">
        <v>0.10436651945145028</v>
      </c>
      <c r="E18367" s="224" t="s">
        <v>2</v>
      </c>
      <c r="F18367" s="515" t="s">
        <v>19540</v>
      </c>
      <c r="G18367" s="52">
        <v>344004.50574712601</v>
      </c>
      <c r="H18367" s="56">
        <v>0</v>
      </c>
      <c r="I18367" s="224" t="s">
        <v>2</v>
      </c>
    </row>
    <row r="18368" spans="1:9" x14ac:dyDescent="0.25">
      <c r="A18368" s="515">
        <v>73773</v>
      </c>
      <c r="B18368" s="515" t="s">
        <v>730</v>
      </c>
      <c r="C18368" s="52">
        <v>114194.497257322</v>
      </c>
      <c r="D18368" s="56">
        <v>5.4952535895993688E-3</v>
      </c>
      <c r="E18368" s="224" t="s">
        <v>2</v>
      </c>
      <c r="F18368" s="515" t="s">
        <v>19541</v>
      </c>
      <c r="G18368" s="52">
        <v>139077.13346128399</v>
      </c>
      <c r="H18368" s="56">
        <v>0.11023371878455011</v>
      </c>
      <c r="I18368" s="224" t="s">
        <v>2</v>
      </c>
    </row>
    <row r="18369" spans="1:9" x14ac:dyDescent="0.25">
      <c r="A18369" s="515">
        <v>49325</v>
      </c>
      <c r="C18369" s="52">
        <v>225085.28750457801</v>
      </c>
      <c r="D18369" s="56">
        <v>0.10423827087832888</v>
      </c>
      <c r="E18369" s="224" t="s">
        <v>2</v>
      </c>
      <c r="F18369" s="515" t="s">
        <v>19542</v>
      </c>
      <c r="G18369" s="52">
        <v>130459.21891229899</v>
      </c>
      <c r="H18369" s="56">
        <v>0.13844515606933094</v>
      </c>
      <c r="I18369" s="224" t="s">
        <v>2</v>
      </c>
    </row>
    <row r="18370" spans="1:9" x14ac:dyDescent="0.25">
      <c r="A18370" s="515">
        <v>21912</v>
      </c>
      <c r="B18370" s="515" t="s">
        <v>294</v>
      </c>
      <c r="C18370" s="52">
        <v>439059.14657008799</v>
      </c>
      <c r="D18370" s="56">
        <v>2.2051787651837292E-2</v>
      </c>
      <c r="E18370" s="224" t="s">
        <v>2</v>
      </c>
      <c r="F18370" s="515" t="s">
        <v>19543</v>
      </c>
      <c r="G18370" s="52">
        <v>421930.29841373098</v>
      </c>
      <c r="H18370" s="56">
        <v>7.0264855745091739E-2</v>
      </c>
      <c r="I18370" s="224" t="s">
        <v>2</v>
      </c>
    </row>
    <row r="18371" spans="1:9" x14ac:dyDescent="0.25">
      <c r="A18371" s="515">
        <v>54436</v>
      </c>
      <c r="C18371" s="52">
        <v>130997.645482739</v>
      </c>
      <c r="D18371" s="56">
        <v>6.4968357178585359E-2</v>
      </c>
      <c r="E18371" s="224" t="s">
        <v>2</v>
      </c>
      <c r="F18371" s="515" t="s">
        <v>19544</v>
      </c>
      <c r="G18371" s="52">
        <v>334719.35556444898</v>
      </c>
      <c r="H18371" s="56">
        <v>2.0721258510098494E-2</v>
      </c>
      <c r="I18371" s="224" t="s">
        <v>2</v>
      </c>
    </row>
    <row r="18372" spans="1:9" x14ac:dyDescent="0.25">
      <c r="A18372" s="515">
        <v>48741</v>
      </c>
      <c r="C18372" s="52">
        <v>155692.10440776101</v>
      </c>
      <c r="D18372" s="56">
        <v>1.5262892441410674E-2</v>
      </c>
      <c r="E18372" s="224" t="s">
        <v>2</v>
      </c>
      <c r="F18372" s="515" t="s">
        <v>19545</v>
      </c>
      <c r="G18372" s="52">
        <v>137736.623632831</v>
      </c>
      <c r="H18372" s="56">
        <v>9.9753768746389443E-2</v>
      </c>
      <c r="I18372" s="224" t="s">
        <v>2</v>
      </c>
    </row>
    <row r="18373" spans="1:9" x14ac:dyDescent="0.25">
      <c r="A18373" s="515">
        <v>79520</v>
      </c>
      <c r="B18373" s="515" t="s">
        <v>704</v>
      </c>
      <c r="C18373" s="52">
        <v>69559.257911590103</v>
      </c>
      <c r="D18373" s="56">
        <v>6.8576298272846253E-2</v>
      </c>
      <c r="E18373" s="224" t="s">
        <v>2</v>
      </c>
      <c r="F18373" s="515" t="s">
        <v>19546</v>
      </c>
      <c r="G18373" s="52">
        <v>242526.818181818</v>
      </c>
      <c r="H18373" s="56">
        <v>0</v>
      </c>
      <c r="I18373" s="224" t="s">
        <v>2</v>
      </c>
    </row>
    <row r="18374" spans="1:9" x14ac:dyDescent="0.25">
      <c r="A18374" s="515">
        <v>75847</v>
      </c>
      <c r="C18374" s="52">
        <v>174831.511506896</v>
      </c>
      <c r="D18374" s="56">
        <v>0</v>
      </c>
      <c r="E18374" s="224" t="s">
        <v>2</v>
      </c>
      <c r="F18374" s="515" t="s">
        <v>19547</v>
      </c>
      <c r="G18374" s="52">
        <v>136001.171828352</v>
      </c>
      <c r="H18374" s="56">
        <v>5.3016481938495452E-2</v>
      </c>
      <c r="I18374" s="224" t="s">
        <v>2</v>
      </c>
    </row>
    <row r="18375" spans="1:9" x14ac:dyDescent="0.25">
      <c r="A18375" s="515">
        <v>49102</v>
      </c>
      <c r="B18375" s="515" t="s">
        <v>698</v>
      </c>
      <c r="C18375" s="52">
        <v>215135.59075310401</v>
      </c>
      <c r="D18375" s="56">
        <v>6.0511270607319513E-2</v>
      </c>
      <c r="E18375" s="224" t="s">
        <v>2</v>
      </c>
      <c r="F18375" s="515" t="s">
        <v>19548</v>
      </c>
      <c r="G18375" s="52">
        <v>232966.22222222199</v>
      </c>
      <c r="H18375" s="56">
        <v>0</v>
      </c>
      <c r="I18375" s="224" t="s">
        <v>2</v>
      </c>
    </row>
    <row r="18376" spans="1:9" x14ac:dyDescent="0.25">
      <c r="A18376" s="515">
        <v>27507</v>
      </c>
      <c r="B18376" s="515" t="s">
        <v>1112</v>
      </c>
      <c r="C18376" s="52">
        <v>199451.93161539501</v>
      </c>
      <c r="D18376" s="56">
        <v>0.11436494524816174</v>
      </c>
      <c r="E18376" s="224" t="s">
        <v>2</v>
      </c>
      <c r="F18376" s="515" t="s">
        <v>19549</v>
      </c>
      <c r="G18376" s="52">
        <v>302938.42235714098</v>
      </c>
      <c r="H18376" s="56">
        <v>9.039469136859922E-2</v>
      </c>
      <c r="I18376" s="224" t="s">
        <v>2</v>
      </c>
    </row>
    <row r="18377" spans="1:9" x14ac:dyDescent="0.25">
      <c r="A18377" s="515">
        <v>93527</v>
      </c>
      <c r="B18377" s="515" t="s">
        <v>419</v>
      </c>
      <c r="C18377" s="52">
        <v>256270.55204624799</v>
      </c>
      <c r="D18377" s="56">
        <v>4.325135558654384E-2</v>
      </c>
      <c r="E18377" s="224" t="s">
        <v>2</v>
      </c>
      <c r="F18377" s="515" t="s">
        <v>19550</v>
      </c>
      <c r="G18377" s="52">
        <v>128570.29055583201</v>
      </c>
      <c r="H18377" s="56">
        <v>0</v>
      </c>
      <c r="I18377" s="224" t="s">
        <v>2</v>
      </c>
    </row>
    <row r="18378" spans="1:9" x14ac:dyDescent="0.25">
      <c r="A18378" s="515">
        <v>52639</v>
      </c>
      <c r="B18378" s="515" t="s">
        <v>496</v>
      </c>
      <c r="C18378" s="52">
        <v>152091.019539798</v>
      </c>
      <c r="D18378" s="56">
        <v>0</v>
      </c>
      <c r="E18378" s="224" t="s">
        <v>2</v>
      </c>
      <c r="F18378" s="515" t="s">
        <v>19551</v>
      </c>
      <c r="G18378" s="52">
        <v>116742.053696638</v>
      </c>
      <c r="H18378" s="56">
        <v>0.29787991041253592</v>
      </c>
      <c r="I18378" s="224" t="s">
        <v>2</v>
      </c>
    </row>
    <row r="18379" spans="1:9" x14ac:dyDescent="0.25">
      <c r="A18379" s="515">
        <v>54470</v>
      </c>
      <c r="C18379" s="52">
        <v>151232.41646748799</v>
      </c>
      <c r="D18379" s="56">
        <v>0.15721501681663061</v>
      </c>
      <c r="E18379" s="224" t="s">
        <v>2</v>
      </c>
      <c r="F18379" s="515" t="s">
        <v>19552</v>
      </c>
      <c r="G18379" s="52">
        <v>153859.225943572</v>
      </c>
      <c r="H18379" s="56">
        <v>9.547794921403463E-2</v>
      </c>
      <c r="I18379" s="224" t="s">
        <v>2</v>
      </c>
    </row>
    <row r="18380" spans="1:9" x14ac:dyDescent="0.25">
      <c r="A18380" s="515">
        <v>30456</v>
      </c>
      <c r="B18380" s="515" t="s">
        <v>888</v>
      </c>
      <c r="C18380" s="52">
        <v>79714.049418104696</v>
      </c>
      <c r="D18380" s="56">
        <v>0.12626161285001383</v>
      </c>
      <c r="E18380" s="224" t="s">
        <v>2</v>
      </c>
      <c r="F18380" s="515" t="s">
        <v>19553</v>
      </c>
      <c r="G18380" s="52">
        <v>3959646.96412986</v>
      </c>
      <c r="H18380" s="56">
        <v>0.24697580660228841</v>
      </c>
      <c r="I18380" s="224" t="s">
        <v>2</v>
      </c>
    </row>
    <row r="18381" spans="1:9" x14ac:dyDescent="0.25">
      <c r="A18381" s="515">
        <v>73038</v>
      </c>
      <c r="C18381" s="52">
        <v>91506.258192137801</v>
      </c>
      <c r="D18381" s="56">
        <v>-8.120063255744733E-3</v>
      </c>
      <c r="E18381" s="224" t="s">
        <v>2</v>
      </c>
      <c r="F18381" s="515" t="s">
        <v>19554</v>
      </c>
      <c r="G18381" s="52">
        <v>263015.15145328199</v>
      </c>
      <c r="H18381" s="56">
        <v>3.7930040166813839E-2</v>
      </c>
      <c r="I18381" s="224" t="s">
        <v>2</v>
      </c>
    </row>
    <row r="18382" spans="1:9" x14ac:dyDescent="0.25">
      <c r="A18382" s="515">
        <v>22724</v>
      </c>
      <c r="B18382" s="515" t="s">
        <v>321</v>
      </c>
      <c r="C18382" s="52">
        <v>541544.04637678503</v>
      </c>
      <c r="D18382" s="56">
        <v>6.0960532589661706E-2</v>
      </c>
      <c r="E18382" s="224" t="s">
        <v>2</v>
      </c>
      <c r="F18382" s="515" t="s">
        <v>19555</v>
      </c>
      <c r="G18382" s="52">
        <v>284328.45840789698</v>
      </c>
      <c r="H18382" s="56">
        <v>3.5878211212930604E-2</v>
      </c>
      <c r="I18382" s="224" t="s">
        <v>2</v>
      </c>
    </row>
    <row r="18383" spans="1:9" x14ac:dyDescent="0.25">
      <c r="A18383" s="515">
        <v>46149</v>
      </c>
      <c r="B18383" s="515" t="s">
        <v>403</v>
      </c>
      <c r="C18383" s="52">
        <v>305234.52478458598</v>
      </c>
      <c r="D18383" s="56">
        <v>6.5149649910352658E-2</v>
      </c>
      <c r="E18383" s="224" t="s">
        <v>2</v>
      </c>
      <c r="F18383" s="515" t="s">
        <v>19556</v>
      </c>
      <c r="G18383" s="52">
        <v>142852.55016537401</v>
      </c>
      <c r="H18383" s="56">
        <v>0.11052846549016612</v>
      </c>
      <c r="I18383" s="224" t="s">
        <v>2</v>
      </c>
    </row>
    <row r="18384" spans="1:9" x14ac:dyDescent="0.25">
      <c r="A18384" s="515">
        <v>4952</v>
      </c>
      <c r="C18384" s="52">
        <v>281948.64758007001</v>
      </c>
      <c r="D18384" s="56">
        <v>9.3118280156076302E-2</v>
      </c>
      <c r="E18384" s="224" t="s">
        <v>2</v>
      </c>
      <c r="F18384" s="515" t="s">
        <v>19557</v>
      </c>
      <c r="G18384" s="52">
        <v>141429.084093868</v>
      </c>
      <c r="H18384" s="56">
        <v>0.23565712577724784</v>
      </c>
      <c r="I18384" s="224" t="s">
        <v>2</v>
      </c>
    </row>
    <row r="18385" spans="1:9" x14ac:dyDescent="0.25">
      <c r="A18385" s="515">
        <v>72372</v>
      </c>
      <c r="B18385" s="515" t="s">
        <v>546</v>
      </c>
      <c r="C18385" s="52">
        <v>102447.23907923599</v>
      </c>
      <c r="D18385" s="56">
        <v>-2.625760617049629E-2</v>
      </c>
      <c r="E18385" s="224" t="s">
        <v>2</v>
      </c>
      <c r="F18385" s="515" t="s">
        <v>19558</v>
      </c>
      <c r="G18385" s="52">
        <v>211917.83844159599</v>
      </c>
      <c r="H18385" s="56">
        <v>0</v>
      </c>
      <c r="I18385" s="224" t="s">
        <v>2</v>
      </c>
    </row>
    <row r="18386" spans="1:9" x14ac:dyDescent="0.25">
      <c r="A18386" s="515">
        <v>62870</v>
      </c>
      <c r="B18386" s="515" t="s">
        <v>1211</v>
      </c>
      <c r="C18386" s="52">
        <v>83387.187345078302</v>
      </c>
      <c r="D18386" s="56">
        <v>5.6099876935295695E-2</v>
      </c>
      <c r="E18386" s="224" t="s">
        <v>2</v>
      </c>
      <c r="F18386" s="515" t="s">
        <v>19559</v>
      </c>
      <c r="G18386" s="52">
        <v>374322.14660773502</v>
      </c>
      <c r="H18386" s="56">
        <v>2.363820090417661E-2</v>
      </c>
      <c r="I18386" s="224" t="s">
        <v>2</v>
      </c>
    </row>
    <row r="18387" spans="1:9" x14ac:dyDescent="0.25">
      <c r="A18387" s="515">
        <v>52553</v>
      </c>
      <c r="B18387" s="515" t="s">
        <v>477</v>
      </c>
      <c r="C18387" s="52">
        <v>141403.10698830301</v>
      </c>
      <c r="D18387" s="56">
        <v>0.13392739702974271</v>
      </c>
      <c r="E18387" s="224" t="s">
        <v>2</v>
      </c>
      <c r="F18387" s="515" t="s">
        <v>19560</v>
      </c>
      <c r="G18387" s="52">
        <v>197621.76576635899</v>
      </c>
      <c r="H18387" s="56">
        <v>8.7813263363100483E-2</v>
      </c>
      <c r="I18387" s="224" t="s">
        <v>2</v>
      </c>
    </row>
    <row r="18388" spans="1:9" x14ac:dyDescent="0.25">
      <c r="A18388" s="515">
        <v>26812</v>
      </c>
      <c r="C18388" s="52">
        <v>172988.68923675001</v>
      </c>
      <c r="D18388" s="56">
        <v>5.1117012026386806E-2</v>
      </c>
      <c r="E18388" s="224" t="s">
        <v>2</v>
      </c>
      <c r="F18388" s="515" t="s">
        <v>19561</v>
      </c>
      <c r="G18388" s="52">
        <v>66195.814626507999</v>
      </c>
      <c r="H18388" s="56">
        <v>0.10150606914823189</v>
      </c>
      <c r="I18388" s="224" t="s">
        <v>2</v>
      </c>
    </row>
    <row r="18389" spans="1:9" x14ac:dyDescent="0.25">
      <c r="A18389" s="515">
        <v>55956</v>
      </c>
      <c r="B18389" s="515" t="s">
        <v>470</v>
      </c>
      <c r="C18389" s="52">
        <v>305639.87124558602</v>
      </c>
      <c r="D18389" s="56">
        <v>0.1096398876524672</v>
      </c>
      <c r="E18389" s="224" t="s">
        <v>2</v>
      </c>
      <c r="F18389" s="515" t="s">
        <v>19562</v>
      </c>
      <c r="G18389" s="52">
        <v>387074.58617542498</v>
      </c>
      <c r="H18389" s="56">
        <v>9.4867150045844395E-2</v>
      </c>
      <c r="I18389" s="224" t="s">
        <v>2</v>
      </c>
    </row>
    <row r="18390" spans="1:9" x14ac:dyDescent="0.25">
      <c r="A18390" s="515">
        <v>35677</v>
      </c>
      <c r="B18390" s="515" t="s">
        <v>1100</v>
      </c>
      <c r="C18390" s="52">
        <v>157064.82675814099</v>
      </c>
      <c r="D18390" s="56">
        <v>6.9845756120834657E-2</v>
      </c>
      <c r="E18390" s="224" t="s">
        <v>2</v>
      </c>
      <c r="F18390" s="515" t="s">
        <v>19563</v>
      </c>
      <c r="G18390" s="52">
        <v>108885.94019559601</v>
      </c>
      <c r="H18390" s="56">
        <v>-7.9090042538621751E-3</v>
      </c>
      <c r="I18390" s="224" t="s">
        <v>2</v>
      </c>
    </row>
    <row r="18391" spans="1:9" x14ac:dyDescent="0.25">
      <c r="A18391" s="515">
        <v>35618</v>
      </c>
      <c r="B18391" s="515" t="s">
        <v>1007</v>
      </c>
      <c r="C18391" s="52">
        <v>125101.610996113</v>
      </c>
      <c r="D18391" s="56">
        <v>8.4111918005384326E-2</v>
      </c>
      <c r="E18391" s="224" t="s">
        <v>2</v>
      </c>
      <c r="F18391" s="515" t="s">
        <v>19564</v>
      </c>
      <c r="G18391" s="52">
        <v>228276.18115871699</v>
      </c>
      <c r="H18391" s="56">
        <v>0.15723277925731413</v>
      </c>
      <c r="I18391" s="224" t="s">
        <v>2</v>
      </c>
    </row>
    <row r="18392" spans="1:9" x14ac:dyDescent="0.25">
      <c r="A18392" s="515">
        <v>18218</v>
      </c>
      <c r="B18392" s="515" t="s">
        <v>994</v>
      </c>
      <c r="C18392" s="52">
        <v>58989.465479395803</v>
      </c>
      <c r="D18392" s="56">
        <v>0.15294827007351644</v>
      </c>
      <c r="E18392" s="224" t="s">
        <v>2</v>
      </c>
      <c r="F18392" s="515" t="s">
        <v>19565</v>
      </c>
      <c r="G18392" s="52">
        <v>188411.53185529099</v>
      </c>
      <c r="H18392" s="56">
        <v>6.3517718658847463E-2</v>
      </c>
      <c r="I18392" s="224" t="s">
        <v>2</v>
      </c>
    </row>
    <row r="18393" spans="1:9" x14ac:dyDescent="0.25">
      <c r="A18393" s="515">
        <v>79322</v>
      </c>
      <c r="B18393" s="515" t="s">
        <v>354</v>
      </c>
      <c r="C18393" s="52">
        <v>63708.401513799203</v>
      </c>
      <c r="D18393" s="56">
        <v>-0.13970889032405995</v>
      </c>
      <c r="E18393" s="224" t="s">
        <v>2</v>
      </c>
      <c r="F18393" s="515" t="s">
        <v>19566</v>
      </c>
      <c r="G18393" s="52">
        <v>122440.926823412</v>
      </c>
      <c r="H18393" s="56">
        <v>2.0562244867254224E-2</v>
      </c>
      <c r="I18393" s="224" t="s">
        <v>2</v>
      </c>
    </row>
    <row r="18394" spans="1:9" x14ac:dyDescent="0.25">
      <c r="A18394" s="515">
        <v>54014</v>
      </c>
      <c r="B18394" s="515" t="s">
        <v>532</v>
      </c>
      <c r="C18394" s="52">
        <v>283713.00243224</v>
      </c>
      <c r="D18394" s="56">
        <v>5.4178218797830253E-2</v>
      </c>
      <c r="E18394" s="224" t="s">
        <v>2</v>
      </c>
      <c r="F18394" s="515" t="s">
        <v>19567</v>
      </c>
      <c r="G18394" s="52">
        <v>172885.80703592501</v>
      </c>
      <c r="H18394" s="56">
        <v>9.2946623517459165E-2</v>
      </c>
      <c r="I18394" s="224" t="s">
        <v>2</v>
      </c>
    </row>
    <row r="18395" spans="1:9" x14ac:dyDescent="0.25">
      <c r="A18395" s="515">
        <v>51551</v>
      </c>
      <c r="B18395" s="515" t="s">
        <v>367</v>
      </c>
      <c r="C18395" s="52">
        <v>216924.52340136599</v>
      </c>
      <c r="D18395" s="56">
        <v>8.7536176484597272E-2</v>
      </c>
      <c r="E18395" s="224" t="s">
        <v>2</v>
      </c>
      <c r="F18395" s="515" t="s">
        <v>19568</v>
      </c>
      <c r="G18395" s="52">
        <v>274731.44518838299</v>
      </c>
      <c r="H18395" s="56">
        <v>8.1459349116954696E-2</v>
      </c>
      <c r="I18395" s="224" t="s">
        <v>2</v>
      </c>
    </row>
    <row r="18396" spans="1:9" x14ac:dyDescent="0.25">
      <c r="A18396" s="515">
        <v>25140</v>
      </c>
      <c r="B18396" s="515" t="s">
        <v>566</v>
      </c>
      <c r="C18396" s="52">
        <v>63038.736781553001</v>
      </c>
      <c r="D18396" s="56">
        <v>0.21982928982886615</v>
      </c>
      <c r="E18396" s="224" t="s">
        <v>2</v>
      </c>
      <c r="F18396" s="515" t="s">
        <v>19569</v>
      </c>
      <c r="G18396" s="52">
        <v>154693.344904709</v>
      </c>
      <c r="H18396" s="56">
        <v>7.6028835482582158E-2</v>
      </c>
      <c r="I18396" s="224" t="s">
        <v>2</v>
      </c>
    </row>
    <row r="18397" spans="1:9" x14ac:dyDescent="0.25">
      <c r="A18397" s="515">
        <v>98564</v>
      </c>
      <c r="B18397" s="515" t="s">
        <v>468</v>
      </c>
      <c r="C18397" s="52">
        <v>434556.09898693999</v>
      </c>
      <c r="D18397" s="56">
        <v>3.2117360677123598E-2</v>
      </c>
      <c r="E18397" s="224" t="s">
        <v>2</v>
      </c>
      <c r="F18397" s="515" t="s">
        <v>19570</v>
      </c>
      <c r="G18397" s="52">
        <v>330473.83827729098</v>
      </c>
      <c r="H18397" s="56">
        <v>0.19095288670029664</v>
      </c>
      <c r="I18397" s="224" t="s">
        <v>2</v>
      </c>
    </row>
    <row r="18398" spans="1:9" x14ac:dyDescent="0.25">
      <c r="A18398" s="515">
        <v>7074</v>
      </c>
      <c r="B18398" s="515" t="s">
        <v>324</v>
      </c>
      <c r="C18398" s="52">
        <v>502280.574433601</v>
      </c>
      <c r="D18398" s="56">
        <v>5.1377213140222228E-2</v>
      </c>
      <c r="E18398" s="224" t="s">
        <v>2</v>
      </c>
      <c r="F18398" s="515" t="s">
        <v>19571</v>
      </c>
      <c r="G18398" s="52">
        <v>138231.22168600801</v>
      </c>
      <c r="H18398" s="56">
        <v>-2.1795555293199542E-2</v>
      </c>
      <c r="I18398" s="224" t="s">
        <v>2</v>
      </c>
    </row>
    <row r="18399" spans="1:9" x14ac:dyDescent="0.25">
      <c r="A18399" s="515">
        <v>68520</v>
      </c>
      <c r="B18399" s="515" t="s">
        <v>486</v>
      </c>
      <c r="C18399" s="52">
        <v>561585.17501984199</v>
      </c>
      <c r="D18399" s="56">
        <v>9.4839918141810184E-2</v>
      </c>
      <c r="E18399" s="224" t="s">
        <v>2</v>
      </c>
      <c r="F18399" s="515" t="s">
        <v>19572</v>
      </c>
      <c r="G18399" s="52">
        <v>137534.575548958</v>
      </c>
      <c r="H18399" s="56">
        <v>0.10052219050538132</v>
      </c>
      <c r="I18399" s="224" t="s">
        <v>2</v>
      </c>
    </row>
    <row r="18400" spans="1:9" x14ac:dyDescent="0.25">
      <c r="A18400" s="515">
        <v>78205</v>
      </c>
      <c r="B18400" s="515" t="s">
        <v>717</v>
      </c>
      <c r="C18400" s="52">
        <v>571498.25001226203</v>
      </c>
      <c r="D18400" s="56">
        <v>2.8837606011258649E-2</v>
      </c>
      <c r="E18400" s="224">
        <v>1513.6666666666599</v>
      </c>
      <c r="F18400" s="515" t="s">
        <v>19573</v>
      </c>
      <c r="G18400" s="52">
        <v>539538.94645604701</v>
      </c>
      <c r="H18400" s="56">
        <v>0.12235345383718289</v>
      </c>
      <c r="I18400" s="224" t="s">
        <v>2</v>
      </c>
    </row>
    <row r="18401" spans="1:9" x14ac:dyDescent="0.25">
      <c r="A18401" s="515">
        <v>13648</v>
      </c>
      <c r="C18401" s="52">
        <v>129108.01158111999</v>
      </c>
      <c r="D18401" s="56">
        <v>7.6007307085880757E-2</v>
      </c>
      <c r="E18401" s="224" t="s">
        <v>2</v>
      </c>
      <c r="F18401" s="515" t="s">
        <v>19574</v>
      </c>
      <c r="G18401" s="52">
        <v>187008.29027146599</v>
      </c>
      <c r="H18401" s="56">
        <v>0.1390310105442201</v>
      </c>
      <c r="I18401" s="224" t="s">
        <v>2</v>
      </c>
    </row>
    <row r="18402" spans="1:9" x14ac:dyDescent="0.25">
      <c r="A18402" s="515">
        <v>97431</v>
      </c>
      <c r="B18402" s="515" t="s">
        <v>801</v>
      </c>
      <c r="C18402" s="52">
        <v>505465.05983621901</v>
      </c>
      <c r="D18402" s="56">
        <v>1.2631444629934095E-2</v>
      </c>
      <c r="E18402" s="224" t="s">
        <v>2</v>
      </c>
      <c r="F18402" s="515" t="s">
        <v>19575</v>
      </c>
      <c r="G18402" s="52">
        <v>49456.639558089097</v>
      </c>
      <c r="H18402" s="56">
        <v>0</v>
      </c>
      <c r="I18402" s="224" t="s">
        <v>2</v>
      </c>
    </row>
    <row r="18403" spans="1:9" x14ac:dyDescent="0.25">
      <c r="A18403" s="515">
        <v>68756</v>
      </c>
      <c r="C18403" s="52">
        <v>133322.82132658199</v>
      </c>
      <c r="D18403" s="56">
        <v>8.4136108188883479E-2</v>
      </c>
      <c r="E18403" s="224" t="s">
        <v>2</v>
      </c>
      <c r="F18403" s="515" t="s">
        <v>19576</v>
      </c>
      <c r="G18403" s="52">
        <v>495718.556357063</v>
      </c>
      <c r="H18403" s="56">
        <v>1.3535769400550868E-2</v>
      </c>
      <c r="I18403" s="224" t="s">
        <v>2</v>
      </c>
    </row>
    <row r="18404" spans="1:9" x14ac:dyDescent="0.25">
      <c r="A18404" s="515">
        <v>87041</v>
      </c>
      <c r="B18404" s="515" t="s">
        <v>406</v>
      </c>
      <c r="C18404" s="52">
        <v>252248.62212029201</v>
      </c>
      <c r="D18404" s="56">
        <v>2.2077482664291215E-2</v>
      </c>
      <c r="E18404" s="224" t="s">
        <v>2</v>
      </c>
      <c r="F18404" s="515" t="s">
        <v>19577</v>
      </c>
      <c r="G18404" s="52">
        <v>220878.931866762</v>
      </c>
      <c r="H18404" s="56">
        <v>4.8777210650905359E-2</v>
      </c>
      <c r="I18404" s="224" t="s">
        <v>2</v>
      </c>
    </row>
    <row r="18405" spans="1:9" x14ac:dyDescent="0.25">
      <c r="A18405" s="515">
        <v>29426</v>
      </c>
      <c r="B18405" s="515" t="s">
        <v>1009</v>
      </c>
      <c r="C18405" s="52">
        <v>254514.02788508299</v>
      </c>
      <c r="D18405" s="56">
        <v>0.15985941103553539</v>
      </c>
      <c r="E18405" s="224" t="s">
        <v>2</v>
      </c>
      <c r="F18405" s="515" t="s">
        <v>19578</v>
      </c>
      <c r="G18405" s="52">
        <v>81115.452303253798</v>
      </c>
      <c r="H18405" s="56">
        <v>0.141335013067033</v>
      </c>
      <c r="I18405" s="224" t="s">
        <v>2</v>
      </c>
    </row>
    <row r="18406" spans="1:9" x14ac:dyDescent="0.25">
      <c r="A18406" s="515">
        <v>54173</v>
      </c>
      <c r="B18406" s="515" t="s">
        <v>897</v>
      </c>
      <c r="C18406" s="52">
        <v>337363.97468542599</v>
      </c>
      <c r="D18406" s="56">
        <v>6.2453259294294405E-2</v>
      </c>
      <c r="E18406" s="224" t="s">
        <v>2</v>
      </c>
      <c r="F18406" s="515" t="s">
        <v>19579</v>
      </c>
      <c r="G18406" s="52">
        <v>191001.86036256599</v>
      </c>
      <c r="H18406" s="56">
        <v>4.8998214455591001E-2</v>
      </c>
      <c r="I18406" s="224" t="s">
        <v>2</v>
      </c>
    </row>
    <row r="18407" spans="1:9" x14ac:dyDescent="0.25">
      <c r="A18407" s="515">
        <v>36316</v>
      </c>
      <c r="B18407" s="515" t="s">
        <v>816</v>
      </c>
      <c r="C18407" s="52">
        <v>186509.49017602901</v>
      </c>
      <c r="D18407" s="56">
        <v>4.2329570417812698E-2</v>
      </c>
      <c r="E18407" s="224" t="s">
        <v>2</v>
      </c>
      <c r="F18407" s="515" t="s">
        <v>19580</v>
      </c>
      <c r="G18407" s="52">
        <v>289230.94845797902</v>
      </c>
      <c r="H18407" s="56">
        <v>6.1542899327015343E-2</v>
      </c>
      <c r="I18407" s="224" t="s">
        <v>2</v>
      </c>
    </row>
    <row r="18408" spans="1:9" x14ac:dyDescent="0.25">
      <c r="A18408" s="515">
        <v>67146</v>
      </c>
      <c r="B18408" s="515" t="s">
        <v>789</v>
      </c>
      <c r="C18408" s="52">
        <v>178601.05051800699</v>
      </c>
      <c r="D18408" s="56">
        <v>0.1310193886241606</v>
      </c>
      <c r="E18408" s="224" t="s">
        <v>2</v>
      </c>
      <c r="F18408" s="515" t="s">
        <v>19581</v>
      </c>
      <c r="G18408" s="52">
        <v>217945.93594402101</v>
      </c>
      <c r="H18408" s="56">
        <v>0</v>
      </c>
      <c r="I18408" s="224" t="s">
        <v>2</v>
      </c>
    </row>
    <row r="18409" spans="1:9" x14ac:dyDescent="0.25">
      <c r="A18409" s="515">
        <v>60922</v>
      </c>
      <c r="C18409" s="52">
        <v>171183.57077833099</v>
      </c>
      <c r="D18409" s="56">
        <v>7.3252372678190486E-2</v>
      </c>
      <c r="E18409" s="224" t="s">
        <v>2</v>
      </c>
      <c r="F18409" s="515" t="s">
        <v>19582</v>
      </c>
      <c r="G18409" s="52">
        <v>131953.22197521699</v>
      </c>
      <c r="H18409" s="56">
        <v>0</v>
      </c>
      <c r="I18409" s="224" t="s">
        <v>2</v>
      </c>
    </row>
    <row r="18410" spans="1:9" x14ac:dyDescent="0.25">
      <c r="A18410" s="515">
        <v>48435</v>
      </c>
      <c r="C18410" s="52">
        <v>171500.07337063801</v>
      </c>
      <c r="D18410" s="56">
        <v>4.6156422700094984E-2</v>
      </c>
      <c r="E18410" s="224" t="s">
        <v>2</v>
      </c>
      <c r="F18410" s="515" t="s">
        <v>19583</v>
      </c>
      <c r="G18410" s="52">
        <v>176759.80793313199</v>
      </c>
      <c r="H18410" s="56">
        <v>3.0229290805230832E-2</v>
      </c>
      <c r="I18410" s="224" t="s">
        <v>2</v>
      </c>
    </row>
    <row r="18411" spans="1:9" x14ac:dyDescent="0.25">
      <c r="A18411" s="515">
        <v>54644</v>
      </c>
      <c r="B18411" s="515" t="s">
        <v>635</v>
      </c>
      <c r="C18411" s="52">
        <v>222544.64316918</v>
      </c>
      <c r="D18411" s="56">
        <v>4.2120451876678414E-2</v>
      </c>
      <c r="E18411" s="224" t="s">
        <v>2</v>
      </c>
      <c r="F18411" s="515" t="s">
        <v>19584</v>
      </c>
      <c r="G18411" s="52">
        <v>97615.710440814801</v>
      </c>
      <c r="H18411" s="56">
        <v>1.6744647334190663E-2</v>
      </c>
      <c r="I18411" s="224" t="s">
        <v>2</v>
      </c>
    </row>
    <row r="18412" spans="1:9" x14ac:dyDescent="0.25">
      <c r="A18412" s="515">
        <v>25921</v>
      </c>
      <c r="B18412" s="515" t="s">
        <v>566</v>
      </c>
      <c r="C18412" s="52">
        <v>86772.234464213194</v>
      </c>
      <c r="D18412" s="56">
        <v>0.13534587839169984</v>
      </c>
      <c r="E18412" s="224" t="s">
        <v>2</v>
      </c>
      <c r="F18412" s="515" t="s">
        <v>19585</v>
      </c>
      <c r="G18412" s="52">
        <v>249037.50638584001</v>
      </c>
      <c r="H18412" s="56">
        <v>4.4235062962368323E-2</v>
      </c>
      <c r="I18412" s="224" t="s">
        <v>2</v>
      </c>
    </row>
    <row r="18413" spans="1:9" x14ac:dyDescent="0.25">
      <c r="A18413" s="515">
        <v>95703</v>
      </c>
      <c r="B18413" s="515" t="s">
        <v>355</v>
      </c>
      <c r="C18413" s="52">
        <v>517083.231586073</v>
      </c>
      <c r="D18413" s="56">
        <v>-2.7585509960576373E-2</v>
      </c>
      <c r="E18413" s="224" t="s">
        <v>2</v>
      </c>
      <c r="F18413" s="515" t="s">
        <v>19586</v>
      </c>
      <c r="G18413" s="52">
        <v>250199.24639202</v>
      </c>
      <c r="H18413" s="56">
        <v>8.5657484810087406E-2</v>
      </c>
      <c r="I18413" s="224" t="s">
        <v>2</v>
      </c>
    </row>
    <row r="18414" spans="1:9" x14ac:dyDescent="0.25">
      <c r="A18414" s="515">
        <v>61534</v>
      </c>
      <c r="B18414" s="515" t="s">
        <v>303</v>
      </c>
      <c r="C18414" s="52">
        <v>139321.621622551</v>
      </c>
      <c r="D18414" s="56">
        <v>6.7828801252899237E-2</v>
      </c>
      <c r="E18414" s="224" t="s">
        <v>2</v>
      </c>
      <c r="F18414" s="515" t="s">
        <v>19587</v>
      </c>
      <c r="G18414" s="52">
        <v>156129.49385716199</v>
      </c>
      <c r="H18414" s="56">
        <v>4.1998400772668545E-2</v>
      </c>
      <c r="I18414" s="224" t="s">
        <v>2</v>
      </c>
    </row>
    <row r="18415" spans="1:9" x14ac:dyDescent="0.25">
      <c r="A18415" s="515">
        <v>85539</v>
      </c>
      <c r="B18415" s="515" t="s">
        <v>692</v>
      </c>
      <c r="C18415" s="52">
        <v>116365.504455193</v>
      </c>
      <c r="D18415" s="56">
        <v>6.3341101836831712E-2</v>
      </c>
      <c r="E18415" s="224" t="s">
        <v>2</v>
      </c>
      <c r="F18415" s="515" t="s">
        <v>19588</v>
      </c>
      <c r="G18415" s="52">
        <v>54751.794997818099</v>
      </c>
      <c r="H18415" s="56">
        <v>0.11707253132330254</v>
      </c>
      <c r="I18415" s="224" t="s">
        <v>2</v>
      </c>
    </row>
    <row r="18416" spans="1:9" x14ac:dyDescent="0.25">
      <c r="A18416" s="515">
        <v>15622</v>
      </c>
      <c r="B18416" s="515" t="s">
        <v>297</v>
      </c>
      <c r="C18416" s="52">
        <v>325195.14248686202</v>
      </c>
      <c r="D18416" s="56">
        <v>9.4098542115857425E-3</v>
      </c>
      <c r="E18416" s="224" t="s">
        <v>2</v>
      </c>
      <c r="F18416" s="515" t="s">
        <v>19589</v>
      </c>
      <c r="G18416" s="52">
        <v>283334.762451193</v>
      </c>
      <c r="H18416" s="56">
        <v>6.7729769085908428E-2</v>
      </c>
      <c r="I18416" s="224" t="s">
        <v>2</v>
      </c>
    </row>
    <row r="18417" spans="1:9" x14ac:dyDescent="0.25">
      <c r="A18417" s="515">
        <v>57735</v>
      </c>
      <c r="C18417" s="52">
        <v>121131.312292291</v>
      </c>
      <c r="D18417" s="56">
        <v>0.13478027183109653</v>
      </c>
      <c r="E18417" s="224" t="s">
        <v>2</v>
      </c>
      <c r="F18417" s="515" t="s">
        <v>19590</v>
      </c>
      <c r="G18417" s="52">
        <v>216213.775033916</v>
      </c>
      <c r="H18417" s="56">
        <v>0.12145151530707242</v>
      </c>
      <c r="I18417" s="224" t="s">
        <v>2</v>
      </c>
    </row>
    <row r="18418" spans="1:9" x14ac:dyDescent="0.25">
      <c r="A18418" s="515">
        <v>27315</v>
      </c>
      <c r="C18418" s="52">
        <v>176173.44497637299</v>
      </c>
      <c r="D18418" s="56">
        <v>0.10354062938715994</v>
      </c>
      <c r="E18418" s="224" t="s">
        <v>2</v>
      </c>
      <c r="F18418" s="515" t="s">
        <v>19591</v>
      </c>
      <c r="G18418" s="52">
        <v>169982.859577289</v>
      </c>
      <c r="H18418" s="56">
        <v>0.1777012083742576</v>
      </c>
      <c r="I18418" s="224" t="s">
        <v>2</v>
      </c>
    </row>
    <row r="18419" spans="1:9" x14ac:dyDescent="0.25">
      <c r="A18419" s="515">
        <v>38573</v>
      </c>
      <c r="B18419" s="515" t="s">
        <v>833</v>
      </c>
      <c r="C18419" s="52">
        <v>212209.24319774</v>
      </c>
      <c r="D18419" s="56">
        <v>8.984831103626803E-2</v>
      </c>
      <c r="E18419" s="224" t="s">
        <v>2</v>
      </c>
      <c r="F18419" s="515" t="s">
        <v>19592</v>
      </c>
      <c r="G18419" s="52">
        <v>272949.05500171002</v>
      </c>
      <c r="H18419" s="56">
        <v>0.11814601304852503</v>
      </c>
      <c r="I18419" s="224" t="s">
        <v>2</v>
      </c>
    </row>
    <row r="18420" spans="1:9" x14ac:dyDescent="0.25">
      <c r="A18420" s="515">
        <v>72840</v>
      </c>
      <c r="C18420" s="52">
        <v>115693.280680467</v>
      </c>
      <c r="D18420" s="56">
        <v>-1.7594635167751439E-2</v>
      </c>
      <c r="E18420" s="224" t="s">
        <v>2</v>
      </c>
      <c r="F18420" s="515" t="s">
        <v>19593</v>
      </c>
      <c r="G18420" s="52">
        <v>851182.52236476005</v>
      </c>
      <c r="H18420" s="56">
        <v>0.20019883512607925</v>
      </c>
      <c r="I18420" s="224" t="s">
        <v>2</v>
      </c>
    </row>
    <row r="18421" spans="1:9" x14ac:dyDescent="0.25">
      <c r="A18421" s="515">
        <v>64490</v>
      </c>
      <c r="B18421" s="515" t="s">
        <v>371</v>
      </c>
      <c r="C18421" s="52">
        <v>221320.127228622</v>
      </c>
      <c r="D18421" s="56">
        <v>4.1315847168402635E-2</v>
      </c>
      <c r="E18421" s="224" t="s">
        <v>2</v>
      </c>
      <c r="F18421" s="515" t="s">
        <v>19594</v>
      </c>
      <c r="G18421" s="52">
        <v>189983.77083333299</v>
      </c>
      <c r="H18421" s="56">
        <v>0</v>
      </c>
      <c r="I18421" s="224" t="s">
        <v>2</v>
      </c>
    </row>
    <row r="18422" spans="1:9" x14ac:dyDescent="0.25">
      <c r="A18422" s="515">
        <v>62351</v>
      </c>
      <c r="B18422" s="515" t="s">
        <v>697</v>
      </c>
      <c r="C18422" s="52">
        <v>139176.01636564499</v>
      </c>
      <c r="D18422" s="56">
        <v>8.2088214241444274E-2</v>
      </c>
      <c r="E18422" s="224" t="s">
        <v>2</v>
      </c>
      <c r="F18422" s="515" t="s">
        <v>19595</v>
      </c>
      <c r="G18422" s="52">
        <v>237168.12995418001</v>
      </c>
      <c r="H18422" s="56">
        <v>4.1240945533290455E-2</v>
      </c>
      <c r="I18422" s="224" t="s">
        <v>2</v>
      </c>
    </row>
    <row r="18423" spans="1:9" x14ac:dyDescent="0.25">
      <c r="A18423" s="515">
        <v>57231</v>
      </c>
      <c r="C18423" s="52">
        <v>207175.94140680699</v>
      </c>
      <c r="D18423" s="56">
        <v>5.722291545169135E-2</v>
      </c>
      <c r="E18423" s="224" t="s">
        <v>2</v>
      </c>
      <c r="F18423" s="515" t="s">
        <v>19596</v>
      </c>
      <c r="G18423" s="52">
        <v>194702.122151569</v>
      </c>
      <c r="H18423" s="56">
        <v>7.0165225609486917E-2</v>
      </c>
      <c r="I18423" s="224" t="s">
        <v>2</v>
      </c>
    </row>
    <row r="18424" spans="1:9" x14ac:dyDescent="0.25">
      <c r="A18424" s="515">
        <v>14471</v>
      </c>
      <c r="B18424" s="515" t="s">
        <v>337</v>
      </c>
      <c r="C18424" s="52">
        <v>271220.58209989901</v>
      </c>
      <c r="D18424" s="56">
        <v>0.10333744578330373</v>
      </c>
      <c r="E18424" s="224" t="s">
        <v>2</v>
      </c>
      <c r="F18424" s="515" t="s">
        <v>19597</v>
      </c>
      <c r="G18424" s="52">
        <v>168240.229430026</v>
      </c>
      <c r="H18424" s="56">
        <v>8.9478441079386559E-2</v>
      </c>
      <c r="I18424" s="224" t="s">
        <v>2</v>
      </c>
    </row>
    <row r="18425" spans="1:9" x14ac:dyDescent="0.25">
      <c r="A18425" s="515">
        <v>36258</v>
      </c>
      <c r="C18425" s="52">
        <v>181603.717911613</v>
      </c>
      <c r="D18425" s="56">
        <v>2.6551723910699942E-2</v>
      </c>
      <c r="E18425" s="224" t="s">
        <v>2</v>
      </c>
      <c r="F18425" s="515" t="s">
        <v>19598</v>
      </c>
      <c r="G18425" s="52">
        <v>51287.691334984796</v>
      </c>
      <c r="H18425" s="56">
        <v>0</v>
      </c>
      <c r="I18425" s="224" t="s">
        <v>2</v>
      </c>
    </row>
    <row r="18426" spans="1:9" x14ac:dyDescent="0.25">
      <c r="A18426" s="515">
        <v>23840</v>
      </c>
      <c r="B18426" s="515" t="s">
        <v>667</v>
      </c>
      <c r="C18426" s="52">
        <v>260695.31002170601</v>
      </c>
      <c r="D18426" s="56">
        <v>0.25626891311875505</v>
      </c>
      <c r="E18426" s="224" t="s">
        <v>2</v>
      </c>
      <c r="F18426" s="515" t="s">
        <v>19599</v>
      </c>
      <c r="G18426" s="52">
        <v>193485.91803278599</v>
      </c>
      <c r="H18426" s="56">
        <v>0</v>
      </c>
      <c r="I18426" s="224" t="s">
        <v>2</v>
      </c>
    </row>
    <row r="18427" spans="1:9" x14ac:dyDescent="0.25">
      <c r="A18427" s="515">
        <v>12070</v>
      </c>
      <c r="B18427" s="515" t="s">
        <v>744</v>
      </c>
      <c r="C18427" s="52">
        <v>176119.350325006</v>
      </c>
      <c r="D18427" s="56">
        <v>9.9648155457129461E-2</v>
      </c>
      <c r="E18427" s="224" t="s">
        <v>2</v>
      </c>
      <c r="F18427" s="515" t="s">
        <v>19600</v>
      </c>
      <c r="G18427" s="52">
        <v>533255.19999999995</v>
      </c>
      <c r="H18427" s="56">
        <v>0</v>
      </c>
      <c r="I18427" s="224" t="s">
        <v>2</v>
      </c>
    </row>
    <row r="18428" spans="1:9" x14ac:dyDescent="0.25">
      <c r="A18428" s="515">
        <v>75155</v>
      </c>
      <c r="B18428" s="515" t="s">
        <v>655</v>
      </c>
      <c r="C18428" s="52">
        <v>236431.622105313</v>
      </c>
      <c r="D18428" s="56">
        <v>7.2803105843460933E-2</v>
      </c>
      <c r="E18428" s="224" t="s">
        <v>2</v>
      </c>
      <c r="F18428" s="515" t="s">
        <v>19601</v>
      </c>
      <c r="G18428" s="52">
        <v>187921.07369130099</v>
      </c>
      <c r="H18428" s="56">
        <v>0.13227878696244205</v>
      </c>
      <c r="I18428" s="224" t="s">
        <v>2</v>
      </c>
    </row>
    <row r="18429" spans="1:9" x14ac:dyDescent="0.25">
      <c r="A18429" s="515">
        <v>61469</v>
      </c>
      <c r="B18429" s="515" t="s">
        <v>672</v>
      </c>
      <c r="C18429" s="52">
        <v>79710.527751283997</v>
      </c>
      <c r="D18429" s="56">
        <v>-5.4114079515155566E-2</v>
      </c>
      <c r="E18429" s="224" t="s">
        <v>2</v>
      </c>
      <c r="F18429" s="515" t="s">
        <v>19602</v>
      </c>
      <c r="G18429" s="52">
        <v>109015.881830046</v>
      </c>
      <c r="H18429" s="56">
        <v>1.9738088306686673E-2</v>
      </c>
      <c r="I18429" s="224" t="s">
        <v>2</v>
      </c>
    </row>
    <row r="18430" spans="1:9" x14ac:dyDescent="0.25">
      <c r="A18430" s="515">
        <v>37872</v>
      </c>
      <c r="B18430" s="515" t="s">
        <v>907</v>
      </c>
      <c r="C18430" s="52">
        <v>160739.355376953</v>
      </c>
      <c r="D18430" s="56">
        <v>7.6801037032218397E-2</v>
      </c>
      <c r="E18430" s="224" t="s">
        <v>2</v>
      </c>
      <c r="F18430" s="515" t="s">
        <v>19603</v>
      </c>
      <c r="G18430" s="52">
        <v>555037.70499276102</v>
      </c>
      <c r="H18430" s="56">
        <v>0</v>
      </c>
      <c r="I18430" s="224" t="s">
        <v>2</v>
      </c>
    </row>
    <row r="18431" spans="1:9" x14ac:dyDescent="0.25">
      <c r="A18431" s="515">
        <v>62001</v>
      </c>
      <c r="B18431" s="515" t="s">
        <v>498</v>
      </c>
      <c r="C18431" s="52">
        <v>218974.40770928</v>
      </c>
      <c r="D18431" s="56">
        <v>0.14728805985527668</v>
      </c>
      <c r="E18431" s="224" t="s">
        <v>2</v>
      </c>
      <c r="F18431" s="515" t="s">
        <v>19604</v>
      </c>
      <c r="G18431" s="52">
        <v>295737.50704225298</v>
      </c>
      <c r="H18431" s="56">
        <v>0</v>
      </c>
      <c r="I18431" s="224" t="s">
        <v>2</v>
      </c>
    </row>
    <row r="18432" spans="1:9" x14ac:dyDescent="0.25">
      <c r="A18432" s="515">
        <v>21640</v>
      </c>
      <c r="C18432" s="52">
        <v>321374.39870224398</v>
      </c>
      <c r="D18432" s="56">
        <v>1.2646352047556115E-2</v>
      </c>
      <c r="E18432" s="224" t="s">
        <v>2</v>
      </c>
      <c r="F18432" s="515" t="s">
        <v>19605</v>
      </c>
      <c r="G18432" s="52">
        <v>559763.23193156195</v>
      </c>
      <c r="H18432" s="56">
        <v>0.14848266364792337</v>
      </c>
      <c r="I18432" s="224" t="s">
        <v>2</v>
      </c>
    </row>
    <row r="18433" spans="1:9" x14ac:dyDescent="0.25">
      <c r="A18433" s="515">
        <v>67455</v>
      </c>
      <c r="C18433" s="52">
        <v>94695.230433051503</v>
      </c>
      <c r="D18433" s="56">
        <v>7.5704756106911339E-2</v>
      </c>
      <c r="E18433" s="224" t="s">
        <v>2</v>
      </c>
      <c r="F18433" s="515" t="s">
        <v>19606</v>
      </c>
      <c r="G18433" s="52">
        <v>322321.97877763398</v>
      </c>
      <c r="H18433" s="56">
        <v>0.10705457236810324</v>
      </c>
      <c r="I18433" s="224" t="s">
        <v>2</v>
      </c>
    </row>
    <row r="18434" spans="1:9" x14ac:dyDescent="0.25">
      <c r="A18434" s="515">
        <v>65771</v>
      </c>
      <c r="B18434" s="515" t="s">
        <v>757</v>
      </c>
      <c r="C18434" s="52">
        <v>352734.592387293</v>
      </c>
      <c r="D18434" s="56">
        <v>9.6962514945338307E-2</v>
      </c>
      <c r="E18434" s="224" t="s">
        <v>2</v>
      </c>
      <c r="F18434" s="515" t="s">
        <v>19607</v>
      </c>
      <c r="G18434" s="52">
        <v>253690.37554016401</v>
      </c>
      <c r="H18434" s="56">
        <v>1.9546135369532293E-2</v>
      </c>
      <c r="I18434" s="224" t="s">
        <v>2</v>
      </c>
    </row>
    <row r="18435" spans="1:9" x14ac:dyDescent="0.25">
      <c r="A18435" s="515">
        <v>13083</v>
      </c>
      <c r="B18435" s="515" t="s">
        <v>361</v>
      </c>
      <c r="C18435" s="52">
        <v>151920.269074282</v>
      </c>
      <c r="D18435" s="56">
        <v>0.1046651076039295</v>
      </c>
      <c r="E18435" s="224" t="s">
        <v>2</v>
      </c>
      <c r="F18435" s="515" t="s">
        <v>19608</v>
      </c>
      <c r="G18435" s="52">
        <v>159537.597361694</v>
      </c>
      <c r="H18435" s="56">
        <v>0.12549108252341495</v>
      </c>
      <c r="I18435" s="224" t="s">
        <v>2</v>
      </c>
    </row>
    <row r="18436" spans="1:9" x14ac:dyDescent="0.25">
      <c r="A18436" s="515">
        <v>18701</v>
      </c>
      <c r="B18436" s="515" t="s">
        <v>512</v>
      </c>
      <c r="C18436" s="52">
        <v>107240.07959238801</v>
      </c>
      <c r="D18436" s="56">
        <v>0.12587705345323277</v>
      </c>
      <c r="E18436" s="224" t="s">
        <v>2</v>
      </c>
      <c r="F18436" s="515" t="s">
        <v>19609</v>
      </c>
      <c r="G18436" s="52">
        <v>193572.456267328</v>
      </c>
      <c r="H18436" s="56">
        <v>6.1037445523300163E-2</v>
      </c>
      <c r="I18436" s="224" t="s">
        <v>2</v>
      </c>
    </row>
    <row r="18437" spans="1:9" x14ac:dyDescent="0.25">
      <c r="A18437" s="515">
        <v>13164</v>
      </c>
      <c r="B18437" s="515" t="s">
        <v>361</v>
      </c>
      <c r="C18437" s="52">
        <v>259144.253970021</v>
      </c>
      <c r="D18437" s="56">
        <v>9.7370374525223138E-2</v>
      </c>
      <c r="E18437" s="224" t="s">
        <v>2</v>
      </c>
      <c r="F18437" s="515" t="s">
        <v>19610</v>
      </c>
      <c r="G18437" s="52">
        <v>184393.49672774799</v>
      </c>
      <c r="H18437" s="56">
        <v>9.218866507495771E-2</v>
      </c>
      <c r="I18437" s="224" t="s">
        <v>2</v>
      </c>
    </row>
    <row r="18438" spans="1:9" x14ac:dyDescent="0.25">
      <c r="A18438" s="515">
        <v>14171</v>
      </c>
      <c r="B18438" s="515" t="s">
        <v>870</v>
      </c>
      <c r="C18438" s="52">
        <v>182637.13757648601</v>
      </c>
      <c r="D18438" s="56">
        <v>0.12506572014442854</v>
      </c>
      <c r="E18438" s="224" t="s">
        <v>2</v>
      </c>
      <c r="F18438" s="515" t="s">
        <v>19611</v>
      </c>
      <c r="G18438" s="52">
        <v>201571.805873101</v>
      </c>
      <c r="H18438" s="56">
        <v>0.21653638265841038</v>
      </c>
      <c r="I18438" s="224" t="s">
        <v>2</v>
      </c>
    </row>
    <row r="18439" spans="1:9" x14ac:dyDescent="0.25">
      <c r="A18439" s="515">
        <v>54648</v>
      </c>
      <c r="C18439" s="52">
        <v>138342.57834550799</v>
      </c>
      <c r="D18439" s="56">
        <v>5.1002190584569777E-2</v>
      </c>
      <c r="E18439" s="224" t="s">
        <v>2</v>
      </c>
      <c r="F18439" s="515" t="s">
        <v>19612</v>
      </c>
      <c r="G18439" s="52">
        <v>101476.26684485799</v>
      </c>
      <c r="H18439" s="56">
        <v>4.3199734825014886E-2</v>
      </c>
      <c r="I18439" s="224" t="s">
        <v>2</v>
      </c>
    </row>
    <row r="18440" spans="1:9" x14ac:dyDescent="0.25">
      <c r="A18440" s="515">
        <v>35098</v>
      </c>
      <c r="B18440" s="515" t="s">
        <v>1110</v>
      </c>
      <c r="C18440" s="52">
        <v>223488.09877887799</v>
      </c>
      <c r="D18440" s="56">
        <v>0.11515152478986827</v>
      </c>
      <c r="E18440" s="224" t="s">
        <v>2</v>
      </c>
      <c r="F18440" s="515" t="s">
        <v>19613</v>
      </c>
      <c r="G18440" s="52">
        <v>286795.13073116197</v>
      </c>
      <c r="H18440" s="56">
        <v>3.0820984459495503E-2</v>
      </c>
      <c r="I18440" s="224" t="s">
        <v>2</v>
      </c>
    </row>
    <row r="18441" spans="1:9" x14ac:dyDescent="0.25">
      <c r="A18441" s="515">
        <v>63537</v>
      </c>
      <c r="C18441" s="52">
        <v>121205.74379056699</v>
      </c>
      <c r="D18441" s="56">
        <v>5.7587597196444233E-2</v>
      </c>
      <c r="E18441" s="224" t="s">
        <v>2</v>
      </c>
      <c r="F18441" s="515" t="s">
        <v>19614</v>
      </c>
      <c r="G18441" s="52">
        <v>277104.20327380701</v>
      </c>
      <c r="H18441" s="56">
        <v>0.14369493445812354</v>
      </c>
      <c r="I18441" s="224" t="s">
        <v>2</v>
      </c>
    </row>
    <row r="18442" spans="1:9" x14ac:dyDescent="0.25">
      <c r="A18442" s="515">
        <v>12167</v>
      </c>
      <c r="C18442" s="52">
        <v>196646.21025475999</v>
      </c>
      <c r="D18442" s="56">
        <v>0.11640614646443767</v>
      </c>
      <c r="E18442" s="224" t="s">
        <v>2</v>
      </c>
      <c r="F18442" s="515" t="s">
        <v>19615</v>
      </c>
      <c r="G18442" s="52">
        <v>159187.73374713899</v>
      </c>
      <c r="H18442" s="56">
        <v>0</v>
      </c>
      <c r="I18442" s="224" t="s">
        <v>2</v>
      </c>
    </row>
    <row r="18443" spans="1:9" x14ac:dyDescent="0.25">
      <c r="A18443" s="515">
        <v>55368</v>
      </c>
      <c r="B18443" s="515" t="s">
        <v>532</v>
      </c>
      <c r="C18443" s="52">
        <v>313531.50887171098</v>
      </c>
      <c r="D18443" s="56">
        <v>4.3820498365935108E-2</v>
      </c>
      <c r="E18443" s="224" t="s">
        <v>2</v>
      </c>
      <c r="F18443" s="515" t="s">
        <v>19616</v>
      </c>
      <c r="G18443" s="52">
        <v>296038.15545964101</v>
      </c>
      <c r="H18443" s="56">
        <v>0.15311431053073876</v>
      </c>
      <c r="I18443" s="224" t="s">
        <v>2</v>
      </c>
    </row>
    <row r="18444" spans="1:9" x14ac:dyDescent="0.25">
      <c r="A18444" s="515">
        <v>33122</v>
      </c>
      <c r="B18444" s="515" t="s">
        <v>831</v>
      </c>
      <c r="C18444" s="52">
        <v>1416136.00800071</v>
      </c>
      <c r="D18444" s="56">
        <v>0.19644969044789612</v>
      </c>
      <c r="E18444" s="224">
        <v>2912.75555555555</v>
      </c>
      <c r="F18444" s="515" t="s">
        <v>19617</v>
      </c>
      <c r="G18444" s="52">
        <v>155025.158415841</v>
      </c>
      <c r="H18444" s="56">
        <v>0</v>
      </c>
      <c r="I18444" s="224" t="s">
        <v>2</v>
      </c>
    </row>
    <row r="18445" spans="1:9" x14ac:dyDescent="0.25">
      <c r="A18445" s="515">
        <v>97014</v>
      </c>
      <c r="B18445" s="515" t="s">
        <v>1109</v>
      </c>
      <c r="C18445" s="52">
        <v>378927.78117172298</v>
      </c>
      <c r="D18445" s="56">
        <v>6.37662728752246E-3</v>
      </c>
      <c r="E18445" s="224" t="s">
        <v>2</v>
      </c>
      <c r="F18445" s="515" t="s">
        <v>19618</v>
      </c>
      <c r="G18445" s="52">
        <v>433191.03247787303</v>
      </c>
      <c r="H18445" s="56">
        <v>0.13846704582776823</v>
      </c>
      <c r="I18445" s="224">
        <v>5149.8333333333303</v>
      </c>
    </row>
    <row r="18446" spans="1:9" x14ac:dyDescent="0.25">
      <c r="A18446" s="515">
        <v>12455</v>
      </c>
      <c r="C18446" s="52">
        <v>279109.29286174499</v>
      </c>
      <c r="D18446" s="56">
        <v>0.11842884584471124</v>
      </c>
      <c r="E18446" s="224" t="s">
        <v>2</v>
      </c>
      <c r="F18446" s="515" t="s">
        <v>19619</v>
      </c>
      <c r="G18446" s="52">
        <v>162254.54823291901</v>
      </c>
      <c r="H18446" s="56">
        <v>5.2975472176374626E-2</v>
      </c>
      <c r="I18446" s="224" t="s">
        <v>2</v>
      </c>
    </row>
    <row r="18447" spans="1:9" x14ac:dyDescent="0.25">
      <c r="A18447" s="515">
        <v>35574</v>
      </c>
      <c r="C18447" s="52">
        <v>116599.366691766</v>
      </c>
      <c r="D18447" s="56">
        <v>2.119883181540101E-3</v>
      </c>
      <c r="E18447" s="224" t="s">
        <v>2</v>
      </c>
      <c r="F18447" s="515" t="s">
        <v>19620</v>
      </c>
      <c r="G18447" s="52">
        <v>370899.15679279901</v>
      </c>
      <c r="H18447" s="56">
        <v>0.10315694931830154</v>
      </c>
      <c r="I18447" s="224" t="s">
        <v>2</v>
      </c>
    </row>
    <row r="18448" spans="1:9" x14ac:dyDescent="0.25">
      <c r="A18448" s="515">
        <v>35135</v>
      </c>
      <c r="B18448" s="515" t="s">
        <v>640</v>
      </c>
      <c r="C18448" s="52">
        <v>285981.94580938702</v>
      </c>
      <c r="D18448" s="56">
        <v>6.5526267500964533E-2</v>
      </c>
      <c r="E18448" s="224" t="s">
        <v>2</v>
      </c>
      <c r="F18448" s="515" t="s">
        <v>19621</v>
      </c>
      <c r="G18448" s="52">
        <v>89550.267857142797</v>
      </c>
      <c r="H18448" s="56">
        <v>0</v>
      </c>
      <c r="I18448" s="224" t="s">
        <v>2</v>
      </c>
    </row>
    <row r="18449" spans="1:9" x14ac:dyDescent="0.25">
      <c r="A18449" s="515">
        <v>15035</v>
      </c>
      <c r="B18449" s="515" t="s">
        <v>297</v>
      </c>
      <c r="C18449" s="52">
        <v>109803.810746829</v>
      </c>
      <c r="D18449" s="56">
        <v>8.4458985482473811E-2</v>
      </c>
      <c r="E18449" s="224" t="s">
        <v>2</v>
      </c>
      <c r="F18449" s="515" t="s">
        <v>19622</v>
      </c>
      <c r="G18449" s="52">
        <v>1814424.5929390099</v>
      </c>
      <c r="H18449" s="56">
        <v>4.0048075923551883E-2</v>
      </c>
      <c r="I18449" s="224" t="s">
        <v>2</v>
      </c>
    </row>
    <row r="18450" spans="1:9" x14ac:dyDescent="0.25">
      <c r="A18450" s="515">
        <v>14040</v>
      </c>
      <c r="B18450" s="515" t="s">
        <v>1014</v>
      </c>
      <c r="C18450" s="52">
        <v>246765.13479165599</v>
      </c>
      <c r="D18450" s="56">
        <v>8.1169004076577303E-2</v>
      </c>
      <c r="E18450" s="224" t="s">
        <v>2</v>
      </c>
      <c r="F18450" s="515" t="s">
        <v>19623</v>
      </c>
      <c r="G18450" s="52">
        <v>235873.88923108199</v>
      </c>
      <c r="H18450" s="56">
        <v>9.0816081077310498E-2</v>
      </c>
      <c r="I18450" s="224" t="s">
        <v>2</v>
      </c>
    </row>
    <row r="18451" spans="1:9" x14ac:dyDescent="0.25">
      <c r="A18451" s="515">
        <v>3255</v>
      </c>
      <c r="B18451" s="515" t="s">
        <v>981</v>
      </c>
      <c r="C18451" s="52">
        <v>480267.94324155099</v>
      </c>
      <c r="D18451" s="56">
        <v>0.11595943649280524</v>
      </c>
      <c r="E18451" s="224" t="s">
        <v>2</v>
      </c>
      <c r="F18451" s="515" t="s">
        <v>19624</v>
      </c>
      <c r="G18451" s="52">
        <v>419440.21657859301</v>
      </c>
      <c r="H18451" s="56">
        <v>5.2557726747298673E-2</v>
      </c>
      <c r="I18451" s="224" t="s">
        <v>2</v>
      </c>
    </row>
    <row r="18452" spans="1:9" x14ac:dyDescent="0.25">
      <c r="A18452" s="515">
        <v>67120</v>
      </c>
      <c r="B18452" s="515" t="s">
        <v>485</v>
      </c>
      <c r="C18452" s="52">
        <v>256145.14665806401</v>
      </c>
      <c r="D18452" s="56">
        <v>8.5320013250027263E-2</v>
      </c>
      <c r="E18452" s="224" t="s">
        <v>2</v>
      </c>
      <c r="F18452" s="515" t="s">
        <v>19625</v>
      </c>
      <c r="G18452" s="52">
        <v>299482.29407325701</v>
      </c>
      <c r="H18452" s="56">
        <v>9.6980519909506332E-2</v>
      </c>
      <c r="I18452" s="224" t="s">
        <v>2</v>
      </c>
    </row>
    <row r="18453" spans="1:9" x14ac:dyDescent="0.25">
      <c r="A18453" s="515">
        <v>4786</v>
      </c>
      <c r="C18453" s="52">
        <v>133416.874760365</v>
      </c>
      <c r="D18453" s="56">
        <v>0.18114844299538299</v>
      </c>
      <c r="E18453" s="224" t="s">
        <v>2</v>
      </c>
      <c r="F18453" s="515" t="s">
        <v>19626</v>
      </c>
      <c r="G18453" s="52">
        <v>99300.777695088997</v>
      </c>
      <c r="H18453" s="56">
        <v>0.10388571654556424</v>
      </c>
      <c r="I18453" s="224" t="s">
        <v>2</v>
      </c>
    </row>
    <row r="18454" spans="1:9" x14ac:dyDescent="0.25">
      <c r="A18454" s="515">
        <v>49405</v>
      </c>
      <c r="B18454" s="515" t="s">
        <v>993</v>
      </c>
      <c r="C18454" s="52">
        <v>157369.392318186</v>
      </c>
      <c r="D18454" s="56">
        <v>6.2900393389790685E-2</v>
      </c>
      <c r="E18454" s="224" t="s">
        <v>2</v>
      </c>
      <c r="F18454" s="515" t="s">
        <v>19627</v>
      </c>
      <c r="G18454" s="52">
        <v>179546.671826948</v>
      </c>
      <c r="H18454" s="56">
        <v>0.12509443319367528</v>
      </c>
      <c r="I18454" s="224" t="s">
        <v>2</v>
      </c>
    </row>
    <row r="18455" spans="1:9" x14ac:dyDescent="0.25">
      <c r="A18455" s="515">
        <v>12516</v>
      </c>
      <c r="B18455" s="515" t="s">
        <v>564</v>
      </c>
      <c r="C18455" s="52">
        <v>368467.94503408897</v>
      </c>
      <c r="D18455" s="56">
        <v>7.1372268647383025E-2</v>
      </c>
      <c r="E18455" s="224" t="s">
        <v>2</v>
      </c>
      <c r="F18455" s="515" t="s">
        <v>19628</v>
      </c>
      <c r="G18455" s="52">
        <v>306675.08782486501</v>
      </c>
      <c r="H18455" s="56">
        <v>0.16037235737908045</v>
      </c>
      <c r="I18455" s="224" t="s">
        <v>2</v>
      </c>
    </row>
    <row r="18456" spans="1:9" x14ac:dyDescent="0.25">
      <c r="A18456" s="515">
        <v>68061</v>
      </c>
      <c r="C18456" s="52">
        <v>157834.88427074999</v>
      </c>
      <c r="D18456" s="56">
        <v>0.11454583628751008</v>
      </c>
      <c r="E18456" s="224" t="s">
        <v>2</v>
      </c>
      <c r="F18456" s="515" t="s">
        <v>19629</v>
      </c>
      <c r="G18456" s="52">
        <v>363853.878428369</v>
      </c>
      <c r="H18456" s="56">
        <v>0.13808321025785072</v>
      </c>
      <c r="I18456" s="224" t="s">
        <v>2</v>
      </c>
    </row>
    <row r="18457" spans="1:9" x14ac:dyDescent="0.25">
      <c r="A18457" s="515">
        <v>30450</v>
      </c>
      <c r="B18457" s="515" t="s">
        <v>1108</v>
      </c>
      <c r="C18457" s="52">
        <v>154445.256602526</v>
      </c>
      <c r="D18457" s="56">
        <v>0.16903662409396591</v>
      </c>
      <c r="E18457" s="224" t="s">
        <v>2</v>
      </c>
      <c r="F18457" s="515" t="s">
        <v>19630</v>
      </c>
      <c r="G18457" s="52">
        <v>62707.423076922998</v>
      </c>
      <c r="H18457" s="56">
        <v>0</v>
      </c>
      <c r="I18457" s="224" t="s">
        <v>2</v>
      </c>
    </row>
    <row r="18458" spans="1:9" x14ac:dyDescent="0.25">
      <c r="A18458" s="515">
        <v>95982</v>
      </c>
      <c r="B18458" s="515" t="s">
        <v>796</v>
      </c>
      <c r="C18458" s="52">
        <v>383918.40866391902</v>
      </c>
      <c r="D18458" s="56">
        <v>2.268126861419258E-2</v>
      </c>
      <c r="E18458" s="224" t="s">
        <v>2</v>
      </c>
      <c r="F18458" s="515" t="s">
        <v>19631</v>
      </c>
      <c r="G18458" s="52">
        <v>329791.13726454898</v>
      </c>
      <c r="H18458" s="56">
        <v>0.13095905618965448</v>
      </c>
      <c r="I18458" s="224" t="s">
        <v>2</v>
      </c>
    </row>
    <row r="18459" spans="1:9" x14ac:dyDescent="0.25">
      <c r="A18459" s="515">
        <v>49089</v>
      </c>
      <c r="B18459" s="515" t="s">
        <v>1107</v>
      </c>
      <c r="C18459" s="52">
        <v>123549.48733408</v>
      </c>
      <c r="D18459" s="56">
        <v>8.7369084832137462E-4</v>
      </c>
      <c r="E18459" s="224" t="s">
        <v>2</v>
      </c>
      <c r="F18459" s="515" t="s">
        <v>19632</v>
      </c>
      <c r="G18459" s="52">
        <v>63975.430474188201</v>
      </c>
      <c r="H18459" s="56">
        <v>0.16292879793052506</v>
      </c>
      <c r="I18459" s="224" t="s">
        <v>2</v>
      </c>
    </row>
    <row r="18460" spans="1:9" x14ac:dyDescent="0.25">
      <c r="A18460" s="515">
        <v>24375</v>
      </c>
      <c r="C18460" s="52">
        <v>121325.369191998</v>
      </c>
      <c r="D18460" s="56">
        <v>0</v>
      </c>
      <c r="E18460" s="224" t="s">
        <v>2</v>
      </c>
      <c r="F18460" s="515" t="s">
        <v>19633</v>
      </c>
      <c r="G18460" s="52">
        <v>386130.81270280603</v>
      </c>
      <c r="H18460" s="56">
        <v>0.10091998288453514</v>
      </c>
      <c r="I18460" s="224" t="s">
        <v>2</v>
      </c>
    </row>
    <row r="18461" spans="1:9" x14ac:dyDescent="0.25">
      <c r="A18461" s="515">
        <v>54407</v>
      </c>
      <c r="B18461" s="515" t="s">
        <v>1095</v>
      </c>
      <c r="C18461" s="52">
        <v>270629.41198914201</v>
      </c>
      <c r="D18461" s="56">
        <v>9.0252522001981583E-2</v>
      </c>
      <c r="E18461" s="224" t="s">
        <v>2</v>
      </c>
      <c r="F18461" s="515" t="s">
        <v>19634</v>
      </c>
      <c r="G18461" s="52">
        <v>66946.657736104404</v>
      </c>
      <c r="H18461" s="56">
        <v>0.10968431354116347</v>
      </c>
      <c r="I18461" s="224" t="s">
        <v>2</v>
      </c>
    </row>
    <row r="18462" spans="1:9" x14ac:dyDescent="0.25">
      <c r="A18462" s="515">
        <v>42020</v>
      </c>
      <c r="B18462" s="515" t="s">
        <v>1034</v>
      </c>
      <c r="C18462" s="52">
        <v>175756.06403851701</v>
      </c>
      <c r="D18462" s="56">
        <v>0.17975531235919767</v>
      </c>
      <c r="E18462" s="224" t="s">
        <v>2</v>
      </c>
      <c r="F18462" s="515" t="s">
        <v>19635</v>
      </c>
      <c r="G18462" s="52">
        <v>940331.43909978296</v>
      </c>
      <c r="H18462" s="56">
        <v>8.746931444084366E-2</v>
      </c>
      <c r="I18462" s="224" t="s">
        <v>2</v>
      </c>
    </row>
    <row r="18463" spans="1:9" x14ac:dyDescent="0.25">
      <c r="A18463" s="515">
        <v>68073</v>
      </c>
      <c r="B18463" s="515" t="s">
        <v>367</v>
      </c>
      <c r="C18463" s="52">
        <v>311000.84475038399</v>
      </c>
      <c r="D18463" s="56">
        <v>8.213676860177703E-2</v>
      </c>
      <c r="E18463" s="224" t="s">
        <v>2</v>
      </c>
      <c r="F18463" s="515" t="s">
        <v>19636</v>
      </c>
      <c r="G18463" s="52">
        <v>306371.33978415199</v>
      </c>
      <c r="H18463" s="56">
        <v>9.3925957889398504E-2</v>
      </c>
      <c r="I18463" s="224" t="s">
        <v>2</v>
      </c>
    </row>
    <row r="18464" spans="1:9" x14ac:dyDescent="0.25">
      <c r="A18464" s="515">
        <v>25535</v>
      </c>
      <c r="B18464" s="515" t="s">
        <v>602</v>
      </c>
      <c r="C18464" s="52">
        <v>141607.15067936399</v>
      </c>
      <c r="D18464" s="56">
        <v>3.3612509966845221E-2</v>
      </c>
      <c r="E18464" s="224" t="s">
        <v>2</v>
      </c>
      <c r="F18464" s="515" t="s">
        <v>19637</v>
      </c>
      <c r="G18464" s="52">
        <v>456362.93781791202</v>
      </c>
      <c r="H18464" s="56">
        <v>-4.7843905953553834E-3</v>
      </c>
      <c r="I18464" s="224" t="s">
        <v>2</v>
      </c>
    </row>
    <row r="18465" spans="1:9" x14ac:dyDescent="0.25">
      <c r="A18465" s="515">
        <v>42740</v>
      </c>
      <c r="B18465" s="515" t="s">
        <v>671</v>
      </c>
      <c r="C18465" s="52">
        <v>181652.976256511</v>
      </c>
      <c r="D18465" s="56">
        <v>0.15777313574409368</v>
      </c>
      <c r="E18465" s="224" t="s">
        <v>2</v>
      </c>
      <c r="F18465" s="515" t="s">
        <v>19638</v>
      </c>
      <c r="G18465" s="52">
        <v>158668.91029483199</v>
      </c>
      <c r="H18465" s="56">
        <v>7.0959217457677012E-2</v>
      </c>
      <c r="I18465" s="224" t="s">
        <v>2</v>
      </c>
    </row>
    <row r="18466" spans="1:9" x14ac:dyDescent="0.25">
      <c r="A18466" s="515">
        <v>29727</v>
      </c>
      <c r="C18466" s="52">
        <v>106907.14788732299</v>
      </c>
      <c r="D18466" s="56">
        <v>0</v>
      </c>
      <c r="E18466" s="224" t="s">
        <v>2</v>
      </c>
      <c r="F18466" s="515" t="s">
        <v>19639</v>
      </c>
      <c r="G18466" s="52">
        <v>125699.727955574</v>
      </c>
      <c r="H18466" s="56">
        <v>0.20293325835318998</v>
      </c>
      <c r="I18466" s="224" t="s">
        <v>2</v>
      </c>
    </row>
    <row r="18467" spans="1:9" x14ac:dyDescent="0.25">
      <c r="A18467" s="515">
        <v>46050</v>
      </c>
      <c r="B18467" s="515" t="s">
        <v>808</v>
      </c>
      <c r="C18467" s="52">
        <v>207022.235656201</v>
      </c>
      <c r="D18467" s="56">
        <v>6.4894293369062314E-2</v>
      </c>
      <c r="E18467" s="224" t="s">
        <v>2</v>
      </c>
      <c r="F18467" s="515" t="s">
        <v>19640</v>
      </c>
      <c r="G18467" s="52">
        <v>230487.97216864099</v>
      </c>
      <c r="H18467" s="56">
        <v>0</v>
      </c>
      <c r="I18467" s="224" t="s">
        <v>2</v>
      </c>
    </row>
    <row r="18468" spans="1:9" x14ac:dyDescent="0.25">
      <c r="A18468" s="515">
        <v>30641</v>
      </c>
      <c r="B18468" s="515" t="s">
        <v>957</v>
      </c>
      <c r="C18468" s="52">
        <v>387814.37689180003</v>
      </c>
      <c r="D18468" s="56">
        <v>6.7756101378931108E-2</v>
      </c>
      <c r="E18468" s="224" t="s">
        <v>2</v>
      </c>
      <c r="F18468" s="515" t="s">
        <v>19641</v>
      </c>
      <c r="G18468" s="52">
        <v>463685.96393040899</v>
      </c>
      <c r="H18468" s="56">
        <v>9.0008337558453902E-2</v>
      </c>
      <c r="I18468" s="224" t="s">
        <v>2</v>
      </c>
    </row>
    <row r="18469" spans="1:9" x14ac:dyDescent="0.25">
      <c r="A18469" s="515">
        <v>24314</v>
      </c>
      <c r="B18469" s="515" t="s">
        <v>306</v>
      </c>
      <c r="C18469" s="52">
        <v>145324.63641104699</v>
      </c>
      <c r="D18469" s="56">
        <v>7.0467898047228042E-2</v>
      </c>
      <c r="E18469" s="224" t="s">
        <v>2</v>
      </c>
      <c r="F18469" s="515" t="s">
        <v>19642</v>
      </c>
      <c r="G18469" s="52">
        <v>186335.984562408</v>
      </c>
      <c r="H18469" s="56">
        <v>8.7291130783260062E-2</v>
      </c>
      <c r="I18469" s="224" t="s">
        <v>2</v>
      </c>
    </row>
    <row r="18470" spans="1:9" x14ac:dyDescent="0.25">
      <c r="A18470" s="515">
        <v>46763</v>
      </c>
      <c r="B18470" s="515" t="s">
        <v>1058</v>
      </c>
      <c r="C18470" s="52">
        <v>279722.14216453501</v>
      </c>
      <c r="D18470" s="56">
        <v>8.9097021848689645E-2</v>
      </c>
      <c r="E18470" s="224" t="s">
        <v>2</v>
      </c>
      <c r="F18470" s="515" t="s">
        <v>19643</v>
      </c>
      <c r="G18470" s="52">
        <v>186730.298273475</v>
      </c>
      <c r="H18470" s="56">
        <v>0.13226995050328977</v>
      </c>
      <c r="I18470" s="224" t="s">
        <v>2</v>
      </c>
    </row>
    <row r="18471" spans="1:9" x14ac:dyDescent="0.25">
      <c r="A18471" s="515">
        <v>71266</v>
      </c>
      <c r="C18471" s="52">
        <v>116177.161876093</v>
      </c>
      <c r="D18471" s="56">
        <v>0</v>
      </c>
      <c r="E18471" s="224" t="s">
        <v>2</v>
      </c>
      <c r="F18471" s="515" t="s">
        <v>19644</v>
      </c>
      <c r="G18471" s="52">
        <v>245158.107816373</v>
      </c>
      <c r="H18471" s="56">
        <v>7.5351596961159173E-2</v>
      </c>
      <c r="I18471" s="224" t="s">
        <v>2</v>
      </c>
    </row>
    <row r="18472" spans="1:9" x14ac:dyDescent="0.25">
      <c r="A18472" s="515">
        <v>74022</v>
      </c>
      <c r="B18472" s="515" t="s">
        <v>1106</v>
      </c>
      <c r="C18472" s="52">
        <v>144233.16650858501</v>
      </c>
      <c r="D18472" s="56">
        <v>6.7275919546595397E-2</v>
      </c>
      <c r="E18472" s="224" t="s">
        <v>2</v>
      </c>
      <c r="F18472" s="515" t="s">
        <v>19645</v>
      </c>
      <c r="G18472" s="52">
        <v>48515.330779531898</v>
      </c>
      <c r="H18472" s="56">
        <v>0.236508208108312</v>
      </c>
      <c r="I18472" s="224" t="s">
        <v>2</v>
      </c>
    </row>
    <row r="18473" spans="1:9" x14ac:dyDescent="0.25">
      <c r="A18473" s="515">
        <v>74051</v>
      </c>
      <c r="B18473" s="515" t="s">
        <v>1106</v>
      </c>
      <c r="C18473" s="52">
        <v>136400.54170810501</v>
      </c>
      <c r="D18473" s="56">
        <v>2.5059876541592221E-2</v>
      </c>
      <c r="E18473" s="224" t="s">
        <v>2</v>
      </c>
      <c r="F18473" s="515" t="s">
        <v>19646</v>
      </c>
      <c r="G18473" s="52">
        <v>367371.19230769202</v>
      </c>
      <c r="H18473" s="56">
        <v>0</v>
      </c>
      <c r="I18473" s="224" t="s">
        <v>2</v>
      </c>
    </row>
    <row r="18474" spans="1:9" x14ac:dyDescent="0.25">
      <c r="A18474" s="515">
        <v>72675</v>
      </c>
      <c r="C18474" s="52">
        <v>129489.100948526</v>
      </c>
      <c r="D18474" s="56">
        <v>2.0089095891262738E-2</v>
      </c>
      <c r="E18474" s="224" t="s">
        <v>2</v>
      </c>
      <c r="F18474" s="515" t="s">
        <v>19647</v>
      </c>
      <c r="G18474" s="52">
        <v>453260.76743988798</v>
      </c>
      <c r="H18474" s="56">
        <v>7.3936341423530449E-2</v>
      </c>
      <c r="I18474" s="224" t="s">
        <v>2</v>
      </c>
    </row>
    <row r="18475" spans="1:9" x14ac:dyDescent="0.25">
      <c r="A18475" s="515">
        <v>62895</v>
      </c>
      <c r="C18475" s="52">
        <v>91926.606965174098</v>
      </c>
      <c r="D18475" s="56">
        <v>0</v>
      </c>
      <c r="E18475" s="224" t="s">
        <v>2</v>
      </c>
      <c r="F18475" s="515" t="s">
        <v>19648</v>
      </c>
      <c r="G18475" s="52">
        <v>124772.95735588401</v>
      </c>
      <c r="H18475" s="56">
        <v>2.7558502094814447E-2</v>
      </c>
      <c r="I18475" s="224" t="s">
        <v>2</v>
      </c>
    </row>
    <row r="18476" spans="1:9" x14ac:dyDescent="0.25">
      <c r="A18476" s="515">
        <v>72366</v>
      </c>
      <c r="B18476" s="515" t="s">
        <v>891</v>
      </c>
      <c r="C18476" s="52">
        <v>38832.171102661501</v>
      </c>
      <c r="D18476" s="56">
        <v>0</v>
      </c>
      <c r="E18476" s="224" t="s">
        <v>2</v>
      </c>
      <c r="F18476" s="515" t="s">
        <v>19649</v>
      </c>
      <c r="G18476" s="52">
        <v>331507.60106545198</v>
      </c>
      <c r="H18476" s="56">
        <v>-1.318117729357195E-2</v>
      </c>
      <c r="I18476" s="224" t="s">
        <v>2</v>
      </c>
    </row>
    <row r="18477" spans="1:9" x14ac:dyDescent="0.25">
      <c r="A18477" s="515">
        <v>45306</v>
      </c>
      <c r="B18477" s="515" t="s">
        <v>329</v>
      </c>
      <c r="C18477" s="52">
        <v>208277.118477232</v>
      </c>
      <c r="D18477" s="56">
        <v>8.956285227857913E-2</v>
      </c>
      <c r="E18477" s="224" t="s">
        <v>2</v>
      </c>
      <c r="F18477" s="515" t="s">
        <v>19650</v>
      </c>
      <c r="G18477" s="52">
        <v>303912.95747156802</v>
      </c>
      <c r="H18477" s="56">
        <v>8.8102774751356375E-2</v>
      </c>
      <c r="I18477" s="224" t="s">
        <v>2</v>
      </c>
    </row>
    <row r="18478" spans="1:9" x14ac:dyDescent="0.25">
      <c r="A18478" s="515">
        <v>31622</v>
      </c>
      <c r="C18478" s="52">
        <v>149013.30061349599</v>
      </c>
      <c r="D18478" s="56">
        <v>0</v>
      </c>
      <c r="E18478" s="224" t="s">
        <v>2</v>
      </c>
      <c r="F18478" s="515" t="s">
        <v>19651</v>
      </c>
      <c r="G18478" s="52">
        <v>815629.75875181099</v>
      </c>
      <c r="H18478" s="56">
        <v>-4.9360356471155713E-2</v>
      </c>
      <c r="I18478" s="224" t="s">
        <v>2</v>
      </c>
    </row>
    <row r="18479" spans="1:9" x14ac:dyDescent="0.25">
      <c r="A18479" s="515">
        <v>78024</v>
      </c>
      <c r="B18479" s="515" t="s">
        <v>1105</v>
      </c>
      <c r="C18479" s="52">
        <v>613528.76700541005</v>
      </c>
      <c r="D18479" s="56">
        <v>7.3534063986506706E-2</v>
      </c>
      <c r="E18479" s="224" t="s">
        <v>2</v>
      </c>
      <c r="F18479" s="515" t="s">
        <v>19652</v>
      </c>
      <c r="G18479" s="52">
        <v>195203.28275463899</v>
      </c>
      <c r="H18479" s="56">
        <v>4.0808182724238723E-2</v>
      </c>
      <c r="I18479" s="224" t="s">
        <v>2</v>
      </c>
    </row>
    <row r="18480" spans="1:9" x14ac:dyDescent="0.25">
      <c r="A18480" s="515">
        <v>56540</v>
      </c>
      <c r="B18480" s="515" t="s">
        <v>624</v>
      </c>
      <c r="C18480" s="52">
        <v>191347.97646712299</v>
      </c>
      <c r="D18480" s="56">
        <v>6.7938723058861075E-2</v>
      </c>
      <c r="E18480" s="224" t="s">
        <v>2</v>
      </c>
      <c r="F18480" s="515" t="s">
        <v>19653</v>
      </c>
      <c r="G18480" s="52">
        <v>275128.42283932702</v>
      </c>
      <c r="H18480" s="56">
        <v>0.17063388120553577</v>
      </c>
      <c r="I18480" s="224" t="s">
        <v>2</v>
      </c>
    </row>
    <row r="18481" spans="1:9" x14ac:dyDescent="0.25">
      <c r="A18481" s="515">
        <v>49885</v>
      </c>
      <c r="B18481" s="515" t="s">
        <v>440</v>
      </c>
      <c r="C18481" s="52">
        <v>183684.71748943601</v>
      </c>
      <c r="D18481" s="56">
        <v>0.1184329072705676</v>
      </c>
      <c r="E18481" s="224" t="s">
        <v>2</v>
      </c>
      <c r="F18481" s="515" t="s">
        <v>19654</v>
      </c>
      <c r="G18481" s="52">
        <v>223383.796296296</v>
      </c>
      <c r="H18481" s="56">
        <v>0</v>
      </c>
      <c r="I18481" s="224" t="s">
        <v>2</v>
      </c>
    </row>
    <row r="18482" spans="1:9" x14ac:dyDescent="0.25">
      <c r="A18482" s="515">
        <v>14744</v>
      </c>
      <c r="C18482" s="52">
        <v>149899.54094443601</v>
      </c>
      <c r="D18482" s="56">
        <v>9.2126831589240343E-2</v>
      </c>
      <c r="E18482" s="224" t="s">
        <v>2</v>
      </c>
      <c r="F18482" s="515" t="s">
        <v>19655</v>
      </c>
      <c r="G18482" s="52">
        <v>285699.53195505799</v>
      </c>
      <c r="H18482" s="56">
        <v>4.7009892293154054E-2</v>
      </c>
      <c r="I18482" s="224" t="s">
        <v>2</v>
      </c>
    </row>
    <row r="18483" spans="1:9" x14ac:dyDescent="0.25">
      <c r="A18483" s="515">
        <v>76475</v>
      </c>
      <c r="B18483" s="515" t="s">
        <v>935</v>
      </c>
      <c r="C18483" s="52">
        <v>254399.907243889</v>
      </c>
      <c r="D18483" s="56">
        <v>9.5975992136146909E-2</v>
      </c>
      <c r="E18483" s="224" t="s">
        <v>2</v>
      </c>
      <c r="F18483" s="515" t="s">
        <v>19656</v>
      </c>
      <c r="G18483" s="52">
        <v>100927.515309286</v>
      </c>
      <c r="H18483" s="56">
        <v>0.22621030572061332</v>
      </c>
      <c r="I18483" s="224" t="s">
        <v>2</v>
      </c>
    </row>
    <row r="18484" spans="1:9" x14ac:dyDescent="0.25">
      <c r="A18484" s="515">
        <v>39870</v>
      </c>
      <c r="C18484" s="52">
        <v>80092.986137454398</v>
      </c>
      <c r="D18484" s="56">
        <v>0</v>
      </c>
      <c r="E18484" s="224" t="s">
        <v>2</v>
      </c>
      <c r="F18484" s="515" t="s">
        <v>19657</v>
      </c>
      <c r="G18484" s="52">
        <v>172304.50649350599</v>
      </c>
      <c r="H18484" s="56">
        <v>0</v>
      </c>
      <c r="I18484" s="224" t="s">
        <v>2</v>
      </c>
    </row>
    <row r="18485" spans="1:9" x14ac:dyDescent="0.25">
      <c r="A18485" s="515">
        <v>31060</v>
      </c>
      <c r="C18485" s="52">
        <v>120154.724833656</v>
      </c>
      <c r="D18485" s="56">
        <v>7.5194714077028105E-3</v>
      </c>
      <c r="E18485" s="224" t="s">
        <v>2</v>
      </c>
      <c r="F18485" s="515" t="s">
        <v>19658</v>
      </c>
      <c r="G18485" s="52">
        <v>154030.53414826299</v>
      </c>
      <c r="H18485" s="56">
        <v>0.12247731404860139</v>
      </c>
      <c r="I18485" s="224" t="s">
        <v>2</v>
      </c>
    </row>
    <row r="18486" spans="1:9" x14ac:dyDescent="0.25">
      <c r="A18486" s="515">
        <v>56037</v>
      </c>
      <c r="B18486" s="515" t="s">
        <v>542</v>
      </c>
      <c r="C18486" s="52">
        <v>289300.587223173</v>
      </c>
      <c r="D18486" s="56">
        <v>0.12217774809939708</v>
      </c>
      <c r="E18486" s="224" t="s">
        <v>2</v>
      </c>
      <c r="F18486" s="515" t="s">
        <v>19659</v>
      </c>
      <c r="G18486" s="52">
        <v>198424.82501109401</v>
      </c>
      <c r="H18486" s="56">
        <v>0.12592302739192876</v>
      </c>
      <c r="I18486" s="224" t="s">
        <v>2</v>
      </c>
    </row>
    <row r="18487" spans="1:9" x14ac:dyDescent="0.25">
      <c r="A18487" s="515">
        <v>24281</v>
      </c>
      <c r="C18487" s="52">
        <v>82284.109617037902</v>
      </c>
      <c r="D18487" s="56">
        <v>1.0192016835360968E-2</v>
      </c>
      <c r="E18487" s="224" t="s">
        <v>2</v>
      </c>
      <c r="F18487" s="515" t="s">
        <v>19660</v>
      </c>
      <c r="G18487" s="52">
        <v>141321.86536138901</v>
      </c>
      <c r="H18487" s="56">
        <v>0.15193128787003954</v>
      </c>
      <c r="I18487" s="224" t="s">
        <v>2</v>
      </c>
    </row>
    <row r="18488" spans="1:9" x14ac:dyDescent="0.25">
      <c r="A18488" s="515">
        <v>28444</v>
      </c>
      <c r="C18488" s="52">
        <v>115793.16615333001</v>
      </c>
      <c r="D18488" s="56">
        <v>0.12837639814089341</v>
      </c>
      <c r="E18488" s="224" t="s">
        <v>2</v>
      </c>
      <c r="F18488" s="515" t="s">
        <v>19661</v>
      </c>
      <c r="G18488" s="52">
        <v>153208.767998244</v>
      </c>
      <c r="H18488" s="56">
        <v>0</v>
      </c>
      <c r="I18488" s="224" t="s">
        <v>2</v>
      </c>
    </row>
    <row r="18489" spans="1:9" x14ac:dyDescent="0.25">
      <c r="A18489" s="515">
        <v>61012</v>
      </c>
      <c r="B18489" s="515" t="s">
        <v>1104</v>
      </c>
      <c r="C18489" s="52">
        <v>198150.94751934201</v>
      </c>
      <c r="D18489" s="56">
        <v>6.9386230448441083E-2</v>
      </c>
      <c r="E18489" s="224" t="s">
        <v>2</v>
      </c>
      <c r="F18489" s="515" t="s">
        <v>19662</v>
      </c>
      <c r="G18489" s="52">
        <v>158616.34260311999</v>
      </c>
      <c r="H18489" s="56">
        <v>9.3697650179396172E-2</v>
      </c>
      <c r="I18489" s="224" t="s">
        <v>2</v>
      </c>
    </row>
    <row r="18490" spans="1:9" x14ac:dyDescent="0.25">
      <c r="A18490" s="515">
        <v>28698</v>
      </c>
      <c r="B18490" s="515" t="s">
        <v>1103</v>
      </c>
      <c r="C18490" s="52">
        <v>303777.02159411699</v>
      </c>
      <c r="D18490" s="56">
        <v>0.17585921612036501</v>
      </c>
      <c r="E18490" s="224" t="s">
        <v>2</v>
      </c>
      <c r="F18490" s="515" t="s">
        <v>19663</v>
      </c>
      <c r="G18490" s="52">
        <v>59094.0529380753</v>
      </c>
      <c r="H18490" s="56">
        <v>0.27805364312701486</v>
      </c>
      <c r="I18490" s="224" t="s">
        <v>2</v>
      </c>
    </row>
    <row r="18491" spans="1:9" x14ac:dyDescent="0.25">
      <c r="A18491" s="515">
        <v>61483</v>
      </c>
      <c r="B18491" s="515" t="s">
        <v>303</v>
      </c>
      <c r="C18491" s="52">
        <v>86375.423405046895</v>
      </c>
      <c r="D18491" s="56">
        <v>1.66101262691031E-2</v>
      </c>
      <c r="E18491" s="224" t="s">
        <v>2</v>
      </c>
      <c r="F18491" s="515" t="s">
        <v>19664</v>
      </c>
      <c r="G18491" s="52">
        <v>362974.64553769701</v>
      </c>
      <c r="H18491" s="56">
        <v>-7.939426695748833E-3</v>
      </c>
      <c r="I18491" s="224" t="s">
        <v>2</v>
      </c>
    </row>
    <row r="18492" spans="1:9" x14ac:dyDescent="0.25">
      <c r="A18492" s="515">
        <v>43332</v>
      </c>
      <c r="B18492" s="515" t="s">
        <v>530</v>
      </c>
      <c r="C18492" s="52">
        <v>172994.24883571899</v>
      </c>
      <c r="D18492" s="56">
        <v>6.627617836648185E-2</v>
      </c>
      <c r="E18492" s="224" t="s">
        <v>2</v>
      </c>
      <c r="F18492" s="515" t="s">
        <v>19665</v>
      </c>
      <c r="G18492" s="52">
        <v>192218.92295720699</v>
      </c>
      <c r="H18492" s="56">
        <v>-4.2796566007762618E-2</v>
      </c>
      <c r="I18492" s="224" t="s">
        <v>2</v>
      </c>
    </row>
    <row r="18493" spans="1:9" x14ac:dyDescent="0.25">
      <c r="A18493" s="515">
        <v>13320</v>
      </c>
      <c r="B18493" s="515" t="s">
        <v>460</v>
      </c>
      <c r="C18493" s="52">
        <v>177397.19386230601</v>
      </c>
      <c r="D18493" s="56">
        <v>0.12912117834350231</v>
      </c>
      <c r="E18493" s="224" t="s">
        <v>2</v>
      </c>
      <c r="F18493" s="515" t="s">
        <v>19666</v>
      </c>
      <c r="G18493" s="52">
        <v>61651.220470551503</v>
      </c>
      <c r="H18493" s="56">
        <v>1.0646070548279069E-2</v>
      </c>
      <c r="I18493" s="224" t="s">
        <v>2</v>
      </c>
    </row>
    <row r="18494" spans="1:9" x14ac:dyDescent="0.25">
      <c r="A18494" s="515">
        <v>31825</v>
      </c>
      <c r="B18494" s="515" t="s">
        <v>778</v>
      </c>
      <c r="C18494" s="52">
        <v>71838.7125885641</v>
      </c>
      <c r="D18494" s="56">
        <v>9.3356706490863015E-2</v>
      </c>
      <c r="E18494" s="224" t="s">
        <v>2</v>
      </c>
      <c r="F18494" s="515" t="s">
        <v>19667</v>
      </c>
      <c r="G18494" s="52">
        <v>471668.130231319</v>
      </c>
      <c r="H18494" s="56">
        <v>4.7747768072747596E-2</v>
      </c>
      <c r="I18494" s="224" t="s">
        <v>2</v>
      </c>
    </row>
    <row r="18495" spans="1:9" x14ac:dyDescent="0.25">
      <c r="A18495" s="515">
        <v>98822</v>
      </c>
      <c r="B18495" s="515" t="s">
        <v>521</v>
      </c>
      <c r="C18495" s="52">
        <v>383885.16374097799</v>
      </c>
      <c r="D18495" s="56">
        <v>1.9090990418212342E-2</v>
      </c>
      <c r="E18495" s="224" t="s">
        <v>2</v>
      </c>
      <c r="F18495" s="515" t="s">
        <v>19668</v>
      </c>
      <c r="G18495" s="52">
        <v>131415.22832235601</v>
      </c>
      <c r="H18495" s="56">
        <v>-6.166810331972998E-2</v>
      </c>
      <c r="I18495" s="224" t="s">
        <v>2</v>
      </c>
    </row>
    <row r="18496" spans="1:9" x14ac:dyDescent="0.25">
      <c r="A18496" s="515">
        <v>65725</v>
      </c>
      <c r="B18496" s="515" t="s">
        <v>603</v>
      </c>
      <c r="C18496" s="52">
        <v>233135.50207484199</v>
      </c>
      <c r="D18496" s="56">
        <v>0.10825296515990458</v>
      </c>
      <c r="E18496" s="224" t="s">
        <v>2</v>
      </c>
      <c r="F18496" s="515" t="s">
        <v>19669</v>
      </c>
      <c r="G18496" s="52">
        <v>508387.38809952402</v>
      </c>
      <c r="H18496" s="56">
        <v>2.3286955232010693E-2</v>
      </c>
      <c r="I18496" s="224" t="s">
        <v>2</v>
      </c>
    </row>
    <row r="18497" spans="1:9" x14ac:dyDescent="0.25">
      <c r="A18497" s="515">
        <v>38334</v>
      </c>
      <c r="C18497" s="52">
        <v>144159.29221315499</v>
      </c>
      <c r="D18497" s="56">
        <v>3.1931343855385749E-2</v>
      </c>
      <c r="E18497" s="224" t="s">
        <v>2</v>
      </c>
      <c r="F18497" s="515" t="s">
        <v>19670</v>
      </c>
      <c r="G18497" s="52">
        <v>337130.481416922</v>
      </c>
      <c r="H18497" s="56">
        <v>6.1168572994636815E-2</v>
      </c>
      <c r="I18497" s="224" t="s">
        <v>2</v>
      </c>
    </row>
    <row r="18498" spans="1:9" x14ac:dyDescent="0.25">
      <c r="A18498" s="515">
        <v>28447</v>
      </c>
      <c r="C18498" s="52">
        <v>131991.720632535</v>
      </c>
      <c r="D18498" s="56">
        <v>0.1227256876070644</v>
      </c>
      <c r="E18498" s="224" t="s">
        <v>2</v>
      </c>
      <c r="F18498" s="515" t="s">
        <v>19671</v>
      </c>
      <c r="G18498" s="52">
        <v>315534.39389711001</v>
      </c>
      <c r="H18498" s="56">
        <v>0</v>
      </c>
      <c r="I18498" s="224" t="s">
        <v>2</v>
      </c>
    </row>
    <row r="18499" spans="1:9" x14ac:dyDescent="0.25">
      <c r="A18499" s="515">
        <v>56171</v>
      </c>
      <c r="B18499" s="515" t="s">
        <v>608</v>
      </c>
      <c r="C18499" s="52">
        <v>164033.41982752201</v>
      </c>
      <c r="D18499" s="56">
        <v>9.1850672740621891E-2</v>
      </c>
      <c r="E18499" s="224" t="s">
        <v>2</v>
      </c>
      <c r="F18499" s="515" t="s">
        <v>19672</v>
      </c>
      <c r="G18499" s="52">
        <v>112466.807692307</v>
      </c>
      <c r="H18499" s="56">
        <v>0</v>
      </c>
      <c r="I18499" s="224" t="s">
        <v>2</v>
      </c>
    </row>
    <row r="18500" spans="1:9" x14ac:dyDescent="0.25">
      <c r="A18500" s="515">
        <v>14101</v>
      </c>
      <c r="B18500" s="515" t="s">
        <v>870</v>
      </c>
      <c r="C18500" s="52">
        <v>170534.88216188399</v>
      </c>
      <c r="D18500" s="56">
        <v>0.1804495596531826</v>
      </c>
      <c r="E18500" s="224" t="s">
        <v>2</v>
      </c>
      <c r="F18500" s="515" t="s">
        <v>19673</v>
      </c>
      <c r="G18500" s="52">
        <v>143975.67816091899</v>
      </c>
      <c r="H18500" s="56">
        <v>0</v>
      </c>
      <c r="I18500" s="224" t="s">
        <v>2</v>
      </c>
    </row>
    <row r="18501" spans="1:9" x14ac:dyDescent="0.25">
      <c r="A18501" s="515">
        <v>30575</v>
      </c>
      <c r="B18501" s="515" t="s">
        <v>1102</v>
      </c>
      <c r="C18501" s="52">
        <v>326303.72588585899</v>
      </c>
      <c r="D18501" s="56">
        <v>8.5646083160364608E-2</v>
      </c>
      <c r="E18501" s="224" t="s">
        <v>2</v>
      </c>
      <c r="F18501" s="515" t="s">
        <v>19674</v>
      </c>
      <c r="G18501" s="52">
        <v>259988.474143595</v>
      </c>
      <c r="H18501" s="56">
        <v>0.12177336637050094</v>
      </c>
      <c r="I18501" s="224" t="s">
        <v>2</v>
      </c>
    </row>
    <row r="18502" spans="1:9" x14ac:dyDescent="0.25">
      <c r="A18502" s="515">
        <v>80542</v>
      </c>
      <c r="B18502" s="515" t="s">
        <v>382</v>
      </c>
      <c r="C18502" s="52">
        <v>554088.82098025898</v>
      </c>
      <c r="D18502" s="56">
        <v>3.3900548949544626E-2</v>
      </c>
      <c r="E18502" s="224" t="s">
        <v>2</v>
      </c>
      <c r="F18502" s="515" t="s">
        <v>19675</v>
      </c>
      <c r="G18502" s="52">
        <v>88269.103438586302</v>
      </c>
      <c r="H18502" s="56">
        <v>0.2518209792514996</v>
      </c>
      <c r="I18502" s="224" t="s">
        <v>2</v>
      </c>
    </row>
    <row r="18503" spans="1:9" x14ac:dyDescent="0.25">
      <c r="A18503" s="515">
        <v>4971</v>
      </c>
      <c r="C18503" s="52">
        <v>195468.164984212</v>
      </c>
      <c r="D18503" s="56">
        <v>8.0509986136830969E-2</v>
      </c>
      <c r="E18503" s="224" t="s">
        <v>2</v>
      </c>
      <c r="F18503" s="515" t="s">
        <v>19676</v>
      </c>
      <c r="G18503" s="52">
        <v>364975.37137510098</v>
      </c>
      <c r="H18503" s="56">
        <v>3.3727975762183879E-2</v>
      </c>
      <c r="I18503" s="224" t="s">
        <v>2</v>
      </c>
    </row>
    <row r="18504" spans="1:9" x14ac:dyDescent="0.25">
      <c r="A18504" s="515">
        <v>24435</v>
      </c>
      <c r="C18504" s="52">
        <v>291396.953367226</v>
      </c>
      <c r="D18504" s="56">
        <v>0.12568238177936492</v>
      </c>
      <c r="E18504" s="224" t="s">
        <v>2</v>
      </c>
      <c r="F18504" s="515" t="s">
        <v>19677</v>
      </c>
      <c r="G18504" s="52">
        <v>507382.02600559499</v>
      </c>
      <c r="H18504" s="56">
        <v>9.0219211728993318E-2</v>
      </c>
      <c r="I18504" s="224" t="s">
        <v>2</v>
      </c>
    </row>
    <row r="18505" spans="1:9" x14ac:dyDescent="0.25">
      <c r="A18505" s="515">
        <v>19706</v>
      </c>
      <c r="B18505" s="515" t="s">
        <v>294</v>
      </c>
      <c r="C18505" s="52">
        <v>253774.58084011701</v>
      </c>
      <c r="D18505" s="56">
        <v>0.12948724336461881</v>
      </c>
      <c r="E18505" s="224" t="s">
        <v>2</v>
      </c>
      <c r="F18505" s="515" t="s">
        <v>19678</v>
      </c>
      <c r="G18505" s="52">
        <v>203960.81774690299</v>
      </c>
      <c r="H18505" s="56">
        <v>0.16932896124133426</v>
      </c>
      <c r="I18505" s="224" t="s">
        <v>2</v>
      </c>
    </row>
    <row r="18506" spans="1:9" x14ac:dyDescent="0.25">
      <c r="A18506" s="515">
        <v>65789</v>
      </c>
      <c r="B18506" s="515" t="s">
        <v>984</v>
      </c>
      <c r="C18506" s="52">
        <v>189332.75780296201</v>
      </c>
      <c r="D18506" s="56">
        <v>0.14051024443765747</v>
      </c>
      <c r="E18506" s="224" t="s">
        <v>2</v>
      </c>
      <c r="F18506" s="515" t="s">
        <v>19679</v>
      </c>
      <c r="G18506" s="52">
        <v>155202.83755247801</v>
      </c>
      <c r="H18506" s="56">
        <v>7.1357582002012379E-2</v>
      </c>
      <c r="I18506" s="224" t="s">
        <v>2</v>
      </c>
    </row>
    <row r="18507" spans="1:9" x14ac:dyDescent="0.25">
      <c r="A18507" s="515">
        <v>1257</v>
      </c>
      <c r="B18507" s="515" t="s">
        <v>497</v>
      </c>
      <c r="C18507" s="52">
        <v>473682.524411163</v>
      </c>
      <c r="D18507" s="56">
        <v>0.10669484140704757</v>
      </c>
      <c r="E18507" s="224" t="s">
        <v>2</v>
      </c>
      <c r="F18507" s="515" t="s">
        <v>19680</v>
      </c>
      <c r="G18507" s="52">
        <v>338793.18</v>
      </c>
      <c r="H18507" s="56">
        <v>0</v>
      </c>
      <c r="I18507" s="224" t="s">
        <v>2</v>
      </c>
    </row>
    <row r="18508" spans="1:9" x14ac:dyDescent="0.25">
      <c r="A18508" s="515">
        <v>32420</v>
      </c>
      <c r="C18508" s="52">
        <v>196925.58104250801</v>
      </c>
      <c r="D18508" s="56">
        <v>0.20251950000310179</v>
      </c>
      <c r="E18508" s="224" t="s">
        <v>2</v>
      </c>
      <c r="F18508" s="515" t="s">
        <v>19681</v>
      </c>
      <c r="G18508" s="52">
        <v>135914.35714285701</v>
      </c>
      <c r="H18508" s="56">
        <v>0</v>
      </c>
      <c r="I18508" s="224" t="s">
        <v>2</v>
      </c>
    </row>
    <row r="18509" spans="1:9" x14ac:dyDescent="0.25">
      <c r="A18509" s="515">
        <v>56264</v>
      </c>
      <c r="B18509" s="515" t="s">
        <v>708</v>
      </c>
      <c r="C18509" s="52">
        <v>151193.29505118099</v>
      </c>
      <c r="D18509" s="56">
        <v>2.0124456949693E-2</v>
      </c>
      <c r="E18509" s="224" t="s">
        <v>2</v>
      </c>
      <c r="F18509" s="515" t="s">
        <v>19682</v>
      </c>
      <c r="G18509" s="52">
        <v>205235.45219979499</v>
      </c>
      <c r="H18509" s="56">
        <v>-9.3406388015779031E-3</v>
      </c>
      <c r="I18509" s="224" t="s">
        <v>2</v>
      </c>
    </row>
    <row r="18510" spans="1:9" x14ac:dyDescent="0.25">
      <c r="A18510" s="515">
        <v>12121</v>
      </c>
      <c r="B18510" s="515" t="s">
        <v>609</v>
      </c>
      <c r="C18510" s="52">
        <v>278415.46896619</v>
      </c>
      <c r="D18510" s="56">
        <v>6.2663162393556585E-2</v>
      </c>
      <c r="E18510" s="224" t="s">
        <v>2</v>
      </c>
      <c r="F18510" s="515" t="s">
        <v>19683</v>
      </c>
      <c r="G18510" s="52">
        <v>524492.13728839206</v>
      </c>
      <c r="H18510" s="56">
        <v>-3.0141809776569585E-2</v>
      </c>
      <c r="I18510" s="224" t="s">
        <v>2</v>
      </c>
    </row>
    <row r="18511" spans="1:9" x14ac:dyDescent="0.25">
      <c r="A18511" s="515">
        <v>35981</v>
      </c>
      <c r="B18511" s="515" t="s">
        <v>979</v>
      </c>
      <c r="C18511" s="52">
        <v>172865.24710292401</v>
      </c>
      <c r="D18511" s="56">
        <v>0.12427807068266154</v>
      </c>
      <c r="E18511" s="224" t="s">
        <v>2</v>
      </c>
      <c r="F18511" s="515" t="s">
        <v>19684</v>
      </c>
      <c r="G18511" s="52">
        <v>109810.779762228</v>
      </c>
      <c r="H18511" s="56">
        <v>5.4130332912214647E-2</v>
      </c>
      <c r="I18511" s="224" t="s">
        <v>2</v>
      </c>
    </row>
    <row r="18512" spans="1:9" x14ac:dyDescent="0.25">
      <c r="A18512" s="515">
        <v>74637</v>
      </c>
      <c r="B18512" s="515" t="s">
        <v>348</v>
      </c>
      <c r="C18512" s="52">
        <v>65178.238598947501</v>
      </c>
      <c r="D18512" s="56">
        <v>1.7847968283546695E-2</v>
      </c>
      <c r="E18512" s="224" t="s">
        <v>2</v>
      </c>
      <c r="F18512" s="515" t="s">
        <v>19685</v>
      </c>
      <c r="G18512" s="52">
        <v>152989.56918041699</v>
      </c>
      <c r="H18512" s="56">
        <v>4.4256316988026428E-2</v>
      </c>
      <c r="I18512" s="224" t="s">
        <v>2</v>
      </c>
    </row>
    <row r="18513" spans="1:9" x14ac:dyDescent="0.25">
      <c r="A18513" s="515">
        <v>28743</v>
      </c>
      <c r="B18513" s="515" t="s">
        <v>668</v>
      </c>
      <c r="C18513" s="52">
        <v>294771.01094372798</v>
      </c>
      <c r="D18513" s="56">
        <v>0.10230414356538708</v>
      </c>
      <c r="E18513" s="224" t="s">
        <v>2</v>
      </c>
      <c r="F18513" s="515" t="s">
        <v>19686</v>
      </c>
      <c r="G18513" s="52">
        <v>123960.55587716401</v>
      </c>
      <c r="H18513" s="56">
        <v>0.17692965469959318</v>
      </c>
      <c r="I18513" s="224" t="s">
        <v>2</v>
      </c>
    </row>
    <row r="18514" spans="1:9" x14ac:dyDescent="0.25">
      <c r="A18514" s="515">
        <v>38629</v>
      </c>
      <c r="C18514" s="52">
        <v>124295.75153636601</v>
      </c>
      <c r="D18514" s="56">
        <v>2.9179698105306556E-2</v>
      </c>
      <c r="E18514" s="224" t="s">
        <v>2</v>
      </c>
      <c r="F18514" s="515" t="s">
        <v>19687</v>
      </c>
      <c r="G18514" s="52">
        <v>150852.52331711899</v>
      </c>
      <c r="H18514" s="56">
        <v>6.1715527940079791E-2</v>
      </c>
      <c r="I18514" s="224" t="s">
        <v>2</v>
      </c>
    </row>
    <row r="18515" spans="1:9" x14ac:dyDescent="0.25">
      <c r="A18515" s="515">
        <v>61943</v>
      </c>
      <c r="B18515" s="515" t="s">
        <v>853</v>
      </c>
      <c r="C18515" s="52">
        <v>91938.2714168854</v>
      </c>
      <c r="D18515" s="56">
        <v>4.050805186945973E-2</v>
      </c>
      <c r="E18515" s="224" t="s">
        <v>2</v>
      </c>
      <c r="F18515" s="515" t="s">
        <v>19688</v>
      </c>
      <c r="G18515" s="52">
        <v>314131.49598089501</v>
      </c>
      <c r="H18515" s="56">
        <v>7.7972292267131191E-2</v>
      </c>
      <c r="I18515" s="224" t="s">
        <v>2</v>
      </c>
    </row>
    <row r="18516" spans="1:9" x14ac:dyDescent="0.25">
      <c r="A18516" s="515">
        <v>45616</v>
      </c>
      <c r="C18516" s="52">
        <v>141065.46773356199</v>
      </c>
      <c r="D18516" s="56">
        <v>0.11860739783835952</v>
      </c>
      <c r="E18516" s="224" t="s">
        <v>2</v>
      </c>
      <c r="F18516" s="515" t="s">
        <v>19689</v>
      </c>
      <c r="G18516" s="52">
        <v>244839.12485222399</v>
      </c>
      <c r="H18516" s="56">
        <v>6.0586745301566235E-2</v>
      </c>
      <c r="I18516" s="224" t="s">
        <v>2</v>
      </c>
    </row>
    <row r="18517" spans="1:9" x14ac:dyDescent="0.25">
      <c r="A18517" s="515">
        <v>37369</v>
      </c>
      <c r="B18517" s="515" t="s">
        <v>918</v>
      </c>
      <c r="C18517" s="52">
        <v>180607.77245032901</v>
      </c>
      <c r="D18517" s="56">
        <v>1.3384600223055636E-2</v>
      </c>
      <c r="E18517" s="224" t="s">
        <v>2</v>
      </c>
      <c r="F18517" s="515" t="s">
        <v>19690</v>
      </c>
      <c r="G18517" s="52">
        <v>239257.389570887</v>
      </c>
      <c r="H18517" s="56">
        <v>1.6473659276397275E-2</v>
      </c>
      <c r="I18517" s="224" t="s">
        <v>2</v>
      </c>
    </row>
    <row r="18518" spans="1:9" x14ac:dyDescent="0.25">
      <c r="A18518" s="515">
        <v>48877</v>
      </c>
      <c r="B18518" s="515" t="s">
        <v>1019</v>
      </c>
      <c r="C18518" s="52">
        <v>141053.31367398801</v>
      </c>
      <c r="D18518" s="56">
        <v>5.4506398316764827E-2</v>
      </c>
      <c r="E18518" s="224" t="s">
        <v>2</v>
      </c>
      <c r="F18518" s="515" t="s">
        <v>19691</v>
      </c>
      <c r="G18518" s="52">
        <v>122425.007078646</v>
      </c>
      <c r="H18518" s="56">
        <v>2.5270123640838478E-2</v>
      </c>
      <c r="I18518" s="224" t="s">
        <v>2</v>
      </c>
    </row>
    <row r="18519" spans="1:9" x14ac:dyDescent="0.25">
      <c r="A18519" s="515">
        <v>48860</v>
      </c>
      <c r="B18519" s="515" t="s">
        <v>631</v>
      </c>
      <c r="C18519" s="52">
        <v>164995.60837803999</v>
      </c>
      <c r="D18519" s="56">
        <v>7.7146861718986159E-2</v>
      </c>
      <c r="E18519" s="224" t="s">
        <v>2</v>
      </c>
      <c r="F18519" s="515" t="s">
        <v>19692</v>
      </c>
      <c r="G18519" s="52">
        <v>402931.98867787101</v>
      </c>
      <c r="H18519" s="56">
        <v>8.7933089199175914E-3</v>
      </c>
      <c r="I18519" s="224" t="s">
        <v>2</v>
      </c>
    </row>
    <row r="18520" spans="1:9" x14ac:dyDescent="0.25">
      <c r="A18520" s="515">
        <v>13843</v>
      </c>
      <c r="B18520" s="515" t="s">
        <v>460</v>
      </c>
      <c r="C18520" s="52">
        <v>163852.113237927</v>
      </c>
      <c r="D18520" s="56">
        <v>0.13374232587913468</v>
      </c>
      <c r="E18520" s="224" t="s">
        <v>2</v>
      </c>
      <c r="F18520" s="515" t="s">
        <v>19693</v>
      </c>
      <c r="G18520" s="52">
        <v>172882.827781951</v>
      </c>
      <c r="H18520" s="56">
        <v>0</v>
      </c>
      <c r="I18520" s="224" t="s">
        <v>2</v>
      </c>
    </row>
    <row r="18521" spans="1:9" x14ac:dyDescent="0.25">
      <c r="A18521" s="515">
        <v>88312</v>
      </c>
      <c r="B18521" s="515" t="s">
        <v>616</v>
      </c>
      <c r="C18521" s="52">
        <v>461532.62170335097</v>
      </c>
      <c r="D18521" s="56">
        <v>2.0134878213138217E-2</v>
      </c>
      <c r="E18521" s="224" t="s">
        <v>2</v>
      </c>
      <c r="F18521" s="515" t="s">
        <v>19694</v>
      </c>
      <c r="G18521" s="52">
        <v>197425.836934505</v>
      </c>
      <c r="H18521" s="56">
        <v>0.16073854410230967</v>
      </c>
      <c r="I18521" s="224" t="s">
        <v>2</v>
      </c>
    </row>
    <row r="18522" spans="1:9" x14ac:dyDescent="0.25">
      <c r="A18522" s="515">
        <v>72479</v>
      </c>
      <c r="B18522" s="515" t="s">
        <v>673</v>
      </c>
      <c r="C18522" s="52">
        <v>97225.328583954702</v>
      </c>
      <c r="D18522" s="56">
        <v>-4.0153560004741518E-2</v>
      </c>
      <c r="E18522" s="224" t="s">
        <v>2</v>
      </c>
      <c r="F18522" s="515" t="s">
        <v>19695</v>
      </c>
      <c r="G18522" s="52">
        <v>159995.19594863601</v>
      </c>
      <c r="H18522" s="56">
        <v>0</v>
      </c>
      <c r="I18522" s="224" t="s">
        <v>2</v>
      </c>
    </row>
    <row r="18523" spans="1:9" x14ac:dyDescent="0.25">
      <c r="A18523" s="515">
        <v>47619</v>
      </c>
      <c r="B18523" s="515" t="s">
        <v>911</v>
      </c>
      <c r="C18523" s="52">
        <v>199576.60334442501</v>
      </c>
      <c r="D18523" s="56">
        <v>6.7552410615928635E-2</v>
      </c>
      <c r="E18523" s="224" t="s">
        <v>2</v>
      </c>
      <c r="F18523" s="515" t="s">
        <v>19696</v>
      </c>
      <c r="G18523" s="52">
        <v>504895.22523844102</v>
      </c>
      <c r="H18523" s="56">
        <v>5.7193304889860457E-2</v>
      </c>
      <c r="I18523" s="224" t="s">
        <v>2</v>
      </c>
    </row>
    <row r="18524" spans="1:9" x14ac:dyDescent="0.25">
      <c r="A18524" s="515">
        <v>43771</v>
      </c>
      <c r="B18524" s="515" t="s">
        <v>518</v>
      </c>
      <c r="C18524" s="52">
        <v>132821.423559371</v>
      </c>
      <c r="D18524" s="56">
        <v>6.8333335484719815E-2</v>
      </c>
      <c r="E18524" s="224" t="s">
        <v>2</v>
      </c>
      <c r="F18524" s="515" t="s">
        <v>19697</v>
      </c>
      <c r="G18524" s="52">
        <v>450233.52154887101</v>
      </c>
      <c r="H18524" s="56">
        <v>0.12140485468074991</v>
      </c>
      <c r="I18524" s="224" t="s">
        <v>2</v>
      </c>
    </row>
    <row r="18525" spans="1:9" x14ac:dyDescent="0.25">
      <c r="A18525" s="515">
        <v>43066</v>
      </c>
      <c r="B18525" s="515" t="s">
        <v>345</v>
      </c>
      <c r="C18525" s="52">
        <v>322576.96084696503</v>
      </c>
      <c r="D18525" s="56">
        <v>8.6776344321688903E-2</v>
      </c>
      <c r="E18525" s="224" t="s">
        <v>2</v>
      </c>
      <c r="F18525" s="515" t="s">
        <v>19698</v>
      </c>
      <c r="G18525" s="52">
        <v>113209.17934392999</v>
      </c>
      <c r="H18525" s="56">
        <v>4.4077950345707995E-2</v>
      </c>
      <c r="I18525" s="224" t="s">
        <v>2</v>
      </c>
    </row>
    <row r="18526" spans="1:9" x14ac:dyDescent="0.25">
      <c r="A18526" s="515">
        <v>44235</v>
      </c>
      <c r="B18526" s="515" t="s">
        <v>520</v>
      </c>
      <c r="C18526" s="52">
        <v>291850.31050734001</v>
      </c>
      <c r="D18526" s="56">
        <v>0.13288192537034199</v>
      </c>
      <c r="E18526" s="224" t="s">
        <v>2</v>
      </c>
      <c r="F18526" s="515" t="s">
        <v>19699</v>
      </c>
      <c r="G18526" s="52">
        <v>1945374.8529161899</v>
      </c>
      <c r="H18526" s="56">
        <v>2.2025774078894417E-2</v>
      </c>
      <c r="I18526" s="224" t="s">
        <v>2</v>
      </c>
    </row>
    <row r="18527" spans="1:9" x14ac:dyDescent="0.25">
      <c r="A18527" s="515">
        <v>59523</v>
      </c>
      <c r="C18527" s="52">
        <v>218633.870877701</v>
      </c>
      <c r="D18527" s="56">
        <v>4.4208068748479296E-2</v>
      </c>
      <c r="E18527" s="224" t="s">
        <v>2</v>
      </c>
      <c r="F18527" s="515" t="s">
        <v>19700</v>
      </c>
      <c r="G18527" s="52">
        <v>346689.32753385301</v>
      </c>
      <c r="H18527" s="56">
        <v>0.14455057572745389</v>
      </c>
      <c r="I18527" s="224" t="s">
        <v>2</v>
      </c>
    </row>
    <row r="18528" spans="1:9" x14ac:dyDescent="0.25">
      <c r="A18528" s="515">
        <v>39425</v>
      </c>
      <c r="B18528" s="515" t="s">
        <v>1074</v>
      </c>
      <c r="C18528" s="52">
        <v>132400.21308775901</v>
      </c>
      <c r="D18528" s="56">
        <v>-3.4114086646230925E-2</v>
      </c>
      <c r="E18528" s="224" t="s">
        <v>2</v>
      </c>
      <c r="F18528" s="515" t="s">
        <v>19701</v>
      </c>
      <c r="G18528" s="52">
        <v>412024.10748120601</v>
      </c>
      <c r="H18528" s="56">
        <v>-5.3361246183436566E-2</v>
      </c>
      <c r="I18528" s="224" t="s">
        <v>2</v>
      </c>
    </row>
    <row r="18529" spans="1:9" x14ac:dyDescent="0.25">
      <c r="A18529" s="515">
        <v>25557</v>
      </c>
      <c r="B18529" s="515" t="s">
        <v>322</v>
      </c>
      <c r="C18529" s="52">
        <v>81505.902677652397</v>
      </c>
      <c r="D18529" s="56">
        <v>0.23655229980807413</v>
      </c>
      <c r="E18529" s="224" t="s">
        <v>2</v>
      </c>
      <c r="F18529" s="515" t="s">
        <v>19702</v>
      </c>
      <c r="G18529" s="52">
        <v>87605.956979208</v>
      </c>
      <c r="H18529" s="56">
        <v>0</v>
      </c>
      <c r="I18529" s="224" t="s">
        <v>2</v>
      </c>
    </row>
    <row r="18530" spans="1:9" x14ac:dyDescent="0.25">
      <c r="A18530" s="515">
        <v>47928</v>
      </c>
      <c r="B18530" s="515" t="s">
        <v>318</v>
      </c>
      <c r="C18530" s="52">
        <v>107628.927311192</v>
      </c>
      <c r="D18530" s="56">
        <v>2.7578640628188548E-2</v>
      </c>
      <c r="E18530" s="224" t="s">
        <v>2</v>
      </c>
      <c r="F18530" s="515" t="s">
        <v>19703</v>
      </c>
      <c r="G18530" s="52">
        <v>99436.5083539974</v>
      </c>
      <c r="H18530" s="56">
        <v>1.2951966093262752E-2</v>
      </c>
      <c r="I18530" s="224" t="s">
        <v>2</v>
      </c>
    </row>
    <row r="18531" spans="1:9" x14ac:dyDescent="0.25">
      <c r="A18531" s="515">
        <v>30056</v>
      </c>
      <c r="B18531" s="515" t="s">
        <v>957</v>
      </c>
      <c r="C18531" s="52">
        <v>293959.64105256699</v>
      </c>
      <c r="D18531" s="56">
        <v>7.4069018856434285E-2</v>
      </c>
      <c r="E18531" s="224" t="s">
        <v>2</v>
      </c>
      <c r="F18531" s="515" t="s">
        <v>19704</v>
      </c>
      <c r="G18531" s="52">
        <v>75395.936535493005</v>
      </c>
      <c r="H18531" s="56">
        <v>7.8062160488313409E-2</v>
      </c>
      <c r="I18531" s="224" t="s">
        <v>2</v>
      </c>
    </row>
    <row r="18532" spans="1:9" x14ac:dyDescent="0.25">
      <c r="A18532" s="515">
        <v>47631</v>
      </c>
      <c r="B18532" s="515" t="s">
        <v>911</v>
      </c>
      <c r="C18532" s="52">
        <v>187389.45465160301</v>
      </c>
      <c r="D18532" s="56">
        <v>3.7740575263123036E-2</v>
      </c>
      <c r="E18532" s="224" t="s">
        <v>2</v>
      </c>
      <c r="F18532" s="515" t="s">
        <v>19705</v>
      </c>
      <c r="G18532" s="52">
        <v>80708.827039658194</v>
      </c>
      <c r="H18532" s="56">
        <v>0.14686555636459134</v>
      </c>
      <c r="I18532" s="224" t="s">
        <v>2</v>
      </c>
    </row>
    <row r="18533" spans="1:9" x14ac:dyDescent="0.25">
      <c r="A18533" s="515">
        <v>4047</v>
      </c>
      <c r="B18533" s="515" t="s">
        <v>570</v>
      </c>
      <c r="C18533" s="52">
        <v>309465.48792657501</v>
      </c>
      <c r="D18533" s="56">
        <v>5.2867403949531988E-2</v>
      </c>
      <c r="E18533" s="224" t="s">
        <v>2</v>
      </c>
      <c r="F18533" s="515" t="s">
        <v>19706</v>
      </c>
      <c r="G18533" s="52">
        <v>116953.31144257799</v>
      </c>
      <c r="H18533" s="56">
        <v>9.0850647465672674E-2</v>
      </c>
      <c r="I18533" s="224" t="s">
        <v>2</v>
      </c>
    </row>
    <row r="18534" spans="1:9" x14ac:dyDescent="0.25">
      <c r="A18534" s="515">
        <v>56088</v>
      </c>
      <c r="B18534" s="515" t="s">
        <v>608</v>
      </c>
      <c r="C18534" s="52">
        <v>168096.27263166499</v>
      </c>
      <c r="D18534" s="56">
        <v>7.4222530881699111E-2</v>
      </c>
      <c r="E18534" s="224" t="s">
        <v>2</v>
      </c>
      <c r="F18534" s="515" t="s">
        <v>19707</v>
      </c>
      <c r="G18534" s="52">
        <v>123866.494072357</v>
      </c>
      <c r="H18534" s="56">
        <v>9.7868316076313744E-2</v>
      </c>
      <c r="I18534" s="224" t="s">
        <v>2</v>
      </c>
    </row>
    <row r="18535" spans="1:9" x14ac:dyDescent="0.25">
      <c r="A18535" s="515">
        <v>30733</v>
      </c>
      <c r="B18535" s="515" t="s">
        <v>1056</v>
      </c>
      <c r="C18535" s="52">
        <v>174087.48537042999</v>
      </c>
      <c r="D18535" s="56">
        <v>9.138898938850662E-2</v>
      </c>
      <c r="E18535" s="224" t="s">
        <v>2</v>
      </c>
      <c r="F18535" s="515" t="s">
        <v>19708</v>
      </c>
      <c r="G18535" s="52">
        <v>226091.92524012399</v>
      </c>
      <c r="H18535" s="56">
        <v>6.9447171809231933E-2</v>
      </c>
      <c r="I18535" s="224" t="s">
        <v>2</v>
      </c>
    </row>
    <row r="18536" spans="1:9" x14ac:dyDescent="0.25">
      <c r="A18536" s="515">
        <v>52218</v>
      </c>
      <c r="B18536" s="515" t="s">
        <v>404</v>
      </c>
      <c r="C18536" s="52">
        <v>198764.95203637599</v>
      </c>
      <c r="D18536" s="56">
        <v>9.7250652590317413E-2</v>
      </c>
      <c r="E18536" s="224" t="s">
        <v>2</v>
      </c>
      <c r="F18536" s="515" t="s">
        <v>19709</v>
      </c>
      <c r="G18536" s="52">
        <v>78457.625162222394</v>
      </c>
      <c r="H18536" s="56">
        <v>6.6886160415338819E-2</v>
      </c>
      <c r="I18536" s="224" t="s">
        <v>2</v>
      </c>
    </row>
    <row r="18537" spans="1:9" x14ac:dyDescent="0.25">
      <c r="A18537" s="515">
        <v>66056</v>
      </c>
      <c r="B18537" s="515" t="s">
        <v>455</v>
      </c>
      <c r="C18537" s="52">
        <v>123894.13522590901</v>
      </c>
      <c r="D18537" s="56">
        <v>-0.20170049340051538</v>
      </c>
      <c r="E18537" s="224" t="s">
        <v>2</v>
      </c>
      <c r="F18537" s="515" t="s">
        <v>19710</v>
      </c>
      <c r="G18537" s="52">
        <v>175099.45429398099</v>
      </c>
      <c r="H18537" s="56">
        <v>0.11598997502885662</v>
      </c>
      <c r="I18537" s="224" t="s">
        <v>2</v>
      </c>
    </row>
    <row r="18538" spans="1:9" x14ac:dyDescent="0.25">
      <c r="A18538" s="515">
        <v>52316</v>
      </c>
      <c r="C18538" s="52">
        <v>143328.529332329</v>
      </c>
      <c r="D18538" s="56">
        <v>0.11514888382505963</v>
      </c>
      <c r="E18538" s="224" t="s">
        <v>2</v>
      </c>
      <c r="F18538" s="515" t="s">
        <v>19711</v>
      </c>
      <c r="G18538" s="52">
        <v>135568.40431405001</v>
      </c>
      <c r="H18538" s="56">
        <v>0.15625482910265062</v>
      </c>
      <c r="I18538" s="224" t="s">
        <v>2</v>
      </c>
    </row>
    <row r="18539" spans="1:9" x14ac:dyDescent="0.25">
      <c r="A18539" s="515">
        <v>70710</v>
      </c>
      <c r="B18539" s="515" t="s">
        <v>610</v>
      </c>
      <c r="C18539" s="52">
        <v>261699.95500712801</v>
      </c>
      <c r="D18539" s="56">
        <v>6.4932125831651658E-2</v>
      </c>
      <c r="E18539" s="224">
        <v>1367.1111111111099</v>
      </c>
      <c r="F18539" s="515" t="s">
        <v>19712</v>
      </c>
      <c r="G18539" s="52">
        <v>163352.72417789701</v>
      </c>
      <c r="H18539" s="56">
        <v>0.15020219404827576</v>
      </c>
      <c r="I18539" s="224" t="s">
        <v>2</v>
      </c>
    </row>
    <row r="18540" spans="1:9" x14ac:dyDescent="0.25">
      <c r="A18540" s="515">
        <v>99361</v>
      </c>
      <c r="B18540" s="515" t="s">
        <v>376</v>
      </c>
      <c r="C18540" s="52">
        <v>330337.33384546399</v>
      </c>
      <c r="D18540" s="56">
        <v>7.2883947676334035E-2</v>
      </c>
      <c r="E18540" s="224" t="s">
        <v>2</v>
      </c>
      <c r="F18540" s="515" t="s">
        <v>19713</v>
      </c>
      <c r="G18540" s="52">
        <v>206932.87135214801</v>
      </c>
      <c r="H18540" s="56">
        <v>3.1408462054020245E-2</v>
      </c>
      <c r="I18540" s="224" t="s">
        <v>2</v>
      </c>
    </row>
    <row r="18541" spans="1:9" x14ac:dyDescent="0.25">
      <c r="A18541" s="515">
        <v>35963</v>
      </c>
      <c r="B18541" s="515" t="s">
        <v>979</v>
      </c>
      <c r="C18541" s="52">
        <v>160111.54180324299</v>
      </c>
      <c r="D18541" s="56">
        <v>0.1777988211221771</v>
      </c>
      <c r="E18541" s="224" t="s">
        <v>2</v>
      </c>
      <c r="F18541" s="515" t="s">
        <v>19714</v>
      </c>
      <c r="G18541" s="52">
        <v>145851.84176598201</v>
      </c>
      <c r="H18541" s="56">
        <v>9.7959702776682075E-2</v>
      </c>
      <c r="I18541" s="224" t="s">
        <v>2</v>
      </c>
    </row>
    <row r="18542" spans="1:9" x14ac:dyDescent="0.25">
      <c r="A18542" s="515">
        <v>65626</v>
      </c>
      <c r="B18542" s="515" t="s">
        <v>984</v>
      </c>
      <c r="C18542" s="52">
        <v>205428.26684142099</v>
      </c>
      <c r="D18542" s="56">
        <v>0.13100853134454621</v>
      </c>
      <c r="E18542" s="224" t="s">
        <v>2</v>
      </c>
      <c r="F18542" s="515" t="s">
        <v>19715</v>
      </c>
      <c r="G18542" s="52">
        <v>917733.38757609902</v>
      </c>
      <c r="H18542" s="56">
        <v>8.106909710479486E-2</v>
      </c>
      <c r="I18542" s="224" t="s">
        <v>2</v>
      </c>
    </row>
    <row r="18543" spans="1:9" x14ac:dyDescent="0.25">
      <c r="A18543" s="515">
        <v>49026</v>
      </c>
      <c r="C18543" s="52">
        <v>176605.03553617201</v>
      </c>
      <c r="D18543" s="56">
        <v>6.8699081683552876E-2</v>
      </c>
      <c r="E18543" s="224" t="s">
        <v>2</v>
      </c>
      <c r="F18543" s="515" t="s">
        <v>19716</v>
      </c>
      <c r="G18543" s="52">
        <v>193698.93942171399</v>
      </c>
      <c r="H18543" s="56">
        <v>9.2721367867392865E-2</v>
      </c>
      <c r="I18543" s="224" t="s">
        <v>2</v>
      </c>
    </row>
    <row r="18544" spans="1:9" x14ac:dyDescent="0.25">
      <c r="A18544" s="515">
        <v>79019</v>
      </c>
      <c r="B18544" s="515" t="s">
        <v>869</v>
      </c>
      <c r="C18544" s="52">
        <v>160419.513681026</v>
      </c>
      <c r="D18544" s="56">
        <v>-1.5000045291862449E-2</v>
      </c>
      <c r="E18544" s="224" t="s">
        <v>2</v>
      </c>
      <c r="F18544" s="515" t="s">
        <v>19717</v>
      </c>
      <c r="G18544" s="52">
        <v>54559.575504403198</v>
      </c>
      <c r="H18544" s="56">
        <v>0.29237922657855847</v>
      </c>
      <c r="I18544" s="224" t="s">
        <v>2</v>
      </c>
    </row>
    <row r="18545" spans="1:9" x14ac:dyDescent="0.25">
      <c r="A18545" s="515">
        <v>4346</v>
      </c>
      <c r="B18545" s="515" t="s">
        <v>848</v>
      </c>
      <c r="C18545" s="52">
        <v>223679.424036949</v>
      </c>
      <c r="D18545" s="56">
        <v>8.7553224374037036E-2</v>
      </c>
      <c r="E18545" s="224" t="s">
        <v>2</v>
      </c>
      <c r="F18545" s="515" t="s">
        <v>19718</v>
      </c>
      <c r="G18545" s="52">
        <v>320808.23384374299</v>
      </c>
      <c r="H18545" s="56">
        <v>0.17538786489096478</v>
      </c>
      <c r="I18545" s="224" t="s">
        <v>2</v>
      </c>
    </row>
    <row r="18546" spans="1:9" x14ac:dyDescent="0.25">
      <c r="A18546" s="515">
        <v>36032</v>
      </c>
      <c r="B18546" s="515" t="s">
        <v>806</v>
      </c>
      <c r="C18546" s="52">
        <v>117139.53355657301</v>
      </c>
      <c r="D18546" s="56">
        <v>1.9645234473320308E-2</v>
      </c>
      <c r="E18546" s="224" t="s">
        <v>2</v>
      </c>
      <c r="F18546" s="515" t="s">
        <v>19719</v>
      </c>
      <c r="G18546" s="52">
        <v>229324.93856270099</v>
      </c>
      <c r="H18546" s="56">
        <v>9.5468105725360797E-2</v>
      </c>
      <c r="I18546" s="224" t="s">
        <v>2</v>
      </c>
    </row>
    <row r="18547" spans="1:9" x14ac:dyDescent="0.25">
      <c r="A18547" s="515">
        <v>74041</v>
      </c>
      <c r="B18547" s="515" t="s">
        <v>348</v>
      </c>
      <c r="C18547" s="52">
        <v>217796.81927424</v>
      </c>
      <c r="D18547" s="56">
        <v>9.0023225054558051E-2</v>
      </c>
      <c r="E18547" s="224" t="s">
        <v>2</v>
      </c>
      <c r="F18547" s="515" t="s">
        <v>19720</v>
      </c>
      <c r="G18547" s="52">
        <v>267782.21621621598</v>
      </c>
      <c r="H18547" s="56">
        <v>0</v>
      </c>
      <c r="I18547" s="224" t="s">
        <v>2</v>
      </c>
    </row>
    <row r="18548" spans="1:9" x14ac:dyDescent="0.25">
      <c r="A18548" s="515">
        <v>37365</v>
      </c>
      <c r="C18548" s="52">
        <v>114015.33199209</v>
      </c>
      <c r="D18548" s="56">
        <v>0</v>
      </c>
      <c r="E18548" s="224" t="s">
        <v>2</v>
      </c>
      <c r="F18548" s="515" t="s">
        <v>19721</v>
      </c>
      <c r="G18548" s="52">
        <v>211762.20238095199</v>
      </c>
      <c r="H18548" s="56">
        <v>0</v>
      </c>
      <c r="I18548" s="224" t="s">
        <v>2</v>
      </c>
    </row>
    <row r="18549" spans="1:9" x14ac:dyDescent="0.25">
      <c r="A18549" s="515">
        <v>22937</v>
      </c>
      <c r="B18549" s="515" t="s">
        <v>630</v>
      </c>
      <c r="C18549" s="52">
        <v>245602.672817251</v>
      </c>
      <c r="D18549" s="56">
        <v>0.12989598332439201</v>
      </c>
      <c r="E18549" s="224" t="s">
        <v>2</v>
      </c>
      <c r="F18549" s="515" t="s">
        <v>19722</v>
      </c>
      <c r="G18549" s="52">
        <v>225346.034372191</v>
      </c>
      <c r="H18549" s="56">
        <v>9.4004557919038681E-2</v>
      </c>
      <c r="I18549" s="224" t="s">
        <v>2</v>
      </c>
    </row>
    <row r="18550" spans="1:9" x14ac:dyDescent="0.25">
      <c r="A18550" s="515">
        <v>79040</v>
      </c>
      <c r="C18550" s="52">
        <v>152808.06666666601</v>
      </c>
      <c r="D18550" s="56">
        <v>0</v>
      </c>
      <c r="E18550" s="224" t="s">
        <v>2</v>
      </c>
      <c r="F18550" s="515" t="s">
        <v>19723</v>
      </c>
      <c r="G18550" s="52">
        <v>110387.980394028</v>
      </c>
      <c r="H18550" s="56">
        <v>1.5995753934003581E-2</v>
      </c>
      <c r="I18550" s="224" t="s">
        <v>2</v>
      </c>
    </row>
    <row r="18551" spans="1:9" x14ac:dyDescent="0.25">
      <c r="A18551" s="515">
        <v>16130</v>
      </c>
      <c r="B18551" s="515" t="s">
        <v>397</v>
      </c>
      <c r="C18551" s="52">
        <v>146542.25210084001</v>
      </c>
      <c r="D18551" s="56">
        <v>0</v>
      </c>
      <c r="E18551" s="224" t="s">
        <v>2</v>
      </c>
      <c r="F18551" s="515" t="s">
        <v>19724</v>
      </c>
      <c r="G18551" s="52">
        <v>629039.07391055801</v>
      </c>
      <c r="H18551" s="56">
        <v>0.13794610816290226</v>
      </c>
      <c r="I18551" s="224" t="s">
        <v>2</v>
      </c>
    </row>
    <row r="18552" spans="1:9" x14ac:dyDescent="0.25">
      <c r="A18552" s="515">
        <v>55089</v>
      </c>
      <c r="B18552" s="515" t="s">
        <v>663</v>
      </c>
      <c r="C18552" s="52">
        <v>424475.93798207399</v>
      </c>
      <c r="D18552" s="56">
        <v>7.3457689756902339E-2</v>
      </c>
      <c r="E18552" s="224" t="s">
        <v>2</v>
      </c>
      <c r="F18552" s="515" t="s">
        <v>19725</v>
      </c>
      <c r="G18552" s="52">
        <v>83968.893939393907</v>
      </c>
      <c r="H18552" s="56">
        <v>0</v>
      </c>
      <c r="I18552" s="224" t="s">
        <v>2</v>
      </c>
    </row>
    <row r="18553" spans="1:9" x14ac:dyDescent="0.25">
      <c r="A18553" s="515">
        <v>99360</v>
      </c>
      <c r="B18553" s="515" t="s">
        <v>376</v>
      </c>
      <c r="C18553" s="52">
        <v>450572.20829749398</v>
      </c>
      <c r="D18553" s="56">
        <v>8.5514038921598173E-2</v>
      </c>
      <c r="E18553" s="224" t="s">
        <v>2</v>
      </c>
      <c r="F18553" s="515" t="s">
        <v>19726</v>
      </c>
      <c r="G18553" s="52">
        <v>239197.159463939</v>
      </c>
      <c r="H18553" s="56">
        <v>6.2541836105854176E-2</v>
      </c>
      <c r="I18553" s="224" t="s">
        <v>2</v>
      </c>
    </row>
    <row r="18554" spans="1:9" x14ac:dyDescent="0.25">
      <c r="A18554" s="515">
        <v>50475</v>
      </c>
      <c r="C18554" s="52">
        <v>134183.36931299799</v>
      </c>
      <c r="D18554" s="56">
        <v>7.1193992814501589E-2</v>
      </c>
      <c r="E18554" s="224" t="s">
        <v>2</v>
      </c>
      <c r="F18554" s="515" t="s">
        <v>19727</v>
      </c>
      <c r="G18554" s="52">
        <v>213562.24508580199</v>
      </c>
      <c r="H18554" s="56">
        <v>0.22931523250023964</v>
      </c>
      <c r="I18554" s="224" t="s">
        <v>2</v>
      </c>
    </row>
    <row r="18555" spans="1:9" x14ac:dyDescent="0.25">
      <c r="A18555" s="515">
        <v>27054</v>
      </c>
      <c r="B18555" s="515" t="s">
        <v>360</v>
      </c>
      <c r="C18555" s="52">
        <v>222009.74898466101</v>
      </c>
      <c r="D18555" s="56">
        <v>9.5100498983329521E-2</v>
      </c>
      <c r="E18555" s="224" t="s">
        <v>2</v>
      </c>
      <c r="F18555" s="515" t="s">
        <v>19728</v>
      </c>
      <c r="G18555" s="52">
        <v>200250.64229553699</v>
      </c>
      <c r="H18555" s="56">
        <v>7.8808318477773531E-2</v>
      </c>
      <c r="I18555" s="224" t="s">
        <v>2</v>
      </c>
    </row>
    <row r="18556" spans="1:9" x14ac:dyDescent="0.25">
      <c r="A18556" s="515">
        <v>96755</v>
      </c>
      <c r="B18556" s="515" t="s">
        <v>399</v>
      </c>
      <c r="C18556" s="52">
        <v>588603.60670610203</v>
      </c>
      <c r="D18556" s="56">
        <v>0.12698748853580341</v>
      </c>
      <c r="E18556" s="224" t="s">
        <v>2</v>
      </c>
      <c r="F18556" s="515" t="s">
        <v>19729</v>
      </c>
      <c r="G18556" s="52">
        <v>169210.63572638101</v>
      </c>
      <c r="H18556" s="56">
        <v>7.2360592947653665E-2</v>
      </c>
      <c r="I18556" s="224" t="s">
        <v>2</v>
      </c>
    </row>
    <row r="18557" spans="1:9" x14ac:dyDescent="0.25">
      <c r="A18557" s="515">
        <v>74450</v>
      </c>
      <c r="B18557" s="515" t="s">
        <v>538</v>
      </c>
      <c r="C18557" s="52">
        <v>171341.64543134</v>
      </c>
      <c r="D18557" s="56">
        <v>5.2194586500902716E-2</v>
      </c>
      <c r="E18557" s="224" t="s">
        <v>2</v>
      </c>
      <c r="F18557" s="515" t="s">
        <v>19730</v>
      </c>
      <c r="G18557" s="52">
        <v>217956.90314529999</v>
      </c>
      <c r="H18557" s="56">
        <v>0.11069266386851402</v>
      </c>
      <c r="I18557" s="224" t="s">
        <v>2</v>
      </c>
    </row>
    <row r="18558" spans="1:9" x14ac:dyDescent="0.25">
      <c r="A18558" s="515">
        <v>65466</v>
      </c>
      <c r="C18558" s="52">
        <v>134694.45918003999</v>
      </c>
      <c r="D18558" s="56">
        <v>0.13446189110010182</v>
      </c>
      <c r="E18558" s="224" t="s">
        <v>2</v>
      </c>
      <c r="F18558" s="515" t="s">
        <v>19731</v>
      </c>
      <c r="G18558" s="52">
        <v>225064.526026662</v>
      </c>
      <c r="H18558" s="56">
        <v>7.0527471518209664E-2</v>
      </c>
      <c r="I18558" s="224" t="s">
        <v>2</v>
      </c>
    </row>
    <row r="18559" spans="1:9" x14ac:dyDescent="0.25">
      <c r="A18559" s="515">
        <v>56208</v>
      </c>
      <c r="C18559" s="52">
        <v>103224.454562021</v>
      </c>
      <c r="D18559" s="56">
        <v>4.6118220739486238E-2</v>
      </c>
      <c r="E18559" s="224" t="s">
        <v>2</v>
      </c>
      <c r="F18559" s="515" t="s">
        <v>19732</v>
      </c>
      <c r="G18559" s="52">
        <v>92989.195221665606</v>
      </c>
      <c r="H18559" s="56">
        <v>8.4153680761112404E-2</v>
      </c>
      <c r="I18559" s="224" t="s">
        <v>2</v>
      </c>
    </row>
    <row r="18560" spans="1:9" x14ac:dyDescent="0.25">
      <c r="A18560" s="515">
        <v>51652</v>
      </c>
      <c r="C18560" s="52">
        <v>139182.41100975199</v>
      </c>
      <c r="D18560" s="56">
        <v>9.8859512762497367E-2</v>
      </c>
      <c r="E18560" s="224" t="s">
        <v>2</v>
      </c>
      <c r="F18560" s="515" t="s">
        <v>19733</v>
      </c>
      <c r="G18560" s="52">
        <v>113836.658533198</v>
      </c>
      <c r="H18560" s="56">
        <v>3.8334066783387778E-2</v>
      </c>
      <c r="I18560" s="224" t="s">
        <v>2</v>
      </c>
    </row>
    <row r="18561" spans="1:9" x14ac:dyDescent="0.25">
      <c r="A18561" s="515">
        <v>51038</v>
      </c>
      <c r="C18561" s="52">
        <v>220406.76718025099</v>
      </c>
      <c r="D18561" s="56">
        <v>0.13123664163417584</v>
      </c>
      <c r="E18561" s="224" t="s">
        <v>2</v>
      </c>
      <c r="F18561" s="515" t="s">
        <v>19734</v>
      </c>
      <c r="G18561" s="52">
        <v>782711.55476750899</v>
      </c>
      <c r="H18561" s="56">
        <v>0.11715514317443931</v>
      </c>
      <c r="I18561" s="224" t="s">
        <v>2</v>
      </c>
    </row>
    <row r="18562" spans="1:9" x14ac:dyDescent="0.25">
      <c r="A18562" s="515">
        <v>83422</v>
      </c>
      <c r="B18562" s="515" t="s">
        <v>490</v>
      </c>
      <c r="C18562" s="52">
        <v>605727.83026148495</v>
      </c>
      <c r="D18562" s="56">
        <v>5.6436726716120336E-2</v>
      </c>
      <c r="E18562" s="224" t="s">
        <v>2</v>
      </c>
      <c r="F18562" s="515" t="s">
        <v>19735</v>
      </c>
      <c r="G18562" s="52">
        <v>107412.13712173401</v>
      </c>
      <c r="H18562" s="56">
        <v>-1.2654812373860673E-2</v>
      </c>
      <c r="I18562" s="224" t="s">
        <v>2</v>
      </c>
    </row>
    <row r="18563" spans="1:9" x14ac:dyDescent="0.25">
      <c r="A18563" s="515">
        <v>12440</v>
      </c>
      <c r="B18563" s="515" t="s">
        <v>307</v>
      </c>
      <c r="C18563" s="52">
        <v>437231.96147210698</v>
      </c>
      <c r="D18563" s="56">
        <v>0.11452794384957377</v>
      </c>
      <c r="E18563" s="224" t="s">
        <v>2</v>
      </c>
      <c r="F18563" s="515" t="s">
        <v>19736</v>
      </c>
      <c r="G18563" s="52">
        <v>304341.51161086198</v>
      </c>
      <c r="H18563" s="56">
        <v>0.16928837822101542</v>
      </c>
      <c r="I18563" s="224" t="s">
        <v>2</v>
      </c>
    </row>
    <row r="18564" spans="1:9" x14ac:dyDescent="0.25">
      <c r="A18564" s="515">
        <v>74347</v>
      </c>
      <c r="C18564" s="52">
        <v>148548.17399319101</v>
      </c>
      <c r="D18564" s="56">
        <v>5.9682859045358548E-2</v>
      </c>
      <c r="E18564" s="224" t="s">
        <v>2</v>
      </c>
      <c r="F18564" s="515" t="s">
        <v>19737</v>
      </c>
      <c r="G18564" s="52">
        <v>454901.36665474001</v>
      </c>
      <c r="H18564" s="56">
        <v>9.9974791840044555E-2</v>
      </c>
      <c r="I18564" s="224" t="s">
        <v>2</v>
      </c>
    </row>
    <row r="18565" spans="1:9" x14ac:dyDescent="0.25">
      <c r="A18565" s="515">
        <v>52565</v>
      </c>
      <c r="C18565" s="52">
        <v>151510.586007365</v>
      </c>
      <c r="D18565" s="56">
        <v>0.1211449520512253</v>
      </c>
      <c r="E18565" s="224" t="s">
        <v>2</v>
      </c>
      <c r="F18565" s="515" t="s">
        <v>19738</v>
      </c>
      <c r="G18565" s="52">
        <v>340927.81289004599</v>
      </c>
      <c r="H18565" s="56">
        <v>0.14352696486253946</v>
      </c>
      <c r="I18565" s="224" t="s">
        <v>2</v>
      </c>
    </row>
    <row r="18566" spans="1:9" x14ac:dyDescent="0.25">
      <c r="A18566" s="515">
        <v>15868</v>
      </c>
      <c r="B18566" s="515" t="s">
        <v>954</v>
      </c>
      <c r="C18566" s="52">
        <v>110164.90264266101</v>
      </c>
      <c r="D18566" s="56">
        <v>4.6211201846682225E-2</v>
      </c>
      <c r="E18566" s="224" t="s">
        <v>2</v>
      </c>
      <c r="F18566" s="515" t="s">
        <v>19739</v>
      </c>
      <c r="G18566" s="52">
        <v>104621.051980374</v>
      </c>
      <c r="H18566" s="56">
        <v>0.12885795543342751</v>
      </c>
      <c r="I18566" s="224" t="s">
        <v>2</v>
      </c>
    </row>
    <row r="18567" spans="1:9" x14ac:dyDescent="0.25">
      <c r="A18567" s="515">
        <v>69334</v>
      </c>
      <c r="C18567" s="52">
        <v>130056.334672999</v>
      </c>
      <c r="D18567" s="56">
        <v>7.4171747818878017E-2</v>
      </c>
      <c r="E18567" s="224" t="s">
        <v>2</v>
      </c>
      <c r="F18567" s="515" t="s">
        <v>19740</v>
      </c>
      <c r="G18567" s="52">
        <v>180040.874926716</v>
      </c>
      <c r="H18567" s="56">
        <v>0.13550800825020085</v>
      </c>
      <c r="I18567" s="224" t="s">
        <v>2</v>
      </c>
    </row>
    <row r="18568" spans="1:9" x14ac:dyDescent="0.25">
      <c r="A18568" s="515">
        <v>62531</v>
      </c>
      <c r="B18568" s="515" t="s">
        <v>386</v>
      </c>
      <c r="C18568" s="52">
        <v>121231.01113993301</v>
      </c>
      <c r="D18568" s="56">
        <v>6.1608326851189797E-2</v>
      </c>
      <c r="E18568" s="224" t="s">
        <v>2</v>
      </c>
      <c r="F18568" s="515" t="s">
        <v>19741</v>
      </c>
      <c r="G18568" s="52">
        <v>157887.774602255</v>
      </c>
      <c r="H18568" s="56">
        <v>0</v>
      </c>
      <c r="I18568" s="224" t="s">
        <v>2</v>
      </c>
    </row>
    <row r="18569" spans="1:9" x14ac:dyDescent="0.25">
      <c r="A18569" s="515">
        <v>46991</v>
      </c>
      <c r="B18569" s="515" t="s">
        <v>472</v>
      </c>
      <c r="C18569" s="52">
        <v>115529.327632284</v>
      </c>
      <c r="D18569" s="56">
        <v>4.7241319611660677E-2</v>
      </c>
      <c r="E18569" s="224" t="s">
        <v>2</v>
      </c>
      <c r="F18569" s="515" t="s">
        <v>19742</v>
      </c>
      <c r="G18569" s="52">
        <v>363119.21894195001</v>
      </c>
      <c r="H18569" s="56">
        <v>3.6004486449754826E-2</v>
      </c>
      <c r="I18569" s="224" t="s">
        <v>2</v>
      </c>
    </row>
    <row r="18570" spans="1:9" x14ac:dyDescent="0.25">
      <c r="A18570" s="515">
        <v>67669</v>
      </c>
      <c r="C18570" s="52">
        <v>90283.217833105198</v>
      </c>
      <c r="D18570" s="56">
        <v>6.2676520657210563E-2</v>
      </c>
      <c r="E18570" s="224" t="s">
        <v>2</v>
      </c>
      <c r="F18570" s="515" t="s">
        <v>19743</v>
      </c>
      <c r="G18570" s="52">
        <v>229324.94041009099</v>
      </c>
      <c r="H18570" s="56">
        <v>9.0019246313919984E-2</v>
      </c>
      <c r="I18570" s="224" t="s">
        <v>2</v>
      </c>
    </row>
    <row r="18571" spans="1:9" x14ac:dyDescent="0.25">
      <c r="A18571" s="515">
        <v>44099</v>
      </c>
      <c r="B18571" s="515" t="s">
        <v>592</v>
      </c>
      <c r="C18571" s="52">
        <v>249879.246733601</v>
      </c>
      <c r="D18571" s="56">
        <v>0.12415767858058886</v>
      </c>
      <c r="E18571" s="224" t="s">
        <v>2</v>
      </c>
      <c r="F18571" s="515" t="s">
        <v>19744</v>
      </c>
      <c r="G18571" s="52">
        <v>224765.765099118</v>
      </c>
      <c r="H18571" s="56">
        <v>0.11882119349654013</v>
      </c>
      <c r="I18571" s="224" t="s">
        <v>2</v>
      </c>
    </row>
    <row r="18572" spans="1:9" x14ac:dyDescent="0.25">
      <c r="A18572" s="515">
        <v>27829</v>
      </c>
      <c r="B18572" s="515" t="s">
        <v>1101</v>
      </c>
      <c r="C18572" s="52">
        <v>151161.71214668799</v>
      </c>
      <c r="D18572" s="56">
        <v>0.20006749039841223</v>
      </c>
      <c r="E18572" s="224" t="s">
        <v>2</v>
      </c>
      <c r="F18572" s="515" t="s">
        <v>19745</v>
      </c>
      <c r="G18572" s="52">
        <v>99401.844109621205</v>
      </c>
      <c r="H18572" s="56">
        <v>0.21988135168404319</v>
      </c>
      <c r="I18572" s="224" t="s">
        <v>2</v>
      </c>
    </row>
    <row r="18573" spans="1:9" x14ac:dyDescent="0.25">
      <c r="A18573" s="515">
        <v>46951</v>
      </c>
      <c r="B18573" s="515" t="s">
        <v>547</v>
      </c>
      <c r="C18573" s="52">
        <v>144428.908320747</v>
      </c>
      <c r="D18573" s="56">
        <v>5.9168221147754801E-2</v>
      </c>
      <c r="E18573" s="224" t="s">
        <v>2</v>
      </c>
      <c r="F18573" s="515" t="s">
        <v>19746</v>
      </c>
      <c r="G18573" s="52">
        <v>812265.84532330604</v>
      </c>
      <c r="H18573" s="56">
        <v>4.8907533877665825E-2</v>
      </c>
      <c r="I18573" s="224" t="s">
        <v>2</v>
      </c>
    </row>
    <row r="18574" spans="1:9" x14ac:dyDescent="0.25">
      <c r="A18574" s="515">
        <v>72863</v>
      </c>
      <c r="C18574" s="52">
        <v>153696.90302899299</v>
      </c>
      <c r="D18574" s="56">
        <v>1.7905302437620101E-2</v>
      </c>
      <c r="E18574" s="224" t="s">
        <v>2</v>
      </c>
      <c r="F18574" s="515" t="s">
        <v>19747</v>
      </c>
      <c r="G18574" s="52">
        <v>117697.845238095</v>
      </c>
      <c r="H18574" s="56">
        <v>0</v>
      </c>
      <c r="I18574" s="224" t="s">
        <v>2</v>
      </c>
    </row>
    <row r="18575" spans="1:9" x14ac:dyDescent="0.25">
      <c r="A18575" s="515">
        <v>13650</v>
      </c>
      <c r="B18575" s="515" t="s">
        <v>431</v>
      </c>
      <c r="C18575" s="52">
        <v>215463.685458391</v>
      </c>
      <c r="D18575" s="56">
        <v>0.11435752343870723</v>
      </c>
      <c r="E18575" s="224" t="s">
        <v>2</v>
      </c>
      <c r="F18575" s="515" t="s">
        <v>19748</v>
      </c>
      <c r="G18575" s="52">
        <v>147085.87912087899</v>
      </c>
      <c r="H18575" s="56">
        <v>0</v>
      </c>
      <c r="I18575" s="224" t="s">
        <v>2</v>
      </c>
    </row>
    <row r="18576" spans="1:9" x14ac:dyDescent="0.25">
      <c r="A18576" s="515">
        <v>75490</v>
      </c>
      <c r="B18576" s="515" t="s">
        <v>298</v>
      </c>
      <c r="C18576" s="52">
        <v>357567.91492504801</v>
      </c>
      <c r="D18576" s="56">
        <v>0.11165949269449582</v>
      </c>
      <c r="E18576" s="224" t="s">
        <v>2</v>
      </c>
      <c r="F18576" s="515" t="s">
        <v>19749</v>
      </c>
      <c r="G18576" s="52">
        <v>181642.69276923299</v>
      </c>
      <c r="H18576" s="56">
        <v>0.1000095948660521</v>
      </c>
      <c r="I18576" s="224" t="s">
        <v>2</v>
      </c>
    </row>
    <row r="18577" spans="1:9" x14ac:dyDescent="0.25">
      <c r="A18577" s="515">
        <v>49338</v>
      </c>
      <c r="C18577" s="52">
        <v>156257.74331415299</v>
      </c>
      <c r="D18577" s="56">
        <v>5.339172820125946E-2</v>
      </c>
      <c r="E18577" s="224" t="s">
        <v>2</v>
      </c>
      <c r="F18577" s="515" t="s">
        <v>19750</v>
      </c>
      <c r="G18577" s="52">
        <v>197936.76555010301</v>
      </c>
      <c r="H18577" s="56">
        <v>0.29194750577739148</v>
      </c>
      <c r="I18577" s="224" t="s">
        <v>2</v>
      </c>
    </row>
    <row r="18578" spans="1:9" x14ac:dyDescent="0.25">
      <c r="A18578" s="515">
        <v>55342</v>
      </c>
      <c r="C18578" s="52">
        <v>160010.591706857</v>
      </c>
      <c r="D18578" s="56">
        <v>5.7233386633703101E-2</v>
      </c>
      <c r="E18578" s="224" t="s">
        <v>2</v>
      </c>
      <c r="F18578" s="515" t="s">
        <v>19751</v>
      </c>
      <c r="G18578" s="52">
        <v>199990.03921214401</v>
      </c>
      <c r="H18578" s="56">
        <v>0.12540909041760823</v>
      </c>
      <c r="I18578" s="224" t="s">
        <v>2</v>
      </c>
    </row>
    <row r="18579" spans="1:9" x14ac:dyDescent="0.25">
      <c r="A18579" s="515">
        <v>68666</v>
      </c>
      <c r="C18579" s="52">
        <v>164977.77463569</v>
      </c>
      <c r="D18579" s="56">
        <v>3.7081812111570168E-2</v>
      </c>
      <c r="E18579" s="224" t="s">
        <v>2</v>
      </c>
      <c r="F18579" s="515" t="s">
        <v>19752</v>
      </c>
      <c r="G18579" s="52">
        <v>89765.998184012598</v>
      </c>
      <c r="H18579" s="56">
        <v>0</v>
      </c>
      <c r="I18579" s="224" t="s">
        <v>2</v>
      </c>
    </row>
    <row r="18580" spans="1:9" x14ac:dyDescent="0.25">
      <c r="A18580" s="515">
        <v>84055</v>
      </c>
      <c r="B18580" s="515" t="s">
        <v>502</v>
      </c>
      <c r="C18580" s="52">
        <v>668441.40208955796</v>
      </c>
      <c r="D18580" s="56">
        <v>2.1858121585853631E-2</v>
      </c>
      <c r="E18580" s="224" t="s">
        <v>2</v>
      </c>
      <c r="F18580" s="515" t="s">
        <v>19753</v>
      </c>
      <c r="G18580" s="52">
        <v>192781.45233654801</v>
      </c>
      <c r="H18580" s="56">
        <v>7.8476677312850254E-2</v>
      </c>
      <c r="I18580" s="224" t="s">
        <v>2</v>
      </c>
    </row>
    <row r="18581" spans="1:9" x14ac:dyDescent="0.25">
      <c r="A18581" s="515">
        <v>3047</v>
      </c>
      <c r="B18581" s="515" t="s">
        <v>996</v>
      </c>
      <c r="C18581" s="52">
        <v>375037.923465467</v>
      </c>
      <c r="D18581" s="56">
        <v>0.10324904010839346</v>
      </c>
      <c r="E18581" s="224" t="s">
        <v>2</v>
      </c>
      <c r="F18581" s="515" t="s">
        <v>19754</v>
      </c>
      <c r="G18581" s="52">
        <v>161236.56925338699</v>
      </c>
      <c r="H18581" s="56">
        <v>0</v>
      </c>
      <c r="I18581" s="224" t="s">
        <v>2</v>
      </c>
    </row>
    <row r="18582" spans="1:9" x14ac:dyDescent="0.25">
      <c r="A18582" s="515">
        <v>50630</v>
      </c>
      <c r="C18582" s="52">
        <v>148642.96825937499</v>
      </c>
      <c r="D18582" s="56">
        <v>0</v>
      </c>
      <c r="E18582" s="224" t="s">
        <v>2</v>
      </c>
      <c r="F18582" s="515" t="s">
        <v>19755</v>
      </c>
      <c r="G18582" s="52">
        <v>174578.43698159599</v>
      </c>
      <c r="H18582" s="56">
        <v>0</v>
      </c>
      <c r="I18582" s="224" t="s">
        <v>2</v>
      </c>
    </row>
    <row r="18583" spans="1:9" x14ac:dyDescent="0.25">
      <c r="A18583" s="515">
        <v>92230</v>
      </c>
      <c r="B18583" s="515" t="s">
        <v>599</v>
      </c>
      <c r="C18583" s="52">
        <v>290841.09037474799</v>
      </c>
      <c r="D18583" s="56">
        <v>0.10979133436612362</v>
      </c>
      <c r="E18583" s="224" t="s">
        <v>2</v>
      </c>
      <c r="F18583" s="515" t="s">
        <v>19756</v>
      </c>
      <c r="G18583" s="52">
        <v>109113.844505328</v>
      </c>
      <c r="H18583" s="56">
        <v>0.10832571400104894</v>
      </c>
      <c r="I18583" s="224" t="s">
        <v>2</v>
      </c>
    </row>
    <row r="18584" spans="1:9" x14ac:dyDescent="0.25">
      <c r="A18584" s="515">
        <v>54655</v>
      </c>
      <c r="C18584" s="52">
        <v>166524.917228982</v>
      </c>
      <c r="D18584" s="56">
        <v>0.10069114000073066</v>
      </c>
      <c r="E18584" s="224" t="s">
        <v>2</v>
      </c>
      <c r="F18584" s="515" t="s">
        <v>19757</v>
      </c>
      <c r="G18584" s="52">
        <v>98804.222949410003</v>
      </c>
      <c r="H18584" s="56">
        <v>0.12341806977533758</v>
      </c>
      <c r="I18584" s="224" t="s">
        <v>2</v>
      </c>
    </row>
    <row r="18585" spans="1:9" x14ac:dyDescent="0.25">
      <c r="A18585" s="515">
        <v>14024</v>
      </c>
      <c r="C18585" s="52">
        <v>159976.54239888201</v>
      </c>
      <c r="D18585" s="56">
        <v>0.11987648442699994</v>
      </c>
      <c r="E18585" s="224" t="s">
        <v>2</v>
      </c>
      <c r="F18585" s="515" t="s">
        <v>19758</v>
      </c>
      <c r="G18585" s="52">
        <v>117410.514947298</v>
      </c>
      <c r="H18585" s="56">
        <v>-5.2778576569643409E-2</v>
      </c>
      <c r="I18585" s="224" t="s">
        <v>2</v>
      </c>
    </row>
    <row r="18586" spans="1:9" x14ac:dyDescent="0.25">
      <c r="A18586" s="515">
        <v>61813</v>
      </c>
      <c r="B18586" s="515" t="s">
        <v>417</v>
      </c>
      <c r="C18586" s="52">
        <v>109119.32828073201</v>
      </c>
      <c r="D18586" s="56">
        <v>7.4383259803735363E-2</v>
      </c>
      <c r="E18586" s="224" t="s">
        <v>2</v>
      </c>
      <c r="F18586" s="515" t="s">
        <v>19759</v>
      </c>
      <c r="G18586" s="52">
        <v>156632.32284732399</v>
      </c>
      <c r="H18586" s="56">
        <v>5.044233905863392E-2</v>
      </c>
      <c r="I18586" s="224" t="s">
        <v>2</v>
      </c>
    </row>
    <row r="18587" spans="1:9" x14ac:dyDescent="0.25">
      <c r="A18587" s="515">
        <v>30413</v>
      </c>
      <c r="C18587" s="52">
        <v>117464.86331446801</v>
      </c>
      <c r="D18587" s="56">
        <v>-2.5060265877232941E-2</v>
      </c>
      <c r="E18587" s="224" t="s">
        <v>2</v>
      </c>
      <c r="F18587" s="515" t="s">
        <v>19760</v>
      </c>
      <c r="G18587" s="52">
        <v>532333.463437411</v>
      </c>
      <c r="H18587" s="56">
        <v>0.15636600231294542</v>
      </c>
      <c r="I18587" s="224" t="s">
        <v>2</v>
      </c>
    </row>
    <row r="18588" spans="1:9" x14ac:dyDescent="0.25">
      <c r="A18588" s="515">
        <v>25136</v>
      </c>
      <c r="B18588" s="515" t="s">
        <v>566</v>
      </c>
      <c r="C18588" s="52">
        <v>82528.876253901501</v>
      </c>
      <c r="D18588" s="56">
        <v>0.15406990124261899</v>
      </c>
      <c r="E18588" s="224" t="s">
        <v>2</v>
      </c>
      <c r="F18588" s="515" t="s">
        <v>19761</v>
      </c>
      <c r="G18588" s="52">
        <v>292758.95272161003</v>
      </c>
      <c r="H18588" s="56">
        <v>0.14851738403492751</v>
      </c>
      <c r="I18588" s="224" t="s">
        <v>2</v>
      </c>
    </row>
    <row r="18589" spans="1:9" x14ac:dyDescent="0.25">
      <c r="A18589" s="515">
        <v>28529</v>
      </c>
      <c r="B18589" s="515" t="s">
        <v>574</v>
      </c>
      <c r="C18589" s="52">
        <v>176186.62129930899</v>
      </c>
      <c r="D18589" s="56">
        <v>8.2201088548156859E-2</v>
      </c>
      <c r="E18589" s="224" t="s">
        <v>2</v>
      </c>
      <c r="F18589" s="515" t="s">
        <v>19762</v>
      </c>
      <c r="G18589" s="52">
        <v>166128.48303727101</v>
      </c>
      <c r="H18589" s="56">
        <v>0.18359066527824047</v>
      </c>
      <c r="I18589" s="224" t="s">
        <v>2</v>
      </c>
    </row>
    <row r="18590" spans="1:9" x14ac:dyDescent="0.25">
      <c r="A18590" s="515">
        <v>77364</v>
      </c>
      <c r="C18590" s="52">
        <v>192502.22402590601</v>
      </c>
      <c r="D18590" s="56">
        <v>-1.5707571239069709E-2</v>
      </c>
      <c r="E18590" s="224" t="s">
        <v>2</v>
      </c>
      <c r="F18590" s="515" t="s">
        <v>19763</v>
      </c>
      <c r="G18590" s="52">
        <v>145968.897136171</v>
      </c>
      <c r="H18590" s="56">
        <v>9.4417952289061011E-2</v>
      </c>
      <c r="I18590" s="224" t="s">
        <v>2</v>
      </c>
    </row>
    <row r="18591" spans="1:9" x14ac:dyDescent="0.25">
      <c r="A18591" s="515">
        <v>79545</v>
      </c>
      <c r="B18591" s="515" t="s">
        <v>765</v>
      </c>
      <c r="C18591" s="52">
        <v>111420.646402457</v>
      </c>
      <c r="D18591" s="56">
        <v>2.6500444142003542E-2</v>
      </c>
      <c r="E18591" s="224" t="s">
        <v>2</v>
      </c>
      <c r="F18591" s="515" t="s">
        <v>19764</v>
      </c>
      <c r="G18591" s="52">
        <v>122761.861801149</v>
      </c>
      <c r="H18591" s="56">
        <v>0</v>
      </c>
      <c r="I18591" s="224" t="s">
        <v>2</v>
      </c>
    </row>
    <row r="18592" spans="1:9" x14ac:dyDescent="0.25">
      <c r="A18592" s="515">
        <v>13797</v>
      </c>
      <c r="B18592" s="515" t="s">
        <v>840</v>
      </c>
      <c r="C18592" s="52">
        <v>159410.73981515699</v>
      </c>
      <c r="D18592" s="56">
        <v>6.4679189451761473E-2</v>
      </c>
      <c r="E18592" s="224" t="s">
        <v>2</v>
      </c>
      <c r="F18592" s="515" t="s">
        <v>19765</v>
      </c>
      <c r="G18592" s="52">
        <v>166953.04841814801</v>
      </c>
      <c r="H18592" s="56">
        <v>-1.4008983893693979E-2</v>
      </c>
      <c r="I18592" s="224" t="s">
        <v>2</v>
      </c>
    </row>
    <row r="18593" spans="1:9" x14ac:dyDescent="0.25">
      <c r="A18593" s="515">
        <v>47023</v>
      </c>
      <c r="C18593" s="52">
        <v>213064.15013532</v>
      </c>
      <c r="D18593" s="56">
        <v>0.10284060950530403</v>
      </c>
      <c r="E18593" s="224" t="s">
        <v>2</v>
      </c>
      <c r="F18593" s="515" t="s">
        <v>19766</v>
      </c>
      <c r="G18593" s="52">
        <v>182949.527777777</v>
      </c>
      <c r="H18593" s="56">
        <v>0</v>
      </c>
      <c r="I18593" s="224" t="s">
        <v>2</v>
      </c>
    </row>
    <row r="18594" spans="1:9" x14ac:dyDescent="0.25">
      <c r="A18594" s="515">
        <v>68640</v>
      </c>
      <c r="C18594" s="52">
        <v>173627.47782680401</v>
      </c>
      <c r="D18594" s="56">
        <v>0.1367348181006568</v>
      </c>
      <c r="E18594" s="224" t="s">
        <v>2</v>
      </c>
      <c r="F18594" s="515" t="s">
        <v>19767</v>
      </c>
      <c r="G18594" s="52">
        <v>99467.761048588596</v>
      </c>
      <c r="H18594" s="56">
        <v>0.11501691461101977</v>
      </c>
      <c r="I18594" s="224" t="s">
        <v>2</v>
      </c>
    </row>
    <row r="18595" spans="1:9" x14ac:dyDescent="0.25">
      <c r="A18595" s="515">
        <v>3823</v>
      </c>
      <c r="B18595" s="515" t="s">
        <v>534</v>
      </c>
      <c r="C18595" s="52">
        <v>581193.00416059897</v>
      </c>
      <c r="D18595" s="56">
        <v>7.5887175529956816E-2</v>
      </c>
      <c r="E18595" s="224" t="s">
        <v>2</v>
      </c>
      <c r="F18595" s="515" t="s">
        <v>19768</v>
      </c>
      <c r="G18595" s="52">
        <v>223809.71861556999</v>
      </c>
      <c r="H18595" s="56">
        <v>0.14805227797414502</v>
      </c>
      <c r="I18595" s="224" t="s">
        <v>2</v>
      </c>
    </row>
    <row r="18596" spans="1:9" x14ac:dyDescent="0.25">
      <c r="A18596" s="515">
        <v>98827</v>
      </c>
      <c r="C18596" s="52">
        <v>296629.53550198901</v>
      </c>
      <c r="D18596" s="56">
        <v>6.3560701780956103E-2</v>
      </c>
      <c r="E18596" s="224" t="s">
        <v>2</v>
      </c>
      <c r="F18596" s="515" t="s">
        <v>19769</v>
      </c>
      <c r="G18596" s="52">
        <v>64694.182072601703</v>
      </c>
      <c r="H18596" s="56">
        <v>0.20774189027672962</v>
      </c>
      <c r="I18596" s="224" t="s">
        <v>2</v>
      </c>
    </row>
    <row r="18597" spans="1:9" x14ac:dyDescent="0.25">
      <c r="A18597" s="515">
        <v>54475</v>
      </c>
      <c r="B18597" s="515" t="s">
        <v>607</v>
      </c>
      <c r="C18597" s="52">
        <v>191118.66318101299</v>
      </c>
      <c r="D18597" s="56">
        <v>4.4883791983735689E-2</v>
      </c>
      <c r="E18597" s="224" t="s">
        <v>2</v>
      </c>
      <c r="F18597" s="515" t="s">
        <v>19770</v>
      </c>
      <c r="G18597" s="52">
        <v>61874.242722238698</v>
      </c>
      <c r="H18597" s="56">
        <v>-4.981307301052406E-2</v>
      </c>
      <c r="I18597" s="224" t="s">
        <v>2</v>
      </c>
    </row>
    <row r="18598" spans="1:9" x14ac:dyDescent="0.25">
      <c r="A18598" s="515">
        <v>5759</v>
      </c>
      <c r="B18598" s="515" t="s">
        <v>791</v>
      </c>
      <c r="C18598" s="52">
        <v>270201.40924824699</v>
      </c>
      <c r="D18598" s="56">
        <v>5.8537327566902192E-2</v>
      </c>
      <c r="E18598" s="224" t="s">
        <v>2</v>
      </c>
      <c r="F18598" s="515" t="s">
        <v>19771</v>
      </c>
      <c r="G18598" s="52">
        <v>187980.58610638199</v>
      </c>
      <c r="H18598" s="56">
        <v>2.2443577374178576E-2</v>
      </c>
      <c r="I18598" s="224" t="s">
        <v>2</v>
      </c>
    </row>
    <row r="18599" spans="1:9" x14ac:dyDescent="0.25">
      <c r="A18599" s="515">
        <v>69165</v>
      </c>
      <c r="B18599" s="515" t="s">
        <v>760</v>
      </c>
      <c r="C18599" s="52">
        <v>188545.342359562</v>
      </c>
      <c r="D18599" s="56">
        <v>9.6292438914340167E-2</v>
      </c>
      <c r="E18599" s="224" t="s">
        <v>2</v>
      </c>
      <c r="F18599" s="515" t="s">
        <v>19772</v>
      </c>
      <c r="G18599" s="52">
        <v>143593.923821048</v>
      </c>
      <c r="H18599" s="56">
        <v>6.4182032994903562E-2</v>
      </c>
      <c r="I18599" s="224" t="s">
        <v>2</v>
      </c>
    </row>
    <row r="18600" spans="1:9" x14ac:dyDescent="0.25">
      <c r="A18600" s="515">
        <v>5149</v>
      </c>
      <c r="B18600" s="515" t="s">
        <v>420</v>
      </c>
      <c r="C18600" s="52">
        <v>498135.92119168001</v>
      </c>
      <c r="D18600" s="56">
        <v>0.128532895207597</v>
      </c>
      <c r="E18600" s="224" t="s">
        <v>2</v>
      </c>
      <c r="F18600" s="515" t="s">
        <v>19773</v>
      </c>
      <c r="G18600" s="52">
        <v>102323.483870967</v>
      </c>
      <c r="H18600" s="56">
        <v>0</v>
      </c>
      <c r="I18600" s="224" t="s">
        <v>2</v>
      </c>
    </row>
    <row r="18601" spans="1:9" x14ac:dyDescent="0.25">
      <c r="A18601" s="515">
        <v>14803</v>
      </c>
      <c r="C18601" s="52">
        <v>157551.90586756499</v>
      </c>
      <c r="D18601" s="56">
        <v>9.9921022846062899E-2</v>
      </c>
      <c r="E18601" s="224" t="s">
        <v>2</v>
      </c>
      <c r="F18601" s="515" t="s">
        <v>19774</v>
      </c>
      <c r="G18601" s="52">
        <v>288598.89611591998</v>
      </c>
      <c r="H18601" s="56">
        <v>0.16757218740924451</v>
      </c>
      <c r="I18601" s="224" t="s">
        <v>2</v>
      </c>
    </row>
    <row r="18602" spans="1:9" x14ac:dyDescent="0.25">
      <c r="A18602" s="515">
        <v>28902</v>
      </c>
      <c r="C18602" s="52">
        <v>290131.978957279</v>
      </c>
      <c r="D18602" s="56">
        <v>0.13922275154906566</v>
      </c>
      <c r="E18602" s="224" t="s">
        <v>2</v>
      </c>
      <c r="F18602" s="515" t="s">
        <v>19775</v>
      </c>
      <c r="G18602" s="52">
        <v>66327.086666666597</v>
      </c>
      <c r="H18602" s="56">
        <v>0</v>
      </c>
      <c r="I18602" s="224" t="s">
        <v>2</v>
      </c>
    </row>
    <row r="18603" spans="1:9" x14ac:dyDescent="0.25">
      <c r="A18603" s="515">
        <v>35610</v>
      </c>
      <c r="B18603" s="515" t="s">
        <v>1100</v>
      </c>
      <c r="C18603" s="52">
        <v>201716.52018108699</v>
      </c>
      <c r="D18603" s="56">
        <v>9.6206348303571845E-2</v>
      </c>
      <c r="E18603" s="224" t="s">
        <v>2</v>
      </c>
      <c r="F18603" s="515" t="s">
        <v>19776</v>
      </c>
      <c r="G18603" s="52">
        <v>65701.950290022403</v>
      </c>
      <c r="H18603" s="56">
        <v>0.17814031509744443</v>
      </c>
      <c r="I18603" s="224" t="s">
        <v>2</v>
      </c>
    </row>
    <row r="18604" spans="1:9" x14ac:dyDescent="0.25">
      <c r="A18604" s="515">
        <v>12928</v>
      </c>
      <c r="C18604" s="52">
        <v>186319.40571742001</v>
      </c>
      <c r="D18604" s="56">
        <v>0.16110633850563272</v>
      </c>
      <c r="E18604" s="224" t="s">
        <v>2</v>
      </c>
      <c r="F18604" s="515" t="s">
        <v>19777</v>
      </c>
      <c r="G18604" s="52">
        <v>99173.876967970195</v>
      </c>
      <c r="H18604" s="56">
        <v>0.10436689854945029</v>
      </c>
      <c r="I18604" s="224" t="s">
        <v>2</v>
      </c>
    </row>
    <row r="18605" spans="1:9" x14ac:dyDescent="0.25">
      <c r="A18605" s="515">
        <v>64492</v>
      </c>
      <c r="B18605" s="515" t="s">
        <v>455</v>
      </c>
      <c r="C18605" s="52">
        <v>323970.66567875899</v>
      </c>
      <c r="D18605" s="56">
        <v>8.9926110541147616E-2</v>
      </c>
      <c r="E18605" s="224" t="s">
        <v>2</v>
      </c>
      <c r="F18605" s="515" t="s">
        <v>19778</v>
      </c>
      <c r="G18605" s="52">
        <v>218319.936125126</v>
      </c>
      <c r="H18605" s="56">
        <v>5.8826351059420662E-2</v>
      </c>
      <c r="I18605" s="224" t="s">
        <v>2</v>
      </c>
    </row>
    <row r="18606" spans="1:9" x14ac:dyDescent="0.25">
      <c r="A18606" s="515">
        <v>51003</v>
      </c>
      <c r="C18606" s="52">
        <v>224342.46910388899</v>
      </c>
      <c r="D18606" s="56">
        <v>6.5266566908723442E-2</v>
      </c>
      <c r="E18606" s="224" t="s">
        <v>2</v>
      </c>
      <c r="F18606" s="515" t="s">
        <v>19779</v>
      </c>
      <c r="G18606" s="52">
        <v>276707.23057958501</v>
      </c>
      <c r="H18606" s="56">
        <v>0</v>
      </c>
      <c r="I18606" s="224" t="s">
        <v>2</v>
      </c>
    </row>
    <row r="18607" spans="1:9" x14ac:dyDescent="0.25">
      <c r="A18607" s="515">
        <v>69022</v>
      </c>
      <c r="C18607" s="52">
        <v>153976.212426201</v>
      </c>
      <c r="D18607" s="56">
        <v>0.2050525833224259</v>
      </c>
      <c r="E18607" s="224" t="s">
        <v>2</v>
      </c>
      <c r="F18607" s="515" t="s">
        <v>19780</v>
      </c>
      <c r="G18607" s="52">
        <v>120774.47401862001</v>
      </c>
      <c r="H18607" s="56">
        <v>0.1039257925050425</v>
      </c>
      <c r="I18607" s="224" t="s">
        <v>2</v>
      </c>
    </row>
    <row r="18608" spans="1:9" x14ac:dyDescent="0.25">
      <c r="A18608" s="515">
        <v>67108</v>
      </c>
      <c r="B18608" s="515" t="s">
        <v>485</v>
      </c>
      <c r="C18608" s="52">
        <v>191949.05309992001</v>
      </c>
      <c r="D18608" s="56">
        <v>0.11361863051579661</v>
      </c>
      <c r="E18608" s="224" t="s">
        <v>2</v>
      </c>
      <c r="F18608" s="515" t="s">
        <v>10706</v>
      </c>
      <c r="G18608" s="52">
        <v>217664.311468189</v>
      </c>
      <c r="H18608" s="56">
        <v>6.5032335853223044E-2</v>
      </c>
      <c r="I18608" s="224" t="s">
        <v>2</v>
      </c>
    </row>
    <row r="18609" spans="1:9" x14ac:dyDescent="0.25">
      <c r="A18609" s="515">
        <v>67560</v>
      </c>
      <c r="C18609" s="52">
        <v>103316.75104278899</v>
      </c>
      <c r="D18609" s="56">
        <v>9.3370694855052255E-2</v>
      </c>
      <c r="E18609" s="224" t="s">
        <v>2</v>
      </c>
      <c r="F18609" s="515" t="s">
        <v>19781</v>
      </c>
      <c r="G18609" s="52">
        <v>252375.531135595</v>
      </c>
      <c r="H18609" s="56">
        <v>0.21970811431228085</v>
      </c>
      <c r="I18609" s="224" t="s">
        <v>2</v>
      </c>
    </row>
    <row r="18610" spans="1:9" x14ac:dyDescent="0.25">
      <c r="A18610" s="515">
        <v>58622</v>
      </c>
      <c r="B18610" s="515" t="s">
        <v>771</v>
      </c>
      <c r="C18610" s="52">
        <v>178757.93301137301</v>
      </c>
      <c r="D18610" s="56">
        <v>2.3710222727951922E-3</v>
      </c>
      <c r="E18610" s="224" t="s">
        <v>2</v>
      </c>
      <c r="F18610" s="515" t="s">
        <v>19782</v>
      </c>
      <c r="G18610" s="52">
        <v>258406.27983960399</v>
      </c>
      <c r="H18610" s="56">
        <v>7.695446740734195E-2</v>
      </c>
      <c r="I18610" s="224" t="s">
        <v>2</v>
      </c>
    </row>
    <row r="18611" spans="1:9" x14ac:dyDescent="0.25">
      <c r="A18611" s="515">
        <v>81415</v>
      </c>
      <c r="B18611" s="515" t="s">
        <v>677</v>
      </c>
      <c r="C18611" s="52">
        <v>455001.28356963198</v>
      </c>
      <c r="D18611" s="56">
        <v>8.8343282096637277E-2</v>
      </c>
      <c r="E18611" s="224" t="s">
        <v>2</v>
      </c>
      <c r="F18611" s="515" t="s">
        <v>19783</v>
      </c>
      <c r="G18611" s="52">
        <v>181756.752267351</v>
      </c>
      <c r="H18611" s="56">
        <v>3.1966771451784629E-2</v>
      </c>
      <c r="I18611" s="224" t="s">
        <v>2</v>
      </c>
    </row>
    <row r="18612" spans="1:9" x14ac:dyDescent="0.25">
      <c r="A18612" s="515">
        <v>71438</v>
      </c>
      <c r="B18612" s="515" t="s">
        <v>968</v>
      </c>
      <c r="C18612" s="52">
        <v>116754.259884199</v>
      </c>
      <c r="D18612" s="56">
        <v>-3.1671754573238474E-2</v>
      </c>
      <c r="E18612" s="224" t="s">
        <v>2</v>
      </c>
      <c r="F18612" s="515" t="s">
        <v>19784</v>
      </c>
      <c r="G18612" s="52">
        <v>683883.49565549497</v>
      </c>
      <c r="H18612" s="56">
        <v>2.7217940648515165E-2</v>
      </c>
      <c r="I18612" s="224" t="s">
        <v>2</v>
      </c>
    </row>
    <row r="18613" spans="1:9" x14ac:dyDescent="0.25">
      <c r="A18613" s="515">
        <v>59872</v>
      </c>
      <c r="C18613" s="52">
        <v>342655.23095379397</v>
      </c>
      <c r="D18613" s="56">
        <v>8.6707756941383732E-2</v>
      </c>
      <c r="E18613" s="224" t="s">
        <v>2</v>
      </c>
      <c r="F18613" s="515" t="s">
        <v>19785</v>
      </c>
      <c r="G18613" s="52">
        <v>138598.099450393</v>
      </c>
      <c r="H18613" s="56">
        <v>0</v>
      </c>
      <c r="I18613" s="224" t="s">
        <v>2</v>
      </c>
    </row>
    <row r="18614" spans="1:9" x14ac:dyDescent="0.25">
      <c r="A18614" s="515">
        <v>45634</v>
      </c>
      <c r="C18614" s="52">
        <v>89023.1287832253</v>
      </c>
      <c r="D18614" s="56">
        <v>0.10666584599726446</v>
      </c>
      <c r="E18614" s="224" t="s">
        <v>2</v>
      </c>
      <c r="F18614" s="515" t="s">
        <v>19786</v>
      </c>
      <c r="G18614" s="52">
        <v>226066.16834202199</v>
      </c>
      <c r="H18614" s="56">
        <v>3.6803627967734474E-2</v>
      </c>
      <c r="I18614" s="224" t="s">
        <v>2</v>
      </c>
    </row>
    <row r="18615" spans="1:9" x14ac:dyDescent="0.25">
      <c r="A18615" s="515">
        <v>65647</v>
      </c>
      <c r="C18615" s="52">
        <v>160413.98467970901</v>
      </c>
      <c r="D18615" s="56">
        <v>9.0928841263166429E-2</v>
      </c>
      <c r="E18615" s="224" t="s">
        <v>2</v>
      </c>
      <c r="F18615" s="515" t="s">
        <v>19787</v>
      </c>
      <c r="G18615" s="52">
        <v>240084.71114440399</v>
      </c>
      <c r="H18615" s="56">
        <v>5.4766172903704703E-2</v>
      </c>
      <c r="I18615" s="224" t="s">
        <v>2</v>
      </c>
    </row>
    <row r="18616" spans="1:9" x14ac:dyDescent="0.25">
      <c r="A18616" s="515">
        <v>62022</v>
      </c>
      <c r="B18616" s="515" t="s">
        <v>498</v>
      </c>
      <c r="C18616" s="52">
        <v>182208.53634014301</v>
      </c>
      <c r="D18616" s="56">
        <v>9.5222229054828425E-2</v>
      </c>
      <c r="E18616" s="224" t="s">
        <v>2</v>
      </c>
      <c r="F18616" s="515" t="s">
        <v>19788</v>
      </c>
      <c r="G18616" s="52">
        <v>163327.53168679099</v>
      </c>
      <c r="H18616" s="56">
        <v>9.6437458958462619E-2</v>
      </c>
      <c r="I18616" s="224" t="s">
        <v>2</v>
      </c>
    </row>
    <row r="18617" spans="1:9" x14ac:dyDescent="0.25">
      <c r="A18617" s="515">
        <v>13111</v>
      </c>
      <c r="B18617" s="515" t="s">
        <v>986</v>
      </c>
      <c r="C18617" s="52">
        <v>134407.654943011</v>
      </c>
      <c r="D18617" s="56">
        <v>4.4867041681114252E-2</v>
      </c>
      <c r="E18617" s="224" t="s">
        <v>2</v>
      </c>
      <c r="F18617" s="515" t="s">
        <v>19789</v>
      </c>
      <c r="G18617" s="52">
        <v>1324361.92868665</v>
      </c>
      <c r="H18617" s="56">
        <v>0.15666276224159978</v>
      </c>
      <c r="I18617" s="224" t="s">
        <v>2</v>
      </c>
    </row>
    <row r="18618" spans="1:9" x14ac:dyDescent="0.25">
      <c r="A18618" s="515">
        <v>65612</v>
      </c>
      <c r="B18618" s="515" t="s">
        <v>603</v>
      </c>
      <c r="C18618" s="52">
        <v>281831.09779521299</v>
      </c>
      <c r="D18618" s="56">
        <v>0.15918216668994314</v>
      </c>
      <c r="E18618" s="224" t="s">
        <v>2</v>
      </c>
      <c r="F18618" s="515" t="s">
        <v>19790</v>
      </c>
      <c r="G18618" s="52">
        <v>124469.802461894</v>
      </c>
      <c r="H18618" s="56">
        <v>0</v>
      </c>
      <c r="I18618" s="224" t="s">
        <v>2</v>
      </c>
    </row>
    <row r="18619" spans="1:9" x14ac:dyDescent="0.25">
      <c r="A18619" s="515">
        <v>58521</v>
      </c>
      <c r="B18619" s="515" t="s">
        <v>930</v>
      </c>
      <c r="C18619" s="52">
        <v>340337.487544576</v>
      </c>
      <c r="D18619" s="56">
        <v>0</v>
      </c>
      <c r="E18619" s="224" t="s">
        <v>2</v>
      </c>
      <c r="F18619" s="515" t="s">
        <v>19791</v>
      </c>
      <c r="G18619" s="52">
        <v>313277.39639015601</v>
      </c>
      <c r="H18619" s="56">
        <v>2.3380034955572566E-2</v>
      </c>
      <c r="I18619" s="224" t="s">
        <v>2</v>
      </c>
    </row>
    <row r="18620" spans="1:9" x14ac:dyDescent="0.25">
      <c r="A18620" s="515">
        <v>5486</v>
      </c>
      <c r="B18620" s="515" t="s">
        <v>441</v>
      </c>
      <c r="C18620" s="52">
        <v>552155.04417052504</v>
      </c>
      <c r="D18620" s="56">
        <v>8.8935857979072649E-2</v>
      </c>
      <c r="E18620" s="224" t="s">
        <v>2</v>
      </c>
      <c r="F18620" s="515" t="s">
        <v>19792</v>
      </c>
      <c r="G18620" s="52">
        <v>184031.65927022701</v>
      </c>
      <c r="H18620" s="56">
        <v>3.8955880991988129E-2</v>
      </c>
      <c r="I18620" s="224" t="s">
        <v>2</v>
      </c>
    </row>
    <row r="18621" spans="1:9" x14ac:dyDescent="0.25">
      <c r="A18621" s="515">
        <v>58577</v>
      </c>
      <c r="C18621" s="52">
        <v>212569.213476159</v>
      </c>
      <c r="D18621" s="56">
        <v>1.4403283787367403E-2</v>
      </c>
      <c r="E18621" s="224" t="s">
        <v>2</v>
      </c>
      <c r="F18621" s="515" t="s">
        <v>19793</v>
      </c>
      <c r="G18621" s="52">
        <v>185807.94078281301</v>
      </c>
      <c r="H18621" s="56">
        <v>0</v>
      </c>
      <c r="I18621" s="224" t="s">
        <v>2</v>
      </c>
    </row>
    <row r="18622" spans="1:9" x14ac:dyDescent="0.25">
      <c r="A18622" s="515">
        <v>55735</v>
      </c>
      <c r="C18622" s="52">
        <v>251707.90701680901</v>
      </c>
      <c r="D18622" s="56">
        <v>0.12954559694211301</v>
      </c>
      <c r="E18622" s="224" t="s">
        <v>2</v>
      </c>
      <c r="F18622" s="515" t="s">
        <v>19794</v>
      </c>
      <c r="G18622" s="52">
        <v>667926.41267855698</v>
      </c>
      <c r="H18622" s="56">
        <v>8.010702350298976E-2</v>
      </c>
      <c r="I18622" s="224" t="s">
        <v>2</v>
      </c>
    </row>
    <row r="18623" spans="1:9" x14ac:dyDescent="0.25">
      <c r="A18623" s="515">
        <v>22959</v>
      </c>
      <c r="B18623" s="515" t="s">
        <v>630</v>
      </c>
      <c r="C18623" s="52">
        <v>417501.10201132699</v>
      </c>
      <c r="D18623" s="56">
        <v>0.12112384099665996</v>
      </c>
      <c r="E18623" s="224" t="s">
        <v>2</v>
      </c>
      <c r="F18623" s="515" t="s">
        <v>19795</v>
      </c>
      <c r="G18623" s="52">
        <v>61946.397339192197</v>
      </c>
      <c r="H18623" s="56">
        <v>0</v>
      </c>
      <c r="I18623" s="224" t="s">
        <v>2</v>
      </c>
    </row>
    <row r="18624" spans="1:9" x14ac:dyDescent="0.25">
      <c r="A18624" s="515">
        <v>76530</v>
      </c>
      <c r="B18624" s="515" t="s">
        <v>380</v>
      </c>
      <c r="C18624" s="52">
        <v>317291.44228560402</v>
      </c>
      <c r="D18624" s="56">
        <v>-4.1839174817925248E-3</v>
      </c>
      <c r="E18624" s="224" t="s">
        <v>2</v>
      </c>
      <c r="F18624" s="515" t="s">
        <v>19796</v>
      </c>
      <c r="G18624" s="52">
        <v>140276.323685638</v>
      </c>
      <c r="H18624" s="56">
        <v>-1.8673827216469999E-2</v>
      </c>
      <c r="I18624" s="224" t="s">
        <v>2</v>
      </c>
    </row>
    <row r="18625" spans="1:9" x14ac:dyDescent="0.25">
      <c r="A18625" s="515">
        <v>77534</v>
      </c>
      <c r="B18625" s="515" t="s">
        <v>314</v>
      </c>
      <c r="C18625" s="52">
        <v>234276.04423293399</v>
      </c>
      <c r="D18625" s="56">
        <v>2.1111050979992482E-2</v>
      </c>
      <c r="E18625" s="224" t="s">
        <v>2</v>
      </c>
      <c r="F18625" s="515" t="s">
        <v>19797</v>
      </c>
      <c r="G18625" s="52">
        <v>187022.125839015</v>
      </c>
      <c r="H18625" s="56">
        <v>6.2966657458726649E-2</v>
      </c>
      <c r="I18625" s="224" t="s">
        <v>2</v>
      </c>
    </row>
    <row r="18626" spans="1:9" x14ac:dyDescent="0.25">
      <c r="A18626" s="515">
        <v>79325</v>
      </c>
      <c r="C18626" s="52">
        <v>145911.46412903999</v>
      </c>
      <c r="D18626" s="56">
        <v>-2.6264612960831647E-2</v>
      </c>
      <c r="E18626" s="224" t="s">
        <v>2</v>
      </c>
      <c r="F18626" s="515" t="s">
        <v>19798</v>
      </c>
      <c r="G18626" s="52">
        <v>222729.936994727</v>
      </c>
      <c r="H18626" s="56">
        <v>6.6166099210952706E-2</v>
      </c>
      <c r="I18626" s="224" t="s">
        <v>2</v>
      </c>
    </row>
    <row r="18627" spans="1:9" x14ac:dyDescent="0.25">
      <c r="A18627" s="515">
        <v>30363</v>
      </c>
      <c r="B18627" s="515" t="s">
        <v>957</v>
      </c>
      <c r="C18627" s="52">
        <v>335175.99435621698</v>
      </c>
      <c r="D18627" s="56">
        <v>0.16398718738465731</v>
      </c>
      <c r="E18627" s="224">
        <v>3216.6666666666601</v>
      </c>
      <c r="F18627" s="515" t="s">
        <v>19799</v>
      </c>
      <c r="G18627" s="52">
        <v>111578.56562351</v>
      </c>
      <c r="H18627" s="56">
        <v>0.26959788416956582</v>
      </c>
      <c r="I18627" s="224" t="s">
        <v>2</v>
      </c>
    </row>
    <row r="18628" spans="1:9" x14ac:dyDescent="0.25">
      <c r="A18628" s="515">
        <v>15469</v>
      </c>
      <c r="B18628" s="515" t="s">
        <v>297</v>
      </c>
      <c r="C18628" s="52">
        <v>141091.88801462</v>
      </c>
      <c r="D18628" s="56">
        <v>8.926427950823014E-2</v>
      </c>
      <c r="E18628" s="224" t="s">
        <v>2</v>
      </c>
      <c r="F18628" s="515" t="s">
        <v>19800</v>
      </c>
      <c r="G18628" s="52">
        <v>59214.323173158104</v>
      </c>
      <c r="H18628" s="56">
        <v>0.16015661607078149</v>
      </c>
      <c r="I18628" s="224" t="s">
        <v>2</v>
      </c>
    </row>
    <row r="18629" spans="1:9" x14ac:dyDescent="0.25">
      <c r="A18629" s="515">
        <v>36871</v>
      </c>
      <c r="B18629" s="515" t="s">
        <v>778</v>
      </c>
      <c r="C18629" s="52">
        <v>144404.70502730599</v>
      </c>
      <c r="D18629" s="56">
        <v>0</v>
      </c>
      <c r="E18629" s="224" t="s">
        <v>2</v>
      </c>
      <c r="F18629" s="515" t="s">
        <v>19801</v>
      </c>
      <c r="G18629" s="52">
        <v>963612.74364887003</v>
      </c>
      <c r="H18629" s="56">
        <v>7.2915243748598549E-2</v>
      </c>
      <c r="I18629" s="224" t="s">
        <v>2</v>
      </c>
    </row>
    <row r="18630" spans="1:9" x14ac:dyDescent="0.25">
      <c r="A18630" s="515">
        <v>13685</v>
      </c>
      <c r="B18630" s="515" t="s">
        <v>431</v>
      </c>
      <c r="C18630" s="52">
        <v>254402.43028542501</v>
      </c>
      <c r="D18630" s="56">
        <v>8.4667906744444812E-2</v>
      </c>
      <c r="E18630" s="224" t="s">
        <v>2</v>
      </c>
      <c r="F18630" s="515" t="s">
        <v>19802</v>
      </c>
      <c r="G18630" s="52">
        <v>323883.77261761902</v>
      </c>
      <c r="H18630" s="56">
        <v>2.0676105076011298E-2</v>
      </c>
      <c r="I18630" s="224" t="s">
        <v>2</v>
      </c>
    </row>
    <row r="18631" spans="1:9" x14ac:dyDescent="0.25">
      <c r="A18631" s="515">
        <v>31323</v>
      </c>
      <c r="B18631" s="515" t="s">
        <v>1092</v>
      </c>
      <c r="C18631" s="52">
        <v>119979.408806097</v>
      </c>
      <c r="D18631" s="56">
        <v>0.1491068584546569</v>
      </c>
      <c r="E18631" s="224" t="s">
        <v>2</v>
      </c>
      <c r="F18631" s="515" t="s">
        <v>19803</v>
      </c>
      <c r="G18631" s="52">
        <v>207449.74025974001</v>
      </c>
      <c r="H18631" s="56">
        <v>0</v>
      </c>
      <c r="I18631" s="224" t="s">
        <v>2</v>
      </c>
    </row>
    <row r="18632" spans="1:9" x14ac:dyDescent="0.25">
      <c r="A18632" s="515">
        <v>5472</v>
      </c>
      <c r="C18632" s="52">
        <v>389565.89184651797</v>
      </c>
      <c r="D18632" s="56">
        <v>8.8841178261016424E-2</v>
      </c>
      <c r="E18632" s="224" t="s">
        <v>2</v>
      </c>
      <c r="F18632" s="515" t="s">
        <v>19804</v>
      </c>
      <c r="G18632" s="52">
        <v>135350.534901974</v>
      </c>
      <c r="H18632" s="56">
        <v>9.1332560398303519E-3</v>
      </c>
      <c r="I18632" s="224" t="s">
        <v>2</v>
      </c>
    </row>
    <row r="18633" spans="1:9" x14ac:dyDescent="0.25">
      <c r="A18633" s="515">
        <v>76861</v>
      </c>
      <c r="C18633" s="52">
        <v>192048.38442776</v>
      </c>
      <c r="D18633" s="56">
        <v>-8.2632552613670751E-2</v>
      </c>
      <c r="E18633" s="224" t="s">
        <v>2</v>
      </c>
      <c r="F18633" s="515" t="s">
        <v>19805</v>
      </c>
      <c r="G18633" s="52">
        <v>290559.83623944799</v>
      </c>
      <c r="H18633" s="56">
        <v>5.7184393128535703E-2</v>
      </c>
      <c r="I18633" s="224" t="s">
        <v>2</v>
      </c>
    </row>
    <row r="18634" spans="1:9" x14ac:dyDescent="0.25">
      <c r="A18634" s="515">
        <v>24271</v>
      </c>
      <c r="B18634" s="515" t="s">
        <v>902</v>
      </c>
      <c r="C18634" s="52">
        <v>154549.278652843</v>
      </c>
      <c r="D18634" s="56">
        <v>0.15514548144504894</v>
      </c>
      <c r="E18634" s="224" t="s">
        <v>2</v>
      </c>
      <c r="F18634" s="515" t="s">
        <v>19806</v>
      </c>
      <c r="G18634" s="52">
        <v>324953.75512475497</v>
      </c>
      <c r="H18634" s="56">
        <v>9.3741547621655916E-2</v>
      </c>
      <c r="I18634" s="224" t="s">
        <v>2</v>
      </c>
    </row>
    <row r="18635" spans="1:9" x14ac:dyDescent="0.25">
      <c r="A18635" s="515">
        <v>21625</v>
      </c>
      <c r="B18635" s="515" t="s">
        <v>519</v>
      </c>
      <c r="C18635" s="52">
        <v>356096.834020329</v>
      </c>
      <c r="D18635" s="56">
        <v>6.9464183278122368E-3</v>
      </c>
      <c r="E18635" s="224" t="s">
        <v>2</v>
      </c>
      <c r="F18635" s="515" t="s">
        <v>19807</v>
      </c>
      <c r="G18635" s="52">
        <v>123482.719967105</v>
      </c>
      <c r="H18635" s="56">
        <v>0.10102840606458603</v>
      </c>
      <c r="I18635" s="224" t="s">
        <v>2</v>
      </c>
    </row>
    <row r="18636" spans="1:9" x14ac:dyDescent="0.25">
      <c r="A18636" s="515">
        <v>2630</v>
      </c>
      <c r="B18636" s="515" t="s">
        <v>427</v>
      </c>
      <c r="C18636" s="52">
        <v>814233.890412429</v>
      </c>
      <c r="D18636" s="56">
        <v>0.10589552761281083</v>
      </c>
      <c r="E18636" s="224" t="s">
        <v>2</v>
      </c>
      <c r="F18636" s="515" t="s">
        <v>19808</v>
      </c>
      <c r="G18636" s="52">
        <v>259907.207580324</v>
      </c>
      <c r="H18636" s="56">
        <v>3.2619941560776911E-2</v>
      </c>
      <c r="I18636" s="224" t="s">
        <v>2</v>
      </c>
    </row>
    <row r="18637" spans="1:9" x14ac:dyDescent="0.25">
      <c r="A18637" s="515">
        <v>13156</v>
      </c>
      <c r="B18637" s="515" t="s">
        <v>986</v>
      </c>
      <c r="C18637" s="52">
        <v>182030.407193955</v>
      </c>
      <c r="D18637" s="56">
        <v>9.86865263017907E-2</v>
      </c>
      <c r="E18637" s="224" t="s">
        <v>2</v>
      </c>
      <c r="F18637" s="515" t="s">
        <v>19809</v>
      </c>
      <c r="G18637" s="52">
        <v>122203.897228216</v>
      </c>
      <c r="H18637" s="56">
        <v>5.7103266694543964E-2</v>
      </c>
      <c r="I18637" s="224" t="s">
        <v>2</v>
      </c>
    </row>
    <row r="18638" spans="1:9" x14ac:dyDescent="0.25">
      <c r="A18638" s="515">
        <v>50070</v>
      </c>
      <c r="B18638" s="515" t="s">
        <v>295</v>
      </c>
      <c r="C18638" s="52">
        <v>207432.826108312</v>
      </c>
      <c r="D18638" s="56">
        <v>0.12832341967304381</v>
      </c>
      <c r="E18638" s="224" t="s">
        <v>2</v>
      </c>
      <c r="F18638" s="515" t="s">
        <v>19810</v>
      </c>
      <c r="G18638" s="52">
        <v>189934.24847397901</v>
      </c>
      <c r="H18638" s="56">
        <v>0.11313672638249272</v>
      </c>
      <c r="I18638" s="224" t="s">
        <v>2</v>
      </c>
    </row>
    <row r="18639" spans="1:9" x14ac:dyDescent="0.25">
      <c r="A18639" s="515">
        <v>12193</v>
      </c>
      <c r="B18639" s="515" t="s">
        <v>609</v>
      </c>
      <c r="C18639" s="52">
        <v>255208.381620239</v>
      </c>
      <c r="D18639" s="56">
        <v>7.2523044841520251E-2</v>
      </c>
      <c r="E18639" s="224" t="s">
        <v>2</v>
      </c>
      <c r="F18639" s="515" t="s">
        <v>19811</v>
      </c>
      <c r="G18639" s="52">
        <v>435651.72908857802</v>
      </c>
      <c r="H18639" s="56">
        <v>0.14118632912220599</v>
      </c>
      <c r="I18639" s="224" t="s">
        <v>2</v>
      </c>
    </row>
    <row r="18640" spans="1:9" x14ac:dyDescent="0.25">
      <c r="A18640" s="515">
        <v>56340</v>
      </c>
      <c r="B18640" s="515" t="s">
        <v>418</v>
      </c>
      <c r="C18640" s="52">
        <v>290708.44690266799</v>
      </c>
      <c r="D18640" s="56">
        <v>0.12585318017510366</v>
      </c>
      <c r="E18640" s="224" t="s">
        <v>2</v>
      </c>
      <c r="F18640" s="515" t="s">
        <v>19812</v>
      </c>
      <c r="G18640" s="52">
        <v>310889.92605147802</v>
      </c>
      <c r="H18640" s="56">
        <v>0.13837656476384552</v>
      </c>
      <c r="I18640" s="224" t="s">
        <v>2</v>
      </c>
    </row>
    <row r="18641" spans="1:9" x14ac:dyDescent="0.25">
      <c r="A18641" s="515">
        <v>12764</v>
      </c>
      <c r="C18641" s="52">
        <v>306271.31496310799</v>
      </c>
      <c r="D18641" s="56">
        <v>0.11892924512676011</v>
      </c>
      <c r="E18641" s="224" t="s">
        <v>2</v>
      </c>
      <c r="F18641" s="515" t="s">
        <v>19813</v>
      </c>
      <c r="G18641" s="52">
        <v>163725.85493908601</v>
      </c>
      <c r="H18641" s="56">
        <v>7.1155448014626893E-2</v>
      </c>
      <c r="I18641" s="224" t="s">
        <v>2</v>
      </c>
    </row>
    <row r="18642" spans="1:9" x14ac:dyDescent="0.25">
      <c r="A18642" s="515">
        <v>4860</v>
      </c>
      <c r="C18642" s="52">
        <v>482919.30052356602</v>
      </c>
      <c r="D18642" s="56">
        <v>8.7740923841478261E-2</v>
      </c>
      <c r="E18642" s="224" t="s">
        <v>2</v>
      </c>
      <c r="F18642" s="515" t="s">
        <v>12220</v>
      </c>
      <c r="G18642" s="52">
        <v>306774.23255813902</v>
      </c>
      <c r="H18642" s="56">
        <v>0</v>
      </c>
      <c r="I18642" s="224" t="s">
        <v>2</v>
      </c>
    </row>
    <row r="18643" spans="1:9" x14ac:dyDescent="0.25">
      <c r="A18643" s="515">
        <v>15765</v>
      </c>
      <c r="B18643" s="515" t="s">
        <v>343</v>
      </c>
      <c r="C18643" s="52">
        <v>169982.02344095099</v>
      </c>
      <c r="D18643" s="56">
        <v>8.5390632231446648E-2</v>
      </c>
      <c r="E18643" s="224" t="s">
        <v>2</v>
      </c>
      <c r="F18643" s="515" t="s">
        <v>19814</v>
      </c>
      <c r="G18643" s="52">
        <v>371532.701355553</v>
      </c>
      <c r="H18643" s="56">
        <v>4.3476988095234731E-2</v>
      </c>
      <c r="I18643" s="224" t="s">
        <v>2</v>
      </c>
    </row>
    <row r="18644" spans="1:9" x14ac:dyDescent="0.25">
      <c r="A18644" s="515">
        <v>51035</v>
      </c>
      <c r="C18644" s="52">
        <v>156841.86872228899</v>
      </c>
      <c r="D18644" s="56">
        <v>8.4929290553440812E-2</v>
      </c>
      <c r="E18644" s="224" t="s">
        <v>2</v>
      </c>
      <c r="F18644" s="515" t="s">
        <v>19815</v>
      </c>
      <c r="G18644" s="52">
        <v>103986.16942369301</v>
      </c>
      <c r="H18644" s="56">
        <v>0.25078005164906036</v>
      </c>
      <c r="I18644" s="224" t="s">
        <v>2</v>
      </c>
    </row>
    <row r="18645" spans="1:9" x14ac:dyDescent="0.25">
      <c r="A18645" s="515">
        <v>29741</v>
      </c>
      <c r="C18645" s="52">
        <v>112802.375586854</v>
      </c>
      <c r="D18645" s="56">
        <v>0</v>
      </c>
      <c r="E18645" s="224" t="s">
        <v>2</v>
      </c>
      <c r="F18645" s="515" t="s">
        <v>19816</v>
      </c>
      <c r="G18645" s="52">
        <v>144842.738389159</v>
      </c>
      <c r="H18645" s="56">
        <v>5.5680205231095549E-2</v>
      </c>
      <c r="I18645" s="224" t="s">
        <v>2</v>
      </c>
    </row>
    <row r="18646" spans="1:9" x14ac:dyDescent="0.25">
      <c r="A18646" s="515">
        <v>56338</v>
      </c>
      <c r="C18646" s="52">
        <v>311186.73924113298</v>
      </c>
      <c r="D18646" s="56">
        <v>0.1657862138071616</v>
      </c>
      <c r="E18646" s="224" t="s">
        <v>2</v>
      </c>
      <c r="F18646" s="515" t="s">
        <v>19817</v>
      </c>
      <c r="G18646" s="52">
        <v>363639.42011834303</v>
      </c>
      <c r="H18646" s="56">
        <v>0</v>
      </c>
      <c r="I18646" s="224" t="s">
        <v>2</v>
      </c>
    </row>
    <row r="18647" spans="1:9" x14ac:dyDescent="0.25">
      <c r="A18647" s="515">
        <v>42056</v>
      </c>
      <c r="B18647" s="515" t="s">
        <v>846</v>
      </c>
      <c r="C18647" s="52">
        <v>104168.88406059</v>
      </c>
      <c r="D18647" s="56">
        <v>0.17886534802837137</v>
      </c>
      <c r="E18647" s="224" t="s">
        <v>2</v>
      </c>
      <c r="F18647" s="515" t="s">
        <v>19818</v>
      </c>
      <c r="G18647" s="52">
        <v>89456</v>
      </c>
      <c r="H18647" s="56">
        <v>0</v>
      </c>
      <c r="I18647" s="224" t="s">
        <v>2</v>
      </c>
    </row>
    <row r="18648" spans="1:9" x14ac:dyDescent="0.25">
      <c r="A18648" s="515">
        <v>65681</v>
      </c>
      <c r="C18648" s="52">
        <v>307326.63421444502</v>
      </c>
      <c r="D18648" s="56">
        <v>0.11809561167423246</v>
      </c>
      <c r="E18648" s="224" t="s">
        <v>2</v>
      </c>
      <c r="F18648" s="515" t="s">
        <v>19819</v>
      </c>
      <c r="G18648" s="52">
        <v>96727.631428243301</v>
      </c>
      <c r="H18648" s="56">
        <v>3.7272738006967336E-2</v>
      </c>
      <c r="I18648" s="224" t="s">
        <v>2</v>
      </c>
    </row>
    <row r="18649" spans="1:9" x14ac:dyDescent="0.25">
      <c r="A18649" s="515">
        <v>51529</v>
      </c>
      <c r="B18649" s="515" t="s">
        <v>367</v>
      </c>
      <c r="C18649" s="52">
        <v>154887.71474817299</v>
      </c>
      <c r="D18649" s="56">
        <v>0.16646004705840506</v>
      </c>
      <c r="E18649" s="224" t="s">
        <v>2</v>
      </c>
      <c r="F18649" s="515" t="s">
        <v>19820</v>
      </c>
      <c r="G18649" s="52">
        <v>104970.458642828</v>
      </c>
      <c r="H18649" s="56">
        <v>0.13302208574054808</v>
      </c>
      <c r="I18649" s="224" t="s">
        <v>2</v>
      </c>
    </row>
    <row r="18650" spans="1:9" x14ac:dyDescent="0.25">
      <c r="A18650" s="515">
        <v>43145</v>
      </c>
      <c r="B18650" s="515" t="s">
        <v>345</v>
      </c>
      <c r="C18650" s="52">
        <v>202000.01925148</v>
      </c>
      <c r="D18650" s="56">
        <v>0.10351009179477934</v>
      </c>
      <c r="E18650" s="224" t="s">
        <v>2</v>
      </c>
      <c r="F18650" s="515" t="s">
        <v>19821</v>
      </c>
      <c r="G18650" s="52">
        <v>197445.74954796999</v>
      </c>
      <c r="H18650" s="56">
        <v>2.8463799157049371E-2</v>
      </c>
      <c r="I18650" s="224" t="s">
        <v>2</v>
      </c>
    </row>
    <row r="18651" spans="1:9" x14ac:dyDescent="0.25">
      <c r="A18651" s="515">
        <v>82331</v>
      </c>
      <c r="C18651" s="52">
        <v>286164.46883840498</v>
      </c>
      <c r="D18651" s="56">
        <v>6.7801506796378058E-2</v>
      </c>
      <c r="E18651" s="224" t="s">
        <v>2</v>
      </c>
      <c r="F18651" s="515" t="s">
        <v>19822</v>
      </c>
      <c r="G18651" s="52">
        <v>137070.76366288299</v>
      </c>
      <c r="H18651" s="56">
        <v>0.16836406428447637</v>
      </c>
      <c r="I18651" s="224" t="s">
        <v>2</v>
      </c>
    </row>
    <row r="18652" spans="1:9" x14ac:dyDescent="0.25">
      <c r="A18652" s="515">
        <v>10973</v>
      </c>
      <c r="B18652" s="515" t="s">
        <v>529</v>
      </c>
      <c r="C18652" s="52">
        <v>442525.74252149498</v>
      </c>
      <c r="D18652" s="56">
        <v>9.3719872969326948E-2</v>
      </c>
      <c r="E18652" s="224" t="s">
        <v>2</v>
      </c>
      <c r="F18652" s="515" t="s">
        <v>19823</v>
      </c>
      <c r="G18652" s="52">
        <v>141430.43447963701</v>
      </c>
      <c r="H18652" s="56">
        <v>3.3926337267229552E-2</v>
      </c>
      <c r="I18652" s="224" t="s">
        <v>2</v>
      </c>
    </row>
    <row r="18653" spans="1:9" x14ac:dyDescent="0.25">
      <c r="A18653" s="515">
        <v>22469</v>
      </c>
      <c r="C18653" s="52">
        <v>226456.10845310701</v>
      </c>
      <c r="D18653" s="56">
        <v>4.1149345598751302E-2</v>
      </c>
      <c r="E18653" s="224" t="s">
        <v>2</v>
      </c>
      <c r="F18653" s="515" t="s">
        <v>19824</v>
      </c>
      <c r="G18653" s="52">
        <v>124552.724137931</v>
      </c>
      <c r="H18653" s="56">
        <v>0</v>
      </c>
      <c r="I18653" s="224" t="s">
        <v>2</v>
      </c>
    </row>
    <row r="18654" spans="1:9" x14ac:dyDescent="0.25">
      <c r="A18654" s="515">
        <v>96719</v>
      </c>
      <c r="B18654" s="515" t="s">
        <v>399</v>
      </c>
      <c r="C18654" s="52">
        <v>753043.59976359305</v>
      </c>
      <c r="D18654" s="56">
        <v>0.14549240133052208</v>
      </c>
      <c r="E18654" s="224" t="s">
        <v>2</v>
      </c>
      <c r="F18654" s="515" t="s">
        <v>19825</v>
      </c>
      <c r="G18654" s="52">
        <v>219802.10805330801</v>
      </c>
      <c r="H18654" s="56">
        <v>3.6209714146435985E-2</v>
      </c>
      <c r="I18654" s="224" t="s">
        <v>2</v>
      </c>
    </row>
    <row r="18655" spans="1:9" x14ac:dyDescent="0.25">
      <c r="A18655" s="515">
        <v>68523</v>
      </c>
      <c r="B18655" s="515" t="s">
        <v>486</v>
      </c>
      <c r="C18655" s="52">
        <v>494108.80687053798</v>
      </c>
      <c r="D18655" s="56">
        <v>0.10138985017899131</v>
      </c>
      <c r="E18655" s="224" t="s">
        <v>2</v>
      </c>
      <c r="F18655" s="515" t="s">
        <v>19826</v>
      </c>
      <c r="G18655" s="52">
        <v>268741.418360296</v>
      </c>
      <c r="H18655" s="56">
        <v>5.7963354955023132E-2</v>
      </c>
      <c r="I18655" s="224" t="s">
        <v>2</v>
      </c>
    </row>
    <row r="18656" spans="1:9" x14ac:dyDescent="0.25">
      <c r="A18656" s="515">
        <v>55360</v>
      </c>
      <c r="B18656" s="515" t="s">
        <v>532</v>
      </c>
      <c r="C18656" s="52">
        <v>349417.28850625397</v>
      </c>
      <c r="D18656" s="56">
        <v>3.0763395560733705E-2</v>
      </c>
      <c r="E18656" s="224" t="s">
        <v>2</v>
      </c>
      <c r="F18656" s="515" t="s">
        <v>19827</v>
      </c>
      <c r="G18656" s="52">
        <v>136149.716358173</v>
      </c>
      <c r="H18656" s="56">
        <v>0</v>
      </c>
      <c r="I18656" s="224" t="s">
        <v>2</v>
      </c>
    </row>
    <row r="18657" spans="1:9" x14ac:dyDescent="0.25">
      <c r="A18657" s="515">
        <v>83871</v>
      </c>
      <c r="B18657" s="515" t="s">
        <v>857</v>
      </c>
      <c r="C18657" s="52">
        <v>400646.73497634399</v>
      </c>
      <c r="D18657" s="56">
        <v>3.7084451934705449E-2</v>
      </c>
      <c r="E18657" s="224" t="s">
        <v>2</v>
      </c>
      <c r="F18657" s="515" t="s">
        <v>19828</v>
      </c>
      <c r="G18657" s="52">
        <v>135494.44871058699</v>
      </c>
      <c r="H18657" s="56">
        <v>-7.1106966100171606E-3</v>
      </c>
      <c r="I18657" s="224" t="s">
        <v>2</v>
      </c>
    </row>
    <row r="18658" spans="1:9" x14ac:dyDescent="0.25">
      <c r="A18658" s="515">
        <v>21545</v>
      </c>
      <c r="B18658" s="515" t="s">
        <v>362</v>
      </c>
      <c r="C18658" s="52">
        <v>103714.05136617699</v>
      </c>
      <c r="D18658" s="56">
        <v>4.3522796052637237E-2</v>
      </c>
      <c r="E18658" s="224" t="s">
        <v>2</v>
      </c>
      <c r="F18658" s="515" t="s">
        <v>19829</v>
      </c>
      <c r="G18658" s="52">
        <v>77938.466266439194</v>
      </c>
      <c r="H18658" s="56">
        <v>0.11394929509622577</v>
      </c>
      <c r="I18658" s="224" t="s">
        <v>2</v>
      </c>
    </row>
    <row r="18659" spans="1:9" x14ac:dyDescent="0.25">
      <c r="A18659" s="515">
        <v>21678</v>
      </c>
      <c r="C18659" s="52">
        <v>271474.01855718798</v>
      </c>
      <c r="D18659" s="56">
        <v>1.2079117188168521E-3</v>
      </c>
      <c r="E18659" s="224" t="s">
        <v>2</v>
      </c>
      <c r="F18659" s="515" t="s">
        <v>19830</v>
      </c>
      <c r="G18659" s="52">
        <v>320035.82686351199</v>
      </c>
      <c r="H18659" s="56">
        <v>0.27814849892860088</v>
      </c>
      <c r="I18659" s="224" t="s">
        <v>2</v>
      </c>
    </row>
    <row r="18660" spans="1:9" x14ac:dyDescent="0.25">
      <c r="A18660" s="515">
        <v>50624</v>
      </c>
      <c r="B18660" s="515" t="s">
        <v>315</v>
      </c>
      <c r="C18660" s="52">
        <v>265261.33205656498</v>
      </c>
      <c r="D18660" s="56">
        <v>7.1994837624357488E-2</v>
      </c>
      <c r="E18660" s="224" t="s">
        <v>2</v>
      </c>
      <c r="F18660" s="515" t="s">
        <v>19831</v>
      </c>
      <c r="G18660" s="52">
        <v>473945.39130434702</v>
      </c>
      <c r="H18660" s="56">
        <v>0</v>
      </c>
      <c r="I18660" s="224" t="s">
        <v>2</v>
      </c>
    </row>
    <row r="18661" spans="1:9" x14ac:dyDescent="0.25">
      <c r="A18661" s="515">
        <v>12746</v>
      </c>
      <c r="B18661" s="515" t="s">
        <v>529</v>
      </c>
      <c r="C18661" s="52">
        <v>268808.17007303698</v>
      </c>
      <c r="D18661" s="56">
        <v>0.13581619211735554</v>
      </c>
      <c r="E18661" s="224" t="s">
        <v>2</v>
      </c>
      <c r="F18661" s="515" t="s">
        <v>19832</v>
      </c>
      <c r="G18661" s="52">
        <v>188240.76556599399</v>
      </c>
      <c r="H18661" s="56">
        <v>0.10775043611374661</v>
      </c>
      <c r="I18661" s="224" t="s">
        <v>2</v>
      </c>
    </row>
    <row r="18662" spans="1:9" x14ac:dyDescent="0.25">
      <c r="A18662" s="515">
        <v>51443</v>
      </c>
      <c r="B18662" s="515" t="s">
        <v>436</v>
      </c>
      <c r="C18662" s="52">
        <v>174497.84963765499</v>
      </c>
      <c r="D18662" s="56">
        <v>0.12366313940482156</v>
      </c>
      <c r="E18662" s="224" t="s">
        <v>2</v>
      </c>
      <c r="F18662" s="515" t="s">
        <v>19833</v>
      </c>
      <c r="G18662" s="52">
        <v>160959.25892442701</v>
      </c>
      <c r="H18662" s="56">
        <v>0</v>
      </c>
      <c r="I18662" s="224" t="s">
        <v>2</v>
      </c>
    </row>
    <row r="18663" spans="1:9" x14ac:dyDescent="0.25">
      <c r="A18663" s="515">
        <v>52049</v>
      </c>
      <c r="C18663" s="52">
        <v>141464.644256131</v>
      </c>
      <c r="D18663" s="56">
        <v>4.9674717874152202E-2</v>
      </c>
      <c r="E18663" s="224" t="s">
        <v>2</v>
      </c>
      <c r="F18663" s="515" t="s">
        <v>19834</v>
      </c>
      <c r="G18663" s="52">
        <v>652334.42351813999</v>
      </c>
      <c r="H18663" s="56">
        <v>5.9102684742571653E-2</v>
      </c>
      <c r="I18663" s="224" t="s">
        <v>2</v>
      </c>
    </row>
    <row r="18664" spans="1:9" x14ac:dyDescent="0.25">
      <c r="A18664" s="515">
        <v>67547</v>
      </c>
      <c r="C18664" s="52">
        <v>74283.138283317501</v>
      </c>
      <c r="D18664" s="56">
        <v>0.11292529223072501</v>
      </c>
      <c r="E18664" s="224" t="s">
        <v>2</v>
      </c>
      <c r="F18664" s="515" t="s">
        <v>19835</v>
      </c>
      <c r="G18664" s="52">
        <v>115350.099691686</v>
      </c>
      <c r="H18664" s="56">
        <v>7.9745817192906313E-2</v>
      </c>
      <c r="I18664" s="224" t="s">
        <v>2</v>
      </c>
    </row>
    <row r="18665" spans="1:9" x14ac:dyDescent="0.25">
      <c r="A18665" s="515">
        <v>23960</v>
      </c>
      <c r="C18665" s="52">
        <v>167558.717757509</v>
      </c>
      <c r="D18665" s="56">
        <v>5.8396535970368819E-2</v>
      </c>
      <c r="E18665" s="224" t="s">
        <v>2</v>
      </c>
      <c r="F18665" s="515" t="s">
        <v>19836</v>
      </c>
      <c r="G18665" s="52">
        <v>324773.54412593599</v>
      </c>
      <c r="H18665" s="56">
        <v>6.3252270468288657E-2</v>
      </c>
      <c r="I18665" s="224" t="s">
        <v>2</v>
      </c>
    </row>
    <row r="18666" spans="1:9" x14ac:dyDescent="0.25">
      <c r="A18666" s="515">
        <v>62427</v>
      </c>
      <c r="C18666" s="52">
        <v>108565.33136540699</v>
      </c>
      <c r="D18666" s="56">
        <v>-1.7243367794773909E-2</v>
      </c>
      <c r="E18666" s="224" t="s">
        <v>2</v>
      </c>
      <c r="F18666" s="515" t="s">
        <v>19837</v>
      </c>
      <c r="G18666" s="52">
        <v>5183638.6731036296</v>
      </c>
      <c r="H18666" s="56">
        <v>7.5197073875665515E-2</v>
      </c>
      <c r="I18666" s="224" t="s">
        <v>2</v>
      </c>
    </row>
    <row r="18667" spans="1:9" x14ac:dyDescent="0.25">
      <c r="A18667" s="515">
        <v>50676</v>
      </c>
      <c r="B18667" s="515" t="s">
        <v>315</v>
      </c>
      <c r="C18667" s="52">
        <v>146610.19677154301</v>
      </c>
      <c r="D18667" s="56">
        <v>0.10029384238016195</v>
      </c>
      <c r="E18667" s="224" t="s">
        <v>2</v>
      </c>
      <c r="F18667" s="515" t="s">
        <v>19838</v>
      </c>
      <c r="G18667" s="52">
        <v>69919.505907418206</v>
      </c>
      <c r="H18667" s="56">
        <v>0</v>
      </c>
      <c r="I18667" s="224" t="s">
        <v>2</v>
      </c>
    </row>
    <row r="18668" spans="1:9" x14ac:dyDescent="0.25">
      <c r="A18668" s="515">
        <v>95374</v>
      </c>
      <c r="B18668" s="515" t="s">
        <v>594</v>
      </c>
      <c r="C18668" s="52">
        <v>524022.65109712601</v>
      </c>
      <c r="D18668" s="56">
        <v>1.2690898936920251E-3</v>
      </c>
      <c r="E18668" s="224" t="s">
        <v>2</v>
      </c>
      <c r="F18668" s="515" t="s">
        <v>19839</v>
      </c>
      <c r="G18668" s="52">
        <v>53904.477549868898</v>
      </c>
      <c r="H18668" s="56">
        <v>0.12247936179360461</v>
      </c>
      <c r="I18668" s="224" t="s">
        <v>2</v>
      </c>
    </row>
    <row r="18669" spans="1:9" x14ac:dyDescent="0.25">
      <c r="A18669" s="515">
        <v>1340</v>
      </c>
      <c r="B18669" s="515" t="s">
        <v>575</v>
      </c>
      <c r="C18669" s="52">
        <v>263044.47249832097</v>
      </c>
      <c r="D18669" s="56">
        <v>0.1137437444351161</v>
      </c>
      <c r="E18669" s="224" t="s">
        <v>2</v>
      </c>
      <c r="F18669" s="515" t="s">
        <v>19840</v>
      </c>
      <c r="G18669" s="52">
        <v>243310.85086847399</v>
      </c>
      <c r="H18669" s="56">
        <v>5.1439483289455225E-2</v>
      </c>
      <c r="I18669" s="224" t="s">
        <v>2</v>
      </c>
    </row>
    <row r="18670" spans="1:9" x14ac:dyDescent="0.25">
      <c r="A18670" s="515">
        <v>5859</v>
      </c>
      <c r="C18670" s="52">
        <v>284129.049855733</v>
      </c>
      <c r="D18670" s="56">
        <v>7.3070659400233537E-2</v>
      </c>
      <c r="E18670" s="224" t="s">
        <v>2</v>
      </c>
      <c r="F18670" s="515" t="s">
        <v>19841</v>
      </c>
      <c r="G18670" s="52">
        <v>135629.09207793701</v>
      </c>
      <c r="H18670" s="56">
        <v>0</v>
      </c>
      <c r="I18670" s="224" t="s">
        <v>2</v>
      </c>
    </row>
    <row r="18671" spans="1:9" x14ac:dyDescent="0.25">
      <c r="A18671" s="515">
        <v>44634</v>
      </c>
      <c r="B18671" s="515" t="s">
        <v>627</v>
      </c>
      <c r="C18671" s="52">
        <v>187120.46662627501</v>
      </c>
      <c r="D18671" s="56">
        <v>7.154918203156016E-2</v>
      </c>
      <c r="E18671" s="224" t="s">
        <v>2</v>
      </c>
      <c r="F18671" s="515" t="s">
        <v>19842</v>
      </c>
      <c r="G18671" s="52">
        <v>122077.70858842399</v>
      </c>
      <c r="H18671" s="56">
        <v>1.6393025398450181E-2</v>
      </c>
      <c r="I18671" s="224" t="s">
        <v>2</v>
      </c>
    </row>
    <row r="18672" spans="1:9" x14ac:dyDescent="0.25">
      <c r="A18672" s="515">
        <v>12729</v>
      </c>
      <c r="B18672" s="515" t="s">
        <v>529</v>
      </c>
      <c r="C18672" s="52">
        <v>251147.484043648</v>
      </c>
      <c r="D18672" s="56">
        <v>0.14708799608592868</v>
      </c>
      <c r="E18672" s="224" t="s">
        <v>2</v>
      </c>
      <c r="F18672" s="515" t="s">
        <v>19843</v>
      </c>
      <c r="G18672" s="52">
        <v>95225.0735904061</v>
      </c>
      <c r="H18672" s="56">
        <v>0</v>
      </c>
      <c r="I18672" s="224" t="s">
        <v>2</v>
      </c>
    </row>
    <row r="18673" spans="1:9" x14ac:dyDescent="0.25">
      <c r="A18673" s="515">
        <v>76638</v>
      </c>
      <c r="B18673" s="515" t="s">
        <v>1057</v>
      </c>
      <c r="C18673" s="52">
        <v>461335.96521003701</v>
      </c>
      <c r="D18673" s="56">
        <v>0.10443969361081679</v>
      </c>
      <c r="E18673" s="224" t="s">
        <v>2</v>
      </c>
      <c r="F18673" s="515" t="s">
        <v>19844</v>
      </c>
      <c r="G18673" s="52">
        <v>65781.374068893303</v>
      </c>
      <c r="H18673" s="56">
        <v>0.12650779683118302</v>
      </c>
      <c r="I18673" s="224" t="s">
        <v>2</v>
      </c>
    </row>
    <row r="18674" spans="1:9" x14ac:dyDescent="0.25">
      <c r="A18674" s="515">
        <v>78151</v>
      </c>
      <c r="C18674" s="52">
        <v>114844.078481868</v>
      </c>
      <c r="D18674" s="56">
        <v>0</v>
      </c>
      <c r="E18674" s="224" t="s">
        <v>2</v>
      </c>
      <c r="F18674" s="515" t="s">
        <v>19845</v>
      </c>
      <c r="G18674" s="52">
        <v>78338.268318487797</v>
      </c>
      <c r="H18674" s="56">
        <v>0.17989868878723692</v>
      </c>
      <c r="I18674" s="224" t="s">
        <v>2</v>
      </c>
    </row>
    <row r="18675" spans="1:9" x14ac:dyDescent="0.25">
      <c r="A18675" s="515">
        <v>3846</v>
      </c>
      <c r="C18675" s="52">
        <v>534632.98919743404</v>
      </c>
      <c r="D18675" s="56">
        <v>9.4949863767697817E-2</v>
      </c>
      <c r="E18675" s="224" t="s">
        <v>2</v>
      </c>
      <c r="F18675" s="515" t="s">
        <v>19846</v>
      </c>
      <c r="G18675" s="52">
        <v>274879.62626262603</v>
      </c>
      <c r="H18675" s="56">
        <v>0</v>
      </c>
      <c r="I18675" s="224" t="s">
        <v>2</v>
      </c>
    </row>
    <row r="18676" spans="1:9" x14ac:dyDescent="0.25">
      <c r="A18676" s="515">
        <v>43903</v>
      </c>
      <c r="B18676" s="515" t="s">
        <v>389</v>
      </c>
      <c r="C18676" s="52">
        <v>115000.42334607099</v>
      </c>
      <c r="D18676" s="56">
        <v>7.9067640636544465E-2</v>
      </c>
      <c r="E18676" s="224" t="s">
        <v>2</v>
      </c>
      <c r="F18676" s="515" t="s">
        <v>19847</v>
      </c>
      <c r="G18676" s="52">
        <v>262364.840706755</v>
      </c>
      <c r="H18676" s="56">
        <v>9.9954368563895266E-2</v>
      </c>
      <c r="I18676" s="224" t="s">
        <v>2</v>
      </c>
    </row>
    <row r="18677" spans="1:9" x14ac:dyDescent="0.25">
      <c r="A18677" s="515">
        <v>27890</v>
      </c>
      <c r="B18677" s="515" t="s">
        <v>909</v>
      </c>
      <c r="C18677" s="52">
        <v>55929.051943674604</v>
      </c>
      <c r="D18677" s="56">
        <v>0.1978478607859929</v>
      </c>
      <c r="E18677" s="224" t="s">
        <v>2</v>
      </c>
      <c r="F18677" s="515" t="s">
        <v>19848</v>
      </c>
      <c r="G18677" s="52">
        <v>230548.49724331</v>
      </c>
      <c r="H18677" s="56">
        <v>2.1516990362476895E-2</v>
      </c>
      <c r="I18677" s="224" t="s">
        <v>2</v>
      </c>
    </row>
    <row r="18678" spans="1:9" x14ac:dyDescent="0.25">
      <c r="A18678" s="515">
        <v>61957</v>
      </c>
      <c r="C18678" s="52">
        <v>107237.717660778</v>
      </c>
      <c r="D18678" s="56">
        <v>7.1045957580096852E-2</v>
      </c>
      <c r="E18678" s="224" t="s">
        <v>2</v>
      </c>
      <c r="F18678" s="515" t="s">
        <v>19849</v>
      </c>
      <c r="G18678" s="52">
        <v>95636.252301576096</v>
      </c>
      <c r="H18678" s="56">
        <v>-0.12753110869855025</v>
      </c>
      <c r="I18678" s="224" t="s">
        <v>2</v>
      </c>
    </row>
    <row r="18679" spans="1:9" x14ac:dyDescent="0.25">
      <c r="A18679" s="515">
        <v>45339</v>
      </c>
      <c r="B18679" s="515" t="s">
        <v>340</v>
      </c>
      <c r="C18679" s="52">
        <v>269563.15989170602</v>
      </c>
      <c r="D18679" s="56">
        <v>0.11253819256189543</v>
      </c>
      <c r="E18679" s="224" t="s">
        <v>2</v>
      </c>
      <c r="F18679" s="515" t="s">
        <v>19850</v>
      </c>
      <c r="G18679" s="52">
        <v>136748.18930952999</v>
      </c>
      <c r="H18679" s="56">
        <v>6.9802274816229609E-2</v>
      </c>
      <c r="I18679" s="224" t="s">
        <v>2</v>
      </c>
    </row>
    <row r="18680" spans="1:9" x14ac:dyDescent="0.25">
      <c r="A18680" s="515">
        <v>57212</v>
      </c>
      <c r="C18680" s="52">
        <v>226266.251951096</v>
      </c>
      <c r="D18680" s="56">
        <v>9.0673855963284936E-2</v>
      </c>
      <c r="E18680" s="224" t="s">
        <v>2</v>
      </c>
      <c r="F18680" s="515" t="s">
        <v>19851</v>
      </c>
      <c r="G18680" s="52">
        <v>122701.585643874</v>
      </c>
      <c r="H18680" s="56">
        <v>0.10477086707657329</v>
      </c>
      <c r="I18680" s="224" t="s">
        <v>2</v>
      </c>
    </row>
    <row r="18681" spans="1:9" x14ac:dyDescent="0.25">
      <c r="A18681" s="515">
        <v>55750</v>
      </c>
      <c r="B18681" s="515" t="s">
        <v>350</v>
      </c>
      <c r="C18681" s="52">
        <v>102401.989066155</v>
      </c>
      <c r="D18681" s="56">
        <v>0.10989911579980435</v>
      </c>
      <c r="E18681" s="224" t="s">
        <v>2</v>
      </c>
      <c r="F18681" s="515" t="s">
        <v>19852</v>
      </c>
      <c r="G18681" s="52">
        <v>106802.496192319</v>
      </c>
      <c r="H18681" s="56">
        <v>6.9811483944465791E-2</v>
      </c>
      <c r="I18681" s="224" t="s">
        <v>2</v>
      </c>
    </row>
    <row r="18682" spans="1:9" x14ac:dyDescent="0.25">
      <c r="A18682" s="515">
        <v>17830</v>
      </c>
      <c r="B18682" s="515" t="s">
        <v>939</v>
      </c>
      <c r="C18682" s="52">
        <v>160178.562272159</v>
      </c>
      <c r="D18682" s="56">
        <v>4.5028148271637237E-2</v>
      </c>
      <c r="E18682" s="224" t="s">
        <v>2</v>
      </c>
      <c r="F18682" s="515" t="s">
        <v>19853</v>
      </c>
      <c r="G18682" s="52">
        <v>86214.669029570607</v>
      </c>
      <c r="H18682" s="56">
        <v>1.6598855328655182E-2</v>
      </c>
      <c r="I18682" s="224" t="s">
        <v>2</v>
      </c>
    </row>
    <row r="18683" spans="1:9" x14ac:dyDescent="0.25">
      <c r="A18683" s="515">
        <v>56332</v>
      </c>
      <c r="B18683" s="515" t="s">
        <v>965</v>
      </c>
      <c r="C18683" s="52">
        <v>310727.28371083498</v>
      </c>
      <c r="D18683" s="56">
        <v>0.1293631927093675</v>
      </c>
      <c r="E18683" s="224" t="s">
        <v>2</v>
      </c>
      <c r="F18683" s="515" t="s">
        <v>19854</v>
      </c>
      <c r="G18683" s="52">
        <v>131034.922285747</v>
      </c>
      <c r="H18683" s="56">
        <v>0</v>
      </c>
      <c r="I18683" s="224" t="s">
        <v>2</v>
      </c>
    </row>
    <row r="18684" spans="1:9" x14ac:dyDescent="0.25">
      <c r="A18684" s="515">
        <v>33960</v>
      </c>
      <c r="B18684" s="515" t="s">
        <v>1099</v>
      </c>
      <c r="C18684" s="52">
        <v>313261.340172583</v>
      </c>
      <c r="D18684" s="56">
        <v>0.21407764725996531</v>
      </c>
      <c r="E18684" s="224" t="s">
        <v>2</v>
      </c>
      <c r="F18684" s="515" t="s">
        <v>19855</v>
      </c>
      <c r="G18684" s="52">
        <v>197965.63498867501</v>
      </c>
      <c r="H18684" s="56">
        <v>0.12623713317275895</v>
      </c>
      <c r="I18684" s="224" t="s">
        <v>2</v>
      </c>
    </row>
    <row r="18685" spans="1:9" x14ac:dyDescent="0.25">
      <c r="A18685" s="515">
        <v>34753</v>
      </c>
      <c r="B18685" s="515" t="s">
        <v>517</v>
      </c>
      <c r="C18685" s="52">
        <v>304460.76115232002</v>
      </c>
      <c r="D18685" s="56">
        <v>0.11064986887420929</v>
      </c>
      <c r="E18685" s="224" t="s">
        <v>2</v>
      </c>
      <c r="F18685" s="515" t="s">
        <v>19856</v>
      </c>
      <c r="G18685" s="52">
        <v>426440.697383611</v>
      </c>
      <c r="H18685" s="56">
        <v>-6.7680393185577878E-2</v>
      </c>
      <c r="I18685" s="224" t="s">
        <v>2</v>
      </c>
    </row>
    <row r="18686" spans="1:9" x14ac:dyDescent="0.25">
      <c r="A18686" s="515">
        <v>25555</v>
      </c>
      <c r="B18686" s="515" t="s">
        <v>602</v>
      </c>
      <c r="C18686" s="52">
        <v>123934.06161097399</v>
      </c>
      <c r="D18686" s="56">
        <v>6.7953854742427974E-2</v>
      </c>
      <c r="E18686" s="224" t="s">
        <v>2</v>
      </c>
      <c r="F18686" s="515" t="s">
        <v>19857</v>
      </c>
      <c r="G18686" s="52">
        <v>173963.040649331</v>
      </c>
      <c r="H18686" s="56">
        <v>9.2297209568455482E-2</v>
      </c>
      <c r="I18686" s="224" t="s">
        <v>2</v>
      </c>
    </row>
    <row r="18687" spans="1:9" x14ac:dyDescent="0.25">
      <c r="A18687" s="515">
        <v>53065</v>
      </c>
      <c r="B18687" s="515" t="s">
        <v>987</v>
      </c>
      <c r="C18687" s="52">
        <v>241577.719178467</v>
      </c>
      <c r="D18687" s="56">
        <v>5.2344441627878761E-2</v>
      </c>
      <c r="E18687" s="224" t="s">
        <v>2</v>
      </c>
      <c r="F18687" s="515" t="s">
        <v>19858</v>
      </c>
      <c r="G18687" s="52">
        <v>96463.342081324197</v>
      </c>
      <c r="H18687" s="56">
        <v>8.9922196447467892E-2</v>
      </c>
      <c r="I18687" s="224" t="s">
        <v>2</v>
      </c>
    </row>
    <row r="18688" spans="1:9" x14ac:dyDescent="0.25">
      <c r="A18688" s="515">
        <v>83623</v>
      </c>
      <c r="B18688" s="515" t="s">
        <v>885</v>
      </c>
      <c r="C18688" s="52">
        <v>247650.44449321201</v>
      </c>
      <c r="D18688" s="56">
        <v>6.2183649426663754E-2</v>
      </c>
      <c r="E18688" s="224" t="s">
        <v>2</v>
      </c>
      <c r="F18688" s="515" t="s">
        <v>19859</v>
      </c>
      <c r="G18688" s="52">
        <v>162156.43996636401</v>
      </c>
      <c r="H18688" s="56">
        <v>8.4534554136574111E-2</v>
      </c>
      <c r="I18688" s="224" t="s">
        <v>2</v>
      </c>
    </row>
    <row r="18689" spans="1:9" x14ac:dyDescent="0.25">
      <c r="A18689" s="515">
        <v>47992</v>
      </c>
      <c r="B18689" s="515" t="s">
        <v>433</v>
      </c>
      <c r="C18689" s="52">
        <v>268413.22591572802</v>
      </c>
      <c r="D18689" s="56">
        <v>2.252294591342107E-2</v>
      </c>
      <c r="E18689" s="224" t="s">
        <v>2</v>
      </c>
      <c r="F18689" s="515" t="s">
        <v>19860</v>
      </c>
      <c r="G18689" s="52">
        <v>616268.92614100105</v>
      </c>
      <c r="H18689" s="56">
        <v>0.16407702924392609</v>
      </c>
      <c r="I18689" s="224" t="s">
        <v>2</v>
      </c>
    </row>
    <row r="18690" spans="1:9" x14ac:dyDescent="0.25">
      <c r="A18690" s="515">
        <v>38231</v>
      </c>
      <c r="B18690" s="515" t="s">
        <v>975</v>
      </c>
      <c r="C18690" s="52">
        <v>150878.738959101</v>
      </c>
      <c r="D18690" s="56">
        <v>7.5459119948490347E-2</v>
      </c>
      <c r="E18690" s="224" t="s">
        <v>2</v>
      </c>
      <c r="F18690" s="515" t="s">
        <v>19861</v>
      </c>
      <c r="G18690" s="52">
        <v>129121.189927072</v>
      </c>
      <c r="H18690" s="56">
        <v>6.0792866132987823E-2</v>
      </c>
      <c r="I18690" s="224" t="s">
        <v>2</v>
      </c>
    </row>
    <row r="18691" spans="1:9" x14ac:dyDescent="0.25">
      <c r="A18691" s="515">
        <v>43164</v>
      </c>
      <c r="B18691" s="515" t="s">
        <v>345</v>
      </c>
      <c r="C18691" s="52">
        <v>201694.145664323</v>
      </c>
      <c r="D18691" s="56">
        <v>8.44854054606759E-2</v>
      </c>
      <c r="E18691" s="224" t="s">
        <v>2</v>
      </c>
      <c r="F18691" s="515" t="s">
        <v>19862</v>
      </c>
      <c r="G18691" s="52">
        <v>327935.78804347798</v>
      </c>
      <c r="H18691" s="56">
        <v>0</v>
      </c>
      <c r="I18691" s="224" t="s">
        <v>2</v>
      </c>
    </row>
    <row r="18692" spans="1:9" x14ac:dyDescent="0.25">
      <c r="A18692" s="515">
        <v>12853</v>
      </c>
      <c r="B18692" s="515" t="s">
        <v>422</v>
      </c>
      <c r="C18692" s="52">
        <v>232249.920924059</v>
      </c>
      <c r="D18692" s="56">
        <v>9.717260119951357E-2</v>
      </c>
      <c r="E18692" s="224" t="s">
        <v>2</v>
      </c>
      <c r="F18692" s="515" t="s">
        <v>19863</v>
      </c>
      <c r="G18692" s="52">
        <v>168810.90472843099</v>
      </c>
      <c r="H18692" s="56">
        <v>0.20734831847584059</v>
      </c>
      <c r="I18692" s="224" t="s">
        <v>2</v>
      </c>
    </row>
    <row r="18693" spans="1:9" x14ac:dyDescent="0.25">
      <c r="A18693" s="515">
        <v>71277</v>
      </c>
      <c r="B18693" s="515" t="s">
        <v>695</v>
      </c>
      <c r="C18693" s="52">
        <v>97977.437429099096</v>
      </c>
      <c r="D18693" s="56">
        <v>0.13626680651071663</v>
      </c>
      <c r="E18693" s="224" t="s">
        <v>2</v>
      </c>
      <c r="F18693" s="515" t="s">
        <v>19864</v>
      </c>
      <c r="G18693" s="52">
        <v>239345.289605169</v>
      </c>
      <c r="H18693" s="56">
        <v>0.18019925651594565</v>
      </c>
      <c r="I18693" s="224" t="s">
        <v>2</v>
      </c>
    </row>
    <row r="18694" spans="1:9" x14ac:dyDescent="0.25">
      <c r="A18694" s="515">
        <v>36579</v>
      </c>
      <c r="B18694" s="515" t="s">
        <v>488</v>
      </c>
      <c r="C18694" s="52">
        <v>230791.893415225</v>
      </c>
      <c r="D18694" s="56">
        <v>0.15164098088293151</v>
      </c>
      <c r="E18694" s="224" t="s">
        <v>2</v>
      </c>
      <c r="F18694" s="515" t="s">
        <v>19865</v>
      </c>
      <c r="G18694" s="52">
        <v>224091.622129169</v>
      </c>
      <c r="H18694" s="56">
        <v>0.10834768603833214</v>
      </c>
      <c r="I18694" s="224" t="s">
        <v>2</v>
      </c>
    </row>
    <row r="18695" spans="1:9" x14ac:dyDescent="0.25">
      <c r="A18695" s="515">
        <v>68832</v>
      </c>
      <c r="B18695" s="515" t="s">
        <v>650</v>
      </c>
      <c r="C18695" s="52">
        <v>285479.579298592</v>
      </c>
      <c r="D18695" s="56">
        <v>8.3871994247984721E-2</v>
      </c>
      <c r="E18695" s="224" t="s">
        <v>2</v>
      </c>
      <c r="F18695" s="515" t="s">
        <v>19866</v>
      </c>
      <c r="G18695" s="52">
        <v>93472.027139551501</v>
      </c>
      <c r="H18695" s="56">
        <v>0.1007382506913604</v>
      </c>
      <c r="I18695" s="224" t="s">
        <v>2</v>
      </c>
    </row>
    <row r="18696" spans="1:9" x14ac:dyDescent="0.25">
      <c r="A18696" s="515">
        <v>36036</v>
      </c>
      <c r="B18696" s="515" t="s">
        <v>806</v>
      </c>
      <c r="C18696" s="52">
        <v>136061.61359104101</v>
      </c>
      <c r="D18696" s="56">
        <v>8.4303638928197533E-2</v>
      </c>
      <c r="E18696" s="224" t="s">
        <v>2</v>
      </c>
      <c r="F18696" s="515" t="s">
        <v>19867</v>
      </c>
      <c r="G18696" s="52">
        <v>179213.17037646001</v>
      </c>
      <c r="H18696" s="56">
        <v>0.12781769552188607</v>
      </c>
      <c r="I18696" s="224" t="s">
        <v>2</v>
      </c>
    </row>
    <row r="18697" spans="1:9" x14ac:dyDescent="0.25">
      <c r="A18697" s="515">
        <v>76837</v>
      </c>
      <c r="C18697" s="52">
        <v>98606.913205137404</v>
      </c>
      <c r="D18697" s="56">
        <v>0</v>
      </c>
      <c r="E18697" s="224" t="s">
        <v>2</v>
      </c>
      <c r="F18697" s="515" t="s">
        <v>19868</v>
      </c>
      <c r="G18697" s="52">
        <v>257576.63170132801</v>
      </c>
      <c r="H18697" s="56">
        <v>0.12073191894176075</v>
      </c>
      <c r="I18697" s="224" t="s">
        <v>2</v>
      </c>
    </row>
    <row r="18698" spans="1:9" x14ac:dyDescent="0.25">
      <c r="A18698" s="515">
        <v>46105</v>
      </c>
      <c r="B18698" s="515" t="s">
        <v>403</v>
      </c>
      <c r="C18698" s="52">
        <v>231884.23826126399</v>
      </c>
      <c r="D18698" s="56">
        <v>7.9075455420461224E-2</v>
      </c>
      <c r="E18698" s="224" t="s">
        <v>2</v>
      </c>
      <c r="F18698" s="515" t="s">
        <v>19869</v>
      </c>
      <c r="G18698" s="52">
        <v>84649.685191473996</v>
      </c>
      <c r="H18698" s="56">
        <v>4.1477537200530212E-2</v>
      </c>
      <c r="I18698" s="224" t="s">
        <v>2</v>
      </c>
    </row>
    <row r="18699" spans="1:9" x14ac:dyDescent="0.25">
      <c r="A18699" s="515">
        <v>65350</v>
      </c>
      <c r="B18699" s="515" t="s">
        <v>798</v>
      </c>
      <c r="C18699" s="52">
        <v>192776.30983921199</v>
      </c>
      <c r="D18699" s="56">
        <v>4.7605678296747271E-2</v>
      </c>
      <c r="E18699" s="224" t="s">
        <v>2</v>
      </c>
      <c r="F18699" s="515" t="s">
        <v>19870</v>
      </c>
      <c r="G18699" s="52">
        <v>244623.24039781999</v>
      </c>
      <c r="H18699" s="56">
        <v>7.8773344950816254E-2</v>
      </c>
      <c r="I18699" s="224" t="s">
        <v>2</v>
      </c>
    </row>
    <row r="18700" spans="1:9" x14ac:dyDescent="0.25">
      <c r="A18700" s="515">
        <v>37360</v>
      </c>
      <c r="B18700" s="515" t="s">
        <v>1098</v>
      </c>
      <c r="C18700" s="52">
        <v>318099.467689552</v>
      </c>
      <c r="D18700" s="56">
        <v>7.0307496283389878E-2</v>
      </c>
      <c r="E18700" s="224" t="s">
        <v>2</v>
      </c>
      <c r="F18700" s="515" t="s">
        <v>19871</v>
      </c>
      <c r="G18700" s="52">
        <v>238668.40211137</v>
      </c>
      <c r="H18700" s="56">
        <v>0.16373339915158833</v>
      </c>
      <c r="I18700" s="224" t="s">
        <v>2</v>
      </c>
    </row>
    <row r="18701" spans="1:9" x14ac:dyDescent="0.25">
      <c r="A18701" s="515">
        <v>52658</v>
      </c>
      <c r="B18701" s="515" t="s">
        <v>496</v>
      </c>
      <c r="C18701" s="52">
        <v>195700.35574876299</v>
      </c>
      <c r="D18701" s="56">
        <v>0.13948906027957353</v>
      </c>
      <c r="E18701" s="224" t="s">
        <v>2</v>
      </c>
      <c r="F18701" s="515" t="s">
        <v>19872</v>
      </c>
      <c r="G18701" s="52">
        <v>123797.135675413</v>
      </c>
      <c r="H18701" s="56">
        <v>0</v>
      </c>
      <c r="I18701" s="224" t="s">
        <v>2</v>
      </c>
    </row>
    <row r="18702" spans="1:9" x14ac:dyDescent="0.25">
      <c r="A18702" s="515">
        <v>73061</v>
      </c>
      <c r="C18702" s="52">
        <v>171090.950376411</v>
      </c>
      <c r="D18702" s="56">
        <v>9.2254764524345334E-2</v>
      </c>
      <c r="E18702" s="224" t="s">
        <v>2</v>
      </c>
      <c r="F18702" s="515" t="s">
        <v>19873</v>
      </c>
      <c r="G18702" s="52">
        <v>191810.59754045799</v>
      </c>
      <c r="H18702" s="56">
        <v>9.5437898136993368E-2</v>
      </c>
      <c r="I18702" s="224" t="s">
        <v>2</v>
      </c>
    </row>
    <row r="18703" spans="1:9" x14ac:dyDescent="0.25">
      <c r="A18703" s="515">
        <v>95635</v>
      </c>
      <c r="B18703" s="515" t="s">
        <v>355</v>
      </c>
      <c r="C18703" s="52">
        <v>471277.135078019</v>
      </c>
      <c r="D18703" s="56">
        <v>-2.1067615726219142E-2</v>
      </c>
      <c r="E18703" s="224" t="s">
        <v>2</v>
      </c>
      <c r="F18703" s="515" t="s">
        <v>19874</v>
      </c>
      <c r="G18703" s="52">
        <v>126672.846055528</v>
      </c>
      <c r="H18703" s="56">
        <v>0.10412718491917623</v>
      </c>
      <c r="I18703" s="224" t="s">
        <v>2</v>
      </c>
    </row>
    <row r="18704" spans="1:9" x14ac:dyDescent="0.25">
      <c r="A18704" s="515">
        <v>46166</v>
      </c>
      <c r="B18704" s="515" t="s">
        <v>403</v>
      </c>
      <c r="C18704" s="52">
        <v>210040.979037143</v>
      </c>
      <c r="D18704" s="56">
        <v>9.0405934592740211E-2</v>
      </c>
      <c r="E18704" s="224" t="s">
        <v>2</v>
      </c>
      <c r="F18704" s="515" t="s">
        <v>19875</v>
      </c>
      <c r="G18704" s="52">
        <v>131681.98558673801</v>
      </c>
      <c r="H18704" s="56">
        <v>5.9334776084040572E-2</v>
      </c>
      <c r="I18704" s="224" t="s">
        <v>2</v>
      </c>
    </row>
    <row r="18705" spans="1:9" x14ac:dyDescent="0.25">
      <c r="A18705" s="515">
        <v>38547</v>
      </c>
      <c r="B18705" s="515" t="s">
        <v>684</v>
      </c>
      <c r="C18705" s="52">
        <v>272020.09006409597</v>
      </c>
      <c r="D18705" s="56">
        <v>6.8254178312549943E-2</v>
      </c>
      <c r="E18705" s="224" t="s">
        <v>2</v>
      </c>
      <c r="F18705" s="515" t="s">
        <v>19876</v>
      </c>
      <c r="G18705" s="52">
        <v>81446.0244468358</v>
      </c>
      <c r="H18705" s="56">
        <v>0.11371364318403314</v>
      </c>
      <c r="I18705" s="224" t="s">
        <v>2</v>
      </c>
    </row>
    <row r="18706" spans="1:9" x14ac:dyDescent="0.25">
      <c r="A18706" s="515">
        <v>73095</v>
      </c>
      <c r="B18706" s="515" t="s">
        <v>385</v>
      </c>
      <c r="C18706" s="52">
        <v>167075.853800332</v>
      </c>
      <c r="D18706" s="56">
        <v>9.4425700951102545E-2</v>
      </c>
      <c r="E18706" s="224" t="s">
        <v>2</v>
      </c>
      <c r="F18706" s="515" t="s">
        <v>19877</v>
      </c>
      <c r="G18706" s="52">
        <v>253686.20046399199</v>
      </c>
      <c r="H18706" s="56">
        <v>0.14776452097626377</v>
      </c>
      <c r="I18706" s="224" t="s">
        <v>2</v>
      </c>
    </row>
    <row r="18707" spans="1:9" x14ac:dyDescent="0.25">
      <c r="A18707" s="515">
        <v>47163</v>
      </c>
      <c r="B18707" s="515" t="s">
        <v>479</v>
      </c>
      <c r="C18707" s="52">
        <v>238336.52505773999</v>
      </c>
      <c r="D18707" s="56">
        <v>5.1704933195192808E-2</v>
      </c>
      <c r="E18707" s="224" t="s">
        <v>2</v>
      </c>
      <c r="F18707" s="515" t="s">
        <v>19878</v>
      </c>
      <c r="G18707" s="52">
        <v>207683.81716475301</v>
      </c>
      <c r="H18707" s="56">
        <v>6.2386970904145349E-2</v>
      </c>
      <c r="I18707" s="224" t="s">
        <v>2</v>
      </c>
    </row>
    <row r="18708" spans="1:9" x14ac:dyDescent="0.25">
      <c r="A18708" s="515">
        <v>8732</v>
      </c>
      <c r="B18708" s="515" t="s">
        <v>324</v>
      </c>
      <c r="C18708" s="52">
        <v>527058.46074865595</v>
      </c>
      <c r="D18708" s="56">
        <v>6.151037945456396E-2</v>
      </c>
      <c r="E18708" s="224" t="s">
        <v>2</v>
      </c>
      <c r="F18708" s="515" t="s">
        <v>19879</v>
      </c>
      <c r="G18708" s="52">
        <v>108977.875874734</v>
      </c>
      <c r="H18708" s="56">
        <v>9.2313796150031477E-2</v>
      </c>
      <c r="I18708" s="224" t="s">
        <v>2</v>
      </c>
    </row>
    <row r="18709" spans="1:9" x14ac:dyDescent="0.25">
      <c r="A18709" s="515">
        <v>99110</v>
      </c>
      <c r="B18709" s="515" t="s">
        <v>820</v>
      </c>
      <c r="C18709" s="52">
        <v>410204.09624341899</v>
      </c>
      <c r="D18709" s="56">
        <v>7.3070860550659505E-2</v>
      </c>
      <c r="E18709" s="224" t="s">
        <v>2</v>
      </c>
      <c r="F18709" s="515" t="s">
        <v>19880</v>
      </c>
      <c r="G18709" s="52">
        <v>151590.29380240099</v>
      </c>
      <c r="H18709" s="56">
        <v>3.3646283810927602E-2</v>
      </c>
      <c r="I18709" s="224" t="s">
        <v>2</v>
      </c>
    </row>
    <row r="18710" spans="1:9" x14ac:dyDescent="0.25">
      <c r="A18710" s="515">
        <v>43464</v>
      </c>
      <c r="B18710" s="515" t="s">
        <v>712</v>
      </c>
      <c r="C18710" s="52">
        <v>135123.696627411</v>
      </c>
      <c r="D18710" s="56">
        <v>8.7494655206229094E-2</v>
      </c>
      <c r="E18710" s="224" t="s">
        <v>2</v>
      </c>
      <c r="F18710" s="515" t="s">
        <v>19881</v>
      </c>
      <c r="G18710" s="52">
        <v>170316.9375</v>
      </c>
      <c r="H18710" s="56">
        <v>0</v>
      </c>
      <c r="I18710" s="224" t="s">
        <v>2</v>
      </c>
    </row>
    <row r="18711" spans="1:9" x14ac:dyDescent="0.25">
      <c r="A18711" s="515">
        <v>83540</v>
      </c>
      <c r="B18711" s="515" t="s">
        <v>736</v>
      </c>
      <c r="C18711" s="52">
        <v>320760.04717299802</v>
      </c>
      <c r="D18711" s="56">
        <v>3.1684912189440126E-2</v>
      </c>
      <c r="E18711" s="224" t="s">
        <v>2</v>
      </c>
      <c r="F18711" s="515" t="s">
        <v>19882</v>
      </c>
      <c r="G18711" s="52">
        <v>1362155.91668777</v>
      </c>
      <c r="H18711" s="56">
        <v>5.2460223748911614E-2</v>
      </c>
      <c r="I18711" s="224" t="s">
        <v>2</v>
      </c>
    </row>
    <row r="18712" spans="1:9" x14ac:dyDescent="0.25">
      <c r="A18712" s="515">
        <v>97347</v>
      </c>
      <c r="B18712" s="515" t="s">
        <v>659</v>
      </c>
      <c r="C18712" s="52">
        <v>411358.57463957201</v>
      </c>
      <c r="D18712" s="56">
        <v>6.7613787341690296E-2</v>
      </c>
      <c r="E18712" s="224" t="s">
        <v>2</v>
      </c>
      <c r="F18712" s="515" t="s">
        <v>19883</v>
      </c>
      <c r="G18712" s="52">
        <v>383119.14534687903</v>
      </c>
      <c r="H18712" s="56">
        <v>0.15834690651240049</v>
      </c>
      <c r="I18712" s="224" t="s">
        <v>2</v>
      </c>
    </row>
    <row r="18713" spans="1:9" x14ac:dyDescent="0.25">
      <c r="A18713" s="515">
        <v>21668</v>
      </c>
      <c r="B18713" s="515" t="s">
        <v>582</v>
      </c>
      <c r="C18713" s="52">
        <v>302816.31662180898</v>
      </c>
      <c r="D18713" s="56">
        <v>4.5553474370574214E-2</v>
      </c>
      <c r="E18713" s="224" t="s">
        <v>2</v>
      </c>
      <c r="F18713" s="515" t="s">
        <v>19884</v>
      </c>
      <c r="G18713" s="52">
        <v>123835.865546218</v>
      </c>
      <c r="H18713" s="56">
        <v>0</v>
      </c>
      <c r="I18713" s="224" t="s">
        <v>2</v>
      </c>
    </row>
    <row r="18714" spans="1:9" x14ac:dyDescent="0.25">
      <c r="A18714" s="515">
        <v>95421</v>
      </c>
      <c r="B18714" s="515" t="s">
        <v>331</v>
      </c>
      <c r="C18714" s="52">
        <v>561696.42403308302</v>
      </c>
      <c r="D18714" s="56">
        <v>-2.7740107787326995E-2</v>
      </c>
      <c r="E18714" s="224" t="s">
        <v>2</v>
      </c>
      <c r="F18714" s="515" t="s">
        <v>19885</v>
      </c>
      <c r="G18714" s="52">
        <v>385765.79568316397</v>
      </c>
      <c r="H18714" s="56">
        <v>1.6516364121667015E-2</v>
      </c>
      <c r="I18714" s="224" t="s">
        <v>2</v>
      </c>
    </row>
    <row r="18715" spans="1:9" x14ac:dyDescent="0.25">
      <c r="A18715" s="515">
        <v>54622</v>
      </c>
      <c r="C18715" s="52">
        <v>175479.61871716799</v>
      </c>
      <c r="D18715" s="56">
        <v>4.8663305865690253E-2</v>
      </c>
      <c r="E18715" s="224" t="s">
        <v>2</v>
      </c>
      <c r="F18715" s="515" t="s">
        <v>19886</v>
      </c>
      <c r="G18715" s="52">
        <v>145401.70566193899</v>
      </c>
      <c r="H18715" s="56">
        <v>0.23780653367421475</v>
      </c>
      <c r="I18715" s="224" t="s">
        <v>2</v>
      </c>
    </row>
    <row r="18716" spans="1:9" x14ac:dyDescent="0.25">
      <c r="A18716" s="515">
        <v>17009</v>
      </c>
      <c r="B18716" s="515" t="s">
        <v>714</v>
      </c>
      <c r="C18716" s="52">
        <v>111099.862935967</v>
      </c>
      <c r="D18716" s="56">
        <v>0.13811593719216514</v>
      </c>
      <c r="E18716" s="224" t="s">
        <v>2</v>
      </c>
      <c r="F18716" s="515" t="s">
        <v>19887</v>
      </c>
      <c r="G18716" s="52">
        <v>173893.83505450701</v>
      </c>
      <c r="H18716" s="56">
        <v>5.1673602598100207E-2</v>
      </c>
      <c r="I18716" s="224" t="s">
        <v>2</v>
      </c>
    </row>
    <row r="18717" spans="1:9" x14ac:dyDescent="0.25">
      <c r="A18717" s="515">
        <v>15474</v>
      </c>
      <c r="B18717" s="515" t="s">
        <v>297</v>
      </c>
      <c r="C18717" s="52">
        <v>86811.906225163097</v>
      </c>
      <c r="D18717" s="56">
        <v>8.4889561704130603E-2</v>
      </c>
      <c r="E18717" s="224" t="s">
        <v>2</v>
      </c>
      <c r="F18717" s="515" t="s">
        <v>19888</v>
      </c>
      <c r="G18717" s="52">
        <v>73312.297197325897</v>
      </c>
      <c r="H18717" s="56">
        <v>0</v>
      </c>
      <c r="I18717" s="224" t="s">
        <v>2</v>
      </c>
    </row>
    <row r="18718" spans="1:9" x14ac:dyDescent="0.25">
      <c r="A18718" s="515">
        <v>96716</v>
      </c>
      <c r="B18718" s="515" t="s">
        <v>452</v>
      </c>
      <c r="C18718" s="52">
        <v>736382.088643795</v>
      </c>
      <c r="D18718" s="56">
        <v>0.10887743366201269</v>
      </c>
      <c r="E18718" s="224" t="s">
        <v>2</v>
      </c>
      <c r="F18718" s="515" t="s">
        <v>19889</v>
      </c>
      <c r="G18718" s="52">
        <v>400274.61244215898</v>
      </c>
      <c r="H18718" s="56">
        <v>7.1086301175009803E-2</v>
      </c>
      <c r="I18718" s="224" t="s">
        <v>2</v>
      </c>
    </row>
    <row r="18719" spans="1:9" x14ac:dyDescent="0.25">
      <c r="A18719" s="515">
        <v>5828</v>
      </c>
      <c r="C18719" s="52">
        <v>298494.95559277601</v>
      </c>
      <c r="D18719" s="56">
        <v>0.12317420417591868</v>
      </c>
      <c r="E18719" s="224" t="s">
        <v>2</v>
      </c>
      <c r="F18719" s="515" t="s">
        <v>19890</v>
      </c>
      <c r="G18719" s="52">
        <v>76678.532726874895</v>
      </c>
      <c r="H18719" s="56">
        <v>0</v>
      </c>
      <c r="I18719" s="224" t="s">
        <v>2</v>
      </c>
    </row>
    <row r="18720" spans="1:9" x14ac:dyDescent="0.25">
      <c r="A18720" s="515">
        <v>35540</v>
      </c>
      <c r="C18720" s="52">
        <v>157394.56559936001</v>
      </c>
      <c r="D18720" s="56">
        <v>7.3843543501102546E-2</v>
      </c>
      <c r="E18720" s="224" t="s">
        <v>2</v>
      </c>
      <c r="F18720" s="515" t="s">
        <v>19891</v>
      </c>
      <c r="G18720" s="52">
        <v>151636.45195799501</v>
      </c>
      <c r="H18720" s="56">
        <v>9.0117660357788038E-2</v>
      </c>
      <c r="I18720" s="224" t="s">
        <v>2</v>
      </c>
    </row>
    <row r="18721" spans="1:9" x14ac:dyDescent="0.25">
      <c r="A18721" s="515">
        <v>81654</v>
      </c>
      <c r="B18721" s="515" t="s">
        <v>725</v>
      </c>
      <c r="C18721" s="52">
        <v>1728488.20600395</v>
      </c>
      <c r="D18721" s="56">
        <v>0.13206998371286235</v>
      </c>
      <c r="E18721" s="224" t="s">
        <v>2</v>
      </c>
      <c r="F18721" s="515" t="s">
        <v>19892</v>
      </c>
      <c r="G18721" s="52">
        <v>109901.27480915999</v>
      </c>
      <c r="H18721" s="56">
        <v>0</v>
      </c>
      <c r="I18721" s="224" t="s">
        <v>2</v>
      </c>
    </row>
    <row r="18722" spans="1:9" x14ac:dyDescent="0.25">
      <c r="A18722" s="515">
        <v>61284</v>
      </c>
      <c r="B18722" s="515" t="s">
        <v>439</v>
      </c>
      <c r="C18722" s="52">
        <v>221863.50706501</v>
      </c>
      <c r="D18722" s="56">
        <v>4.2580749475825221E-2</v>
      </c>
      <c r="E18722" s="224" t="s">
        <v>2</v>
      </c>
      <c r="F18722" s="515" t="s">
        <v>19893</v>
      </c>
      <c r="G18722" s="52">
        <v>374067.23622154701</v>
      </c>
      <c r="H18722" s="56">
        <v>0.12994583650699315</v>
      </c>
      <c r="I18722" s="224" t="s">
        <v>2</v>
      </c>
    </row>
    <row r="18723" spans="1:9" x14ac:dyDescent="0.25">
      <c r="A18723" s="515">
        <v>54004</v>
      </c>
      <c r="C18723" s="52">
        <v>219596.159686731</v>
      </c>
      <c r="D18723" s="56">
        <v>6.0309277641862238E-2</v>
      </c>
      <c r="E18723" s="224" t="s">
        <v>2</v>
      </c>
      <c r="F18723" s="515" t="s">
        <v>19894</v>
      </c>
      <c r="G18723" s="52">
        <v>160990.316685517</v>
      </c>
      <c r="H18723" s="56">
        <v>8.19344049747502E-2</v>
      </c>
      <c r="I18723" s="224" t="s">
        <v>2</v>
      </c>
    </row>
    <row r="18724" spans="1:9" x14ac:dyDescent="0.25">
      <c r="A18724" s="515">
        <v>37713</v>
      </c>
      <c r="B18724" s="515" t="s">
        <v>1083</v>
      </c>
      <c r="C18724" s="52">
        <v>189523.48820780299</v>
      </c>
      <c r="D18724" s="56">
        <v>8.3571720255159063E-2</v>
      </c>
      <c r="E18724" s="224" t="s">
        <v>2</v>
      </c>
      <c r="F18724" s="515" t="s">
        <v>19895</v>
      </c>
      <c r="G18724" s="52">
        <v>281401.33736633102</v>
      </c>
      <c r="H18724" s="56">
        <v>0.14472150731616024</v>
      </c>
      <c r="I18724" s="224" t="s">
        <v>2</v>
      </c>
    </row>
    <row r="18725" spans="1:9" x14ac:dyDescent="0.25">
      <c r="A18725" s="515">
        <v>72067</v>
      </c>
      <c r="C18725" s="52">
        <v>222205.25271926299</v>
      </c>
      <c r="D18725" s="56">
        <v>7.8029441231951865E-2</v>
      </c>
      <c r="E18725" s="224" t="s">
        <v>2</v>
      </c>
      <c r="F18725" s="515" t="s">
        <v>19896</v>
      </c>
      <c r="G18725" s="52">
        <v>234185.33018659099</v>
      </c>
      <c r="H18725" s="56">
        <v>0.13723269867062279</v>
      </c>
      <c r="I18725" s="224" t="s">
        <v>2</v>
      </c>
    </row>
    <row r="18726" spans="1:9" x14ac:dyDescent="0.25">
      <c r="A18726" s="515">
        <v>42265</v>
      </c>
      <c r="C18726" s="52">
        <v>220098.815574793</v>
      </c>
      <c r="D18726" s="56">
        <v>0.16396216778382089</v>
      </c>
      <c r="E18726" s="224" t="s">
        <v>2</v>
      </c>
      <c r="F18726" s="515" t="s">
        <v>19897</v>
      </c>
      <c r="G18726" s="52">
        <v>140215.345040277</v>
      </c>
      <c r="H18726" s="56">
        <v>4.4224805499622363E-2</v>
      </c>
      <c r="I18726" s="224" t="s">
        <v>2</v>
      </c>
    </row>
    <row r="18727" spans="1:9" x14ac:dyDescent="0.25">
      <c r="A18727" s="515">
        <v>83414</v>
      </c>
      <c r="B18727" s="515" t="s">
        <v>490</v>
      </c>
      <c r="C18727" s="52">
        <v>1179666.4872699601</v>
      </c>
      <c r="D18727" s="56">
        <v>0.25817230303959082</v>
      </c>
      <c r="E18727" s="224" t="s">
        <v>2</v>
      </c>
      <c r="F18727" s="515" t="s">
        <v>19898</v>
      </c>
      <c r="G18727" s="52">
        <v>165143.062610436</v>
      </c>
      <c r="H18727" s="56">
        <v>0.11846534306099789</v>
      </c>
      <c r="I18727" s="224" t="s">
        <v>2</v>
      </c>
    </row>
    <row r="18728" spans="1:9" x14ac:dyDescent="0.25">
      <c r="A18728" s="515">
        <v>56511</v>
      </c>
      <c r="C18728" s="52">
        <v>429863.488766764</v>
      </c>
      <c r="D18728" s="56">
        <v>0.11520908893839198</v>
      </c>
      <c r="E18728" s="224" t="s">
        <v>2</v>
      </c>
      <c r="F18728" s="515" t="s">
        <v>19899</v>
      </c>
      <c r="G18728" s="52">
        <v>197331.317035107</v>
      </c>
      <c r="H18728" s="56">
        <v>7.7908489362186875E-2</v>
      </c>
      <c r="I18728" s="224" t="s">
        <v>2</v>
      </c>
    </row>
    <row r="18729" spans="1:9" x14ac:dyDescent="0.25">
      <c r="A18729" s="515">
        <v>70750</v>
      </c>
      <c r="B18729" s="515" t="s">
        <v>1162</v>
      </c>
      <c r="C18729" s="52">
        <v>100615.403730693</v>
      </c>
      <c r="D18729" s="56">
        <v>-1.6899323246486526E-2</v>
      </c>
      <c r="E18729" s="224" t="s">
        <v>2</v>
      </c>
      <c r="F18729" s="515" t="s">
        <v>19900</v>
      </c>
      <c r="G18729" s="52">
        <v>222959.462189076</v>
      </c>
      <c r="H18729" s="56">
        <v>0.10132786255541368</v>
      </c>
      <c r="I18729" s="224" t="s">
        <v>2</v>
      </c>
    </row>
    <row r="18730" spans="1:9" x14ac:dyDescent="0.25">
      <c r="A18730" s="515">
        <v>15019</v>
      </c>
      <c r="B18730" s="515" t="s">
        <v>297</v>
      </c>
      <c r="C18730" s="52">
        <v>206768.926552341</v>
      </c>
      <c r="D18730" s="56">
        <v>0.10714792281860221</v>
      </c>
      <c r="E18730" s="224" t="s">
        <v>2</v>
      </c>
      <c r="F18730" s="515" t="s">
        <v>19901</v>
      </c>
      <c r="G18730" s="52">
        <v>81182.770528843306</v>
      </c>
      <c r="H18730" s="56">
        <v>0.14290047505864908</v>
      </c>
      <c r="I18730" s="224" t="s">
        <v>2</v>
      </c>
    </row>
    <row r="18731" spans="1:9" x14ac:dyDescent="0.25">
      <c r="A18731" s="515">
        <v>25938</v>
      </c>
      <c r="B18731" s="515" t="s">
        <v>566</v>
      </c>
      <c r="C18731" s="52">
        <v>121940.225074822</v>
      </c>
      <c r="D18731" s="56">
        <v>0.10935995737075764</v>
      </c>
      <c r="E18731" s="224" t="s">
        <v>2</v>
      </c>
      <c r="F18731" s="515" t="s">
        <v>19902</v>
      </c>
      <c r="G18731" s="52">
        <v>135007.994406763</v>
      </c>
      <c r="H18731" s="56">
        <v>7.2372447892499622E-2</v>
      </c>
      <c r="I18731" s="224" t="s">
        <v>2</v>
      </c>
    </row>
    <row r="18732" spans="1:9" x14ac:dyDescent="0.25">
      <c r="A18732" s="515">
        <v>15456</v>
      </c>
      <c r="B18732" s="515" t="s">
        <v>297</v>
      </c>
      <c r="C18732" s="52">
        <v>113976.166032275</v>
      </c>
      <c r="D18732" s="56">
        <v>2.6755162174994331E-2</v>
      </c>
      <c r="E18732" s="224" t="s">
        <v>2</v>
      </c>
      <c r="F18732" s="515" t="s">
        <v>19903</v>
      </c>
      <c r="G18732" s="52">
        <v>332421.45271237497</v>
      </c>
      <c r="H18732" s="56">
        <v>2.8512942382473372E-2</v>
      </c>
      <c r="I18732" s="224" t="s">
        <v>2</v>
      </c>
    </row>
    <row r="18733" spans="1:9" x14ac:dyDescent="0.25">
      <c r="A18733" s="515">
        <v>45862</v>
      </c>
      <c r="B18733" s="515" t="s">
        <v>432</v>
      </c>
      <c r="C18733" s="52">
        <v>146028.59140793499</v>
      </c>
      <c r="D18733" s="56">
        <v>4.9127371744839381E-2</v>
      </c>
      <c r="E18733" s="224" t="s">
        <v>2</v>
      </c>
      <c r="F18733" s="515" t="s">
        <v>19904</v>
      </c>
      <c r="G18733" s="52">
        <v>312842.26668929402</v>
      </c>
      <c r="H18733" s="56">
        <v>0.12118185100129091</v>
      </c>
      <c r="I18733" s="224" t="s">
        <v>2</v>
      </c>
    </row>
    <row r="18734" spans="1:9" x14ac:dyDescent="0.25">
      <c r="A18734" s="515">
        <v>49774</v>
      </c>
      <c r="B18734" s="515" t="s">
        <v>740</v>
      </c>
      <c r="C18734" s="52">
        <v>150184.84379806501</v>
      </c>
      <c r="D18734" s="56">
        <v>3.2261039247277856E-2</v>
      </c>
      <c r="E18734" s="224" t="s">
        <v>2</v>
      </c>
      <c r="F18734" s="515" t="s">
        <v>19905</v>
      </c>
      <c r="G18734" s="52">
        <v>569577.02707964496</v>
      </c>
      <c r="H18734" s="56">
        <v>1.7312790998519491E-2</v>
      </c>
      <c r="I18734" s="224" t="s">
        <v>2</v>
      </c>
    </row>
    <row r="18735" spans="1:9" x14ac:dyDescent="0.25">
      <c r="A18735" s="515">
        <v>45363</v>
      </c>
      <c r="B18735" s="515" t="s">
        <v>329</v>
      </c>
      <c r="C18735" s="52">
        <v>272118.62412749598</v>
      </c>
      <c r="D18735" s="56">
        <v>9.6893179358791104E-2</v>
      </c>
      <c r="E18735" s="224" t="s">
        <v>2</v>
      </c>
      <c r="F18735" s="515" t="s">
        <v>19906</v>
      </c>
      <c r="G18735" s="52">
        <v>195519.55919180499</v>
      </c>
      <c r="H18735" s="56">
        <v>0</v>
      </c>
      <c r="I18735" s="224" t="s">
        <v>2</v>
      </c>
    </row>
    <row r="18736" spans="1:9" x14ac:dyDescent="0.25">
      <c r="A18736" s="515">
        <v>76701</v>
      </c>
      <c r="B18736" s="515" t="s">
        <v>1057</v>
      </c>
      <c r="C18736" s="52">
        <v>239596.150397541</v>
      </c>
      <c r="D18736" s="56">
        <v>0.12491626270151351</v>
      </c>
      <c r="E18736" s="224" t="s">
        <v>2</v>
      </c>
      <c r="F18736" s="515" t="s">
        <v>19907</v>
      </c>
      <c r="G18736" s="52">
        <v>179570.76570411099</v>
      </c>
      <c r="H18736" s="56">
        <v>8.9164746212408608E-2</v>
      </c>
      <c r="I18736" s="224" t="s">
        <v>2</v>
      </c>
    </row>
    <row r="18737" spans="1:9" x14ac:dyDescent="0.25">
      <c r="A18737" s="515">
        <v>17024</v>
      </c>
      <c r="B18737" s="515" t="s">
        <v>428</v>
      </c>
      <c r="C18737" s="52">
        <v>274112.65258473897</v>
      </c>
      <c r="D18737" s="56">
        <v>6.9547400243557003E-2</v>
      </c>
      <c r="E18737" s="224" t="s">
        <v>2</v>
      </c>
      <c r="F18737" s="515" t="s">
        <v>19908</v>
      </c>
      <c r="G18737" s="52">
        <v>99597.463359955</v>
      </c>
      <c r="H18737" s="56">
        <v>-1.4237065351032731E-2</v>
      </c>
      <c r="I18737" s="224" t="s">
        <v>2</v>
      </c>
    </row>
    <row r="18738" spans="1:9" x14ac:dyDescent="0.25">
      <c r="A18738" s="515">
        <v>3768</v>
      </c>
      <c r="B18738" s="515" t="s">
        <v>420</v>
      </c>
      <c r="C18738" s="52">
        <v>618455.75050068903</v>
      </c>
      <c r="D18738" s="56">
        <v>0.12348735846830579</v>
      </c>
      <c r="E18738" s="224" t="s">
        <v>2</v>
      </c>
      <c r="F18738" s="515" t="s">
        <v>19909</v>
      </c>
      <c r="G18738" s="52">
        <v>160683.05077299499</v>
      </c>
      <c r="H18738" s="56">
        <v>5.9603275477690142E-2</v>
      </c>
      <c r="I18738" s="224" t="s">
        <v>2</v>
      </c>
    </row>
    <row r="18739" spans="1:9" x14ac:dyDescent="0.25">
      <c r="A18739" s="515">
        <v>66619</v>
      </c>
      <c r="B18739" s="515" t="s">
        <v>549</v>
      </c>
      <c r="C18739" s="52">
        <v>107754.95751993499</v>
      </c>
      <c r="D18739" s="56">
        <v>0.10318749092621256</v>
      </c>
      <c r="E18739" s="224" t="s">
        <v>2</v>
      </c>
      <c r="F18739" s="515" t="s">
        <v>19910</v>
      </c>
      <c r="G18739" s="52">
        <v>48226.5993644794</v>
      </c>
      <c r="H18739" s="56">
        <v>-3.2705419126356369E-2</v>
      </c>
      <c r="I18739" s="224" t="s">
        <v>2</v>
      </c>
    </row>
    <row r="18740" spans="1:9" x14ac:dyDescent="0.25">
      <c r="A18740" s="515">
        <v>56244</v>
      </c>
      <c r="C18740" s="52">
        <v>156782.51654517301</v>
      </c>
      <c r="D18740" s="56">
        <v>2.590364273520317E-2</v>
      </c>
      <c r="E18740" s="224" t="s">
        <v>2</v>
      </c>
      <c r="F18740" s="515" t="s">
        <v>19911</v>
      </c>
      <c r="G18740" s="52">
        <v>212472.68483598801</v>
      </c>
      <c r="H18740" s="56">
        <v>8.6620096704782129E-2</v>
      </c>
      <c r="I18740" s="224" t="s">
        <v>2</v>
      </c>
    </row>
    <row r="18741" spans="1:9" x14ac:dyDescent="0.25">
      <c r="A18741" s="515">
        <v>16872</v>
      </c>
      <c r="B18741" s="515" t="s">
        <v>491</v>
      </c>
      <c r="C18741" s="52">
        <v>227479.07659937601</v>
      </c>
      <c r="D18741" s="56">
        <v>7.2687966789302103E-2</v>
      </c>
      <c r="E18741" s="224" t="s">
        <v>2</v>
      </c>
      <c r="F18741" s="515" t="s">
        <v>19912</v>
      </c>
      <c r="G18741" s="52">
        <v>71416.476812687106</v>
      </c>
      <c r="H18741" s="56">
        <v>-8.9089132783458286E-2</v>
      </c>
      <c r="I18741" s="224" t="s">
        <v>2</v>
      </c>
    </row>
    <row r="18742" spans="1:9" x14ac:dyDescent="0.25">
      <c r="A18742" s="515">
        <v>1039</v>
      </c>
      <c r="B18742" s="515" t="s">
        <v>575</v>
      </c>
      <c r="C18742" s="52">
        <v>399788.742264512</v>
      </c>
      <c r="D18742" s="56">
        <v>0.10230171704236678</v>
      </c>
      <c r="E18742" s="224" t="s">
        <v>2</v>
      </c>
      <c r="F18742" s="515" t="s">
        <v>19913</v>
      </c>
      <c r="G18742" s="52">
        <v>195340.06286847999</v>
      </c>
      <c r="H18742" s="56">
        <v>0.11714513605266401</v>
      </c>
      <c r="I18742" s="224" t="s">
        <v>2</v>
      </c>
    </row>
    <row r="18743" spans="1:9" x14ac:dyDescent="0.25">
      <c r="A18743" s="515">
        <v>54491</v>
      </c>
      <c r="C18743" s="52">
        <v>145912.94902427401</v>
      </c>
      <c r="D18743" s="56">
        <v>8.4694426754447744E-2</v>
      </c>
      <c r="E18743" s="224" t="s">
        <v>2</v>
      </c>
      <c r="F18743" s="515" t="s">
        <v>19914</v>
      </c>
      <c r="G18743" s="52">
        <v>175862.109375</v>
      </c>
      <c r="H18743" s="56">
        <v>0</v>
      </c>
      <c r="I18743" s="224" t="s">
        <v>2</v>
      </c>
    </row>
    <row r="18744" spans="1:9" x14ac:dyDescent="0.25">
      <c r="A18744" s="515">
        <v>49644</v>
      </c>
      <c r="C18744" s="52">
        <v>149603.45074519099</v>
      </c>
      <c r="D18744" s="56">
        <v>8.4635241881202819E-2</v>
      </c>
      <c r="E18744" s="224" t="s">
        <v>2</v>
      </c>
      <c r="F18744" s="515" t="s">
        <v>19915</v>
      </c>
      <c r="G18744" s="52">
        <v>312279.93086370401</v>
      </c>
      <c r="H18744" s="56">
        <v>6.9574314081587429E-2</v>
      </c>
      <c r="I18744" s="224" t="s">
        <v>2</v>
      </c>
    </row>
    <row r="18745" spans="1:9" x14ac:dyDescent="0.25">
      <c r="A18745" s="515">
        <v>61062</v>
      </c>
      <c r="B18745" s="515" t="s">
        <v>411</v>
      </c>
      <c r="C18745" s="52">
        <v>174312.53956770699</v>
      </c>
      <c r="D18745" s="56">
        <v>8.6778408422935743E-2</v>
      </c>
      <c r="E18745" s="224" t="s">
        <v>2</v>
      </c>
      <c r="F18745" s="515" t="s">
        <v>19916</v>
      </c>
      <c r="G18745" s="52">
        <v>277604.24731750798</v>
      </c>
      <c r="H18745" s="56">
        <v>0.20904154684072726</v>
      </c>
      <c r="I18745" s="224" t="s">
        <v>2</v>
      </c>
    </row>
    <row r="18746" spans="1:9" x14ac:dyDescent="0.25">
      <c r="A18746" s="515">
        <v>62899</v>
      </c>
      <c r="C18746" s="52">
        <v>82738.056293050598</v>
      </c>
      <c r="D18746" s="56">
        <v>-6.0249220074186823E-2</v>
      </c>
      <c r="E18746" s="224" t="s">
        <v>2</v>
      </c>
      <c r="F18746" s="515" t="s">
        <v>19917</v>
      </c>
      <c r="G18746" s="52">
        <v>393972.22069944203</v>
      </c>
      <c r="H18746" s="56">
        <v>0.17588644496497974</v>
      </c>
      <c r="I18746" s="224" t="s">
        <v>2</v>
      </c>
    </row>
    <row r="18747" spans="1:9" x14ac:dyDescent="0.25">
      <c r="A18747" s="515">
        <v>16435</v>
      </c>
      <c r="B18747" s="515" t="s">
        <v>1042</v>
      </c>
      <c r="C18747" s="52">
        <v>129494.605555555</v>
      </c>
      <c r="D18747" s="56">
        <v>0</v>
      </c>
      <c r="E18747" s="224" t="s">
        <v>2</v>
      </c>
      <c r="F18747" s="515" t="s">
        <v>19918</v>
      </c>
      <c r="G18747" s="52">
        <v>176447.93682285</v>
      </c>
      <c r="H18747" s="56">
        <v>0.11850960729152636</v>
      </c>
      <c r="I18747" s="224" t="s">
        <v>2</v>
      </c>
    </row>
    <row r="18748" spans="1:9" x14ac:dyDescent="0.25">
      <c r="A18748" s="515">
        <v>1611</v>
      </c>
      <c r="B18748" s="515" t="s">
        <v>751</v>
      </c>
      <c r="C18748" s="52">
        <v>348786.71742617199</v>
      </c>
      <c r="D18748" s="56">
        <v>8.2991540942088993E-2</v>
      </c>
      <c r="E18748" s="224" t="s">
        <v>2</v>
      </c>
      <c r="F18748" s="515" t="s">
        <v>19919</v>
      </c>
      <c r="G18748" s="52">
        <v>138840.59691406001</v>
      </c>
      <c r="H18748" s="56">
        <v>1.841805048934084E-2</v>
      </c>
      <c r="I18748" s="224" t="s">
        <v>2</v>
      </c>
    </row>
    <row r="18749" spans="1:9" x14ac:dyDescent="0.25">
      <c r="A18749" s="515">
        <v>72512</v>
      </c>
      <c r="C18749" s="52">
        <v>112965.217996105</v>
      </c>
      <c r="D18749" s="56">
        <v>0.12604916809169703</v>
      </c>
      <c r="E18749" s="224" t="s">
        <v>2</v>
      </c>
      <c r="F18749" s="515" t="s">
        <v>19920</v>
      </c>
      <c r="G18749" s="52">
        <v>204066.37020848299</v>
      </c>
      <c r="H18749" s="56">
        <v>0</v>
      </c>
      <c r="I18749" s="224" t="s">
        <v>2</v>
      </c>
    </row>
    <row r="18750" spans="1:9" x14ac:dyDescent="0.25">
      <c r="A18750" s="515">
        <v>24079</v>
      </c>
      <c r="C18750" s="52">
        <v>180729.194380637</v>
      </c>
      <c r="D18750" s="56">
        <v>3.852200812174314E-2</v>
      </c>
      <c r="E18750" s="224" t="s">
        <v>2</v>
      </c>
      <c r="F18750" s="515" t="s">
        <v>19921</v>
      </c>
      <c r="G18750" s="52">
        <v>695373.64350329596</v>
      </c>
      <c r="H18750" s="56">
        <v>0.12658665749936807</v>
      </c>
      <c r="I18750" s="224" t="s">
        <v>2</v>
      </c>
    </row>
    <row r="18751" spans="1:9" x14ac:dyDescent="0.25">
      <c r="A18751" s="515">
        <v>74880</v>
      </c>
      <c r="C18751" s="52">
        <v>86880.104534993297</v>
      </c>
      <c r="D18751" s="56">
        <v>0.25774515199671039</v>
      </c>
      <c r="E18751" s="224" t="s">
        <v>2</v>
      </c>
      <c r="F18751" s="515" t="s">
        <v>19922</v>
      </c>
      <c r="G18751" s="52">
        <v>81181.527470060304</v>
      </c>
      <c r="H18751" s="56">
        <v>9.2261788630672859E-2</v>
      </c>
      <c r="I18751" s="224" t="s">
        <v>2</v>
      </c>
    </row>
    <row r="18752" spans="1:9" x14ac:dyDescent="0.25">
      <c r="A18752" s="515">
        <v>61373</v>
      </c>
      <c r="B18752" s="515" t="s">
        <v>556</v>
      </c>
      <c r="C18752" s="52">
        <v>228036.80281491499</v>
      </c>
      <c r="D18752" s="56">
        <v>1.3886934906700314E-2</v>
      </c>
      <c r="E18752" s="224" t="s">
        <v>2</v>
      </c>
      <c r="F18752" s="515" t="s">
        <v>19923</v>
      </c>
      <c r="G18752" s="52">
        <v>827204.14008875296</v>
      </c>
      <c r="H18752" s="56">
        <v>7.5039518699820812E-2</v>
      </c>
      <c r="I18752" s="224" t="s">
        <v>2</v>
      </c>
    </row>
    <row r="18753" spans="1:9" x14ac:dyDescent="0.25">
      <c r="A18753" s="515">
        <v>75555</v>
      </c>
      <c r="C18753" s="52">
        <v>179211.73380250201</v>
      </c>
      <c r="D18753" s="56">
        <v>-5.4457426386414959E-2</v>
      </c>
      <c r="E18753" s="224" t="s">
        <v>2</v>
      </c>
      <c r="F18753" s="515" t="s">
        <v>19924</v>
      </c>
      <c r="G18753" s="52">
        <v>53530.982814921001</v>
      </c>
      <c r="H18753" s="56">
        <v>2.6046858305944966E-2</v>
      </c>
      <c r="I18753" s="224" t="s">
        <v>2</v>
      </c>
    </row>
    <row r="18754" spans="1:9" x14ac:dyDescent="0.25">
      <c r="A18754" s="515">
        <v>47393</v>
      </c>
      <c r="B18754" s="515" t="s">
        <v>883</v>
      </c>
      <c r="C18754" s="52">
        <v>188286.871379285</v>
      </c>
      <c r="D18754" s="56">
        <v>9.6550231689419119E-2</v>
      </c>
      <c r="E18754" s="224" t="s">
        <v>2</v>
      </c>
      <c r="F18754" s="515" t="s">
        <v>19925</v>
      </c>
      <c r="G18754" s="52">
        <v>439269.54103030602</v>
      </c>
      <c r="H18754" s="56">
        <v>5.9706630386710542E-2</v>
      </c>
      <c r="I18754" s="224" t="s">
        <v>2</v>
      </c>
    </row>
    <row r="18755" spans="1:9" x14ac:dyDescent="0.25">
      <c r="A18755" s="515">
        <v>79370</v>
      </c>
      <c r="C18755" s="52">
        <v>62247.023089647002</v>
      </c>
      <c r="D18755" s="56">
        <v>0</v>
      </c>
      <c r="E18755" s="224" t="s">
        <v>2</v>
      </c>
      <c r="F18755" s="515" t="s">
        <v>19926</v>
      </c>
      <c r="G18755" s="52">
        <v>150848.79623184301</v>
      </c>
      <c r="H18755" s="56">
        <v>0.15415641231585359</v>
      </c>
      <c r="I18755" s="224" t="s">
        <v>2</v>
      </c>
    </row>
    <row r="18756" spans="1:9" x14ac:dyDescent="0.25">
      <c r="A18756" s="515">
        <v>96028</v>
      </c>
      <c r="B18756" s="515" t="s">
        <v>514</v>
      </c>
      <c r="C18756" s="52">
        <v>271553.89724074397</v>
      </c>
      <c r="D18756" s="56">
        <v>-2.5819271091183642E-2</v>
      </c>
      <c r="E18756" s="224" t="s">
        <v>2</v>
      </c>
      <c r="F18756" s="515" t="s">
        <v>19927</v>
      </c>
      <c r="G18756" s="52">
        <v>154637.83749282299</v>
      </c>
      <c r="H18756" s="56">
        <v>0</v>
      </c>
      <c r="I18756" s="224" t="s">
        <v>2</v>
      </c>
    </row>
    <row r="18757" spans="1:9" x14ac:dyDescent="0.25">
      <c r="A18757" s="515">
        <v>95311</v>
      </c>
      <c r="C18757" s="52">
        <v>299073.66129261901</v>
      </c>
      <c r="D18757" s="56">
        <v>-1.9517570753556538E-2</v>
      </c>
      <c r="E18757" s="224" t="s">
        <v>2</v>
      </c>
      <c r="F18757" s="515" t="s">
        <v>19928</v>
      </c>
      <c r="G18757" s="52">
        <v>265907.72113938699</v>
      </c>
      <c r="H18757" s="56">
        <v>7.1281056912056287E-2</v>
      </c>
      <c r="I18757" s="224" t="s">
        <v>2</v>
      </c>
    </row>
    <row r="18758" spans="1:9" x14ac:dyDescent="0.25">
      <c r="A18758" s="515">
        <v>78389</v>
      </c>
      <c r="B18758" s="515" t="s">
        <v>1096</v>
      </c>
      <c r="C18758" s="52">
        <v>145854.55851258701</v>
      </c>
      <c r="D18758" s="56">
        <v>0</v>
      </c>
      <c r="E18758" s="224" t="s">
        <v>2</v>
      </c>
      <c r="F18758" s="515" t="s">
        <v>19929</v>
      </c>
      <c r="G18758" s="52">
        <v>252898.40740740701</v>
      </c>
      <c r="H18758" s="56">
        <v>0</v>
      </c>
      <c r="I18758" s="224" t="s">
        <v>2</v>
      </c>
    </row>
    <row r="18759" spans="1:9" x14ac:dyDescent="0.25">
      <c r="A18759" s="515">
        <v>14055</v>
      </c>
      <c r="B18759" s="515" t="s">
        <v>336</v>
      </c>
      <c r="C18759" s="52">
        <v>246044.30898738699</v>
      </c>
      <c r="D18759" s="56">
        <v>9.3758023595777826E-2</v>
      </c>
      <c r="E18759" s="224" t="s">
        <v>2</v>
      </c>
      <c r="F18759" s="515" t="s">
        <v>19930</v>
      </c>
      <c r="G18759" s="52">
        <v>108890.365066208</v>
      </c>
      <c r="H18759" s="56">
        <v>0.1633091371461316</v>
      </c>
      <c r="I18759" s="224" t="s">
        <v>2</v>
      </c>
    </row>
    <row r="18760" spans="1:9" x14ac:dyDescent="0.25">
      <c r="A18760" s="515">
        <v>88252</v>
      </c>
      <c r="B18760" s="515" t="s">
        <v>1097</v>
      </c>
      <c r="C18760" s="52">
        <v>103787.49071641</v>
      </c>
      <c r="D18760" s="56">
        <v>0</v>
      </c>
      <c r="E18760" s="224" t="s">
        <v>2</v>
      </c>
      <c r="F18760" s="515" t="s">
        <v>19931</v>
      </c>
      <c r="G18760" s="52">
        <v>369938.55214016198</v>
      </c>
      <c r="H18760" s="56">
        <v>4.2808401241504326E-2</v>
      </c>
      <c r="I18760" s="224" t="s">
        <v>2</v>
      </c>
    </row>
    <row r="18761" spans="1:9" x14ac:dyDescent="0.25">
      <c r="A18761" s="515">
        <v>30522</v>
      </c>
      <c r="C18761" s="52">
        <v>438122.48453958501</v>
      </c>
      <c r="D18761" s="56">
        <v>9.5754974005917606E-2</v>
      </c>
      <c r="E18761" s="224" t="s">
        <v>2</v>
      </c>
      <c r="F18761" s="515" t="s">
        <v>19932</v>
      </c>
      <c r="G18761" s="52">
        <v>169447.01123727899</v>
      </c>
      <c r="H18761" s="56">
        <v>8.6750859491789761E-2</v>
      </c>
      <c r="I18761" s="224" t="s">
        <v>2</v>
      </c>
    </row>
    <row r="18762" spans="1:9" x14ac:dyDescent="0.25">
      <c r="A18762" s="515">
        <v>11548</v>
      </c>
      <c r="B18762" s="515" t="s">
        <v>324</v>
      </c>
      <c r="C18762" s="52">
        <v>839602.389872859</v>
      </c>
      <c r="D18762" s="56">
        <v>5.1124378805342728E-2</v>
      </c>
      <c r="E18762" s="224" t="s">
        <v>2</v>
      </c>
      <c r="F18762" s="515" t="s">
        <v>19933</v>
      </c>
      <c r="G18762" s="52">
        <v>191218.242769979</v>
      </c>
      <c r="H18762" s="56">
        <v>0.12938469472800299</v>
      </c>
      <c r="I18762" s="224" t="s">
        <v>2</v>
      </c>
    </row>
    <row r="18763" spans="1:9" x14ac:dyDescent="0.25">
      <c r="A18763" s="515">
        <v>38580</v>
      </c>
      <c r="B18763" s="515" t="s">
        <v>833</v>
      </c>
      <c r="C18763" s="52">
        <v>249419.09925568599</v>
      </c>
      <c r="D18763" s="56">
        <v>0.10066343904301644</v>
      </c>
      <c r="E18763" s="224" t="s">
        <v>2</v>
      </c>
      <c r="F18763" s="515" t="s">
        <v>19934</v>
      </c>
      <c r="G18763" s="52">
        <v>52839.636737548703</v>
      </c>
      <c r="H18763" s="56">
        <v>0</v>
      </c>
      <c r="I18763" s="224" t="s">
        <v>2</v>
      </c>
    </row>
    <row r="18764" spans="1:9" x14ac:dyDescent="0.25">
      <c r="A18764" s="515">
        <v>65641</v>
      </c>
      <c r="C18764" s="52">
        <v>233533.738298688</v>
      </c>
      <c r="D18764" s="56">
        <v>8.6949707374298107E-2</v>
      </c>
      <c r="E18764" s="224" t="s">
        <v>2</v>
      </c>
      <c r="F18764" s="515" t="s">
        <v>19935</v>
      </c>
      <c r="G18764" s="52">
        <v>83512.314097086302</v>
      </c>
      <c r="H18764" s="56">
        <v>0.1375763197346789</v>
      </c>
      <c r="I18764" s="224" t="s">
        <v>2</v>
      </c>
    </row>
    <row r="18765" spans="1:9" x14ac:dyDescent="0.25">
      <c r="A18765" s="515">
        <v>64648</v>
      </c>
      <c r="C18765" s="52">
        <v>182791.57407561899</v>
      </c>
      <c r="D18765" s="56">
        <v>0</v>
      </c>
      <c r="E18765" s="224" t="s">
        <v>2</v>
      </c>
      <c r="F18765" s="515" t="s">
        <v>19936</v>
      </c>
      <c r="G18765" s="52">
        <v>227414.065806953</v>
      </c>
      <c r="H18765" s="56">
        <v>7.5600965184614954E-2</v>
      </c>
      <c r="I18765" s="224" t="s">
        <v>2</v>
      </c>
    </row>
    <row r="18766" spans="1:9" x14ac:dyDescent="0.25">
      <c r="A18766" s="515">
        <v>26335</v>
      </c>
      <c r="C18766" s="52">
        <v>112450.04601912299</v>
      </c>
      <c r="D18766" s="56">
        <v>0.13867377096294978</v>
      </c>
      <c r="E18766" s="224" t="s">
        <v>2</v>
      </c>
      <c r="F18766" s="515" t="s">
        <v>19937</v>
      </c>
      <c r="G18766" s="52">
        <v>59268.906628106197</v>
      </c>
      <c r="H18766" s="56">
        <v>0.10274318700602034</v>
      </c>
      <c r="I18766" s="224" t="s">
        <v>2</v>
      </c>
    </row>
    <row r="18767" spans="1:9" x14ac:dyDescent="0.25">
      <c r="A18767" s="515">
        <v>53579</v>
      </c>
      <c r="B18767" s="515" t="s">
        <v>955</v>
      </c>
      <c r="C18767" s="52">
        <v>226401.24016262501</v>
      </c>
      <c r="D18767" s="56">
        <v>6.0821112666875836E-2</v>
      </c>
      <c r="E18767" s="224" t="s">
        <v>2</v>
      </c>
      <c r="F18767" s="515" t="s">
        <v>19938</v>
      </c>
      <c r="G18767" s="52">
        <v>450132.83041216299</v>
      </c>
      <c r="H18767" s="56">
        <v>0</v>
      </c>
      <c r="I18767" s="224" t="s">
        <v>2</v>
      </c>
    </row>
    <row r="18768" spans="1:9" x14ac:dyDescent="0.25">
      <c r="A18768" s="515">
        <v>38856</v>
      </c>
      <c r="B18768" s="515" t="s">
        <v>1010</v>
      </c>
      <c r="C18768" s="52">
        <v>124401.493260078</v>
      </c>
      <c r="D18768" s="56">
        <v>-2.4020493902571102E-2</v>
      </c>
      <c r="E18768" s="224" t="s">
        <v>2</v>
      </c>
      <c r="F18768" s="515" t="s">
        <v>19939</v>
      </c>
      <c r="G18768" s="52">
        <v>112437.568516342</v>
      </c>
      <c r="H18768" s="56">
        <v>3.2274305388921452E-3</v>
      </c>
      <c r="I18768" s="224" t="s">
        <v>2</v>
      </c>
    </row>
    <row r="18769" spans="1:9" x14ac:dyDescent="0.25">
      <c r="A18769" s="515">
        <v>14858</v>
      </c>
      <c r="B18769" s="515" t="s">
        <v>585</v>
      </c>
      <c r="C18769" s="52">
        <v>175499.046531759</v>
      </c>
      <c r="D18769" s="56">
        <v>0.10948594844553877</v>
      </c>
      <c r="E18769" s="224" t="s">
        <v>2</v>
      </c>
      <c r="F18769" s="515" t="s">
        <v>19940</v>
      </c>
      <c r="G18769" s="52">
        <v>153237.040250989</v>
      </c>
      <c r="H18769" s="56">
        <v>0</v>
      </c>
      <c r="I18769" s="224" t="s">
        <v>2</v>
      </c>
    </row>
    <row r="18770" spans="1:9" x14ac:dyDescent="0.25">
      <c r="A18770" s="515">
        <v>16313</v>
      </c>
      <c r="B18770" s="515" t="s">
        <v>584</v>
      </c>
      <c r="C18770" s="52">
        <v>93299.166374081804</v>
      </c>
      <c r="D18770" s="56">
        <v>0.10900325830682933</v>
      </c>
      <c r="E18770" s="224" t="s">
        <v>2</v>
      </c>
      <c r="F18770" s="515" t="s">
        <v>19941</v>
      </c>
      <c r="G18770" s="52">
        <v>280133.90080883802</v>
      </c>
      <c r="H18770" s="56">
        <v>1.799250919868137E-2</v>
      </c>
      <c r="I18770" s="224" t="s">
        <v>2</v>
      </c>
    </row>
    <row r="18771" spans="1:9" x14ac:dyDescent="0.25">
      <c r="A18771" s="515">
        <v>42729</v>
      </c>
      <c r="C18771" s="52">
        <v>125999.08407147499</v>
      </c>
      <c r="D18771" s="56">
        <v>0.18670647999138662</v>
      </c>
      <c r="E18771" s="224" t="s">
        <v>2</v>
      </c>
      <c r="F18771" s="515" t="s">
        <v>19942</v>
      </c>
      <c r="G18771" s="52">
        <v>115826.66512512301</v>
      </c>
      <c r="H18771" s="56">
        <v>0.17830207154804473</v>
      </c>
      <c r="I18771" s="224" t="s">
        <v>2</v>
      </c>
    </row>
    <row r="18772" spans="1:9" x14ac:dyDescent="0.25">
      <c r="A18772" s="515">
        <v>24566</v>
      </c>
      <c r="B18772" s="515" t="s">
        <v>901</v>
      </c>
      <c r="C18772" s="52">
        <v>138431.541396858</v>
      </c>
      <c r="D18772" s="56">
        <v>0.16996646027768644</v>
      </c>
      <c r="E18772" s="224" t="s">
        <v>2</v>
      </c>
      <c r="F18772" s="515" t="s">
        <v>19943</v>
      </c>
      <c r="G18772" s="52">
        <v>990466.91722943005</v>
      </c>
      <c r="H18772" s="56">
        <v>1.2560913013326366E-3</v>
      </c>
      <c r="I18772" s="224" t="s">
        <v>2</v>
      </c>
    </row>
    <row r="18773" spans="1:9" x14ac:dyDescent="0.25">
      <c r="A18773" s="515">
        <v>14544</v>
      </c>
      <c r="B18773" s="515" t="s">
        <v>337</v>
      </c>
      <c r="C18773" s="52">
        <v>260615.56002834599</v>
      </c>
      <c r="D18773" s="56">
        <v>0.11060772840349335</v>
      </c>
      <c r="E18773" s="224" t="s">
        <v>2</v>
      </c>
      <c r="F18773" s="515" t="s">
        <v>19944</v>
      </c>
      <c r="G18773" s="52">
        <v>359363.080826919</v>
      </c>
      <c r="H18773" s="56">
        <v>0.1248352489763299</v>
      </c>
      <c r="I18773" s="224" t="s">
        <v>2</v>
      </c>
    </row>
    <row r="18774" spans="1:9" x14ac:dyDescent="0.25">
      <c r="A18774" s="515">
        <v>14879</v>
      </c>
      <c r="B18774" s="515" t="s">
        <v>585</v>
      </c>
      <c r="C18774" s="52">
        <v>136481.713863971</v>
      </c>
      <c r="D18774" s="56">
        <v>0.13109981463243944</v>
      </c>
      <c r="E18774" s="224" t="s">
        <v>2</v>
      </c>
      <c r="F18774" s="515" t="s">
        <v>19945</v>
      </c>
      <c r="G18774" s="52">
        <v>289862.73036835802</v>
      </c>
      <c r="H18774" s="56">
        <v>0.10691007550453811</v>
      </c>
      <c r="I18774" s="224" t="s">
        <v>2</v>
      </c>
    </row>
    <row r="18775" spans="1:9" x14ac:dyDescent="0.25">
      <c r="A18775" s="515">
        <v>44866</v>
      </c>
      <c r="B18775" s="515" t="s">
        <v>305</v>
      </c>
      <c r="C18775" s="52">
        <v>218357.28271989501</v>
      </c>
      <c r="D18775" s="56">
        <v>0.11293197095276973</v>
      </c>
      <c r="E18775" s="224" t="s">
        <v>2</v>
      </c>
      <c r="F18775" s="515" t="s">
        <v>19946</v>
      </c>
      <c r="G18775" s="52">
        <v>157150.843093306</v>
      </c>
      <c r="H18775" s="56">
        <v>7.1575560184247919E-2</v>
      </c>
      <c r="I18775" s="224" t="s">
        <v>2</v>
      </c>
    </row>
    <row r="18776" spans="1:9" x14ac:dyDescent="0.25">
      <c r="A18776" s="515">
        <v>41121</v>
      </c>
      <c r="B18776" s="515" t="s">
        <v>602</v>
      </c>
      <c r="C18776" s="52">
        <v>114820.603916142</v>
      </c>
      <c r="D18776" s="56">
        <v>8.1729847806130532E-2</v>
      </c>
      <c r="E18776" s="224" t="s">
        <v>2</v>
      </c>
      <c r="F18776" s="515" t="s">
        <v>19947</v>
      </c>
      <c r="G18776" s="52">
        <v>94090.851878895293</v>
      </c>
      <c r="H18776" s="56">
        <v>0</v>
      </c>
      <c r="I18776" s="224" t="s">
        <v>2</v>
      </c>
    </row>
    <row r="18777" spans="1:9" x14ac:dyDescent="0.25">
      <c r="A18777" s="515">
        <v>62418</v>
      </c>
      <c r="C18777" s="52">
        <v>109127.07052048801</v>
      </c>
      <c r="D18777" s="56">
        <v>9.7906123802922115E-2</v>
      </c>
      <c r="E18777" s="224" t="s">
        <v>2</v>
      </c>
      <c r="F18777" s="515" t="s">
        <v>19948</v>
      </c>
      <c r="G18777" s="52">
        <v>305731.956217386</v>
      </c>
      <c r="H18777" s="56">
        <v>8.2354978281878252E-2</v>
      </c>
      <c r="I18777" s="224" t="s">
        <v>2</v>
      </c>
    </row>
    <row r="18778" spans="1:9" x14ac:dyDescent="0.25">
      <c r="A18778" s="515">
        <v>65668</v>
      </c>
      <c r="C18778" s="52">
        <v>178956.367444492</v>
      </c>
      <c r="D18778" s="56">
        <v>0.1319864408109474</v>
      </c>
      <c r="E18778" s="224" t="s">
        <v>2</v>
      </c>
      <c r="F18778" s="515" t="s">
        <v>19949</v>
      </c>
      <c r="G18778" s="52">
        <v>81112.749555545903</v>
      </c>
      <c r="H18778" s="56">
        <v>0</v>
      </c>
      <c r="I18778" s="224" t="s">
        <v>2</v>
      </c>
    </row>
    <row r="18779" spans="1:9" x14ac:dyDescent="0.25">
      <c r="A18779" s="515">
        <v>62931</v>
      </c>
      <c r="C18779" s="52">
        <v>90869.613404368996</v>
      </c>
      <c r="D18779" s="56">
        <v>-7.1737859074150279E-3</v>
      </c>
      <c r="E18779" s="224" t="s">
        <v>2</v>
      </c>
      <c r="F18779" s="515" t="s">
        <v>19950</v>
      </c>
      <c r="G18779" s="52">
        <v>155387.76258048401</v>
      </c>
      <c r="H18779" s="56">
        <v>9.4172659032700223E-2</v>
      </c>
      <c r="I18779" s="224" t="s">
        <v>2</v>
      </c>
    </row>
    <row r="18780" spans="1:9" x14ac:dyDescent="0.25">
      <c r="A18780" s="515">
        <v>1474</v>
      </c>
      <c r="B18780" s="515" t="s">
        <v>534</v>
      </c>
      <c r="C18780" s="52">
        <v>424691.309487338</v>
      </c>
      <c r="D18780" s="56">
        <v>8.5470113947628545E-2</v>
      </c>
      <c r="E18780" s="224" t="s">
        <v>2</v>
      </c>
      <c r="F18780" s="515" t="s">
        <v>19951</v>
      </c>
      <c r="G18780" s="52">
        <v>128324.61955308499</v>
      </c>
      <c r="H18780" s="56">
        <v>0.20889588385761668</v>
      </c>
      <c r="I18780" s="224" t="s">
        <v>2</v>
      </c>
    </row>
    <row r="18781" spans="1:9" x14ac:dyDescent="0.25">
      <c r="A18781" s="515">
        <v>1368</v>
      </c>
      <c r="B18781" s="515" t="s">
        <v>751</v>
      </c>
      <c r="C18781" s="52">
        <v>315125.56133761798</v>
      </c>
      <c r="D18781" s="56">
        <v>0.10014660607549372</v>
      </c>
      <c r="E18781" s="224" t="s">
        <v>2</v>
      </c>
      <c r="F18781" s="515" t="s">
        <v>19952</v>
      </c>
      <c r="G18781" s="52">
        <v>121900.183859632</v>
      </c>
      <c r="H18781" s="56">
        <v>9.1560063960220567E-3</v>
      </c>
      <c r="I18781" s="224" t="s">
        <v>2</v>
      </c>
    </row>
    <row r="18782" spans="1:9" x14ac:dyDescent="0.25">
      <c r="A18782" s="515">
        <v>24602</v>
      </c>
      <c r="B18782" s="515" t="s">
        <v>306</v>
      </c>
      <c r="C18782" s="52">
        <v>43874.455046003102</v>
      </c>
      <c r="D18782" s="56">
        <v>-1.2105087264360383E-2</v>
      </c>
      <c r="E18782" s="224" t="s">
        <v>2</v>
      </c>
      <c r="F18782" s="515" t="s">
        <v>19953</v>
      </c>
      <c r="G18782" s="52">
        <v>162875.403264475</v>
      </c>
      <c r="H18782" s="56">
        <v>0</v>
      </c>
      <c r="I18782" s="224" t="s">
        <v>2</v>
      </c>
    </row>
    <row r="18783" spans="1:9" x14ac:dyDescent="0.25">
      <c r="A18783" s="515">
        <v>71237</v>
      </c>
      <c r="C18783" s="52">
        <v>86145.055479698</v>
      </c>
      <c r="D18783" s="56">
        <v>0</v>
      </c>
      <c r="E18783" s="224" t="s">
        <v>2</v>
      </c>
      <c r="F18783" s="515" t="s">
        <v>19954</v>
      </c>
      <c r="G18783" s="52">
        <v>188102.535353535</v>
      </c>
      <c r="H18783" s="56">
        <v>0</v>
      </c>
      <c r="I18783" s="224" t="s">
        <v>2</v>
      </c>
    </row>
    <row r="18784" spans="1:9" x14ac:dyDescent="0.25">
      <c r="A18784" s="515">
        <v>67878</v>
      </c>
      <c r="C18784" s="52">
        <v>105014.66228734099</v>
      </c>
      <c r="D18784" s="56">
        <v>0.14142602669972476</v>
      </c>
      <c r="E18784" s="224" t="s">
        <v>2</v>
      </c>
      <c r="F18784" s="515" t="s">
        <v>19955</v>
      </c>
      <c r="G18784" s="52">
        <v>150710.46178354399</v>
      </c>
      <c r="H18784" s="56">
        <v>0.22485438518751427</v>
      </c>
      <c r="I18784" s="224" t="s">
        <v>2</v>
      </c>
    </row>
    <row r="18785" spans="1:9" x14ac:dyDescent="0.25">
      <c r="A18785" s="515">
        <v>38582</v>
      </c>
      <c r="B18785" s="515" t="s">
        <v>833</v>
      </c>
      <c r="C18785" s="52">
        <v>303109.28887049598</v>
      </c>
      <c r="D18785" s="56">
        <v>0.12218295476319882</v>
      </c>
      <c r="E18785" s="224" t="s">
        <v>2</v>
      </c>
      <c r="F18785" s="515" t="s">
        <v>19956</v>
      </c>
      <c r="G18785" s="52">
        <v>51174.181818181802</v>
      </c>
      <c r="H18785" s="56">
        <v>0</v>
      </c>
      <c r="I18785" s="224" t="s">
        <v>2</v>
      </c>
    </row>
    <row r="18786" spans="1:9" x14ac:dyDescent="0.25">
      <c r="A18786" s="515">
        <v>71357</v>
      </c>
      <c r="C18786" s="52">
        <v>70297.3767539377</v>
      </c>
      <c r="D18786" s="56">
        <v>0</v>
      </c>
      <c r="E18786" s="224" t="s">
        <v>2</v>
      </c>
      <c r="F18786" s="515" t="s">
        <v>19957</v>
      </c>
      <c r="G18786" s="52">
        <v>334941.27221365698</v>
      </c>
      <c r="H18786" s="56">
        <v>0.14848484723482536</v>
      </c>
      <c r="I18786" s="224" t="s">
        <v>2</v>
      </c>
    </row>
    <row r="18787" spans="1:9" x14ac:dyDescent="0.25">
      <c r="A18787" s="515">
        <v>68649</v>
      </c>
      <c r="B18787" s="515" t="s">
        <v>334</v>
      </c>
      <c r="C18787" s="52">
        <v>218336.66638694899</v>
      </c>
      <c r="D18787" s="56">
        <v>0.15953279855515459</v>
      </c>
      <c r="E18787" s="224" t="s">
        <v>2</v>
      </c>
      <c r="F18787" s="515" t="s">
        <v>19958</v>
      </c>
      <c r="G18787" s="52">
        <v>223156.048365336</v>
      </c>
      <c r="H18787" s="56">
        <v>0.13667201644654409</v>
      </c>
      <c r="I18787" s="224" t="s">
        <v>2</v>
      </c>
    </row>
    <row r="18788" spans="1:9" x14ac:dyDescent="0.25">
      <c r="A18788" s="515">
        <v>26711</v>
      </c>
      <c r="B18788" s="515" t="s">
        <v>629</v>
      </c>
      <c r="C18788" s="52">
        <v>265489.45181843202</v>
      </c>
      <c r="D18788" s="56">
        <v>0.11293522200739593</v>
      </c>
      <c r="E18788" s="224" t="s">
        <v>2</v>
      </c>
      <c r="F18788" s="515" t="s">
        <v>19959</v>
      </c>
      <c r="G18788" s="52">
        <v>101579.238371378</v>
      </c>
      <c r="H18788" s="56">
        <v>6.4822838398984284E-2</v>
      </c>
      <c r="I18788" s="224" t="s">
        <v>2</v>
      </c>
    </row>
    <row r="18789" spans="1:9" x14ac:dyDescent="0.25">
      <c r="A18789" s="515">
        <v>66531</v>
      </c>
      <c r="B18789" s="515" t="s">
        <v>795</v>
      </c>
      <c r="C18789" s="52">
        <v>172306.355049354</v>
      </c>
      <c r="D18789" s="56">
        <v>4.8198470517831438E-2</v>
      </c>
      <c r="E18789" s="224" t="s">
        <v>2</v>
      </c>
      <c r="F18789" s="515" t="s">
        <v>19960</v>
      </c>
      <c r="G18789" s="52">
        <v>167211.50857844701</v>
      </c>
      <c r="H18789" s="56">
        <v>9.9159061557505271E-2</v>
      </c>
      <c r="I18789" s="224" t="s">
        <v>2</v>
      </c>
    </row>
    <row r="18790" spans="1:9" x14ac:dyDescent="0.25">
      <c r="A18790" s="515">
        <v>54909</v>
      </c>
      <c r="B18790" s="515" t="s">
        <v>1095</v>
      </c>
      <c r="C18790" s="52">
        <v>178832.79680438101</v>
      </c>
      <c r="D18790" s="56">
        <v>5.1390262623432097E-2</v>
      </c>
      <c r="E18790" s="224" t="s">
        <v>2</v>
      </c>
      <c r="F18790" s="515" t="s">
        <v>19961</v>
      </c>
      <c r="G18790" s="52">
        <v>125992.24</v>
      </c>
      <c r="H18790" s="56">
        <v>0</v>
      </c>
      <c r="I18790" s="224" t="s">
        <v>2</v>
      </c>
    </row>
    <row r="18791" spans="1:9" x14ac:dyDescent="0.25">
      <c r="A18791" s="515">
        <v>95246</v>
      </c>
      <c r="C18791" s="52">
        <v>358865.55060428497</v>
      </c>
      <c r="D18791" s="56">
        <v>-2.7073139512124738E-2</v>
      </c>
      <c r="E18791" s="224" t="s">
        <v>2</v>
      </c>
      <c r="F18791" s="515" t="s">
        <v>19962</v>
      </c>
      <c r="G18791" s="52">
        <v>386358.77451610699</v>
      </c>
      <c r="H18791" s="56">
        <v>5.2915097077978993E-2</v>
      </c>
      <c r="I18791" s="224" t="s">
        <v>2</v>
      </c>
    </row>
    <row r="18792" spans="1:9" x14ac:dyDescent="0.25">
      <c r="A18792" s="515">
        <v>56266</v>
      </c>
      <c r="C18792" s="52">
        <v>134142.15655506501</v>
      </c>
      <c r="D18792" s="56">
        <v>3.4451409110785258E-2</v>
      </c>
      <c r="E18792" s="224" t="s">
        <v>2</v>
      </c>
      <c r="F18792" s="515" t="s">
        <v>19963</v>
      </c>
      <c r="G18792" s="52">
        <v>153245.97253182501</v>
      </c>
      <c r="H18792" s="56">
        <v>0</v>
      </c>
      <c r="I18792" s="224" t="s">
        <v>2</v>
      </c>
    </row>
    <row r="18793" spans="1:9" x14ac:dyDescent="0.25">
      <c r="A18793" s="515">
        <v>66020</v>
      </c>
      <c r="B18793" s="515" t="s">
        <v>455</v>
      </c>
      <c r="C18793" s="52">
        <v>334772.97955830803</v>
      </c>
      <c r="D18793" s="56">
        <v>0.17963505393343046</v>
      </c>
      <c r="E18793" s="224" t="s">
        <v>2</v>
      </c>
      <c r="F18793" s="515" t="s">
        <v>19964</v>
      </c>
      <c r="G18793" s="52">
        <v>247744.39173340899</v>
      </c>
      <c r="H18793" s="56">
        <v>9.5320720301885015E-2</v>
      </c>
      <c r="I18793" s="224" t="s">
        <v>2</v>
      </c>
    </row>
    <row r="18794" spans="1:9" x14ac:dyDescent="0.25">
      <c r="A18794" s="515">
        <v>38754</v>
      </c>
      <c r="C18794" s="52">
        <v>97016.488544371401</v>
      </c>
      <c r="D18794" s="56">
        <v>2.8010496407209758E-2</v>
      </c>
      <c r="E18794" s="224" t="s">
        <v>2</v>
      </c>
      <c r="F18794" s="515" t="s">
        <v>19965</v>
      </c>
      <c r="G18794" s="52">
        <v>241381.631100189</v>
      </c>
      <c r="H18794" s="56">
        <v>0.15076269970897163</v>
      </c>
      <c r="I18794" s="224" t="s">
        <v>2</v>
      </c>
    </row>
    <row r="18795" spans="1:9" x14ac:dyDescent="0.25">
      <c r="A18795" s="515">
        <v>46182</v>
      </c>
      <c r="B18795" s="515" t="s">
        <v>403</v>
      </c>
      <c r="C18795" s="52">
        <v>202641.63043747499</v>
      </c>
      <c r="D18795" s="56">
        <v>8.5260086220827258E-2</v>
      </c>
      <c r="E18795" s="224" t="s">
        <v>2</v>
      </c>
      <c r="F18795" s="515" t="s">
        <v>19966</v>
      </c>
      <c r="G18795" s="52">
        <v>267140.907531782</v>
      </c>
      <c r="H18795" s="56">
        <v>0</v>
      </c>
      <c r="I18795" s="224" t="s">
        <v>2</v>
      </c>
    </row>
    <row r="18796" spans="1:9" x14ac:dyDescent="0.25">
      <c r="A18796" s="515">
        <v>42133</v>
      </c>
      <c r="B18796" s="515" t="s">
        <v>829</v>
      </c>
      <c r="C18796" s="52">
        <v>127109.103161698</v>
      </c>
      <c r="D18796" s="56">
        <v>-7.0979236292468773E-2</v>
      </c>
      <c r="E18796" s="224" t="s">
        <v>2</v>
      </c>
      <c r="F18796" s="515" t="s">
        <v>19967</v>
      </c>
      <c r="G18796" s="52">
        <v>481496.16190873698</v>
      </c>
      <c r="H18796" s="56">
        <v>1.6659012004943932E-2</v>
      </c>
      <c r="I18796" s="224" t="s">
        <v>2</v>
      </c>
    </row>
    <row r="18797" spans="1:9" x14ac:dyDescent="0.25">
      <c r="A18797" s="515">
        <v>49640</v>
      </c>
      <c r="B18797" s="515" t="s">
        <v>366</v>
      </c>
      <c r="C18797" s="52">
        <v>316782.40645040199</v>
      </c>
      <c r="D18797" s="56">
        <v>0.10233475645083925</v>
      </c>
      <c r="E18797" s="224" t="s">
        <v>2</v>
      </c>
      <c r="F18797" s="515" t="s">
        <v>19968</v>
      </c>
      <c r="G18797" s="52">
        <v>304446.543936514</v>
      </c>
      <c r="H18797" s="56">
        <v>0.12630463836797806</v>
      </c>
      <c r="I18797" s="224" t="s">
        <v>2</v>
      </c>
    </row>
    <row r="18798" spans="1:9" x14ac:dyDescent="0.25">
      <c r="A18798" s="515">
        <v>29525</v>
      </c>
      <c r="B18798" s="515" t="s">
        <v>1130</v>
      </c>
      <c r="C18798" s="52">
        <v>74813.561312522099</v>
      </c>
      <c r="D18798" s="56">
        <v>0</v>
      </c>
      <c r="E18798" s="224" t="s">
        <v>2</v>
      </c>
      <c r="F18798" s="515" t="s">
        <v>19969</v>
      </c>
      <c r="G18798" s="52">
        <v>128836.56928477599</v>
      </c>
      <c r="H18798" s="56">
        <v>5.8519755105935267E-2</v>
      </c>
      <c r="I18798" s="224" t="s">
        <v>2</v>
      </c>
    </row>
    <row r="18799" spans="1:9" x14ac:dyDescent="0.25">
      <c r="A18799" s="515">
        <v>37729</v>
      </c>
      <c r="B18799" s="515" t="s">
        <v>907</v>
      </c>
      <c r="C18799" s="52">
        <v>85820.180597502607</v>
      </c>
      <c r="D18799" s="56">
        <v>0</v>
      </c>
      <c r="E18799" s="224" t="s">
        <v>2</v>
      </c>
      <c r="F18799" s="515" t="s">
        <v>19970</v>
      </c>
      <c r="G18799" s="52">
        <v>588186.25450991699</v>
      </c>
      <c r="H18799" s="56">
        <v>7.872763761032793E-2</v>
      </c>
      <c r="I18799" s="224" t="s">
        <v>2</v>
      </c>
    </row>
    <row r="18800" spans="1:9" x14ac:dyDescent="0.25">
      <c r="A18800" s="515">
        <v>95525</v>
      </c>
      <c r="B18800" s="515" t="s">
        <v>352</v>
      </c>
      <c r="C18800" s="52">
        <v>423803.95924533397</v>
      </c>
      <c r="D18800" s="56">
        <v>-7.5219119413202692E-3</v>
      </c>
      <c r="E18800" s="224" t="s">
        <v>2</v>
      </c>
      <c r="F18800" s="515" t="s">
        <v>19971</v>
      </c>
      <c r="G18800" s="52">
        <v>118673.75072310001</v>
      </c>
      <c r="H18800" s="56">
        <v>0</v>
      </c>
      <c r="I18800" s="224" t="s">
        <v>2</v>
      </c>
    </row>
    <row r="18801" spans="1:9" x14ac:dyDescent="0.25">
      <c r="A18801" s="515">
        <v>1068</v>
      </c>
      <c r="B18801" s="515" t="s">
        <v>751</v>
      </c>
      <c r="C18801" s="52">
        <v>395297.46320429799</v>
      </c>
      <c r="D18801" s="56">
        <v>0.10215193087471014</v>
      </c>
      <c r="E18801" s="224" t="s">
        <v>2</v>
      </c>
      <c r="F18801" s="515" t="s">
        <v>19972</v>
      </c>
      <c r="G18801" s="52">
        <v>168900.22350107</v>
      </c>
      <c r="H18801" s="56">
        <v>0.15339876863650323</v>
      </c>
      <c r="I18801" s="224" t="s">
        <v>2</v>
      </c>
    </row>
    <row r="18802" spans="1:9" x14ac:dyDescent="0.25">
      <c r="A18802" s="515">
        <v>62330</v>
      </c>
      <c r="B18802" s="515" t="s">
        <v>496</v>
      </c>
      <c r="C18802" s="52">
        <v>74785.405398945397</v>
      </c>
      <c r="D18802" s="56">
        <v>-3.8671292506143914E-2</v>
      </c>
      <c r="E18802" s="224" t="s">
        <v>2</v>
      </c>
      <c r="F18802" s="515" t="s">
        <v>19973</v>
      </c>
      <c r="G18802" s="52">
        <v>335659.192444032</v>
      </c>
      <c r="H18802" s="56">
        <v>0.18996913505744967</v>
      </c>
      <c r="I18802" s="224" t="s">
        <v>2</v>
      </c>
    </row>
    <row r="18803" spans="1:9" x14ac:dyDescent="0.25">
      <c r="A18803" s="515">
        <v>14861</v>
      </c>
      <c r="B18803" s="515" t="s">
        <v>724</v>
      </c>
      <c r="C18803" s="52">
        <v>152120.096471892</v>
      </c>
      <c r="D18803" s="56">
        <v>0.11043992950167114</v>
      </c>
      <c r="E18803" s="224" t="s">
        <v>2</v>
      </c>
      <c r="F18803" s="515" t="s">
        <v>19974</v>
      </c>
      <c r="G18803" s="52">
        <v>494125.63235215301</v>
      </c>
      <c r="H18803" s="56">
        <v>0.10577642146018484</v>
      </c>
      <c r="I18803" s="224" t="s">
        <v>2</v>
      </c>
    </row>
    <row r="18804" spans="1:9" x14ac:dyDescent="0.25">
      <c r="A18804" s="515">
        <v>12912</v>
      </c>
      <c r="C18804" s="52">
        <v>167384.46522881501</v>
      </c>
      <c r="D18804" s="56">
        <v>0.18103980401711783</v>
      </c>
      <c r="E18804" s="224" t="s">
        <v>2</v>
      </c>
      <c r="F18804" s="515" t="s">
        <v>19975</v>
      </c>
      <c r="G18804" s="52">
        <v>326706.93732677598</v>
      </c>
      <c r="H18804" s="56">
        <v>4.9781815489020234E-2</v>
      </c>
      <c r="I18804" s="224" t="s">
        <v>2</v>
      </c>
    </row>
    <row r="18805" spans="1:9" x14ac:dyDescent="0.25">
      <c r="A18805" s="515">
        <v>98241</v>
      </c>
      <c r="B18805" s="515" t="s">
        <v>384</v>
      </c>
      <c r="C18805" s="52">
        <v>395642.10459794599</v>
      </c>
      <c r="D18805" s="56">
        <v>2.99516638659547E-2</v>
      </c>
      <c r="E18805" s="224" t="s">
        <v>2</v>
      </c>
      <c r="F18805" s="515" t="s">
        <v>19976</v>
      </c>
      <c r="G18805" s="52">
        <v>93647.544466343199</v>
      </c>
      <c r="H18805" s="56">
        <v>0.13526970748285552</v>
      </c>
      <c r="I18805" s="224" t="s">
        <v>2</v>
      </c>
    </row>
    <row r="18806" spans="1:9" x14ac:dyDescent="0.25">
      <c r="A18806" s="515">
        <v>59088</v>
      </c>
      <c r="B18806" s="515" t="s">
        <v>637</v>
      </c>
      <c r="C18806" s="52">
        <v>378402.99531469599</v>
      </c>
      <c r="D18806" s="56">
        <v>0.13462167278600387</v>
      </c>
      <c r="E18806" s="224" t="s">
        <v>2</v>
      </c>
      <c r="F18806" s="515" t="s">
        <v>19977</v>
      </c>
      <c r="G18806" s="52">
        <v>647030.38012976397</v>
      </c>
      <c r="H18806" s="56">
        <v>8.9534556289764838E-2</v>
      </c>
      <c r="I18806" s="224" t="s">
        <v>2</v>
      </c>
    </row>
    <row r="18807" spans="1:9" x14ac:dyDescent="0.25">
      <c r="A18807" s="515">
        <v>97054</v>
      </c>
      <c r="B18807" s="515" t="s">
        <v>659</v>
      </c>
      <c r="C18807" s="52">
        <v>512743.17995933699</v>
      </c>
      <c r="D18807" s="56">
        <v>3.0272186365029406E-2</v>
      </c>
      <c r="E18807" s="224" t="s">
        <v>2</v>
      </c>
      <c r="F18807" s="515" t="s">
        <v>19978</v>
      </c>
      <c r="G18807" s="52">
        <v>239861.817500556</v>
      </c>
      <c r="H18807" s="56">
        <v>4.484161873813812E-2</v>
      </c>
      <c r="I18807" s="224" t="s">
        <v>2</v>
      </c>
    </row>
    <row r="18808" spans="1:9" x14ac:dyDescent="0.25">
      <c r="A18808" s="515">
        <v>15559</v>
      </c>
      <c r="C18808" s="52">
        <v>205358.84146333899</v>
      </c>
      <c r="D18808" s="56">
        <v>2.3646655871097332E-2</v>
      </c>
      <c r="E18808" s="224" t="s">
        <v>2</v>
      </c>
      <c r="F18808" s="515" t="s">
        <v>19979</v>
      </c>
      <c r="G18808" s="52">
        <v>381138.63700938202</v>
      </c>
      <c r="H18808" s="56">
        <v>3.4372023080808757E-2</v>
      </c>
      <c r="I18808" s="224" t="s">
        <v>2</v>
      </c>
    </row>
    <row r="18809" spans="1:9" x14ac:dyDescent="0.25">
      <c r="A18809" s="515">
        <v>47272</v>
      </c>
      <c r="B18809" s="515" t="s">
        <v>403</v>
      </c>
      <c r="C18809" s="52">
        <v>171451.10169051201</v>
      </c>
      <c r="D18809" s="56">
        <v>8.4309596938189707E-2</v>
      </c>
      <c r="E18809" s="224" t="s">
        <v>2</v>
      </c>
      <c r="F18809" s="515" t="s">
        <v>19980</v>
      </c>
      <c r="G18809" s="52">
        <v>225718.476956923</v>
      </c>
      <c r="H18809" s="56">
        <v>7.8322458246383383E-2</v>
      </c>
      <c r="I18809" s="224" t="s">
        <v>2</v>
      </c>
    </row>
    <row r="18810" spans="1:9" x14ac:dyDescent="0.25">
      <c r="A18810" s="515">
        <v>8752</v>
      </c>
      <c r="B18810" s="515" t="s">
        <v>324</v>
      </c>
      <c r="C18810" s="52">
        <v>681190.22344335902</v>
      </c>
      <c r="D18810" s="56">
        <v>6.3980305858316835E-2</v>
      </c>
      <c r="E18810" s="224" t="s">
        <v>2</v>
      </c>
      <c r="F18810" s="515" t="s">
        <v>19981</v>
      </c>
      <c r="G18810" s="52">
        <v>387961.03079338599</v>
      </c>
      <c r="H18810" s="56">
        <v>3.1187714305418498E-2</v>
      </c>
      <c r="I18810" s="224" t="s">
        <v>2</v>
      </c>
    </row>
    <row r="18811" spans="1:9" x14ac:dyDescent="0.25">
      <c r="A18811" s="515">
        <v>76471</v>
      </c>
      <c r="C18811" s="52">
        <v>176711.627008187</v>
      </c>
      <c r="D18811" s="56">
        <v>-1.6024952137521087E-2</v>
      </c>
      <c r="E18811" s="224" t="s">
        <v>2</v>
      </c>
      <c r="F18811" s="515" t="s">
        <v>19982</v>
      </c>
      <c r="G18811" s="52">
        <v>203259.22281558299</v>
      </c>
      <c r="H18811" s="56">
        <v>-9.3909537931603296E-2</v>
      </c>
      <c r="I18811" s="224" t="s">
        <v>2</v>
      </c>
    </row>
    <row r="18812" spans="1:9" x14ac:dyDescent="0.25">
      <c r="A18812" s="515">
        <v>31057</v>
      </c>
      <c r="C18812" s="52">
        <v>83500.129527817306</v>
      </c>
      <c r="D18812" s="56">
        <v>6.0665614051809237E-2</v>
      </c>
      <c r="E18812" s="224" t="s">
        <v>2</v>
      </c>
      <c r="F18812" s="515" t="s">
        <v>19983</v>
      </c>
      <c r="G18812" s="52">
        <v>105484.86110440599</v>
      </c>
      <c r="H18812" s="56">
        <v>9.5905092047376461E-2</v>
      </c>
      <c r="I18812" s="224" t="s">
        <v>2</v>
      </c>
    </row>
    <row r="18813" spans="1:9" x14ac:dyDescent="0.25">
      <c r="A18813" s="515">
        <v>25239</v>
      </c>
      <c r="B18813" s="515" t="s">
        <v>322</v>
      </c>
      <c r="C18813" s="52">
        <v>153932.12430258701</v>
      </c>
      <c r="D18813" s="56">
        <v>6.3515772864626077E-2</v>
      </c>
      <c r="E18813" s="224" t="s">
        <v>2</v>
      </c>
      <c r="F18813" s="515" t="s">
        <v>19984</v>
      </c>
      <c r="G18813" s="52">
        <v>208699.45737354699</v>
      </c>
      <c r="H18813" s="56">
        <v>0</v>
      </c>
      <c r="I18813" s="224" t="s">
        <v>2</v>
      </c>
    </row>
    <row r="18814" spans="1:9" x14ac:dyDescent="0.25">
      <c r="A18814" s="515">
        <v>2462</v>
      </c>
      <c r="B18814" s="515" t="s">
        <v>534</v>
      </c>
      <c r="C18814" s="52">
        <v>1103745.3198975499</v>
      </c>
      <c r="D18814" s="56">
        <v>6.0700193420710223E-2</v>
      </c>
      <c r="E18814" s="224" t="s">
        <v>2</v>
      </c>
      <c r="F18814" s="515" t="s">
        <v>19985</v>
      </c>
      <c r="G18814" s="52">
        <v>156868.202140988</v>
      </c>
      <c r="H18814" s="56">
        <v>3.9301754105123616E-4</v>
      </c>
      <c r="I18814" s="224" t="s">
        <v>2</v>
      </c>
    </row>
    <row r="18815" spans="1:9" x14ac:dyDescent="0.25">
      <c r="A18815" s="515">
        <v>47260</v>
      </c>
      <c r="B18815" s="515" t="s">
        <v>1016</v>
      </c>
      <c r="C18815" s="52">
        <v>140437.62864685501</v>
      </c>
      <c r="D18815" s="56">
        <v>8.9001929238175514E-2</v>
      </c>
      <c r="E18815" s="224" t="s">
        <v>2</v>
      </c>
      <c r="F18815" s="515" t="s">
        <v>19986</v>
      </c>
      <c r="G18815" s="52">
        <v>245883.91558037201</v>
      </c>
      <c r="H18815" s="56">
        <v>4.8769217507167804E-2</v>
      </c>
      <c r="I18815" s="224" t="s">
        <v>2</v>
      </c>
    </row>
    <row r="18816" spans="1:9" x14ac:dyDescent="0.25">
      <c r="A18816" s="515">
        <v>49620</v>
      </c>
      <c r="B18816" s="515" t="s">
        <v>937</v>
      </c>
      <c r="C18816" s="52">
        <v>211886.639823637</v>
      </c>
      <c r="D18816" s="56">
        <v>8.3789736123474734E-2</v>
      </c>
      <c r="E18816" s="224" t="s">
        <v>2</v>
      </c>
      <c r="F18816" s="515" t="s">
        <v>19987</v>
      </c>
      <c r="G18816" s="52">
        <v>161128.274268521</v>
      </c>
      <c r="H18816" s="56">
        <v>0.11555397004606631</v>
      </c>
      <c r="I18816" s="224" t="s">
        <v>2</v>
      </c>
    </row>
    <row r="18817" spans="1:9" x14ac:dyDescent="0.25">
      <c r="A18817" s="515">
        <v>51240</v>
      </c>
      <c r="C18817" s="52">
        <v>210374.752170886</v>
      </c>
      <c r="D18817" s="56">
        <v>0</v>
      </c>
      <c r="E18817" s="224" t="s">
        <v>2</v>
      </c>
      <c r="F18817" s="515" t="s">
        <v>19988</v>
      </c>
      <c r="G18817" s="52">
        <v>104539.142912978</v>
      </c>
      <c r="H18817" s="56">
        <v>0</v>
      </c>
      <c r="I18817" s="224" t="s">
        <v>2</v>
      </c>
    </row>
    <row r="18818" spans="1:9" x14ac:dyDescent="0.25">
      <c r="A18818" s="515">
        <v>76005</v>
      </c>
      <c r="B18818" s="515" t="s">
        <v>458</v>
      </c>
      <c r="C18818" s="52">
        <v>526314.81067434698</v>
      </c>
      <c r="D18818" s="56">
        <v>6.8818431031603372E-2</v>
      </c>
      <c r="E18818" s="224">
        <v>1811.8333333333301</v>
      </c>
      <c r="F18818" s="515" t="s">
        <v>19989</v>
      </c>
      <c r="G18818" s="52">
        <v>134425.871621472</v>
      </c>
      <c r="H18818" s="56">
        <v>8.940046891513756E-2</v>
      </c>
      <c r="I18818" s="224" t="s">
        <v>2</v>
      </c>
    </row>
    <row r="18819" spans="1:9" x14ac:dyDescent="0.25">
      <c r="A18819" s="515">
        <v>42078</v>
      </c>
      <c r="B18819" s="515" t="s">
        <v>846</v>
      </c>
      <c r="C18819" s="52">
        <v>92375.851999997001</v>
      </c>
      <c r="D18819" s="56">
        <v>0.18382807617996397</v>
      </c>
      <c r="E18819" s="224" t="s">
        <v>2</v>
      </c>
      <c r="F18819" s="515" t="s">
        <v>19990</v>
      </c>
      <c r="G18819" s="52">
        <v>114210.75231173501</v>
      </c>
      <c r="H18819" s="56">
        <v>-5.0077021559423091E-2</v>
      </c>
      <c r="I18819" s="224" t="s">
        <v>2</v>
      </c>
    </row>
    <row r="18820" spans="1:9" x14ac:dyDescent="0.25">
      <c r="A18820" s="515">
        <v>45877</v>
      </c>
      <c r="C18820" s="52">
        <v>184050.863431245</v>
      </c>
      <c r="D18820" s="56">
        <v>7.0435552234783164E-2</v>
      </c>
      <c r="E18820" s="224" t="s">
        <v>2</v>
      </c>
      <c r="F18820" s="515" t="s">
        <v>19991</v>
      </c>
      <c r="G18820" s="52">
        <v>312781.73399489198</v>
      </c>
      <c r="H18820" s="56">
        <v>-5.8477768684357272E-2</v>
      </c>
      <c r="I18820" s="224" t="s">
        <v>2</v>
      </c>
    </row>
    <row r="18821" spans="1:9" x14ac:dyDescent="0.25">
      <c r="A18821" s="515">
        <v>23919</v>
      </c>
      <c r="C18821" s="52">
        <v>147453.41159427</v>
      </c>
      <c r="D18821" s="56">
        <v>5.2493601393979218E-2</v>
      </c>
      <c r="E18821" s="224" t="s">
        <v>2</v>
      </c>
      <c r="F18821" s="515" t="s">
        <v>19992</v>
      </c>
      <c r="G18821" s="52">
        <v>51398.066988284299</v>
      </c>
      <c r="H18821" s="56">
        <v>0</v>
      </c>
      <c r="I18821" s="224" t="s">
        <v>2</v>
      </c>
    </row>
    <row r="18822" spans="1:9" x14ac:dyDescent="0.25">
      <c r="A18822" s="515">
        <v>12957</v>
      </c>
      <c r="B18822" s="515" t="s">
        <v>706</v>
      </c>
      <c r="C18822" s="52">
        <v>121707.16026785799</v>
      </c>
      <c r="D18822" s="56">
        <v>0.23209896276291092</v>
      </c>
      <c r="E18822" s="224" t="s">
        <v>2</v>
      </c>
      <c r="F18822" s="515" t="s">
        <v>19993</v>
      </c>
      <c r="G18822" s="52">
        <v>101331.494388655</v>
      </c>
      <c r="H18822" s="56">
        <v>1.4950078284081406E-2</v>
      </c>
      <c r="I18822" s="224" t="s">
        <v>2</v>
      </c>
    </row>
    <row r="18823" spans="1:9" x14ac:dyDescent="0.25">
      <c r="A18823" s="515">
        <v>79358</v>
      </c>
      <c r="B18823" s="515" t="s">
        <v>434</v>
      </c>
      <c r="C18823" s="52">
        <v>217879.55606159399</v>
      </c>
      <c r="D18823" s="56">
        <v>2.961754681379682E-2</v>
      </c>
      <c r="E18823" s="224" t="s">
        <v>2</v>
      </c>
      <c r="F18823" s="515" t="s">
        <v>19994</v>
      </c>
      <c r="G18823" s="52">
        <v>287026.33048561797</v>
      </c>
      <c r="H18823" s="56">
        <v>0.12185776668656519</v>
      </c>
      <c r="I18823" s="224" t="s">
        <v>2</v>
      </c>
    </row>
    <row r="18824" spans="1:9" x14ac:dyDescent="0.25">
      <c r="A18824" s="515">
        <v>48806</v>
      </c>
      <c r="B18824" s="515" t="s">
        <v>1019</v>
      </c>
      <c r="C18824" s="52">
        <v>138297.45313561201</v>
      </c>
      <c r="D18824" s="56">
        <v>-3.4153030316248327E-2</v>
      </c>
      <c r="E18824" s="224" t="s">
        <v>2</v>
      </c>
      <c r="F18824" s="515" t="s">
        <v>19995</v>
      </c>
      <c r="G18824" s="52">
        <v>304785.66505718802</v>
      </c>
      <c r="H18824" s="56">
        <v>0</v>
      </c>
      <c r="I18824" s="224" t="s">
        <v>2</v>
      </c>
    </row>
    <row r="18825" spans="1:9" x14ac:dyDescent="0.25">
      <c r="A18825" s="515">
        <v>12775</v>
      </c>
      <c r="C18825" s="52">
        <v>352286.36736906902</v>
      </c>
      <c r="D18825" s="56">
        <v>0.11211920299795873</v>
      </c>
      <c r="E18825" s="224" t="s">
        <v>2</v>
      </c>
      <c r="F18825" s="515" t="s">
        <v>19996</v>
      </c>
      <c r="G18825" s="52">
        <v>82174.575394576896</v>
      </c>
      <c r="H18825" s="56">
        <v>7.8161522915680223E-2</v>
      </c>
      <c r="I18825" s="224" t="s">
        <v>2</v>
      </c>
    </row>
    <row r="18826" spans="1:9" x14ac:dyDescent="0.25">
      <c r="A18826" s="515">
        <v>60938</v>
      </c>
      <c r="C18826" s="52">
        <v>111226.722121054</v>
      </c>
      <c r="D18826" s="56">
        <v>0.10648411695333347</v>
      </c>
      <c r="E18826" s="224" t="s">
        <v>2</v>
      </c>
      <c r="F18826" s="515" t="s">
        <v>19997</v>
      </c>
      <c r="G18826" s="52">
        <v>171879.52212317401</v>
      </c>
      <c r="H18826" s="56">
        <v>-1.5292146622929473E-2</v>
      </c>
      <c r="I18826" s="224" t="s">
        <v>2</v>
      </c>
    </row>
    <row r="18827" spans="1:9" x14ac:dyDescent="0.25">
      <c r="A18827" s="515">
        <v>30251</v>
      </c>
      <c r="B18827" s="515" t="s">
        <v>957</v>
      </c>
      <c r="C18827" s="52">
        <v>222209.235337085</v>
      </c>
      <c r="D18827" s="56">
        <v>0.16262609807293524</v>
      </c>
      <c r="E18827" s="224" t="s">
        <v>2</v>
      </c>
      <c r="F18827" s="515" t="s">
        <v>19998</v>
      </c>
      <c r="G18827" s="52">
        <v>2611844.7401608098</v>
      </c>
      <c r="H18827" s="56">
        <v>0.10790171415926082</v>
      </c>
      <c r="I18827" s="224" t="s">
        <v>2</v>
      </c>
    </row>
    <row r="18828" spans="1:9" x14ac:dyDescent="0.25">
      <c r="A18828" s="515">
        <v>83855</v>
      </c>
      <c r="B18828" s="515" t="s">
        <v>857</v>
      </c>
      <c r="C18828" s="52">
        <v>320894.32418944698</v>
      </c>
      <c r="D18828" s="56">
        <v>5.330899649098008E-2</v>
      </c>
      <c r="E18828" s="224" t="s">
        <v>2</v>
      </c>
      <c r="F18828" s="515" t="s">
        <v>19999</v>
      </c>
      <c r="G18828" s="52">
        <v>145995.59782608601</v>
      </c>
      <c r="H18828" s="56">
        <v>0</v>
      </c>
      <c r="I18828" s="224" t="s">
        <v>2</v>
      </c>
    </row>
    <row r="18829" spans="1:9" x14ac:dyDescent="0.25">
      <c r="A18829" s="515">
        <v>53007</v>
      </c>
      <c r="B18829" s="515" t="s">
        <v>950</v>
      </c>
      <c r="C18829" s="52">
        <v>226490.191922837</v>
      </c>
      <c r="D18829" s="56">
        <v>3.0322728568416907E-2</v>
      </c>
      <c r="E18829" s="224" t="s">
        <v>2</v>
      </c>
      <c r="F18829" s="515" t="s">
        <v>20000</v>
      </c>
      <c r="G18829" s="52">
        <v>313516.40170537098</v>
      </c>
      <c r="H18829" s="56">
        <v>8.061608593459002E-2</v>
      </c>
      <c r="I18829" s="224" t="s">
        <v>2</v>
      </c>
    </row>
    <row r="18830" spans="1:9" x14ac:dyDescent="0.25">
      <c r="A18830" s="515">
        <v>18371</v>
      </c>
      <c r="B18830" s="515" t="s">
        <v>324</v>
      </c>
      <c r="C18830" s="52">
        <v>275168.95128622302</v>
      </c>
      <c r="D18830" s="56">
        <v>9.8262231618659934E-2</v>
      </c>
      <c r="E18830" s="224" t="s">
        <v>2</v>
      </c>
      <c r="F18830" s="515" t="s">
        <v>20001</v>
      </c>
      <c r="G18830" s="52">
        <v>144258.411111111</v>
      </c>
      <c r="H18830" s="56">
        <v>0</v>
      </c>
      <c r="I18830" s="224" t="s">
        <v>2</v>
      </c>
    </row>
    <row r="18831" spans="1:9" x14ac:dyDescent="0.25">
      <c r="A18831" s="515">
        <v>79248</v>
      </c>
      <c r="C18831" s="52">
        <v>70029.993818915798</v>
      </c>
      <c r="D18831" s="56">
        <v>0</v>
      </c>
      <c r="E18831" s="224" t="s">
        <v>2</v>
      </c>
      <c r="F18831" s="515" t="s">
        <v>20002</v>
      </c>
      <c r="G18831" s="52">
        <v>77399.745268509098</v>
      </c>
      <c r="H18831" s="56">
        <v>0.31005261482434088</v>
      </c>
      <c r="I18831" s="224" t="s">
        <v>2</v>
      </c>
    </row>
    <row r="18832" spans="1:9" x14ac:dyDescent="0.25">
      <c r="A18832" s="515">
        <v>57382</v>
      </c>
      <c r="B18832" s="515" t="s">
        <v>5167</v>
      </c>
      <c r="C18832" s="52">
        <v>138265.036725577</v>
      </c>
      <c r="D18832" s="56">
        <v>3.0312695877876588E-2</v>
      </c>
      <c r="E18832" s="224" t="s">
        <v>2</v>
      </c>
      <c r="F18832" s="515" t="s">
        <v>20003</v>
      </c>
      <c r="G18832" s="52">
        <v>166253.666820432</v>
      </c>
      <c r="H18832" s="56">
        <v>0</v>
      </c>
      <c r="I18832" s="224" t="s">
        <v>2</v>
      </c>
    </row>
    <row r="18833" spans="1:9" x14ac:dyDescent="0.25">
      <c r="A18833" s="515">
        <v>51034</v>
      </c>
      <c r="C18833" s="52">
        <v>122398.06891402</v>
      </c>
      <c r="D18833" s="56">
        <v>8.1859733513153551E-2</v>
      </c>
      <c r="E18833" s="224" t="s">
        <v>2</v>
      </c>
      <c r="F18833" s="515" t="s">
        <v>20004</v>
      </c>
      <c r="G18833" s="52">
        <v>171832.683843582</v>
      </c>
      <c r="H18833" s="56">
        <v>1.5596441112094659E-3</v>
      </c>
      <c r="I18833" s="224" t="s">
        <v>2</v>
      </c>
    </row>
    <row r="18834" spans="1:9" x14ac:dyDescent="0.25">
      <c r="A18834" s="515">
        <v>53011</v>
      </c>
      <c r="B18834" s="515" t="s">
        <v>1063</v>
      </c>
      <c r="C18834" s="52">
        <v>254985.31214190199</v>
      </c>
      <c r="D18834" s="56">
        <v>5.5263938868072009E-2</v>
      </c>
      <c r="E18834" s="224" t="s">
        <v>2</v>
      </c>
      <c r="F18834" s="515" t="s">
        <v>20005</v>
      </c>
      <c r="G18834" s="52">
        <v>273006.39780169498</v>
      </c>
      <c r="H18834" s="56">
        <v>0.18385557858951718</v>
      </c>
      <c r="I18834" s="224" t="s">
        <v>2</v>
      </c>
    </row>
    <row r="18835" spans="1:9" x14ac:dyDescent="0.25">
      <c r="A18835" s="515">
        <v>54082</v>
      </c>
      <c r="B18835" s="515" t="s">
        <v>532</v>
      </c>
      <c r="C18835" s="52">
        <v>439845.78236425098</v>
      </c>
      <c r="D18835" s="56">
        <v>5.9841830351120555E-2</v>
      </c>
      <c r="E18835" s="224" t="s">
        <v>2</v>
      </c>
      <c r="F18835" s="515" t="s">
        <v>20006</v>
      </c>
      <c r="G18835" s="52">
        <v>51951.927499745398</v>
      </c>
      <c r="H18835" s="56">
        <v>-7.2351806595780501E-3</v>
      </c>
      <c r="I18835" s="224" t="s">
        <v>2</v>
      </c>
    </row>
    <row r="18836" spans="1:9" x14ac:dyDescent="0.25">
      <c r="A18836" s="515">
        <v>72619</v>
      </c>
      <c r="C18836" s="52">
        <v>176579.70906719301</v>
      </c>
      <c r="D18836" s="56">
        <v>0.10050044511173259</v>
      </c>
      <c r="E18836" s="224" t="s">
        <v>2</v>
      </c>
      <c r="F18836" s="515" t="s">
        <v>20007</v>
      </c>
      <c r="G18836" s="52">
        <v>164310.11348495801</v>
      </c>
      <c r="H18836" s="56">
        <v>5.5545138194307654E-2</v>
      </c>
      <c r="I18836" s="224" t="s">
        <v>2</v>
      </c>
    </row>
    <row r="18837" spans="1:9" x14ac:dyDescent="0.25">
      <c r="A18837" s="515">
        <v>72447</v>
      </c>
      <c r="B18837" s="515" t="s">
        <v>673</v>
      </c>
      <c r="C18837" s="52">
        <v>110162.022387729</v>
      </c>
      <c r="D18837" s="56">
        <v>2.5287966418919044E-2</v>
      </c>
      <c r="E18837" s="224" t="s">
        <v>2</v>
      </c>
      <c r="F18837" s="515" t="s">
        <v>20008</v>
      </c>
      <c r="G18837" s="52">
        <v>107566.633744184</v>
      </c>
      <c r="H18837" s="56">
        <v>0.17987654371695616</v>
      </c>
      <c r="I18837" s="224" t="s">
        <v>2</v>
      </c>
    </row>
    <row r="18838" spans="1:9" x14ac:dyDescent="0.25">
      <c r="A18838" s="515">
        <v>93545</v>
      </c>
      <c r="C18838" s="52">
        <v>315341.45632285002</v>
      </c>
      <c r="D18838" s="56">
        <v>0</v>
      </c>
      <c r="E18838" s="224" t="s">
        <v>2</v>
      </c>
      <c r="F18838" s="515" t="s">
        <v>20009</v>
      </c>
      <c r="G18838" s="52">
        <v>72218.076978089797</v>
      </c>
      <c r="H18838" s="56">
        <v>-7.1868161090411067E-2</v>
      </c>
      <c r="I18838" s="224" t="s">
        <v>2</v>
      </c>
    </row>
    <row r="18839" spans="1:9" x14ac:dyDescent="0.25">
      <c r="A18839" s="515">
        <v>27046</v>
      </c>
      <c r="B18839" s="515" t="s">
        <v>735</v>
      </c>
      <c r="C18839" s="52">
        <v>162598.74379541801</v>
      </c>
      <c r="D18839" s="56">
        <v>0.13695150868919972</v>
      </c>
      <c r="E18839" s="224" t="s">
        <v>2</v>
      </c>
      <c r="F18839" s="515" t="s">
        <v>20010</v>
      </c>
      <c r="G18839" s="52">
        <v>306125.40928328602</v>
      </c>
      <c r="H18839" s="56">
        <v>9.0401615640662999E-2</v>
      </c>
      <c r="I18839" s="224" t="s">
        <v>2</v>
      </c>
    </row>
    <row r="18840" spans="1:9" x14ac:dyDescent="0.25">
      <c r="A18840" s="515">
        <v>74471</v>
      </c>
      <c r="B18840" s="515" t="s">
        <v>899</v>
      </c>
      <c r="C18840" s="52">
        <v>166420.26163372901</v>
      </c>
      <c r="D18840" s="56">
        <v>7.0319249681591839E-2</v>
      </c>
      <c r="E18840" s="224" t="s">
        <v>2</v>
      </c>
      <c r="F18840" s="515" t="s">
        <v>20011</v>
      </c>
      <c r="G18840" s="52">
        <v>31816.810793494398</v>
      </c>
      <c r="H18840" s="56">
        <v>3.9096252610161746E-2</v>
      </c>
      <c r="I18840" s="224" t="s">
        <v>2</v>
      </c>
    </row>
    <row r="18841" spans="1:9" x14ac:dyDescent="0.25">
      <c r="A18841" s="515">
        <v>39859</v>
      </c>
      <c r="C18841" s="52">
        <v>122639.98577925201</v>
      </c>
      <c r="D18841" s="56">
        <v>3.0569247199981019E-2</v>
      </c>
      <c r="E18841" s="224" t="s">
        <v>2</v>
      </c>
      <c r="F18841" s="515" t="s">
        <v>20012</v>
      </c>
      <c r="G18841" s="52">
        <v>148688.21621621601</v>
      </c>
      <c r="H18841" s="56">
        <v>0</v>
      </c>
      <c r="I18841" s="224" t="s">
        <v>2</v>
      </c>
    </row>
    <row r="18842" spans="1:9" x14ac:dyDescent="0.25">
      <c r="A18842" s="515">
        <v>42048</v>
      </c>
      <c r="C18842" s="52">
        <v>91431.774056410606</v>
      </c>
      <c r="D18842" s="56">
        <v>0.10079588428013986</v>
      </c>
      <c r="E18842" s="224" t="s">
        <v>2</v>
      </c>
      <c r="F18842" s="515" t="s">
        <v>20013</v>
      </c>
      <c r="G18842" s="52">
        <v>433213.96150318102</v>
      </c>
      <c r="H18842" s="56">
        <v>8.6050415572847025E-2</v>
      </c>
      <c r="I18842" s="224" t="s">
        <v>2</v>
      </c>
    </row>
    <row r="18843" spans="1:9" x14ac:dyDescent="0.25">
      <c r="A18843" s="515">
        <v>36353</v>
      </c>
      <c r="B18843" s="515" t="s">
        <v>816</v>
      </c>
      <c r="C18843" s="52">
        <v>122679.329668647</v>
      </c>
      <c r="D18843" s="56">
        <v>3.9239015860480508E-2</v>
      </c>
      <c r="E18843" s="224" t="s">
        <v>2</v>
      </c>
      <c r="F18843" s="515" t="s">
        <v>20014</v>
      </c>
      <c r="G18843" s="52">
        <v>440174.702181342</v>
      </c>
      <c r="H18843" s="56">
        <v>-7.3937055010694822E-2</v>
      </c>
      <c r="I18843" s="224" t="s">
        <v>2</v>
      </c>
    </row>
    <row r="18844" spans="1:9" x14ac:dyDescent="0.25">
      <c r="A18844" s="515">
        <v>30541</v>
      </c>
      <c r="C18844" s="52">
        <v>342870.59646964399</v>
      </c>
      <c r="D18844" s="56">
        <v>1.6912902185515975E-2</v>
      </c>
      <c r="E18844" s="224" t="s">
        <v>2</v>
      </c>
      <c r="F18844" s="515" t="s">
        <v>20015</v>
      </c>
      <c r="G18844" s="52">
        <v>119324.04426512199</v>
      </c>
      <c r="H18844" s="56">
        <v>9.6510516848702446E-2</v>
      </c>
      <c r="I18844" s="224" t="s">
        <v>2</v>
      </c>
    </row>
    <row r="18845" spans="1:9" x14ac:dyDescent="0.25">
      <c r="A18845" s="515">
        <v>52203</v>
      </c>
      <c r="C18845" s="52">
        <v>247548.94280947099</v>
      </c>
      <c r="D18845" s="56">
        <v>9.0682747472529066E-2</v>
      </c>
      <c r="E18845" s="224" t="s">
        <v>2</v>
      </c>
      <c r="F18845" s="515" t="s">
        <v>20016</v>
      </c>
      <c r="G18845" s="52">
        <v>33808.740740740701</v>
      </c>
      <c r="H18845" s="56">
        <v>0</v>
      </c>
      <c r="I18845" s="224" t="s">
        <v>2</v>
      </c>
    </row>
    <row r="18846" spans="1:9" x14ac:dyDescent="0.25">
      <c r="A18846" s="515">
        <v>12052</v>
      </c>
      <c r="B18846" s="515" t="s">
        <v>609</v>
      </c>
      <c r="C18846" s="52">
        <v>244540.87727613599</v>
      </c>
      <c r="D18846" s="56">
        <v>7.7039417401168694E-2</v>
      </c>
      <c r="E18846" s="224" t="s">
        <v>2</v>
      </c>
      <c r="F18846" s="515" t="s">
        <v>20017</v>
      </c>
      <c r="G18846" s="52">
        <v>67359.811054676204</v>
      </c>
      <c r="H18846" s="56">
        <v>0.22525065303002417</v>
      </c>
      <c r="I18846" s="224" t="s">
        <v>2</v>
      </c>
    </row>
    <row r="18847" spans="1:9" x14ac:dyDescent="0.25">
      <c r="A18847" s="515">
        <v>62061</v>
      </c>
      <c r="B18847" s="515" t="s">
        <v>498</v>
      </c>
      <c r="C18847" s="52">
        <v>209869.625913114</v>
      </c>
      <c r="D18847" s="56">
        <v>8.4456813271920214E-2</v>
      </c>
      <c r="E18847" s="224" t="s">
        <v>2</v>
      </c>
      <c r="F18847" s="515" t="s">
        <v>20018</v>
      </c>
      <c r="G18847" s="52">
        <v>83779.073206709494</v>
      </c>
      <c r="H18847" s="56">
        <v>0.29864292340173482</v>
      </c>
      <c r="I18847" s="224" t="s">
        <v>2</v>
      </c>
    </row>
    <row r="18848" spans="1:9" x14ac:dyDescent="0.25">
      <c r="A18848" s="515">
        <v>73566</v>
      </c>
      <c r="C18848" s="52">
        <v>75326.864412790499</v>
      </c>
      <c r="D18848" s="56">
        <v>0.1050886339675101</v>
      </c>
      <c r="E18848" s="224" t="s">
        <v>2</v>
      </c>
      <c r="F18848" s="515" t="s">
        <v>20019</v>
      </c>
      <c r="G18848" s="52">
        <v>310074.928997521</v>
      </c>
      <c r="H18848" s="56">
        <v>0.10280049871275508</v>
      </c>
      <c r="I18848" s="224" t="s">
        <v>2</v>
      </c>
    </row>
    <row r="18849" spans="1:9" x14ac:dyDescent="0.25">
      <c r="A18849" s="515">
        <v>14065</v>
      </c>
      <c r="B18849" s="515" t="s">
        <v>870</v>
      </c>
      <c r="C18849" s="52">
        <v>164668.59203729199</v>
      </c>
      <c r="D18849" s="56">
        <v>0.15698275032390341</v>
      </c>
      <c r="E18849" s="224" t="s">
        <v>2</v>
      </c>
      <c r="F18849" s="515" t="s">
        <v>20020</v>
      </c>
      <c r="G18849" s="52">
        <v>231562.796995999</v>
      </c>
      <c r="H18849" s="56">
        <v>6.8374152664054846E-2</v>
      </c>
      <c r="I18849" s="224" t="s">
        <v>2</v>
      </c>
    </row>
    <row r="18850" spans="1:9" x14ac:dyDescent="0.25">
      <c r="A18850" s="515">
        <v>24347</v>
      </c>
      <c r="B18850" s="515" t="s">
        <v>597</v>
      </c>
      <c r="C18850" s="52">
        <v>165266.475928231</v>
      </c>
      <c r="D18850" s="56">
        <v>-3.181227214050289E-2</v>
      </c>
      <c r="E18850" s="224" t="s">
        <v>2</v>
      </c>
      <c r="F18850" s="515" t="s">
        <v>20021</v>
      </c>
      <c r="G18850" s="52">
        <v>475526.245798691</v>
      </c>
      <c r="H18850" s="56">
        <v>6.3721348183262402E-2</v>
      </c>
      <c r="I18850" s="224" t="s">
        <v>2</v>
      </c>
    </row>
    <row r="18851" spans="1:9" x14ac:dyDescent="0.25">
      <c r="A18851" s="515">
        <v>50830</v>
      </c>
      <c r="C18851" s="52">
        <v>133612.59768239601</v>
      </c>
      <c r="D18851" s="56">
        <v>0</v>
      </c>
      <c r="E18851" s="224" t="s">
        <v>2</v>
      </c>
      <c r="F18851" s="515" t="s">
        <v>20022</v>
      </c>
      <c r="G18851" s="52">
        <v>176991.405454589</v>
      </c>
      <c r="H18851" s="56">
        <v>0</v>
      </c>
      <c r="I18851" s="224" t="s">
        <v>2</v>
      </c>
    </row>
    <row r="18852" spans="1:9" x14ac:dyDescent="0.25">
      <c r="A18852" s="515">
        <v>81525</v>
      </c>
      <c r="B18852" s="515" t="s">
        <v>619</v>
      </c>
      <c r="C18852" s="52">
        <v>382343.43282095302</v>
      </c>
      <c r="D18852" s="56">
        <v>5.1545994164705178E-2</v>
      </c>
      <c r="E18852" s="224" t="s">
        <v>2</v>
      </c>
      <c r="F18852" s="515" t="s">
        <v>20023</v>
      </c>
      <c r="G18852" s="52">
        <v>265303.95081967203</v>
      </c>
      <c r="H18852" s="56">
        <v>0</v>
      </c>
      <c r="I18852" s="224" t="s">
        <v>2</v>
      </c>
    </row>
    <row r="18853" spans="1:9" x14ac:dyDescent="0.25">
      <c r="A18853" s="515">
        <v>67058</v>
      </c>
      <c r="C18853" s="52">
        <v>89343.220072486802</v>
      </c>
      <c r="D18853" s="56">
        <v>0.12656938040501656</v>
      </c>
      <c r="E18853" s="224" t="s">
        <v>2</v>
      </c>
      <c r="F18853" s="515" t="s">
        <v>20024</v>
      </c>
      <c r="G18853" s="52">
        <v>77904.741021463095</v>
      </c>
      <c r="H18853" s="56">
        <v>-1.6509318324784979E-2</v>
      </c>
      <c r="I18853" s="224" t="s">
        <v>2</v>
      </c>
    </row>
    <row r="18854" spans="1:9" x14ac:dyDescent="0.25">
      <c r="A18854" s="515">
        <v>4942</v>
      </c>
      <c r="C18854" s="52">
        <v>155321.32472493601</v>
      </c>
      <c r="D18854" s="56">
        <v>9.2836070988276911E-2</v>
      </c>
      <c r="E18854" s="224" t="s">
        <v>2</v>
      </c>
      <c r="F18854" s="515" t="s">
        <v>20025</v>
      </c>
      <c r="G18854" s="52">
        <v>106101.291222445</v>
      </c>
      <c r="H18854" s="56">
        <v>0.18265189066055956</v>
      </c>
      <c r="I18854" s="224" t="s">
        <v>2</v>
      </c>
    </row>
    <row r="18855" spans="1:9" x14ac:dyDescent="0.25">
      <c r="A18855" s="515">
        <v>67428</v>
      </c>
      <c r="B18855" s="515" t="s">
        <v>812</v>
      </c>
      <c r="C18855" s="52">
        <v>164615.911987695</v>
      </c>
      <c r="D18855" s="56">
        <v>6.5628129062015109E-2</v>
      </c>
      <c r="E18855" s="224" t="s">
        <v>2</v>
      </c>
      <c r="F18855" s="515" t="s">
        <v>20026</v>
      </c>
      <c r="G18855" s="52">
        <v>70033.181407547498</v>
      </c>
      <c r="H18855" s="56">
        <v>0.12541117241258365</v>
      </c>
      <c r="I18855" s="224" t="s">
        <v>2</v>
      </c>
    </row>
    <row r="18856" spans="1:9" x14ac:dyDescent="0.25">
      <c r="A18856" s="515">
        <v>12461</v>
      </c>
      <c r="B18856" s="515" t="s">
        <v>307</v>
      </c>
      <c r="C18856" s="52">
        <v>440477.59575156902</v>
      </c>
      <c r="D18856" s="56">
        <v>0.14053610751489026</v>
      </c>
      <c r="E18856" s="224" t="s">
        <v>2</v>
      </c>
      <c r="F18856" s="515" t="s">
        <v>20027</v>
      </c>
      <c r="G18856" s="52">
        <v>105920.320888285</v>
      </c>
      <c r="H18856" s="56">
        <v>9.7839768045499945E-2</v>
      </c>
      <c r="I18856" s="224" t="s">
        <v>2</v>
      </c>
    </row>
    <row r="18857" spans="1:9" x14ac:dyDescent="0.25">
      <c r="A18857" s="515">
        <v>3217</v>
      </c>
      <c r="B18857" s="515" t="s">
        <v>420</v>
      </c>
      <c r="C18857" s="52">
        <v>285646.24785274098</v>
      </c>
      <c r="D18857" s="56">
        <v>0.12800039222829285</v>
      </c>
      <c r="E18857" s="224" t="s">
        <v>2</v>
      </c>
      <c r="F18857" s="515" t="s">
        <v>20028</v>
      </c>
      <c r="G18857" s="52">
        <v>89648.012113131306</v>
      </c>
      <c r="H18857" s="56">
        <v>0</v>
      </c>
      <c r="I18857" s="224" t="s">
        <v>2</v>
      </c>
    </row>
    <row r="18858" spans="1:9" x14ac:dyDescent="0.25">
      <c r="A18858" s="515">
        <v>25422</v>
      </c>
      <c r="B18858" s="515" t="s">
        <v>654</v>
      </c>
      <c r="C18858" s="52">
        <v>218123.09353913399</v>
      </c>
      <c r="D18858" s="56">
        <v>0.14060150676264635</v>
      </c>
      <c r="E18858" s="224" t="s">
        <v>2</v>
      </c>
      <c r="F18858" s="515" t="s">
        <v>20029</v>
      </c>
      <c r="G18858" s="52">
        <v>174429.097323002</v>
      </c>
      <c r="H18858" s="56">
        <v>9.2867410702483735E-2</v>
      </c>
      <c r="I18858" s="224" t="s">
        <v>2</v>
      </c>
    </row>
    <row r="18859" spans="1:9" x14ac:dyDescent="0.25">
      <c r="A18859" s="515">
        <v>42712</v>
      </c>
      <c r="C18859" s="52">
        <v>132614.29727929301</v>
      </c>
      <c r="D18859" s="56">
        <v>0.13544165705753239</v>
      </c>
      <c r="E18859" s="224" t="s">
        <v>2</v>
      </c>
      <c r="F18859" s="515" t="s">
        <v>20030</v>
      </c>
      <c r="G18859" s="52">
        <v>107898.170731707</v>
      </c>
      <c r="H18859" s="56">
        <v>0</v>
      </c>
      <c r="I18859" s="224" t="s">
        <v>2</v>
      </c>
    </row>
    <row r="18860" spans="1:9" x14ac:dyDescent="0.25">
      <c r="A18860" s="515">
        <v>12548</v>
      </c>
      <c r="B18860" s="515" t="s">
        <v>307</v>
      </c>
      <c r="C18860" s="52">
        <v>375701.20316751802</v>
      </c>
      <c r="D18860" s="56">
        <v>0.10412521096113986</v>
      </c>
      <c r="E18860" s="224" t="s">
        <v>2</v>
      </c>
      <c r="F18860" s="515" t="s">
        <v>20031</v>
      </c>
      <c r="G18860" s="52">
        <v>125151.20153741</v>
      </c>
      <c r="H18860" s="56">
        <v>0.13197418453083895</v>
      </c>
      <c r="I18860" s="224" t="s">
        <v>2</v>
      </c>
    </row>
    <row r="18861" spans="1:9" x14ac:dyDescent="0.25">
      <c r="A18861" s="515">
        <v>67642</v>
      </c>
      <c r="C18861" s="52">
        <v>79332.201253381296</v>
      </c>
      <c r="D18861" s="56">
        <v>5.0877185953253447E-2</v>
      </c>
      <c r="E18861" s="224" t="s">
        <v>2</v>
      </c>
      <c r="F18861" s="515" t="s">
        <v>20032</v>
      </c>
      <c r="G18861" s="52">
        <v>139146.616339937</v>
      </c>
      <c r="H18861" s="56">
        <v>0.10120067142756541</v>
      </c>
      <c r="I18861" s="224" t="s">
        <v>2</v>
      </c>
    </row>
    <row r="18862" spans="1:9" x14ac:dyDescent="0.25">
      <c r="A18862" s="515">
        <v>67154</v>
      </c>
      <c r="B18862" s="515" t="s">
        <v>485</v>
      </c>
      <c r="C18862" s="52">
        <v>199360.97275613199</v>
      </c>
      <c r="D18862" s="56">
        <v>8.6900378404507234E-2</v>
      </c>
      <c r="E18862" s="224" t="s">
        <v>2</v>
      </c>
      <c r="F18862" s="515" t="s">
        <v>20033</v>
      </c>
      <c r="G18862" s="52">
        <v>210001.867109491</v>
      </c>
      <c r="H18862" s="56">
        <v>0.11259693953313774</v>
      </c>
      <c r="I18862" s="224" t="s">
        <v>2</v>
      </c>
    </row>
    <row r="18863" spans="1:9" x14ac:dyDescent="0.25">
      <c r="A18863" s="515">
        <v>49125</v>
      </c>
      <c r="B18863" s="515" t="s">
        <v>698</v>
      </c>
      <c r="C18863" s="52">
        <v>352685.56369412999</v>
      </c>
      <c r="D18863" s="56">
        <v>9.9040763113266109E-2</v>
      </c>
      <c r="E18863" s="224" t="s">
        <v>2</v>
      </c>
      <c r="F18863" s="515" t="s">
        <v>20034</v>
      </c>
      <c r="G18863" s="52">
        <v>85117.025639232103</v>
      </c>
      <c r="H18863" s="56">
        <v>8.4212429390148877E-2</v>
      </c>
      <c r="I18863" s="224" t="s">
        <v>2</v>
      </c>
    </row>
    <row r="18864" spans="1:9" x14ac:dyDescent="0.25">
      <c r="A18864" s="515">
        <v>59037</v>
      </c>
      <c r="B18864" s="515" t="s">
        <v>637</v>
      </c>
      <c r="C18864" s="52">
        <v>440911.27745404298</v>
      </c>
      <c r="D18864" s="56">
        <v>0.10007008585353085</v>
      </c>
      <c r="E18864" s="224" t="s">
        <v>2</v>
      </c>
      <c r="F18864" s="515" t="s">
        <v>20035</v>
      </c>
      <c r="G18864" s="52">
        <v>126163.660898255</v>
      </c>
      <c r="H18864" s="56">
        <v>4.8758075564312532E-2</v>
      </c>
      <c r="I18864" s="224" t="s">
        <v>2</v>
      </c>
    </row>
    <row r="18865" spans="1:9" x14ac:dyDescent="0.25">
      <c r="A18865" s="515">
        <v>95439</v>
      </c>
      <c r="B18865" s="515" t="s">
        <v>331</v>
      </c>
      <c r="C18865" s="52">
        <v>831119.172717056</v>
      </c>
      <c r="D18865" s="56">
        <v>-3.643653351908354E-2</v>
      </c>
      <c r="E18865" s="224" t="s">
        <v>2</v>
      </c>
      <c r="F18865" s="515" t="s">
        <v>20036</v>
      </c>
      <c r="G18865" s="52">
        <v>161707.29471793</v>
      </c>
      <c r="H18865" s="56">
        <v>0.18480894666470246</v>
      </c>
      <c r="I18865" s="224" t="s">
        <v>2</v>
      </c>
    </row>
    <row r="18866" spans="1:9" x14ac:dyDescent="0.25">
      <c r="A18866" s="515">
        <v>78615</v>
      </c>
      <c r="B18866" s="515" t="s">
        <v>380</v>
      </c>
      <c r="C18866" s="52">
        <v>468194.843373332</v>
      </c>
      <c r="D18866" s="56">
        <v>8.6157783420209383E-2</v>
      </c>
      <c r="E18866" s="224" t="s">
        <v>2</v>
      </c>
      <c r="F18866" s="515" t="s">
        <v>20037</v>
      </c>
      <c r="G18866" s="52">
        <v>175387.82531844301</v>
      </c>
      <c r="H18866" s="56">
        <v>3.1163641127176137E-2</v>
      </c>
      <c r="I18866" s="224" t="s">
        <v>2</v>
      </c>
    </row>
    <row r="18867" spans="1:9" x14ac:dyDescent="0.25">
      <c r="A18867" s="515">
        <v>99116</v>
      </c>
      <c r="C18867" s="52">
        <v>226787.20934946401</v>
      </c>
      <c r="D18867" s="56">
        <v>8.3112651697523146E-2</v>
      </c>
      <c r="E18867" s="224" t="s">
        <v>2</v>
      </c>
      <c r="F18867" s="515" t="s">
        <v>20038</v>
      </c>
      <c r="G18867" s="52">
        <v>77540.792392288597</v>
      </c>
      <c r="H18867" s="56">
        <v>-3.5589124788124878E-2</v>
      </c>
      <c r="I18867" s="224" t="s">
        <v>2</v>
      </c>
    </row>
    <row r="18868" spans="1:9" x14ac:dyDescent="0.25">
      <c r="A18868" s="515">
        <v>31807</v>
      </c>
      <c r="B18868" s="515" t="s">
        <v>778</v>
      </c>
      <c r="C18868" s="52">
        <v>311884.39168654202</v>
      </c>
      <c r="D18868" s="56">
        <v>7.4798468515199654E-2</v>
      </c>
      <c r="E18868" s="224" t="s">
        <v>2</v>
      </c>
      <c r="F18868" s="515" t="s">
        <v>20039</v>
      </c>
      <c r="G18868" s="52">
        <v>109804.11750059199</v>
      </c>
      <c r="H18868" s="56">
        <v>0</v>
      </c>
      <c r="I18868" s="224" t="s">
        <v>2</v>
      </c>
    </row>
    <row r="18869" spans="1:9" x14ac:dyDescent="0.25">
      <c r="A18869" s="515">
        <v>57062</v>
      </c>
      <c r="C18869" s="52">
        <v>153399.08659105501</v>
      </c>
      <c r="D18869" s="56">
        <v>3.4960691730046352E-2</v>
      </c>
      <c r="E18869" s="224" t="s">
        <v>2</v>
      </c>
      <c r="F18869" s="515" t="s">
        <v>20040</v>
      </c>
      <c r="G18869" s="52">
        <v>120255.21376626899</v>
      </c>
      <c r="H18869" s="56">
        <v>8.009793935359831E-2</v>
      </c>
      <c r="I18869" s="224" t="s">
        <v>2</v>
      </c>
    </row>
    <row r="18870" spans="1:9" x14ac:dyDescent="0.25">
      <c r="A18870" s="515">
        <v>59868</v>
      </c>
      <c r="B18870" s="515" t="s">
        <v>1060</v>
      </c>
      <c r="C18870" s="52">
        <v>533728.73346072901</v>
      </c>
      <c r="D18870" s="56">
        <v>0.10010989230337856</v>
      </c>
      <c r="E18870" s="224" t="s">
        <v>2</v>
      </c>
      <c r="F18870" s="515" t="s">
        <v>20041</v>
      </c>
      <c r="G18870" s="52">
        <v>190474.568156722</v>
      </c>
      <c r="H18870" s="56">
        <v>0.1514981465582281</v>
      </c>
      <c r="I18870" s="224" t="s">
        <v>2</v>
      </c>
    </row>
    <row r="18871" spans="1:9" x14ac:dyDescent="0.25">
      <c r="A18871" s="515">
        <v>21657</v>
      </c>
      <c r="B18871" s="515" t="s">
        <v>582</v>
      </c>
      <c r="C18871" s="52">
        <v>365335.75975135399</v>
      </c>
      <c r="D18871" s="56">
        <v>1.6235715483519181E-2</v>
      </c>
      <c r="E18871" s="224" t="s">
        <v>2</v>
      </c>
      <c r="F18871" s="515" t="s">
        <v>20042</v>
      </c>
      <c r="G18871" s="52">
        <v>306031.19194759597</v>
      </c>
      <c r="H18871" s="56">
        <v>0.11328459917136677</v>
      </c>
      <c r="I18871" s="224" t="s">
        <v>2</v>
      </c>
    </row>
    <row r="18872" spans="1:9" x14ac:dyDescent="0.25">
      <c r="A18872" s="515">
        <v>97121</v>
      </c>
      <c r="B18872" s="515" t="s">
        <v>742</v>
      </c>
      <c r="C18872" s="52">
        <v>452442.18382121797</v>
      </c>
      <c r="D18872" s="56">
        <v>5.3871590970251119E-2</v>
      </c>
      <c r="E18872" s="224" t="s">
        <v>2</v>
      </c>
      <c r="F18872" s="515" t="s">
        <v>20043</v>
      </c>
      <c r="G18872" s="52">
        <v>98007.894293586607</v>
      </c>
      <c r="H18872" s="56">
        <v>9.4014888090962756E-2</v>
      </c>
      <c r="I18872" s="224" t="s">
        <v>2</v>
      </c>
    </row>
    <row r="18873" spans="1:9" x14ac:dyDescent="0.25">
      <c r="A18873" s="515">
        <v>24328</v>
      </c>
      <c r="C18873" s="52">
        <v>179102.62059506899</v>
      </c>
      <c r="D18873" s="56">
        <v>5.3299362833967405E-2</v>
      </c>
      <c r="E18873" s="224" t="s">
        <v>2</v>
      </c>
      <c r="F18873" s="515" t="s">
        <v>20044</v>
      </c>
      <c r="G18873" s="52">
        <v>338235.57215695502</v>
      </c>
      <c r="H18873" s="56">
        <v>0.14525373499469479</v>
      </c>
      <c r="I18873" s="224" t="s">
        <v>2</v>
      </c>
    </row>
    <row r="18874" spans="1:9" x14ac:dyDescent="0.25">
      <c r="A18874" s="515">
        <v>8349</v>
      </c>
      <c r="B18874" s="515" t="s">
        <v>557</v>
      </c>
      <c r="C18874" s="52">
        <v>140675.151058527</v>
      </c>
      <c r="D18874" s="56">
        <v>0.18312959935183151</v>
      </c>
      <c r="E18874" s="224" t="s">
        <v>2</v>
      </c>
      <c r="F18874" s="515" t="s">
        <v>20045</v>
      </c>
      <c r="G18874" s="52">
        <v>179288.897435897</v>
      </c>
      <c r="H18874" s="56">
        <v>0</v>
      </c>
      <c r="I18874" s="224" t="s">
        <v>2</v>
      </c>
    </row>
    <row r="18875" spans="1:9" x14ac:dyDescent="0.25">
      <c r="A18875" s="515">
        <v>63013</v>
      </c>
      <c r="B18875" s="515" t="s">
        <v>498</v>
      </c>
      <c r="C18875" s="52">
        <v>254261.87380522001</v>
      </c>
      <c r="D18875" s="56">
        <v>0.10743770474689376</v>
      </c>
      <c r="E18875" s="224" t="s">
        <v>2</v>
      </c>
      <c r="F18875" s="515" t="s">
        <v>20046</v>
      </c>
      <c r="G18875" s="52">
        <v>186189.794520547</v>
      </c>
      <c r="H18875" s="56">
        <v>0</v>
      </c>
      <c r="I18875" s="224" t="s">
        <v>2</v>
      </c>
    </row>
    <row r="18876" spans="1:9" x14ac:dyDescent="0.25">
      <c r="A18876" s="515">
        <v>14129</v>
      </c>
      <c r="B18876" s="515" t="s">
        <v>870</v>
      </c>
      <c r="C18876" s="52">
        <v>153975.51803608</v>
      </c>
      <c r="D18876" s="56">
        <v>0.11791577105752214</v>
      </c>
      <c r="E18876" s="224" t="s">
        <v>2</v>
      </c>
      <c r="F18876" s="515" t="s">
        <v>20047</v>
      </c>
      <c r="G18876" s="52">
        <v>259539.68656957601</v>
      </c>
      <c r="H18876" s="56">
        <v>0.12961960808619308</v>
      </c>
      <c r="I18876" s="224" t="s">
        <v>2</v>
      </c>
    </row>
    <row r="18877" spans="1:9" x14ac:dyDescent="0.25">
      <c r="A18877" s="515">
        <v>44064</v>
      </c>
      <c r="B18877" s="515" t="s">
        <v>520</v>
      </c>
      <c r="C18877" s="52">
        <v>246831.402699189</v>
      </c>
      <c r="D18877" s="56">
        <v>8.7060850438276688E-2</v>
      </c>
      <c r="E18877" s="224" t="s">
        <v>2</v>
      </c>
      <c r="F18877" s="515" t="s">
        <v>20048</v>
      </c>
      <c r="G18877" s="52">
        <v>134958.26089500001</v>
      </c>
      <c r="H18877" s="56">
        <v>7.4496301227955142E-2</v>
      </c>
      <c r="I18877" s="224" t="s">
        <v>2</v>
      </c>
    </row>
    <row r="18878" spans="1:9" x14ac:dyDescent="0.25">
      <c r="A18878" s="515">
        <v>97324</v>
      </c>
      <c r="B18878" s="515" t="s">
        <v>1094</v>
      </c>
      <c r="C18878" s="52">
        <v>414649.03623446001</v>
      </c>
      <c r="D18878" s="56">
        <v>4.9785857612824028E-4</v>
      </c>
      <c r="E18878" s="224" t="s">
        <v>2</v>
      </c>
      <c r="F18878" s="515" t="s">
        <v>20049</v>
      </c>
      <c r="G18878" s="52">
        <v>177310.19819819799</v>
      </c>
      <c r="H18878" s="56">
        <v>0</v>
      </c>
      <c r="I18878" s="224" t="s">
        <v>2</v>
      </c>
    </row>
    <row r="18879" spans="1:9" x14ac:dyDescent="0.25">
      <c r="A18879" s="515">
        <v>12463</v>
      </c>
      <c r="C18879" s="52">
        <v>289410.65085243899</v>
      </c>
      <c r="D18879" s="56">
        <v>0.10882857421140668</v>
      </c>
      <c r="E18879" s="224" t="s">
        <v>2</v>
      </c>
      <c r="F18879" s="515" t="s">
        <v>20050</v>
      </c>
      <c r="G18879" s="52">
        <v>230533.784725896</v>
      </c>
      <c r="H18879" s="56">
        <v>0.11305205919270728</v>
      </c>
      <c r="I18879" s="224" t="s">
        <v>2</v>
      </c>
    </row>
    <row r="18880" spans="1:9" x14ac:dyDescent="0.25">
      <c r="A18880" s="515">
        <v>93667</v>
      </c>
      <c r="B18880" s="515" t="s">
        <v>541</v>
      </c>
      <c r="C18880" s="52">
        <v>375056.21382702602</v>
      </c>
      <c r="D18880" s="56">
        <v>1.542687732291273E-2</v>
      </c>
      <c r="E18880" s="224" t="s">
        <v>2</v>
      </c>
      <c r="F18880" s="515" t="s">
        <v>20051</v>
      </c>
      <c r="G18880" s="52">
        <v>287333.46078407299</v>
      </c>
      <c r="H18880" s="56">
        <v>0.14895988595814247</v>
      </c>
      <c r="I18880" s="224" t="s">
        <v>2</v>
      </c>
    </row>
    <row r="18881" spans="1:9" x14ac:dyDescent="0.25">
      <c r="A18881" s="515">
        <v>24931</v>
      </c>
      <c r="C18881" s="52">
        <v>165719.09227203799</v>
      </c>
      <c r="D18881" s="56">
        <v>0.10421039016414679</v>
      </c>
      <c r="E18881" s="224" t="s">
        <v>2</v>
      </c>
      <c r="F18881" s="515" t="s">
        <v>20052</v>
      </c>
      <c r="G18881" s="52">
        <v>44005.221641963901</v>
      </c>
      <c r="H18881" s="56">
        <v>5.1520679123102042E-2</v>
      </c>
      <c r="I18881" s="224" t="s">
        <v>2</v>
      </c>
    </row>
    <row r="18882" spans="1:9" x14ac:dyDescent="0.25">
      <c r="A18882" s="515">
        <v>4443</v>
      </c>
      <c r="C18882" s="52">
        <v>177888.870611764</v>
      </c>
      <c r="D18882" s="56">
        <v>0.10735477680240781</v>
      </c>
      <c r="E18882" s="224" t="s">
        <v>2</v>
      </c>
      <c r="F18882" s="515" t="s">
        <v>20053</v>
      </c>
      <c r="G18882" s="52">
        <v>414481.300303353</v>
      </c>
      <c r="H18882" s="56">
        <v>0.11824876946108014</v>
      </c>
      <c r="I18882" s="224" t="s">
        <v>2</v>
      </c>
    </row>
    <row r="18883" spans="1:9" x14ac:dyDescent="0.25">
      <c r="A18883" s="515">
        <v>80512</v>
      </c>
      <c r="B18883" s="515" t="s">
        <v>738</v>
      </c>
      <c r="C18883" s="52">
        <v>527649.05756044004</v>
      </c>
      <c r="D18883" s="56">
        <v>7.7185979573194008E-2</v>
      </c>
      <c r="E18883" s="224" t="s">
        <v>2</v>
      </c>
      <c r="F18883" s="515" t="s">
        <v>20054</v>
      </c>
      <c r="G18883" s="52">
        <v>115554.386528852</v>
      </c>
      <c r="H18883" s="56">
        <v>0.12189989365984195</v>
      </c>
      <c r="I18883" s="224" t="s">
        <v>2</v>
      </c>
    </row>
    <row r="18884" spans="1:9" x14ac:dyDescent="0.25">
      <c r="A18884" s="515">
        <v>73526</v>
      </c>
      <c r="B18884" s="515" t="s">
        <v>805</v>
      </c>
      <c r="C18884" s="52">
        <v>127084.620711857</v>
      </c>
      <c r="D18884" s="56">
        <v>4.1119557614566225E-2</v>
      </c>
      <c r="E18884" s="224" t="s">
        <v>2</v>
      </c>
      <c r="F18884" s="515" t="s">
        <v>20055</v>
      </c>
      <c r="G18884" s="52">
        <v>260401.356840864</v>
      </c>
      <c r="H18884" s="56">
        <v>6.8323630579351882E-2</v>
      </c>
      <c r="I18884" s="224" t="s">
        <v>2</v>
      </c>
    </row>
    <row r="18885" spans="1:9" x14ac:dyDescent="0.25">
      <c r="A18885" s="515">
        <v>42406</v>
      </c>
      <c r="B18885" s="515" t="s">
        <v>911</v>
      </c>
      <c r="C18885" s="52">
        <v>153090.54989476799</v>
      </c>
      <c r="D18885" s="56">
        <v>0.15412367296105181</v>
      </c>
      <c r="E18885" s="224" t="s">
        <v>2</v>
      </c>
      <c r="F18885" s="515" t="s">
        <v>20056</v>
      </c>
      <c r="G18885" s="52">
        <v>138352.996773778</v>
      </c>
      <c r="H18885" s="56">
        <v>0</v>
      </c>
      <c r="I18885" s="224" t="s">
        <v>2</v>
      </c>
    </row>
    <row r="18886" spans="1:9" x14ac:dyDescent="0.25">
      <c r="A18886" s="515">
        <v>16639</v>
      </c>
      <c r="B18886" s="515" t="s">
        <v>828</v>
      </c>
      <c r="C18886" s="52">
        <v>72969.257299118399</v>
      </c>
      <c r="D18886" s="56">
        <v>-0.15844995002746748</v>
      </c>
      <c r="E18886" s="224" t="s">
        <v>2</v>
      </c>
      <c r="F18886" s="515" t="s">
        <v>20057</v>
      </c>
      <c r="G18886" s="52">
        <v>203888.43902439001</v>
      </c>
      <c r="H18886" s="56">
        <v>0</v>
      </c>
      <c r="I18886" s="224" t="s">
        <v>2</v>
      </c>
    </row>
    <row r="18887" spans="1:9" x14ac:dyDescent="0.25">
      <c r="A18887" s="515">
        <v>74422</v>
      </c>
      <c r="B18887" s="515" t="s">
        <v>538</v>
      </c>
      <c r="C18887" s="52">
        <v>144131.12162617999</v>
      </c>
      <c r="D18887" s="56">
        <v>0.13437120692511961</v>
      </c>
      <c r="E18887" s="224" t="s">
        <v>2</v>
      </c>
      <c r="F18887" s="515" t="s">
        <v>20058</v>
      </c>
      <c r="G18887" s="52">
        <v>255906.47624138801</v>
      </c>
      <c r="H18887" s="56">
        <v>0.21699051460562152</v>
      </c>
      <c r="I18887" s="224" t="s">
        <v>2</v>
      </c>
    </row>
    <row r="18888" spans="1:9" x14ac:dyDescent="0.25">
      <c r="A18888" s="515">
        <v>39337</v>
      </c>
      <c r="C18888" s="52">
        <v>126030.788974817</v>
      </c>
      <c r="D18888" s="56">
        <v>-2.1612106703580131E-2</v>
      </c>
      <c r="E18888" s="224" t="s">
        <v>2</v>
      </c>
      <c r="F18888" s="515" t="s">
        <v>20059</v>
      </c>
      <c r="G18888" s="52">
        <v>176557.189674547</v>
      </c>
      <c r="H18888" s="56">
        <v>0.20875202915330537</v>
      </c>
      <c r="I18888" s="224" t="s">
        <v>2</v>
      </c>
    </row>
    <row r="18889" spans="1:9" x14ac:dyDescent="0.25">
      <c r="A18889" s="515">
        <v>81630</v>
      </c>
      <c r="B18889" s="515" t="s">
        <v>725</v>
      </c>
      <c r="C18889" s="52">
        <v>310665.939236762</v>
      </c>
      <c r="D18889" s="56">
        <v>5.7330196090223988E-2</v>
      </c>
      <c r="E18889" s="224" t="s">
        <v>2</v>
      </c>
      <c r="F18889" s="515" t="s">
        <v>20060</v>
      </c>
      <c r="G18889" s="52">
        <v>323218.89487436501</v>
      </c>
      <c r="H18889" s="56">
        <v>3.1390655465182042E-2</v>
      </c>
      <c r="I18889" s="224" t="s">
        <v>2</v>
      </c>
    </row>
    <row r="18890" spans="1:9" x14ac:dyDescent="0.25">
      <c r="A18890" s="515">
        <v>66521</v>
      </c>
      <c r="B18890" s="515" t="s">
        <v>795</v>
      </c>
      <c r="C18890" s="52">
        <v>166602.82039118701</v>
      </c>
      <c r="D18890" s="56">
        <v>7.196826193891559E-2</v>
      </c>
      <c r="E18890" s="224" t="s">
        <v>2</v>
      </c>
      <c r="F18890" s="515" t="s">
        <v>20061</v>
      </c>
      <c r="G18890" s="52">
        <v>69073.370370370307</v>
      </c>
      <c r="H18890" s="56">
        <v>0</v>
      </c>
      <c r="I18890" s="224" t="s">
        <v>2</v>
      </c>
    </row>
    <row r="18891" spans="1:9" x14ac:dyDescent="0.25">
      <c r="A18891" s="515">
        <v>45735</v>
      </c>
      <c r="B18891" s="515" t="s">
        <v>578</v>
      </c>
      <c r="C18891" s="52">
        <v>167784.97543176499</v>
      </c>
      <c r="D18891" s="56">
        <v>8.7705921421479344E-2</v>
      </c>
      <c r="E18891" s="224" t="s">
        <v>2</v>
      </c>
      <c r="F18891" s="515" t="s">
        <v>20062</v>
      </c>
      <c r="G18891" s="52">
        <v>102253.87019819301</v>
      </c>
      <c r="H18891" s="56">
        <v>-8.7561732820808317E-3</v>
      </c>
      <c r="I18891" s="224" t="s">
        <v>2</v>
      </c>
    </row>
    <row r="18892" spans="1:9" x14ac:dyDescent="0.25">
      <c r="A18892" s="515">
        <v>25275</v>
      </c>
      <c r="B18892" s="515" t="s">
        <v>322</v>
      </c>
      <c r="C18892" s="52">
        <v>159634.46800550699</v>
      </c>
      <c r="D18892" s="56">
        <v>1.6507878961034384E-2</v>
      </c>
      <c r="E18892" s="224" t="s">
        <v>2</v>
      </c>
      <c r="F18892" s="515" t="s">
        <v>20063</v>
      </c>
      <c r="G18892" s="52">
        <v>95104.672902283593</v>
      </c>
      <c r="H18892" s="56">
        <v>-6.0905095428616725E-2</v>
      </c>
      <c r="I18892" s="224" t="s">
        <v>2</v>
      </c>
    </row>
    <row r="18893" spans="1:9" x14ac:dyDescent="0.25">
      <c r="A18893" s="515">
        <v>5822</v>
      </c>
      <c r="C18893" s="52">
        <v>211786.84052556599</v>
      </c>
      <c r="D18893" s="56">
        <v>0.10342416364448059</v>
      </c>
      <c r="E18893" s="224" t="s">
        <v>2</v>
      </c>
      <c r="F18893" s="515" t="s">
        <v>20064</v>
      </c>
      <c r="G18893" s="52">
        <v>428755.95464429399</v>
      </c>
      <c r="H18893" s="56">
        <v>5.1072227786338596E-2</v>
      </c>
      <c r="I18893" s="224" t="s">
        <v>2</v>
      </c>
    </row>
    <row r="18894" spans="1:9" x14ac:dyDescent="0.25">
      <c r="A18894" s="515">
        <v>65332</v>
      </c>
      <c r="B18894" s="515" t="s">
        <v>798</v>
      </c>
      <c r="C18894" s="52">
        <v>213413.76207250301</v>
      </c>
      <c r="D18894" s="56">
        <v>0.11130003929544156</v>
      </c>
      <c r="E18894" s="224" t="s">
        <v>2</v>
      </c>
      <c r="F18894" s="515" t="s">
        <v>20065</v>
      </c>
      <c r="G18894" s="52">
        <v>341920.94809874299</v>
      </c>
      <c r="H18894" s="56">
        <v>0.1257686909769479</v>
      </c>
      <c r="I18894" s="224" t="s">
        <v>2</v>
      </c>
    </row>
    <row r="18895" spans="1:9" x14ac:dyDescent="0.25">
      <c r="A18895" s="515">
        <v>14427</v>
      </c>
      <c r="C18895" s="52">
        <v>148145.78837119901</v>
      </c>
      <c r="D18895" s="56">
        <v>6.8945852040033714E-2</v>
      </c>
      <c r="E18895" s="224" t="s">
        <v>2</v>
      </c>
      <c r="F18895" s="515" t="s">
        <v>20066</v>
      </c>
      <c r="G18895" s="52">
        <v>89068.227263645793</v>
      </c>
      <c r="H18895" s="56">
        <v>0</v>
      </c>
      <c r="I18895" s="224" t="s">
        <v>2</v>
      </c>
    </row>
    <row r="18896" spans="1:9" x14ac:dyDescent="0.25">
      <c r="A18896" s="515">
        <v>53503</v>
      </c>
      <c r="B18896" s="515" t="s">
        <v>727</v>
      </c>
      <c r="C18896" s="52">
        <v>254566.51536825101</v>
      </c>
      <c r="D18896" s="56">
        <v>6.6824100513399223E-2</v>
      </c>
      <c r="E18896" s="224" t="s">
        <v>2</v>
      </c>
      <c r="F18896" s="515" t="s">
        <v>20067</v>
      </c>
      <c r="G18896" s="52">
        <v>82792.529287301004</v>
      </c>
      <c r="H18896" s="56">
        <v>0.19331542311429684</v>
      </c>
      <c r="I18896" s="224" t="s">
        <v>2</v>
      </c>
    </row>
    <row r="18897" spans="1:9" x14ac:dyDescent="0.25">
      <c r="A18897" s="515">
        <v>15757</v>
      </c>
      <c r="B18897" s="515" t="s">
        <v>876</v>
      </c>
      <c r="C18897" s="52">
        <v>77732.0609137055</v>
      </c>
      <c r="D18897" s="56">
        <v>0</v>
      </c>
      <c r="E18897" s="224" t="s">
        <v>2</v>
      </c>
      <c r="F18897" s="515" t="s">
        <v>20068</v>
      </c>
      <c r="G18897" s="52">
        <v>557417.29842593195</v>
      </c>
      <c r="H18897" s="56">
        <v>1.1488391235395409E-2</v>
      </c>
      <c r="I18897" s="224" t="s">
        <v>2</v>
      </c>
    </row>
    <row r="18898" spans="1:9" x14ac:dyDescent="0.25">
      <c r="A18898" s="515">
        <v>67074</v>
      </c>
      <c r="B18898" s="515" t="s">
        <v>485</v>
      </c>
      <c r="C18898" s="52">
        <v>185591.84898719401</v>
      </c>
      <c r="D18898" s="56">
        <v>8.907112165033397E-2</v>
      </c>
      <c r="E18898" s="224" t="s">
        <v>2</v>
      </c>
      <c r="F18898" s="515" t="s">
        <v>20069</v>
      </c>
      <c r="G18898" s="52">
        <v>103658.640625</v>
      </c>
      <c r="H18898" s="56">
        <v>0</v>
      </c>
      <c r="I18898" s="224" t="s">
        <v>2</v>
      </c>
    </row>
    <row r="18899" spans="1:9" x14ac:dyDescent="0.25">
      <c r="A18899" s="515">
        <v>73057</v>
      </c>
      <c r="C18899" s="52">
        <v>109568.786746133</v>
      </c>
      <c r="D18899" s="56">
        <v>0.13318033840820873</v>
      </c>
      <c r="E18899" s="224" t="s">
        <v>2</v>
      </c>
      <c r="F18899" s="515" t="s">
        <v>20070</v>
      </c>
      <c r="G18899" s="52">
        <v>157825.57874469401</v>
      </c>
      <c r="H18899" s="56">
        <v>0.14929191506286055</v>
      </c>
      <c r="I18899" s="224" t="s">
        <v>2</v>
      </c>
    </row>
    <row r="18900" spans="1:9" x14ac:dyDescent="0.25">
      <c r="A18900" s="515">
        <v>4941</v>
      </c>
      <c r="C18900" s="52">
        <v>242279.23967380601</v>
      </c>
      <c r="D18900" s="56">
        <v>8.7444200937208838E-2</v>
      </c>
      <c r="E18900" s="224" t="s">
        <v>2</v>
      </c>
      <c r="F18900" s="515" t="s">
        <v>20071</v>
      </c>
      <c r="G18900" s="52">
        <v>238449.89493197101</v>
      </c>
      <c r="H18900" s="56">
        <v>5.1343966041712708E-2</v>
      </c>
      <c r="I18900" s="224" t="s">
        <v>2</v>
      </c>
    </row>
    <row r="18901" spans="1:9" x14ac:dyDescent="0.25">
      <c r="A18901" s="515">
        <v>62513</v>
      </c>
      <c r="B18901" s="515" t="s">
        <v>540</v>
      </c>
      <c r="C18901" s="52">
        <v>109298.995708844</v>
      </c>
      <c r="D18901" s="56">
        <v>2.8494926895394398E-2</v>
      </c>
      <c r="E18901" s="224" t="s">
        <v>2</v>
      </c>
      <c r="F18901" s="515" t="s">
        <v>20072</v>
      </c>
      <c r="G18901" s="52">
        <v>114638.698816102</v>
      </c>
      <c r="H18901" s="56">
        <v>0.15177801180617306</v>
      </c>
      <c r="I18901" s="224" t="s">
        <v>2</v>
      </c>
    </row>
    <row r="18902" spans="1:9" x14ac:dyDescent="0.25">
      <c r="A18902" s="515">
        <v>69358</v>
      </c>
      <c r="B18902" s="515" t="s">
        <v>966</v>
      </c>
      <c r="C18902" s="52">
        <v>159117.477736053</v>
      </c>
      <c r="D18902" s="56">
        <v>0.13169388535993479</v>
      </c>
      <c r="E18902" s="224" t="s">
        <v>2</v>
      </c>
      <c r="F18902" s="515" t="s">
        <v>20073</v>
      </c>
      <c r="G18902" s="52">
        <v>76003.417104038002</v>
      </c>
      <c r="H18902" s="56">
        <v>3.0345129451574318E-2</v>
      </c>
      <c r="I18902" s="224" t="s">
        <v>2</v>
      </c>
    </row>
    <row r="18903" spans="1:9" x14ac:dyDescent="0.25">
      <c r="A18903" s="515">
        <v>64489</v>
      </c>
      <c r="C18903" s="52">
        <v>134810.90245136301</v>
      </c>
      <c r="D18903" s="56">
        <v>-7.4980250787507682E-2</v>
      </c>
      <c r="E18903" s="224" t="s">
        <v>2</v>
      </c>
      <c r="F18903" s="515" t="s">
        <v>20074</v>
      </c>
      <c r="G18903" s="52">
        <v>299109.11646667001</v>
      </c>
      <c r="H18903" s="56">
        <v>5.6651949303676938E-2</v>
      </c>
      <c r="I18903" s="224" t="s">
        <v>2</v>
      </c>
    </row>
    <row r="18904" spans="1:9" x14ac:dyDescent="0.25">
      <c r="A18904" s="515">
        <v>66539</v>
      </c>
      <c r="B18904" s="515" t="s">
        <v>549</v>
      </c>
      <c r="C18904" s="52">
        <v>244810.05471398099</v>
      </c>
      <c r="D18904" s="56">
        <v>9.0744748812047735E-2</v>
      </c>
      <c r="E18904" s="224" t="s">
        <v>2</v>
      </c>
      <c r="F18904" s="515" t="s">
        <v>20075</v>
      </c>
      <c r="G18904" s="52">
        <v>334141.66153846099</v>
      </c>
      <c r="H18904" s="56">
        <v>0</v>
      </c>
      <c r="I18904" s="224" t="s">
        <v>2</v>
      </c>
    </row>
    <row r="18905" spans="1:9" x14ac:dyDescent="0.25">
      <c r="A18905" s="515">
        <v>5061</v>
      </c>
      <c r="B18905" s="515" t="s">
        <v>420</v>
      </c>
      <c r="C18905" s="52">
        <v>324357.66566511802</v>
      </c>
      <c r="D18905" s="56">
        <v>8.2520440461913813E-2</v>
      </c>
      <c r="E18905" s="224" t="s">
        <v>2</v>
      </c>
      <c r="F18905" s="515" t="s">
        <v>20076</v>
      </c>
      <c r="G18905" s="52">
        <v>142090.122241609</v>
      </c>
      <c r="H18905" s="56">
        <v>-1.5618357406382712E-2</v>
      </c>
      <c r="I18905" s="224" t="s">
        <v>2</v>
      </c>
    </row>
    <row r="18906" spans="1:9" x14ac:dyDescent="0.25">
      <c r="A18906" s="515">
        <v>46076</v>
      </c>
      <c r="C18906" s="52">
        <v>159052.309148253</v>
      </c>
      <c r="D18906" s="56">
        <v>6.637228357862264E-2</v>
      </c>
      <c r="E18906" s="224" t="s">
        <v>2</v>
      </c>
      <c r="F18906" s="515" t="s">
        <v>20077</v>
      </c>
      <c r="G18906" s="52">
        <v>124676.25944018899</v>
      </c>
      <c r="H18906" s="56">
        <v>0.23948324847104382</v>
      </c>
      <c r="I18906" s="224" t="s">
        <v>2</v>
      </c>
    </row>
    <row r="18907" spans="1:9" x14ac:dyDescent="0.25">
      <c r="A18907" s="515">
        <v>62546</v>
      </c>
      <c r="B18907" s="515" t="s">
        <v>386</v>
      </c>
      <c r="C18907" s="52">
        <v>109689.579503017</v>
      </c>
      <c r="D18907" s="56">
        <v>8.1799611800194016E-2</v>
      </c>
      <c r="E18907" s="224" t="s">
        <v>2</v>
      </c>
      <c r="F18907" s="515" t="s">
        <v>20078</v>
      </c>
      <c r="G18907" s="52">
        <v>85604.808274828494</v>
      </c>
      <c r="H18907" s="56">
        <v>4.4521433848956002E-2</v>
      </c>
      <c r="I18907" s="224" t="s">
        <v>2</v>
      </c>
    </row>
    <row r="18908" spans="1:9" x14ac:dyDescent="0.25">
      <c r="A18908" s="515">
        <v>76366</v>
      </c>
      <c r="B18908" s="515" t="s">
        <v>328</v>
      </c>
      <c r="C18908" s="52">
        <v>147741.726795205</v>
      </c>
      <c r="D18908" s="56">
        <v>7.6405751950169604E-2</v>
      </c>
      <c r="E18908" s="224" t="s">
        <v>2</v>
      </c>
      <c r="F18908" s="515" t="s">
        <v>20079</v>
      </c>
      <c r="G18908" s="52">
        <v>213495.106496144</v>
      </c>
      <c r="H18908" s="56">
        <v>8.637672670309228E-2</v>
      </c>
      <c r="I18908" s="224" t="s">
        <v>2</v>
      </c>
    </row>
    <row r="18909" spans="1:9" x14ac:dyDescent="0.25">
      <c r="A18909" s="515">
        <v>15936</v>
      </c>
      <c r="B18909" s="515" t="s">
        <v>370</v>
      </c>
      <c r="C18909" s="52">
        <v>101347.928884487</v>
      </c>
      <c r="D18909" s="56">
        <v>4.3264716033288485E-2</v>
      </c>
      <c r="E18909" s="224" t="s">
        <v>2</v>
      </c>
      <c r="F18909" s="515" t="s">
        <v>20080</v>
      </c>
      <c r="G18909" s="52">
        <v>241019.076285249</v>
      </c>
      <c r="H18909" s="56">
        <v>7.584615653239192E-2</v>
      </c>
      <c r="I18909" s="224" t="s">
        <v>2</v>
      </c>
    </row>
    <row r="18910" spans="1:9" x14ac:dyDescent="0.25">
      <c r="A18910" s="515">
        <v>81055</v>
      </c>
      <c r="C18910" s="52">
        <v>380027.32793222298</v>
      </c>
      <c r="D18910" s="56">
        <v>8.5993528000281663E-2</v>
      </c>
      <c r="E18910" s="224" t="s">
        <v>2</v>
      </c>
      <c r="F18910" s="515" t="s">
        <v>20081</v>
      </c>
      <c r="G18910" s="52">
        <v>430832.70936860802</v>
      </c>
      <c r="H18910" s="56">
        <v>0.13636361481313372</v>
      </c>
      <c r="I18910" s="224" t="s">
        <v>2</v>
      </c>
    </row>
    <row r="18911" spans="1:9" x14ac:dyDescent="0.25">
      <c r="A18911" s="515">
        <v>71039</v>
      </c>
      <c r="B18911" s="515" t="s">
        <v>1093</v>
      </c>
      <c r="C18911" s="52">
        <v>85356.245565650897</v>
      </c>
      <c r="D18911" s="56">
        <v>6.7942524520997694E-2</v>
      </c>
      <c r="E18911" s="224" t="s">
        <v>2</v>
      </c>
      <c r="F18911" s="515" t="s">
        <v>20082</v>
      </c>
      <c r="G18911" s="52">
        <v>211591.93642374201</v>
      </c>
      <c r="H18911" s="56">
        <v>2.3261763339558011E-2</v>
      </c>
      <c r="I18911" s="224" t="s">
        <v>2</v>
      </c>
    </row>
    <row r="18912" spans="1:9" x14ac:dyDescent="0.25">
      <c r="A18912" s="515">
        <v>70661</v>
      </c>
      <c r="B18912" s="515" t="s">
        <v>696</v>
      </c>
      <c r="C18912" s="52">
        <v>85505.774855702795</v>
      </c>
      <c r="D18912" s="56">
        <v>7.1530873404117276E-2</v>
      </c>
      <c r="E18912" s="224" t="s">
        <v>2</v>
      </c>
      <c r="F18912" s="515" t="s">
        <v>20083</v>
      </c>
      <c r="G18912" s="52">
        <v>474752.69673443999</v>
      </c>
      <c r="H18912" s="56">
        <v>1.2009513622438021E-2</v>
      </c>
      <c r="I18912" s="224" t="s">
        <v>2</v>
      </c>
    </row>
    <row r="18913" spans="1:9" x14ac:dyDescent="0.25">
      <c r="A18913" s="515">
        <v>63384</v>
      </c>
      <c r="C18913" s="52">
        <v>111558.498515809</v>
      </c>
      <c r="D18913" s="56">
        <v>6.1619420420507165E-2</v>
      </c>
      <c r="E18913" s="224" t="s">
        <v>2</v>
      </c>
      <c r="F18913" s="515" t="s">
        <v>20084</v>
      </c>
      <c r="G18913" s="52">
        <v>472744.28821539599</v>
      </c>
      <c r="H18913" s="56">
        <v>0.13965248429332519</v>
      </c>
      <c r="I18913" s="224" t="s">
        <v>2</v>
      </c>
    </row>
    <row r="18914" spans="1:9" x14ac:dyDescent="0.25">
      <c r="A18914" s="515">
        <v>35035</v>
      </c>
      <c r="B18914" s="515" t="s">
        <v>640</v>
      </c>
      <c r="C18914" s="52">
        <v>255080.434210526</v>
      </c>
      <c r="D18914" s="56">
        <v>0</v>
      </c>
      <c r="E18914" s="224" t="s">
        <v>2</v>
      </c>
      <c r="F18914" s="515" t="s">
        <v>20085</v>
      </c>
      <c r="G18914" s="52">
        <v>163711.36307452599</v>
      </c>
      <c r="H18914" s="56">
        <v>7.1492613616305059E-2</v>
      </c>
      <c r="I18914" s="224" t="s">
        <v>2</v>
      </c>
    </row>
    <row r="18915" spans="1:9" x14ac:dyDescent="0.25">
      <c r="A18915" s="515">
        <v>61031</v>
      </c>
      <c r="B18915" s="515" t="s">
        <v>836</v>
      </c>
      <c r="C18915" s="52">
        <v>137409.29228720101</v>
      </c>
      <c r="D18915" s="56">
        <v>3.752660888829544E-2</v>
      </c>
      <c r="E18915" s="224" t="s">
        <v>2</v>
      </c>
      <c r="F18915" s="515" t="s">
        <v>20086</v>
      </c>
      <c r="G18915" s="52">
        <v>167778.83605459801</v>
      </c>
      <c r="H18915" s="56">
        <v>5.8766199181101639E-2</v>
      </c>
      <c r="I18915" s="224" t="s">
        <v>2</v>
      </c>
    </row>
    <row r="18916" spans="1:9" x14ac:dyDescent="0.25">
      <c r="A18916" s="515">
        <v>66712</v>
      </c>
      <c r="B18916" s="515" t="s">
        <v>669</v>
      </c>
      <c r="C18916" s="52">
        <v>96783.895905079393</v>
      </c>
      <c r="D18916" s="56">
        <v>0.10204793561983305</v>
      </c>
      <c r="E18916" s="224" t="s">
        <v>2</v>
      </c>
      <c r="F18916" s="515" t="s">
        <v>20087</v>
      </c>
      <c r="G18916" s="52">
        <v>153654.42226744999</v>
      </c>
      <c r="H18916" s="56">
        <v>0.10526074587453847</v>
      </c>
      <c r="I18916" s="224" t="s">
        <v>2</v>
      </c>
    </row>
    <row r="18917" spans="1:9" x14ac:dyDescent="0.25">
      <c r="A18917" s="515">
        <v>31795</v>
      </c>
      <c r="B18917" s="515" t="s">
        <v>746</v>
      </c>
      <c r="C18917" s="52">
        <v>134643.06948223501</v>
      </c>
      <c r="D18917" s="56">
        <v>1.9609295946266491E-2</v>
      </c>
      <c r="E18917" s="224" t="s">
        <v>2</v>
      </c>
      <c r="F18917" s="515" t="s">
        <v>20088</v>
      </c>
      <c r="G18917" s="52">
        <v>89313.806666666598</v>
      </c>
      <c r="H18917" s="56">
        <v>0</v>
      </c>
      <c r="I18917" s="224" t="s">
        <v>2</v>
      </c>
    </row>
    <row r="18918" spans="1:9" x14ac:dyDescent="0.25">
      <c r="A18918" s="515">
        <v>78055</v>
      </c>
      <c r="B18918" s="515" t="s">
        <v>717</v>
      </c>
      <c r="C18918" s="52">
        <v>411170.99322906602</v>
      </c>
      <c r="D18918" s="56">
        <v>0.1185023966422552</v>
      </c>
      <c r="E18918" s="224" t="s">
        <v>2</v>
      </c>
      <c r="F18918" s="515" t="s">
        <v>20089</v>
      </c>
      <c r="G18918" s="52">
        <v>598999.27709238697</v>
      </c>
      <c r="H18918" s="56">
        <v>2.1799287524511238E-3</v>
      </c>
      <c r="I18918" s="224" t="s">
        <v>2</v>
      </c>
    </row>
    <row r="18919" spans="1:9" x14ac:dyDescent="0.25">
      <c r="A18919" s="515">
        <v>58051</v>
      </c>
      <c r="B18919" s="515" t="s">
        <v>928</v>
      </c>
      <c r="C18919" s="52">
        <v>352757.97020592599</v>
      </c>
      <c r="D18919" s="56">
        <v>8.0973081932981208E-2</v>
      </c>
      <c r="E18919" s="224" t="s">
        <v>2</v>
      </c>
      <c r="F18919" s="515" t="s">
        <v>20090</v>
      </c>
      <c r="G18919" s="52">
        <v>230006.77588622001</v>
      </c>
      <c r="H18919" s="56">
        <v>0.15378690730131178</v>
      </c>
      <c r="I18919" s="224" t="s">
        <v>2</v>
      </c>
    </row>
    <row r="18920" spans="1:9" x14ac:dyDescent="0.25">
      <c r="A18920" s="515">
        <v>24312</v>
      </c>
      <c r="C18920" s="52">
        <v>112208.186348809</v>
      </c>
      <c r="D18920" s="56">
        <v>9.9829773535770258E-2</v>
      </c>
      <c r="E18920" s="224" t="s">
        <v>2</v>
      </c>
      <c r="F18920" s="515" t="s">
        <v>20091</v>
      </c>
      <c r="G18920" s="52">
        <v>173073.85207446001</v>
      </c>
      <c r="H18920" s="56">
        <v>9.8841132854225244E-2</v>
      </c>
      <c r="I18920" s="224" t="s">
        <v>2</v>
      </c>
    </row>
    <row r="18921" spans="1:9" x14ac:dyDescent="0.25">
      <c r="A18921" s="515">
        <v>85624</v>
      </c>
      <c r="B18921" s="515" t="s">
        <v>720</v>
      </c>
      <c r="C18921" s="52">
        <v>387066.166339494</v>
      </c>
      <c r="D18921" s="56">
        <v>9.44175644768665E-2</v>
      </c>
      <c r="E18921" s="224" t="s">
        <v>2</v>
      </c>
      <c r="F18921" s="515" t="s">
        <v>20092</v>
      </c>
      <c r="G18921" s="52">
        <v>206732.83733256301</v>
      </c>
      <c r="H18921" s="56">
        <v>-8.4853289728321721E-2</v>
      </c>
      <c r="I18921" s="224" t="s">
        <v>2</v>
      </c>
    </row>
    <row r="18922" spans="1:9" x14ac:dyDescent="0.25">
      <c r="A18922" s="515">
        <v>52755</v>
      </c>
      <c r="B18922" s="515" t="s">
        <v>587</v>
      </c>
      <c r="C18922" s="52">
        <v>215336.47325749401</v>
      </c>
      <c r="D18922" s="56">
        <v>9.2605475680464011E-2</v>
      </c>
      <c r="E18922" s="224" t="s">
        <v>2</v>
      </c>
      <c r="F18922" s="515" t="s">
        <v>20093</v>
      </c>
      <c r="G18922" s="52">
        <v>117063.816382968</v>
      </c>
      <c r="H18922" s="56">
        <v>0.11250848674211328</v>
      </c>
      <c r="I18922" s="224" t="s">
        <v>2</v>
      </c>
    </row>
    <row r="18923" spans="1:9" x14ac:dyDescent="0.25">
      <c r="A18923" s="515">
        <v>61570</v>
      </c>
      <c r="B18923" s="515" t="s">
        <v>303</v>
      </c>
      <c r="C18923" s="52">
        <v>105948.08161481901</v>
      </c>
      <c r="D18923" s="56">
        <v>4.8203257029268212E-2</v>
      </c>
      <c r="E18923" s="224" t="s">
        <v>2</v>
      </c>
      <c r="F18923" s="515" t="s">
        <v>20094</v>
      </c>
      <c r="G18923" s="52">
        <v>893303.63436827005</v>
      </c>
      <c r="H18923" s="56">
        <v>5.6577776697505792E-2</v>
      </c>
      <c r="I18923" s="224" t="s">
        <v>2</v>
      </c>
    </row>
    <row r="18924" spans="1:9" x14ac:dyDescent="0.25">
      <c r="A18924" s="515">
        <v>97067</v>
      </c>
      <c r="B18924" s="515" t="s">
        <v>659</v>
      </c>
      <c r="C18924" s="52">
        <v>417974.40761206101</v>
      </c>
      <c r="D18924" s="56">
        <v>5.2847015686524702E-2</v>
      </c>
      <c r="E18924" s="224" t="s">
        <v>2</v>
      </c>
      <c r="F18924" s="515" t="s">
        <v>20095</v>
      </c>
      <c r="G18924" s="52">
        <v>122750.57151091</v>
      </c>
      <c r="H18924" s="56">
        <v>1.3096024556920769E-2</v>
      </c>
      <c r="I18924" s="224" t="s">
        <v>2</v>
      </c>
    </row>
    <row r="18925" spans="1:9" x14ac:dyDescent="0.25">
      <c r="A18925" s="515">
        <v>12156</v>
      </c>
      <c r="B18925" s="515" t="s">
        <v>609</v>
      </c>
      <c r="C18925" s="52">
        <v>316509.44549088401</v>
      </c>
      <c r="D18925" s="56">
        <v>0.10107658920322185</v>
      </c>
      <c r="E18925" s="224" t="s">
        <v>2</v>
      </c>
      <c r="F18925" s="515" t="s">
        <v>20096</v>
      </c>
      <c r="G18925" s="52">
        <v>211432.104101151</v>
      </c>
      <c r="H18925" s="56">
        <v>0</v>
      </c>
      <c r="I18925" s="224" t="s">
        <v>2</v>
      </c>
    </row>
    <row r="18926" spans="1:9" x14ac:dyDescent="0.25">
      <c r="A18926" s="515">
        <v>54638</v>
      </c>
      <c r="C18926" s="52">
        <v>150457.150916591</v>
      </c>
      <c r="D18926" s="56">
        <v>7.9105246002534685E-2</v>
      </c>
      <c r="E18926" s="224" t="s">
        <v>2</v>
      </c>
      <c r="F18926" s="515" t="s">
        <v>20097</v>
      </c>
      <c r="G18926" s="52">
        <v>149205.746087982</v>
      </c>
      <c r="H18926" s="56">
        <v>9.1440154844593349E-2</v>
      </c>
      <c r="I18926" s="224" t="s">
        <v>2</v>
      </c>
    </row>
    <row r="18927" spans="1:9" x14ac:dyDescent="0.25">
      <c r="A18927" s="515">
        <v>12066</v>
      </c>
      <c r="B18927" s="515" t="s">
        <v>609</v>
      </c>
      <c r="C18927" s="52">
        <v>219189.58955028901</v>
      </c>
      <c r="D18927" s="56">
        <v>0.10689190758661679</v>
      </c>
      <c r="E18927" s="224" t="s">
        <v>2</v>
      </c>
      <c r="F18927" s="515" t="s">
        <v>20098</v>
      </c>
      <c r="G18927" s="52">
        <v>156776.23699226801</v>
      </c>
      <c r="H18927" s="56">
        <v>6.6043057760544352E-2</v>
      </c>
      <c r="I18927" s="224" t="s">
        <v>2</v>
      </c>
    </row>
    <row r="18928" spans="1:9" x14ac:dyDescent="0.25">
      <c r="A18928" s="515">
        <v>77837</v>
      </c>
      <c r="B18928" s="515" t="s">
        <v>346</v>
      </c>
      <c r="C18928" s="52">
        <v>141943.337594385</v>
      </c>
      <c r="D18928" s="56">
        <v>0</v>
      </c>
      <c r="E18928" s="224" t="s">
        <v>2</v>
      </c>
      <c r="F18928" s="515" t="s">
        <v>20099</v>
      </c>
      <c r="G18928" s="52">
        <v>177210.934572645</v>
      </c>
      <c r="H18928" s="56">
        <v>3.9267202631655708E-2</v>
      </c>
      <c r="I18928" s="224" t="s">
        <v>2</v>
      </c>
    </row>
    <row r="18929" spans="1:9" x14ac:dyDescent="0.25">
      <c r="A18929" s="515">
        <v>15464</v>
      </c>
      <c r="B18929" s="515" t="s">
        <v>297</v>
      </c>
      <c r="C18929" s="52">
        <v>159071.74022672899</v>
      </c>
      <c r="D18929" s="56">
        <v>3.6695697414015287E-2</v>
      </c>
      <c r="E18929" s="224" t="s">
        <v>2</v>
      </c>
      <c r="F18929" s="515" t="s">
        <v>20100</v>
      </c>
      <c r="G18929" s="52">
        <v>122397.31730173</v>
      </c>
      <c r="H18929" s="56">
        <v>0</v>
      </c>
      <c r="I18929" s="224" t="s">
        <v>2</v>
      </c>
    </row>
    <row r="18930" spans="1:9" x14ac:dyDescent="0.25">
      <c r="A18930" s="515">
        <v>4958</v>
      </c>
      <c r="C18930" s="52">
        <v>230875.43994416401</v>
      </c>
      <c r="D18930" s="56">
        <v>0.11823233789109133</v>
      </c>
      <c r="E18930" s="224" t="s">
        <v>2</v>
      </c>
      <c r="F18930" s="515" t="s">
        <v>20101</v>
      </c>
      <c r="G18930" s="52">
        <v>65675.3443876284</v>
      </c>
      <c r="H18930" s="56">
        <v>0.18632708656914201</v>
      </c>
      <c r="I18930" s="224" t="s">
        <v>2</v>
      </c>
    </row>
    <row r="18931" spans="1:9" x14ac:dyDescent="0.25">
      <c r="A18931" s="515">
        <v>38317</v>
      </c>
      <c r="C18931" s="52">
        <v>106059.962870117</v>
      </c>
      <c r="D18931" s="56">
        <v>0.1246883747033922</v>
      </c>
      <c r="E18931" s="224" t="s">
        <v>2</v>
      </c>
      <c r="F18931" s="515" t="s">
        <v>20102</v>
      </c>
      <c r="G18931" s="52">
        <v>286539.40648117801</v>
      </c>
      <c r="H18931" s="56">
        <v>0.13288566095882343</v>
      </c>
      <c r="I18931" s="224" t="s">
        <v>2</v>
      </c>
    </row>
    <row r="18932" spans="1:9" x14ac:dyDescent="0.25">
      <c r="A18932" s="515">
        <v>31309</v>
      </c>
      <c r="B18932" s="515" t="s">
        <v>1092</v>
      </c>
      <c r="C18932" s="52">
        <v>173040.22897508601</v>
      </c>
      <c r="D18932" s="56">
        <v>0.11902716211613576</v>
      </c>
      <c r="E18932" s="224" t="s">
        <v>2</v>
      </c>
      <c r="F18932" s="515" t="s">
        <v>20103</v>
      </c>
      <c r="G18932" s="52">
        <v>89315.371120717595</v>
      </c>
      <c r="H18932" s="56">
        <v>-7.4772455257593781E-2</v>
      </c>
      <c r="I18932" s="224" t="s">
        <v>2</v>
      </c>
    </row>
    <row r="18933" spans="1:9" x14ac:dyDescent="0.25">
      <c r="A18933" s="515">
        <v>63332</v>
      </c>
      <c r="B18933" s="515" t="s">
        <v>498</v>
      </c>
      <c r="C18933" s="52">
        <v>448028.09192729898</v>
      </c>
      <c r="D18933" s="56">
        <v>9.4959886989418568E-2</v>
      </c>
      <c r="E18933" s="224" t="s">
        <v>2</v>
      </c>
      <c r="F18933" s="515" t="s">
        <v>20104</v>
      </c>
      <c r="G18933" s="52">
        <v>142420.514714483</v>
      </c>
      <c r="H18933" s="56">
        <v>4.1687694085927957E-2</v>
      </c>
      <c r="I18933" s="224" t="s">
        <v>2</v>
      </c>
    </row>
    <row r="18934" spans="1:9" x14ac:dyDescent="0.25">
      <c r="A18934" s="515">
        <v>53044</v>
      </c>
      <c r="B18934" s="515" t="s">
        <v>1063</v>
      </c>
      <c r="C18934" s="52">
        <v>323503.55828407401</v>
      </c>
      <c r="D18934" s="56">
        <v>4.0416326053095392E-2</v>
      </c>
      <c r="E18934" s="224" t="s">
        <v>2</v>
      </c>
      <c r="F18934" s="515" t="s">
        <v>20105</v>
      </c>
      <c r="G18934" s="52">
        <v>325373.32550917502</v>
      </c>
      <c r="H18934" s="56">
        <v>5.6604824770775129E-2</v>
      </c>
      <c r="I18934" s="224" t="s">
        <v>2</v>
      </c>
    </row>
    <row r="18935" spans="1:9" x14ac:dyDescent="0.25">
      <c r="A18935" s="515">
        <v>6058</v>
      </c>
      <c r="B18935" s="515" t="s">
        <v>559</v>
      </c>
      <c r="C18935" s="52">
        <v>416061.875637235</v>
      </c>
      <c r="D18935" s="56">
        <v>0.13988238399221636</v>
      </c>
      <c r="E18935" s="224" t="s">
        <v>2</v>
      </c>
      <c r="F18935" s="515" t="s">
        <v>20106</v>
      </c>
      <c r="G18935" s="52">
        <v>260422.9546544</v>
      </c>
      <c r="H18935" s="56">
        <v>7.477233969713111E-2</v>
      </c>
      <c r="I18935" s="224" t="s">
        <v>2</v>
      </c>
    </row>
    <row r="18936" spans="1:9" x14ac:dyDescent="0.25">
      <c r="A18936" s="515">
        <v>29664</v>
      </c>
      <c r="B18936" s="515" t="s">
        <v>804</v>
      </c>
      <c r="C18936" s="52">
        <v>233435.48807108201</v>
      </c>
      <c r="D18936" s="56">
        <v>0.16934092405438569</v>
      </c>
      <c r="E18936" s="224" t="s">
        <v>2</v>
      </c>
      <c r="F18936" s="515" t="s">
        <v>20107</v>
      </c>
      <c r="G18936" s="52">
        <v>115608.596214615</v>
      </c>
      <c r="H18936" s="56">
        <v>0.21034739234275285</v>
      </c>
      <c r="I18936" s="224" t="s">
        <v>2</v>
      </c>
    </row>
    <row r="18937" spans="1:9" x14ac:dyDescent="0.25">
      <c r="A18937" s="515">
        <v>50456</v>
      </c>
      <c r="B18937" s="515" t="s">
        <v>634</v>
      </c>
      <c r="C18937" s="52">
        <v>116279.479707832</v>
      </c>
      <c r="D18937" s="56">
        <v>8.8536712451872418E-2</v>
      </c>
      <c r="E18937" s="224" t="s">
        <v>2</v>
      </c>
      <c r="F18937" s="515" t="s">
        <v>20108</v>
      </c>
      <c r="G18937" s="52">
        <v>531568.152315513</v>
      </c>
      <c r="H18937" s="56">
        <v>1.5926051089639341E-2</v>
      </c>
      <c r="I18937" s="224" t="s">
        <v>2</v>
      </c>
    </row>
    <row r="18938" spans="1:9" x14ac:dyDescent="0.25">
      <c r="A18938" s="515">
        <v>47470</v>
      </c>
      <c r="B18938" s="515" t="s">
        <v>881</v>
      </c>
      <c r="C18938" s="52">
        <v>179275.462058968</v>
      </c>
      <c r="D18938" s="56">
        <v>7.3909787850152994E-2</v>
      </c>
      <c r="E18938" s="224" t="s">
        <v>2</v>
      </c>
      <c r="F18938" s="515" t="s">
        <v>20109</v>
      </c>
      <c r="G18938" s="52">
        <v>137787.684151936</v>
      </c>
      <c r="H18938" s="56">
        <v>0</v>
      </c>
      <c r="I18938" s="224" t="s">
        <v>2</v>
      </c>
    </row>
    <row r="18939" spans="1:9" x14ac:dyDescent="0.25">
      <c r="A18939" s="515">
        <v>47436</v>
      </c>
      <c r="B18939" s="515" t="s">
        <v>881</v>
      </c>
      <c r="C18939" s="52">
        <v>193488.64736376499</v>
      </c>
      <c r="D18939" s="56">
        <v>0.11288104932858929</v>
      </c>
      <c r="E18939" s="224" t="s">
        <v>2</v>
      </c>
      <c r="F18939" s="515" t="s">
        <v>20110</v>
      </c>
      <c r="G18939" s="52">
        <v>113984.9446402</v>
      </c>
      <c r="H18939" s="56">
        <v>0.1552014699830904</v>
      </c>
      <c r="I18939" s="224" t="s">
        <v>2</v>
      </c>
    </row>
    <row r="18940" spans="1:9" x14ac:dyDescent="0.25">
      <c r="A18940" s="515">
        <v>23038</v>
      </c>
      <c r="B18940" s="515" t="s">
        <v>667</v>
      </c>
      <c r="C18940" s="52">
        <v>275736.08515509299</v>
      </c>
      <c r="D18940" s="56">
        <v>0.1545293306749688</v>
      </c>
      <c r="E18940" s="224" t="s">
        <v>2</v>
      </c>
      <c r="F18940" s="515" t="s">
        <v>20111</v>
      </c>
      <c r="G18940" s="52">
        <v>589430.03348271502</v>
      </c>
      <c r="H18940" s="56">
        <v>5.7792245711250585E-2</v>
      </c>
      <c r="I18940" s="224" t="s">
        <v>2</v>
      </c>
    </row>
    <row r="18941" spans="1:9" x14ac:dyDescent="0.25">
      <c r="A18941" s="515">
        <v>74332</v>
      </c>
      <c r="C18941" s="52">
        <v>198324.037074675</v>
      </c>
      <c r="D18941" s="56">
        <v>8.0340203021528903E-2</v>
      </c>
      <c r="E18941" s="224" t="s">
        <v>2</v>
      </c>
      <c r="F18941" s="515" t="s">
        <v>20112</v>
      </c>
      <c r="G18941" s="52">
        <v>197557.75506657499</v>
      </c>
      <c r="H18941" s="56">
        <v>0.17367056663432914</v>
      </c>
      <c r="I18941" s="224" t="s">
        <v>2</v>
      </c>
    </row>
    <row r="18942" spans="1:9" x14ac:dyDescent="0.25">
      <c r="A18942" s="515">
        <v>74734</v>
      </c>
      <c r="C18942" s="52">
        <v>116346.905071931</v>
      </c>
      <c r="D18942" s="56">
        <v>0.15774983663226722</v>
      </c>
      <c r="E18942" s="224" t="s">
        <v>2</v>
      </c>
      <c r="F18942" s="515" t="s">
        <v>20113</v>
      </c>
      <c r="G18942" s="52">
        <v>281314.27040873701</v>
      </c>
      <c r="H18942" s="56">
        <v>0</v>
      </c>
      <c r="I18942" s="224" t="s">
        <v>2</v>
      </c>
    </row>
    <row r="18943" spans="1:9" x14ac:dyDescent="0.25">
      <c r="A18943" s="515">
        <v>5677</v>
      </c>
      <c r="B18943" s="515" t="s">
        <v>945</v>
      </c>
      <c r="C18943" s="52">
        <v>484012.08526633499</v>
      </c>
      <c r="D18943" s="56">
        <v>6.6740365094301396E-2</v>
      </c>
      <c r="E18943" s="224" t="s">
        <v>2</v>
      </c>
      <c r="F18943" s="515" t="s">
        <v>20114</v>
      </c>
      <c r="G18943" s="52">
        <v>265350.26221732597</v>
      </c>
      <c r="H18943" s="56">
        <v>0.13696676997515231</v>
      </c>
      <c r="I18943" s="224" t="s">
        <v>2</v>
      </c>
    </row>
    <row r="18944" spans="1:9" x14ac:dyDescent="0.25">
      <c r="A18944" s="515">
        <v>30668</v>
      </c>
      <c r="C18944" s="52">
        <v>133621.42221154401</v>
      </c>
      <c r="D18944" s="56">
        <v>0.1158456960251326</v>
      </c>
      <c r="E18944" s="224" t="s">
        <v>2</v>
      </c>
      <c r="F18944" s="515" t="s">
        <v>20115</v>
      </c>
      <c r="G18944" s="52">
        <v>306345.47267716</v>
      </c>
      <c r="H18944" s="56">
        <v>0</v>
      </c>
      <c r="I18944" s="224" t="s">
        <v>2</v>
      </c>
    </row>
    <row r="18945" spans="1:9" x14ac:dyDescent="0.25">
      <c r="A18945" s="515">
        <v>56443</v>
      </c>
      <c r="C18945" s="52">
        <v>339843.72284307599</v>
      </c>
      <c r="D18945" s="56">
        <v>0.12065409069346432</v>
      </c>
      <c r="E18945" s="224" t="s">
        <v>2</v>
      </c>
      <c r="F18945" s="515" t="s">
        <v>20116</v>
      </c>
      <c r="G18945" s="52">
        <v>106079.575204771</v>
      </c>
      <c r="H18945" s="56">
        <v>9.6266565238395441E-2</v>
      </c>
      <c r="I18945" s="224" t="s">
        <v>2</v>
      </c>
    </row>
    <row r="18946" spans="1:9" x14ac:dyDescent="0.25">
      <c r="A18946" s="515">
        <v>50458</v>
      </c>
      <c r="C18946" s="52">
        <v>152759.34363554101</v>
      </c>
      <c r="D18946" s="56">
        <v>8.7703789510057237E-2</v>
      </c>
      <c r="E18946" s="224" t="s">
        <v>2</v>
      </c>
      <c r="F18946" s="515" t="s">
        <v>20117</v>
      </c>
      <c r="G18946" s="52">
        <v>156318.56946578101</v>
      </c>
      <c r="H18946" s="56">
        <v>5.6134538297425034E-2</v>
      </c>
      <c r="I18946" s="224" t="s">
        <v>2</v>
      </c>
    </row>
    <row r="18947" spans="1:9" x14ac:dyDescent="0.25">
      <c r="A18947" s="515">
        <v>68638</v>
      </c>
      <c r="C18947" s="52">
        <v>129408.160177674</v>
      </c>
      <c r="D18947" s="56">
        <v>0.10768237021919905</v>
      </c>
      <c r="E18947" s="224" t="s">
        <v>2</v>
      </c>
      <c r="F18947" s="515" t="s">
        <v>20118</v>
      </c>
      <c r="G18947" s="52">
        <v>266667.99353224901</v>
      </c>
      <c r="H18947" s="56">
        <v>0.14660582687467003</v>
      </c>
      <c r="I18947" s="224" t="s">
        <v>2</v>
      </c>
    </row>
    <row r="18948" spans="1:9" x14ac:dyDescent="0.25">
      <c r="A18948" s="515">
        <v>6254</v>
      </c>
      <c r="B18948" s="515" t="s">
        <v>1091</v>
      </c>
      <c r="C18948" s="52">
        <v>312210.16299580398</v>
      </c>
      <c r="D18948" s="56">
        <v>6.2154123747871388E-2</v>
      </c>
      <c r="E18948" s="224" t="s">
        <v>2</v>
      </c>
      <c r="F18948" s="515" t="s">
        <v>20119</v>
      </c>
      <c r="G18948" s="52">
        <v>777427.348980846</v>
      </c>
      <c r="H18948" s="56">
        <v>5.0223973019341527E-2</v>
      </c>
      <c r="I18948" s="224" t="s">
        <v>2</v>
      </c>
    </row>
    <row r="18949" spans="1:9" x14ac:dyDescent="0.25">
      <c r="A18949" s="515">
        <v>25511</v>
      </c>
      <c r="B18949" s="515" t="s">
        <v>602</v>
      </c>
      <c r="C18949" s="52">
        <v>69144.212622978201</v>
      </c>
      <c r="D18949" s="56">
        <v>7.8903080302692066E-2</v>
      </c>
      <c r="E18949" s="224" t="s">
        <v>2</v>
      </c>
      <c r="F18949" s="515" t="s">
        <v>20120</v>
      </c>
      <c r="G18949" s="52">
        <v>291207.18510812998</v>
      </c>
      <c r="H18949" s="56">
        <v>0.10111140784856361</v>
      </c>
      <c r="I18949" s="224" t="s">
        <v>2</v>
      </c>
    </row>
    <row r="18950" spans="1:9" x14ac:dyDescent="0.25">
      <c r="A18950" s="515">
        <v>4910</v>
      </c>
      <c r="B18950" s="515" t="s">
        <v>848</v>
      </c>
      <c r="C18950" s="52">
        <v>234872.89599113</v>
      </c>
      <c r="D18950" s="56">
        <v>6.3278240649041292E-2</v>
      </c>
      <c r="E18950" s="224" t="s">
        <v>2</v>
      </c>
      <c r="F18950" s="515" t="s">
        <v>20121</v>
      </c>
      <c r="G18950" s="52">
        <v>395032.84136695397</v>
      </c>
      <c r="H18950" s="56">
        <v>0.10914026575460246</v>
      </c>
      <c r="I18950" s="224" t="s">
        <v>2</v>
      </c>
    </row>
    <row r="18951" spans="1:9" x14ac:dyDescent="0.25">
      <c r="A18951" s="515">
        <v>56282</v>
      </c>
      <c r="B18951" s="515" t="s">
        <v>803</v>
      </c>
      <c r="C18951" s="52">
        <v>198759.109403073</v>
      </c>
      <c r="D18951" s="56">
        <v>1.8306661691516103E-2</v>
      </c>
      <c r="E18951" s="224" t="s">
        <v>2</v>
      </c>
      <c r="F18951" s="515" t="s">
        <v>20122</v>
      </c>
      <c r="G18951" s="52">
        <v>78888.509483723799</v>
      </c>
      <c r="H18951" s="56">
        <v>0.11235644470893431</v>
      </c>
      <c r="I18951" s="224" t="s">
        <v>2</v>
      </c>
    </row>
    <row r="18952" spans="1:9" x14ac:dyDescent="0.25">
      <c r="A18952" s="515">
        <v>27242</v>
      </c>
      <c r="B18952" s="515" t="s">
        <v>1090</v>
      </c>
      <c r="C18952" s="52">
        <v>173306.88750054999</v>
      </c>
      <c r="D18952" s="56">
        <v>0.28531138671634232</v>
      </c>
      <c r="E18952" s="224" t="s">
        <v>2</v>
      </c>
      <c r="F18952" s="515" t="s">
        <v>20123</v>
      </c>
      <c r="G18952" s="52">
        <v>223656.08821677399</v>
      </c>
      <c r="H18952" s="56">
        <v>0.19627234007582661</v>
      </c>
      <c r="I18952" s="224" t="s">
        <v>2</v>
      </c>
    </row>
    <row r="18953" spans="1:9" x14ac:dyDescent="0.25">
      <c r="A18953" s="515">
        <v>52533</v>
      </c>
      <c r="B18953" s="515" t="s">
        <v>810</v>
      </c>
      <c r="C18953" s="52">
        <v>137262.103972952</v>
      </c>
      <c r="D18953" s="56">
        <v>0.14580560675799717</v>
      </c>
      <c r="E18953" s="224" t="s">
        <v>2</v>
      </c>
      <c r="F18953" s="515" t="s">
        <v>20124</v>
      </c>
      <c r="G18953" s="52">
        <v>475327.65117102099</v>
      </c>
      <c r="H18953" s="56">
        <v>1.6105581700967507E-2</v>
      </c>
      <c r="I18953" s="224" t="s">
        <v>2</v>
      </c>
    </row>
    <row r="18954" spans="1:9" x14ac:dyDescent="0.25">
      <c r="A18954" s="515">
        <v>13302</v>
      </c>
      <c r="B18954" s="515" t="s">
        <v>361</v>
      </c>
      <c r="C18954" s="52">
        <v>153925.44913081999</v>
      </c>
      <c r="D18954" s="56">
        <v>0.12657288087994956</v>
      </c>
      <c r="E18954" s="224" t="s">
        <v>2</v>
      </c>
      <c r="F18954" s="515" t="s">
        <v>20125</v>
      </c>
      <c r="G18954" s="52">
        <v>166058.45616705899</v>
      </c>
      <c r="H18954" s="56">
        <v>0.2936779785489218</v>
      </c>
      <c r="I18954" s="224" t="s">
        <v>2</v>
      </c>
    </row>
    <row r="18955" spans="1:9" x14ac:dyDescent="0.25">
      <c r="A18955" s="515">
        <v>36343</v>
      </c>
      <c r="B18955" s="515" t="s">
        <v>816</v>
      </c>
      <c r="C18955" s="52">
        <v>125228.471899453</v>
      </c>
      <c r="D18955" s="56">
        <v>9.9569694612132706E-2</v>
      </c>
      <c r="E18955" s="224" t="s">
        <v>2</v>
      </c>
      <c r="F18955" s="515" t="s">
        <v>20126</v>
      </c>
      <c r="G18955" s="52">
        <v>607677.56060605997</v>
      </c>
      <c r="H18955" s="56">
        <v>0</v>
      </c>
      <c r="I18955" s="224" t="s">
        <v>2</v>
      </c>
    </row>
    <row r="18956" spans="1:9" x14ac:dyDescent="0.25">
      <c r="A18956" s="515">
        <v>51030</v>
      </c>
      <c r="B18956" s="515" t="s">
        <v>649</v>
      </c>
      <c r="C18956" s="52">
        <v>287572.18580501701</v>
      </c>
      <c r="D18956" s="56">
        <v>0.11513799736460349</v>
      </c>
      <c r="E18956" s="224" t="s">
        <v>2</v>
      </c>
      <c r="F18956" s="515" t="s">
        <v>20127</v>
      </c>
      <c r="G18956" s="52">
        <v>171880.73987969101</v>
      </c>
      <c r="H18956" s="56">
        <v>0</v>
      </c>
      <c r="I18956" s="224" t="s">
        <v>2</v>
      </c>
    </row>
    <row r="18957" spans="1:9" x14ac:dyDescent="0.25">
      <c r="A18957" s="515">
        <v>62642</v>
      </c>
      <c r="B18957" s="515" t="s">
        <v>819</v>
      </c>
      <c r="C18957" s="52">
        <v>110266.479511823</v>
      </c>
      <c r="D18957" s="56">
        <v>1.5003458449417134E-2</v>
      </c>
      <c r="E18957" s="224" t="s">
        <v>2</v>
      </c>
      <c r="F18957" s="515" t="s">
        <v>20128</v>
      </c>
      <c r="G18957" s="52">
        <v>171758.50899472201</v>
      </c>
      <c r="H18957" s="56">
        <v>7.5328305807425652E-2</v>
      </c>
      <c r="I18957" s="224" t="s">
        <v>2</v>
      </c>
    </row>
    <row r="18958" spans="1:9" x14ac:dyDescent="0.25">
      <c r="A18958" s="515">
        <v>47373</v>
      </c>
      <c r="C18958" s="52">
        <v>95107.765509429795</v>
      </c>
      <c r="D18958" s="56">
        <v>9.0900651956598813E-2</v>
      </c>
      <c r="E18958" s="224" t="s">
        <v>2</v>
      </c>
      <c r="F18958" s="515" t="s">
        <v>20129</v>
      </c>
      <c r="G18958" s="52">
        <v>80385.571428571406</v>
      </c>
      <c r="H18958" s="56">
        <v>0</v>
      </c>
      <c r="I18958" s="224" t="s">
        <v>2</v>
      </c>
    </row>
    <row r="18959" spans="1:9" x14ac:dyDescent="0.25">
      <c r="A18959" s="515">
        <v>97417</v>
      </c>
      <c r="B18959" s="515" t="s">
        <v>449</v>
      </c>
      <c r="C18959" s="52">
        <v>260408.227569963</v>
      </c>
      <c r="D18959" s="56">
        <v>7.3110236855766925E-2</v>
      </c>
      <c r="E18959" s="224" t="s">
        <v>2</v>
      </c>
      <c r="F18959" s="515" t="s">
        <v>20130</v>
      </c>
      <c r="G18959" s="52">
        <v>831652.94462681003</v>
      </c>
      <c r="H18959" s="56">
        <v>9.1206400674578136E-2</v>
      </c>
      <c r="I18959" s="224" t="s">
        <v>2</v>
      </c>
    </row>
    <row r="18960" spans="1:9" x14ac:dyDescent="0.25">
      <c r="A18960" s="515">
        <v>14013</v>
      </c>
      <c r="B18960" s="515" t="s">
        <v>1014</v>
      </c>
      <c r="C18960" s="52">
        <v>178720.214722559</v>
      </c>
      <c r="D18960" s="56">
        <v>7.6764425843811365E-2</v>
      </c>
      <c r="E18960" s="224" t="s">
        <v>2</v>
      </c>
      <c r="F18960" s="515" t="s">
        <v>20131</v>
      </c>
      <c r="G18960" s="52">
        <v>189793.741261569</v>
      </c>
      <c r="H18960" s="56">
        <v>4.699933362315542E-2</v>
      </c>
      <c r="I18960" s="224" t="s">
        <v>2</v>
      </c>
    </row>
    <row r="18961" spans="1:9" x14ac:dyDescent="0.25">
      <c r="A18961" s="515">
        <v>53585</v>
      </c>
      <c r="B18961" s="515" t="s">
        <v>1089</v>
      </c>
      <c r="C18961" s="52">
        <v>206207.324273151</v>
      </c>
      <c r="D18961" s="56">
        <v>1.9711541542585791E-2</v>
      </c>
      <c r="E18961" s="224" t="s">
        <v>2</v>
      </c>
      <c r="F18961" s="515" t="s">
        <v>20132</v>
      </c>
      <c r="G18961" s="52">
        <v>160893.18805972501</v>
      </c>
      <c r="H18961" s="56">
        <v>0</v>
      </c>
      <c r="I18961" s="224" t="s">
        <v>2</v>
      </c>
    </row>
    <row r="18962" spans="1:9" x14ac:dyDescent="0.25">
      <c r="A18962" s="515">
        <v>42634</v>
      </c>
      <c r="C18962" s="52">
        <v>65860.045050911795</v>
      </c>
      <c r="D18962" s="56">
        <v>0.38221031581536646</v>
      </c>
      <c r="E18962" s="224" t="s">
        <v>2</v>
      </c>
      <c r="F18962" s="515" t="s">
        <v>20133</v>
      </c>
      <c r="G18962" s="52">
        <v>241523.28198053801</v>
      </c>
      <c r="H18962" s="56">
        <v>9.3753948077922658E-2</v>
      </c>
      <c r="I18962" s="224" t="s">
        <v>2</v>
      </c>
    </row>
    <row r="18963" spans="1:9" x14ac:dyDescent="0.25">
      <c r="A18963" s="515">
        <v>65650</v>
      </c>
      <c r="C18963" s="52">
        <v>181649.90466269801</v>
      </c>
      <c r="D18963" s="56">
        <v>0.13800425668489782</v>
      </c>
      <c r="E18963" s="224" t="s">
        <v>2</v>
      </c>
      <c r="F18963" s="515" t="s">
        <v>20134</v>
      </c>
      <c r="G18963" s="52">
        <v>436616.354624108</v>
      </c>
      <c r="H18963" s="56">
        <v>0.11051147357279412</v>
      </c>
      <c r="I18963" s="224" t="s">
        <v>2</v>
      </c>
    </row>
    <row r="18964" spans="1:9" x14ac:dyDescent="0.25">
      <c r="A18964" s="515">
        <v>47862</v>
      </c>
      <c r="B18964" s="515" t="s">
        <v>318</v>
      </c>
      <c r="C18964" s="52">
        <v>107531.877647787</v>
      </c>
      <c r="D18964" s="56">
        <v>0.10067745586647156</v>
      </c>
      <c r="E18964" s="224" t="s">
        <v>2</v>
      </c>
      <c r="F18964" s="515" t="s">
        <v>20135</v>
      </c>
      <c r="G18964" s="52">
        <v>115139.94710077</v>
      </c>
      <c r="H18964" s="56">
        <v>1.394617708401524E-2</v>
      </c>
      <c r="I18964" s="224" t="s">
        <v>2</v>
      </c>
    </row>
    <row r="18965" spans="1:9" x14ac:dyDescent="0.25">
      <c r="A18965" s="515">
        <v>72842</v>
      </c>
      <c r="B18965" s="515" t="s">
        <v>636</v>
      </c>
      <c r="C18965" s="52">
        <v>115359.08357899199</v>
      </c>
      <c r="D18965" s="56">
        <v>2.9928237895684349E-3</v>
      </c>
      <c r="E18965" s="224" t="s">
        <v>2</v>
      </c>
      <c r="F18965" s="515" t="s">
        <v>20136</v>
      </c>
      <c r="G18965" s="52">
        <v>158727.079088453</v>
      </c>
      <c r="H18965" s="56">
        <v>4.4678477341868524E-3</v>
      </c>
      <c r="I18965" s="224" t="s">
        <v>2</v>
      </c>
    </row>
    <row r="18966" spans="1:9" x14ac:dyDescent="0.25">
      <c r="A18966" s="515">
        <v>72136</v>
      </c>
      <c r="B18966" s="515" t="s">
        <v>414</v>
      </c>
      <c r="C18966" s="52">
        <v>160603.86975875101</v>
      </c>
      <c r="D18966" s="56">
        <v>3.9691121133915749E-2</v>
      </c>
      <c r="E18966" s="224" t="s">
        <v>2</v>
      </c>
      <c r="F18966" s="515" t="s">
        <v>20137</v>
      </c>
      <c r="G18966" s="52">
        <v>106112.807125331</v>
      </c>
      <c r="H18966" s="56">
        <v>8.5791196761428129E-2</v>
      </c>
      <c r="I18966" s="224" t="s">
        <v>2</v>
      </c>
    </row>
    <row r="18967" spans="1:9" x14ac:dyDescent="0.25">
      <c r="A18967" s="515">
        <v>5462</v>
      </c>
      <c r="B18967" s="515" t="s">
        <v>441</v>
      </c>
      <c r="C18967" s="52">
        <v>375148.53366265999</v>
      </c>
      <c r="D18967" s="56">
        <v>8.1873773885305076E-2</v>
      </c>
      <c r="E18967" s="224" t="s">
        <v>2</v>
      </c>
      <c r="F18967" s="515" t="s">
        <v>20138</v>
      </c>
      <c r="G18967" s="52">
        <v>522252.222092863</v>
      </c>
      <c r="H18967" s="56">
        <v>0.1927827638163743</v>
      </c>
      <c r="I18967" s="224" t="s">
        <v>2</v>
      </c>
    </row>
    <row r="18968" spans="1:9" x14ac:dyDescent="0.25">
      <c r="A18968" s="515">
        <v>65624</v>
      </c>
      <c r="C18968" s="52">
        <v>258234.690713444</v>
      </c>
      <c r="D18968" s="56">
        <v>9.9886790927324803E-2</v>
      </c>
      <c r="E18968" s="224" t="s">
        <v>2</v>
      </c>
      <c r="F18968" s="515" t="s">
        <v>20139</v>
      </c>
      <c r="G18968" s="52">
        <v>200854.398749741</v>
      </c>
      <c r="H18968" s="56">
        <v>8.3204432847533302E-2</v>
      </c>
      <c r="I18968" s="224" t="s">
        <v>2</v>
      </c>
    </row>
    <row r="18969" spans="1:9" x14ac:dyDescent="0.25">
      <c r="A18969" s="515">
        <v>25287</v>
      </c>
      <c r="B18969" s="515" t="s">
        <v>445</v>
      </c>
      <c r="C18969" s="52">
        <v>131099.76154355501</v>
      </c>
      <c r="D18969" s="56">
        <v>7.2435819318530423E-2</v>
      </c>
      <c r="E18969" s="224" t="s">
        <v>2</v>
      </c>
      <c r="F18969" s="515" t="s">
        <v>20140</v>
      </c>
      <c r="G18969" s="52">
        <v>111902.55804501</v>
      </c>
      <c r="H18969" s="56">
        <v>0.11826808255728802</v>
      </c>
      <c r="I18969" s="224" t="s">
        <v>2</v>
      </c>
    </row>
    <row r="18970" spans="1:9" x14ac:dyDescent="0.25">
      <c r="A18970" s="515">
        <v>98394</v>
      </c>
      <c r="B18970" s="515" t="s">
        <v>384</v>
      </c>
      <c r="C18970" s="52">
        <v>665314.02914797305</v>
      </c>
      <c r="D18970" s="56">
        <v>3.9623798245531618E-2</v>
      </c>
      <c r="E18970" s="224" t="s">
        <v>2</v>
      </c>
      <c r="F18970" s="515" t="s">
        <v>20141</v>
      </c>
      <c r="G18970" s="52">
        <v>142136.67763496799</v>
      </c>
      <c r="H18970" s="56">
        <v>4.2449820131483892E-2</v>
      </c>
      <c r="I18970" s="224" t="s">
        <v>2</v>
      </c>
    </row>
    <row r="18971" spans="1:9" x14ac:dyDescent="0.25">
      <c r="A18971" s="515">
        <v>13630</v>
      </c>
      <c r="B18971" s="515" t="s">
        <v>511</v>
      </c>
      <c r="C18971" s="52">
        <v>140102.03846565299</v>
      </c>
      <c r="D18971" s="56">
        <v>0.10973926661898092</v>
      </c>
      <c r="E18971" s="224" t="s">
        <v>2</v>
      </c>
      <c r="F18971" s="515" t="s">
        <v>20142</v>
      </c>
      <c r="G18971" s="52">
        <v>132191.826020226</v>
      </c>
      <c r="H18971" s="56">
        <v>6.0305280923447079E-2</v>
      </c>
      <c r="I18971" s="224" t="s">
        <v>2</v>
      </c>
    </row>
    <row r="18972" spans="1:9" x14ac:dyDescent="0.25">
      <c r="A18972" s="515">
        <v>5440</v>
      </c>
      <c r="B18972" s="515" t="s">
        <v>441</v>
      </c>
      <c r="C18972" s="52">
        <v>295735.18377682101</v>
      </c>
      <c r="D18972" s="56">
        <v>0.10862682782568955</v>
      </c>
      <c r="E18972" s="224" t="s">
        <v>2</v>
      </c>
      <c r="F18972" s="515" t="s">
        <v>20143</v>
      </c>
      <c r="G18972" s="52">
        <v>155916.696319607</v>
      </c>
      <c r="H18972" s="56">
        <v>6.1124868338337524E-2</v>
      </c>
      <c r="I18972" s="224" t="s">
        <v>2</v>
      </c>
    </row>
    <row r="18973" spans="1:9" x14ac:dyDescent="0.25">
      <c r="A18973" s="515">
        <v>54490</v>
      </c>
      <c r="C18973" s="52">
        <v>149999.500053522</v>
      </c>
      <c r="D18973" s="56">
        <v>0.15888133608711624</v>
      </c>
      <c r="E18973" s="224" t="s">
        <v>2</v>
      </c>
      <c r="F18973" s="515" t="s">
        <v>20144</v>
      </c>
      <c r="G18973" s="52">
        <v>132029.41775744999</v>
      </c>
      <c r="H18973" s="56">
        <v>0.14339612412379479</v>
      </c>
      <c r="I18973" s="224" t="s">
        <v>2</v>
      </c>
    </row>
    <row r="18974" spans="1:9" x14ac:dyDescent="0.25">
      <c r="A18974" s="515">
        <v>44628</v>
      </c>
      <c r="C18974" s="52">
        <v>209590.77522838701</v>
      </c>
      <c r="D18974" s="56">
        <v>9.3392408852795802E-2</v>
      </c>
      <c r="E18974" s="224" t="s">
        <v>2</v>
      </c>
      <c r="F18974" s="515" t="s">
        <v>20145</v>
      </c>
      <c r="G18974" s="52">
        <v>550035.196384763</v>
      </c>
      <c r="H18974" s="56">
        <v>0.10735248484291848</v>
      </c>
      <c r="I18974" s="224" t="s">
        <v>2</v>
      </c>
    </row>
    <row r="18975" spans="1:9" x14ac:dyDescent="0.25">
      <c r="A18975" s="515">
        <v>13652</v>
      </c>
      <c r="B18975" s="515" t="s">
        <v>511</v>
      </c>
      <c r="C18975" s="52">
        <v>116737.80792435</v>
      </c>
      <c r="D18975" s="56">
        <v>5.0451769851227915E-2</v>
      </c>
      <c r="E18975" s="224" t="s">
        <v>2</v>
      </c>
      <c r="F18975" s="515" t="s">
        <v>20146</v>
      </c>
      <c r="G18975" s="52">
        <v>123722.991063565</v>
      </c>
      <c r="H18975" s="56">
        <v>0.27172326696079729</v>
      </c>
      <c r="I18975" s="224" t="s">
        <v>2</v>
      </c>
    </row>
    <row r="18976" spans="1:9" x14ac:dyDescent="0.25">
      <c r="A18976" s="515">
        <v>36525</v>
      </c>
      <c r="B18976" s="515" t="s">
        <v>815</v>
      </c>
      <c r="C18976" s="52">
        <v>190654.10434294501</v>
      </c>
      <c r="D18976" s="56">
        <v>6.8383923298013127E-2</v>
      </c>
      <c r="E18976" s="224" t="s">
        <v>2</v>
      </c>
      <c r="F18976" s="515" t="s">
        <v>20147</v>
      </c>
      <c r="G18976" s="52">
        <v>310649.36496350297</v>
      </c>
      <c r="H18976" s="56">
        <v>0</v>
      </c>
      <c r="I18976" s="224" t="s">
        <v>2</v>
      </c>
    </row>
    <row r="18977" spans="1:9" x14ac:dyDescent="0.25">
      <c r="A18977" s="515">
        <v>5459</v>
      </c>
      <c r="B18977" s="515" t="s">
        <v>441</v>
      </c>
      <c r="C18977" s="52">
        <v>295940.43281462201</v>
      </c>
      <c r="D18977" s="56">
        <v>0.14020442997357846</v>
      </c>
      <c r="E18977" s="224" t="s">
        <v>2</v>
      </c>
      <c r="F18977" s="515" t="s">
        <v>20148</v>
      </c>
      <c r="G18977" s="52">
        <v>102001.11621827399</v>
      </c>
      <c r="H18977" s="56">
        <v>5.7268803961713823E-3</v>
      </c>
      <c r="I18977" s="224" t="s">
        <v>2</v>
      </c>
    </row>
    <row r="18978" spans="1:9" x14ac:dyDescent="0.25">
      <c r="A18978" s="515">
        <v>42325</v>
      </c>
      <c r="B18978" s="515" t="s">
        <v>686</v>
      </c>
      <c r="C18978" s="52">
        <v>113738.443146961</v>
      </c>
      <c r="D18978" s="56">
        <v>0.14413305025343193</v>
      </c>
      <c r="E18978" s="224" t="s">
        <v>2</v>
      </c>
      <c r="F18978" s="515" t="s">
        <v>20149</v>
      </c>
      <c r="G18978" s="52">
        <v>262636.76896474598</v>
      </c>
      <c r="H18978" s="56">
        <v>0.11797024083148608</v>
      </c>
      <c r="I18978" s="224" t="s">
        <v>2</v>
      </c>
    </row>
    <row r="18979" spans="1:9" x14ac:dyDescent="0.25">
      <c r="A18979" s="515">
        <v>52151</v>
      </c>
      <c r="C18979" s="52">
        <v>192196.12223325999</v>
      </c>
      <c r="D18979" s="56">
        <v>9.3936604315364741E-2</v>
      </c>
      <c r="E18979" s="224" t="s">
        <v>2</v>
      </c>
      <c r="F18979" s="515" t="s">
        <v>20150</v>
      </c>
      <c r="G18979" s="52">
        <v>208201.15325378001</v>
      </c>
      <c r="H18979" s="56">
        <v>3.5172135232512489E-2</v>
      </c>
      <c r="I18979" s="224" t="s">
        <v>2</v>
      </c>
    </row>
    <row r="18980" spans="1:9" x14ac:dyDescent="0.25">
      <c r="A18980" s="515">
        <v>16410</v>
      </c>
      <c r="B18980" s="515" t="s">
        <v>753</v>
      </c>
      <c r="C18980" s="52">
        <v>190964.28467781699</v>
      </c>
      <c r="D18980" s="56">
        <v>5.8386484914272362E-2</v>
      </c>
      <c r="E18980" s="224" t="s">
        <v>2</v>
      </c>
      <c r="F18980" s="515" t="s">
        <v>20151</v>
      </c>
      <c r="G18980" s="52">
        <v>150028.652168197</v>
      </c>
      <c r="H18980" s="56">
        <v>0.15706844115513727</v>
      </c>
      <c r="I18980" s="224" t="s">
        <v>2</v>
      </c>
    </row>
    <row r="18981" spans="1:9" x14ac:dyDescent="0.25">
      <c r="A18981" s="515">
        <v>14550</v>
      </c>
      <c r="C18981" s="52">
        <v>141055.72064700699</v>
      </c>
      <c r="D18981" s="56">
        <v>7.7885870283635694E-2</v>
      </c>
      <c r="E18981" s="224" t="s">
        <v>2</v>
      </c>
      <c r="F18981" s="515" t="s">
        <v>20152</v>
      </c>
      <c r="G18981" s="52">
        <v>250322.518819872</v>
      </c>
      <c r="H18981" s="56">
        <v>0</v>
      </c>
      <c r="I18981" s="224" t="s">
        <v>2</v>
      </c>
    </row>
    <row r="18982" spans="1:9" x14ac:dyDescent="0.25">
      <c r="A18982" s="515">
        <v>3574</v>
      </c>
      <c r="B18982" s="515" t="s">
        <v>420</v>
      </c>
      <c r="C18982" s="52">
        <v>292287.18915284798</v>
      </c>
      <c r="D18982" s="56">
        <v>0.1327508863303038</v>
      </c>
      <c r="E18982" s="224" t="s">
        <v>2</v>
      </c>
      <c r="F18982" s="515" t="s">
        <v>20153</v>
      </c>
      <c r="G18982" s="52">
        <v>194566.59115122401</v>
      </c>
      <c r="H18982" s="56">
        <v>0.16127737546356496</v>
      </c>
      <c r="I18982" s="224" t="s">
        <v>2</v>
      </c>
    </row>
    <row r="18983" spans="1:9" x14ac:dyDescent="0.25">
      <c r="A18983" s="515">
        <v>47527</v>
      </c>
      <c r="B18983" s="515" t="s">
        <v>544</v>
      </c>
      <c r="C18983" s="52">
        <v>178332.669138625</v>
      </c>
      <c r="D18983" s="56">
        <v>7.3666264014366087E-2</v>
      </c>
      <c r="E18983" s="224" t="s">
        <v>2</v>
      </c>
      <c r="F18983" s="515" t="s">
        <v>20154</v>
      </c>
      <c r="G18983" s="52">
        <v>236479.674754862</v>
      </c>
      <c r="H18983" s="56">
        <v>0</v>
      </c>
      <c r="I18983" s="224" t="s">
        <v>2</v>
      </c>
    </row>
    <row r="18984" spans="1:9" x14ac:dyDescent="0.25">
      <c r="A18984" s="515">
        <v>25865</v>
      </c>
      <c r="B18984" s="515" t="s">
        <v>566</v>
      </c>
      <c r="C18984" s="52">
        <v>128711.76306098999</v>
      </c>
      <c r="D18984" s="56">
        <v>8.4553494086152911E-2</v>
      </c>
      <c r="E18984" s="224" t="s">
        <v>2</v>
      </c>
      <c r="F18984" s="515" t="s">
        <v>20155</v>
      </c>
      <c r="G18984" s="52">
        <v>278305.48473527399</v>
      </c>
      <c r="H18984" s="56">
        <v>7.6844280053421768E-2</v>
      </c>
      <c r="I18984" s="224" t="s">
        <v>2</v>
      </c>
    </row>
    <row r="18985" spans="1:9" x14ac:dyDescent="0.25">
      <c r="A18985" s="515">
        <v>75163</v>
      </c>
      <c r="B18985" s="515" t="s">
        <v>1088</v>
      </c>
      <c r="C18985" s="52">
        <v>354792.19255954499</v>
      </c>
      <c r="D18985" s="56">
        <v>0.10068196314668569</v>
      </c>
      <c r="E18985" s="224" t="s">
        <v>2</v>
      </c>
      <c r="F18985" s="515" t="s">
        <v>20156</v>
      </c>
      <c r="G18985" s="52">
        <v>377800.93394815602</v>
      </c>
      <c r="H18985" s="56">
        <v>6.7187003408699458E-2</v>
      </c>
      <c r="I18985" s="224" t="s">
        <v>2</v>
      </c>
    </row>
    <row r="18986" spans="1:9" x14ac:dyDescent="0.25">
      <c r="A18986" s="515">
        <v>67067</v>
      </c>
      <c r="B18986" s="515" t="s">
        <v>485</v>
      </c>
      <c r="C18986" s="52">
        <v>264575.618541106</v>
      </c>
      <c r="D18986" s="56">
        <v>7.2602085619165507E-2</v>
      </c>
      <c r="E18986" s="224" t="s">
        <v>2</v>
      </c>
      <c r="F18986" s="515" t="s">
        <v>20157</v>
      </c>
      <c r="G18986" s="52">
        <v>145972.03244929301</v>
      </c>
      <c r="H18986" s="56">
        <v>0</v>
      </c>
      <c r="I18986" s="224" t="s">
        <v>2</v>
      </c>
    </row>
    <row r="18987" spans="1:9" x14ac:dyDescent="0.25">
      <c r="A18987" s="515">
        <v>50056</v>
      </c>
      <c r="B18987" s="515" t="s">
        <v>568</v>
      </c>
      <c r="C18987" s="52">
        <v>194330.08489968299</v>
      </c>
      <c r="D18987" s="56">
        <v>9.6723924830334734E-2</v>
      </c>
      <c r="E18987" s="224" t="s">
        <v>2</v>
      </c>
      <c r="F18987" s="515" t="s">
        <v>20158</v>
      </c>
      <c r="G18987" s="52">
        <v>349117.83403586101</v>
      </c>
      <c r="H18987" s="56">
        <v>4.7211511160652184E-2</v>
      </c>
      <c r="I18987" s="224" t="s">
        <v>2</v>
      </c>
    </row>
    <row r="18988" spans="1:9" x14ac:dyDescent="0.25">
      <c r="A18988" s="515">
        <v>73016</v>
      </c>
      <c r="C18988" s="52">
        <v>240251.78699416001</v>
      </c>
      <c r="D18988" s="56">
        <v>5.6444318616046561E-2</v>
      </c>
      <c r="E18988" s="224" t="s">
        <v>2</v>
      </c>
      <c r="F18988" s="515" t="s">
        <v>20159</v>
      </c>
      <c r="G18988" s="52">
        <v>187825.91951751499</v>
      </c>
      <c r="H18988" s="56">
        <v>0.11722477696067067</v>
      </c>
      <c r="I18988" s="224" t="s">
        <v>2</v>
      </c>
    </row>
    <row r="18989" spans="1:9" x14ac:dyDescent="0.25">
      <c r="A18989" s="515">
        <v>84751</v>
      </c>
      <c r="C18989" s="52">
        <v>225989.00340241799</v>
      </c>
      <c r="D18989" s="56">
        <v>0</v>
      </c>
      <c r="E18989" s="224" t="s">
        <v>2</v>
      </c>
      <c r="F18989" s="515" t="s">
        <v>20160</v>
      </c>
      <c r="G18989" s="52">
        <v>66001.638297872298</v>
      </c>
      <c r="H18989" s="56">
        <v>0</v>
      </c>
      <c r="I18989" s="224" t="s">
        <v>2</v>
      </c>
    </row>
    <row r="18990" spans="1:9" x14ac:dyDescent="0.25">
      <c r="A18990" s="515">
        <v>29031</v>
      </c>
      <c r="B18990" s="515" t="s">
        <v>360</v>
      </c>
      <c r="C18990" s="52">
        <v>73398.358082514693</v>
      </c>
      <c r="D18990" s="56">
        <v>6.7258871141666066E-2</v>
      </c>
      <c r="E18990" s="224" t="s">
        <v>2</v>
      </c>
      <c r="F18990" s="515" t="s">
        <v>20161</v>
      </c>
      <c r="G18990" s="52">
        <v>279363.833501474</v>
      </c>
      <c r="H18990" s="56">
        <v>7.4744994911150719E-2</v>
      </c>
      <c r="I18990" s="224" t="s">
        <v>2</v>
      </c>
    </row>
    <row r="18991" spans="1:9" x14ac:dyDescent="0.25">
      <c r="A18991" s="515">
        <v>17965</v>
      </c>
      <c r="B18991" s="515" t="s">
        <v>994</v>
      </c>
      <c r="C18991" s="52">
        <v>93785.093789827893</v>
      </c>
      <c r="D18991" s="56">
        <v>0.15767528003631667</v>
      </c>
      <c r="E18991" s="224" t="s">
        <v>2</v>
      </c>
      <c r="F18991" s="515" t="s">
        <v>20162</v>
      </c>
      <c r="G18991" s="52">
        <v>283273.86913781601</v>
      </c>
      <c r="H18991" s="56">
        <v>0</v>
      </c>
      <c r="I18991" s="224" t="s">
        <v>2</v>
      </c>
    </row>
    <row r="18992" spans="1:9" x14ac:dyDescent="0.25">
      <c r="A18992" s="515">
        <v>43067</v>
      </c>
      <c r="B18992" s="515" t="s">
        <v>345</v>
      </c>
      <c r="C18992" s="52">
        <v>254843.03471769599</v>
      </c>
      <c r="D18992" s="56">
        <v>0.13803794079377676</v>
      </c>
      <c r="E18992" s="224" t="s">
        <v>2</v>
      </c>
      <c r="F18992" s="515" t="s">
        <v>20163</v>
      </c>
      <c r="G18992" s="52">
        <v>140286.28705085901</v>
      </c>
      <c r="H18992" s="56">
        <v>7.627318851984613E-2</v>
      </c>
      <c r="I18992" s="224" t="s">
        <v>2</v>
      </c>
    </row>
    <row r="18993" spans="1:9" x14ac:dyDescent="0.25">
      <c r="A18993" s="515">
        <v>62854</v>
      </c>
      <c r="B18993" s="515" t="s">
        <v>1211</v>
      </c>
      <c r="C18993" s="52">
        <v>99199.094611091597</v>
      </c>
      <c r="D18993" s="56">
        <v>6.7086268550650877E-2</v>
      </c>
      <c r="E18993" s="224" t="s">
        <v>2</v>
      </c>
      <c r="F18993" s="515" t="s">
        <v>20164</v>
      </c>
      <c r="G18993" s="52">
        <v>58387.783676926098</v>
      </c>
      <c r="H18993" s="56">
        <v>-0.10203921571463763</v>
      </c>
      <c r="I18993" s="224" t="s">
        <v>2</v>
      </c>
    </row>
    <row r="18994" spans="1:9" x14ac:dyDescent="0.25">
      <c r="A18994" s="515">
        <v>46115</v>
      </c>
      <c r="C18994" s="52">
        <v>189657.07645868699</v>
      </c>
      <c r="D18994" s="56">
        <v>5.9385291450701906E-2</v>
      </c>
      <c r="E18994" s="224" t="s">
        <v>2</v>
      </c>
      <c r="F18994" s="515" t="s">
        <v>20165</v>
      </c>
      <c r="G18994" s="52">
        <v>277863.48874834401</v>
      </c>
      <c r="H18994" s="56">
        <v>0.11689461450325661</v>
      </c>
      <c r="I18994" s="224" t="s">
        <v>2</v>
      </c>
    </row>
    <row r="18995" spans="1:9" x14ac:dyDescent="0.25">
      <c r="A18995" s="515">
        <v>97488</v>
      </c>
      <c r="B18995" s="515" t="s">
        <v>801</v>
      </c>
      <c r="C18995" s="52">
        <v>455731.31906993903</v>
      </c>
      <c r="D18995" s="56">
        <v>-4.0517815772728198E-3</v>
      </c>
      <c r="E18995" s="224" t="s">
        <v>2</v>
      </c>
      <c r="F18995" s="515" t="s">
        <v>20166</v>
      </c>
      <c r="G18995" s="52">
        <v>120875.523953576</v>
      </c>
      <c r="H18995" s="56">
        <v>6.7338111056436542E-2</v>
      </c>
      <c r="I18995" s="224" t="s">
        <v>2</v>
      </c>
    </row>
    <row r="18996" spans="1:9" x14ac:dyDescent="0.25">
      <c r="A18996" s="515">
        <v>77585</v>
      </c>
      <c r="B18996" s="515" t="s">
        <v>492</v>
      </c>
      <c r="C18996" s="52">
        <v>119097.60428465399</v>
      </c>
      <c r="D18996" s="56">
        <v>0</v>
      </c>
      <c r="E18996" s="224" t="s">
        <v>2</v>
      </c>
      <c r="F18996" s="515" t="s">
        <v>20167</v>
      </c>
      <c r="G18996" s="52">
        <v>74726.309237943598</v>
      </c>
      <c r="H18996" s="56">
        <v>0.24168462055562417</v>
      </c>
      <c r="I18996" s="224" t="s">
        <v>2</v>
      </c>
    </row>
    <row r="18997" spans="1:9" x14ac:dyDescent="0.25">
      <c r="A18997" s="515">
        <v>27860</v>
      </c>
      <c r="B18997" s="515" t="s">
        <v>768</v>
      </c>
      <c r="C18997" s="52">
        <v>138574.78518327701</v>
      </c>
      <c r="D18997" s="56">
        <v>0.22297719018447643</v>
      </c>
      <c r="E18997" s="224" t="s">
        <v>2</v>
      </c>
      <c r="F18997" s="515" t="s">
        <v>20168</v>
      </c>
      <c r="G18997" s="52">
        <v>512077.39991241897</v>
      </c>
      <c r="H18997" s="56">
        <v>7.7381016266115182E-2</v>
      </c>
      <c r="I18997" s="224" t="s">
        <v>2</v>
      </c>
    </row>
    <row r="18998" spans="1:9" x14ac:dyDescent="0.25">
      <c r="A18998" s="515">
        <v>53153</v>
      </c>
      <c r="B18998" s="515" t="s">
        <v>950</v>
      </c>
      <c r="C18998" s="52">
        <v>392277.57763703598</v>
      </c>
      <c r="D18998" s="56">
        <v>4.3850265729733995E-2</v>
      </c>
      <c r="E18998" s="224" t="s">
        <v>2</v>
      </c>
      <c r="F18998" s="515" t="s">
        <v>20169</v>
      </c>
      <c r="G18998" s="52">
        <v>110311.851563198</v>
      </c>
      <c r="H18998" s="56">
        <v>9.2936165072734667E-2</v>
      </c>
      <c r="I18998" s="224" t="s">
        <v>2</v>
      </c>
    </row>
    <row r="18999" spans="1:9" x14ac:dyDescent="0.25">
      <c r="A18999" s="515">
        <v>4411</v>
      </c>
      <c r="B18999" s="515" t="s">
        <v>792</v>
      </c>
      <c r="C18999" s="52">
        <v>229183.220837867</v>
      </c>
      <c r="D18999" s="56">
        <v>0.11751296305766318</v>
      </c>
      <c r="E18999" s="224" t="s">
        <v>2</v>
      </c>
      <c r="F18999" s="515" t="s">
        <v>20170</v>
      </c>
      <c r="G18999" s="52">
        <v>153340.11408784901</v>
      </c>
      <c r="H18999" s="56">
        <v>4.6302770379015749E-2</v>
      </c>
      <c r="I18999" s="224" t="s">
        <v>2</v>
      </c>
    </row>
    <row r="19000" spans="1:9" x14ac:dyDescent="0.25">
      <c r="A19000" s="515">
        <v>54610</v>
      </c>
      <c r="C19000" s="52">
        <v>179990.224866643</v>
      </c>
      <c r="D19000" s="56">
        <v>6.4522239202276011E-2</v>
      </c>
      <c r="E19000" s="224" t="s">
        <v>2</v>
      </c>
      <c r="F19000" s="515" t="s">
        <v>20171</v>
      </c>
      <c r="G19000" s="52">
        <v>154770.90883252901</v>
      </c>
      <c r="H19000" s="56">
        <v>0.11743727683000539</v>
      </c>
      <c r="I19000" s="224" t="s">
        <v>2</v>
      </c>
    </row>
    <row r="19001" spans="1:9" x14ac:dyDescent="0.25">
      <c r="A19001" s="515">
        <v>38761</v>
      </c>
      <c r="B19001" s="515" t="s">
        <v>976</v>
      </c>
      <c r="C19001" s="52">
        <v>86007.255000000005</v>
      </c>
      <c r="D19001" s="56">
        <v>0</v>
      </c>
      <c r="E19001" s="224" t="s">
        <v>2</v>
      </c>
      <c r="F19001" s="515" t="s">
        <v>20172</v>
      </c>
      <c r="G19001" s="52">
        <v>194862.16148492601</v>
      </c>
      <c r="H19001" s="56">
        <v>9.417961889903094E-2</v>
      </c>
      <c r="I19001" s="224" t="s">
        <v>2</v>
      </c>
    </row>
    <row r="19002" spans="1:9" x14ac:dyDescent="0.25">
      <c r="A19002" s="515">
        <v>52659</v>
      </c>
      <c r="C19002" s="52">
        <v>133767.99287284201</v>
      </c>
      <c r="D19002" s="56">
        <v>6.9651753327724233E-2</v>
      </c>
      <c r="E19002" s="224" t="s">
        <v>2</v>
      </c>
      <c r="F19002" s="515" t="s">
        <v>20173</v>
      </c>
      <c r="G19002" s="52">
        <v>116551.116765251</v>
      </c>
      <c r="H19002" s="56">
        <v>1.7389376968035001E-2</v>
      </c>
      <c r="I19002" s="224" t="s">
        <v>2</v>
      </c>
    </row>
    <row r="19003" spans="1:9" x14ac:dyDescent="0.25">
      <c r="A19003" s="515">
        <v>3856</v>
      </c>
      <c r="B19003" s="515" t="s">
        <v>534</v>
      </c>
      <c r="C19003" s="52">
        <v>666428.86315654498</v>
      </c>
      <c r="D19003" s="56">
        <v>7.121392641706828E-2</v>
      </c>
      <c r="E19003" s="224" t="s">
        <v>2</v>
      </c>
      <c r="F19003" s="515" t="s">
        <v>20174</v>
      </c>
      <c r="G19003" s="52">
        <v>132188.60892615301</v>
      </c>
      <c r="H19003" s="56">
        <v>-5.7105214196398217E-3</v>
      </c>
      <c r="I19003" s="224" t="s">
        <v>2</v>
      </c>
    </row>
    <row r="19004" spans="1:9" x14ac:dyDescent="0.25">
      <c r="A19004" s="515">
        <v>97836</v>
      </c>
      <c r="B19004" s="515" t="s">
        <v>733</v>
      </c>
      <c r="C19004" s="52">
        <v>205988.86269230599</v>
      </c>
      <c r="D19004" s="56">
        <v>7.3662960296106306E-2</v>
      </c>
      <c r="E19004" s="224" t="s">
        <v>2</v>
      </c>
      <c r="F19004" s="515" t="s">
        <v>20175</v>
      </c>
      <c r="G19004" s="52">
        <v>112811.753595323</v>
      </c>
      <c r="H19004" s="56">
        <v>0</v>
      </c>
      <c r="I19004" s="224" t="s">
        <v>2</v>
      </c>
    </row>
    <row r="19005" spans="1:9" x14ac:dyDescent="0.25">
      <c r="A19005" s="515">
        <v>52248</v>
      </c>
      <c r="C19005" s="52">
        <v>152901.98637645901</v>
      </c>
      <c r="D19005" s="56">
        <v>5.2178980269937066E-2</v>
      </c>
      <c r="E19005" s="224" t="s">
        <v>2</v>
      </c>
      <c r="F19005" s="515" t="s">
        <v>20176</v>
      </c>
      <c r="G19005" s="52">
        <v>105164.208955223</v>
      </c>
      <c r="H19005" s="56">
        <v>0</v>
      </c>
      <c r="I19005" s="224" t="s">
        <v>2</v>
      </c>
    </row>
    <row r="19006" spans="1:9" x14ac:dyDescent="0.25">
      <c r="A19006" s="515">
        <v>67950</v>
      </c>
      <c r="C19006" s="52">
        <v>95360.455477076903</v>
      </c>
      <c r="D19006" s="56">
        <v>8.8435833706639669E-2</v>
      </c>
      <c r="E19006" s="224" t="s">
        <v>2</v>
      </c>
      <c r="F19006" s="515" t="s">
        <v>20177</v>
      </c>
      <c r="G19006" s="52">
        <v>108134.088235294</v>
      </c>
      <c r="H19006" s="56">
        <v>0</v>
      </c>
      <c r="I19006" s="224" t="s">
        <v>2</v>
      </c>
    </row>
    <row r="19007" spans="1:9" x14ac:dyDescent="0.25">
      <c r="A19007" s="515">
        <v>39747</v>
      </c>
      <c r="C19007" s="52">
        <v>93324.950157430605</v>
      </c>
      <c r="D19007" s="56">
        <v>1.0677775524276038E-2</v>
      </c>
      <c r="E19007" s="224" t="s">
        <v>2</v>
      </c>
      <c r="F19007" s="515" t="s">
        <v>20178</v>
      </c>
      <c r="G19007" s="52">
        <v>381880.80190168798</v>
      </c>
      <c r="H19007" s="56">
        <v>3.7694876380173527E-2</v>
      </c>
      <c r="I19007" s="224" t="s">
        <v>2</v>
      </c>
    </row>
    <row r="19008" spans="1:9" x14ac:dyDescent="0.25">
      <c r="A19008" s="515">
        <v>74563</v>
      </c>
      <c r="C19008" s="52">
        <v>104881.269998585</v>
      </c>
      <c r="D19008" s="56">
        <v>7.6130734487590862E-2</v>
      </c>
      <c r="E19008" s="224" t="s">
        <v>2</v>
      </c>
      <c r="F19008" s="515" t="s">
        <v>20179</v>
      </c>
      <c r="G19008" s="52">
        <v>135400.53986760901</v>
      </c>
      <c r="H19008" s="56">
        <v>0.1854570048282245</v>
      </c>
      <c r="I19008" s="224" t="s">
        <v>2</v>
      </c>
    </row>
    <row r="19009" spans="1:9" x14ac:dyDescent="0.25">
      <c r="A19009" s="515">
        <v>53183</v>
      </c>
      <c r="B19009" s="515" t="s">
        <v>950</v>
      </c>
      <c r="C19009" s="52">
        <v>411706.73057789</v>
      </c>
      <c r="D19009" s="56">
        <v>6.3569891174589416E-2</v>
      </c>
      <c r="E19009" s="224" t="s">
        <v>2</v>
      </c>
      <c r="F19009" s="515" t="s">
        <v>20180</v>
      </c>
      <c r="G19009" s="52">
        <v>34943.917643408502</v>
      </c>
      <c r="H19009" s="56">
        <v>4.4696973842256689E-2</v>
      </c>
      <c r="I19009" s="224" t="s">
        <v>2</v>
      </c>
    </row>
    <row r="19010" spans="1:9" x14ac:dyDescent="0.25">
      <c r="A19010" s="515">
        <v>85322</v>
      </c>
      <c r="B19010" s="515" t="s">
        <v>563</v>
      </c>
      <c r="C19010" s="52">
        <v>317486.73684210499</v>
      </c>
      <c r="D19010" s="56">
        <v>0</v>
      </c>
      <c r="E19010" s="224" t="s">
        <v>2</v>
      </c>
      <c r="F19010" s="515" t="s">
        <v>20181</v>
      </c>
      <c r="G19010" s="52">
        <v>228547.55298651801</v>
      </c>
      <c r="H19010" s="56">
        <v>0.1842241949062873</v>
      </c>
      <c r="I19010" s="224" t="s">
        <v>2</v>
      </c>
    </row>
    <row r="19011" spans="1:9" x14ac:dyDescent="0.25">
      <c r="A19011" s="515">
        <v>63823</v>
      </c>
      <c r="C19011" s="52">
        <v>132033.47008547001</v>
      </c>
      <c r="D19011" s="56">
        <v>0</v>
      </c>
      <c r="E19011" s="224" t="s">
        <v>2</v>
      </c>
      <c r="F19011" s="515" t="s">
        <v>20182</v>
      </c>
      <c r="G19011" s="52">
        <v>54580.953658464299</v>
      </c>
      <c r="H19011" s="56">
        <v>0</v>
      </c>
      <c r="I19011" s="224" t="s">
        <v>2</v>
      </c>
    </row>
    <row r="19012" spans="1:9" x14ac:dyDescent="0.25">
      <c r="A19012" s="515">
        <v>6068</v>
      </c>
      <c r="B19012" s="515" t="s">
        <v>559</v>
      </c>
      <c r="C19012" s="52">
        <v>715755.477086848</v>
      </c>
      <c r="D19012" s="56">
        <v>0.12276788240414721</v>
      </c>
      <c r="E19012" s="224" t="s">
        <v>2</v>
      </c>
      <c r="F19012" s="515" t="s">
        <v>20183</v>
      </c>
      <c r="G19012" s="52">
        <v>148585.064596582</v>
      </c>
      <c r="H19012" s="56">
        <v>0.11520048913863754</v>
      </c>
      <c r="I19012" s="224" t="s">
        <v>2</v>
      </c>
    </row>
    <row r="19013" spans="1:9" x14ac:dyDescent="0.25">
      <c r="A19013" s="515">
        <v>62907</v>
      </c>
      <c r="B19013" s="515" t="s">
        <v>471</v>
      </c>
      <c r="C19013" s="52">
        <v>123513.93477958901</v>
      </c>
      <c r="D19013" s="56">
        <v>6.1648815941502073E-2</v>
      </c>
      <c r="E19013" s="224" t="s">
        <v>2</v>
      </c>
      <c r="F19013" s="515" t="s">
        <v>20184</v>
      </c>
      <c r="G19013" s="52">
        <v>214991.064935064</v>
      </c>
      <c r="H19013" s="56">
        <v>0</v>
      </c>
      <c r="I19013" s="224" t="s">
        <v>2</v>
      </c>
    </row>
    <row r="19014" spans="1:9" x14ac:dyDescent="0.25">
      <c r="A19014" s="515">
        <v>28432</v>
      </c>
      <c r="C19014" s="52">
        <v>188828.590277777</v>
      </c>
      <c r="D19014" s="56">
        <v>0</v>
      </c>
      <c r="E19014" s="224" t="s">
        <v>2</v>
      </c>
      <c r="F19014" s="515" t="s">
        <v>20185</v>
      </c>
      <c r="G19014" s="52">
        <v>1193103.8968179</v>
      </c>
      <c r="H19014" s="56">
        <v>9.8310005975440665E-2</v>
      </c>
      <c r="I19014" s="224" t="s">
        <v>2</v>
      </c>
    </row>
    <row r="19015" spans="1:9" x14ac:dyDescent="0.25">
      <c r="A19015" s="515">
        <v>69140</v>
      </c>
      <c r="C19015" s="52">
        <v>170757.98049684899</v>
      </c>
      <c r="D19015" s="56">
        <v>0.18088950314175969</v>
      </c>
      <c r="E19015" s="224" t="s">
        <v>2</v>
      </c>
      <c r="F19015" s="515" t="s">
        <v>20186</v>
      </c>
      <c r="G19015" s="52">
        <v>71145.895522388004</v>
      </c>
      <c r="H19015" s="56">
        <v>0</v>
      </c>
      <c r="I19015" s="224" t="s">
        <v>2</v>
      </c>
    </row>
    <row r="19016" spans="1:9" x14ac:dyDescent="0.25">
      <c r="A19016" s="515">
        <v>4538</v>
      </c>
      <c r="C19016" s="52">
        <v>448524.89119917899</v>
      </c>
      <c r="D19016" s="56">
        <v>0.10874613460722223</v>
      </c>
      <c r="E19016" s="224" t="s">
        <v>2</v>
      </c>
      <c r="F19016" s="515" t="s">
        <v>20187</v>
      </c>
      <c r="G19016" s="52">
        <v>99454.103448275797</v>
      </c>
      <c r="H19016" s="56">
        <v>0</v>
      </c>
      <c r="I19016" s="224" t="s">
        <v>2</v>
      </c>
    </row>
    <row r="19017" spans="1:9" x14ac:dyDescent="0.25">
      <c r="A19017" s="515">
        <v>95975</v>
      </c>
      <c r="B19017" s="515" t="s">
        <v>387</v>
      </c>
      <c r="C19017" s="52">
        <v>528403.47038872505</v>
      </c>
      <c r="D19017" s="56">
        <v>-2.5892598888553581E-2</v>
      </c>
      <c r="E19017" s="224" t="s">
        <v>2</v>
      </c>
      <c r="F19017" s="515" t="s">
        <v>20188</v>
      </c>
      <c r="G19017" s="52">
        <v>177795.32558209999</v>
      </c>
      <c r="H19017" s="56">
        <v>0</v>
      </c>
      <c r="I19017" s="224" t="s">
        <v>2</v>
      </c>
    </row>
    <row r="19018" spans="1:9" x14ac:dyDescent="0.25">
      <c r="A19018" s="515">
        <v>2535</v>
      </c>
      <c r="B19018" s="515" t="s">
        <v>325</v>
      </c>
      <c r="C19018" s="52">
        <v>2283965.5935372398</v>
      </c>
      <c r="D19018" s="56">
        <v>0.14447917160052498</v>
      </c>
      <c r="E19018" s="224" t="s">
        <v>2</v>
      </c>
      <c r="F19018" s="515" t="s">
        <v>20189</v>
      </c>
      <c r="G19018" s="52">
        <v>203345.965081904</v>
      </c>
      <c r="H19018" s="56">
        <v>0.10209081821542894</v>
      </c>
      <c r="I19018" s="224" t="s">
        <v>2</v>
      </c>
    </row>
    <row r="19019" spans="1:9" x14ac:dyDescent="0.25">
      <c r="A19019" s="515">
        <v>16655</v>
      </c>
      <c r="C19019" s="52">
        <v>169434.165667302</v>
      </c>
      <c r="D19019" s="56">
        <v>0</v>
      </c>
      <c r="E19019" s="224" t="s">
        <v>2</v>
      </c>
      <c r="F19019" s="515" t="s">
        <v>20190</v>
      </c>
      <c r="G19019" s="52">
        <v>283951.42365153902</v>
      </c>
      <c r="H19019" s="56">
        <v>0.12775499426725653</v>
      </c>
      <c r="I19019" s="224" t="s">
        <v>2</v>
      </c>
    </row>
    <row r="19020" spans="1:9" x14ac:dyDescent="0.25">
      <c r="A19020" s="515">
        <v>93650</v>
      </c>
      <c r="B19020" s="515" t="s">
        <v>541</v>
      </c>
      <c r="C19020" s="52">
        <v>253110.62874586901</v>
      </c>
      <c r="D19020" s="56">
        <v>8.1942728396186146E-2</v>
      </c>
      <c r="E19020" s="224" t="s">
        <v>2</v>
      </c>
      <c r="F19020" s="515" t="s">
        <v>20191</v>
      </c>
      <c r="G19020" s="52">
        <v>160826.559424037</v>
      </c>
      <c r="H19020" s="56">
        <v>9.2589474007838693E-2</v>
      </c>
      <c r="I19020" s="224" t="s">
        <v>2</v>
      </c>
    </row>
    <row r="19021" spans="1:9" x14ac:dyDescent="0.25">
      <c r="A19021" s="515">
        <v>41837</v>
      </c>
      <c r="C19021" s="52">
        <v>82768.801041816201</v>
      </c>
      <c r="D19021" s="56">
        <v>8.1040710351127546E-2</v>
      </c>
      <c r="E19021" s="224" t="s">
        <v>2</v>
      </c>
      <c r="F19021" s="515" t="s">
        <v>20192</v>
      </c>
      <c r="G19021" s="52">
        <v>100447.611270251</v>
      </c>
      <c r="H19021" s="56">
        <v>4.6762391279359883E-2</v>
      </c>
      <c r="I19021" s="224" t="s">
        <v>2</v>
      </c>
    </row>
    <row r="19022" spans="1:9" x14ac:dyDescent="0.25">
      <c r="A19022" s="515">
        <v>72434</v>
      </c>
      <c r="C19022" s="52">
        <v>116685.30598668101</v>
      </c>
      <c r="D19022" s="56">
        <v>2.5401043676734507E-2</v>
      </c>
      <c r="E19022" s="224" t="s">
        <v>2</v>
      </c>
      <c r="F19022" s="515" t="s">
        <v>20193</v>
      </c>
      <c r="G19022" s="52">
        <v>68084.000594191893</v>
      </c>
      <c r="H19022" s="56">
        <v>0.35276768642170203</v>
      </c>
      <c r="I19022" s="224" t="s">
        <v>2</v>
      </c>
    </row>
    <row r="19023" spans="1:9" x14ac:dyDescent="0.25">
      <c r="A19023" s="515">
        <v>79313</v>
      </c>
      <c r="B19023" s="515" t="s">
        <v>434</v>
      </c>
      <c r="C19023" s="52">
        <v>93851.155977028495</v>
      </c>
      <c r="D19023" s="56">
        <v>0</v>
      </c>
      <c r="E19023" s="224" t="s">
        <v>2</v>
      </c>
      <c r="F19023" s="515" t="s">
        <v>20194</v>
      </c>
      <c r="G19023" s="52">
        <v>121939.673173545</v>
      </c>
      <c r="H19023" s="56">
        <v>0.10342312909623413</v>
      </c>
      <c r="I19023" s="224" t="s">
        <v>2</v>
      </c>
    </row>
    <row r="19024" spans="1:9" x14ac:dyDescent="0.25">
      <c r="A19024" s="515">
        <v>65276</v>
      </c>
      <c r="B19024" s="515" t="s">
        <v>785</v>
      </c>
      <c r="C19024" s="52">
        <v>173758.82500000001</v>
      </c>
      <c r="D19024" s="56">
        <v>0</v>
      </c>
      <c r="E19024" s="224" t="s">
        <v>2</v>
      </c>
      <c r="F19024" s="515" t="s">
        <v>20195</v>
      </c>
      <c r="G19024" s="52">
        <v>88497.228231280606</v>
      </c>
      <c r="H19024" s="56">
        <v>0</v>
      </c>
      <c r="I19024" s="224" t="s">
        <v>2</v>
      </c>
    </row>
    <row r="19025" spans="1:9" x14ac:dyDescent="0.25">
      <c r="A19025" s="515">
        <v>76629</v>
      </c>
      <c r="B19025" s="515" t="s">
        <v>346</v>
      </c>
      <c r="C19025" s="52">
        <v>154272.32975234001</v>
      </c>
      <c r="D19025" s="56">
        <v>-0.12009890501923763</v>
      </c>
      <c r="E19025" s="224" t="s">
        <v>2</v>
      </c>
      <c r="F19025" s="515" t="s">
        <v>20196</v>
      </c>
      <c r="G19025" s="52">
        <v>106995.757659984</v>
      </c>
      <c r="H19025" s="56">
        <v>4.238193139934264E-2</v>
      </c>
      <c r="I19025" s="224" t="s">
        <v>2</v>
      </c>
    </row>
    <row r="19026" spans="1:9" x14ac:dyDescent="0.25">
      <c r="A19026" s="515">
        <v>17224</v>
      </c>
      <c r="B19026" s="515" t="s">
        <v>372</v>
      </c>
      <c r="C19026" s="52">
        <v>204504.58688192401</v>
      </c>
      <c r="D19026" s="56">
        <v>3.2936974301997275E-2</v>
      </c>
      <c r="E19026" s="224" t="s">
        <v>2</v>
      </c>
      <c r="F19026" s="515" t="s">
        <v>20197</v>
      </c>
      <c r="G19026" s="52">
        <v>315317.901969144</v>
      </c>
      <c r="H19026" s="56">
        <v>1.0186830392414577E-2</v>
      </c>
      <c r="I19026" s="224" t="s">
        <v>2</v>
      </c>
    </row>
    <row r="19027" spans="1:9" x14ac:dyDescent="0.25">
      <c r="A19027" s="515">
        <v>44455</v>
      </c>
      <c r="B19027" s="515" t="s">
        <v>627</v>
      </c>
      <c r="C19027" s="52">
        <v>131644.592244967</v>
      </c>
      <c r="D19027" s="56">
        <v>9.450178108580741E-2</v>
      </c>
      <c r="E19027" s="224" t="s">
        <v>2</v>
      </c>
      <c r="F19027" s="515" t="s">
        <v>20198</v>
      </c>
      <c r="G19027" s="52">
        <v>100925.75514188901</v>
      </c>
      <c r="H19027" s="56">
        <v>6.2794464170853964E-2</v>
      </c>
      <c r="I19027" s="224" t="s">
        <v>2</v>
      </c>
    </row>
    <row r="19028" spans="1:9" x14ac:dyDescent="0.25">
      <c r="A19028" s="515">
        <v>29563</v>
      </c>
      <c r="C19028" s="52">
        <v>100515.900862068</v>
      </c>
      <c r="D19028" s="56">
        <v>0</v>
      </c>
      <c r="E19028" s="224" t="s">
        <v>2</v>
      </c>
      <c r="F19028" s="515" t="s">
        <v>20199</v>
      </c>
      <c r="G19028" s="52">
        <v>179154.83704160701</v>
      </c>
      <c r="H19028" s="56">
        <v>-2.600699425563498E-2</v>
      </c>
      <c r="I19028" s="224" t="s">
        <v>2</v>
      </c>
    </row>
    <row r="19029" spans="1:9" x14ac:dyDescent="0.25">
      <c r="A19029" s="515">
        <v>54847</v>
      </c>
      <c r="C19029" s="52">
        <v>232191.740501377</v>
      </c>
      <c r="D19029" s="56">
        <v>8.6977924885978816E-2</v>
      </c>
      <c r="E19029" s="224" t="s">
        <v>2</v>
      </c>
      <c r="F19029" s="515" t="s">
        <v>20200</v>
      </c>
      <c r="G19029" s="52">
        <v>142817.585722249</v>
      </c>
      <c r="H19029" s="56">
        <v>0</v>
      </c>
      <c r="I19029" s="224" t="s">
        <v>2</v>
      </c>
    </row>
    <row r="19030" spans="1:9" x14ac:dyDescent="0.25">
      <c r="A19030" s="515">
        <v>82513</v>
      </c>
      <c r="B19030" s="515" t="s">
        <v>308</v>
      </c>
      <c r="C19030" s="52">
        <v>395782.71120158501</v>
      </c>
      <c r="D19030" s="56">
        <v>9.0814506854439148E-2</v>
      </c>
      <c r="E19030" s="224" t="s">
        <v>2</v>
      </c>
      <c r="F19030" s="515" t="s">
        <v>20201</v>
      </c>
      <c r="G19030" s="52">
        <v>119349.171010019</v>
      </c>
      <c r="H19030" s="56">
        <v>0.13954286404650512</v>
      </c>
      <c r="I19030" s="224" t="s">
        <v>2</v>
      </c>
    </row>
    <row r="19031" spans="1:9" x14ac:dyDescent="0.25">
      <c r="A19031" s="515">
        <v>59846</v>
      </c>
      <c r="B19031" s="515" t="s">
        <v>1060</v>
      </c>
      <c r="C19031" s="52">
        <v>629130.99729232199</v>
      </c>
      <c r="D19031" s="56">
        <v>4.2277583123442875E-2</v>
      </c>
      <c r="E19031" s="224" t="s">
        <v>2</v>
      </c>
      <c r="F19031" s="515" t="s">
        <v>20202</v>
      </c>
      <c r="G19031" s="52">
        <v>257229.48597136399</v>
      </c>
      <c r="H19031" s="56">
        <v>0.15899446376408063</v>
      </c>
      <c r="I19031" s="224" t="s">
        <v>2</v>
      </c>
    </row>
    <row r="19032" spans="1:9" x14ac:dyDescent="0.25">
      <c r="A19032" s="515">
        <v>4553</v>
      </c>
      <c r="C19032" s="52">
        <v>419823.72068016202</v>
      </c>
      <c r="D19032" s="56">
        <v>0.12076195525400002</v>
      </c>
      <c r="E19032" s="224" t="s">
        <v>2</v>
      </c>
      <c r="F19032" s="515" t="s">
        <v>20203</v>
      </c>
      <c r="G19032" s="52">
        <v>213526.926044022</v>
      </c>
      <c r="H19032" s="56">
        <v>3.4601717569324827E-2</v>
      </c>
      <c r="I19032" s="224" t="s">
        <v>2</v>
      </c>
    </row>
    <row r="19033" spans="1:9" x14ac:dyDescent="0.25">
      <c r="A19033" s="515">
        <v>31022</v>
      </c>
      <c r="B19033" s="515" t="s">
        <v>929</v>
      </c>
      <c r="C19033" s="52">
        <v>182228.66264768399</v>
      </c>
      <c r="D19033" s="56">
        <v>0.10504721572474593</v>
      </c>
      <c r="E19033" s="224" t="s">
        <v>2</v>
      </c>
      <c r="F19033" s="515" t="s">
        <v>20204</v>
      </c>
      <c r="G19033" s="52">
        <v>560659.47180689895</v>
      </c>
      <c r="H19033" s="56">
        <v>0</v>
      </c>
      <c r="I19033" s="224" t="s">
        <v>2</v>
      </c>
    </row>
    <row r="19034" spans="1:9" x14ac:dyDescent="0.25">
      <c r="A19034" s="515">
        <v>61728</v>
      </c>
      <c r="B19034" s="515" t="s">
        <v>645</v>
      </c>
      <c r="C19034" s="52">
        <v>130821.472025282</v>
      </c>
      <c r="D19034" s="56">
        <v>0.10009700875758358</v>
      </c>
      <c r="E19034" s="224" t="s">
        <v>2</v>
      </c>
      <c r="F19034" s="515" t="s">
        <v>20205</v>
      </c>
      <c r="G19034" s="52">
        <v>210999.794993961</v>
      </c>
      <c r="H19034" s="56">
        <v>3.6823838196676305E-2</v>
      </c>
      <c r="I19034" s="224" t="s">
        <v>2</v>
      </c>
    </row>
    <row r="19035" spans="1:9" x14ac:dyDescent="0.25">
      <c r="A19035" s="515">
        <v>59057</v>
      </c>
      <c r="B19035" s="515" t="s">
        <v>637</v>
      </c>
      <c r="C19035" s="52">
        <v>517103.73981520598</v>
      </c>
      <c r="D19035" s="56">
        <v>0.10979460842570009</v>
      </c>
      <c r="E19035" s="224" t="s">
        <v>2</v>
      </c>
      <c r="F19035" s="515" t="s">
        <v>20206</v>
      </c>
      <c r="G19035" s="52">
        <v>233964.14504171599</v>
      </c>
      <c r="H19035" s="56">
        <v>0.14602493196838903</v>
      </c>
      <c r="I19035" s="224" t="s">
        <v>2</v>
      </c>
    </row>
    <row r="19036" spans="1:9" x14ac:dyDescent="0.25">
      <c r="A19036" s="515">
        <v>56009</v>
      </c>
      <c r="B19036" s="515" t="s">
        <v>565</v>
      </c>
      <c r="C19036" s="52">
        <v>194603.264028114</v>
      </c>
      <c r="D19036" s="56">
        <v>9.5998182517047934E-2</v>
      </c>
      <c r="E19036" s="224" t="s">
        <v>2</v>
      </c>
      <c r="F19036" s="515" t="s">
        <v>20207</v>
      </c>
      <c r="G19036" s="52">
        <v>88360.655215839099</v>
      </c>
      <c r="H19036" s="56">
        <v>0.25394435220401668</v>
      </c>
      <c r="I19036" s="224" t="s">
        <v>2</v>
      </c>
    </row>
    <row r="19037" spans="1:9" x14ac:dyDescent="0.25">
      <c r="A19037" s="515">
        <v>62218</v>
      </c>
      <c r="B19037" s="515" t="s">
        <v>498</v>
      </c>
      <c r="C19037" s="52">
        <v>220093.66765652999</v>
      </c>
      <c r="D19037" s="56">
        <v>0.126110337121626</v>
      </c>
      <c r="E19037" s="224" t="s">
        <v>2</v>
      </c>
      <c r="F19037" s="515" t="s">
        <v>20208</v>
      </c>
      <c r="G19037" s="52">
        <v>153917.959354639</v>
      </c>
      <c r="H19037" s="56">
        <v>0.26557255129803792</v>
      </c>
      <c r="I19037" s="224" t="s">
        <v>2</v>
      </c>
    </row>
    <row r="19038" spans="1:9" x14ac:dyDescent="0.25">
      <c r="A19038" s="515">
        <v>73669</v>
      </c>
      <c r="B19038" s="515" t="s">
        <v>860</v>
      </c>
      <c r="C19038" s="52">
        <v>121619.85929188201</v>
      </c>
      <c r="D19038" s="56">
        <v>0.10128391637197458</v>
      </c>
      <c r="E19038" s="224" t="s">
        <v>2</v>
      </c>
      <c r="F19038" s="515" t="s">
        <v>20209</v>
      </c>
      <c r="G19038" s="52">
        <v>84090.965192262403</v>
      </c>
      <c r="H19038" s="56">
        <v>0.31672310460993897</v>
      </c>
      <c r="I19038" s="224" t="s">
        <v>2</v>
      </c>
    </row>
    <row r="19039" spans="1:9" x14ac:dyDescent="0.25">
      <c r="A19039" s="515">
        <v>4041</v>
      </c>
      <c r="C19039" s="52">
        <v>263632.95661368698</v>
      </c>
      <c r="D19039" s="56">
        <v>9.081424380599018E-2</v>
      </c>
      <c r="E19039" s="224" t="s">
        <v>2</v>
      </c>
      <c r="F19039" s="515" t="s">
        <v>20210</v>
      </c>
      <c r="G19039" s="52">
        <v>217717.94290472299</v>
      </c>
      <c r="H19039" s="56">
        <v>8.683333768552165E-2</v>
      </c>
      <c r="I19039" s="224" t="s">
        <v>2</v>
      </c>
    </row>
    <row r="19040" spans="1:9" x14ac:dyDescent="0.25">
      <c r="A19040" s="515">
        <v>73728</v>
      </c>
      <c r="C19040" s="52">
        <v>78708.509988819802</v>
      </c>
      <c r="D19040" s="56">
        <v>7.8254657781957698E-2</v>
      </c>
      <c r="E19040" s="224" t="s">
        <v>2</v>
      </c>
      <c r="F19040" s="515" t="s">
        <v>20211</v>
      </c>
      <c r="G19040" s="52">
        <v>117227.372522651</v>
      </c>
      <c r="H19040" s="56">
        <v>-9.6425740469061414E-3</v>
      </c>
      <c r="I19040" s="224" t="s">
        <v>2</v>
      </c>
    </row>
    <row r="19041" spans="1:9" x14ac:dyDescent="0.25">
      <c r="A19041" s="515">
        <v>3449</v>
      </c>
      <c r="B19041" s="515" t="s">
        <v>996</v>
      </c>
      <c r="C19041" s="52">
        <v>441084.80335648701</v>
      </c>
      <c r="D19041" s="56">
        <v>0.15029763947355285</v>
      </c>
      <c r="E19041" s="224" t="s">
        <v>2</v>
      </c>
      <c r="F19041" s="515" t="s">
        <v>20212</v>
      </c>
      <c r="G19041" s="52">
        <v>82816.793840489598</v>
      </c>
      <c r="H19041" s="56">
        <v>0.14939555942937571</v>
      </c>
      <c r="I19041" s="224" t="s">
        <v>2</v>
      </c>
    </row>
    <row r="19042" spans="1:9" x14ac:dyDescent="0.25">
      <c r="A19042" s="515">
        <v>48370</v>
      </c>
      <c r="B19042" s="515" t="s">
        <v>685</v>
      </c>
      <c r="C19042" s="52">
        <v>457644.04300300102</v>
      </c>
      <c r="D19042" s="56">
        <v>3.2611633763260525E-2</v>
      </c>
      <c r="E19042" s="224" t="s">
        <v>2</v>
      </c>
      <c r="F19042" s="515" t="s">
        <v>20213</v>
      </c>
      <c r="G19042" s="52">
        <v>195154.113003178</v>
      </c>
      <c r="H19042" s="56">
        <v>2.8659698330758498E-2</v>
      </c>
      <c r="I19042" s="224" t="s">
        <v>2</v>
      </c>
    </row>
    <row r="19043" spans="1:9" x14ac:dyDescent="0.25">
      <c r="A19043" s="515">
        <v>12491</v>
      </c>
      <c r="B19043" s="515" t="s">
        <v>307</v>
      </c>
      <c r="C19043" s="52">
        <v>391486.430284528</v>
      </c>
      <c r="D19043" s="56">
        <v>9.9189585203321981E-2</v>
      </c>
      <c r="E19043" s="224" t="s">
        <v>2</v>
      </c>
      <c r="F19043" s="515" t="s">
        <v>20214</v>
      </c>
      <c r="G19043" s="52">
        <v>228856.81401978599</v>
      </c>
      <c r="H19043" s="56">
        <v>0.15018429936949354</v>
      </c>
      <c r="I19043" s="224" t="s">
        <v>2</v>
      </c>
    </row>
    <row r="19044" spans="1:9" x14ac:dyDescent="0.25">
      <c r="A19044" s="515">
        <v>49629</v>
      </c>
      <c r="C19044" s="52">
        <v>421398.31139780302</v>
      </c>
      <c r="D19044" s="56">
        <v>6.795032255472705E-2</v>
      </c>
      <c r="E19044" s="224" t="s">
        <v>2</v>
      </c>
      <c r="F19044" s="515" t="s">
        <v>20215</v>
      </c>
      <c r="G19044" s="52">
        <v>225458.366656522</v>
      </c>
      <c r="H19044" s="56">
        <v>0.12382579895458742</v>
      </c>
      <c r="I19044" s="224" t="s">
        <v>2</v>
      </c>
    </row>
    <row r="19045" spans="1:9" x14ac:dyDescent="0.25">
      <c r="A19045" s="515">
        <v>49729</v>
      </c>
      <c r="C19045" s="52">
        <v>237196.61533730899</v>
      </c>
      <c r="D19045" s="56">
        <v>5.6523895129621846E-2</v>
      </c>
      <c r="E19045" s="224" t="s">
        <v>2</v>
      </c>
      <c r="F19045" s="515" t="s">
        <v>20216</v>
      </c>
      <c r="G19045" s="52">
        <v>277061.30271760299</v>
      </c>
      <c r="H19045" s="56">
        <v>6.9243602168242172E-2</v>
      </c>
      <c r="I19045" s="224" t="s">
        <v>2</v>
      </c>
    </row>
    <row r="19046" spans="1:9" x14ac:dyDescent="0.25">
      <c r="A19046" s="515">
        <v>63060</v>
      </c>
      <c r="B19046" s="515" t="s">
        <v>498</v>
      </c>
      <c r="C19046" s="52">
        <v>188170.447163859</v>
      </c>
      <c r="D19046" s="56">
        <v>9.8624928933919109E-2</v>
      </c>
      <c r="E19046" s="224" t="s">
        <v>2</v>
      </c>
      <c r="F19046" s="515" t="s">
        <v>20217</v>
      </c>
      <c r="G19046" s="52">
        <v>154684.254916387</v>
      </c>
      <c r="H19046" s="56">
        <v>0.1021890862940588</v>
      </c>
      <c r="I19046" s="224" t="s">
        <v>2</v>
      </c>
    </row>
    <row r="19047" spans="1:9" x14ac:dyDescent="0.25">
      <c r="A19047" s="515">
        <v>64668</v>
      </c>
      <c r="C19047" s="52">
        <v>123753.135849976</v>
      </c>
      <c r="D19047" s="56">
        <v>7.52287699236526E-2</v>
      </c>
      <c r="E19047" s="224" t="s">
        <v>2</v>
      </c>
      <c r="F19047" s="515" t="s">
        <v>20218</v>
      </c>
      <c r="G19047" s="52">
        <v>119001.084085209</v>
      </c>
      <c r="H19047" s="56">
        <v>0.15846063663719306</v>
      </c>
      <c r="I19047" s="224" t="s">
        <v>2</v>
      </c>
    </row>
    <row r="19048" spans="1:9" x14ac:dyDescent="0.25">
      <c r="A19048" s="515">
        <v>15860</v>
      </c>
      <c r="C19048" s="52">
        <v>61168.439255434598</v>
      </c>
      <c r="D19048" s="56">
        <v>-7.5404671699000267E-2</v>
      </c>
      <c r="E19048" s="224" t="s">
        <v>2</v>
      </c>
      <c r="F19048" s="515" t="s">
        <v>20219</v>
      </c>
      <c r="G19048" s="52">
        <v>186674.47281792699</v>
      </c>
      <c r="H19048" s="56">
        <v>8.7044402607688656E-2</v>
      </c>
      <c r="I19048" s="224" t="s">
        <v>2</v>
      </c>
    </row>
    <row r="19049" spans="1:9" x14ac:dyDescent="0.25">
      <c r="A19049" s="515">
        <v>43340</v>
      </c>
      <c r="C19049" s="52">
        <v>174385.90486616499</v>
      </c>
      <c r="D19049" s="56">
        <v>0.12449936407166066</v>
      </c>
      <c r="E19049" s="224" t="s">
        <v>2</v>
      </c>
      <c r="F19049" s="515" t="s">
        <v>20220</v>
      </c>
      <c r="G19049" s="52">
        <v>367933.95462227199</v>
      </c>
      <c r="H19049" s="56">
        <v>0.11006282500998266</v>
      </c>
      <c r="I19049" s="224" t="s">
        <v>2</v>
      </c>
    </row>
    <row r="19050" spans="1:9" x14ac:dyDescent="0.25">
      <c r="A19050" s="515">
        <v>99688</v>
      </c>
      <c r="B19050" s="515" t="s">
        <v>405</v>
      </c>
      <c r="C19050" s="52">
        <v>234181.54880207</v>
      </c>
      <c r="D19050" s="56">
        <v>1.4330618855110184E-2</v>
      </c>
      <c r="E19050" s="224" t="s">
        <v>2</v>
      </c>
      <c r="F19050" s="515" t="s">
        <v>20221</v>
      </c>
      <c r="G19050" s="52">
        <v>63769.890123107099</v>
      </c>
      <c r="H19050" s="56">
        <v>0</v>
      </c>
      <c r="I19050" s="224" t="s">
        <v>2</v>
      </c>
    </row>
    <row r="19051" spans="1:9" x14ac:dyDescent="0.25">
      <c r="A19051" s="515">
        <v>39854</v>
      </c>
      <c r="B19051" s="515" t="s">
        <v>1059</v>
      </c>
      <c r="C19051" s="52">
        <v>113717.577388675</v>
      </c>
      <c r="D19051" s="56">
        <v>0.11722624933716157</v>
      </c>
      <c r="E19051" s="224" t="s">
        <v>2</v>
      </c>
      <c r="F19051" s="515" t="s">
        <v>20222</v>
      </c>
      <c r="G19051" s="52">
        <v>150935.62965398599</v>
      </c>
      <c r="H19051" s="56">
        <v>0</v>
      </c>
      <c r="I19051" s="224" t="s">
        <v>2</v>
      </c>
    </row>
    <row r="19052" spans="1:9" x14ac:dyDescent="0.25">
      <c r="A19052" s="515">
        <v>58220</v>
      </c>
      <c r="C19052" s="52">
        <v>124671.08145314299</v>
      </c>
      <c r="D19052" s="56">
        <v>7.2598983102164491E-2</v>
      </c>
      <c r="E19052" s="224" t="s">
        <v>2</v>
      </c>
      <c r="F19052" s="515" t="s">
        <v>20223</v>
      </c>
      <c r="G19052" s="52">
        <v>514123.45609338098</v>
      </c>
      <c r="H19052" s="56">
        <v>6.4629461345813599E-2</v>
      </c>
      <c r="I19052" s="224" t="s">
        <v>2</v>
      </c>
    </row>
    <row r="19053" spans="1:9" x14ac:dyDescent="0.25">
      <c r="A19053" s="515">
        <v>35461</v>
      </c>
      <c r="B19053" s="515" t="s">
        <v>841</v>
      </c>
      <c r="C19053" s="52"/>
      <c r="D19053" s="56">
        <v>0</v>
      </c>
      <c r="E19053" s="224" t="s">
        <v>2</v>
      </c>
      <c r="F19053" s="515" t="s">
        <v>20224</v>
      </c>
      <c r="G19053" s="52">
        <v>173612.01518367499</v>
      </c>
      <c r="H19053" s="56">
        <v>0.22538134539547811</v>
      </c>
      <c r="I19053" s="224" t="s">
        <v>2</v>
      </c>
    </row>
    <row r="19054" spans="1:9" x14ac:dyDescent="0.25">
      <c r="A19054" s="515">
        <v>43343</v>
      </c>
      <c r="B19054" s="515" t="s">
        <v>973</v>
      </c>
      <c r="C19054" s="52">
        <v>166857.16026080499</v>
      </c>
      <c r="D19054" s="56">
        <v>0.1018915101985706</v>
      </c>
      <c r="E19054" s="224" t="s">
        <v>2</v>
      </c>
      <c r="F19054" s="515" t="s">
        <v>20225</v>
      </c>
      <c r="G19054" s="52">
        <v>216559.421073028</v>
      </c>
      <c r="H19054" s="56">
        <v>8.0569509728097663E-2</v>
      </c>
      <c r="I19054" s="224" t="s">
        <v>2</v>
      </c>
    </row>
    <row r="19055" spans="1:9" x14ac:dyDescent="0.25">
      <c r="A19055" s="515">
        <v>50006</v>
      </c>
      <c r="C19055" s="52">
        <v>126182.00513216</v>
      </c>
      <c r="D19055" s="56">
        <v>0.13416964066411041</v>
      </c>
      <c r="E19055" s="224" t="s">
        <v>2</v>
      </c>
      <c r="F19055" s="515" t="s">
        <v>20226</v>
      </c>
      <c r="G19055" s="52">
        <v>1349224.25642715</v>
      </c>
      <c r="H19055" s="56">
        <v>6.5595760602371295E-2</v>
      </c>
      <c r="I19055" s="224" t="s">
        <v>2</v>
      </c>
    </row>
    <row r="19056" spans="1:9" x14ac:dyDescent="0.25">
      <c r="A19056" s="515">
        <v>15849</v>
      </c>
      <c r="B19056" s="515" t="s">
        <v>876</v>
      </c>
      <c r="C19056" s="52">
        <v>84265.614973261996</v>
      </c>
      <c r="D19056" s="56">
        <v>0</v>
      </c>
      <c r="E19056" s="224" t="s">
        <v>2</v>
      </c>
      <c r="F19056" s="515" t="s">
        <v>20227</v>
      </c>
      <c r="G19056" s="52">
        <v>263633.92932455102</v>
      </c>
      <c r="H19056" s="56">
        <v>3.3941195949697071E-2</v>
      </c>
      <c r="I19056" s="224" t="s">
        <v>2</v>
      </c>
    </row>
    <row r="19057" spans="1:9" x14ac:dyDescent="0.25">
      <c r="A19057" s="515">
        <v>56326</v>
      </c>
      <c r="B19057" s="515" t="s">
        <v>965</v>
      </c>
      <c r="C19057" s="52">
        <v>227970.38394369901</v>
      </c>
      <c r="D19057" s="56">
        <v>8.0689325630053071E-2</v>
      </c>
      <c r="E19057" s="224" t="s">
        <v>2</v>
      </c>
      <c r="F19057" s="515" t="s">
        <v>20228</v>
      </c>
      <c r="G19057" s="52">
        <v>265967.368963396</v>
      </c>
      <c r="H19057" s="56">
        <v>0.1669780515884613</v>
      </c>
      <c r="I19057" s="224" t="s">
        <v>2</v>
      </c>
    </row>
    <row r="19058" spans="1:9" x14ac:dyDescent="0.25">
      <c r="A19058" s="515">
        <v>83113</v>
      </c>
      <c r="C19058" s="52">
        <v>270089.78636856301</v>
      </c>
      <c r="D19058" s="56">
        <v>4.7041908990827316E-2</v>
      </c>
      <c r="E19058" s="224" t="s">
        <v>2</v>
      </c>
      <c r="F19058" s="515" t="s">
        <v>20229</v>
      </c>
      <c r="G19058" s="52">
        <v>442874.48411414702</v>
      </c>
      <c r="H19058" s="56">
        <v>9.8411177731213079E-2</v>
      </c>
      <c r="I19058" s="224" t="s">
        <v>2</v>
      </c>
    </row>
    <row r="19059" spans="1:9" x14ac:dyDescent="0.25">
      <c r="A19059" s="515">
        <v>73014</v>
      </c>
      <c r="B19059" s="515" t="s">
        <v>385</v>
      </c>
      <c r="C19059" s="52">
        <v>205886.68701800201</v>
      </c>
      <c r="D19059" s="56">
        <v>8.7711257717895022E-2</v>
      </c>
      <c r="E19059" s="224" t="s">
        <v>2</v>
      </c>
      <c r="F19059" s="515" t="s">
        <v>20230</v>
      </c>
      <c r="G19059" s="52">
        <v>103239.382844393</v>
      </c>
      <c r="H19059" s="56">
        <v>0.10348105043009466</v>
      </c>
      <c r="I19059" s="224" t="s">
        <v>2</v>
      </c>
    </row>
    <row r="19060" spans="1:9" x14ac:dyDescent="0.25">
      <c r="A19060" s="515">
        <v>44441</v>
      </c>
      <c r="B19060" s="515" t="s">
        <v>627</v>
      </c>
      <c r="C19060" s="52">
        <v>169152.73958511901</v>
      </c>
      <c r="D19060" s="56">
        <v>8.6204173399724429E-2</v>
      </c>
      <c r="E19060" s="224" t="s">
        <v>2</v>
      </c>
      <c r="F19060" s="515" t="s">
        <v>20231</v>
      </c>
      <c r="G19060" s="52">
        <v>141526.29778932201</v>
      </c>
      <c r="H19060" s="56">
        <v>9.3788059443374483E-2</v>
      </c>
      <c r="I19060" s="224" t="s">
        <v>2</v>
      </c>
    </row>
    <row r="19061" spans="1:9" x14ac:dyDescent="0.25">
      <c r="A19061" s="515">
        <v>12779</v>
      </c>
      <c r="C19061" s="52">
        <v>224268.28426796899</v>
      </c>
      <c r="D19061" s="56">
        <v>0.14182880464881745</v>
      </c>
      <c r="E19061" s="224" t="s">
        <v>2</v>
      </c>
      <c r="F19061" s="515" t="s">
        <v>20232</v>
      </c>
      <c r="G19061" s="52">
        <v>131542.88457540801</v>
      </c>
      <c r="H19061" s="56">
        <v>0.12822235199886098</v>
      </c>
      <c r="I19061" s="224" t="s">
        <v>2</v>
      </c>
    </row>
    <row r="19062" spans="1:9" x14ac:dyDescent="0.25">
      <c r="A19062" s="515">
        <v>97438</v>
      </c>
      <c r="B19062" s="515" t="s">
        <v>801</v>
      </c>
      <c r="C19062" s="52">
        <v>500683.134042377</v>
      </c>
      <c r="D19062" s="56">
        <v>2.3650966831234101E-2</v>
      </c>
      <c r="E19062" s="224" t="s">
        <v>2</v>
      </c>
      <c r="F19062" s="515" t="s">
        <v>20233</v>
      </c>
      <c r="G19062" s="52">
        <v>140368.16801709699</v>
      </c>
      <c r="H19062" s="56">
        <v>0.14408691530453574</v>
      </c>
      <c r="I19062" s="224" t="s">
        <v>2</v>
      </c>
    </row>
    <row r="19063" spans="1:9" x14ac:dyDescent="0.25">
      <c r="A19063" s="515">
        <v>38487</v>
      </c>
      <c r="B19063" s="515" t="s">
        <v>684</v>
      </c>
      <c r="C19063" s="52">
        <v>337804.41490101803</v>
      </c>
      <c r="D19063" s="56">
        <v>4.9504551539489475E-2</v>
      </c>
      <c r="E19063" s="224" t="s">
        <v>2</v>
      </c>
      <c r="F19063" s="515" t="s">
        <v>20234</v>
      </c>
      <c r="G19063" s="52">
        <v>122070.44434617199</v>
      </c>
      <c r="H19063" s="56">
        <v>0.13421235405278492</v>
      </c>
      <c r="I19063" s="224" t="s">
        <v>2</v>
      </c>
    </row>
    <row r="19064" spans="1:9" x14ac:dyDescent="0.25">
      <c r="A19064" s="515">
        <v>43755</v>
      </c>
      <c r="B19064" s="515" t="s">
        <v>499</v>
      </c>
      <c r="C19064" s="52">
        <v>127714.825138475</v>
      </c>
      <c r="D19064" s="56">
        <v>6.3182846390605243E-2</v>
      </c>
      <c r="E19064" s="224" t="s">
        <v>2</v>
      </c>
      <c r="F19064" s="515" t="s">
        <v>20235</v>
      </c>
      <c r="G19064" s="52">
        <v>131073.56284322101</v>
      </c>
      <c r="H19064" s="56">
        <v>7.5653242962951756E-2</v>
      </c>
      <c r="I19064" s="224" t="s">
        <v>2</v>
      </c>
    </row>
    <row r="19065" spans="1:9" x14ac:dyDescent="0.25">
      <c r="A19065" s="515">
        <v>31038</v>
      </c>
      <c r="B19065" s="515" t="s">
        <v>995</v>
      </c>
      <c r="C19065" s="52">
        <v>187018.32376817201</v>
      </c>
      <c r="D19065" s="56">
        <v>7.0894996525542625E-2</v>
      </c>
      <c r="E19065" s="224" t="s">
        <v>2</v>
      </c>
      <c r="F19065" s="515" t="s">
        <v>20236</v>
      </c>
      <c r="G19065" s="52">
        <v>1057652.47722755</v>
      </c>
      <c r="H19065" s="56">
        <v>3.14747777931089E-2</v>
      </c>
      <c r="I19065" s="224" t="s">
        <v>2</v>
      </c>
    </row>
    <row r="19066" spans="1:9" x14ac:dyDescent="0.25">
      <c r="A19066" s="515">
        <v>23169</v>
      </c>
      <c r="C19066" s="52">
        <v>318495.33053436002</v>
      </c>
      <c r="D19066" s="56">
        <v>0.1132189665383118</v>
      </c>
      <c r="E19066" s="224" t="s">
        <v>2</v>
      </c>
      <c r="F19066" s="515" t="s">
        <v>20237</v>
      </c>
      <c r="G19066" s="52">
        <v>368939.59846462199</v>
      </c>
      <c r="H19066" s="56">
        <v>6.915671934391239E-2</v>
      </c>
      <c r="I19066" s="224" t="s">
        <v>2</v>
      </c>
    </row>
    <row r="19067" spans="1:9" x14ac:dyDescent="0.25">
      <c r="A19067" s="515">
        <v>16720</v>
      </c>
      <c r="C19067" s="52">
        <v>95395.852935949602</v>
      </c>
      <c r="D19067" s="56">
        <v>4.5164486273364564E-2</v>
      </c>
      <c r="E19067" s="224" t="s">
        <v>2</v>
      </c>
      <c r="F19067" s="515" t="s">
        <v>20238</v>
      </c>
      <c r="G19067" s="52">
        <v>151304.011094594</v>
      </c>
      <c r="H19067" s="56">
        <v>6.8241883148835225E-2</v>
      </c>
      <c r="I19067" s="224" t="s">
        <v>2</v>
      </c>
    </row>
    <row r="19068" spans="1:9" x14ac:dyDescent="0.25">
      <c r="A19068" s="515">
        <v>68791</v>
      </c>
      <c r="C19068" s="52">
        <v>171072.11725442801</v>
      </c>
      <c r="D19068" s="56">
        <v>6.1813353461997393E-2</v>
      </c>
      <c r="E19068" s="224" t="s">
        <v>2</v>
      </c>
      <c r="F19068" s="515" t="s">
        <v>20239</v>
      </c>
      <c r="G19068" s="52">
        <v>175154.21299643701</v>
      </c>
      <c r="H19068" s="56">
        <v>0</v>
      </c>
      <c r="I19068" s="224" t="s">
        <v>2</v>
      </c>
    </row>
    <row r="19069" spans="1:9" x14ac:dyDescent="0.25">
      <c r="A19069" s="515">
        <v>54539</v>
      </c>
      <c r="C19069" s="52">
        <v>244667.67625082101</v>
      </c>
      <c r="D19069" s="56">
        <v>8.8962665394042378E-2</v>
      </c>
      <c r="E19069" s="224" t="s">
        <v>2</v>
      </c>
      <c r="F19069" s="515" t="s">
        <v>20240</v>
      </c>
      <c r="G19069" s="52">
        <v>183327.44783439301</v>
      </c>
      <c r="H19069" s="56">
        <v>6.101496285239149E-2</v>
      </c>
      <c r="I19069" s="224" t="s">
        <v>2</v>
      </c>
    </row>
    <row r="19070" spans="1:9" x14ac:dyDescent="0.25">
      <c r="A19070" s="515">
        <v>13660</v>
      </c>
      <c r="B19070" s="515" t="s">
        <v>511</v>
      </c>
      <c r="C19070" s="52">
        <v>140987.528347952</v>
      </c>
      <c r="D19070" s="56">
        <v>2.6987693030104752E-2</v>
      </c>
      <c r="E19070" s="224" t="s">
        <v>2</v>
      </c>
      <c r="F19070" s="515" t="s">
        <v>20241</v>
      </c>
      <c r="G19070" s="52">
        <v>199998.04570080701</v>
      </c>
      <c r="H19070" s="56">
        <v>0.14474324737209382</v>
      </c>
      <c r="I19070" s="224" t="s">
        <v>2</v>
      </c>
    </row>
    <row r="19071" spans="1:9" x14ac:dyDescent="0.25">
      <c r="A19071" s="515">
        <v>49818</v>
      </c>
      <c r="B19071" s="515" t="s">
        <v>713</v>
      </c>
      <c r="C19071" s="52">
        <v>152819.68302756999</v>
      </c>
      <c r="D19071" s="56">
        <v>6.5874454884251629E-2</v>
      </c>
      <c r="E19071" s="224" t="s">
        <v>2</v>
      </c>
      <c r="F19071" s="515" t="s">
        <v>20242</v>
      </c>
      <c r="G19071" s="52">
        <v>221033.20977103099</v>
      </c>
      <c r="H19071" s="56">
        <v>7.382700994434746E-2</v>
      </c>
      <c r="I19071" s="224" t="s">
        <v>2</v>
      </c>
    </row>
    <row r="19072" spans="1:9" x14ac:dyDescent="0.25">
      <c r="A19072" s="515">
        <v>62560</v>
      </c>
      <c r="C19072" s="52">
        <v>127686.218405108</v>
      </c>
      <c r="D19072" s="56">
        <v>5.6882787106316307E-2</v>
      </c>
      <c r="E19072" s="224" t="s">
        <v>2</v>
      </c>
      <c r="F19072" s="515" t="s">
        <v>20243</v>
      </c>
      <c r="G19072" s="52">
        <v>226772.06655316</v>
      </c>
      <c r="H19072" s="56">
        <v>0.141729270392319</v>
      </c>
      <c r="I19072" s="224" t="s">
        <v>2</v>
      </c>
    </row>
    <row r="19073" spans="1:9" x14ac:dyDescent="0.25">
      <c r="A19073" s="515">
        <v>55797</v>
      </c>
      <c r="B19073" s="515" t="s">
        <v>350</v>
      </c>
      <c r="C19073" s="52">
        <v>247235.722668089</v>
      </c>
      <c r="D19073" s="56">
        <v>5.3074086864736282E-2</v>
      </c>
      <c r="E19073" s="224" t="s">
        <v>2</v>
      </c>
      <c r="F19073" s="515" t="s">
        <v>20244</v>
      </c>
      <c r="G19073" s="52">
        <v>170802.682926829</v>
      </c>
      <c r="H19073" s="56">
        <v>0</v>
      </c>
      <c r="I19073" s="224" t="s">
        <v>2</v>
      </c>
    </row>
    <row r="19074" spans="1:9" x14ac:dyDescent="0.25">
      <c r="A19074" s="515">
        <v>3287</v>
      </c>
      <c r="B19074" s="515" t="s">
        <v>981</v>
      </c>
      <c r="C19074" s="52">
        <v>428971.12243774399</v>
      </c>
      <c r="D19074" s="56">
        <v>9.0935082671959364E-2</v>
      </c>
      <c r="E19074" s="224" t="s">
        <v>2</v>
      </c>
      <c r="F19074" s="515" t="s">
        <v>20245</v>
      </c>
      <c r="G19074" s="52">
        <v>296494.22963168297</v>
      </c>
      <c r="H19074" s="56">
        <v>0.13778997340827642</v>
      </c>
      <c r="I19074" s="224" t="s">
        <v>2</v>
      </c>
    </row>
    <row r="19075" spans="1:9" x14ac:dyDescent="0.25">
      <c r="A19075" s="515">
        <v>29911</v>
      </c>
      <c r="C19075" s="52">
        <v>103447.505300883</v>
      </c>
      <c r="D19075" s="56">
        <v>7.1043880106221174E-2</v>
      </c>
      <c r="E19075" s="224" t="s">
        <v>2</v>
      </c>
      <c r="F19075" s="515" t="s">
        <v>20246</v>
      </c>
      <c r="G19075" s="52">
        <v>226878.55882414099</v>
      </c>
      <c r="H19075" s="56">
        <v>0.31517348398261952</v>
      </c>
      <c r="I19075" s="224" t="s">
        <v>2</v>
      </c>
    </row>
    <row r="19076" spans="1:9" x14ac:dyDescent="0.25">
      <c r="A19076" s="515">
        <v>49776</v>
      </c>
      <c r="C19076" s="52">
        <v>141853.801470026</v>
      </c>
      <c r="D19076" s="56">
        <v>4.6690569519298578E-2</v>
      </c>
      <c r="E19076" s="224" t="s">
        <v>2</v>
      </c>
      <c r="F19076" s="515" t="s">
        <v>20247</v>
      </c>
      <c r="G19076" s="52">
        <v>305344.94772271998</v>
      </c>
      <c r="H19076" s="56">
        <v>0</v>
      </c>
      <c r="I19076" s="224" t="s">
        <v>2</v>
      </c>
    </row>
    <row r="19077" spans="1:9" x14ac:dyDescent="0.25">
      <c r="A19077" s="515">
        <v>65591</v>
      </c>
      <c r="C19077" s="52">
        <v>187256.59219107899</v>
      </c>
      <c r="D19077" s="56">
        <v>-8.0167804808550014E-2</v>
      </c>
      <c r="E19077" s="224" t="s">
        <v>2</v>
      </c>
      <c r="F19077" s="515" t="s">
        <v>20248</v>
      </c>
      <c r="G19077" s="52">
        <v>104948.971200567</v>
      </c>
      <c r="H19077" s="56">
        <v>0.12844656805992097</v>
      </c>
      <c r="I19077" s="224" t="s">
        <v>2</v>
      </c>
    </row>
    <row r="19078" spans="1:9" x14ac:dyDescent="0.25">
      <c r="A19078" s="515">
        <v>93266</v>
      </c>
      <c r="B19078" s="515" t="s">
        <v>942</v>
      </c>
      <c r="C19078" s="52">
        <v>222281.02638760299</v>
      </c>
      <c r="D19078" s="56">
        <v>0.11547446502539611</v>
      </c>
      <c r="E19078" s="224" t="s">
        <v>2</v>
      </c>
      <c r="F19078" s="515" t="s">
        <v>20249</v>
      </c>
      <c r="G19078" s="52">
        <v>78591.913491288695</v>
      </c>
      <c r="H19078" s="56">
        <v>0</v>
      </c>
      <c r="I19078" s="224" t="s">
        <v>2</v>
      </c>
    </row>
    <row r="19079" spans="1:9" x14ac:dyDescent="0.25">
      <c r="A19079" s="515">
        <v>83612</v>
      </c>
      <c r="C19079" s="52">
        <v>360866.99949522101</v>
      </c>
      <c r="D19079" s="56">
        <v>4.8141634189336646E-2</v>
      </c>
      <c r="E19079" s="224" t="s">
        <v>2</v>
      </c>
      <c r="F19079" s="515" t="s">
        <v>20250</v>
      </c>
      <c r="G19079" s="52">
        <v>175837.142660079</v>
      </c>
      <c r="H19079" s="56">
        <v>5.6472091460907023E-2</v>
      </c>
      <c r="I19079" s="224" t="s">
        <v>2</v>
      </c>
    </row>
    <row r="19080" spans="1:9" x14ac:dyDescent="0.25">
      <c r="A19080" s="515">
        <v>22940</v>
      </c>
      <c r="B19080" s="515" t="s">
        <v>630</v>
      </c>
      <c r="C19080" s="52">
        <v>524475.20287806599</v>
      </c>
      <c r="D19080" s="56">
        <v>0.13207815309687368</v>
      </c>
      <c r="E19080" s="224" t="s">
        <v>2</v>
      </c>
      <c r="F19080" s="515" t="s">
        <v>20251</v>
      </c>
      <c r="G19080" s="52">
        <v>42140.206521739099</v>
      </c>
      <c r="H19080" s="56">
        <v>0</v>
      </c>
      <c r="I19080" s="224" t="s">
        <v>2</v>
      </c>
    </row>
    <row r="19081" spans="1:9" x14ac:dyDescent="0.25">
      <c r="A19081" s="515">
        <v>42746</v>
      </c>
      <c r="C19081" s="52">
        <v>159107.841826808</v>
      </c>
      <c r="D19081" s="56">
        <v>0.21304975155347067</v>
      </c>
      <c r="E19081" s="224" t="s">
        <v>2</v>
      </c>
      <c r="F19081" s="515" t="s">
        <v>20252</v>
      </c>
      <c r="G19081" s="52">
        <v>328457.408130756</v>
      </c>
      <c r="H19081" s="56">
        <v>-1.6783687359713469E-2</v>
      </c>
      <c r="I19081" s="224" t="s">
        <v>2</v>
      </c>
    </row>
    <row r="19082" spans="1:9" x14ac:dyDescent="0.25">
      <c r="A19082" s="515">
        <v>46186</v>
      </c>
      <c r="B19082" s="515" t="s">
        <v>403</v>
      </c>
      <c r="C19082" s="52">
        <v>237449.20077118999</v>
      </c>
      <c r="D19082" s="56">
        <v>9.2446295175422799E-2</v>
      </c>
      <c r="E19082" s="224" t="s">
        <v>2</v>
      </c>
      <c r="F19082" s="515" t="s">
        <v>20253</v>
      </c>
      <c r="G19082" s="52">
        <v>195576.69456013801</v>
      </c>
      <c r="H19082" s="56">
        <v>0</v>
      </c>
      <c r="I19082" s="224" t="s">
        <v>2</v>
      </c>
    </row>
    <row r="19083" spans="1:9" x14ac:dyDescent="0.25">
      <c r="A19083" s="515">
        <v>43556</v>
      </c>
      <c r="B19083" s="515" t="s">
        <v>583</v>
      </c>
      <c r="C19083" s="52">
        <v>144739.49849512399</v>
      </c>
      <c r="D19083" s="56">
        <v>8.1788447686719279E-2</v>
      </c>
      <c r="E19083" s="224" t="s">
        <v>2</v>
      </c>
      <c r="F19083" s="515" t="s">
        <v>20254</v>
      </c>
      <c r="G19083" s="52">
        <v>69969.166787897499</v>
      </c>
      <c r="H19083" s="56">
        <v>-3.4734380700182393E-2</v>
      </c>
      <c r="I19083" s="224" t="s">
        <v>2</v>
      </c>
    </row>
    <row r="19084" spans="1:9" x14ac:dyDescent="0.25">
      <c r="A19084" s="515">
        <v>22663</v>
      </c>
      <c r="B19084" s="515" t="s">
        <v>321</v>
      </c>
      <c r="C19084" s="52">
        <v>440485.70613321202</v>
      </c>
      <c r="D19084" s="56">
        <v>5.690158784713157E-2</v>
      </c>
      <c r="E19084" s="224" t="s">
        <v>2</v>
      </c>
      <c r="F19084" s="515" t="s">
        <v>20255</v>
      </c>
      <c r="G19084" s="52">
        <v>46789.170188762</v>
      </c>
      <c r="H19084" s="56">
        <v>0.42799892086758334</v>
      </c>
      <c r="I19084" s="224" t="s">
        <v>2</v>
      </c>
    </row>
    <row r="19085" spans="1:9" x14ac:dyDescent="0.25">
      <c r="A19085" s="515">
        <v>56676</v>
      </c>
      <c r="B19085" s="515" t="s">
        <v>690</v>
      </c>
      <c r="C19085" s="52">
        <v>190053.451924036</v>
      </c>
      <c r="D19085" s="56">
        <v>4.3902035615479909E-2</v>
      </c>
      <c r="E19085" s="224" t="s">
        <v>2</v>
      </c>
      <c r="F19085" s="515" t="s">
        <v>20256</v>
      </c>
      <c r="G19085" s="52">
        <v>763231.39714623801</v>
      </c>
      <c r="H19085" s="56">
        <v>5.6106654048004932E-2</v>
      </c>
      <c r="I19085" s="224" t="s">
        <v>2</v>
      </c>
    </row>
    <row r="19086" spans="1:9" x14ac:dyDescent="0.25">
      <c r="A19086" s="515">
        <v>16822</v>
      </c>
      <c r="B19086" s="515" t="s">
        <v>776</v>
      </c>
      <c r="C19086" s="52">
        <v>158608.49295217599</v>
      </c>
      <c r="D19086" s="56">
        <v>6.260444986129815E-2</v>
      </c>
      <c r="E19086" s="224" t="s">
        <v>2</v>
      </c>
      <c r="F19086" s="515" t="s">
        <v>20257</v>
      </c>
      <c r="G19086" s="52">
        <v>152047.22049762399</v>
      </c>
      <c r="H19086" s="56">
        <v>0.13586952509624847</v>
      </c>
      <c r="I19086" s="224" t="s">
        <v>2</v>
      </c>
    </row>
    <row r="19087" spans="1:9" x14ac:dyDescent="0.25">
      <c r="A19087" s="515">
        <v>59442</v>
      </c>
      <c r="C19087" s="52">
        <v>240134.32167862999</v>
      </c>
      <c r="D19087" s="56">
        <v>6.3011333462221167E-2</v>
      </c>
      <c r="E19087" s="224" t="s">
        <v>2</v>
      </c>
      <c r="F19087" s="515" t="s">
        <v>20258</v>
      </c>
      <c r="G19087" s="52">
        <v>102780.284581481</v>
      </c>
      <c r="H19087" s="56">
        <v>0.11131407694936842</v>
      </c>
      <c r="I19087" s="224" t="s">
        <v>2</v>
      </c>
    </row>
    <row r="19088" spans="1:9" x14ac:dyDescent="0.25">
      <c r="A19088" s="515">
        <v>23123</v>
      </c>
      <c r="C19088" s="52">
        <v>143170.86760869299</v>
      </c>
      <c r="D19088" s="56">
        <v>0</v>
      </c>
      <c r="E19088" s="224" t="s">
        <v>2</v>
      </c>
      <c r="F19088" s="515" t="s">
        <v>20259</v>
      </c>
      <c r="G19088" s="52">
        <v>180491.02305448099</v>
      </c>
      <c r="H19088" s="56">
        <v>1.0761936131231321E-2</v>
      </c>
      <c r="I19088" s="224" t="s">
        <v>2</v>
      </c>
    </row>
    <row r="19089" spans="1:9" x14ac:dyDescent="0.25">
      <c r="A19089" s="515">
        <v>76687</v>
      </c>
      <c r="C19089" s="52">
        <v>292580.38686524902</v>
      </c>
      <c r="D19089" s="56">
        <v>4.1350098097531228E-2</v>
      </c>
      <c r="E19089" s="224" t="s">
        <v>2</v>
      </c>
      <c r="F19089" s="515" t="s">
        <v>20260</v>
      </c>
      <c r="G19089" s="52">
        <v>146182.77259520799</v>
      </c>
      <c r="H19089" s="56">
        <v>-1.5700411678666388E-2</v>
      </c>
      <c r="I19089" s="224" t="s">
        <v>2</v>
      </c>
    </row>
    <row r="19090" spans="1:9" x14ac:dyDescent="0.25">
      <c r="A19090" s="515">
        <v>38332</v>
      </c>
      <c r="B19090" s="515" t="s">
        <v>691</v>
      </c>
      <c r="C19090" s="52">
        <v>87485.741976216101</v>
      </c>
      <c r="D19090" s="56">
        <v>7.4443098756119763E-2</v>
      </c>
      <c r="E19090" s="224" t="s">
        <v>2</v>
      </c>
      <c r="F19090" s="515" t="s">
        <v>20261</v>
      </c>
      <c r="G19090" s="52">
        <v>281209.833918744</v>
      </c>
      <c r="H19090" s="56">
        <v>5.933487730433204E-2</v>
      </c>
      <c r="I19090" s="224" t="s">
        <v>2</v>
      </c>
    </row>
    <row r="19091" spans="1:9" x14ac:dyDescent="0.25">
      <c r="A19091" s="515">
        <v>65254</v>
      </c>
      <c r="B19091" s="515" t="s">
        <v>785</v>
      </c>
      <c r="C19091" s="52">
        <v>148945.94164470001</v>
      </c>
      <c r="D19091" s="56">
        <v>9.2194609828085985E-2</v>
      </c>
      <c r="E19091" s="224" t="s">
        <v>2</v>
      </c>
      <c r="F19091" s="515" t="s">
        <v>20262</v>
      </c>
      <c r="G19091" s="52">
        <v>209685.29248722299</v>
      </c>
      <c r="H19091" s="56">
        <v>6.2374693440087883E-3</v>
      </c>
      <c r="I19091" s="224" t="s">
        <v>2</v>
      </c>
    </row>
    <row r="19092" spans="1:9" x14ac:dyDescent="0.25">
      <c r="A19092" s="515">
        <v>35148</v>
      </c>
      <c r="B19092" s="515" t="s">
        <v>1087</v>
      </c>
      <c r="C19092" s="52">
        <v>161730.99594841301</v>
      </c>
      <c r="D19092" s="56">
        <v>-3.6171012212595026E-3</v>
      </c>
      <c r="E19092" s="224" t="s">
        <v>2</v>
      </c>
      <c r="F19092" s="515" t="s">
        <v>20263</v>
      </c>
      <c r="G19092" s="52">
        <v>342875.83187065</v>
      </c>
      <c r="H19092" s="56">
        <v>2.0199061632746131E-2</v>
      </c>
      <c r="I19092" s="224" t="s">
        <v>2</v>
      </c>
    </row>
    <row r="19093" spans="1:9" x14ac:dyDescent="0.25">
      <c r="A19093" s="515">
        <v>58552</v>
      </c>
      <c r="C19093" s="52">
        <v>99748.025531145206</v>
      </c>
      <c r="D19093" s="56">
        <v>8.8770068649005537E-2</v>
      </c>
      <c r="E19093" s="224" t="s">
        <v>2</v>
      </c>
      <c r="F19093" s="515" t="s">
        <v>20264</v>
      </c>
      <c r="G19093" s="52">
        <v>473216.366972477</v>
      </c>
      <c r="H19093" s="56">
        <v>0</v>
      </c>
      <c r="I19093" s="224" t="s">
        <v>2</v>
      </c>
    </row>
    <row r="19094" spans="1:9" x14ac:dyDescent="0.25">
      <c r="A19094" s="515">
        <v>13063</v>
      </c>
      <c r="B19094" s="515" t="s">
        <v>361</v>
      </c>
      <c r="C19094" s="52">
        <v>232606.23633072499</v>
      </c>
      <c r="D19094" s="56">
        <v>0.10077942030931457</v>
      </c>
      <c r="E19094" s="224" t="s">
        <v>2</v>
      </c>
      <c r="F19094" s="515" t="s">
        <v>20265</v>
      </c>
      <c r="G19094" s="52">
        <v>295639.932593834</v>
      </c>
      <c r="H19094" s="56">
        <v>-4.4574227056553638E-2</v>
      </c>
      <c r="I19094" s="224" t="s">
        <v>2</v>
      </c>
    </row>
    <row r="19095" spans="1:9" x14ac:dyDescent="0.25">
      <c r="A19095" s="515">
        <v>56452</v>
      </c>
      <c r="B19095" s="515" t="s">
        <v>674</v>
      </c>
      <c r="C19095" s="52">
        <v>322935.517294558</v>
      </c>
      <c r="D19095" s="56">
        <v>0.11911289835669521</v>
      </c>
      <c r="E19095" s="224" t="s">
        <v>2</v>
      </c>
      <c r="F19095" s="515" t="s">
        <v>20266</v>
      </c>
      <c r="G19095" s="52">
        <v>135377.037733412</v>
      </c>
      <c r="H19095" s="56">
        <v>0.1859213603490964</v>
      </c>
      <c r="I19095" s="224" t="s">
        <v>2</v>
      </c>
    </row>
    <row r="19096" spans="1:9" x14ac:dyDescent="0.25">
      <c r="A19096" s="515">
        <v>23954</v>
      </c>
      <c r="C19096" s="52">
        <v>138869.413089662</v>
      </c>
      <c r="D19096" s="56">
        <v>-1.1147701167842661E-2</v>
      </c>
      <c r="E19096" s="224" t="s">
        <v>2</v>
      </c>
      <c r="F19096" s="515" t="s">
        <v>20267</v>
      </c>
      <c r="G19096" s="52">
        <v>349706.005486804</v>
      </c>
      <c r="H19096" s="56">
        <v>0.18175196817041694</v>
      </c>
      <c r="I19096" s="224" t="s">
        <v>2</v>
      </c>
    </row>
    <row r="19097" spans="1:9" x14ac:dyDescent="0.25">
      <c r="A19097" s="515">
        <v>28020</v>
      </c>
      <c r="B19097" s="515" t="s">
        <v>310</v>
      </c>
      <c r="C19097" s="52">
        <v>110988.849611527</v>
      </c>
      <c r="D19097" s="56">
        <v>0.19974000008438669</v>
      </c>
      <c r="E19097" s="224" t="s">
        <v>2</v>
      </c>
      <c r="F19097" s="515" t="s">
        <v>20268</v>
      </c>
      <c r="G19097" s="52">
        <v>178254.85737220701</v>
      </c>
      <c r="H19097" s="56">
        <v>7.6364444380914873E-2</v>
      </c>
      <c r="I19097" s="224" t="s">
        <v>2</v>
      </c>
    </row>
    <row r="19098" spans="1:9" x14ac:dyDescent="0.25">
      <c r="A19098" s="515">
        <v>1262</v>
      </c>
      <c r="B19098" s="515" t="s">
        <v>497</v>
      </c>
      <c r="C19098" s="52">
        <v>626005.180547292</v>
      </c>
      <c r="D19098" s="56">
        <v>9.1210296506732152E-2</v>
      </c>
      <c r="E19098" s="224" t="s">
        <v>2</v>
      </c>
      <c r="F19098" s="515" t="s">
        <v>20269</v>
      </c>
      <c r="G19098" s="52">
        <v>272478.13472743699</v>
      </c>
      <c r="H19098" s="56">
        <v>0.13554671279304753</v>
      </c>
      <c r="I19098" s="224" t="s">
        <v>2</v>
      </c>
    </row>
    <row r="19099" spans="1:9" x14ac:dyDescent="0.25">
      <c r="A19099" s="515">
        <v>50574</v>
      </c>
      <c r="C19099" s="52">
        <v>106644.24051408999</v>
      </c>
      <c r="D19099" s="56">
        <v>0</v>
      </c>
      <c r="E19099" s="224" t="s">
        <v>2</v>
      </c>
      <c r="F19099" s="515" t="s">
        <v>20270</v>
      </c>
      <c r="G19099" s="52">
        <v>488656.62861601001</v>
      </c>
      <c r="H19099" s="56">
        <v>7.4281265532481044E-2</v>
      </c>
      <c r="I19099" s="224" t="s">
        <v>2</v>
      </c>
    </row>
    <row r="19100" spans="1:9" x14ac:dyDescent="0.25">
      <c r="A19100" s="515">
        <v>68771</v>
      </c>
      <c r="C19100" s="52">
        <v>165964.06859407999</v>
      </c>
      <c r="D19100" s="56">
        <v>8.1270706012874366E-2</v>
      </c>
      <c r="E19100" s="224" t="s">
        <v>2</v>
      </c>
      <c r="F19100" s="515" t="s">
        <v>20271</v>
      </c>
      <c r="G19100" s="52">
        <v>116629.797307491</v>
      </c>
      <c r="H19100" s="56">
        <v>0.11668936620811438</v>
      </c>
      <c r="I19100" s="224" t="s">
        <v>2</v>
      </c>
    </row>
    <row r="19101" spans="1:9" x14ac:dyDescent="0.25">
      <c r="A19101" s="515">
        <v>62573</v>
      </c>
      <c r="B19101" s="515" t="s">
        <v>540</v>
      </c>
      <c r="C19101" s="52">
        <v>125679.50632897799</v>
      </c>
      <c r="D19101" s="56">
        <v>2.0889920845143538E-2</v>
      </c>
      <c r="E19101" s="224" t="s">
        <v>2</v>
      </c>
      <c r="F19101" s="515" t="s">
        <v>20272</v>
      </c>
      <c r="G19101" s="52">
        <v>56868.481913187599</v>
      </c>
      <c r="H19101" s="56">
        <v>0</v>
      </c>
      <c r="I19101" s="224" t="s">
        <v>2</v>
      </c>
    </row>
    <row r="19102" spans="1:9" x14ac:dyDescent="0.25">
      <c r="A19102" s="515">
        <v>67740</v>
      </c>
      <c r="C19102" s="52">
        <v>148350.19222638599</v>
      </c>
      <c r="D19102" s="56">
        <v>7.9229362689679728E-2</v>
      </c>
      <c r="E19102" s="224" t="s">
        <v>2</v>
      </c>
      <c r="F19102" s="515" t="s">
        <v>20273</v>
      </c>
      <c r="G19102" s="52">
        <v>138051.41721456699</v>
      </c>
      <c r="H19102" s="56">
        <v>9.8447705488136042E-2</v>
      </c>
      <c r="I19102" s="224" t="s">
        <v>2</v>
      </c>
    </row>
    <row r="19103" spans="1:9" x14ac:dyDescent="0.25">
      <c r="A19103" s="515">
        <v>73543</v>
      </c>
      <c r="B19103" s="515" t="s">
        <v>364</v>
      </c>
      <c r="C19103" s="52">
        <v>123111.79827973001</v>
      </c>
      <c r="D19103" s="56">
        <v>8.4974248068748218E-2</v>
      </c>
      <c r="E19103" s="224" t="s">
        <v>2</v>
      </c>
      <c r="F19103" s="515" t="s">
        <v>20274</v>
      </c>
      <c r="G19103" s="52">
        <v>144201.21479828499</v>
      </c>
      <c r="H19103" s="56">
        <v>7.0561710668305397E-2</v>
      </c>
      <c r="I19103" s="224" t="s">
        <v>2</v>
      </c>
    </row>
    <row r="19104" spans="1:9" x14ac:dyDescent="0.25">
      <c r="A19104" s="515">
        <v>93201</v>
      </c>
      <c r="B19104" s="515" t="s">
        <v>358</v>
      </c>
      <c r="C19104" s="52">
        <v>149055.806544839</v>
      </c>
      <c r="D19104" s="56">
        <v>7.8807306398723895E-2</v>
      </c>
      <c r="E19104" s="224" t="s">
        <v>2</v>
      </c>
      <c r="F19104" s="515" t="s">
        <v>20275</v>
      </c>
      <c r="G19104" s="52">
        <v>233725.40172532899</v>
      </c>
      <c r="H19104" s="56">
        <v>0.12956452780749086</v>
      </c>
      <c r="I19104" s="224" t="s">
        <v>2</v>
      </c>
    </row>
    <row r="19105" spans="1:9" x14ac:dyDescent="0.25">
      <c r="A19105" s="515">
        <v>76652</v>
      </c>
      <c r="C19105" s="52">
        <v>248371.02127659501</v>
      </c>
      <c r="D19105" s="56">
        <v>0</v>
      </c>
      <c r="E19105" s="224" t="s">
        <v>2</v>
      </c>
      <c r="F19105" s="515" t="s">
        <v>20276</v>
      </c>
      <c r="G19105" s="52">
        <v>74668.678571428507</v>
      </c>
      <c r="H19105" s="56">
        <v>0</v>
      </c>
      <c r="I19105" s="224" t="s">
        <v>2</v>
      </c>
    </row>
    <row r="19106" spans="1:9" x14ac:dyDescent="0.25">
      <c r="A19106" s="515">
        <v>53806</v>
      </c>
      <c r="B19106" s="515" t="s">
        <v>664</v>
      </c>
      <c r="C19106" s="52">
        <v>133532.04387687601</v>
      </c>
      <c r="D19106" s="56">
        <v>4.5632371678227208E-2</v>
      </c>
      <c r="E19106" s="224" t="s">
        <v>2</v>
      </c>
      <c r="F19106" s="515" t="s">
        <v>20277</v>
      </c>
      <c r="G19106" s="52">
        <v>198741.642113754</v>
      </c>
      <c r="H19106" s="56">
        <v>5.5111007584353701E-2</v>
      </c>
      <c r="I19106" s="224" t="s">
        <v>2</v>
      </c>
    </row>
    <row r="19107" spans="1:9" x14ac:dyDescent="0.25">
      <c r="A19107" s="515">
        <v>26763</v>
      </c>
      <c r="B19107" s="515" t="s">
        <v>629</v>
      </c>
      <c r="C19107" s="52">
        <v>195740.098734486</v>
      </c>
      <c r="D19107" s="56">
        <v>0.17191388651734058</v>
      </c>
      <c r="E19107" s="224" t="s">
        <v>2</v>
      </c>
      <c r="F19107" s="515" t="s">
        <v>20278</v>
      </c>
      <c r="G19107" s="52">
        <v>179417.90356378001</v>
      </c>
      <c r="H19107" s="56">
        <v>0.12672423685349077</v>
      </c>
      <c r="I19107" s="224" t="s">
        <v>2</v>
      </c>
    </row>
    <row r="19108" spans="1:9" x14ac:dyDescent="0.25">
      <c r="A19108" s="515">
        <v>47957</v>
      </c>
      <c r="C19108" s="52">
        <v>139411.66607160901</v>
      </c>
      <c r="D19108" s="56">
        <v>8.7132520405225025E-2</v>
      </c>
      <c r="E19108" s="224" t="s">
        <v>2</v>
      </c>
      <c r="F19108" s="515" t="s">
        <v>20279</v>
      </c>
      <c r="G19108" s="52">
        <v>129138.557649443</v>
      </c>
      <c r="H19108" s="56">
        <v>0</v>
      </c>
      <c r="I19108" s="224" t="s">
        <v>2</v>
      </c>
    </row>
    <row r="19109" spans="1:9" x14ac:dyDescent="0.25">
      <c r="A19109" s="515">
        <v>46785</v>
      </c>
      <c r="B19109" s="515" t="s">
        <v>1008</v>
      </c>
      <c r="C19109" s="52">
        <v>228610.61363509699</v>
      </c>
      <c r="D19109" s="56">
        <v>9.9497306292046866E-2</v>
      </c>
      <c r="E19109" s="224" t="s">
        <v>2</v>
      </c>
      <c r="F19109" s="515" t="s">
        <v>20280</v>
      </c>
      <c r="G19109" s="52">
        <v>231989.13401713999</v>
      </c>
      <c r="H19109" s="56">
        <v>8.1309790426207701E-2</v>
      </c>
      <c r="I19109" s="224" t="s">
        <v>2</v>
      </c>
    </row>
    <row r="19110" spans="1:9" x14ac:dyDescent="0.25">
      <c r="A19110" s="515">
        <v>38369</v>
      </c>
      <c r="B19110" s="515" t="s">
        <v>691</v>
      </c>
      <c r="C19110" s="52">
        <v>107281.384508879</v>
      </c>
      <c r="D19110" s="56">
        <v>-4.9319400068429463E-2</v>
      </c>
      <c r="E19110" s="224" t="s">
        <v>2</v>
      </c>
      <c r="F19110" s="515" t="s">
        <v>20281</v>
      </c>
      <c r="G19110" s="52">
        <v>75097.753252590206</v>
      </c>
      <c r="H19110" s="56">
        <v>8.7711423106893505E-2</v>
      </c>
      <c r="I19110" s="224" t="s">
        <v>2</v>
      </c>
    </row>
    <row r="19111" spans="1:9" x14ac:dyDescent="0.25">
      <c r="A19111" s="515">
        <v>84071</v>
      </c>
      <c r="B19111" s="515" t="s">
        <v>617</v>
      </c>
      <c r="C19111" s="52">
        <v>534780.4018768</v>
      </c>
      <c r="D19111" s="56">
        <v>2.3744434527798373E-2</v>
      </c>
      <c r="E19111" s="224" t="s">
        <v>2</v>
      </c>
      <c r="F19111" s="515" t="s">
        <v>20282</v>
      </c>
      <c r="G19111" s="52">
        <v>81271.290490479194</v>
      </c>
      <c r="H19111" s="56">
        <v>2.0270087306044977E-2</v>
      </c>
      <c r="I19111" s="224" t="s">
        <v>2</v>
      </c>
    </row>
    <row r="19112" spans="1:9" x14ac:dyDescent="0.25">
      <c r="A19112" s="515">
        <v>38864</v>
      </c>
      <c r="B19112" s="515" t="s">
        <v>1010</v>
      </c>
      <c r="C19112" s="52">
        <v>131127.21491966801</v>
      </c>
      <c r="D19112" s="56">
        <v>-5.1064099461265534E-2</v>
      </c>
      <c r="E19112" s="224" t="s">
        <v>2</v>
      </c>
      <c r="F19112" s="515" t="s">
        <v>20283</v>
      </c>
      <c r="G19112" s="52">
        <v>3560531.1942525301</v>
      </c>
      <c r="H19112" s="56">
        <v>0.22645979070786859</v>
      </c>
      <c r="I19112" s="224" t="s">
        <v>2</v>
      </c>
    </row>
    <row r="19113" spans="1:9" x14ac:dyDescent="0.25">
      <c r="A19113" s="515">
        <v>52747</v>
      </c>
      <c r="C19113" s="52">
        <v>219465.787271026</v>
      </c>
      <c r="D19113" s="56">
        <v>7.6501077981235885E-2</v>
      </c>
      <c r="E19113" s="224" t="s">
        <v>2</v>
      </c>
      <c r="F19113" s="515" t="s">
        <v>20284</v>
      </c>
      <c r="G19113" s="52">
        <v>305399.14505607198</v>
      </c>
      <c r="H19113" s="56">
        <v>6.1711570729330228E-2</v>
      </c>
      <c r="I19113" s="224" t="s">
        <v>2</v>
      </c>
    </row>
    <row r="19114" spans="1:9" x14ac:dyDescent="0.25">
      <c r="A19114" s="515">
        <v>48733</v>
      </c>
      <c r="C19114" s="52">
        <v>121710.276775633</v>
      </c>
      <c r="D19114" s="56">
        <v>3.7087375307655594E-2</v>
      </c>
      <c r="E19114" s="224" t="s">
        <v>2</v>
      </c>
      <c r="F19114" s="515" t="s">
        <v>20285</v>
      </c>
      <c r="G19114" s="52">
        <v>174105.57489762301</v>
      </c>
      <c r="H19114" s="56">
        <v>-1.2153394909618496E-2</v>
      </c>
      <c r="I19114" s="224" t="s">
        <v>2</v>
      </c>
    </row>
    <row r="19115" spans="1:9" x14ac:dyDescent="0.25">
      <c r="A19115" s="515">
        <v>84328</v>
      </c>
      <c r="B19115" s="515" t="s">
        <v>632</v>
      </c>
      <c r="C19115" s="52">
        <v>580903.96486552199</v>
      </c>
      <c r="D19115" s="56">
        <v>1.1309214210252846E-2</v>
      </c>
      <c r="E19115" s="224" t="s">
        <v>2</v>
      </c>
      <c r="F19115" s="515" t="s">
        <v>20286</v>
      </c>
      <c r="G19115" s="52">
        <v>233390.263596356</v>
      </c>
      <c r="H19115" s="56">
        <v>6.4834499972980936E-2</v>
      </c>
      <c r="I19115" s="224" t="s">
        <v>2</v>
      </c>
    </row>
    <row r="19116" spans="1:9" x14ac:dyDescent="0.25">
      <c r="A19116" s="515">
        <v>93645</v>
      </c>
      <c r="B19116" s="515" t="s">
        <v>681</v>
      </c>
      <c r="C19116" s="52">
        <v>453220.15394488501</v>
      </c>
      <c r="D19116" s="56">
        <v>1.4337356712891415E-2</v>
      </c>
      <c r="E19116" s="224" t="s">
        <v>2</v>
      </c>
      <c r="F19116" s="515" t="s">
        <v>20287</v>
      </c>
      <c r="G19116" s="52">
        <v>110973.412228888</v>
      </c>
      <c r="H19116" s="56">
        <v>8.8024280487964554E-2</v>
      </c>
      <c r="I19116" s="224" t="s">
        <v>2</v>
      </c>
    </row>
    <row r="19117" spans="1:9" x14ac:dyDescent="0.25">
      <c r="A19117" s="515">
        <v>43150</v>
      </c>
      <c r="B19117" s="515" t="s">
        <v>345</v>
      </c>
      <c r="C19117" s="52">
        <v>274151.09781511198</v>
      </c>
      <c r="D19117" s="56">
        <v>0.13334711094447627</v>
      </c>
      <c r="E19117" s="224" t="s">
        <v>2</v>
      </c>
      <c r="F19117" s="515" t="s">
        <v>20288</v>
      </c>
      <c r="G19117" s="52">
        <v>343902.440529068</v>
      </c>
      <c r="H19117" s="56">
        <v>0.18452072387616617</v>
      </c>
      <c r="I19117" s="224" t="s">
        <v>2</v>
      </c>
    </row>
    <row r="19118" spans="1:9" x14ac:dyDescent="0.25">
      <c r="A19118" s="515">
        <v>68017</v>
      </c>
      <c r="B19118" s="515" t="s">
        <v>367</v>
      </c>
      <c r="C19118" s="52">
        <v>299093.74305093999</v>
      </c>
      <c r="D19118" s="56">
        <v>9.4268609348762522E-2</v>
      </c>
      <c r="E19118" s="224" t="s">
        <v>2</v>
      </c>
      <c r="F19118" s="515" t="s">
        <v>20289</v>
      </c>
      <c r="G19118" s="52">
        <v>38713.0970814006</v>
      </c>
      <c r="H19118" s="56">
        <v>-3.1246379813216624E-2</v>
      </c>
      <c r="I19118" s="224" t="s">
        <v>2</v>
      </c>
    </row>
    <row r="19119" spans="1:9" x14ac:dyDescent="0.25">
      <c r="A19119" s="515">
        <v>54965</v>
      </c>
      <c r="C19119" s="52">
        <v>214997.98963509101</v>
      </c>
      <c r="D19119" s="56">
        <v>3.9807867900565924E-2</v>
      </c>
      <c r="E19119" s="224" t="s">
        <v>2</v>
      </c>
      <c r="F19119" s="515" t="s">
        <v>20290</v>
      </c>
      <c r="G19119" s="52">
        <v>314416.34533113899</v>
      </c>
      <c r="H19119" s="56">
        <v>8.6186641144206308E-2</v>
      </c>
      <c r="I19119" s="224" t="s">
        <v>2</v>
      </c>
    </row>
    <row r="19120" spans="1:9" x14ac:dyDescent="0.25">
      <c r="A19120" s="515">
        <v>68629</v>
      </c>
      <c r="C19120" s="52">
        <v>190553.07113614501</v>
      </c>
      <c r="D19120" s="56">
        <v>0.1262023938446285</v>
      </c>
      <c r="E19120" s="224" t="s">
        <v>2</v>
      </c>
      <c r="F19120" s="515" t="s">
        <v>20291</v>
      </c>
      <c r="G19120" s="52">
        <v>244172.00867740199</v>
      </c>
      <c r="H19120" s="56">
        <v>0.18669404966268979</v>
      </c>
      <c r="I19120" s="224" t="s">
        <v>2</v>
      </c>
    </row>
    <row r="19121" spans="1:9" x14ac:dyDescent="0.25">
      <c r="A19121" s="515">
        <v>54741</v>
      </c>
      <c r="B19121" s="515" t="s">
        <v>1028</v>
      </c>
      <c r="C19121" s="52">
        <v>158558.71927662499</v>
      </c>
      <c r="D19121" s="56">
        <v>9.548168432073284E-2</v>
      </c>
      <c r="E19121" s="224" t="s">
        <v>2</v>
      </c>
      <c r="F19121" s="515" t="s">
        <v>20292</v>
      </c>
      <c r="G19121" s="52">
        <v>204881.42760351699</v>
      </c>
      <c r="H19121" s="56">
        <v>0.12017920146366778</v>
      </c>
      <c r="I19121" s="224" t="s">
        <v>2</v>
      </c>
    </row>
    <row r="19122" spans="1:9" x14ac:dyDescent="0.25">
      <c r="A19122" s="515">
        <v>55945</v>
      </c>
      <c r="B19122" s="515" t="s">
        <v>470</v>
      </c>
      <c r="C19122" s="52">
        <v>281976.82110769098</v>
      </c>
      <c r="D19122" s="56">
        <v>0.11815143836375977</v>
      </c>
      <c r="E19122" s="224" t="s">
        <v>2</v>
      </c>
      <c r="F19122" s="515" t="s">
        <v>20293</v>
      </c>
      <c r="G19122" s="52">
        <v>203289.10685907601</v>
      </c>
      <c r="H19122" s="56">
        <v>3.0425446023900883E-2</v>
      </c>
      <c r="I19122" s="224" t="s">
        <v>2</v>
      </c>
    </row>
    <row r="19123" spans="1:9" x14ac:dyDescent="0.25">
      <c r="A19123" s="515">
        <v>59824</v>
      </c>
      <c r="C19123" s="52">
        <v>456859.158131779</v>
      </c>
      <c r="D19123" s="56">
        <v>0.17493194221902547</v>
      </c>
      <c r="E19123" s="224" t="s">
        <v>2</v>
      </c>
      <c r="F19123" s="515" t="s">
        <v>20294</v>
      </c>
      <c r="G19123" s="52">
        <v>152356.65562758801</v>
      </c>
      <c r="H19123" s="56">
        <v>8.8188644536236635E-2</v>
      </c>
      <c r="I19123" s="224" t="s">
        <v>2</v>
      </c>
    </row>
    <row r="19124" spans="1:9" x14ac:dyDescent="0.25">
      <c r="A19124" s="515">
        <v>68031</v>
      </c>
      <c r="B19124" s="515" t="s">
        <v>334</v>
      </c>
      <c r="C19124" s="52">
        <v>240928.638805422</v>
      </c>
      <c r="D19124" s="56">
        <v>0.14802724393919248</v>
      </c>
      <c r="E19124" s="224" t="s">
        <v>2</v>
      </c>
      <c r="F19124" s="515" t="s">
        <v>20295</v>
      </c>
      <c r="G19124" s="52">
        <v>116996.42273907999</v>
      </c>
      <c r="H19124" s="56">
        <v>0.10747658637427832</v>
      </c>
      <c r="I19124" s="224" t="s">
        <v>2</v>
      </c>
    </row>
    <row r="19125" spans="1:9" x14ac:dyDescent="0.25">
      <c r="A19125" s="515">
        <v>85332</v>
      </c>
      <c r="B19125" s="515" t="s">
        <v>332</v>
      </c>
      <c r="C19125" s="52">
        <v>322847.88017011102</v>
      </c>
      <c r="D19125" s="56">
        <v>2.6720711966436477E-2</v>
      </c>
      <c r="E19125" s="224" t="s">
        <v>2</v>
      </c>
      <c r="F19125" s="515" t="s">
        <v>20296</v>
      </c>
      <c r="G19125" s="52">
        <v>413324.81188118801</v>
      </c>
      <c r="H19125" s="56">
        <v>0</v>
      </c>
      <c r="I19125" s="224" t="s">
        <v>2</v>
      </c>
    </row>
    <row r="19126" spans="1:9" x14ac:dyDescent="0.25">
      <c r="A19126" s="515">
        <v>29821</v>
      </c>
      <c r="B19126" s="515" t="s">
        <v>888</v>
      </c>
      <c r="C19126" s="52">
        <v>278002.30994572601</v>
      </c>
      <c r="D19126" s="56">
        <v>8.219768081735658E-2</v>
      </c>
      <c r="E19126" s="224" t="s">
        <v>2</v>
      </c>
      <c r="F19126" s="515" t="s">
        <v>20297</v>
      </c>
      <c r="G19126" s="52">
        <v>500987</v>
      </c>
      <c r="H19126" s="56">
        <v>0</v>
      </c>
      <c r="I19126" s="224" t="s">
        <v>2</v>
      </c>
    </row>
    <row r="19127" spans="1:9" x14ac:dyDescent="0.25">
      <c r="A19127" s="515">
        <v>24122</v>
      </c>
      <c r="B19127" s="515" t="s">
        <v>705</v>
      </c>
      <c r="C19127" s="52">
        <v>213146.5069213</v>
      </c>
      <c r="D19127" s="56">
        <v>8.6089114084438298E-2</v>
      </c>
      <c r="E19127" s="224" t="s">
        <v>2</v>
      </c>
      <c r="F19127" s="515" t="s">
        <v>20298</v>
      </c>
      <c r="G19127" s="52">
        <v>65189.718912115699</v>
      </c>
      <c r="H19127" s="56">
        <v>0.29877037043617</v>
      </c>
      <c r="I19127" s="224" t="s">
        <v>2</v>
      </c>
    </row>
    <row r="19128" spans="1:9" x14ac:dyDescent="0.25">
      <c r="A19128" s="515">
        <v>25823</v>
      </c>
      <c r="B19128" s="515" t="s">
        <v>566</v>
      </c>
      <c r="C19128" s="52">
        <v>91553.703295023297</v>
      </c>
      <c r="D19128" s="56">
        <v>0.20344340413249293</v>
      </c>
      <c r="E19128" s="224" t="s">
        <v>2</v>
      </c>
      <c r="F19128" s="515" t="s">
        <v>20299</v>
      </c>
      <c r="G19128" s="52">
        <v>135321.24137931</v>
      </c>
      <c r="H19128" s="56">
        <v>0</v>
      </c>
      <c r="I19128" s="224" t="s">
        <v>2</v>
      </c>
    </row>
    <row r="19129" spans="1:9" x14ac:dyDescent="0.25">
      <c r="A19129" s="515">
        <v>23866</v>
      </c>
      <c r="B19129" s="515" t="s">
        <v>301</v>
      </c>
      <c r="C19129" s="52">
        <v>244400.98572186701</v>
      </c>
      <c r="D19129" s="56">
        <v>7.3288696407987283E-2</v>
      </c>
      <c r="E19129" s="224" t="s">
        <v>2</v>
      </c>
      <c r="F19129" s="515" t="s">
        <v>20300</v>
      </c>
      <c r="G19129" s="52">
        <v>123939.134696414</v>
      </c>
      <c r="H19129" s="56">
        <v>7.0024636977731369E-2</v>
      </c>
      <c r="I19129" s="224" t="s">
        <v>2</v>
      </c>
    </row>
    <row r="19130" spans="1:9" x14ac:dyDescent="0.25">
      <c r="A19130" s="515">
        <v>41250</v>
      </c>
      <c r="C19130" s="52">
        <v>87651.752318625397</v>
      </c>
      <c r="D19130" s="56">
        <v>0.22246934982701613</v>
      </c>
      <c r="E19130" s="224" t="s">
        <v>2</v>
      </c>
      <c r="F19130" s="515" t="s">
        <v>20301</v>
      </c>
      <c r="G19130" s="52">
        <v>159592.44968263101</v>
      </c>
      <c r="H19130" s="56">
        <v>5.5495661034938956E-2</v>
      </c>
      <c r="I19130" s="224" t="s">
        <v>2</v>
      </c>
    </row>
    <row r="19131" spans="1:9" x14ac:dyDescent="0.25">
      <c r="A19131" s="515">
        <v>55951</v>
      </c>
      <c r="B19131" s="515" t="s">
        <v>413</v>
      </c>
      <c r="C19131" s="52">
        <v>188042.32171464601</v>
      </c>
      <c r="D19131" s="56">
        <v>7.072379966293979E-2</v>
      </c>
      <c r="E19131" s="224" t="s">
        <v>2</v>
      </c>
      <c r="F19131" s="515" t="s">
        <v>20302</v>
      </c>
      <c r="G19131" s="52">
        <v>219003.19187882799</v>
      </c>
      <c r="H19131" s="56">
        <v>0</v>
      </c>
      <c r="I19131" s="224" t="s">
        <v>2</v>
      </c>
    </row>
    <row r="19132" spans="1:9" x14ac:dyDescent="0.25">
      <c r="A19132" s="515">
        <v>17244</v>
      </c>
      <c r="B19132" s="515" t="s">
        <v>372</v>
      </c>
      <c r="C19132" s="52">
        <v>241624.347117055</v>
      </c>
      <c r="D19132" s="56">
        <v>6.7570796196426142E-2</v>
      </c>
      <c r="E19132" s="224" t="s">
        <v>2</v>
      </c>
      <c r="F19132" s="515" t="s">
        <v>20303</v>
      </c>
      <c r="G19132" s="52">
        <v>180334.991985336</v>
      </c>
      <c r="H19132" s="56">
        <v>0.12664210461586553</v>
      </c>
      <c r="I19132" s="224" t="s">
        <v>2</v>
      </c>
    </row>
    <row r="19133" spans="1:9" x14ac:dyDescent="0.25">
      <c r="A19133" s="515">
        <v>66549</v>
      </c>
      <c r="B19133" s="515" t="s">
        <v>795</v>
      </c>
      <c r="C19133" s="52">
        <v>217442.048397815</v>
      </c>
      <c r="D19133" s="56">
        <v>0.11705297100221733</v>
      </c>
      <c r="E19133" s="224" t="s">
        <v>2</v>
      </c>
      <c r="F19133" s="515" t="s">
        <v>20304</v>
      </c>
      <c r="G19133" s="52">
        <v>59509.209088826101</v>
      </c>
      <c r="H19133" s="56">
        <v>0.23129956750632363</v>
      </c>
      <c r="I19133" s="224" t="s">
        <v>2</v>
      </c>
    </row>
    <row r="19134" spans="1:9" x14ac:dyDescent="0.25">
      <c r="A19134" s="515">
        <v>52237</v>
      </c>
      <c r="C19134" s="52">
        <v>186863.06837900699</v>
      </c>
      <c r="D19134" s="56">
        <v>0.12206442958042044</v>
      </c>
      <c r="E19134" s="224" t="s">
        <v>2</v>
      </c>
      <c r="F19134" s="515" t="s">
        <v>20305</v>
      </c>
      <c r="G19134" s="52">
        <v>377150.86649465398</v>
      </c>
      <c r="H19134" s="56">
        <v>0.14040427975824346</v>
      </c>
      <c r="I19134" s="224" t="s">
        <v>2</v>
      </c>
    </row>
    <row r="19135" spans="1:9" x14ac:dyDescent="0.25">
      <c r="A19135" s="515">
        <v>78057</v>
      </c>
      <c r="B19135" s="515" t="s">
        <v>1043</v>
      </c>
      <c r="C19135" s="52">
        <v>226295.491386376</v>
      </c>
      <c r="D19135" s="56">
        <v>0</v>
      </c>
      <c r="E19135" s="224" t="s">
        <v>2</v>
      </c>
      <c r="F19135" s="515" t="s">
        <v>20306</v>
      </c>
      <c r="G19135" s="52">
        <v>115218.97333333299</v>
      </c>
      <c r="H19135" s="56">
        <v>0</v>
      </c>
      <c r="I19135" s="224" t="s">
        <v>2</v>
      </c>
    </row>
    <row r="19136" spans="1:9" x14ac:dyDescent="0.25">
      <c r="A19136" s="515">
        <v>96025</v>
      </c>
      <c r="C19136" s="52">
        <v>244220.81560707101</v>
      </c>
      <c r="D19136" s="56">
        <v>2.1026006047674111E-2</v>
      </c>
      <c r="E19136" s="224" t="s">
        <v>2</v>
      </c>
      <c r="F19136" s="515" t="s">
        <v>20307</v>
      </c>
      <c r="G19136" s="52">
        <v>681908.36879891402</v>
      </c>
      <c r="H19136" s="56">
        <v>3.3868697611322739E-2</v>
      </c>
      <c r="I19136" s="224" t="s">
        <v>2</v>
      </c>
    </row>
    <row r="19137" spans="1:9" x14ac:dyDescent="0.25">
      <c r="A19137" s="515">
        <v>65047</v>
      </c>
      <c r="C19137" s="52">
        <v>234983.77839026201</v>
      </c>
      <c r="D19137" s="56">
        <v>2.0187191445882963E-2</v>
      </c>
      <c r="E19137" s="224" t="s">
        <v>2</v>
      </c>
      <c r="F19137" s="515" t="s">
        <v>20308</v>
      </c>
      <c r="G19137" s="52">
        <v>143780.933894988</v>
      </c>
      <c r="H19137" s="56">
        <v>0.23706078686954954</v>
      </c>
      <c r="I19137" s="224" t="s">
        <v>2</v>
      </c>
    </row>
    <row r="19138" spans="1:9" x14ac:dyDescent="0.25">
      <c r="A19138" s="515">
        <v>47971</v>
      </c>
      <c r="B19138" s="515" t="s">
        <v>433</v>
      </c>
      <c r="C19138" s="52">
        <v>165821.82020041501</v>
      </c>
      <c r="D19138" s="56">
        <v>7.0729019651068786E-2</v>
      </c>
      <c r="E19138" s="224" t="s">
        <v>2</v>
      </c>
      <c r="F19138" s="515" t="s">
        <v>20309</v>
      </c>
      <c r="G19138" s="52">
        <v>180191.933852541</v>
      </c>
      <c r="H19138" s="56">
        <v>2.0223719833958636E-2</v>
      </c>
      <c r="I19138" s="224" t="s">
        <v>2</v>
      </c>
    </row>
    <row r="19139" spans="1:9" x14ac:dyDescent="0.25">
      <c r="A19139" s="515">
        <v>16617</v>
      </c>
      <c r="B19139" s="515" t="s">
        <v>1086</v>
      </c>
      <c r="C19139" s="52">
        <v>142728.600344746</v>
      </c>
      <c r="D19139" s="56">
        <v>-4.537463116320798E-2</v>
      </c>
      <c r="E19139" s="224" t="s">
        <v>2</v>
      </c>
      <c r="F19139" s="515" t="s">
        <v>20310</v>
      </c>
      <c r="G19139" s="52">
        <v>321766.07131702098</v>
      </c>
      <c r="H19139" s="56">
        <v>0.14266691855223207</v>
      </c>
      <c r="I19139" s="224" t="s">
        <v>2</v>
      </c>
    </row>
    <row r="19140" spans="1:9" x14ac:dyDescent="0.25">
      <c r="A19140" s="515">
        <v>58852</v>
      </c>
      <c r="B19140" s="515" t="s">
        <v>960</v>
      </c>
      <c r="C19140" s="52">
        <v>192637.66280558001</v>
      </c>
      <c r="D19140" s="56">
        <v>2.8424720953298295E-3</v>
      </c>
      <c r="E19140" s="224" t="s">
        <v>2</v>
      </c>
      <c r="F19140" s="515" t="s">
        <v>20311</v>
      </c>
      <c r="G19140" s="52">
        <v>192300.59955767199</v>
      </c>
      <c r="H19140" s="56">
        <v>0.13381098651860723</v>
      </c>
      <c r="I19140" s="224" t="s">
        <v>2</v>
      </c>
    </row>
    <row r="19141" spans="1:9" x14ac:dyDescent="0.25">
      <c r="A19141" s="515">
        <v>50468</v>
      </c>
      <c r="C19141" s="52">
        <v>163413.08698754199</v>
      </c>
      <c r="D19141" s="56">
        <v>0.109313308070889</v>
      </c>
      <c r="E19141" s="224" t="s">
        <v>2</v>
      </c>
      <c r="F19141" s="515" t="s">
        <v>20312</v>
      </c>
      <c r="G19141" s="52">
        <v>222922.296912947</v>
      </c>
      <c r="H19141" s="56">
        <v>6.8362165165598773E-2</v>
      </c>
      <c r="I19141" s="224" t="s">
        <v>2</v>
      </c>
    </row>
    <row r="19142" spans="1:9" x14ac:dyDescent="0.25">
      <c r="A19142" s="515">
        <v>35572</v>
      </c>
      <c r="C19142" s="52">
        <v>315274.836595222</v>
      </c>
      <c r="D19142" s="56">
        <v>0.10625214643029632</v>
      </c>
      <c r="E19142" s="224" t="s">
        <v>2</v>
      </c>
      <c r="F19142" s="515" t="s">
        <v>20313</v>
      </c>
      <c r="G19142" s="52">
        <v>122078.19515292</v>
      </c>
      <c r="H19142" s="56">
        <v>5.9067389376816423E-2</v>
      </c>
      <c r="I19142" s="224" t="s">
        <v>2</v>
      </c>
    </row>
    <row r="19143" spans="1:9" x14ac:dyDescent="0.25">
      <c r="A19143" s="515">
        <v>50626</v>
      </c>
      <c r="B19143" s="515" t="s">
        <v>315</v>
      </c>
      <c r="C19143" s="52">
        <v>185819.41507329899</v>
      </c>
      <c r="D19143" s="56">
        <v>6.8422588011199881E-2</v>
      </c>
      <c r="E19143" s="224" t="s">
        <v>2</v>
      </c>
      <c r="F19143" s="515" t="s">
        <v>20314</v>
      </c>
      <c r="G19143" s="52">
        <v>140920.70481439101</v>
      </c>
      <c r="H19143" s="56">
        <v>5.559232556304107E-2</v>
      </c>
      <c r="I19143" s="224" t="s">
        <v>2</v>
      </c>
    </row>
    <row r="19144" spans="1:9" x14ac:dyDescent="0.25">
      <c r="A19144" s="515">
        <v>41098</v>
      </c>
      <c r="C19144" s="52">
        <v>90016.900143492705</v>
      </c>
      <c r="D19144" s="56">
        <v>0.16321512104164917</v>
      </c>
      <c r="E19144" s="224" t="s">
        <v>2</v>
      </c>
      <c r="F19144" s="515" t="s">
        <v>20315</v>
      </c>
      <c r="G19144" s="52">
        <v>190702.23063808199</v>
      </c>
      <c r="H19144" s="56">
        <v>0.17850036723045737</v>
      </c>
      <c r="I19144" s="224" t="s">
        <v>2</v>
      </c>
    </row>
    <row r="19145" spans="1:9" x14ac:dyDescent="0.25">
      <c r="A19145" s="515">
        <v>61078</v>
      </c>
      <c r="C19145" s="52">
        <v>133687.504715449</v>
      </c>
      <c r="D19145" s="56">
        <v>9.7731387886741863E-2</v>
      </c>
      <c r="E19145" s="224" t="s">
        <v>2</v>
      </c>
      <c r="F19145" s="515" t="s">
        <v>20316</v>
      </c>
      <c r="G19145" s="52">
        <v>122092.79761904701</v>
      </c>
      <c r="H19145" s="56">
        <v>0</v>
      </c>
      <c r="I19145" s="224" t="s">
        <v>2</v>
      </c>
    </row>
    <row r="19146" spans="1:9" x14ac:dyDescent="0.25">
      <c r="A19146" s="515">
        <v>59436</v>
      </c>
      <c r="C19146" s="52">
        <v>351544.02604968002</v>
      </c>
      <c r="D19146" s="56">
        <v>0.15579069252288791</v>
      </c>
      <c r="E19146" s="224" t="s">
        <v>2</v>
      </c>
      <c r="F19146" s="515" t="s">
        <v>20317</v>
      </c>
      <c r="G19146" s="52">
        <v>164775.567483561</v>
      </c>
      <c r="H19146" s="56">
        <v>7.6608910632727789E-2</v>
      </c>
      <c r="I19146" s="224" t="s">
        <v>2</v>
      </c>
    </row>
    <row r="19147" spans="1:9" x14ac:dyDescent="0.25">
      <c r="A19147" s="515">
        <v>80467</v>
      </c>
      <c r="B19147" s="515" t="s">
        <v>536</v>
      </c>
      <c r="C19147" s="52">
        <v>609837.67823056702</v>
      </c>
      <c r="D19147" s="56">
        <v>9.9167431323096161E-2</v>
      </c>
      <c r="E19147" s="224" t="s">
        <v>2</v>
      </c>
      <c r="F19147" s="515" t="s">
        <v>20318</v>
      </c>
      <c r="G19147" s="52">
        <v>112477.20229561201</v>
      </c>
      <c r="H19147" s="56">
        <v>0.10542919435874543</v>
      </c>
      <c r="I19147" s="224" t="s">
        <v>2</v>
      </c>
    </row>
    <row r="19148" spans="1:9" x14ac:dyDescent="0.25">
      <c r="A19148" s="515">
        <v>74028</v>
      </c>
      <c r="B19148" s="515" t="s">
        <v>348</v>
      </c>
      <c r="C19148" s="52">
        <v>171157.02351566299</v>
      </c>
      <c r="D19148" s="56">
        <v>-1.0417983743593043E-2</v>
      </c>
      <c r="E19148" s="224" t="s">
        <v>2</v>
      </c>
      <c r="F19148" s="515" t="s">
        <v>20319</v>
      </c>
      <c r="G19148" s="52">
        <v>305691.193188462</v>
      </c>
      <c r="H19148" s="56">
        <v>6.2035230648080961E-2</v>
      </c>
      <c r="I19148" s="224" t="s">
        <v>2</v>
      </c>
    </row>
    <row r="19149" spans="1:9" x14ac:dyDescent="0.25">
      <c r="A19149" s="515">
        <v>92059</v>
      </c>
      <c r="B19149" s="515" t="s">
        <v>396</v>
      </c>
      <c r="C19149" s="52">
        <v>980983.35873322701</v>
      </c>
      <c r="D19149" s="56">
        <v>5.9347942513776127E-2</v>
      </c>
      <c r="E19149" s="224" t="s">
        <v>2</v>
      </c>
      <c r="F19149" s="515" t="s">
        <v>20320</v>
      </c>
      <c r="G19149" s="52">
        <v>185378.50428744001</v>
      </c>
      <c r="H19149" s="56">
        <v>0</v>
      </c>
      <c r="I19149" s="224" t="s">
        <v>2</v>
      </c>
    </row>
    <row r="19150" spans="1:9" x14ac:dyDescent="0.25">
      <c r="A19150" s="515">
        <v>40737</v>
      </c>
      <c r="B19150" s="515" t="s">
        <v>633</v>
      </c>
      <c r="C19150" s="52">
        <v>129009.140006855</v>
      </c>
      <c r="D19150" s="56">
        <v>0.12765937733660107</v>
      </c>
      <c r="E19150" s="224" t="s">
        <v>2</v>
      </c>
      <c r="F19150" s="515" t="s">
        <v>20321</v>
      </c>
      <c r="G19150" s="52">
        <v>158015.206150944</v>
      </c>
      <c r="H19150" s="56">
        <v>0.14043438221631821</v>
      </c>
      <c r="I19150" s="224" t="s">
        <v>2</v>
      </c>
    </row>
    <row r="19151" spans="1:9" x14ac:dyDescent="0.25">
      <c r="A19151" s="515">
        <v>71851</v>
      </c>
      <c r="C19151" s="52">
        <v>95567.041095890396</v>
      </c>
      <c r="D19151" s="56">
        <v>0</v>
      </c>
      <c r="E19151" s="224" t="s">
        <v>2</v>
      </c>
      <c r="F19151" s="515" t="s">
        <v>20322</v>
      </c>
      <c r="G19151" s="52">
        <v>96990.850220329798</v>
      </c>
      <c r="H19151" s="56">
        <v>8.3559277076831584E-2</v>
      </c>
      <c r="I19151" s="224" t="s">
        <v>2</v>
      </c>
    </row>
    <row r="19152" spans="1:9" x14ac:dyDescent="0.25">
      <c r="A19152" s="515">
        <v>4555</v>
      </c>
      <c r="C19152" s="52">
        <v>370783.98933838302</v>
      </c>
      <c r="D19152" s="56">
        <v>5.1806090904862621E-2</v>
      </c>
      <c r="E19152" s="224" t="s">
        <v>2</v>
      </c>
      <c r="F19152" s="515" t="s">
        <v>20323</v>
      </c>
      <c r="G19152" s="52">
        <v>306153.79012345598</v>
      </c>
      <c r="H19152" s="56">
        <v>0</v>
      </c>
      <c r="I19152" s="224" t="s">
        <v>2</v>
      </c>
    </row>
    <row r="19153" spans="1:9" x14ac:dyDescent="0.25">
      <c r="A19153" s="515">
        <v>3814</v>
      </c>
      <c r="C19153" s="52">
        <v>363553.07760766998</v>
      </c>
      <c r="D19153" s="56">
        <v>0.14002194516092886</v>
      </c>
      <c r="E19153" s="224" t="s">
        <v>2</v>
      </c>
      <c r="F19153" s="515" t="s">
        <v>20324</v>
      </c>
      <c r="G19153" s="52">
        <v>332635.076317631</v>
      </c>
      <c r="H19153" s="56">
        <v>0.119329683422331</v>
      </c>
      <c r="I19153" s="224" t="s">
        <v>2</v>
      </c>
    </row>
    <row r="19154" spans="1:9" x14ac:dyDescent="0.25">
      <c r="A19154" s="515">
        <v>52352</v>
      </c>
      <c r="B19154" s="515" t="s">
        <v>404</v>
      </c>
      <c r="C19154" s="52">
        <v>243349.25040504301</v>
      </c>
      <c r="D19154" s="56">
        <v>0.12684345704260019</v>
      </c>
      <c r="E19154" s="224" t="s">
        <v>2</v>
      </c>
      <c r="F19154" s="515" t="s">
        <v>20325</v>
      </c>
      <c r="G19154" s="52">
        <v>660001.79522151104</v>
      </c>
      <c r="H19154" s="56">
        <v>2.5753216051003475E-2</v>
      </c>
      <c r="I19154" s="224" t="s">
        <v>2</v>
      </c>
    </row>
    <row r="19155" spans="1:9" x14ac:dyDescent="0.25">
      <c r="A19155" s="515">
        <v>56727</v>
      </c>
      <c r="B19155" s="515" t="s">
        <v>690</v>
      </c>
      <c r="C19155" s="52">
        <v>152820.58238944301</v>
      </c>
      <c r="D19155" s="56">
        <v>2.9604894992445098E-2</v>
      </c>
      <c r="E19155" s="224" t="s">
        <v>2</v>
      </c>
      <c r="F19155" s="515" t="s">
        <v>20326</v>
      </c>
      <c r="G19155" s="52">
        <v>364166.19621543097</v>
      </c>
      <c r="H19155" s="56">
        <v>1.7635280959665947E-2</v>
      </c>
      <c r="I19155" s="224" t="s">
        <v>2</v>
      </c>
    </row>
    <row r="19156" spans="1:9" x14ac:dyDescent="0.25">
      <c r="A19156" s="515">
        <v>63363</v>
      </c>
      <c r="C19156" s="52">
        <v>153020.46572789599</v>
      </c>
      <c r="D19156" s="56">
        <v>-1.9377701414070591E-2</v>
      </c>
      <c r="E19156" s="224" t="s">
        <v>2</v>
      </c>
      <c r="F19156" s="515" t="s">
        <v>20327</v>
      </c>
      <c r="G19156" s="52">
        <v>221301.282757737</v>
      </c>
      <c r="H19156" s="56">
        <v>0</v>
      </c>
      <c r="I19156" s="224" t="s">
        <v>2</v>
      </c>
    </row>
    <row r="19157" spans="1:9" x14ac:dyDescent="0.25">
      <c r="A19157" s="515">
        <v>4684</v>
      </c>
      <c r="C19157" s="52">
        <v>349606.50192903797</v>
      </c>
      <c r="D19157" s="56">
        <v>2.7481822162459018E-2</v>
      </c>
      <c r="E19157" s="224" t="s">
        <v>2</v>
      </c>
      <c r="F19157" s="515" t="s">
        <v>20328</v>
      </c>
      <c r="G19157" s="52">
        <v>181019.15829255199</v>
      </c>
      <c r="H19157" s="56">
        <v>5.5618663536056184E-2</v>
      </c>
      <c r="I19157" s="224" t="s">
        <v>2</v>
      </c>
    </row>
    <row r="19158" spans="1:9" x14ac:dyDescent="0.25">
      <c r="A19158" s="515">
        <v>31711</v>
      </c>
      <c r="B19158" s="515" t="s">
        <v>763</v>
      </c>
      <c r="C19158" s="52">
        <v>90447.625928911104</v>
      </c>
      <c r="D19158" s="56">
        <v>4.9577083494021505E-2</v>
      </c>
      <c r="E19158" s="224" t="s">
        <v>2</v>
      </c>
      <c r="F19158" s="515" t="s">
        <v>20329</v>
      </c>
      <c r="G19158" s="52">
        <v>160410.57357468901</v>
      </c>
      <c r="H19158" s="56">
        <v>6.6670177481781542E-2</v>
      </c>
      <c r="I19158" s="224" t="s">
        <v>2</v>
      </c>
    </row>
    <row r="19159" spans="1:9" x14ac:dyDescent="0.25">
      <c r="A19159" s="515">
        <v>55329</v>
      </c>
      <c r="C19159" s="52">
        <v>241757.26338512101</v>
      </c>
      <c r="D19159" s="56">
        <v>5.5531039140210819E-2</v>
      </c>
      <c r="E19159" s="224" t="s">
        <v>2</v>
      </c>
      <c r="F19159" s="515" t="s">
        <v>20330</v>
      </c>
      <c r="G19159" s="52">
        <v>354835.47962748102</v>
      </c>
      <c r="H19159" s="56">
        <v>9.7262934694483952E-2</v>
      </c>
      <c r="I19159" s="224" t="s">
        <v>2</v>
      </c>
    </row>
    <row r="19160" spans="1:9" x14ac:dyDescent="0.25">
      <c r="A19160" s="515">
        <v>98592</v>
      </c>
      <c r="B19160" s="515" t="s">
        <v>839</v>
      </c>
      <c r="C19160" s="52">
        <v>495798.70159421797</v>
      </c>
      <c r="D19160" s="56">
        <v>2.5078593395866818E-2</v>
      </c>
      <c r="E19160" s="224" t="s">
        <v>2</v>
      </c>
      <c r="F19160" s="515" t="s">
        <v>20331</v>
      </c>
      <c r="G19160" s="52">
        <v>284821.17725965101</v>
      </c>
      <c r="H19160" s="56">
        <v>0.139317454488224</v>
      </c>
      <c r="I19160" s="224" t="s">
        <v>2</v>
      </c>
    </row>
    <row r="19161" spans="1:9" x14ac:dyDescent="0.25">
      <c r="A19161" s="515">
        <v>46382</v>
      </c>
      <c r="B19161" s="515" t="s">
        <v>944</v>
      </c>
      <c r="C19161" s="52">
        <v>253680.46705239601</v>
      </c>
      <c r="D19161" s="56">
        <v>5.8924138382850287E-2</v>
      </c>
      <c r="E19161" s="224" t="s">
        <v>2</v>
      </c>
      <c r="F19161" s="515" t="s">
        <v>20332</v>
      </c>
      <c r="G19161" s="52">
        <v>120097.97047679601</v>
      </c>
      <c r="H19161" s="56">
        <v>-2.5518136142862149E-2</v>
      </c>
      <c r="I19161" s="224" t="s">
        <v>2</v>
      </c>
    </row>
    <row r="19162" spans="1:9" x14ac:dyDescent="0.25">
      <c r="A19162" s="515">
        <v>67855</v>
      </c>
      <c r="C19162" s="52">
        <v>113474.341070797</v>
      </c>
      <c r="D19162" s="56">
        <v>8.8421731124928987E-2</v>
      </c>
      <c r="E19162" s="224" t="s">
        <v>2</v>
      </c>
      <c r="F19162" s="515" t="s">
        <v>20333</v>
      </c>
      <c r="G19162" s="52">
        <v>385745.52287063998</v>
      </c>
      <c r="H19162" s="56">
        <v>5.9799896949135928E-2</v>
      </c>
      <c r="I19162" s="224" t="s">
        <v>2</v>
      </c>
    </row>
    <row r="19163" spans="1:9" x14ac:dyDescent="0.25">
      <c r="A19163" s="515">
        <v>12059</v>
      </c>
      <c r="B19163" s="515" t="s">
        <v>609</v>
      </c>
      <c r="C19163" s="52">
        <v>271772.87114305497</v>
      </c>
      <c r="D19163" s="56">
        <v>3.3147336897102572E-2</v>
      </c>
      <c r="E19163" s="224" t="s">
        <v>2</v>
      </c>
      <c r="F19163" s="515" t="s">
        <v>20334</v>
      </c>
      <c r="G19163" s="52">
        <v>167724.99262773799</v>
      </c>
      <c r="H19163" s="56">
        <v>0.10895335455896599</v>
      </c>
      <c r="I19163" s="224" t="s">
        <v>2</v>
      </c>
    </row>
    <row r="19164" spans="1:9" x14ac:dyDescent="0.25">
      <c r="A19164" s="515">
        <v>7606</v>
      </c>
      <c r="B19164" s="515" t="s">
        <v>324</v>
      </c>
      <c r="C19164" s="52">
        <v>544988.231672658</v>
      </c>
      <c r="D19164" s="56">
        <v>2.7622941450785646E-2</v>
      </c>
      <c r="E19164" s="224" t="s">
        <v>2</v>
      </c>
      <c r="F19164" s="515" t="s">
        <v>20335</v>
      </c>
      <c r="G19164" s="52">
        <v>199441.02138102701</v>
      </c>
      <c r="H19164" s="56">
        <v>0.11064662102421743</v>
      </c>
      <c r="I19164" s="224" t="s">
        <v>2</v>
      </c>
    </row>
    <row r="19165" spans="1:9" x14ac:dyDescent="0.25">
      <c r="A19165" s="515">
        <v>28442</v>
      </c>
      <c r="C19165" s="52">
        <v>143953.44520547899</v>
      </c>
      <c r="D19165" s="56">
        <v>0</v>
      </c>
      <c r="E19165" s="224" t="s">
        <v>2</v>
      </c>
      <c r="F19165" s="515" t="s">
        <v>20336</v>
      </c>
      <c r="G19165" s="52">
        <v>52402.045255372199</v>
      </c>
      <c r="H19165" s="56">
        <v>0.18794235929999301</v>
      </c>
      <c r="I19165" s="224" t="s">
        <v>2</v>
      </c>
    </row>
    <row r="19166" spans="1:9" x14ac:dyDescent="0.25">
      <c r="A19166" s="515">
        <v>31789</v>
      </c>
      <c r="B19166" s="515" t="s">
        <v>746</v>
      </c>
      <c r="C19166" s="52">
        <v>149878.89829605</v>
      </c>
      <c r="D19166" s="56">
        <v>0</v>
      </c>
      <c r="E19166" s="224" t="s">
        <v>2</v>
      </c>
      <c r="F19166" s="515" t="s">
        <v>20337</v>
      </c>
      <c r="G19166" s="52">
        <v>58908.654339862704</v>
      </c>
      <c r="H19166" s="56">
        <v>0.17754025968271231</v>
      </c>
      <c r="I19166" s="224" t="s">
        <v>2</v>
      </c>
    </row>
    <row r="19167" spans="1:9" x14ac:dyDescent="0.25">
      <c r="A19167" s="515">
        <v>41822</v>
      </c>
      <c r="C19167" s="52">
        <v>116497.56016081299</v>
      </c>
      <c r="D19167" s="56">
        <v>0.14105975420936165</v>
      </c>
      <c r="E19167" s="224" t="s">
        <v>2</v>
      </c>
      <c r="F19167" s="515" t="s">
        <v>20338</v>
      </c>
      <c r="G19167" s="52">
        <v>2007974.5913583699</v>
      </c>
      <c r="H19167" s="56">
        <v>6.9290717732365989E-2</v>
      </c>
      <c r="I19167" s="224" t="s">
        <v>2</v>
      </c>
    </row>
    <row r="19168" spans="1:9" x14ac:dyDescent="0.25">
      <c r="A19168" s="515">
        <v>76670</v>
      </c>
      <c r="B19168" s="515" t="s">
        <v>458</v>
      </c>
      <c r="C19168" s="52">
        <v>213799.754061963</v>
      </c>
      <c r="D19168" s="56">
        <v>-2.9578739459233776E-2</v>
      </c>
      <c r="E19168" s="224" t="s">
        <v>2</v>
      </c>
      <c r="F19168" s="515" t="s">
        <v>20339</v>
      </c>
      <c r="G19168" s="52">
        <v>158515.69736163001</v>
      </c>
      <c r="H19168" s="56">
        <v>4.6002672823898062E-2</v>
      </c>
      <c r="I19168" s="224" t="s">
        <v>2</v>
      </c>
    </row>
    <row r="19169" spans="1:9" x14ac:dyDescent="0.25">
      <c r="A19169" s="515">
        <v>51347</v>
      </c>
      <c r="B19169" s="515" t="s">
        <v>932</v>
      </c>
      <c r="C19169" s="52">
        <v>191669.325348604</v>
      </c>
      <c r="D19169" s="56">
        <v>0.10899742839365181</v>
      </c>
      <c r="E19169" s="224" t="s">
        <v>2</v>
      </c>
      <c r="F19169" s="515" t="s">
        <v>20340</v>
      </c>
      <c r="G19169" s="52">
        <v>188220.36515425201</v>
      </c>
      <c r="H19169" s="56">
        <v>0.15873739923034011</v>
      </c>
      <c r="I19169" s="224" t="s">
        <v>2</v>
      </c>
    </row>
    <row r="19170" spans="1:9" x14ac:dyDescent="0.25">
      <c r="A19170" s="515">
        <v>60460</v>
      </c>
      <c r="B19170" s="515" t="s">
        <v>678</v>
      </c>
      <c r="C19170" s="52">
        <v>138739.21325401901</v>
      </c>
      <c r="D19170" s="56">
        <v>7.2760249585275744E-2</v>
      </c>
      <c r="E19170" s="224" t="s">
        <v>2</v>
      </c>
      <c r="F19170" s="515" t="s">
        <v>20341</v>
      </c>
      <c r="G19170" s="52">
        <v>52688.290383280801</v>
      </c>
      <c r="H19170" s="56">
        <v>0</v>
      </c>
      <c r="I19170" s="224" t="s">
        <v>2</v>
      </c>
    </row>
    <row r="19171" spans="1:9" x14ac:dyDescent="0.25">
      <c r="A19171" s="515">
        <v>28747</v>
      </c>
      <c r="B19171" s="515" t="s">
        <v>908</v>
      </c>
      <c r="C19171" s="52">
        <v>555105.90300221497</v>
      </c>
      <c r="D19171" s="56">
        <v>0.15054949149950733</v>
      </c>
      <c r="E19171" s="224" t="s">
        <v>2</v>
      </c>
      <c r="F19171" s="515" t="s">
        <v>20342</v>
      </c>
      <c r="G19171" s="52">
        <v>224270.47292017701</v>
      </c>
      <c r="H19171" s="56">
        <v>0.13851366226721432</v>
      </c>
      <c r="I19171" s="224" t="s">
        <v>2</v>
      </c>
    </row>
    <row r="19172" spans="1:9" x14ac:dyDescent="0.25">
      <c r="A19172" s="515">
        <v>6752</v>
      </c>
      <c r="B19172" s="515" t="s">
        <v>559</v>
      </c>
      <c r="C19172" s="52">
        <v>625517.36822122196</v>
      </c>
      <c r="D19172" s="56">
        <v>5.3112144635340579E-2</v>
      </c>
      <c r="E19172" s="224" t="s">
        <v>2</v>
      </c>
      <c r="F19172" s="515" t="s">
        <v>20343</v>
      </c>
      <c r="G19172" s="52">
        <v>368214.52405863098</v>
      </c>
      <c r="H19172" s="56">
        <v>0.11500323611857427</v>
      </c>
      <c r="I19172" s="224" t="s">
        <v>2</v>
      </c>
    </row>
    <row r="19173" spans="1:9" x14ac:dyDescent="0.25">
      <c r="A19173" s="515">
        <v>92086</v>
      </c>
      <c r="B19173" s="515" t="s">
        <v>396</v>
      </c>
      <c r="C19173" s="52">
        <v>505077.65445547801</v>
      </c>
      <c r="D19173" s="56">
        <v>-3.0901609245109634E-2</v>
      </c>
      <c r="E19173" s="224" t="s">
        <v>2</v>
      </c>
      <c r="F19173" s="515" t="s">
        <v>20344</v>
      </c>
      <c r="G19173" s="52">
        <v>118150.441217516</v>
      </c>
      <c r="H19173" s="56">
        <v>-2.7722760906711909E-2</v>
      </c>
      <c r="I19173" s="224" t="s">
        <v>2</v>
      </c>
    </row>
    <row r="19174" spans="1:9" x14ac:dyDescent="0.25">
      <c r="A19174" s="515">
        <v>89034</v>
      </c>
      <c r="C19174" s="52">
        <v>450669.89629992499</v>
      </c>
      <c r="D19174" s="56">
        <v>2.6224634294662336E-2</v>
      </c>
      <c r="E19174" s="224" t="s">
        <v>2</v>
      </c>
      <c r="F19174" s="515" t="s">
        <v>20345</v>
      </c>
      <c r="G19174" s="52">
        <v>109578.473687101</v>
      </c>
      <c r="H19174" s="56">
        <v>-1.0343598886071472E-2</v>
      </c>
      <c r="I19174" s="224" t="s">
        <v>2</v>
      </c>
    </row>
    <row r="19175" spans="1:9" x14ac:dyDescent="0.25">
      <c r="A19175" s="515">
        <v>95313</v>
      </c>
      <c r="B19175" s="515" t="s">
        <v>797</v>
      </c>
      <c r="C19175" s="52">
        <v>623306.43164283503</v>
      </c>
      <c r="D19175" s="56">
        <v>1.062942307885791E-3</v>
      </c>
      <c r="E19175" s="224" t="s">
        <v>2</v>
      </c>
      <c r="F19175" s="515" t="s">
        <v>20346</v>
      </c>
      <c r="G19175" s="52">
        <v>290667.075119443</v>
      </c>
      <c r="H19175" s="56">
        <v>8.8548035902964894E-2</v>
      </c>
      <c r="I19175" s="224" t="s">
        <v>2</v>
      </c>
    </row>
    <row r="19176" spans="1:9" x14ac:dyDescent="0.25">
      <c r="A19176" s="515">
        <v>65256</v>
      </c>
      <c r="B19176" s="515" t="s">
        <v>785</v>
      </c>
      <c r="C19176" s="52">
        <v>315951.50077619602</v>
      </c>
      <c r="D19176" s="56">
        <v>7.4126775912168985E-2</v>
      </c>
      <c r="E19176" s="224" t="s">
        <v>2</v>
      </c>
      <c r="F19176" s="515" t="s">
        <v>20347</v>
      </c>
      <c r="G19176" s="52">
        <v>137980.817519506</v>
      </c>
      <c r="H19176" s="56">
        <v>7.6091546185150058E-2</v>
      </c>
      <c r="I19176" s="224" t="s">
        <v>2</v>
      </c>
    </row>
    <row r="19177" spans="1:9" x14ac:dyDescent="0.25">
      <c r="A19177" s="515">
        <v>46180</v>
      </c>
      <c r="B19177" s="515" t="s">
        <v>403</v>
      </c>
      <c r="C19177" s="52">
        <v>236456.081276657</v>
      </c>
      <c r="D19177" s="56">
        <v>6.7006822144041092E-2</v>
      </c>
      <c r="E19177" s="224" t="s">
        <v>2</v>
      </c>
      <c r="F19177" s="515" t="s">
        <v>20348</v>
      </c>
      <c r="G19177" s="52">
        <v>95499.676604005101</v>
      </c>
      <c r="H19177" s="56">
        <v>0.11211178340866897</v>
      </c>
      <c r="I19177" s="224" t="s">
        <v>2</v>
      </c>
    </row>
    <row r="19178" spans="1:9" x14ac:dyDescent="0.25">
      <c r="A19178" s="515">
        <v>38645</v>
      </c>
      <c r="B19178" s="515" t="s">
        <v>822</v>
      </c>
      <c r="C19178" s="52">
        <v>65919.475111694599</v>
      </c>
      <c r="D19178" s="56">
        <v>0</v>
      </c>
      <c r="E19178" s="224" t="s">
        <v>2</v>
      </c>
      <c r="F19178" s="515" t="s">
        <v>20349</v>
      </c>
      <c r="G19178" s="52">
        <v>330679.473914837</v>
      </c>
      <c r="H19178" s="56">
        <v>5.8425099877295376E-2</v>
      </c>
      <c r="I19178" s="224" t="s">
        <v>2</v>
      </c>
    </row>
    <row r="19179" spans="1:9" x14ac:dyDescent="0.25">
      <c r="A19179" s="515">
        <v>5765</v>
      </c>
      <c r="B19179" s="515" t="s">
        <v>791</v>
      </c>
      <c r="C19179" s="52">
        <v>203030.86850522101</v>
      </c>
      <c r="D19179" s="56">
        <v>8.3429805044851341E-2</v>
      </c>
      <c r="E19179" s="224" t="s">
        <v>2</v>
      </c>
      <c r="F19179" s="515" t="s">
        <v>20350</v>
      </c>
      <c r="G19179" s="52">
        <v>78029.095755829694</v>
      </c>
      <c r="H19179" s="56">
        <v>0</v>
      </c>
      <c r="I19179" s="224" t="s">
        <v>2</v>
      </c>
    </row>
    <row r="19180" spans="1:9" x14ac:dyDescent="0.25">
      <c r="A19180" s="515">
        <v>38345</v>
      </c>
      <c r="C19180" s="52">
        <v>175551.96659344301</v>
      </c>
      <c r="D19180" s="56">
        <v>4.2174114651342597E-2</v>
      </c>
      <c r="E19180" s="224" t="s">
        <v>2</v>
      </c>
      <c r="F19180" s="515" t="s">
        <v>20351</v>
      </c>
      <c r="G19180" s="52">
        <v>143139.82093988301</v>
      </c>
      <c r="H19180" s="56">
        <v>0.12431088227507946</v>
      </c>
      <c r="I19180" s="224" t="s">
        <v>2</v>
      </c>
    </row>
    <row r="19181" spans="1:9" x14ac:dyDescent="0.25">
      <c r="A19181" s="515">
        <v>74470</v>
      </c>
      <c r="B19181" s="515" t="s">
        <v>538</v>
      </c>
      <c r="C19181" s="52">
        <v>133438.77069149099</v>
      </c>
      <c r="D19181" s="56">
        <v>0.15417387698015569</v>
      </c>
      <c r="E19181" s="224" t="s">
        <v>2</v>
      </c>
      <c r="F19181" s="515" t="s">
        <v>20352</v>
      </c>
      <c r="G19181" s="52">
        <v>151244.01360670201</v>
      </c>
      <c r="H19181" s="56">
        <v>0</v>
      </c>
      <c r="I19181" s="224" t="s">
        <v>2</v>
      </c>
    </row>
    <row r="19182" spans="1:9" x14ac:dyDescent="0.25">
      <c r="A19182" s="515">
        <v>38541</v>
      </c>
      <c r="B19182" s="515" t="s">
        <v>833</v>
      </c>
      <c r="C19182" s="52">
        <v>214082.714281622</v>
      </c>
      <c r="D19182" s="56">
        <v>8.4750794347854749E-2</v>
      </c>
      <c r="E19182" s="224" t="s">
        <v>2</v>
      </c>
      <c r="F19182" s="515" t="s">
        <v>20353</v>
      </c>
      <c r="G19182" s="52">
        <v>107598.18755955</v>
      </c>
      <c r="H19182" s="56">
        <v>7.1660013468732797E-2</v>
      </c>
      <c r="I19182" s="224" t="s">
        <v>2</v>
      </c>
    </row>
    <row r="19183" spans="1:9" x14ac:dyDescent="0.25">
      <c r="A19183" s="515">
        <v>15732</v>
      </c>
      <c r="B19183" s="515" t="s">
        <v>343</v>
      </c>
      <c r="C19183" s="52">
        <v>142819.23958335101</v>
      </c>
      <c r="D19183" s="56">
        <v>3.7995076115586876E-2</v>
      </c>
      <c r="E19183" s="224" t="s">
        <v>2</v>
      </c>
      <c r="F19183" s="515" t="s">
        <v>20354</v>
      </c>
      <c r="G19183" s="52">
        <v>342679.22296047799</v>
      </c>
      <c r="H19183" s="56">
        <v>1.5240716059428554E-2</v>
      </c>
      <c r="I19183" s="224" t="s">
        <v>2</v>
      </c>
    </row>
    <row r="19184" spans="1:9" x14ac:dyDescent="0.25">
      <c r="A19184" s="515">
        <v>21838</v>
      </c>
      <c r="B19184" s="515" t="s">
        <v>552</v>
      </c>
      <c r="C19184" s="52">
        <v>174550.828455023</v>
      </c>
      <c r="D19184" s="56">
        <v>4.305308251162162E-2</v>
      </c>
      <c r="E19184" s="224" t="s">
        <v>2</v>
      </c>
      <c r="F19184" s="515" t="s">
        <v>20355</v>
      </c>
      <c r="G19184" s="52">
        <v>126866.477383529</v>
      </c>
      <c r="H19184" s="56">
        <v>0.18169545316100502</v>
      </c>
      <c r="I19184" s="224" t="s">
        <v>2</v>
      </c>
    </row>
    <row r="19185" spans="1:9" x14ac:dyDescent="0.25">
      <c r="A19185" s="515">
        <v>62612</v>
      </c>
      <c r="C19185" s="52">
        <v>118745.38918700301</v>
      </c>
      <c r="D19185" s="56">
        <v>2.4594269895305589E-2</v>
      </c>
      <c r="E19185" s="224" t="s">
        <v>2</v>
      </c>
      <c r="F19185" s="515" t="s">
        <v>20356</v>
      </c>
      <c r="G19185" s="52">
        <v>148296.853213325</v>
      </c>
      <c r="H19185" s="56">
        <v>9.0604488222639445E-2</v>
      </c>
      <c r="I19185" s="224" t="s">
        <v>2</v>
      </c>
    </row>
    <row r="19186" spans="1:9" x14ac:dyDescent="0.25">
      <c r="A19186" s="515">
        <v>7717</v>
      </c>
      <c r="B19186" s="515" t="s">
        <v>324</v>
      </c>
      <c r="C19186" s="52">
        <v>1485611.34838948</v>
      </c>
      <c r="D19186" s="56">
        <v>8.949351110946363E-2</v>
      </c>
      <c r="E19186" s="224" t="s">
        <v>2</v>
      </c>
      <c r="F19186" s="515" t="s">
        <v>20357</v>
      </c>
      <c r="G19186" s="52">
        <v>183992.87391221299</v>
      </c>
      <c r="H19186" s="56">
        <v>6.4179152243625415E-2</v>
      </c>
      <c r="I19186" s="224" t="s">
        <v>2</v>
      </c>
    </row>
    <row r="19187" spans="1:9" x14ac:dyDescent="0.25">
      <c r="A19187" s="515">
        <v>73029</v>
      </c>
      <c r="C19187" s="52">
        <v>90732.633292793602</v>
      </c>
      <c r="D19187" s="56">
        <v>-2.603695667077777E-2</v>
      </c>
      <c r="E19187" s="224" t="s">
        <v>2</v>
      </c>
      <c r="F19187" s="515" t="s">
        <v>20358</v>
      </c>
      <c r="G19187" s="52">
        <v>77756.754086825298</v>
      </c>
      <c r="H19187" s="56">
        <v>0.19172344878185943</v>
      </c>
      <c r="I19187" s="224" t="s">
        <v>2</v>
      </c>
    </row>
    <row r="19188" spans="1:9" x14ac:dyDescent="0.25">
      <c r="A19188" s="515">
        <v>44826</v>
      </c>
      <c r="B19188" s="515" t="s">
        <v>1050</v>
      </c>
      <c r="C19188" s="52">
        <v>187644.47906873099</v>
      </c>
      <c r="D19188" s="56">
        <v>9.1986973244957221E-2</v>
      </c>
      <c r="E19188" s="224" t="s">
        <v>2</v>
      </c>
      <c r="F19188" s="515" t="s">
        <v>20359</v>
      </c>
      <c r="G19188" s="52">
        <v>97420.715963922703</v>
      </c>
      <c r="H19188" s="56">
        <v>0.14925517284593887</v>
      </c>
      <c r="I19188" s="224" t="s">
        <v>2</v>
      </c>
    </row>
    <row r="19189" spans="1:9" x14ac:dyDescent="0.25">
      <c r="A19189" s="515">
        <v>40873</v>
      </c>
      <c r="C19189" s="52">
        <v>68355.859887292594</v>
      </c>
      <c r="D19189" s="56">
        <v>0.16739444337997283</v>
      </c>
      <c r="E19189" s="224" t="s">
        <v>2</v>
      </c>
      <c r="F19189" s="515" t="s">
        <v>20360</v>
      </c>
      <c r="G19189" s="52">
        <v>335202.085424355</v>
      </c>
      <c r="H19189" s="56">
        <v>0.10536947279640817</v>
      </c>
      <c r="I19189" s="224" t="s">
        <v>2</v>
      </c>
    </row>
    <row r="19190" spans="1:9" x14ac:dyDescent="0.25">
      <c r="A19190" s="515">
        <v>61070</v>
      </c>
      <c r="B19190" s="515" t="s">
        <v>411</v>
      </c>
      <c r="C19190" s="52">
        <v>177401.31884219899</v>
      </c>
      <c r="D19190" s="56">
        <v>0.10666775957381676</v>
      </c>
      <c r="E19190" s="224" t="s">
        <v>2</v>
      </c>
      <c r="F19190" s="515" t="s">
        <v>20361</v>
      </c>
      <c r="G19190" s="52">
        <v>117212.417606994</v>
      </c>
      <c r="H19190" s="56">
        <v>8.3430129289139454E-2</v>
      </c>
      <c r="I19190" s="224" t="s">
        <v>2</v>
      </c>
    </row>
    <row r="19191" spans="1:9" x14ac:dyDescent="0.25">
      <c r="A19191" s="515">
        <v>3082</v>
      </c>
      <c r="B19191" s="515" t="s">
        <v>996</v>
      </c>
      <c r="C19191" s="52">
        <v>423176.57353155903</v>
      </c>
      <c r="D19191" s="56">
        <v>8.9328940845073396E-2</v>
      </c>
      <c r="E19191" s="224" t="s">
        <v>2</v>
      </c>
      <c r="F19191" s="515" t="s">
        <v>20362</v>
      </c>
      <c r="G19191" s="52">
        <v>86629.993193917602</v>
      </c>
      <c r="H19191" s="56">
        <v>0</v>
      </c>
      <c r="I19191" s="224" t="s">
        <v>2</v>
      </c>
    </row>
    <row r="19192" spans="1:9" x14ac:dyDescent="0.25">
      <c r="A19192" s="515">
        <v>49095</v>
      </c>
      <c r="B19192" s="515" t="s">
        <v>1002</v>
      </c>
      <c r="C19192" s="52">
        <v>251664.70236193101</v>
      </c>
      <c r="D19192" s="56">
        <v>4.5785848905940098E-2</v>
      </c>
      <c r="E19192" s="224" t="s">
        <v>2</v>
      </c>
      <c r="F19192" s="515" t="s">
        <v>20363</v>
      </c>
      <c r="G19192" s="52">
        <v>96645.059350784097</v>
      </c>
      <c r="H19192" s="56">
        <v>0</v>
      </c>
      <c r="I19192" s="224" t="s">
        <v>2</v>
      </c>
    </row>
    <row r="19193" spans="1:9" x14ac:dyDescent="0.25">
      <c r="A19193" s="515">
        <v>68642</v>
      </c>
      <c r="B19193" s="515" t="s">
        <v>567</v>
      </c>
      <c r="C19193" s="52">
        <v>319002.65964152099</v>
      </c>
      <c r="D19193" s="56">
        <v>9.4213404484131416E-2</v>
      </c>
      <c r="E19193" s="224" t="s">
        <v>2</v>
      </c>
      <c r="F19193" s="515" t="s">
        <v>20364</v>
      </c>
      <c r="G19193" s="52">
        <v>152946.88195081599</v>
      </c>
      <c r="H19193" s="56">
        <v>0.13773490571928101</v>
      </c>
      <c r="I19193" s="224" t="s">
        <v>2</v>
      </c>
    </row>
    <row r="19194" spans="1:9" x14ac:dyDescent="0.25">
      <c r="A19194" s="515">
        <v>37142</v>
      </c>
      <c r="B19194" s="515" t="s">
        <v>651</v>
      </c>
      <c r="C19194" s="52">
        <v>281357.502383193</v>
      </c>
      <c r="D19194" s="56">
        <v>7.8020106042669055E-2</v>
      </c>
      <c r="E19194" s="224" t="s">
        <v>2</v>
      </c>
      <c r="F19194" s="515" t="s">
        <v>20365</v>
      </c>
      <c r="G19194" s="52">
        <v>170962.43474495399</v>
      </c>
      <c r="H19194" s="56">
        <v>0.1411052893372072</v>
      </c>
      <c r="I19194" s="224" t="s">
        <v>2</v>
      </c>
    </row>
    <row r="19195" spans="1:9" x14ac:dyDescent="0.25">
      <c r="A19195" s="515">
        <v>55065</v>
      </c>
      <c r="B19195" s="515" t="s">
        <v>532</v>
      </c>
      <c r="C19195" s="52">
        <v>392724.02320340701</v>
      </c>
      <c r="D19195" s="56">
        <v>3.2201466589050327E-2</v>
      </c>
      <c r="E19195" s="224" t="s">
        <v>2</v>
      </c>
      <c r="F19195" s="515" t="s">
        <v>20366</v>
      </c>
      <c r="G19195" s="52">
        <v>142616.674266124</v>
      </c>
      <c r="H19195" s="56">
        <v>9.0711259144803894E-2</v>
      </c>
      <c r="I19195" s="224" t="s">
        <v>2</v>
      </c>
    </row>
    <row r="19196" spans="1:9" x14ac:dyDescent="0.25">
      <c r="A19196" s="515">
        <v>64624</v>
      </c>
      <c r="C19196" s="52">
        <v>129165.08506293999</v>
      </c>
      <c r="D19196" s="56">
        <v>-1.3797297979896258E-2</v>
      </c>
      <c r="E19196" s="224" t="s">
        <v>2</v>
      </c>
      <c r="F19196" s="515" t="s">
        <v>20367</v>
      </c>
      <c r="G19196" s="52">
        <v>262596.13562926702</v>
      </c>
      <c r="H19196" s="56">
        <v>7.2060252734092639E-2</v>
      </c>
      <c r="I19196" s="224" t="s">
        <v>2</v>
      </c>
    </row>
    <row r="19197" spans="1:9" x14ac:dyDescent="0.25">
      <c r="A19197" s="515">
        <v>24471</v>
      </c>
      <c r="B19197" s="515" t="s">
        <v>1026</v>
      </c>
      <c r="C19197" s="52">
        <v>332136.97701296298</v>
      </c>
      <c r="D19197" s="56">
        <v>7.1539974054856542E-2</v>
      </c>
      <c r="E19197" s="224" t="s">
        <v>2</v>
      </c>
      <c r="F19197" s="515" t="s">
        <v>20368</v>
      </c>
      <c r="G19197" s="52">
        <v>160275.248845939</v>
      </c>
      <c r="H19197" s="56">
        <v>0</v>
      </c>
      <c r="I19197" s="224" t="s">
        <v>2</v>
      </c>
    </row>
    <row r="19198" spans="1:9" x14ac:dyDescent="0.25">
      <c r="A19198" s="515">
        <v>85264</v>
      </c>
      <c r="B19198" s="515" t="s">
        <v>563</v>
      </c>
      <c r="C19198" s="52">
        <v>1044161.18181818</v>
      </c>
      <c r="D19198" s="56">
        <v>0</v>
      </c>
      <c r="E19198" s="224" t="s">
        <v>2</v>
      </c>
      <c r="F19198" s="515" t="s">
        <v>20369</v>
      </c>
      <c r="G19198" s="52">
        <v>117928.96499291</v>
      </c>
      <c r="H19198" s="56">
        <v>8.0673796840386114E-2</v>
      </c>
      <c r="I19198" s="224" t="s">
        <v>2</v>
      </c>
    </row>
    <row r="19199" spans="1:9" x14ac:dyDescent="0.25">
      <c r="A19199" s="515">
        <v>47840</v>
      </c>
      <c r="B19199" s="515" t="s">
        <v>318</v>
      </c>
      <c r="C19199" s="52">
        <v>195045.20648490801</v>
      </c>
      <c r="D19199" s="56">
        <v>7.2528229746907411E-2</v>
      </c>
      <c r="E19199" s="224" t="s">
        <v>2</v>
      </c>
      <c r="F19199" s="515" t="s">
        <v>20370</v>
      </c>
      <c r="G19199" s="52">
        <v>333721.21126760502</v>
      </c>
      <c r="H19199" s="56">
        <v>0</v>
      </c>
      <c r="I19199" s="224" t="s">
        <v>2</v>
      </c>
    </row>
    <row r="19200" spans="1:9" x14ac:dyDescent="0.25">
      <c r="A19200" s="515">
        <v>68347</v>
      </c>
      <c r="B19200" s="515" t="s">
        <v>367</v>
      </c>
      <c r="C19200" s="52">
        <v>322925.28024536901</v>
      </c>
      <c r="D19200" s="56">
        <v>8.1424826418752302E-2</v>
      </c>
      <c r="E19200" s="224" t="s">
        <v>2</v>
      </c>
      <c r="F19200" s="515" t="s">
        <v>20371</v>
      </c>
      <c r="G19200" s="52">
        <v>4087871.3889158801</v>
      </c>
      <c r="H19200" s="56">
        <v>1.0622252236539733E-2</v>
      </c>
      <c r="I19200" s="224" t="s">
        <v>2</v>
      </c>
    </row>
    <row r="19201" spans="1:9" x14ac:dyDescent="0.25">
      <c r="A19201" s="515">
        <v>50554</v>
      </c>
      <c r="C19201" s="52">
        <v>72326.0732033206</v>
      </c>
      <c r="D19201" s="56">
        <v>-8.1620330363676066E-2</v>
      </c>
      <c r="E19201" s="224" t="s">
        <v>2</v>
      </c>
      <c r="F19201" s="515" t="s">
        <v>20372</v>
      </c>
      <c r="G19201" s="52">
        <v>286049.00528223102</v>
      </c>
      <c r="H19201" s="56">
        <v>-6.8873641399548893E-2</v>
      </c>
      <c r="I19201" s="224" t="s">
        <v>2</v>
      </c>
    </row>
    <row r="19202" spans="1:9" x14ac:dyDescent="0.25">
      <c r="A19202" s="515">
        <v>68745</v>
      </c>
      <c r="C19202" s="52">
        <v>163149.10296243799</v>
      </c>
      <c r="D19202" s="56">
        <v>8.1406742733245413E-2</v>
      </c>
      <c r="E19202" s="224" t="s">
        <v>2</v>
      </c>
      <c r="F19202" s="515" t="s">
        <v>20373</v>
      </c>
      <c r="G19202" s="52">
        <v>164398.794365293</v>
      </c>
      <c r="H19202" s="56">
        <v>9.0027435373465942E-2</v>
      </c>
      <c r="I19202" s="224" t="s">
        <v>2</v>
      </c>
    </row>
    <row r="19203" spans="1:9" x14ac:dyDescent="0.25">
      <c r="A19203" s="515">
        <v>51526</v>
      </c>
      <c r="B19203" s="515" t="s">
        <v>367</v>
      </c>
      <c r="C19203" s="52">
        <v>290213.35806361999</v>
      </c>
      <c r="D19203" s="56">
        <v>0.12268550849185579</v>
      </c>
      <c r="E19203" s="224" t="s">
        <v>2</v>
      </c>
      <c r="F19203" s="515" t="s">
        <v>20374</v>
      </c>
      <c r="G19203" s="52">
        <v>46450.493734919102</v>
      </c>
      <c r="H19203" s="56">
        <v>0.28918299503707573</v>
      </c>
      <c r="I19203" s="224" t="s">
        <v>2</v>
      </c>
    </row>
    <row r="19204" spans="1:9" x14ac:dyDescent="0.25">
      <c r="A19204" s="515">
        <v>61870</v>
      </c>
      <c r="B19204" s="515" t="s">
        <v>999</v>
      </c>
      <c r="C19204" s="52">
        <v>69870.247163402295</v>
      </c>
      <c r="D19204" s="56">
        <v>0.14153120423107804</v>
      </c>
      <c r="E19204" s="224" t="s">
        <v>2</v>
      </c>
      <c r="F19204" s="515" t="s">
        <v>20375</v>
      </c>
      <c r="G19204" s="52">
        <v>161886.684197689</v>
      </c>
      <c r="H19204" s="56">
        <v>4.9999859264278163E-2</v>
      </c>
      <c r="I19204" s="224" t="s">
        <v>2</v>
      </c>
    </row>
    <row r="19205" spans="1:9" x14ac:dyDescent="0.25">
      <c r="A19205" s="515">
        <v>28685</v>
      </c>
      <c r="B19205" s="515" t="s">
        <v>1018</v>
      </c>
      <c r="C19205" s="52">
        <v>210584.283852191</v>
      </c>
      <c r="D19205" s="56">
        <v>0.19850634432326883</v>
      </c>
      <c r="E19205" s="224" t="s">
        <v>2</v>
      </c>
      <c r="F19205" s="515" t="s">
        <v>20376</v>
      </c>
      <c r="G19205" s="52">
        <v>143216.540896908</v>
      </c>
      <c r="H19205" s="56">
        <v>0</v>
      </c>
      <c r="I19205" s="224" t="s">
        <v>2</v>
      </c>
    </row>
    <row r="19206" spans="1:9" x14ac:dyDescent="0.25">
      <c r="A19206" s="515">
        <v>51237</v>
      </c>
      <c r="C19206" s="52">
        <v>127686.400560479</v>
      </c>
      <c r="D19206" s="56">
        <v>5.1233563398703261E-2</v>
      </c>
      <c r="E19206" s="224" t="s">
        <v>2</v>
      </c>
      <c r="F19206" s="515" t="s">
        <v>20377</v>
      </c>
      <c r="G19206" s="52">
        <v>169979.87231752399</v>
      </c>
      <c r="H19206" s="56">
        <v>0.11363540999265664</v>
      </c>
      <c r="I19206" s="224" t="s">
        <v>2</v>
      </c>
    </row>
    <row r="19207" spans="1:9" x14ac:dyDescent="0.25">
      <c r="A19207" s="515">
        <v>87520</v>
      </c>
      <c r="B19207" s="515" t="s">
        <v>313</v>
      </c>
      <c r="C19207" s="52">
        <v>295855.74336024001</v>
      </c>
      <c r="D19207" s="56">
        <v>4.6912585184311857E-2</v>
      </c>
      <c r="E19207" s="224" t="s">
        <v>2</v>
      </c>
      <c r="F19207" s="515" t="s">
        <v>20378</v>
      </c>
      <c r="G19207" s="52">
        <v>195744.280134639</v>
      </c>
      <c r="H19207" s="56">
        <v>4.4849228898996611E-2</v>
      </c>
      <c r="I19207" s="224" t="s">
        <v>2</v>
      </c>
    </row>
    <row r="19208" spans="1:9" x14ac:dyDescent="0.25">
      <c r="A19208" s="515">
        <v>27928</v>
      </c>
      <c r="C19208" s="52">
        <v>103494.80803908</v>
      </c>
      <c r="D19208" s="56">
        <v>8.6783791017044046E-2</v>
      </c>
      <c r="E19208" s="224" t="s">
        <v>2</v>
      </c>
      <c r="F19208" s="515" t="s">
        <v>20379</v>
      </c>
      <c r="G19208" s="52">
        <v>270667.55555555498</v>
      </c>
      <c r="H19208" s="56">
        <v>0</v>
      </c>
      <c r="I19208" s="224" t="s">
        <v>2</v>
      </c>
    </row>
    <row r="19209" spans="1:9" x14ac:dyDescent="0.25">
      <c r="A19209" s="515">
        <v>29001</v>
      </c>
      <c r="B19209" s="515" t="s">
        <v>1065</v>
      </c>
      <c r="C19209" s="52">
        <v>133182.561471213</v>
      </c>
      <c r="D19209" s="56">
        <v>-3.2650792701511021E-2</v>
      </c>
      <c r="E19209" s="224" t="s">
        <v>2</v>
      </c>
      <c r="F19209" s="515" t="s">
        <v>20380</v>
      </c>
      <c r="G19209" s="52">
        <v>49494.1449186342</v>
      </c>
      <c r="H19209" s="56">
        <v>0.2138429138161641</v>
      </c>
      <c r="I19209" s="224" t="s">
        <v>2</v>
      </c>
    </row>
    <row r="19210" spans="1:9" x14ac:dyDescent="0.25">
      <c r="A19210" s="515">
        <v>53137</v>
      </c>
      <c r="B19210" s="515" t="s">
        <v>1085</v>
      </c>
      <c r="C19210" s="52">
        <v>330761.77502266801</v>
      </c>
      <c r="D19210" s="56">
        <v>4.7581137934680336E-2</v>
      </c>
      <c r="E19210" s="224" t="s">
        <v>2</v>
      </c>
      <c r="F19210" s="515" t="s">
        <v>20381</v>
      </c>
      <c r="G19210" s="52">
        <v>181889.14870631101</v>
      </c>
      <c r="H19210" s="56">
        <v>0.10762745847748374</v>
      </c>
      <c r="I19210" s="224" t="s">
        <v>2</v>
      </c>
    </row>
    <row r="19211" spans="1:9" x14ac:dyDescent="0.25">
      <c r="A19211" s="515">
        <v>48703</v>
      </c>
      <c r="C19211" s="52">
        <v>108114.958481751</v>
      </c>
      <c r="D19211" s="56">
        <v>-2.0985766031676872E-2</v>
      </c>
      <c r="E19211" s="224" t="s">
        <v>2</v>
      </c>
      <c r="F19211" s="515" t="s">
        <v>20382</v>
      </c>
      <c r="G19211" s="52">
        <v>551133.62118579994</v>
      </c>
      <c r="H19211" s="56">
        <v>0.11962083411636919</v>
      </c>
      <c r="I19211" s="224" t="s">
        <v>2</v>
      </c>
    </row>
    <row r="19212" spans="1:9" x14ac:dyDescent="0.25">
      <c r="A19212" s="515">
        <v>57026</v>
      </c>
      <c r="B19212" s="515" t="s">
        <v>895</v>
      </c>
      <c r="C19212" s="52">
        <v>188134.48639920601</v>
      </c>
      <c r="D19212" s="56">
        <v>5.9054454092737733E-2</v>
      </c>
      <c r="E19212" s="224" t="s">
        <v>2</v>
      </c>
      <c r="F19212" s="515" t="s">
        <v>20383</v>
      </c>
      <c r="G19212" s="52">
        <v>162489.172923014</v>
      </c>
      <c r="H19212" s="56">
        <v>0.16150302759145235</v>
      </c>
      <c r="I19212" s="224" t="s">
        <v>2</v>
      </c>
    </row>
    <row r="19213" spans="1:9" x14ac:dyDescent="0.25">
      <c r="A19213" s="515">
        <v>72641</v>
      </c>
      <c r="B19213" s="515" t="s">
        <v>647</v>
      </c>
      <c r="C19213" s="52">
        <v>167910.59525098899</v>
      </c>
      <c r="D19213" s="56">
        <v>3.3351194914506006E-2</v>
      </c>
      <c r="E19213" s="224" t="s">
        <v>2</v>
      </c>
      <c r="F19213" s="515" t="s">
        <v>20384</v>
      </c>
      <c r="G19213" s="52">
        <v>109027.175746553</v>
      </c>
      <c r="H19213" s="56">
        <v>0</v>
      </c>
      <c r="I19213" s="224" t="s">
        <v>2</v>
      </c>
    </row>
    <row r="19214" spans="1:9" x14ac:dyDescent="0.25">
      <c r="A19214" s="515">
        <v>74736</v>
      </c>
      <c r="C19214" s="52">
        <v>176084.40971340999</v>
      </c>
      <c r="D19214" s="56">
        <v>0.10391016788272163</v>
      </c>
      <c r="E19214" s="224" t="s">
        <v>2</v>
      </c>
      <c r="F19214" s="515" t="s">
        <v>20385</v>
      </c>
      <c r="G19214" s="52">
        <v>483405.82950791798</v>
      </c>
      <c r="H19214" s="56">
        <v>0.11773484715814163</v>
      </c>
      <c r="I19214" s="224" t="s">
        <v>2</v>
      </c>
    </row>
    <row r="19215" spans="1:9" x14ac:dyDescent="0.25">
      <c r="A19215" s="515">
        <v>51016</v>
      </c>
      <c r="B19215" s="515" t="s">
        <v>649</v>
      </c>
      <c r="C19215" s="52">
        <v>136224.09506886601</v>
      </c>
      <c r="D19215" s="56">
        <v>8.7996597473975327E-2</v>
      </c>
      <c r="E19215" s="224" t="s">
        <v>2</v>
      </c>
      <c r="F19215" s="515" t="s">
        <v>20386</v>
      </c>
      <c r="G19215" s="52">
        <v>209543.034165655</v>
      </c>
      <c r="H19215" s="56">
        <v>9.8575664593973517E-2</v>
      </c>
      <c r="I19215" s="224" t="s">
        <v>2</v>
      </c>
    </row>
    <row r="19216" spans="1:9" x14ac:dyDescent="0.25">
      <c r="A19216" s="515">
        <v>21649</v>
      </c>
      <c r="C19216" s="52">
        <v>241578.44690359299</v>
      </c>
      <c r="D19216" s="56">
        <v>4.9464942740243975E-2</v>
      </c>
      <c r="E19216" s="224" t="s">
        <v>2</v>
      </c>
      <c r="F19216" s="515" t="s">
        <v>20387</v>
      </c>
      <c r="G19216" s="52">
        <v>152634.515299338</v>
      </c>
      <c r="H19216" s="56">
        <v>0.14393145206319641</v>
      </c>
      <c r="I19216" s="224" t="s">
        <v>2</v>
      </c>
    </row>
    <row r="19217" spans="1:9" x14ac:dyDescent="0.25">
      <c r="A19217" s="515">
        <v>49238</v>
      </c>
      <c r="B19217" s="515" t="s">
        <v>958</v>
      </c>
      <c r="C19217" s="52">
        <v>182730.709550548</v>
      </c>
      <c r="D19217" s="56">
        <v>6.4340362994808359E-2</v>
      </c>
      <c r="E19217" s="224" t="s">
        <v>2</v>
      </c>
      <c r="F19217" s="515" t="s">
        <v>20388</v>
      </c>
      <c r="G19217" s="52">
        <v>142814.64647942499</v>
      </c>
      <c r="H19217" s="56">
        <v>0</v>
      </c>
      <c r="I19217" s="224" t="s">
        <v>2</v>
      </c>
    </row>
    <row r="19218" spans="1:9" x14ac:dyDescent="0.25">
      <c r="A19218" s="515">
        <v>99036</v>
      </c>
      <c r="B19218" s="515" t="s">
        <v>820</v>
      </c>
      <c r="C19218" s="52">
        <v>651825.28874721401</v>
      </c>
      <c r="D19218" s="56">
        <v>4.3927588050658516E-2</v>
      </c>
      <c r="E19218" s="224" t="s">
        <v>2</v>
      </c>
      <c r="F19218" s="515" t="s">
        <v>20389</v>
      </c>
      <c r="G19218" s="52">
        <v>99224.161282011395</v>
      </c>
      <c r="H19218" s="56">
        <v>7.9540465617680842E-2</v>
      </c>
      <c r="I19218" s="224" t="s">
        <v>2</v>
      </c>
    </row>
    <row r="19219" spans="1:9" x14ac:dyDescent="0.25">
      <c r="A19219" s="515">
        <v>19372</v>
      </c>
      <c r="B19219" s="515" t="s">
        <v>294</v>
      </c>
      <c r="C19219" s="52">
        <v>353501.23374207102</v>
      </c>
      <c r="D19219" s="56">
        <v>8.5108391963316335E-2</v>
      </c>
      <c r="E19219" s="224" t="s">
        <v>2</v>
      </c>
      <c r="F19219" s="515" t="s">
        <v>20390</v>
      </c>
      <c r="G19219" s="52">
        <v>118365.323647097</v>
      </c>
      <c r="H19219" s="56">
        <v>-6.2752291549290021E-3</v>
      </c>
      <c r="I19219" s="224" t="s">
        <v>2</v>
      </c>
    </row>
    <row r="19220" spans="1:9" x14ac:dyDescent="0.25">
      <c r="A19220" s="515">
        <v>30425</v>
      </c>
      <c r="C19220" s="52">
        <v>148953.34687758799</v>
      </c>
      <c r="D19220" s="56">
        <v>9.8592450557539749E-2</v>
      </c>
      <c r="E19220" s="224" t="s">
        <v>2</v>
      </c>
      <c r="F19220" s="515" t="s">
        <v>20391</v>
      </c>
      <c r="G19220" s="52">
        <v>116993.447386111</v>
      </c>
      <c r="H19220" s="56">
        <v>0.13024953807693923</v>
      </c>
      <c r="I19220" s="224" t="s">
        <v>2</v>
      </c>
    </row>
    <row r="19221" spans="1:9" x14ac:dyDescent="0.25">
      <c r="A19221" s="515">
        <v>16259</v>
      </c>
      <c r="B19221" s="515" t="s">
        <v>297</v>
      </c>
      <c r="C19221" s="52">
        <v>114922.14989742701</v>
      </c>
      <c r="D19221" s="56">
        <v>0.14979043473579237</v>
      </c>
      <c r="E19221" s="224" t="s">
        <v>2</v>
      </c>
      <c r="F19221" s="515" t="s">
        <v>20392</v>
      </c>
      <c r="G19221" s="52">
        <v>123675.727328198</v>
      </c>
      <c r="H19221" s="56">
        <v>0</v>
      </c>
      <c r="I19221" s="224" t="s">
        <v>2</v>
      </c>
    </row>
    <row r="19222" spans="1:9" x14ac:dyDescent="0.25">
      <c r="A19222" s="515">
        <v>5763</v>
      </c>
      <c r="B19222" s="515" t="s">
        <v>791</v>
      </c>
      <c r="C19222" s="52">
        <v>280836.95609842503</v>
      </c>
      <c r="D19222" s="56">
        <v>0.11665337720432545</v>
      </c>
      <c r="E19222" s="224" t="s">
        <v>2</v>
      </c>
      <c r="F19222" s="515" t="s">
        <v>20393</v>
      </c>
      <c r="G19222" s="52">
        <v>219776.94691108199</v>
      </c>
      <c r="H19222" s="56">
        <v>2.2567824992279599E-2</v>
      </c>
      <c r="I19222" s="224" t="s">
        <v>2</v>
      </c>
    </row>
    <row r="19223" spans="1:9" x14ac:dyDescent="0.25">
      <c r="A19223" s="515">
        <v>71447</v>
      </c>
      <c r="B19223" s="515" t="s">
        <v>968</v>
      </c>
      <c r="C19223" s="52">
        <v>97701.758531711996</v>
      </c>
      <c r="D19223" s="56">
        <v>1.9745380179572801E-2</v>
      </c>
      <c r="E19223" s="224" t="s">
        <v>2</v>
      </c>
      <c r="F19223" s="515" t="s">
        <v>20394</v>
      </c>
      <c r="G19223" s="52">
        <v>310564.48332403699</v>
      </c>
      <c r="H19223" s="56">
        <v>0.10895579032512885</v>
      </c>
      <c r="I19223" s="224" t="s">
        <v>2</v>
      </c>
    </row>
    <row r="19224" spans="1:9" x14ac:dyDescent="0.25">
      <c r="A19224" s="515">
        <v>36785</v>
      </c>
      <c r="B19224" s="515" t="s">
        <v>806</v>
      </c>
      <c r="C19224" s="52">
        <v>124037.562749594</v>
      </c>
      <c r="D19224" s="56">
        <v>-2.8878468314397505E-2</v>
      </c>
      <c r="E19224" s="224" t="s">
        <v>2</v>
      </c>
      <c r="F19224" s="515" t="s">
        <v>20395</v>
      </c>
      <c r="G19224" s="52">
        <v>59114.602739725997</v>
      </c>
      <c r="H19224" s="56">
        <v>0</v>
      </c>
      <c r="I19224" s="224" t="s">
        <v>2</v>
      </c>
    </row>
    <row r="19225" spans="1:9" x14ac:dyDescent="0.25">
      <c r="A19225" s="515">
        <v>54632</v>
      </c>
      <c r="C19225" s="52">
        <v>199121.55587727501</v>
      </c>
      <c r="D19225" s="56">
        <v>1.4949380104092654E-3</v>
      </c>
      <c r="E19225" s="224" t="s">
        <v>2</v>
      </c>
      <c r="F19225" s="515" t="s">
        <v>20396</v>
      </c>
      <c r="G19225" s="52">
        <v>303756.46739210997</v>
      </c>
      <c r="H19225" s="56">
        <v>0.10489939854185398</v>
      </c>
      <c r="I19225" s="224" t="s">
        <v>2</v>
      </c>
    </row>
    <row r="19226" spans="1:9" x14ac:dyDescent="0.25">
      <c r="A19226" s="515">
        <v>54664</v>
      </c>
      <c r="C19226" s="52">
        <v>158798.26738892699</v>
      </c>
      <c r="D19226" s="56">
        <v>3.818910284640821E-2</v>
      </c>
      <c r="E19226" s="224" t="s">
        <v>2</v>
      </c>
      <c r="F19226" s="515" t="s">
        <v>20397</v>
      </c>
      <c r="G19226" s="52">
        <v>103591.239578558</v>
      </c>
      <c r="H19226" s="56">
        <v>3.1019369331340658E-2</v>
      </c>
      <c r="I19226" s="224" t="s">
        <v>2</v>
      </c>
    </row>
    <row r="19227" spans="1:9" x14ac:dyDescent="0.25">
      <c r="A19227" s="515">
        <v>96051</v>
      </c>
      <c r="B19227" s="515" t="s">
        <v>514</v>
      </c>
      <c r="C19227" s="52">
        <v>336997.50700021099</v>
      </c>
      <c r="D19227" s="56">
        <v>-1.2997908062064377E-2</v>
      </c>
      <c r="E19227" s="224" t="s">
        <v>2</v>
      </c>
      <c r="F19227" s="515" t="s">
        <v>20398</v>
      </c>
      <c r="G19227" s="52">
        <v>278658.64705882297</v>
      </c>
      <c r="H19227" s="56">
        <v>0</v>
      </c>
      <c r="I19227" s="224" t="s">
        <v>2</v>
      </c>
    </row>
    <row r="19228" spans="1:9" x14ac:dyDescent="0.25">
      <c r="A19228" s="515">
        <v>62414</v>
      </c>
      <c r="C19228" s="52">
        <v>126983.46089601899</v>
      </c>
      <c r="D19228" s="56">
        <v>6.794450889430266E-2</v>
      </c>
      <c r="E19228" s="224" t="s">
        <v>2</v>
      </c>
      <c r="F19228" s="515" t="s">
        <v>20399</v>
      </c>
      <c r="G19228" s="52">
        <v>128355.502073191</v>
      </c>
      <c r="H19228" s="56">
        <v>0.19378686636315995</v>
      </c>
      <c r="I19228" s="224" t="s">
        <v>2</v>
      </c>
    </row>
    <row r="19229" spans="1:9" x14ac:dyDescent="0.25">
      <c r="A19229" s="515">
        <v>38685</v>
      </c>
      <c r="B19229" s="515" t="s">
        <v>951</v>
      </c>
      <c r="C19229" s="52">
        <v>137255.354264058</v>
      </c>
      <c r="D19229" s="56">
        <v>-7.5956923970170323E-3</v>
      </c>
      <c r="E19229" s="224" t="s">
        <v>2</v>
      </c>
      <c r="F19229" s="515" t="s">
        <v>20400</v>
      </c>
      <c r="G19229" s="52">
        <v>271274.39583646</v>
      </c>
      <c r="H19229" s="56">
        <v>0</v>
      </c>
      <c r="I19229" s="224" t="s">
        <v>2</v>
      </c>
    </row>
    <row r="19230" spans="1:9" x14ac:dyDescent="0.25">
      <c r="A19230" s="515">
        <v>60150</v>
      </c>
      <c r="B19230" s="515" t="s">
        <v>394</v>
      </c>
      <c r="C19230" s="52">
        <v>205738.220835838</v>
      </c>
      <c r="D19230" s="56">
        <v>6.9512865983951094E-2</v>
      </c>
      <c r="E19230" s="224" t="s">
        <v>2</v>
      </c>
      <c r="F19230" s="515" t="s">
        <v>20401</v>
      </c>
      <c r="G19230" s="52">
        <v>173126.49115155701</v>
      </c>
      <c r="H19230" s="56">
        <v>-4.1658417875180161E-3</v>
      </c>
      <c r="I19230" s="224" t="s">
        <v>2</v>
      </c>
    </row>
    <row r="19231" spans="1:9" x14ac:dyDescent="0.25">
      <c r="A19231" s="515">
        <v>44417</v>
      </c>
      <c r="B19231" s="515" t="s">
        <v>397</v>
      </c>
      <c r="C19231" s="52">
        <v>181909.870398242</v>
      </c>
      <c r="D19231" s="56">
        <v>9.7392356972858238E-2</v>
      </c>
      <c r="E19231" s="224" t="s">
        <v>2</v>
      </c>
      <c r="F19231" s="515" t="s">
        <v>20402</v>
      </c>
      <c r="G19231" s="52">
        <v>98769.082012627303</v>
      </c>
      <c r="H19231" s="56">
        <v>0.20226632566244335</v>
      </c>
      <c r="I19231" s="224" t="s">
        <v>2</v>
      </c>
    </row>
    <row r="19232" spans="1:9" x14ac:dyDescent="0.25">
      <c r="A19232" s="515">
        <v>48865</v>
      </c>
      <c r="B19232" s="515" t="s">
        <v>631</v>
      </c>
      <c r="C19232" s="52">
        <v>200191.675064393</v>
      </c>
      <c r="D19232" s="56">
        <v>5.1192561616170668E-2</v>
      </c>
      <c r="E19232" s="224" t="s">
        <v>2</v>
      </c>
      <c r="F19232" s="515" t="s">
        <v>20403</v>
      </c>
      <c r="G19232" s="52">
        <v>79583.9947566271</v>
      </c>
      <c r="H19232" s="56">
        <v>-6.6380682649830542E-3</v>
      </c>
      <c r="I19232" s="224" t="s">
        <v>2</v>
      </c>
    </row>
    <row r="19233" spans="1:9" x14ac:dyDescent="0.25">
      <c r="A19233" s="515">
        <v>1354</v>
      </c>
      <c r="B19233" s="515" t="s">
        <v>575</v>
      </c>
      <c r="C19233" s="52">
        <v>301394.18285860901</v>
      </c>
      <c r="D19233" s="56">
        <v>7.5100762701143645E-2</v>
      </c>
      <c r="E19233" s="224" t="s">
        <v>2</v>
      </c>
      <c r="F19233" s="515" t="s">
        <v>20404</v>
      </c>
      <c r="G19233" s="52">
        <v>179602.002102492</v>
      </c>
      <c r="H19233" s="56">
        <v>0.173159633049736</v>
      </c>
      <c r="I19233" s="224" t="s">
        <v>2</v>
      </c>
    </row>
    <row r="19234" spans="1:9" x14ac:dyDescent="0.25">
      <c r="A19234" s="515">
        <v>71424</v>
      </c>
      <c r="B19234" s="515" t="s">
        <v>968</v>
      </c>
      <c r="C19234" s="52">
        <v>144901.80351544599</v>
      </c>
      <c r="D19234" s="56">
        <v>-5.7512842701977852E-2</v>
      </c>
      <c r="E19234" s="224" t="s">
        <v>2</v>
      </c>
      <c r="F19234" s="515" t="s">
        <v>20405</v>
      </c>
      <c r="G19234" s="52">
        <v>146815.266655574</v>
      </c>
      <c r="H19234" s="56">
        <v>9.0068560277432347E-2</v>
      </c>
      <c r="I19234" s="224" t="s">
        <v>2</v>
      </c>
    </row>
    <row r="19235" spans="1:9" x14ac:dyDescent="0.25">
      <c r="A19235" s="515">
        <v>17876</v>
      </c>
      <c r="B19235" s="515" t="s">
        <v>1084</v>
      </c>
      <c r="C19235" s="52">
        <v>197926.90329913801</v>
      </c>
      <c r="D19235" s="56">
        <v>6.3993939929866739E-2</v>
      </c>
      <c r="E19235" s="224" t="s">
        <v>2</v>
      </c>
      <c r="F19235" s="515" t="s">
        <v>20406</v>
      </c>
      <c r="G19235" s="52">
        <v>78297.149059595802</v>
      </c>
      <c r="H19235" s="56">
        <v>0.31024303682369636</v>
      </c>
      <c r="I19235" s="224" t="s">
        <v>2</v>
      </c>
    </row>
    <row r="19236" spans="1:9" x14ac:dyDescent="0.25">
      <c r="A19236" s="515">
        <v>46911</v>
      </c>
      <c r="B19236" s="515" t="s">
        <v>547</v>
      </c>
      <c r="C19236" s="52">
        <v>163651.03943012201</v>
      </c>
      <c r="D19236" s="56">
        <v>2.4183360442907018E-2</v>
      </c>
      <c r="E19236" s="224" t="s">
        <v>2</v>
      </c>
      <c r="F19236" s="515" t="s">
        <v>20407</v>
      </c>
      <c r="G19236" s="52">
        <v>120757.92328885</v>
      </c>
      <c r="H19236" s="56">
        <v>4.5922437789043931E-2</v>
      </c>
      <c r="I19236" s="224" t="s">
        <v>2</v>
      </c>
    </row>
    <row r="19237" spans="1:9" x14ac:dyDescent="0.25">
      <c r="A19237" s="515">
        <v>41265</v>
      </c>
      <c r="C19237" s="52">
        <v>102046.172135514</v>
      </c>
      <c r="D19237" s="56">
        <v>0.13421236620765861</v>
      </c>
      <c r="E19237" s="224" t="s">
        <v>2</v>
      </c>
      <c r="F19237" s="515" t="s">
        <v>20408</v>
      </c>
      <c r="G19237" s="52">
        <v>259159.97283927299</v>
      </c>
      <c r="H19237" s="56">
        <v>7.9047275533760772E-2</v>
      </c>
      <c r="I19237" s="224" t="s">
        <v>2</v>
      </c>
    </row>
    <row r="19238" spans="1:9" x14ac:dyDescent="0.25">
      <c r="A19238" s="515">
        <v>52756</v>
      </c>
      <c r="B19238" s="515" t="s">
        <v>439</v>
      </c>
      <c r="C19238" s="52">
        <v>310948.77724405099</v>
      </c>
      <c r="D19238" s="56">
        <v>7.78568604664161E-2</v>
      </c>
      <c r="E19238" s="224" t="s">
        <v>2</v>
      </c>
      <c r="F19238" s="515" t="s">
        <v>20409</v>
      </c>
      <c r="G19238" s="52">
        <v>236365.743424527</v>
      </c>
      <c r="H19238" s="56">
        <v>6.5671264535426335E-2</v>
      </c>
      <c r="I19238" s="224" t="s">
        <v>2</v>
      </c>
    </row>
    <row r="19239" spans="1:9" x14ac:dyDescent="0.25">
      <c r="A19239" s="515">
        <v>67119</v>
      </c>
      <c r="B19239" s="515" t="s">
        <v>485</v>
      </c>
      <c r="C19239" s="52">
        <v>130119.831366101</v>
      </c>
      <c r="D19239" s="56">
        <v>6.5036279082288706E-2</v>
      </c>
      <c r="E19239" s="224" t="s">
        <v>2</v>
      </c>
      <c r="F19239" s="515" t="s">
        <v>20410</v>
      </c>
      <c r="G19239" s="52">
        <v>229443.063416855</v>
      </c>
      <c r="H19239" s="56">
        <v>7.9536567322744917E-2</v>
      </c>
      <c r="I19239" s="224" t="s">
        <v>2</v>
      </c>
    </row>
    <row r="19240" spans="1:9" x14ac:dyDescent="0.25">
      <c r="A19240" s="515">
        <v>27980</v>
      </c>
      <c r="C19240" s="52">
        <v>149881.44074022301</v>
      </c>
      <c r="D19240" s="56">
        <v>0.15879063871294119</v>
      </c>
      <c r="E19240" s="224" t="s">
        <v>2</v>
      </c>
      <c r="F19240" s="515" t="s">
        <v>20411</v>
      </c>
      <c r="G19240" s="52">
        <v>165931.65894068399</v>
      </c>
      <c r="H19240" s="56">
        <v>0.12128897842410508</v>
      </c>
      <c r="I19240" s="224" t="s">
        <v>2</v>
      </c>
    </row>
    <row r="19241" spans="1:9" x14ac:dyDescent="0.25">
      <c r="A19241" s="515">
        <v>77442</v>
      </c>
      <c r="C19241" s="52">
        <v>190216.102091012</v>
      </c>
      <c r="D19241" s="56">
        <v>-0.10754533080050493</v>
      </c>
      <c r="E19241" s="224" t="s">
        <v>2</v>
      </c>
      <c r="F19241" s="515" t="s">
        <v>20412</v>
      </c>
      <c r="G19241" s="52">
        <v>63885.908376823201</v>
      </c>
      <c r="H19241" s="56">
        <v>0.13287729836401144</v>
      </c>
      <c r="I19241" s="224" t="s">
        <v>2</v>
      </c>
    </row>
    <row r="19242" spans="1:9" x14ac:dyDescent="0.25">
      <c r="A19242" s="515">
        <v>4955</v>
      </c>
      <c r="C19242" s="52">
        <v>219666.32933948599</v>
      </c>
      <c r="D19242" s="56">
        <v>9.6259028131811197E-2</v>
      </c>
      <c r="E19242" s="224" t="s">
        <v>2</v>
      </c>
      <c r="F19242" s="515" t="s">
        <v>20413</v>
      </c>
      <c r="G19242" s="52">
        <v>139298.700003615</v>
      </c>
      <c r="H19242" s="56">
        <v>0.13696993821167716</v>
      </c>
      <c r="I19242" s="224" t="s">
        <v>2</v>
      </c>
    </row>
    <row r="19243" spans="1:9" x14ac:dyDescent="0.25">
      <c r="A19243" s="515">
        <v>54770</v>
      </c>
      <c r="C19243" s="52">
        <v>206450.054958975</v>
      </c>
      <c r="D19243" s="56">
        <v>2.7622706948398582E-2</v>
      </c>
      <c r="E19243" s="224" t="s">
        <v>2</v>
      </c>
      <c r="F19243" s="515" t="s">
        <v>20414</v>
      </c>
      <c r="G19243" s="52">
        <v>167481.94623655899</v>
      </c>
      <c r="H19243" s="56">
        <v>0</v>
      </c>
      <c r="I19243" s="224" t="s">
        <v>2</v>
      </c>
    </row>
    <row r="19244" spans="1:9" x14ac:dyDescent="0.25">
      <c r="A19244" s="515">
        <v>43443</v>
      </c>
      <c r="B19244" s="515" t="s">
        <v>300</v>
      </c>
      <c r="C19244" s="52">
        <v>181893.862236869</v>
      </c>
      <c r="D19244" s="56">
        <v>-7.9876956623645082E-3</v>
      </c>
      <c r="E19244" s="224" t="s">
        <v>2</v>
      </c>
      <c r="F19244" s="515" t="s">
        <v>20415</v>
      </c>
      <c r="G19244" s="52">
        <v>394424.77784253802</v>
      </c>
      <c r="H19244" s="56">
        <v>2.8473063601405627E-2</v>
      </c>
      <c r="I19244" s="224" t="s">
        <v>2</v>
      </c>
    </row>
    <row r="19245" spans="1:9" x14ac:dyDescent="0.25">
      <c r="A19245" s="515">
        <v>52540</v>
      </c>
      <c r="B19245" s="515" t="s">
        <v>810</v>
      </c>
      <c r="C19245" s="52">
        <v>135078.88075777501</v>
      </c>
      <c r="D19245" s="56">
        <v>0.11013501404673871</v>
      </c>
      <c r="E19245" s="224" t="s">
        <v>2</v>
      </c>
      <c r="F19245" s="515" t="s">
        <v>20416</v>
      </c>
      <c r="G19245" s="52">
        <v>105570.198790846</v>
      </c>
      <c r="H19245" s="56">
        <v>0.14973098355959077</v>
      </c>
      <c r="I19245" s="224" t="s">
        <v>2</v>
      </c>
    </row>
    <row r="19246" spans="1:9" x14ac:dyDescent="0.25">
      <c r="A19246" s="515">
        <v>36742</v>
      </c>
      <c r="C19246" s="52">
        <v>172471.18908112001</v>
      </c>
      <c r="D19246" s="56">
        <v>-1.661825960577875E-2</v>
      </c>
      <c r="E19246" s="224" t="s">
        <v>2</v>
      </c>
      <c r="F19246" s="515" t="s">
        <v>20417</v>
      </c>
      <c r="G19246" s="52">
        <v>206544.11523940699</v>
      </c>
      <c r="H19246" s="56">
        <v>6.8058026906254912E-2</v>
      </c>
      <c r="I19246" s="224" t="s">
        <v>2</v>
      </c>
    </row>
    <row r="19247" spans="1:9" x14ac:dyDescent="0.25">
      <c r="A19247" s="515">
        <v>61415</v>
      </c>
      <c r="B19247" s="515" t="s">
        <v>303</v>
      </c>
      <c r="C19247" s="52">
        <v>91082.210206844393</v>
      </c>
      <c r="D19247" s="56">
        <v>1.384379968640282E-2</v>
      </c>
      <c r="E19247" s="224" t="s">
        <v>2</v>
      </c>
      <c r="F19247" s="515" t="s">
        <v>20418</v>
      </c>
      <c r="G19247" s="52">
        <v>166778.040288577</v>
      </c>
      <c r="H19247" s="56">
        <v>3.5389279008491183E-2</v>
      </c>
      <c r="I19247" s="224" t="s">
        <v>2</v>
      </c>
    </row>
    <row r="19248" spans="1:9" x14ac:dyDescent="0.25">
      <c r="A19248" s="515">
        <v>37753</v>
      </c>
      <c r="B19248" s="515" t="s">
        <v>1083</v>
      </c>
      <c r="C19248" s="52">
        <v>175878.79812002799</v>
      </c>
      <c r="D19248" s="56">
        <v>0</v>
      </c>
      <c r="E19248" s="224" t="s">
        <v>2</v>
      </c>
      <c r="F19248" s="515" t="s">
        <v>20419</v>
      </c>
      <c r="G19248" s="52">
        <v>1121110.14713499</v>
      </c>
      <c r="H19248" s="56">
        <v>3.4456444085111518E-2</v>
      </c>
      <c r="I19248" s="224" t="s">
        <v>2</v>
      </c>
    </row>
    <row r="19249" spans="1:9" x14ac:dyDescent="0.25">
      <c r="A19249" s="515">
        <v>12748</v>
      </c>
      <c r="C19249" s="52">
        <v>283197.52158702997</v>
      </c>
      <c r="D19249" s="56">
        <v>0.15033147420034756</v>
      </c>
      <c r="E19249" s="224" t="s">
        <v>2</v>
      </c>
      <c r="F19249" s="515" t="s">
        <v>20420</v>
      </c>
      <c r="G19249" s="52">
        <v>390886.65393370902</v>
      </c>
      <c r="H19249" s="56">
        <v>6.9692138255805197E-2</v>
      </c>
      <c r="I19249" s="224" t="s">
        <v>2</v>
      </c>
    </row>
    <row r="19250" spans="1:9" x14ac:dyDescent="0.25">
      <c r="A19250" s="515">
        <v>31756</v>
      </c>
      <c r="B19250" s="515" t="s">
        <v>392</v>
      </c>
      <c r="C19250" s="52">
        <v>131860.094270628</v>
      </c>
      <c r="D19250" s="56">
        <v>0</v>
      </c>
      <c r="E19250" s="224" t="s">
        <v>2</v>
      </c>
      <c r="F19250" s="515" t="s">
        <v>20421</v>
      </c>
      <c r="G19250" s="52">
        <v>293030.84794170898</v>
      </c>
      <c r="H19250" s="56">
        <v>7.6955749454581043E-2</v>
      </c>
      <c r="I19250" s="224" t="s">
        <v>2</v>
      </c>
    </row>
    <row r="19251" spans="1:9" x14ac:dyDescent="0.25">
      <c r="A19251" s="515">
        <v>53936</v>
      </c>
      <c r="C19251" s="52">
        <v>125288.06216811</v>
      </c>
      <c r="D19251" s="56">
        <v>0.12292375777351634</v>
      </c>
      <c r="E19251" s="224" t="s">
        <v>2</v>
      </c>
      <c r="F19251" s="515" t="s">
        <v>20422</v>
      </c>
      <c r="G19251" s="52">
        <v>405105.85686520499</v>
      </c>
      <c r="H19251" s="56">
        <v>0</v>
      </c>
      <c r="I19251" s="224" t="s">
        <v>2</v>
      </c>
    </row>
    <row r="19252" spans="1:9" x14ac:dyDescent="0.25">
      <c r="A19252" s="515">
        <v>64762</v>
      </c>
      <c r="C19252" s="52">
        <v>147817.03150960099</v>
      </c>
      <c r="D19252" s="56">
        <v>8.5298699107368398E-2</v>
      </c>
      <c r="E19252" s="224" t="s">
        <v>2</v>
      </c>
      <c r="F19252" s="515" t="s">
        <v>20423</v>
      </c>
      <c r="G19252" s="52">
        <v>198769.841081886</v>
      </c>
      <c r="H19252" s="56">
        <v>8.6871414913124168E-2</v>
      </c>
      <c r="I19252" s="224" t="s">
        <v>2</v>
      </c>
    </row>
    <row r="19253" spans="1:9" x14ac:dyDescent="0.25">
      <c r="A19253" s="515">
        <v>58639</v>
      </c>
      <c r="C19253" s="52">
        <v>112062.08255814901</v>
      </c>
      <c r="D19253" s="56">
        <v>3.9964592953180986E-2</v>
      </c>
      <c r="E19253" s="224" t="s">
        <v>2</v>
      </c>
      <c r="F19253" s="515" t="s">
        <v>20424</v>
      </c>
      <c r="G19253" s="52">
        <v>192525.10099149001</v>
      </c>
      <c r="H19253" s="56">
        <v>2.5352830466968262E-2</v>
      </c>
      <c r="I19253" s="224" t="s">
        <v>2</v>
      </c>
    </row>
    <row r="19254" spans="1:9" x14ac:dyDescent="0.25">
      <c r="A19254" s="515">
        <v>67022</v>
      </c>
      <c r="B19254" s="515" t="s">
        <v>485</v>
      </c>
      <c r="C19254" s="52">
        <v>99354.164584689701</v>
      </c>
      <c r="D19254" s="56">
        <v>7.6526221964860988E-2</v>
      </c>
      <c r="E19254" s="224" t="s">
        <v>2</v>
      </c>
      <c r="F19254" s="515" t="s">
        <v>20425</v>
      </c>
      <c r="G19254" s="52">
        <v>634214.966277909</v>
      </c>
      <c r="H19254" s="56">
        <v>0.11629946880058281</v>
      </c>
      <c r="I19254" s="224" t="s">
        <v>2</v>
      </c>
    </row>
    <row r="19255" spans="1:9" x14ac:dyDescent="0.25">
      <c r="A19255" s="515">
        <v>62571</v>
      </c>
      <c r="C19255" s="52">
        <v>97684.179245282998</v>
      </c>
      <c r="D19255" s="56">
        <v>0</v>
      </c>
      <c r="E19255" s="224" t="s">
        <v>2</v>
      </c>
      <c r="F19255" s="515" t="s">
        <v>20426</v>
      </c>
      <c r="G19255" s="52">
        <v>59283.278495349201</v>
      </c>
      <c r="H19255" s="56">
        <v>7.3950731024246513E-2</v>
      </c>
      <c r="I19255" s="224" t="s">
        <v>2</v>
      </c>
    </row>
    <row r="19256" spans="1:9" x14ac:dyDescent="0.25">
      <c r="A19256" s="515">
        <v>15725</v>
      </c>
      <c r="B19256" s="515" t="s">
        <v>343</v>
      </c>
      <c r="C19256" s="52">
        <v>170942.218538043</v>
      </c>
      <c r="D19256" s="56">
        <v>6.9704355801631215E-2</v>
      </c>
      <c r="E19256" s="224" t="s">
        <v>2</v>
      </c>
      <c r="F19256" s="515" t="s">
        <v>20427</v>
      </c>
      <c r="G19256" s="52">
        <v>191131.84212741299</v>
      </c>
      <c r="H19256" s="56">
        <v>0.10342300364114007</v>
      </c>
      <c r="I19256" s="224" t="s">
        <v>2</v>
      </c>
    </row>
    <row r="19257" spans="1:9" x14ac:dyDescent="0.25">
      <c r="A19257" s="515">
        <v>15521</v>
      </c>
      <c r="C19257" s="52">
        <v>184454.54056805899</v>
      </c>
      <c r="D19257" s="56">
        <v>1.7263199677395095E-2</v>
      </c>
      <c r="E19257" s="224" t="s">
        <v>2</v>
      </c>
      <c r="F19257" s="515" t="s">
        <v>20428</v>
      </c>
      <c r="G19257" s="52">
        <v>343103.80743602698</v>
      </c>
      <c r="H19257" s="56">
        <v>5.274477459735423E-2</v>
      </c>
      <c r="I19257" s="224" t="s">
        <v>2</v>
      </c>
    </row>
    <row r="19258" spans="1:9" x14ac:dyDescent="0.25">
      <c r="A19258" s="515">
        <v>55952</v>
      </c>
      <c r="B19258" s="515" t="s">
        <v>875</v>
      </c>
      <c r="C19258" s="52">
        <v>259292.506709726</v>
      </c>
      <c r="D19258" s="56">
        <v>8.9269840106693463E-2</v>
      </c>
      <c r="E19258" s="224" t="s">
        <v>2</v>
      </c>
      <c r="F19258" s="515" t="s">
        <v>20429</v>
      </c>
      <c r="G19258" s="52">
        <v>108127.95392121701</v>
      </c>
      <c r="H19258" s="56">
        <v>0.10624350254009413</v>
      </c>
      <c r="I19258" s="224" t="s">
        <v>2</v>
      </c>
    </row>
    <row r="19259" spans="1:9" x14ac:dyDescent="0.25">
      <c r="A19259" s="515">
        <v>65032</v>
      </c>
      <c r="B19259" s="515" t="s">
        <v>711</v>
      </c>
      <c r="C19259" s="52">
        <v>226329.64602416399</v>
      </c>
      <c r="D19259" s="56">
        <v>0.11317201661764988</v>
      </c>
      <c r="E19259" s="224" t="s">
        <v>2</v>
      </c>
      <c r="F19259" s="515" t="s">
        <v>20430</v>
      </c>
      <c r="G19259" s="52">
        <v>378139.14150572597</v>
      </c>
      <c r="H19259" s="56">
        <v>7.5869762033304505E-2</v>
      </c>
      <c r="I19259" s="224" t="s">
        <v>2</v>
      </c>
    </row>
    <row r="19260" spans="1:9" x14ac:dyDescent="0.25">
      <c r="A19260" s="515">
        <v>45772</v>
      </c>
      <c r="C19260" s="52">
        <v>98519.757392427506</v>
      </c>
      <c r="D19260" s="56">
        <v>9.5049332889210386E-2</v>
      </c>
      <c r="E19260" s="224" t="s">
        <v>2</v>
      </c>
      <c r="F19260" s="515" t="s">
        <v>20431</v>
      </c>
      <c r="G19260" s="52">
        <v>101766.73719887801</v>
      </c>
      <c r="H19260" s="56">
        <v>3.2739607134884267E-2</v>
      </c>
      <c r="I19260" s="224" t="s">
        <v>2</v>
      </c>
    </row>
    <row r="19261" spans="1:9" x14ac:dyDescent="0.25">
      <c r="A19261" s="515">
        <v>50122</v>
      </c>
      <c r="C19261" s="52">
        <v>130970.41241395799</v>
      </c>
      <c r="D19261" s="56">
        <v>0.14368141460705852</v>
      </c>
      <c r="E19261" s="224" t="s">
        <v>2</v>
      </c>
      <c r="F19261" s="515" t="s">
        <v>20432</v>
      </c>
      <c r="G19261" s="52">
        <v>210766.798948193</v>
      </c>
      <c r="H19261" s="56">
        <v>0.11041981083809041</v>
      </c>
      <c r="I19261" s="224" t="s">
        <v>2</v>
      </c>
    </row>
    <row r="19262" spans="1:9" x14ac:dyDescent="0.25">
      <c r="A19262" s="515">
        <v>38454</v>
      </c>
      <c r="C19262" s="52">
        <v>205414.13669064699</v>
      </c>
      <c r="D19262" s="56">
        <v>0</v>
      </c>
      <c r="E19262" s="224" t="s">
        <v>2</v>
      </c>
      <c r="F19262" s="515" t="s">
        <v>20433</v>
      </c>
      <c r="G19262" s="52">
        <v>149211.371428791</v>
      </c>
      <c r="H19262" s="56">
        <v>0.11857026626212028</v>
      </c>
      <c r="I19262" s="224" t="s">
        <v>2</v>
      </c>
    </row>
    <row r="19263" spans="1:9" x14ac:dyDescent="0.25">
      <c r="A19263" s="515">
        <v>50629</v>
      </c>
      <c r="C19263" s="52">
        <v>216691.340991342</v>
      </c>
      <c r="D19263" s="56">
        <v>9.9430677023337299E-2</v>
      </c>
      <c r="E19263" s="224" t="s">
        <v>2</v>
      </c>
      <c r="F19263" s="515" t="s">
        <v>20434</v>
      </c>
      <c r="G19263" s="52">
        <v>110302.36311515899</v>
      </c>
      <c r="H19263" s="56">
        <v>0.14902863943675421</v>
      </c>
      <c r="I19263" s="224" t="s">
        <v>2</v>
      </c>
    </row>
    <row r="19264" spans="1:9" x14ac:dyDescent="0.25">
      <c r="A19264" s="515">
        <v>49759</v>
      </c>
      <c r="C19264" s="52">
        <v>155760.55558438899</v>
      </c>
      <c r="D19264" s="56">
        <v>0.12896133360646764</v>
      </c>
      <c r="E19264" s="224" t="s">
        <v>2</v>
      </c>
      <c r="F19264" s="515" t="s">
        <v>20435</v>
      </c>
      <c r="G19264" s="52">
        <v>135966.23384511401</v>
      </c>
      <c r="H19264" s="56">
        <v>9.6907194764954907E-2</v>
      </c>
      <c r="I19264" s="224" t="s">
        <v>2</v>
      </c>
    </row>
    <row r="19265" spans="1:9" x14ac:dyDescent="0.25">
      <c r="A19265" s="515">
        <v>62037</v>
      </c>
      <c r="B19265" s="515" t="s">
        <v>498</v>
      </c>
      <c r="C19265" s="52">
        <v>202262.39872179</v>
      </c>
      <c r="D19265" s="56">
        <v>9.953563771334982E-2</v>
      </c>
      <c r="E19265" s="224" t="s">
        <v>2</v>
      </c>
      <c r="F19265" s="515" t="s">
        <v>20436</v>
      </c>
      <c r="G19265" s="52">
        <v>341551.45295235299</v>
      </c>
      <c r="H19265" s="56">
        <v>0.10838608725625404</v>
      </c>
      <c r="I19265" s="224" t="s">
        <v>2</v>
      </c>
    </row>
    <row r="19266" spans="1:9" x14ac:dyDescent="0.25">
      <c r="A19266" s="515">
        <v>29015</v>
      </c>
      <c r="B19266" s="515" t="s">
        <v>762</v>
      </c>
      <c r="C19266" s="52">
        <v>81232.819355464904</v>
      </c>
      <c r="D19266" s="56">
        <v>0</v>
      </c>
      <c r="E19266" s="224" t="s">
        <v>2</v>
      </c>
      <c r="F19266" s="515" t="s">
        <v>20437</v>
      </c>
      <c r="G19266" s="52">
        <v>364220.21586539398</v>
      </c>
      <c r="H19266" s="56">
        <v>0</v>
      </c>
      <c r="I19266" s="224" t="s">
        <v>2</v>
      </c>
    </row>
    <row r="19267" spans="1:9" x14ac:dyDescent="0.25">
      <c r="A19267" s="515">
        <v>16838</v>
      </c>
      <c r="B19267" s="515" t="s">
        <v>876</v>
      </c>
      <c r="C19267" s="52">
        <v>112146.506382978</v>
      </c>
      <c r="D19267" s="56">
        <v>0</v>
      </c>
      <c r="E19267" s="224" t="s">
        <v>2</v>
      </c>
      <c r="F19267" s="515" t="s">
        <v>20438</v>
      </c>
      <c r="G19267" s="52">
        <v>199913.76592238701</v>
      </c>
      <c r="H19267" s="56">
        <v>0</v>
      </c>
      <c r="I19267" s="224" t="s">
        <v>2</v>
      </c>
    </row>
    <row r="19268" spans="1:9" x14ac:dyDescent="0.25">
      <c r="A19268" s="515">
        <v>38587</v>
      </c>
      <c r="C19268" s="52">
        <v>222836.82868999901</v>
      </c>
      <c r="D19268" s="56">
        <v>0.10407290160910165</v>
      </c>
      <c r="E19268" s="224" t="s">
        <v>2</v>
      </c>
      <c r="F19268" s="515" t="s">
        <v>20439</v>
      </c>
      <c r="G19268" s="52">
        <v>990993.76358003996</v>
      </c>
      <c r="H19268" s="56">
        <v>1.9525061975109149E-4</v>
      </c>
      <c r="I19268" s="224" t="s">
        <v>2</v>
      </c>
    </row>
    <row r="19269" spans="1:9" x14ac:dyDescent="0.25">
      <c r="A19269" s="515">
        <v>47141</v>
      </c>
      <c r="B19269" s="515" t="s">
        <v>479</v>
      </c>
      <c r="C19269" s="52">
        <v>238169.608504056</v>
      </c>
      <c r="D19269" s="56">
        <v>6.5164890581017307E-2</v>
      </c>
      <c r="E19269" s="224" t="s">
        <v>2</v>
      </c>
      <c r="F19269" s="515" t="s">
        <v>20440</v>
      </c>
      <c r="G19269" s="52">
        <v>283453.433957398</v>
      </c>
      <c r="H19269" s="56">
        <v>8.9970006894278587E-2</v>
      </c>
      <c r="I19269" s="224" t="s">
        <v>2</v>
      </c>
    </row>
    <row r="19270" spans="1:9" x14ac:dyDescent="0.25">
      <c r="A19270" s="515">
        <v>43986</v>
      </c>
      <c r="C19270" s="52">
        <v>107832.846485246</v>
      </c>
      <c r="D19270" s="56">
        <v>6.5161614984189153E-2</v>
      </c>
      <c r="E19270" s="224" t="s">
        <v>2</v>
      </c>
      <c r="F19270" s="515" t="s">
        <v>20441</v>
      </c>
      <c r="G19270" s="52">
        <v>107847.12765957401</v>
      </c>
      <c r="H19270" s="56">
        <v>0</v>
      </c>
      <c r="I19270" s="224" t="s">
        <v>2</v>
      </c>
    </row>
    <row r="19271" spans="1:9" x14ac:dyDescent="0.25">
      <c r="A19271" s="515">
        <v>42456</v>
      </c>
      <c r="C19271" s="52">
        <v>140502.54767619201</v>
      </c>
      <c r="D19271" s="56">
        <v>0.15098852225482362</v>
      </c>
      <c r="E19271" s="224" t="s">
        <v>2</v>
      </c>
      <c r="F19271" s="515" t="s">
        <v>20442</v>
      </c>
      <c r="G19271" s="52">
        <v>537075.42723879695</v>
      </c>
      <c r="H19271" s="56">
        <v>9.181022591206503E-2</v>
      </c>
      <c r="I19271" s="224" t="s">
        <v>2</v>
      </c>
    </row>
    <row r="19272" spans="1:9" x14ac:dyDescent="0.25">
      <c r="A19272" s="515">
        <v>64863</v>
      </c>
      <c r="C19272" s="52">
        <v>142324.40268456301</v>
      </c>
      <c r="D19272" s="56">
        <v>0</v>
      </c>
      <c r="E19272" s="224" t="s">
        <v>2</v>
      </c>
      <c r="F19272" s="515" t="s">
        <v>20443</v>
      </c>
      <c r="G19272" s="52">
        <v>200941.973815431</v>
      </c>
      <c r="H19272" s="56">
        <v>0.17084368300362943</v>
      </c>
      <c r="I19272" s="224" t="s">
        <v>2</v>
      </c>
    </row>
    <row r="19273" spans="1:9" x14ac:dyDescent="0.25">
      <c r="A19273" s="515">
        <v>49459</v>
      </c>
      <c r="C19273" s="52">
        <v>115030.511644946</v>
      </c>
      <c r="D19273" s="56">
        <v>0.10557991400285496</v>
      </c>
      <c r="E19273" s="224" t="s">
        <v>2</v>
      </c>
      <c r="F19273" s="515" t="s">
        <v>20444</v>
      </c>
      <c r="G19273" s="52">
        <v>596014.509152991</v>
      </c>
      <c r="H19273" s="56">
        <v>9.5967922556131527E-2</v>
      </c>
      <c r="I19273" s="224" t="s">
        <v>2</v>
      </c>
    </row>
    <row r="19274" spans="1:9" x14ac:dyDescent="0.25">
      <c r="A19274" s="515">
        <v>12737</v>
      </c>
      <c r="C19274" s="52">
        <v>310080.31472401798</v>
      </c>
      <c r="D19274" s="56">
        <v>0.14328450868173956</v>
      </c>
      <c r="E19274" s="224" t="s">
        <v>2</v>
      </c>
      <c r="F19274" s="515" t="s">
        <v>20445</v>
      </c>
      <c r="G19274" s="52">
        <v>94384.059133837</v>
      </c>
      <c r="H19274" s="56">
        <v>0</v>
      </c>
      <c r="I19274" s="224" t="s">
        <v>2</v>
      </c>
    </row>
    <row r="19275" spans="1:9" x14ac:dyDescent="0.25">
      <c r="A19275" s="515">
        <v>8019</v>
      </c>
      <c r="B19275" s="515" t="s">
        <v>294</v>
      </c>
      <c r="C19275" s="52">
        <v>360024.90385899</v>
      </c>
      <c r="D19275" s="56">
        <v>5.118141784857011E-2</v>
      </c>
      <c r="E19275" s="224" t="s">
        <v>2</v>
      </c>
      <c r="F19275" s="515" t="s">
        <v>20446</v>
      </c>
      <c r="G19275" s="52">
        <v>186327.53322486801</v>
      </c>
      <c r="H19275" s="56">
        <v>0.10312520390728647</v>
      </c>
      <c r="I19275" s="224" t="s">
        <v>2</v>
      </c>
    </row>
    <row r="19276" spans="1:9" x14ac:dyDescent="0.25">
      <c r="A19276" s="515">
        <v>47995</v>
      </c>
      <c r="C19276" s="52">
        <v>171554.81957739199</v>
      </c>
      <c r="D19276" s="56">
        <v>9.1716090835698774E-2</v>
      </c>
      <c r="E19276" s="224" t="s">
        <v>2</v>
      </c>
      <c r="F19276" s="515" t="s">
        <v>20447</v>
      </c>
      <c r="G19276" s="52">
        <v>141096.85252408101</v>
      </c>
      <c r="H19276" s="56">
        <v>0.17186391836946227</v>
      </c>
      <c r="I19276" s="224" t="s">
        <v>2</v>
      </c>
    </row>
    <row r="19277" spans="1:9" x14ac:dyDescent="0.25">
      <c r="A19277" s="515">
        <v>85192</v>
      </c>
      <c r="B19277" s="515" t="s">
        <v>563</v>
      </c>
      <c r="C19277" s="52">
        <v>124925.600696439</v>
      </c>
      <c r="D19277" s="56">
        <v>-4.3603043710202863E-2</v>
      </c>
      <c r="E19277" s="224" t="s">
        <v>2</v>
      </c>
      <c r="F19277" s="515" t="s">
        <v>20448</v>
      </c>
      <c r="G19277" s="52">
        <v>267566.58426966198</v>
      </c>
      <c r="H19277" s="56">
        <v>0</v>
      </c>
      <c r="I19277" s="224" t="s">
        <v>2</v>
      </c>
    </row>
    <row r="19278" spans="1:9" x14ac:dyDescent="0.25">
      <c r="A19278" s="515">
        <v>26656</v>
      </c>
      <c r="B19278" s="515" t="s">
        <v>566</v>
      </c>
      <c r="C19278" s="52">
        <v>80155.281734465607</v>
      </c>
      <c r="D19278" s="56">
        <v>8.8210998136368027E-2</v>
      </c>
      <c r="E19278" s="224" t="s">
        <v>2</v>
      </c>
      <c r="F19278" s="515" t="s">
        <v>20449</v>
      </c>
      <c r="G19278" s="52">
        <v>206900.50973126001</v>
      </c>
      <c r="H19278" s="56">
        <v>0.1270953118314978</v>
      </c>
      <c r="I19278" s="224" t="s">
        <v>2</v>
      </c>
    </row>
    <row r="19279" spans="1:9" x14ac:dyDescent="0.25">
      <c r="A19279" s="515">
        <v>65767</v>
      </c>
      <c r="C19279" s="52">
        <v>192292.158062759</v>
      </c>
      <c r="D19279" s="56">
        <v>0.13391717484884724</v>
      </c>
      <c r="E19279" s="224" t="s">
        <v>2</v>
      </c>
      <c r="F19279" s="515" t="s">
        <v>20450</v>
      </c>
      <c r="G19279" s="52">
        <v>354673.76939687302</v>
      </c>
      <c r="H19279" s="56">
        <v>7.6963886616611452E-2</v>
      </c>
      <c r="I19279" s="224" t="s">
        <v>2</v>
      </c>
    </row>
    <row r="19280" spans="1:9" x14ac:dyDescent="0.25">
      <c r="A19280" s="515">
        <v>22740</v>
      </c>
      <c r="B19280" s="515" t="s">
        <v>321</v>
      </c>
      <c r="C19280" s="52">
        <v>469102.335343402</v>
      </c>
      <c r="D19280" s="56">
        <v>5.4397280549808025E-2</v>
      </c>
      <c r="E19280" s="224" t="s">
        <v>2</v>
      </c>
      <c r="F19280" s="515" t="s">
        <v>20451</v>
      </c>
      <c r="G19280" s="52">
        <v>25834.896713188798</v>
      </c>
      <c r="H19280" s="56">
        <v>3.5068852067822676E-2</v>
      </c>
      <c r="I19280" s="224" t="s">
        <v>2</v>
      </c>
    </row>
    <row r="19281" spans="1:9" x14ac:dyDescent="0.25">
      <c r="A19281" s="515">
        <v>83342</v>
      </c>
      <c r="B19281" s="515" t="s">
        <v>719</v>
      </c>
      <c r="C19281" s="52">
        <v>342283.34627486998</v>
      </c>
      <c r="D19281" s="56">
        <v>9.1053590976716323E-2</v>
      </c>
      <c r="E19281" s="224" t="s">
        <v>2</v>
      </c>
      <c r="F19281" s="515" t="s">
        <v>20452</v>
      </c>
      <c r="G19281" s="52">
        <v>285677.38013492402</v>
      </c>
      <c r="H19281" s="56">
        <v>0.13044698098851357</v>
      </c>
      <c r="I19281" s="224" t="s">
        <v>2</v>
      </c>
    </row>
    <row r="19282" spans="1:9" x14ac:dyDescent="0.25">
      <c r="A19282" s="515">
        <v>4342</v>
      </c>
      <c r="C19282" s="52">
        <v>292749.43297632801</v>
      </c>
      <c r="D19282" s="56">
        <v>0.10483287924564277</v>
      </c>
      <c r="E19282" s="224" t="s">
        <v>2</v>
      </c>
      <c r="F19282" s="515" t="s">
        <v>20453</v>
      </c>
      <c r="G19282" s="52">
        <v>55651.401955934401</v>
      </c>
      <c r="H19282" s="56">
        <v>9.1560496862914953E-2</v>
      </c>
      <c r="I19282" s="224" t="s">
        <v>2</v>
      </c>
    </row>
    <row r="19283" spans="1:9" x14ac:dyDescent="0.25">
      <c r="A19283" s="515">
        <v>71956</v>
      </c>
      <c r="B19283" s="515" t="s">
        <v>1082</v>
      </c>
      <c r="C19283" s="52">
        <v>110666.833613643</v>
      </c>
      <c r="D19283" s="56">
        <v>0.21468444744446327</v>
      </c>
      <c r="E19283" s="224" t="s">
        <v>2</v>
      </c>
      <c r="F19283" s="515" t="s">
        <v>20454</v>
      </c>
      <c r="G19283" s="52">
        <v>358209.65233744902</v>
      </c>
      <c r="H19283" s="56">
        <v>5.8983731243903145E-2</v>
      </c>
      <c r="I19283" s="224" t="s">
        <v>2</v>
      </c>
    </row>
    <row r="19284" spans="1:9" x14ac:dyDescent="0.25">
      <c r="A19284" s="515">
        <v>12929</v>
      </c>
      <c r="B19284" s="515" t="s">
        <v>395</v>
      </c>
      <c r="C19284" s="52">
        <v>138656.432047576</v>
      </c>
      <c r="D19284" s="56">
        <v>7.0955943414729564E-2</v>
      </c>
      <c r="E19284" s="224" t="s">
        <v>2</v>
      </c>
      <c r="F19284" s="515" t="s">
        <v>20455</v>
      </c>
      <c r="G19284" s="52">
        <v>114365.785403596</v>
      </c>
      <c r="H19284" s="56">
        <v>6.7085498840511765E-2</v>
      </c>
      <c r="I19284" s="224" t="s">
        <v>2</v>
      </c>
    </row>
    <row r="19285" spans="1:9" x14ac:dyDescent="0.25">
      <c r="A19285" s="515">
        <v>97127</v>
      </c>
      <c r="B19285" s="515" t="s">
        <v>659</v>
      </c>
      <c r="C19285" s="52">
        <v>410886.10444983502</v>
      </c>
      <c r="D19285" s="56">
        <v>1.8890102089820119E-2</v>
      </c>
      <c r="E19285" s="224" t="s">
        <v>2</v>
      </c>
      <c r="F19285" s="515" t="s">
        <v>20456</v>
      </c>
      <c r="G19285" s="52">
        <v>135122.648341622</v>
      </c>
      <c r="H19285" s="56">
        <v>8.7461960841562436E-2</v>
      </c>
      <c r="I19285" s="224" t="s">
        <v>2</v>
      </c>
    </row>
    <row r="19286" spans="1:9" x14ac:dyDescent="0.25">
      <c r="A19286" s="515">
        <v>35078</v>
      </c>
      <c r="B19286" s="515" t="s">
        <v>640</v>
      </c>
      <c r="C19286" s="52">
        <v>224845.92751658201</v>
      </c>
      <c r="D19286" s="56">
        <v>2.0496220212206508E-2</v>
      </c>
      <c r="E19286" s="224" t="s">
        <v>2</v>
      </c>
      <c r="F19286" s="515" t="s">
        <v>20457</v>
      </c>
      <c r="G19286" s="52">
        <v>197141.042541314</v>
      </c>
      <c r="H19286" s="56">
        <v>0</v>
      </c>
      <c r="I19286" s="224" t="s">
        <v>2</v>
      </c>
    </row>
    <row r="19287" spans="1:9" x14ac:dyDescent="0.25">
      <c r="A19287" s="515">
        <v>25043</v>
      </c>
      <c r="B19287" s="515" t="s">
        <v>322</v>
      </c>
      <c r="C19287" s="52">
        <v>78759.382683599193</v>
      </c>
      <c r="D19287" s="56">
        <v>0.12797347894025859</v>
      </c>
      <c r="E19287" s="224" t="s">
        <v>2</v>
      </c>
      <c r="F19287" s="515" t="s">
        <v>20458</v>
      </c>
      <c r="G19287" s="52">
        <v>181902.63046372001</v>
      </c>
      <c r="H19287" s="56">
        <v>0.12999819867389531</v>
      </c>
      <c r="I19287" s="224" t="s">
        <v>2</v>
      </c>
    </row>
    <row r="19288" spans="1:9" x14ac:dyDescent="0.25">
      <c r="A19288" s="515">
        <v>50641</v>
      </c>
      <c r="C19288" s="52">
        <v>143965.91169764899</v>
      </c>
      <c r="D19288" s="56">
        <v>0.1386109285637904</v>
      </c>
      <c r="E19288" s="224" t="s">
        <v>2</v>
      </c>
      <c r="F19288" s="515" t="s">
        <v>20459</v>
      </c>
      <c r="G19288" s="52">
        <v>139758.209383999</v>
      </c>
      <c r="H19288" s="56">
        <v>7.4077869457281467E-2</v>
      </c>
      <c r="I19288" s="224" t="s">
        <v>2</v>
      </c>
    </row>
    <row r="19289" spans="1:9" x14ac:dyDescent="0.25">
      <c r="A19289" s="515">
        <v>99181</v>
      </c>
      <c r="B19289" s="515" t="s">
        <v>820</v>
      </c>
      <c r="C19289" s="52">
        <v>309112.34392187803</v>
      </c>
      <c r="D19289" s="56">
        <v>2.8768971159029055E-2</v>
      </c>
      <c r="E19289" s="224" t="s">
        <v>2</v>
      </c>
      <c r="F19289" s="515" t="s">
        <v>20460</v>
      </c>
      <c r="G19289" s="52">
        <v>341910.07364673202</v>
      </c>
      <c r="H19289" s="56">
        <v>7.352992891948984E-2</v>
      </c>
      <c r="I19289" s="224" t="s">
        <v>2</v>
      </c>
    </row>
    <row r="19290" spans="1:9" x14ac:dyDescent="0.25">
      <c r="A19290" s="515">
        <v>54416</v>
      </c>
      <c r="B19290" s="515" t="s">
        <v>985</v>
      </c>
      <c r="C19290" s="52">
        <v>132408.309630673</v>
      </c>
      <c r="D19290" s="56">
        <v>7.3830395596394038E-2</v>
      </c>
      <c r="E19290" s="224" t="s">
        <v>2</v>
      </c>
      <c r="F19290" s="515" t="s">
        <v>20461</v>
      </c>
      <c r="G19290" s="52">
        <v>193976.552598643</v>
      </c>
      <c r="H19290" s="56">
        <v>0.11511715238018866</v>
      </c>
      <c r="I19290" s="224" t="s">
        <v>2</v>
      </c>
    </row>
    <row r="19291" spans="1:9" x14ac:dyDescent="0.25">
      <c r="A19291" s="515">
        <v>49305</v>
      </c>
      <c r="B19291" s="515" t="s">
        <v>494</v>
      </c>
      <c r="C19291" s="52">
        <v>108440.279467229</v>
      </c>
      <c r="D19291" s="56">
        <v>6.2010573476871771E-2</v>
      </c>
      <c r="E19291" s="224" t="s">
        <v>2</v>
      </c>
      <c r="F19291" s="515" t="s">
        <v>20462</v>
      </c>
      <c r="G19291" s="52">
        <v>158277.93952954499</v>
      </c>
      <c r="H19291" s="56">
        <v>0.13548510377610909</v>
      </c>
      <c r="I19291" s="224" t="s">
        <v>2</v>
      </c>
    </row>
    <row r="19292" spans="1:9" x14ac:dyDescent="0.25">
      <c r="A19292" s="515">
        <v>74536</v>
      </c>
      <c r="C19292" s="52">
        <v>129988.429429588</v>
      </c>
      <c r="D19292" s="56">
        <v>0.1184847929556942</v>
      </c>
      <c r="E19292" s="224" t="s">
        <v>2</v>
      </c>
      <c r="F19292" s="515" t="s">
        <v>20463</v>
      </c>
      <c r="G19292" s="52">
        <v>207096.76826198999</v>
      </c>
      <c r="H19292" s="56">
        <v>6.7389606233722088E-2</v>
      </c>
      <c r="I19292" s="224" t="s">
        <v>2</v>
      </c>
    </row>
    <row r="19293" spans="1:9" x14ac:dyDescent="0.25">
      <c r="A19293" s="515">
        <v>12935</v>
      </c>
      <c r="B19293" s="515" t="s">
        <v>395</v>
      </c>
      <c r="C19293" s="52">
        <v>167213.97088880901</v>
      </c>
      <c r="D19293" s="56">
        <v>0.12055607248373977</v>
      </c>
      <c r="E19293" s="224" t="s">
        <v>2</v>
      </c>
      <c r="F19293" s="515" t="s">
        <v>20464</v>
      </c>
      <c r="G19293" s="52">
        <v>368791.32704644703</v>
      </c>
      <c r="H19293" s="56">
        <v>4.2985254823166119E-2</v>
      </c>
      <c r="I19293" s="224" t="s">
        <v>2</v>
      </c>
    </row>
    <row r="19294" spans="1:9" x14ac:dyDescent="0.25">
      <c r="A19294" s="515">
        <v>75574</v>
      </c>
      <c r="B19294" s="515" t="s">
        <v>390</v>
      </c>
      <c r="C19294" s="52">
        <v>180748.84012001299</v>
      </c>
      <c r="D19294" s="56">
        <v>0</v>
      </c>
      <c r="E19294" s="224" t="s">
        <v>2</v>
      </c>
      <c r="F19294" s="515" t="s">
        <v>20465</v>
      </c>
      <c r="G19294" s="52">
        <v>344337.09495401499</v>
      </c>
      <c r="H19294" s="56">
        <v>-2.4571973897279841E-2</v>
      </c>
      <c r="I19294" s="224" t="s">
        <v>2</v>
      </c>
    </row>
    <row r="19295" spans="1:9" x14ac:dyDescent="0.25">
      <c r="A19295" s="515">
        <v>69143</v>
      </c>
      <c r="B19295" s="515" t="s">
        <v>760</v>
      </c>
      <c r="C19295" s="52">
        <v>217395.528260633</v>
      </c>
      <c r="D19295" s="56">
        <v>0.10784355722058263</v>
      </c>
      <c r="E19295" s="224" t="s">
        <v>2</v>
      </c>
      <c r="F19295" s="515" t="s">
        <v>20466</v>
      </c>
      <c r="G19295" s="52">
        <v>98642.567772556198</v>
      </c>
      <c r="H19295" s="56">
        <v>0.2039233396195359</v>
      </c>
      <c r="I19295" s="224" t="s">
        <v>2</v>
      </c>
    </row>
    <row r="19296" spans="1:9" x14ac:dyDescent="0.25">
      <c r="A19296" s="515">
        <v>28480</v>
      </c>
      <c r="B19296" s="515" t="s">
        <v>1038</v>
      </c>
      <c r="C19296" s="52">
        <v>1303648.1608992501</v>
      </c>
      <c r="D19296" s="56">
        <v>0.11920509963070268</v>
      </c>
      <c r="E19296" s="224" t="s">
        <v>2</v>
      </c>
      <c r="F19296" s="515" t="s">
        <v>20467</v>
      </c>
      <c r="G19296" s="52">
        <v>922611.91602854396</v>
      </c>
      <c r="H19296" s="56">
        <v>-2.2566538197702646E-3</v>
      </c>
      <c r="I19296" s="224" t="s">
        <v>2</v>
      </c>
    </row>
    <row r="19297" spans="1:9" x14ac:dyDescent="0.25">
      <c r="A19297" s="515">
        <v>25632</v>
      </c>
      <c r="B19297" s="515" t="s">
        <v>464</v>
      </c>
      <c r="C19297" s="52">
        <v>60788.301262345201</v>
      </c>
      <c r="D19297" s="56">
        <v>0.15267146122770092</v>
      </c>
      <c r="E19297" s="224" t="s">
        <v>2</v>
      </c>
      <c r="F19297" s="515" t="s">
        <v>20468</v>
      </c>
      <c r="G19297" s="52">
        <v>93709.098393097302</v>
      </c>
      <c r="H19297" s="56">
        <v>0</v>
      </c>
      <c r="I19297" s="224" t="s">
        <v>2</v>
      </c>
    </row>
    <row r="19298" spans="1:9" x14ac:dyDescent="0.25">
      <c r="A19298" s="515">
        <v>42343</v>
      </c>
      <c r="C19298" s="52">
        <v>113213.405337534</v>
      </c>
      <c r="D19298" s="56">
        <v>7.5685679611759732E-2</v>
      </c>
      <c r="E19298" s="224" t="s">
        <v>2</v>
      </c>
      <c r="F19298" s="515" t="s">
        <v>20469</v>
      </c>
      <c r="G19298" s="52">
        <v>407121.39601573203</v>
      </c>
      <c r="H19298" s="56">
        <v>1.6832823694116282E-2</v>
      </c>
      <c r="I19298" s="224" t="s">
        <v>2</v>
      </c>
    </row>
    <row r="19299" spans="1:9" x14ac:dyDescent="0.25">
      <c r="A19299" s="515">
        <v>54856</v>
      </c>
      <c r="C19299" s="52">
        <v>177138.457003688</v>
      </c>
      <c r="D19299" s="56">
        <v>3.7862219339181269E-2</v>
      </c>
      <c r="E19299" s="224" t="s">
        <v>2</v>
      </c>
      <c r="F19299" s="515" t="s">
        <v>20470</v>
      </c>
      <c r="G19299" s="52">
        <v>208293.24400899999</v>
      </c>
      <c r="H19299" s="56">
        <v>0.10379467695716668</v>
      </c>
      <c r="I19299" s="224" t="s">
        <v>2</v>
      </c>
    </row>
    <row r="19300" spans="1:9" x14ac:dyDescent="0.25">
      <c r="A19300" s="515">
        <v>42352</v>
      </c>
      <c r="B19300" s="515" t="s">
        <v>1024</v>
      </c>
      <c r="C19300" s="52">
        <v>121982.008544715</v>
      </c>
      <c r="D19300" s="56">
        <v>0.16378080231247139</v>
      </c>
      <c r="E19300" s="224" t="s">
        <v>2</v>
      </c>
      <c r="F19300" s="515" t="s">
        <v>20471</v>
      </c>
      <c r="G19300" s="52">
        <v>236236.750139335</v>
      </c>
      <c r="H19300" s="56">
        <v>0.14230269191421116</v>
      </c>
      <c r="I19300" s="224" t="s">
        <v>2</v>
      </c>
    </row>
    <row r="19301" spans="1:9" x14ac:dyDescent="0.25">
      <c r="A19301" s="515">
        <v>17243</v>
      </c>
      <c r="B19301" s="515" t="s">
        <v>539</v>
      </c>
      <c r="C19301" s="52">
        <v>131972.80765238099</v>
      </c>
      <c r="D19301" s="56">
        <v>0</v>
      </c>
      <c r="E19301" s="224" t="s">
        <v>2</v>
      </c>
      <c r="F19301" s="515" t="s">
        <v>20472</v>
      </c>
      <c r="G19301" s="52">
        <v>86106.824324324305</v>
      </c>
      <c r="H19301" s="56">
        <v>0</v>
      </c>
      <c r="I19301" s="224" t="s">
        <v>2</v>
      </c>
    </row>
    <row r="19302" spans="1:9" x14ac:dyDescent="0.25">
      <c r="A19302" s="515">
        <v>51454</v>
      </c>
      <c r="C19302" s="52">
        <v>123688.104878618</v>
      </c>
      <c r="D19302" s="56">
        <v>0.14854968139872382</v>
      </c>
      <c r="E19302" s="224" t="s">
        <v>2</v>
      </c>
      <c r="F19302" s="515" t="s">
        <v>20473</v>
      </c>
      <c r="G19302" s="52">
        <v>102095.566409023</v>
      </c>
      <c r="H19302" s="56">
        <v>7.8451045613958797E-2</v>
      </c>
      <c r="I19302" s="224" t="s">
        <v>2</v>
      </c>
    </row>
    <row r="19303" spans="1:9" x14ac:dyDescent="0.25">
      <c r="A19303" s="515">
        <v>29592</v>
      </c>
      <c r="C19303" s="52">
        <v>69213.084000149698</v>
      </c>
      <c r="D19303" s="56">
        <v>2.4690755394266132E-2</v>
      </c>
      <c r="E19303" s="224" t="s">
        <v>2</v>
      </c>
      <c r="F19303" s="515" t="s">
        <v>20474</v>
      </c>
      <c r="G19303" s="52">
        <v>116463.347921329</v>
      </c>
      <c r="H19303" s="56">
        <v>3.7198718820040985E-2</v>
      </c>
      <c r="I19303" s="224" t="s">
        <v>2</v>
      </c>
    </row>
    <row r="19304" spans="1:9" x14ac:dyDescent="0.25">
      <c r="A19304" s="515">
        <v>55335</v>
      </c>
      <c r="C19304" s="52">
        <v>185496.24239976899</v>
      </c>
      <c r="D19304" s="56">
        <v>-5.0338573455484516E-2</v>
      </c>
      <c r="E19304" s="224" t="s">
        <v>2</v>
      </c>
      <c r="F19304" s="515" t="s">
        <v>20475</v>
      </c>
      <c r="G19304" s="52">
        <v>338520.20704540802</v>
      </c>
      <c r="H19304" s="56">
        <v>7.2759559165956212E-3</v>
      </c>
      <c r="I19304" s="224" t="s">
        <v>2</v>
      </c>
    </row>
    <row r="19305" spans="1:9" x14ac:dyDescent="0.25">
      <c r="A19305" s="515">
        <v>64725</v>
      </c>
      <c r="B19305" s="515" t="s">
        <v>455</v>
      </c>
      <c r="C19305" s="52">
        <v>240793.50278341101</v>
      </c>
      <c r="D19305" s="56">
        <v>0.15589850639512201</v>
      </c>
      <c r="E19305" s="224" t="s">
        <v>2</v>
      </c>
      <c r="F19305" s="515" t="s">
        <v>20476</v>
      </c>
      <c r="G19305" s="52">
        <v>131572.992652418</v>
      </c>
      <c r="H19305" s="56">
        <v>9.078933419761942E-2</v>
      </c>
      <c r="I19305" s="224" t="s">
        <v>2</v>
      </c>
    </row>
    <row r="19306" spans="1:9" x14ac:dyDescent="0.25">
      <c r="A19306" s="515">
        <v>13343</v>
      </c>
      <c r="C19306" s="52">
        <v>164319.913742106</v>
      </c>
      <c r="D19306" s="56">
        <v>0.10498095457016822</v>
      </c>
      <c r="E19306" s="224" t="s">
        <v>2</v>
      </c>
      <c r="F19306" s="515" t="s">
        <v>20477</v>
      </c>
      <c r="G19306" s="52">
        <v>264913.10088424903</v>
      </c>
      <c r="H19306" s="56">
        <v>0.1291923522513885</v>
      </c>
      <c r="I19306" s="224" t="s">
        <v>2</v>
      </c>
    </row>
    <row r="19307" spans="1:9" x14ac:dyDescent="0.25">
      <c r="A19307" s="515">
        <v>15034</v>
      </c>
      <c r="B19307" s="515" t="s">
        <v>297</v>
      </c>
      <c r="C19307" s="52">
        <v>99810.108716949995</v>
      </c>
      <c r="D19307" s="56">
        <v>0.11685102708915156</v>
      </c>
      <c r="E19307" s="224" t="s">
        <v>2</v>
      </c>
      <c r="F19307" s="515" t="s">
        <v>20478</v>
      </c>
      <c r="G19307" s="52">
        <v>142491.200264777</v>
      </c>
      <c r="H19307" s="56">
        <v>2.3909184201563276E-2</v>
      </c>
      <c r="I19307" s="224" t="s">
        <v>2</v>
      </c>
    </row>
    <row r="19308" spans="1:9" x14ac:dyDescent="0.25">
      <c r="A19308" s="515">
        <v>61361</v>
      </c>
      <c r="B19308" s="515" t="s">
        <v>556</v>
      </c>
      <c r="C19308" s="52">
        <v>89472.833673876405</v>
      </c>
      <c r="D19308" s="56">
        <v>1.6831966658993797E-2</v>
      </c>
      <c r="E19308" s="224" t="s">
        <v>2</v>
      </c>
      <c r="F19308" s="515" t="s">
        <v>20479</v>
      </c>
      <c r="G19308" s="52">
        <v>356666.211467869</v>
      </c>
      <c r="H19308" s="56">
        <v>0.12307753303634698</v>
      </c>
      <c r="I19308" s="224" t="s">
        <v>2</v>
      </c>
    </row>
    <row r="19309" spans="1:9" x14ac:dyDescent="0.25">
      <c r="A19309" s="515">
        <v>20620</v>
      </c>
      <c r="B19309" s="515" t="s">
        <v>779</v>
      </c>
      <c r="C19309" s="52">
        <v>369249.77128596598</v>
      </c>
      <c r="D19309" s="56">
        <v>1.2776794058079782E-2</v>
      </c>
      <c r="E19309" s="224" t="s">
        <v>2</v>
      </c>
      <c r="F19309" s="515" t="s">
        <v>20480</v>
      </c>
      <c r="G19309" s="52">
        <v>157758.73709506801</v>
      </c>
      <c r="H19309" s="56">
        <v>0.10732822918007827</v>
      </c>
      <c r="I19309" s="224" t="s">
        <v>2</v>
      </c>
    </row>
    <row r="19310" spans="1:9" x14ac:dyDescent="0.25">
      <c r="A19310" s="515">
        <v>15410</v>
      </c>
      <c r="B19310" s="515" t="s">
        <v>297</v>
      </c>
      <c r="C19310" s="52">
        <v>73236.558928751299</v>
      </c>
      <c r="D19310" s="56">
        <v>2.8469648557999428E-2</v>
      </c>
      <c r="E19310" s="224" t="s">
        <v>2</v>
      </c>
      <c r="F19310" s="515" t="s">
        <v>20481</v>
      </c>
      <c r="G19310" s="52">
        <v>53062.457828906598</v>
      </c>
      <c r="H19310" s="56">
        <v>1.1616312199757357E-2</v>
      </c>
      <c r="I19310" s="224" t="s">
        <v>2</v>
      </c>
    </row>
    <row r="19311" spans="1:9" x14ac:dyDescent="0.25">
      <c r="A19311" s="515">
        <v>4493</v>
      </c>
      <c r="B19311" s="515" t="s">
        <v>792</v>
      </c>
      <c r="C19311" s="52">
        <v>196018.230446765</v>
      </c>
      <c r="D19311" s="56">
        <v>0.10151417213534165</v>
      </c>
      <c r="E19311" s="224" t="s">
        <v>2</v>
      </c>
      <c r="F19311" s="515" t="s">
        <v>20482</v>
      </c>
      <c r="G19311" s="52">
        <v>202432.27197896599</v>
      </c>
      <c r="H19311" s="56">
        <v>0.11278880891985543</v>
      </c>
      <c r="I19311" s="224" t="s">
        <v>2</v>
      </c>
    </row>
    <row r="19312" spans="1:9" x14ac:dyDescent="0.25">
      <c r="A19312" s="515">
        <v>47940</v>
      </c>
      <c r="B19312" s="515" t="s">
        <v>408</v>
      </c>
      <c r="C19312" s="52">
        <v>184573.253479568</v>
      </c>
      <c r="D19312" s="56">
        <v>7.9244605172056781E-2</v>
      </c>
      <c r="E19312" s="224" t="s">
        <v>2</v>
      </c>
      <c r="F19312" s="515" t="s">
        <v>20483</v>
      </c>
      <c r="G19312" s="52">
        <v>323986.91737106699</v>
      </c>
      <c r="H19312" s="56">
        <v>2.5547861286444908E-2</v>
      </c>
      <c r="I19312" s="224" t="s">
        <v>2</v>
      </c>
    </row>
    <row r="19313" spans="1:9" x14ac:dyDescent="0.25">
      <c r="A19313" s="515">
        <v>95942</v>
      </c>
      <c r="B19313" s="515" t="s">
        <v>580</v>
      </c>
      <c r="C19313" s="52">
        <v>377640.76631305303</v>
      </c>
      <c r="D19313" s="56">
        <v>-2.3824989792242821E-2</v>
      </c>
      <c r="E19313" s="224" t="s">
        <v>2</v>
      </c>
      <c r="F19313" s="515" t="s">
        <v>20484</v>
      </c>
      <c r="G19313" s="52">
        <v>183177.955327904</v>
      </c>
      <c r="H19313" s="56">
        <v>0</v>
      </c>
      <c r="I19313" s="224" t="s">
        <v>2</v>
      </c>
    </row>
    <row r="19314" spans="1:9" x14ac:dyDescent="0.25">
      <c r="A19314" s="515">
        <v>55312</v>
      </c>
      <c r="B19314" s="515" t="s">
        <v>882</v>
      </c>
      <c r="C19314" s="52">
        <v>236481.185981185</v>
      </c>
      <c r="D19314" s="56">
        <v>4.703964067150234E-2</v>
      </c>
      <c r="E19314" s="224" t="s">
        <v>2</v>
      </c>
      <c r="F19314" s="515" t="s">
        <v>20485</v>
      </c>
      <c r="G19314" s="52">
        <v>508064.48539794702</v>
      </c>
      <c r="H19314" s="56">
        <v>5.7479424589161915E-2</v>
      </c>
      <c r="I19314" s="224" t="s">
        <v>2</v>
      </c>
    </row>
    <row r="19315" spans="1:9" x14ac:dyDescent="0.25">
      <c r="A19315" s="515">
        <v>13402</v>
      </c>
      <c r="B19315" s="515" t="s">
        <v>361</v>
      </c>
      <c r="C19315" s="52">
        <v>170645.104227237</v>
      </c>
      <c r="D19315" s="56">
        <v>7.3039508135332443E-2</v>
      </c>
      <c r="E19315" s="224" t="s">
        <v>2</v>
      </c>
      <c r="F19315" s="515" t="s">
        <v>20486</v>
      </c>
      <c r="G19315" s="52">
        <v>277184.42011304002</v>
      </c>
      <c r="H19315" s="56">
        <v>-3.8363164305806087E-2</v>
      </c>
      <c r="I19315" s="224" t="s">
        <v>2</v>
      </c>
    </row>
    <row r="19316" spans="1:9" x14ac:dyDescent="0.25">
      <c r="A19316" s="515">
        <v>71326</v>
      </c>
      <c r="B19316" s="515" t="s">
        <v>1081</v>
      </c>
      <c r="C19316" s="52">
        <v>64531.938607383003</v>
      </c>
      <c r="D19316" s="56">
        <v>8.1517763697777218E-2</v>
      </c>
      <c r="E19316" s="224" t="s">
        <v>2</v>
      </c>
      <c r="F19316" s="515" t="s">
        <v>20487</v>
      </c>
      <c r="G19316" s="52">
        <v>130371.944553671</v>
      </c>
      <c r="H19316" s="56">
        <v>0</v>
      </c>
      <c r="I19316" s="224" t="s">
        <v>2</v>
      </c>
    </row>
    <row r="19317" spans="1:9" x14ac:dyDescent="0.25">
      <c r="A19317" s="515">
        <v>64443</v>
      </c>
      <c r="B19317" s="515" t="s">
        <v>371</v>
      </c>
      <c r="C19317" s="52">
        <v>277527.95668403798</v>
      </c>
      <c r="D19317" s="56">
        <v>0</v>
      </c>
      <c r="E19317" s="224" t="s">
        <v>2</v>
      </c>
      <c r="F19317" s="515" t="s">
        <v>20488</v>
      </c>
      <c r="G19317" s="52">
        <v>193287.91991213101</v>
      </c>
      <c r="H19317" s="56">
        <v>5.7742079307644717E-2</v>
      </c>
      <c r="I19317" s="224" t="s">
        <v>2</v>
      </c>
    </row>
    <row r="19318" spans="1:9" x14ac:dyDescent="0.25">
      <c r="A19318" s="515">
        <v>46165</v>
      </c>
      <c r="B19318" s="515" t="s">
        <v>403</v>
      </c>
      <c r="C19318" s="52">
        <v>280351.31907448597</v>
      </c>
      <c r="D19318" s="56">
        <v>7.8389483851578817E-2</v>
      </c>
      <c r="E19318" s="224" t="s">
        <v>2</v>
      </c>
      <c r="F19318" s="515" t="s">
        <v>20489</v>
      </c>
      <c r="G19318" s="52">
        <v>86714.275175991701</v>
      </c>
      <c r="H19318" s="56">
        <v>8.4458221963515712E-2</v>
      </c>
      <c r="I19318" s="224" t="s">
        <v>2</v>
      </c>
    </row>
    <row r="19319" spans="1:9" x14ac:dyDescent="0.25">
      <c r="A19319" s="515">
        <v>54870</v>
      </c>
      <c r="C19319" s="52">
        <v>352013.41796963901</v>
      </c>
      <c r="D19319" s="56">
        <v>0.13323494021468868</v>
      </c>
      <c r="E19319" s="224" t="s">
        <v>2</v>
      </c>
      <c r="F19319" s="515" t="s">
        <v>20490</v>
      </c>
      <c r="G19319" s="52">
        <v>107541.55019436601</v>
      </c>
      <c r="H19319" s="56">
        <v>5.5025401212984083E-2</v>
      </c>
      <c r="I19319" s="224" t="s">
        <v>2</v>
      </c>
    </row>
    <row r="19320" spans="1:9" x14ac:dyDescent="0.25">
      <c r="A19320" s="515">
        <v>63629</v>
      </c>
      <c r="C19320" s="52">
        <v>141715.21678841001</v>
      </c>
      <c r="D19320" s="56">
        <v>0.15470988316873813</v>
      </c>
      <c r="E19320" s="224" t="s">
        <v>2</v>
      </c>
      <c r="F19320" s="515" t="s">
        <v>20491</v>
      </c>
      <c r="G19320" s="52">
        <v>103283.524861068</v>
      </c>
      <c r="H19320" s="56">
        <v>3.6812358055042814E-2</v>
      </c>
      <c r="I19320" s="224" t="s">
        <v>2</v>
      </c>
    </row>
    <row r="19321" spans="1:9" x14ac:dyDescent="0.25">
      <c r="A19321" s="515">
        <v>14898</v>
      </c>
      <c r="B19321" s="515" t="s">
        <v>585</v>
      </c>
      <c r="C19321" s="52">
        <v>151074.53033468901</v>
      </c>
      <c r="D19321" s="56">
        <v>0.16123898926882488</v>
      </c>
      <c r="E19321" s="224" t="s">
        <v>2</v>
      </c>
      <c r="F19321" s="515" t="s">
        <v>20492</v>
      </c>
      <c r="G19321" s="52">
        <v>45566.768115942003</v>
      </c>
      <c r="H19321" s="56">
        <v>0</v>
      </c>
      <c r="I19321" s="224" t="s">
        <v>2</v>
      </c>
    </row>
    <row r="19322" spans="1:9" x14ac:dyDescent="0.25">
      <c r="A19322" s="515">
        <v>5444</v>
      </c>
      <c r="C19322" s="52">
        <v>348517.17918130697</v>
      </c>
      <c r="D19322" s="56">
        <v>9.2296460135271444E-2</v>
      </c>
      <c r="E19322" s="224" t="s">
        <v>2</v>
      </c>
      <c r="F19322" s="515" t="s">
        <v>20493</v>
      </c>
      <c r="G19322" s="52">
        <v>72755.190916140098</v>
      </c>
      <c r="H19322" s="56">
        <v>0</v>
      </c>
      <c r="I19322" s="224" t="s">
        <v>2</v>
      </c>
    </row>
    <row r="19323" spans="1:9" x14ac:dyDescent="0.25">
      <c r="A19323" s="515">
        <v>12166</v>
      </c>
      <c r="B19323" s="515" t="s">
        <v>378</v>
      </c>
      <c r="C19323" s="52">
        <v>176577.38074639099</v>
      </c>
      <c r="D19323" s="56">
        <v>0.11716106105493795</v>
      </c>
      <c r="E19323" s="224" t="s">
        <v>2</v>
      </c>
      <c r="F19323" s="515" t="s">
        <v>20494</v>
      </c>
      <c r="G19323" s="52">
        <v>198749.02439024299</v>
      </c>
      <c r="H19323" s="56">
        <v>0</v>
      </c>
      <c r="I19323" s="224" t="s">
        <v>2</v>
      </c>
    </row>
    <row r="19324" spans="1:9" x14ac:dyDescent="0.25">
      <c r="A19324" s="515">
        <v>99714</v>
      </c>
      <c r="B19324" s="515" t="s">
        <v>1080</v>
      </c>
      <c r="C19324" s="52">
        <v>195857.31341945601</v>
      </c>
      <c r="D19324" s="56">
        <v>3.8889787821580579E-3</v>
      </c>
      <c r="E19324" s="224" t="s">
        <v>2</v>
      </c>
      <c r="F19324" s="515" t="s">
        <v>20495</v>
      </c>
      <c r="G19324" s="52">
        <v>187130.61194678801</v>
      </c>
      <c r="H19324" s="56">
        <v>-9.0711221879341691E-3</v>
      </c>
      <c r="I19324" s="224" t="s">
        <v>2</v>
      </c>
    </row>
    <row r="19325" spans="1:9" x14ac:dyDescent="0.25">
      <c r="A19325" s="515">
        <v>95329</v>
      </c>
      <c r="B19325" s="515" t="s">
        <v>797</v>
      </c>
      <c r="C19325" s="52">
        <v>373496.41315369401</v>
      </c>
      <c r="D19325" s="56">
        <v>7.9104865144872596E-3</v>
      </c>
      <c r="E19325" s="224" t="s">
        <v>2</v>
      </c>
      <c r="F19325" s="515" t="s">
        <v>20496</v>
      </c>
      <c r="G19325" s="52">
        <v>501204.66953016701</v>
      </c>
      <c r="H19325" s="56">
        <v>8.316589333062141E-2</v>
      </c>
      <c r="I19325" s="224" t="s">
        <v>2</v>
      </c>
    </row>
    <row r="19326" spans="1:9" x14ac:dyDescent="0.25">
      <c r="A19326" s="515">
        <v>61283</v>
      </c>
      <c r="B19326" s="515" t="s">
        <v>756</v>
      </c>
      <c r="C19326" s="52">
        <v>93269.326114925498</v>
      </c>
      <c r="D19326" s="56">
        <v>5.5399311492594354E-2</v>
      </c>
      <c r="E19326" s="224" t="s">
        <v>2</v>
      </c>
      <c r="F19326" s="515" t="s">
        <v>20497</v>
      </c>
      <c r="G19326" s="52">
        <v>172685.97475705601</v>
      </c>
      <c r="H19326" s="56">
        <v>5.6111269699818708E-2</v>
      </c>
      <c r="I19326" s="224" t="s">
        <v>2</v>
      </c>
    </row>
    <row r="19327" spans="1:9" x14ac:dyDescent="0.25">
      <c r="A19327" s="515">
        <v>62808</v>
      </c>
      <c r="C19327" s="52">
        <v>97210.332581728901</v>
      </c>
      <c r="D19327" s="56">
        <v>6.1281306146851629E-2</v>
      </c>
      <c r="E19327" s="224" t="s">
        <v>2</v>
      </c>
      <c r="F19327" s="515" t="s">
        <v>20498</v>
      </c>
      <c r="G19327" s="52">
        <v>229992.404888613</v>
      </c>
      <c r="H19327" s="56">
        <v>9.2073103907644324E-2</v>
      </c>
      <c r="I19327" s="224" t="s">
        <v>2</v>
      </c>
    </row>
    <row r="19328" spans="1:9" x14ac:dyDescent="0.25">
      <c r="A19328" s="515">
        <v>12028</v>
      </c>
      <c r="B19328" s="515" t="s">
        <v>422</v>
      </c>
      <c r="C19328" s="52">
        <v>245116.200864616</v>
      </c>
      <c r="D19328" s="56">
        <v>9.7321447736696459E-2</v>
      </c>
      <c r="E19328" s="224" t="s">
        <v>2</v>
      </c>
      <c r="F19328" s="515" t="s">
        <v>20499</v>
      </c>
      <c r="G19328" s="52">
        <v>301464.75021629501</v>
      </c>
      <c r="H19328" s="56">
        <v>3.1313992296824349E-2</v>
      </c>
      <c r="I19328" s="224" t="s">
        <v>2</v>
      </c>
    </row>
    <row r="19329" spans="1:9" x14ac:dyDescent="0.25">
      <c r="A19329" s="515">
        <v>26448</v>
      </c>
      <c r="B19329" s="515" t="s">
        <v>347</v>
      </c>
      <c r="C19329" s="52">
        <v>108635.78602350299</v>
      </c>
      <c r="D19329" s="56">
        <v>-8.9837167813189692E-2</v>
      </c>
      <c r="E19329" s="224" t="s">
        <v>2</v>
      </c>
      <c r="F19329" s="515" t="s">
        <v>20500</v>
      </c>
      <c r="G19329" s="52">
        <v>190368.43168193099</v>
      </c>
      <c r="H19329" s="56">
        <v>4.1951662676158137E-2</v>
      </c>
      <c r="I19329" s="224" t="s">
        <v>2</v>
      </c>
    </row>
    <row r="19330" spans="1:9" x14ac:dyDescent="0.25">
      <c r="A19330" s="515">
        <v>59520</v>
      </c>
      <c r="C19330" s="52">
        <v>236668.57416348899</v>
      </c>
      <c r="D19330" s="56">
        <v>5.4299685557044203E-2</v>
      </c>
      <c r="E19330" s="224" t="s">
        <v>2</v>
      </c>
      <c r="F19330" s="515" t="s">
        <v>20501</v>
      </c>
      <c r="G19330" s="52">
        <v>128299.972270773</v>
      </c>
      <c r="H19330" s="56">
        <v>5.2341796900422927E-2</v>
      </c>
      <c r="I19330" s="224" t="s">
        <v>2</v>
      </c>
    </row>
    <row r="19331" spans="1:9" x14ac:dyDescent="0.25">
      <c r="A19331" s="515">
        <v>48873</v>
      </c>
      <c r="B19331" s="515" t="s">
        <v>631</v>
      </c>
      <c r="C19331" s="52">
        <v>230804.181621358</v>
      </c>
      <c r="D19331" s="56">
        <v>9.9693975986025973E-2</v>
      </c>
      <c r="E19331" s="224" t="s">
        <v>2</v>
      </c>
      <c r="F19331" s="515" t="s">
        <v>20502</v>
      </c>
      <c r="G19331" s="52">
        <v>554921.67543324304</v>
      </c>
      <c r="H19331" s="56">
        <v>-2.1830732767203188E-3</v>
      </c>
      <c r="I19331" s="224" t="s">
        <v>2</v>
      </c>
    </row>
    <row r="19332" spans="1:9" x14ac:dyDescent="0.25">
      <c r="A19332" s="515">
        <v>98267</v>
      </c>
      <c r="B19332" s="515" t="s">
        <v>454</v>
      </c>
      <c r="C19332" s="52">
        <v>294111.35028595501</v>
      </c>
      <c r="D19332" s="56">
        <v>0.1094615628591783</v>
      </c>
      <c r="E19332" s="224" t="s">
        <v>2</v>
      </c>
      <c r="F19332" s="515" t="s">
        <v>20503</v>
      </c>
      <c r="G19332" s="52">
        <v>533048.87900038494</v>
      </c>
      <c r="H19332" s="56">
        <v>0.10691412108652433</v>
      </c>
      <c r="I19332" s="224" t="s">
        <v>2</v>
      </c>
    </row>
    <row r="19333" spans="1:9" x14ac:dyDescent="0.25">
      <c r="A19333" s="515">
        <v>73933</v>
      </c>
      <c r="C19333" s="52">
        <v>66286.174892891693</v>
      </c>
      <c r="D19333" s="56">
        <v>5.7064578570334926E-3</v>
      </c>
      <c r="E19333" s="224" t="s">
        <v>2</v>
      </c>
      <c r="F19333" s="515" t="s">
        <v>20504</v>
      </c>
      <c r="G19333" s="52">
        <v>209435.76190476099</v>
      </c>
      <c r="H19333" s="56">
        <v>0</v>
      </c>
      <c r="I19333" s="224" t="s">
        <v>2</v>
      </c>
    </row>
    <row r="19334" spans="1:9" x14ac:dyDescent="0.25">
      <c r="A19334" s="515">
        <v>15376</v>
      </c>
      <c r="B19334" s="515" t="s">
        <v>297</v>
      </c>
      <c r="C19334" s="52">
        <v>187257.238029259</v>
      </c>
      <c r="D19334" s="56">
        <v>8.4618482592271199E-2</v>
      </c>
      <c r="E19334" s="224" t="s">
        <v>2</v>
      </c>
      <c r="F19334" s="515" t="s">
        <v>20505</v>
      </c>
      <c r="G19334" s="52">
        <v>97143.2214589824</v>
      </c>
      <c r="H19334" s="56">
        <v>0.13492488581015996</v>
      </c>
      <c r="I19334" s="224" t="s">
        <v>2</v>
      </c>
    </row>
    <row r="19335" spans="1:9" x14ac:dyDescent="0.25">
      <c r="A19335" s="515">
        <v>54859</v>
      </c>
      <c r="C19335" s="52">
        <v>290188.36649634701</v>
      </c>
      <c r="D19335" s="56">
        <v>0.13135910100625817</v>
      </c>
      <c r="E19335" s="224" t="s">
        <v>2</v>
      </c>
      <c r="F19335" s="515" t="s">
        <v>20506</v>
      </c>
      <c r="G19335" s="52">
        <v>85899.761983257398</v>
      </c>
      <c r="H19335" s="56">
        <v>0</v>
      </c>
      <c r="I19335" s="224" t="s">
        <v>2</v>
      </c>
    </row>
    <row r="19336" spans="1:9" x14ac:dyDescent="0.25">
      <c r="A19336" s="515">
        <v>65646</v>
      </c>
      <c r="C19336" s="52">
        <v>197558.909122118</v>
      </c>
      <c r="D19336" s="56">
        <v>9.6687314473599018E-2</v>
      </c>
      <c r="E19336" s="224" t="s">
        <v>2</v>
      </c>
      <c r="F19336" s="515" t="s">
        <v>20507</v>
      </c>
      <c r="G19336" s="52">
        <v>332444.67546926503</v>
      </c>
      <c r="H19336" s="56">
        <v>7.9652025640916349E-2</v>
      </c>
      <c r="I19336" s="224" t="s">
        <v>2</v>
      </c>
    </row>
    <row r="19337" spans="1:9" x14ac:dyDescent="0.25">
      <c r="A19337" s="515">
        <v>22652</v>
      </c>
      <c r="C19337" s="52">
        <v>350000.21435850498</v>
      </c>
      <c r="D19337" s="56">
        <v>0.10482976688937437</v>
      </c>
      <c r="E19337" s="224" t="s">
        <v>2</v>
      </c>
      <c r="F19337" s="515" t="s">
        <v>20508</v>
      </c>
      <c r="G19337" s="52">
        <v>372497.82249989902</v>
      </c>
      <c r="H19337" s="56">
        <v>0.14080760453329744</v>
      </c>
      <c r="I19337" s="224" t="s">
        <v>2</v>
      </c>
    </row>
    <row r="19338" spans="1:9" x14ac:dyDescent="0.25">
      <c r="A19338" s="515">
        <v>51535</v>
      </c>
      <c r="C19338" s="52">
        <v>137276.23896791399</v>
      </c>
      <c r="D19338" s="56">
        <v>0.10434596754283125</v>
      </c>
      <c r="E19338" s="224" t="s">
        <v>2</v>
      </c>
      <c r="F19338" s="515" t="s">
        <v>20509</v>
      </c>
      <c r="G19338" s="52">
        <v>76585.950673321495</v>
      </c>
      <c r="H19338" s="56">
        <v>-7.719819777673298E-2</v>
      </c>
      <c r="I19338" s="224" t="s">
        <v>2</v>
      </c>
    </row>
    <row r="19339" spans="1:9" x14ac:dyDescent="0.25">
      <c r="A19339" s="515">
        <v>58436</v>
      </c>
      <c r="C19339" s="52">
        <v>100433.72205972001</v>
      </c>
      <c r="D19339" s="56">
        <v>1.0000751354109038E-2</v>
      </c>
      <c r="E19339" s="224" t="s">
        <v>2</v>
      </c>
      <c r="F19339" s="515" t="s">
        <v>20510</v>
      </c>
      <c r="G19339" s="52">
        <v>1015584.39506155</v>
      </c>
      <c r="H19339" s="56">
        <v>0.1128017257261627</v>
      </c>
      <c r="I19339" s="224" t="s">
        <v>2</v>
      </c>
    </row>
    <row r="19340" spans="1:9" x14ac:dyDescent="0.25">
      <c r="A19340" s="515">
        <v>44859</v>
      </c>
      <c r="B19340" s="515" t="s">
        <v>305</v>
      </c>
      <c r="C19340" s="52">
        <v>238657.94967935901</v>
      </c>
      <c r="D19340" s="56">
        <v>0.15098963264599949</v>
      </c>
      <c r="E19340" s="224" t="s">
        <v>2</v>
      </c>
      <c r="F19340" s="515" t="s">
        <v>20511</v>
      </c>
      <c r="G19340" s="52">
        <v>190738.02703573601</v>
      </c>
      <c r="H19340" s="56">
        <v>1.1823821475830155E-2</v>
      </c>
      <c r="I19340" s="224" t="s">
        <v>2</v>
      </c>
    </row>
    <row r="19341" spans="1:9" x14ac:dyDescent="0.25">
      <c r="A19341" s="515">
        <v>53924</v>
      </c>
      <c r="C19341" s="52">
        <v>204557.45898372601</v>
      </c>
      <c r="D19341" s="56">
        <v>7.494495262109907E-2</v>
      </c>
      <c r="E19341" s="224" t="s">
        <v>2</v>
      </c>
      <c r="F19341" s="515" t="s">
        <v>20512</v>
      </c>
      <c r="G19341" s="52">
        <v>88104.876832306705</v>
      </c>
      <c r="H19341" s="56">
        <v>3.1147178639312163E-2</v>
      </c>
      <c r="I19341" s="224" t="s">
        <v>2</v>
      </c>
    </row>
    <row r="19342" spans="1:9" x14ac:dyDescent="0.25">
      <c r="A19342" s="515">
        <v>56528</v>
      </c>
      <c r="B19342" s="515" t="s">
        <v>601</v>
      </c>
      <c r="C19342" s="52">
        <v>349637.68878652802</v>
      </c>
      <c r="D19342" s="56">
        <v>0.10517562381704455</v>
      </c>
      <c r="E19342" s="224" t="s">
        <v>2</v>
      </c>
      <c r="F19342" s="515" t="s">
        <v>20513</v>
      </c>
      <c r="G19342" s="52">
        <v>283943.78524468298</v>
      </c>
      <c r="H19342" s="56">
        <v>0.20277645401009362</v>
      </c>
      <c r="I19342" s="224" t="s">
        <v>2</v>
      </c>
    </row>
    <row r="19343" spans="1:9" x14ac:dyDescent="0.25">
      <c r="A19343" s="515">
        <v>4986</v>
      </c>
      <c r="C19343" s="52">
        <v>208967.21757586501</v>
      </c>
      <c r="D19343" s="56">
        <v>3.0152388010370301E-2</v>
      </c>
      <c r="E19343" s="224" t="s">
        <v>2</v>
      </c>
      <c r="F19343" s="515" t="s">
        <v>20514</v>
      </c>
      <c r="G19343" s="52">
        <v>140865.23386837801</v>
      </c>
      <c r="H19343" s="56">
        <v>0</v>
      </c>
      <c r="I19343" s="224" t="s">
        <v>2</v>
      </c>
    </row>
    <row r="19344" spans="1:9" x14ac:dyDescent="0.25">
      <c r="A19344" s="515">
        <v>80864</v>
      </c>
      <c r="B19344" s="515" t="s">
        <v>701</v>
      </c>
      <c r="C19344" s="52">
        <v>375572.40163373703</v>
      </c>
      <c r="D19344" s="56">
        <v>3.1778069435301301E-2</v>
      </c>
      <c r="E19344" s="224" t="s">
        <v>2</v>
      </c>
      <c r="F19344" s="515" t="s">
        <v>20515</v>
      </c>
      <c r="G19344" s="52">
        <v>370092.05617529002</v>
      </c>
      <c r="H19344" s="56">
        <v>2.678931881013789E-2</v>
      </c>
      <c r="I19344" s="224" t="s">
        <v>2</v>
      </c>
    </row>
    <row r="19345" spans="1:9" x14ac:dyDescent="0.25">
      <c r="A19345" s="515">
        <v>56442</v>
      </c>
      <c r="B19345" s="515" t="s">
        <v>674</v>
      </c>
      <c r="C19345" s="52">
        <v>442302.13580950198</v>
      </c>
      <c r="D19345" s="56">
        <v>0.11185784083503947</v>
      </c>
      <c r="E19345" s="224" t="s">
        <v>2</v>
      </c>
      <c r="F19345" s="515" t="s">
        <v>20516</v>
      </c>
      <c r="G19345" s="52">
        <v>606768.15427217202</v>
      </c>
      <c r="H19345" s="56">
        <v>2.6370260609708467E-2</v>
      </c>
      <c r="I19345" s="224" t="s">
        <v>2</v>
      </c>
    </row>
    <row r="19346" spans="1:9" x14ac:dyDescent="0.25">
      <c r="A19346" s="515">
        <v>83323</v>
      </c>
      <c r="B19346" s="515" t="s">
        <v>719</v>
      </c>
      <c r="C19346" s="52">
        <v>384497.40328858403</v>
      </c>
      <c r="D19346" s="56">
        <v>8.808201694045513E-2</v>
      </c>
      <c r="E19346" s="224" t="s">
        <v>2</v>
      </c>
      <c r="F19346" s="515" t="s">
        <v>20517</v>
      </c>
      <c r="G19346" s="52">
        <v>224534.324901694</v>
      </c>
      <c r="H19346" s="56">
        <v>0.1150325935337505</v>
      </c>
      <c r="I19346" s="224" t="s">
        <v>2</v>
      </c>
    </row>
    <row r="19347" spans="1:9" x14ac:dyDescent="0.25">
      <c r="A19347" s="515">
        <v>12058</v>
      </c>
      <c r="C19347" s="52">
        <v>286857.22274981602</v>
      </c>
      <c r="D19347" s="56">
        <v>0.10855913606704697</v>
      </c>
      <c r="E19347" s="224" t="s">
        <v>2</v>
      </c>
      <c r="F19347" s="515" t="s">
        <v>20518</v>
      </c>
      <c r="G19347" s="52">
        <v>66920.468151471796</v>
      </c>
      <c r="H19347" s="56">
        <v>0.21424951456267741</v>
      </c>
      <c r="I19347" s="224" t="s">
        <v>2</v>
      </c>
    </row>
    <row r="19348" spans="1:9" x14ac:dyDescent="0.25">
      <c r="A19348" s="515">
        <v>18955</v>
      </c>
      <c r="B19348" s="515" t="s">
        <v>294</v>
      </c>
      <c r="C19348" s="52">
        <v>310074.94236842601</v>
      </c>
      <c r="D19348" s="56">
        <v>7.3491345733286417E-2</v>
      </c>
      <c r="E19348" s="224" t="s">
        <v>2</v>
      </c>
      <c r="F19348" s="515" t="s">
        <v>20519</v>
      </c>
      <c r="G19348" s="52">
        <v>230228.00948881899</v>
      </c>
      <c r="H19348" s="56">
        <v>0.10317760165580815</v>
      </c>
      <c r="I19348" s="224" t="s">
        <v>2</v>
      </c>
    </row>
    <row r="19349" spans="1:9" x14ac:dyDescent="0.25">
      <c r="A19349" s="515">
        <v>37337</v>
      </c>
      <c r="B19349" s="515" t="s">
        <v>1079</v>
      </c>
      <c r="C19349" s="52">
        <v>184839.94857877001</v>
      </c>
      <c r="D19349" s="56">
        <v>9.2239350357730718E-2</v>
      </c>
      <c r="E19349" s="224" t="s">
        <v>2</v>
      </c>
      <c r="F19349" s="515" t="s">
        <v>20520</v>
      </c>
      <c r="G19349" s="52">
        <v>145523.195627749</v>
      </c>
      <c r="H19349" s="56">
        <v>5.8531263550494685E-2</v>
      </c>
      <c r="I19349" s="224" t="s">
        <v>2</v>
      </c>
    </row>
    <row r="19350" spans="1:9" x14ac:dyDescent="0.25">
      <c r="A19350" s="515">
        <v>30218</v>
      </c>
      <c r="B19350" s="515" t="s">
        <v>957</v>
      </c>
      <c r="C19350" s="52">
        <v>212677.50039042899</v>
      </c>
      <c r="D19350" s="56">
        <v>0.17047295269778187</v>
      </c>
      <c r="E19350" s="224" t="s">
        <v>2</v>
      </c>
      <c r="F19350" s="515" t="s">
        <v>20521</v>
      </c>
      <c r="G19350" s="52">
        <v>285376.44230769202</v>
      </c>
      <c r="H19350" s="56">
        <v>0</v>
      </c>
      <c r="I19350" s="224" t="s">
        <v>2</v>
      </c>
    </row>
    <row r="19351" spans="1:9" x14ac:dyDescent="0.25">
      <c r="A19351" s="515">
        <v>50469</v>
      </c>
      <c r="B19351" s="515" t="s">
        <v>634</v>
      </c>
      <c r="C19351" s="52">
        <v>156802.49513331201</v>
      </c>
      <c r="D19351" s="56">
        <v>0.13212856796362596</v>
      </c>
      <c r="E19351" s="224" t="s">
        <v>2</v>
      </c>
      <c r="F19351" s="515" t="s">
        <v>20522</v>
      </c>
      <c r="G19351" s="52">
        <v>325614.55107896798</v>
      </c>
      <c r="H19351" s="56">
        <v>0.13963984408700567</v>
      </c>
      <c r="I19351" s="224" t="s">
        <v>2</v>
      </c>
    </row>
    <row r="19352" spans="1:9" x14ac:dyDescent="0.25">
      <c r="A19352" s="515">
        <v>67867</v>
      </c>
      <c r="C19352" s="52">
        <v>214234.64187488001</v>
      </c>
      <c r="D19352" s="56">
        <v>0.11147816244337778</v>
      </c>
      <c r="E19352" s="224" t="s">
        <v>2</v>
      </c>
      <c r="F19352" s="515" t="s">
        <v>20523</v>
      </c>
      <c r="G19352" s="52">
        <v>142891.94151745</v>
      </c>
      <c r="H19352" s="56">
        <v>6.1109760948241977E-2</v>
      </c>
      <c r="I19352" s="224" t="s">
        <v>2</v>
      </c>
    </row>
    <row r="19353" spans="1:9" x14ac:dyDescent="0.25">
      <c r="A19353" s="515">
        <v>49060</v>
      </c>
      <c r="C19353" s="52">
        <v>292784.644490053</v>
      </c>
      <c r="D19353" s="56">
        <v>7.6320632771348693E-2</v>
      </c>
      <c r="E19353" s="224" t="s">
        <v>2</v>
      </c>
      <c r="F19353" s="515" t="s">
        <v>20524</v>
      </c>
      <c r="G19353" s="52">
        <v>81241.206896551696</v>
      </c>
      <c r="H19353" s="56">
        <v>0</v>
      </c>
      <c r="I19353" s="224" t="s">
        <v>2</v>
      </c>
    </row>
    <row r="19354" spans="1:9" x14ac:dyDescent="0.25">
      <c r="A19354" s="515">
        <v>60966</v>
      </c>
      <c r="C19354" s="52">
        <v>68412.548561140196</v>
      </c>
      <c r="D19354" s="56">
        <v>1.3426349692537304E-2</v>
      </c>
      <c r="E19354" s="224" t="s">
        <v>2</v>
      </c>
      <c r="F19354" s="515" t="s">
        <v>20525</v>
      </c>
      <c r="G19354" s="52">
        <v>324010.70308329299</v>
      </c>
      <c r="H19354" s="56">
        <v>0.15125241988725305</v>
      </c>
      <c r="I19354" s="224" t="s">
        <v>2</v>
      </c>
    </row>
    <row r="19355" spans="1:9" x14ac:dyDescent="0.25">
      <c r="A19355" s="515">
        <v>49679</v>
      </c>
      <c r="C19355" s="52">
        <v>151709.20553253801</v>
      </c>
      <c r="D19355" s="56">
        <v>0.14491325798723736</v>
      </c>
      <c r="E19355" s="224" t="s">
        <v>2</v>
      </c>
      <c r="F19355" s="515" t="s">
        <v>20526</v>
      </c>
      <c r="G19355" s="52">
        <v>154562.71186440601</v>
      </c>
      <c r="H19355" s="56">
        <v>0</v>
      </c>
      <c r="I19355" s="224" t="s">
        <v>2</v>
      </c>
    </row>
    <row r="19356" spans="1:9" x14ac:dyDescent="0.25">
      <c r="A19356" s="515">
        <v>8067</v>
      </c>
      <c r="B19356" s="515" t="s">
        <v>294</v>
      </c>
      <c r="C19356" s="52">
        <v>278968.957767791</v>
      </c>
      <c r="D19356" s="56">
        <v>3.0583215250374593E-2</v>
      </c>
      <c r="E19356" s="224" t="s">
        <v>2</v>
      </c>
      <c r="F19356" s="515" t="s">
        <v>20527</v>
      </c>
      <c r="G19356" s="52">
        <v>381996.22107821901</v>
      </c>
      <c r="H19356" s="56">
        <v>2.7344080484477677E-2</v>
      </c>
      <c r="I19356" s="224" t="s">
        <v>2</v>
      </c>
    </row>
    <row r="19357" spans="1:9" x14ac:dyDescent="0.25">
      <c r="A19357" s="515">
        <v>95916</v>
      </c>
      <c r="B19357" s="515" t="s">
        <v>580</v>
      </c>
      <c r="C19357" s="52">
        <v>224098.86236424401</v>
      </c>
      <c r="D19357" s="56">
        <v>-0.16502984316073391</v>
      </c>
      <c r="E19357" s="224" t="s">
        <v>2</v>
      </c>
      <c r="F19357" s="515" t="s">
        <v>20528</v>
      </c>
      <c r="G19357" s="52">
        <v>116087.821428571</v>
      </c>
      <c r="H19357" s="56">
        <v>0</v>
      </c>
      <c r="I19357" s="224" t="s">
        <v>2</v>
      </c>
    </row>
    <row r="19358" spans="1:9" x14ac:dyDescent="0.25">
      <c r="A19358" s="515">
        <v>71439</v>
      </c>
      <c r="B19358" s="515" t="s">
        <v>889</v>
      </c>
      <c r="C19358" s="52">
        <v>119462.971216003</v>
      </c>
      <c r="D19358" s="56">
        <v>1.2309168863862713E-2</v>
      </c>
      <c r="E19358" s="224" t="s">
        <v>2</v>
      </c>
      <c r="F19358" s="515" t="s">
        <v>20529</v>
      </c>
      <c r="G19358" s="52">
        <v>275422.28135697503</v>
      </c>
      <c r="H19358" s="56">
        <v>6.6849822285045338E-2</v>
      </c>
      <c r="I19358" s="224" t="s">
        <v>2</v>
      </c>
    </row>
    <row r="19359" spans="1:9" x14ac:dyDescent="0.25">
      <c r="A19359" s="515">
        <v>55736</v>
      </c>
      <c r="B19359" s="515" t="s">
        <v>350</v>
      </c>
      <c r="C19359" s="52">
        <v>146254.41441627801</v>
      </c>
      <c r="D19359" s="56">
        <v>4.2124914403831225E-2</v>
      </c>
      <c r="E19359" s="224" t="s">
        <v>2</v>
      </c>
      <c r="F19359" s="515" t="s">
        <v>20530</v>
      </c>
      <c r="G19359" s="52">
        <v>130528.659583152</v>
      </c>
      <c r="H19359" s="56">
        <v>5.2264017152048543E-2</v>
      </c>
      <c r="I19359" s="224" t="s">
        <v>2</v>
      </c>
    </row>
    <row r="19360" spans="1:9" x14ac:dyDescent="0.25">
      <c r="A19360" s="515">
        <v>39456</v>
      </c>
      <c r="C19360" s="52">
        <v>128553.88027489401</v>
      </c>
      <c r="D19360" s="56">
        <v>8.2945225525585878E-3</v>
      </c>
      <c r="E19360" s="224" t="s">
        <v>2</v>
      </c>
      <c r="F19360" s="515" t="s">
        <v>20531</v>
      </c>
      <c r="G19360" s="52">
        <v>129393.787739739</v>
      </c>
      <c r="H19360" s="56">
        <v>2.7702644630803741E-2</v>
      </c>
      <c r="I19360" s="224" t="s">
        <v>2</v>
      </c>
    </row>
    <row r="19361" spans="1:9" x14ac:dyDescent="0.25">
      <c r="A19361" s="515">
        <v>20624</v>
      </c>
      <c r="B19361" s="515" t="s">
        <v>779</v>
      </c>
      <c r="C19361" s="52">
        <v>395679.193597859</v>
      </c>
      <c r="D19361" s="56">
        <v>4.2120207488762175E-3</v>
      </c>
      <c r="E19361" s="224" t="s">
        <v>2</v>
      </c>
      <c r="F19361" s="515" t="s">
        <v>20532</v>
      </c>
      <c r="G19361" s="52">
        <v>152829.3452979</v>
      </c>
      <c r="H19361" s="56">
        <v>0.18637019138168895</v>
      </c>
      <c r="I19361" s="224" t="s">
        <v>2</v>
      </c>
    </row>
    <row r="19362" spans="1:9" x14ac:dyDescent="0.25">
      <c r="A19362" s="515">
        <v>27979</v>
      </c>
      <c r="B19362" s="515" t="s">
        <v>301</v>
      </c>
      <c r="C19362" s="52">
        <v>183958.86249960799</v>
      </c>
      <c r="D19362" s="56">
        <v>0.13230307616048395</v>
      </c>
      <c r="E19362" s="224" t="s">
        <v>2</v>
      </c>
      <c r="F19362" s="515" t="s">
        <v>20533</v>
      </c>
      <c r="G19362" s="52">
        <v>186200.996948821</v>
      </c>
      <c r="H19362" s="56">
        <v>7.2359045681566606E-2</v>
      </c>
      <c r="I19362" s="224" t="s">
        <v>2</v>
      </c>
    </row>
    <row r="19363" spans="1:9" x14ac:dyDescent="0.25">
      <c r="A19363" s="515">
        <v>83444</v>
      </c>
      <c r="B19363" s="515" t="s">
        <v>409</v>
      </c>
      <c r="C19363" s="52">
        <v>347380.32215367199</v>
      </c>
      <c r="D19363" s="56">
        <v>4.8129538280121245E-2</v>
      </c>
      <c r="E19363" s="224" t="s">
        <v>2</v>
      </c>
      <c r="F19363" s="515" t="s">
        <v>20534</v>
      </c>
      <c r="G19363" s="52">
        <v>446104.99792117998</v>
      </c>
      <c r="H19363" s="56">
        <v>1.3701726278766448E-2</v>
      </c>
      <c r="I19363" s="224" t="s">
        <v>2</v>
      </c>
    </row>
    <row r="19364" spans="1:9" x14ac:dyDescent="0.25">
      <c r="A19364" s="515">
        <v>55954</v>
      </c>
      <c r="B19364" s="515" t="s">
        <v>470</v>
      </c>
      <c r="C19364" s="52">
        <v>177642.22781620399</v>
      </c>
      <c r="D19364" s="56">
        <v>8.228551602900544E-2</v>
      </c>
      <c r="E19364" s="224" t="s">
        <v>2</v>
      </c>
      <c r="F19364" s="515" t="s">
        <v>20535</v>
      </c>
      <c r="G19364" s="52">
        <v>76182.407995764996</v>
      </c>
      <c r="H19364" s="56">
        <v>0.11789559500043834</v>
      </c>
      <c r="I19364" s="224" t="s">
        <v>2</v>
      </c>
    </row>
    <row r="19365" spans="1:9" x14ac:dyDescent="0.25">
      <c r="A19365" s="515">
        <v>5660</v>
      </c>
      <c r="B19365" s="515" t="s">
        <v>945</v>
      </c>
      <c r="C19365" s="52">
        <v>415269.77202840499</v>
      </c>
      <c r="D19365" s="56">
        <v>7.1412832382090466E-2</v>
      </c>
      <c r="E19365" s="224" t="s">
        <v>2</v>
      </c>
      <c r="F19365" s="515" t="s">
        <v>20536</v>
      </c>
      <c r="G19365" s="52">
        <v>277524.30346468498</v>
      </c>
      <c r="H19365" s="56">
        <v>0.15615368647022421</v>
      </c>
      <c r="I19365" s="224" t="s">
        <v>2</v>
      </c>
    </row>
    <row r="19366" spans="1:9" x14ac:dyDescent="0.25">
      <c r="A19366" s="515">
        <v>40460</v>
      </c>
      <c r="C19366" s="52">
        <v>88905.283774560899</v>
      </c>
      <c r="D19366" s="56">
        <v>0.25091911644791592</v>
      </c>
      <c r="E19366" s="224" t="s">
        <v>2</v>
      </c>
      <c r="F19366" s="515" t="s">
        <v>20537</v>
      </c>
      <c r="G19366" s="52">
        <v>367312.97029423999</v>
      </c>
      <c r="H19366" s="56">
        <v>-2.9398440147859323E-2</v>
      </c>
      <c r="I19366" s="224" t="s">
        <v>2</v>
      </c>
    </row>
    <row r="19367" spans="1:9" x14ac:dyDescent="0.25">
      <c r="A19367" s="515">
        <v>89822</v>
      </c>
      <c r="B19367" s="515" t="s">
        <v>737</v>
      </c>
      <c r="C19367" s="52">
        <v>159178.81883915499</v>
      </c>
      <c r="D19367" s="56">
        <v>-6.1709240807265716E-3</v>
      </c>
      <c r="E19367" s="224" t="s">
        <v>2</v>
      </c>
      <c r="F19367" s="515" t="s">
        <v>20538</v>
      </c>
      <c r="G19367" s="52">
        <v>78006.373152389002</v>
      </c>
      <c r="H19367" s="56">
        <v>5.8010729996699692E-2</v>
      </c>
      <c r="I19367" s="224" t="s">
        <v>2</v>
      </c>
    </row>
    <row r="19368" spans="1:9" x14ac:dyDescent="0.25">
      <c r="A19368" s="515">
        <v>37318</v>
      </c>
      <c r="B19368" s="515" t="s">
        <v>977</v>
      </c>
      <c r="C19368" s="52">
        <v>157506.74367298</v>
      </c>
      <c r="D19368" s="56">
        <v>0.13489103187575444</v>
      </c>
      <c r="E19368" s="224" t="s">
        <v>2</v>
      </c>
      <c r="F19368" s="515" t="s">
        <v>20539</v>
      </c>
      <c r="G19368" s="52">
        <v>162913.77395766799</v>
      </c>
      <c r="H19368" s="56">
        <v>3.7907620352197025E-2</v>
      </c>
      <c r="I19368" s="224" t="s">
        <v>2</v>
      </c>
    </row>
    <row r="19369" spans="1:9" x14ac:dyDescent="0.25">
      <c r="A19369" s="515">
        <v>55983</v>
      </c>
      <c r="B19369" s="515" t="s">
        <v>663</v>
      </c>
      <c r="C19369" s="52">
        <v>268192.60727138398</v>
      </c>
      <c r="D19369" s="56">
        <v>5.2845157982018658E-2</v>
      </c>
      <c r="E19369" s="224" t="s">
        <v>2</v>
      </c>
      <c r="F19369" s="515" t="s">
        <v>20540</v>
      </c>
      <c r="G19369" s="52">
        <v>81437.201711734699</v>
      </c>
      <c r="H19369" s="56">
        <v>6.5872799467395479E-2</v>
      </c>
      <c r="I19369" s="224" t="s">
        <v>2</v>
      </c>
    </row>
    <row r="19370" spans="1:9" x14ac:dyDescent="0.25">
      <c r="A19370" s="515">
        <v>42202</v>
      </c>
      <c r="C19370" s="52">
        <v>142267.00369139799</v>
      </c>
      <c r="D19370" s="56">
        <v>0.16917183587634377</v>
      </c>
      <c r="E19370" s="224" t="s">
        <v>2</v>
      </c>
      <c r="F19370" s="515" t="s">
        <v>20541</v>
      </c>
      <c r="G19370" s="52">
        <v>263675.76076406002</v>
      </c>
      <c r="H19370" s="56">
        <v>0.10298238111251441</v>
      </c>
      <c r="I19370" s="224" t="s">
        <v>2</v>
      </c>
    </row>
    <row r="19371" spans="1:9" x14ac:dyDescent="0.25">
      <c r="A19371" s="515">
        <v>62824</v>
      </c>
      <c r="C19371" s="52">
        <v>59567.5713135267</v>
      </c>
      <c r="D19371" s="56">
        <v>3.5515326041964813E-2</v>
      </c>
      <c r="E19371" s="224" t="s">
        <v>2</v>
      </c>
      <c r="F19371" s="515" t="s">
        <v>20542</v>
      </c>
      <c r="G19371" s="52">
        <v>550366.47671768197</v>
      </c>
      <c r="H19371" s="56">
        <v>4.2831178212359641E-2</v>
      </c>
      <c r="I19371" s="224" t="s">
        <v>2</v>
      </c>
    </row>
    <row r="19372" spans="1:9" x14ac:dyDescent="0.25">
      <c r="A19372" s="515">
        <v>68371</v>
      </c>
      <c r="C19372" s="52">
        <v>207789.54668819299</v>
      </c>
      <c r="D19372" s="56">
        <v>6.6463072765311521E-2</v>
      </c>
      <c r="E19372" s="224" t="s">
        <v>2</v>
      </c>
      <c r="F19372" s="515" t="s">
        <v>20543</v>
      </c>
      <c r="G19372" s="52">
        <v>188721.40872662401</v>
      </c>
      <c r="H19372" s="56">
        <v>0.10882908685478367</v>
      </c>
      <c r="I19372" s="224" t="s">
        <v>2</v>
      </c>
    </row>
    <row r="19373" spans="1:9" x14ac:dyDescent="0.25">
      <c r="A19373" s="515">
        <v>43534</v>
      </c>
      <c r="C19373" s="52">
        <v>136813.42109973499</v>
      </c>
      <c r="D19373" s="56">
        <v>3.7275652293339012E-2</v>
      </c>
      <c r="E19373" s="224" t="s">
        <v>2</v>
      </c>
      <c r="F19373" s="515" t="s">
        <v>20544</v>
      </c>
      <c r="G19373" s="52">
        <v>226697.02947223801</v>
      </c>
      <c r="H19373" s="56">
        <v>9.2026589353831692E-2</v>
      </c>
      <c r="I19373" s="224" t="s">
        <v>2</v>
      </c>
    </row>
    <row r="19374" spans="1:9" x14ac:dyDescent="0.25">
      <c r="A19374" s="515">
        <v>60958</v>
      </c>
      <c r="B19374" s="515" t="s">
        <v>774</v>
      </c>
      <c r="C19374" s="52">
        <v>55824.565659499902</v>
      </c>
      <c r="D19374" s="56">
        <v>0.15462044624849453</v>
      </c>
      <c r="E19374" s="224" t="s">
        <v>2</v>
      </c>
      <c r="F19374" s="515" t="s">
        <v>20545</v>
      </c>
      <c r="G19374" s="52">
        <v>158846.81800106101</v>
      </c>
      <c r="H19374" s="56">
        <v>1.3108442117936502E-2</v>
      </c>
      <c r="I19374" s="224" t="s">
        <v>2</v>
      </c>
    </row>
    <row r="19375" spans="1:9" x14ac:dyDescent="0.25">
      <c r="A19375" s="515">
        <v>30441</v>
      </c>
      <c r="C19375" s="52">
        <v>109117.758694848</v>
      </c>
      <c r="D19375" s="56">
        <v>9.3176589803973628E-2</v>
      </c>
      <c r="E19375" s="224" t="s">
        <v>2</v>
      </c>
      <c r="F19375" s="515" t="s">
        <v>20546</v>
      </c>
      <c r="G19375" s="52">
        <v>144973.635060156</v>
      </c>
      <c r="H19375" s="56">
        <v>3.1172267565688475E-2</v>
      </c>
      <c r="I19375" s="224" t="s">
        <v>2</v>
      </c>
    </row>
    <row r="19376" spans="1:9" x14ac:dyDescent="0.25">
      <c r="A19376" s="515">
        <v>49656</v>
      </c>
      <c r="C19376" s="52">
        <v>116179.435885714</v>
      </c>
      <c r="D19376" s="56">
        <v>0.13170922519095618</v>
      </c>
      <c r="E19376" s="224" t="s">
        <v>2</v>
      </c>
      <c r="F19376" s="515" t="s">
        <v>20547</v>
      </c>
      <c r="G19376" s="52">
        <v>183213.099421533</v>
      </c>
      <c r="H19376" s="56">
        <v>0</v>
      </c>
      <c r="I19376" s="224" t="s">
        <v>2</v>
      </c>
    </row>
    <row r="19377" spans="1:9" x14ac:dyDescent="0.25">
      <c r="A19377" s="515">
        <v>23867</v>
      </c>
      <c r="C19377" s="52">
        <v>136372.09880946201</v>
      </c>
      <c r="D19377" s="56">
        <v>0.11798637545057832</v>
      </c>
      <c r="E19377" s="224" t="s">
        <v>2</v>
      </c>
      <c r="F19377" s="515" t="s">
        <v>20548</v>
      </c>
      <c r="G19377" s="52">
        <v>190820.87096774101</v>
      </c>
      <c r="H19377" s="56">
        <v>0</v>
      </c>
      <c r="I19377" s="224" t="s">
        <v>2</v>
      </c>
    </row>
    <row r="19378" spans="1:9" x14ac:dyDescent="0.25">
      <c r="A19378" s="515">
        <v>12974</v>
      </c>
      <c r="C19378" s="52">
        <v>132784.54078393101</v>
      </c>
      <c r="D19378" s="56">
        <v>0.12357588638070445</v>
      </c>
      <c r="E19378" s="224" t="s">
        <v>2</v>
      </c>
      <c r="F19378" s="515" t="s">
        <v>20549</v>
      </c>
      <c r="G19378" s="52">
        <v>121015.012573328</v>
      </c>
      <c r="H19378" s="56">
        <v>0</v>
      </c>
      <c r="I19378" s="224" t="s">
        <v>2</v>
      </c>
    </row>
    <row r="19379" spans="1:9" x14ac:dyDescent="0.25">
      <c r="A19379" s="515">
        <v>60512</v>
      </c>
      <c r="B19379" s="515" t="s">
        <v>394</v>
      </c>
      <c r="C19379" s="52">
        <v>316686.16586066002</v>
      </c>
      <c r="D19379" s="56">
        <v>5.3094896013601983E-2</v>
      </c>
      <c r="E19379" s="224" t="s">
        <v>2</v>
      </c>
      <c r="F19379" s="515" t="s">
        <v>20550</v>
      </c>
      <c r="G19379" s="52">
        <v>184023.61923832801</v>
      </c>
      <c r="H19379" s="56">
        <v>8.9455988373923351E-2</v>
      </c>
      <c r="I19379" s="224" t="s">
        <v>2</v>
      </c>
    </row>
    <row r="19380" spans="1:9" x14ac:dyDescent="0.25">
      <c r="A19380" s="515">
        <v>24874</v>
      </c>
      <c r="C19380" s="52">
        <v>49991.243184527098</v>
      </c>
      <c r="D19380" s="56">
        <v>3.1791722878828921E-2</v>
      </c>
      <c r="E19380" s="224" t="s">
        <v>2</v>
      </c>
      <c r="F19380" s="515" t="s">
        <v>20551</v>
      </c>
      <c r="G19380" s="52">
        <v>107710.185590604</v>
      </c>
      <c r="H19380" s="56">
        <v>-2.1384468726078538E-2</v>
      </c>
      <c r="I19380" s="224" t="s">
        <v>2</v>
      </c>
    </row>
    <row r="19381" spans="1:9" x14ac:dyDescent="0.25">
      <c r="A19381" s="515">
        <v>54750</v>
      </c>
      <c r="B19381" s="515" t="s">
        <v>532</v>
      </c>
      <c r="C19381" s="52">
        <v>267842.26307518699</v>
      </c>
      <c r="D19381" s="56">
        <v>6.3293157615607221E-2</v>
      </c>
      <c r="E19381" s="224" t="s">
        <v>2</v>
      </c>
      <c r="F19381" s="515" t="s">
        <v>20552</v>
      </c>
      <c r="G19381" s="52">
        <v>129742.363154513</v>
      </c>
      <c r="H19381" s="56">
        <v>0</v>
      </c>
      <c r="I19381" s="224" t="s">
        <v>2</v>
      </c>
    </row>
    <row r="19382" spans="1:9" x14ac:dyDescent="0.25">
      <c r="A19382" s="515">
        <v>5674</v>
      </c>
      <c r="B19382" s="515" t="s">
        <v>945</v>
      </c>
      <c r="C19382" s="52">
        <v>373148.15625817102</v>
      </c>
      <c r="D19382" s="56">
        <v>7.6367143890773509E-2</v>
      </c>
      <c r="E19382" s="224" t="s">
        <v>2</v>
      </c>
      <c r="F19382" s="515" t="s">
        <v>20553</v>
      </c>
      <c r="G19382" s="52">
        <v>123181.70765695399</v>
      </c>
      <c r="H19382" s="56">
        <v>0.11074613626248138</v>
      </c>
      <c r="I19382" s="224" t="s">
        <v>2</v>
      </c>
    </row>
    <row r="19383" spans="1:9" x14ac:dyDescent="0.25">
      <c r="A19383" s="515">
        <v>47649</v>
      </c>
      <c r="C19383" s="52">
        <v>148631.81068188301</v>
      </c>
      <c r="D19383" s="56">
        <v>3.9537541162961348E-2</v>
      </c>
      <c r="E19383" s="224" t="s">
        <v>2</v>
      </c>
      <c r="F19383" s="515" t="s">
        <v>20554</v>
      </c>
      <c r="G19383" s="52">
        <v>157267.03917357701</v>
      </c>
      <c r="H19383" s="56">
        <v>8.5326932698137875E-2</v>
      </c>
      <c r="I19383" s="224" t="s">
        <v>2</v>
      </c>
    </row>
    <row r="19384" spans="1:9" x14ac:dyDescent="0.25">
      <c r="A19384" s="515">
        <v>46745</v>
      </c>
      <c r="B19384" s="515" t="s">
        <v>1031</v>
      </c>
      <c r="C19384" s="52">
        <v>247915.280469055</v>
      </c>
      <c r="D19384" s="56">
        <v>9.2827458023155437E-2</v>
      </c>
      <c r="E19384" s="224" t="s">
        <v>2</v>
      </c>
      <c r="F19384" s="515" t="s">
        <v>20555</v>
      </c>
      <c r="G19384" s="52">
        <v>152933.814762436</v>
      </c>
      <c r="H19384" s="56">
        <v>8.4611057320107846E-2</v>
      </c>
      <c r="I19384" s="224" t="s">
        <v>2</v>
      </c>
    </row>
    <row r="19385" spans="1:9" x14ac:dyDescent="0.25">
      <c r="A19385" s="515">
        <v>3816</v>
      </c>
      <c r="C19385" s="52">
        <v>455937.05995370098</v>
      </c>
      <c r="D19385" s="56">
        <v>0.10820009206576905</v>
      </c>
      <c r="E19385" s="224" t="s">
        <v>2</v>
      </c>
      <c r="F19385" s="515" t="s">
        <v>20556</v>
      </c>
      <c r="G19385" s="52">
        <v>245516.448128113</v>
      </c>
      <c r="H19385" s="56">
        <v>5.6199040115775818E-2</v>
      </c>
      <c r="I19385" s="224" t="s">
        <v>2</v>
      </c>
    </row>
    <row r="19386" spans="1:9" x14ac:dyDescent="0.25">
      <c r="A19386" s="515">
        <v>49747</v>
      </c>
      <c r="B19386" s="515" t="s">
        <v>912</v>
      </c>
      <c r="C19386" s="52">
        <v>170845.44640195201</v>
      </c>
      <c r="D19386" s="56">
        <v>3.7305046211260108E-2</v>
      </c>
      <c r="E19386" s="224" t="s">
        <v>2</v>
      </c>
      <c r="F19386" s="515" t="s">
        <v>20557</v>
      </c>
      <c r="G19386" s="52">
        <v>137234.115485666</v>
      </c>
      <c r="H19386" s="56">
        <v>7.0075732601714666E-2</v>
      </c>
      <c r="I19386" s="224" t="s">
        <v>2</v>
      </c>
    </row>
    <row r="19387" spans="1:9" x14ac:dyDescent="0.25">
      <c r="A19387" s="515">
        <v>4943</v>
      </c>
      <c r="C19387" s="52">
        <v>159682.43558709699</v>
      </c>
      <c r="D19387" s="56">
        <v>0.12984423959339519</v>
      </c>
      <c r="E19387" s="224" t="s">
        <v>2</v>
      </c>
      <c r="F19387" s="515" t="s">
        <v>20558</v>
      </c>
      <c r="G19387" s="52">
        <v>90371.926229426695</v>
      </c>
      <c r="H19387" s="56">
        <v>0.11610286787197806</v>
      </c>
      <c r="I19387" s="224" t="s">
        <v>2</v>
      </c>
    </row>
    <row r="19388" spans="1:9" x14ac:dyDescent="0.25">
      <c r="A19388" s="515">
        <v>5151</v>
      </c>
      <c r="B19388" s="515" t="s">
        <v>420</v>
      </c>
      <c r="C19388" s="52">
        <v>281106.66407588799</v>
      </c>
      <c r="D19388" s="56">
        <v>0.10093960544192657</v>
      </c>
      <c r="E19388" s="224" t="s">
        <v>2</v>
      </c>
      <c r="F19388" s="515" t="s">
        <v>20559</v>
      </c>
      <c r="G19388" s="52">
        <v>205597.09949516601</v>
      </c>
      <c r="H19388" s="56">
        <v>0.10647098762798556</v>
      </c>
      <c r="I19388" s="224" t="s">
        <v>2</v>
      </c>
    </row>
    <row r="19389" spans="1:9" x14ac:dyDescent="0.25">
      <c r="A19389" s="515">
        <v>83262</v>
      </c>
      <c r="B19389" s="515" t="s">
        <v>506</v>
      </c>
      <c r="C19389" s="52">
        <v>355805.40083144099</v>
      </c>
      <c r="D19389" s="56">
        <v>0</v>
      </c>
      <c r="E19389" s="224" t="s">
        <v>2</v>
      </c>
      <c r="F19389" s="515" t="s">
        <v>20560</v>
      </c>
      <c r="G19389" s="52">
        <v>92560.415487595499</v>
      </c>
      <c r="H19389" s="56">
        <v>0.14946181387035506</v>
      </c>
      <c r="I19389" s="224" t="s">
        <v>2</v>
      </c>
    </row>
    <row r="19390" spans="1:9" x14ac:dyDescent="0.25">
      <c r="A19390" s="515">
        <v>4920</v>
      </c>
      <c r="C19390" s="52">
        <v>142255.89516826801</v>
      </c>
      <c r="D19390" s="56">
        <v>0.18317828240710224</v>
      </c>
      <c r="E19390" s="224" t="s">
        <v>2</v>
      </c>
      <c r="F19390" s="515" t="s">
        <v>20561</v>
      </c>
      <c r="G19390" s="52">
        <v>301867.12535822898</v>
      </c>
      <c r="H19390" s="56">
        <v>5.9342931834545018E-2</v>
      </c>
      <c r="I19390" s="224" t="s">
        <v>2</v>
      </c>
    </row>
    <row r="19391" spans="1:9" x14ac:dyDescent="0.25">
      <c r="A19391" s="515">
        <v>97465</v>
      </c>
      <c r="B19391" s="515" t="s">
        <v>614</v>
      </c>
      <c r="C19391" s="52">
        <v>362750.36567560001</v>
      </c>
      <c r="D19391" s="56">
        <v>4.7876329530961215E-2</v>
      </c>
      <c r="E19391" s="224" t="s">
        <v>2</v>
      </c>
      <c r="F19391" s="515" t="s">
        <v>20562</v>
      </c>
      <c r="G19391" s="52">
        <v>105045.834350155</v>
      </c>
      <c r="H19391" s="56">
        <v>0</v>
      </c>
      <c r="I19391" s="224" t="s">
        <v>2</v>
      </c>
    </row>
    <row r="19392" spans="1:9" x14ac:dyDescent="0.25">
      <c r="A19392" s="515">
        <v>37201</v>
      </c>
      <c r="B19392" s="515" t="s">
        <v>684</v>
      </c>
      <c r="C19392" s="52">
        <v>491514.54428491701</v>
      </c>
      <c r="D19392" s="56">
        <v>9.6325564666307747E-2</v>
      </c>
      <c r="E19392" s="224">
        <v>2143.1666666666601</v>
      </c>
      <c r="F19392" s="515" t="s">
        <v>20563</v>
      </c>
      <c r="G19392" s="52">
        <v>128927.01593965301</v>
      </c>
      <c r="H19392" s="56">
        <v>9.6659315761743789E-2</v>
      </c>
      <c r="I19392" s="224" t="s">
        <v>2</v>
      </c>
    </row>
    <row r="19393" spans="1:9" x14ac:dyDescent="0.25">
      <c r="A19393" s="515">
        <v>32461</v>
      </c>
      <c r="B19393" s="515" t="s">
        <v>1078</v>
      </c>
      <c r="C19393" s="52">
        <v>1466507.3558235201</v>
      </c>
      <c r="D19393" s="56">
        <v>0.14655870911133628</v>
      </c>
      <c r="E19393" s="224" t="s">
        <v>2</v>
      </c>
      <c r="F19393" s="515" t="s">
        <v>20564</v>
      </c>
      <c r="G19393" s="52">
        <v>73253.769911504394</v>
      </c>
      <c r="H19393" s="56">
        <v>0</v>
      </c>
      <c r="I19393" s="224" t="s">
        <v>2</v>
      </c>
    </row>
    <row r="19394" spans="1:9" x14ac:dyDescent="0.25">
      <c r="A19394" s="515">
        <v>63769</v>
      </c>
      <c r="B19394" s="515" t="s">
        <v>424</v>
      </c>
      <c r="C19394" s="52">
        <v>211939.24862660901</v>
      </c>
      <c r="D19394" s="56">
        <v>0.10328985221340667</v>
      </c>
      <c r="E19394" s="224" t="s">
        <v>2</v>
      </c>
      <c r="F19394" s="515" t="s">
        <v>20565</v>
      </c>
      <c r="G19394" s="52">
        <v>305984.415784652</v>
      </c>
      <c r="H19394" s="56">
        <v>0.16332777926486289</v>
      </c>
      <c r="I19394" s="224" t="s">
        <v>2</v>
      </c>
    </row>
    <row r="19395" spans="1:9" x14ac:dyDescent="0.25">
      <c r="A19395" s="515">
        <v>76690</v>
      </c>
      <c r="C19395" s="52">
        <v>175510.49521229</v>
      </c>
      <c r="D19395" s="56">
        <v>-2.1027420913833643E-3</v>
      </c>
      <c r="E19395" s="224" t="s">
        <v>2</v>
      </c>
      <c r="F19395" s="515" t="s">
        <v>20566</v>
      </c>
      <c r="G19395" s="52">
        <v>154996.72556959101</v>
      </c>
      <c r="H19395" s="56">
        <v>0</v>
      </c>
      <c r="I19395" s="224" t="s">
        <v>2</v>
      </c>
    </row>
    <row r="19396" spans="1:9" x14ac:dyDescent="0.25">
      <c r="A19396" s="515">
        <v>54896</v>
      </c>
      <c r="C19396" s="52">
        <v>193843.43794333999</v>
      </c>
      <c r="D19396" s="56">
        <v>0.12123390569611785</v>
      </c>
      <c r="E19396" s="224" t="s">
        <v>2</v>
      </c>
      <c r="F19396" s="515" t="s">
        <v>20567</v>
      </c>
      <c r="G19396" s="52">
        <v>94189.634842327097</v>
      </c>
      <c r="H19396" s="56">
        <v>0</v>
      </c>
      <c r="I19396" s="224" t="s">
        <v>2</v>
      </c>
    </row>
    <row r="19397" spans="1:9" x14ac:dyDescent="0.25">
      <c r="A19397" s="515">
        <v>54627</v>
      </c>
      <c r="C19397" s="52">
        <v>223154.79833353599</v>
      </c>
      <c r="D19397" s="56">
        <v>1.9423409811847355E-3</v>
      </c>
      <c r="E19397" s="224" t="s">
        <v>2</v>
      </c>
      <c r="F19397" s="515" t="s">
        <v>20568</v>
      </c>
      <c r="G19397" s="52">
        <v>225580.45698327001</v>
      </c>
      <c r="H19397" s="56">
        <v>6.0201938209199342E-2</v>
      </c>
      <c r="I19397" s="224" t="s">
        <v>2</v>
      </c>
    </row>
    <row r="19398" spans="1:9" x14ac:dyDescent="0.25">
      <c r="A19398" s="515">
        <v>23937</v>
      </c>
      <c r="C19398" s="52">
        <v>118673.849056405</v>
      </c>
      <c r="D19398" s="56">
        <v>4.2274401630800536E-3</v>
      </c>
      <c r="E19398" s="224" t="s">
        <v>2</v>
      </c>
      <c r="F19398" s="515" t="s">
        <v>20569</v>
      </c>
      <c r="G19398" s="52">
        <v>196182.35756421901</v>
      </c>
      <c r="H19398" s="56">
        <v>0</v>
      </c>
      <c r="I19398" s="224" t="s">
        <v>2</v>
      </c>
    </row>
    <row r="19399" spans="1:9" x14ac:dyDescent="0.25">
      <c r="A19399" s="515">
        <v>17518</v>
      </c>
      <c r="B19399" s="515" t="s">
        <v>537</v>
      </c>
      <c r="C19399" s="52">
        <v>377765.535900107</v>
      </c>
      <c r="D19399" s="56">
        <v>8.7502323991541703E-2</v>
      </c>
      <c r="E19399" s="224" t="s">
        <v>2</v>
      </c>
      <c r="F19399" s="515" t="s">
        <v>20570</v>
      </c>
      <c r="G19399" s="52">
        <v>95863.717981885595</v>
      </c>
      <c r="H19399" s="56">
        <v>0.17641661707835052</v>
      </c>
      <c r="I19399" s="224" t="s">
        <v>2</v>
      </c>
    </row>
    <row r="19400" spans="1:9" x14ac:dyDescent="0.25">
      <c r="A19400" s="515">
        <v>49309</v>
      </c>
      <c r="C19400" s="52">
        <v>110565.71073331599</v>
      </c>
      <c r="D19400" s="56">
        <v>0.10297656613805389</v>
      </c>
      <c r="E19400" s="224" t="s">
        <v>2</v>
      </c>
      <c r="F19400" s="515" t="s">
        <v>20571</v>
      </c>
      <c r="G19400" s="52">
        <v>120779.464593393</v>
      </c>
      <c r="H19400" s="56">
        <v>0</v>
      </c>
      <c r="I19400" s="224" t="s">
        <v>2</v>
      </c>
    </row>
    <row r="19401" spans="1:9" x14ac:dyDescent="0.25">
      <c r="A19401" s="515">
        <v>63359</v>
      </c>
      <c r="C19401" s="52">
        <v>196210.428792711</v>
      </c>
      <c r="D19401" s="56">
        <v>9.2173565703278296E-2</v>
      </c>
      <c r="E19401" s="224" t="s">
        <v>2</v>
      </c>
      <c r="F19401" s="515" t="s">
        <v>20572</v>
      </c>
      <c r="G19401" s="52">
        <v>382775.79971713398</v>
      </c>
      <c r="H19401" s="56">
        <v>0.12407187330152566</v>
      </c>
      <c r="I19401" s="224" t="s">
        <v>2</v>
      </c>
    </row>
    <row r="19402" spans="1:9" x14ac:dyDescent="0.25">
      <c r="A19402" s="515">
        <v>49884</v>
      </c>
      <c r="C19402" s="52">
        <v>140707.06306482101</v>
      </c>
      <c r="D19402" s="56">
        <v>9.0971806788233925E-2</v>
      </c>
      <c r="E19402" s="224" t="s">
        <v>2</v>
      </c>
      <c r="F19402" s="515" t="s">
        <v>20573</v>
      </c>
      <c r="G19402" s="52">
        <v>182623.57716984101</v>
      </c>
      <c r="H19402" s="56">
        <v>7.9941456297164315E-2</v>
      </c>
      <c r="I19402" s="224" t="s">
        <v>2</v>
      </c>
    </row>
    <row r="19403" spans="1:9" x14ac:dyDescent="0.25">
      <c r="A19403" s="515">
        <v>54754</v>
      </c>
      <c r="C19403" s="52">
        <v>166852.08872542201</v>
      </c>
      <c r="D19403" s="56">
        <v>6.5894828566401886E-2</v>
      </c>
      <c r="E19403" s="224" t="s">
        <v>2</v>
      </c>
      <c r="F19403" s="515" t="s">
        <v>20574</v>
      </c>
      <c r="G19403" s="52">
        <v>303237.32214053202</v>
      </c>
      <c r="H19403" s="56">
        <v>0.11184453377029126</v>
      </c>
      <c r="I19403" s="224" t="s">
        <v>2</v>
      </c>
    </row>
    <row r="19404" spans="1:9" x14ac:dyDescent="0.25">
      <c r="A19404" s="515">
        <v>54921</v>
      </c>
      <c r="C19404" s="52">
        <v>178628.071367895</v>
      </c>
      <c r="D19404" s="56">
        <v>5.447348789821628E-2</v>
      </c>
      <c r="E19404" s="224" t="s">
        <v>2</v>
      </c>
      <c r="F19404" s="515" t="s">
        <v>20575</v>
      </c>
      <c r="G19404" s="52">
        <v>117532.974823365</v>
      </c>
      <c r="H19404" s="56">
        <v>7.0834310351266097E-2</v>
      </c>
      <c r="I19404" s="224" t="s">
        <v>2</v>
      </c>
    </row>
    <row r="19405" spans="1:9" x14ac:dyDescent="0.25">
      <c r="A19405" s="515">
        <v>53006</v>
      </c>
      <c r="B19405" s="515" t="s">
        <v>955</v>
      </c>
      <c r="C19405" s="52">
        <v>275585.75130548602</v>
      </c>
      <c r="D19405" s="56">
        <v>3.5182066249516926E-2</v>
      </c>
      <c r="E19405" s="224" t="s">
        <v>2</v>
      </c>
      <c r="F19405" s="515" t="s">
        <v>20576</v>
      </c>
      <c r="G19405" s="52">
        <v>512436.73790868197</v>
      </c>
      <c r="H19405" s="56">
        <v>0.14222187253034738</v>
      </c>
      <c r="I19405" s="224" t="s">
        <v>2</v>
      </c>
    </row>
    <row r="19406" spans="1:9" x14ac:dyDescent="0.25">
      <c r="A19406" s="515">
        <v>15928</v>
      </c>
      <c r="B19406" s="515" t="s">
        <v>370</v>
      </c>
      <c r="C19406" s="52">
        <v>178000.533575173</v>
      </c>
      <c r="D19406" s="56">
        <v>5.8228587944947771E-2</v>
      </c>
      <c r="E19406" s="224" t="s">
        <v>2</v>
      </c>
      <c r="F19406" s="515" t="s">
        <v>20577</v>
      </c>
      <c r="G19406" s="52">
        <v>275931.553392081</v>
      </c>
      <c r="H19406" s="56">
        <v>6.6966550329326649E-2</v>
      </c>
      <c r="I19406" s="224" t="s">
        <v>2</v>
      </c>
    </row>
    <row r="19407" spans="1:9" x14ac:dyDescent="0.25">
      <c r="A19407" s="515">
        <v>55084</v>
      </c>
      <c r="B19407" s="515" t="s">
        <v>532</v>
      </c>
      <c r="C19407" s="52">
        <v>302164.93578321801</v>
      </c>
      <c r="D19407" s="56">
        <v>3.6753081895154464E-2</v>
      </c>
      <c r="E19407" s="224" t="s">
        <v>2</v>
      </c>
      <c r="F19407" s="515" t="s">
        <v>20578</v>
      </c>
      <c r="G19407" s="52">
        <v>205492.48404616301</v>
      </c>
      <c r="H19407" s="56">
        <v>0.25512337404077701</v>
      </c>
      <c r="I19407" s="224" t="s">
        <v>2</v>
      </c>
    </row>
    <row r="19408" spans="1:9" x14ac:dyDescent="0.25">
      <c r="A19408" s="515">
        <v>50210</v>
      </c>
      <c r="B19408" s="515" t="s">
        <v>295</v>
      </c>
      <c r="C19408" s="52">
        <v>280428.22203908802</v>
      </c>
      <c r="D19408" s="56">
        <v>0.15878326537030849</v>
      </c>
      <c r="E19408" s="224" t="s">
        <v>2</v>
      </c>
      <c r="F19408" s="515" t="s">
        <v>20579</v>
      </c>
      <c r="G19408" s="52">
        <v>128139.986484273</v>
      </c>
      <c r="H19408" s="56">
        <v>0.14029393691299019</v>
      </c>
      <c r="I19408" s="224" t="s">
        <v>2</v>
      </c>
    </row>
    <row r="19409" spans="1:9" x14ac:dyDescent="0.25">
      <c r="A19409" s="515">
        <v>30821</v>
      </c>
      <c r="C19409" s="52">
        <v>73581.599859434195</v>
      </c>
      <c r="D19409" s="56">
        <v>-4.0191516251488049E-2</v>
      </c>
      <c r="E19409" s="224" t="s">
        <v>2</v>
      </c>
      <c r="F19409" s="515" t="s">
        <v>20580</v>
      </c>
      <c r="G19409" s="52">
        <v>353380.91816174402</v>
      </c>
      <c r="H19409" s="56">
        <v>7.9794472844720646E-3</v>
      </c>
      <c r="I19409" s="224" t="s">
        <v>2</v>
      </c>
    </row>
    <row r="19410" spans="1:9" x14ac:dyDescent="0.25">
      <c r="A19410" s="515">
        <v>12168</v>
      </c>
      <c r="B19410" s="515" t="s">
        <v>609</v>
      </c>
      <c r="C19410" s="52">
        <v>266653.92469706602</v>
      </c>
      <c r="D19410" s="56">
        <v>8.8503386013157201E-2</v>
      </c>
      <c r="E19410" s="224" t="s">
        <v>2</v>
      </c>
      <c r="F19410" s="515" t="s">
        <v>20581</v>
      </c>
      <c r="G19410" s="52">
        <v>223321.43512552499</v>
      </c>
      <c r="H19410" s="56">
        <v>0</v>
      </c>
      <c r="I19410" s="224" t="s">
        <v>2</v>
      </c>
    </row>
    <row r="19411" spans="1:9" x14ac:dyDescent="0.25">
      <c r="A19411" s="515">
        <v>53926</v>
      </c>
      <c r="C19411" s="52">
        <v>188768.62778089699</v>
      </c>
      <c r="D19411" s="56">
        <v>8.9325249854156366E-2</v>
      </c>
      <c r="E19411" s="224" t="s">
        <v>2</v>
      </c>
      <c r="F19411" s="515" t="s">
        <v>20582</v>
      </c>
      <c r="G19411" s="52">
        <v>127737.59812670101</v>
      </c>
      <c r="H19411" s="56">
        <v>2.3132292010900009E-2</v>
      </c>
      <c r="I19411" s="224" t="s">
        <v>2</v>
      </c>
    </row>
    <row r="19412" spans="1:9" x14ac:dyDescent="0.25">
      <c r="A19412" s="515">
        <v>12496</v>
      </c>
      <c r="C19412" s="52">
        <v>435318.20789730799</v>
      </c>
      <c r="D19412" s="56">
        <v>9.920671748226742E-2</v>
      </c>
      <c r="E19412" s="224" t="s">
        <v>2</v>
      </c>
      <c r="F19412" s="515" t="s">
        <v>20583</v>
      </c>
      <c r="G19412" s="52">
        <v>202977.230164426</v>
      </c>
      <c r="H19412" s="56">
        <v>9.9771064957225347E-2</v>
      </c>
      <c r="I19412" s="224" t="s">
        <v>2</v>
      </c>
    </row>
    <row r="19413" spans="1:9" x14ac:dyDescent="0.25">
      <c r="A19413" s="515">
        <v>61379</v>
      </c>
      <c r="B19413" s="515" t="s">
        <v>556</v>
      </c>
      <c r="C19413" s="52">
        <v>95940.495603214105</v>
      </c>
      <c r="D19413" s="56">
        <v>7.4006195056081039E-2</v>
      </c>
      <c r="E19413" s="224" t="s">
        <v>2</v>
      </c>
      <c r="F19413" s="515" t="s">
        <v>20584</v>
      </c>
      <c r="G19413" s="52">
        <v>252807.32547579799</v>
      </c>
      <c r="H19413" s="56">
        <v>0.18191903179167643</v>
      </c>
      <c r="I19413" s="224" t="s">
        <v>2</v>
      </c>
    </row>
    <row r="19414" spans="1:9" x14ac:dyDescent="0.25">
      <c r="A19414" s="515">
        <v>44443</v>
      </c>
      <c r="B19414" s="515" t="s">
        <v>397</v>
      </c>
      <c r="C19414" s="52">
        <v>208848.565602652</v>
      </c>
      <c r="D19414" s="56">
        <v>0.10493288271932445</v>
      </c>
      <c r="E19414" s="224" t="s">
        <v>2</v>
      </c>
      <c r="F19414" s="515" t="s">
        <v>20585</v>
      </c>
      <c r="G19414" s="52">
        <v>145296.063397449</v>
      </c>
      <c r="H19414" s="56">
        <v>8.7558272666917514E-2</v>
      </c>
      <c r="I19414" s="224" t="s">
        <v>2</v>
      </c>
    </row>
    <row r="19415" spans="1:9" x14ac:dyDescent="0.25">
      <c r="A19415" s="515">
        <v>44854</v>
      </c>
      <c r="B19415" s="515" t="s">
        <v>516</v>
      </c>
      <c r="C19415" s="52">
        <v>134106.56127681601</v>
      </c>
      <c r="D19415" s="56">
        <v>7.9689867480129795E-2</v>
      </c>
      <c r="E19415" s="224" t="s">
        <v>2</v>
      </c>
      <c r="F19415" s="515" t="s">
        <v>20586</v>
      </c>
      <c r="G19415" s="52">
        <v>69769.8954674407</v>
      </c>
      <c r="H19415" s="56">
        <v>0.13562161574682002</v>
      </c>
      <c r="I19415" s="224" t="s">
        <v>2</v>
      </c>
    </row>
    <row r="19416" spans="1:9" x14ac:dyDescent="0.25">
      <c r="A19416" s="515">
        <v>10964</v>
      </c>
      <c r="B19416" s="515" t="s">
        <v>324</v>
      </c>
      <c r="C19416" s="52">
        <v>759658.99756191298</v>
      </c>
      <c r="D19416" s="56">
        <v>5.5364147444384317E-2</v>
      </c>
      <c r="E19416" s="224" t="s">
        <v>2</v>
      </c>
      <c r="F19416" s="515" t="s">
        <v>20587</v>
      </c>
      <c r="G19416" s="52">
        <v>101950.351172433</v>
      </c>
      <c r="H19416" s="56">
        <v>0.21147983332376305</v>
      </c>
      <c r="I19416" s="224" t="s">
        <v>2</v>
      </c>
    </row>
    <row r="19417" spans="1:9" x14ac:dyDescent="0.25">
      <c r="A19417" s="515">
        <v>24176</v>
      </c>
      <c r="B19417" s="515" t="s">
        <v>861</v>
      </c>
      <c r="C19417" s="52">
        <v>681677.55315145105</v>
      </c>
      <c r="D19417" s="56">
        <v>0.11104707760319732</v>
      </c>
      <c r="E19417" s="224" t="s">
        <v>2</v>
      </c>
      <c r="F19417" s="515" t="s">
        <v>20588</v>
      </c>
      <c r="G19417" s="52">
        <v>71414.721171751997</v>
      </c>
      <c r="H19417" s="56">
        <v>0.13123987750993432</v>
      </c>
      <c r="I19417" s="224" t="s">
        <v>2</v>
      </c>
    </row>
    <row r="19418" spans="1:9" x14ac:dyDescent="0.25">
      <c r="A19418" s="515">
        <v>55049</v>
      </c>
      <c r="B19418" s="515" t="s">
        <v>1077</v>
      </c>
      <c r="C19418" s="52">
        <v>258566.752024724</v>
      </c>
      <c r="D19418" s="56">
        <v>6.4890274680684742E-2</v>
      </c>
      <c r="E19418" s="224" t="s">
        <v>2</v>
      </c>
      <c r="F19418" s="515" t="s">
        <v>20589</v>
      </c>
      <c r="G19418" s="52">
        <v>286229.39990446798</v>
      </c>
      <c r="H19418" s="56">
        <v>0</v>
      </c>
      <c r="I19418" s="224" t="s">
        <v>2</v>
      </c>
    </row>
    <row r="19419" spans="1:9" x14ac:dyDescent="0.25">
      <c r="A19419" s="515">
        <v>49769</v>
      </c>
      <c r="C19419" s="52">
        <v>165317.97442025199</v>
      </c>
      <c r="D19419" s="56">
        <v>2.152032776117636E-2</v>
      </c>
      <c r="E19419" s="224" t="s">
        <v>2</v>
      </c>
      <c r="F19419" s="515" t="s">
        <v>20590</v>
      </c>
      <c r="G19419" s="52">
        <v>188341.42481643599</v>
      </c>
      <c r="H19419" s="56">
        <v>7.1249172673668787E-2</v>
      </c>
      <c r="I19419" s="224" t="s">
        <v>2</v>
      </c>
    </row>
    <row r="19420" spans="1:9" x14ac:dyDescent="0.25">
      <c r="A19420" s="515">
        <v>82939</v>
      </c>
      <c r="B19420" s="515" t="s">
        <v>887</v>
      </c>
      <c r="C19420" s="52">
        <v>284413.17293672601</v>
      </c>
      <c r="D19420" s="56">
        <v>0.11052713931234709</v>
      </c>
      <c r="E19420" s="224" t="s">
        <v>2</v>
      </c>
      <c r="F19420" s="515" t="s">
        <v>20591</v>
      </c>
      <c r="G19420" s="52">
        <v>310702.17795130902</v>
      </c>
      <c r="H19420" s="56">
        <v>9.8780969839716889E-2</v>
      </c>
      <c r="I19420" s="224" t="s">
        <v>2</v>
      </c>
    </row>
    <row r="19421" spans="1:9" x14ac:dyDescent="0.25">
      <c r="A19421" s="515">
        <v>23942</v>
      </c>
      <c r="C19421" s="52">
        <v>149704.96302168601</v>
      </c>
      <c r="D19421" s="56">
        <v>1.2564587182906853E-2</v>
      </c>
      <c r="E19421" s="224" t="s">
        <v>2</v>
      </c>
      <c r="F19421" s="515" t="s">
        <v>20592</v>
      </c>
      <c r="G19421" s="52">
        <v>200922.44049522901</v>
      </c>
      <c r="H19421" s="56">
        <v>0</v>
      </c>
      <c r="I19421" s="224" t="s">
        <v>2</v>
      </c>
    </row>
    <row r="19422" spans="1:9" x14ac:dyDescent="0.25">
      <c r="A19422" s="515">
        <v>12941</v>
      </c>
      <c r="C19422" s="52">
        <v>249881.922878249</v>
      </c>
      <c r="D19422" s="56">
        <v>0.18904289767071786</v>
      </c>
      <c r="E19422" s="224" t="s">
        <v>2</v>
      </c>
      <c r="F19422" s="515" t="s">
        <v>20593</v>
      </c>
      <c r="G19422" s="52">
        <v>227677.76096971901</v>
      </c>
      <c r="H19422" s="56">
        <v>0</v>
      </c>
      <c r="I19422" s="224" t="s">
        <v>2</v>
      </c>
    </row>
    <row r="19423" spans="1:9" x14ac:dyDescent="0.25">
      <c r="A19423" s="515">
        <v>23359</v>
      </c>
      <c r="C19423" s="52">
        <v>120367.029629629</v>
      </c>
      <c r="D19423" s="56">
        <v>0</v>
      </c>
      <c r="E19423" s="224" t="s">
        <v>2</v>
      </c>
      <c r="F19423" s="515" t="s">
        <v>20594</v>
      </c>
      <c r="G19423" s="52">
        <v>96676.110695722702</v>
      </c>
      <c r="H19423" s="56">
        <v>0.17580144464143313</v>
      </c>
      <c r="I19423" s="224" t="s">
        <v>2</v>
      </c>
    </row>
    <row r="19424" spans="1:9" x14ac:dyDescent="0.25">
      <c r="A19424" s="515">
        <v>42286</v>
      </c>
      <c r="C19424" s="52">
        <v>215867.920332232</v>
      </c>
      <c r="D19424" s="56">
        <v>0.1357066297601833</v>
      </c>
      <c r="E19424" s="224" t="s">
        <v>2</v>
      </c>
      <c r="F19424" s="515" t="s">
        <v>20595</v>
      </c>
      <c r="G19424" s="52">
        <v>266490.24079996702</v>
      </c>
      <c r="H19424" s="56">
        <v>0</v>
      </c>
      <c r="I19424" s="224" t="s">
        <v>2</v>
      </c>
    </row>
    <row r="19425" spans="1:9" x14ac:dyDescent="0.25">
      <c r="A19425" s="515">
        <v>34762</v>
      </c>
      <c r="B19425" s="515" t="s">
        <v>517</v>
      </c>
      <c r="C19425" s="52">
        <v>232929.98400752401</v>
      </c>
      <c r="D19425" s="56">
        <v>0.19846818847266626</v>
      </c>
      <c r="E19425" s="224" t="s">
        <v>2</v>
      </c>
      <c r="F19425" s="515" t="s">
        <v>20596</v>
      </c>
      <c r="G19425" s="52">
        <v>258799.81421195701</v>
      </c>
      <c r="H19425" s="56">
        <v>6.9365070807493392E-2</v>
      </c>
      <c r="I19425" s="224" t="s">
        <v>2</v>
      </c>
    </row>
    <row r="19426" spans="1:9" x14ac:dyDescent="0.25">
      <c r="A19426" s="515">
        <v>6039</v>
      </c>
      <c r="B19426" s="515" t="s">
        <v>559</v>
      </c>
      <c r="C19426" s="52">
        <v>703313.21264145896</v>
      </c>
      <c r="D19426" s="56">
        <v>0.11610885948876097</v>
      </c>
      <c r="E19426" s="224" t="s">
        <v>2</v>
      </c>
      <c r="F19426" s="515" t="s">
        <v>20597</v>
      </c>
      <c r="G19426" s="52">
        <v>52439.224480701603</v>
      </c>
      <c r="H19426" s="56">
        <v>4.017239089797707E-2</v>
      </c>
      <c r="I19426" s="224" t="s">
        <v>2</v>
      </c>
    </row>
    <row r="19427" spans="1:9" x14ac:dyDescent="0.25">
      <c r="A19427" s="515">
        <v>4069</v>
      </c>
      <c r="B19427" s="515" t="s">
        <v>570</v>
      </c>
      <c r="C19427" s="52">
        <v>476545.97238028201</v>
      </c>
      <c r="D19427" s="56">
        <v>-1.9108230814363854E-2</v>
      </c>
      <c r="E19427" s="224" t="s">
        <v>2</v>
      </c>
      <c r="F19427" s="515" t="s">
        <v>20598</v>
      </c>
      <c r="G19427" s="52">
        <v>139247.01381417099</v>
      </c>
      <c r="H19427" s="56">
        <v>4.2404361857990923E-2</v>
      </c>
      <c r="I19427" s="224" t="s">
        <v>2</v>
      </c>
    </row>
    <row r="19428" spans="1:9" x14ac:dyDescent="0.25">
      <c r="A19428" s="515">
        <v>55910</v>
      </c>
      <c r="B19428" s="515" t="s">
        <v>875</v>
      </c>
      <c r="C19428" s="52">
        <v>258167.797593998</v>
      </c>
      <c r="D19428" s="56">
        <v>0.12464689291745577</v>
      </c>
      <c r="E19428" s="224" t="s">
        <v>2</v>
      </c>
      <c r="F19428" s="515" t="s">
        <v>20599</v>
      </c>
      <c r="G19428" s="52">
        <v>111256.550707569</v>
      </c>
      <c r="H19428" s="56">
        <v>8.2411941748521858E-2</v>
      </c>
      <c r="I19428" s="224" t="s">
        <v>2</v>
      </c>
    </row>
    <row r="19429" spans="1:9" x14ac:dyDescent="0.25">
      <c r="A19429" s="515">
        <v>99159</v>
      </c>
      <c r="C19429" s="52">
        <v>199967.66676311599</v>
      </c>
      <c r="D19429" s="56">
        <v>0.15946714566185047</v>
      </c>
      <c r="E19429" s="224" t="s">
        <v>2</v>
      </c>
      <c r="F19429" s="515" t="s">
        <v>20600</v>
      </c>
      <c r="G19429" s="52">
        <v>293055.54327120102</v>
      </c>
      <c r="H19429" s="56">
        <v>1.3567353778207499E-2</v>
      </c>
      <c r="I19429" s="224" t="s">
        <v>2</v>
      </c>
    </row>
    <row r="19430" spans="1:9" x14ac:dyDescent="0.25">
      <c r="A19430" s="515">
        <v>97826</v>
      </c>
      <c r="B19430" s="515" t="s">
        <v>733</v>
      </c>
      <c r="C19430" s="52">
        <v>283848.16357136902</v>
      </c>
      <c r="D19430" s="56">
        <v>5.0839634384726516E-2</v>
      </c>
      <c r="E19430" s="224" t="s">
        <v>2</v>
      </c>
      <c r="F19430" s="515" t="s">
        <v>20601</v>
      </c>
      <c r="G19430" s="52">
        <v>110743.722410275</v>
      </c>
      <c r="H19430" s="56">
        <v>0.10348300683541782</v>
      </c>
      <c r="I19430" s="224" t="s">
        <v>2</v>
      </c>
    </row>
    <row r="19431" spans="1:9" x14ac:dyDescent="0.25">
      <c r="A19431" s="515">
        <v>48731</v>
      </c>
      <c r="C19431" s="52">
        <v>111519.70042435</v>
      </c>
      <c r="D19431" s="56">
        <v>5.5253833593118069E-3</v>
      </c>
      <c r="E19431" s="224" t="s">
        <v>2</v>
      </c>
      <c r="F19431" s="515" t="s">
        <v>20602</v>
      </c>
      <c r="G19431" s="52">
        <v>72753.444444444394</v>
      </c>
      <c r="H19431" s="56">
        <v>0</v>
      </c>
      <c r="I19431" s="224" t="s">
        <v>2</v>
      </c>
    </row>
    <row r="19432" spans="1:9" x14ac:dyDescent="0.25">
      <c r="A19432" s="515">
        <v>27916</v>
      </c>
      <c r="B19432" s="515" t="s">
        <v>301</v>
      </c>
      <c r="C19432" s="52">
        <v>370119.83454137202</v>
      </c>
      <c r="D19432" s="56">
        <v>0.12458093016249559</v>
      </c>
      <c r="E19432" s="224" t="s">
        <v>2</v>
      </c>
      <c r="F19432" s="515" t="s">
        <v>20603</v>
      </c>
      <c r="G19432" s="52">
        <v>405550.469627582</v>
      </c>
      <c r="H19432" s="56">
        <v>3.2193555576963587E-2</v>
      </c>
      <c r="I19432" s="224" t="s">
        <v>2</v>
      </c>
    </row>
    <row r="19433" spans="1:9" x14ac:dyDescent="0.25">
      <c r="A19433" s="515">
        <v>50621</v>
      </c>
      <c r="B19433" s="515" t="s">
        <v>315</v>
      </c>
      <c r="C19433" s="52">
        <v>179446.419769987</v>
      </c>
      <c r="D19433" s="56">
        <v>8.4902015214792639E-2</v>
      </c>
      <c r="E19433" s="224" t="s">
        <v>2</v>
      </c>
      <c r="F19433" s="515" t="s">
        <v>20604</v>
      </c>
      <c r="G19433" s="52">
        <v>140419.919256191</v>
      </c>
      <c r="H19433" s="56">
        <v>0</v>
      </c>
      <c r="I19433" s="224" t="s">
        <v>2</v>
      </c>
    </row>
    <row r="19434" spans="1:9" x14ac:dyDescent="0.25">
      <c r="A19434" s="515">
        <v>74570</v>
      </c>
      <c r="B19434" s="515" t="s">
        <v>451</v>
      </c>
      <c r="C19434" s="52">
        <v>159464.509579531</v>
      </c>
      <c r="D19434" s="56">
        <v>5.8408396706737531E-2</v>
      </c>
      <c r="E19434" s="224" t="s">
        <v>2</v>
      </c>
      <c r="F19434" s="515" t="s">
        <v>20605</v>
      </c>
      <c r="G19434" s="52">
        <v>539850.96891082602</v>
      </c>
      <c r="H19434" s="56">
        <v>5.7271441222656413E-2</v>
      </c>
      <c r="I19434" s="224" t="s">
        <v>2</v>
      </c>
    </row>
    <row r="19435" spans="1:9" x14ac:dyDescent="0.25">
      <c r="A19435" s="515">
        <v>23921</v>
      </c>
      <c r="C19435" s="52">
        <v>159999.99109536901</v>
      </c>
      <c r="D19435" s="56">
        <v>0</v>
      </c>
      <c r="E19435" s="224" t="s">
        <v>2</v>
      </c>
      <c r="F19435" s="515" t="s">
        <v>20606</v>
      </c>
      <c r="G19435" s="52">
        <v>95009.608584246802</v>
      </c>
      <c r="H19435" s="56">
        <v>4.0187803383996308E-2</v>
      </c>
      <c r="I19435" s="224" t="s">
        <v>2</v>
      </c>
    </row>
    <row r="19436" spans="1:9" x14ac:dyDescent="0.25">
      <c r="A19436" s="515">
        <v>22742</v>
      </c>
      <c r="B19436" s="515" t="s">
        <v>321</v>
      </c>
      <c r="C19436" s="52">
        <v>436226.46339068201</v>
      </c>
      <c r="D19436" s="56">
        <v>3.9464693721659665E-2</v>
      </c>
      <c r="E19436" s="224" t="s">
        <v>2</v>
      </c>
      <c r="F19436" s="515" t="s">
        <v>20607</v>
      </c>
      <c r="G19436" s="52">
        <v>41139.729653292998</v>
      </c>
      <c r="H19436" s="56">
        <v>0</v>
      </c>
      <c r="I19436" s="224" t="s">
        <v>2</v>
      </c>
    </row>
    <row r="19437" spans="1:9" x14ac:dyDescent="0.25">
      <c r="A19437" s="515">
        <v>63351</v>
      </c>
      <c r="C19437" s="52">
        <v>192691.45849635001</v>
      </c>
      <c r="D19437" s="56">
        <v>8.3802198616309762E-2</v>
      </c>
      <c r="E19437" s="224" t="s">
        <v>2</v>
      </c>
      <c r="F19437" s="515" t="s">
        <v>20608</v>
      </c>
      <c r="G19437" s="52">
        <v>157169.92449185799</v>
      </c>
      <c r="H19437" s="56">
        <v>0.10306844894900093</v>
      </c>
      <c r="I19437" s="224" t="s">
        <v>2</v>
      </c>
    </row>
    <row r="19438" spans="1:9" x14ac:dyDescent="0.25">
      <c r="A19438" s="515">
        <v>71763</v>
      </c>
      <c r="C19438" s="52">
        <v>52940.742268041198</v>
      </c>
      <c r="D19438" s="56">
        <v>0</v>
      </c>
      <c r="E19438" s="224" t="s">
        <v>2</v>
      </c>
      <c r="F19438" s="515" t="s">
        <v>20609</v>
      </c>
      <c r="G19438" s="52">
        <v>343238.272777292</v>
      </c>
      <c r="H19438" s="56">
        <v>0.10818993805418871</v>
      </c>
      <c r="I19438" s="224" t="s">
        <v>2</v>
      </c>
    </row>
    <row r="19439" spans="1:9" x14ac:dyDescent="0.25">
      <c r="A19439" s="515">
        <v>59050</v>
      </c>
      <c r="C19439" s="52">
        <v>170854.559234802</v>
      </c>
      <c r="D19439" s="56">
        <v>7.1204577604573587E-3</v>
      </c>
      <c r="E19439" s="224" t="s">
        <v>2</v>
      </c>
      <c r="F19439" s="515" t="s">
        <v>20610</v>
      </c>
      <c r="G19439" s="52">
        <v>285291.44401250198</v>
      </c>
      <c r="H19439" s="56">
        <v>5.8912930033706748E-2</v>
      </c>
      <c r="I19439" s="224" t="s">
        <v>2</v>
      </c>
    </row>
    <row r="19440" spans="1:9" x14ac:dyDescent="0.25">
      <c r="A19440" s="515">
        <v>3882</v>
      </c>
      <c r="C19440" s="52">
        <v>323839.72947891202</v>
      </c>
      <c r="D19440" s="56">
        <v>0.15427667786124427</v>
      </c>
      <c r="E19440" s="224" t="s">
        <v>2</v>
      </c>
      <c r="F19440" s="515" t="s">
        <v>20611</v>
      </c>
      <c r="G19440" s="52">
        <v>140298.64825868199</v>
      </c>
      <c r="H19440" s="56">
        <v>0.14538689094935914</v>
      </c>
      <c r="I19440" s="224" t="s">
        <v>2</v>
      </c>
    </row>
    <row r="19441" spans="1:9" x14ac:dyDescent="0.25">
      <c r="A19441" s="515">
        <v>24311</v>
      </c>
      <c r="C19441" s="52">
        <v>135522.79814674001</v>
      </c>
      <c r="D19441" s="56">
        <v>0</v>
      </c>
      <c r="E19441" s="224" t="s">
        <v>2</v>
      </c>
      <c r="F19441" s="515" t="s">
        <v>20612</v>
      </c>
      <c r="G19441" s="52">
        <v>111443.04639514499</v>
      </c>
      <c r="H19441" s="56">
        <v>0</v>
      </c>
      <c r="I19441" s="224" t="s">
        <v>2</v>
      </c>
    </row>
    <row r="19442" spans="1:9" x14ac:dyDescent="0.25">
      <c r="A19442" s="515">
        <v>12740</v>
      </c>
      <c r="C19442" s="52">
        <v>269718.92299233697</v>
      </c>
      <c r="D19442" s="56">
        <v>0.10467463034529666</v>
      </c>
      <c r="E19442" s="224" t="s">
        <v>2</v>
      </c>
      <c r="F19442" s="515" t="s">
        <v>20613</v>
      </c>
      <c r="G19442" s="52">
        <v>577128.97770401102</v>
      </c>
      <c r="H19442" s="56">
        <v>0.12702378196917091</v>
      </c>
      <c r="I19442" s="224" t="s">
        <v>2</v>
      </c>
    </row>
    <row r="19443" spans="1:9" x14ac:dyDescent="0.25">
      <c r="A19443" s="515">
        <v>4030</v>
      </c>
      <c r="B19443" s="515" t="s">
        <v>570</v>
      </c>
      <c r="C19443" s="52">
        <v>366286.80943423498</v>
      </c>
      <c r="D19443" s="56">
        <v>6.9880816885574529E-2</v>
      </c>
      <c r="E19443" s="224" t="s">
        <v>2</v>
      </c>
      <c r="F19443" s="515" t="s">
        <v>20614</v>
      </c>
      <c r="G19443" s="52">
        <v>235362.25692128699</v>
      </c>
      <c r="H19443" s="56">
        <v>9.6602970745872374E-2</v>
      </c>
      <c r="I19443" s="224" t="s">
        <v>2</v>
      </c>
    </row>
    <row r="19444" spans="1:9" x14ac:dyDescent="0.25">
      <c r="A19444" s="515">
        <v>85545</v>
      </c>
      <c r="B19444" s="515" t="s">
        <v>563</v>
      </c>
      <c r="C19444" s="52">
        <v>221802.25</v>
      </c>
      <c r="D19444" s="56">
        <v>0</v>
      </c>
      <c r="E19444" s="224" t="s">
        <v>2</v>
      </c>
      <c r="F19444" s="515" t="s">
        <v>20615</v>
      </c>
      <c r="G19444" s="52">
        <v>344781.03610284202</v>
      </c>
      <c r="H19444" s="56">
        <v>3.489146756397497E-3</v>
      </c>
      <c r="I19444" s="224" t="s">
        <v>2</v>
      </c>
    </row>
    <row r="19445" spans="1:9" x14ac:dyDescent="0.25">
      <c r="A19445" s="515">
        <v>38482</v>
      </c>
      <c r="B19445" s="515" t="s">
        <v>684</v>
      </c>
      <c r="C19445" s="52">
        <v>394178.778117668</v>
      </c>
      <c r="D19445" s="56">
        <v>9.7267800241886485E-2</v>
      </c>
      <c r="E19445" s="224" t="s">
        <v>2</v>
      </c>
      <c r="F19445" s="515" t="s">
        <v>20616</v>
      </c>
      <c r="G19445" s="52">
        <v>100254.084166657</v>
      </c>
      <c r="H19445" s="56">
        <v>2.6005357420594087E-2</v>
      </c>
      <c r="I19445" s="224" t="s">
        <v>2</v>
      </c>
    </row>
    <row r="19446" spans="1:9" x14ac:dyDescent="0.25">
      <c r="A19446" s="515">
        <v>29545</v>
      </c>
      <c r="B19446" s="515" t="s">
        <v>703</v>
      </c>
      <c r="C19446" s="52">
        <v>209019.417806696</v>
      </c>
      <c r="D19446" s="56">
        <v>0.12530301661952828</v>
      </c>
      <c r="E19446" s="224" t="s">
        <v>2</v>
      </c>
      <c r="F19446" s="515" t="s">
        <v>20617</v>
      </c>
      <c r="G19446" s="52">
        <v>280647.808482402</v>
      </c>
      <c r="H19446" s="56">
        <v>7.3060385997859495E-2</v>
      </c>
      <c r="I19446" s="224" t="s">
        <v>2</v>
      </c>
    </row>
    <row r="19447" spans="1:9" x14ac:dyDescent="0.25">
      <c r="A19447" s="515">
        <v>32423</v>
      </c>
      <c r="C19447" s="52">
        <v>169376.71915167401</v>
      </c>
      <c r="D19447" s="56">
        <v>0.20853393790498434</v>
      </c>
      <c r="E19447" s="224" t="s">
        <v>2</v>
      </c>
      <c r="F19447" s="515" t="s">
        <v>20618</v>
      </c>
      <c r="G19447" s="52">
        <v>105534.54117647</v>
      </c>
      <c r="H19447" s="56">
        <v>0</v>
      </c>
      <c r="I19447" s="224" t="s">
        <v>2</v>
      </c>
    </row>
    <row r="19448" spans="1:9" x14ac:dyDescent="0.25">
      <c r="A19448" s="515">
        <v>63546</v>
      </c>
      <c r="B19448" s="515" t="s">
        <v>949</v>
      </c>
      <c r="C19448" s="52">
        <v>196512.918064064</v>
      </c>
      <c r="D19448" s="56">
        <v>8.7947017300365801E-3</v>
      </c>
      <c r="E19448" s="224" t="s">
        <v>2</v>
      </c>
      <c r="F19448" s="515" t="s">
        <v>20619</v>
      </c>
      <c r="G19448" s="52">
        <v>457989.00328012201</v>
      </c>
      <c r="H19448" s="56">
        <v>0.11866349726540831</v>
      </c>
      <c r="I19448" s="224" t="s">
        <v>2</v>
      </c>
    </row>
    <row r="19449" spans="1:9" x14ac:dyDescent="0.25">
      <c r="A19449" s="515">
        <v>65571</v>
      </c>
      <c r="C19449" s="52">
        <v>175009.69245922199</v>
      </c>
      <c r="D19449" s="56">
        <v>0.11377072054113464</v>
      </c>
      <c r="E19449" s="224" t="s">
        <v>2</v>
      </c>
      <c r="F19449" s="515" t="s">
        <v>20620</v>
      </c>
      <c r="G19449" s="52">
        <v>295774.61773507402</v>
      </c>
      <c r="H19449" s="56">
        <v>0.11336813267179714</v>
      </c>
      <c r="I19449" s="224" t="s">
        <v>2</v>
      </c>
    </row>
    <row r="19450" spans="1:9" x14ac:dyDescent="0.25">
      <c r="A19450" s="515">
        <v>18636</v>
      </c>
      <c r="B19450" s="515" t="s">
        <v>512</v>
      </c>
      <c r="C19450" s="52">
        <v>146686.30448273601</v>
      </c>
      <c r="D19450" s="56">
        <v>0</v>
      </c>
      <c r="E19450" s="224" t="s">
        <v>2</v>
      </c>
      <c r="F19450" s="515" t="s">
        <v>20621</v>
      </c>
      <c r="G19450" s="52">
        <v>152633.15220982599</v>
      </c>
      <c r="H19450" s="56">
        <v>0.11652143452789443</v>
      </c>
      <c r="I19450" s="224" t="s">
        <v>2</v>
      </c>
    </row>
    <row r="19451" spans="1:9" x14ac:dyDescent="0.25">
      <c r="A19451" s="515">
        <v>27973</v>
      </c>
      <c r="B19451" s="515" t="s">
        <v>301</v>
      </c>
      <c r="C19451" s="52">
        <v>335564.85648803401</v>
      </c>
      <c r="D19451" s="56">
        <v>0.1077484603968607</v>
      </c>
      <c r="E19451" s="224" t="s">
        <v>2</v>
      </c>
      <c r="F19451" s="515" t="s">
        <v>20622</v>
      </c>
      <c r="G19451" s="52">
        <v>168328.87323843001</v>
      </c>
      <c r="H19451" s="56">
        <v>0</v>
      </c>
      <c r="I19451" s="224" t="s">
        <v>2</v>
      </c>
    </row>
    <row r="19452" spans="1:9" x14ac:dyDescent="0.25">
      <c r="A19452" s="515">
        <v>21623</v>
      </c>
      <c r="B19452" s="515" t="s">
        <v>582</v>
      </c>
      <c r="C19452" s="52">
        <v>335888.866841232</v>
      </c>
      <c r="D19452" s="56">
        <v>9.2832494001234677E-3</v>
      </c>
      <c r="E19452" s="224" t="s">
        <v>2</v>
      </c>
      <c r="F19452" s="515" t="s">
        <v>20623</v>
      </c>
      <c r="G19452" s="52">
        <v>287173.20237096702</v>
      </c>
      <c r="H19452" s="56">
        <v>0.1680037594653708</v>
      </c>
      <c r="I19452" s="224" t="s">
        <v>2</v>
      </c>
    </row>
    <row r="19453" spans="1:9" x14ac:dyDescent="0.25">
      <c r="A19453" s="515">
        <v>71422</v>
      </c>
      <c r="C19453" s="52">
        <v>91457.008695652097</v>
      </c>
      <c r="D19453" s="56">
        <v>0</v>
      </c>
      <c r="E19453" s="224" t="s">
        <v>2</v>
      </c>
      <c r="F19453" s="515" t="s">
        <v>20624</v>
      </c>
      <c r="G19453" s="52">
        <v>1055830.1018392099</v>
      </c>
      <c r="H19453" s="56">
        <v>2.7032559916177867E-2</v>
      </c>
      <c r="I19453" s="224" t="s">
        <v>2</v>
      </c>
    </row>
    <row r="19454" spans="1:9" x14ac:dyDescent="0.25">
      <c r="A19454" s="515">
        <v>97137</v>
      </c>
      <c r="B19454" s="515" t="s">
        <v>416</v>
      </c>
      <c r="C19454" s="52">
        <v>509006.548857563</v>
      </c>
      <c r="D19454" s="56">
        <v>4.178728162280728E-2</v>
      </c>
      <c r="E19454" s="224" t="s">
        <v>2</v>
      </c>
      <c r="F19454" s="515" t="s">
        <v>20625</v>
      </c>
      <c r="G19454" s="52">
        <v>73910.082973894998</v>
      </c>
      <c r="H19454" s="56">
        <v>0.15639918715372372</v>
      </c>
      <c r="I19454" s="224" t="s">
        <v>2</v>
      </c>
    </row>
    <row r="19455" spans="1:9" x14ac:dyDescent="0.25">
      <c r="A19455" s="515">
        <v>43320</v>
      </c>
      <c r="B19455" s="515" t="s">
        <v>345</v>
      </c>
      <c r="C19455" s="52">
        <v>181742.278703855</v>
      </c>
      <c r="D19455" s="56">
        <v>1.6768135448871884E-2</v>
      </c>
      <c r="E19455" s="224" t="s">
        <v>2</v>
      </c>
      <c r="F19455" s="515" t="s">
        <v>20626</v>
      </c>
      <c r="G19455" s="52">
        <v>518503.67672348802</v>
      </c>
      <c r="H19455" s="56">
        <v>9.8246454310818396E-2</v>
      </c>
      <c r="I19455" s="224" t="s">
        <v>2</v>
      </c>
    </row>
    <row r="19456" spans="1:9" x14ac:dyDescent="0.25">
      <c r="A19456" s="515">
        <v>78946</v>
      </c>
      <c r="C19456" s="52">
        <v>424056.63870424603</v>
      </c>
      <c r="D19456" s="56">
        <v>2.8674580944794886E-2</v>
      </c>
      <c r="E19456" s="224" t="s">
        <v>2</v>
      </c>
      <c r="F19456" s="515" t="s">
        <v>20627</v>
      </c>
      <c r="G19456" s="52">
        <v>721570.39003901405</v>
      </c>
      <c r="H19456" s="56">
        <v>6.8473104116616362E-2</v>
      </c>
      <c r="I19456" s="224" t="s">
        <v>2</v>
      </c>
    </row>
    <row r="19457" spans="1:9" x14ac:dyDescent="0.25">
      <c r="A19457" s="515">
        <v>24526</v>
      </c>
      <c r="B19457" s="515" t="s">
        <v>705</v>
      </c>
      <c r="C19457" s="52">
        <v>187157.52250620199</v>
      </c>
      <c r="D19457" s="56">
        <v>3.9112640025168656E-2</v>
      </c>
      <c r="E19457" s="224" t="s">
        <v>2</v>
      </c>
      <c r="F19457" s="515" t="s">
        <v>20628</v>
      </c>
      <c r="G19457" s="52">
        <v>158939.46753246701</v>
      </c>
      <c r="H19457" s="56">
        <v>0</v>
      </c>
      <c r="I19457" s="224" t="s">
        <v>2</v>
      </c>
    </row>
    <row r="19458" spans="1:9" x14ac:dyDescent="0.25">
      <c r="A19458" s="515">
        <v>25063</v>
      </c>
      <c r="B19458" s="515" t="s">
        <v>322</v>
      </c>
      <c r="C19458" s="52">
        <v>110379.484667147</v>
      </c>
      <c r="D19458" s="56">
        <v>0.12962871787888752</v>
      </c>
      <c r="E19458" s="224" t="s">
        <v>2</v>
      </c>
      <c r="F19458" s="515" t="s">
        <v>20629</v>
      </c>
      <c r="G19458" s="52">
        <v>167266.679793738</v>
      </c>
      <c r="H19458" s="56">
        <v>6.0577282200739525E-2</v>
      </c>
      <c r="I19458" s="224" t="s">
        <v>2</v>
      </c>
    </row>
    <row r="19459" spans="1:9" x14ac:dyDescent="0.25">
      <c r="A19459" s="515">
        <v>3836</v>
      </c>
      <c r="C19459" s="52">
        <v>426519.76997281198</v>
      </c>
      <c r="D19459" s="56">
        <v>5.904821589300812E-2</v>
      </c>
      <c r="E19459" s="224" t="s">
        <v>2</v>
      </c>
      <c r="F19459" s="515" t="s">
        <v>20630</v>
      </c>
      <c r="G19459" s="52">
        <v>467976.26401102799</v>
      </c>
      <c r="H19459" s="56">
        <v>0.15871893728500219</v>
      </c>
      <c r="I19459" s="224" t="s">
        <v>2</v>
      </c>
    </row>
    <row r="19460" spans="1:9" x14ac:dyDescent="0.25">
      <c r="A19460" s="515">
        <v>84513</v>
      </c>
      <c r="C19460" s="52">
        <v>248844.44512195099</v>
      </c>
      <c r="D19460" s="56">
        <v>0</v>
      </c>
      <c r="E19460" s="224" t="s">
        <v>2</v>
      </c>
      <c r="F19460" s="515" t="s">
        <v>20631</v>
      </c>
      <c r="G19460" s="52">
        <v>151921.240964314</v>
      </c>
      <c r="H19460" s="56">
        <v>0.11667296643914817</v>
      </c>
      <c r="I19460" s="224" t="s">
        <v>2</v>
      </c>
    </row>
    <row r="19461" spans="1:9" x14ac:dyDescent="0.25">
      <c r="A19461" s="515">
        <v>31624</v>
      </c>
      <c r="B19461" s="515" t="s">
        <v>917</v>
      </c>
      <c r="C19461" s="52">
        <v>97398.666053100795</v>
      </c>
      <c r="D19461" s="56">
        <v>-3.370108412271896E-3</v>
      </c>
      <c r="E19461" s="224" t="s">
        <v>2</v>
      </c>
      <c r="F19461" s="515" t="s">
        <v>20632</v>
      </c>
      <c r="G19461" s="52">
        <v>145347.552779941</v>
      </c>
      <c r="H19461" s="56">
        <v>0.28926405989524018</v>
      </c>
      <c r="I19461" s="224" t="s">
        <v>2</v>
      </c>
    </row>
    <row r="19462" spans="1:9" x14ac:dyDescent="0.25">
      <c r="A19462" s="515">
        <v>41083</v>
      </c>
      <c r="B19462" s="515" t="s">
        <v>344</v>
      </c>
      <c r="C19462" s="52">
        <v>185519.67781174899</v>
      </c>
      <c r="D19462" s="56">
        <v>0.14221653305922757</v>
      </c>
      <c r="E19462" s="224" t="s">
        <v>2</v>
      </c>
      <c r="F19462" s="515" t="s">
        <v>20633</v>
      </c>
      <c r="G19462" s="52">
        <v>111263.81850922199</v>
      </c>
      <c r="H19462" s="56">
        <v>5.7531069346040839E-2</v>
      </c>
      <c r="I19462" s="224" t="s">
        <v>2</v>
      </c>
    </row>
    <row r="19463" spans="1:9" x14ac:dyDescent="0.25">
      <c r="A19463" s="515">
        <v>37829</v>
      </c>
      <c r="B19463" s="515" t="s">
        <v>907</v>
      </c>
      <c r="C19463" s="52">
        <v>165244.26778354999</v>
      </c>
      <c r="D19463" s="56">
        <v>9.8933124562255809E-2</v>
      </c>
      <c r="E19463" s="224" t="s">
        <v>2</v>
      </c>
      <c r="F19463" s="515" t="s">
        <v>20634</v>
      </c>
      <c r="G19463" s="52">
        <v>48892.960325676002</v>
      </c>
      <c r="H19463" s="56">
        <v>0.17583753514615152</v>
      </c>
      <c r="I19463" s="224" t="s">
        <v>2</v>
      </c>
    </row>
    <row r="19464" spans="1:9" x14ac:dyDescent="0.25">
      <c r="A19464" s="515">
        <v>61914</v>
      </c>
      <c r="C19464" s="52">
        <v>107111.398309585</v>
      </c>
      <c r="D19464" s="56">
        <v>6.9544749783483628E-2</v>
      </c>
      <c r="E19464" s="224" t="s">
        <v>2</v>
      </c>
      <c r="F19464" s="515" t="s">
        <v>20635</v>
      </c>
      <c r="G19464" s="52">
        <v>125185.983417408</v>
      </c>
      <c r="H19464" s="56">
        <v>8.3202422044363372E-2</v>
      </c>
      <c r="I19464" s="224" t="s">
        <v>2</v>
      </c>
    </row>
    <row r="19465" spans="1:9" x14ac:dyDescent="0.25">
      <c r="A19465" s="515">
        <v>48878</v>
      </c>
      <c r="B19465" s="515" t="s">
        <v>1076</v>
      </c>
      <c r="C19465" s="52">
        <v>166109.14508733599</v>
      </c>
      <c r="D19465" s="56">
        <v>6.4415144062366092E-2</v>
      </c>
      <c r="E19465" s="224" t="s">
        <v>2</v>
      </c>
      <c r="F19465" s="515" t="s">
        <v>20636</v>
      </c>
      <c r="G19465" s="52">
        <v>153247.62407032799</v>
      </c>
      <c r="H19465" s="56">
        <v>0</v>
      </c>
      <c r="I19465" s="224" t="s">
        <v>2</v>
      </c>
    </row>
    <row r="19466" spans="1:9" x14ac:dyDescent="0.25">
      <c r="A19466" s="515">
        <v>63939</v>
      </c>
      <c r="B19466" s="515" t="s">
        <v>972</v>
      </c>
      <c r="C19466" s="52">
        <v>210370.76715599099</v>
      </c>
      <c r="D19466" s="56">
        <v>8.1252041584211843E-2</v>
      </c>
      <c r="E19466" s="224" t="s">
        <v>2</v>
      </c>
      <c r="F19466" s="515" t="s">
        <v>20637</v>
      </c>
      <c r="G19466" s="52">
        <v>2172861.1210888899</v>
      </c>
      <c r="H19466" s="56">
        <v>7.8199402347047045E-2</v>
      </c>
      <c r="I19466" s="224" t="s">
        <v>2</v>
      </c>
    </row>
    <row r="19467" spans="1:9" x14ac:dyDescent="0.25">
      <c r="A19467" s="515">
        <v>62838</v>
      </c>
      <c r="C19467" s="52">
        <v>89433.233363283798</v>
      </c>
      <c r="D19467" s="56">
        <v>6.2174172177452587E-2</v>
      </c>
      <c r="E19467" s="224" t="s">
        <v>2</v>
      </c>
      <c r="F19467" s="515" t="s">
        <v>20638</v>
      </c>
      <c r="G19467" s="52">
        <v>492381.22013725102</v>
      </c>
      <c r="H19467" s="56">
        <v>-2.1204139193543373E-2</v>
      </c>
      <c r="I19467" s="224" t="s">
        <v>2</v>
      </c>
    </row>
    <row r="19468" spans="1:9" x14ac:dyDescent="0.25">
      <c r="A19468" s="515">
        <v>48472</v>
      </c>
      <c r="C19468" s="52">
        <v>146505.72968422499</v>
      </c>
      <c r="D19468" s="56">
        <v>2.5990103730808983E-2</v>
      </c>
      <c r="E19468" s="224" t="s">
        <v>2</v>
      </c>
      <c r="F19468" s="515" t="s">
        <v>20639</v>
      </c>
      <c r="G19468" s="52">
        <v>47976.294074555102</v>
      </c>
      <c r="H19468" s="56">
        <v>8.6379643556457705E-2</v>
      </c>
      <c r="I19468" s="224" t="s">
        <v>2</v>
      </c>
    </row>
    <row r="19469" spans="1:9" x14ac:dyDescent="0.25">
      <c r="A19469" s="515">
        <v>54558</v>
      </c>
      <c r="C19469" s="52">
        <v>312387.33934370399</v>
      </c>
      <c r="D19469" s="56">
        <v>7.6851764411713513E-2</v>
      </c>
      <c r="E19469" s="224" t="s">
        <v>2</v>
      </c>
      <c r="F19469" s="515" t="s">
        <v>20640</v>
      </c>
      <c r="G19469" s="52">
        <v>191218.621782623</v>
      </c>
      <c r="H19469" s="56">
        <v>9.0559373181982275E-2</v>
      </c>
      <c r="I19469" s="224" t="s">
        <v>2</v>
      </c>
    </row>
    <row r="19470" spans="1:9" x14ac:dyDescent="0.25">
      <c r="A19470" s="515">
        <v>97376</v>
      </c>
      <c r="B19470" s="515" t="s">
        <v>618</v>
      </c>
      <c r="C19470" s="52">
        <v>495289.52979033499</v>
      </c>
      <c r="D19470" s="56">
        <v>8.2207668838876966E-2</v>
      </c>
      <c r="E19470" s="224" t="s">
        <v>2</v>
      </c>
      <c r="F19470" s="515" t="s">
        <v>20641</v>
      </c>
      <c r="G19470" s="52">
        <v>234480.04872429499</v>
      </c>
      <c r="H19470" s="56">
        <v>8.7859288256900037E-2</v>
      </c>
      <c r="I19470" s="224" t="s">
        <v>2</v>
      </c>
    </row>
    <row r="19471" spans="1:9" x14ac:dyDescent="0.25">
      <c r="A19471" s="515">
        <v>16240</v>
      </c>
      <c r="B19471" s="515" t="s">
        <v>297</v>
      </c>
      <c r="C19471" s="52">
        <v>133958.76473445099</v>
      </c>
      <c r="D19471" s="56">
        <v>3.9376262461130115E-2</v>
      </c>
      <c r="E19471" s="224" t="s">
        <v>2</v>
      </c>
      <c r="F19471" s="515" t="s">
        <v>20642</v>
      </c>
      <c r="G19471" s="52">
        <v>83901.804597701106</v>
      </c>
      <c r="H19471" s="56">
        <v>0</v>
      </c>
      <c r="I19471" s="224" t="s">
        <v>2</v>
      </c>
    </row>
    <row r="19472" spans="1:9" x14ac:dyDescent="0.25">
      <c r="A19472" s="515">
        <v>96027</v>
      </c>
      <c r="C19472" s="52">
        <v>264155.69105801597</v>
      </c>
      <c r="D19472" s="56">
        <v>4.3145400812513633E-2</v>
      </c>
      <c r="E19472" s="224" t="s">
        <v>2</v>
      </c>
      <c r="F19472" s="515" t="s">
        <v>20643</v>
      </c>
      <c r="G19472" s="52">
        <v>92310.059991507005</v>
      </c>
      <c r="H19472" s="56">
        <v>2.1581433336595457E-2</v>
      </c>
      <c r="I19472" s="224" t="s">
        <v>2</v>
      </c>
    </row>
    <row r="19473" spans="1:9" x14ac:dyDescent="0.25">
      <c r="A19473" s="515">
        <v>48662</v>
      </c>
      <c r="B19473" s="515" t="s">
        <v>1019</v>
      </c>
      <c r="C19473" s="52">
        <v>136676.67909673401</v>
      </c>
      <c r="D19473" s="56">
        <v>-1.4901009091406871E-2</v>
      </c>
      <c r="E19473" s="224" t="s">
        <v>2</v>
      </c>
      <c r="F19473" s="515" t="s">
        <v>20644</v>
      </c>
      <c r="G19473" s="52">
        <v>93724.047071348497</v>
      </c>
      <c r="H19473" s="56">
        <v>7.1145671543393449E-2</v>
      </c>
      <c r="I19473" s="224" t="s">
        <v>2</v>
      </c>
    </row>
    <row r="19474" spans="1:9" x14ac:dyDescent="0.25">
      <c r="A19474" s="515">
        <v>4847</v>
      </c>
      <c r="C19474" s="52">
        <v>360083.29053606401</v>
      </c>
      <c r="D19474" s="56">
        <v>0.13963437870799836</v>
      </c>
      <c r="E19474" s="224" t="s">
        <v>2</v>
      </c>
      <c r="F19474" s="515" t="s">
        <v>20645</v>
      </c>
      <c r="G19474" s="52">
        <v>623875.75253666996</v>
      </c>
      <c r="H19474" s="56">
        <v>4.9391747855436999E-2</v>
      </c>
      <c r="I19474" s="224" t="s">
        <v>2</v>
      </c>
    </row>
    <row r="19475" spans="1:9" x14ac:dyDescent="0.25">
      <c r="A19475" s="515">
        <v>3251</v>
      </c>
      <c r="B19475" s="515" t="s">
        <v>420</v>
      </c>
      <c r="C19475" s="52">
        <v>339795.87485745101</v>
      </c>
      <c r="D19475" s="56">
        <v>0.10568296807673143</v>
      </c>
      <c r="E19475" s="224" t="s">
        <v>2</v>
      </c>
      <c r="F19475" s="515" t="s">
        <v>20646</v>
      </c>
      <c r="G19475" s="52">
        <v>50823.7477849079</v>
      </c>
      <c r="H19475" s="56">
        <v>0</v>
      </c>
      <c r="I19475" s="224" t="s">
        <v>2</v>
      </c>
    </row>
    <row r="19476" spans="1:9" x14ac:dyDescent="0.25">
      <c r="A19476" s="515">
        <v>15550</v>
      </c>
      <c r="C19476" s="52">
        <v>171168.32728223901</v>
      </c>
      <c r="D19476" s="56">
        <v>7.8189362663787891E-3</v>
      </c>
      <c r="E19476" s="224" t="s">
        <v>2</v>
      </c>
      <c r="F19476" s="515" t="s">
        <v>20647</v>
      </c>
      <c r="G19476" s="52">
        <v>194501.310926404</v>
      </c>
      <c r="H19476" s="56">
        <v>8.7636037534634767E-2</v>
      </c>
      <c r="I19476" s="224" t="s">
        <v>2</v>
      </c>
    </row>
    <row r="19477" spans="1:9" x14ac:dyDescent="0.25">
      <c r="A19477" s="515">
        <v>41844</v>
      </c>
      <c r="C19477" s="52">
        <v>97749.227216341198</v>
      </c>
      <c r="D19477" s="56">
        <v>0.29621100927439781</v>
      </c>
      <c r="E19477" s="224" t="s">
        <v>2</v>
      </c>
      <c r="F19477" s="515" t="s">
        <v>20648</v>
      </c>
      <c r="G19477" s="52">
        <v>261035.21199685699</v>
      </c>
      <c r="H19477" s="56">
        <v>0.11758945515103167</v>
      </c>
      <c r="I19477" s="224" t="s">
        <v>2</v>
      </c>
    </row>
    <row r="19478" spans="1:9" x14ac:dyDescent="0.25">
      <c r="A19478" s="515">
        <v>26519</v>
      </c>
      <c r="B19478" s="515" t="s">
        <v>643</v>
      </c>
      <c r="C19478" s="52">
        <v>142554.130119287</v>
      </c>
      <c r="D19478" s="56">
        <v>6.1342260259681237E-2</v>
      </c>
      <c r="E19478" s="224" t="s">
        <v>2</v>
      </c>
      <c r="F19478" s="515" t="s">
        <v>20649</v>
      </c>
      <c r="G19478" s="52">
        <v>219960.60869565199</v>
      </c>
      <c r="H19478" s="56">
        <v>0</v>
      </c>
      <c r="I19478" s="224" t="s">
        <v>2</v>
      </c>
    </row>
    <row r="19479" spans="1:9" x14ac:dyDescent="0.25">
      <c r="A19479" s="515">
        <v>57043</v>
      </c>
      <c r="B19479" s="515" t="s">
        <v>579</v>
      </c>
      <c r="C19479" s="52">
        <v>235079.841367952</v>
      </c>
      <c r="D19479" s="56">
        <v>0.10677209229891711</v>
      </c>
      <c r="E19479" s="224" t="s">
        <v>2</v>
      </c>
      <c r="F19479" s="515" t="s">
        <v>20650</v>
      </c>
      <c r="G19479" s="52">
        <v>502382.32558139501</v>
      </c>
      <c r="H19479" s="56">
        <v>0</v>
      </c>
      <c r="I19479" s="224" t="s">
        <v>2</v>
      </c>
    </row>
    <row r="19480" spans="1:9" x14ac:dyDescent="0.25">
      <c r="A19480" s="515">
        <v>39192</v>
      </c>
      <c r="C19480" s="52">
        <v>95307.589905073793</v>
      </c>
      <c r="D19480" s="56">
        <v>-4.1638235848095624E-2</v>
      </c>
      <c r="E19480" s="224" t="s">
        <v>2</v>
      </c>
      <c r="F19480" s="515" t="s">
        <v>20651</v>
      </c>
      <c r="G19480" s="52">
        <v>627038.56686158397</v>
      </c>
      <c r="H19480" s="56">
        <v>0.14556981893838342</v>
      </c>
      <c r="I19480" s="224" t="s">
        <v>2</v>
      </c>
    </row>
    <row r="19481" spans="1:9" x14ac:dyDescent="0.25">
      <c r="A19481" s="515">
        <v>21541</v>
      </c>
      <c r="C19481" s="52">
        <v>548975.58265603997</v>
      </c>
      <c r="D19481" s="56">
        <v>8.5023231719051018E-2</v>
      </c>
      <c r="E19481" s="224" t="s">
        <v>2</v>
      </c>
      <c r="F19481" s="515" t="s">
        <v>20652</v>
      </c>
      <c r="G19481" s="52">
        <v>298619.19975383102</v>
      </c>
      <c r="H19481" s="56">
        <v>0.16689967303692479</v>
      </c>
      <c r="I19481" s="224" t="s">
        <v>2</v>
      </c>
    </row>
    <row r="19482" spans="1:9" x14ac:dyDescent="0.25">
      <c r="A19482" s="515">
        <v>68651</v>
      </c>
      <c r="C19482" s="52">
        <v>169313.594638471</v>
      </c>
      <c r="D19482" s="56">
        <v>4.7010350388482754E-3</v>
      </c>
      <c r="E19482" s="224" t="s">
        <v>2</v>
      </c>
      <c r="F19482" s="515" t="s">
        <v>20653</v>
      </c>
      <c r="G19482" s="52">
        <v>178183.42819325899</v>
      </c>
      <c r="H19482" s="56">
        <v>7.8218723258443132E-2</v>
      </c>
      <c r="I19482" s="224" t="s">
        <v>2</v>
      </c>
    </row>
    <row r="19483" spans="1:9" x14ac:dyDescent="0.25">
      <c r="A19483" s="515">
        <v>57362</v>
      </c>
      <c r="C19483" s="52">
        <v>183625.683476262</v>
      </c>
      <c r="D19483" s="56">
        <v>7.7352621263616639E-2</v>
      </c>
      <c r="E19483" s="224" t="s">
        <v>2</v>
      </c>
      <c r="F19483" s="515" t="s">
        <v>20654</v>
      </c>
      <c r="G19483" s="52">
        <v>116586.538004053</v>
      </c>
      <c r="H19483" s="56">
        <v>-2.9715702481381931E-2</v>
      </c>
      <c r="I19483" s="224" t="s">
        <v>2</v>
      </c>
    </row>
    <row r="19484" spans="1:9" x14ac:dyDescent="0.25">
      <c r="A19484" s="515">
        <v>55790</v>
      </c>
      <c r="B19484" s="515" t="s">
        <v>350</v>
      </c>
      <c r="C19484" s="52">
        <v>305300.013592167</v>
      </c>
      <c r="D19484" s="56">
        <v>0.10157607123181642</v>
      </c>
      <c r="E19484" s="224" t="s">
        <v>2</v>
      </c>
      <c r="F19484" s="515" t="s">
        <v>20655</v>
      </c>
      <c r="G19484" s="52">
        <v>315931.29986106901</v>
      </c>
      <c r="H19484" s="56">
        <v>0</v>
      </c>
      <c r="I19484" s="224" t="s">
        <v>2</v>
      </c>
    </row>
    <row r="19485" spans="1:9" x14ac:dyDescent="0.25">
      <c r="A19485" s="515">
        <v>29848</v>
      </c>
      <c r="B19485" s="515" t="s">
        <v>1075</v>
      </c>
      <c r="C19485" s="52">
        <v>82023.529184256899</v>
      </c>
      <c r="D19485" s="56">
        <v>5.1540097613744756E-2</v>
      </c>
      <c r="E19485" s="224" t="s">
        <v>2</v>
      </c>
      <c r="F19485" s="515" t="s">
        <v>20656</v>
      </c>
      <c r="G19485" s="52">
        <v>103008.51147579</v>
      </c>
      <c r="H19485" s="56">
        <v>0.11031278893119525</v>
      </c>
      <c r="I19485" s="224" t="s">
        <v>2</v>
      </c>
    </row>
    <row r="19486" spans="1:9" x14ac:dyDescent="0.25">
      <c r="A19486" s="515">
        <v>87010</v>
      </c>
      <c r="B19486" s="515" t="s">
        <v>926</v>
      </c>
      <c r="C19486" s="52">
        <v>374938.11706581601</v>
      </c>
      <c r="D19486" s="56">
        <v>3.2555290536443612E-2</v>
      </c>
      <c r="E19486" s="224" t="s">
        <v>2</v>
      </c>
      <c r="F19486" s="515" t="s">
        <v>20657</v>
      </c>
      <c r="G19486" s="52">
        <v>143168.05286599899</v>
      </c>
      <c r="H19486" s="56">
        <v>-4.6995420368726462E-2</v>
      </c>
      <c r="I19486" s="224" t="s">
        <v>2</v>
      </c>
    </row>
    <row r="19487" spans="1:9" x14ac:dyDescent="0.25">
      <c r="A19487" s="515">
        <v>47223</v>
      </c>
      <c r="B19487" s="515" t="s">
        <v>526</v>
      </c>
      <c r="C19487" s="52">
        <v>162079.49148024101</v>
      </c>
      <c r="D19487" s="56">
        <v>8.2048274967980797E-2</v>
      </c>
      <c r="E19487" s="224" t="s">
        <v>2</v>
      </c>
      <c r="F19487" s="515" t="s">
        <v>20658</v>
      </c>
      <c r="G19487" s="52">
        <v>131589.34539138799</v>
      </c>
      <c r="H19487" s="56">
        <v>0</v>
      </c>
      <c r="I19487" s="224" t="s">
        <v>2</v>
      </c>
    </row>
    <row r="19488" spans="1:9" x14ac:dyDescent="0.25">
      <c r="A19488" s="515">
        <v>49452</v>
      </c>
      <c r="C19488" s="52">
        <v>152884.056479675</v>
      </c>
      <c r="D19488" s="56">
        <v>6.8713026843228289E-2</v>
      </c>
      <c r="E19488" s="224" t="s">
        <v>2</v>
      </c>
      <c r="F19488" s="515" t="s">
        <v>20659</v>
      </c>
      <c r="G19488" s="52">
        <v>122803.20450414599</v>
      </c>
      <c r="H19488" s="56">
        <v>3.943000766886557E-2</v>
      </c>
      <c r="I19488" s="224" t="s">
        <v>2</v>
      </c>
    </row>
    <row r="19489" spans="1:9" x14ac:dyDescent="0.25">
      <c r="A19489" s="515">
        <v>5744</v>
      </c>
      <c r="B19489" s="515" t="s">
        <v>791</v>
      </c>
      <c r="C19489" s="52">
        <v>252787.52508289201</v>
      </c>
      <c r="D19489" s="56">
        <v>0.17944419036372622</v>
      </c>
      <c r="E19489" s="224" t="s">
        <v>2</v>
      </c>
      <c r="F19489" s="515" t="s">
        <v>20660</v>
      </c>
      <c r="G19489" s="52">
        <v>405688.20468646701</v>
      </c>
      <c r="H19489" s="56">
        <v>0.13524812927456598</v>
      </c>
      <c r="I19489" s="224" t="s">
        <v>2</v>
      </c>
    </row>
    <row r="19490" spans="1:9" x14ac:dyDescent="0.25">
      <c r="A19490" s="515">
        <v>11977</v>
      </c>
      <c r="B19490" s="515" t="s">
        <v>324</v>
      </c>
      <c r="C19490" s="52">
        <v>1178321.7421450899</v>
      </c>
      <c r="D19490" s="56">
        <v>8.960019075573819E-2</v>
      </c>
      <c r="E19490" s="224" t="s">
        <v>2</v>
      </c>
      <c r="F19490" s="515" t="s">
        <v>20661</v>
      </c>
      <c r="G19490" s="52">
        <v>357350.44186560198</v>
      </c>
      <c r="H19490" s="56">
        <v>9.9790964645926211E-2</v>
      </c>
      <c r="I19490" s="224" t="s">
        <v>2</v>
      </c>
    </row>
    <row r="19491" spans="1:9" x14ac:dyDescent="0.25">
      <c r="A19491" s="515">
        <v>4921</v>
      </c>
      <c r="C19491" s="52">
        <v>227164.863824556</v>
      </c>
      <c r="D19491" s="56">
        <v>7.5142794838231997E-2</v>
      </c>
      <c r="E19491" s="224" t="s">
        <v>2</v>
      </c>
      <c r="F19491" s="515" t="s">
        <v>20662</v>
      </c>
      <c r="G19491" s="52">
        <v>155900.37344682199</v>
      </c>
      <c r="H19491" s="56">
        <v>0.20657828948677293</v>
      </c>
      <c r="I19491" s="224" t="s">
        <v>2</v>
      </c>
    </row>
    <row r="19492" spans="1:9" x14ac:dyDescent="0.25">
      <c r="A19492" s="515">
        <v>47930</v>
      </c>
      <c r="B19492" s="515" t="s">
        <v>433</v>
      </c>
      <c r="C19492" s="52">
        <v>191442.19313462899</v>
      </c>
      <c r="D19492" s="56">
        <v>2.6494106820687011E-2</v>
      </c>
      <c r="E19492" s="224" t="s">
        <v>2</v>
      </c>
      <c r="F19492" s="515" t="s">
        <v>20663</v>
      </c>
      <c r="G19492" s="52">
        <v>311014.44849835598</v>
      </c>
      <c r="H19492" s="56">
        <v>0.10339307949666587</v>
      </c>
      <c r="I19492" s="224" t="s">
        <v>2</v>
      </c>
    </row>
    <row r="19493" spans="1:9" x14ac:dyDescent="0.25">
      <c r="A19493" s="515">
        <v>57732</v>
      </c>
      <c r="B19493" s="515" t="s">
        <v>934</v>
      </c>
      <c r="C19493" s="52">
        <v>285945.17415549001</v>
      </c>
      <c r="D19493" s="56">
        <v>0.10821893446179986</v>
      </c>
      <c r="E19493" s="224" t="s">
        <v>2</v>
      </c>
      <c r="F19493" s="515" t="s">
        <v>20664</v>
      </c>
      <c r="G19493" s="52">
        <v>508369.01989054598</v>
      </c>
      <c r="H19493" s="56">
        <v>0</v>
      </c>
      <c r="I19493" s="224" t="s">
        <v>2</v>
      </c>
    </row>
    <row r="19494" spans="1:9" x14ac:dyDescent="0.25">
      <c r="A19494" s="515">
        <v>68715</v>
      </c>
      <c r="B19494" s="515" t="s">
        <v>615</v>
      </c>
      <c r="C19494" s="52">
        <v>224196.08842864801</v>
      </c>
      <c r="D19494" s="56">
        <v>5.2551767751134605E-2</v>
      </c>
      <c r="E19494" s="224" t="s">
        <v>2</v>
      </c>
      <c r="F19494" s="515" t="s">
        <v>20665</v>
      </c>
      <c r="G19494" s="52">
        <v>218799.84170984</v>
      </c>
      <c r="H19494" s="56">
        <v>0.13424670468530422</v>
      </c>
      <c r="I19494" s="224" t="s">
        <v>2</v>
      </c>
    </row>
    <row r="19495" spans="1:9" x14ac:dyDescent="0.25">
      <c r="A19495" s="515">
        <v>45334</v>
      </c>
      <c r="B19495" s="515" t="s">
        <v>329</v>
      </c>
      <c r="C19495" s="52">
        <v>173576.53257260501</v>
      </c>
      <c r="D19495" s="56">
        <v>8.8917225203211589E-2</v>
      </c>
      <c r="E19495" s="224" t="s">
        <v>2</v>
      </c>
      <c r="F19495" s="515" t="s">
        <v>20666</v>
      </c>
      <c r="G19495" s="52">
        <v>105439.02247190999</v>
      </c>
      <c r="H19495" s="56">
        <v>0</v>
      </c>
      <c r="I19495" s="224" t="s">
        <v>2</v>
      </c>
    </row>
    <row r="19496" spans="1:9" x14ac:dyDescent="0.25">
      <c r="A19496" s="515">
        <v>72045</v>
      </c>
      <c r="B19496" s="515" t="s">
        <v>414</v>
      </c>
      <c r="C19496" s="52">
        <v>199473.16563416799</v>
      </c>
      <c r="D19496" s="56">
        <v>8.1949960429427732E-2</v>
      </c>
      <c r="E19496" s="224" t="s">
        <v>2</v>
      </c>
      <c r="F19496" s="515" t="s">
        <v>20667</v>
      </c>
      <c r="G19496" s="52">
        <v>455664.13962068799</v>
      </c>
      <c r="H19496" s="56">
        <v>8.5339326051569256E-2</v>
      </c>
      <c r="I19496" s="224" t="s">
        <v>2</v>
      </c>
    </row>
    <row r="19497" spans="1:9" x14ac:dyDescent="0.25">
      <c r="A19497" s="515">
        <v>16028</v>
      </c>
      <c r="B19497" s="515" t="s">
        <v>297</v>
      </c>
      <c r="C19497" s="52">
        <v>129165.13012030099</v>
      </c>
      <c r="D19497" s="56">
        <v>0.1491839135304914</v>
      </c>
      <c r="E19497" s="224" t="s">
        <v>2</v>
      </c>
      <c r="F19497" s="515" t="s">
        <v>20668</v>
      </c>
      <c r="G19497" s="52">
        <v>140923.96327775001</v>
      </c>
      <c r="H19497" s="56">
        <v>0.18343038631034864</v>
      </c>
      <c r="I19497" s="224" t="s">
        <v>2</v>
      </c>
    </row>
    <row r="19498" spans="1:9" x14ac:dyDescent="0.25">
      <c r="A19498" s="515">
        <v>98342</v>
      </c>
      <c r="B19498" s="515" t="s">
        <v>620</v>
      </c>
      <c r="C19498" s="52">
        <v>643389.84311963001</v>
      </c>
      <c r="D19498" s="56">
        <v>5.0083251492595987E-2</v>
      </c>
      <c r="E19498" s="224" t="s">
        <v>2</v>
      </c>
      <c r="F19498" s="515" t="s">
        <v>20669</v>
      </c>
      <c r="G19498" s="52">
        <v>188479.92235758199</v>
      </c>
      <c r="H19498" s="56">
        <v>0.14791172996297269</v>
      </c>
      <c r="I19498" s="224" t="s">
        <v>2</v>
      </c>
    </row>
    <row r="19499" spans="1:9" x14ac:dyDescent="0.25">
      <c r="A19499" s="515">
        <v>15311</v>
      </c>
      <c r="B19499" s="515" t="s">
        <v>297</v>
      </c>
      <c r="C19499" s="52">
        <v>217648.101313316</v>
      </c>
      <c r="D19499" s="56">
        <v>0.12187621860540783</v>
      </c>
      <c r="E19499" s="224" t="s">
        <v>2</v>
      </c>
      <c r="F19499" s="515" t="s">
        <v>20670</v>
      </c>
      <c r="G19499" s="52">
        <v>162167.202615079</v>
      </c>
      <c r="H19499" s="56">
        <v>0.15559381183638837</v>
      </c>
      <c r="I19499" s="224" t="s">
        <v>2</v>
      </c>
    </row>
    <row r="19500" spans="1:9" x14ac:dyDescent="0.25">
      <c r="A19500" s="515">
        <v>87036</v>
      </c>
      <c r="B19500" s="515" t="s">
        <v>406</v>
      </c>
      <c r="C19500" s="52">
        <v>128320.796460176</v>
      </c>
      <c r="D19500" s="56">
        <v>0</v>
      </c>
      <c r="E19500" s="224" t="s">
        <v>2</v>
      </c>
      <c r="F19500" s="515" t="s">
        <v>20671</v>
      </c>
      <c r="G19500" s="52">
        <v>72649.613121521194</v>
      </c>
      <c r="H19500" s="56">
        <v>0</v>
      </c>
      <c r="I19500" s="224" t="s">
        <v>2</v>
      </c>
    </row>
    <row r="19501" spans="1:9" x14ac:dyDescent="0.25">
      <c r="A19501" s="515">
        <v>48871</v>
      </c>
      <c r="B19501" s="515" t="s">
        <v>1019</v>
      </c>
      <c r="C19501" s="52">
        <v>222877.687257927</v>
      </c>
      <c r="D19501" s="56">
        <v>3.8679753432932125E-2</v>
      </c>
      <c r="E19501" s="224" t="s">
        <v>2</v>
      </c>
      <c r="F19501" s="515" t="s">
        <v>20672</v>
      </c>
      <c r="G19501" s="52">
        <v>94556.790476190406</v>
      </c>
      <c r="H19501" s="56">
        <v>0</v>
      </c>
      <c r="I19501" s="224" t="s">
        <v>2</v>
      </c>
    </row>
    <row r="19502" spans="1:9" x14ac:dyDescent="0.25">
      <c r="A19502" s="515">
        <v>61473</v>
      </c>
      <c r="C19502" s="52">
        <v>83220.367897367498</v>
      </c>
      <c r="D19502" s="56">
        <v>9.4424438424638699E-2</v>
      </c>
      <c r="E19502" s="224" t="s">
        <v>2</v>
      </c>
      <c r="F19502" s="515" t="s">
        <v>20673</v>
      </c>
      <c r="G19502" s="52">
        <v>139383.78072943899</v>
      </c>
      <c r="H19502" s="56">
        <v>9.2192553730959095E-2</v>
      </c>
      <c r="I19502" s="224" t="s">
        <v>2</v>
      </c>
    </row>
    <row r="19503" spans="1:9" x14ac:dyDescent="0.25">
      <c r="A19503" s="515">
        <v>40328</v>
      </c>
      <c r="B19503" s="515" t="s">
        <v>1015</v>
      </c>
      <c r="C19503" s="52">
        <v>162021.18373021099</v>
      </c>
      <c r="D19503" s="56">
        <v>0.21220659273306194</v>
      </c>
      <c r="E19503" s="224" t="s">
        <v>2</v>
      </c>
      <c r="F19503" s="515" t="s">
        <v>20674</v>
      </c>
      <c r="G19503" s="52">
        <v>185007.05206815701</v>
      </c>
      <c r="H19503" s="56">
        <v>6.7032901199678932E-2</v>
      </c>
      <c r="I19503" s="224" t="s">
        <v>2</v>
      </c>
    </row>
    <row r="19504" spans="1:9" x14ac:dyDescent="0.25">
      <c r="A19504" s="515">
        <v>71485</v>
      </c>
      <c r="B19504" s="515" t="s">
        <v>968</v>
      </c>
      <c r="C19504" s="52">
        <v>286457.00882380398</v>
      </c>
      <c r="D19504" s="56">
        <v>3.2175993463160656E-2</v>
      </c>
      <c r="E19504" s="224" t="s">
        <v>2</v>
      </c>
      <c r="F19504" s="515" t="s">
        <v>20675</v>
      </c>
      <c r="G19504" s="52">
        <v>294679.73559822998</v>
      </c>
      <c r="H19504" s="56">
        <v>7.0254264219510559E-2</v>
      </c>
      <c r="I19504" s="224" t="s">
        <v>2</v>
      </c>
    </row>
    <row r="19505" spans="1:9" x14ac:dyDescent="0.25">
      <c r="A19505" s="515">
        <v>57745</v>
      </c>
      <c r="B19505" s="515" t="s">
        <v>854</v>
      </c>
      <c r="C19505" s="52">
        <v>420695.78551383503</v>
      </c>
      <c r="D19505" s="56">
        <v>0.13217202971824565</v>
      </c>
      <c r="E19505" s="224" t="s">
        <v>2</v>
      </c>
      <c r="F19505" s="515" t="s">
        <v>20676</v>
      </c>
      <c r="G19505" s="52">
        <v>170022.80401261101</v>
      </c>
      <c r="H19505" s="56">
        <v>0</v>
      </c>
      <c r="I19505" s="224" t="s">
        <v>2</v>
      </c>
    </row>
    <row r="19506" spans="1:9" x14ac:dyDescent="0.25">
      <c r="A19506" s="515">
        <v>5871</v>
      </c>
      <c r="C19506" s="52">
        <v>238688.010313912</v>
      </c>
      <c r="D19506" s="56">
        <v>9.5204430046453278E-2</v>
      </c>
      <c r="E19506" s="224" t="s">
        <v>2</v>
      </c>
      <c r="F19506" s="515" t="s">
        <v>20677</v>
      </c>
      <c r="G19506" s="52">
        <v>2122235.9733246602</v>
      </c>
      <c r="H19506" s="56">
        <v>0.12262205384671379</v>
      </c>
      <c r="I19506" s="224" t="s">
        <v>2</v>
      </c>
    </row>
    <row r="19507" spans="1:9" x14ac:dyDescent="0.25">
      <c r="A19507" s="515">
        <v>3467</v>
      </c>
      <c r="B19507" s="515" t="s">
        <v>747</v>
      </c>
      <c r="C19507" s="52">
        <v>361224.40562430699</v>
      </c>
      <c r="D19507" s="56">
        <v>0.15097355069703594</v>
      </c>
      <c r="E19507" s="224" t="s">
        <v>2</v>
      </c>
      <c r="F19507" s="515" t="s">
        <v>20678</v>
      </c>
      <c r="G19507" s="52">
        <v>221529.51050904201</v>
      </c>
      <c r="H19507" s="56">
        <v>9.9770877332129859E-2</v>
      </c>
      <c r="I19507" s="224" t="s">
        <v>2</v>
      </c>
    </row>
    <row r="19508" spans="1:9" x14ac:dyDescent="0.25">
      <c r="A19508" s="515">
        <v>27926</v>
      </c>
      <c r="B19508" s="515" t="s">
        <v>301</v>
      </c>
      <c r="C19508" s="52">
        <v>221669.661700545</v>
      </c>
      <c r="D19508" s="56">
        <v>0.11535704217295091</v>
      </c>
      <c r="E19508" s="224" t="s">
        <v>2</v>
      </c>
      <c r="F19508" s="515" t="s">
        <v>20679</v>
      </c>
      <c r="G19508" s="52">
        <v>361602.47472912498</v>
      </c>
      <c r="H19508" s="56">
        <v>0.11193378572489002</v>
      </c>
      <c r="I19508" s="224" t="s">
        <v>2</v>
      </c>
    </row>
    <row r="19509" spans="1:9" x14ac:dyDescent="0.25">
      <c r="A19509" s="515">
        <v>27974</v>
      </c>
      <c r="B19509" s="515" t="s">
        <v>301</v>
      </c>
      <c r="C19509" s="52">
        <v>251380.29385790601</v>
      </c>
      <c r="D19509" s="56">
        <v>8.2996216477056281E-2</v>
      </c>
      <c r="E19509" s="224" t="s">
        <v>2</v>
      </c>
      <c r="F19509" s="515" t="s">
        <v>20680</v>
      </c>
      <c r="G19509" s="52">
        <v>271596.03877513</v>
      </c>
      <c r="H19509" s="56">
        <v>0.13914352705946481</v>
      </c>
      <c r="I19509" s="224" t="s">
        <v>2</v>
      </c>
    </row>
    <row r="19510" spans="1:9" x14ac:dyDescent="0.25">
      <c r="A19510" s="515">
        <v>47166</v>
      </c>
      <c r="B19510" s="515" t="s">
        <v>479</v>
      </c>
      <c r="C19510" s="52">
        <v>211735.011299871</v>
      </c>
      <c r="D19510" s="56">
        <v>6.1858696206943939E-2</v>
      </c>
      <c r="E19510" s="224" t="s">
        <v>2</v>
      </c>
      <c r="F19510" s="515" t="s">
        <v>20681</v>
      </c>
      <c r="G19510" s="52">
        <v>75714.716012250006</v>
      </c>
      <c r="H19510" s="56">
        <v>4.7657167651104546E-2</v>
      </c>
      <c r="I19510" s="224" t="s">
        <v>2</v>
      </c>
    </row>
    <row r="19511" spans="1:9" x14ac:dyDescent="0.25">
      <c r="A19511" s="515">
        <v>64084</v>
      </c>
      <c r="B19511" s="515" t="s">
        <v>455</v>
      </c>
      <c r="C19511" s="52">
        <v>271031.52483816602</v>
      </c>
      <c r="D19511" s="56">
        <v>0.12405099055113049</v>
      </c>
      <c r="E19511" s="224" t="s">
        <v>2</v>
      </c>
      <c r="F19511" s="515" t="s">
        <v>20682</v>
      </c>
      <c r="G19511" s="52">
        <v>176578.31827749699</v>
      </c>
      <c r="H19511" s="56">
        <v>9.1822048748180035E-2</v>
      </c>
      <c r="I19511" s="224" t="s">
        <v>2</v>
      </c>
    </row>
    <row r="19512" spans="1:9" x14ac:dyDescent="0.25">
      <c r="A19512" s="515">
        <v>22542</v>
      </c>
      <c r="C19512" s="52">
        <v>309055.909929708</v>
      </c>
      <c r="D19512" s="56">
        <v>4.0911012628322516E-2</v>
      </c>
      <c r="E19512" s="224" t="s">
        <v>2</v>
      </c>
      <c r="F19512" s="515" t="s">
        <v>20683</v>
      </c>
      <c r="G19512" s="52">
        <v>174919.791542052</v>
      </c>
      <c r="H19512" s="56">
        <v>3.0406258735949102E-2</v>
      </c>
      <c r="I19512" s="224" t="s">
        <v>2</v>
      </c>
    </row>
    <row r="19513" spans="1:9" x14ac:dyDescent="0.25">
      <c r="A19513" s="515">
        <v>67473</v>
      </c>
      <c r="C19513" s="52">
        <v>76947.255376384506</v>
      </c>
      <c r="D19513" s="56">
        <v>0.11256505724668463</v>
      </c>
      <c r="E19513" s="224" t="s">
        <v>2</v>
      </c>
      <c r="F19513" s="515" t="s">
        <v>20684</v>
      </c>
      <c r="G19513" s="52">
        <v>242491.684107843</v>
      </c>
      <c r="H19513" s="56">
        <v>0.12551798312780579</v>
      </c>
      <c r="I19513" s="224" t="s">
        <v>2</v>
      </c>
    </row>
    <row r="19514" spans="1:9" x14ac:dyDescent="0.25">
      <c r="A19514" s="515">
        <v>4563</v>
      </c>
      <c r="C19514" s="52">
        <v>390577.94563034899</v>
      </c>
      <c r="D19514" s="56">
        <v>0.11362450244201336</v>
      </c>
      <c r="E19514" s="224" t="s">
        <v>2</v>
      </c>
      <c r="F19514" s="515" t="s">
        <v>20685</v>
      </c>
      <c r="G19514" s="52">
        <v>68630.526690347993</v>
      </c>
      <c r="H19514" s="56">
        <v>-7.2856696887531588E-2</v>
      </c>
      <c r="I19514" s="224" t="s">
        <v>2</v>
      </c>
    </row>
    <row r="19515" spans="1:9" x14ac:dyDescent="0.25">
      <c r="A19515" s="515">
        <v>54814</v>
      </c>
      <c r="C19515" s="52">
        <v>272181.59117952298</v>
      </c>
      <c r="D19515" s="56">
        <v>5.8831545706148763E-2</v>
      </c>
      <c r="E19515" s="224" t="s">
        <v>2</v>
      </c>
      <c r="F19515" s="515" t="s">
        <v>20686</v>
      </c>
      <c r="G19515" s="52">
        <v>75059.693785927506</v>
      </c>
      <c r="H19515" s="56">
        <v>3.9080037975987754E-3</v>
      </c>
      <c r="I19515" s="224" t="s">
        <v>2</v>
      </c>
    </row>
    <row r="19516" spans="1:9" x14ac:dyDescent="0.25">
      <c r="A19516" s="515">
        <v>36262</v>
      </c>
      <c r="C19516" s="52">
        <v>184453.892857142</v>
      </c>
      <c r="D19516" s="56">
        <v>0</v>
      </c>
      <c r="E19516" s="224" t="s">
        <v>2</v>
      </c>
      <c r="F19516" s="515" t="s">
        <v>20687</v>
      </c>
      <c r="G19516" s="52">
        <v>127058.55350125099</v>
      </c>
      <c r="H19516" s="56">
        <v>0.10956663602884816</v>
      </c>
      <c r="I19516" s="224" t="s">
        <v>2</v>
      </c>
    </row>
    <row r="19517" spans="1:9" x14ac:dyDescent="0.25">
      <c r="A19517" s="515">
        <v>54205</v>
      </c>
      <c r="B19517" s="515" t="s">
        <v>897</v>
      </c>
      <c r="C19517" s="52">
        <v>247673.87000033801</v>
      </c>
      <c r="D19517" s="56">
        <v>6.8033829421561512E-2</v>
      </c>
      <c r="E19517" s="224" t="s">
        <v>2</v>
      </c>
      <c r="F19517" s="515" t="s">
        <v>20688</v>
      </c>
      <c r="G19517" s="52">
        <v>128738.022226004</v>
      </c>
      <c r="H19517" s="56">
        <v>0.16951351930571595</v>
      </c>
      <c r="I19517" s="224" t="s">
        <v>2</v>
      </c>
    </row>
    <row r="19518" spans="1:9" x14ac:dyDescent="0.25">
      <c r="A19518" s="515">
        <v>39462</v>
      </c>
      <c r="B19518" s="515" t="s">
        <v>1074</v>
      </c>
      <c r="C19518" s="52">
        <v>129087.454724792</v>
      </c>
      <c r="D19518" s="56">
        <v>-4.0262511323134055E-2</v>
      </c>
      <c r="E19518" s="224" t="s">
        <v>2</v>
      </c>
      <c r="F19518" s="515" t="s">
        <v>20689</v>
      </c>
      <c r="G19518" s="52">
        <v>129104.565144939</v>
      </c>
      <c r="H19518" s="56">
        <v>0.19012076065431874</v>
      </c>
      <c r="I19518" s="224" t="s">
        <v>2</v>
      </c>
    </row>
    <row r="19519" spans="1:9" x14ac:dyDescent="0.25">
      <c r="A19519" s="515">
        <v>48748</v>
      </c>
      <c r="C19519" s="52">
        <v>120985.604214049</v>
      </c>
      <c r="D19519" s="56">
        <v>5.2015087488686919E-2</v>
      </c>
      <c r="E19519" s="224" t="s">
        <v>2</v>
      </c>
      <c r="F19519" s="515" t="s">
        <v>20690</v>
      </c>
      <c r="G19519" s="52">
        <v>281294.34848484799</v>
      </c>
      <c r="H19519" s="56">
        <v>0</v>
      </c>
      <c r="I19519" s="224" t="s">
        <v>2</v>
      </c>
    </row>
    <row r="19520" spans="1:9" x14ac:dyDescent="0.25">
      <c r="A19520" s="515">
        <v>68636</v>
      </c>
      <c r="C19520" s="52">
        <v>171368.61070960001</v>
      </c>
      <c r="D19520" s="56">
        <v>5.1607199520642716E-2</v>
      </c>
      <c r="E19520" s="224" t="s">
        <v>2</v>
      </c>
      <c r="F19520" s="515" t="s">
        <v>20691</v>
      </c>
      <c r="G19520" s="52">
        <v>209976.298256151</v>
      </c>
      <c r="H19520" s="56">
        <v>6.6470264683605285E-2</v>
      </c>
      <c r="I19520" s="224" t="s">
        <v>2</v>
      </c>
    </row>
    <row r="19521" spans="1:9" x14ac:dyDescent="0.25">
      <c r="A19521" s="515">
        <v>37866</v>
      </c>
      <c r="B19521" s="515" t="s">
        <v>907</v>
      </c>
      <c r="C19521" s="52">
        <v>374712.715998823</v>
      </c>
      <c r="D19521" s="56">
        <v>2.6968806045463475E-2</v>
      </c>
      <c r="E19521" s="224" t="s">
        <v>2</v>
      </c>
      <c r="F19521" s="515" t="s">
        <v>20692</v>
      </c>
      <c r="G19521" s="52">
        <v>148865.016393442</v>
      </c>
      <c r="H19521" s="56">
        <v>0</v>
      </c>
      <c r="I19521" s="224" t="s">
        <v>2</v>
      </c>
    </row>
    <row r="19522" spans="1:9" x14ac:dyDescent="0.25">
      <c r="A19522" s="515">
        <v>39772</v>
      </c>
      <c r="C19522" s="52">
        <v>99263.974491804998</v>
      </c>
      <c r="D19522" s="56">
        <v>4.7133759199001597E-2</v>
      </c>
      <c r="E19522" s="224" t="s">
        <v>2</v>
      </c>
      <c r="F19522" s="515" t="s">
        <v>20693</v>
      </c>
      <c r="G19522" s="52">
        <v>219088.06220424501</v>
      </c>
      <c r="H19522" s="56">
        <v>0</v>
      </c>
      <c r="I19522" s="224" t="s">
        <v>2</v>
      </c>
    </row>
    <row r="19523" spans="1:9" x14ac:dyDescent="0.25">
      <c r="A19523" s="515">
        <v>83654</v>
      </c>
      <c r="C19523" s="52">
        <v>582264.67543814203</v>
      </c>
      <c r="D19523" s="56">
        <v>3.3954011298805882E-2</v>
      </c>
      <c r="E19523" s="224" t="s">
        <v>2</v>
      </c>
      <c r="F19523" s="515" t="s">
        <v>20694</v>
      </c>
      <c r="G19523" s="52">
        <v>117702.498147348</v>
      </c>
      <c r="H19523" s="56">
        <v>1.6452174882848145E-2</v>
      </c>
      <c r="I19523" s="224" t="s">
        <v>2</v>
      </c>
    </row>
    <row r="19524" spans="1:9" x14ac:dyDescent="0.25">
      <c r="A19524" s="515">
        <v>74081</v>
      </c>
      <c r="B19524" s="515" t="s">
        <v>348</v>
      </c>
      <c r="C19524" s="52">
        <v>153660.58690702301</v>
      </c>
      <c r="D19524" s="56">
        <v>0.10695245133058848</v>
      </c>
      <c r="E19524" s="224" t="s">
        <v>2</v>
      </c>
      <c r="F19524" s="515" t="s">
        <v>20695</v>
      </c>
      <c r="G19524" s="52">
        <v>129933.764044943</v>
      </c>
      <c r="H19524" s="56">
        <v>0</v>
      </c>
      <c r="I19524" s="224" t="s">
        <v>2</v>
      </c>
    </row>
    <row r="19525" spans="1:9" x14ac:dyDescent="0.25">
      <c r="A19525" s="515">
        <v>57638</v>
      </c>
      <c r="C19525" s="52">
        <v>126435.415686131</v>
      </c>
      <c r="D19525" s="56">
        <v>0.16282766427381648</v>
      </c>
      <c r="E19525" s="224" t="s">
        <v>2</v>
      </c>
      <c r="F19525" s="515" t="s">
        <v>20696</v>
      </c>
      <c r="G19525" s="52">
        <v>203878.74133655001</v>
      </c>
      <c r="H19525" s="56">
        <v>6.9121420857649225E-3</v>
      </c>
      <c r="I19525" s="224" t="s">
        <v>2</v>
      </c>
    </row>
    <row r="19526" spans="1:9" x14ac:dyDescent="0.25">
      <c r="A19526" s="515">
        <v>80813</v>
      </c>
      <c r="B19526" s="515" t="s">
        <v>701</v>
      </c>
      <c r="C19526" s="52">
        <v>316800.16694358399</v>
      </c>
      <c r="D19526" s="56">
        <v>5.5106844169033262E-2</v>
      </c>
      <c r="E19526" s="224" t="s">
        <v>2</v>
      </c>
      <c r="F19526" s="515" t="s">
        <v>20697</v>
      </c>
      <c r="G19526" s="52">
        <v>108371.156781235</v>
      </c>
      <c r="H19526" s="56">
        <v>0</v>
      </c>
      <c r="I19526" s="224" t="s">
        <v>2</v>
      </c>
    </row>
    <row r="19527" spans="1:9" x14ac:dyDescent="0.25">
      <c r="A19527" s="515">
        <v>27016</v>
      </c>
      <c r="B19527" s="515" t="s">
        <v>735</v>
      </c>
      <c r="C19527" s="52">
        <v>172784.677969168</v>
      </c>
      <c r="D19527" s="56">
        <v>0.20290288502989334</v>
      </c>
      <c r="E19527" s="224" t="s">
        <v>2</v>
      </c>
      <c r="F19527" s="515" t="s">
        <v>20698</v>
      </c>
      <c r="G19527" s="52">
        <v>441360.57777524699</v>
      </c>
      <c r="H19527" s="56">
        <v>8.9022002133507819E-2</v>
      </c>
      <c r="I19527" s="224" t="s">
        <v>2</v>
      </c>
    </row>
    <row r="19528" spans="1:9" x14ac:dyDescent="0.25">
      <c r="A19528" s="515">
        <v>4652</v>
      </c>
      <c r="C19528" s="52">
        <v>217461.32571745501</v>
      </c>
      <c r="D19528" s="56">
        <v>8.9924296012578897E-2</v>
      </c>
      <c r="E19528" s="224" t="s">
        <v>2</v>
      </c>
      <c r="F19528" s="515" t="s">
        <v>20699</v>
      </c>
      <c r="G19528" s="52">
        <v>110624.647646952</v>
      </c>
      <c r="H19528" s="56">
        <v>0.15553146643539245</v>
      </c>
      <c r="I19528" s="224" t="s">
        <v>2</v>
      </c>
    </row>
    <row r="19529" spans="1:9" x14ac:dyDescent="0.25">
      <c r="A19529" s="515">
        <v>44853</v>
      </c>
      <c r="B19529" s="515" t="s">
        <v>463</v>
      </c>
      <c r="C19529" s="52">
        <v>200263.65516825201</v>
      </c>
      <c r="D19529" s="56">
        <v>8.7652983084133163E-2</v>
      </c>
      <c r="E19529" s="224" t="s">
        <v>2</v>
      </c>
      <c r="F19529" s="515" t="s">
        <v>20700</v>
      </c>
      <c r="G19529" s="52">
        <v>241734.84993507899</v>
      </c>
      <c r="H19529" s="56">
        <v>5.7488313682384939E-2</v>
      </c>
      <c r="I19529" s="224" t="s">
        <v>2</v>
      </c>
    </row>
    <row r="19530" spans="1:9" x14ac:dyDescent="0.25">
      <c r="A19530" s="515">
        <v>86332</v>
      </c>
      <c r="B19530" s="515" t="s">
        <v>332</v>
      </c>
      <c r="C19530" s="52">
        <v>303249.83001614001</v>
      </c>
      <c r="D19530" s="56">
        <v>5.6216476637591793E-2</v>
      </c>
      <c r="E19530" s="224" t="s">
        <v>2</v>
      </c>
      <c r="F19530" s="515" t="s">
        <v>20701</v>
      </c>
      <c r="G19530" s="52">
        <v>281201.53024064098</v>
      </c>
      <c r="H19530" s="56">
        <v>2.1411663443845499E-2</v>
      </c>
      <c r="I19530" s="224" t="s">
        <v>2</v>
      </c>
    </row>
    <row r="19531" spans="1:9" x14ac:dyDescent="0.25">
      <c r="A19531" s="515">
        <v>68341</v>
      </c>
      <c r="C19531" s="52">
        <v>169993.685711161</v>
      </c>
      <c r="D19531" s="56">
        <v>0.17363524748453665</v>
      </c>
      <c r="E19531" s="224" t="s">
        <v>2</v>
      </c>
      <c r="F19531" s="515" t="s">
        <v>20702</v>
      </c>
      <c r="G19531" s="52">
        <v>38532.484361723204</v>
      </c>
      <c r="H19531" s="56">
        <v>-0.17448902113639791</v>
      </c>
      <c r="I19531" s="224" t="s">
        <v>2</v>
      </c>
    </row>
    <row r="19532" spans="1:9" x14ac:dyDescent="0.25">
      <c r="A19532" s="515">
        <v>26050</v>
      </c>
      <c r="B19532" s="515" t="s">
        <v>389</v>
      </c>
      <c r="C19532" s="52">
        <v>48574.3128949362</v>
      </c>
      <c r="D19532" s="56">
        <v>4.2948344971730237E-2</v>
      </c>
      <c r="E19532" s="224" t="s">
        <v>2</v>
      </c>
      <c r="F19532" s="515" t="s">
        <v>20703</v>
      </c>
      <c r="G19532" s="52">
        <v>555770.36027124198</v>
      </c>
      <c r="H19532" s="56">
        <v>2.785940089351133E-2</v>
      </c>
      <c r="I19532" s="224" t="s">
        <v>2</v>
      </c>
    </row>
    <row r="19533" spans="1:9" x14ac:dyDescent="0.25">
      <c r="A19533" s="515">
        <v>76371</v>
      </c>
      <c r="C19533" s="52">
        <v>68196.675152255804</v>
      </c>
      <c r="D19533" s="56">
        <v>0</v>
      </c>
      <c r="E19533" s="224" t="s">
        <v>2</v>
      </c>
      <c r="F19533" s="515" t="s">
        <v>20704</v>
      </c>
      <c r="G19533" s="52">
        <v>239738.990196078</v>
      </c>
      <c r="H19533" s="56">
        <v>0</v>
      </c>
      <c r="I19533" s="224" t="s">
        <v>2</v>
      </c>
    </row>
    <row r="19534" spans="1:9" x14ac:dyDescent="0.25">
      <c r="A19534" s="515">
        <v>56446</v>
      </c>
      <c r="C19534" s="52">
        <v>196497.17094145899</v>
      </c>
      <c r="D19534" s="56">
        <v>6.1211964064849432E-2</v>
      </c>
      <c r="E19534" s="224" t="s">
        <v>2</v>
      </c>
      <c r="F19534" s="515" t="s">
        <v>20705</v>
      </c>
      <c r="G19534" s="52">
        <v>194452.53750000001</v>
      </c>
      <c r="H19534" s="56">
        <v>0</v>
      </c>
      <c r="I19534" s="224" t="s">
        <v>2</v>
      </c>
    </row>
    <row r="19535" spans="1:9" x14ac:dyDescent="0.25">
      <c r="A19535" s="515">
        <v>46776</v>
      </c>
      <c r="B19535" s="515" t="s">
        <v>1072</v>
      </c>
      <c r="C19535" s="52">
        <v>183367.62299458799</v>
      </c>
      <c r="D19535" s="56">
        <v>6.4829913934544417E-2</v>
      </c>
      <c r="E19535" s="224" t="s">
        <v>2</v>
      </c>
      <c r="F19535" s="515" t="s">
        <v>20706</v>
      </c>
      <c r="G19535" s="52">
        <v>524555.90631190804</v>
      </c>
      <c r="H19535" s="56">
        <v>-4.7884327029466432E-3</v>
      </c>
      <c r="I19535" s="224" t="s">
        <v>2</v>
      </c>
    </row>
    <row r="19536" spans="1:9" x14ac:dyDescent="0.25">
      <c r="A19536" s="515">
        <v>84774</v>
      </c>
      <c r="B19536" s="515" t="s">
        <v>522</v>
      </c>
      <c r="C19536" s="52">
        <v>541337.249003064</v>
      </c>
      <c r="D19536" s="56">
        <v>-5.1247488987832858E-3</v>
      </c>
      <c r="E19536" s="224" t="s">
        <v>2</v>
      </c>
      <c r="F19536" s="515" t="s">
        <v>20707</v>
      </c>
      <c r="G19536" s="52">
        <v>103996.71353023899</v>
      </c>
      <c r="H19536" s="56">
        <v>9.3700093268339113E-2</v>
      </c>
      <c r="I19536" s="224" t="s">
        <v>2</v>
      </c>
    </row>
    <row r="19537" spans="1:9" x14ac:dyDescent="0.25">
      <c r="A19537" s="515">
        <v>53576</v>
      </c>
      <c r="B19537" s="515" t="s">
        <v>379</v>
      </c>
      <c r="C19537" s="52">
        <v>219779.63926812599</v>
      </c>
      <c r="D19537" s="56">
        <v>6.6904116208376982E-2</v>
      </c>
      <c r="E19537" s="224" t="s">
        <v>2</v>
      </c>
      <c r="F19537" s="515" t="s">
        <v>20708</v>
      </c>
      <c r="G19537" s="52">
        <v>148948.02578487899</v>
      </c>
      <c r="H19537" s="56">
        <v>0.11688975355411521</v>
      </c>
      <c r="I19537" s="224" t="s">
        <v>2</v>
      </c>
    </row>
    <row r="19538" spans="1:9" x14ac:dyDescent="0.25">
      <c r="A19538" s="515">
        <v>42528</v>
      </c>
      <c r="C19538" s="52">
        <v>117944.943749175</v>
      </c>
      <c r="D19538" s="56">
        <v>0.19443614382419541</v>
      </c>
      <c r="E19538" s="224" t="s">
        <v>2</v>
      </c>
      <c r="F19538" s="515" t="s">
        <v>20709</v>
      </c>
      <c r="G19538" s="52">
        <v>82116.711773848001</v>
      </c>
      <c r="H19538" s="56">
        <v>0.10780164293055707</v>
      </c>
      <c r="I19538" s="224" t="s">
        <v>2</v>
      </c>
    </row>
    <row r="19539" spans="1:9" x14ac:dyDescent="0.25">
      <c r="A19539" s="515">
        <v>28693</v>
      </c>
      <c r="C19539" s="52">
        <v>234722.65377013799</v>
      </c>
      <c r="D19539" s="56">
        <v>8.3435139312792908E-2</v>
      </c>
      <c r="E19539" s="224" t="s">
        <v>2</v>
      </c>
      <c r="F19539" s="515" t="s">
        <v>20710</v>
      </c>
      <c r="G19539" s="52">
        <v>410678.08962403901</v>
      </c>
      <c r="H19539" s="56">
        <v>8.5717345750890905E-2</v>
      </c>
      <c r="I19539" s="224" t="s">
        <v>2</v>
      </c>
    </row>
    <row r="19540" spans="1:9" x14ac:dyDescent="0.25">
      <c r="A19540" s="515">
        <v>66968</v>
      </c>
      <c r="C19540" s="52">
        <v>103022.07549844201</v>
      </c>
      <c r="D19540" s="56">
        <v>0.12917073083127928</v>
      </c>
      <c r="E19540" s="224" t="s">
        <v>2</v>
      </c>
      <c r="F19540" s="515" t="s">
        <v>20711</v>
      </c>
      <c r="G19540" s="52">
        <v>87827.363636363603</v>
      </c>
      <c r="H19540" s="56">
        <v>0</v>
      </c>
      <c r="I19540" s="224" t="s">
        <v>2</v>
      </c>
    </row>
    <row r="19541" spans="1:9" x14ac:dyDescent="0.25">
      <c r="A19541" s="515">
        <v>31097</v>
      </c>
      <c r="B19541" s="515" t="s">
        <v>964</v>
      </c>
      <c r="C19541" s="52">
        <v>180347.71433933801</v>
      </c>
      <c r="D19541" s="56">
        <v>0.14561138102731319</v>
      </c>
      <c r="E19541" s="224" t="s">
        <v>2</v>
      </c>
      <c r="F19541" s="515" t="s">
        <v>20712</v>
      </c>
      <c r="G19541" s="52">
        <v>228300.57322220699</v>
      </c>
      <c r="H19541" s="56">
        <v>0.1659184148521603</v>
      </c>
      <c r="I19541" s="224" t="s">
        <v>2</v>
      </c>
    </row>
    <row r="19542" spans="1:9" x14ac:dyDescent="0.25">
      <c r="A19542" s="515">
        <v>41719</v>
      </c>
      <c r="C19542" s="52">
        <v>85393.838082177201</v>
      </c>
      <c r="D19542" s="56">
        <v>0.14863545469675576</v>
      </c>
      <c r="E19542" s="224" t="s">
        <v>2</v>
      </c>
      <c r="F19542" s="515" t="s">
        <v>20713</v>
      </c>
      <c r="G19542" s="52">
        <v>211358.63046032799</v>
      </c>
      <c r="H19542" s="56">
        <v>0.14523448775165693</v>
      </c>
      <c r="I19542" s="224" t="s">
        <v>2</v>
      </c>
    </row>
    <row r="19543" spans="1:9" x14ac:dyDescent="0.25">
      <c r="A19543" s="515">
        <v>43435</v>
      </c>
      <c r="B19543" s="515" t="s">
        <v>878</v>
      </c>
      <c r="C19543" s="52">
        <v>186677.228467162</v>
      </c>
      <c r="D19543" s="56">
        <v>8.638931643764533E-2</v>
      </c>
      <c r="E19543" s="224" t="s">
        <v>2</v>
      </c>
      <c r="F19543" s="515" t="s">
        <v>20714</v>
      </c>
      <c r="G19543" s="52">
        <v>235978.32428718399</v>
      </c>
      <c r="H19543" s="56">
        <v>5.590261570086711E-2</v>
      </c>
      <c r="I19543" s="224" t="s">
        <v>2</v>
      </c>
    </row>
    <row r="19544" spans="1:9" x14ac:dyDescent="0.25">
      <c r="A19544" s="515">
        <v>44695</v>
      </c>
      <c r="B19544" s="515" t="s">
        <v>863</v>
      </c>
      <c r="C19544" s="52">
        <v>141209.06656098799</v>
      </c>
      <c r="D19544" s="56">
        <v>3.4653721420821078E-2</v>
      </c>
      <c r="E19544" s="224" t="s">
        <v>2</v>
      </c>
      <c r="F19544" s="515" t="s">
        <v>20715</v>
      </c>
      <c r="G19544" s="52">
        <v>145338.611595572</v>
      </c>
      <c r="H19544" s="56">
        <v>-2.1602654755977464E-2</v>
      </c>
      <c r="I19544" s="224" t="s">
        <v>2</v>
      </c>
    </row>
    <row r="19545" spans="1:9" x14ac:dyDescent="0.25">
      <c r="A19545" s="515">
        <v>8740</v>
      </c>
      <c r="B19545" s="515" t="s">
        <v>324</v>
      </c>
      <c r="C19545" s="52">
        <v>339812.662512557</v>
      </c>
      <c r="D19545" s="56">
        <v>9.4102212608265595E-2</v>
      </c>
      <c r="E19545" s="224" t="s">
        <v>2</v>
      </c>
      <c r="F19545" s="515" t="s">
        <v>20716</v>
      </c>
      <c r="G19545" s="52">
        <v>164753.57905789599</v>
      </c>
      <c r="H19545" s="56">
        <v>0</v>
      </c>
      <c r="I19545" s="224" t="s">
        <v>2</v>
      </c>
    </row>
    <row r="19546" spans="1:9" x14ac:dyDescent="0.25">
      <c r="A19546" s="515">
        <v>14743</v>
      </c>
      <c r="B19546" s="515" t="s">
        <v>870</v>
      </c>
      <c r="C19546" s="52">
        <v>122622.014733289</v>
      </c>
      <c r="D19546" s="56">
        <v>0.15953014799002277</v>
      </c>
      <c r="E19546" s="224" t="s">
        <v>2</v>
      </c>
      <c r="F19546" s="515" t="s">
        <v>20717</v>
      </c>
      <c r="G19546" s="52">
        <v>161427.20863202799</v>
      </c>
      <c r="H19546" s="56">
        <v>-2.72641343274635E-2</v>
      </c>
      <c r="I19546" s="224" t="s">
        <v>2</v>
      </c>
    </row>
    <row r="19547" spans="1:9" x14ac:dyDescent="0.25">
      <c r="A19547" s="515">
        <v>67448</v>
      </c>
      <c r="B19547" s="515" t="s">
        <v>715</v>
      </c>
      <c r="C19547" s="52">
        <v>187910.15222829301</v>
      </c>
      <c r="D19547" s="56">
        <v>1.7023627313796925E-3</v>
      </c>
      <c r="E19547" s="224" t="s">
        <v>2</v>
      </c>
      <c r="F19547" s="515" t="s">
        <v>20718</v>
      </c>
      <c r="G19547" s="52">
        <v>218077.457996012</v>
      </c>
      <c r="H19547" s="56">
        <v>0</v>
      </c>
      <c r="I19547" s="224" t="s">
        <v>2</v>
      </c>
    </row>
    <row r="19548" spans="1:9" x14ac:dyDescent="0.25">
      <c r="A19548" s="515">
        <v>72611</v>
      </c>
      <c r="C19548" s="52">
        <v>155861.67500112901</v>
      </c>
      <c r="D19548" s="56">
        <v>1.9293692348731243E-2</v>
      </c>
      <c r="E19548" s="224" t="s">
        <v>2</v>
      </c>
      <c r="F19548" s="515" t="s">
        <v>20719</v>
      </c>
      <c r="G19548" s="52">
        <v>290538.74024174502</v>
      </c>
      <c r="H19548" s="56">
        <v>8.1588197329357126E-2</v>
      </c>
      <c r="I19548" s="224" t="s">
        <v>2</v>
      </c>
    </row>
    <row r="19549" spans="1:9" x14ac:dyDescent="0.25">
      <c r="A19549" s="515">
        <v>23415</v>
      </c>
      <c r="C19549" s="52">
        <v>97195.391799544406</v>
      </c>
      <c r="D19549" s="56">
        <v>0</v>
      </c>
      <c r="E19549" s="224" t="s">
        <v>2</v>
      </c>
      <c r="F19549" s="515" t="s">
        <v>20720</v>
      </c>
      <c r="G19549" s="52">
        <v>113873.1845973</v>
      </c>
      <c r="H19549" s="56">
        <v>9.9795944315264354E-2</v>
      </c>
      <c r="I19549" s="224" t="s">
        <v>2</v>
      </c>
    </row>
    <row r="19550" spans="1:9" x14ac:dyDescent="0.25">
      <c r="A19550" s="515">
        <v>37348</v>
      </c>
      <c r="C19550" s="52">
        <v>209255.85542631199</v>
      </c>
      <c r="D19550" s="56">
        <v>0.13766829963981023</v>
      </c>
      <c r="E19550" s="224" t="s">
        <v>2</v>
      </c>
      <c r="F19550" s="515" t="s">
        <v>20721</v>
      </c>
      <c r="G19550" s="52">
        <v>104922.80081525999</v>
      </c>
      <c r="H19550" s="56">
        <v>9.234804832719383E-2</v>
      </c>
      <c r="I19550" s="224" t="s">
        <v>2</v>
      </c>
    </row>
    <row r="19551" spans="1:9" x14ac:dyDescent="0.25">
      <c r="A19551" s="515">
        <v>23898</v>
      </c>
      <c r="B19551" s="515" t="s">
        <v>301</v>
      </c>
      <c r="C19551" s="52">
        <v>286013.64035463298</v>
      </c>
      <c r="D19551" s="56">
        <v>4.2746921264659586E-2</v>
      </c>
      <c r="E19551" s="224" t="s">
        <v>2</v>
      </c>
      <c r="F19551" s="515" t="s">
        <v>20722</v>
      </c>
      <c r="G19551" s="52">
        <v>389752.69491102698</v>
      </c>
      <c r="H19551" s="56">
        <v>7.6905327711182914E-2</v>
      </c>
      <c r="I19551" s="224" t="s">
        <v>2</v>
      </c>
    </row>
    <row r="19552" spans="1:9" x14ac:dyDescent="0.25">
      <c r="A19552" s="515">
        <v>95612</v>
      </c>
      <c r="B19552" s="515" t="s">
        <v>355</v>
      </c>
      <c r="C19552" s="52">
        <v>710519.93325525499</v>
      </c>
      <c r="D19552" s="56">
        <v>-6.2839603266450675E-2</v>
      </c>
      <c r="E19552" s="224" t="s">
        <v>2</v>
      </c>
      <c r="F19552" s="515" t="s">
        <v>20723</v>
      </c>
      <c r="G19552" s="52">
        <v>336231.40789473598</v>
      </c>
      <c r="H19552" s="56">
        <v>0</v>
      </c>
      <c r="I19552" s="224" t="s">
        <v>2</v>
      </c>
    </row>
    <row r="19553" spans="1:9" x14ac:dyDescent="0.25">
      <c r="A19553" s="515">
        <v>4029</v>
      </c>
      <c r="B19553" s="515" t="s">
        <v>570</v>
      </c>
      <c r="C19553" s="52">
        <v>371602.79355705099</v>
      </c>
      <c r="D19553" s="56">
        <v>0.1132384567777802</v>
      </c>
      <c r="E19553" s="224" t="s">
        <v>2</v>
      </c>
      <c r="F19553" s="515" t="s">
        <v>20724</v>
      </c>
      <c r="G19553" s="52">
        <v>162999.493184633</v>
      </c>
      <c r="H19553" s="56">
        <v>0.1504588697788585</v>
      </c>
      <c r="I19553" s="224" t="s">
        <v>2</v>
      </c>
    </row>
    <row r="19554" spans="1:9" x14ac:dyDescent="0.25">
      <c r="A19554" s="515">
        <v>16133</v>
      </c>
      <c r="B19554" s="515" t="s">
        <v>397</v>
      </c>
      <c r="C19554" s="52">
        <v>153275.766249365</v>
      </c>
      <c r="D19554" s="56">
        <v>-2.9503616396983425E-2</v>
      </c>
      <c r="E19554" s="224" t="s">
        <v>2</v>
      </c>
      <c r="F19554" s="515" t="s">
        <v>20725</v>
      </c>
      <c r="G19554" s="52">
        <v>140621.165128728</v>
      </c>
      <c r="H19554" s="56">
        <v>6.8609084694982669E-2</v>
      </c>
      <c r="I19554" s="224" t="s">
        <v>2</v>
      </c>
    </row>
    <row r="19555" spans="1:9" x14ac:dyDescent="0.25">
      <c r="A19555" s="515">
        <v>4634</v>
      </c>
      <c r="C19555" s="52">
        <v>245775.53054872699</v>
      </c>
      <c r="D19555" s="56">
        <v>5.8380369200744478E-2</v>
      </c>
      <c r="E19555" s="224" t="s">
        <v>2</v>
      </c>
      <c r="F19555" s="515" t="s">
        <v>20726</v>
      </c>
      <c r="G19555" s="52">
        <v>228560.12980422101</v>
      </c>
      <c r="H19555" s="56">
        <v>0.10400912224026453</v>
      </c>
      <c r="I19555" s="224" t="s">
        <v>2</v>
      </c>
    </row>
    <row r="19556" spans="1:9" x14ac:dyDescent="0.25">
      <c r="A19556" s="515">
        <v>54541</v>
      </c>
      <c r="C19556" s="52">
        <v>138461.788523378</v>
      </c>
      <c r="D19556" s="56">
        <v>9.9392059275578426E-2</v>
      </c>
      <c r="E19556" s="224" t="s">
        <v>2</v>
      </c>
      <c r="F19556" s="515" t="s">
        <v>20727</v>
      </c>
      <c r="G19556" s="52">
        <v>145270.20885037401</v>
      </c>
      <c r="H19556" s="56">
        <v>8.2668053412464637E-2</v>
      </c>
      <c r="I19556" s="224" t="s">
        <v>2</v>
      </c>
    </row>
    <row r="19557" spans="1:9" x14ac:dyDescent="0.25">
      <c r="A19557" s="515">
        <v>67870</v>
      </c>
      <c r="C19557" s="52">
        <v>121764.798714253</v>
      </c>
      <c r="D19557" s="56">
        <v>8.9259920951516691E-2</v>
      </c>
      <c r="E19557" s="224" t="s">
        <v>2</v>
      </c>
      <c r="F19557" s="515" t="s">
        <v>20728</v>
      </c>
      <c r="G19557" s="52">
        <v>280428.84164000402</v>
      </c>
      <c r="H19557" s="56">
        <v>8.3801507915352902E-2</v>
      </c>
      <c r="I19557" s="224" t="s">
        <v>2</v>
      </c>
    </row>
    <row r="19558" spans="1:9" x14ac:dyDescent="0.25">
      <c r="A19558" s="515">
        <v>32334</v>
      </c>
      <c r="C19558" s="52">
        <v>152518.059135149</v>
      </c>
      <c r="D19558" s="56">
        <v>8.6685916087237094E-2</v>
      </c>
      <c r="E19558" s="224" t="s">
        <v>2</v>
      </c>
      <c r="F19558" s="515" t="s">
        <v>20729</v>
      </c>
      <c r="G19558" s="52">
        <v>110422.938505881</v>
      </c>
      <c r="H19558" s="56">
        <v>-3.4800985627622093E-2</v>
      </c>
      <c r="I19558" s="224" t="s">
        <v>2</v>
      </c>
    </row>
    <row r="19559" spans="1:9" x14ac:dyDescent="0.25">
      <c r="A19559" s="515">
        <v>52347</v>
      </c>
      <c r="C19559" s="52">
        <v>148005.23702898799</v>
      </c>
      <c r="D19559" s="56">
        <v>8.8452242162276651E-2</v>
      </c>
      <c r="E19559" s="224" t="s">
        <v>2</v>
      </c>
      <c r="F19559" s="515" t="s">
        <v>20730</v>
      </c>
      <c r="G19559" s="52">
        <v>535725.57331713801</v>
      </c>
      <c r="H19559" s="56">
        <v>0.16848793533947956</v>
      </c>
      <c r="I19559" s="224" t="s">
        <v>2</v>
      </c>
    </row>
    <row r="19560" spans="1:9" x14ac:dyDescent="0.25">
      <c r="A19560" s="515">
        <v>45672</v>
      </c>
      <c r="C19560" s="52">
        <v>112249.99015319999</v>
      </c>
      <c r="D19560" s="56">
        <v>7.2410468203024839E-2</v>
      </c>
      <c r="E19560" s="224" t="s">
        <v>2</v>
      </c>
      <c r="F19560" s="515" t="s">
        <v>20731</v>
      </c>
      <c r="G19560" s="52">
        <v>108456.306694186</v>
      </c>
      <c r="H19560" s="56">
        <v>7.8827005061135935E-2</v>
      </c>
      <c r="I19560" s="224" t="s">
        <v>2</v>
      </c>
    </row>
    <row r="19561" spans="1:9" x14ac:dyDescent="0.25">
      <c r="A19561" s="515">
        <v>30234</v>
      </c>
      <c r="B19561" s="515" t="s">
        <v>957</v>
      </c>
      <c r="C19561" s="52">
        <v>231761.52179971401</v>
      </c>
      <c r="D19561" s="56">
        <v>0.10521856015958773</v>
      </c>
      <c r="E19561" s="224" t="s">
        <v>2</v>
      </c>
      <c r="F19561" s="515" t="s">
        <v>20732</v>
      </c>
      <c r="G19561" s="52">
        <v>156573.865034382</v>
      </c>
      <c r="H19561" s="56">
        <v>9.6461106269268862E-2</v>
      </c>
      <c r="I19561" s="224" t="s">
        <v>2</v>
      </c>
    </row>
    <row r="19562" spans="1:9" x14ac:dyDescent="0.25">
      <c r="A19562" s="515">
        <v>65024</v>
      </c>
      <c r="B19562" s="515" t="s">
        <v>711</v>
      </c>
      <c r="C19562" s="52">
        <v>154758.0703125</v>
      </c>
      <c r="D19562" s="56">
        <v>0</v>
      </c>
      <c r="E19562" s="224" t="s">
        <v>2</v>
      </c>
      <c r="F19562" s="515" t="s">
        <v>20733</v>
      </c>
      <c r="G19562" s="52">
        <v>266850.27801411803</v>
      </c>
      <c r="H19562" s="56">
        <v>9.471497651405307E-2</v>
      </c>
      <c r="I19562" s="224" t="s">
        <v>2</v>
      </c>
    </row>
    <row r="19563" spans="1:9" x14ac:dyDescent="0.25">
      <c r="A19563" s="515">
        <v>18832</v>
      </c>
      <c r="B19563" s="515" t="s">
        <v>699</v>
      </c>
      <c r="C19563" s="52">
        <v>151286.50142484001</v>
      </c>
      <c r="D19563" s="56">
        <v>5.2833134713616212E-2</v>
      </c>
      <c r="E19563" s="224" t="s">
        <v>2</v>
      </c>
      <c r="F19563" s="515" t="s">
        <v>20734</v>
      </c>
      <c r="G19563" s="52">
        <v>129353.561880692</v>
      </c>
      <c r="H19563" s="56">
        <v>0.1064168062437547</v>
      </c>
      <c r="I19563" s="224" t="s">
        <v>2</v>
      </c>
    </row>
    <row r="19564" spans="1:9" x14ac:dyDescent="0.25">
      <c r="A19564" s="515">
        <v>47147</v>
      </c>
      <c r="B19564" s="515" t="s">
        <v>1071</v>
      </c>
      <c r="C19564" s="52">
        <v>227839.18753072299</v>
      </c>
      <c r="D19564" s="56">
        <v>8.5516336063218581E-2</v>
      </c>
      <c r="E19564" s="224" t="s">
        <v>2</v>
      </c>
      <c r="F19564" s="515" t="s">
        <v>20735</v>
      </c>
      <c r="G19564" s="52">
        <v>248771.00700447799</v>
      </c>
      <c r="H19564" s="56">
        <v>8.1847043891718527E-2</v>
      </c>
      <c r="I19564" s="224" t="s">
        <v>2</v>
      </c>
    </row>
    <row r="19565" spans="1:9" x14ac:dyDescent="0.25">
      <c r="A19565" s="515">
        <v>36855</v>
      </c>
      <c r="B19565" s="515" t="s">
        <v>1066</v>
      </c>
      <c r="C19565" s="52">
        <v>137260.98703834799</v>
      </c>
      <c r="D19565" s="56">
        <v>-1.2136006361837901E-2</v>
      </c>
      <c r="E19565" s="224" t="s">
        <v>2</v>
      </c>
      <c r="F19565" s="515" t="s">
        <v>20736</v>
      </c>
      <c r="G19565" s="52">
        <v>1380452.3644580799</v>
      </c>
      <c r="H19565" s="56">
        <v>-2.7975637460233155E-2</v>
      </c>
      <c r="I19565" s="224" t="s">
        <v>2</v>
      </c>
    </row>
    <row r="19566" spans="1:9" x14ac:dyDescent="0.25">
      <c r="A19566" s="515">
        <v>38674</v>
      </c>
      <c r="C19566" s="52">
        <v>108656.502578179</v>
      </c>
      <c r="D19566" s="56">
        <v>3.0700008818192782E-2</v>
      </c>
      <c r="E19566" s="224" t="s">
        <v>2</v>
      </c>
      <c r="F19566" s="515" t="s">
        <v>20737</v>
      </c>
      <c r="G19566" s="52">
        <v>132484.019906873</v>
      </c>
      <c r="H19566" s="56">
        <v>1.8391318281272752E-3</v>
      </c>
      <c r="I19566" s="224" t="s">
        <v>2</v>
      </c>
    </row>
    <row r="19567" spans="1:9" x14ac:dyDescent="0.25">
      <c r="A19567" s="515">
        <v>20693</v>
      </c>
      <c r="B19567" s="515" t="s">
        <v>321</v>
      </c>
      <c r="C19567" s="52">
        <v>441802.98199646903</v>
      </c>
      <c r="D19567" s="56">
        <v>2.7595020848332152E-2</v>
      </c>
      <c r="E19567" s="224" t="s">
        <v>2</v>
      </c>
      <c r="F19567" s="515" t="s">
        <v>20738</v>
      </c>
      <c r="G19567" s="52">
        <v>392742.072789589</v>
      </c>
      <c r="H19567" s="56">
        <v>0.12477376956830634</v>
      </c>
      <c r="I19567" s="224" t="s">
        <v>2</v>
      </c>
    </row>
    <row r="19568" spans="1:9" x14ac:dyDescent="0.25">
      <c r="A19568" s="515">
        <v>38030</v>
      </c>
      <c r="B19568" s="515" t="s">
        <v>906</v>
      </c>
      <c r="C19568" s="52">
        <v>100244.993371005</v>
      </c>
      <c r="D19568" s="56">
        <v>0</v>
      </c>
      <c r="E19568" s="224" t="s">
        <v>2</v>
      </c>
      <c r="F19568" s="515" t="s">
        <v>20739</v>
      </c>
      <c r="G19568" s="52">
        <v>87022.891713613906</v>
      </c>
      <c r="H19568" s="56">
        <v>0.22514438842295043</v>
      </c>
      <c r="I19568" s="224" t="s">
        <v>2</v>
      </c>
    </row>
    <row r="19569" spans="1:9" x14ac:dyDescent="0.25">
      <c r="A19569" s="515">
        <v>73552</v>
      </c>
      <c r="B19569" s="515" t="s">
        <v>364</v>
      </c>
      <c r="C19569" s="52">
        <v>127928.15348361801</v>
      </c>
      <c r="D19569" s="56">
        <v>9.6403564003683398E-2</v>
      </c>
      <c r="E19569" s="224" t="s">
        <v>2</v>
      </c>
      <c r="F19569" s="515" t="s">
        <v>20740</v>
      </c>
      <c r="G19569" s="52">
        <v>405439.25377688202</v>
      </c>
      <c r="H19569" s="56">
        <v>0.15419147740838576</v>
      </c>
      <c r="I19569" s="224" t="s">
        <v>2</v>
      </c>
    </row>
    <row r="19570" spans="1:9" x14ac:dyDescent="0.25">
      <c r="A19570" s="515">
        <v>49893</v>
      </c>
      <c r="B19570" s="515" t="s">
        <v>923</v>
      </c>
      <c r="C19570" s="52">
        <v>171178.54788210499</v>
      </c>
      <c r="D19570" s="56">
        <v>7.7530168788495762E-3</v>
      </c>
      <c r="E19570" s="224" t="s">
        <v>2</v>
      </c>
      <c r="F19570" s="515" t="s">
        <v>20741</v>
      </c>
      <c r="G19570" s="52">
        <v>198095.075220834</v>
      </c>
      <c r="H19570" s="56">
        <v>4.4749289974401613E-2</v>
      </c>
      <c r="I19570" s="224" t="s">
        <v>2</v>
      </c>
    </row>
    <row r="19571" spans="1:9" x14ac:dyDescent="0.25">
      <c r="A19571" s="515">
        <v>99402</v>
      </c>
      <c r="B19571" s="515" t="s">
        <v>736</v>
      </c>
      <c r="C19571" s="52">
        <v>347277.354542955</v>
      </c>
      <c r="D19571" s="56">
        <v>9.6954215423084827E-2</v>
      </c>
      <c r="E19571" s="224" t="s">
        <v>2</v>
      </c>
      <c r="F19571" s="515" t="s">
        <v>20742</v>
      </c>
      <c r="G19571" s="52">
        <v>183192.151515151</v>
      </c>
      <c r="H19571" s="56">
        <v>0</v>
      </c>
      <c r="I19571" s="224" t="s">
        <v>2</v>
      </c>
    </row>
    <row r="19572" spans="1:9" x14ac:dyDescent="0.25">
      <c r="A19572" s="515">
        <v>49814</v>
      </c>
      <c r="B19572" s="515" t="s">
        <v>440</v>
      </c>
      <c r="C19572" s="52">
        <v>150247.05119083801</v>
      </c>
      <c r="D19572" s="56">
        <v>0.11994151276785464</v>
      </c>
      <c r="E19572" s="224" t="s">
        <v>2</v>
      </c>
      <c r="F19572" s="515" t="s">
        <v>20743</v>
      </c>
      <c r="G19572" s="52">
        <v>216477.69460732999</v>
      </c>
      <c r="H19572" s="56">
        <v>1.8882378946027522E-2</v>
      </c>
      <c r="I19572" s="224" t="s">
        <v>2</v>
      </c>
    </row>
    <row r="19573" spans="1:9" x14ac:dyDescent="0.25">
      <c r="A19573" s="515">
        <v>68853</v>
      </c>
      <c r="C19573" s="52">
        <v>139307.56422434101</v>
      </c>
      <c r="D19573" s="56">
        <v>0.26924283135788912</v>
      </c>
      <c r="E19573" s="224" t="s">
        <v>2</v>
      </c>
      <c r="F19573" s="515" t="s">
        <v>20744</v>
      </c>
      <c r="G19573" s="52">
        <v>117350.39172323</v>
      </c>
      <c r="H19573" s="56">
        <v>1.8938037744063652E-2</v>
      </c>
      <c r="I19573" s="224" t="s">
        <v>2</v>
      </c>
    </row>
    <row r="19574" spans="1:9" x14ac:dyDescent="0.25">
      <c r="A19574" s="515">
        <v>29843</v>
      </c>
      <c r="C19574" s="52">
        <v>101904.782510588</v>
      </c>
      <c r="D19574" s="56">
        <v>2.4561562914651783E-2</v>
      </c>
      <c r="E19574" s="224" t="s">
        <v>2</v>
      </c>
      <c r="F19574" s="515" t="s">
        <v>20745</v>
      </c>
      <c r="G19574" s="52">
        <v>394436.66434302903</v>
      </c>
      <c r="H19574" s="56">
        <v>0</v>
      </c>
      <c r="I19574" s="224" t="s">
        <v>2</v>
      </c>
    </row>
    <row r="19575" spans="1:9" x14ac:dyDescent="0.25">
      <c r="A19575" s="515">
        <v>24868</v>
      </c>
      <c r="C19575" s="52">
        <v>28646.555838824101</v>
      </c>
      <c r="D19575" s="56">
        <v>9.5729356283843839E-2</v>
      </c>
      <c r="E19575" s="224" t="s">
        <v>2</v>
      </c>
      <c r="F19575" s="515" t="s">
        <v>20746</v>
      </c>
      <c r="G19575" s="52">
        <v>118582.349206349</v>
      </c>
      <c r="H19575" s="56">
        <v>0</v>
      </c>
      <c r="I19575" s="224" t="s">
        <v>2</v>
      </c>
    </row>
    <row r="19576" spans="1:9" x14ac:dyDescent="0.25">
      <c r="A19576" s="515">
        <v>47989</v>
      </c>
      <c r="B19576" s="515" t="s">
        <v>408</v>
      </c>
      <c r="C19576" s="52">
        <v>173200.65880892801</v>
      </c>
      <c r="D19576" s="56">
        <v>6.6974155168245869E-2</v>
      </c>
      <c r="E19576" s="224" t="s">
        <v>2</v>
      </c>
      <c r="F19576" s="515" t="s">
        <v>20747</v>
      </c>
      <c r="G19576" s="52">
        <v>261258.86956499901</v>
      </c>
      <c r="H19576" s="56">
        <v>3.5227426012599379E-2</v>
      </c>
      <c r="I19576" s="224" t="s">
        <v>2</v>
      </c>
    </row>
    <row r="19577" spans="1:9" x14ac:dyDescent="0.25">
      <c r="A19577" s="515">
        <v>76472</v>
      </c>
      <c r="B19577" s="515" t="s">
        <v>935</v>
      </c>
      <c r="C19577" s="52">
        <v>320530.42103841499</v>
      </c>
      <c r="D19577" s="56">
        <v>9.5015510121182187E-2</v>
      </c>
      <c r="E19577" s="224" t="s">
        <v>2</v>
      </c>
      <c r="F19577" s="515" t="s">
        <v>20748</v>
      </c>
      <c r="G19577" s="52">
        <v>161092.19874171799</v>
      </c>
      <c r="H19577" s="56">
        <v>9.3357932684275696E-2</v>
      </c>
      <c r="I19577" s="224" t="s">
        <v>2</v>
      </c>
    </row>
    <row r="19578" spans="1:9" x14ac:dyDescent="0.25">
      <c r="A19578" s="515">
        <v>56243</v>
      </c>
      <c r="C19578" s="52">
        <v>198322.87896495801</v>
      </c>
      <c r="D19578" s="56">
        <v>2.2676784625899209E-2</v>
      </c>
      <c r="E19578" s="224" t="s">
        <v>2</v>
      </c>
      <c r="F19578" s="515" t="s">
        <v>20749</v>
      </c>
      <c r="G19578" s="52">
        <v>151543.32910982601</v>
      </c>
      <c r="H19578" s="56">
        <v>0.15034942501570908</v>
      </c>
      <c r="I19578" s="224" t="s">
        <v>2</v>
      </c>
    </row>
    <row r="19579" spans="1:9" x14ac:dyDescent="0.25">
      <c r="A19579" s="515">
        <v>74852</v>
      </c>
      <c r="B19579" s="515" t="s">
        <v>989</v>
      </c>
      <c r="C19579" s="52">
        <v>170796.56907327601</v>
      </c>
      <c r="D19579" s="56">
        <v>9.2919902354568068E-2</v>
      </c>
      <c r="E19579" s="224" t="s">
        <v>2</v>
      </c>
      <c r="F19579" s="515" t="s">
        <v>20750</v>
      </c>
      <c r="G19579" s="52">
        <v>54864.162245776897</v>
      </c>
      <c r="H19579" s="56">
        <v>0.1552232701521265</v>
      </c>
      <c r="I19579" s="224" t="s">
        <v>2</v>
      </c>
    </row>
    <row r="19580" spans="1:9" x14ac:dyDescent="0.25">
      <c r="A19580" s="515">
        <v>32346</v>
      </c>
      <c r="B19580" s="515" t="s">
        <v>335</v>
      </c>
      <c r="C19580" s="52">
        <v>400374.60602317599</v>
      </c>
      <c r="D19580" s="56">
        <v>9.6479834942264489E-2</v>
      </c>
      <c r="E19580" s="224" t="s">
        <v>2</v>
      </c>
      <c r="F19580" s="515" t="s">
        <v>20751</v>
      </c>
      <c r="G19580" s="52">
        <v>416349.00175879197</v>
      </c>
      <c r="H19580" s="56">
        <v>8.1829276925880851E-2</v>
      </c>
      <c r="I19580" s="224" t="s">
        <v>2</v>
      </c>
    </row>
    <row r="19581" spans="1:9" x14ac:dyDescent="0.25">
      <c r="A19581" s="515">
        <v>19374</v>
      </c>
      <c r="B19581" s="515" t="s">
        <v>294</v>
      </c>
      <c r="C19581" s="52">
        <v>333364.78668686998</v>
      </c>
      <c r="D19581" s="56">
        <v>9.2715157500832396E-2</v>
      </c>
      <c r="E19581" s="224" t="s">
        <v>2</v>
      </c>
      <c r="F19581" s="515" t="s">
        <v>20752</v>
      </c>
      <c r="G19581" s="52">
        <v>220492.03286293801</v>
      </c>
      <c r="H19581" s="56">
        <v>0.13102067130326503</v>
      </c>
      <c r="I19581" s="224" t="s">
        <v>2</v>
      </c>
    </row>
    <row r="19582" spans="1:9" x14ac:dyDescent="0.25">
      <c r="A19582" s="515">
        <v>61854</v>
      </c>
      <c r="B19582" s="515" t="s">
        <v>417</v>
      </c>
      <c r="C19582" s="52">
        <v>170476.57375671301</v>
      </c>
      <c r="D19582" s="56">
        <v>3.6474562612410423E-2</v>
      </c>
      <c r="E19582" s="224" t="s">
        <v>2</v>
      </c>
      <c r="F19582" s="515" t="s">
        <v>20753</v>
      </c>
      <c r="G19582" s="52">
        <v>132239.94628024401</v>
      </c>
      <c r="H19582" s="56">
        <v>0.10685933771671575</v>
      </c>
      <c r="I19582" s="224" t="s">
        <v>2</v>
      </c>
    </row>
    <row r="19583" spans="1:9" x14ac:dyDescent="0.25">
      <c r="A19583" s="515">
        <v>99574</v>
      </c>
      <c r="C19583" s="52">
        <v>359414.34345821402</v>
      </c>
      <c r="D19583" s="56">
        <v>0</v>
      </c>
      <c r="E19583" s="224" t="s">
        <v>2</v>
      </c>
      <c r="F19583" s="515" t="s">
        <v>20754</v>
      </c>
      <c r="G19583" s="52">
        <v>157745.899735502</v>
      </c>
      <c r="H19583" s="56">
        <v>0.16948440653784844</v>
      </c>
      <c r="I19583" s="224" t="s">
        <v>2</v>
      </c>
    </row>
    <row r="19584" spans="1:9" x14ac:dyDescent="0.25">
      <c r="A19584" s="515">
        <v>98862</v>
      </c>
      <c r="C19584" s="52">
        <v>624251.93057401502</v>
      </c>
      <c r="D19584" s="56">
        <v>9.1541118910878447E-2</v>
      </c>
      <c r="E19584" s="224" t="s">
        <v>2</v>
      </c>
      <c r="F19584" s="515" t="s">
        <v>20755</v>
      </c>
      <c r="G19584" s="52">
        <v>28739.296115741901</v>
      </c>
      <c r="H19584" s="56">
        <v>-2.9300483149178325E-2</v>
      </c>
      <c r="I19584" s="224" t="s">
        <v>2</v>
      </c>
    </row>
    <row r="19585" spans="1:9" x14ac:dyDescent="0.25">
      <c r="A19585" s="515">
        <v>65274</v>
      </c>
      <c r="B19585" s="515" t="s">
        <v>785</v>
      </c>
      <c r="C19585" s="52">
        <v>154421.77378895899</v>
      </c>
      <c r="D19585" s="56">
        <v>8.5050384473142893E-2</v>
      </c>
      <c r="E19585" s="224" t="s">
        <v>2</v>
      </c>
      <c r="F19585" s="515" t="s">
        <v>20756</v>
      </c>
      <c r="G19585" s="52">
        <v>70110.084602546398</v>
      </c>
      <c r="H19585" s="56">
        <v>0.18987012396748557</v>
      </c>
      <c r="I19585" s="224" t="s">
        <v>2</v>
      </c>
    </row>
    <row r="19586" spans="1:9" x14ac:dyDescent="0.25">
      <c r="A19586" s="515">
        <v>44611</v>
      </c>
      <c r="C19586" s="52">
        <v>219923.139039209</v>
      </c>
      <c r="D19586" s="56">
        <v>0.11990705749316892</v>
      </c>
      <c r="E19586" s="224" t="s">
        <v>2</v>
      </c>
      <c r="F19586" s="515" t="s">
        <v>20757</v>
      </c>
      <c r="G19586" s="52">
        <v>266113.75412025698</v>
      </c>
      <c r="H19586" s="56">
        <v>8.4282544822148087E-2</v>
      </c>
      <c r="I19586" s="224" t="s">
        <v>2</v>
      </c>
    </row>
    <row r="19587" spans="1:9" x14ac:dyDescent="0.25">
      <c r="A19587" s="515">
        <v>52041</v>
      </c>
      <c r="C19587" s="52">
        <v>191602.85126751801</v>
      </c>
      <c r="D19587" s="56">
        <v>6.7583105437153901E-2</v>
      </c>
      <c r="E19587" s="224" t="s">
        <v>2</v>
      </c>
      <c r="F19587" s="515" t="s">
        <v>20758</v>
      </c>
      <c r="G19587" s="52">
        <v>159693.24848905299</v>
      </c>
      <c r="H19587" s="56">
        <v>0.11396279169226048</v>
      </c>
      <c r="I19587" s="224" t="s">
        <v>2</v>
      </c>
    </row>
    <row r="19588" spans="1:9" x14ac:dyDescent="0.25">
      <c r="A19588" s="515">
        <v>39815</v>
      </c>
      <c r="B19588" s="515" t="s">
        <v>1049</v>
      </c>
      <c r="C19588" s="52">
        <v>77139.979947988802</v>
      </c>
      <c r="D19588" s="56">
        <v>0</v>
      </c>
      <c r="E19588" s="224" t="s">
        <v>2</v>
      </c>
      <c r="F19588" s="515" t="s">
        <v>20759</v>
      </c>
      <c r="G19588" s="52">
        <v>121291.952014792</v>
      </c>
      <c r="H19588" s="56">
        <v>0.1700486970107368</v>
      </c>
      <c r="I19588" s="224" t="s">
        <v>2</v>
      </c>
    </row>
    <row r="19589" spans="1:9" x14ac:dyDescent="0.25">
      <c r="A19589" s="515">
        <v>4630</v>
      </c>
      <c r="C19589" s="52">
        <v>211249.275519844</v>
      </c>
      <c r="D19589" s="56">
        <v>0.11088905680017044</v>
      </c>
      <c r="E19589" s="224" t="s">
        <v>2</v>
      </c>
      <c r="F19589" s="515" t="s">
        <v>20760</v>
      </c>
      <c r="G19589" s="52">
        <v>726221.60200448602</v>
      </c>
      <c r="H19589" s="56">
        <v>3.2590126357634086E-2</v>
      </c>
      <c r="I19589" s="224" t="s">
        <v>2</v>
      </c>
    </row>
    <row r="19590" spans="1:9" x14ac:dyDescent="0.25">
      <c r="A19590" s="515">
        <v>88119</v>
      </c>
      <c r="C19590" s="52">
        <v>77757.105247858606</v>
      </c>
      <c r="D19590" s="56">
        <v>0</v>
      </c>
      <c r="E19590" s="224" t="s">
        <v>2</v>
      </c>
      <c r="F19590" s="515" t="s">
        <v>20761</v>
      </c>
      <c r="G19590" s="52">
        <v>162501.28818617499</v>
      </c>
      <c r="H19590" s="56">
        <v>5.9082929534228647E-2</v>
      </c>
      <c r="I19590" s="224" t="s">
        <v>2</v>
      </c>
    </row>
    <row r="19591" spans="1:9" x14ac:dyDescent="0.25">
      <c r="A19591" s="515">
        <v>79018</v>
      </c>
      <c r="C19591" s="52">
        <v>173218.88095237999</v>
      </c>
      <c r="D19591" s="56">
        <v>0</v>
      </c>
      <c r="E19591" s="224" t="s">
        <v>2</v>
      </c>
      <c r="F19591" s="515" t="s">
        <v>20762</v>
      </c>
      <c r="G19591" s="52">
        <v>104934.438343745</v>
      </c>
      <c r="H19591" s="56">
        <v>0.12891229127327161</v>
      </c>
      <c r="I19591" s="224" t="s">
        <v>2</v>
      </c>
    </row>
    <row r="19592" spans="1:9" x14ac:dyDescent="0.25">
      <c r="A19592" s="515">
        <v>48649</v>
      </c>
      <c r="B19592" s="515" t="s">
        <v>904</v>
      </c>
      <c r="C19592" s="52">
        <v>143113.22452110899</v>
      </c>
      <c r="D19592" s="56">
        <v>0.10997089972198243</v>
      </c>
      <c r="E19592" s="224" t="s">
        <v>2</v>
      </c>
      <c r="F19592" s="515" t="s">
        <v>20763</v>
      </c>
      <c r="G19592" s="52">
        <v>147831.68862939099</v>
      </c>
      <c r="H19592" s="56">
        <v>0.10129273055686404</v>
      </c>
      <c r="I19592" s="224" t="s">
        <v>2</v>
      </c>
    </row>
    <row r="19593" spans="1:9" x14ac:dyDescent="0.25">
      <c r="A19593" s="515">
        <v>55384</v>
      </c>
      <c r="B19593" s="515" t="s">
        <v>532</v>
      </c>
      <c r="C19593" s="52">
        <v>494141.96635841002</v>
      </c>
      <c r="D19593" s="56">
        <v>-3.7230078968102286E-2</v>
      </c>
      <c r="E19593" s="224" t="s">
        <v>2</v>
      </c>
      <c r="F19593" s="515" t="s">
        <v>20764</v>
      </c>
      <c r="G19593" s="52">
        <v>134675.46</v>
      </c>
      <c r="H19593" s="56">
        <v>0</v>
      </c>
      <c r="I19593" s="224" t="s">
        <v>2</v>
      </c>
    </row>
    <row r="19594" spans="1:9" x14ac:dyDescent="0.25">
      <c r="A19594" s="515">
        <v>45889</v>
      </c>
      <c r="B19594" s="515" t="s">
        <v>448</v>
      </c>
      <c r="C19594" s="52">
        <v>279304.34634058201</v>
      </c>
      <c r="D19594" s="56">
        <v>5.0626476372269212E-2</v>
      </c>
      <c r="E19594" s="224" t="s">
        <v>2</v>
      </c>
      <c r="F19594" s="515" t="s">
        <v>20765</v>
      </c>
      <c r="G19594" s="52">
        <v>280345.97773692</v>
      </c>
      <c r="H19594" s="56">
        <v>0.12663892812137764</v>
      </c>
      <c r="I19594" s="224" t="s">
        <v>2</v>
      </c>
    </row>
    <row r="19595" spans="1:9" x14ac:dyDescent="0.25">
      <c r="A19595" s="515">
        <v>25009</v>
      </c>
      <c r="B19595" s="515" t="s">
        <v>322</v>
      </c>
      <c r="C19595" s="52">
        <v>71738.337025888002</v>
      </c>
      <c r="D19595" s="56">
        <v>4.0566509916210143E-2</v>
      </c>
      <c r="E19595" s="224" t="s">
        <v>2</v>
      </c>
      <c r="F19595" s="515" t="s">
        <v>20766</v>
      </c>
      <c r="G19595" s="52">
        <v>679714.32</v>
      </c>
      <c r="H19595" s="56">
        <v>0</v>
      </c>
      <c r="I19595" s="224" t="s">
        <v>2</v>
      </c>
    </row>
    <row r="19596" spans="1:9" x14ac:dyDescent="0.25">
      <c r="A19596" s="515">
        <v>70733</v>
      </c>
      <c r="B19596" s="515" t="s">
        <v>610</v>
      </c>
      <c r="C19596" s="52">
        <v>198125.13870235099</v>
      </c>
      <c r="D19596" s="56">
        <v>-1.4922095449932911E-3</v>
      </c>
      <c r="E19596" s="224" t="s">
        <v>2</v>
      </c>
      <c r="F19596" s="515" t="s">
        <v>20767</v>
      </c>
      <c r="G19596" s="52">
        <v>84477.591100253005</v>
      </c>
      <c r="H19596" s="56">
        <v>8.9735576197949973E-2</v>
      </c>
      <c r="I19596" s="224" t="s">
        <v>2</v>
      </c>
    </row>
    <row r="19597" spans="1:9" x14ac:dyDescent="0.25">
      <c r="A19597" s="515">
        <v>18355</v>
      </c>
      <c r="B19597" s="515" t="s">
        <v>338</v>
      </c>
      <c r="C19597" s="52">
        <v>270504.732298519</v>
      </c>
      <c r="D19597" s="56">
        <v>7.3038095613691234E-2</v>
      </c>
      <c r="E19597" s="224" t="s">
        <v>2</v>
      </c>
      <c r="F19597" s="515" t="s">
        <v>20768</v>
      </c>
      <c r="G19597" s="52">
        <v>44642.910791335999</v>
      </c>
      <c r="H19597" s="56">
        <v>0.23394585951327032</v>
      </c>
      <c r="I19597" s="224" t="s">
        <v>2</v>
      </c>
    </row>
    <row r="19598" spans="1:9" x14ac:dyDescent="0.25">
      <c r="A19598" s="515">
        <v>63462</v>
      </c>
      <c r="B19598" s="515" t="s">
        <v>867</v>
      </c>
      <c r="C19598" s="52">
        <v>164871.47559407901</v>
      </c>
      <c r="D19598" s="56">
        <v>8.9373608969045587E-2</v>
      </c>
      <c r="E19598" s="224" t="s">
        <v>2</v>
      </c>
      <c r="F19598" s="515" t="s">
        <v>20769</v>
      </c>
      <c r="G19598" s="52">
        <v>311309.53623188398</v>
      </c>
      <c r="H19598" s="56">
        <v>0</v>
      </c>
      <c r="I19598" s="224" t="s">
        <v>2</v>
      </c>
    </row>
    <row r="19599" spans="1:9" x14ac:dyDescent="0.25">
      <c r="A19599" s="515">
        <v>23315</v>
      </c>
      <c r="B19599" s="515" t="s">
        <v>301</v>
      </c>
      <c r="C19599" s="52">
        <v>273669.57002104202</v>
      </c>
      <c r="D19599" s="56">
        <v>-3.4274076597810008E-4</v>
      </c>
      <c r="E19599" s="224" t="s">
        <v>2</v>
      </c>
      <c r="F19599" s="515" t="s">
        <v>20770</v>
      </c>
      <c r="G19599" s="52">
        <v>266465.07277019398</v>
      </c>
      <c r="H19599" s="56">
        <v>0</v>
      </c>
      <c r="I19599" s="224" t="s">
        <v>2</v>
      </c>
    </row>
    <row r="19600" spans="1:9" x14ac:dyDescent="0.25">
      <c r="A19600" s="515">
        <v>13775</v>
      </c>
      <c r="C19600" s="52">
        <v>202847.565023684</v>
      </c>
      <c r="D19600" s="56">
        <v>2.2118941508397268E-2</v>
      </c>
      <c r="E19600" s="224" t="s">
        <v>2</v>
      </c>
      <c r="F19600" s="515" t="s">
        <v>20771</v>
      </c>
      <c r="G19600" s="52">
        <v>143556.40958426701</v>
      </c>
      <c r="H19600" s="56">
        <v>0.21609527224672948</v>
      </c>
      <c r="I19600" s="224" t="s">
        <v>2</v>
      </c>
    </row>
    <row r="19601" spans="1:9" x14ac:dyDescent="0.25">
      <c r="A19601" s="515">
        <v>50135</v>
      </c>
      <c r="B19601" s="515" t="s">
        <v>295</v>
      </c>
      <c r="C19601" s="52">
        <v>172321.77866311901</v>
      </c>
      <c r="D19601" s="56">
        <v>0.11151086981242372</v>
      </c>
      <c r="E19601" s="224" t="s">
        <v>2</v>
      </c>
      <c r="F19601" s="515" t="s">
        <v>20772</v>
      </c>
      <c r="G19601" s="52">
        <v>108655.42181785101</v>
      </c>
      <c r="H19601" s="56">
        <v>6.1553574285452238E-2</v>
      </c>
      <c r="I19601" s="224" t="s">
        <v>2</v>
      </c>
    </row>
    <row r="19602" spans="1:9" x14ac:dyDescent="0.25">
      <c r="A19602" s="515">
        <v>35061</v>
      </c>
      <c r="B19602" s="515" t="s">
        <v>640</v>
      </c>
      <c r="C19602" s="52">
        <v>76340.736594377493</v>
      </c>
      <c r="D19602" s="56">
        <v>0.33111477313441817</v>
      </c>
      <c r="E19602" s="224" t="s">
        <v>2</v>
      </c>
      <c r="F19602" s="515" t="s">
        <v>20773</v>
      </c>
      <c r="G19602" s="52">
        <v>219858.96775539799</v>
      </c>
      <c r="H19602" s="56">
        <v>0.16214659880584334</v>
      </c>
      <c r="I19602" s="224" t="s">
        <v>2</v>
      </c>
    </row>
    <row r="19603" spans="1:9" x14ac:dyDescent="0.25">
      <c r="A19603" s="515">
        <v>70086</v>
      </c>
      <c r="B19603" s="515" t="s">
        <v>777</v>
      </c>
      <c r="C19603" s="52">
        <v>162388.272009754</v>
      </c>
      <c r="D19603" s="56">
        <v>7.5498851082665505E-2</v>
      </c>
      <c r="E19603" s="224" t="s">
        <v>2</v>
      </c>
      <c r="F19603" s="515" t="s">
        <v>20774</v>
      </c>
      <c r="G19603" s="52">
        <v>160877.776900297</v>
      </c>
      <c r="H19603" s="56">
        <v>3.0271662815697143E-2</v>
      </c>
      <c r="I19603" s="224" t="s">
        <v>2</v>
      </c>
    </row>
    <row r="19604" spans="1:9" x14ac:dyDescent="0.25">
      <c r="A19604" s="515">
        <v>25825</v>
      </c>
      <c r="B19604" s="515" t="s">
        <v>566</v>
      </c>
      <c r="C19604" s="52">
        <v>183774.27872119501</v>
      </c>
      <c r="D19604" s="56">
        <v>0.10927302438067825</v>
      </c>
      <c r="E19604" s="224" t="s">
        <v>2</v>
      </c>
      <c r="F19604" s="515" t="s">
        <v>20775</v>
      </c>
      <c r="G19604" s="52">
        <v>88889.565127306094</v>
      </c>
      <c r="H19604" s="56">
        <v>8.3425545437839768E-2</v>
      </c>
      <c r="I19604" s="224" t="s">
        <v>2</v>
      </c>
    </row>
    <row r="19605" spans="1:9" x14ac:dyDescent="0.25">
      <c r="A19605" s="515">
        <v>67330</v>
      </c>
      <c r="B19605" s="515" t="s">
        <v>656</v>
      </c>
      <c r="C19605" s="52">
        <v>107395.70292413799</v>
      </c>
      <c r="D19605" s="56">
        <v>0.14098200599149927</v>
      </c>
      <c r="E19605" s="224" t="s">
        <v>2</v>
      </c>
      <c r="F19605" s="515" t="s">
        <v>20776</v>
      </c>
      <c r="G19605" s="52">
        <v>441332.55513323803</v>
      </c>
      <c r="H19605" s="56">
        <v>0</v>
      </c>
      <c r="I19605" s="224" t="s">
        <v>2</v>
      </c>
    </row>
    <row r="19606" spans="1:9" x14ac:dyDescent="0.25">
      <c r="A19606" s="515">
        <v>54964</v>
      </c>
      <c r="B19606" s="515" t="s">
        <v>987</v>
      </c>
      <c r="C19606" s="52">
        <v>270204.27247895801</v>
      </c>
      <c r="D19606" s="56">
        <v>3.9031186215920076E-2</v>
      </c>
      <c r="E19606" s="224" t="s">
        <v>2</v>
      </c>
      <c r="F19606" s="515" t="s">
        <v>20777</v>
      </c>
      <c r="G19606" s="52">
        <v>550544.87427400204</v>
      </c>
      <c r="H19606" s="56">
        <v>6.0307733111261676E-2</v>
      </c>
      <c r="I19606" s="224" t="s">
        <v>2</v>
      </c>
    </row>
    <row r="19607" spans="1:9" x14ac:dyDescent="0.25">
      <c r="A19607" s="515">
        <v>50635</v>
      </c>
      <c r="C19607" s="52">
        <v>141581.110285731</v>
      </c>
      <c r="D19607" s="56">
        <v>5.8645371202561219E-2</v>
      </c>
      <c r="E19607" s="224" t="s">
        <v>2</v>
      </c>
      <c r="F19607" s="515" t="s">
        <v>20778</v>
      </c>
      <c r="G19607" s="52">
        <v>232073.34852410501</v>
      </c>
      <c r="H19607" s="56">
        <v>0.22310514849378352</v>
      </c>
      <c r="I19607" s="224" t="s">
        <v>2</v>
      </c>
    </row>
    <row r="19608" spans="1:9" x14ac:dyDescent="0.25">
      <c r="A19608" s="515">
        <v>36003</v>
      </c>
      <c r="B19608" s="515" t="s">
        <v>806</v>
      </c>
      <c r="C19608" s="52">
        <v>144986.629805048</v>
      </c>
      <c r="D19608" s="56">
        <v>9.3912861446959432E-3</v>
      </c>
      <c r="E19608" s="224" t="s">
        <v>2</v>
      </c>
      <c r="F19608" s="515" t="s">
        <v>20779</v>
      </c>
      <c r="G19608" s="52">
        <v>187246.37808985601</v>
      </c>
      <c r="H19608" s="56">
        <v>0.17756775248057768</v>
      </c>
      <c r="I19608" s="224" t="s">
        <v>2</v>
      </c>
    </row>
    <row r="19609" spans="1:9" x14ac:dyDescent="0.25">
      <c r="A19609" s="515">
        <v>52157</v>
      </c>
      <c r="C19609" s="52">
        <v>170376.411865206</v>
      </c>
      <c r="D19609" s="56">
        <v>9.0636216609683268E-2</v>
      </c>
      <c r="E19609" s="224" t="s">
        <v>2</v>
      </c>
      <c r="F19609" s="515" t="s">
        <v>20780</v>
      </c>
      <c r="G19609" s="52">
        <v>820041.85398016998</v>
      </c>
      <c r="H19609" s="56">
        <v>6.4810748908541035E-2</v>
      </c>
      <c r="I19609" s="224" t="s">
        <v>2</v>
      </c>
    </row>
    <row r="19610" spans="1:9" x14ac:dyDescent="0.25">
      <c r="A19610" s="515">
        <v>12093</v>
      </c>
      <c r="B19610" s="515" t="s">
        <v>609</v>
      </c>
      <c r="C19610" s="52">
        <v>202761.46206941499</v>
      </c>
      <c r="D19610" s="56">
        <v>0.10356394454717521</v>
      </c>
      <c r="E19610" s="224" t="s">
        <v>2</v>
      </c>
      <c r="F19610" s="515" t="s">
        <v>20781</v>
      </c>
      <c r="G19610" s="52">
        <v>161192.85559313899</v>
      </c>
      <c r="H19610" s="56">
        <v>3.7630652223287785E-2</v>
      </c>
      <c r="I19610" s="224" t="s">
        <v>2</v>
      </c>
    </row>
    <row r="19611" spans="1:9" x14ac:dyDescent="0.25">
      <c r="A19611" s="515">
        <v>75943</v>
      </c>
      <c r="B19611" s="515" t="s">
        <v>1035</v>
      </c>
      <c r="C19611" s="52">
        <v>260591.84126984101</v>
      </c>
      <c r="D19611" s="56">
        <v>0</v>
      </c>
      <c r="E19611" s="224" t="s">
        <v>2</v>
      </c>
      <c r="F19611" s="515" t="s">
        <v>20782</v>
      </c>
      <c r="G19611" s="52">
        <v>87246.540013984093</v>
      </c>
      <c r="H19611" s="56">
        <v>0</v>
      </c>
      <c r="I19611" s="224" t="s">
        <v>2</v>
      </c>
    </row>
    <row r="19612" spans="1:9" x14ac:dyDescent="0.25">
      <c r="A19612" s="515">
        <v>67361</v>
      </c>
      <c r="C19612" s="52">
        <v>84349.009102172698</v>
      </c>
      <c r="D19612" s="56">
        <v>3.2982175925708491E-2</v>
      </c>
      <c r="E19612" s="224" t="s">
        <v>2</v>
      </c>
      <c r="F19612" s="515" t="s">
        <v>20783</v>
      </c>
      <c r="G19612" s="52">
        <v>74340.948446536102</v>
      </c>
      <c r="H19612" s="56">
        <v>1.2520816746494231E-3</v>
      </c>
      <c r="I19612" s="224" t="s">
        <v>2</v>
      </c>
    </row>
    <row r="19613" spans="1:9" x14ac:dyDescent="0.25">
      <c r="A19613" s="515">
        <v>48742</v>
      </c>
      <c r="C19613" s="52">
        <v>134203.25818164099</v>
      </c>
      <c r="D19613" s="56">
        <v>2.5220095865539582E-2</v>
      </c>
      <c r="E19613" s="224" t="s">
        <v>2</v>
      </c>
      <c r="F19613" s="515" t="s">
        <v>20784</v>
      </c>
      <c r="G19613" s="52">
        <v>146472.04764903701</v>
      </c>
      <c r="H19613" s="56">
        <v>0</v>
      </c>
      <c r="I19613" s="224" t="s">
        <v>2</v>
      </c>
    </row>
    <row r="19614" spans="1:9" x14ac:dyDescent="0.25">
      <c r="A19614" s="515">
        <v>58746</v>
      </c>
      <c r="B19614" s="515" t="s">
        <v>849</v>
      </c>
      <c r="C19614" s="52"/>
      <c r="D19614" s="56">
        <v>0</v>
      </c>
      <c r="E19614" s="224" t="s">
        <v>2</v>
      </c>
      <c r="F19614" s="515" t="s">
        <v>20785</v>
      </c>
      <c r="G19614" s="52">
        <v>357122.66924516502</v>
      </c>
      <c r="H19614" s="56">
        <v>3.0758826124706908E-2</v>
      </c>
      <c r="I19614" s="224" t="s">
        <v>2</v>
      </c>
    </row>
    <row r="19615" spans="1:9" x14ac:dyDescent="0.25">
      <c r="A19615" s="515">
        <v>28717</v>
      </c>
      <c r="B19615" s="515" t="s">
        <v>487</v>
      </c>
      <c r="C19615" s="52">
        <v>1115163.80538756</v>
      </c>
      <c r="D19615" s="56">
        <v>0.17271946089489781</v>
      </c>
      <c r="E19615" s="224" t="s">
        <v>2</v>
      </c>
      <c r="F19615" s="515" t="s">
        <v>20786</v>
      </c>
      <c r="G19615" s="52">
        <v>507900.39288000198</v>
      </c>
      <c r="H19615" s="56">
        <v>4.0903650177520227E-2</v>
      </c>
      <c r="I19615" s="224" t="s">
        <v>2</v>
      </c>
    </row>
    <row r="19616" spans="1:9" x14ac:dyDescent="0.25">
      <c r="A19616" s="515">
        <v>24363</v>
      </c>
      <c r="C19616" s="52">
        <v>200132.202916048</v>
      </c>
      <c r="D19616" s="56">
        <v>0.13260696841072578</v>
      </c>
      <c r="E19616" s="224" t="s">
        <v>2</v>
      </c>
      <c r="F19616" s="515" t="s">
        <v>20787</v>
      </c>
      <c r="G19616" s="52">
        <v>437526.66184476402</v>
      </c>
      <c r="H19616" s="56">
        <v>-3.4814815234058306E-2</v>
      </c>
      <c r="I19616" s="224" t="s">
        <v>2</v>
      </c>
    </row>
    <row r="19617" spans="1:9" x14ac:dyDescent="0.25">
      <c r="A19617" s="515">
        <v>38037</v>
      </c>
      <c r="B19617" s="515" t="s">
        <v>1070</v>
      </c>
      <c r="C19617" s="52">
        <v>107386.07444380299</v>
      </c>
      <c r="D19617" s="56">
        <v>5.6415853065028852E-2</v>
      </c>
      <c r="E19617" s="224" t="s">
        <v>2</v>
      </c>
      <c r="F19617" s="515" t="s">
        <v>20788</v>
      </c>
      <c r="G19617" s="52">
        <v>155156.48638297999</v>
      </c>
      <c r="H19617" s="56">
        <v>0.10529678966209718</v>
      </c>
      <c r="I19617" s="224" t="s">
        <v>2</v>
      </c>
    </row>
    <row r="19618" spans="1:9" x14ac:dyDescent="0.25">
      <c r="A19618" s="515">
        <v>59922</v>
      </c>
      <c r="B19618" s="515" t="s">
        <v>459</v>
      </c>
      <c r="C19618" s="52">
        <v>757924.17583939806</v>
      </c>
      <c r="D19618" s="56">
        <v>6.8578050674847457E-2</v>
      </c>
      <c r="E19618" s="224" t="s">
        <v>2</v>
      </c>
      <c r="F19618" s="515" t="s">
        <v>20789</v>
      </c>
      <c r="G19618" s="52">
        <v>132521.30241760501</v>
      </c>
      <c r="H19618" s="56">
        <v>0.19922632568246779</v>
      </c>
      <c r="I19618" s="224" t="s">
        <v>2</v>
      </c>
    </row>
    <row r="19619" spans="1:9" x14ac:dyDescent="0.25">
      <c r="A19619" s="515">
        <v>26260</v>
      </c>
      <c r="C19619" s="52">
        <v>238722.40975042601</v>
      </c>
      <c r="D19619" s="56">
        <v>0.16457722256101906</v>
      </c>
      <c r="E19619" s="224" t="s">
        <v>2</v>
      </c>
      <c r="F19619" s="515" t="s">
        <v>20790</v>
      </c>
      <c r="G19619" s="52">
        <v>282247.79607944202</v>
      </c>
      <c r="H19619" s="56">
        <v>4.4148302362906976E-2</v>
      </c>
      <c r="I19619" s="224" t="s">
        <v>2</v>
      </c>
    </row>
    <row r="19620" spans="1:9" x14ac:dyDescent="0.25">
      <c r="A19620" s="515">
        <v>39867</v>
      </c>
      <c r="C19620" s="52">
        <v>124996.591858293</v>
      </c>
      <c r="D19620" s="56">
        <v>5.6959376211469598E-2</v>
      </c>
      <c r="E19620" s="224" t="s">
        <v>2</v>
      </c>
      <c r="F19620" s="515" t="s">
        <v>20791</v>
      </c>
      <c r="G19620" s="52">
        <v>241855.05889942701</v>
      </c>
      <c r="H19620" s="56">
        <v>5.781905657910992E-2</v>
      </c>
      <c r="I19620" s="224" t="s">
        <v>2</v>
      </c>
    </row>
    <row r="19621" spans="1:9" x14ac:dyDescent="0.25">
      <c r="A19621" s="515">
        <v>62693</v>
      </c>
      <c r="B19621" s="515" t="s">
        <v>819</v>
      </c>
      <c r="C19621" s="52">
        <v>202970.68119477099</v>
      </c>
      <c r="D19621" s="56">
        <v>0.10048930149114831</v>
      </c>
      <c r="E19621" s="224" t="s">
        <v>2</v>
      </c>
      <c r="F19621" s="515" t="s">
        <v>20792</v>
      </c>
      <c r="G19621" s="52">
        <v>433733.52511108498</v>
      </c>
      <c r="H19621" s="56">
        <v>5.1115784250713968E-2</v>
      </c>
      <c r="I19621" s="224" t="s">
        <v>2</v>
      </c>
    </row>
    <row r="19622" spans="1:9" x14ac:dyDescent="0.25">
      <c r="A19622" s="515">
        <v>74741</v>
      </c>
      <c r="B19622" s="515" t="s">
        <v>1052</v>
      </c>
      <c r="C19622" s="52">
        <v>216949.18463751001</v>
      </c>
      <c r="D19622" s="56">
        <v>0.13932312197369337</v>
      </c>
      <c r="E19622" s="224" t="s">
        <v>2</v>
      </c>
      <c r="F19622" s="515" t="s">
        <v>20793</v>
      </c>
      <c r="G19622" s="52">
        <v>97741.385471880596</v>
      </c>
      <c r="H19622" s="56">
        <v>0</v>
      </c>
      <c r="I19622" s="224" t="s">
        <v>2</v>
      </c>
    </row>
    <row r="19623" spans="1:9" x14ac:dyDescent="0.25">
      <c r="A19623" s="515">
        <v>3466</v>
      </c>
      <c r="B19623" s="515" t="s">
        <v>747</v>
      </c>
      <c r="C19623" s="52">
        <v>367042.11328925501</v>
      </c>
      <c r="D19623" s="56">
        <v>0.13667679376903585</v>
      </c>
      <c r="E19623" s="224" t="s">
        <v>2</v>
      </c>
      <c r="F19623" s="515" t="s">
        <v>20794</v>
      </c>
      <c r="G19623" s="52">
        <v>81299.190978170504</v>
      </c>
      <c r="H19623" s="56">
        <v>0.11149625595348919</v>
      </c>
      <c r="I19623" s="224" t="s">
        <v>2</v>
      </c>
    </row>
    <row r="19624" spans="1:9" x14ac:dyDescent="0.25">
      <c r="A19624" s="515">
        <v>30631</v>
      </c>
      <c r="C19624" s="52">
        <v>116753.524904812</v>
      </c>
      <c r="D19624" s="56">
        <v>-1.4162162591524285E-2</v>
      </c>
      <c r="E19624" s="224" t="s">
        <v>2</v>
      </c>
      <c r="F19624" s="515" t="s">
        <v>20795</v>
      </c>
      <c r="G19624" s="52">
        <v>77770.367785778697</v>
      </c>
      <c r="H19624" s="56">
        <v>9.8013648051405361E-2</v>
      </c>
      <c r="I19624" s="224" t="s">
        <v>2</v>
      </c>
    </row>
    <row r="19625" spans="1:9" x14ac:dyDescent="0.25">
      <c r="A19625" s="515">
        <v>60603</v>
      </c>
      <c r="B19625" s="515" t="s">
        <v>394</v>
      </c>
      <c r="C19625" s="52">
        <v>299270.712702116</v>
      </c>
      <c r="D19625" s="56">
        <v>-8.6094248048402683E-2</v>
      </c>
      <c r="E19625" s="224" t="s">
        <v>2</v>
      </c>
      <c r="F19625" s="515" t="s">
        <v>20796</v>
      </c>
      <c r="G19625" s="52">
        <v>149557.14769910299</v>
      </c>
      <c r="H19625" s="56">
        <v>0.16392562518853177</v>
      </c>
      <c r="I19625" s="224" t="s">
        <v>2</v>
      </c>
    </row>
    <row r="19626" spans="1:9" x14ac:dyDescent="0.25">
      <c r="A19626" s="515">
        <v>27252</v>
      </c>
      <c r="B19626" s="515" t="s">
        <v>467</v>
      </c>
      <c r="C19626" s="52">
        <v>249638.638116685</v>
      </c>
      <c r="D19626" s="56">
        <v>-8.5788701270738121E-3</v>
      </c>
      <c r="E19626" s="224" t="s">
        <v>2</v>
      </c>
      <c r="F19626" s="515" t="s">
        <v>20797</v>
      </c>
      <c r="G19626" s="52">
        <v>83944.213963045695</v>
      </c>
      <c r="H19626" s="56">
        <v>4.3031477794270009E-2</v>
      </c>
      <c r="I19626" s="224" t="s">
        <v>2</v>
      </c>
    </row>
    <row r="19627" spans="1:9" x14ac:dyDescent="0.25">
      <c r="A19627" s="515">
        <v>28606</v>
      </c>
      <c r="B19627" s="515" t="s">
        <v>1018</v>
      </c>
      <c r="C19627" s="52">
        <v>208878.82033511499</v>
      </c>
      <c r="D19627" s="56">
        <v>0.21767694260044648</v>
      </c>
      <c r="E19627" s="224" t="s">
        <v>2</v>
      </c>
      <c r="F19627" s="515" t="s">
        <v>20798</v>
      </c>
      <c r="G19627" s="52">
        <v>129569.556797721</v>
      </c>
      <c r="H19627" s="56">
        <v>0.18726580631295431</v>
      </c>
      <c r="I19627" s="224" t="s">
        <v>2</v>
      </c>
    </row>
    <row r="19628" spans="1:9" x14ac:dyDescent="0.25">
      <c r="A19628" s="515">
        <v>46705</v>
      </c>
      <c r="B19628" s="515" t="s">
        <v>1008</v>
      </c>
      <c r="C19628" s="52">
        <v>152814.54798305</v>
      </c>
      <c r="D19628" s="56">
        <v>4.6389987044225353E-2</v>
      </c>
      <c r="E19628" s="224" t="s">
        <v>2</v>
      </c>
      <c r="F19628" s="515" t="s">
        <v>20799</v>
      </c>
      <c r="G19628" s="52">
        <v>511783.16802503902</v>
      </c>
      <c r="H19628" s="56">
        <v>7.9905913785231833E-2</v>
      </c>
      <c r="I19628" s="224" t="s">
        <v>2</v>
      </c>
    </row>
    <row r="19629" spans="1:9" x14ac:dyDescent="0.25">
      <c r="A19629" s="515">
        <v>56315</v>
      </c>
      <c r="B19629" s="515" t="s">
        <v>965</v>
      </c>
      <c r="C19629" s="52">
        <v>271888.37617419899</v>
      </c>
      <c r="D19629" s="56">
        <v>8.1557152228822594E-2</v>
      </c>
      <c r="E19629" s="224" t="s">
        <v>2</v>
      </c>
      <c r="F19629" s="515" t="s">
        <v>20800</v>
      </c>
      <c r="G19629" s="52">
        <v>226490.238757249</v>
      </c>
      <c r="H19629" s="56">
        <v>0</v>
      </c>
      <c r="I19629" s="224" t="s">
        <v>2</v>
      </c>
    </row>
    <row r="19630" spans="1:9" x14ac:dyDescent="0.25">
      <c r="A19630" s="515">
        <v>63766</v>
      </c>
      <c r="B19630" s="515" t="s">
        <v>424</v>
      </c>
      <c r="C19630" s="52">
        <v>208491.48491069299</v>
      </c>
      <c r="D19630" s="56">
        <v>8.0265629542839875E-2</v>
      </c>
      <c r="E19630" s="224" t="s">
        <v>2</v>
      </c>
      <c r="F19630" s="515" t="s">
        <v>20801</v>
      </c>
      <c r="G19630" s="52">
        <v>628738.82689098502</v>
      </c>
      <c r="H19630" s="56">
        <v>0.22408882459839335</v>
      </c>
      <c r="I19630" s="224" t="s">
        <v>2</v>
      </c>
    </row>
    <row r="19631" spans="1:9" x14ac:dyDescent="0.25">
      <c r="A19631" s="515">
        <v>16874</v>
      </c>
      <c r="B19631" s="515" t="s">
        <v>491</v>
      </c>
      <c r="C19631" s="52">
        <v>178689.41522319199</v>
      </c>
      <c r="D19631" s="56">
        <v>0.10196664164169986</v>
      </c>
      <c r="E19631" s="224" t="s">
        <v>2</v>
      </c>
      <c r="F19631" s="515" t="s">
        <v>20802</v>
      </c>
      <c r="G19631" s="52">
        <v>119453.948057143</v>
      </c>
      <c r="H19631" s="56">
        <v>0.14641268014834447</v>
      </c>
      <c r="I19631" s="224" t="s">
        <v>2</v>
      </c>
    </row>
    <row r="19632" spans="1:9" x14ac:dyDescent="0.25">
      <c r="A19632" s="515">
        <v>27929</v>
      </c>
      <c r="B19632" s="515" t="s">
        <v>301</v>
      </c>
      <c r="C19632" s="52">
        <v>429325.53873691102</v>
      </c>
      <c r="D19632" s="56">
        <v>7.4869881397952476E-2</v>
      </c>
      <c r="E19632" s="224" t="s">
        <v>2</v>
      </c>
      <c r="F19632" s="515" t="s">
        <v>20803</v>
      </c>
      <c r="G19632" s="52">
        <v>166045.332549396</v>
      </c>
      <c r="H19632" s="56">
        <v>0.16282996815882333</v>
      </c>
      <c r="I19632" s="224" t="s">
        <v>2</v>
      </c>
    </row>
    <row r="19633" spans="1:9" x14ac:dyDescent="0.25">
      <c r="A19633" s="515">
        <v>97857</v>
      </c>
      <c r="C19633" s="52">
        <v>417644.52268385701</v>
      </c>
      <c r="D19633" s="56">
        <v>8.5102671023148072E-2</v>
      </c>
      <c r="E19633" s="224" t="s">
        <v>2</v>
      </c>
      <c r="F19633" s="515" t="s">
        <v>20804</v>
      </c>
      <c r="G19633" s="52">
        <v>211945.98055734599</v>
      </c>
      <c r="H19633" s="56">
        <v>6.2420587362495922E-2</v>
      </c>
      <c r="I19633" s="224" t="s">
        <v>2</v>
      </c>
    </row>
    <row r="19634" spans="1:9" x14ac:dyDescent="0.25">
      <c r="A19634" s="515">
        <v>36006</v>
      </c>
      <c r="B19634" s="515" t="s">
        <v>806</v>
      </c>
      <c r="C19634" s="52">
        <v>175583.860509169</v>
      </c>
      <c r="D19634" s="56">
        <v>9.2104369248712861E-2</v>
      </c>
      <c r="E19634" s="224" t="s">
        <v>2</v>
      </c>
      <c r="F19634" s="515" t="s">
        <v>20805</v>
      </c>
      <c r="G19634" s="52">
        <v>112228.64749513099</v>
      </c>
      <c r="H19634" s="56">
        <v>-1.6797434193910624E-2</v>
      </c>
      <c r="I19634" s="224" t="s">
        <v>2</v>
      </c>
    </row>
    <row r="19635" spans="1:9" x14ac:dyDescent="0.25">
      <c r="A19635" s="515">
        <v>16667</v>
      </c>
      <c r="C19635" s="52">
        <v>178294.28858054601</v>
      </c>
      <c r="D19635" s="56">
        <v>1.0819013477803277E-3</v>
      </c>
      <c r="E19635" s="224" t="s">
        <v>2</v>
      </c>
      <c r="F19635" s="515" t="s">
        <v>20806</v>
      </c>
      <c r="G19635" s="52">
        <v>387202.77906043298</v>
      </c>
      <c r="H19635" s="56">
        <v>0</v>
      </c>
      <c r="I19635" s="224" t="s">
        <v>2</v>
      </c>
    </row>
    <row r="19636" spans="1:9" x14ac:dyDescent="0.25">
      <c r="A19636" s="515">
        <v>29052</v>
      </c>
      <c r="B19636" s="515" t="s">
        <v>762</v>
      </c>
      <c r="C19636" s="52">
        <v>128199.03559027</v>
      </c>
      <c r="D19636" s="56">
        <v>0.27937554754781774</v>
      </c>
      <c r="E19636" s="224" t="s">
        <v>2</v>
      </c>
      <c r="F19636" s="515" t="s">
        <v>20807</v>
      </c>
      <c r="G19636" s="52">
        <v>89157.277416561599</v>
      </c>
      <c r="H19636" s="56">
        <v>5.4273290086129966E-2</v>
      </c>
      <c r="I19636" s="224" t="s">
        <v>2</v>
      </c>
    </row>
    <row r="19637" spans="1:9" x14ac:dyDescent="0.25">
      <c r="A19637" s="515">
        <v>66866</v>
      </c>
      <c r="C19637" s="52">
        <v>91104.091065254703</v>
      </c>
      <c r="D19637" s="56">
        <v>0.10384792287238302</v>
      </c>
      <c r="E19637" s="224" t="s">
        <v>2</v>
      </c>
      <c r="F19637" s="515" t="s">
        <v>20808</v>
      </c>
      <c r="G19637" s="52">
        <v>158772.57740046299</v>
      </c>
      <c r="H19637" s="56">
        <v>9.2329500560112604E-2</v>
      </c>
      <c r="I19637" s="224" t="s">
        <v>2</v>
      </c>
    </row>
    <row r="19638" spans="1:9" x14ac:dyDescent="0.25">
      <c r="A19638" s="515">
        <v>72419</v>
      </c>
      <c r="B19638" s="515" t="s">
        <v>673</v>
      </c>
      <c r="C19638" s="52">
        <v>85606.250632352705</v>
      </c>
      <c r="D19638" s="56">
        <v>6.321684069562275E-2</v>
      </c>
      <c r="E19638" s="224" t="s">
        <v>2</v>
      </c>
      <c r="F19638" s="515" t="s">
        <v>20809</v>
      </c>
      <c r="G19638" s="52">
        <v>82045.095390325398</v>
      </c>
      <c r="H19638" s="56">
        <v>0</v>
      </c>
      <c r="I19638" s="224" t="s">
        <v>2</v>
      </c>
    </row>
    <row r="19639" spans="1:9" x14ac:dyDescent="0.25">
      <c r="A19639" s="515">
        <v>21557</v>
      </c>
      <c r="B19639" s="515" t="s">
        <v>362</v>
      </c>
      <c r="C19639" s="52">
        <v>141680.14857961901</v>
      </c>
      <c r="D19639" s="56">
        <v>-3.7550587443334602E-3</v>
      </c>
      <c r="E19639" s="224" t="s">
        <v>2</v>
      </c>
      <c r="F19639" s="515" t="s">
        <v>20810</v>
      </c>
      <c r="G19639" s="52">
        <v>418413.19136570999</v>
      </c>
      <c r="H19639" s="56">
        <v>8.0774200357516507E-2</v>
      </c>
      <c r="I19639" s="224" t="s">
        <v>2</v>
      </c>
    </row>
    <row r="19640" spans="1:9" x14ac:dyDescent="0.25">
      <c r="A19640" s="515">
        <v>13808</v>
      </c>
      <c r="B19640" s="515" t="s">
        <v>460</v>
      </c>
      <c r="C19640" s="52">
        <v>172340.16120939</v>
      </c>
      <c r="D19640" s="56">
        <v>0.1212908306867677</v>
      </c>
      <c r="E19640" s="224" t="s">
        <v>2</v>
      </c>
      <c r="F19640" s="515" t="s">
        <v>20811</v>
      </c>
      <c r="G19640" s="52">
        <v>251071.777843216</v>
      </c>
      <c r="H19640" s="56">
        <v>3.4392975107999539E-2</v>
      </c>
      <c r="I19640" s="224" t="s">
        <v>2</v>
      </c>
    </row>
    <row r="19641" spans="1:9" x14ac:dyDescent="0.25">
      <c r="A19641" s="515">
        <v>81062</v>
      </c>
      <c r="C19641" s="52">
        <v>165018.52223170499</v>
      </c>
      <c r="D19641" s="56">
        <v>-2.3185513103822504E-2</v>
      </c>
      <c r="E19641" s="224" t="s">
        <v>2</v>
      </c>
      <c r="F19641" s="515" t="s">
        <v>20812</v>
      </c>
      <c r="G19641" s="52">
        <v>279249.15634212299</v>
      </c>
      <c r="H19641" s="56">
        <v>0.20705883147993134</v>
      </c>
      <c r="I19641" s="224" t="s">
        <v>2</v>
      </c>
    </row>
    <row r="19642" spans="1:9" x14ac:dyDescent="0.25">
      <c r="A19642" s="515">
        <v>71353</v>
      </c>
      <c r="B19642" s="515" t="s">
        <v>1162</v>
      </c>
      <c r="C19642" s="52">
        <v>56759.577425162599</v>
      </c>
      <c r="D19642" s="56">
        <v>-3.3586899648903788E-2</v>
      </c>
      <c r="E19642" s="224" t="s">
        <v>2</v>
      </c>
      <c r="F19642" s="515" t="s">
        <v>20813</v>
      </c>
      <c r="G19642" s="52">
        <v>83861.783204374704</v>
      </c>
      <c r="H19642" s="56">
        <v>4.4126931626090903E-2</v>
      </c>
      <c r="I19642" s="224" t="s">
        <v>2</v>
      </c>
    </row>
    <row r="19643" spans="1:9" x14ac:dyDescent="0.25">
      <c r="A19643" s="515">
        <v>52654</v>
      </c>
      <c r="C19643" s="52">
        <v>164454.89267644301</v>
      </c>
      <c r="D19643" s="56">
        <v>0.12364508982207316</v>
      </c>
      <c r="E19643" s="224" t="s">
        <v>2</v>
      </c>
      <c r="F19643" s="515" t="s">
        <v>20814</v>
      </c>
      <c r="G19643" s="52">
        <v>781093.81911413197</v>
      </c>
      <c r="H19643" s="56">
        <v>5.1706199478977144E-2</v>
      </c>
      <c r="I19643" s="224" t="s">
        <v>2</v>
      </c>
    </row>
    <row r="19644" spans="1:9" x14ac:dyDescent="0.25">
      <c r="A19644" s="515">
        <v>80650</v>
      </c>
      <c r="B19644" s="515" t="s">
        <v>382</v>
      </c>
      <c r="C19644" s="52">
        <v>427347.925237677</v>
      </c>
      <c r="D19644" s="56">
        <v>9.4054771920799918E-2</v>
      </c>
      <c r="E19644" s="224" t="s">
        <v>2</v>
      </c>
      <c r="F19644" s="515" t="s">
        <v>20815</v>
      </c>
      <c r="G19644" s="52">
        <v>126009.756756756</v>
      </c>
      <c r="H19644" s="56">
        <v>0</v>
      </c>
      <c r="I19644" s="224" t="s">
        <v>2</v>
      </c>
    </row>
    <row r="19645" spans="1:9" x14ac:dyDescent="0.25">
      <c r="A19645" s="515">
        <v>65035</v>
      </c>
      <c r="B19645" s="515" t="s">
        <v>711</v>
      </c>
      <c r="C19645" s="52">
        <v>251214.41290322499</v>
      </c>
      <c r="D19645" s="56">
        <v>0</v>
      </c>
      <c r="E19645" s="224" t="s">
        <v>2</v>
      </c>
      <c r="F19645" s="515" t="s">
        <v>20816</v>
      </c>
      <c r="G19645" s="52">
        <v>209916.986637981</v>
      </c>
      <c r="H19645" s="56">
        <v>4.5841080363062732E-2</v>
      </c>
      <c r="I19645" s="224" t="s">
        <v>2</v>
      </c>
    </row>
    <row r="19646" spans="1:9" x14ac:dyDescent="0.25">
      <c r="A19646" s="515">
        <v>36792</v>
      </c>
      <c r="B19646" s="515" t="s">
        <v>640</v>
      </c>
      <c r="C19646" s="52">
        <v>189786.46666666601</v>
      </c>
      <c r="D19646" s="56">
        <v>0</v>
      </c>
      <c r="E19646" s="224" t="s">
        <v>2</v>
      </c>
      <c r="F19646" s="515" t="s">
        <v>20817</v>
      </c>
      <c r="G19646" s="52">
        <v>621906.42194855295</v>
      </c>
      <c r="H19646" s="56">
        <v>-2.7864904044592417E-3</v>
      </c>
      <c r="I19646" s="224" t="s">
        <v>2</v>
      </c>
    </row>
    <row r="19647" spans="1:9" x14ac:dyDescent="0.25">
      <c r="A19647" s="515">
        <v>83851</v>
      </c>
      <c r="C19647" s="52">
        <v>296835.974630385</v>
      </c>
      <c r="D19647" s="56">
        <v>3.0594940432778283E-2</v>
      </c>
      <c r="E19647" s="224" t="s">
        <v>2</v>
      </c>
      <c r="F19647" s="515" t="s">
        <v>20818</v>
      </c>
      <c r="G19647" s="52">
        <v>107510.150733794</v>
      </c>
      <c r="H19647" s="56">
        <v>0</v>
      </c>
      <c r="I19647" s="224" t="s">
        <v>2</v>
      </c>
    </row>
    <row r="19648" spans="1:9" x14ac:dyDescent="0.25">
      <c r="A19648" s="515">
        <v>61235</v>
      </c>
      <c r="B19648" s="515" t="s">
        <v>439</v>
      </c>
      <c r="C19648" s="52">
        <v>146860.388184393</v>
      </c>
      <c r="D19648" s="56">
        <v>0.12922003241766356</v>
      </c>
      <c r="E19648" s="224" t="s">
        <v>2</v>
      </c>
      <c r="F19648" s="515" t="s">
        <v>20819</v>
      </c>
      <c r="G19648" s="52">
        <v>144364.89251196801</v>
      </c>
      <c r="H19648" s="56">
        <v>6.9879221332469252E-2</v>
      </c>
      <c r="I19648" s="224" t="s">
        <v>2</v>
      </c>
    </row>
    <row r="19649" spans="1:9" x14ac:dyDescent="0.25">
      <c r="A19649" s="515">
        <v>76554</v>
      </c>
      <c r="B19649" s="515" t="s">
        <v>859</v>
      </c>
      <c r="C19649" s="52">
        <v>221488.02099109601</v>
      </c>
      <c r="D19649" s="56">
        <v>0.1299249833678969</v>
      </c>
      <c r="E19649" s="224" t="s">
        <v>2</v>
      </c>
      <c r="F19649" s="515" t="s">
        <v>20820</v>
      </c>
      <c r="G19649" s="52">
        <v>281082.85103064001</v>
      </c>
      <c r="H19649" s="56">
        <v>0.12838980796817759</v>
      </c>
      <c r="I19649" s="224" t="s">
        <v>2</v>
      </c>
    </row>
    <row r="19650" spans="1:9" x14ac:dyDescent="0.25">
      <c r="A19650" s="515">
        <v>25635</v>
      </c>
      <c r="B19650" s="515" t="s">
        <v>464</v>
      </c>
      <c r="C19650" s="52">
        <v>100391.867285445</v>
      </c>
      <c r="D19650" s="56">
        <v>0.13550465312241433</v>
      </c>
      <c r="E19650" s="224" t="s">
        <v>2</v>
      </c>
      <c r="F19650" s="515" t="s">
        <v>20821</v>
      </c>
      <c r="G19650" s="52">
        <v>143588.623062083</v>
      </c>
      <c r="H19650" s="56">
        <v>0</v>
      </c>
      <c r="I19650" s="224" t="s">
        <v>2</v>
      </c>
    </row>
    <row r="19651" spans="1:9" x14ac:dyDescent="0.25">
      <c r="A19651" s="515">
        <v>13477</v>
      </c>
      <c r="B19651" s="515" t="s">
        <v>543</v>
      </c>
      <c r="C19651" s="52">
        <v>199081.37276878901</v>
      </c>
      <c r="D19651" s="56">
        <v>9.7140288335208616E-2</v>
      </c>
      <c r="E19651" s="224" t="s">
        <v>2</v>
      </c>
      <c r="F19651" s="515" t="s">
        <v>20822</v>
      </c>
      <c r="G19651" s="52">
        <v>74150.540456501098</v>
      </c>
      <c r="H19651" s="56">
        <v>0.19382667391221153</v>
      </c>
      <c r="I19651" s="224" t="s">
        <v>2</v>
      </c>
    </row>
    <row r="19652" spans="1:9" x14ac:dyDescent="0.25">
      <c r="A19652" s="515">
        <v>21733</v>
      </c>
      <c r="B19652" s="515" t="s">
        <v>654</v>
      </c>
      <c r="C19652" s="52">
        <v>336791.83802800399</v>
      </c>
      <c r="D19652" s="56">
        <v>4.4002385763164946E-2</v>
      </c>
      <c r="E19652" s="224" t="s">
        <v>2</v>
      </c>
      <c r="F19652" s="515" t="s">
        <v>20823</v>
      </c>
      <c r="G19652" s="52">
        <v>95741.887218814794</v>
      </c>
      <c r="H19652" s="56">
        <v>-4.875972643694039E-2</v>
      </c>
      <c r="I19652" s="224" t="s">
        <v>2</v>
      </c>
    </row>
    <row r="19653" spans="1:9" x14ac:dyDescent="0.25">
      <c r="A19653" s="515">
        <v>69210</v>
      </c>
      <c r="C19653" s="52">
        <v>106011.55667567</v>
      </c>
      <c r="D19653" s="56">
        <v>0.10445152818129863</v>
      </c>
      <c r="E19653" s="224" t="s">
        <v>2</v>
      </c>
      <c r="F19653" s="515" t="s">
        <v>20824</v>
      </c>
      <c r="G19653" s="52">
        <v>142242.59836160901</v>
      </c>
      <c r="H19653" s="56">
        <v>7.2215191703005457E-2</v>
      </c>
      <c r="I19653" s="224" t="s">
        <v>2</v>
      </c>
    </row>
    <row r="19654" spans="1:9" x14ac:dyDescent="0.25">
      <c r="A19654" s="515">
        <v>50466</v>
      </c>
      <c r="C19654" s="52">
        <v>169644.459122253</v>
      </c>
      <c r="D19654" s="56">
        <v>0.14824111331362452</v>
      </c>
      <c r="E19654" s="224" t="s">
        <v>2</v>
      </c>
      <c r="F19654" s="515" t="s">
        <v>20825</v>
      </c>
      <c r="G19654" s="52">
        <v>366974.26399261801</v>
      </c>
      <c r="H19654" s="56">
        <v>3.3345029880881137E-2</v>
      </c>
      <c r="I19654" s="224" t="s">
        <v>2</v>
      </c>
    </row>
    <row r="19655" spans="1:9" x14ac:dyDescent="0.25">
      <c r="A19655" s="515">
        <v>57003</v>
      </c>
      <c r="B19655" s="515" t="s">
        <v>579</v>
      </c>
      <c r="C19655" s="52">
        <v>318742.21426543099</v>
      </c>
      <c r="D19655" s="56">
        <v>7.2176418705455117E-2</v>
      </c>
      <c r="E19655" s="224" t="s">
        <v>2</v>
      </c>
      <c r="F19655" s="515" t="s">
        <v>20826</v>
      </c>
      <c r="G19655" s="52">
        <v>135709.149983996</v>
      </c>
      <c r="H19655" s="56">
        <v>0.11504926475795135</v>
      </c>
      <c r="I19655" s="224" t="s">
        <v>2</v>
      </c>
    </row>
    <row r="19656" spans="1:9" x14ac:dyDescent="0.25">
      <c r="A19656" s="515">
        <v>52563</v>
      </c>
      <c r="C19656" s="52">
        <v>114543.620499246</v>
      </c>
      <c r="D19656" s="56">
        <v>6.9193334499016268E-2</v>
      </c>
      <c r="E19656" s="224" t="s">
        <v>2</v>
      </c>
      <c r="F19656" s="515" t="s">
        <v>20827</v>
      </c>
      <c r="G19656" s="52">
        <v>105047.01018596999</v>
      </c>
      <c r="H19656" s="56">
        <v>0.19356780922787525</v>
      </c>
      <c r="I19656" s="224" t="s">
        <v>2</v>
      </c>
    </row>
    <row r="19657" spans="1:9" x14ac:dyDescent="0.25">
      <c r="A19657" s="515">
        <v>61377</v>
      </c>
      <c r="B19657" s="515" t="s">
        <v>303</v>
      </c>
      <c r="C19657" s="52">
        <v>103802.26297368199</v>
      </c>
      <c r="D19657" s="56">
        <v>0.13192653346626379</v>
      </c>
      <c r="E19657" s="224" t="s">
        <v>2</v>
      </c>
      <c r="F19657" s="515" t="s">
        <v>20828</v>
      </c>
      <c r="G19657" s="52">
        <v>132137.81129455299</v>
      </c>
      <c r="H19657" s="56">
        <v>0</v>
      </c>
      <c r="I19657" s="224" t="s">
        <v>2</v>
      </c>
    </row>
    <row r="19658" spans="1:9" x14ac:dyDescent="0.25">
      <c r="A19658" s="515">
        <v>54007</v>
      </c>
      <c r="B19658" s="515" t="s">
        <v>532</v>
      </c>
      <c r="C19658" s="52">
        <v>281109.65297830099</v>
      </c>
      <c r="D19658" s="56">
        <v>2.811114470158772E-2</v>
      </c>
      <c r="E19658" s="224" t="s">
        <v>2</v>
      </c>
      <c r="F19658" s="515" t="s">
        <v>20829</v>
      </c>
      <c r="G19658" s="52">
        <v>205811.13583744399</v>
      </c>
      <c r="H19658" s="56">
        <v>0.19275335912539912</v>
      </c>
      <c r="I19658" s="224" t="s">
        <v>2</v>
      </c>
    </row>
    <row r="19659" spans="1:9" x14ac:dyDescent="0.25">
      <c r="A19659" s="515">
        <v>38759</v>
      </c>
      <c r="B19659" s="515" t="s">
        <v>982</v>
      </c>
      <c r="C19659" s="52">
        <v>142082.08240379201</v>
      </c>
      <c r="D19659" s="56">
        <v>-0.11285277447301466</v>
      </c>
      <c r="E19659" s="224" t="s">
        <v>2</v>
      </c>
      <c r="F19659" s="515" t="s">
        <v>20830</v>
      </c>
      <c r="G19659" s="52">
        <v>156646.203034145</v>
      </c>
      <c r="H19659" s="56">
        <v>6.3245339992366006E-2</v>
      </c>
      <c r="I19659" s="224" t="s">
        <v>2</v>
      </c>
    </row>
    <row r="19660" spans="1:9" x14ac:dyDescent="0.25">
      <c r="A19660" s="515">
        <v>25202</v>
      </c>
      <c r="B19660" s="515" t="s">
        <v>322</v>
      </c>
      <c r="C19660" s="52">
        <v>137630.57792680801</v>
      </c>
      <c r="D19660" s="56">
        <v>9.1812329326840331E-2</v>
      </c>
      <c r="E19660" s="224" t="s">
        <v>2</v>
      </c>
      <c r="F19660" s="515" t="s">
        <v>20831</v>
      </c>
      <c r="G19660" s="52">
        <v>425026.35194225499</v>
      </c>
      <c r="H19660" s="56">
        <v>9.488603356776687E-2</v>
      </c>
      <c r="I19660" s="224" t="s">
        <v>2</v>
      </c>
    </row>
    <row r="19661" spans="1:9" x14ac:dyDescent="0.25">
      <c r="A19661" s="515">
        <v>2839</v>
      </c>
      <c r="B19661" s="515" t="s">
        <v>513</v>
      </c>
      <c r="C19661" s="52">
        <v>388352.896999483</v>
      </c>
      <c r="D19661" s="56">
        <v>7.4878740022134738E-2</v>
      </c>
      <c r="E19661" s="224" t="s">
        <v>2</v>
      </c>
      <c r="F19661" s="515" t="s">
        <v>20832</v>
      </c>
      <c r="G19661" s="52">
        <v>348990.88679245202</v>
      </c>
      <c r="H19661" s="56">
        <v>0</v>
      </c>
      <c r="I19661" s="224" t="s">
        <v>2</v>
      </c>
    </row>
    <row r="19662" spans="1:9" x14ac:dyDescent="0.25">
      <c r="A19662" s="515">
        <v>14889</v>
      </c>
      <c r="B19662" s="515" t="s">
        <v>724</v>
      </c>
      <c r="C19662" s="52">
        <v>148077.99093062701</v>
      </c>
      <c r="D19662" s="56">
        <v>7.7339371953388983E-2</v>
      </c>
      <c r="E19662" s="224" t="s">
        <v>2</v>
      </c>
      <c r="F19662" s="515" t="s">
        <v>20833</v>
      </c>
      <c r="G19662" s="52">
        <v>148431.16514027401</v>
      </c>
      <c r="H19662" s="56">
        <v>7.9096831679063076E-2</v>
      </c>
      <c r="I19662" s="224" t="s">
        <v>2</v>
      </c>
    </row>
    <row r="19663" spans="1:9" x14ac:dyDescent="0.25">
      <c r="A19663" s="515">
        <v>67730</v>
      </c>
      <c r="C19663" s="52">
        <v>118069.17042028</v>
      </c>
      <c r="D19663" s="56">
        <v>5.8208293013007097E-2</v>
      </c>
      <c r="E19663" s="224" t="s">
        <v>2</v>
      </c>
      <c r="F19663" s="515" t="s">
        <v>20834</v>
      </c>
      <c r="G19663" s="52">
        <v>346848.074473296</v>
      </c>
      <c r="H19663" s="56">
        <v>0.15333498145485852</v>
      </c>
      <c r="I19663" s="224" t="s">
        <v>2</v>
      </c>
    </row>
    <row r="19664" spans="1:9" x14ac:dyDescent="0.25">
      <c r="A19664" s="515">
        <v>13788</v>
      </c>
      <c r="C19664" s="52">
        <v>208543.66549249701</v>
      </c>
      <c r="D19664" s="56">
        <v>0.11163968341328208</v>
      </c>
      <c r="E19664" s="224" t="s">
        <v>2</v>
      </c>
      <c r="F19664" s="515" t="s">
        <v>20835</v>
      </c>
      <c r="G19664" s="52">
        <v>153018.794520547</v>
      </c>
      <c r="H19664" s="56">
        <v>0</v>
      </c>
      <c r="I19664" s="224" t="s">
        <v>2</v>
      </c>
    </row>
    <row r="19665" spans="1:9" x14ac:dyDescent="0.25">
      <c r="A19665" s="515">
        <v>52132</v>
      </c>
      <c r="C19665" s="52">
        <v>196331.245063654</v>
      </c>
      <c r="D19665" s="56">
        <v>0.10995522531497813</v>
      </c>
      <c r="E19665" s="224" t="s">
        <v>2</v>
      </c>
      <c r="F19665" s="515" t="s">
        <v>20836</v>
      </c>
      <c r="G19665" s="52">
        <v>1818455.30894823</v>
      </c>
      <c r="H19665" s="56">
        <v>0.1695681859842687</v>
      </c>
      <c r="I19665" s="224" t="s">
        <v>2</v>
      </c>
    </row>
    <row r="19666" spans="1:9" x14ac:dyDescent="0.25">
      <c r="A19666" s="515">
        <v>5345</v>
      </c>
      <c r="C19666" s="52">
        <v>313335.318916535</v>
      </c>
      <c r="D19666" s="56">
        <v>7.7160088446417155E-2</v>
      </c>
      <c r="E19666" s="224" t="s">
        <v>2</v>
      </c>
      <c r="F19666" s="515" t="s">
        <v>20837</v>
      </c>
      <c r="G19666" s="52">
        <v>390696.21178186702</v>
      </c>
      <c r="H19666" s="56">
        <v>6.3037488614047397E-3</v>
      </c>
      <c r="I19666" s="224" t="s">
        <v>2</v>
      </c>
    </row>
    <row r="19667" spans="1:9" x14ac:dyDescent="0.25">
      <c r="A19667" s="515">
        <v>79250</v>
      </c>
      <c r="B19667" s="515" t="s">
        <v>1069</v>
      </c>
      <c r="C19667" s="52">
        <v>76350.008900141096</v>
      </c>
      <c r="D19667" s="56">
        <v>0</v>
      </c>
      <c r="E19667" s="224" t="s">
        <v>2</v>
      </c>
      <c r="F19667" s="515" t="s">
        <v>20838</v>
      </c>
      <c r="G19667" s="52">
        <v>408378.942304536</v>
      </c>
      <c r="H19667" s="56">
        <v>0.16034302522451432</v>
      </c>
      <c r="I19667" s="224" t="s">
        <v>2</v>
      </c>
    </row>
    <row r="19668" spans="1:9" x14ac:dyDescent="0.25">
      <c r="A19668" s="515">
        <v>98603</v>
      </c>
      <c r="B19668" s="515" t="s">
        <v>807</v>
      </c>
      <c r="C19668" s="52">
        <v>503304.26241539902</v>
      </c>
      <c r="D19668" s="56">
        <v>9.0127261272465939E-2</v>
      </c>
      <c r="E19668" s="224" t="s">
        <v>2</v>
      </c>
      <c r="F19668" s="515" t="s">
        <v>20839</v>
      </c>
      <c r="G19668" s="52">
        <v>101332.050592482</v>
      </c>
      <c r="H19668" s="56">
        <v>0.10222692391482457</v>
      </c>
      <c r="I19668" s="224" t="s">
        <v>2</v>
      </c>
    </row>
    <row r="19669" spans="1:9" x14ac:dyDescent="0.25">
      <c r="A19669" s="515">
        <v>44215</v>
      </c>
      <c r="B19669" s="515" t="s">
        <v>520</v>
      </c>
      <c r="C19669" s="52">
        <v>174853.70398513199</v>
      </c>
      <c r="D19669" s="56">
        <v>7.0616146555747411E-2</v>
      </c>
      <c r="E19669" s="224" t="s">
        <v>2</v>
      </c>
      <c r="F19669" s="515" t="s">
        <v>20840</v>
      </c>
      <c r="G19669" s="52">
        <v>245996.771258433</v>
      </c>
      <c r="H19669" s="56">
        <v>9.4696149514953559E-2</v>
      </c>
      <c r="I19669" s="224" t="s">
        <v>2</v>
      </c>
    </row>
    <row r="19670" spans="1:9" x14ac:dyDescent="0.25">
      <c r="A19670" s="515">
        <v>17238</v>
      </c>
      <c r="C19670" s="52">
        <v>212582.970827299</v>
      </c>
      <c r="D19670" s="56">
        <v>0</v>
      </c>
      <c r="E19670" s="224" t="s">
        <v>2</v>
      </c>
      <c r="F19670" s="515" t="s">
        <v>20841</v>
      </c>
      <c r="G19670" s="52">
        <v>89531.326822383198</v>
      </c>
      <c r="H19670" s="56">
        <v>6.8660693377015731E-3</v>
      </c>
      <c r="I19670" s="224" t="s">
        <v>2</v>
      </c>
    </row>
    <row r="19671" spans="1:9" x14ac:dyDescent="0.25">
      <c r="A19671" s="515">
        <v>29580</v>
      </c>
      <c r="C19671" s="52">
        <v>106889.04413148</v>
      </c>
      <c r="D19671" s="56">
        <v>7.6794274773625826E-2</v>
      </c>
      <c r="E19671" s="224" t="s">
        <v>2</v>
      </c>
      <c r="F19671" s="515" t="s">
        <v>20842</v>
      </c>
      <c r="G19671" s="52">
        <v>84554.332096187994</v>
      </c>
      <c r="H19671" s="56">
        <v>4.9249581096599271E-2</v>
      </c>
      <c r="I19671" s="224" t="s">
        <v>2</v>
      </c>
    </row>
    <row r="19672" spans="1:9" x14ac:dyDescent="0.25">
      <c r="A19672" s="515">
        <v>52069</v>
      </c>
      <c r="C19672" s="52">
        <v>187842.677598788</v>
      </c>
      <c r="D19672" s="56">
        <v>0.12321106206781463</v>
      </c>
      <c r="E19672" s="224" t="s">
        <v>2</v>
      </c>
      <c r="F19672" s="515" t="s">
        <v>20843</v>
      </c>
      <c r="G19672" s="52">
        <v>92531.948208817004</v>
      </c>
      <c r="H19672" s="56">
        <v>7.0700522973896812E-2</v>
      </c>
      <c r="I19672" s="224" t="s">
        <v>2</v>
      </c>
    </row>
    <row r="19673" spans="1:9" x14ac:dyDescent="0.25">
      <c r="A19673" s="515">
        <v>54180</v>
      </c>
      <c r="B19673" s="515" t="s">
        <v>897</v>
      </c>
      <c r="C19673" s="52">
        <v>297061.09906810301</v>
      </c>
      <c r="D19673" s="56">
        <v>7.2200834556341978E-2</v>
      </c>
      <c r="E19673" s="224" t="s">
        <v>2</v>
      </c>
      <c r="F19673" s="515" t="s">
        <v>20844</v>
      </c>
      <c r="G19673" s="52">
        <v>343584.13242930803</v>
      </c>
      <c r="H19673" s="56">
        <v>6.3014597700942934E-2</v>
      </c>
      <c r="I19673" s="224" t="s">
        <v>2</v>
      </c>
    </row>
    <row r="19674" spans="1:9" x14ac:dyDescent="0.25">
      <c r="A19674" s="515">
        <v>30555</v>
      </c>
      <c r="C19674" s="52">
        <v>244585.92098674501</v>
      </c>
      <c r="D19674" s="56">
        <v>2.0001613697520616E-2</v>
      </c>
      <c r="E19674" s="224" t="s">
        <v>2</v>
      </c>
      <c r="F19674" s="515" t="s">
        <v>20845</v>
      </c>
      <c r="G19674" s="52">
        <v>136959.385888066</v>
      </c>
      <c r="H19674" s="56">
        <v>0.22945249357720215</v>
      </c>
      <c r="I19674" s="224" t="s">
        <v>2</v>
      </c>
    </row>
    <row r="19675" spans="1:9" x14ac:dyDescent="0.25">
      <c r="A19675" s="515">
        <v>45711</v>
      </c>
      <c r="B19675" s="515" t="s">
        <v>578</v>
      </c>
      <c r="C19675" s="52">
        <v>146524.68031793399</v>
      </c>
      <c r="D19675" s="56">
        <v>8.0842958800309797E-2</v>
      </c>
      <c r="E19675" s="224" t="s">
        <v>2</v>
      </c>
      <c r="F19675" s="515" t="s">
        <v>20846</v>
      </c>
      <c r="G19675" s="52">
        <v>468384.98570881202</v>
      </c>
      <c r="H19675" s="56">
        <v>2.2109641779540584E-2</v>
      </c>
      <c r="I19675" s="224" t="s">
        <v>2</v>
      </c>
    </row>
    <row r="19676" spans="1:9" x14ac:dyDescent="0.25">
      <c r="A19676" s="515">
        <v>43732</v>
      </c>
      <c r="B19676" s="515" t="s">
        <v>499</v>
      </c>
      <c r="C19676" s="52">
        <v>139303.24608901999</v>
      </c>
      <c r="D19676" s="56">
        <v>7.1186349636973498E-2</v>
      </c>
      <c r="E19676" s="224" t="s">
        <v>2</v>
      </c>
      <c r="F19676" s="515" t="s">
        <v>20847</v>
      </c>
      <c r="G19676" s="52">
        <v>86203.681159420201</v>
      </c>
      <c r="H19676" s="56">
        <v>0</v>
      </c>
      <c r="I19676" s="224" t="s">
        <v>2</v>
      </c>
    </row>
    <row r="19677" spans="1:9" x14ac:dyDescent="0.25">
      <c r="A19677" s="515">
        <v>16922</v>
      </c>
      <c r="C19677" s="52">
        <v>113828.87772668499</v>
      </c>
      <c r="D19677" s="56">
        <v>8.1278794096410326E-2</v>
      </c>
      <c r="E19677" s="224" t="s">
        <v>2</v>
      </c>
      <c r="F19677" s="515" t="s">
        <v>20848</v>
      </c>
      <c r="G19677" s="52">
        <v>163717.68589598101</v>
      </c>
      <c r="H19677" s="56">
        <v>1.5781554375481521E-2</v>
      </c>
      <c r="I19677" s="224" t="s">
        <v>2</v>
      </c>
    </row>
    <row r="19678" spans="1:9" x14ac:dyDescent="0.25">
      <c r="A19678" s="515">
        <v>56223</v>
      </c>
      <c r="C19678" s="52">
        <v>115409.658084112</v>
      </c>
      <c r="D19678" s="56">
        <v>-2.0238328871987885E-3</v>
      </c>
      <c r="E19678" s="224" t="s">
        <v>2</v>
      </c>
      <c r="F19678" s="515" t="s">
        <v>20849</v>
      </c>
      <c r="G19678" s="52">
        <v>236965.803838616</v>
      </c>
      <c r="H19678" s="56">
        <v>6.6881157784854581E-2</v>
      </c>
      <c r="I19678" s="224" t="s">
        <v>2</v>
      </c>
    </row>
    <row r="19679" spans="1:9" x14ac:dyDescent="0.25">
      <c r="A19679" s="515">
        <v>57055</v>
      </c>
      <c r="B19679" s="515" t="s">
        <v>579</v>
      </c>
      <c r="C19679" s="52">
        <v>443994.48739495798</v>
      </c>
      <c r="D19679" s="56">
        <v>0</v>
      </c>
      <c r="E19679" s="224" t="s">
        <v>2</v>
      </c>
      <c r="F19679" s="515" t="s">
        <v>20850</v>
      </c>
      <c r="G19679" s="52">
        <v>328834.48026189598</v>
      </c>
      <c r="H19679" s="56">
        <v>0</v>
      </c>
      <c r="I19679" s="224" t="s">
        <v>2</v>
      </c>
    </row>
    <row r="19680" spans="1:9" x14ac:dyDescent="0.25">
      <c r="A19680" s="515">
        <v>47360</v>
      </c>
      <c r="B19680" s="515" t="s">
        <v>421</v>
      </c>
      <c r="C19680" s="52">
        <v>181536.855126051</v>
      </c>
      <c r="D19680" s="56">
        <v>7.0853577374356561E-2</v>
      </c>
      <c r="E19680" s="224" t="s">
        <v>2</v>
      </c>
      <c r="F19680" s="515" t="s">
        <v>20851</v>
      </c>
      <c r="G19680" s="52">
        <v>87839.305055009594</v>
      </c>
      <c r="H19680" s="56">
        <v>0.27697661721175332</v>
      </c>
      <c r="I19680" s="224" t="s">
        <v>2</v>
      </c>
    </row>
    <row r="19681" spans="1:9" x14ac:dyDescent="0.25">
      <c r="A19681" s="515">
        <v>61006</v>
      </c>
      <c r="B19681" s="515" t="s">
        <v>836</v>
      </c>
      <c r="C19681" s="52">
        <v>142280.13762076601</v>
      </c>
      <c r="D19681" s="56">
        <v>4.3234918612664028E-2</v>
      </c>
      <c r="E19681" s="224" t="s">
        <v>2</v>
      </c>
      <c r="F19681" s="515" t="s">
        <v>20852</v>
      </c>
      <c r="G19681" s="52">
        <v>694784.79199170601</v>
      </c>
      <c r="H19681" s="56">
        <v>1.5979454855930837E-2</v>
      </c>
      <c r="I19681" s="224" t="s">
        <v>2</v>
      </c>
    </row>
    <row r="19682" spans="1:9" x14ac:dyDescent="0.25">
      <c r="A19682" s="515">
        <v>8202</v>
      </c>
      <c r="B19682" s="515" t="s">
        <v>653</v>
      </c>
      <c r="C19682" s="52">
        <v>2336771.36797792</v>
      </c>
      <c r="D19682" s="56">
        <v>6.5467407113678974E-2</v>
      </c>
      <c r="E19682" s="224" t="s">
        <v>2</v>
      </c>
      <c r="F19682" s="515" t="s">
        <v>20853</v>
      </c>
      <c r="G19682" s="52">
        <v>147968.59387926001</v>
      </c>
      <c r="H19682" s="56">
        <v>5.2124094427307921E-2</v>
      </c>
      <c r="I19682" s="224" t="s">
        <v>2</v>
      </c>
    </row>
    <row r="19683" spans="1:9" x14ac:dyDescent="0.25">
      <c r="A19683" s="515">
        <v>23438</v>
      </c>
      <c r="B19683" s="515" t="s">
        <v>301</v>
      </c>
      <c r="C19683" s="52">
        <v>296772.570127638</v>
      </c>
      <c r="D19683" s="56">
        <v>0.10595486251320475</v>
      </c>
      <c r="E19683" s="224" t="s">
        <v>2</v>
      </c>
      <c r="F19683" s="515" t="s">
        <v>20854</v>
      </c>
      <c r="G19683" s="52">
        <v>112002.531164952</v>
      </c>
      <c r="H19683" s="56">
        <v>0.20031574220412507</v>
      </c>
      <c r="I19683" s="224" t="s">
        <v>2</v>
      </c>
    </row>
    <row r="19684" spans="1:9" x14ac:dyDescent="0.25">
      <c r="A19684" s="515">
        <v>46986</v>
      </c>
      <c r="B19684" s="515" t="s">
        <v>472</v>
      </c>
      <c r="C19684" s="52">
        <v>141237.16078373199</v>
      </c>
      <c r="D19684" s="56">
        <v>4.2798574355837241E-2</v>
      </c>
      <c r="E19684" s="224" t="s">
        <v>2</v>
      </c>
      <c r="F19684" s="515" t="s">
        <v>20855</v>
      </c>
      <c r="G19684" s="52">
        <v>98477.057689563793</v>
      </c>
      <c r="H19684" s="56">
        <v>0.17863692896220745</v>
      </c>
      <c r="I19684" s="224" t="s">
        <v>2</v>
      </c>
    </row>
    <row r="19685" spans="1:9" x14ac:dyDescent="0.25">
      <c r="A19685" s="515">
        <v>72201</v>
      </c>
      <c r="B19685" s="515" t="s">
        <v>393</v>
      </c>
      <c r="C19685" s="52">
        <v>333677.36261812702</v>
      </c>
      <c r="D19685" s="56">
        <v>8.5458343568954959E-2</v>
      </c>
      <c r="E19685" s="224" t="s">
        <v>2</v>
      </c>
      <c r="F19685" s="515" t="s">
        <v>20856</v>
      </c>
      <c r="G19685" s="52">
        <v>280271.62089036102</v>
      </c>
      <c r="H19685" s="56">
        <v>6.7803524716999963E-2</v>
      </c>
      <c r="I19685" s="224" t="s">
        <v>2</v>
      </c>
    </row>
    <row r="19686" spans="1:9" x14ac:dyDescent="0.25">
      <c r="A19686" s="515">
        <v>4680</v>
      </c>
      <c r="C19686" s="52">
        <v>262708.88558061398</v>
      </c>
      <c r="D19686" s="56">
        <v>6.0710797010901076E-2</v>
      </c>
      <c r="E19686" s="224" t="s">
        <v>2</v>
      </c>
      <c r="F19686" s="515" t="s">
        <v>20857</v>
      </c>
      <c r="G19686" s="52">
        <v>267396.10177850799</v>
      </c>
      <c r="H19686" s="56">
        <v>8.9264439237584731E-2</v>
      </c>
      <c r="I19686" s="224" t="s">
        <v>2</v>
      </c>
    </row>
    <row r="19687" spans="1:9" x14ac:dyDescent="0.25">
      <c r="A19687" s="515">
        <v>76093</v>
      </c>
      <c r="B19687" s="515" t="s">
        <v>458</v>
      </c>
      <c r="C19687" s="52">
        <v>259867.94481310001</v>
      </c>
      <c r="D19687" s="56">
        <v>6.6914182159909824E-2</v>
      </c>
      <c r="E19687" s="224" t="s">
        <v>2</v>
      </c>
      <c r="F19687" s="515" t="s">
        <v>20858</v>
      </c>
      <c r="G19687" s="52">
        <v>366298.34533749201</v>
      </c>
      <c r="H19687" s="56">
        <v>1.6016039229922636E-2</v>
      </c>
      <c r="I19687" s="224" t="s">
        <v>2</v>
      </c>
    </row>
    <row r="19688" spans="1:9" x14ac:dyDescent="0.25">
      <c r="A19688" s="515">
        <v>69339</v>
      </c>
      <c r="C19688" s="52">
        <v>105080.100107982</v>
      </c>
      <c r="D19688" s="56">
        <v>9.2066864566285114E-2</v>
      </c>
      <c r="E19688" s="224" t="s">
        <v>2</v>
      </c>
      <c r="F19688" s="515" t="s">
        <v>20859</v>
      </c>
      <c r="G19688" s="52">
        <v>288911.116009433</v>
      </c>
      <c r="H19688" s="56">
        <v>0.14709428927069287</v>
      </c>
      <c r="I19688" s="224" t="s">
        <v>2</v>
      </c>
    </row>
    <row r="19689" spans="1:9" x14ac:dyDescent="0.25">
      <c r="A19689" s="515">
        <v>37374</v>
      </c>
      <c r="B19689" s="515" t="s">
        <v>622</v>
      </c>
      <c r="C19689" s="52">
        <v>185426.24612598601</v>
      </c>
      <c r="D19689" s="56">
        <v>5.9071584213501865E-2</v>
      </c>
      <c r="E19689" s="224" t="s">
        <v>2</v>
      </c>
      <c r="F19689" s="515" t="s">
        <v>20860</v>
      </c>
      <c r="G19689" s="52">
        <v>212490.37696990799</v>
      </c>
      <c r="H19689" s="56">
        <v>5.1262072634111942E-2</v>
      </c>
      <c r="I19689" s="224" t="s">
        <v>2</v>
      </c>
    </row>
    <row r="19690" spans="1:9" x14ac:dyDescent="0.25">
      <c r="A19690" s="515">
        <v>51575</v>
      </c>
      <c r="B19690" s="515" t="s">
        <v>367</v>
      </c>
      <c r="C19690" s="52">
        <v>274546.01112964202</v>
      </c>
      <c r="D19690" s="56">
        <v>9.4824996452441523E-2</v>
      </c>
      <c r="E19690" s="224" t="s">
        <v>2</v>
      </c>
      <c r="F19690" s="515" t="s">
        <v>20861</v>
      </c>
      <c r="G19690" s="52">
        <v>125094.67364537199</v>
      </c>
      <c r="H19690" s="56">
        <v>3.4431162759610952E-2</v>
      </c>
      <c r="I19690" s="224" t="s">
        <v>2</v>
      </c>
    </row>
    <row r="19691" spans="1:9" x14ac:dyDescent="0.25">
      <c r="A19691" s="515">
        <v>76853</v>
      </c>
      <c r="B19691" s="515" t="s">
        <v>859</v>
      </c>
      <c r="C19691" s="52">
        <v>235528.60761400199</v>
      </c>
      <c r="D19691" s="56">
        <v>-7.6889107058554647E-6</v>
      </c>
      <c r="E19691" s="224" t="s">
        <v>2</v>
      </c>
      <c r="F19691" s="515" t="s">
        <v>20862</v>
      </c>
      <c r="G19691" s="52">
        <v>139453.353791945</v>
      </c>
      <c r="H19691" s="56">
        <v>0.13820153868001042</v>
      </c>
      <c r="I19691" s="224" t="s">
        <v>2</v>
      </c>
    </row>
    <row r="19692" spans="1:9" x14ac:dyDescent="0.25">
      <c r="A19692" s="515">
        <v>40050</v>
      </c>
      <c r="B19692" s="515" t="s">
        <v>479</v>
      </c>
      <c r="C19692" s="52">
        <v>178839.96407709</v>
      </c>
      <c r="D19692" s="56">
        <v>0.13753801480200437</v>
      </c>
      <c r="E19692" s="224" t="s">
        <v>2</v>
      </c>
      <c r="F19692" s="515" t="s">
        <v>20863</v>
      </c>
      <c r="G19692" s="52">
        <v>134177.91088593801</v>
      </c>
      <c r="H19692" s="56">
        <v>0.10515642869952664</v>
      </c>
      <c r="I19692" s="224" t="s">
        <v>2</v>
      </c>
    </row>
    <row r="19693" spans="1:9" x14ac:dyDescent="0.25">
      <c r="A19693" s="515">
        <v>4488</v>
      </c>
      <c r="B19693" s="515" t="s">
        <v>792</v>
      </c>
      <c r="C19693" s="52">
        <v>252341.49570499299</v>
      </c>
      <c r="D19693" s="56">
        <v>0.10382737138219232</v>
      </c>
      <c r="E19693" s="224" t="s">
        <v>2</v>
      </c>
      <c r="F19693" s="515" t="s">
        <v>20864</v>
      </c>
      <c r="G19693" s="52">
        <v>118225.331692137</v>
      </c>
      <c r="H19693" s="56">
        <v>4.2931784628878172E-2</v>
      </c>
      <c r="I19693" s="224" t="s">
        <v>2</v>
      </c>
    </row>
    <row r="19694" spans="1:9" x14ac:dyDescent="0.25">
      <c r="A19694" s="515">
        <v>12116</v>
      </c>
      <c r="B19694" s="515" t="s">
        <v>460</v>
      </c>
      <c r="C19694" s="52">
        <v>190709.379704558</v>
      </c>
      <c r="D19694" s="56">
        <v>0.10117506746193562</v>
      </c>
      <c r="E19694" s="224" t="s">
        <v>2</v>
      </c>
      <c r="F19694" s="515" t="s">
        <v>20865</v>
      </c>
      <c r="G19694" s="52">
        <v>61178.795204508897</v>
      </c>
      <c r="H19694" s="56">
        <v>2.3860893935372079E-2</v>
      </c>
      <c r="I19694" s="224" t="s">
        <v>2</v>
      </c>
    </row>
    <row r="19695" spans="1:9" x14ac:dyDescent="0.25">
      <c r="A19695" s="515">
        <v>68465</v>
      </c>
      <c r="C19695" s="52">
        <v>184149.20287178201</v>
      </c>
      <c r="D19695" s="56">
        <v>0.11126617635215638</v>
      </c>
      <c r="E19695" s="224" t="s">
        <v>2</v>
      </c>
      <c r="F19695" s="515" t="s">
        <v>20866</v>
      </c>
      <c r="G19695" s="52">
        <v>74787.546852653701</v>
      </c>
      <c r="H19695" s="56">
        <v>0.14957908433848857</v>
      </c>
      <c r="I19695" s="224" t="s">
        <v>2</v>
      </c>
    </row>
    <row r="19696" spans="1:9" x14ac:dyDescent="0.25">
      <c r="A19696" s="515">
        <v>14591</v>
      </c>
      <c r="C19696" s="52">
        <v>181266.95069431601</v>
      </c>
      <c r="D19696" s="56">
        <v>7.0246459744758988E-2</v>
      </c>
      <c r="E19696" s="224" t="s">
        <v>2</v>
      </c>
      <c r="F19696" s="515" t="s">
        <v>20867</v>
      </c>
      <c r="G19696" s="52">
        <v>92900.2390819016</v>
      </c>
      <c r="H19696" s="56">
        <v>9.2999612146417929E-2</v>
      </c>
      <c r="I19696" s="224" t="s">
        <v>2</v>
      </c>
    </row>
    <row r="19697" spans="1:9" x14ac:dyDescent="0.25">
      <c r="A19697" s="515">
        <v>3785</v>
      </c>
      <c r="B19697" s="515" t="s">
        <v>420</v>
      </c>
      <c r="C19697" s="52">
        <v>250454.711710818</v>
      </c>
      <c r="D19697" s="56">
        <v>0.1994834275133375</v>
      </c>
      <c r="E19697" s="224" t="s">
        <v>2</v>
      </c>
      <c r="F19697" s="515" t="s">
        <v>20868</v>
      </c>
      <c r="G19697" s="52">
        <v>676509.57180719904</v>
      </c>
      <c r="H19697" s="56">
        <v>0.20415120479302909</v>
      </c>
      <c r="I19697" s="224" t="s">
        <v>2</v>
      </c>
    </row>
    <row r="19698" spans="1:9" x14ac:dyDescent="0.25">
      <c r="A19698" s="515">
        <v>68366</v>
      </c>
      <c r="B19698" s="515" t="s">
        <v>367</v>
      </c>
      <c r="C19698" s="52">
        <v>269341.67805047502</v>
      </c>
      <c r="D19698" s="56">
        <v>0.10454476709756338</v>
      </c>
      <c r="E19698" s="224" t="s">
        <v>2</v>
      </c>
      <c r="F19698" s="515" t="s">
        <v>20869</v>
      </c>
      <c r="G19698" s="52">
        <v>134755.560871261</v>
      </c>
      <c r="H19698" s="56">
        <v>0.16633022199482261</v>
      </c>
      <c r="I19698" s="224" t="s">
        <v>2</v>
      </c>
    </row>
    <row r="19699" spans="1:9" x14ac:dyDescent="0.25">
      <c r="A19699" s="515">
        <v>68376</v>
      </c>
      <c r="C19699" s="52">
        <v>109241.143632564</v>
      </c>
      <c r="D19699" s="56">
        <v>0.18380317415513434</v>
      </c>
      <c r="E19699" s="224" t="s">
        <v>2</v>
      </c>
      <c r="F19699" s="515" t="s">
        <v>20870</v>
      </c>
      <c r="G19699" s="52">
        <v>244753.003175338</v>
      </c>
      <c r="H19699" s="56">
        <v>8.0894563243858922E-2</v>
      </c>
      <c r="I19699" s="224" t="s">
        <v>2</v>
      </c>
    </row>
    <row r="19700" spans="1:9" x14ac:dyDescent="0.25">
      <c r="A19700" s="515">
        <v>47922</v>
      </c>
      <c r="B19700" s="515" t="s">
        <v>394</v>
      </c>
      <c r="C19700" s="52">
        <v>136852.61249045</v>
      </c>
      <c r="D19700" s="56">
        <v>8.2859610720642574E-2</v>
      </c>
      <c r="E19700" s="224" t="s">
        <v>2</v>
      </c>
      <c r="F19700" s="515" t="s">
        <v>20871</v>
      </c>
      <c r="G19700" s="52">
        <v>232721.40325210601</v>
      </c>
      <c r="H19700" s="56">
        <v>0</v>
      </c>
      <c r="I19700" s="224" t="s">
        <v>2</v>
      </c>
    </row>
    <row r="19701" spans="1:9" x14ac:dyDescent="0.25">
      <c r="A19701" s="515">
        <v>62668</v>
      </c>
      <c r="B19701" s="515" t="s">
        <v>531</v>
      </c>
      <c r="C19701" s="52">
        <v>101672.82101361699</v>
      </c>
      <c r="D19701" s="56">
        <v>-2.181184259366949E-2</v>
      </c>
      <c r="E19701" s="224" t="s">
        <v>2</v>
      </c>
      <c r="F19701" s="515" t="s">
        <v>20872</v>
      </c>
      <c r="G19701" s="52">
        <v>202820.706139174</v>
      </c>
      <c r="H19701" s="56">
        <v>0.10873404489770185</v>
      </c>
      <c r="I19701" s="224" t="s">
        <v>2</v>
      </c>
    </row>
    <row r="19702" spans="1:9" x14ac:dyDescent="0.25">
      <c r="A19702" s="515">
        <v>4658</v>
      </c>
      <c r="C19702" s="52">
        <v>220098.11615334</v>
      </c>
      <c r="D19702" s="56">
        <v>8.8101208613066806E-2</v>
      </c>
      <c r="E19702" s="224" t="s">
        <v>2</v>
      </c>
      <c r="F19702" s="515" t="s">
        <v>20873</v>
      </c>
      <c r="G19702" s="52">
        <v>297940.28052568698</v>
      </c>
      <c r="H19702" s="56">
        <v>-5.044687166821632E-2</v>
      </c>
      <c r="I19702" s="224" t="s">
        <v>2</v>
      </c>
    </row>
    <row r="19703" spans="1:9" x14ac:dyDescent="0.25">
      <c r="A19703" s="515">
        <v>62009</v>
      </c>
      <c r="B19703" s="515" t="s">
        <v>498</v>
      </c>
      <c r="C19703" s="52">
        <v>56429.520650081802</v>
      </c>
      <c r="D19703" s="56">
        <v>0.10669962845396853</v>
      </c>
      <c r="E19703" s="224" t="s">
        <v>2</v>
      </c>
      <c r="F19703" s="515" t="s">
        <v>20874</v>
      </c>
      <c r="G19703" s="52">
        <v>299741.83042575</v>
      </c>
      <c r="H19703" s="56">
        <v>3.0976160600788144E-3</v>
      </c>
      <c r="I19703" s="224" t="s">
        <v>2</v>
      </c>
    </row>
    <row r="19704" spans="1:9" x14ac:dyDescent="0.25">
      <c r="A19704" s="515">
        <v>6777</v>
      </c>
      <c r="B19704" s="515" t="s">
        <v>559</v>
      </c>
      <c r="C19704" s="52">
        <v>584895.63721279998</v>
      </c>
      <c r="D19704" s="56">
        <v>7.2236570924298193E-2</v>
      </c>
      <c r="E19704" s="224" t="s">
        <v>2</v>
      </c>
      <c r="F19704" s="515" t="s">
        <v>20875</v>
      </c>
      <c r="G19704" s="52">
        <v>163427.55723147499</v>
      </c>
      <c r="H19704" s="56">
        <v>6.4977752237874969E-2</v>
      </c>
      <c r="I19704" s="224" t="s">
        <v>2</v>
      </c>
    </row>
    <row r="19705" spans="1:9" x14ac:dyDescent="0.25">
      <c r="A19705" s="515">
        <v>67869</v>
      </c>
      <c r="C19705" s="52">
        <v>125780.256794638</v>
      </c>
      <c r="D19705" s="56">
        <v>0.13406381755915853</v>
      </c>
      <c r="E19705" s="224" t="s">
        <v>2</v>
      </c>
      <c r="F19705" s="515" t="s">
        <v>20876</v>
      </c>
      <c r="G19705" s="52">
        <v>255465.13880295199</v>
      </c>
      <c r="H19705" s="56">
        <v>0</v>
      </c>
      <c r="I19705" s="224" t="s">
        <v>2</v>
      </c>
    </row>
    <row r="19706" spans="1:9" x14ac:dyDescent="0.25">
      <c r="A19706" s="515">
        <v>79525</v>
      </c>
      <c r="B19706" s="515" t="s">
        <v>704</v>
      </c>
      <c r="C19706" s="52">
        <v>208581.45193181501</v>
      </c>
      <c r="D19706" s="56">
        <v>1.2427653631135047E-2</v>
      </c>
      <c r="E19706" s="224" t="s">
        <v>2</v>
      </c>
      <c r="F19706" s="515" t="s">
        <v>20877</v>
      </c>
      <c r="G19706" s="52">
        <v>143519.74909613599</v>
      </c>
      <c r="H19706" s="56">
        <v>6.4497194827322232E-2</v>
      </c>
      <c r="I19706" s="224" t="s">
        <v>2</v>
      </c>
    </row>
    <row r="19707" spans="1:9" x14ac:dyDescent="0.25">
      <c r="A19707" s="515">
        <v>54424</v>
      </c>
      <c r="C19707" s="52">
        <v>210793.228647521</v>
      </c>
      <c r="D19707" s="56">
        <v>8.4324876117915032E-2</v>
      </c>
      <c r="E19707" s="224" t="s">
        <v>2</v>
      </c>
      <c r="F19707" s="515" t="s">
        <v>20878</v>
      </c>
      <c r="G19707" s="52">
        <v>102800.03634812</v>
      </c>
      <c r="H19707" s="56">
        <v>8.1964652202264843E-2</v>
      </c>
      <c r="I19707" s="224" t="s">
        <v>2</v>
      </c>
    </row>
    <row r="19708" spans="1:9" x14ac:dyDescent="0.25">
      <c r="A19708" s="515">
        <v>48886</v>
      </c>
      <c r="B19708" s="515" t="s">
        <v>631</v>
      </c>
      <c r="C19708" s="52">
        <v>140769.709115601</v>
      </c>
      <c r="D19708" s="56">
        <v>7.0003799620419513E-2</v>
      </c>
      <c r="E19708" s="224" t="s">
        <v>2</v>
      </c>
      <c r="F19708" s="515" t="s">
        <v>20879</v>
      </c>
      <c r="G19708" s="52">
        <v>314342.97261026897</v>
      </c>
      <c r="H19708" s="56">
        <v>0.20369015871199489</v>
      </c>
      <c r="I19708" s="224" t="s">
        <v>2</v>
      </c>
    </row>
    <row r="19709" spans="1:9" x14ac:dyDescent="0.25">
      <c r="A19709" s="515">
        <v>50543</v>
      </c>
      <c r="B19709" s="515" t="s">
        <v>670</v>
      </c>
      <c r="C19709" s="52">
        <v>125932.111277563</v>
      </c>
      <c r="D19709" s="56">
        <v>7.2291729496317833E-2</v>
      </c>
      <c r="E19709" s="224" t="s">
        <v>2</v>
      </c>
      <c r="F19709" s="515" t="s">
        <v>20880</v>
      </c>
      <c r="G19709" s="52">
        <v>506011.25344565802</v>
      </c>
      <c r="H19709" s="56">
        <v>1.8240984786523116E-2</v>
      </c>
      <c r="I19709" s="224" t="s">
        <v>2</v>
      </c>
    </row>
    <row r="19710" spans="1:9" x14ac:dyDescent="0.25">
      <c r="A19710" s="515">
        <v>99330</v>
      </c>
      <c r="B19710" s="515" t="s">
        <v>1068</v>
      </c>
      <c r="C19710" s="52">
        <v>643887.56288064504</v>
      </c>
      <c r="D19710" s="56">
        <v>0.12795585609676513</v>
      </c>
      <c r="E19710" s="224" t="s">
        <v>2</v>
      </c>
      <c r="F19710" s="515" t="s">
        <v>20881</v>
      </c>
      <c r="G19710" s="52">
        <v>73805.073555802999</v>
      </c>
      <c r="H19710" s="56">
        <v>6.3414875524848299E-2</v>
      </c>
      <c r="I19710" s="224" t="s">
        <v>2</v>
      </c>
    </row>
    <row r="19711" spans="1:9" x14ac:dyDescent="0.25">
      <c r="A19711" s="515">
        <v>61741</v>
      </c>
      <c r="B19711" s="515" t="s">
        <v>678</v>
      </c>
      <c r="C19711" s="52">
        <v>126470.98159474399</v>
      </c>
      <c r="D19711" s="56">
        <v>0.10656060690036373</v>
      </c>
      <c r="E19711" s="224" t="s">
        <v>2</v>
      </c>
      <c r="F19711" s="515" t="s">
        <v>20882</v>
      </c>
      <c r="G19711" s="52">
        <v>189943.25965949401</v>
      </c>
      <c r="H19711" s="56">
        <v>0</v>
      </c>
      <c r="I19711" s="224" t="s">
        <v>2</v>
      </c>
    </row>
    <row r="19712" spans="1:9" x14ac:dyDescent="0.25">
      <c r="A19712" s="515">
        <v>71358</v>
      </c>
      <c r="B19712" s="515" t="s">
        <v>1162</v>
      </c>
      <c r="C19712" s="52">
        <v>60351.167523298798</v>
      </c>
      <c r="D19712" s="56">
        <v>4.4761000118726961E-2</v>
      </c>
      <c r="E19712" s="224" t="s">
        <v>2</v>
      </c>
      <c r="F19712" s="515" t="s">
        <v>20883</v>
      </c>
      <c r="G19712" s="52">
        <v>109179.408848177</v>
      </c>
      <c r="H19712" s="56">
        <v>6.5549056422365012E-2</v>
      </c>
      <c r="I19712" s="224" t="s">
        <v>2</v>
      </c>
    </row>
    <row r="19713" spans="1:9" x14ac:dyDescent="0.25">
      <c r="A19713" s="515">
        <v>43915</v>
      </c>
      <c r="C19713" s="52">
        <v>134597.11396299399</v>
      </c>
      <c r="D19713" s="56">
        <v>-1.0296799400273502E-2</v>
      </c>
      <c r="E19713" s="224" t="s">
        <v>2</v>
      </c>
      <c r="F19713" s="515" t="s">
        <v>20884</v>
      </c>
      <c r="G19713" s="52">
        <v>182577.91369618999</v>
      </c>
      <c r="H19713" s="56">
        <v>0.13031695435615381</v>
      </c>
      <c r="I19713" s="224" t="s">
        <v>2</v>
      </c>
    </row>
    <row r="19714" spans="1:9" x14ac:dyDescent="0.25">
      <c r="A19714" s="515">
        <v>62440</v>
      </c>
      <c r="B19714" s="515" t="s">
        <v>853</v>
      </c>
      <c r="C19714" s="52">
        <v>119422.96752621399</v>
      </c>
      <c r="D19714" s="56">
        <v>0.1009055221180722</v>
      </c>
      <c r="E19714" s="224" t="s">
        <v>2</v>
      </c>
      <c r="F19714" s="515" t="s">
        <v>20885</v>
      </c>
      <c r="G19714" s="52">
        <v>47272.261243184097</v>
      </c>
      <c r="H19714" s="56">
        <v>4.8979061017298584E-2</v>
      </c>
      <c r="I19714" s="224" t="s">
        <v>2</v>
      </c>
    </row>
    <row r="19715" spans="1:9" x14ac:dyDescent="0.25">
      <c r="A19715" s="515">
        <v>42049</v>
      </c>
      <c r="B19715" s="515" t="s">
        <v>1034</v>
      </c>
      <c r="C19715" s="52">
        <v>130353.378185251</v>
      </c>
      <c r="D19715" s="56">
        <v>0.2548115653603199</v>
      </c>
      <c r="E19715" s="224" t="s">
        <v>2</v>
      </c>
      <c r="F19715" s="515" t="s">
        <v>20886</v>
      </c>
      <c r="G19715" s="52">
        <v>96989.564151103594</v>
      </c>
      <c r="H19715" s="56">
        <v>0.12513156033719475</v>
      </c>
      <c r="I19715" s="224" t="s">
        <v>2</v>
      </c>
    </row>
    <row r="19716" spans="1:9" x14ac:dyDescent="0.25">
      <c r="A19716" s="515">
        <v>51046</v>
      </c>
      <c r="C19716" s="52">
        <v>127188.572764906</v>
      </c>
      <c r="D19716" s="56">
        <v>0.10920203486590148</v>
      </c>
      <c r="E19716" s="224" t="s">
        <v>2</v>
      </c>
      <c r="F19716" s="515" t="s">
        <v>20887</v>
      </c>
      <c r="G19716" s="52">
        <v>177170.482807033</v>
      </c>
      <c r="H19716" s="56">
        <v>7.4885243278004318E-2</v>
      </c>
      <c r="I19716" s="224" t="s">
        <v>2</v>
      </c>
    </row>
    <row r="19717" spans="1:9" x14ac:dyDescent="0.25">
      <c r="A19717" s="515">
        <v>51561</v>
      </c>
      <c r="B19717" s="515" t="s">
        <v>367</v>
      </c>
      <c r="C19717" s="52">
        <v>206571.49595827001</v>
      </c>
      <c r="D19717" s="56">
        <v>0</v>
      </c>
      <c r="E19717" s="224" t="s">
        <v>2</v>
      </c>
      <c r="F19717" s="515" t="s">
        <v>20888</v>
      </c>
      <c r="G19717" s="52">
        <v>250048.14967489499</v>
      </c>
      <c r="H19717" s="56">
        <v>0.11759909766653807</v>
      </c>
      <c r="I19717" s="224" t="s">
        <v>2</v>
      </c>
    </row>
    <row r="19718" spans="1:9" x14ac:dyDescent="0.25">
      <c r="A19718" s="515">
        <v>13680</v>
      </c>
      <c r="B19718" s="515" t="s">
        <v>511</v>
      </c>
      <c r="C19718" s="52">
        <v>121048.71598309099</v>
      </c>
      <c r="D19718" s="56">
        <v>7.9696256563439746E-2</v>
      </c>
      <c r="E19718" s="224" t="s">
        <v>2</v>
      </c>
      <c r="F19718" s="515" t="s">
        <v>20889</v>
      </c>
      <c r="G19718" s="52">
        <v>104755.856901798</v>
      </c>
      <c r="H19718" s="56">
        <v>9.0579800123065768E-2</v>
      </c>
      <c r="I19718" s="224" t="s">
        <v>2</v>
      </c>
    </row>
    <row r="19719" spans="1:9" x14ac:dyDescent="0.25">
      <c r="A19719" s="515">
        <v>83250</v>
      </c>
      <c r="B19719" s="515" t="s">
        <v>884</v>
      </c>
      <c r="C19719" s="52">
        <v>358370.12036137498</v>
      </c>
      <c r="D19719" s="56">
        <v>2.4772566388459441E-2</v>
      </c>
      <c r="E19719" s="224" t="s">
        <v>2</v>
      </c>
      <c r="F19719" s="515" t="s">
        <v>20890</v>
      </c>
      <c r="G19719" s="52">
        <v>1513381.40449348</v>
      </c>
      <c r="H19719" s="56">
        <v>0.11529821794126399</v>
      </c>
      <c r="I19719" s="224" t="s">
        <v>2</v>
      </c>
    </row>
    <row r="19720" spans="1:9" x14ac:dyDescent="0.25">
      <c r="A19720" s="515">
        <v>24378</v>
      </c>
      <c r="C19720" s="52">
        <v>161027.98237226301</v>
      </c>
      <c r="D19720" s="56">
        <v>0.14297389621495016</v>
      </c>
      <c r="E19720" s="224" t="s">
        <v>2</v>
      </c>
      <c r="F19720" s="515" t="s">
        <v>20891</v>
      </c>
      <c r="G19720" s="52">
        <v>132132.477808814</v>
      </c>
      <c r="H19720" s="56">
        <v>6.4333000310900973E-2</v>
      </c>
      <c r="I19720" s="224" t="s">
        <v>2</v>
      </c>
    </row>
    <row r="19721" spans="1:9" x14ac:dyDescent="0.25">
      <c r="A19721" s="515">
        <v>29446</v>
      </c>
      <c r="C19721" s="52">
        <v>172413.17686103901</v>
      </c>
      <c r="D19721" s="56">
        <v>1.3506579365740701E-2</v>
      </c>
      <c r="E19721" s="224" t="s">
        <v>2</v>
      </c>
      <c r="F19721" s="515" t="s">
        <v>20892</v>
      </c>
      <c r="G19721" s="52">
        <v>256248.43937685099</v>
      </c>
      <c r="H19721" s="56">
        <v>0.12333245458597294</v>
      </c>
      <c r="I19721" s="224" t="s">
        <v>2</v>
      </c>
    </row>
    <row r="19722" spans="1:9" x14ac:dyDescent="0.25">
      <c r="A19722" s="515">
        <v>18936</v>
      </c>
      <c r="B19722" s="515" t="s">
        <v>294</v>
      </c>
      <c r="C19722" s="52">
        <v>325322.00740641699</v>
      </c>
      <c r="D19722" s="56">
        <v>9.8191250662054363E-2</v>
      </c>
      <c r="E19722" s="224" t="s">
        <v>2</v>
      </c>
      <c r="F19722" s="515" t="s">
        <v>20893</v>
      </c>
      <c r="G19722" s="52">
        <v>159628.20542610099</v>
      </c>
      <c r="H19722" s="56">
        <v>1.605275117016311E-2</v>
      </c>
      <c r="I19722" s="224" t="s">
        <v>2</v>
      </c>
    </row>
    <row r="19723" spans="1:9" x14ac:dyDescent="0.25">
      <c r="A19723" s="515">
        <v>98279</v>
      </c>
      <c r="C19723" s="52">
        <v>921271.64045287797</v>
      </c>
      <c r="D19723" s="56">
        <v>4.31469595378852E-2</v>
      </c>
      <c r="E19723" s="224" t="s">
        <v>2</v>
      </c>
      <c r="F19723" s="515" t="s">
        <v>20894</v>
      </c>
      <c r="G19723" s="52">
        <v>284031.37904415198</v>
      </c>
      <c r="H19723" s="56">
        <v>6.5633773161807712E-3</v>
      </c>
      <c r="I19723" s="224" t="s">
        <v>2</v>
      </c>
    </row>
    <row r="19724" spans="1:9" x14ac:dyDescent="0.25">
      <c r="A19724" s="515">
        <v>58425</v>
      </c>
      <c r="C19724" s="52">
        <v>111732.257668711</v>
      </c>
      <c r="D19724" s="56">
        <v>0</v>
      </c>
      <c r="E19724" s="224" t="s">
        <v>2</v>
      </c>
      <c r="F19724" s="515" t="s">
        <v>20895</v>
      </c>
      <c r="G19724" s="52">
        <v>443655.729158103</v>
      </c>
      <c r="H19724" s="56">
        <v>0</v>
      </c>
      <c r="I19724" s="224" t="s">
        <v>2</v>
      </c>
    </row>
    <row r="19725" spans="1:9" x14ac:dyDescent="0.25">
      <c r="A19725" s="515">
        <v>22971</v>
      </c>
      <c r="B19725" s="515" t="s">
        <v>630</v>
      </c>
      <c r="C19725" s="52">
        <v>214907.62811964401</v>
      </c>
      <c r="D19725" s="56">
        <v>0.14322829441516724</v>
      </c>
      <c r="E19725" s="224" t="s">
        <v>2</v>
      </c>
      <c r="F19725" s="515" t="s">
        <v>20896</v>
      </c>
      <c r="G19725" s="52">
        <v>169996.59524174701</v>
      </c>
      <c r="H19725" s="56">
        <v>0</v>
      </c>
      <c r="I19725" s="224" t="s">
        <v>2</v>
      </c>
    </row>
    <row r="19726" spans="1:9" x14ac:dyDescent="0.25">
      <c r="A19726" s="515">
        <v>41539</v>
      </c>
      <c r="C19726" s="52">
        <v>82070.497907882105</v>
      </c>
      <c r="D19726" s="56">
        <v>0.27229177777357066</v>
      </c>
      <c r="E19726" s="224" t="s">
        <v>2</v>
      </c>
      <c r="F19726" s="515" t="s">
        <v>20897</v>
      </c>
      <c r="G19726" s="52">
        <v>255601.22185640901</v>
      </c>
      <c r="H19726" s="56">
        <v>0.11616173408623173</v>
      </c>
      <c r="I19726" s="224" t="s">
        <v>2</v>
      </c>
    </row>
    <row r="19727" spans="1:9" x14ac:dyDescent="0.25">
      <c r="A19727" s="515">
        <v>98843</v>
      </c>
      <c r="B19727" s="515" t="s">
        <v>521</v>
      </c>
      <c r="C19727" s="52">
        <v>628792.805188381</v>
      </c>
      <c r="D19727" s="56">
        <v>7.4843348989105357E-2</v>
      </c>
      <c r="E19727" s="224" t="s">
        <v>2</v>
      </c>
      <c r="F19727" s="515" t="s">
        <v>20898</v>
      </c>
      <c r="G19727" s="52">
        <v>169702.478698066</v>
      </c>
      <c r="H19727" s="56">
        <v>0.10097018409733427</v>
      </c>
      <c r="I19727" s="224" t="s">
        <v>2</v>
      </c>
    </row>
    <row r="19728" spans="1:9" x14ac:dyDescent="0.25">
      <c r="A19728" s="515">
        <v>3043</v>
      </c>
      <c r="B19728" s="515" t="s">
        <v>996</v>
      </c>
      <c r="C19728" s="52">
        <v>418337.11314963299</v>
      </c>
      <c r="D19728" s="56">
        <v>0.1225157838721133</v>
      </c>
      <c r="E19728" s="224" t="s">
        <v>2</v>
      </c>
      <c r="F19728" s="515" t="s">
        <v>20899</v>
      </c>
      <c r="G19728" s="52">
        <v>243466.58399021599</v>
      </c>
      <c r="H19728" s="56">
        <v>0</v>
      </c>
      <c r="I19728" s="224" t="s">
        <v>2</v>
      </c>
    </row>
    <row r="19729" spans="1:9" x14ac:dyDescent="0.25">
      <c r="A19729" s="515">
        <v>25286</v>
      </c>
      <c r="C19729" s="52">
        <v>99883.778948335894</v>
      </c>
      <c r="D19729" s="56">
        <v>-9.2995859498762688E-3</v>
      </c>
      <c r="E19729" s="224" t="s">
        <v>2</v>
      </c>
      <c r="F19729" s="515" t="s">
        <v>20900</v>
      </c>
      <c r="G19729" s="52">
        <v>84631.820328965594</v>
      </c>
      <c r="H19729" s="56">
        <v>0.14017460359261555</v>
      </c>
      <c r="I19729" s="224" t="s">
        <v>2</v>
      </c>
    </row>
    <row r="19730" spans="1:9" x14ac:dyDescent="0.25">
      <c r="A19730" s="515">
        <v>1341</v>
      </c>
      <c r="B19730" s="515" t="s">
        <v>575</v>
      </c>
      <c r="C19730" s="52">
        <v>389248.90934941103</v>
      </c>
      <c r="D19730" s="56">
        <v>6.5369532780476636E-2</v>
      </c>
      <c r="E19730" s="224" t="s">
        <v>2</v>
      </c>
      <c r="F19730" s="515" t="s">
        <v>20901</v>
      </c>
      <c r="G19730" s="52">
        <v>138848.35034192799</v>
      </c>
      <c r="H19730" s="56">
        <v>0.11584657573057963</v>
      </c>
      <c r="I19730" s="224" t="s">
        <v>2</v>
      </c>
    </row>
    <row r="19731" spans="1:9" x14ac:dyDescent="0.25">
      <c r="A19731" s="515">
        <v>23084</v>
      </c>
      <c r="B19731" s="515" t="s">
        <v>630</v>
      </c>
      <c r="C19731" s="52">
        <v>316668.26677836402</v>
      </c>
      <c r="D19731" s="56">
        <v>0.10091885472970766</v>
      </c>
      <c r="E19731" s="224" t="s">
        <v>2</v>
      </c>
      <c r="F19731" s="515" t="s">
        <v>20902</v>
      </c>
      <c r="G19731" s="52">
        <v>581465.63487888803</v>
      </c>
      <c r="H19731" s="56">
        <v>2.1603399464447063E-2</v>
      </c>
      <c r="I19731" s="224" t="s">
        <v>2</v>
      </c>
    </row>
    <row r="19732" spans="1:9" x14ac:dyDescent="0.25">
      <c r="A19732" s="515">
        <v>46974</v>
      </c>
      <c r="B19732" s="515" t="s">
        <v>435</v>
      </c>
      <c r="C19732" s="52">
        <v>171116.51731179401</v>
      </c>
      <c r="D19732" s="56">
        <v>5.7501317533273977E-2</v>
      </c>
      <c r="E19732" s="224" t="s">
        <v>2</v>
      </c>
      <c r="F19732" s="515" t="s">
        <v>20903</v>
      </c>
      <c r="G19732" s="52">
        <v>223556.329082488</v>
      </c>
      <c r="H19732" s="56">
        <v>6.1503378171445265E-2</v>
      </c>
      <c r="I19732" s="224" t="s">
        <v>2</v>
      </c>
    </row>
    <row r="19733" spans="1:9" x14ac:dyDescent="0.25">
      <c r="A19733" s="515">
        <v>7620</v>
      </c>
      <c r="B19733" s="515" t="s">
        <v>324</v>
      </c>
      <c r="C19733" s="52">
        <v>2539315.69462561</v>
      </c>
      <c r="D19733" s="56">
        <v>3.7627651799190358E-2</v>
      </c>
      <c r="E19733" s="224" t="s">
        <v>2</v>
      </c>
      <c r="F19733" s="515" t="s">
        <v>20904</v>
      </c>
      <c r="G19733" s="52">
        <v>151818.75026049899</v>
      </c>
      <c r="H19733" s="56">
        <v>1.6562288788509412E-2</v>
      </c>
      <c r="I19733" s="224" t="s">
        <v>2</v>
      </c>
    </row>
    <row r="19734" spans="1:9" x14ac:dyDescent="0.25">
      <c r="A19734" s="515">
        <v>31552</v>
      </c>
      <c r="B19734" s="515" t="s">
        <v>824</v>
      </c>
      <c r="C19734" s="52">
        <v>163551.50405184401</v>
      </c>
      <c r="D19734" s="56">
        <v>6.4326117982939815E-2</v>
      </c>
      <c r="E19734" s="224" t="s">
        <v>2</v>
      </c>
      <c r="F19734" s="515" t="s">
        <v>20905</v>
      </c>
      <c r="G19734" s="52">
        <v>49073.007846314998</v>
      </c>
      <c r="H19734" s="56">
        <v>6.8509742036164237E-2</v>
      </c>
      <c r="I19734" s="224" t="s">
        <v>2</v>
      </c>
    </row>
    <row r="19735" spans="1:9" x14ac:dyDescent="0.25">
      <c r="A19735" s="515">
        <v>66440</v>
      </c>
      <c r="B19735" s="515" t="s">
        <v>549</v>
      </c>
      <c r="C19735" s="52">
        <v>237786.29504679001</v>
      </c>
      <c r="D19735" s="56">
        <v>0.12885073973178468</v>
      </c>
      <c r="E19735" s="224" t="s">
        <v>2</v>
      </c>
      <c r="F19735" s="515" t="s">
        <v>20906</v>
      </c>
      <c r="G19735" s="52">
        <v>75881.681645930395</v>
      </c>
      <c r="H19735" s="56">
        <v>4.454650487065219E-2</v>
      </c>
      <c r="I19735" s="224" t="s">
        <v>2</v>
      </c>
    </row>
    <row r="19736" spans="1:9" x14ac:dyDescent="0.25">
      <c r="A19736" s="515">
        <v>4854</v>
      </c>
      <c r="C19736" s="52">
        <v>457941.90496109799</v>
      </c>
      <c r="D19736" s="56">
        <v>0.10790539561051957</v>
      </c>
      <c r="E19736" s="224" t="s">
        <v>2</v>
      </c>
      <c r="F19736" s="515" t="s">
        <v>20907</v>
      </c>
      <c r="G19736" s="52">
        <v>67639.949410711793</v>
      </c>
      <c r="H19736" s="56">
        <v>0.15368987533905559</v>
      </c>
      <c r="I19736" s="224" t="s">
        <v>2</v>
      </c>
    </row>
    <row r="19737" spans="1:9" x14ac:dyDescent="0.25">
      <c r="A19737" s="515">
        <v>77975</v>
      </c>
      <c r="C19737" s="52">
        <v>224685.305353217</v>
      </c>
      <c r="D19737" s="56">
        <v>4.0194993740845175E-2</v>
      </c>
      <c r="E19737" s="224" t="s">
        <v>2</v>
      </c>
      <c r="F19737" s="515" t="s">
        <v>20908</v>
      </c>
      <c r="G19737" s="52">
        <v>450101.27733631397</v>
      </c>
      <c r="H19737" s="56">
        <v>8.3241886369631618E-2</v>
      </c>
      <c r="I19737" s="224" t="s">
        <v>2</v>
      </c>
    </row>
    <row r="19738" spans="1:9" x14ac:dyDescent="0.25">
      <c r="A19738" s="515">
        <v>49436</v>
      </c>
      <c r="C19738" s="52">
        <v>262440.99476620398</v>
      </c>
      <c r="D19738" s="56">
        <v>8.8765130035577858E-2</v>
      </c>
      <c r="E19738" s="224" t="s">
        <v>2</v>
      </c>
      <c r="F19738" s="515" t="s">
        <v>20909</v>
      </c>
      <c r="G19738" s="52">
        <v>115666.68240833899</v>
      </c>
      <c r="H19738" s="56">
        <v>2.1736118595880632E-2</v>
      </c>
      <c r="I19738" s="224" t="s">
        <v>2</v>
      </c>
    </row>
    <row r="19739" spans="1:9" x14ac:dyDescent="0.25">
      <c r="A19739" s="515">
        <v>23883</v>
      </c>
      <c r="C19739" s="52">
        <v>235002.59578594001</v>
      </c>
      <c r="D19739" s="56">
        <v>5.347384895653938E-2</v>
      </c>
      <c r="E19739" s="224" t="s">
        <v>2</v>
      </c>
      <c r="F19739" s="515" t="s">
        <v>20910</v>
      </c>
      <c r="G19739" s="52">
        <v>163694.93793281401</v>
      </c>
      <c r="H19739" s="56">
        <v>0</v>
      </c>
      <c r="I19739" s="224" t="s">
        <v>2</v>
      </c>
    </row>
    <row r="19740" spans="1:9" x14ac:dyDescent="0.25">
      <c r="A19740" s="515">
        <v>48737</v>
      </c>
      <c r="C19740" s="52">
        <v>91560.286533741906</v>
      </c>
      <c r="D19740" s="56">
        <v>3.1493401271478157E-2</v>
      </c>
      <c r="E19740" s="224" t="s">
        <v>2</v>
      </c>
      <c r="F19740" s="515" t="s">
        <v>20911</v>
      </c>
      <c r="G19740" s="52">
        <v>147906.118045015</v>
      </c>
      <c r="H19740" s="56">
        <v>0.14988103215623283</v>
      </c>
      <c r="I19740" s="224" t="s">
        <v>2</v>
      </c>
    </row>
    <row r="19741" spans="1:9" x14ac:dyDescent="0.25">
      <c r="A19741" s="515">
        <v>15086</v>
      </c>
      <c r="B19741" s="515" t="s">
        <v>297</v>
      </c>
      <c r="C19741" s="52">
        <v>343165.27760573599</v>
      </c>
      <c r="D19741" s="56">
        <v>8.0449365930311934E-2</v>
      </c>
      <c r="E19741" s="224" t="s">
        <v>2</v>
      </c>
      <c r="F19741" s="515" t="s">
        <v>20912</v>
      </c>
      <c r="G19741" s="52">
        <v>122400.575342465</v>
      </c>
      <c r="H19741" s="56">
        <v>0</v>
      </c>
      <c r="I19741" s="224" t="s">
        <v>2</v>
      </c>
    </row>
    <row r="19742" spans="1:9" x14ac:dyDescent="0.25">
      <c r="A19742" s="515">
        <v>13750</v>
      </c>
      <c r="C19742" s="52">
        <v>184507.89113698801</v>
      </c>
      <c r="D19742" s="56">
        <v>0.13096426565377101</v>
      </c>
      <c r="E19742" s="224" t="s">
        <v>2</v>
      </c>
      <c r="F19742" s="515" t="s">
        <v>20913</v>
      </c>
      <c r="G19742" s="52">
        <v>157709.147077753</v>
      </c>
      <c r="H19742" s="56">
        <v>0</v>
      </c>
      <c r="I19742" s="224" t="s">
        <v>2</v>
      </c>
    </row>
    <row r="19743" spans="1:9" x14ac:dyDescent="0.25">
      <c r="A19743" s="515">
        <v>61060</v>
      </c>
      <c r="B19743" s="515" t="s">
        <v>411</v>
      </c>
      <c r="C19743" s="52">
        <v>160138.782453527</v>
      </c>
      <c r="D19743" s="56">
        <v>9.134967570478332E-2</v>
      </c>
      <c r="E19743" s="224" t="s">
        <v>2</v>
      </c>
      <c r="F19743" s="515" t="s">
        <v>20914</v>
      </c>
      <c r="G19743" s="52">
        <v>85510.915436876297</v>
      </c>
      <c r="H19743" s="56">
        <v>0</v>
      </c>
      <c r="I19743" s="224" t="s">
        <v>2</v>
      </c>
    </row>
    <row r="19744" spans="1:9" x14ac:dyDescent="0.25">
      <c r="A19744" s="515">
        <v>41064</v>
      </c>
      <c r="C19744" s="52">
        <v>118861.098050645</v>
      </c>
      <c r="D19744" s="56">
        <v>0.14886058083185794</v>
      </c>
      <c r="E19744" s="224" t="s">
        <v>2</v>
      </c>
      <c r="F19744" s="515" t="s">
        <v>20915</v>
      </c>
      <c r="G19744" s="52">
        <v>292424.66518825601</v>
      </c>
      <c r="H19744" s="56">
        <v>8.2857958365079531E-2</v>
      </c>
      <c r="I19744" s="224" t="s">
        <v>2</v>
      </c>
    </row>
    <row r="19745" spans="1:9" x14ac:dyDescent="0.25">
      <c r="A19745" s="515">
        <v>57014</v>
      </c>
      <c r="B19745" s="515" t="s">
        <v>579</v>
      </c>
      <c r="C19745" s="52">
        <v>228238.95006184699</v>
      </c>
      <c r="D19745" s="56">
        <v>0.16948700895591198</v>
      </c>
      <c r="E19745" s="224" t="s">
        <v>2</v>
      </c>
      <c r="F19745" s="515" t="s">
        <v>20916</v>
      </c>
      <c r="G19745" s="52">
        <v>41114.856530893398</v>
      </c>
      <c r="H19745" s="56">
        <v>0.19056702525831373</v>
      </c>
      <c r="I19745" s="224" t="s">
        <v>2</v>
      </c>
    </row>
    <row r="19746" spans="1:9" x14ac:dyDescent="0.25">
      <c r="A19746" s="515">
        <v>34760</v>
      </c>
      <c r="B19746" s="515" t="s">
        <v>517</v>
      </c>
      <c r="C19746" s="52">
        <v>415114.24898250197</v>
      </c>
      <c r="D19746" s="56">
        <v>0.13025492818445722</v>
      </c>
      <c r="E19746" s="224" t="s">
        <v>2</v>
      </c>
      <c r="F19746" s="515" t="s">
        <v>20917</v>
      </c>
      <c r="G19746" s="52">
        <v>220480.09222932899</v>
      </c>
      <c r="H19746" s="56">
        <v>1.0538777041081467E-2</v>
      </c>
      <c r="I19746" s="224" t="s">
        <v>2</v>
      </c>
    </row>
    <row r="19747" spans="1:9" x14ac:dyDescent="0.25">
      <c r="A19747" s="515">
        <v>67671</v>
      </c>
      <c r="B19747" s="515" t="s">
        <v>811</v>
      </c>
      <c r="C19747" s="52">
        <v>179115.222121837</v>
      </c>
      <c r="D19747" s="56">
        <v>6.7471766226061394E-2</v>
      </c>
      <c r="E19747" s="224" t="s">
        <v>2</v>
      </c>
      <c r="F19747" s="515" t="s">
        <v>20918</v>
      </c>
      <c r="G19747" s="52">
        <v>1426571.5740318899</v>
      </c>
      <c r="H19747" s="56">
        <v>0</v>
      </c>
      <c r="I19747" s="224">
        <v>16800</v>
      </c>
    </row>
    <row r="19748" spans="1:9" x14ac:dyDescent="0.25">
      <c r="A19748" s="515">
        <v>15840</v>
      </c>
      <c r="C19748" s="52">
        <v>101966.95150536</v>
      </c>
      <c r="D19748" s="56">
        <v>3.1295705254239053E-2</v>
      </c>
      <c r="E19748" s="224" t="s">
        <v>2</v>
      </c>
      <c r="F19748" s="515" t="s">
        <v>20919</v>
      </c>
      <c r="G19748" s="52">
        <v>735666.29593465198</v>
      </c>
      <c r="H19748" s="56">
        <v>7.8768754451437155E-3</v>
      </c>
      <c r="I19748" s="224" t="s">
        <v>2</v>
      </c>
    </row>
    <row r="19749" spans="1:9" x14ac:dyDescent="0.25">
      <c r="A19749" s="515">
        <v>42333</v>
      </c>
      <c r="C19749" s="52">
        <v>103497.025171842</v>
      </c>
      <c r="D19749" s="56">
        <v>0.12830500879443898</v>
      </c>
      <c r="E19749" s="224" t="s">
        <v>2</v>
      </c>
      <c r="F19749" s="515" t="s">
        <v>20920</v>
      </c>
      <c r="G19749" s="52">
        <v>152143.43161398001</v>
      </c>
      <c r="H19749" s="56">
        <v>5.045336222681782E-3</v>
      </c>
      <c r="I19749" s="224" t="s">
        <v>2</v>
      </c>
    </row>
    <row r="19750" spans="1:9" x14ac:dyDescent="0.25">
      <c r="A19750" s="515">
        <v>32359</v>
      </c>
      <c r="C19750" s="52">
        <v>261706.44423800899</v>
      </c>
      <c r="D19750" s="56">
        <v>0.24531032500161049</v>
      </c>
      <c r="E19750" s="224" t="s">
        <v>2</v>
      </c>
      <c r="F19750" s="515" t="s">
        <v>20921</v>
      </c>
      <c r="G19750" s="52">
        <v>57342.3647805562</v>
      </c>
      <c r="H19750" s="56">
        <v>0</v>
      </c>
      <c r="I19750" s="224" t="s">
        <v>2</v>
      </c>
    </row>
    <row r="19751" spans="1:9" x14ac:dyDescent="0.25">
      <c r="A19751" s="515">
        <v>21530</v>
      </c>
      <c r="B19751" s="515" t="s">
        <v>362</v>
      </c>
      <c r="C19751" s="52">
        <v>189904.530386114</v>
      </c>
      <c r="D19751" s="56">
        <v>1.4155670490066807E-2</v>
      </c>
      <c r="E19751" s="224" t="s">
        <v>2</v>
      </c>
      <c r="F19751" s="515" t="s">
        <v>20922</v>
      </c>
      <c r="G19751" s="52">
        <v>163675.0625</v>
      </c>
      <c r="H19751" s="56">
        <v>0</v>
      </c>
      <c r="I19751" s="224" t="s">
        <v>2</v>
      </c>
    </row>
    <row r="19752" spans="1:9" x14ac:dyDescent="0.25">
      <c r="A19752" s="515">
        <v>54631</v>
      </c>
      <c r="C19752" s="52">
        <v>146118.47354994199</v>
      </c>
      <c r="D19752" s="56">
        <v>6.0004754961806933E-2</v>
      </c>
      <c r="E19752" s="224" t="s">
        <v>2</v>
      </c>
      <c r="F19752" s="515" t="s">
        <v>20923</v>
      </c>
      <c r="G19752" s="52">
        <v>179228.131906194</v>
      </c>
      <c r="H19752" s="56">
        <v>5.3981630451698646E-2</v>
      </c>
      <c r="I19752" s="224" t="s">
        <v>2</v>
      </c>
    </row>
    <row r="19753" spans="1:9" x14ac:dyDescent="0.25">
      <c r="A19753" s="515">
        <v>65722</v>
      </c>
      <c r="B19753" s="515" t="s">
        <v>813</v>
      </c>
      <c r="C19753" s="52">
        <v>198835.52121546699</v>
      </c>
      <c r="D19753" s="56">
        <v>8.8584378224607671E-2</v>
      </c>
      <c r="E19753" s="224" t="s">
        <v>2</v>
      </c>
      <c r="F19753" s="515" t="s">
        <v>20924</v>
      </c>
      <c r="G19753" s="52">
        <v>208442.76007610199</v>
      </c>
      <c r="H19753" s="56">
        <v>0.11551284893798541</v>
      </c>
      <c r="I19753" s="224" t="s">
        <v>2</v>
      </c>
    </row>
    <row r="19754" spans="1:9" x14ac:dyDescent="0.25">
      <c r="A19754" s="515">
        <v>31025</v>
      </c>
      <c r="B19754" s="515" t="s">
        <v>1067</v>
      </c>
      <c r="C19754" s="52">
        <v>248077.43364503601</v>
      </c>
      <c r="D19754" s="56">
        <v>0.13712572049842636</v>
      </c>
      <c r="E19754" s="224" t="s">
        <v>2</v>
      </c>
      <c r="F19754" s="515" t="s">
        <v>20925</v>
      </c>
      <c r="G19754" s="52">
        <v>230860.07692307601</v>
      </c>
      <c r="H19754" s="56">
        <v>0</v>
      </c>
      <c r="I19754" s="224" t="s">
        <v>2</v>
      </c>
    </row>
    <row r="19755" spans="1:9" x14ac:dyDescent="0.25">
      <c r="A19755" s="515">
        <v>79227</v>
      </c>
      <c r="C19755" s="52">
        <v>79682.217528156005</v>
      </c>
      <c r="D19755" s="56">
        <v>0</v>
      </c>
      <c r="E19755" s="224" t="s">
        <v>2</v>
      </c>
      <c r="F19755" s="515" t="s">
        <v>20926</v>
      </c>
      <c r="G19755" s="52">
        <v>215164.436198421</v>
      </c>
      <c r="H19755" s="56">
        <v>0.10382885395321609</v>
      </c>
      <c r="I19755" s="224" t="s">
        <v>2</v>
      </c>
    </row>
    <row r="19756" spans="1:9" x14ac:dyDescent="0.25">
      <c r="A19756" s="515">
        <v>53091</v>
      </c>
      <c r="B19756" s="515" t="s">
        <v>955</v>
      </c>
      <c r="C19756" s="52">
        <v>259740.42514984001</v>
      </c>
      <c r="D19756" s="56">
        <v>2.3898409842098789E-2</v>
      </c>
      <c r="E19756" s="224" t="s">
        <v>2</v>
      </c>
      <c r="F19756" s="515" t="s">
        <v>20927</v>
      </c>
      <c r="G19756" s="52">
        <v>158750.69388072399</v>
      </c>
      <c r="H19756" s="56">
        <v>0.14622464835001775</v>
      </c>
      <c r="I19756" s="224" t="s">
        <v>2</v>
      </c>
    </row>
    <row r="19757" spans="1:9" x14ac:dyDescent="0.25">
      <c r="A19757" s="515">
        <v>50602</v>
      </c>
      <c r="C19757" s="52">
        <v>142906.42659655699</v>
      </c>
      <c r="D19757" s="56">
        <v>0.11184209380685303</v>
      </c>
      <c r="E19757" s="224" t="s">
        <v>2</v>
      </c>
      <c r="F19757" s="515" t="s">
        <v>20928</v>
      </c>
      <c r="G19757" s="52">
        <v>371033.82523794699</v>
      </c>
      <c r="H19757" s="56">
        <v>0.12906865679663548</v>
      </c>
      <c r="I19757" s="224" t="s">
        <v>2</v>
      </c>
    </row>
    <row r="19758" spans="1:9" x14ac:dyDescent="0.25">
      <c r="A19758" s="515">
        <v>49895</v>
      </c>
      <c r="C19758" s="52">
        <v>180081.65740183101</v>
      </c>
      <c r="D19758" s="56">
        <v>5.9809110777899882E-2</v>
      </c>
      <c r="E19758" s="224" t="s">
        <v>2</v>
      </c>
      <c r="F19758" s="515" t="s">
        <v>20929</v>
      </c>
      <c r="G19758" s="52">
        <v>217121.23336934901</v>
      </c>
      <c r="H19758" s="56">
        <v>4.2142783066969253E-2</v>
      </c>
      <c r="I19758" s="224" t="s">
        <v>2</v>
      </c>
    </row>
    <row r="19759" spans="1:9" x14ac:dyDescent="0.25">
      <c r="A19759" s="515">
        <v>65263</v>
      </c>
      <c r="C19759" s="52">
        <v>156051.11503669401</v>
      </c>
      <c r="D19759" s="56">
        <v>5.481419578547319E-2</v>
      </c>
      <c r="E19759" s="224" t="s">
        <v>2</v>
      </c>
      <c r="F19759" s="515" t="s">
        <v>20930</v>
      </c>
      <c r="G19759" s="52">
        <v>109702.126245579</v>
      </c>
      <c r="H19759" s="56">
        <v>8.711898776335171E-2</v>
      </c>
      <c r="I19759" s="224" t="s">
        <v>2</v>
      </c>
    </row>
    <row r="19760" spans="1:9" x14ac:dyDescent="0.25">
      <c r="A19760" s="515">
        <v>36852</v>
      </c>
      <c r="B19760" s="515" t="s">
        <v>1066</v>
      </c>
      <c r="C19760" s="52">
        <v>203893.10377805901</v>
      </c>
      <c r="D19760" s="56">
        <v>6.7091424924110979E-2</v>
      </c>
      <c r="E19760" s="224" t="s">
        <v>2</v>
      </c>
      <c r="F19760" s="515" t="s">
        <v>20931</v>
      </c>
      <c r="G19760" s="52">
        <v>166412.52279085599</v>
      </c>
      <c r="H19760" s="56">
        <v>0.14126216009890952</v>
      </c>
      <c r="I19760" s="224" t="s">
        <v>2</v>
      </c>
    </row>
    <row r="19761" spans="1:9" x14ac:dyDescent="0.25">
      <c r="A19761" s="515">
        <v>50424</v>
      </c>
      <c r="C19761" s="52">
        <v>109440.506410392</v>
      </c>
      <c r="D19761" s="56">
        <v>6.4515060929557486E-2</v>
      </c>
      <c r="E19761" s="224" t="s">
        <v>2</v>
      </c>
      <c r="F19761" s="515" t="s">
        <v>20932</v>
      </c>
      <c r="G19761" s="52">
        <v>171066.447867721</v>
      </c>
      <c r="H19761" s="56">
        <v>0.15158735584027375</v>
      </c>
      <c r="I19761" s="224" t="s">
        <v>2</v>
      </c>
    </row>
    <row r="19762" spans="1:9" x14ac:dyDescent="0.25">
      <c r="A19762" s="515">
        <v>55751</v>
      </c>
      <c r="B19762" s="515" t="s">
        <v>350</v>
      </c>
      <c r="C19762" s="52">
        <v>195119.84392559901</v>
      </c>
      <c r="D19762" s="56">
        <v>0.12396177220233404</v>
      </c>
      <c r="E19762" s="224" t="s">
        <v>2</v>
      </c>
      <c r="F19762" s="515" t="s">
        <v>20933</v>
      </c>
      <c r="G19762" s="52">
        <v>161385.59178485899</v>
      </c>
      <c r="H19762" s="56">
        <v>0</v>
      </c>
      <c r="I19762" s="224" t="s">
        <v>2</v>
      </c>
    </row>
    <row r="19763" spans="1:9" x14ac:dyDescent="0.25">
      <c r="A19763" s="515">
        <v>43413</v>
      </c>
      <c r="B19763" s="515" t="s">
        <v>300</v>
      </c>
      <c r="C19763" s="52">
        <v>148797.96351956099</v>
      </c>
      <c r="D19763" s="56">
        <v>-3.8152538549019677E-2</v>
      </c>
      <c r="E19763" s="224" t="s">
        <v>2</v>
      </c>
      <c r="F19763" s="515" t="s">
        <v>20934</v>
      </c>
      <c r="G19763" s="52">
        <v>520055.26579303102</v>
      </c>
      <c r="H19763" s="56">
        <v>8.9051057759673008E-2</v>
      </c>
      <c r="I19763" s="224" t="s">
        <v>2</v>
      </c>
    </row>
    <row r="19764" spans="1:9" x14ac:dyDescent="0.25">
      <c r="A19764" s="515">
        <v>13490</v>
      </c>
      <c r="B19764" s="515" t="s">
        <v>543</v>
      </c>
      <c r="C19764" s="52">
        <v>203013.92411338599</v>
      </c>
      <c r="D19764" s="56">
        <v>0.12518894647994941</v>
      </c>
      <c r="E19764" s="224" t="s">
        <v>2</v>
      </c>
      <c r="F19764" s="515" t="s">
        <v>20935</v>
      </c>
      <c r="G19764" s="52">
        <v>146431.20014964699</v>
      </c>
      <c r="H19764" s="56">
        <v>0</v>
      </c>
      <c r="I19764" s="224" t="s">
        <v>2</v>
      </c>
    </row>
    <row r="19765" spans="1:9" x14ac:dyDescent="0.25">
      <c r="A19765" s="515">
        <v>27938</v>
      </c>
      <c r="B19765" s="515" t="s">
        <v>301</v>
      </c>
      <c r="C19765" s="52">
        <v>170288.021008218</v>
      </c>
      <c r="D19765" s="56">
        <v>7.1348830843849825E-2</v>
      </c>
      <c r="E19765" s="224" t="s">
        <v>2</v>
      </c>
      <c r="F19765" s="515" t="s">
        <v>20936</v>
      </c>
      <c r="G19765" s="52">
        <v>109302.886363636</v>
      </c>
      <c r="H19765" s="56">
        <v>0</v>
      </c>
      <c r="I19765" s="224" t="s">
        <v>2</v>
      </c>
    </row>
    <row r="19766" spans="1:9" x14ac:dyDescent="0.25">
      <c r="A19766" s="515">
        <v>95664</v>
      </c>
      <c r="B19766" s="515" t="s">
        <v>355</v>
      </c>
      <c r="C19766" s="52">
        <v>634741.81935305195</v>
      </c>
      <c r="D19766" s="56">
        <v>-3.4427305496578423E-2</v>
      </c>
      <c r="E19766" s="224" t="s">
        <v>2</v>
      </c>
      <c r="F19766" s="515" t="s">
        <v>20937</v>
      </c>
      <c r="G19766" s="52">
        <v>166269.12720640199</v>
      </c>
      <c r="H19766" s="56">
        <v>9.3255287347743854E-2</v>
      </c>
      <c r="I19766" s="224" t="s">
        <v>2</v>
      </c>
    </row>
    <row r="19767" spans="1:9" x14ac:dyDescent="0.25">
      <c r="A19767" s="515">
        <v>62242</v>
      </c>
      <c r="C19767" s="52">
        <v>108237.02139037399</v>
      </c>
      <c r="D19767" s="56">
        <v>0</v>
      </c>
      <c r="E19767" s="224" t="s">
        <v>2</v>
      </c>
      <c r="F19767" s="515" t="s">
        <v>20938</v>
      </c>
      <c r="G19767" s="52">
        <v>584171.00421856798</v>
      </c>
      <c r="H19767" s="56">
        <v>8.427736490049946E-2</v>
      </c>
      <c r="I19767" s="224" t="s">
        <v>2</v>
      </c>
    </row>
    <row r="19768" spans="1:9" x14ac:dyDescent="0.25">
      <c r="A19768" s="515">
        <v>36456</v>
      </c>
      <c r="C19768" s="52">
        <v>99230.867446534205</v>
      </c>
      <c r="D19768" s="56">
        <v>-1.035095797222489E-2</v>
      </c>
      <c r="E19768" s="224" t="s">
        <v>2</v>
      </c>
      <c r="F19768" s="515" t="s">
        <v>20939</v>
      </c>
      <c r="G19768" s="52">
        <v>83239.589481999501</v>
      </c>
      <c r="H19768" s="56">
        <v>0</v>
      </c>
      <c r="I19768" s="224" t="s">
        <v>2</v>
      </c>
    </row>
    <row r="19769" spans="1:9" x14ac:dyDescent="0.25">
      <c r="A19769" s="515">
        <v>68730</v>
      </c>
      <c r="C19769" s="52">
        <v>227284.384950223</v>
      </c>
      <c r="D19769" s="56">
        <v>8.0235793825549934E-2</v>
      </c>
      <c r="E19769" s="224" t="s">
        <v>2</v>
      </c>
      <c r="F19769" s="515" t="s">
        <v>20940</v>
      </c>
      <c r="G19769" s="52">
        <v>309551.64879164897</v>
      </c>
      <c r="H19769" s="56">
        <v>9.7581863650498896E-2</v>
      </c>
      <c r="I19769" s="224" t="s">
        <v>2</v>
      </c>
    </row>
    <row r="19770" spans="1:9" x14ac:dyDescent="0.25">
      <c r="A19770" s="515">
        <v>61257</v>
      </c>
      <c r="B19770" s="515" t="s">
        <v>439</v>
      </c>
      <c r="C19770" s="52">
        <v>138420.41514837701</v>
      </c>
      <c r="D19770" s="56">
        <v>1.3292908498892848E-2</v>
      </c>
      <c r="E19770" s="224" t="s">
        <v>2</v>
      </c>
      <c r="F19770" s="515" t="s">
        <v>20941</v>
      </c>
      <c r="G19770" s="52">
        <v>140806.21893153901</v>
      </c>
      <c r="H19770" s="56">
        <v>0</v>
      </c>
      <c r="I19770" s="224" t="s">
        <v>2</v>
      </c>
    </row>
    <row r="19771" spans="1:9" x14ac:dyDescent="0.25">
      <c r="A19771" s="515">
        <v>54433</v>
      </c>
      <c r="C19771" s="52">
        <v>146099.35858590901</v>
      </c>
      <c r="D19771" s="56">
        <v>0.17559683309032612</v>
      </c>
      <c r="E19771" s="224" t="s">
        <v>2</v>
      </c>
      <c r="F19771" s="515" t="s">
        <v>20942</v>
      </c>
      <c r="G19771" s="52">
        <v>360869.18167743698</v>
      </c>
      <c r="H19771" s="56">
        <v>0.17701572974634874</v>
      </c>
      <c r="I19771" s="224" t="s">
        <v>2</v>
      </c>
    </row>
    <row r="19772" spans="1:9" x14ac:dyDescent="0.25">
      <c r="A19772" s="515">
        <v>60511</v>
      </c>
      <c r="B19772" s="515" t="s">
        <v>394</v>
      </c>
      <c r="C19772" s="52">
        <v>319944.15598368598</v>
      </c>
      <c r="D19772" s="56">
        <v>5.3020818094876569E-2</v>
      </c>
      <c r="E19772" s="224" t="s">
        <v>2</v>
      </c>
      <c r="F19772" s="515" t="s">
        <v>20943</v>
      </c>
      <c r="G19772" s="52">
        <v>274036.016775308</v>
      </c>
      <c r="H19772" s="56">
        <v>0.12938541855931562</v>
      </c>
      <c r="I19772" s="224" t="s">
        <v>2</v>
      </c>
    </row>
    <row r="19773" spans="1:9" x14ac:dyDescent="0.25">
      <c r="A19773" s="515">
        <v>50162</v>
      </c>
      <c r="B19773" s="515" t="s">
        <v>642</v>
      </c>
      <c r="C19773" s="52">
        <v>164771.453995394</v>
      </c>
      <c r="D19773" s="56">
        <v>6.3437756230697848E-2</v>
      </c>
      <c r="E19773" s="224" t="s">
        <v>2</v>
      </c>
      <c r="F19773" s="515" t="s">
        <v>20944</v>
      </c>
      <c r="G19773" s="52">
        <v>369608.21052631497</v>
      </c>
      <c r="H19773" s="56">
        <v>0</v>
      </c>
      <c r="I19773" s="224" t="s">
        <v>2</v>
      </c>
    </row>
    <row r="19774" spans="1:9" x14ac:dyDescent="0.25">
      <c r="A19774" s="515">
        <v>78953</v>
      </c>
      <c r="B19774" s="515" t="s">
        <v>380</v>
      </c>
      <c r="C19774" s="52">
        <v>544425.756587015</v>
      </c>
      <c r="D19774" s="56">
        <v>8.564073790099147E-2</v>
      </c>
      <c r="E19774" s="224" t="s">
        <v>2</v>
      </c>
      <c r="F19774" s="515" t="s">
        <v>20945</v>
      </c>
      <c r="G19774" s="52">
        <v>324009.76072824601</v>
      </c>
      <c r="H19774" s="56">
        <v>0.15167401936936481</v>
      </c>
      <c r="I19774" s="224" t="s">
        <v>2</v>
      </c>
    </row>
    <row r="19775" spans="1:9" x14ac:dyDescent="0.25">
      <c r="A19775" s="515">
        <v>56728</v>
      </c>
      <c r="C19775" s="52">
        <v>121663.727949055</v>
      </c>
      <c r="D19775" s="56">
        <v>-8.3646097386471628E-3</v>
      </c>
      <c r="E19775" s="224" t="s">
        <v>2</v>
      </c>
      <c r="F19775" s="515" t="s">
        <v>20946</v>
      </c>
      <c r="G19775" s="52">
        <v>153464.85374056999</v>
      </c>
      <c r="H19775" s="56">
        <v>4.5822999030161203E-2</v>
      </c>
      <c r="I19775" s="224" t="s">
        <v>2</v>
      </c>
    </row>
    <row r="19776" spans="1:9" x14ac:dyDescent="0.25">
      <c r="A19776" s="515">
        <v>31764</v>
      </c>
      <c r="B19776" s="515" t="s">
        <v>763</v>
      </c>
      <c r="C19776" s="52">
        <v>106912.536276831</v>
      </c>
      <c r="D19776" s="56">
        <v>6.9433327716653614E-2</v>
      </c>
      <c r="E19776" s="224" t="s">
        <v>2</v>
      </c>
      <c r="F19776" s="515" t="s">
        <v>20947</v>
      </c>
      <c r="G19776" s="52">
        <v>192338.099173553</v>
      </c>
      <c r="H19776" s="56">
        <v>0</v>
      </c>
      <c r="I19776" s="224" t="s">
        <v>2</v>
      </c>
    </row>
    <row r="19777" spans="1:9" x14ac:dyDescent="0.25">
      <c r="A19777" s="515">
        <v>64788</v>
      </c>
      <c r="C19777" s="52">
        <v>208959.96106968701</v>
      </c>
      <c r="D19777" s="56">
        <v>9.6059000397929015E-2</v>
      </c>
      <c r="E19777" s="224" t="s">
        <v>2</v>
      </c>
      <c r="F19777" s="515" t="s">
        <v>20948</v>
      </c>
      <c r="G19777" s="52">
        <v>208325.08293269001</v>
      </c>
      <c r="H19777" s="56">
        <v>2.5784302183851013E-2</v>
      </c>
      <c r="I19777" s="224" t="s">
        <v>2</v>
      </c>
    </row>
    <row r="19778" spans="1:9" x14ac:dyDescent="0.25">
      <c r="A19778" s="515">
        <v>81410</v>
      </c>
      <c r="C19778" s="52">
        <v>362243.04340739001</v>
      </c>
      <c r="D19778" s="56">
        <v>6.6041247609334164E-2</v>
      </c>
      <c r="E19778" s="224" t="s">
        <v>2</v>
      </c>
      <c r="F19778" s="515" t="s">
        <v>20949</v>
      </c>
      <c r="G19778" s="52">
        <v>279654.10869565199</v>
      </c>
      <c r="H19778" s="56">
        <v>0</v>
      </c>
      <c r="I19778" s="224" t="s">
        <v>2</v>
      </c>
    </row>
    <row r="19779" spans="1:9" x14ac:dyDescent="0.25">
      <c r="A19779" s="515">
        <v>63441</v>
      </c>
      <c r="C19779" s="52">
        <v>185337.93491298601</v>
      </c>
      <c r="D19779" s="56">
        <v>0.1278644541611722</v>
      </c>
      <c r="E19779" s="224" t="s">
        <v>2</v>
      </c>
      <c r="F19779" s="515" t="s">
        <v>20950</v>
      </c>
      <c r="G19779" s="52">
        <v>248858.817536991</v>
      </c>
      <c r="H19779" s="56">
        <v>0.12679164544555438</v>
      </c>
      <c r="I19779" s="224" t="s">
        <v>2</v>
      </c>
    </row>
    <row r="19780" spans="1:9" x14ac:dyDescent="0.25">
      <c r="A19780" s="515">
        <v>12486</v>
      </c>
      <c r="B19780" s="515" t="s">
        <v>307</v>
      </c>
      <c r="C19780" s="52">
        <v>331038.48084156599</v>
      </c>
      <c r="D19780" s="56">
        <v>8.1539354594217517E-2</v>
      </c>
      <c r="E19780" s="224" t="s">
        <v>2</v>
      </c>
      <c r="F19780" s="515" t="s">
        <v>20951</v>
      </c>
      <c r="G19780" s="52">
        <v>109044.563922107</v>
      </c>
      <c r="H19780" s="56">
        <v>-3.4713274552629347E-2</v>
      </c>
      <c r="I19780" s="224" t="s">
        <v>2</v>
      </c>
    </row>
    <row r="19781" spans="1:9" x14ac:dyDescent="0.25">
      <c r="A19781" s="515">
        <v>99185</v>
      </c>
      <c r="C19781" s="52">
        <v>256053.317571099</v>
      </c>
      <c r="D19781" s="56">
        <v>7.602225533629553E-2</v>
      </c>
      <c r="E19781" s="224" t="s">
        <v>2</v>
      </c>
      <c r="F19781" s="515" t="s">
        <v>20952</v>
      </c>
      <c r="G19781" s="52">
        <v>185472.087631548</v>
      </c>
      <c r="H19781" s="56">
        <v>0.1328082223068586</v>
      </c>
      <c r="I19781" s="224" t="s">
        <v>2</v>
      </c>
    </row>
    <row r="19782" spans="1:9" x14ac:dyDescent="0.25">
      <c r="A19782" s="515">
        <v>79005</v>
      </c>
      <c r="C19782" s="52">
        <v>113120.821801118</v>
      </c>
      <c r="D19782" s="56">
        <v>0</v>
      </c>
      <c r="E19782" s="224" t="s">
        <v>2</v>
      </c>
      <c r="F19782" s="515" t="s">
        <v>20953</v>
      </c>
      <c r="G19782" s="52">
        <v>205582.35896797999</v>
      </c>
      <c r="H19782" s="56">
        <v>0</v>
      </c>
      <c r="I19782" s="224" t="s">
        <v>2</v>
      </c>
    </row>
    <row r="19783" spans="1:9" x14ac:dyDescent="0.25">
      <c r="A19783" s="515">
        <v>73017</v>
      </c>
      <c r="C19783" s="52">
        <v>85517.936549252598</v>
      </c>
      <c r="D19783" s="56">
        <v>-0.19005162868301045</v>
      </c>
      <c r="E19783" s="224" t="s">
        <v>2</v>
      </c>
      <c r="F19783" s="515" t="s">
        <v>20954</v>
      </c>
      <c r="G19783" s="52">
        <v>278438.30776727299</v>
      </c>
      <c r="H19783" s="56">
        <v>4.6651541333561572E-2</v>
      </c>
      <c r="I19783" s="224" t="s">
        <v>2</v>
      </c>
    </row>
    <row r="19784" spans="1:9" x14ac:dyDescent="0.25">
      <c r="A19784" s="515">
        <v>51640</v>
      </c>
      <c r="C19784" s="52">
        <v>103390.02091901501</v>
      </c>
      <c r="D19784" s="56">
        <v>0.16513970385194102</v>
      </c>
      <c r="E19784" s="224" t="s">
        <v>2</v>
      </c>
      <c r="F19784" s="515" t="s">
        <v>20955</v>
      </c>
      <c r="G19784" s="52">
        <v>150225.782412072</v>
      </c>
      <c r="H19784" s="56">
        <v>3.8485358416105314E-2</v>
      </c>
      <c r="I19784" s="224" t="s">
        <v>2</v>
      </c>
    </row>
    <row r="19785" spans="1:9" x14ac:dyDescent="0.25">
      <c r="A19785" s="515">
        <v>45743</v>
      </c>
      <c r="C19785" s="52">
        <v>102658.183874761</v>
      </c>
      <c r="D19785" s="56">
        <v>5.0350833084849618E-2</v>
      </c>
      <c r="E19785" s="224" t="s">
        <v>2</v>
      </c>
      <c r="F19785" s="515" t="s">
        <v>20956</v>
      </c>
      <c r="G19785" s="52">
        <v>63731.012067933501</v>
      </c>
      <c r="H19785" s="56">
        <v>0.21712038797030886</v>
      </c>
      <c r="I19785" s="224" t="s">
        <v>2</v>
      </c>
    </row>
    <row r="19786" spans="1:9" x14ac:dyDescent="0.25">
      <c r="A19786" s="515">
        <v>72583</v>
      </c>
      <c r="C19786" s="52">
        <v>151336.09940389899</v>
      </c>
      <c r="D19786" s="56">
        <v>-2.1972370499244883E-2</v>
      </c>
      <c r="E19786" s="224" t="s">
        <v>2</v>
      </c>
      <c r="F19786" s="515" t="s">
        <v>20957</v>
      </c>
      <c r="G19786" s="52">
        <v>420599.40145302401</v>
      </c>
      <c r="H19786" s="56">
        <v>7.4519649973870672E-2</v>
      </c>
      <c r="I19786" s="224" t="s">
        <v>2</v>
      </c>
    </row>
    <row r="19787" spans="1:9" x14ac:dyDescent="0.25">
      <c r="A19787" s="515">
        <v>53930</v>
      </c>
      <c r="C19787" s="52">
        <v>201568.081305292</v>
      </c>
      <c r="D19787" s="56">
        <v>5.3763988315094539E-2</v>
      </c>
      <c r="E19787" s="224" t="s">
        <v>2</v>
      </c>
      <c r="F19787" s="515" t="s">
        <v>20958</v>
      </c>
      <c r="G19787" s="52">
        <v>221535.530438958</v>
      </c>
      <c r="H19787" s="56">
        <v>1.5945813699204826E-2</v>
      </c>
      <c r="I19787" s="224" t="s">
        <v>2</v>
      </c>
    </row>
    <row r="19788" spans="1:9" x14ac:dyDescent="0.25">
      <c r="A19788" s="515">
        <v>74878</v>
      </c>
      <c r="B19788" s="515" t="s">
        <v>989</v>
      </c>
      <c r="C19788" s="52">
        <v>162886.49013093</v>
      </c>
      <c r="D19788" s="56">
        <v>8.1645961375740983E-2</v>
      </c>
      <c r="E19788" s="224" t="s">
        <v>2</v>
      </c>
      <c r="F19788" s="515" t="s">
        <v>20959</v>
      </c>
      <c r="G19788" s="52">
        <v>326590.33923751401</v>
      </c>
      <c r="H19788" s="56">
        <v>0</v>
      </c>
      <c r="I19788" s="224" t="s">
        <v>2</v>
      </c>
    </row>
    <row r="19789" spans="1:9" x14ac:dyDescent="0.25">
      <c r="A19789" s="515">
        <v>31085</v>
      </c>
      <c r="B19789" s="515" t="s">
        <v>957</v>
      </c>
      <c r="C19789" s="52">
        <v>235386.29550759401</v>
      </c>
      <c r="D19789" s="56">
        <v>5.8886099841783425E-2</v>
      </c>
      <c r="E19789" s="224" t="s">
        <v>2</v>
      </c>
      <c r="F19789" s="515" t="s">
        <v>20960</v>
      </c>
      <c r="G19789" s="52">
        <v>222723.752487349</v>
      </c>
      <c r="H19789" s="56">
        <v>2.0849512785444273E-2</v>
      </c>
      <c r="I19789" s="224" t="s">
        <v>2</v>
      </c>
    </row>
    <row r="19790" spans="1:9" x14ac:dyDescent="0.25">
      <c r="A19790" s="515">
        <v>54849</v>
      </c>
      <c r="B19790" s="515" t="s">
        <v>350</v>
      </c>
      <c r="C19790" s="52">
        <v>275567.285974061</v>
      </c>
      <c r="D19790" s="56">
        <v>6.6151497162153086E-2</v>
      </c>
      <c r="E19790" s="224" t="s">
        <v>2</v>
      </c>
      <c r="F19790" s="515" t="s">
        <v>20961</v>
      </c>
      <c r="G19790" s="52">
        <v>463994.749280043</v>
      </c>
      <c r="H19790" s="56">
        <v>4.5222866049749151E-3</v>
      </c>
      <c r="I19790" s="224" t="s">
        <v>2</v>
      </c>
    </row>
    <row r="19791" spans="1:9" x14ac:dyDescent="0.25">
      <c r="A19791" s="515">
        <v>87416</v>
      </c>
      <c r="B19791" s="515" t="s">
        <v>893</v>
      </c>
      <c r="C19791" s="52">
        <v>211142.80597677</v>
      </c>
      <c r="D19791" s="56">
        <v>0.1038881273098419</v>
      </c>
      <c r="E19791" s="224" t="s">
        <v>2</v>
      </c>
      <c r="F19791" s="515" t="s">
        <v>20962</v>
      </c>
      <c r="G19791" s="52">
        <v>386825.66666666599</v>
      </c>
      <c r="H19791" s="56">
        <v>0</v>
      </c>
      <c r="I19791" s="224" t="s">
        <v>2</v>
      </c>
    </row>
    <row r="19792" spans="1:9" x14ac:dyDescent="0.25">
      <c r="A19792" s="515">
        <v>55030</v>
      </c>
      <c r="C19792" s="52">
        <v>266179.12918164401</v>
      </c>
      <c r="D19792" s="56">
        <v>0.12096136827808629</v>
      </c>
      <c r="E19792" s="224" t="s">
        <v>2</v>
      </c>
      <c r="F19792" s="515" t="s">
        <v>20963</v>
      </c>
      <c r="G19792" s="52">
        <v>307877.73455651099</v>
      </c>
      <c r="H19792" s="56">
        <v>0.10031562737462216</v>
      </c>
      <c r="I19792" s="224" t="s">
        <v>2</v>
      </c>
    </row>
    <row r="19793" spans="1:9" x14ac:dyDescent="0.25">
      <c r="A19793" s="515">
        <v>52216</v>
      </c>
      <c r="C19793" s="52">
        <v>166058.02677905699</v>
      </c>
      <c r="D19793" s="56">
        <v>5.6720433554139929E-2</v>
      </c>
      <c r="E19793" s="224" t="s">
        <v>2</v>
      </c>
      <c r="F19793" s="515" t="s">
        <v>20964</v>
      </c>
      <c r="G19793" s="52">
        <v>96949.025782605793</v>
      </c>
      <c r="H19793" s="56">
        <v>-5.550348238469073E-2</v>
      </c>
      <c r="I19793" s="224" t="s">
        <v>2</v>
      </c>
    </row>
    <row r="19794" spans="1:9" x14ac:dyDescent="0.25">
      <c r="A19794" s="515">
        <v>48745</v>
      </c>
      <c r="C19794" s="52">
        <v>109111.426674765</v>
      </c>
      <c r="D19794" s="56">
        <v>9.8779639727365504E-2</v>
      </c>
      <c r="E19794" s="224" t="s">
        <v>2</v>
      </c>
      <c r="F19794" s="515" t="s">
        <v>20965</v>
      </c>
      <c r="G19794" s="52">
        <v>55574.271539638699</v>
      </c>
      <c r="H19794" s="56">
        <v>0.19715997250333356</v>
      </c>
      <c r="I19794" s="224" t="s">
        <v>2</v>
      </c>
    </row>
    <row r="19795" spans="1:9" x14ac:dyDescent="0.25">
      <c r="A19795" s="515">
        <v>5846</v>
      </c>
      <c r="C19795" s="52">
        <v>199311.182927702</v>
      </c>
      <c r="D19795" s="56">
        <v>0.11172794881954955</v>
      </c>
      <c r="E19795" s="224" t="s">
        <v>2</v>
      </c>
      <c r="F19795" s="515" t="s">
        <v>20966</v>
      </c>
      <c r="G19795" s="52">
        <v>207973.209718372</v>
      </c>
      <c r="H19795" s="56">
        <v>0.12239733984442427</v>
      </c>
      <c r="I19795" s="224" t="s">
        <v>2</v>
      </c>
    </row>
    <row r="19796" spans="1:9" x14ac:dyDescent="0.25">
      <c r="A19796" s="515">
        <v>50229</v>
      </c>
      <c r="B19796" s="515" t="s">
        <v>295</v>
      </c>
      <c r="C19796" s="52">
        <v>401382.41270589601</v>
      </c>
      <c r="D19796" s="56">
        <v>0.12060755092974496</v>
      </c>
      <c r="E19796" s="224" t="s">
        <v>2</v>
      </c>
      <c r="F19796" s="515" t="s">
        <v>20967</v>
      </c>
      <c r="G19796" s="52">
        <v>262763.00134997402</v>
      </c>
      <c r="H19796" s="56">
        <v>3.6081627283546711E-3</v>
      </c>
      <c r="I19796" s="224" t="s">
        <v>2</v>
      </c>
    </row>
    <row r="19797" spans="1:9" x14ac:dyDescent="0.25">
      <c r="A19797" s="515">
        <v>15954</v>
      </c>
      <c r="B19797" s="515" t="s">
        <v>343</v>
      </c>
      <c r="C19797" s="52">
        <v>92777.768297270304</v>
      </c>
      <c r="D19797" s="56">
        <v>5.9502629203190202E-2</v>
      </c>
      <c r="E19797" s="224" t="s">
        <v>2</v>
      </c>
      <c r="F19797" s="515" t="s">
        <v>20968</v>
      </c>
      <c r="G19797" s="52">
        <v>64513.599999999999</v>
      </c>
      <c r="H19797" s="56">
        <v>0</v>
      </c>
      <c r="I19797" s="224" t="s">
        <v>2</v>
      </c>
    </row>
    <row r="19798" spans="1:9" x14ac:dyDescent="0.25">
      <c r="A19798" s="515">
        <v>23109</v>
      </c>
      <c r="B19798" s="515" t="s">
        <v>301</v>
      </c>
      <c r="C19798" s="52">
        <v>266865.15712833102</v>
      </c>
      <c r="D19798" s="56">
        <v>4.0945292284764172E-2</v>
      </c>
      <c r="E19798" s="224" t="s">
        <v>2</v>
      </c>
      <c r="F19798" s="515" t="s">
        <v>20969</v>
      </c>
      <c r="G19798" s="52">
        <v>172079.35604411701</v>
      </c>
      <c r="H19798" s="56">
        <v>4.6173470061375003E-2</v>
      </c>
      <c r="I19798" s="224" t="s">
        <v>2</v>
      </c>
    </row>
    <row r="19799" spans="1:9" x14ac:dyDescent="0.25">
      <c r="A19799" s="515">
        <v>17052</v>
      </c>
      <c r="B19799" s="515" t="s">
        <v>539</v>
      </c>
      <c r="C19799" s="52">
        <v>122134.674378707</v>
      </c>
      <c r="D19799" s="56">
        <v>0</v>
      </c>
      <c r="E19799" s="224" t="s">
        <v>2</v>
      </c>
      <c r="F19799" s="515" t="s">
        <v>20970</v>
      </c>
      <c r="G19799" s="52">
        <v>255567.18150788499</v>
      </c>
      <c r="H19799" s="56">
        <v>-1.7115933232603971E-2</v>
      </c>
      <c r="I19799" s="224" t="s">
        <v>2</v>
      </c>
    </row>
    <row r="19800" spans="1:9" x14ac:dyDescent="0.25">
      <c r="A19800" s="515">
        <v>48701</v>
      </c>
      <c r="C19800" s="52">
        <v>100788.473984942</v>
      </c>
      <c r="D19800" s="56">
        <v>6.6477755500324295E-2</v>
      </c>
      <c r="E19800" s="224" t="s">
        <v>2</v>
      </c>
      <c r="F19800" s="515" t="s">
        <v>20971</v>
      </c>
      <c r="G19800" s="52">
        <v>150992.91428571401</v>
      </c>
      <c r="H19800" s="56">
        <v>0</v>
      </c>
      <c r="I19800" s="224" t="s">
        <v>2</v>
      </c>
    </row>
    <row r="19801" spans="1:9" x14ac:dyDescent="0.25">
      <c r="A19801" s="515">
        <v>48607</v>
      </c>
      <c r="B19801" s="515" t="s">
        <v>904</v>
      </c>
      <c r="C19801" s="52">
        <v>33822.377608086303</v>
      </c>
      <c r="D19801" s="56">
        <v>0.11998684779870075</v>
      </c>
      <c r="E19801" s="224" t="s">
        <v>2</v>
      </c>
      <c r="F19801" s="515" t="s">
        <v>20972</v>
      </c>
      <c r="G19801" s="52">
        <v>148510.949817838</v>
      </c>
      <c r="H19801" s="56">
        <v>9.3832288491100757E-2</v>
      </c>
      <c r="I19801" s="224" t="s">
        <v>2</v>
      </c>
    </row>
    <row r="19802" spans="1:9" x14ac:dyDescent="0.25">
      <c r="A19802" s="515">
        <v>83226</v>
      </c>
      <c r="C19802" s="52">
        <v>245923.32482866899</v>
      </c>
      <c r="D19802" s="56">
        <v>5.0756853296916607E-2</v>
      </c>
      <c r="E19802" s="224" t="s">
        <v>2</v>
      </c>
      <c r="F19802" s="515" t="s">
        <v>20973</v>
      </c>
      <c r="G19802" s="52">
        <v>121554.164628271</v>
      </c>
      <c r="H19802" s="56">
        <v>0.26017668515809955</v>
      </c>
      <c r="I19802" s="224" t="s">
        <v>2</v>
      </c>
    </row>
    <row r="19803" spans="1:9" x14ac:dyDescent="0.25">
      <c r="A19803" s="515">
        <v>44427</v>
      </c>
      <c r="B19803" s="515" t="s">
        <v>863</v>
      </c>
      <c r="C19803" s="52">
        <v>170032.03841485601</v>
      </c>
      <c r="D19803" s="56">
        <v>9.2000384324047044E-2</v>
      </c>
      <c r="E19803" s="224" t="s">
        <v>2</v>
      </c>
      <c r="F19803" s="515" t="s">
        <v>20974</v>
      </c>
      <c r="G19803" s="52">
        <v>347419.68115942</v>
      </c>
      <c r="H19803" s="56">
        <v>0</v>
      </c>
      <c r="I19803" s="224" t="s">
        <v>2</v>
      </c>
    </row>
    <row r="19804" spans="1:9" x14ac:dyDescent="0.25">
      <c r="A19804" s="515">
        <v>58356</v>
      </c>
      <c r="C19804" s="52">
        <v>95095.324599629603</v>
      </c>
      <c r="D19804" s="56">
        <v>8.6215872687710568E-2</v>
      </c>
      <c r="E19804" s="224" t="s">
        <v>2</v>
      </c>
      <c r="F19804" s="515" t="s">
        <v>20975</v>
      </c>
      <c r="G19804" s="52">
        <v>112992.523982852</v>
      </c>
      <c r="H19804" s="56">
        <v>4.8688973791045443E-4</v>
      </c>
      <c r="I19804" s="224" t="s">
        <v>2</v>
      </c>
    </row>
    <row r="19805" spans="1:9" x14ac:dyDescent="0.25">
      <c r="A19805" s="515">
        <v>55706</v>
      </c>
      <c r="B19805" s="515" t="s">
        <v>350</v>
      </c>
      <c r="C19805" s="52">
        <v>115176.47333537501</v>
      </c>
      <c r="D19805" s="56">
        <v>8.1797566847991859E-2</v>
      </c>
      <c r="E19805" s="224" t="s">
        <v>2</v>
      </c>
      <c r="F19805" s="515" t="s">
        <v>20976</v>
      </c>
      <c r="G19805" s="52">
        <v>175678.269428181</v>
      </c>
      <c r="H19805" s="56">
        <v>3.8799829379710889E-2</v>
      </c>
      <c r="I19805" s="224" t="s">
        <v>2</v>
      </c>
    </row>
    <row r="19806" spans="1:9" x14ac:dyDescent="0.25">
      <c r="A19806" s="515">
        <v>2763</v>
      </c>
      <c r="B19806" s="515" t="s">
        <v>513</v>
      </c>
      <c r="C19806" s="52">
        <v>553849.75553086703</v>
      </c>
      <c r="D19806" s="56">
        <v>6.3782856663680651E-2</v>
      </c>
      <c r="E19806" s="224" t="s">
        <v>2</v>
      </c>
      <c r="F19806" s="515" t="s">
        <v>20977</v>
      </c>
      <c r="G19806" s="52">
        <v>151504.04083046399</v>
      </c>
      <c r="H19806" s="56">
        <v>1.9085571448346671E-2</v>
      </c>
      <c r="I19806" s="224" t="s">
        <v>2</v>
      </c>
    </row>
    <row r="19807" spans="1:9" x14ac:dyDescent="0.25">
      <c r="A19807" s="515">
        <v>6081</v>
      </c>
      <c r="B19807" s="515" t="s">
        <v>894</v>
      </c>
      <c r="C19807" s="52">
        <v>270155.07191374898</v>
      </c>
      <c r="D19807" s="56">
        <v>0.111634014853424</v>
      </c>
      <c r="E19807" s="224" t="s">
        <v>2</v>
      </c>
      <c r="F19807" s="515" t="s">
        <v>20978</v>
      </c>
      <c r="G19807" s="52">
        <v>209408.95713349301</v>
      </c>
      <c r="H19807" s="56">
        <v>0.16266541354958156</v>
      </c>
      <c r="I19807" s="224" t="s">
        <v>2</v>
      </c>
    </row>
    <row r="19808" spans="1:9" x14ac:dyDescent="0.25">
      <c r="A19808" s="515">
        <v>74072</v>
      </c>
      <c r="C19808" s="52">
        <v>134122.40295928801</v>
      </c>
      <c r="D19808" s="56">
        <v>7.8986191624948424E-2</v>
      </c>
      <c r="E19808" s="224" t="s">
        <v>2</v>
      </c>
      <c r="F19808" s="515" t="s">
        <v>20979</v>
      </c>
      <c r="G19808" s="52">
        <v>133587.36111111101</v>
      </c>
      <c r="H19808" s="56">
        <v>0</v>
      </c>
      <c r="I19808" s="224" t="s">
        <v>2</v>
      </c>
    </row>
    <row r="19809" spans="1:9" x14ac:dyDescent="0.25">
      <c r="A19809" s="515">
        <v>28438</v>
      </c>
      <c r="C19809" s="52">
        <v>151328.719696969</v>
      </c>
      <c r="D19809" s="56">
        <v>0</v>
      </c>
      <c r="E19809" s="224" t="s">
        <v>2</v>
      </c>
      <c r="F19809" s="515" t="s">
        <v>20980</v>
      </c>
      <c r="G19809" s="52">
        <v>135785.459213797</v>
      </c>
      <c r="H19809" s="56">
        <v>0.1408973165968079</v>
      </c>
      <c r="I19809" s="224" t="s">
        <v>2</v>
      </c>
    </row>
    <row r="19810" spans="1:9" x14ac:dyDescent="0.25">
      <c r="A19810" s="515">
        <v>53561</v>
      </c>
      <c r="B19810" s="515" t="s">
        <v>916</v>
      </c>
      <c r="C19810" s="52">
        <v>385559.26763705502</v>
      </c>
      <c r="D19810" s="56">
        <v>0.13704579026543867</v>
      </c>
      <c r="E19810" s="224" t="s">
        <v>2</v>
      </c>
      <c r="F19810" s="515" t="s">
        <v>20981</v>
      </c>
      <c r="G19810" s="52">
        <v>167668.27902587899</v>
      </c>
      <c r="H19810" s="56">
        <v>2.3724377266600774E-2</v>
      </c>
      <c r="I19810" s="224" t="s">
        <v>2</v>
      </c>
    </row>
    <row r="19811" spans="1:9" x14ac:dyDescent="0.25">
      <c r="A19811" s="515">
        <v>68824</v>
      </c>
      <c r="B19811" s="515" t="s">
        <v>650</v>
      </c>
      <c r="C19811" s="52">
        <v>246559.88542348199</v>
      </c>
      <c r="D19811" s="56">
        <v>8.4020055035793254E-2</v>
      </c>
      <c r="E19811" s="224" t="s">
        <v>2</v>
      </c>
      <c r="F19811" s="515" t="s">
        <v>20982</v>
      </c>
      <c r="G19811" s="52">
        <v>213817.72033873099</v>
      </c>
      <c r="H19811" s="56">
        <v>8.3175145212928667E-2</v>
      </c>
      <c r="I19811" s="224" t="s">
        <v>2</v>
      </c>
    </row>
    <row r="19812" spans="1:9" x14ac:dyDescent="0.25">
      <c r="A19812" s="515">
        <v>45681</v>
      </c>
      <c r="B19812" s="515" t="s">
        <v>437</v>
      </c>
      <c r="C19812" s="52">
        <v>159349.35662150499</v>
      </c>
      <c r="D19812" s="56">
        <v>2.5345155508721545E-2</v>
      </c>
      <c r="E19812" s="224" t="s">
        <v>2</v>
      </c>
      <c r="F19812" s="515" t="s">
        <v>20983</v>
      </c>
      <c r="G19812" s="52">
        <v>238482.16948534999</v>
      </c>
      <c r="H19812" s="56">
        <v>7.3967438743456182E-2</v>
      </c>
      <c r="I19812" s="224" t="s">
        <v>2</v>
      </c>
    </row>
    <row r="19813" spans="1:9" x14ac:dyDescent="0.25">
      <c r="A19813" s="515">
        <v>96118</v>
      </c>
      <c r="C19813" s="52">
        <v>285073.34597220202</v>
      </c>
      <c r="D19813" s="56">
        <v>8.3533023074574983E-2</v>
      </c>
      <c r="E19813" s="224" t="s">
        <v>2</v>
      </c>
      <c r="F19813" s="515" t="s">
        <v>20984</v>
      </c>
      <c r="G19813" s="52">
        <v>155248.51515376099</v>
      </c>
      <c r="H19813" s="56">
        <v>0</v>
      </c>
      <c r="I19813" s="224" t="s">
        <v>2</v>
      </c>
    </row>
    <row r="19814" spans="1:9" x14ac:dyDescent="0.25">
      <c r="A19814" s="515">
        <v>99119</v>
      </c>
      <c r="C19814" s="52">
        <v>332423.33339975099</v>
      </c>
      <c r="D19814" s="56">
        <v>2.2210603798811821E-2</v>
      </c>
      <c r="E19814" s="224" t="s">
        <v>2</v>
      </c>
      <c r="F19814" s="515" t="s">
        <v>20985</v>
      </c>
      <c r="G19814" s="52">
        <v>170194.45499309999</v>
      </c>
      <c r="H19814" s="56">
        <v>8.3366587126859681E-2</v>
      </c>
      <c r="I19814" s="224" t="s">
        <v>2</v>
      </c>
    </row>
    <row r="19815" spans="1:9" x14ac:dyDescent="0.25">
      <c r="A19815" s="515">
        <v>98588</v>
      </c>
      <c r="B19815" s="515" t="s">
        <v>839</v>
      </c>
      <c r="C19815" s="52">
        <v>444419.931845624</v>
      </c>
      <c r="D19815" s="56">
        <v>3.90605094964828E-2</v>
      </c>
      <c r="E19815" s="224" t="s">
        <v>2</v>
      </c>
      <c r="F19815" s="515" t="s">
        <v>20986</v>
      </c>
      <c r="G19815" s="52">
        <v>63533.698595398397</v>
      </c>
      <c r="H19815" s="56">
        <v>0.23295000701977644</v>
      </c>
      <c r="I19815" s="224" t="s">
        <v>2</v>
      </c>
    </row>
    <row r="19816" spans="1:9" x14ac:dyDescent="0.25">
      <c r="A19816" s="515">
        <v>56634</v>
      </c>
      <c r="C19816" s="52">
        <v>186523.59238229101</v>
      </c>
      <c r="D19816" s="56">
        <v>3.3516726658300071E-2</v>
      </c>
      <c r="E19816" s="224" t="s">
        <v>2</v>
      </c>
      <c r="F19816" s="515" t="s">
        <v>20987</v>
      </c>
      <c r="G19816" s="52">
        <v>306235.29506375798</v>
      </c>
      <c r="H19816" s="56">
        <v>0.10256833612120046</v>
      </c>
      <c r="I19816" s="224" t="s">
        <v>2</v>
      </c>
    </row>
    <row r="19817" spans="1:9" x14ac:dyDescent="0.25">
      <c r="A19817" s="515">
        <v>57053</v>
      </c>
      <c r="B19817" s="515" t="s">
        <v>579</v>
      </c>
      <c r="C19817" s="52">
        <v>291121.56780722999</v>
      </c>
      <c r="D19817" s="56">
        <v>0.13076554651376782</v>
      </c>
      <c r="E19817" s="224" t="s">
        <v>2</v>
      </c>
      <c r="F19817" s="515" t="s">
        <v>20988</v>
      </c>
      <c r="G19817" s="52">
        <v>274593.90581818501</v>
      </c>
      <c r="H19817" s="56">
        <v>1.0581855018528829E-2</v>
      </c>
      <c r="I19817" s="224" t="s">
        <v>2</v>
      </c>
    </row>
    <row r="19818" spans="1:9" x14ac:dyDescent="0.25">
      <c r="A19818" s="515">
        <v>43746</v>
      </c>
      <c r="B19818" s="515" t="s">
        <v>518</v>
      </c>
      <c r="C19818" s="52">
        <v>211797.07455531199</v>
      </c>
      <c r="D19818" s="56">
        <v>0.13554504849664439</v>
      </c>
      <c r="E19818" s="224" t="s">
        <v>2</v>
      </c>
      <c r="F19818" s="515" t="s">
        <v>20989</v>
      </c>
      <c r="G19818" s="52">
        <v>2603201.22751428</v>
      </c>
      <c r="H19818" s="56">
        <v>3.1635712166119927E-2</v>
      </c>
      <c r="I19818" s="224" t="s">
        <v>2</v>
      </c>
    </row>
    <row r="19819" spans="1:9" x14ac:dyDescent="0.25">
      <c r="A19819" s="515">
        <v>14507</v>
      </c>
      <c r="B19819" s="515" t="s">
        <v>337</v>
      </c>
      <c r="C19819" s="52">
        <v>230085.30271349801</v>
      </c>
      <c r="D19819" s="56">
        <v>5.0662157664368115E-2</v>
      </c>
      <c r="E19819" s="224" t="s">
        <v>2</v>
      </c>
      <c r="F19819" s="515" t="s">
        <v>20990</v>
      </c>
      <c r="G19819" s="52">
        <v>137998.38449668101</v>
      </c>
      <c r="H19819" s="56">
        <v>0.12388107660682668</v>
      </c>
      <c r="I19819" s="224" t="s">
        <v>2</v>
      </c>
    </row>
    <row r="19820" spans="1:9" x14ac:dyDescent="0.25">
      <c r="A19820" s="515">
        <v>64859</v>
      </c>
      <c r="B19820" s="515" t="s">
        <v>784</v>
      </c>
      <c r="C19820" s="52">
        <v>190243.33006022801</v>
      </c>
      <c r="D19820" s="56">
        <v>0</v>
      </c>
      <c r="E19820" s="224" t="s">
        <v>2</v>
      </c>
      <c r="F19820" s="515" t="s">
        <v>20991</v>
      </c>
      <c r="G19820" s="52">
        <v>37545.8103448275</v>
      </c>
      <c r="H19820" s="56">
        <v>0</v>
      </c>
      <c r="I19820" s="224" t="s">
        <v>2</v>
      </c>
    </row>
    <row r="19821" spans="1:9" x14ac:dyDescent="0.25">
      <c r="A19821" s="515">
        <v>56678</v>
      </c>
      <c r="B19821" s="515" t="s">
        <v>690</v>
      </c>
      <c r="C19821" s="52">
        <v>196892.865977209</v>
      </c>
      <c r="D19821" s="56">
        <v>0.10702703702818918</v>
      </c>
      <c r="E19821" s="224" t="s">
        <v>2</v>
      </c>
      <c r="F19821" s="515" t="s">
        <v>20992</v>
      </c>
      <c r="G19821" s="52">
        <v>96355.232142857101</v>
      </c>
      <c r="H19821" s="56">
        <v>0</v>
      </c>
      <c r="I19821" s="224" t="s">
        <v>2</v>
      </c>
    </row>
    <row r="19822" spans="1:9" x14ac:dyDescent="0.25">
      <c r="A19822" s="515">
        <v>59001</v>
      </c>
      <c r="B19822" s="515" t="s">
        <v>637</v>
      </c>
      <c r="C19822" s="52">
        <v>391609.52265558601</v>
      </c>
      <c r="D19822" s="56">
        <v>5.489249090912799E-2</v>
      </c>
      <c r="E19822" s="224" t="s">
        <v>2</v>
      </c>
      <c r="F19822" s="515" t="s">
        <v>20993</v>
      </c>
      <c r="G19822" s="52">
        <v>58018.294794650901</v>
      </c>
      <c r="H19822" s="56">
        <v>-3.1970081437231713E-3</v>
      </c>
      <c r="I19822" s="224" t="s">
        <v>2</v>
      </c>
    </row>
    <row r="19823" spans="1:9" x14ac:dyDescent="0.25">
      <c r="A19823" s="515">
        <v>50020</v>
      </c>
      <c r="C19823" s="52">
        <v>121564.300474232</v>
      </c>
      <c r="D19823" s="56">
        <v>0.10777972860261682</v>
      </c>
      <c r="E19823" s="224" t="s">
        <v>2</v>
      </c>
      <c r="F19823" s="515" t="s">
        <v>20994</v>
      </c>
      <c r="G19823" s="52">
        <v>183494.161764705</v>
      </c>
      <c r="H19823" s="56">
        <v>0</v>
      </c>
      <c r="I19823" s="224" t="s">
        <v>2</v>
      </c>
    </row>
    <row r="19824" spans="1:9" x14ac:dyDescent="0.25">
      <c r="A19824" s="515">
        <v>44669</v>
      </c>
      <c r="B19824" s="515" t="s">
        <v>863</v>
      </c>
      <c r="C19824" s="52">
        <v>226817.79961632899</v>
      </c>
      <c r="D19824" s="56">
        <v>0.10766388254443486</v>
      </c>
      <c r="E19824" s="224" t="s">
        <v>2</v>
      </c>
      <c r="F19824" s="515" t="s">
        <v>20995</v>
      </c>
      <c r="G19824" s="52">
        <v>661972.17273117497</v>
      </c>
      <c r="H19824" s="56">
        <v>0.14096013793486933</v>
      </c>
      <c r="I19824" s="224" t="s">
        <v>2</v>
      </c>
    </row>
    <row r="19825" spans="1:9" x14ac:dyDescent="0.25">
      <c r="A19825" s="515">
        <v>14838</v>
      </c>
      <c r="B19825" s="515" t="s">
        <v>724</v>
      </c>
      <c r="C19825" s="52">
        <v>171171.23806991</v>
      </c>
      <c r="D19825" s="56">
        <v>5.7688899930258497E-2</v>
      </c>
      <c r="E19825" s="224" t="s">
        <v>2</v>
      </c>
      <c r="F19825" s="515" t="s">
        <v>20996</v>
      </c>
      <c r="G19825" s="52">
        <v>282808.24205793301</v>
      </c>
      <c r="H19825" s="56">
        <v>-2.7579755992358703E-2</v>
      </c>
      <c r="I19825" s="224" t="s">
        <v>2</v>
      </c>
    </row>
    <row r="19826" spans="1:9" x14ac:dyDescent="0.25">
      <c r="A19826" s="515">
        <v>77577</v>
      </c>
      <c r="B19826" s="515" t="s">
        <v>314</v>
      </c>
      <c r="C19826" s="52">
        <v>220445.952381518</v>
      </c>
      <c r="D19826" s="56">
        <v>2.5819535009099861E-2</v>
      </c>
      <c r="E19826" s="224" t="s">
        <v>2</v>
      </c>
      <c r="F19826" s="515" t="s">
        <v>20997</v>
      </c>
      <c r="G19826" s="52">
        <v>229982.870978614</v>
      </c>
      <c r="H19826" s="56">
        <v>9.2045656190227559E-2</v>
      </c>
      <c r="I19826" s="224" t="s">
        <v>2</v>
      </c>
    </row>
    <row r="19827" spans="1:9" x14ac:dyDescent="0.25">
      <c r="A19827" s="515">
        <v>17985</v>
      </c>
      <c r="B19827" s="515" t="s">
        <v>676</v>
      </c>
      <c r="C19827" s="52">
        <v>165245.973834904</v>
      </c>
      <c r="D19827" s="56">
        <v>7.0062287645656071E-2</v>
      </c>
      <c r="E19827" s="224" t="s">
        <v>2</v>
      </c>
      <c r="F19827" s="515" t="s">
        <v>20998</v>
      </c>
      <c r="G19827" s="52">
        <v>122209.273011331</v>
      </c>
      <c r="H19827" s="56">
        <v>0.13534585589930534</v>
      </c>
      <c r="I19827" s="224" t="s">
        <v>2</v>
      </c>
    </row>
    <row r="19828" spans="1:9" x14ac:dyDescent="0.25">
      <c r="A19828" s="515">
        <v>31563</v>
      </c>
      <c r="C19828" s="52">
        <v>121688.492772154</v>
      </c>
      <c r="D19828" s="56">
        <v>0</v>
      </c>
      <c r="E19828" s="224" t="s">
        <v>2</v>
      </c>
      <c r="F19828" s="515" t="s">
        <v>20999</v>
      </c>
      <c r="G19828" s="52">
        <v>328659.03992407903</v>
      </c>
      <c r="H19828" s="56">
        <v>9.2806939199287522E-2</v>
      </c>
      <c r="I19828" s="224" t="s">
        <v>2</v>
      </c>
    </row>
    <row r="19829" spans="1:9" x14ac:dyDescent="0.25">
      <c r="A19829" s="515">
        <v>39769</v>
      </c>
      <c r="B19829" s="515" t="s">
        <v>722</v>
      </c>
      <c r="C19829" s="52">
        <v>160719.82564505801</v>
      </c>
      <c r="D19829" s="56">
        <v>9.7552531278232192E-3</v>
      </c>
      <c r="E19829" s="224" t="s">
        <v>2</v>
      </c>
      <c r="F19829" s="515" t="s">
        <v>21000</v>
      </c>
      <c r="G19829" s="52">
        <v>141063.94806617199</v>
      </c>
      <c r="H19829" s="56">
        <v>2.560641117694961E-2</v>
      </c>
      <c r="I19829" s="224" t="s">
        <v>2</v>
      </c>
    </row>
    <row r="19830" spans="1:9" x14ac:dyDescent="0.25">
      <c r="A19830" s="515">
        <v>71366</v>
      </c>
      <c r="C19830" s="52">
        <v>132985.13712147399</v>
      </c>
      <c r="D19830" s="56">
        <v>2.1974863084137101E-2</v>
      </c>
      <c r="E19830" s="224" t="s">
        <v>2</v>
      </c>
      <c r="F19830" s="515" t="s">
        <v>21001</v>
      </c>
      <c r="G19830" s="52">
        <v>137346.32104618099</v>
      </c>
      <c r="H19830" s="56">
        <v>9.6778579646721499E-2</v>
      </c>
      <c r="I19830" s="224" t="s">
        <v>2</v>
      </c>
    </row>
    <row r="19831" spans="1:9" x14ac:dyDescent="0.25">
      <c r="A19831" s="515">
        <v>65617</v>
      </c>
      <c r="B19831" s="515" t="s">
        <v>603</v>
      </c>
      <c r="C19831" s="52">
        <v>258910.96428704599</v>
      </c>
      <c r="D19831" s="56">
        <v>0.12912821582199935</v>
      </c>
      <c r="E19831" s="224" t="s">
        <v>2</v>
      </c>
      <c r="F19831" s="515" t="s">
        <v>21002</v>
      </c>
      <c r="G19831" s="52">
        <v>388998.38009588199</v>
      </c>
      <c r="H19831" s="56">
        <v>-1.722856349834084E-2</v>
      </c>
      <c r="I19831" s="224" t="s">
        <v>2</v>
      </c>
    </row>
    <row r="19832" spans="1:9" x14ac:dyDescent="0.25">
      <c r="A19832" s="515">
        <v>13327</v>
      </c>
      <c r="C19832" s="52">
        <v>181527.232708809</v>
      </c>
      <c r="D19832" s="56">
        <v>0.12202828825484366</v>
      </c>
      <c r="E19832" s="224" t="s">
        <v>2</v>
      </c>
      <c r="F19832" s="515" t="s">
        <v>21003</v>
      </c>
      <c r="G19832" s="52">
        <v>124899.76747845901</v>
      </c>
      <c r="H19832" s="56">
        <v>1.7679782250217914E-2</v>
      </c>
      <c r="I19832" s="224" t="s">
        <v>2</v>
      </c>
    </row>
    <row r="19833" spans="1:9" x14ac:dyDescent="0.25">
      <c r="A19833" s="515">
        <v>61535</v>
      </c>
      <c r="B19833" s="515" t="s">
        <v>303</v>
      </c>
      <c r="C19833" s="52">
        <v>220403.35638540599</v>
      </c>
      <c r="D19833" s="56">
        <v>5.0581834903508593E-2</v>
      </c>
      <c r="E19833" s="224" t="s">
        <v>2</v>
      </c>
      <c r="F19833" s="515" t="s">
        <v>21004</v>
      </c>
      <c r="G19833" s="52">
        <v>85280.2002667505</v>
      </c>
      <c r="H19833" s="56">
        <v>5.5175860982032067E-2</v>
      </c>
      <c r="I19833" s="224" t="s">
        <v>2</v>
      </c>
    </row>
    <row r="19834" spans="1:9" x14ac:dyDescent="0.25">
      <c r="A19834" s="515">
        <v>71652</v>
      </c>
      <c r="B19834" s="515" t="s">
        <v>872</v>
      </c>
      <c r="C19834" s="52">
        <v>85677.175925925898</v>
      </c>
      <c r="D19834" s="56">
        <v>0</v>
      </c>
      <c r="E19834" s="224" t="s">
        <v>2</v>
      </c>
      <c r="F19834" s="515" t="s">
        <v>21005</v>
      </c>
      <c r="G19834" s="52">
        <v>92201.951420506695</v>
      </c>
      <c r="H19834" s="56">
        <v>-4.672134646370505E-2</v>
      </c>
      <c r="I19834" s="224" t="s">
        <v>2</v>
      </c>
    </row>
    <row r="19835" spans="1:9" x14ac:dyDescent="0.25">
      <c r="A19835" s="515">
        <v>61526</v>
      </c>
      <c r="B19835" s="515" t="s">
        <v>303</v>
      </c>
      <c r="C19835" s="52">
        <v>217796.63246325499</v>
      </c>
      <c r="D19835" s="56">
        <v>5.9603960728695934E-2</v>
      </c>
      <c r="E19835" s="224" t="s">
        <v>2</v>
      </c>
      <c r="F19835" s="515" t="s">
        <v>21006</v>
      </c>
      <c r="G19835" s="52">
        <v>365023.72888006299</v>
      </c>
      <c r="H19835" s="56">
        <v>6.7634289332933611E-2</v>
      </c>
      <c r="I19835" s="224" t="s">
        <v>2</v>
      </c>
    </row>
    <row r="19836" spans="1:9" x14ac:dyDescent="0.25">
      <c r="A19836" s="515">
        <v>17214</v>
      </c>
      <c r="B19836" s="515" t="s">
        <v>372</v>
      </c>
      <c r="C19836" s="52">
        <v>252313.900616567</v>
      </c>
      <c r="D19836" s="56">
        <v>0</v>
      </c>
      <c r="E19836" s="224" t="s">
        <v>2</v>
      </c>
      <c r="F19836" s="515" t="s">
        <v>21007</v>
      </c>
      <c r="G19836" s="52">
        <v>234103.22503721801</v>
      </c>
      <c r="H19836" s="56">
        <v>0.14837133034622488</v>
      </c>
      <c r="I19836" s="224" t="s">
        <v>2</v>
      </c>
    </row>
    <row r="19837" spans="1:9" x14ac:dyDescent="0.25">
      <c r="A19837" s="515">
        <v>65779</v>
      </c>
      <c r="C19837" s="52">
        <v>153371.43640906701</v>
      </c>
      <c r="D19837" s="56">
        <v>0.14141107375829864</v>
      </c>
      <c r="E19837" s="224" t="s">
        <v>2</v>
      </c>
      <c r="F19837" s="515" t="s">
        <v>21008</v>
      </c>
      <c r="G19837" s="52">
        <v>124389.127232853</v>
      </c>
      <c r="H19837" s="56">
        <v>3.4592714388204722E-2</v>
      </c>
      <c r="I19837" s="224" t="s">
        <v>2</v>
      </c>
    </row>
    <row r="19838" spans="1:9" x14ac:dyDescent="0.25">
      <c r="A19838" s="515">
        <v>54826</v>
      </c>
      <c r="C19838" s="52">
        <v>291511.26596868702</v>
      </c>
      <c r="D19838" s="56">
        <v>8.0471710080757861E-2</v>
      </c>
      <c r="E19838" s="224" t="s">
        <v>2</v>
      </c>
      <c r="F19838" s="515" t="s">
        <v>21009</v>
      </c>
      <c r="G19838" s="52">
        <v>286847.49568196997</v>
      </c>
      <c r="H19838" s="56">
        <v>2.0548635507227939E-2</v>
      </c>
      <c r="I19838" s="224" t="s">
        <v>2</v>
      </c>
    </row>
    <row r="19839" spans="1:9" x14ac:dyDescent="0.25">
      <c r="A19839" s="515">
        <v>43356</v>
      </c>
      <c r="B19839" s="515" t="s">
        <v>530</v>
      </c>
      <c r="C19839" s="52">
        <v>260029.869914779</v>
      </c>
      <c r="D19839" s="56">
        <v>0.11220459618743577</v>
      </c>
      <c r="E19839" s="224" t="s">
        <v>2</v>
      </c>
      <c r="F19839" s="515" t="s">
        <v>21010</v>
      </c>
      <c r="G19839" s="52">
        <v>159897.34</v>
      </c>
      <c r="H19839" s="56">
        <v>0</v>
      </c>
      <c r="I19839" s="224" t="s">
        <v>2</v>
      </c>
    </row>
    <row r="19840" spans="1:9" x14ac:dyDescent="0.25">
      <c r="A19840" s="515">
        <v>4088</v>
      </c>
      <c r="C19840" s="52">
        <v>289106.52915489097</v>
      </c>
      <c r="D19840" s="56">
        <v>7.981412101873489E-2</v>
      </c>
      <c r="E19840" s="224" t="s">
        <v>2</v>
      </c>
      <c r="F19840" s="515" t="s">
        <v>21011</v>
      </c>
      <c r="G19840" s="52">
        <v>2407867.7912939698</v>
      </c>
      <c r="H19840" s="56">
        <v>9.6644369640163805E-2</v>
      </c>
      <c r="I19840" s="224">
        <v>51666.666666666599</v>
      </c>
    </row>
    <row r="19841" spans="1:9" x14ac:dyDescent="0.25">
      <c r="A19841" s="515">
        <v>14167</v>
      </c>
      <c r="C19841" s="52">
        <v>192942.45430330301</v>
      </c>
      <c r="D19841" s="56">
        <v>9.2400327902526669E-2</v>
      </c>
      <c r="E19841" s="224" t="s">
        <v>2</v>
      </c>
      <c r="F19841" s="515" t="s">
        <v>21012</v>
      </c>
      <c r="G19841" s="52">
        <v>104277.22345993599</v>
      </c>
      <c r="H19841" s="56">
        <v>0</v>
      </c>
      <c r="I19841" s="224" t="s">
        <v>2</v>
      </c>
    </row>
    <row r="19842" spans="1:9" x14ac:dyDescent="0.25">
      <c r="A19842" s="515">
        <v>36005</v>
      </c>
      <c r="B19842" s="515" t="s">
        <v>1027</v>
      </c>
      <c r="C19842" s="52">
        <v>135296.10200805799</v>
      </c>
      <c r="D19842" s="56">
        <v>1.5544354130424407E-2</v>
      </c>
      <c r="E19842" s="224" t="s">
        <v>2</v>
      </c>
      <c r="F19842" s="515" t="s">
        <v>21013</v>
      </c>
      <c r="G19842" s="52">
        <v>72980.131202409801</v>
      </c>
      <c r="H19842" s="56">
        <v>5.2955007272319062E-2</v>
      </c>
      <c r="I19842" s="224" t="s">
        <v>2</v>
      </c>
    </row>
    <row r="19843" spans="1:9" x14ac:dyDescent="0.25">
      <c r="A19843" s="515">
        <v>50028</v>
      </c>
      <c r="B19843" s="515" t="s">
        <v>295</v>
      </c>
      <c r="C19843" s="52">
        <v>207457.45963406199</v>
      </c>
      <c r="D19843" s="56">
        <v>0.11059880892391744</v>
      </c>
      <c r="E19843" s="224" t="s">
        <v>2</v>
      </c>
      <c r="F19843" s="515" t="s">
        <v>21014</v>
      </c>
      <c r="G19843" s="52">
        <v>339609.22601584799</v>
      </c>
      <c r="H19843" s="56">
        <v>6.5970880755859121E-2</v>
      </c>
      <c r="I19843" s="224" t="s">
        <v>2</v>
      </c>
    </row>
    <row r="19844" spans="1:9" x14ac:dyDescent="0.25">
      <c r="A19844" s="515">
        <v>68067</v>
      </c>
      <c r="C19844" s="52">
        <v>57336.710733515298</v>
      </c>
      <c r="D19844" s="56">
        <v>-0.10253289002585982</v>
      </c>
      <c r="E19844" s="224" t="s">
        <v>2</v>
      </c>
      <c r="F19844" s="515" t="s">
        <v>21015</v>
      </c>
      <c r="G19844" s="52">
        <v>250389.389048613</v>
      </c>
      <c r="H19844" s="56">
        <v>0.13159202835287268</v>
      </c>
      <c r="I19844" s="224" t="s">
        <v>2</v>
      </c>
    </row>
    <row r="19845" spans="1:9" x14ac:dyDescent="0.25">
      <c r="A19845" s="515">
        <v>43445</v>
      </c>
      <c r="B19845" s="515" t="s">
        <v>300</v>
      </c>
      <c r="C19845" s="52">
        <v>183156.85551459299</v>
      </c>
      <c r="D19845" s="56">
        <v>8.1018896882213129E-2</v>
      </c>
      <c r="E19845" s="224" t="s">
        <v>2</v>
      </c>
      <c r="F19845" s="515" t="s">
        <v>21016</v>
      </c>
      <c r="G19845" s="52">
        <v>195177.498821035</v>
      </c>
      <c r="H19845" s="56">
        <v>7.1718807479692115E-2</v>
      </c>
      <c r="I19845" s="224" t="s">
        <v>2</v>
      </c>
    </row>
    <row r="19846" spans="1:9" x14ac:dyDescent="0.25">
      <c r="A19846" s="515">
        <v>38374</v>
      </c>
      <c r="C19846" s="52">
        <v>130861.47499715599</v>
      </c>
      <c r="D19846" s="56">
        <v>-1.6285580488595219E-3</v>
      </c>
      <c r="E19846" s="224" t="s">
        <v>2</v>
      </c>
      <c r="F19846" s="515" t="s">
        <v>21017</v>
      </c>
      <c r="G19846" s="52">
        <v>206561.21577222401</v>
      </c>
      <c r="H19846" s="56">
        <v>8.6711797516267702E-2</v>
      </c>
      <c r="I19846" s="224" t="s">
        <v>2</v>
      </c>
    </row>
    <row r="19847" spans="1:9" x14ac:dyDescent="0.25">
      <c r="A19847" s="515">
        <v>47948</v>
      </c>
      <c r="B19847" s="515" t="s">
        <v>394</v>
      </c>
      <c r="C19847" s="52">
        <v>133147.45813641799</v>
      </c>
      <c r="D19847" s="56">
        <v>7.3947699107695483E-2</v>
      </c>
      <c r="E19847" s="224" t="s">
        <v>2</v>
      </c>
      <c r="F19847" s="515" t="s">
        <v>21018</v>
      </c>
      <c r="G19847" s="52">
        <v>155056.01052263001</v>
      </c>
      <c r="H19847" s="56">
        <v>0</v>
      </c>
      <c r="I19847" s="224" t="s">
        <v>2</v>
      </c>
    </row>
    <row r="19848" spans="1:9" x14ac:dyDescent="0.25">
      <c r="A19848" s="515">
        <v>38362</v>
      </c>
      <c r="B19848" s="515" t="s">
        <v>691</v>
      </c>
      <c r="C19848" s="52">
        <v>183661.132900036</v>
      </c>
      <c r="D19848" s="56">
        <v>7.6420088152849619E-2</v>
      </c>
      <c r="E19848" s="224" t="s">
        <v>2</v>
      </c>
      <c r="F19848" s="515" t="s">
        <v>21019</v>
      </c>
      <c r="G19848" s="52">
        <v>94069.459066667594</v>
      </c>
      <c r="H19848" s="56">
        <v>0</v>
      </c>
      <c r="I19848" s="224" t="s">
        <v>2</v>
      </c>
    </row>
    <row r="19849" spans="1:9" x14ac:dyDescent="0.25">
      <c r="A19849" s="515">
        <v>17929</v>
      </c>
      <c r="B19849" s="515" t="s">
        <v>994</v>
      </c>
      <c r="C19849" s="52">
        <v>139433.42494852401</v>
      </c>
      <c r="D19849" s="56">
        <v>6.5573539576399581E-2</v>
      </c>
      <c r="E19849" s="224" t="s">
        <v>2</v>
      </c>
      <c r="F19849" s="515" t="s">
        <v>21020</v>
      </c>
      <c r="G19849" s="52">
        <v>173657.818224549</v>
      </c>
      <c r="H19849" s="56">
        <v>3.4383517660272554E-2</v>
      </c>
      <c r="I19849" s="224" t="s">
        <v>2</v>
      </c>
    </row>
    <row r="19850" spans="1:9" x14ac:dyDescent="0.25">
      <c r="A19850" s="515">
        <v>50076</v>
      </c>
      <c r="C19850" s="52">
        <v>98670.868167370107</v>
      </c>
      <c r="D19850" s="56">
        <v>4.2871684288445143E-2</v>
      </c>
      <c r="E19850" s="224" t="s">
        <v>2</v>
      </c>
      <c r="F19850" s="515" t="s">
        <v>21021</v>
      </c>
      <c r="G19850" s="52">
        <v>255493.96730779801</v>
      </c>
      <c r="H19850" s="56">
        <v>0.14122939985669347</v>
      </c>
      <c r="I19850" s="224" t="s">
        <v>2</v>
      </c>
    </row>
    <row r="19851" spans="1:9" x14ac:dyDescent="0.25">
      <c r="A19851" s="515">
        <v>64763</v>
      </c>
      <c r="C19851" s="52">
        <v>127038.810698742</v>
      </c>
      <c r="D19851" s="56">
        <v>8.1930696801540109E-2</v>
      </c>
      <c r="E19851" s="224" t="s">
        <v>2</v>
      </c>
      <c r="F19851" s="515" t="s">
        <v>21022</v>
      </c>
      <c r="G19851" s="52">
        <v>473356.057939313</v>
      </c>
      <c r="H19851" s="56">
        <v>4.6250833485833864E-2</v>
      </c>
      <c r="I19851" s="224" t="s">
        <v>2</v>
      </c>
    </row>
    <row r="19852" spans="1:9" x14ac:dyDescent="0.25">
      <c r="A19852" s="515">
        <v>96109</v>
      </c>
      <c r="B19852" s="515" t="s">
        <v>658</v>
      </c>
      <c r="C19852" s="52">
        <v>175958.72225493999</v>
      </c>
      <c r="D19852" s="56">
        <v>1.8041919886398208E-2</v>
      </c>
      <c r="E19852" s="224" t="s">
        <v>2</v>
      </c>
      <c r="F19852" s="515" t="s">
        <v>21023</v>
      </c>
      <c r="G19852" s="52">
        <v>68056.796121932493</v>
      </c>
      <c r="H19852" s="56">
        <v>0.28004957015334336</v>
      </c>
      <c r="I19852" s="224" t="s">
        <v>2</v>
      </c>
    </row>
    <row r="19853" spans="1:9" x14ac:dyDescent="0.25">
      <c r="A19853" s="515">
        <v>12979</v>
      </c>
      <c r="B19853" s="515" t="s">
        <v>395</v>
      </c>
      <c r="C19853" s="52">
        <v>184771.647743593</v>
      </c>
      <c r="D19853" s="56">
        <v>5.7911240597259037E-2</v>
      </c>
      <c r="E19853" s="224" t="s">
        <v>2</v>
      </c>
      <c r="F19853" s="515" t="s">
        <v>21024</v>
      </c>
      <c r="G19853" s="52">
        <v>113098.766401813</v>
      </c>
      <c r="H19853" s="56">
        <v>5.6161062138687996E-2</v>
      </c>
      <c r="I19853" s="224" t="s">
        <v>2</v>
      </c>
    </row>
    <row r="19854" spans="1:9" x14ac:dyDescent="0.25">
      <c r="A19854" s="515">
        <v>4422</v>
      </c>
      <c r="B19854" s="515" t="s">
        <v>792</v>
      </c>
      <c r="C19854" s="52">
        <v>200440.36547553999</v>
      </c>
      <c r="D19854" s="56">
        <v>0.12012968852909031</v>
      </c>
      <c r="E19854" s="224" t="s">
        <v>2</v>
      </c>
      <c r="F19854" s="515" t="s">
        <v>21025</v>
      </c>
      <c r="G19854" s="52">
        <v>142412.229508196</v>
      </c>
      <c r="H19854" s="56">
        <v>0</v>
      </c>
      <c r="I19854" s="224" t="s">
        <v>2</v>
      </c>
    </row>
    <row r="19855" spans="1:9" x14ac:dyDescent="0.25">
      <c r="A19855" s="515">
        <v>18629</v>
      </c>
      <c r="B19855" s="515" t="s">
        <v>512</v>
      </c>
      <c r="C19855" s="52">
        <v>162126.809517724</v>
      </c>
      <c r="D19855" s="56">
        <v>-4.4047405053311429E-2</v>
      </c>
      <c r="E19855" s="224" t="s">
        <v>2</v>
      </c>
      <c r="F19855" s="515" t="s">
        <v>21026</v>
      </c>
      <c r="G19855" s="52">
        <v>552074.21720358799</v>
      </c>
      <c r="H19855" s="56">
        <v>7.5316212174185687E-2</v>
      </c>
      <c r="I19855" s="224" t="s">
        <v>2</v>
      </c>
    </row>
    <row r="19856" spans="1:9" x14ac:dyDescent="0.25">
      <c r="A19856" s="515">
        <v>45146</v>
      </c>
      <c r="B19856" s="515" t="s">
        <v>489</v>
      </c>
      <c r="C19856" s="52">
        <v>184500.58645910499</v>
      </c>
      <c r="D19856" s="56">
        <v>6.5205066375696855E-2</v>
      </c>
      <c r="E19856" s="224" t="s">
        <v>2</v>
      </c>
      <c r="F19856" s="515" t="s">
        <v>21027</v>
      </c>
      <c r="G19856" s="52">
        <v>284860.543522002</v>
      </c>
      <c r="H19856" s="56">
        <v>9.4447353932571962E-2</v>
      </c>
      <c r="I19856" s="224" t="s">
        <v>2</v>
      </c>
    </row>
    <row r="19857" spans="1:9" x14ac:dyDescent="0.25">
      <c r="A19857" s="515">
        <v>64484</v>
      </c>
      <c r="B19857" s="515" t="s">
        <v>371</v>
      </c>
      <c r="C19857" s="52">
        <v>169880.52565552999</v>
      </c>
      <c r="D19857" s="56">
        <v>0</v>
      </c>
      <c r="E19857" s="224" t="s">
        <v>2</v>
      </c>
      <c r="F19857" s="515" t="s">
        <v>21028</v>
      </c>
      <c r="G19857" s="52">
        <v>194618.678094801</v>
      </c>
      <c r="H19857" s="56">
        <v>0.24772861005530672</v>
      </c>
      <c r="I19857" s="224" t="s">
        <v>2</v>
      </c>
    </row>
    <row r="19858" spans="1:9" x14ac:dyDescent="0.25">
      <c r="A19858" s="515">
        <v>52073</v>
      </c>
      <c r="B19858" s="515" t="s">
        <v>478</v>
      </c>
      <c r="C19858" s="52">
        <v>273675.34011383599</v>
      </c>
      <c r="D19858" s="56">
        <v>0.12470896791440733</v>
      </c>
      <c r="E19858" s="224" t="s">
        <v>2</v>
      </c>
      <c r="F19858" s="515" t="s">
        <v>21029</v>
      </c>
      <c r="G19858" s="52">
        <v>137165.23581432199</v>
      </c>
      <c r="H19858" s="56">
        <v>0.10516985524430306</v>
      </c>
      <c r="I19858" s="224" t="s">
        <v>2</v>
      </c>
    </row>
    <row r="19859" spans="1:9" x14ac:dyDescent="0.25">
      <c r="A19859" s="515">
        <v>28624</v>
      </c>
      <c r="B19859" s="515" t="s">
        <v>1018</v>
      </c>
      <c r="C19859" s="52">
        <v>287138.506384251</v>
      </c>
      <c r="D19859" s="56">
        <v>0.18607675541652188</v>
      </c>
      <c r="E19859" s="224" t="s">
        <v>2</v>
      </c>
      <c r="F19859" s="515" t="s">
        <v>21030</v>
      </c>
      <c r="G19859" s="52">
        <v>207331.72822449799</v>
      </c>
      <c r="H19859" s="56">
        <v>0.1092623581407032</v>
      </c>
      <c r="I19859" s="224" t="s">
        <v>2</v>
      </c>
    </row>
    <row r="19860" spans="1:9" x14ac:dyDescent="0.25">
      <c r="A19860" s="515">
        <v>4441</v>
      </c>
      <c r="C19860" s="52">
        <v>284963.12842887797</v>
      </c>
      <c r="D19860" s="56">
        <v>6.2463987515475689E-2</v>
      </c>
      <c r="E19860" s="224" t="s">
        <v>2</v>
      </c>
      <c r="F19860" s="515" t="s">
        <v>21031</v>
      </c>
      <c r="G19860" s="52">
        <v>130457.76868889701</v>
      </c>
      <c r="H19860" s="56">
        <v>5.7923115080184953E-2</v>
      </c>
      <c r="I19860" s="224" t="s">
        <v>2</v>
      </c>
    </row>
    <row r="19861" spans="1:9" x14ac:dyDescent="0.25">
      <c r="A19861" s="515">
        <v>52768</v>
      </c>
      <c r="B19861" s="515" t="s">
        <v>439</v>
      </c>
      <c r="C19861" s="52">
        <v>258163.57609357801</v>
      </c>
      <c r="D19861" s="56">
        <v>9.3973996381312805E-2</v>
      </c>
      <c r="E19861" s="224" t="s">
        <v>2</v>
      </c>
      <c r="F19861" s="515" t="s">
        <v>21032</v>
      </c>
      <c r="G19861" s="52">
        <v>72834.056739478896</v>
      </c>
      <c r="H19861" s="56">
        <v>-7.5203392849938031E-2</v>
      </c>
      <c r="I19861" s="224" t="s">
        <v>2</v>
      </c>
    </row>
    <row r="19862" spans="1:9" x14ac:dyDescent="0.25">
      <c r="A19862" s="515">
        <v>56382</v>
      </c>
      <c r="C19862" s="52">
        <v>253145.240462905</v>
      </c>
      <c r="D19862" s="56">
        <v>0.15251172923217304</v>
      </c>
      <c r="E19862" s="224" t="s">
        <v>2</v>
      </c>
      <c r="F19862" s="515" t="s">
        <v>21033</v>
      </c>
      <c r="G19862" s="52">
        <v>164380.42128620201</v>
      </c>
      <c r="H19862" s="56">
        <v>1.7543192350483797E-2</v>
      </c>
      <c r="I19862" s="224" t="s">
        <v>2</v>
      </c>
    </row>
    <row r="19863" spans="1:9" x14ac:dyDescent="0.25">
      <c r="A19863" s="515">
        <v>38368</v>
      </c>
      <c r="C19863" s="52">
        <v>127963.65200594001</v>
      </c>
      <c r="D19863" s="56">
        <v>3.4605714919575252E-2</v>
      </c>
      <c r="E19863" s="224" t="s">
        <v>2</v>
      </c>
      <c r="F19863" s="515" t="s">
        <v>21034</v>
      </c>
      <c r="G19863" s="52">
        <v>190849.26620252599</v>
      </c>
      <c r="H19863" s="56">
        <v>0.16407509443729459</v>
      </c>
      <c r="I19863" s="224" t="s">
        <v>2</v>
      </c>
    </row>
    <row r="19864" spans="1:9" x14ac:dyDescent="0.25">
      <c r="A19864" s="515">
        <v>99115</v>
      </c>
      <c r="B19864" s="515" t="s">
        <v>666</v>
      </c>
      <c r="C19864" s="52">
        <v>254866.176252948</v>
      </c>
      <c r="D19864" s="56">
        <v>8.162384982640547E-2</v>
      </c>
      <c r="E19864" s="224" t="s">
        <v>2</v>
      </c>
      <c r="F19864" s="515" t="s">
        <v>21035</v>
      </c>
      <c r="G19864" s="52">
        <v>227449.497869304</v>
      </c>
      <c r="H19864" s="56">
        <v>3.4268770652697282E-2</v>
      </c>
      <c r="I19864" s="224" t="s">
        <v>2</v>
      </c>
    </row>
    <row r="19865" spans="1:9" x14ac:dyDescent="0.25">
      <c r="A19865" s="515">
        <v>53093</v>
      </c>
      <c r="B19865" s="515" t="s">
        <v>1063</v>
      </c>
      <c r="C19865" s="52">
        <v>284689.35885167401</v>
      </c>
      <c r="D19865" s="56">
        <v>0</v>
      </c>
      <c r="E19865" s="224" t="s">
        <v>2</v>
      </c>
      <c r="F19865" s="515" t="s">
        <v>21036</v>
      </c>
      <c r="G19865" s="52">
        <v>441452.561218041</v>
      </c>
      <c r="H19865" s="56">
        <v>0.10989240389559454</v>
      </c>
      <c r="I19865" s="224" t="s">
        <v>2</v>
      </c>
    </row>
    <row r="19866" spans="1:9" x14ac:dyDescent="0.25">
      <c r="A19866" s="515">
        <v>61864</v>
      </c>
      <c r="B19866" s="515" t="s">
        <v>417</v>
      </c>
      <c r="C19866" s="52">
        <v>202523.61495468201</v>
      </c>
      <c r="D19866" s="56">
        <v>4.7880725758935767E-2</v>
      </c>
      <c r="E19866" s="224" t="s">
        <v>2</v>
      </c>
      <c r="F19866" s="515" t="s">
        <v>21037</v>
      </c>
      <c r="G19866" s="52">
        <v>150016.39557838099</v>
      </c>
      <c r="H19866" s="56">
        <v>0.13586052283903993</v>
      </c>
      <c r="I19866" s="224" t="s">
        <v>2</v>
      </c>
    </row>
    <row r="19867" spans="1:9" x14ac:dyDescent="0.25">
      <c r="A19867" s="515">
        <v>99348</v>
      </c>
      <c r="B19867" s="515" t="s">
        <v>376</v>
      </c>
      <c r="C19867" s="52">
        <v>366713.05414464802</v>
      </c>
      <c r="D19867" s="56">
        <v>0.12359571595777809</v>
      </c>
      <c r="E19867" s="224" t="s">
        <v>2</v>
      </c>
      <c r="F19867" s="515" t="s">
        <v>21038</v>
      </c>
      <c r="G19867" s="52">
        <v>350318.26314873598</v>
      </c>
      <c r="H19867" s="56">
        <v>7.012877027916635E-2</v>
      </c>
      <c r="I19867" s="224" t="s">
        <v>2</v>
      </c>
    </row>
    <row r="19868" spans="1:9" x14ac:dyDescent="0.25">
      <c r="A19868" s="515">
        <v>16319</v>
      </c>
      <c r="B19868" s="515" t="s">
        <v>349</v>
      </c>
      <c r="C19868" s="52">
        <v>148753.51812502599</v>
      </c>
      <c r="D19868" s="56">
        <v>9.6757351361108357E-2</v>
      </c>
      <c r="E19868" s="224" t="s">
        <v>2</v>
      </c>
      <c r="F19868" s="515" t="s">
        <v>21039</v>
      </c>
      <c r="G19868" s="52">
        <v>124612.219163305</v>
      </c>
      <c r="H19868" s="56">
        <v>9.084856089089989E-2</v>
      </c>
      <c r="I19868" s="224" t="s">
        <v>2</v>
      </c>
    </row>
    <row r="19869" spans="1:9" x14ac:dyDescent="0.25">
      <c r="A19869" s="515">
        <v>21798</v>
      </c>
      <c r="B19869" s="515" t="s">
        <v>321</v>
      </c>
      <c r="C19869" s="52">
        <v>427069.139413581</v>
      </c>
      <c r="D19869" s="56">
        <v>2.9262633110962655E-2</v>
      </c>
      <c r="E19869" s="224" t="s">
        <v>2</v>
      </c>
      <c r="F19869" s="515" t="s">
        <v>21040</v>
      </c>
      <c r="G19869" s="52">
        <v>197495.91648023899</v>
      </c>
      <c r="H19869" s="56">
        <v>5.7077001642353992E-2</v>
      </c>
      <c r="I19869" s="224" t="s">
        <v>2</v>
      </c>
    </row>
    <row r="19870" spans="1:9" x14ac:dyDescent="0.25">
      <c r="A19870" s="515">
        <v>73447</v>
      </c>
      <c r="C19870" s="52">
        <v>179754.88432999799</v>
      </c>
      <c r="D19870" s="56">
        <v>0.21596032147038924</v>
      </c>
      <c r="E19870" s="224" t="s">
        <v>2</v>
      </c>
      <c r="F19870" s="515" t="s">
        <v>21041</v>
      </c>
      <c r="G19870" s="52">
        <v>98222.055753583103</v>
      </c>
      <c r="H19870" s="56">
        <v>0</v>
      </c>
      <c r="I19870" s="224" t="s">
        <v>2</v>
      </c>
    </row>
    <row r="19871" spans="1:9" x14ac:dyDescent="0.25">
      <c r="A19871" s="515">
        <v>73074</v>
      </c>
      <c r="C19871" s="52">
        <v>105267.08184965</v>
      </c>
      <c r="D19871" s="56">
        <v>8.3979471375855985E-2</v>
      </c>
      <c r="E19871" s="224" t="s">
        <v>2</v>
      </c>
      <c r="F19871" s="515" t="s">
        <v>21042</v>
      </c>
      <c r="G19871" s="52">
        <v>200356.362872417</v>
      </c>
      <c r="H19871" s="56">
        <v>0.10839013932288491</v>
      </c>
      <c r="I19871" s="224" t="s">
        <v>2</v>
      </c>
    </row>
    <row r="19872" spans="1:9" x14ac:dyDescent="0.25">
      <c r="A19872" s="515">
        <v>56578</v>
      </c>
      <c r="C19872" s="52">
        <v>366535.62727065902</v>
      </c>
      <c r="D19872" s="56">
        <v>0.12466968637996338</v>
      </c>
      <c r="E19872" s="224" t="s">
        <v>2</v>
      </c>
      <c r="F19872" s="515" t="s">
        <v>21043</v>
      </c>
      <c r="G19872" s="52">
        <v>104559.72579799801</v>
      </c>
      <c r="H19872" s="56">
        <v>8.7451003159194217E-4</v>
      </c>
      <c r="I19872" s="224" t="s">
        <v>2</v>
      </c>
    </row>
    <row r="19873" spans="1:9" x14ac:dyDescent="0.25">
      <c r="A19873" s="515">
        <v>61368</v>
      </c>
      <c r="B19873" s="515" t="s">
        <v>556</v>
      </c>
      <c r="C19873" s="52">
        <v>95845.728636319298</v>
      </c>
      <c r="D19873" s="56">
        <v>5.5950862341547794E-2</v>
      </c>
      <c r="E19873" s="224" t="s">
        <v>2</v>
      </c>
      <c r="F19873" s="515" t="s">
        <v>21044</v>
      </c>
      <c r="G19873" s="52">
        <v>631280.58807935403</v>
      </c>
      <c r="H19873" s="56">
        <v>5.6576786976945907E-3</v>
      </c>
      <c r="I19873" s="224" t="s">
        <v>2</v>
      </c>
    </row>
    <row r="19874" spans="1:9" x14ac:dyDescent="0.25">
      <c r="A19874" s="515">
        <v>64784</v>
      </c>
      <c r="C19874" s="52">
        <v>135287.81702213301</v>
      </c>
      <c r="D19874" s="56">
        <v>-0.11285590630073315</v>
      </c>
      <c r="E19874" s="224" t="s">
        <v>2</v>
      </c>
      <c r="F19874" s="515" t="s">
        <v>21045</v>
      </c>
      <c r="G19874" s="52">
        <v>421741.12281874602</v>
      </c>
      <c r="H19874" s="56">
        <v>4.8553053189201688E-2</v>
      </c>
      <c r="I19874" s="224" t="s">
        <v>2</v>
      </c>
    </row>
    <row r="19875" spans="1:9" x14ac:dyDescent="0.25">
      <c r="A19875" s="515">
        <v>67443</v>
      </c>
      <c r="B19875" s="515" t="s">
        <v>812</v>
      </c>
      <c r="C19875" s="52">
        <v>242760.83672918301</v>
      </c>
      <c r="D19875" s="56">
        <v>5.3120952502680799E-2</v>
      </c>
      <c r="E19875" s="224" t="s">
        <v>2</v>
      </c>
      <c r="F19875" s="515" t="s">
        <v>21046</v>
      </c>
      <c r="G19875" s="52">
        <v>417094.38259100198</v>
      </c>
      <c r="H19875" s="56">
        <v>6.2480124207438092E-2</v>
      </c>
      <c r="I19875" s="224" t="s">
        <v>2</v>
      </c>
    </row>
    <row r="19876" spans="1:9" x14ac:dyDescent="0.25">
      <c r="A19876" s="515">
        <v>46913</v>
      </c>
      <c r="B19876" s="515" t="s">
        <v>433</v>
      </c>
      <c r="C19876" s="52">
        <v>214399.29596667501</v>
      </c>
      <c r="D19876" s="56">
        <v>5.1497673792093114E-2</v>
      </c>
      <c r="E19876" s="224" t="s">
        <v>2</v>
      </c>
      <c r="F19876" s="515" t="s">
        <v>21047</v>
      </c>
      <c r="G19876" s="52">
        <v>590244.55930151197</v>
      </c>
      <c r="H19876" s="56">
        <v>3.5651864129185126E-2</v>
      </c>
      <c r="I19876" s="224" t="s">
        <v>2</v>
      </c>
    </row>
    <row r="19877" spans="1:9" x14ac:dyDescent="0.25">
      <c r="A19877" s="515">
        <v>20198</v>
      </c>
      <c r="B19877" s="515" t="s">
        <v>321</v>
      </c>
      <c r="C19877" s="52">
        <v>844466.32688568195</v>
      </c>
      <c r="D19877" s="56">
        <v>8.2987833612645723E-2</v>
      </c>
      <c r="E19877" s="224" t="s">
        <v>2</v>
      </c>
      <c r="F19877" s="515" t="s">
        <v>21048</v>
      </c>
      <c r="G19877" s="52">
        <v>179423.40369152301</v>
      </c>
      <c r="H19877" s="56">
        <v>9.4796875944053755E-2</v>
      </c>
      <c r="I19877" s="224" t="s">
        <v>2</v>
      </c>
    </row>
    <row r="19878" spans="1:9" x14ac:dyDescent="0.25">
      <c r="A19878" s="515">
        <v>59412</v>
      </c>
      <c r="B19878" s="515" t="s">
        <v>373</v>
      </c>
      <c r="C19878" s="52">
        <v>335455.15652125998</v>
      </c>
      <c r="D19878" s="56">
        <v>0.10249706243800522</v>
      </c>
      <c r="E19878" s="224" t="s">
        <v>2</v>
      </c>
      <c r="F19878" s="515" t="s">
        <v>21049</v>
      </c>
      <c r="G19878" s="52">
        <v>353327.61865695799</v>
      </c>
      <c r="H19878" s="56">
        <v>-1.3591633608538149E-2</v>
      </c>
      <c r="I19878" s="224" t="s">
        <v>2</v>
      </c>
    </row>
    <row r="19879" spans="1:9" x14ac:dyDescent="0.25">
      <c r="A19879" s="515">
        <v>61285</v>
      </c>
      <c r="C19879" s="52">
        <v>126607.426058453</v>
      </c>
      <c r="D19879" s="56">
        <v>9.0790136671700536E-2</v>
      </c>
      <c r="E19879" s="224" t="s">
        <v>2</v>
      </c>
      <c r="F19879" s="515" t="s">
        <v>21050</v>
      </c>
      <c r="G19879" s="52">
        <v>160494.312391994</v>
      </c>
      <c r="H19879" s="56">
        <v>0</v>
      </c>
      <c r="I19879" s="224" t="s">
        <v>2</v>
      </c>
    </row>
    <row r="19880" spans="1:9" x14ac:dyDescent="0.25">
      <c r="A19880" s="515">
        <v>15823</v>
      </c>
      <c r="B19880" s="515" t="s">
        <v>954</v>
      </c>
      <c r="C19880" s="52">
        <v>108555.671080689</v>
      </c>
      <c r="D19880" s="56">
        <v>-3.6933695043011787E-3</v>
      </c>
      <c r="E19880" s="224" t="s">
        <v>2</v>
      </c>
      <c r="F19880" s="515" t="s">
        <v>21051</v>
      </c>
      <c r="G19880" s="52">
        <v>74324.707805417507</v>
      </c>
      <c r="H19880" s="56">
        <v>0.15926441666444796</v>
      </c>
      <c r="I19880" s="224" t="s">
        <v>2</v>
      </c>
    </row>
    <row r="19881" spans="1:9" x14ac:dyDescent="0.25">
      <c r="A19881" s="515">
        <v>29370</v>
      </c>
      <c r="B19881" s="515" t="s">
        <v>613</v>
      </c>
      <c r="C19881" s="52">
        <v>124505.02739726</v>
      </c>
      <c r="D19881" s="56">
        <v>0</v>
      </c>
      <c r="E19881" s="224" t="s">
        <v>2</v>
      </c>
      <c r="F19881" s="515" t="s">
        <v>21052</v>
      </c>
      <c r="G19881" s="52">
        <v>128064.39050270501</v>
      </c>
      <c r="H19881" s="56">
        <v>0.10932671242071478</v>
      </c>
      <c r="I19881" s="224" t="s">
        <v>2</v>
      </c>
    </row>
    <row r="19882" spans="1:9" x14ac:dyDescent="0.25">
      <c r="A19882" s="515">
        <v>71325</v>
      </c>
      <c r="B19882" s="515" t="s">
        <v>968</v>
      </c>
      <c r="C19882" s="52">
        <v>93505.090542244696</v>
      </c>
      <c r="D19882" s="56">
        <v>5.0930005546552692E-2</v>
      </c>
      <c r="E19882" s="224" t="s">
        <v>2</v>
      </c>
      <c r="F19882" s="515" t="s">
        <v>21053</v>
      </c>
      <c r="G19882" s="52">
        <v>911956.762549932</v>
      </c>
      <c r="H19882" s="56">
        <v>6.5780186397950038E-2</v>
      </c>
      <c r="I19882" s="224" t="s">
        <v>2</v>
      </c>
    </row>
    <row r="19883" spans="1:9" x14ac:dyDescent="0.25">
      <c r="A19883" s="515">
        <v>26591</v>
      </c>
      <c r="B19883" s="515" t="s">
        <v>302</v>
      </c>
      <c r="C19883" s="52">
        <v>109064.96225706</v>
      </c>
      <c r="D19883" s="56">
        <v>8.7323423152107338E-2</v>
      </c>
      <c r="E19883" s="224" t="s">
        <v>2</v>
      </c>
      <c r="F19883" s="515" t="s">
        <v>21054</v>
      </c>
      <c r="G19883" s="52">
        <v>133973.83637310701</v>
      </c>
      <c r="H19883" s="56">
        <v>7.6598589884445956E-2</v>
      </c>
      <c r="I19883" s="224" t="s">
        <v>2</v>
      </c>
    </row>
    <row r="19884" spans="1:9" x14ac:dyDescent="0.25">
      <c r="A19884" s="515">
        <v>53001</v>
      </c>
      <c r="B19884" s="515" t="s">
        <v>1063</v>
      </c>
      <c r="C19884" s="52">
        <v>265353.58325417503</v>
      </c>
      <c r="D19884" s="56">
        <v>5.5772596519862556E-2</v>
      </c>
      <c r="E19884" s="224" t="s">
        <v>2</v>
      </c>
      <c r="F19884" s="515" t="s">
        <v>21055</v>
      </c>
      <c r="G19884" s="52">
        <v>80189.494863487504</v>
      </c>
      <c r="H19884" s="56">
        <v>0</v>
      </c>
      <c r="I19884" s="224" t="s">
        <v>2</v>
      </c>
    </row>
    <row r="19885" spans="1:9" x14ac:dyDescent="0.25">
      <c r="A19885" s="515">
        <v>11976</v>
      </c>
      <c r="B19885" s="515" t="s">
        <v>324</v>
      </c>
      <c r="C19885" s="52">
        <v>3865128.9914683299</v>
      </c>
      <c r="D19885" s="56">
        <v>0.10316759557485189</v>
      </c>
      <c r="E19885" s="224">
        <v>67750</v>
      </c>
      <c r="F19885" s="515" t="s">
        <v>21056</v>
      </c>
      <c r="G19885" s="52">
        <v>135352.019559351</v>
      </c>
      <c r="H19885" s="56">
        <v>4.4491774973941217E-2</v>
      </c>
      <c r="I19885" s="224" t="s">
        <v>2</v>
      </c>
    </row>
    <row r="19886" spans="1:9" x14ac:dyDescent="0.25">
      <c r="A19886" s="515">
        <v>38778</v>
      </c>
      <c r="B19886" s="515" t="s">
        <v>976</v>
      </c>
      <c r="C19886" s="52">
        <v>86841.827868852401</v>
      </c>
      <c r="D19886" s="56">
        <v>0</v>
      </c>
      <c r="E19886" s="224" t="s">
        <v>2</v>
      </c>
      <c r="F19886" s="515" t="s">
        <v>21057</v>
      </c>
      <c r="G19886" s="52">
        <v>2990893.10628739</v>
      </c>
      <c r="H19886" s="56">
        <v>0.22084315099450377</v>
      </c>
      <c r="I19886" s="224">
        <v>54321.972222222197</v>
      </c>
    </row>
    <row r="19887" spans="1:9" x14ac:dyDescent="0.25">
      <c r="A19887" s="515">
        <v>54613</v>
      </c>
      <c r="C19887" s="52">
        <v>169125.45852182299</v>
      </c>
      <c r="D19887" s="56">
        <v>8.8725385101841692E-2</v>
      </c>
      <c r="E19887" s="224" t="s">
        <v>2</v>
      </c>
      <c r="F19887" s="515" t="s">
        <v>21058</v>
      </c>
      <c r="G19887" s="52">
        <v>130677.50152544001</v>
      </c>
      <c r="H19887" s="56">
        <v>0</v>
      </c>
      <c r="I19887" s="224" t="s">
        <v>2</v>
      </c>
    </row>
    <row r="19888" spans="1:9" x14ac:dyDescent="0.25">
      <c r="A19888" s="515">
        <v>38475</v>
      </c>
      <c r="C19888" s="52">
        <v>140414.50234959699</v>
      </c>
      <c r="D19888" s="56">
        <v>0</v>
      </c>
      <c r="E19888" s="224" t="s">
        <v>2</v>
      </c>
      <c r="F19888" s="515" t="s">
        <v>21059</v>
      </c>
      <c r="G19888" s="52">
        <v>826425.32615030999</v>
      </c>
      <c r="H19888" s="56">
        <v>0.21530991370172969</v>
      </c>
      <c r="I19888" s="224" t="s">
        <v>2</v>
      </c>
    </row>
    <row r="19889" spans="1:9" x14ac:dyDescent="0.25">
      <c r="A19889" s="515">
        <v>95369</v>
      </c>
      <c r="B19889" s="515" t="s">
        <v>594</v>
      </c>
      <c r="C19889" s="52">
        <v>415278.84106231597</v>
      </c>
      <c r="D19889" s="56">
        <v>-4.5019318480302491E-3</v>
      </c>
      <c r="E19889" s="224" t="s">
        <v>2</v>
      </c>
      <c r="F19889" s="515" t="s">
        <v>21060</v>
      </c>
      <c r="G19889" s="52">
        <v>87685.684060472398</v>
      </c>
      <c r="H19889" s="56">
        <v>-0.14099864784883015</v>
      </c>
      <c r="I19889" s="224" t="s">
        <v>2</v>
      </c>
    </row>
    <row r="19890" spans="1:9" x14ac:dyDescent="0.25">
      <c r="A19890" s="515">
        <v>49716</v>
      </c>
      <c r="C19890" s="52">
        <v>319180.22066234099</v>
      </c>
      <c r="D19890" s="56">
        <v>-5.8934027734010297E-4</v>
      </c>
      <c r="E19890" s="224" t="s">
        <v>2</v>
      </c>
      <c r="F19890" s="515" t="s">
        <v>21061</v>
      </c>
      <c r="G19890" s="52">
        <v>369230.26970340102</v>
      </c>
      <c r="H19890" s="56">
        <v>0.10406109526293485</v>
      </c>
      <c r="I19890" s="224" t="s">
        <v>2</v>
      </c>
    </row>
    <row r="19891" spans="1:9" x14ac:dyDescent="0.25">
      <c r="A19891" s="515">
        <v>75479</v>
      </c>
      <c r="B19891" s="515" t="s">
        <v>298</v>
      </c>
      <c r="C19891" s="52">
        <v>239802.553882345</v>
      </c>
      <c r="D19891" s="56">
        <v>5.5760391723099059E-2</v>
      </c>
      <c r="E19891" s="224" t="s">
        <v>2</v>
      </c>
      <c r="F19891" s="515" t="s">
        <v>21062</v>
      </c>
      <c r="G19891" s="52">
        <v>208229.49177071199</v>
      </c>
      <c r="H19891" s="56">
        <v>9.4140183610102984E-2</v>
      </c>
      <c r="I19891" s="224" t="s">
        <v>2</v>
      </c>
    </row>
    <row r="19892" spans="1:9" x14ac:dyDescent="0.25">
      <c r="A19892" s="515">
        <v>63344</v>
      </c>
      <c r="C19892" s="52">
        <v>261442.114632012</v>
      </c>
      <c r="D19892" s="56">
        <v>0.12569200216041457</v>
      </c>
      <c r="E19892" s="224" t="s">
        <v>2</v>
      </c>
      <c r="F19892" s="515" t="s">
        <v>21063</v>
      </c>
      <c r="G19892" s="52">
        <v>238091.30539530099</v>
      </c>
      <c r="H19892" s="56">
        <v>0.1070644681901958</v>
      </c>
      <c r="I19892" s="224" t="s">
        <v>2</v>
      </c>
    </row>
    <row r="19893" spans="1:9" x14ac:dyDescent="0.25">
      <c r="A19893" s="515">
        <v>43730</v>
      </c>
      <c r="B19893" s="515" t="s">
        <v>345</v>
      </c>
      <c r="C19893" s="52">
        <v>112115.804817803</v>
      </c>
      <c r="D19893" s="56">
        <v>0.14397034317392671</v>
      </c>
      <c r="E19893" s="224" t="s">
        <v>2</v>
      </c>
      <c r="F19893" s="515" t="s">
        <v>21064</v>
      </c>
      <c r="G19893" s="52">
        <v>157543.26301791199</v>
      </c>
      <c r="H19893" s="56">
        <v>9.7644859131988643E-2</v>
      </c>
      <c r="I19893" s="224" t="s">
        <v>2</v>
      </c>
    </row>
    <row r="19894" spans="1:9" x14ac:dyDescent="0.25">
      <c r="A19894" s="515">
        <v>15772</v>
      </c>
      <c r="B19894" s="515" t="s">
        <v>343</v>
      </c>
      <c r="C19894" s="52">
        <v>115311.42093120101</v>
      </c>
      <c r="D19894" s="56">
        <v>6.9877122290349467E-2</v>
      </c>
      <c r="E19894" s="224" t="s">
        <v>2</v>
      </c>
      <c r="F19894" s="515" t="s">
        <v>21065</v>
      </c>
      <c r="G19894" s="52">
        <v>141306.606429159</v>
      </c>
      <c r="H19894" s="56">
        <v>0.1409894568646361</v>
      </c>
      <c r="I19894" s="224" t="s">
        <v>2</v>
      </c>
    </row>
    <row r="19895" spans="1:9" x14ac:dyDescent="0.25">
      <c r="A19895" s="515">
        <v>54511</v>
      </c>
      <c r="C19895" s="52">
        <v>127660.90771514901</v>
      </c>
      <c r="D19895" s="56">
        <v>3.5928721637278865E-2</v>
      </c>
      <c r="E19895" s="224" t="s">
        <v>2</v>
      </c>
      <c r="F19895" s="515" t="s">
        <v>21066</v>
      </c>
      <c r="G19895" s="52">
        <v>251451.52053972601</v>
      </c>
      <c r="H19895" s="56">
        <v>0</v>
      </c>
      <c r="I19895" s="224" t="s">
        <v>2</v>
      </c>
    </row>
    <row r="19896" spans="1:9" x14ac:dyDescent="0.25">
      <c r="A19896" s="515">
        <v>3830</v>
      </c>
      <c r="C19896" s="52">
        <v>413842.69659201702</v>
      </c>
      <c r="D19896" s="56">
        <v>0.12553279479042931</v>
      </c>
      <c r="E19896" s="224" t="s">
        <v>2</v>
      </c>
      <c r="F19896" s="515" t="s">
        <v>21067</v>
      </c>
      <c r="G19896" s="52">
        <v>168433.34438148301</v>
      </c>
      <c r="H19896" s="56">
        <v>0.21487912374509599</v>
      </c>
      <c r="I19896" s="224" t="s">
        <v>2</v>
      </c>
    </row>
    <row r="19897" spans="1:9" x14ac:dyDescent="0.25">
      <c r="A19897" s="515">
        <v>70040</v>
      </c>
      <c r="B19897" s="515" t="s">
        <v>777</v>
      </c>
      <c r="C19897" s="52">
        <v>145550.981913178</v>
      </c>
      <c r="D19897" s="56">
        <v>1.9935246597202978E-2</v>
      </c>
      <c r="E19897" s="224" t="s">
        <v>2</v>
      </c>
      <c r="F19897" s="515" t="s">
        <v>21068</v>
      </c>
      <c r="G19897" s="52">
        <v>219640.183673469</v>
      </c>
      <c r="H19897" s="56">
        <v>0</v>
      </c>
      <c r="I19897" s="224" t="s">
        <v>2</v>
      </c>
    </row>
    <row r="19898" spans="1:9" x14ac:dyDescent="0.25">
      <c r="A19898" s="515">
        <v>65324</v>
      </c>
      <c r="C19898" s="52">
        <v>243904.54436762101</v>
      </c>
      <c r="D19898" s="56">
        <v>-7.188282468786214E-2</v>
      </c>
      <c r="E19898" s="224" t="s">
        <v>2</v>
      </c>
      <c r="F19898" s="515" t="s">
        <v>21069</v>
      </c>
      <c r="G19898" s="52">
        <v>431888.27726353903</v>
      </c>
      <c r="H19898" s="56">
        <v>5.1462381325740505E-2</v>
      </c>
      <c r="I19898" s="224" t="s">
        <v>2</v>
      </c>
    </row>
    <row r="19899" spans="1:9" x14ac:dyDescent="0.25">
      <c r="A19899" s="515">
        <v>32350</v>
      </c>
      <c r="C19899" s="52">
        <v>231791.49520955901</v>
      </c>
      <c r="D19899" s="56">
        <v>0.10840973392078895</v>
      </c>
      <c r="E19899" s="224" t="s">
        <v>2</v>
      </c>
      <c r="F19899" s="515" t="s">
        <v>21070</v>
      </c>
      <c r="G19899" s="52">
        <v>184524.73432572401</v>
      </c>
      <c r="H19899" s="56">
        <v>7.9931281798391707E-2</v>
      </c>
      <c r="I19899" s="224" t="s">
        <v>2</v>
      </c>
    </row>
    <row r="19900" spans="1:9" x14ac:dyDescent="0.25">
      <c r="A19900" s="515">
        <v>47611</v>
      </c>
      <c r="C19900" s="52">
        <v>157292.657587586</v>
      </c>
      <c r="D19900" s="56">
        <v>3.8778426093388996E-2</v>
      </c>
      <c r="E19900" s="224" t="s">
        <v>2</v>
      </c>
      <c r="F19900" s="515" t="s">
        <v>21071</v>
      </c>
      <c r="G19900" s="52">
        <v>546371.56164383504</v>
      </c>
      <c r="H19900" s="56">
        <v>0</v>
      </c>
      <c r="I19900" s="224" t="s">
        <v>2</v>
      </c>
    </row>
    <row r="19901" spans="1:9" x14ac:dyDescent="0.25">
      <c r="A19901" s="515">
        <v>83524</v>
      </c>
      <c r="B19901" s="515" t="s">
        <v>736</v>
      </c>
      <c r="C19901" s="52">
        <v>382189.26273241203</v>
      </c>
      <c r="D19901" s="56">
        <v>0.1387169315191501</v>
      </c>
      <c r="E19901" s="224" t="s">
        <v>2</v>
      </c>
      <c r="F19901" s="515" t="s">
        <v>21072</v>
      </c>
      <c r="G19901" s="52">
        <v>441377.37989156903</v>
      </c>
      <c r="H19901" s="56">
        <v>0</v>
      </c>
      <c r="I19901" s="224" t="s">
        <v>2</v>
      </c>
    </row>
    <row r="19902" spans="1:9" x14ac:dyDescent="0.25">
      <c r="A19902" s="515">
        <v>99556</v>
      </c>
      <c r="C19902" s="52">
        <v>228567.05854345</v>
      </c>
      <c r="D19902" s="56">
        <v>1.0270001263688985E-2</v>
      </c>
      <c r="E19902" s="224" t="s">
        <v>2</v>
      </c>
      <c r="F19902" s="515" t="s">
        <v>21073</v>
      </c>
      <c r="G19902" s="52">
        <v>169931.15517241301</v>
      </c>
      <c r="H19902" s="56">
        <v>0</v>
      </c>
      <c r="I19902" s="224" t="s">
        <v>2</v>
      </c>
    </row>
    <row r="19903" spans="1:9" x14ac:dyDescent="0.25">
      <c r="A19903" s="515">
        <v>54519</v>
      </c>
      <c r="C19903" s="52">
        <v>286727.40402744903</v>
      </c>
      <c r="D19903" s="56">
        <v>6.1952902056222614E-2</v>
      </c>
      <c r="E19903" s="224" t="s">
        <v>2</v>
      </c>
      <c r="F19903" s="515" t="s">
        <v>21074</v>
      </c>
      <c r="G19903" s="52">
        <v>165509.822481993</v>
      </c>
      <c r="H19903" s="56">
        <v>0</v>
      </c>
      <c r="I19903" s="224" t="s">
        <v>2</v>
      </c>
    </row>
    <row r="19904" spans="1:9" x14ac:dyDescent="0.25">
      <c r="A19904" s="515">
        <v>24951</v>
      </c>
      <c r="C19904" s="52">
        <v>152760.41759674999</v>
      </c>
      <c r="D19904" s="56">
        <v>5.9802363902704041E-2</v>
      </c>
      <c r="E19904" s="224" t="s">
        <v>2</v>
      </c>
      <c r="F19904" s="515" t="s">
        <v>21075</v>
      </c>
      <c r="G19904" s="52">
        <v>204016.148148148</v>
      </c>
      <c r="H19904" s="56">
        <v>0</v>
      </c>
      <c r="I19904" s="224" t="s">
        <v>2</v>
      </c>
    </row>
    <row r="19905" spans="1:9" x14ac:dyDescent="0.25">
      <c r="A19905" s="515">
        <v>43728</v>
      </c>
      <c r="C19905" s="52">
        <v>115734.74283109901</v>
      </c>
      <c r="D19905" s="56">
        <v>0.11763100493591808</v>
      </c>
      <c r="E19905" s="224" t="s">
        <v>2</v>
      </c>
      <c r="F19905" s="515" t="s">
        <v>21076</v>
      </c>
      <c r="G19905" s="52">
        <v>191896.35294117601</v>
      </c>
      <c r="H19905" s="56">
        <v>0</v>
      </c>
      <c r="I19905" s="224" t="s">
        <v>2</v>
      </c>
    </row>
    <row r="19906" spans="1:9" x14ac:dyDescent="0.25">
      <c r="A19906" s="515">
        <v>54227</v>
      </c>
      <c r="B19906" s="515" t="s">
        <v>446</v>
      </c>
      <c r="C19906" s="52">
        <v>246415.535679516</v>
      </c>
      <c r="D19906" s="56">
        <v>3.2650253423273559E-2</v>
      </c>
      <c r="E19906" s="224" t="s">
        <v>2</v>
      </c>
      <c r="F19906" s="515" t="s">
        <v>21077</v>
      </c>
      <c r="G19906" s="52">
        <v>109142.152362362</v>
      </c>
      <c r="H19906" s="56">
        <v>0.12627972043082308</v>
      </c>
      <c r="I19906" s="224" t="s">
        <v>2</v>
      </c>
    </row>
    <row r="19907" spans="1:9" x14ac:dyDescent="0.25">
      <c r="A19907" s="515">
        <v>24850</v>
      </c>
      <c r="C19907" s="52">
        <v>31583.841216828299</v>
      </c>
      <c r="D19907" s="56">
        <v>-5.8685305151410169E-3</v>
      </c>
      <c r="E19907" s="224" t="s">
        <v>2</v>
      </c>
      <c r="F19907" s="515" t="s">
        <v>21078</v>
      </c>
      <c r="G19907" s="52">
        <v>303474.41377557401</v>
      </c>
      <c r="H19907" s="56">
        <v>0.14191331838372359</v>
      </c>
      <c r="I19907" s="224" t="s">
        <v>2</v>
      </c>
    </row>
    <row r="19908" spans="1:9" x14ac:dyDescent="0.25">
      <c r="A19908" s="515">
        <v>15459</v>
      </c>
      <c r="B19908" s="515" t="s">
        <v>297</v>
      </c>
      <c r="C19908" s="52">
        <v>141907.03678413</v>
      </c>
      <c r="D19908" s="56">
        <v>3.0949764002206611E-2</v>
      </c>
      <c r="E19908" s="224" t="s">
        <v>2</v>
      </c>
      <c r="F19908" s="515" t="s">
        <v>21079</v>
      </c>
      <c r="G19908" s="52">
        <v>164968.145194824</v>
      </c>
      <c r="H19908" s="56">
        <v>6.5023241973245147E-2</v>
      </c>
      <c r="I19908" s="224" t="s">
        <v>2</v>
      </c>
    </row>
    <row r="19909" spans="1:9" x14ac:dyDescent="0.25">
      <c r="A19909" s="515">
        <v>4660</v>
      </c>
      <c r="C19909" s="52">
        <v>777076.70004829904</v>
      </c>
      <c r="D19909" s="56">
        <v>8.0435510633781113E-2</v>
      </c>
      <c r="E19909" s="224" t="s">
        <v>2</v>
      </c>
      <c r="F19909" s="515" t="s">
        <v>21080</v>
      </c>
      <c r="G19909" s="52">
        <v>342377.43728949397</v>
      </c>
      <c r="H19909" s="56">
        <v>9.7657053285934325E-2</v>
      </c>
      <c r="I19909" s="224" t="s">
        <v>2</v>
      </c>
    </row>
    <row r="19910" spans="1:9" x14ac:dyDescent="0.25">
      <c r="A19910" s="515">
        <v>28421</v>
      </c>
      <c r="B19910" s="515" t="s">
        <v>1038</v>
      </c>
      <c r="C19910" s="52">
        <v>179740.132303447</v>
      </c>
      <c r="D19910" s="56">
        <v>0.12907248836961432</v>
      </c>
      <c r="E19910" s="224" t="s">
        <v>2</v>
      </c>
      <c r="F19910" s="515" t="s">
        <v>21081</v>
      </c>
      <c r="G19910" s="52">
        <v>152949.47262715799</v>
      </c>
      <c r="H19910" s="56">
        <v>0.16561674944671073</v>
      </c>
      <c r="I19910" s="224" t="s">
        <v>2</v>
      </c>
    </row>
    <row r="19911" spans="1:9" x14ac:dyDescent="0.25">
      <c r="A19911" s="515">
        <v>4219</v>
      </c>
      <c r="C19911" s="52">
        <v>222671.59893299799</v>
      </c>
      <c r="D19911" s="56">
        <v>6.5886444484813608E-2</v>
      </c>
      <c r="E19911" s="224" t="s">
        <v>2</v>
      </c>
      <c r="F19911" s="515" t="s">
        <v>21082</v>
      </c>
      <c r="G19911" s="52">
        <v>153749.60897529899</v>
      </c>
      <c r="H19911" s="56">
        <v>-7.7909134918215189E-2</v>
      </c>
      <c r="I19911" s="224" t="s">
        <v>2</v>
      </c>
    </row>
    <row r="19912" spans="1:9" x14ac:dyDescent="0.25">
      <c r="A19912" s="515">
        <v>31042</v>
      </c>
      <c r="C19912" s="52">
        <v>99100.267447812206</v>
      </c>
      <c r="D19912" s="56">
        <v>4.5805678371421132E-2</v>
      </c>
      <c r="E19912" s="224" t="s">
        <v>2</v>
      </c>
      <c r="F19912" s="515" t="s">
        <v>21083</v>
      </c>
      <c r="G19912" s="52">
        <v>370242.63456962898</v>
      </c>
      <c r="H19912" s="56">
        <v>3.0081973805263264E-2</v>
      </c>
      <c r="I19912" s="224" t="s">
        <v>2</v>
      </c>
    </row>
    <row r="19913" spans="1:9" x14ac:dyDescent="0.25">
      <c r="A19913" s="515">
        <v>5457</v>
      </c>
      <c r="B19913" s="515" t="s">
        <v>441</v>
      </c>
      <c r="C19913" s="52">
        <v>281330.63043556898</v>
      </c>
      <c r="D19913" s="56">
        <v>0.14218491848121831</v>
      </c>
      <c r="E19913" s="224" t="s">
        <v>2</v>
      </c>
      <c r="F19913" s="515" t="s">
        <v>21084</v>
      </c>
      <c r="G19913" s="52">
        <v>627749.85915232904</v>
      </c>
      <c r="H19913" s="56">
        <v>5.3418901588852874E-2</v>
      </c>
      <c r="I19913" s="224" t="s">
        <v>2</v>
      </c>
    </row>
    <row r="19914" spans="1:9" x14ac:dyDescent="0.25">
      <c r="A19914" s="515">
        <v>66078</v>
      </c>
      <c r="B19914" s="515" t="s">
        <v>880</v>
      </c>
      <c r="C19914" s="52">
        <v>249142.06472038201</v>
      </c>
      <c r="D19914" s="56">
        <v>0.13751527776584219</v>
      </c>
      <c r="E19914" s="224" t="s">
        <v>2</v>
      </c>
      <c r="F19914" s="515" t="s">
        <v>21085</v>
      </c>
      <c r="G19914" s="52">
        <v>802090.16147695901</v>
      </c>
      <c r="H19914" s="56">
        <v>0.15680776579061489</v>
      </c>
      <c r="I19914" s="224" t="s">
        <v>2</v>
      </c>
    </row>
    <row r="19915" spans="1:9" x14ac:dyDescent="0.25">
      <c r="A19915" s="515">
        <v>59749</v>
      </c>
      <c r="C19915" s="52">
        <v>408973.92033426801</v>
      </c>
      <c r="D19915" s="56">
        <v>3.0022565622794772E-2</v>
      </c>
      <c r="E19915" s="224" t="s">
        <v>2</v>
      </c>
      <c r="F19915" s="515" t="s">
        <v>21086</v>
      </c>
      <c r="G19915" s="52">
        <v>491276.26620506798</v>
      </c>
      <c r="H19915" s="56">
        <v>7.3274947220326569E-2</v>
      </c>
      <c r="I19915" s="224" t="s">
        <v>2</v>
      </c>
    </row>
    <row r="19916" spans="1:9" x14ac:dyDescent="0.25">
      <c r="A19916" s="515">
        <v>63648</v>
      </c>
      <c r="C19916" s="52">
        <v>140566.33797386999</v>
      </c>
      <c r="D19916" s="56">
        <v>3.119220324855608E-2</v>
      </c>
      <c r="E19916" s="224" t="s">
        <v>2</v>
      </c>
      <c r="F19916" s="515" t="s">
        <v>21087</v>
      </c>
      <c r="G19916" s="52">
        <v>103555.362726073</v>
      </c>
      <c r="H19916" s="56">
        <v>7.9245905102102152E-2</v>
      </c>
      <c r="I19916" s="224" t="s">
        <v>2</v>
      </c>
    </row>
    <row r="19917" spans="1:9" x14ac:dyDescent="0.25">
      <c r="A19917" s="515">
        <v>61877</v>
      </c>
      <c r="B19917" s="515" t="s">
        <v>417</v>
      </c>
      <c r="C19917" s="52">
        <v>179027.52752710599</v>
      </c>
      <c r="D19917" s="56">
        <v>1.6587574030732809E-2</v>
      </c>
      <c r="E19917" s="224" t="s">
        <v>2</v>
      </c>
      <c r="F19917" s="515" t="s">
        <v>21088</v>
      </c>
      <c r="G19917" s="52">
        <v>94542.079716834298</v>
      </c>
      <c r="H19917" s="56">
        <v>0.29867527411407163</v>
      </c>
      <c r="I19917" s="224" t="s">
        <v>2</v>
      </c>
    </row>
    <row r="19918" spans="1:9" x14ac:dyDescent="0.25">
      <c r="A19918" s="515">
        <v>47281</v>
      </c>
      <c r="B19918" s="515" t="s">
        <v>479</v>
      </c>
      <c r="C19918" s="52">
        <v>197802.458834208</v>
      </c>
      <c r="D19918" s="56">
        <v>7.9971736294479082E-2</v>
      </c>
      <c r="E19918" s="224" t="s">
        <v>2</v>
      </c>
      <c r="F19918" s="515" t="s">
        <v>21089</v>
      </c>
      <c r="G19918" s="52">
        <v>251300.63835818</v>
      </c>
      <c r="H19918" s="56">
        <v>7.8619506295358105E-2</v>
      </c>
      <c r="I19918" s="224" t="s">
        <v>2</v>
      </c>
    </row>
    <row r="19919" spans="1:9" x14ac:dyDescent="0.25">
      <c r="A19919" s="515">
        <v>31631</v>
      </c>
      <c r="B19919" s="515" t="s">
        <v>505</v>
      </c>
      <c r="C19919" s="52">
        <v>56475.047034080402</v>
      </c>
      <c r="D19919" s="56">
        <v>0</v>
      </c>
      <c r="E19919" s="224" t="s">
        <v>2</v>
      </c>
      <c r="F19919" s="515" t="s">
        <v>21090</v>
      </c>
      <c r="G19919" s="52">
        <v>134776.770059856</v>
      </c>
      <c r="H19919" s="56">
        <v>0</v>
      </c>
      <c r="I19919" s="224" t="s">
        <v>2</v>
      </c>
    </row>
    <row r="19920" spans="1:9" x14ac:dyDescent="0.25">
      <c r="A19920" s="515">
        <v>54670</v>
      </c>
      <c r="C19920" s="52">
        <v>166328.18243800401</v>
      </c>
      <c r="D19920" s="56">
        <v>4.9594772675357009E-2</v>
      </c>
      <c r="E19920" s="224" t="s">
        <v>2</v>
      </c>
      <c r="F19920" s="515" t="s">
        <v>21091</v>
      </c>
      <c r="G19920" s="52">
        <v>110545.252407101</v>
      </c>
      <c r="H19920" s="56">
        <v>0.10198867740699763</v>
      </c>
      <c r="I19920" s="224" t="s">
        <v>2</v>
      </c>
    </row>
    <row r="19921" spans="1:9" x14ac:dyDescent="0.25">
      <c r="A19921" s="515">
        <v>39665</v>
      </c>
      <c r="C19921" s="52">
        <v>113282.290564872</v>
      </c>
      <c r="D19921" s="56">
        <v>0</v>
      </c>
      <c r="E19921" s="224" t="s">
        <v>2</v>
      </c>
      <c r="F19921" s="515" t="s">
        <v>21092</v>
      </c>
      <c r="G19921" s="52">
        <v>54903.586986152302</v>
      </c>
      <c r="H19921" s="56">
        <v>-9.0072018115879254E-2</v>
      </c>
      <c r="I19921" s="224" t="s">
        <v>2</v>
      </c>
    </row>
    <row r="19922" spans="1:9" x14ac:dyDescent="0.25">
      <c r="A19922" s="515">
        <v>35988</v>
      </c>
      <c r="B19922" s="515" t="s">
        <v>979</v>
      </c>
      <c r="C19922" s="52">
        <v>168819.230052414</v>
      </c>
      <c r="D19922" s="56">
        <v>0.13212492732964251</v>
      </c>
      <c r="E19922" s="224" t="s">
        <v>2</v>
      </c>
      <c r="F19922" s="515" t="s">
        <v>21093</v>
      </c>
      <c r="G19922" s="52">
        <v>672339.50957375602</v>
      </c>
      <c r="H19922" s="56">
        <v>3.6778618986879952E-2</v>
      </c>
      <c r="I19922" s="224" t="s">
        <v>2</v>
      </c>
    </row>
    <row r="19923" spans="1:9" x14ac:dyDescent="0.25">
      <c r="A19923" s="515">
        <v>62539</v>
      </c>
      <c r="B19923" s="515" t="s">
        <v>819</v>
      </c>
      <c r="C19923" s="52">
        <v>111453.126007482</v>
      </c>
      <c r="D19923" s="56">
        <v>8.6499925693719476E-2</v>
      </c>
      <c r="E19923" s="224" t="s">
        <v>2</v>
      </c>
      <c r="F19923" s="515" t="s">
        <v>21094</v>
      </c>
      <c r="G19923" s="52">
        <v>70132.576791131694</v>
      </c>
      <c r="H19923" s="56">
        <v>7.4468541441136585E-2</v>
      </c>
      <c r="I19923" s="224" t="s">
        <v>2</v>
      </c>
    </row>
    <row r="19924" spans="1:9" x14ac:dyDescent="0.25">
      <c r="A19924" s="515">
        <v>97375</v>
      </c>
      <c r="B19924" s="515" t="s">
        <v>416</v>
      </c>
      <c r="C19924" s="52">
        <v>549044.43125835503</v>
      </c>
      <c r="D19924" s="56">
        <v>5.4690136067478419E-2</v>
      </c>
      <c r="E19924" s="224" t="s">
        <v>2</v>
      </c>
      <c r="F19924" s="515" t="s">
        <v>21095</v>
      </c>
      <c r="G19924" s="52">
        <v>82428.943234529506</v>
      </c>
      <c r="H19924" s="56">
        <v>0.19988695601749346</v>
      </c>
      <c r="I19924" s="224" t="s">
        <v>2</v>
      </c>
    </row>
    <row r="19925" spans="1:9" x14ac:dyDescent="0.25">
      <c r="A19925" s="515">
        <v>49821</v>
      </c>
      <c r="B19925" s="515" t="s">
        <v>923</v>
      </c>
      <c r="C19925" s="52">
        <v>146325.81165333599</v>
      </c>
      <c r="D19925" s="56">
        <v>0</v>
      </c>
      <c r="E19925" s="224" t="s">
        <v>2</v>
      </c>
      <c r="F19925" s="515" t="s">
        <v>21096</v>
      </c>
      <c r="G19925" s="52">
        <v>268778.13694051001</v>
      </c>
      <c r="H19925" s="56">
        <v>0.10912056063168106</v>
      </c>
      <c r="I19925" s="224" t="s">
        <v>2</v>
      </c>
    </row>
    <row r="19926" spans="1:9" x14ac:dyDescent="0.25">
      <c r="A19926" s="515">
        <v>65444</v>
      </c>
      <c r="C19926" s="52">
        <v>213779.19779794899</v>
      </c>
      <c r="D19926" s="56">
        <v>0</v>
      </c>
      <c r="E19926" s="224" t="s">
        <v>2</v>
      </c>
      <c r="F19926" s="515" t="s">
        <v>21097</v>
      </c>
      <c r="G19926" s="52">
        <v>622360.63070817501</v>
      </c>
      <c r="H19926" s="56">
        <v>0.13756630210977669</v>
      </c>
      <c r="I19926" s="224" t="s">
        <v>2</v>
      </c>
    </row>
    <row r="19927" spans="1:9" x14ac:dyDescent="0.25">
      <c r="A19927" s="515">
        <v>19954</v>
      </c>
      <c r="B19927" s="515" t="s">
        <v>410</v>
      </c>
      <c r="C19927" s="52">
        <v>280667.975759494</v>
      </c>
      <c r="D19927" s="56">
        <v>9.4253458332503787E-2</v>
      </c>
      <c r="E19927" s="224" t="s">
        <v>2</v>
      </c>
      <c r="F19927" s="515" t="s">
        <v>21098</v>
      </c>
      <c r="G19927" s="52">
        <v>298500.36608227302</v>
      </c>
      <c r="H19927" s="56">
        <v>4.0668929301012839E-2</v>
      </c>
      <c r="I19927" s="224" t="s">
        <v>2</v>
      </c>
    </row>
    <row r="19928" spans="1:9" x14ac:dyDescent="0.25">
      <c r="A19928" s="515">
        <v>31066</v>
      </c>
      <c r="B19928" s="515" t="s">
        <v>995</v>
      </c>
      <c r="C19928" s="52">
        <v>173268.37913212</v>
      </c>
      <c r="D19928" s="56">
        <v>0.11684203760190977</v>
      </c>
      <c r="E19928" s="224" t="s">
        <v>2</v>
      </c>
      <c r="F19928" s="515" t="s">
        <v>21099</v>
      </c>
      <c r="G19928" s="52">
        <v>128176.061808103</v>
      </c>
      <c r="H19928" s="56">
        <v>0</v>
      </c>
      <c r="I19928" s="224" t="s">
        <v>2</v>
      </c>
    </row>
    <row r="19929" spans="1:9" x14ac:dyDescent="0.25">
      <c r="A19929" s="515">
        <v>26440</v>
      </c>
      <c r="B19929" s="515" t="s">
        <v>347</v>
      </c>
      <c r="C19929" s="52">
        <v>165329.356723042</v>
      </c>
      <c r="D19929" s="56">
        <v>5.9660633384465735E-2</v>
      </c>
      <c r="E19929" s="224" t="s">
        <v>2</v>
      </c>
      <c r="F19929" s="515" t="s">
        <v>21100</v>
      </c>
      <c r="G19929" s="52">
        <v>151946.113656353</v>
      </c>
      <c r="H19929" s="56">
        <v>6.0003521189038352E-2</v>
      </c>
      <c r="I19929" s="224" t="s">
        <v>2</v>
      </c>
    </row>
    <row r="19930" spans="1:9" x14ac:dyDescent="0.25">
      <c r="A19930" s="515">
        <v>36767</v>
      </c>
      <c r="B19930" s="515" t="s">
        <v>483</v>
      </c>
      <c r="C19930" s="52">
        <v>74104.627218934897</v>
      </c>
      <c r="D19930" s="56">
        <v>0</v>
      </c>
      <c r="E19930" s="224" t="s">
        <v>2</v>
      </c>
      <c r="F19930" s="515" t="s">
        <v>21101</v>
      </c>
      <c r="G19930" s="52">
        <v>442902.11111111101</v>
      </c>
      <c r="H19930" s="56">
        <v>0</v>
      </c>
      <c r="I19930" s="224" t="s">
        <v>2</v>
      </c>
    </row>
    <row r="19931" spans="1:9" x14ac:dyDescent="0.25">
      <c r="A19931" s="515">
        <v>75929</v>
      </c>
      <c r="C19931" s="52">
        <v>157324.87988475899</v>
      </c>
      <c r="D19931" s="56">
        <v>2.0191497198715758E-2</v>
      </c>
      <c r="E19931" s="224" t="s">
        <v>2</v>
      </c>
      <c r="F19931" s="515" t="s">
        <v>21102</v>
      </c>
      <c r="G19931" s="52">
        <v>429083.11539458099</v>
      </c>
      <c r="H19931" s="56">
        <v>6.3730161873705449E-2</v>
      </c>
      <c r="I19931" s="224" t="s">
        <v>2</v>
      </c>
    </row>
    <row r="19932" spans="1:9" x14ac:dyDescent="0.25">
      <c r="A19932" s="515">
        <v>63448</v>
      </c>
      <c r="B19932" s="515" t="s">
        <v>697</v>
      </c>
      <c r="C19932" s="52">
        <v>131849.539021709</v>
      </c>
      <c r="D19932" s="56">
        <v>3.6148146760054414E-2</v>
      </c>
      <c r="E19932" s="224" t="s">
        <v>2</v>
      </c>
      <c r="F19932" s="515" t="s">
        <v>21103</v>
      </c>
      <c r="G19932" s="52">
        <v>206666.261063749</v>
      </c>
      <c r="H19932" s="56">
        <v>0.12084364791270452</v>
      </c>
      <c r="I19932" s="224" t="s">
        <v>2</v>
      </c>
    </row>
    <row r="19933" spans="1:9" x14ac:dyDescent="0.25">
      <c r="A19933" s="515">
        <v>17352</v>
      </c>
      <c r="B19933" s="515" t="s">
        <v>509</v>
      </c>
      <c r="C19933" s="52">
        <v>326793.19924590498</v>
      </c>
      <c r="D19933" s="56">
        <v>8.0340665430865446E-2</v>
      </c>
      <c r="E19933" s="224" t="s">
        <v>2</v>
      </c>
      <c r="F19933" s="515" t="s">
        <v>21104</v>
      </c>
      <c r="G19933" s="52">
        <v>363770.64754943602</v>
      </c>
      <c r="H19933" s="56">
        <v>0.14182621053984806</v>
      </c>
      <c r="I19933" s="224" t="s">
        <v>2</v>
      </c>
    </row>
    <row r="19934" spans="1:9" x14ac:dyDescent="0.25">
      <c r="A19934" s="515">
        <v>44699</v>
      </c>
      <c r="C19934" s="52">
        <v>152959.25610492699</v>
      </c>
      <c r="D19934" s="56">
        <v>7.903883799387763E-3</v>
      </c>
      <c r="E19934" s="224" t="s">
        <v>2</v>
      </c>
      <c r="F19934" s="515" t="s">
        <v>21105</v>
      </c>
      <c r="G19934" s="52">
        <v>275853.82787070703</v>
      </c>
      <c r="H19934" s="56">
        <v>4.7614663637360465E-2</v>
      </c>
      <c r="I19934" s="224" t="s">
        <v>2</v>
      </c>
    </row>
    <row r="19935" spans="1:9" x14ac:dyDescent="0.25">
      <c r="A19935" s="515">
        <v>13809</v>
      </c>
      <c r="B19935" s="515" t="s">
        <v>460</v>
      </c>
      <c r="C19935" s="52">
        <v>142065.676617071</v>
      </c>
      <c r="D19935" s="56">
        <v>0.12001492131417316</v>
      </c>
      <c r="E19935" s="224" t="s">
        <v>2</v>
      </c>
      <c r="F19935" s="515" t="s">
        <v>21106</v>
      </c>
      <c r="G19935" s="52">
        <v>140012.79210063399</v>
      </c>
      <c r="H19935" s="56">
        <v>0.13126280423177575</v>
      </c>
      <c r="I19935" s="224" t="s">
        <v>2</v>
      </c>
    </row>
    <row r="19936" spans="1:9" x14ac:dyDescent="0.25">
      <c r="A19936" s="515">
        <v>73763</v>
      </c>
      <c r="C19936" s="52">
        <v>96470.597487066203</v>
      </c>
      <c r="D19936" s="56">
        <v>9.3592439320051152E-2</v>
      </c>
      <c r="E19936" s="224" t="s">
        <v>2</v>
      </c>
      <c r="F19936" s="515" t="s">
        <v>21107</v>
      </c>
      <c r="G19936" s="52">
        <v>184072.48144268</v>
      </c>
      <c r="H19936" s="56">
        <v>9.5325951198292805E-2</v>
      </c>
      <c r="I19936" s="224" t="s">
        <v>2</v>
      </c>
    </row>
    <row r="19937" spans="1:9" x14ac:dyDescent="0.25">
      <c r="A19937" s="515">
        <v>52572</v>
      </c>
      <c r="C19937" s="52">
        <v>96272.283391868696</v>
      </c>
      <c r="D19937" s="56">
        <v>-2.324551817227326E-4</v>
      </c>
      <c r="E19937" s="224" t="s">
        <v>2</v>
      </c>
      <c r="F19937" s="515" t="s">
        <v>21108</v>
      </c>
      <c r="G19937" s="52">
        <v>163170.594971388</v>
      </c>
      <c r="H19937" s="56">
        <v>0</v>
      </c>
      <c r="I19937" s="224" t="s">
        <v>2</v>
      </c>
    </row>
    <row r="19938" spans="1:9" x14ac:dyDescent="0.25">
      <c r="A19938" s="515">
        <v>65257</v>
      </c>
      <c r="B19938" s="515" t="s">
        <v>790</v>
      </c>
      <c r="C19938" s="52">
        <v>148087.459811774</v>
      </c>
      <c r="D19938" s="56">
        <v>8.4092215329374276E-2</v>
      </c>
      <c r="E19938" s="224" t="s">
        <v>2</v>
      </c>
      <c r="F19938" s="515" t="s">
        <v>21109</v>
      </c>
      <c r="G19938" s="52">
        <v>84624.491458582503</v>
      </c>
      <c r="H19938" s="56">
        <v>0.17440703153617937</v>
      </c>
      <c r="I19938" s="224" t="s">
        <v>2</v>
      </c>
    </row>
    <row r="19939" spans="1:9" x14ac:dyDescent="0.25">
      <c r="A19939" s="515">
        <v>72940</v>
      </c>
      <c r="B19939" s="515" t="s">
        <v>326</v>
      </c>
      <c r="C19939" s="52">
        <v>143370.279732394</v>
      </c>
      <c r="D19939" s="56">
        <v>-1.6656252189603784E-2</v>
      </c>
      <c r="E19939" s="224" t="s">
        <v>2</v>
      </c>
      <c r="F19939" s="515" t="s">
        <v>21110</v>
      </c>
      <c r="G19939" s="52">
        <v>133166.516169818</v>
      </c>
      <c r="H19939" s="56">
        <v>0.10945311224142716</v>
      </c>
      <c r="I19939" s="224" t="s">
        <v>2</v>
      </c>
    </row>
    <row r="19940" spans="1:9" x14ac:dyDescent="0.25">
      <c r="A19940" s="515">
        <v>52144</v>
      </c>
      <c r="C19940" s="52">
        <v>229785.899679845</v>
      </c>
      <c r="D19940" s="56">
        <v>0.21936345059704868</v>
      </c>
      <c r="E19940" s="224" t="s">
        <v>2</v>
      </c>
      <c r="F19940" s="515" t="s">
        <v>21111</v>
      </c>
      <c r="G19940" s="52">
        <v>812892.30704022897</v>
      </c>
      <c r="H19940" s="56">
        <v>3.1709038556090106E-2</v>
      </c>
      <c r="I19940" s="224" t="s">
        <v>2</v>
      </c>
    </row>
    <row r="19941" spans="1:9" x14ac:dyDescent="0.25">
      <c r="A19941" s="515">
        <v>52320</v>
      </c>
      <c r="B19941" s="515" t="s">
        <v>404</v>
      </c>
      <c r="C19941" s="52">
        <v>150798.167385287</v>
      </c>
      <c r="D19941" s="56">
        <v>0.10706944125582257</v>
      </c>
      <c r="E19941" s="224" t="s">
        <v>2</v>
      </c>
      <c r="F19941" s="515" t="s">
        <v>21112</v>
      </c>
      <c r="G19941" s="52">
        <v>389906.562984991</v>
      </c>
      <c r="H19941" s="56">
        <v>0.14307775604517858</v>
      </c>
      <c r="I19941" s="224" t="s">
        <v>2</v>
      </c>
    </row>
    <row r="19942" spans="1:9" x14ac:dyDescent="0.25">
      <c r="A19942" s="515">
        <v>54554</v>
      </c>
      <c r="C19942" s="52">
        <v>269859.413547904</v>
      </c>
      <c r="D19942" s="56">
        <v>0.1053546662810768</v>
      </c>
      <c r="E19942" s="224" t="s">
        <v>2</v>
      </c>
      <c r="F19942" s="515" t="s">
        <v>21113</v>
      </c>
      <c r="G19942" s="52">
        <v>60545.461941894697</v>
      </c>
      <c r="H19942" s="56">
        <v>-5.4703427269073013E-3</v>
      </c>
      <c r="I19942" s="224" t="s">
        <v>2</v>
      </c>
    </row>
    <row r="19943" spans="1:9" x14ac:dyDescent="0.25">
      <c r="A19943" s="515">
        <v>95524</v>
      </c>
      <c r="B19943" s="515" t="s">
        <v>352</v>
      </c>
      <c r="C19943" s="52">
        <v>584252.64580739301</v>
      </c>
      <c r="D19943" s="56">
        <v>-4.2368766026666227E-2</v>
      </c>
      <c r="E19943" s="224" t="s">
        <v>2</v>
      </c>
      <c r="F19943" s="515" t="s">
        <v>21114</v>
      </c>
      <c r="G19943" s="52">
        <v>148165.308866593</v>
      </c>
      <c r="H19943" s="56">
        <v>0.12541222573252414</v>
      </c>
      <c r="I19943" s="224" t="s">
        <v>2</v>
      </c>
    </row>
    <row r="19944" spans="1:9" x14ac:dyDescent="0.25">
      <c r="A19944" s="515">
        <v>13810</v>
      </c>
      <c r="B19944" s="515" t="s">
        <v>460</v>
      </c>
      <c r="C19944" s="52">
        <v>197599.953326216</v>
      </c>
      <c r="D19944" s="56">
        <v>0.11640947484234183</v>
      </c>
      <c r="E19944" s="224" t="s">
        <v>2</v>
      </c>
      <c r="F19944" s="515" t="s">
        <v>21115</v>
      </c>
      <c r="G19944" s="52">
        <v>156683.03332733401</v>
      </c>
      <c r="H19944" s="56">
        <v>0</v>
      </c>
      <c r="I19944" s="224" t="s">
        <v>2</v>
      </c>
    </row>
    <row r="19945" spans="1:9" x14ac:dyDescent="0.25">
      <c r="A19945" s="515">
        <v>31836</v>
      </c>
      <c r="B19945" s="515" t="s">
        <v>778</v>
      </c>
      <c r="C19945" s="52">
        <v>153015.45168052299</v>
      </c>
      <c r="D19945" s="56">
        <v>0.1354501792128491</v>
      </c>
      <c r="E19945" s="224" t="s">
        <v>2</v>
      </c>
      <c r="F19945" s="515" t="s">
        <v>21116</v>
      </c>
      <c r="G19945" s="52">
        <v>63912.809384030297</v>
      </c>
      <c r="H19945" s="56">
        <v>0.17986720946570431</v>
      </c>
      <c r="I19945" s="224" t="s">
        <v>2</v>
      </c>
    </row>
    <row r="19946" spans="1:9" x14ac:dyDescent="0.25">
      <c r="A19946" s="515">
        <v>72642</v>
      </c>
      <c r="B19946" s="515" t="s">
        <v>679</v>
      </c>
      <c r="C19946" s="52">
        <v>196713.60200540299</v>
      </c>
      <c r="D19946" s="56">
        <v>2.0611925949782155E-2</v>
      </c>
      <c r="E19946" s="224" t="s">
        <v>2</v>
      </c>
      <c r="F19946" s="515" t="s">
        <v>21117</v>
      </c>
      <c r="G19946" s="52">
        <v>180755.17041527899</v>
      </c>
      <c r="H19946" s="56">
        <v>4.8699499789353583E-2</v>
      </c>
      <c r="I19946" s="224" t="s">
        <v>2</v>
      </c>
    </row>
    <row r="19947" spans="1:9" x14ac:dyDescent="0.25">
      <c r="A19947" s="515">
        <v>45768</v>
      </c>
      <c r="B19947" s="515" t="s">
        <v>665</v>
      </c>
      <c r="C19947" s="52">
        <v>146778.38666237099</v>
      </c>
      <c r="D19947" s="56">
        <v>6.4090958983296642E-2</v>
      </c>
      <c r="E19947" s="224" t="s">
        <v>2</v>
      </c>
      <c r="F19947" s="515" t="s">
        <v>21118</v>
      </c>
      <c r="G19947" s="52">
        <v>150312.36995684201</v>
      </c>
      <c r="H19947" s="56">
        <v>0</v>
      </c>
      <c r="I19947" s="224" t="s">
        <v>2</v>
      </c>
    </row>
    <row r="19948" spans="1:9" x14ac:dyDescent="0.25">
      <c r="A19948" s="515">
        <v>6031</v>
      </c>
      <c r="B19948" s="515" t="s">
        <v>559</v>
      </c>
      <c r="C19948" s="52">
        <v>426475.96472155303</v>
      </c>
      <c r="D19948" s="56">
        <v>0.15922090934612224</v>
      </c>
      <c r="E19948" s="224" t="s">
        <v>2</v>
      </c>
      <c r="F19948" s="515" t="s">
        <v>21119</v>
      </c>
      <c r="G19948" s="52">
        <v>139124.28075517801</v>
      </c>
      <c r="H19948" s="56">
        <v>0</v>
      </c>
      <c r="I19948" s="224" t="s">
        <v>2</v>
      </c>
    </row>
    <row r="19949" spans="1:9" x14ac:dyDescent="0.25">
      <c r="A19949" s="515">
        <v>49288</v>
      </c>
      <c r="B19949" s="515" t="s">
        <v>971</v>
      </c>
      <c r="C19949" s="52">
        <v>125811.749917172</v>
      </c>
      <c r="D19949" s="56">
        <v>0.15962242870628066</v>
      </c>
      <c r="E19949" s="224" t="s">
        <v>2</v>
      </c>
      <c r="F19949" s="515" t="s">
        <v>21120</v>
      </c>
      <c r="G19949" s="52">
        <v>323468.58945507999</v>
      </c>
      <c r="H19949" s="56">
        <v>0.13202300386402746</v>
      </c>
      <c r="I19949" s="224" t="s">
        <v>2</v>
      </c>
    </row>
    <row r="19950" spans="1:9" x14ac:dyDescent="0.25">
      <c r="A19950" s="515">
        <v>24439</v>
      </c>
      <c r="C19950" s="52">
        <v>181559.11828167099</v>
      </c>
      <c r="D19950" s="56">
        <v>8.2830809843119899E-2</v>
      </c>
      <c r="E19950" s="224" t="s">
        <v>2</v>
      </c>
      <c r="F19950" s="515" t="s">
        <v>21121</v>
      </c>
      <c r="G19950" s="52">
        <v>147221.022209063</v>
      </c>
      <c r="H19950" s="56">
        <v>-3.1897820044872655E-4</v>
      </c>
      <c r="I19950" s="224" t="s">
        <v>2</v>
      </c>
    </row>
    <row r="19951" spans="1:9" x14ac:dyDescent="0.25">
      <c r="A19951" s="515">
        <v>68420</v>
      </c>
      <c r="C19951" s="52">
        <v>86654.176335767901</v>
      </c>
      <c r="D19951" s="56">
        <v>0.16794185161564548</v>
      </c>
      <c r="E19951" s="224" t="s">
        <v>2</v>
      </c>
      <c r="F19951" s="515" t="s">
        <v>21122</v>
      </c>
      <c r="G19951" s="52">
        <v>167108.771297514</v>
      </c>
      <c r="H19951" s="56">
        <v>-0.10182476032411919</v>
      </c>
      <c r="I19951" s="224" t="s">
        <v>2</v>
      </c>
    </row>
    <row r="19952" spans="1:9" x14ac:dyDescent="0.25">
      <c r="A19952" s="515">
        <v>75488</v>
      </c>
      <c r="B19952" s="515" t="s">
        <v>298</v>
      </c>
      <c r="C19952" s="52">
        <v>318117.93373500201</v>
      </c>
      <c r="D19952" s="56">
        <v>0</v>
      </c>
      <c r="E19952" s="224" t="s">
        <v>2</v>
      </c>
      <c r="F19952" s="515" t="s">
        <v>21123</v>
      </c>
      <c r="G19952" s="52">
        <v>320372.050759451</v>
      </c>
      <c r="H19952" s="56">
        <v>0.1169305455173462</v>
      </c>
      <c r="I19952" s="224" t="s">
        <v>2</v>
      </c>
    </row>
    <row r="19953" spans="1:9" x14ac:dyDescent="0.25">
      <c r="A19953" s="515">
        <v>24150</v>
      </c>
      <c r="B19953" s="515" t="s">
        <v>597</v>
      </c>
      <c r="C19953" s="52">
        <v>144939.076794961</v>
      </c>
      <c r="D19953" s="56">
        <v>5.9168963812569683E-2</v>
      </c>
      <c r="E19953" s="224" t="s">
        <v>2</v>
      </c>
      <c r="F19953" s="515" t="s">
        <v>21124</v>
      </c>
      <c r="G19953" s="52">
        <v>213326.65727756999</v>
      </c>
      <c r="H19953" s="56">
        <v>0.10719818685648715</v>
      </c>
      <c r="I19953" s="224" t="s">
        <v>2</v>
      </c>
    </row>
    <row r="19954" spans="1:9" x14ac:dyDescent="0.25">
      <c r="A19954" s="515">
        <v>30216</v>
      </c>
      <c r="B19954" s="515" t="s">
        <v>957</v>
      </c>
      <c r="C19954" s="52">
        <v>174494.52389791701</v>
      </c>
      <c r="D19954" s="56">
        <v>2.1799770098592752E-2</v>
      </c>
      <c r="E19954" s="224" t="s">
        <v>2</v>
      </c>
      <c r="F19954" s="515" t="s">
        <v>21125</v>
      </c>
      <c r="G19954" s="52">
        <v>239976.94649016601</v>
      </c>
      <c r="H19954" s="56">
        <v>0</v>
      </c>
      <c r="I19954" s="224" t="s">
        <v>2</v>
      </c>
    </row>
    <row r="19955" spans="1:9" x14ac:dyDescent="0.25">
      <c r="A19955" s="515">
        <v>61262</v>
      </c>
      <c r="B19955" s="515" t="s">
        <v>439</v>
      </c>
      <c r="C19955" s="52">
        <v>203052.03235312601</v>
      </c>
      <c r="D19955" s="56">
        <v>9.1248261376597098E-2</v>
      </c>
      <c r="E19955" s="224" t="s">
        <v>2</v>
      </c>
      <c r="F19955" s="515" t="s">
        <v>21126</v>
      </c>
      <c r="G19955" s="52">
        <v>124926.22926860501</v>
      </c>
      <c r="H19955" s="56">
        <v>5.7986369368900843E-2</v>
      </c>
      <c r="I19955" s="224" t="s">
        <v>2</v>
      </c>
    </row>
    <row r="19956" spans="1:9" x14ac:dyDescent="0.25">
      <c r="A19956" s="515">
        <v>77872</v>
      </c>
      <c r="C19956" s="52">
        <v>323125.45364677103</v>
      </c>
      <c r="D19956" s="56">
        <v>8.1144839947854541E-2</v>
      </c>
      <c r="E19956" s="224" t="s">
        <v>2</v>
      </c>
      <c r="F19956" s="515" t="s">
        <v>21127</v>
      </c>
      <c r="G19956" s="52">
        <v>238600.10533735901</v>
      </c>
      <c r="H19956" s="56">
        <v>2.2999682360747158E-2</v>
      </c>
      <c r="I19956" s="224" t="s">
        <v>2</v>
      </c>
    </row>
    <row r="19957" spans="1:9" x14ac:dyDescent="0.25">
      <c r="A19957" s="515">
        <v>75651</v>
      </c>
      <c r="B19957" s="515" t="s">
        <v>319</v>
      </c>
      <c r="C19957" s="52">
        <v>194426.11679931899</v>
      </c>
      <c r="D19957" s="56">
        <v>0</v>
      </c>
      <c r="E19957" s="224" t="s">
        <v>2</v>
      </c>
      <c r="F19957" s="515" t="s">
        <v>21128</v>
      </c>
      <c r="G19957" s="52">
        <v>78447.397614647794</v>
      </c>
      <c r="H19957" s="56">
        <v>0.26596483322663583</v>
      </c>
      <c r="I19957" s="224" t="s">
        <v>2</v>
      </c>
    </row>
    <row r="19958" spans="1:9" x14ac:dyDescent="0.25">
      <c r="A19958" s="515">
        <v>92091</v>
      </c>
      <c r="B19958" s="515" t="s">
        <v>396</v>
      </c>
      <c r="C19958" s="52">
        <v>2884549.0910828798</v>
      </c>
      <c r="D19958" s="56">
        <v>7.6970951827131998E-2</v>
      </c>
      <c r="E19958" s="224" t="s">
        <v>2</v>
      </c>
      <c r="F19958" s="515" t="s">
        <v>21129</v>
      </c>
      <c r="G19958" s="52">
        <v>172183.84313742601</v>
      </c>
      <c r="H19958" s="56">
        <v>0.10368664892012662</v>
      </c>
      <c r="I19958" s="224" t="s">
        <v>2</v>
      </c>
    </row>
    <row r="19959" spans="1:9" x14ac:dyDescent="0.25">
      <c r="A19959" s="515">
        <v>76626</v>
      </c>
      <c r="B19959" s="515" t="s">
        <v>655</v>
      </c>
      <c r="C19959" s="52">
        <v>193994.271155275</v>
      </c>
      <c r="D19959" s="56">
        <v>8.4270555087520554E-3</v>
      </c>
      <c r="E19959" s="224" t="s">
        <v>2</v>
      </c>
      <c r="F19959" s="515" t="s">
        <v>21130</v>
      </c>
      <c r="G19959" s="52">
        <v>160734.81666666601</v>
      </c>
      <c r="H19959" s="56">
        <v>0</v>
      </c>
      <c r="I19959" s="224" t="s">
        <v>2</v>
      </c>
    </row>
    <row r="19960" spans="1:9" x14ac:dyDescent="0.25">
      <c r="A19960" s="515">
        <v>31796</v>
      </c>
      <c r="B19960" s="515" t="s">
        <v>746</v>
      </c>
      <c r="C19960" s="52">
        <v>233453.054232147</v>
      </c>
      <c r="D19960" s="56">
        <v>6.1687203477525626E-2</v>
      </c>
      <c r="E19960" s="224" t="s">
        <v>2</v>
      </c>
      <c r="F19960" s="515" t="s">
        <v>21131</v>
      </c>
      <c r="G19960" s="52">
        <v>176430.27780007099</v>
      </c>
      <c r="H19960" s="56">
        <v>0.11257407998414289</v>
      </c>
      <c r="I19960" s="224" t="s">
        <v>2</v>
      </c>
    </row>
    <row r="19961" spans="1:9" x14ac:dyDescent="0.25">
      <c r="A19961" s="515">
        <v>36269</v>
      </c>
      <c r="C19961" s="52">
        <v>184278.24528301801</v>
      </c>
      <c r="D19961" s="56">
        <v>0</v>
      </c>
      <c r="E19961" s="224" t="s">
        <v>2</v>
      </c>
      <c r="F19961" s="515" t="s">
        <v>21132</v>
      </c>
      <c r="G19961" s="52">
        <v>246826.82</v>
      </c>
      <c r="H19961" s="56">
        <v>0</v>
      </c>
      <c r="I19961" s="224" t="s">
        <v>2</v>
      </c>
    </row>
    <row r="19962" spans="1:9" x14ac:dyDescent="0.25">
      <c r="A19962" s="515">
        <v>57223</v>
      </c>
      <c r="B19962" s="515" t="s">
        <v>941</v>
      </c>
      <c r="C19962" s="52">
        <v>267118.07317073102</v>
      </c>
      <c r="D19962" s="56">
        <v>0</v>
      </c>
      <c r="E19962" s="224" t="s">
        <v>2</v>
      </c>
      <c r="F19962" s="515" t="s">
        <v>21133</v>
      </c>
      <c r="G19962" s="52">
        <v>154675.81549462801</v>
      </c>
      <c r="H19962" s="56">
        <v>0</v>
      </c>
      <c r="I19962" s="224" t="s">
        <v>2</v>
      </c>
    </row>
    <row r="19963" spans="1:9" x14ac:dyDescent="0.25">
      <c r="A19963" s="515">
        <v>47974</v>
      </c>
      <c r="B19963" s="515" t="s">
        <v>318</v>
      </c>
      <c r="C19963" s="52">
        <v>150551.98853591201</v>
      </c>
      <c r="D19963" s="56">
        <v>5.4049341054528313E-2</v>
      </c>
      <c r="E19963" s="224" t="s">
        <v>2</v>
      </c>
      <c r="F19963" s="515" t="s">
        <v>21134</v>
      </c>
      <c r="G19963" s="52">
        <v>102820.134720733</v>
      </c>
      <c r="H19963" s="56">
        <v>0.27858637349709897</v>
      </c>
      <c r="I19963" s="224" t="s">
        <v>2</v>
      </c>
    </row>
    <row r="19964" spans="1:9" x14ac:dyDescent="0.25">
      <c r="A19964" s="515">
        <v>6090</v>
      </c>
      <c r="B19964" s="515" t="s">
        <v>894</v>
      </c>
      <c r="C19964" s="52">
        <v>442069.61074123101</v>
      </c>
      <c r="D19964" s="56">
        <v>9.1879225311428267E-2</v>
      </c>
      <c r="E19964" s="224" t="s">
        <v>2</v>
      </c>
      <c r="F19964" s="515" t="s">
        <v>21135</v>
      </c>
      <c r="G19964" s="52">
        <v>200347.44401354101</v>
      </c>
      <c r="H19964" s="56">
        <v>0.19245305404332072</v>
      </c>
      <c r="I19964" s="224" t="s">
        <v>2</v>
      </c>
    </row>
    <row r="19965" spans="1:9" x14ac:dyDescent="0.25">
      <c r="A19965" s="515">
        <v>14723</v>
      </c>
      <c r="B19965" s="515" t="s">
        <v>560</v>
      </c>
      <c r="C19965" s="52">
        <v>139768.67914018</v>
      </c>
      <c r="D19965" s="56">
        <v>0.11236402682245072</v>
      </c>
      <c r="E19965" s="224" t="s">
        <v>2</v>
      </c>
      <c r="F19965" s="515" t="s">
        <v>21136</v>
      </c>
      <c r="G19965" s="52">
        <v>464193.02052787598</v>
      </c>
      <c r="H19965" s="56">
        <v>1.7162519139236668E-2</v>
      </c>
      <c r="I19965" s="224" t="s">
        <v>2</v>
      </c>
    </row>
    <row r="19966" spans="1:9" x14ac:dyDescent="0.25">
      <c r="A19966" s="515">
        <v>31070</v>
      </c>
      <c r="C19966" s="52">
        <v>141501.344589296</v>
      </c>
      <c r="D19966" s="56">
        <v>3.6389445661806442E-2</v>
      </c>
      <c r="E19966" s="224" t="s">
        <v>2</v>
      </c>
      <c r="F19966" s="515" t="s">
        <v>21137</v>
      </c>
      <c r="G19966" s="52">
        <v>464525.42044128902</v>
      </c>
      <c r="H19966" s="56">
        <v>0</v>
      </c>
      <c r="I19966" s="224" t="s">
        <v>2</v>
      </c>
    </row>
    <row r="19967" spans="1:9" x14ac:dyDescent="0.25">
      <c r="A19967" s="515">
        <v>49969</v>
      </c>
      <c r="C19967" s="52">
        <v>225234.554393976</v>
      </c>
      <c r="D19967" s="56">
        <v>2.3757343449579946E-2</v>
      </c>
      <c r="E19967" s="224" t="s">
        <v>2</v>
      </c>
      <c r="F19967" s="515" t="s">
        <v>21138</v>
      </c>
      <c r="G19967" s="52">
        <v>33832.214904529399</v>
      </c>
      <c r="H19967" s="56">
        <v>3.6114773978104192E-3</v>
      </c>
      <c r="I19967" s="224" t="s">
        <v>2</v>
      </c>
    </row>
    <row r="19968" spans="1:9" x14ac:dyDescent="0.25">
      <c r="A19968" s="515">
        <v>52552</v>
      </c>
      <c r="C19968" s="52">
        <v>185123.84482524099</v>
      </c>
      <c r="D19968" s="56">
        <v>0</v>
      </c>
      <c r="E19968" s="224" t="s">
        <v>2</v>
      </c>
      <c r="F19968" s="515" t="s">
        <v>21139</v>
      </c>
      <c r="G19968" s="52">
        <v>144306.70271887301</v>
      </c>
      <c r="H19968" s="56">
        <v>9.6985835711655144E-2</v>
      </c>
      <c r="I19968" s="224" t="s">
        <v>2</v>
      </c>
    </row>
    <row r="19969" spans="1:9" x14ac:dyDescent="0.25">
      <c r="A19969" s="515">
        <v>47038</v>
      </c>
      <c r="C19969" s="52">
        <v>170873.563834628</v>
      </c>
      <c r="D19969" s="56">
        <v>9.2969385640379834E-2</v>
      </c>
      <c r="E19969" s="224" t="s">
        <v>2</v>
      </c>
      <c r="F19969" s="515" t="s">
        <v>21140</v>
      </c>
      <c r="G19969" s="52">
        <v>127384.301698114</v>
      </c>
      <c r="H19969" s="56">
        <v>0.13940892765546259</v>
      </c>
      <c r="I19969" s="224" t="s">
        <v>2</v>
      </c>
    </row>
    <row r="19970" spans="1:9" x14ac:dyDescent="0.25">
      <c r="A19970" s="515">
        <v>54149</v>
      </c>
      <c r="B19970" s="515" t="s">
        <v>897</v>
      </c>
      <c r="C19970" s="52">
        <v>187147.95637319901</v>
      </c>
      <c r="D19970" s="56">
        <v>0.10973701795401446</v>
      </c>
      <c r="E19970" s="224" t="s">
        <v>2</v>
      </c>
      <c r="F19970" s="515" t="s">
        <v>21141</v>
      </c>
      <c r="G19970" s="52">
        <v>340640.18966391002</v>
      </c>
      <c r="H19970" s="56">
        <v>7.0492813729374257E-2</v>
      </c>
      <c r="I19970" s="224" t="s">
        <v>2</v>
      </c>
    </row>
    <row r="19971" spans="1:9" x14ac:dyDescent="0.25">
      <c r="A19971" s="515">
        <v>4448</v>
      </c>
      <c r="B19971" s="515" t="s">
        <v>792</v>
      </c>
      <c r="C19971" s="52">
        <v>149654.55829483</v>
      </c>
      <c r="D19971" s="56">
        <v>9.0207232861333697E-2</v>
      </c>
      <c r="E19971" s="224" t="s">
        <v>2</v>
      </c>
      <c r="F19971" s="515" t="s">
        <v>21142</v>
      </c>
      <c r="G19971" s="52">
        <v>176594.13790269601</v>
      </c>
      <c r="H19971" s="56">
        <v>-2.3726239587088166E-2</v>
      </c>
      <c r="I19971" s="224" t="s">
        <v>2</v>
      </c>
    </row>
    <row r="19972" spans="1:9" x14ac:dyDescent="0.25">
      <c r="A19972" s="515">
        <v>41046</v>
      </c>
      <c r="B19972" s="515" t="s">
        <v>344</v>
      </c>
      <c r="C19972" s="52">
        <v>176928.749582991</v>
      </c>
      <c r="D19972" s="56">
        <v>0.14897121509142533</v>
      </c>
      <c r="E19972" s="224" t="s">
        <v>2</v>
      </c>
      <c r="F19972" s="515" t="s">
        <v>21143</v>
      </c>
      <c r="G19972" s="52">
        <v>153394.744621822</v>
      </c>
      <c r="H19972" s="56">
        <v>0.13504012055464701</v>
      </c>
      <c r="I19972" s="224" t="s">
        <v>2</v>
      </c>
    </row>
    <row r="19973" spans="1:9" x14ac:dyDescent="0.25">
      <c r="A19973" s="515">
        <v>61725</v>
      </c>
      <c r="B19973" s="515" t="s">
        <v>303</v>
      </c>
      <c r="C19973" s="52">
        <v>220884.49773674799</v>
      </c>
      <c r="D19973" s="56">
        <v>0.10765051989512453</v>
      </c>
      <c r="E19973" s="224" t="s">
        <v>2</v>
      </c>
      <c r="F19973" s="515" t="s">
        <v>21144</v>
      </c>
      <c r="G19973" s="52">
        <v>90451.791995214502</v>
      </c>
      <c r="H19973" s="56">
        <v>-7.0995830712848956E-2</v>
      </c>
      <c r="I19973" s="224" t="s">
        <v>2</v>
      </c>
    </row>
    <row r="19974" spans="1:9" x14ac:dyDescent="0.25">
      <c r="A19974" s="515">
        <v>25124</v>
      </c>
      <c r="B19974" s="515" t="s">
        <v>602</v>
      </c>
      <c r="C19974" s="52">
        <v>162463.29690139199</v>
      </c>
      <c r="D19974" s="56">
        <v>4.7004007424898808E-3</v>
      </c>
      <c r="E19974" s="224" t="s">
        <v>2</v>
      </c>
      <c r="F19974" s="515" t="s">
        <v>21145</v>
      </c>
      <c r="G19974" s="52">
        <v>92110.2833010061</v>
      </c>
      <c r="H19974" s="56">
        <v>-4.1961878180196054E-2</v>
      </c>
      <c r="I19974" s="224" t="s">
        <v>2</v>
      </c>
    </row>
    <row r="19975" spans="1:9" x14ac:dyDescent="0.25">
      <c r="A19975" s="515">
        <v>14726</v>
      </c>
      <c r="B19975" s="515" t="s">
        <v>870</v>
      </c>
      <c r="C19975" s="52">
        <v>130406.574845785</v>
      </c>
      <c r="D19975" s="56">
        <v>0.18231225848039778</v>
      </c>
      <c r="E19975" s="224" t="s">
        <v>2</v>
      </c>
      <c r="F19975" s="515" t="s">
        <v>21146</v>
      </c>
      <c r="G19975" s="52">
        <v>89202.108396976197</v>
      </c>
      <c r="H19975" s="56">
        <v>0</v>
      </c>
      <c r="I19975" s="224" t="s">
        <v>2</v>
      </c>
    </row>
    <row r="19976" spans="1:9" x14ac:dyDescent="0.25">
      <c r="A19976" s="515">
        <v>29481</v>
      </c>
      <c r="C19976" s="52">
        <v>107700.687197776</v>
      </c>
      <c r="D19976" s="56">
        <v>5.9370527884912865E-2</v>
      </c>
      <c r="E19976" s="224" t="s">
        <v>2</v>
      </c>
      <c r="F19976" s="515" t="s">
        <v>21147</v>
      </c>
      <c r="G19976" s="52">
        <v>497447.94519178901</v>
      </c>
      <c r="H19976" s="56">
        <v>2.7784128642885486E-2</v>
      </c>
      <c r="I19976" s="224" t="s">
        <v>2</v>
      </c>
    </row>
    <row r="19977" spans="1:9" x14ac:dyDescent="0.25">
      <c r="A19977" s="515">
        <v>79541</v>
      </c>
      <c r="B19977" s="515" t="s">
        <v>704</v>
      </c>
      <c r="C19977" s="52">
        <v>334770.551405765</v>
      </c>
      <c r="D19977" s="56">
        <v>7.3848413826937812E-2</v>
      </c>
      <c r="E19977" s="224" t="s">
        <v>2</v>
      </c>
      <c r="F19977" s="515" t="s">
        <v>21148</v>
      </c>
      <c r="G19977" s="52">
        <v>277845.26315789402</v>
      </c>
      <c r="H19977" s="56">
        <v>0</v>
      </c>
      <c r="I19977" s="224" t="s">
        <v>2</v>
      </c>
    </row>
    <row r="19978" spans="1:9" x14ac:dyDescent="0.25">
      <c r="A19978" s="515">
        <v>13464</v>
      </c>
      <c r="C19978" s="52">
        <v>132628.11439406301</v>
      </c>
      <c r="D19978" s="56">
        <v>0.10122047432175139</v>
      </c>
      <c r="E19978" s="224" t="s">
        <v>2</v>
      </c>
      <c r="F19978" s="515" t="s">
        <v>21149</v>
      </c>
      <c r="G19978" s="52">
        <v>144136.959912205</v>
      </c>
      <c r="H19978" s="56">
        <v>0.12759912230190892</v>
      </c>
      <c r="I19978" s="224" t="s">
        <v>2</v>
      </c>
    </row>
    <row r="19979" spans="1:9" x14ac:dyDescent="0.25">
      <c r="A19979" s="515">
        <v>28682</v>
      </c>
      <c r="B19979" s="515" t="s">
        <v>638</v>
      </c>
      <c r="C19979" s="52">
        <v>735279.433185186</v>
      </c>
      <c r="D19979" s="56">
        <v>9.0430540132225345E-2</v>
      </c>
      <c r="E19979" s="224" t="s">
        <v>2</v>
      </c>
      <c r="F19979" s="515" t="s">
        <v>21150</v>
      </c>
      <c r="G19979" s="52">
        <v>210491.34195690299</v>
      </c>
      <c r="H19979" s="56">
        <v>0</v>
      </c>
      <c r="I19979" s="224" t="s">
        <v>2</v>
      </c>
    </row>
    <row r="19980" spans="1:9" x14ac:dyDescent="0.25">
      <c r="A19980" s="515">
        <v>78872</v>
      </c>
      <c r="C19980" s="52">
        <v>93735.917553961801</v>
      </c>
      <c r="D19980" s="56">
        <v>0.10562039641431656</v>
      </c>
      <c r="E19980" s="224" t="s">
        <v>2</v>
      </c>
      <c r="F19980" s="515" t="s">
        <v>21151</v>
      </c>
      <c r="G19980" s="52">
        <v>167082.58499146299</v>
      </c>
      <c r="H19980" s="56">
        <v>6.5013413583162177E-2</v>
      </c>
      <c r="I19980" s="224" t="s">
        <v>2</v>
      </c>
    </row>
    <row r="19981" spans="1:9" x14ac:dyDescent="0.25">
      <c r="A19981" s="515">
        <v>13493</v>
      </c>
      <c r="B19981" s="515" t="s">
        <v>361</v>
      </c>
      <c r="C19981" s="52">
        <v>136369.29161253601</v>
      </c>
      <c r="D19981" s="56">
        <v>0.14375867089479302</v>
      </c>
      <c r="E19981" s="224" t="s">
        <v>2</v>
      </c>
      <c r="F19981" s="515" t="s">
        <v>21152</v>
      </c>
      <c r="G19981" s="52">
        <v>3286760.5273982501</v>
      </c>
      <c r="H19981" s="56">
        <v>0.20562769628391422</v>
      </c>
      <c r="I19981" s="224" t="s">
        <v>2</v>
      </c>
    </row>
    <row r="19982" spans="1:9" x14ac:dyDescent="0.25">
      <c r="A19982" s="515">
        <v>32139</v>
      </c>
      <c r="B19982" s="515" t="s">
        <v>920</v>
      </c>
      <c r="C19982" s="52">
        <v>188625.38917644901</v>
      </c>
      <c r="D19982" s="56">
        <v>0.10010614374575325</v>
      </c>
      <c r="E19982" s="224" t="s">
        <v>2</v>
      </c>
      <c r="F19982" s="515" t="s">
        <v>21153</v>
      </c>
      <c r="G19982" s="52">
        <v>1378024.27045541</v>
      </c>
      <c r="H19982" s="56">
        <v>-5.8606548702939312E-2</v>
      </c>
      <c r="I19982" s="224" t="s">
        <v>2</v>
      </c>
    </row>
    <row r="19983" spans="1:9" x14ac:dyDescent="0.25">
      <c r="A19983" s="515">
        <v>87056</v>
      </c>
      <c r="B19983" s="515" t="s">
        <v>926</v>
      </c>
      <c r="C19983" s="52">
        <v>360784.30748040299</v>
      </c>
      <c r="D19983" s="56">
        <v>8.8741669272472387E-2</v>
      </c>
      <c r="E19983" s="224" t="s">
        <v>2</v>
      </c>
      <c r="F19983" s="515" t="s">
        <v>21154</v>
      </c>
      <c r="G19983" s="52">
        <v>97058.742214749</v>
      </c>
      <c r="H19983" s="56">
        <v>-1.4890186590341359E-2</v>
      </c>
      <c r="I19983" s="224" t="s">
        <v>2</v>
      </c>
    </row>
    <row r="19984" spans="1:9" x14ac:dyDescent="0.25">
      <c r="A19984" s="515">
        <v>53826</v>
      </c>
      <c r="C19984" s="52">
        <v>140126.75376222099</v>
      </c>
      <c r="D19984" s="56">
        <v>9.5081457206100936E-2</v>
      </c>
      <c r="E19984" s="224" t="s">
        <v>2</v>
      </c>
      <c r="F19984" s="515" t="s">
        <v>21155</v>
      </c>
      <c r="G19984" s="52">
        <v>108717.184300931</v>
      </c>
      <c r="H19984" s="56">
        <v>2.3442448746502042E-2</v>
      </c>
      <c r="I19984" s="224" t="s">
        <v>2</v>
      </c>
    </row>
    <row r="19985" spans="1:9" x14ac:dyDescent="0.25">
      <c r="A19985" s="515">
        <v>49616</v>
      </c>
      <c r="B19985" s="515" t="s">
        <v>366</v>
      </c>
      <c r="C19985" s="52">
        <v>234488.77576650999</v>
      </c>
      <c r="D19985" s="56">
        <v>8.6785780786326136E-2</v>
      </c>
      <c r="E19985" s="224" t="s">
        <v>2</v>
      </c>
      <c r="F19985" s="515" t="s">
        <v>21156</v>
      </c>
      <c r="G19985" s="52">
        <v>149767.013587344</v>
      </c>
      <c r="H19985" s="56">
        <v>-3.4070085951678743E-2</v>
      </c>
      <c r="I19985" s="224" t="s">
        <v>2</v>
      </c>
    </row>
    <row r="19986" spans="1:9" x14ac:dyDescent="0.25">
      <c r="A19986" s="515">
        <v>47615</v>
      </c>
      <c r="C19986" s="52">
        <v>152237.72633023499</v>
      </c>
      <c r="D19986" s="56">
        <v>5.4182723943059445E-2</v>
      </c>
      <c r="E19986" s="224" t="s">
        <v>2</v>
      </c>
      <c r="F19986" s="515" t="s">
        <v>21157</v>
      </c>
      <c r="G19986" s="52">
        <v>226686.98505220699</v>
      </c>
      <c r="H19986" s="56">
        <v>5.0091450097977379E-2</v>
      </c>
      <c r="I19986" s="224" t="s">
        <v>2</v>
      </c>
    </row>
    <row r="19987" spans="1:9" x14ac:dyDescent="0.25">
      <c r="A19987" s="515">
        <v>14478</v>
      </c>
      <c r="B19987" s="515" t="s">
        <v>337</v>
      </c>
      <c r="C19987" s="52">
        <v>470733.15998545702</v>
      </c>
      <c r="D19987" s="56">
        <v>0.12720201009006787</v>
      </c>
      <c r="E19987" s="224" t="s">
        <v>2</v>
      </c>
      <c r="F19987" s="515" t="s">
        <v>21158</v>
      </c>
      <c r="G19987" s="52">
        <v>92072.659620477294</v>
      </c>
      <c r="H19987" s="56">
        <v>0.10280690073774196</v>
      </c>
      <c r="I19987" s="224" t="s">
        <v>2</v>
      </c>
    </row>
    <row r="19988" spans="1:9" x14ac:dyDescent="0.25">
      <c r="A19988" s="515">
        <v>87560</v>
      </c>
      <c r="B19988" s="515" t="s">
        <v>767</v>
      </c>
      <c r="C19988" s="52">
        <v>195834.68867848799</v>
      </c>
      <c r="D19988" s="56">
        <v>0</v>
      </c>
      <c r="E19988" s="224" t="s">
        <v>2</v>
      </c>
      <c r="F19988" s="515" t="s">
        <v>21159</v>
      </c>
      <c r="G19988" s="52">
        <v>106869.89258300699</v>
      </c>
      <c r="H19988" s="56">
        <v>4.4638162930463521E-2</v>
      </c>
      <c r="I19988" s="224" t="s">
        <v>2</v>
      </c>
    </row>
    <row r="19989" spans="1:9" x14ac:dyDescent="0.25">
      <c r="A19989" s="515">
        <v>63352</v>
      </c>
      <c r="B19989" s="515" t="s">
        <v>787</v>
      </c>
      <c r="C19989" s="52">
        <v>115988.922521783</v>
      </c>
      <c r="D19989" s="56">
        <v>1.8519719104290025E-2</v>
      </c>
      <c r="E19989" s="224" t="s">
        <v>2</v>
      </c>
      <c r="F19989" s="515" t="s">
        <v>21160</v>
      </c>
      <c r="G19989" s="52">
        <v>138289.652917431</v>
      </c>
      <c r="H19989" s="56">
        <v>4.1314206716570961E-2</v>
      </c>
      <c r="I19989" s="224" t="s">
        <v>2</v>
      </c>
    </row>
    <row r="19990" spans="1:9" x14ac:dyDescent="0.25">
      <c r="A19990" s="515">
        <v>47137</v>
      </c>
      <c r="C19990" s="52">
        <v>143640.18263621701</v>
      </c>
      <c r="D19990" s="56">
        <v>0.10558170961516739</v>
      </c>
      <c r="E19990" s="224" t="s">
        <v>2</v>
      </c>
      <c r="F19990" s="515" t="s">
        <v>21161</v>
      </c>
      <c r="G19990" s="52">
        <v>143339.61483260099</v>
      </c>
      <c r="H19990" s="56">
        <v>3.9934779467486588E-2</v>
      </c>
      <c r="I19990" s="224" t="s">
        <v>2</v>
      </c>
    </row>
    <row r="19991" spans="1:9" x14ac:dyDescent="0.25">
      <c r="A19991" s="515">
        <v>68409</v>
      </c>
      <c r="B19991" s="515" t="s">
        <v>367</v>
      </c>
      <c r="C19991" s="52">
        <v>253540.31690984999</v>
      </c>
      <c r="D19991" s="56">
        <v>6.6644240960552298E-2</v>
      </c>
      <c r="E19991" s="224" t="s">
        <v>2</v>
      </c>
      <c r="F19991" s="515" t="s">
        <v>21162</v>
      </c>
      <c r="G19991" s="52">
        <v>420687.73265955498</v>
      </c>
      <c r="H19991" s="56">
        <v>-3.7689105644382846E-2</v>
      </c>
      <c r="I19991" s="224" t="s">
        <v>2</v>
      </c>
    </row>
    <row r="19992" spans="1:9" x14ac:dyDescent="0.25">
      <c r="A19992" s="515">
        <v>39320</v>
      </c>
      <c r="B19992" s="515" t="s">
        <v>970</v>
      </c>
      <c r="C19992" s="52">
        <v>197847.84423357301</v>
      </c>
      <c r="D19992" s="56">
        <v>1.4635220843834689E-2</v>
      </c>
      <c r="E19992" s="224" t="s">
        <v>2</v>
      </c>
      <c r="F19992" s="515" t="s">
        <v>21163</v>
      </c>
      <c r="G19992" s="52">
        <v>315751.896120038</v>
      </c>
      <c r="H19992" s="56">
        <v>0.17021106464342237</v>
      </c>
      <c r="I19992" s="224" t="s">
        <v>2</v>
      </c>
    </row>
    <row r="19993" spans="1:9" x14ac:dyDescent="0.25">
      <c r="A19993" s="515">
        <v>65082</v>
      </c>
      <c r="C19993" s="52">
        <v>188325.340818116</v>
      </c>
      <c r="D19993" s="56">
        <v>5.1922608257874092E-2</v>
      </c>
      <c r="E19993" s="224" t="s">
        <v>2</v>
      </c>
      <c r="F19993" s="515" t="s">
        <v>21164</v>
      </c>
      <c r="G19993" s="52">
        <v>152869.24616103299</v>
      </c>
      <c r="H19993" s="56">
        <v>0.14429817584802407</v>
      </c>
      <c r="I19993" s="224" t="s">
        <v>2</v>
      </c>
    </row>
    <row r="19994" spans="1:9" x14ac:dyDescent="0.25">
      <c r="A19994" s="515">
        <v>80105</v>
      </c>
      <c r="B19994" s="515" t="s">
        <v>401</v>
      </c>
      <c r="C19994" s="52">
        <v>386598.81089685601</v>
      </c>
      <c r="D19994" s="56">
        <v>-1.5334012281575538E-3</v>
      </c>
      <c r="E19994" s="224" t="s">
        <v>2</v>
      </c>
      <c r="F19994" s="515" t="s">
        <v>21165</v>
      </c>
      <c r="G19994" s="52">
        <v>461095.02631578897</v>
      </c>
      <c r="H19994" s="56">
        <v>0</v>
      </c>
      <c r="I19994" s="224" t="s">
        <v>2</v>
      </c>
    </row>
    <row r="19995" spans="1:9" x14ac:dyDescent="0.25">
      <c r="A19995" s="515">
        <v>36775</v>
      </c>
      <c r="B19995" s="515" t="s">
        <v>483</v>
      </c>
      <c r="C19995" s="52">
        <v>81420.446153846104</v>
      </c>
      <c r="D19995" s="56">
        <v>0</v>
      </c>
      <c r="E19995" s="224" t="s">
        <v>2</v>
      </c>
      <c r="F19995" s="515" t="s">
        <v>21166</v>
      </c>
      <c r="G19995" s="52">
        <v>148026.88054856399</v>
      </c>
      <c r="H19995" s="56">
        <v>0</v>
      </c>
      <c r="I19995" s="224" t="s">
        <v>2</v>
      </c>
    </row>
    <row r="19996" spans="1:9" x14ac:dyDescent="0.25">
      <c r="A19996" s="515">
        <v>45696</v>
      </c>
      <c r="B19996" s="515" t="s">
        <v>602</v>
      </c>
      <c r="C19996" s="52">
        <v>120750.769026169</v>
      </c>
      <c r="D19996" s="56">
        <v>5.9468137697330963E-3</v>
      </c>
      <c r="E19996" s="224" t="s">
        <v>2</v>
      </c>
      <c r="F19996" s="515" t="s">
        <v>21167</v>
      </c>
      <c r="G19996" s="52">
        <v>90860.591222892093</v>
      </c>
      <c r="H19996" s="56">
        <v>5.8837291251577391E-2</v>
      </c>
      <c r="I19996" s="224" t="s">
        <v>2</v>
      </c>
    </row>
    <row r="19997" spans="1:9" x14ac:dyDescent="0.25">
      <c r="A19997" s="515">
        <v>41348</v>
      </c>
      <c r="C19997" s="52">
        <v>62820.615658544099</v>
      </c>
      <c r="D19997" s="56">
        <v>0.26811478105813719</v>
      </c>
      <c r="E19997" s="224" t="s">
        <v>2</v>
      </c>
      <c r="F19997" s="515" t="s">
        <v>21168</v>
      </c>
      <c r="G19997" s="52">
        <v>286043.86365965701</v>
      </c>
      <c r="H19997" s="56">
        <v>3.4600848808395653E-2</v>
      </c>
      <c r="I19997" s="224" t="s">
        <v>2</v>
      </c>
    </row>
    <row r="19998" spans="1:9" x14ac:dyDescent="0.25">
      <c r="A19998" s="515">
        <v>61327</v>
      </c>
      <c r="B19998" s="515" t="s">
        <v>556</v>
      </c>
      <c r="C19998" s="52">
        <v>183952.67184142</v>
      </c>
      <c r="D19998" s="56">
        <v>3.4727308880762434E-2</v>
      </c>
      <c r="E19998" s="224" t="s">
        <v>2</v>
      </c>
      <c r="F19998" s="515" t="s">
        <v>21169</v>
      </c>
      <c r="G19998" s="52">
        <v>168670.02504809599</v>
      </c>
      <c r="H19998" s="56">
        <v>0.21126623420732227</v>
      </c>
      <c r="I19998" s="224" t="s">
        <v>2</v>
      </c>
    </row>
    <row r="19999" spans="1:9" x14ac:dyDescent="0.25">
      <c r="A19999" s="515">
        <v>50061</v>
      </c>
      <c r="B19999" s="515" t="s">
        <v>295</v>
      </c>
      <c r="C19999" s="52">
        <v>487030.62496437703</v>
      </c>
      <c r="D19999" s="56">
        <v>0.1004985023156435</v>
      </c>
      <c r="E19999" s="224" t="s">
        <v>2</v>
      </c>
      <c r="F19999" s="515" t="s">
        <v>21170</v>
      </c>
      <c r="G19999" s="52">
        <v>112782.208508547</v>
      </c>
      <c r="H19999" s="56">
        <v>2.2249312160792293E-2</v>
      </c>
      <c r="I19999" s="224" t="s">
        <v>2</v>
      </c>
    </row>
    <row r="20000" spans="1:9" x14ac:dyDescent="0.25">
      <c r="A20000" s="515">
        <v>64748</v>
      </c>
      <c r="C20000" s="52">
        <v>105624.023973459</v>
      </c>
      <c r="D20000" s="56">
        <v>7.9925477914460488E-2</v>
      </c>
      <c r="E20000" s="224" t="s">
        <v>2</v>
      </c>
      <c r="F20000" s="515" t="s">
        <v>21171</v>
      </c>
      <c r="G20000" s="52">
        <v>128867.471801066</v>
      </c>
      <c r="H20000" s="56">
        <v>9.338781861657082E-2</v>
      </c>
      <c r="I20000" s="224" t="s">
        <v>2</v>
      </c>
    </row>
    <row r="20001" spans="1:9" x14ac:dyDescent="0.25">
      <c r="A20001" s="515">
        <v>73741</v>
      </c>
      <c r="C20001" s="52">
        <v>107665.062764798</v>
      </c>
      <c r="D20001" s="56">
        <v>0.10563076542421675</v>
      </c>
      <c r="E20001" s="224" t="s">
        <v>2</v>
      </c>
      <c r="F20001" s="515" t="s">
        <v>21172</v>
      </c>
      <c r="G20001" s="52">
        <v>135562.51051839101</v>
      </c>
      <c r="H20001" s="56">
        <v>0.1320239273421239</v>
      </c>
      <c r="I20001" s="224" t="s">
        <v>2</v>
      </c>
    </row>
    <row r="20002" spans="1:9" x14ac:dyDescent="0.25">
      <c r="A20002" s="515">
        <v>48466</v>
      </c>
      <c r="C20002" s="52">
        <v>143797.27288235899</v>
      </c>
      <c r="D20002" s="56">
        <v>0</v>
      </c>
      <c r="E20002" s="224" t="s">
        <v>2</v>
      </c>
      <c r="F20002" s="515" t="s">
        <v>21173</v>
      </c>
      <c r="G20002" s="52">
        <v>294598.609415502</v>
      </c>
      <c r="H20002" s="56">
        <v>0</v>
      </c>
      <c r="I20002" s="224" t="s">
        <v>2</v>
      </c>
    </row>
    <row r="20003" spans="1:9" x14ac:dyDescent="0.25">
      <c r="A20003" s="515">
        <v>36318</v>
      </c>
      <c r="B20003" s="515" t="s">
        <v>816</v>
      </c>
      <c r="C20003" s="52">
        <v>163153.640030157</v>
      </c>
      <c r="D20003" s="56">
        <v>4.1585253834210342E-2</v>
      </c>
      <c r="E20003" s="224" t="s">
        <v>2</v>
      </c>
      <c r="F20003" s="515" t="s">
        <v>21174</v>
      </c>
      <c r="G20003" s="52">
        <v>420263.66526415403</v>
      </c>
      <c r="H20003" s="56">
        <v>6.0176901130135851E-2</v>
      </c>
      <c r="I20003" s="224" t="s">
        <v>2</v>
      </c>
    </row>
    <row r="20004" spans="1:9" x14ac:dyDescent="0.25">
      <c r="A20004" s="515">
        <v>47030</v>
      </c>
      <c r="B20004" s="515" t="s">
        <v>344</v>
      </c>
      <c r="C20004" s="52">
        <v>191952.225837723</v>
      </c>
      <c r="D20004" s="56">
        <v>4.0719719992467734E-2</v>
      </c>
      <c r="E20004" s="224" t="s">
        <v>2</v>
      </c>
      <c r="F20004" s="515" t="s">
        <v>21175</v>
      </c>
      <c r="G20004" s="52">
        <v>290196.52896571101</v>
      </c>
      <c r="H20004" s="56">
        <v>0.14667207533499182</v>
      </c>
      <c r="I20004" s="224" t="s">
        <v>2</v>
      </c>
    </row>
    <row r="20005" spans="1:9" x14ac:dyDescent="0.25">
      <c r="A20005" s="515">
        <v>99672</v>
      </c>
      <c r="C20005" s="52">
        <v>333947.06728267798</v>
      </c>
      <c r="D20005" s="56">
        <v>1.1204696114406146E-2</v>
      </c>
      <c r="E20005" s="224" t="s">
        <v>2</v>
      </c>
      <c r="F20005" s="515" t="s">
        <v>21176</v>
      </c>
      <c r="G20005" s="52">
        <v>119375.89496867399</v>
      </c>
      <c r="H20005" s="56">
        <v>3.9613564077217306E-2</v>
      </c>
      <c r="I20005" s="224" t="s">
        <v>2</v>
      </c>
    </row>
    <row r="20006" spans="1:9" x14ac:dyDescent="0.25">
      <c r="A20006" s="515">
        <v>74856</v>
      </c>
      <c r="C20006" s="52">
        <v>154158.685886669</v>
      </c>
      <c r="D20006" s="56">
        <v>0.31967649848049945</v>
      </c>
      <c r="E20006" s="224" t="s">
        <v>2</v>
      </c>
      <c r="F20006" s="515" t="s">
        <v>21177</v>
      </c>
      <c r="G20006" s="52">
        <v>219126.532066991</v>
      </c>
      <c r="H20006" s="56">
        <v>8.1199935227389539E-2</v>
      </c>
      <c r="I20006" s="224" t="s">
        <v>2</v>
      </c>
    </row>
    <row r="20007" spans="1:9" x14ac:dyDescent="0.25">
      <c r="A20007" s="515">
        <v>62912</v>
      </c>
      <c r="C20007" s="52">
        <v>109435.471127356</v>
      </c>
      <c r="D20007" s="56">
        <v>4.4339085900544521E-2</v>
      </c>
      <c r="E20007" s="224" t="s">
        <v>2</v>
      </c>
      <c r="F20007" s="515" t="s">
        <v>21178</v>
      </c>
      <c r="G20007" s="52">
        <v>191444.782930291</v>
      </c>
      <c r="H20007" s="56">
        <v>0</v>
      </c>
      <c r="I20007" s="224" t="s">
        <v>2</v>
      </c>
    </row>
    <row r="20008" spans="1:9" x14ac:dyDescent="0.25">
      <c r="A20008" s="515">
        <v>5046</v>
      </c>
      <c r="C20008" s="52">
        <v>272535.88749496703</v>
      </c>
      <c r="D20008" s="56">
        <v>9.6996518759717806E-2</v>
      </c>
      <c r="E20008" s="224" t="s">
        <v>2</v>
      </c>
      <c r="F20008" s="515" t="s">
        <v>21179</v>
      </c>
      <c r="G20008" s="52">
        <v>113623.019558587</v>
      </c>
      <c r="H20008" s="56">
        <v>0.28372477074795166</v>
      </c>
      <c r="I20008" s="224" t="s">
        <v>2</v>
      </c>
    </row>
    <row r="20009" spans="1:9" x14ac:dyDescent="0.25">
      <c r="A20009" s="515">
        <v>38379</v>
      </c>
      <c r="C20009" s="52">
        <v>158035.57338769099</v>
      </c>
      <c r="D20009" s="56">
        <v>8.1205441196603723E-2</v>
      </c>
      <c r="E20009" s="224" t="s">
        <v>2</v>
      </c>
      <c r="F20009" s="515" t="s">
        <v>21180</v>
      </c>
      <c r="G20009" s="52">
        <v>60887.6075944603</v>
      </c>
      <c r="H20009" s="56">
        <v>-1.7773980463638474E-3</v>
      </c>
      <c r="I20009" s="224" t="s">
        <v>2</v>
      </c>
    </row>
    <row r="20010" spans="1:9" x14ac:dyDescent="0.25">
      <c r="A20010" s="515">
        <v>58027</v>
      </c>
      <c r="B20010" s="515" t="s">
        <v>928</v>
      </c>
      <c r="C20010" s="52">
        <v>128304.333229444</v>
      </c>
      <c r="D20010" s="56">
        <v>5.5863248790723789E-2</v>
      </c>
      <c r="E20010" s="224" t="s">
        <v>2</v>
      </c>
      <c r="F20010" s="515" t="s">
        <v>21181</v>
      </c>
      <c r="G20010" s="52">
        <v>111799.29624737101</v>
      </c>
      <c r="H20010" s="56">
        <v>-4.3350425596846529E-2</v>
      </c>
      <c r="I20010" s="224" t="s">
        <v>2</v>
      </c>
    </row>
    <row r="20011" spans="1:9" x14ac:dyDescent="0.25">
      <c r="A20011" s="515">
        <v>54471</v>
      </c>
      <c r="B20011" s="515" t="s">
        <v>940</v>
      </c>
      <c r="C20011" s="52">
        <v>263080.42426707398</v>
      </c>
      <c r="D20011" s="56">
        <v>4.6096345291979E-2</v>
      </c>
      <c r="E20011" s="224" t="s">
        <v>2</v>
      </c>
      <c r="F20011" s="515" t="s">
        <v>21182</v>
      </c>
      <c r="G20011" s="52">
        <v>273141.10019854002</v>
      </c>
      <c r="H20011" s="56">
        <v>0.13209186823090371</v>
      </c>
      <c r="I20011" s="224" t="s">
        <v>2</v>
      </c>
    </row>
    <row r="20012" spans="1:9" x14ac:dyDescent="0.25">
      <c r="A20012" s="515">
        <v>42236</v>
      </c>
      <c r="B20012" s="515" t="s">
        <v>651</v>
      </c>
      <c r="C20012" s="52">
        <v>197080.21438140399</v>
      </c>
      <c r="D20012" s="56">
        <v>0.14092938808789782</v>
      </c>
      <c r="E20012" s="224" t="s">
        <v>2</v>
      </c>
      <c r="F20012" s="515" t="s">
        <v>21183</v>
      </c>
      <c r="G20012" s="52">
        <v>109993.36262751999</v>
      </c>
      <c r="H20012" s="56">
        <v>-1.4412840081973284E-2</v>
      </c>
      <c r="I20012" s="224" t="s">
        <v>2</v>
      </c>
    </row>
    <row r="20013" spans="1:9" x14ac:dyDescent="0.25">
      <c r="A20013" s="515">
        <v>24243</v>
      </c>
      <c r="C20013" s="52">
        <v>93338.298799852593</v>
      </c>
      <c r="D20013" s="56">
        <v>7.5687311378250674E-2</v>
      </c>
      <c r="E20013" s="224" t="s">
        <v>2</v>
      </c>
      <c r="F20013" s="515" t="s">
        <v>21184</v>
      </c>
      <c r="G20013" s="52">
        <v>92294.200306382802</v>
      </c>
      <c r="H20013" s="56">
        <v>1.6588661735148752E-2</v>
      </c>
      <c r="I20013" s="224" t="s">
        <v>2</v>
      </c>
    </row>
    <row r="20014" spans="1:9" x14ac:dyDescent="0.25">
      <c r="A20014" s="515">
        <v>12523</v>
      </c>
      <c r="B20014" s="515" t="s">
        <v>564</v>
      </c>
      <c r="C20014" s="52">
        <v>358540.717838799</v>
      </c>
      <c r="D20014" s="56">
        <v>5.8705831654844651E-2</v>
      </c>
      <c r="E20014" s="224" t="s">
        <v>2</v>
      </c>
      <c r="F20014" s="515" t="s">
        <v>21185</v>
      </c>
      <c r="G20014" s="52">
        <v>316411.61427281098</v>
      </c>
      <c r="H20014" s="56">
        <v>8.492804765204584E-2</v>
      </c>
      <c r="I20014" s="224" t="s">
        <v>2</v>
      </c>
    </row>
    <row r="20015" spans="1:9" x14ac:dyDescent="0.25">
      <c r="A20015" s="515">
        <v>13322</v>
      </c>
      <c r="B20015" s="515" t="s">
        <v>543</v>
      </c>
      <c r="C20015" s="52">
        <v>202277.38295275901</v>
      </c>
      <c r="D20015" s="56">
        <v>0.13779939435383948</v>
      </c>
      <c r="E20015" s="224" t="s">
        <v>2</v>
      </c>
      <c r="F20015" s="515" t="s">
        <v>21186</v>
      </c>
      <c r="G20015" s="52">
        <v>161914.49427041301</v>
      </c>
      <c r="H20015" s="56">
        <v>6.6762948516714118E-2</v>
      </c>
      <c r="I20015" s="224" t="s">
        <v>2</v>
      </c>
    </row>
    <row r="20016" spans="1:9" x14ac:dyDescent="0.25">
      <c r="A20016" s="515">
        <v>28774</v>
      </c>
      <c r="B20016" s="515" t="s">
        <v>908</v>
      </c>
      <c r="C20016" s="52">
        <v>572122.40720555105</v>
      </c>
      <c r="D20016" s="56">
        <v>0.16101805265960745</v>
      </c>
      <c r="E20016" s="224" t="s">
        <v>2</v>
      </c>
      <c r="F20016" s="515" t="s">
        <v>21187</v>
      </c>
      <c r="G20016" s="52">
        <v>195654.501384234</v>
      </c>
      <c r="H20016" s="56">
        <v>6.5482367611289144E-2</v>
      </c>
      <c r="I20016" s="224" t="s">
        <v>2</v>
      </c>
    </row>
    <row r="20017" spans="1:9" x14ac:dyDescent="0.25">
      <c r="A20017" s="515">
        <v>83804</v>
      </c>
      <c r="B20017" s="515" t="s">
        <v>623</v>
      </c>
      <c r="C20017" s="52">
        <v>460273.42467383703</v>
      </c>
      <c r="D20017" s="56">
        <v>2.2818481484327208E-2</v>
      </c>
      <c r="E20017" s="224" t="s">
        <v>2</v>
      </c>
      <c r="F20017" s="515" t="s">
        <v>21188</v>
      </c>
      <c r="G20017" s="52">
        <v>126260.520044363</v>
      </c>
      <c r="H20017" s="56">
        <v>0</v>
      </c>
      <c r="I20017" s="224" t="s">
        <v>2</v>
      </c>
    </row>
    <row r="20018" spans="1:9" x14ac:dyDescent="0.25">
      <c r="A20018" s="515">
        <v>49029</v>
      </c>
      <c r="B20018" s="515" t="s">
        <v>1062</v>
      </c>
      <c r="C20018" s="52">
        <v>173373.55934404</v>
      </c>
      <c r="D20018" s="56">
        <v>3.2191933489707614E-2</v>
      </c>
      <c r="E20018" s="224" t="s">
        <v>2</v>
      </c>
      <c r="F20018" s="515" t="s">
        <v>21189</v>
      </c>
      <c r="G20018" s="52">
        <v>60228.035489988397</v>
      </c>
      <c r="H20018" s="56">
        <v>0.30480684435048638</v>
      </c>
      <c r="I20018" s="224" t="s">
        <v>2</v>
      </c>
    </row>
    <row r="20019" spans="1:9" x14ac:dyDescent="0.25">
      <c r="A20019" s="515">
        <v>61841</v>
      </c>
      <c r="B20019" s="515" t="s">
        <v>999</v>
      </c>
      <c r="C20019" s="52">
        <v>119667.781253391</v>
      </c>
      <c r="D20019" s="56">
        <v>8.7891448649127624E-2</v>
      </c>
      <c r="E20019" s="224" t="s">
        <v>2</v>
      </c>
      <c r="F20019" s="515" t="s">
        <v>21190</v>
      </c>
      <c r="G20019" s="52">
        <v>177009.554282567</v>
      </c>
      <c r="H20019" s="56">
        <v>6.0282955968862031E-2</v>
      </c>
      <c r="I20019" s="224" t="s">
        <v>2</v>
      </c>
    </row>
    <row r="20020" spans="1:9" x14ac:dyDescent="0.25">
      <c r="A20020" s="515">
        <v>57018</v>
      </c>
      <c r="B20020" s="515" t="s">
        <v>579</v>
      </c>
      <c r="C20020" s="52">
        <v>281153.79196012899</v>
      </c>
      <c r="D20020" s="56">
        <v>0.11383279337790224</v>
      </c>
      <c r="E20020" s="224" t="s">
        <v>2</v>
      </c>
      <c r="F20020" s="515" t="s">
        <v>21191</v>
      </c>
      <c r="G20020" s="52">
        <v>139827.24543627401</v>
      </c>
      <c r="H20020" s="56">
        <v>-1.7297842377250228E-2</v>
      </c>
      <c r="I20020" s="224" t="s">
        <v>2</v>
      </c>
    </row>
    <row r="20021" spans="1:9" x14ac:dyDescent="0.25">
      <c r="A20021" s="515">
        <v>41255</v>
      </c>
      <c r="C20021" s="52">
        <v>86411.861459912601</v>
      </c>
      <c r="D20021" s="56">
        <v>0.15092790527086844</v>
      </c>
      <c r="E20021" s="224" t="s">
        <v>2</v>
      </c>
      <c r="F20021" s="515" t="s">
        <v>21192</v>
      </c>
      <c r="G20021" s="52">
        <v>397300.54403923498</v>
      </c>
      <c r="H20021" s="56">
        <v>8.5488599435404461E-2</v>
      </c>
      <c r="I20021" s="224" t="s">
        <v>2</v>
      </c>
    </row>
    <row r="20022" spans="1:9" x14ac:dyDescent="0.25">
      <c r="A20022" s="515">
        <v>15637</v>
      </c>
      <c r="B20022" s="515" t="s">
        <v>297</v>
      </c>
      <c r="C20022" s="52">
        <v>120691.941097681</v>
      </c>
      <c r="D20022" s="56">
        <v>1.0004881278907082E-2</v>
      </c>
      <c r="E20022" s="224" t="s">
        <v>2</v>
      </c>
      <c r="F20022" s="515" t="s">
        <v>21193</v>
      </c>
      <c r="G20022" s="52">
        <v>113258.73013877599</v>
      </c>
      <c r="H20022" s="56">
        <v>-6.7132575175598229E-4</v>
      </c>
      <c r="I20022" s="224" t="s">
        <v>2</v>
      </c>
    </row>
    <row r="20023" spans="1:9" x14ac:dyDescent="0.25">
      <c r="A20023" s="515">
        <v>55974</v>
      </c>
      <c r="B20023" s="515" t="s">
        <v>635</v>
      </c>
      <c r="C20023" s="52">
        <v>193490.56176570299</v>
      </c>
      <c r="D20023" s="56">
        <v>0.1345029010782261</v>
      </c>
      <c r="E20023" s="224" t="s">
        <v>2</v>
      </c>
      <c r="F20023" s="515" t="s">
        <v>21194</v>
      </c>
      <c r="G20023" s="52">
        <v>112483.46165424099</v>
      </c>
      <c r="H20023" s="56">
        <v>8.9970712014777826E-2</v>
      </c>
      <c r="I20023" s="224" t="s">
        <v>2</v>
      </c>
    </row>
    <row r="20024" spans="1:9" x14ac:dyDescent="0.25">
      <c r="A20024" s="515">
        <v>20184</v>
      </c>
      <c r="B20024" s="515" t="s">
        <v>321</v>
      </c>
      <c r="C20024" s="52">
        <v>1160585.13083539</v>
      </c>
      <c r="D20024" s="56">
        <v>0.1337565558158928</v>
      </c>
      <c r="E20024" s="224" t="s">
        <v>2</v>
      </c>
      <c r="F20024" s="515" t="s">
        <v>21195</v>
      </c>
      <c r="G20024" s="52">
        <v>95991.399476381805</v>
      </c>
      <c r="H20024" s="56">
        <v>0.10138174432939041</v>
      </c>
      <c r="I20024" s="224" t="s">
        <v>2</v>
      </c>
    </row>
    <row r="20025" spans="1:9" x14ac:dyDescent="0.25">
      <c r="A20025" s="515">
        <v>66871</v>
      </c>
      <c r="C20025" s="52">
        <v>148398.43153230599</v>
      </c>
      <c r="D20025" s="56">
        <v>0.18323232902273412</v>
      </c>
      <c r="E20025" s="224" t="s">
        <v>2</v>
      </c>
      <c r="F20025" s="515" t="s">
        <v>21196</v>
      </c>
      <c r="G20025" s="52">
        <v>241335.87374728301</v>
      </c>
      <c r="H20025" s="56">
        <v>0.13679837611071718</v>
      </c>
      <c r="I20025" s="224" t="s">
        <v>2</v>
      </c>
    </row>
    <row r="20026" spans="1:9" x14ac:dyDescent="0.25">
      <c r="A20026" s="515">
        <v>97824</v>
      </c>
      <c r="B20026" s="515" t="s">
        <v>606</v>
      </c>
      <c r="C20026" s="52">
        <v>392342.69986883301</v>
      </c>
      <c r="D20026" s="56">
        <v>6.75128337386455E-2</v>
      </c>
      <c r="E20026" s="224" t="s">
        <v>2</v>
      </c>
      <c r="F20026" s="515" t="s">
        <v>21197</v>
      </c>
      <c r="G20026" s="52">
        <v>224077.66508586501</v>
      </c>
      <c r="H20026" s="56">
        <v>6.5274358008962391E-2</v>
      </c>
      <c r="I20026" s="224" t="s">
        <v>2</v>
      </c>
    </row>
    <row r="20027" spans="1:9" x14ac:dyDescent="0.25">
      <c r="A20027" s="515">
        <v>48770</v>
      </c>
      <c r="C20027" s="52">
        <v>107090.298088903</v>
      </c>
      <c r="D20027" s="56">
        <v>5.2706580445292452E-2</v>
      </c>
      <c r="E20027" s="224" t="s">
        <v>2</v>
      </c>
      <c r="F20027" s="515" t="s">
        <v>21198</v>
      </c>
      <c r="G20027" s="52">
        <v>254777.779215549</v>
      </c>
      <c r="H20027" s="56">
        <v>8.8799291769018865E-2</v>
      </c>
      <c r="I20027" s="224" t="s">
        <v>2</v>
      </c>
    </row>
    <row r="20028" spans="1:9" x14ac:dyDescent="0.25">
      <c r="A20028" s="515">
        <v>52318</v>
      </c>
      <c r="B20028" s="515" t="s">
        <v>404</v>
      </c>
      <c r="C20028" s="52">
        <v>200599.725495174</v>
      </c>
      <c r="D20028" s="56">
        <v>0.12304916963757379</v>
      </c>
      <c r="E20028" s="224" t="s">
        <v>2</v>
      </c>
      <c r="F20028" s="515" t="s">
        <v>21199</v>
      </c>
      <c r="G20028" s="52">
        <v>147454.59022388101</v>
      </c>
      <c r="H20028" s="56">
        <v>-2.847531681685138E-3</v>
      </c>
      <c r="I20028" s="224" t="s">
        <v>2</v>
      </c>
    </row>
    <row r="20029" spans="1:9" x14ac:dyDescent="0.25">
      <c r="A20029" s="515">
        <v>95372</v>
      </c>
      <c r="B20029" s="515" t="s">
        <v>555</v>
      </c>
      <c r="C20029" s="52">
        <v>371354.78642216901</v>
      </c>
      <c r="D20029" s="56">
        <v>-1.9031881495426247E-3</v>
      </c>
      <c r="E20029" s="224" t="s">
        <v>2</v>
      </c>
      <c r="F20029" s="515" t="s">
        <v>21200</v>
      </c>
      <c r="G20029" s="52">
        <v>144065.94331200601</v>
      </c>
      <c r="H20029" s="56">
        <v>7.4909352620300393E-2</v>
      </c>
      <c r="I20029" s="224" t="s">
        <v>2</v>
      </c>
    </row>
    <row r="20030" spans="1:9" x14ac:dyDescent="0.25">
      <c r="A20030" s="515">
        <v>31561</v>
      </c>
      <c r="B20030" s="515" t="s">
        <v>871</v>
      </c>
      <c r="C20030" s="52">
        <v>3589799.74687941</v>
      </c>
      <c r="D20030" s="56">
        <v>0.22556915100451064</v>
      </c>
      <c r="E20030" s="224" t="s">
        <v>2</v>
      </c>
      <c r="F20030" s="515" t="s">
        <v>21201</v>
      </c>
      <c r="G20030" s="52">
        <v>235224.53179351901</v>
      </c>
      <c r="H20030" s="56">
        <v>2.6167971355744477E-2</v>
      </c>
      <c r="I20030" s="224" t="s">
        <v>2</v>
      </c>
    </row>
    <row r="20031" spans="1:9" x14ac:dyDescent="0.25">
      <c r="A20031" s="515">
        <v>54930</v>
      </c>
      <c r="C20031" s="52">
        <v>194679.157389186</v>
      </c>
      <c r="D20031" s="56">
        <v>0.10532775631345473</v>
      </c>
      <c r="E20031" s="224" t="s">
        <v>2</v>
      </c>
      <c r="F20031" s="515" t="s">
        <v>21202</v>
      </c>
      <c r="G20031" s="52">
        <v>61641.165494604997</v>
      </c>
      <c r="H20031" s="56">
        <v>-9.7506314288732354E-2</v>
      </c>
      <c r="I20031" s="224" t="s">
        <v>2</v>
      </c>
    </row>
    <row r="20032" spans="1:9" x14ac:dyDescent="0.25">
      <c r="A20032" s="515">
        <v>49625</v>
      </c>
      <c r="C20032" s="52">
        <v>173596.244280032</v>
      </c>
      <c r="D20032" s="56">
        <v>3.7744463141397323E-2</v>
      </c>
      <c r="E20032" s="224" t="s">
        <v>2</v>
      </c>
      <c r="F20032" s="515" t="s">
        <v>21203</v>
      </c>
      <c r="G20032" s="52">
        <v>280126.81988282403</v>
      </c>
      <c r="H20032" s="56">
        <v>0.10550191359328739</v>
      </c>
      <c r="I20032" s="224" t="s">
        <v>2</v>
      </c>
    </row>
    <row r="20033" spans="1:9" x14ac:dyDescent="0.25">
      <c r="A20033" s="515">
        <v>23830</v>
      </c>
      <c r="B20033" s="515" t="s">
        <v>667</v>
      </c>
      <c r="C20033" s="52">
        <v>296746.528732159</v>
      </c>
      <c r="D20033" s="56">
        <v>0.15939356121528397</v>
      </c>
      <c r="E20033" s="224" t="s">
        <v>2</v>
      </c>
      <c r="F20033" s="515" t="s">
        <v>21204</v>
      </c>
      <c r="G20033" s="52">
        <v>108331.752629282</v>
      </c>
      <c r="H20033" s="56">
        <v>0.12453819858638308</v>
      </c>
      <c r="I20033" s="224" t="s">
        <v>2</v>
      </c>
    </row>
    <row r="20034" spans="1:9" x14ac:dyDescent="0.25">
      <c r="A20034" s="515">
        <v>12917</v>
      </c>
      <c r="B20034" s="515" t="s">
        <v>706</v>
      </c>
      <c r="C20034" s="52">
        <v>154040.28180999</v>
      </c>
      <c r="D20034" s="56">
        <v>0.17366734120193539</v>
      </c>
      <c r="E20034" s="224" t="s">
        <v>2</v>
      </c>
      <c r="F20034" s="515" t="s">
        <v>21205</v>
      </c>
      <c r="G20034" s="52">
        <v>122310.25</v>
      </c>
      <c r="H20034" s="56">
        <v>0</v>
      </c>
      <c r="I20034" s="224" t="s">
        <v>2</v>
      </c>
    </row>
    <row r="20035" spans="1:9" x14ac:dyDescent="0.25">
      <c r="A20035" s="515">
        <v>80809</v>
      </c>
      <c r="B20035" s="515" t="s">
        <v>701</v>
      </c>
      <c r="C20035" s="52">
        <v>485113.199690215</v>
      </c>
      <c r="D20035" s="56">
        <v>4.0198767169355179E-2</v>
      </c>
      <c r="E20035" s="224" t="s">
        <v>2</v>
      </c>
      <c r="F20035" s="515" t="s">
        <v>21206</v>
      </c>
      <c r="G20035" s="52">
        <v>142806.857250684</v>
      </c>
      <c r="H20035" s="56">
        <v>0</v>
      </c>
      <c r="I20035" s="224" t="s">
        <v>2</v>
      </c>
    </row>
    <row r="20036" spans="1:9" x14ac:dyDescent="0.25">
      <c r="A20036" s="515">
        <v>84523</v>
      </c>
      <c r="C20036" s="52">
        <v>256233.94736842101</v>
      </c>
      <c r="D20036" s="56">
        <v>0</v>
      </c>
      <c r="E20036" s="224" t="s">
        <v>2</v>
      </c>
      <c r="F20036" s="515" t="s">
        <v>21207</v>
      </c>
      <c r="G20036" s="52">
        <v>516653.85731211398</v>
      </c>
      <c r="H20036" s="56">
        <v>6.9349845734570065E-2</v>
      </c>
      <c r="I20036" s="224" t="s">
        <v>2</v>
      </c>
    </row>
    <row r="20037" spans="1:9" x14ac:dyDescent="0.25">
      <c r="A20037" s="515">
        <v>15558</v>
      </c>
      <c r="B20037" s="515" t="s">
        <v>370</v>
      </c>
      <c r="C20037" s="52">
        <v>149210.01658449401</v>
      </c>
      <c r="D20037" s="56">
        <v>9.692650495561192E-2</v>
      </c>
      <c r="E20037" s="224" t="s">
        <v>2</v>
      </c>
      <c r="F20037" s="515" t="s">
        <v>21208</v>
      </c>
      <c r="G20037" s="52">
        <v>155721.44183052299</v>
      </c>
      <c r="H20037" s="56">
        <v>0.13220074440070859</v>
      </c>
      <c r="I20037" s="224" t="s">
        <v>2</v>
      </c>
    </row>
    <row r="20038" spans="1:9" x14ac:dyDescent="0.25">
      <c r="A20038" s="515">
        <v>57075</v>
      </c>
      <c r="C20038" s="52">
        <v>446278.47463241202</v>
      </c>
      <c r="D20038" s="56">
        <v>0.21099477893917812</v>
      </c>
      <c r="E20038" s="224" t="s">
        <v>2</v>
      </c>
      <c r="F20038" s="515" t="s">
        <v>21209</v>
      </c>
      <c r="G20038" s="52">
        <v>150894.274137567</v>
      </c>
      <c r="H20038" s="56">
        <v>-3.9175753315174297E-2</v>
      </c>
      <c r="I20038" s="224" t="s">
        <v>2</v>
      </c>
    </row>
    <row r="20039" spans="1:9" x14ac:dyDescent="0.25">
      <c r="A20039" s="515">
        <v>73547</v>
      </c>
      <c r="C20039" s="52">
        <v>85556.901559534803</v>
      </c>
      <c r="D20039" s="56">
        <v>0.17140756164018797</v>
      </c>
      <c r="E20039" s="224" t="s">
        <v>2</v>
      </c>
      <c r="F20039" s="515" t="s">
        <v>21210</v>
      </c>
      <c r="G20039" s="52">
        <v>272606.25408136699</v>
      </c>
      <c r="H20039" s="56">
        <v>0.17282065451453382</v>
      </c>
      <c r="I20039" s="224" t="s">
        <v>2</v>
      </c>
    </row>
    <row r="20040" spans="1:9" x14ac:dyDescent="0.25">
      <c r="A20040" s="515">
        <v>61369</v>
      </c>
      <c r="B20040" s="515" t="s">
        <v>303</v>
      </c>
      <c r="C20040" s="52">
        <v>86511.200044865094</v>
      </c>
      <c r="D20040" s="56">
        <v>0.18356650149683915</v>
      </c>
      <c r="E20040" s="224" t="s">
        <v>2</v>
      </c>
      <c r="F20040" s="515" t="s">
        <v>21211</v>
      </c>
      <c r="G20040" s="52">
        <v>529780.41071428498</v>
      </c>
      <c r="H20040" s="56">
        <v>0</v>
      </c>
      <c r="I20040" s="224" t="s">
        <v>2</v>
      </c>
    </row>
    <row r="20041" spans="1:9" x14ac:dyDescent="0.25">
      <c r="A20041" s="515">
        <v>38626</v>
      </c>
      <c r="B20041" s="515" t="s">
        <v>951</v>
      </c>
      <c r="C20041" s="52">
        <v>124782.212424732</v>
      </c>
      <c r="D20041" s="56">
        <v>-6.4556307020988177E-2</v>
      </c>
      <c r="E20041" s="224" t="s">
        <v>2</v>
      </c>
      <c r="F20041" s="515" t="s">
        <v>21212</v>
      </c>
      <c r="G20041" s="52">
        <v>168182.74794236699</v>
      </c>
      <c r="H20041" s="56">
        <v>-3.1770878081119583E-3</v>
      </c>
      <c r="I20041" s="224" t="s">
        <v>2</v>
      </c>
    </row>
    <row r="20042" spans="1:9" x14ac:dyDescent="0.25">
      <c r="A20042" s="515">
        <v>39751</v>
      </c>
      <c r="B20042" s="515" t="s">
        <v>722</v>
      </c>
      <c r="C20042" s="52">
        <v>155075.587931983</v>
      </c>
      <c r="D20042" s="56">
        <v>4.3361198030502687E-2</v>
      </c>
      <c r="E20042" s="224" t="s">
        <v>2</v>
      </c>
      <c r="F20042" s="515" t="s">
        <v>21213</v>
      </c>
      <c r="G20042" s="52">
        <v>181581.787193625</v>
      </c>
      <c r="H20042" s="56">
        <v>0.18724488849770199</v>
      </c>
      <c r="I20042" s="224" t="s">
        <v>2</v>
      </c>
    </row>
    <row r="20043" spans="1:9" x14ac:dyDescent="0.25">
      <c r="A20043" s="515">
        <v>26851</v>
      </c>
      <c r="C20043" s="52">
        <v>189285.201926201</v>
      </c>
      <c r="D20043" s="56">
        <v>8.6009358834122501E-2</v>
      </c>
      <c r="E20043" s="224" t="s">
        <v>2</v>
      </c>
      <c r="F20043" s="515" t="s">
        <v>21214</v>
      </c>
      <c r="G20043" s="52">
        <v>108397.10722593599</v>
      </c>
      <c r="H20043" s="56">
        <v>0.15113637881877531</v>
      </c>
      <c r="I20043" s="224" t="s">
        <v>2</v>
      </c>
    </row>
    <row r="20044" spans="1:9" x14ac:dyDescent="0.25">
      <c r="A20044" s="515">
        <v>3444</v>
      </c>
      <c r="B20044" s="515" t="s">
        <v>747</v>
      </c>
      <c r="C20044" s="52">
        <v>437259.17411481799</v>
      </c>
      <c r="D20044" s="56">
        <v>9.5433897274439461E-2</v>
      </c>
      <c r="E20044" s="224" t="s">
        <v>2</v>
      </c>
      <c r="F20044" s="515" t="s">
        <v>21215</v>
      </c>
      <c r="G20044" s="52">
        <v>141298.806865088</v>
      </c>
      <c r="H20044" s="56">
        <v>-3.6093881877103705E-3</v>
      </c>
      <c r="I20044" s="224" t="s">
        <v>2</v>
      </c>
    </row>
    <row r="20045" spans="1:9" x14ac:dyDescent="0.25">
      <c r="A20045" s="515">
        <v>59486</v>
      </c>
      <c r="C20045" s="52">
        <v>254019.24985008</v>
      </c>
      <c r="D20045" s="56">
        <v>0.14832598644625894</v>
      </c>
      <c r="E20045" s="224" t="s">
        <v>2</v>
      </c>
      <c r="F20045" s="515" t="s">
        <v>21216</v>
      </c>
      <c r="G20045" s="52">
        <v>404795.02631578897</v>
      </c>
      <c r="H20045" s="56">
        <v>0</v>
      </c>
      <c r="I20045" s="224" t="s">
        <v>2</v>
      </c>
    </row>
    <row r="20046" spans="1:9" x14ac:dyDescent="0.25">
      <c r="A20046" s="515">
        <v>29635</v>
      </c>
      <c r="B20046" s="515" t="s">
        <v>613</v>
      </c>
      <c r="C20046" s="52">
        <v>163728.128790132</v>
      </c>
      <c r="D20046" s="56">
        <v>0.14063609301764746</v>
      </c>
      <c r="E20046" s="224" t="s">
        <v>2</v>
      </c>
      <c r="F20046" s="515" t="s">
        <v>21217</v>
      </c>
      <c r="G20046" s="52">
        <v>1681994.94967435</v>
      </c>
      <c r="H20046" s="56">
        <v>1.8328387325357191E-2</v>
      </c>
      <c r="I20046" s="224" t="s">
        <v>2</v>
      </c>
    </row>
    <row r="20047" spans="1:9" x14ac:dyDescent="0.25">
      <c r="A20047" s="515">
        <v>30572</v>
      </c>
      <c r="C20047" s="52">
        <v>340148.06206839398</v>
      </c>
      <c r="D20047" s="56">
        <v>2.370320139631155E-2</v>
      </c>
      <c r="E20047" s="224" t="s">
        <v>2</v>
      </c>
      <c r="F20047" s="515" t="s">
        <v>21218</v>
      </c>
      <c r="G20047" s="52">
        <v>186109.928411726</v>
      </c>
      <c r="H20047" s="56">
        <v>6.438230711068807E-2</v>
      </c>
      <c r="I20047" s="224" t="s">
        <v>2</v>
      </c>
    </row>
    <row r="20048" spans="1:9" x14ac:dyDescent="0.25">
      <c r="A20048" s="515">
        <v>62674</v>
      </c>
      <c r="B20048" s="515" t="s">
        <v>498</v>
      </c>
      <c r="C20048" s="52">
        <v>87944.372364305498</v>
      </c>
      <c r="D20048" s="56">
        <v>3.2875115979455617E-2</v>
      </c>
      <c r="E20048" s="224" t="s">
        <v>2</v>
      </c>
      <c r="F20048" s="515" t="s">
        <v>21219</v>
      </c>
      <c r="G20048" s="52">
        <v>29823.609796877699</v>
      </c>
      <c r="H20048" s="56">
        <v>-5.3190388376955097E-2</v>
      </c>
      <c r="I20048" s="224" t="s">
        <v>2</v>
      </c>
    </row>
    <row r="20049" spans="1:9" x14ac:dyDescent="0.25">
      <c r="A20049" s="515">
        <v>1342</v>
      </c>
      <c r="B20049" s="515" t="s">
        <v>575</v>
      </c>
      <c r="C20049" s="52">
        <v>395176.89208355302</v>
      </c>
      <c r="D20049" s="56">
        <v>9.4107691358295664E-2</v>
      </c>
      <c r="E20049" s="224" t="s">
        <v>2</v>
      </c>
      <c r="F20049" s="515" t="s">
        <v>21220</v>
      </c>
      <c r="G20049" s="52">
        <v>335898.63845427299</v>
      </c>
      <c r="H20049" s="56">
        <v>3.8386671710409596E-2</v>
      </c>
      <c r="I20049" s="224" t="s">
        <v>2</v>
      </c>
    </row>
    <row r="20050" spans="1:9" x14ac:dyDescent="0.25">
      <c r="A20050" s="515">
        <v>36046</v>
      </c>
      <c r="C20050" s="52">
        <v>123411.875846615</v>
      </c>
      <c r="D20050" s="56">
        <v>4.3134106659475022E-2</v>
      </c>
      <c r="E20050" s="224" t="s">
        <v>2</v>
      </c>
      <c r="F20050" s="515" t="s">
        <v>21221</v>
      </c>
      <c r="G20050" s="52">
        <v>79707.047847387294</v>
      </c>
      <c r="H20050" s="56">
        <v>7.2315209068449682E-2</v>
      </c>
      <c r="I20050" s="224" t="s">
        <v>2</v>
      </c>
    </row>
    <row r="20051" spans="1:9" x14ac:dyDescent="0.25">
      <c r="A20051" s="515">
        <v>42079</v>
      </c>
      <c r="B20051" s="515" t="s">
        <v>933</v>
      </c>
      <c r="C20051" s="52">
        <v>142308.49179063301</v>
      </c>
      <c r="D20051" s="56">
        <v>0.19177714705927257</v>
      </c>
      <c r="E20051" s="224" t="s">
        <v>2</v>
      </c>
      <c r="F20051" s="515" t="s">
        <v>21222</v>
      </c>
      <c r="G20051" s="52">
        <v>262360.60542590998</v>
      </c>
      <c r="H20051" s="56">
        <v>0</v>
      </c>
      <c r="I20051" s="224" t="s">
        <v>2</v>
      </c>
    </row>
    <row r="20052" spans="1:9" x14ac:dyDescent="0.25">
      <c r="A20052" s="515">
        <v>26280</v>
      </c>
      <c r="B20052" s="515" t="s">
        <v>586</v>
      </c>
      <c r="C20052" s="52">
        <v>103969.97719828501</v>
      </c>
      <c r="D20052" s="56">
        <v>0.13785411768002309</v>
      </c>
      <c r="E20052" s="224" t="s">
        <v>2</v>
      </c>
      <c r="F20052" s="515" t="s">
        <v>21223</v>
      </c>
      <c r="G20052" s="52">
        <v>506176.51521912997</v>
      </c>
      <c r="H20052" s="56">
        <v>2.697856727819627E-2</v>
      </c>
      <c r="I20052" s="224" t="s">
        <v>2</v>
      </c>
    </row>
    <row r="20053" spans="1:9" x14ac:dyDescent="0.25">
      <c r="A20053" s="515">
        <v>39067</v>
      </c>
      <c r="C20053" s="52">
        <v>103281.23967462999</v>
      </c>
      <c r="D20053" s="56">
        <v>1.8824092270969692E-2</v>
      </c>
      <c r="E20053" s="224" t="s">
        <v>2</v>
      </c>
      <c r="F20053" s="515" t="s">
        <v>21224</v>
      </c>
      <c r="G20053" s="52">
        <v>113524.323463832</v>
      </c>
      <c r="H20053" s="56">
        <v>0.26082336913219639</v>
      </c>
      <c r="I20053" s="224" t="s">
        <v>2</v>
      </c>
    </row>
    <row r="20054" spans="1:9" x14ac:dyDescent="0.25">
      <c r="A20054" s="515">
        <v>61875</v>
      </c>
      <c r="B20054" s="515" t="s">
        <v>417</v>
      </c>
      <c r="C20054" s="52">
        <v>225986.94711107999</v>
      </c>
      <c r="D20054" s="56">
        <v>5.4201911135620305E-2</v>
      </c>
      <c r="E20054" s="224" t="s">
        <v>2</v>
      </c>
      <c r="F20054" s="515" t="s">
        <v>21225</v>
      </c>
      <c r="G20054" s="52">
        <v>124208.77003822901</v>
      </c>
      <c r="H20054" s="56">
        <v>9.5058723907028977E-2</v>
      </c>
      <c r="I20054" s="224" t="s">
        <v>2</v>
      </c>
    </row>
    <row r="20055" spans="1:9" x14ac:dyDescent="0.25">
      <c r="A20055" s="515">
        <v>45340</v>
      </c>
      <c r="B20055" s="515" t="s">
        <v>329</v>
      </c>
      <c r="C20055" s="52">
        <v>229552.10915289901</v>
      </c>
      <c r="D20055" s="56">
        <v>7.8972085706237788E-2</v>
      </c>
      <c r="E20055" s="224" t="s">
        <v>2</v>
      </c>
      <c r="F20055" s="515" t="s">
        <v>21226</v>
      </c>
      <c r="G20055" s="52">
        <v>99084.243243243196</v>
      </c>
      <c r="H20055" s="56">
        <v>0</v>
      </c>
      <c r="I20055" s="224" t="s">
        <v>2</v>
      </c>
    </row>
    <row r="20056" spans="1:9" x14ac:dyDescent="0.25">
      <c r="A20056" s="515">
        <v>54128</v>
      </c>
      <c r="B20056" s="515" t="s">
        <v>985</v>
      </c>
      <c r="C20056" s="52">
        <v>162491.90964921299</v>
      </c>
      <c r="D20056" s="56">
        <v>8.9120621361349114E-2</v>
      </c>
      <c r="E20056" s="224" t="s">
        <v>2</v>
      </c>
      <c r="F20056" s="515" t="s">
        <v>21227</v>
      </c>
      <c r="G20056" s="52">
        <v>110737.231940495</v>
      </c>
      <c r="H20056" s="56">
        <v>0</v>
      </c>
      <c r="I20056" s="224" t="s">
        <v>2</v>
      </c>
    </row>
    <row r="20057" spans="1:9" x14ac:dyDescent="0.25">
      <c r="A20057" s="515">
        <v>13618</v>
      </c>
      <c r="B20057" s="515" t="s">
        <v>431</v>
      </c>
      <c r="C20057" s="52">
        <v>215506.848195328</v>
      </c>
      <c r="D20057" s="56">
        <v>0.12718333755194827</v>
      </c>
      <c r="E20057" s="224" t="s">
        <v>2</v>
      </c>
      <c r="F20057" s="515" t="s">
        <v>21228</v>
      </c>
      <c r="G20057" s="52">
        <v>99071.561574161606</v>
      </c>
      <c r="H20057" s="56">
        <v>0.15641494820812454</v>
      </c>
      <c r="I20057" s="224" t="s">
        <v>2</v>
      </c>
    </row>
    <row r="20058" spans="1:9" x14ac:dyDescent="0.25">
      <c r="A20058" s="515">
        <v>8738</v>
      </c>
      <c r="B20058" s="515" t="s">
        <v>324</v>
      </c>
      <c r="C20058" s="52">
        <v>1816612.6473568899</v>
      </c>
      <c r="D20058" s="56">
        <v>8.8466446749505753E-2</v>
      </c>
      <c r="E20058" s="224" t="s">
        <v>2</v>
      </c>
      <c r="F20058" s="515" t="s">
        <v>21229</v>
      </c>
      <c r="G20058" s="52">
        <v>112896.142158708</v>
      </c>
      <c r="H20058" s="56">
        <v>0.14306013006106386</v>
      </c>
      <c r="I20058" s="224" t="s">
        <v>2</v>
      </c>
    </row>
    <row r="20059" spans="1:9" x14ac:dyDescent="0.25">
      <c r="A20059" s="515">
        <v>47345</v>
      </c>
      <c r="B20059" s="515" t="s">
        <v>883</v>
      </c>
      <c r="C20059" s="52">
        <v>184435.88541781399</v>
      </c>
      <c r="D20059" s="56">
        <v>9.0135997350626273E-2</v>
      </c>
      <c r="E20059" s="224" t="s">
        <v>2</v>
      </c>
      <c r="F20059" s="515" t="s">
        <v>21230</v>
      </c>
      <c r="G20059" s="52">
        <v>144864.00027865401</v>
      </c>
      <c r="H20059" s="56">
        <v>5.54308208575288E-3</v>
      </c>
      <c r="I20059" s="224" t="s">
        <v>2</v>
      </c>
    </row>
    <row r="20060" spans="1:9" x14ac:dyDescent="0.25">
      <c r="A20060" s="515">
        <v>76878</v>
      </c>
      <c r="C20060" s="52">
        <v>112996.207875391</v>
      </c>
      <c r="D20060" s="56">
        <v>3.5030887070420097E-2</v>
      </c>
      <c r="E20060" s="224" t="s">
        <v>2</v>
      </c>
      <c r="F20060" s="515" t="s">
        <v>21231</v>
      </c>
      <c r="G20060" s="52">
        <v>81335.784337955003</v>
      </c>
      <c r="H20060" s="56">
        <v>0.18120125346112995</v>
      </c>
      <c r="I20060" s="224" t="s">
        <v>2</v>
      </c>
    </row>
    <row r="20061" spans="1:9" x14ac:dyDescent="0.25">
      <c r="A20061" s="515">
        <v>4354</v>
      </c>
      <c r="C20061" s="52">
        <v>286488.68299464101</v>
      </c>
      <c r="D20061" s="56">
        <v>6.1285306521575073E-2</v>
      </c>
      <c r="E20061" s="224" t="s">
        <v>2</v>
      </c>
      <c r="F20061" s="515" t="s">
        <v>21232</v>
      </c>
      <c r="G20061" s="52">
        <v>233942.10691432399</v>
      </c>
      <c r="H20061" s="56">
        <v>7.9036416400181525E-2</v>
      </c>
      <c r="I20061" s="224" t="s">
        <v>2</v>
      </c>
    </row>
    <row r="20062" spans="1:9" x14ac:dyDescent="0.25">
      <c r="A20062" s="515">
        <v>24258</v>
      </c>
      <c r="B20062" s="515" t="s">
        <v>902</v>
      </c>
      <c r="C20062" s="52">
        <v>165438.40244263099</v>
      </c>
      <c r="D20062" s="56">
        <v>0.10728243103707778</v>
      </c>
      <c r="E20062" s="224" t="s">
        <v>2</v>
      </c>
      <c r="F20062" s="515" t="s">
        <v>21233</v>
      </c>
      <c r="G20062" s="52">
        <v>162213.59971527799</v>
      </c>
      <c r="H20062" s="56">
        <v>0.16263494980841389</v>
      </c>
      <c r="I20062" s="224" t="s">
        <v>2</v>
      </c>
    </row>
    <row r="20063" spans="1:9" x14ac:dyDescent="0.25">
      <c r="A20063" s="515">
        <v>62964</v>
      </c>
      <c r="C20063" s="52">
        <v>40196.428392608497</v>
      </c>
      <c r="D20063" s="56">
        <v>-9.7801063240739269E-2</v>
      </c>
      <c r="E20063" s="224" t="s">
        <v>2</v>
      </c>
      <c r="F20063" s="515" t="s">
        <v>21234</v>
      </c>
      <c r="G20063" s="52">
        <v>308782.70776475599</v>
      </c>
      <c r="H20063" s="56">
        <v>4.7617282758283939E-2</v>
      </c>
      <c r="I20063" s="224" t="s">
        <v>2</v>
      </c>
    </row>
    <row r="20064" spans="1:9" x14ac:dyDescent="0.25">
      <c r="A20064" s="515">
        <v>4574</v>
      </c>
      <c r="C20064" s="52">
        <v>282129.67925224401</v>
      </c>
      <c r="D20064" s="56">
        <v>6.5596810543258111E-2</v>
      </c>
      <c r="E20064" s="224" t="s">
        <v>2</v>
      </c>
      <c r="F20064" s="515" t="s">
        <v>21235</v>
      </c>
      <c r="G20064" s="52">
        <v>95034.788686983899</v>
      </c>
      <c r="H20064" s="56">
        <v>8.2361268801023832E-2</v>
      </c>
      <c r="I20064" s="224" t="s">
        <v>2</v>
      </c>
    </row>
    <row r="20065" spans="1:9" x14ac:dyDescent="0.25">
      <c r="A20065" s="515">
        <v>54723</v>
      </c>
      <c r="B20065" s="515" t="s">
        <v>532</v>
      </c>
      <c r="C20065" s="52">
        <v>247840.34119825799</v>
      </c>
      <c r="D20065" s="56">
        <v>6.4270825824423408E-2</v>
      </c>
      <c r="E20065" s="224" t="s">
        <v>2</v>
      </c>
      <c r="F20065" s="515" t="s">
        <v>21236</v>
      </c>
      <c r="G20065" s="52">
        <v>62787.713987192597</v>
      </c>
      <c r="H20065" s="56">
        <v>2.4272855894897884E-2</v>
      </c>
      <c r="I20065" s="224" t="s">
        <v>2</v>
      </c>
    </row>
    <row r="20066" spans="1:9" x14ac:dyDescent="0.25">
      <c r="A20066" s="515">
        <v>47443</v>
      </c>
      <c r="C20066" s="52">
        <v>122877.61435533701</v>
      </c>
      <c r="D20066" s="56">
        <v>0.10484566432728393</v>
      </c>
      <c r="E20066" s="224" t="s">
        <v>2</v>
      </c>
      <c r="F20066" s="515" t="s">
        <v>21237</v>
      </c>
      <c r="G20066" s="52">
        <v>109600.468367808</v>
      </c>
      <c r="H20066" s="56">
        <v>0.116242488202733</v>
      </c>
      <c r="I20066" s="224" t="s">
        <v>2</v>
      </c>
    </row>
    <row r="20067" spans="1:9" x14ac:dyDescent="0.25">
      <c r="A20067" s="515">
        <v>16677</v>
      </c>
      <c r="B20067" s="515" t="s">
        <v>491</v>
      </c>
      <c r="C20067" s="52">
        <v>125467.308633443</v>
      </c>
      <c r="D20067" s="56">
        <v>7.238575588081525E-2</v>
      </c>
      <c r="E20067" s="224" t="s">
        <v>2</v>
      </c>
      <c r="F20067" s="515" t="s">
        <v>21238</v>
      </c>
      <c r="G20067" s="52">
        <v>79218.338028169004</v>
      </c>
      <c r="H20067" s="56">
        <v>0</v>
      </c>
      <c r="I20067" s="224" t="s">
        <v>2</v>
      </c>
    </row>
    <row r="20068" spans="1:9" x14ac:dyDescent="0.25">
      <c r="A20068" s="515">
        <v>46794</v>
      </c>
      <c r="B20068" s="515" t="s">
        <v>1058</v>
      </c>
      <c r="C20068" s="52">
        <v>180974.744529219</v>
      </c>
      <c r="D20068" s="56">
        <v>8.8652468630417855E-2</v>
      </c>
      <c r="E20068" s="224" t="s">
        <v>2</v>
      </c>
      <c r="F20068" s="515" t="s">
        <v>21239</v>
      </c>
      <c r="G20068" s="52">
        <v>106432.016205155</v>
      </c>
      <c r="H20068" s="56">
        <v>7.7101155081219869E-2</v>
      </c>
      <c r="I20068" s="224" t="s">
        <v>2</v>
      </c>
    </row>
    <row r="20069" spans="1:9" x14ac:dyDescent="0.25">
      <c r="A20069" s="515">
        <v>73628</v>
      </c>
      <c r="C20069" s="52">
        <v>122315.12924240599</v>
      </c>
      <c r="D20069" s="56">
        <v>0.10440810497465641</v>
      </c>
      <c r="E20069" s="224" t="s">
        <v>2</v>
      </c>
      <c r="F20069" s="515" t="s">
        <v>21240</v>
      </c>
      <c r="G20069" s="52">
        <v>169781.861310407</v>
      </c>
      <c r="H20069" s="56">
        <v>6.1436065150365246E-2</v>
      </c>
      <c r="I20069" s="224" t="s">
        <v>2</v>
      </c>
    </row>
    <row r="20070" spans="1:9" x14ac:dyDescent="0.25">
      <c r="A20070" s="515">
        <v>72768</v>
      </c>
      <c r="B20070" s="515" t="s">
        <v>675</v>
      </c>
      <c r="C20070" s="52">
        <v>173351.337344097</v>
      </c>
      <c r="D20070" s="56">
        <v>0.10928199963207526</v>
      </c>
      <c r="E20070" s="224" t="s">
        <v>2</v>
      </c>
      <c r="F20070" s="515" t="s">
        <v>21241</v>
      </c>
      <c r="G20070" s="52">
        <v>172779.623633654</v>
      </c>
      <c r="H20070" s="56">
        <v>7.3330163080352978E-2</v>
      </c>
      <c r="I20070" s="224" t="s">
        <v>2</v>
      </c>
    </row>
    <row r="20071" spans="1:9" x14ac:dyDescent="0.25">
      <c r="A20071" s="515">
        <v>46917</v>
      </c>
      <c r="B20071" s="515" t="s">
        <v>433</v>
      </c>
      <c r="C20071" s="52">
        <v>159751.75244647701</v>
      </c>
      <c r="D20071" s="56">
        <v>2.5896873517485139E-2</v>
      </c>
      <c r="E20071" s="224" t="s">
        <v>2</v>
      </c>
      <c r="F20071" s="515" t="s">
        <v>21242</v>
      </c>
      <c r="G20071" s="52">
        <v>120882.002283301</v>
      </c>
      <c r="H20071" s="56">
        <v>0.11708650137043446</v>
      </c>
      <c r="I20071" s="224" t="s">
        <v>2</v>
      </c>
    </row>
    <row r="20072" spans="1:9" x14ac:dyDescent="0.25">
      <c r="A20072" s="515">
        <v>76639</v>
      </c>
      <c r="B20072" s="515" t="s">
        <v>655</v>
      </c>
      <c r="C20072" s="52">
        <v>149332.70183138701</v>
      </c>
      <c r="D20072" s="56">
        <v>0.10521522204176728</v>
      </c>
      <c r="E20072" s="224" t="s">
        <v>2</v>
      </c>
      <c r="F20072" s="515" t="s">
        <v>21243</v>
      </c>
      <c r="G20072" s="52">
        <v>146496.91712131299</v>
      </c>
      <c r="H20072" s="56">
        <v>9.3131946287969725E-2</v>
      </c>
      <c r="I20072" s="224" t="s">
        <v>2</v>
      </c>
    </row>
    <row r="20073" spans="1:9" x14ac:dyDescent="0.25">
      <c r="A20073" s="515">
        <v>1339</v>
      </c>
      <c r="B20073" s="515" t="s">
        <v>575</v>
      </c>
      <c r="C20073" s="52">
        <v>283635.64254014398</v>
      </c>
      <c r="D20073" s="56">
        <v>0.13193545456113173</v>
      </c>
      <c r="E20073" s="224" t="s">
        <v>2</v>
      </c>
      <c r="F20073" s="515" t="s">
        <v>21244</v>
      </c>
      <c r="G20073" s="52">
        <v>290260.16121054703</v>
      </c>
      <c r="H20073" s="56">
        <v>0.18575816579066945</v>
      </c>
      <c r="I20073" s="224" t="s">
        <v>2</v>
      </c>
    </row>
    <row r="20074" spans="1:9" x14ac:dyDescent="0.25">
      <c r="A20074" s="515">
        <v>43115</v>
      </c>
      <c r="B20074" s="515" t="s">
        <v>437</v>
      </c>
      <c r="C20074" s="52">
        <v>172035.48871136401</v>
      </c>
      <c r="D20074" s="56">
        <v>8.6553759340317143E-2</v>
      </c>
      <c r="E20074" s="224" t="s">
        <v>2</v>
      </c>
      <c r="F20074" s="515" t="s">
        <v>21245</v>
      </c>
      <c r="G20074" s="52">
        <v>338152.22546742402</v>
      </c>
      <c r="H20074" s="56">
        <v>7.2377645609209076E-2</v>
      </c>
      <c r="I20074" s="224" t="s">
        <v>2</v>
      </c>
    </row>
    <row r="20075" spans="1:9" x14ac:dyDescent="0.25">
      <c r="A20075" s="515">
        <v>38545</v>
      </c>
      <c r="B20075" s="515" t="s">
        <v>833</v>
      </c>
      <c r="C20075" s="52">
        <v>204225.33319316999</v>
      </c>
      <c r="D20075" s="56">
        <v>3.5973522478018556E-2</v>
      </c>
      <c r="E20075" s="224" t="s">
        <v>2</v>
      </c>
      <c r="F20075" s="515" t="s">
        <v>21246</v>
      </c>
      <c r="G20075" s="52">
        <v>170854.240963855</v>
      </c>
      <c r="H20075" s="56">
        <v>0</v>
      </c>
      <c r="I20075" s="224" t="s">
        <v>2</v>
      </c>
    </row>
    <row r="20076" spans="1:9" x14ac:dyDescent="0.25">
      <c r="A20076" s="515">
        <v>12057</v>
      </c>
      <c r="B20076" s="515" t="s">
        <v>422</v>
      </c>
      <c r="C20076" s="52">
        <v>201763.44078643399</v>
      </c>
      <c r="D20076" s="56">
        <v>4.4699805387684539E-2</v>
      </c>
      <c r="E20076" s="224" t="s">
        <v>2</v>
      </c>
      <c r="F20076" s="515" t="s">
        <v>21247</v>
      </c>
      <c r="G20076" s="52">
        <v>921483.82650588802</v>
      </c>
      <c r="H20076" s="56">
        <v>0.11931154670004523</v>
      </c>
      <c r="I20076" s="224" t="s">
        <v>2</v>
      </c>
    </row>
    <row r="20077" spans="1:9" x14ac:dyDescent="0.25">
      <c r="A20077" s="515">
        <v>79031</v>
      </c>
      <c r="C20077" s="52">
        <v>78986.467772927397</v>
      </c>
      <c r="D20077" s="56">
        <v>2.9803280102415466E-2</v>
      </c>
      <c r="E20077" s="224" t="s">
        <v>2</v>
      </c>
      <c r="F20077" s="515" t="s">
        <v>21248</v>
      </c>
      <c r="G20077" s="52">
        <v>87014.600430499893</v>
      </c>
      <c r="H20077" s="56">
        <v>-4.5233960300118684E-2</v>
      </c>
      <c r="I20077" s="224" t="s">
        <v>2</v>
      </c>
    </row>
    <row r="20078" spans="1:9" x14ac:dyDescent="0.25">
      <c r="A20078" s="515">
        <v>50106</v>
      </c>
      <c r="B20078" s="515" t="s">
        <v>642</v>
      </c>
      <c r="C20078" s="52">
        <v>145184.40169725299</v>
      </c>
      <c r="D20078" s="56">
        <v>5.1404700970487237E-2</v>
      </c>
      <c r="E20078" s="224" t="s">
        <v>2</v>
      </c>
      <c r="F20078" s="515" t="s">
        <v>21249</v>
      </c>
      <c r="G20078" s="52">
        <v>100271.00129809701</v>
      </c>
      <c r="H20078" s="56">
        <v>0</v>
      </c>
      <c r="I20078" s="224" t="s">
        <v>2</v>
      </c>
    </row>
    <row r="20079" spans="1:9" x14ac:dyDescent="0.25">
      <c r="A20079" s="515">
        <v>43533</v>
      </c>
      <c r="B20079" s="515" t="s">
        <v>300</v>
      </c>
      <c r="C20079" s="52">
        <v>177500.180556732</v>
      </c>
      <c r="D20079" s="56">
        <v>6.7497296150215907E-2</v>
      </c>
      <c r="E20079" s="224" t="s">
        <v>2</v>
      </c>
      <c r="F20079" s="515" t="s">
        <v>21250</v>
      </c>
      <c r="G20079" s="52">
        <v>390058.12226275698</v>
      </c>
      <c r="H20079" s="56">
        <v>-7.2053837873735831E-3</v>
      </c>
      <c r="I20079" s="224" t="s">
        <v>2</v>
      </c>
    </row>
    <row r="20080" spans="1:9" x14ac:dyDescent="0.25">
      <c r="A20080" s="515">
        <v>91210</v>
      </c>
      <c r="B20080" s="515" t="s">
        <v>375</v>
      </c>
      <c r="C20080" s="52">
        <v>1129049.3679877601</v>
      </c>
      <c r="D20080" s="56">
        <v>2.0497481829402489E-2</v>
      </c>
      <c r="E20080" s="224" t="s">
        <v>2</v>
      </c>
      <c r="F20080" s="515" t="s">
        <v>21251</v>
      </c>
      <c r="G20080" s="52">
        <v>109423.669486695</v>
      </c>
      <c r="H20080" s="56">
        <v>5.3518966501460201E-2</v>
      </c>
      <c r="I20080" s="224" t="s">
        <v>2</v>
      </c>
    </row>
    <row r="20081" spans="1:9" x14ac:dyDescent="0.25">
      <c r="A20081" s="515">
        <v>76641</v>
      </c>
      <c r="B20081" s="515" t="s">
        <v>655</v>
      </c>
      <c r="C20081" s="52">
        <v>198737.779005524</v>
      </c>
      <c r="D20081" s="56">
        <v>0</v>
      </c>
      <c r="E20081" s="224" t="s">
        <v>2</v>
      </c>
      <c r="F20081" s="515" t="s">
        <v>21252</v>
      </c>
      <c r="G20081" s="52">
        <v>252946.51550411701</v>
      </c>
      <c r="H20081" s="56">
        <v>3.9476110253909007E-2</v>
      </c>
      <c r="I20081" s="224" t="s">
        <v>2</v>
      </c>
    </row>
    <row r="20082" spans="1:9" x14ac:dyDescent="0.25">
      <c r="A20082" s="515">
        <v>38577</v>
      </c>
      <c r="C20082" s="52">
        <v>178434.124625242</v>
      </c>
      <c r="D20082" s="56">
        <v>0</v>
      </c>
      <c r="E20082" s="224" t="s">
        <v>2</v>
      </c>
      <c r="F20082" s="515" t="s">
        <v>21253</v>
      </c>
      <c r="G20082" s="52">
        <v>255000.29919601901</v>
      </c>
      <c r="H20082" s="56">
        <v>2.5630388553429181E-3</v>
      </c>
      <c r="I20082" s="224" t="s">
        <v>2</v>
      </c>
    </row>
    <row r="20083" spans="1:9" x14ac:dyDescent="0.25">
      <c r="A20083" s="515">
        <v>64761</v>
      </c>
      <c r="B20083" s="515" t="s">
        <v>1047</v>
      </c>
      <c r="C20083" s="52">
        <v>178424.18458984201</v>
      </c>
      <c r="D20083" s="56">
        <v>3.8387386923363152E-2</v>
      </c>
      <c r="E20083" s="224" t="s">
        <v>2</v>
      </c>
      <c r="F20083" s="515" t="s">
        <v>21254</v>
      </c>
      <c r="G20083" s="52">
        <v>124962.14692451499</v>
      </c>
      <c r="H20083" s="56">
        <v>0.11377245032040069</v>
      </c>
      <c r="I20083" s="224" t="s">
        <v>2</v>
      </c>
    </row>
    <row r="20084" spans="1:9" x14ac:dyDescent="0.25">
      <c r="A20084" s="515">
        <v>13315</v>
      </c>
      <c r="B20084" s="515" t="s">
        <v>460</v>
      </c>
      <c r="C20084" s="52">
        <v>179698.9773999</v>
      </c>
      <c r="D20084" s="56">
        <v>7.849079498803678E-2</v>
      </c>
      <c r="E20084" s="224" t="s">
        <v>2</v>
      </c>
      <c r="F20084" s="515" t="s">
        <v>21255</v>
      </c>
      <c r="G20084" s="52">
        <v>76992.371428571394</v>
      </c>
      <c r="H20084" s="56">
        <v>0</v>
      </c>
      <c r="I20084" s="224" t="s">
        <v>2</v>
      </c>
    </row>
    <row r="20085" spans="1:9" x14ac:dyDescent="0.25">
      <c r="A20085" s="515">
        <v>68349</v>
      </c>
      <c r="B20085" s="515" t="s">
        <v>367</v>
      </c>
      <c r="C20085" s="52">
        <v>264522.44162932801</v>
      </c>
      <c r="D20085" s="56">
        <v>0.12773377787752971</v>
      </c>
      <c r="E20085" s="224" t="s">
        <v>2</v>
      </c>
      <c r="F20085" s="515" t="s">
        <v>21256</v>
      </c>
      <c r="G20085" s="52">
        <v>63151.459076238403</v>
      </c>
      <c r="H20085" s="56">
        <v>-0.15685753732455221</v>
      </c>
      <c r="I20085" s="224" t="s">
        <v>2</v>
      </c>
    </row>
    <row r="20086" spans="1:9" x14ac:dyDescent="0.25">
      <c r="A20086" s="515">
        <v>52070</v>
      </c>
      <c r="C20086" s="52">
        <v>160035.74271002499</v>
      </c>
      <c r="D20086" s="56">
        <v>0.11513010871033981</v>
      </c>
      <c r="E20086" s="224" t="s">
        <v>2</v>
      </c>
      <c r="F20086" s="515" t="s">
        <v>21257</v>
      </c>
      <c r="G20086" s="52">
        <v>460679.40403765597</v>
      </c>
      <c r="H20086" s="56">
        <v>0.11606725929071691</v>
      </c>
      <c r="I20086" s="224" t="s">
        <v>2</v>
      </c>
    </row>
    <row r="20087" spans="1:9" x14ac:dyDescent="0.25">
      <c r="A20087" s="515">
        <v>79355</v>
      </c>
      <c r="C20087" s="52">
        <v>117547.347524596</v>
      </c>
      <c r="D20087" s="56">
        <v>-4.7913652847948164E-2</v>
      </c>
      <c r="E20087" s="224" t="s">
        <v>2</v>
      </c>
      <c r="F20087" s="515" t="s">
        <v>21258</v>
      </c>
      <c r="G20087" s="52">
        <v>68469.864864864794</v>
      </c>
      <c r="H20087" s="56">
        <v>0</v>
      </c>
      <c r="I20087" s="224" t="s">
        <v>2</v>
      </c>
    </row>
    <row r="20088" spans="1:9" x14ac:dyDescent="0.25">
      <c r="A20088" s="515">
        <v>59218</v>
      </c>
      <c r="C20088" s="52">
        <v>317817.22050820698</v>
      </c>
      <c r="D20088" s="56">
        <v>0.131320394442526</v>
      </c>
      <c r="E20088" s="224" t="s">
        <v>2</v>
      </c>
      <c r="F20088" s="515" t="s">
        <v>21259</v>
      </c>
      <c r="G20088" s="52">
        <v>428987.49871875602</v>
      </c>
      <c r="H20088" s="56">
        <v>0.14965668079008917</v>
      </c>
      <c r="I20088" s="224" t="s">
        <v>2</v>
      </c>
    </row>
    <row r="20089" spans="1:9" x14ac:dyDescent="0.25">
      <c r="A20089" s="515">
        <v>53510</v>
      </c>
      <c r="C20089" s="52">
        <v>202952.09648118101</v>
      </c>
      <c r="D20089" s="56">
        <v>6.9171191417272446E-2</v>
      </c>
      <c r="E20089" s="224" t="s">
        <v>2</v>
      </c>
      <c r="F20089" s="515" t="s">
        <v>21260</v>
      </c>
      <c r="G20089" s="52">
        <v>99884.95</v>
      </c>
      <c r="H20089" s="56">
        <v>0</v>
      </c>
      <c r="I20089" s="224" t="s">
        <v>2</v>
      </c>
    </row>
    <row r="20090" spans="1:9" x14ac:dyDescent="0.25">
      <c r="A20090" s="515">
        <v>10968</v>
      </c>
      <c r="B20090" s="515" t="s">
        <v>324</v>
      </c>
      <c r="C20090" s="52">
        <v>676951.87476947298</v>
      </c>
      <c r="D20090" s="56">
        <v>2.6975568238811826E-2</v>
      </c>
      <c r="E20090" s="224" t="s">
        <v>2</v>
      </c>
      <c r="F20090" s="515" t="s">
        <v>21261</v>
      </c>
      <c r="G20090" s="52">
        <v>726479.87735786999</v>
      </c>
      <c r="H20090" s="56">
        <v>8.8300789731854692E-2</v>
      </c>
      <c r="I20090" s="224" t="s">
        <v>2</v>
      </c>
    </row>
    <row r="20091" spans="1:9" x14ac:dyDescent="0.25">
      <c r="A20091" s="515">
        <v>65759</v>
      </c>
      <c r="B20091" s="515" t="s">
        <v>757</v>
      </c>
      <c r="C20091" s="52">
        <v>164508.04401028299</v>
      </c>
      <c r="D20091" s="56">
        <v>0.13209688325230615</v>
      </c>
      <c r="E20091" s="224" t="s">
        <v>2</v>
      </c>
      <c r="F20091" s="515" t="s">
        <v>21262</v>
      </c>
      <c r="G20091" s="52">
        <v>241560.37485110399</v>
      </c>
      <c r="H20091" s="56">
        <v>7.0478268181109485E-2</v>
      </c>
      <c r="I20091" s="224" t="s">
        <v>2</v>
      </c>
    </row>
    <row r="20092" spans="1:9" x14ac:dyDescent="0.25">
      <c r="A20092" s="515">
        <v>63336</v>
      </c>
      <c r="C20092" s="52">
        <v>156291.25307872199</v>
      </c>
      <c r="D20092" s="56">
        <v>8.2142383411463377E-2</v>
      </c>
      <c r="E20092" s="224" t="s">
        <v>2</v>
      </c>
      <c r="F20092" s="515" t="s">
        <v>21263</v>
      </c>
      <c r="G20092" s="52">
        <v>126807.70275228001</v>
      </c>
      <c r="H20092" s="56">
        <v>-1.0411365206897323E-2</v>
      </c>
      <c r="I20092" s="224" t="s">
        <v>2</v>
      </c>
    </row>
    <row r="20093" spans="1:9" x14ac:dyDescent="0.25">
      <c r="A20093" s="515">
        <v>47125</v>
      </c>
      <c r="B20093" s="515" t="s">
        <v>479</v>
      </c>
      <c r="C20093" s="52">
        <v>163192.548043063</v>
      </c>
      <c r="D20093" s="56">
        <v>6.1473581355606564E-2</v>
      </c>
      <c r="E20093" s="224" t="s">
        <v>2</v>
      </c>
      <c r="F20093" s="515" t="s">
        <v>21264</v>
      </c>
      <c r="G20093" s="52">
        <v>727234.67567567504</v>
      </c>
      <c r="H20093" s="56">
        <v>0</v>
      </c>
      <c r="I20093" s="224" t="s">
        <v>2</v>
      </c>
    </row>
    <row r="20094" spans="1:9" x14ac:dyDescent="0.25">
      <c r="A20094" s="515">
        <v>43217</v>
      </c>
      <c r="B20094" s="515" t="s">
        <v>345</v>
      </c>
      <c r="C20094" s="52">
        <v>79231.102489851401</v>
      </c>
      <c r="D20094" s="56">
        <v>0.28801180596585652</v>
      </c>
      <c r="E20094" s="224" t="s">
        <v>2</v>
      </c>
      <c r="F20094" s="515" t="s">
        <v>21265</v>
      </c>
      <c r="G20094" s="52">
        <v>583091.50061545603</v>
      </c>
      <c r="H20094" s="56">
        <v>5.9582002941266733E-2</v>
      </c>
      <c r="I20094" s="224" t="s">
        <v>2</v>
      </c>
    </row>
    <row r="20095" spans="1:9" x14ac:dyDescent="0.25">
      <c r="A20095" s="515">
        <v>1344</v>
      </c>
      <c r="B20095" s="515" t="s">
        <v>575</v>
      </c>
      <c r="C20095" s="52">
        <v>273555.95332038403</v>
      </c>
      <c r="D20095" s="56">
        <v>7.8991457206762136E-2</v>
      </c>
      <c r="E20095" s="224" t="s">
        <v>2</v>
      </c>
      <c r="F20095" s="515" t="s">
        <v>21266</v>
      </c>
      <c r="G20095" s="52">
        <v>526127.25677876396</v>
      </c>
      <c r="H20095" s="56">
        <v>3.5635708245019562E-2</v>
      </c>
      <c r="I20095" s="224" t="s">
        <v>2</v>
      </c>
    </row>
    <row r="20096" spans="1:9" x14ac:dyDescent="0.25">
      <c r="A20096" s="515">
        <v>53517</v>
      </c>
      <c r="B20096" s="515" t="s">
        <v>727</v>
      </c>
      <c r="C20096" s="52">
        <v>406367.862610941</v>
      </c>
      <c r="D20096" s="56">
        <v>6.0701041426943839E-2</v>
      </c>
      <c r="E20096" s="224" t="s">
        <v>2</v>
      </c>
      <c r="F20096" s="515" t="s">
        <v>21267</v>
      </c>
      <c r="G20096" s="52">
        <v>205476.62643978899</v>
      </c>
      <c r="H20096" s="56">
        <v>0.24425528751190489</v>
      </c>
      <c r="I20096" s="224" t="s">
        <v>2</v>
      </c>
    </row>
    <row r="20097" spans="1:9" x14ac:dyDescent="0.25">
      <c r="A20097" s="515">
        <v>58251</v>
      </c>
      <c r="B20097" s="515" t="s">
        <v>624</v>
      </c>
      <c r="C20097" s="52">
        <v>169672.35349168599</v>
      </c>
      <c r="D20097" s="56">
        <v>2.3415483946699067E-2</v>
      </c>
      <c r="E20097" s="224" t="s">
        <v>2</v>
      </c>
      <c r="F20097" s="515" t="s">
        <v>21268</v>
      </c>
      <c r="G20097" s="52">
        <v>66189.687042651</v>
      </c>
      <c r="H20097" s="56">
        <v>0</v>
      </c>
      <c r="I20097" s="224" t="s">
        <v>2</v>
      </c>
    </row>
    <row r="20098" spans="1:9" x14ac:dyDescent="0.25">
      <c r="A20098" s="515">
        <v>29453</v>
      </c>
      <c r="B20098" s="515" t="s">
        <v>1009</v>
      </c>
      <c r="C20098" s="52">
        <v>219040.220571727</v>
      </c>
      <c r="D20098" s="56">
        <v>9.4066802136017647E-2</v>
      </c>
      <c r="E20098" s="224" t="s">
        <v>2</v>
      </c>
      <c r="F20098" s="515" t="s">
        <v>21269</v>
      </c>
      <c r="G20098" s="52">
        <v>343088.77194338798</v>
      </c>
      <c r="H20098" s="56">
        <v>1.2266945477298579E-2</v>
      </c>
      <c r="I20098" s="224" t="s">
        <v>2</v>
      </c>
    </row>
    <row r="20099" spans="1:9" x14ac:dyDescent="0.25">
      <c r="A20099" s="515">
        <v>63848</v>
      </c>
      <c r="C20099" s="52">
        <v>77108.523558558707</v>
      </c>
      <c r="D20099" s="56">
        <v>0.11450522893682855</v>
      </c>
      <c r="E20099" s="224" t="s">
        <v>2</v>
      </c>
      <c r="F20099" s="515" t="s">
        <v>21270</v>
      </c>
      <c r="G20099" s="52">
        <v>200094.06244227101</v>
      </c>
      <c r="H20099" s="56">
        <v>4.4143105534785197E-2</v>
      </c>
      <c r="I20099" s="224" t="s">
        <v>2</v>
      </c>
    </row>
    <row r="20100" spans="1:9" x14ac:dyDescent="0.25">
      <c r="A20100" s="515">
        <v>47943</v>
      </c>
      <c r="B20100" s="515" t="s">
        <v>394</v>
      </c>
      <c r="C20100" s="52">
        <v>269044.84733848501</v>
      </c>
      <c r="D20100" s="56">
        <v>5.8843641049854928E-2</v>
      </c>
      <c r="E20100" s="224" t="s">
        <v>2</v>
      </c>
      <c r="F20100" s="515" t="s">
        <v>21271</v>
      </c>
      <c r="G20100" s="52">
        <v>190825.532315196</v>
      </c>
      <c r="H20100" s="56">
        <v>5.9151586328749804E-2</v>
      </c>
      <c r="I20100" s="224" t="s">
        <v>2</v>
      </c>
    </row>
    <row r="20101" spans="1:9" x14ac:dyDescent="0.25">
      <c r="A20101" s="515">
        <v>54624</v>
      </c>
      <c r="C20101" s="52">
        <v>162558.323476886</v>
      </c>
      <c r="D20101" s="56">
        <v>3.8298397857238355E-2</v>
      </c>
      <c r="E20101" s="224" t="s">
        <v>2</v>
      </c>
      <c r="F20101" s="515" t="s">
        <v>21272</v>
      </c>
      <c r="G20101" s="52">
        <v>132856.86524884199</v>
      </c>
      <c r="H20101" s="56">
        <v>0</v>
      </c>
      <c r="I20101" s="224" t="s">
        <v>2</v>
      </c>
    </row>
    <row r="20102" spans="1:9" x14ac:dyDescent="0.25">
      <c r="A20102" s="515">
        <v>24938</v>
      </c>
      <c r="C20102" s="52">
        <v>166623.67967354899</v>
      </c>
      <c r="D20102" s="56">
        <v>6.3003950585682714E-2</v>
      </c>
      <c r="E20102" s="224" t="s">
        <v>2</v>
      </c>
      <c r="F20102" s="515" t="s">
        <v>21273</v>
      </c>
      <c r="G20102" s="52">
        <v>181988.62222222201</v>
      </c>
      <c r="H20102" s="56">
        <v>0</v>
      </c>
      <c r="I20102" s="224" t="s">
        <v>2</v>
      </c>
    </row>
    <row r="20103" spans="1:9" x14ac:dyDescent="0.25">
      <c r="A20103" s="515">
        <v>43347</v>
      </c>
      <c r="B20103" s="515" t="s">
        <v>973</v>
      </c>
      <c r="C20103" s="52">
        <v>180031.21985222699</v>
      </c>
      <c r="D20103" s="56">
        <v>5.0404176174027523E-2</v>
      </c>
      <c r="E20103" s="224" t="s">
        <v>2</v>
      </c>
      <c r="F20103" s="515" t="s">
        <v>11849</v>
      </c>
      <c r="G20103" s="52">
        <v>359505.388888888</v>
      </c>
      <c r="H20103" s="56">
        <v>0</v>
      </c>
      <c r="I20103" s="224" t="s">
        <v>2</v>
      </c>
    </row>
    <row r="20104" spans="1:9" x14ac:dyDescent="0.25">
      <c r="A20104" s="515">
        <v>15329</v>
      </c>
      <c r="B20104" s="515" t="s">
        <v>297</v>
      </c>
      <c r="C20104" s="52">
        <v>213236.71784468301</v>
      </c>
      <c r="D20104" s="56">
        <v>0.13064266536020763</v>
      </c>
      <c r="E20104" s="224" t="s">
        <v>2</v>
      </c>
      <c r="F20104" s="515" t="s">
        <v>21274</v>
      </c>
      <c r="G20104" s="52">
        <v>125185.94825847801</v>
      </c>
      <c r="H20104" s="56">
        <v>0</v>
      </c>
      <c r="I20104" s="224" t="s">
        <v>2</v>
      </c>
    </row>
    <row r="20105" spans="1:9" x14ac:dyDescent="0.25">
      <c r="A20105" s="515">
        <v>43843</v>
      </c>
      <c r="B20105" s="515" t="s">
        <v>341</v>
      </c>
      <c r="C20105" s="52">
        <v>207063.46909688599</v>
      </c>
      <c r="D20105" s="56">
        <v>8.5763735211804859E-2</v>
      </c>
      <c r="E20105" s="224" t="s">
        <v>2</v>
      </c>
      <c r="F20105" s="515" t="s">
        <v>21275</v>
      </c>
      <c r="G20105" s="52">
        <v>173766.93833923101</v>
      </c>
      <c r="H20105" s="56">
        <v>0.20468259004419284</v>
      </c>
      <c r="I20105" s="224" t="s">
        <v>2</v>
      </c>
    </row>
    <row r="20106" spans="1:9" x14ac:dyDescent="0.25">
      <c r="A20106" s="515">
        <v>95645</v>
      </c>
      <c r="B20106" s="515" t="s">
        <v>355</v>
      </c>
      <c r="C20106" s="52">
        <v>377607.99240703002</v>
      </c>
      <c r="D20106" s="56">
        <v>2.6264145339553204E-2</v>
      </c>
      <c r="E20106" s="224" t="s">
        <v>2</v>
      </c>
      <c r="F20106" s="515" t="s">
        <v>21276</v>
      </c>
      <c r="G20106" s="52">
        <v>65506.136602500097</v>
      </c>
      <c r="H20106" s="56">
        <v>0.14248894147146751</v>
      </c>
      <c r="I20106" s="224" t="s">
        <v>2</v>
      </c>
    </row>
    <row r="20107" spans="1:9" x14ac:dyDescent="0.25">
      <c r="A20107" s="515">
        <v>62366</v>
      </c>
      <c r="C20107" s="52">
        <v>69470.712574850302</v>
      </c>
      <c r="D20107" s="56">
        <v>0</v>
      </c>
      <c r="E20107" s="224" t="s">
        <v>2</v>
      </c>
      <c r="F20107" s="515" t="s">
        <v>21277</v>
      </c>
      <c r="G20107" s="52">
        <v>185360.93877551</v>
      </c>
      <c r="H20107" s="56">
        <v>0</v>
      </c>
      <c r="I20107" s="224" t="s">
        <v>2</v>
      </c>
    </row>
    <row r="20108" spans="1:9" x14ac:dyDescent="0.25">
      <c r="A20108" s="515">
        <v>21645</v>
      </c>
      <c r="C20108" s="52">
        <v>421794.42791332101</v>
      </c>
      <c r="D20108" s="56">
        <v>4.0472692714276365E-2</v>
      </c>
      <c r="E20108" s="224" t="s">
        <v>2</v>
      </c>
      <c r="F20108" s="515" t="s">
        <v>21278</v>
      </c>
      <c r="G20108" s="52">
        <v>284200.43243243202</v>
      </c>
      <c r="H20108" s="56">
        <v>0</v>
      </c>
      <c r="I20108" s="224" t="s">
        <v>2</v>
      </c>
    </row>
    <row r="20109" spans="1:9" x14ac:dyDescent="0.25">
      <c r="A20109" s="515">
        <v>12521</v>
      </c>
      <c r="B20109" s="515" t="s">
        <v>564</v>
      </c>
      <c r="C20109" s="52">
        <v>404573.50769975601</v>
      </c>
      <c r="D20109" s="56">
        <v>0.1003259742148999</v>
      </c>
      <c r="E20109" s="224" t="s">
        <v>2</v>
      </c>
      <c r="F20109" s="515" t="s">
        <v>21279</v>
      </c>
      <c r="G20109" s="52">
        <v>218170.74136561199</v>
      </c>
      <c r="H20109" s="56">
        <v>8.6971512973120141E-2</v>
      </c>
      <c r="I20109" s="224" t="s">
        <v>2</v>
      </c>
    </row>
    <row r="20110" spans="1:9" x14ac:dyDescent="0.25">
      <c r="A20110" s="515">
        <v>96772</v>
      </c>
      <c r="B20110" s="515" t="s">
        <v>399</v>
      </c>
      <c r="C20110" s="52">
        <v>371641.51544826501</v>
      </c>
      <c r="D20110" s="56">
        <v>0.16606985306129535</v>
      </c>
      <c r="E20110" s="224" t="s">
        <v>2</v>
      </c>
      <c r="F20110" s="515" t="s">
        <v>21280</v>
      </c>
      <c r="G20110" s="52">
        <v>194511.84615384601</v>
      </c>
      <c r="H20110" s="56">
        <v>0</v>
      </c>
      <c r="I20110" s="224" t="s">
        <v>2</v>
      </c>
    </row>
    <row r="20111" spans="1:9" x14ac:dyDescent="0.25">
      <c r="A20111" s="515">
        <v>74553</v>
      </c>
      <c r="C20111" s="52">
        <v>131443.82071908601</v>
      </c>
      <c r="D20111" s="56">
        <v>7.7053105234024546E-2</v>
      </c>
      <c r="E20111" s="224" t="s">
        <v>2</v>
      </c>
      <c r="F20111" s="515" t="s">
        <v>21281</v>
      </c>
      <c r="G20111" s="52">
        <v>115786.846435094</v>
      </c>
      <c r="H20111" s="56">
        <v>0.13506445000324024</v>
      </c>
      <c r="I20111" s="224" t="s">
        <v>2</v>
      </c>
    </row>
    <row r="20112" spans="1:9" x14ac:dyDescent="0.25">
      <c r="A20112" s="515">
        <v>17765</v>
      </c>
      <c r="B20112" s="515" t="s">
        <v>296</v>
      </c>
      <c r="C20112" s="52">
        <v>205968.088952772</v>
      </c>
      <c r="D20112" s="56">
        <v>0.12982123223748759</v>
      </c>
      <c r="E20112" s="224" t="s">
        <v>2</v>
      </c>
      <c r="F20112" s="515" t="s">
        <v>21282</v>
      </c>
      <c r="G20112" s="52">
        <v>130943.686801841</v>
      </c>
      <c r="H20112" s="56">
        <v>3.1384564341825204E-2</v>
      </c>
      <c r="I20112" s="224" t="s">
        <v>2</v>
      </c>
    </row>
    <row r="20113" spans="1:9" x14ac:dyDescent="0.25">
      <c r="A20113" s="515">
        <v>37171</v>
      </c>
      <c r="B20113" s="515" t="s">
        <v>651</v>
      </c>
      <c r="C20113" s="52">
        <v>289956.88179435802</v>
      </c>
      <c r="D20113" s="56">
        <v>6.4592363002556497E-2</v>
      </c>
      <c r="E20113" s="224" t="s">
        <v>2</v>
      </c>
      <c r="F20113" s="515" t="s">
        <v>21283</v>
      </c>
      <c r="G20113" s="52">
        <v>169497.01613493499</v>
      </c>
      <c r="H20113" s="56">
        <v>0.12485077617962588</v>
      </c>
      <c r="I20113" s="224" t="s">
        <v>2</v>
      </c>
    </row>
    <row r="20114" spans="1:9" x14ac:dyDescent="0.25">
      <c r="A20114" s="515">
        <v>76622</v>
      </c>
      <c r="C20114" s="52">
        <v>264871.23440188402</v>
      </c>
      <c r="D20114" s="56">
        <v>0</v>
      </c>
      <c r="E20114" s="224" t="s">
        <v>2</v>
      </c>
      <c r="F20114" s="515" t="s">
        <v>21284</v>
      </c>
      <c r="G20114" s="52">
        <v>219684.761538461</v>
      </c>
      <c r="H20114" s="56">
        <v>0</v>
      </c>
      <c r="I20114" s="224" t="s">
        <v>2</v>
      </c>
    </row>
    <row r="20115" spans="1:9" x14ac:dyDescent="0.25">
      <c r="A20115" s="515">
        <v>22922</v>
      </c>
      <c r="B20115" s="515" t="s">
        <v>630</v>
      </c>
      <c r="C20115" s="52">
        <v>206390.05702492999</v>
      </c>
      <c r="D20115" s="56">
        <v>0.16181102908609665</v>
      </c>
      <c r="E20115" s="224" t="s">
        <v>2</v>
      </c>
      <c r="F20115" s="515" t="s">
        <v>21285</v>
      </c>
      <c r="G20115" s="52">
        <v>217675.78849232101</v>
      </c>
      <c r="H20115" s="56">
        <v>4.5317861219096658E-2</v>
      </c>
      <c r="I20115" s="224" t="s">
        <v>2</v>
      </c>
    </row>
    <row r="20116" spans="1:9" x14ac:dyDescent="0.25">
      <c r="A20116" s="515">
        <v>62476</v>
      </c>
      <c r="C20116" s="52">
        <v>54645.214631741597</v>
      </c>
      <c r="D20116" s="56">
        <v>-5.528711370778177E-2</v>
      </c>
      <c r="E20116" s="224" t="s">
        <v>2</v>
      </c>
      <c r="F20116" s="515" t="s">
        <v>21286</v>
      </c>
      <c r="G20116" s="52">
        <v>86435.111111111095</v>
      </c>
      <c r="H20116" s="56">
        <v>0</v>
      </c>
      <c r="I20116" s="224" t="s">
        <v>2</v>
      </c>
    </row>
    <row r="20117" spans="1:9" x14ac:dyDescent="0.25">
      <c r="A20117" s="515">
        <v>36758</v>
      </c>
      <c r="B20117" s="515" t="s">
        <v>483</v>
      </c>
      <c r="C20117" s="52">
        <v>118250.613187619</v>
      </c>
      <c r="D20117" s="56">
        <v>1.8651755088863551E-2</v>
      </c>
      <c r="E20117" s="224" t="s">
        <v>2</v>
      </c>
      <c r="F20117" s="515" t="s">
        <v>21287</v>
      </c>
      <c r="G20117" s="52">
        <v>111077.59250458601</v>
      </c>
      <c r="H20117" s="56">
        <v>0.17864121970504604</v>
      </c>
      <c r="I20117" s="224" t="s">
        <v>2</v>
      </c>
    </row>
    <row r="20118" spans="1:9" x14ac:dyDescent="0.25">
      <c r="A20118" s="515">
        <v>15344</v>
      </c>
      <c r="C20118" s="52">
        <v>123401.736801779</v>
      </c>
      <c r="D20118" s="56">
        <v>7.8282245208146001E-2</v>
      </c>
      <c r="E20118" s="224" t="s">
        <v>2</v>
      </c>
      <c r="F20118" s="515" t="s">
        <v>21288</v>
      </c>
      <c r="G20118" s="52">
        <v>305275.45159029303</v>
      </c>
      <c r="H20118" s="56">
        <v>5.3751305916088406E-2</v>
      </c>
      <c r="I20118" s="224" t="s">
        <v>2</v>
      </c>
    </row>
    <row r="20119" spans="1:9" x14ac:dyDescent="0.25">
      <c r="A20119" s="515">
        <v>96020</v>
      </c>
      <c r="C20119" s="52">
        <v>347370.470828944</v>
      </c>
      <c r="D20119" s="56">
        <v>1.5045334403559677E-2</v>
      </c>
      <c r="E20119" s="224" t="s">
        <v>2</v>
      </c>
      <c r="F20119" s="515" t="s">
        <v>21289</v>
      </c>
      <c r="G20119" s="52">
        <v>197381.00668621101</v>
      </c>
      <c r="H20119" s="56">
        <v>9.972702220297959E-2</v>
      </c>
      <c r="I20119" s="224" t="s">
        <v>2</v>
      </c>
    </row>
    <row r="20120" spans="1:9" x14ac:dyDescent="0.25">
      <c r="A20120" s="515">
        <v>63091</v>
      </c>
      <c r="C20120" s="52">
        <v>224290.13456497199</v>
      </c>
      <c r="D20120" s="56">
        <v>0.1417792004064517</v>
      </c>
      <c r="E20120" s="224" t="s">
        <v>2</v>
      </c>
      <c r="F20120" s="515" t="s">
        <v>21290</v>
      </c>
      <c r="G20120" s="52">
        <v>494422.90708991099</v>
      </c>
      <c r="H20120" s="56">
        <v>0.12677948723147894</v>
      </c>
      <c r="I20120" s="224" t="s">
        <v>2</v>
      </c>
    </row>
    <row r="20121" spans="1:9" x14ac:dyDescent="0.25">
      <c r="A20121" s="515">
        <v>42159</v>
      </c>
      <c r="B20121" s="515" t="s">
        <v>799</v>
      </c>
      <c r="C20121" s="52">
        <v>249972.04581646601</v>
      </c>
      <c r="D20121" s="56">
        <v>0.13264993817818116</v>
      </c>
      <c r="E20121" s="224" t="s">
        <v>2</v>
      </c>
      <c r="F20121" s="515" t="s">
        <v>21291</v>
      </c>
      <c r="G20121" s="52">
        <v>709248.93683241203</v>
      </c>
      <c r="H20121" s="56">
        <v>0.1186595747304753</v>
      </c>
      <c r="I20121" s="224" t="s">
        <v>2</v>
      </c>
    </row>
    <row r="20122" spans="1:9" x14ac:dyDescent="0.25">
      <c r="A20122" s="515">
        <v>50002</v>
      </c>
      <c r="B20122" s="515" t="s">
        <v>295</v>
      </c>
      <c r="C20122" s="52">
        <v>148359.64622282999</v>
      </c>
      <c r="D20122" s="56">
        <v>5.5512949832703454E-2</v>
      </c>
      <c r="E20122" s="224" t="s">
        <v>2</v>
      </c>
      <c r="F20122" s="515" t="s">
        <v>21292</v>
      </c>
      <c r="G20122" s="52">
        <v>387158.28092054202</v>
      </c>
      <c r="H20122" s="56">
        <v>0.26884830651289732</v>
      </c>
      <c r="I20122" s="224" t="s">
        <v>2</v>
      </c>
    </row>
    <row r="20123" spans="1:9" x14ac:dyDescent="0.25">
      <c r="A20123" s="515">
        <v>39755</v>
      </c>
      <c r="B20123" s="515" t="s">
        <v>1051</v>
      </c>
      <c r="C20123" s="52">
        <v>129174.750197402</v>
      </c>
      <c r="D20123" s="56">
        <v>-2.8108417370814468E-3</v>
      </c>
      <c r="E20123" s="224" t="s">
        <v>2</v>
      </c>
      <c r="F20123" s="515" t="s">
        <v>21293</v>
      </c>
      <c r="G20123" s="52">
        <v>228855.29751385</v>
      </c>
      <c r="H20123" s="56">
        <v>0.11132646448832283</v>
      </c>
      <c r="I20123" s="224" t="s">
        <v>2</v>
      </c>
    </row>
    <row r="20124" spans="1:9" x14ac:dyDescent="0.25">
      <c r="A20124" s="515">
        <v>63469</v>
      </c>
      <c r="C20124" s="52">
        <v>138178.101824121</v>
      </c>
      <c r="D20124" s="56">
        <v>8.4739029125329282E-2</v>
      </c>
      <c r="E20124" s="224" t="s">
        <v>2</v>
      </c>
      <c r="F20124" s="515" t="s">
        <v>21294</v>
      </c>
      <c r="G20124" s="52">
        <v>157186.15295091999</v>
      </c>
      <c r="H20124" s="56">
        <v>0</v>
      </c>
      <c r="I20124" s="224" t="s">
        <v>2</v>
      </c>
    </row>
    <row r="20125" spans="1:9" x14ac:dyDescent="0.25">
      <c r="A20125" s="515">
        <v>29146</v>
      </c>
      <c r="B20125" s="515" t="s">
        <v>888</v>
      </c>
      <c r="C20125" s="52">
        <v>69659.891391834506</v>
      </c>
      <c r="D20125" s="56">
        <v>-1.8855651582956028E-2</v>
      </c>
      <c r="E20125" s="224" t="s">
        <v>2</v>
      </c>
      <c r="F20125" s="515" t="s">
        <v>21295</v>
      </c>
      <c r="G20125" s="52">
        <v>360060.82237470901</v>
      </c>
      <c r="H20125" s="56">
        <v>7.1411331222757682E-2</v>
      </c>
      <c r="I20125" s="224" t="s">
        <v>2</v>
      </c>
    </row>
    <row r="20126" spans="1:9" x14ac:dyDescent="0.25">
      <c r="A20126" s="515">
        <v>65239</v>
      </c>
      <c r="B20126" s="515" t="s">
        <v>790</v>
      </c>
      <c r="C20126" s="52">
        <v>198516.09534540601</v>
      </c>
      <c r="D20126" s="56">
        <v>8.0983400317860832E-2</v>
      </c>
      <c r="E20126" s="224" t="s">
        <v>2</v>
      </c>
      <c r="F20126" s="515" t="s">
        <v>21296</v>
      </c>
      <c r="G20126" s="52">
        <v>370809.522401569</v>
      </c>
      <c r="H20126" s="56">
        <v>9.6294473210155357E-2</v>
      </c>
      <c r="I20126" s="224" t="s">
        <v>2</v>
      </c>
    </row>
    <row r="20127" spans="1:9" x14ac:dyDescent="0.25">
      <c r="A20127" s="515">
        <v>42713</v>
      </c>
      <c r="C20127" s="52">
        <v>135315.397387848</v>
      </c>
      <c r="D20127" s="56">
        <v>0.16719178883789768</v>
      </c>
      <c r="E20127" s="224" t="s">
        <v>2</v>
      </c>
      <c r="F20127" s="515" t="s">
        <v>21297</v>
      </c>
      <c r="G20127" s="52">
        <v>65294.890512500802</v>
      </c>
      <c r="H20127" s="56">
        <v>0</v>
      </c>
      <c r="I20127" s="224" t="s">
        <v>2</v>
      </c>
    </row>
    <row r="20128" spans="1:9" x14ac:dyDescent="0.25">
      <c r="A20128" s="515">
        <v>25841</v>
      </c>
      <c r="B20128" s="515" t="s">
        <v>306</v>
      </c>
      <c r="C20128" s="52">
        <v>147456.02331999299</v>
      </c>
      <c r="D20128" s="56">
        <v>0.15372920880480206</v>
      </c>
      <c r="E20128" s="224" t="s">
        <v>2</v>
      </c>
      <c r="F20128" s="515" t="s">
        <v>21298</v>
      </c>
      <c r="G20128" s="52">
        <v>110306.350703291</v>
      </c>
      <c r="H20128" s="56">
        <v>3.0307047755120102E-2</v>
      </c>
      <c r="I20128" s="224" t="s">
        <v>2</v>
      </c>
    </row>
    <row r="20129" spans="1:9" x14ac:dyDescent="0.25">
      <c r="A20129" s="515">
        <v>24483</v>
      </c>
      <c r="C20129" s="52">
        <v>256714.20091547599</v>
      </c>
      <c r="D20129" s="56">
        <v>0.14775606768488259</v>
      </c>
      <c r="E20129" s="224" t="s">
        <v>2</v>
      </c>
      <c r="F20129" s="515" t="s">
        <v>21299</v>
      </c>
      <c r="G20129" s="52">
        <v>266489.12411855703</v>
      </c>
      <c r="H20129" s="56">
        <v>0.2276922142938029</v>
      </c>
      <c r="I20129" s="224" t="s">
        <v>2</v>
      </c>
    </row>
    <row r="20130" spans="1:9" x14ac:dyDescent="0.25">
      <c r="A20130" s="515">
        <v>65692</v>
      </c>
      <c r="B20130" s="515" t="s">
        <v>984</v>
      </c>
      <c r="C20130" s="52">
        <v>191917.93061697599</v>
      </c>
      <c r="D20130" s="56">
        <v>0.13583064178276927</v>
      </c>
      <c r="E20130" s="224" t="s">
        <v>2</v>
      </c>
      <c r="F20130" s="515" t="s">
        <v>21300</v>
      </c>
      <c r="G20130" s="52">
        <v>123819.82770142901</v>
      </c>
      <c r="H20130" s="56">
        <v>6.1549601861077323E-2</v>
      </c>
      <c r="I20130" s="224" t="s">
        <v>2</v>
      </c>
    </row>
    <row r="20131" spans="1:9" x14ac:dyDescent="0.25">
      <c r="A20131" s="515">
        <v>17017</v>
      </c>
      <c r="B20131" s="515" t="s">
        <v>939</v>
      </c>
      <c r="C20131" s="52">
        <v>166113.967940295</v>
      </c>
      <c r="D20131" s="56">
        <v>6.7722198457597776E-2</v>
      </c>
      <c r="E20131" s="224" t="s">
        <v>2</v>
      </c>
      <c r="F20131" s="515" t="s">
        <v>21301</v>
      </c>
      <c r="G20131" s="52">
        <v>136370.064516129</v>
      </c>
      <c r="H20131" s="56">
        <v>0</v>
      </c>
      <c r="I20131" s="224" t="s">
        <v>2</v>
      </c>
    </row>
    <row r="20132" spans="1:9" x14ac:dyDescent="0.25">
      <c r="A20132" s="515">
        <v>38067</v>
      </c>
      <c r="C20132" s="52">
        <v>155861.68744999601</v>
      </c>
      <c r="D20132" s="56">
        <v>3.9300405826699553E-2</v>
      </c>
      <c r="E20132" s="224" t="s">
        <v>2</v>
      </c>
      <c r="F20132" s="515" t="s">
        <v>21302</v>
      </c>
      <c r="G20132" s="52">
        <v>565037.73263195297</v>
      </c>
      <c r="H20132" s="56">
        <v>7.6219749275786799E-2</v>
      </c>
      <c r="I20132" s="224" t="s">
        <v>2</v>
      </c>
    </row>
    <row r="20133" spans="1:9" x14ac:dyDescent="0.25">
      <c r="A20133" s="515">
        <v>81047</v>
      </c>
      <c r="C20133" s="52">
        <v>111562.589268191</v>
      </c>
      <c r="D20133" s="56">
        <v>4.0667921139202735E-2</v>
      </c>
      <c r="E20133" s="224" t="s">
        <v>2</v>
      </c>
      <c r="F20133" s="515" t="s">
        <v>21303</v>
      </c>
      <c r="G20133" s="52">
        <v>316566.27620415197</v>
      </c>
      <c r="H20133" s="56">
        <v>-8.6641475072014362E-2</v>
      </c>
      <c r="I20133" s="224" t="s">
        <v>2</v>
      </c>
    </row>
    <row r="20134" spans="1:9" x14ac:dyDescent="0.25">
      <c r="A20134" s="515">
        <v>68930</v>
      </c>
      <c r="C20134" s="52">
        <v>174354.01717629001</v>
      </c>
      <c r="D20134" s="56">
        <v>0.17534515265523884</v>
      </c>
      <c r="E20134" s="224" t="s">
        <v>2</v>
      </c>
      <c r="F20134" s="515" t="s">
        <v>21304</v>
      </c>
      <c r="G20134" s="52">
        <v>29028.096768055701</v>
      </c>
      <c r="H20134" s="56">
        <v>1.0424705103534843E-4</v>
      </c>
      <c r="I20134" s="224" t="s">
        <v>2</v>
      </c>
    </row>
    <row r="20135" spans="1:9" x14ac:dyDescent="0.25">
      <c r="A20135" s="515">
        <v>29355</v>
      </c>
      <c r="B20135" s="515" t="s">
        <v>613</v>
      </c>
      <c r="C20135" s="52">
        <v>148595.78566344199</v>
      </c>
      <c r="D20135" s="56">
        <v>2.0933822990721575E-2</v>
      </c>
      <c r="E20135" s="224" t="s">
        <v>2</v>
      </c>
      <c r="F20135" s="515" t="s">
        <v>21305</v>
      </c>
      <c r="G20135" s="52">
        <v>247486.188289766</v>
      </c>
      <c r="H20135" s="56">
        <v>1.8467382390129478E-2</v>
      </c>
      <c r="I20135" s="224" t="s">
        <v>2</v>
      </c>
    </row>
    <row r="20136" spans="1:9" x14ac:dyDescent="0.25">
      <c r="A20136" s="515">
        <v>99133</v>
      </c>
      <c r="B20136" s="515" t="s">
        <v>666</v>
      </c>
      <c r="C20136" s="52">
        <v>221612.11368104999</v>
      </c>
      <c r="D20136" s="56">
        <v>9.6613834336329155E-2</v>
      </c>
      <c r="E20136" s="224" t="s">
        <v>2</v>
      </c>
      <c r="F20136" s="515" t="s">
        <v>21306</v>
      </c>
      <c r="G20136" s="52">
        <v>42964.603694982499</v>
      </c>
      <c r="H20136" s="56">
        <v>3.361773754911674E-2</v>
      </c>
      <c r="I20136" s="224" t="s">
        <v>2</v>
      </c>
    </row>
    <row r="20137" spans="1:9" x14ac:dyDescent="0.25">
      <c r="A20137" s="515">
        <v>73768</v>
      </c>
      <c r="C20137" s="52">
        <v>179304.400923423</v>
      </c>
      <c r="D20137" s="56">
        <v>0.11181418975218378</v>
      </c>
      <c r="E20137" s="224" t="s">
        <v>2</v>
      </c>
      <c r="F20137" s="515" t="s">
        <v>21307</v>
      </c>
      <c r="G20137" s="52">
        <v>209241.72093931999</v>
      </c>
      <c r="H20137" s="56">
        <v>9.9137490019896385E-2</v>
      </c>
      <c r="I20137" s="224" t="s">
        <v>2</v>
      </c>
    </row>
    <row r="20138" spans="1:9" x14ac:dyDescent="0.25">
      <c r="A20138" s="515">
        <v>95303</v>
      </c>
      <c r="B20138" s="515" t="s">
        <v>594</v>
      </c>
      <c r="C20138" s="52">
        <v>701701.14394659398</v>
      </c>
      <c r="D20138" s="56">
        <v>8.5131370751477115E-3</v>
      </c>
      <c r="E20138" s="224" t="s">
        <v>2</v>
      </c>
      <c r="F20138" s="515" t="s">
        <v>21308</v>
      </c>
      <c r="G20138" s="52">
        <v>75802.765706784194</v>
      </c>
      <c r="H20138" s="56">
        <v>0.12146034621139498</v>
      </c>
      <c r="I20138" s="224" t="s">
        <v>2</v>
      </c>
    </row>
    <row r="20139" spans="1:9" x14ac:dyDescent="0.25">
      <c r="A20139" s="515">
        <v>56587</v>
      </c>
      <c r="B20139" s="515" t="s">
        <v>601</v>
      </c>
      <c r="C20139" s="52">
        <v>357278.57903970598</v>
      </c>
      <c r="D20139" s="56">
        <v>9.7211877978159167E-2</v>
      </c>
      <c r="E20139" s="224" t="s">
        <v>2</v>
      </c>
      <c r="F20139" s="515" t="s">
        <v>21309</v>
      </c>
      <c r="G20139" s="52">
        <v>126056.804572799</v>
      </c>
      <c r="H20139" s="56">
        <v>-1.7408339457216475E-2</v>
      </c>
      <c r="I20139" s="224" t="s">
        <v>2</v>
      </c>
    </row>
    <row r="20140" spans="1:9" x14ac:dyDescent="0.25">
      <c r="A20140" s="515">
        <v>42082</v>
      </c>
      <c r="B20140" s="515" t="s">
        <v>933</v>
      </c>
      <c r="C20140" s="52">
        <v>163492.340583021</v>
      </c>
      <c r="D20140" s="56">
        <v>0.11195484384595288</v>
      </c>
      <c r="E20140" s="224" t="s">
        <v>2</v>
      </c>
      <c r="F20140" s="515" t="s">
        <v>21310</v>
      </c>
      <c r="G20140" s="52">
        <v>141125.13207547099</v>
      </c>
      <c r="H20140" s="56">
        <v>0</v>
      </c>
      <c r="I20140" s="224" t="s">
        <v>2</v>
      </c>
    </row>
    <row r="20141" spans="1:9" x14ac:dyDescent="0.25">
      <c r="A20141" s="515">
        <v>97443</v>
      </c>
      <c r="B20141" s="515" t="s">
        <v>449</v>
      </c>
      <c r="C20141" s="52">
        <v>369235.10170604498</v>
      </c>
      <c r="D20141" s="56">
        <v>7.9383360245761203E-2</v>
      </c>
      <c r="E20141" s="224" t="s">
        <v>2</v>
      </c>
      <c r="F20141" s="515" t="s">
        <v>21311</v>
      </c>
      <c r="G20141" s="52">
        <v>283039.94</v>
      </c>
      <c r="H20141" s="56">
        <v>0</v>
      </c>
      <c r="I20141" s="224" t="s">
        <v>2</v>
      </c>
    </row>
    <row r="20142" spans="1:9" x14ac:dyDescent="0.25">
      <c r="A20142" s="515">
        <v>62047</v>
      </c>
      <c r="B20142" s="515" t="s">
        <v>498</v>
      </c>
      <c r="C20142" s="52">
        <v>114333.84035531399</v>
      </c>
      <c r="D20142" s="56">
        <v>6.5744178688312671E-2</v>
      </c>
      <c r="E20142" s="224" t="s">
        <v>2</v>
      </c>
      <c r="F20142" s="515" t="s">
        <v>21312</v>
      </c>
      <c r="G20142" s="52">
        <v>91764.4</v>
      </c>
      <c r="H20142" s="56">
        <v>0</v>
      </c>
      <c r="I20142" s="224" t="s">
        <v>2</v>
      </c>
    </row>
    <row r="20143" spans="1:9" x14ac:dyDescent="0.25">
      <c r="A20143" s="515">
        <v>55795</v>
      </c>
      <c r="C20143" s="52">
        <v>229385.30651823801</v>
      </c>
      <c r="D20143" s="56">
        <v>0.16160084304433966</v>
      </c>
      <c r="E20143" s="224" t="s">
        <v>2</v>
      </c>
      <c r="F20143" s="515" t="s">
        <v>21313</v>
      </c>
      <c r="G20143" s="52">
        <v>80026.708197441898</v>
      </c>
      <c r="H20143" s="56">
        <v>1.7107508240458116E-2</v>
      </c>
      <c r="I20143" s="224" t="s">
        <v>2</v>
      </c>
    </row>
    <row r="20144" spans="1:9" x14ac:dyDescent="0.25">
      <c r="A20144" s="515">
        <v>23004</v>
      </c>
      <c r="C20144" s="52">
        <v>139008.413923054</v>
      </c>
      <c r="D20144" s="56">
        <v>0</v>
      </c>
      <c r="E20144" s="224" t="s">
        <v>2</v>
      </c>
      <c r="F20144" s="515" t="s">
        <v>21314</v>
      </c>
      <c r="G20144" s="52">
        <v>180058.391918145</v>
      </c>
      <c r="H20144" s="56">
        <v>-6.7397328345749415E-4</v>
      </c>
      <c r="I20144" s="224" t="s">
        <v>2</v>
      </c>
    </row>
    <row r="20145" spans="1:9" x14ac:dyDescent="0.25">
      <c r="A20145" s="515">
        <v>79511</v>
      </c>
      <c r="B20145" s="515" t="s">
        <v>1061</v>
      </c>
      <c r="C20145" s="52">
        <v>168918.67500819601</v>
      </c>
      <c r="D20145" s="56">
        <v>-2.7961396454070767E-2</v>
      </c>
      <c r="E20145" s="224" t="s">
        <v>2</v>
      </c>
      <c r="F20145" s="515" t="s">
        <v>21315</v>
      </c>
      <c r="G20145" s="52">
        <v>403968.21173212602</v>
      </c>
      <c r="H20145" s="56">
        <v>8.0884871130672983E-2</v>
      </c>
      <c r="I20145" s="224" t="s">
        <v>2</v>
      </c>
    </row>
    <row r="20146" spans="1:9" x14ac:dyDescent="0.25">
      <c r="A20146" s="515">
        <v>61450</v>
      </c>
      <c r="B20146" s="515" t="s">
        <v>496</v>
      </c>
      <c r="C20146" s="52">
        <v>73631.498785308897</v>
      </c>
      <c r="D20146" s="56">
        <v>-4.7396112141545078E-2</v>
      </c>
      <c r="E20146" s="224" t="s">
        <v>2</v>
      </c>
      <c r="F20146" s="515" t="s">
        <v>21316</v>
      </c>
      <c r="G20146" s="52">
        <v>220048.62940093499</v>
      </c>
      <c r="H20146" s="56">
        <v>0.11935070048418785</v>
      </c>
      <c r="I20146" s="224" t="s">
        <v>2</v>
      </c>
    </row>
    <row r="20147" spans="1:9" x14ac:dyDescent="0.25">
      <c r="A20147" s="515">
        <v>4068</v>
      </c>
      <c r="C20147" s="52">
        <v>244555.30508538501</v>
      </c>
      <c r="D20147" s="56">
        <v>6.7071875126368141E-2</v>
      </c>
      <c r="E20147" s="224" t="s">
        <v>2</v>
      </c>
      <c r="F20147" s="515" t="s">
        <v>21317</v>
      </c>
      <c r="G20147" s="52">
        <v>229891.67369568601</v>
      </c>
      <c r="H20147" s="56">
        <v>5.8036447576622532E-2</v>
      </c>
      <c r="I20147" s="224" t="s">
        <v>2</v>
      </c>
    </row>
    <row r="20148" spans="1:9" x14ac:dyDescent="0.25">
      <c r="A20148" s="515">
        <v>97493</v>
      </c>
      <c r="B20148" s="515" t="s">
        <v>801</v>
      </c>
      <c r="C20148" s="52">
        <v>423457.89151192497</v>
      </c>
      <c r="D20148" s="56">
        <v>2.851190164074088E-2</v>
      </c>
      <c r="E20148" s="224" t="s">
        <v>2</v>
      </c>
      <c r="F20148" s="515" t="s">
        <v>21318</v>
      </c>
      <c r="G20148" s="52">
        <v>79723.213057045898</v>
      </c>
      <c r="H20148" s="56">
        <v>0.10770722777329855</v>
      </c>
      <c r="I20148" s="224" t="s">
        <v>2</v>
      </c>
    </row>
    <row r="20149" spans="1:9" x14ac:dyDescent="0.25">
      <c r="A20149" s="515">
        <v>14481</v>
      </c>
      <c r="B20149" s="515" t="s">
        <v>337</v>
      </c>
      <c r="C20149" s="52">
        <v>173418.88791504799</v>
      </c>
      <c r="D20149" s="56">
        <v>8.1721555017605682E-2</v>
      </c>
      <c r="E20149" s="224" t="s">
        <v>2</v>
      </c>
      <c r="F20149" s="515" t="s">
        <v>21319</v>
      </c>
      <c r="G20149" s="52">
        <v>324620.87804878002</v>
      </c>
      <c r="H20149" s="56">
        <v>0</v>
      </c>
      <c r="I20149" s="224" t="s">
        <v>2</v>
      </c>
    </row>
    <row r="20150" spans="1:9" x14ac:dyDescent="0.25">
      <c r="A20150" s="515">
        <v>89448</v>
      </c>
      <c r="B20150" s="515" t="s">
        <v>823</v>
      </c>
      <c r="C20150" s="52">
        <v>1147725.2090259099</v>
      </c>
      <c r="D20150" s="56">
        <v>2.9628892996002989E-2</v>
      </c>
      <c r="E20150" s="224" t="s">
        <v>2</v>
      </c>
      <c r="F20150" s="515" t="s">
        <v>21320</v>
      </c>
      <c r="G20150" s="52">
        <v>110910.28</v>
      </c>
      <c r="H20150" s="56">
        <v>0</v>
      </c>
      <c r="I20150" s="224" t="s">
        <v>2</v>
      </c>
    </row>
    <row r="20151" spans="1:9" x14ac:dyDescent="0.25">
      <c r="A20151" s="515">
        <v>45678</v>
      </c>
      <c r="B20151" s="515" t="s">
        <v>602</v>
      </c>
      <c r="C20151" s="52">
        <v>125203.074804378</v>
      </c>
      <c r="D20151" s="56">
        <v>5.604384312816315E-3</v>
      </c>
      <c r="E20151" s="224" t="s">
        <v>2</v>
      </c>
      <c r="F20151" s="515" t="s">
        <v>21321</v>
      </c>
      <c r="G20151" s="52">
        <v>125581.01154801399</v>
      </c>
      <c r="H20151" s="56">
        <v>0</v>
      </c>
      <c r="I20151" s="224" t="s">
        <v>2</v>
      </c>
    </row>
    <row r="20152" spans="1:9" x14ac:dyDescent="0.25">
      <c r="A20152" s="515">
        <v>41180</v>
      </c>
      <c r="C20152" s="52">
        <v>137254.83267620701</v>
      </c>
      <c r="D20152" s="56">
        <v>0.15942755751170795</v>
      </c>
      <c r="E20152" s="224" t="s">
        <v>2</v>
      </c>
      <c r="F20152" s="515" t="s">
        <v>21322</v>
      </c>
      <c r="G20152" s="52">
        <v>72855.006537980793</v>
      </c>
      <c r="H20152" s="56">
        <v>0.38471503823882836</v>
      </c>
      <c r="I20152" s="224" t="s">
        <v>2</v>
      </c>
    </row>
    <row r="20153" spans="1:9" x14ac:dyDescent="0.25">
      <c r="A20153" s="515">
        <v>85554</v>
      </c>
      <c r="B20153" s="515" t="s">
        <v>692</v>
      </c>
      <c r="C20153" s="52">
        <v>320435.15356588998</v>
      </c>
      <c r="D20153" s="56">
        <v>-5.7111579971869727E-4</v>
      </c>
      <c r="E20153" s="224" t="s">
        <v>2</v>
      </c>
      <c r="F20153" s="515" t="s">
        <v>21323</v>
      </c>
      <c r="G20153" s="52">
        <v>85582.361578031894</v>
      </c>
      <c r="H20153" s="56">
        <v>4.2061651436020787E-2</v>
      </c>
      <c r="I20153" s="224" t="s">
        <v>2</v>
      </c>
    </row>
    <row r="20154" spans="1:9" x14ac:dyDescent="0.25">
      <c r="A20154" s="515">
        <v>16351</v>
      </c>
      <c r="B20154" s="515" t="s">
        <v>584</v>
      </c>
      <c r="C20154" s="52">
        <v>89417.685260507104</v>
      </c>
      <c r="D20154" s="56">
        <v>0.12065577749002382</v>
      </c>
      <c r="E20154" s="224" t="s">
        <v>2</v>
      </c>
      <c r="F20154" s="515" t="s">
        <v>21324</v>
      </c>
      <c r="G20154" s="52">
        <v>385056.14790700399</v>
      </c>
      <c r="H20154" s="56">
        <v>4.8576576666885862E-2</v>
      </c>
      <c r="I20154" s="224" t="s">
        <v>2</v>
      </c>
    </row>
    <row r="20155" spans="1:9" x14ac:dyDescent="0.25">
      <c r="A20155" s="515">
        <v>12734</v>
      </c>
      <c r="C20155" s="52">
        <v>254461.27254796401</v>
      </c>
      <c r="D20155" s="56">
        <v>0.18729797652246144</v>
      </c>
      <c r="E20155" s="224" t="s">
        <v>2</v>
      </c>
      <c r="F20155" s="515" t="s">
        <v>21325</v>
      </c>
      <c r="G20155" s="52">
        <v>316495.09423476597</v>
      </c>
      <c r="H20155" s="56">
        <v>9.2328547815568235E-2</v>
      </c>
      <c r="I20155" s="224" t="s">
        <v>2</v>
      </c>
    </row>
    <row r="20156" spans="1:9" x14ac:dyDescent="0.25">
      <c r="A20156" s="515">
        <v>97623</v>
      </c>
      <c r="B20156" s="515" t="s">
        <v>545</v>
      </c>
      <c r="C20156" s="52">
        <v>260409.22549868599</v>
      </c>
      <c r="D20156" s="56">
        <v>2.7736971456359609E-2</v>
      </c>
      <c r="E20156" s="224" t="s">
        <v>2</v>
      </c>
      <c r="F20156" s="515" t="s">
        <v>21326</v>
      </c>
      <c r="G20156" s="52">
        <v>197082.38152610901</v>
      </c>
      <c r="H20156" s="56">
        <v>3.3078598186507886E-2</v>
      </c>
      <c r="I20156" s="224" t="s">
        <v>2</v>
      </c>
    </row>
    <row r="20157" spans="1:9" x14ac:dyDescent="0.25">
      <c r="A20157" s="515">
        <v>56149</v>
      </c>
      <c r="C20157" s="52">
        <v>148664.30619463499</v>
      </c>
      <c r="D20157" s="56">
        <v>9.729496388441998E-2</v>
      </c>
      <c r="E20157" s="224" t="s">
        <v>2</v>
      </c>
      <c r="F20157" s="515" t="s">
        <v>21327</v>
      </c>
      <c r="G20157" s="52">
        <v>154901.03440592301</v>
      </c>
      <c r="H20157" s="56">
        <v>8.8272384854194544E-2</v>
      </c>
      <c r="I20157" s="224" t="s">
        <v>2</v>
      </c>
    </row>
    <row r="20158" spans="1:9" x14ac:dyDescent="0.25">
      <c r="A20158" s="515">
        <v>42344</v>
      </c>
      <c r="B20158" s="515" t="s">
        <v>686</v>
      </c>
      <c r="C20158" s="52">
        <v>72072.811065068905</v>
      </c>
      <c r="D20158" s="56">
        <v>0.15467756964517854</v>
      </c>
      <c r="E20158" s="224" t="s">
        <v>2</v>
      </c>
      <c r="F20158" s="515" t="s">
        <v>21328</v>
      </c>
      <c r="G20158" s="52">
        <v>93288.4907993745</v>
      </c>
      <c r="H20158" s="56">
        <v>-0.16962664969490426</v>
      </c>
      <c r="I20158" s="224" t="s">
        <v>2</v>
      </c>
    </row>
    <row r="20159" spans="1:9" x14ac:dyDescent="0.25">
      <c r="A20159" s="515">
        <v>40468</v>
      </c>
      <c r="B20159" s="515" t="s">
        <v>1015</v>
      </c>
      <c r="C20159" s="52">
        <v>186225.779728792</v>
      </c>
      <c r="D20159" s="56">
        <v>0.13973984254265762</v>
      </c>
      <c r="E20159" s="224" t="s">
        <v>2</v>
      </c>
      <c r="F20159" s="515" t="s">
        <v>21329</v>
      </c>
      <c r="G20159" s="52">
        <v>111187.75912409701</v>
      </c>
      <c r="H20159" s="56">
        <v>0</v>
      </c>
      <c r="I20159" s="224" t="s">
        <v>2</v>
      </c>
    </row>
    <row r="20160" spans="1:9" x14ac:dyDescent="0.25">
      <c r="A20160" s="515">
        <v>14477</v>
      </c>
      <c r="B20160" s="515" t="s">
        <v>337</v>
      </c>
      <c r="C20160" s="52">
        <v>199160.64148223901</v>
      </c>
      <c r="D20160" s="56">
        <v>0.12201115306274476</v>
      </c>
      <c r="E20160" s="224" t="s">
        <v>2</v>
      </c>
      <c r="F20160" s="515" t="s">
        <v>21330</v>
      </c>
      <c r="G20160" s="52">
        <v>335438.269299999</v>
      </c>
      <c r="H20160" s="56">
        <v>0.1089062760521229</v>
      </c>
      <c r="I20160" s="224" t="s">
        <v>2</v>
      </c>
    </row>
    <row r="20161" spans="1:9" x14ac:dyDescent="0.25">
      <c r="A20161" s="515">
        <v>97040</v>
      </c>
      <c r="B20161" s="515" t="s">
        <v>864</v>
      </c>
      <c r="C20161" s="52">
        <v>507006.00977886602</v>
      </c>
      <c r="D20161" s="56">
        <v>4.7866229009935458E-2</v>
      </c>
      <c r="E20161" s="224" t="s">
        <v>2</v>
      </c>
      <c r="F20161" s="515" t="s">
        <v>21331</v>
      </c>
      <c r="G20161" s="52">
        <v>48183.125</v>
      </c>
      <c r="H20161" s="56">
        <v>0</v>
      </c>
      <c r="I20161" s="224" t="s">
        <v>2</v>
      </c>
    </row>
    <row r="20162" spans="1:9" x14ac:dyDescent="0.25">
      <c r="A20162" s="515">
        <v>64482</v>
      </c>
      <c r="C20162" s="52">
        <v>133384.48047330501</v>
      </c>
      <c r="D20162" s="56">
        <v>0.10497385202856048</v>
      </c>
      <c r="E20162" s="224" t="s">
        <v>2</v>
      </c>
      <c r="F20162" s="515" t="s">
        <v>21332</v>
      </c>
      <c r="G20162" s="52">
        <v>117687.26190476101</v>
      </c>
      <c r="H20162" s="56">
        <v>0</v>
      </c>
      <c r="I20162" s="224" t="s">
        <v>2</v>
      </c>
    </row>
    <row r="20163" spans="1:9" x14ac:dyDescent="0.25">
      <c r="A20163" s="515">
        <v>67570</v>
      </c>
      <c r="B20163" s="515" t="s">
        <v>700</v>
      </c>
      <c r="C20163" s="52">
        <v>134838.661899689</v>
      </c>
      <c r="D20163" s="56">
        <v>9.5400863119278256E-2</v>
      </c>
      <c r="E20163" s="224" t="s">
        <v>2</v>
      </c>
      <c r="F20163" s="515" t="s">
        <v>21333</v>
      </c>
      <c r="G20163" s="52">
        <v>216737.427493575</v>
      </c>
      <c r="H20163" s="56">
        <v>4.7469163127496952E-2</v>
      </c>
      <c r="I20163" s="224" t="s">
        <v>2</v>
      </c>
    </row>
    <row r="20164" spans="1:9" x14ac:dyDescent="0.25">
      <c r="A20164" s="515">
        <v>57068</v>
      </c>
      <c r="B20164" s="515" t="s">
        <v>579</v>
      </c>
      <c r="C20164" s="52">
        <v>310180.62817743799</v>
      </c>
      <c r="D20164" s="56">
        <v>8.4237970130344147E-2</v>
      </c>
      <c r="E20164" s="224" t="s">
        <v>2</v>
      </c>
      <c r="F20164" s="515" t="s">
        <v>21334</v>
      </c>
      <c r="G20164" s="52">
        <v>125103.472999538</v>
      </c>
      <c r="H20164" s="56">
        <v>0.11888439320827925</v>
      </c>
      <c r="I20164" s="224" t="s">
        <v>2</v>
      </c>
    </row>
    <row r="20165" spans="1:9" x14ac:dyDescent="0.25">
      <c r="A20165" s="515">
        <v>62823</v>
      </c>
      <c r="C20165" s="52">
        <v>92731.5539215686</v>
      </c>
      <c r="D20165" s="56">
        <v>0</v>
      </c>
      <c r="E20165" s="224" t="s">
        <v>2</v>
      </c>
      <c r="F20165" s="515" t="s">
        <v>21335</v>
      </c>
      <c r="G20165" s="52">
        <v>118903.976997851</v>
      </c>
      <c r="H20165" s="56">
        <v>2.3533595665304913E-2</v>
      </c>
      <c r="I20165" s="224" t="s">
        <v>2</v>
      </c>
    </row>
    <row r="20166" spans="1:9" x14ac:dyDescent="0.25">
      <c r="A20166" s="515">
        <v>75667</v>
      </c>
      <c r="B20166" s="515" t="s">
        <v>319</v>
      </c>
      <c r="C20166" s="52">
        <v>189376.40340489999</v>
      </c>
      <c r="D20166" s="56">
        <v>8.5975372036515257E-2</v>
      </c>
      <c r="E20166" s="224" t="s">
        <v>2</v>
      </c>
      <c r="F20166" s="515" t="s">
        <v>21336</v>
      </c>
      <c r="G20166" s="52">
        <v>148472.214285714</v>
      </c>
      <c r="H20166" s="56">
        <v>0</v>
      </c>
      <c r="I20166" s="224" t="s">
        <v>2</v>
      </c>
    </row>
    <row r="20167" spans="1:9" x14ac:dyDescent="0.25">
      <c r="A20167" s="515">
        <v>47637</v>
      </c>
      <c r="B20167" s="515" t="s">
        <v>911</v>
      </c>
      <c r="C20167" s="52">
        <v>195632.56560497099</v>
      </c>
      <c r="D20167" s="56">
        <v>8.5137344654467692E-2</v>
      </c>
      <c r="E20167" s="224" t="s">
        <v>2</v>
      </c>
      <c r="F20167" s="515" t="s">
        <v>21337</v>
      </c>
      <c r="G20167" s="52">
        <v>174792.414871605</v>
      </c>
      <c r="H20167" s="56">
        <v>0</v>
      </c>
      <c r="I20167" s="224" t="s">
        <v>2</v>
      </c>
    </row>
    <row r="20168" spans="1:9" x14ac:dyDescent="0.25">
      <c r="A20168" s="515">
        <v>59263</v>
      </c>
      <c r="C20168" s="52">
        <v>196763.133781699</v>
      </c>
      <c r="D20168" s="56">
        <v>-2.4513250241434862E-2</v>
      </c>
      <c r="E20168" s="224" t="s">
        <v>2</v>
      </c>
      <c r="F20168" s="515" t="s">
        <v>21338</v>
      </c>
      <c r="G20168" s="52">
        <v>208967.214007223</v>
      </c>
      <c r="H20168" s="56">
        <v>2.157852279756358E-2</v>
      </c>
      <c r="I20168" s="224" t="s">
        <v>2</v>
      </c>
    </row>
    <row r="20169" spans="1:9" x14ac:dyDescent="0.25">
      <c r="A20169" s="515">
        <v>49050</v>
      </c>
      <c r="C20169" s="52">
        <v>216819.97359567299</v>
      </c>
      <c r="D20169" s="56">
        <v>0.11671255715825482</v>
      </c>
      <c r="E20169" s="224" t="s">
        <v>2</v>
      </c>
      <c r="F20169" s="515" t="s">
        <v>21339</v>
      </c>
      <c r="G20169" s="52">
        <v>164168.73019865199</v>
      </c>
      <c r="H20169" s="56">
        <v>8.1841461670510859E-2</v>
      </c>
      <c r="I20169" s="224" t="s">
        <v>2</v>
      </c>
    </row>
    <row r="20170" spans="1:9" x14ac:dyDescent="0.25">
      <c r="A20170" s="515">
        <v>74366</v>
      </c>
      <c r="C20170" s="52">
        <v>115035.283066744</v>
      </c>
      <c r="D20170" s="56">
        <v>2.5279861069535163E-2</v>
      </c>
      <c r="E20170" s="224" t="s">
        <v>2</v>
      </c>
      <c r="F20170" s="515" t="s">
        <v>21340</v>
      </c>
      <c r="G20170" s="52">
        <v>162945.49486690201</v>
      </c>
      <c r="H20170" s="56">
        <v>0.12528419492248422</v>
      </c>
      <c r="I20170" s="224" t="s">
        <v>2</v>
      </c>
    </row>
    <row r="20171" spans="1:9" x14ac:dyDescent="0.25">
      <c r="A20171" s="515">
        <v>4479</v>
      </c>
      <c r="C20171" s="52">
        <v>186439.574265503</v>
      </c>
      <c r="D20171" s="56">
        <v>0.13805665375317264</v>
      </c>
      <c r="E20171" s="224" t="s">
        <v>2</v>
      </c>
      <c r="F20171" s="515" t="s">
        <v>21341</v>
      </c>
      <c r="G20171" s="52">
        <v>145854.49178935599</v>
      </c>
      <c r="H20171" s="56">
        <v>9.0006479420720389E-2</v>
      </c>
      <c r="I20171" s="224" t="s">
        <v>2</v>
      </c>
    </row>
    <row r="20172" spans="1:9" x14ac:dyDescent="0.25">
      <c r="A20172" s="515">
        <v>5769</v>
      </c>
      <c r="C20172" s="52">
        <v>326554.62506857503</v>
      </c>
      <c r="D20172" s="56">
        <v>6.3768790069563652E-2</v>
      </c>
      <c r="E20172" s="224" t="s">
        <v>2</v>
      </c>
      <c r="F20172" s="515" t="s">
        <v>21342</v>
      </c>
      <c r="G20172" s="52">
        <v>127819.355243218</v>
      </c>
      <c r="H20172" s="56">
        <v>0</v>
      </c>
      <c r="I20172" s="224" t="s">
        <v>2</v>
      </c>
    </row>
    <row r="20173" spans="1:9" x14ac:dyDescent="0.25">
      <c r="A20173" s="515">
        <v>27208</v>
      </c>
      <c r="B20173" s="515" t="s">
        <v>467</v>
      </c>
      <c r="C20173" s="52">
        <v>235867.21778135901</v>
      </c>
      <c r="D20173" s="56">
        <v>0.10580820939870193</v>
      </c>
      <c r="E20173" s="224" t="s">
        <v>2</v>
      </c>
      <c r="F20173" s="515" t="s">
        <v>21343</v>
      </c>
      <c r="G20173" s="52">
        <v>112626.452093834</v>
      </c>
      <c r="H20173" s="56">
        <v>0.12493993760698088</v>
      </c>
      <c r="I20173" s="224" t="s">
        <v>2</v>
      </c>
    </row>
    <row r="20174" spans="1:9" x14ac:dyDescent="0.25">
      <c r="A20174" s="515">
        <v>78663</v>
      </c>
      <c r="C20174" s="52">
        <v>852142.32323037798</v>
      </c>
      <c r="D20174" s="56">
        <v>8.5162348019899581E-2</v>
      </c>
      <c r="E20174" s="224" t="s">
        <v>2</v>
      </c>
      <c r="F20174" s="515" t="s">
        <v>21344</v>
      </c>
      <c r="G20174" s="52">
        <v>433950.166204868</v>
      </c>
      <c r="H20174" s="56">
        <v>4.671661258464932E-2</v>
      </c>
      <c r="I20174" s="224" t="s">
        <v>2</v>
      </c>
    </row>
    <row r="20175" spans="1:9" x14ac:dyDescent="0.25">
      <c r="A20175" s="515">
        <v>59826</v>
      </c>
      <c r="B20175" s="515" t="s">
        <v>1060</v>
      </c>
      <c r="C20175" s="52">
        <v>612426.03328192804</v>
      </c>
      <c r="D20175" s="56">
        <v>0.10885625961564344</v>
      </c>
      <c r="E20175" s="224" t="s">
        <v>2</v>
      </c>
      <c r="F20175" s="515" t="s">
        <v>21345</v>
      </c>
      <c r="G20175" s="52">
        <v>266738.69242781698</v>
      </c>
      <c r="H20175" s="56">
        <v>0.27527552828547308</v>
      </c>
      <c r="I20175" s="224" t="s">
        <v>2</v>
      </c>
    </row>
    <row r="20176" spans="1:9" x14ac:dyDescent="0.25">
      <c r="A20176" s="515">
        <v>61465</v>
      </c>
      <c r="B20176" s="515" t="s">
        <v>439</v>
      </c>
      <c r="C20176" s="52">
        <v>125425.33827739699</v>
      </c>
      <c r="D20176" s="56">
        <v>4.6657370071846505E-2</v>
      </c>
      <c r="E20176" s="224" t="s">
        <v>2</v>
      </c>
      <c r="F20176" s="515" t="s">
        <v>21346</v>
      </c>
      <c r="G20176" s="52">
        <v>462298.25066894299</v>
      </c>
      <c r="H20176" s="56">
        <v>1.3120728939387906E-2</v>
      </c>
      <c r="I20176" s="224" t="s">
        <v>2</v>
      </c>
    </row>
    <row r="20177" spans="1:9" x14ac:dyDescent="0.25">
      <c r="A20177" s="515">
        <v>83823</v>
      </c>
      <c r="B20177" s="515" t="s">
        <v>857</v>
      </c>
      <c r="C20177" s="52">
        <v>370618.85930051602</v>
      </c>
      <c r="D20177" s="56">
        <v>-4.6375998321680585E-3</v>
      </c>
      <c r="E20177" s="224" t="s">
        <v>2</v>
      </c>
      <c r="F20177" s="515" t="s">
        <v>21347</v>
      </c>
      <c r="G20177" s="52">
        <v>236816.92435416201</v>
      </c>
      <c r="H20177" s="56">
        <v>0.15016040443646445</v>
      </c>
      <c r="I20177" s="224" t="s">
        <v>2</v>
      </c>
    </row>
    <row r="20178" spans="1:9" x14ac:dyDescent="0.25">
      <c r="A20178" s="515">
        <v>46760</v>
      </c>
      <c r="B20178" s="515" t="s">
        <v>1058</v>
      </c>
      <c r="C20178" s="52">
        <v>195402.64618235501</v>
      </c>
      <c r="D20178" s="56">
        <v>7.7374333712312657E-2</v>
      </c>
      <c r="E20178" s="224" t="s">
        <v>2</v>
      </c>
      <c r="F20178" s="515" t="s">
        <v>21348</v>
      </c>
      <c r="G20178" s="52">
        <v>416844.946075972</v>
      </c>
      <c r="H20178" s="56">
        <v>0.12072910075586056</v>
      </c>
      <c r="I20178" s="224" t="s">
        <v>2</v>
      </c>
    </row>
    <row r="20179" spans="1:9" x14ac:dyDescent="0.25">
      <c r="A20179" s="515">
        <v>13304</v>
      </c>
      <c r="B20179" s="515" t="s">
        <v>543</v>
      </c>
      <c r="C20179" s="52">
        <v>249767.30145320299</v>
      </c>
      <c r="D20179" s="56">
        <v>0.10034214708809827</v>
      </c>
      <c r="E20179" s="224" t="s">
        <v>2</v>
      </c>
      <c r="F20179" s="515" t="s">
        <v>21349</v>
      </c>
      <c r="G20179" s="52">
        <v>381673.14235295798</v>
      </c>
      <c r="H20179" s="56">
        <v>0.1390195552016209</v>
      </c>
      <c r="I20179" s="224" t="s">
        <v>2</v>
      </c>
    </row>
    <row r="20180" spans="1:9" x14ac:dyDescent="0.25">
      <c r="A20180" s="515">
        <v>51005</v>
      </c>
      <c r="C20180" s="52">
        <v>151091.355541133</v>
      </c>
      <c r="D20180" s="56">
        <v>8.0878406755698601E-2</v>
      </c>
      <c r="E20180" s="224" t="s">
        <v>2</v>
      </c>
      <c r="F20180" s="515" t="s">
        <v>21350</v>
      </c>
      <c r="G20180" s="52">
        <v>231689.87113853401</v>
      </c>
      <c r="H20180" s="56">
        <v>0</v>
      </c>
      <c r="I20180" s="224" t="s">
        <v>2</v>
      </c>
    </row>
    <row r="20181" spans="1:9" x14ac:dyDescent="0.25">
      <c r="A20181" s="515">
        <v>82941</v>
      </c>
      <c r="C20181" s="52">
        <v>364580.074163927</v>
      </c>
      <c r="D20181" s="56">
        <v>0.10110951665760733</v>
      </c>
      <c r="E20181" s="224" t="s">
        <v>2</v>
      </c>
      <c r="F20181" s="515" t="s">
        <v>21351</v>
      </c>
      <c r="G20181" s="52">
        <v>188863.08210336801</v>
      </c>
      <c r="H20181" s="56">
        <v>9.2400603651779753E-2</v>
      </c>
      <c r="I20181" s="224" t="s">
        <v>2</v>
      </c>
    </row>
    <row r="20182" spans="1:9" x14ac:dyDescent="0.25">
      <c r="A20182" s="515">
        <v>56726</v>
      </c>
      <c r="C20182" s="52">
        <v>175519.39698492401</v>
      </c>
      <c r="D20182" s="56">
        <v>0</v>
      </c>
      <c r="E20182" s="224" t="s">
        <v>2</v>
      </c>
      <c r="F20182" s="515" t="s">
        <v>21352</v>
      </c>
      <c r="G20182" s="52">
        <v>207143.22285380101</v>
      </c>
      <c r="H20182" s="56">
        <v>8.1463848543553832E-2</v>
      </c>
      <c r="I20182" s="224" t="s">
        <v>2</v>
      </c>
    </row>
    <row r="20183" spans="1:9" x14ac:dyDescent="0.25">
      <c r="A20183" s="515">
        <v>99030</v>
      </c>
      <c r="B20183" s="515" t="s">
        <v>820</v>
      </c>
      <c r="C20183" s="52">
        <v>402620.026523365</v>
      </c>
      <c r="D20183" s="56">
        <v>6.9193994641888523E-2</v>
      </c>
      <c r="E20183" s="224" t="s">
        <v>2</v>
      </c>
      <c r="F20183" s="515" t="s">
        <v>21353</v>
      </c>
      <c r="G20183" s="52">
        <v>174839.885657545</v>
      </c>
      <c r="H20183" s="56">
        <v>9.6051933867422876E-2</v>
      </c>
      <c r="I20183" s="224" t="s">
        <v>2</v>
      </c>
    </row>
    <row r="20184" spans="1:9" x14ac:dyDescent="0.25">
      <c r="A20184" s="515">
        <v>62410</v>
      </c>
      <c r="C20184" s="52">
        <v>95756.4658673144</v>
      </c>
      <c r="D20184" s="56">
        <v>0.10278839972360823</v>
      </c>
      <c r="E20184" s="224" t="s">
        <v>2</v>
      </c>
      <c r="F20184" s="515" t="s">
        <v>21354</v>
      </c>
      <c r="G20184" s="52">
        <v>138261.537049429</v>
      </c>
      <c r="H20184" s="56">
        <v>0.12238459640152624</v>
      </c>
      <c r="I20184" s="224" t="s">
        <v>2</v>
      </c>
    </row>
    <row r="20185" spans="1:9" x14ac:dyDescent="0.25">
      <c r="A20185" s="515">
        <v>45841</v>
      </c>
      <c r="B20185" s="515" t="s">
        <v>448</v>
      </c>
      <c r="C20185" s="52">
        <v>218362.07550305501</v>
      </c>
      <c r="D20185" s="56">
        <v>6.4524085963212338E-2</v>
      </c>
      <c r="E20185" s="224" t="s">
        <v>2</v>
      </c>
      <c r="F20185" s="515" t="s">
        <v>21355</v>
      </c>
      <c r="G20185" s="52">
        <v>240189.54058061499</v>
      </c>
      <c r="H20185" s="56">
        <v>0.14152460262756789</v>
      </c>
      <c r="I20185" s="224" t="s">
        <v>2</v>
      </c>
    </row>
    <row r="20186" spans="1:9" x14ac:dyDescent="0.25">
      <c r="A20186" s="515">
        <v>66860</v>
      </c>
      <c r="C20186" s="52">
        <v>84987.763581003906</v>
      </c>
      <c r="D20186" s="56">
        <v>9.0231056167687548E-2</v>
      </c>
      <c r="E20186" s="224" t="s">
        <v>2</v>
      </c>
      <c r="F20186" s="515" t="s">
        <v>21356</v>
      </c>
      <c r="G20186" s="52">
        <v>303519.544634372</v>
      </c>
      <c r="H20186" s="56">
        <v>1.6390996342592039E-2</v>
      </c>
      <c r="I20186" s="224" t="s">
        <v>2</v>
      </c>
    </row>
    <row r="20187" spans="1:9" x14ac:dyDescent="0.25">
      <c r="A20187" s="515">
        <v>75451</v>
      </c>
      <c r="B20187" s="515" t="s">
        <v>438</v>
      </c>
      <c r="C20187" s="52">
        <v>226058.27507930799</v>
      </c>
      <c r="D20187" s="56">
        <v>2.8516120272224579E-2</v>
      </c>
      <c r="E20187" s="224" t="s">
        <v>2</v>
      </c>
      <c r="F20187" s="515" t="s">
        <v>21357</v>
      </c>
      <c r="G20187" s="52">
        <v>110378.84238832199</v>
      </c>
      <c r="H20187" s="56">
        <v>0</v>
      </c>
      <c r="I20187" s="224" t="s">
        <v>2</v>
      </c>
    </row>
    <row r="20188" spans="1:9" x14ac:dyDescent="0.25">
      <c r="A20188" s="515">
        <v>45881</v>
      </c>
      <c r="B20188" s="515" t="s">
        <v>448</v>
      </c>
      <c r="C20188" s="52">
        <v>188941.57211321601</v>
      </c>
      <c r="D20188" s="56">
        <v>1.883061790665682E-2</v>
      </c>
      <c r="E20188" s="224" t="s">
        <v>2</v>
      </c>
      <c r="F20188" s="515" t="s">
        <v>21358</v>
      </c>
      <c r="G20188" s="52">
        <v>768496.17648530204</v>
      </c>
      <c r="H20188" s="56">
        <v>0.20893683653438255</v>
      </c>
      <c r="I20188" s="224" t="s">
        <v>2</v>
      </c>
    </row>
    <row r="20189" spans="1:9" x14ac:dyDescent="0.25">
      <c r="A20189" s="515">
        <v>18831</v>
      </c>
      <c r="B20189" s="515" t="s">
        <v>699</v>
      </c>
      <c r="C20189" s="52">
        <v>185691.91666666599</v>
      </c>
      <c r="D20189" s="56">
        <v>0</v>
      </c>
      <c r="E20189" s="224" t="s">
        <v>2</v>
      </c>
      <c r="F20189" s="515" t="s">
        <v>21359</v>
      </c>
      <c r="G20189" s="52">
        <v>106133.939163587</v>
      </c>
      <c r="H20189" s="56">
        <v>0</v>
      </c>
      <c r="I20189" s="224" t="s">
        <v>2</v>
      </c>
    </row>
    <row r="20190" spans="1:9" x14ac:dyDescent="0.25">
      <c r="A20190" s="515">
        <v>99676</v>
      </c>
      <c r="B20190" s="515" t="s">
        <v>405</v>
      </c>
      <c r="C20190" s="52">
        <v>217742.541782124</v>
      </c>
      <c r="D20190" s="56">
        <v>3.2895435583767695E-2</v>
      </c>
      <c r="E20190" s="224" t="s">
        <v>2</v>
      </c>
      <c r="F20190" s="515" t="s">
        <v>21360</v>
      </c>
      <c r="G20190" s="52">
        <v>164776.73521949601</v>
      </c>
      <c r="H20190" s="56">
        <v>0.17987039936978194</v>
      </c>
      <c r="I20190" s="224" t="s">
        <v>2</v>
      </c>
    </row>
    <row r="20191" spans="1:9" x14ac:dyDescent="0.25">
      <c r="A20191" s="515">
        <v>47529</v>
      </c>
      <c r="B20191" s="515" t="s">
        <v>922</v>
      </c>
      <c r="C20191" s="52">
        <v>125366.271200059</v>
      </c>
      <c r="D20191" s="56">
        <v>0.12137261771218998</v>
      </c>
      <c r="E20191" s="224" t="s">
        <v>2</v>
      </c>
      <c r="F20191" s="515" t="s">
        <v>21361</v>
      </c>
      <c r="G20191" s="52">
        <v>122927.913461538</v>
      </c>
      <c r="H20191" s="56">
        <v>0</v>
      </c>
      <c r="I20191" s="224" t="s">
        <v>2</v>
      </c>
    </row>
    <row r="20192" spans="1:9" x14ac:dyDescent="0.25">
      <c r="A20192" s="515">
        <v>50514</v>
      </c>
      <c r="C20192" s="52">
        <v>119958.44703684399</v>
      </c>
      <c r="D20192" s="56">
        <v>8.7535254899518702E-2</v>
      </c>
      <c r="E20192" s="224" t="s">
        <v>2</v>
      </c>
      <c r="F20192" s="515" t="s">
        <v>21362</v>
      </c>
      <c r="G20192" s="52">
        <v>139075.73970801901</v>
      </c>
      <c r="H20192" s="56">
        <v>5.9279083611139635E-2</v>
      </c>
      <c r="I20192" s="224" t="s">
        <v>2</v>
      </c>
    </row>
    <row r="20193" spans="1:9" x14ac:dyDescent="0.25">
      <c r="A20193" s="515">
        <v>47369</v>
      </c>
      <c r="C20193" s="52">
        <v>123934.724404511</v>
      </c>
      <c r="D20193" s="56">
        <v>0.10155000474756361</v>
      </c>
      <c r="E20193" s="224" t="s">
        <v>2</v>
      </c>
      <c r="F20193" s="515" t="s">
        <v>21363</v>
      </c>
      <c r="G20193" s="52">
        <v>159181.035992947</v>
      </c>
      <c r="H20193" s="56">
        <v>2.092704001888877E-2</v>
      </c>
      <c r="I20193" s="224" t="s">
        <v>2</v>
      </c>
    </row>
    <row r="20194" spans="1:9" x14ac:dyDescent="0.25">
      <c r="A20194" s="515">
        <v>36860</v>
      </c>
      <c r="B20194" s="515" t="s">
        <v>778</v>
      </c>
      <c r="C20194" s="52">
        <v>74927.853370270706</v>
      </c>
      <c r="D20194" s="56">
        <v>0</v>
      </c>
      <c r="E20194" s="224" t="s">
        <v>2</v>
      </c>
      <c r="F20194" s="515" t="s">
        <v>21364</v>
      </c>
      <c r="G20194" s="52">
        <v>79727.836833419497</v>
      </c>
      <c r="H20194" s="56">
        <v>5.0338035048396693E-2</v>
      </c>
      <c r="I20194" s="224" t="s">
        <v>2</v>
      </c>
    </row>
    <row r="20195" spans="1:9" x14ac:dyDescent="0.25">
      <c r="A20195" s="515">
        <v>48445</v>
      </c>
      <c r="C20195" s="52">
        <v>106072.427405157</v>
      </c>
      <c r="D20195" s="56">
        <v>-6.4947291458383252E-2</v>
      </c>
      <c r="E20195" s="224" t="s">
        <v>2</v>
      </c>
      <c r="F20195" s="515" t="s">
        <v>21365</v>
      </c>
      <c r="G20195" s="52">
        <v>337131.08720464999</v>
      </c>
      <c r="H20195" s="56">
        <v>3.8731921969365007E-2</v>
      </c>
      <c r="I20195" s="224" t="s">
        <v>2</v>
      </c>
    </row>
    <row r="20196" spans="1:9" x14ac:dyDescent="0.25">
      <c r="A20196" s="515">
        <v>37118</v>
      </c>
      <c r="B20196" s="515" t="s">
        <v>684</v>
      </c>
      <c r="C20196" s="52">
        <v>502024.36953127797</v>
      </c>
      <c r="D20196" s="56">
        <v>0</v>
      </c>
      <c r="E20196" s="224" t="s">
        <v>2</v>
      </c>
      <c r="F20196" s="515" t="s">
        <v>21366</v>
      </c>
      <c r="G20196" s="52">
        <v>118939.407595335</v>
      </c>
      <c r="H20196" s="56">
        <v>0.12635098214960105</v>
      </c>
      <c r="I20196" s="224" t="s">
        <v>2</v>
      </c>
    </row>
    <row r="20197" spans="1:9" x14ac:dyDescent="0.25">
      <c r="A20197" s="515">
        <v>95977</v>
      </c>
      <c r="B20197" s="515" t="s">
        <v>387</v>
      </c>
      <c r="C20197" s="52">
        <v>458397.02942310099</v>
      </c>
      <c r="D20197" s="56">
        <v>-5.5531359268686777E-2</v>
      </c>
      <c r="E20197" s="224" t="s">
        <v>2</v>
      </c>
      <c r="F20197" s="515" t="s">
        <v>21367</v>
      </c>
      <c r="G20197" s="52">
        <v>69267.390052971401</v>
      </c>
      <c r="H20197" s="56">
        <v>0.25909285461924281</v>
      </c>
      <c r="I20197" s="224" t="s">
        <v>2</v>
      </c>
    </row>
    <row r="20198" spans="1:9" x14ac:dyDescent="0.25">
      <c r="A20198" s="515">
        <v>38627</v>
      </c>
      <c r="B20198" s="515" t="s">
        <v>689</v>
      </c>
      <c r="C20198" s="52">
        <v>148526.31626433399</v>
      </c>
      <c r="D20198" s="56">
        <v>2.7376653750561674E-3</v>
      </c>
      <c r="E20198" s="224" t="s">
        <v>2</v>
      </c>
      <c r="F20198" s="515" t="s">
        <v>21368</v>
      </c>
      <c r="G20198" s="52">
        <v>282597.26666666602</v>
      </c>
      <c r="H20198" s="56">
        <v>0</v>
      </c>
      <c r="I20198" s="224" t="s">
        <v>2</v>
      </c>
    </row>
    <row r="20199" spans="1:9" x14ac:dyDescent="0.25">
      <c r="A20199" s="515">
        <v>15542</v>
      </c>
      <c r="B20199" s="515" t="s">
        <v>370</v>
      </c>
      <c r="C20199" s="52">
        <v>129652.038382659</v>
      </c>
      <c r="D20199" s="56">
        <v>7.9584890151414928E-2</v>
      </c>
      <c r="E20199" s="224" t="s">
        <v>2</v>
      </c>
      <c r="F20199" s="515" t="s">
        <v>21369</v>
      </c>
      <c r="G20199" s="52">
        <v>83503.874982881898</v>
      </c>
      <c r="H20199" s="56">
        <v>-2.5647487785722033E-2</v>
      </c>
      <c r="I20199" s="224" t="s">
        <v>2</v>
      </c>
    </row>
    <row r="20200" spans="1:9" x14ac:dyDescent="0.25">
      <c r="A20200" s="515">
        <v>3442</v>
      </c>
      <c r="B20200" s="515" t="s">
        <v>996</v>
      </c>
      <c r="C20200" s="52">
        <v>290472.46129693103</v>
      </c>
      <c r="D20200" s="56">
        <v>0.15474855936556461</v>
      </c>
      <c r="E20200" s="224" t="s">
        <v>2</v>
      </c>
      <c r="F20200" s="515" t="s">
        <v>21370</v>
      </c>
      <c r="G20200" s="52">
        <v>128475.204131244</v>
      </c>
      <c r="H20200" s="56">
        <v>0.1235866870515788</v>
      </c>
      <c r="I20200" s="224" t="s">
        <v>2</v>
      </c>
    </row>
    <row r="20201" spans="1:9" x14ac:dyDescent="0.25">
      <c r="A20201" s="515">
        <v>48050</v>
      </c>
      <c r="B20201" s="515" t="s">
        <v>685</v>
      </c>
      <c r="C20201" s="52">
        <v>309233.37628910597</v>
      </c>
      <c r="D20201" s="56">
        <v>3.3858614453530285E-2</v>
      </c>
      <c r="E20201" s="224" t="s">
        <v>2</v>
      </c>
      <c r="F20201" s="515" t="s">
        <v>21371</v>
      </c>
      <c r="G20201" s="52">
        <v>653690.03260091704</v>
      </c>
      <c r="H20201" s="56">
        <v>-3.3979432983378723E-2</v>
      </c>
      <c r="I20201" s="224" t="s">
        <v>2</v>
      </c>
    </row>
    <row r="20202" spans="1:9" x14ac:dyDescent="0.25">
      <c r="A20202" s="515">
        <v>13145</v>
      </c>
      <c r="B20202" s="515" t="s">
        <v>361</v>
      </c>
      <c r="C20202" s="52">
        <v>158227.155053136</v>
      </c>
      <c r="D20202" s="56">
        <v>0.11950157144422686</v>
      </c>
      <c r="E20202" s="224" t="s">
        <v>2</v>
      </c>
      <c r="F20202" s="515" t="s">
        <v>21372</v>
      </c>
      <c r="G20202" s="52">
        <v>122628.62864476199</v>
      </c>
      <c r="H20202" s="56">
        <v>6.9813544889044454E-2</v>
      </c>
      <c r="I20202" s="224" t="s">
        <v>2</v>
      </c>
    </row>
    <row r="20203" spans="1:9" x14ac:dyDescent="0.25">
      <c r="A20203" s="515">
        <v>56115</v>
      </c>
      <c r="B20203" s="515" t="s">
        <v>708</v>
      </c>
      <c r="C20203" s="52">
        <v>165163.754116058</v>
      </c>
      <c r="D20203" s="56">
        <v>5.4013238459901802E-2</v>
      </c>
      <c r="E20203" s="224" t="s">
        <v>2</v>
      </c>
      <c r="F20203" s="515" t="s">
        <v>21373</v>
      </c>
      <c r="G20203" s="52">
        <v>344990.76652839</v>
      </c>
      <c r="H20203" s="56">
        <v>-1.7024346642344489E-2</v>
      </c>
      <c r="I20203" s="224" t="s">
        <v>2</v>
      </c>
    </row>
    <row r="20204" spans="1:9" x14ac:dyDescent="0.25">
      <c r="A20204" s="515">
        <v>89835</v>
      </c>
      <c r="B20204" s="515" t="s">
        <v>737</v>
      </c>
      <c r="C20204" s="52">
        <v>178430.86752474701</v>
      </c>
      <c r="D20204" s="56">
        <v>-1.7162324087520723E-2</v>
      </c>
      <c r="E20204" s="224" t="s">
        <v>2</v>
      </c>
      <c r="F20204" s="515" t="s">
        <v>21374</v>
      </c>
      <c r="G20204" s="52">
        <v>108916.014464821</v>
      </c>
      <c r="H20204" s="56">
        <v>0</v>
      </c>
      <c r="I20204" s="224" t="s">
        <v>2</v>
      </c>
    </row>
    <row r="20205" spans="1:9" x14ac:dyDescent="0.25">
      <c r="A20205" s="515">
        <v>97497</v>
      </c>
      <c r="B20205" s="515" t="s">
        <v>626</v>
      </c>
      <c r="C20205" s="52">
        <v>331507.76007971098</v>
      </c>
      <c r="D20205" s="56">
        <v>-2.3530374850123589E-2</v>
      </c>
      <c r="E20205" s="224" t="s">
        <v>2</v>
      </c>
      <c r="F20205" s="515" t="s">
        <v>21375</v>
      </c>
      <c r="G20205" s="52">
        <v>422962.61866563401</v>
      </c>
      <c r="H20205" s="56">
        <v>-2.8874463570010677E-2</v>
      </c>
      <c r="I20205" s="224" t="s">
        <v>2</v>
      </c>
    </row>
    <row r="20206" spans="1:9" x14ac:dyDescent="0.25">
      <c r="A20206" s="515">
        <v>49623</v>
      </c>
      <c r="C20206" s="52">
        <v>133380.36325444101</v>
      </c>
      <c r="D20206" s="56">
        <v>0.10587041985994408</v>
      </c>
      <c r="E20206" s="224" t="s">
        <v>2</v>
      </c>
      <c r="F20206" s="515" t="s">
        <v>21376</v>
      </c>
      <c r="G20206" s="52">
        <v>147915.80780687701</v>
      </c>
      <c r="H20206" s="56">
        <v>2.1703920132648519E-2</v>
      </c>
      <c r="I20206" s="224" t="s">
        <v>2</v>
      </c>
    </row>
    <row r="20207" spans="1:9" x14ac:dyDescent="0.25">
      <c r="A20207" s="515">
        <v>27939</v>
      </c>
      <c r="B20207" s="515" t="s">
        <v>301</v>
      </c>
      <c r="C20207" s="52">
        <v>346591.583498767</v>
      </c>
      <c r="D20207" s="56">
        <v>0.14941395102630581</v>
      </c>
      <c r="E20207" s="224" t="s">
        <v>2</v>
      </c>
      <c r="F20207" s="515" t="s">
        <v>21377</v>
      </c>
      <c r="G20207" s="52">
        <v>169821.13609944499</v>
      </c>
      <c r="H20207" s="56">
        <v>9.9353766299637852E-2</v>
      </c>
      <c r="I20207" s="224" t="s">
        <v>2</v>
      </c>
    </row>
    <row r="20208" spans="1:9" x14ac:dyDescent="0.25">
      <c r="A20208" s="515">
        <v>29916</v>
      </c>
      <c r="C20208" s="52">
        <v>160925.744493064</v>
      </c>
      <c r="D20208" s="56">
        <v>-5.3629409752440791E-3</v>
      </c>
      <c r="E20208" s="224" t="s">
        <v>2</v>
      </c>
      <c r="F20208" s="515" t="s">
        <v>21378</v>
      </c>
      <c r="G20208" s="52">
        <v>273989.75434150803</v>
      </c>
      <c r="H20208" s="56">
        <v>0.12261539106764507</v>
      </c>
      <c r="I20208" s="224" t="s">
        <v>2</v>
      </c>
    </row>
    <row r="20209" spans="1:9" x14ac:dyDescent="0.25">
      <c r="A20209" s="515">
        <v>30746</v>
      </c>
      <c r="B20209" s="515" t="s">
        <v>1056</v>
      </c>
      <c r="C20209" s="52">
        <v>235303.092183737</v>
      </c>
      <c r="D20209" s="56">
        <v>8.2508063304803342E-2</v>
      </c>
      <c r="E20209" s="224" t="s">
        <v>2</v>
      </c>
      <c r="F20209" s="515" t="s">
        <v>21379</v>
      </c>
      <c r="G20209" s="52">
        <v>74560.074719889904</v>
      </c>
      <c r="H20209" s="56">
        <v>0.20089262157497087</v>
      </c>
      <c r="I20209" s="224" t="s">
        <v>2</v>
      </c>
    </row>
    <row r="20210" spans="1:9" x14ac:dyDescent="0.25">
      <c r="A20210" s="515">
        <v>61467</v>
      </c>
      <c r="B20210" s="515" t="s">
        <v>339</v>
      </c>
      <c r="C20210" s="52">
        <v>107439.18792357099</v>
      </c>
      <c r="D20210" s="56">
        <v>1.0911533593476337E-2</v>
      </c>
      <c r="E20210" s="224" t="s">
        <v>2</v>
      </c>
      <c r="F20210" s="515" t="s">
        <v>21380</v>
      </c>
      <c r="G20210" s="52">
        <v>56439.583853467797</v>
      </c>
      <c r="H20210" s="56">
        <v>0.23153210655262807</v>
      </c>
      <c r="I20210" s="224" t="s">
        <v>2</v>
      </c>
    </row>
    <row r="20211" spans="1:9" x14ac:dyDescent="0.25">
      <c r="A20211" s="515">
        <v>55019</v>
      </c>
      <c r="B20211" s="515" t="s">
        <v>504</v>
      </c>
      <c r="C20211" s="52">
        <v>334202.71979562199</v>
      </c>
      <c r="D20211" s="56">
        <v>3.5297598343042455E-2</v>
      </c>
      <c r="E20211" s="224" t="s">
        <v>2</v>
      </c>
      <c r="F20211" s="515" t="s">
        <v>21381</v>
      </c>
      <c r="G20211" s="52">
        <v>100618.650128414</v>
      </c>
      <c r="H20211" s="56">
        <v>0.10699422587957448</v>
      </c>
      <c r="I20211" s="224" t="s">
        <v>2</v>
      </c>
    </row>
    <row r="20212" spans="1:9" x14ac:dyDescent="0.25">
      <c r="A20212" s="515">
        <v>23027</v>
      </c>
      <c r="C20212" s="52">
        <v>275457.51496433798</v>
      </c>
      <c r="D20212" s="56">
        <v>0.10608484971401808</v>
      </c>
      <c r="E20212" s="224" t="s">
        <v>2</v>
      </c>
      <c r="F20212" s="515" t="s">
        <v>21382</v>
      </c>
      <c r="G20212" s="52">
        <v>165897.39279089399</v>
      </c>
      <c r="H20212" s="56">
        <v>5.0624127993279457E-2</v>
      </c>
      <c r="I20212" s="224" t="s">
        <v>2</v>
      </c>
    </row>
    <row r="20213" spans="1:9" x14ac:dyDescent="0.25">
      <c r="A20213" s="515">
        <v>57385</v>
      </c>
      <c r="C20213" s="52">
        <v>182859.34741460299</v>
      </c>
      <c r="D20213" s="56">
        <v>6.5721706665347657E-2</v>
      </c>
      <c r="E20213" s="224" t="s">
        <v>2</v>
      </c>
      <c r="F20213" s="515" t="s">
        <v>21383</v>
      </c>
      <c r="G20213" s="52">
        <v>92765.024390243896</v>
      </c>
      <c r="H20213" s="56">
        <v>0</v>
      </c>
      <c r="I20213" s="224" t="s">
        <v>2</v>
      </c>
    </row>
    <row r="20214" spans="1:9" x14ac:dyDescent="0.25">
      <c r="A20214" s="515">
        <v>47231</v>
      </c>
      <c r="B20214" s="515" t="s">
        <v>865</v>
      </c>
      <c r="C20214" s="52">
        <v>166597.76584968899</v>
      </c>
      <c r="D20214" s="56">
        <v>0.10358767418281084</v>
      </c>
      <c r="E20214" s="224" t="s">
        <v>2</v>
      </c>
      <c r="F20214" s="515" t="s">
        <v>21384</v>
      </c>
      <c r="G20214" s="52">
        <v>130963.899446421</v>
      </c>
      <c r="H20214" s="56">
        <v>0.17691561308584308</v>
      </c>
      <c r="I20214" s="224" t="s">
        <v>2</v>
      </c>
    </row>
    <row r="20215" spans="1:9" x14ac:dyDescent="0.25">
      <c r="A20215" s="515">
        <v>10526</v>
      </c>
      <c r="B20215" s="515" t="s">
        <v>324</v>
      </c>
      <c r="C20215" s="52">
        <v>614966.57335478603</v>
      </c>
      <c r="D20215" s="56">
        <v>5.7888525468142396E-2</v>
      </c>
      <c r="E20215" s="224" t="s">
        <v>2</v>
      </c>
      <c r="F20215" s="515" t="s">
        <v>21385</v>
      </c>
      <c r="G20215" s="52">
        <v>223156.62984901501</v>
      </c>
      <c r="H20215" s="56">
        <v>0.11997533768809698</v>
      </c>
      <c r="I20215" s="224" t="s">
        <v>2</v>
      </c>
    </row>
    <row r="20216" spans="1:9" x14ac:dyDescent="0.25">
      <c r="A20216" s="515">
        <v>65534</v>
      </c>
      <c r="B20216" s="515" t="s">
        <v>1055</v>
      </c>
      <c r="C20216" s="52">
        <v>193041.31997501099</v>
      </c>
      <c r="D20216" s="56">
        <v>8.3024952359244217E-2</v>
      </c>
      <c r="E20216" s="224" t="s">
        <v>2</v>
      </c>
      <c r="F20216" s="515" t="s">
        <v>21386</v>
      </c>
      <c r="G20216" s="52">
        <v>82577.401930363398</v>
      </c>
      <c r="H20216" s="56">
        <v>-0.24091661328637584</v>
      </c>
      <c r="I20216" s="224" t="s">
        <v>2</v>
      </c>
    </row>
    <row r="20217" spans="1:9" x14ac:dyDescent="0.25">
      <c r="A20217" s="515">
        <v>6754</v>
      </c>
      <c r="B20217" s="515" t="s">
        <v>559</v>
      </c>
      <c r="C20217" s="52">
        <v>469657.74179795501</v>
      </c>
      <c r="D20217" s="56">
        <v>5.9184354250744517E-2</v>
      </c>
      <c r="E20217" s="224" t="s">
        <v>2</v>
      </c>
      <c r="F20217" s="515" t="s">
        <v>21387</v>
      </c>
      <c r="G20217" s="52">
        <v>105296.62161028</v>
      </c>
      <c r="H20217" s="56">
        <v>0</v>
      </c>
      <c r="I20217" s="224" t="s">
        <v>2</v>
      </c>
    </row>
    <row r="20218" spans="1:9" x14ac:dyDescent="0.25">
      <c r="A20218" s="515">
        <v>96729</v>
      </c>
      <c r="B20218" s="515" t="s">
        <v>400</v>
      </c>
      <c r="C20218" s="52">
        <v>398907.18715461699</v>
      </c>
      <c r="D20218" s="56">
        <v>0.14503171393201206</v>
      </c>
      <c r="E20218" s="224" t="s">
        <v>2</v>
      </c>
      <c r="F20218" s="515" t="s">
        <v>21388</v>
      </c>
      <c r="G20218" s="52">
        <v>330272.68181818101</v>
      </c>
      <c r="H20218" s="56">
        <v>0</v>
      </c>
      <c r="I20218" s="224" t="s">
        <v>2</v>
      </c>
    </row>
    <row r="20219" spans="1:9" x14ac:dyDescent="0.25">
      <c r="A20219" s="515">
        <v>48729</v>
      </c>
      <c r="C20219" s="52">
        <v>138566.744202912</v>
      </c>
      <c r="D20219" s="56">
        <v>2.6783730506363037E-2</v>
      </c>
      <c r="E20219" s="224" t="s">
        <v>2</v>
      </c>
      <c r="F20219" s="515" t="s">
        <v>21389</v>
      </c>
      <c r="G20219" s="52">
        <v>97641.828744665094</v>
      </c>
      <c r="H20219" s="56">
        <v>0</v>
      </c>
      <c r="I20219" s="224" t="s">
        <v>2</v>
      </c>
    </row>
    <row r="20220" spans="1:9" x14ac:dyDescent="0.25">
      <c r="A20220" s="515">
        <v>93441</v>
      </c>
      <c r="B20220" s="515" t="s">
        <v>847</v>
      </c>
      <c r="C20220" s="52">
        <v>1366343.4293686501</v>
      </c>
      <c r="D20220" s="56">
        <v>4.4812686922924234E-2</v>
      </c>
      <c r="E20220" s="224" t="s">
        <v>2</v>
      </c>
      <c r="F20220" s="515" t="s">
        <v>21390</v>
      </c>
      <c r="G20220" s="52">
        <v>269719.258208076</v>
      </c>
      <c r="H20220" s="56">
        <v>9.5487964063111178E-2</v>
      </c>
      <c r="I20220" s="224" t="s">
        <v>2</v>
      </c>
    </row>
    <row r="20221" spans="1:9" x14ac:dyDescent="0.25">
      <c r="A20221" s="515">
        <v>55970</v>
      </c>
      <c r="B20221" s="515" t="s">
        <v>413</v>
      </c>
      <c r="C20221" s="52">
        <v>233730.73648186601</v>
      </c>
      <c r="D20221" s="56">
        <v>7.1395593109904731E-2</v>
      </c>
      <c r="E20221" s="224" t="s">
        <v>2</v>
      </c>
      <c r="F20221" s="515" t="s">
        <v>21391</v>
      </c>
      <c r="G20221" s="52">
        <v>127111.83008339501</v>
      </c>
      <c r="H20221" s="56">
        <v>0</v>
      </c>
      <c r="I20221" s="224" t="s">
        <v>2</v>
      </c>
    </row>
    <row r="20222" spans="1:9" x14ac:dyDescent="0.25">
      <c r="A20222" s="515">
        <v>13864</v>
      </c>
      <c r="B20222" s="515" t="s">
        <v>840</v>
      </c>
      <c r="C20222" s="52">
        <v>161643.82551930301</v>
      </c>
      <c r="D20222" s="56">
        <v>0.1399799795675189</v>
      </c>
      <c r="E20222" s="224" t="s">
        <v>2</v>
      </c>
      <c r="F20222" s="515" t="s">
        <v>21392</v>
      </c>
      <c r="G20222" s="52">
        <v>66522.9796485978</v>
      </c>
      <c r="H20222" s="56">
        <v>0.25418671245961078</v>
      </c>
      <c r="I20222" s="224" t="s">
        <v>2</v>
      </c>
    </row>
    <row r="20223" spans="1:9" x14ac:dyDescent="0.25">
      <c r="A20223" s="515">
        <v>43106</v>
      </c>
      <c r="B20223" s="515" t="s">
        <v>1054</v>
      </c>
      <c r="C20223" s="52">
        <v>193542.990122683</v>
      </c>
      <c r="D20223" s="56">
        <v>8.1341317525724002E-2</v>
      </c>
      <c r="E20223" s="224" t="s">
        <v>2</v>
      </c>
      <c r="F20223" s="515" t="s">
        <v>21393</v>
      </c>
      <c r="G20223" s="52">
        <v>485106.314300464</v>
      </c>
      <c r="H20223" s="56">
        <v>6.9140379660191167E-2</v>
      </c>
      <c r="I20223" s="224" t="s">
        <v>2</v>
      </c>
    </row>
    <row r="20224" spans="1:9" x14ac:dyDescent="0.25">
      <c r="A20224" s="515">
        <v>46035</v>
      </c>
      <c r="B20224" s="515" t="s">
        <v>808</v>
      </c>
      <c r="C20224" s="52">
        <v>169111.74098074599</v>
      </c>
      <c r="D20224" s="56">
        <v>0.11178484147869501</v>
      </c>
      <c r="E20224" s="224" t="s">
        <v>2</v>
      </c>
      <c r="F20224" s="515" t="s">
        <v>21394</v>
      </c>
      <c r="G20224" s="52">
        <v>95566.202898550706</v>
      </c>
      <c r="H20224" s="56">
        <v>0</v>
      </c>
      <c r="I20224" s="224" t="s">
        <v>2</v>
      </c>
    </row>
    <row r="20225" spans="1:9" x14ac:dyDescent="0.25">
      <c r="A20225" s="515">
        <v>63623</v>
      </c>
      <c r="C20225" s="52">
        <v>159263.78988140999</v>
      </c>
      <c r="D20225" s="56">
        <v>8.3610383583507752E-2</v>
      </c>
      <c r="E20225" s="224" t="s">
        <v>2</v>
      </c>
      <c r="F20225" s="515" t="s">
        <v>21395</v>
      </c>
      <c r="G20225" s="52">
        <v>138079.07283916001</v>
      </c>
      <c r="H20225" s="56">
        <v>1.4326890923192396E-2</v>
      </c>
      <c r="I20225" s="224" t="s">
        <v>2</v>
      </c>
    </row>
    <row r="20226" spans="1:9" x14ac:dyDescent="0.25">
      <c r="A20226" s="515">
        <v>74723</v>
      </c>
      <c r="B20226" s="515" t="s">
        <v>1052</v>
      </c>
      <c r="C20226" s="52">
        <v>231393.72582314501</v>
      </c>
      <c r="D20226" s="56">
        <v>0.15197623631976473</v>
      </c>
      <c r="E20226" s="224" t="s">
        <v>2</v>
      </c>
      <c r="F20226" s="515" t="s">
        <v>21396</v>
      </c>
      <c r="G20226" s="52">
        <v>911828.37037036999</v>
      </c>
      <c r="H20226" s="56">
        <v>0</v>
      </c>
      <c r="I20226" s="224" t="s">
        <v>2</v>
      </c>
    </row>
    <row r="20227" spans="1:9" x14ac:dyDescent="0.25">
      <c r="A20227" s="515">
        <v>71937</v>
      </c>
      <c r="C20227" s="52">
        <v>117194.06991188601</v>
      </c>
      <c r="D20227" s="56">
        <v>-1.6189705063127658E-2</v>
      </c>
      <c r="E20227" s="224" t="s">
        <v>2</v>
      </c>
      <c r="F20227" s="515" t="s">
        <v>21397</v>
      </c>
      <c r="G20227" s="52">
        <v>121340.868852459</v>
      </c>
      <c r="H20227" s="56">
        <v>0</v>
      </c>
      <c r="I20227" s="224" t="s">
        <v>2</v>
      </c>
    </row>
    <row r="20228" spans="1:9" x14ac:dyDescent="0.25">
      <c r="A20228" s="515">
        <v>95449</v>
      </c>
      <c r="B20228" s="515" t="s">
        <v>644</v>
      </c>
      <c r="C20228" s="52">
        <v>536585.086114562</v>
      </c>
      <c r="D20228" s="56">
        <v>-0.10890709830862381</v>
      </c>
      <c r="E20228" s="224" t="s">
        <v>2</v>
      </c>
      <c r="F20228" s="515" t="s">
        <v>21398</v>
      </c>
      <c r="G20228" s="52">
        <v>348114.86942098901</v>
      </c>
      <c r="H20228" s="56">
        <v>1.5573503889007748E-2</v>
      </c>
      <c r="I20228" s="224" t="s">
        <v>2</v>
      </c>
    </row>
    <row r="20229" spans="1:9" x14ac:dyDescent="0.25">
      <c r="A20229" s="515">
        <v>39481</v>
      </c>
      <c r="B20229" s="515" t="s">
        <v>793</v>
      </c>
      <c r="C20229" s="52">
        <v>151258.20190015601</v>
      </c>
      <c r="D20229" s="56">
        <v>0</v>
      </c>
      <c r="E20229" s="224" t="s">
        <v>2</v>
      </c>
      <c r="F20229" s="515" t="s">
        <v>21399</v>
      </c>
      <c r="G20229" s="52">
        <v>606314.93951485201</v>
      </c>
      <c r="H20229" s="56">
        <v>8.3479902930884919E-2</v>
      </c>
      <c r="I20229" s="224" t="s">
        <v>2</v>
      </c>
    </row>
    <row r="20230" spans="1:9" x14ac:dyDescent="0.25">
      <c r="A20230" s="515">
        <v>62972</v>
      </c>
      <c r="B20230" s="515" t="s">
        <v>471</v>
      </c>
      <c r="C20230" s="52">
        <v>153992.02005626899</v>
      </c>
      <c r="D20230" s="56">
        <v>6.8162735425682519E-2</v>
      </c>
      <c r="E20230" s="224" t="s">
        <v>2</v>
      </c>
      <c r="F20230" s="515" t="s">
        <v>21400</v>
      </c>
      <c r="G20230" s="52">
        <v>244312.22298454601</v>
      </c>
      <c r="H20230" s="56">
        <v>9.8850818754955466E-2</v>
      </c>
      <c r="I20230" s="224" t="s">
        <v>2</v>
      </c>
    </row>
    <row r="20231" spans="1:9" x14ac:dyDescent="0.25">
      <c r="A20231" s="515">
        <v>49664</v>
      </c>
      <c r="B20231" s="515" t="s">
        <v>366</v>
      </c>
      <c r="C20231" s="52">
        <v>454081.99344791297</v>
      </c>
      <c r="D20231" s="56">
        <v>0.11050027692680305</v>
      </c>
      <c r="E20231" s="224" t="s">
        <v>2</v>
      </c>
      <c r="F20231" s="515" t="s">
        <v>21401</v>
      </c>
      <c r="G20231" s="52">
        <v>407050.17160371301</v>
      </c>
      <c r="H20231" s="56">
        <v>0.10684432242724824</v>
      </c>
      <c r="I20231" s="224" t="s">
        <v>2</v>
      </c>
    </row>
    <row r="20232" spans="1:9" x14ac:dyDescent="0.25">
      <c r="A20232" s="515">
        <v>22846</v>
      </c>
      <c r="B20232" s="515" t="s">
        <v>1026</v>
      </c>
      <c r="C20232" s="52">
        <v>401075.30434805801</v>
      </c>
      <c r="D20232" s="56">
        <v>7.2505360144390976E-2</v>
      </c>
      <c r="E20232" s="224" t="s">
        <v>2</v>
      </c>
      <c r="F20232" s="515" t="s">
        <v>21402</v>
      </c>
      <c r="G20232" s="52">
        <v>256471.36406478699</v>
      </c>
      <c r="H20232" s="56">
        <v>5.1024255249223632E-2</v>
      </c>
      <c r="I20232" s="224" t="s">
        <v>2</v>
      </c>
    </row>
    <row r="20233" spans="1:9" x14ac:dyDescent="0.25">
      <c r="A20233" s="515">
        <v>81253</v>
      </c>
      <c r="C20233" s="52">
        <v>409877.27535431198</v>
      </c>
      <c r="D20233" s="56">
        <v>7.1463881552507824E-2</v>
      </c>
      <c r="E20233" s="224" t="s">
        <v>2</v>
      </c>
      <c r="F20233" s="515" t="s">
        <v>21403</v>
      </c>
      <c r="G20233" s="52">
        <v>279284.02189080301</v>
      </c>
      <c r="H20233" s="56">
        <v>5.9809617223369638E-2</v>
      </c>
      <c r="I20233" s="224" t="s">
        <v>2</v>
      </c>
    </row>
    <row r="20234" spans="1:9" x14ac:dyDescent="0.25">
      <c r="A20234" s="515">
        <v>62844</v>
      </c>
      <c r="C20234" s="52">
        <v>53877.900480943797</v>
      </c>
      <c r="D20234" s="56">
        <v>3.2566701254197174E-2</v>
      </c>
      <c r="E20234" s="224" t="s">
        <v>2</v>
      </c>
      <c r="F20234" s="515" t="s">
        <v>21404</v>
      </c>
      <c r="G20234" s="52">
        <v>648478.79147186899</v>
      </c>
      <c r="H20234" s="56">
        <v>2.2442062226502198E-2</v>
      </c>
      <c r="I20234" s="224" t="s">
        <v>2</v>
      </c>
    </row>
    <row r="20235" spans="1:9" x14ac:dyDescent="0.25">
      <c r="A20235" s="515">
        <v>18211</v>
      </c>
      <c r="B20235" s="515" t="s">
        <v>994</v>
      </c>
      <c r="C20235" s="52">
        <v>256182.439943348</v>
      </c>
      <c r="D20235" s="56">
        <v>7.1715019257260981E-2</v>
      </c>
      <c r="E20235" s="224" t="s">
        <v>2</v>
      </c>
      <c r="F20235" s="515" t="s">
        <v>21405</v>
      </c>
      <c r="G20235" s="52">
        <v>291461.82519600599</v>
      </c>
      <c r="H20235" s="56">
        <v>4.9381739390577765E-2</v>
      </c>
      <c r="I20235" s="224" t="s">
        <v>2</v>
      </c>
    </row>
    <row r="20236" spans="1:9" x14ac:dyDescent="0.25">
      <c r="A20236" s="515">
        <v>93523</v>
      </c>
      <c r="B20236" s="515" t="s">
        <v>419</v>
      </c>
      <c r="C20236" s="52">
        <v>172529.589800068</v>
      </c>
      <c r="D20236" s="56">
        <v>0.10645005590051373</v>
      </c>
      <c r="E20236" s="224" t="s">
        <v>2</v>
      </c>
      <c r="F20236" s="515" t="s">
        <v>21406</v>
      </c>
      <c r="G20236" s="52">
        <v>70187.445452079497</v>
      </c>
      <c r="H20236" s="56">
        <v>0.10325592779954149</v>
      </c>
      <c r="I20236" s="224" t="s">
        <v>2</v>
      </c>
    </row>
    <row r="20237" spans="1:9" x14ac:dyDescent="0.25">
      <c r="A20237" s="515">
        <v>69360</v>
      </c>
      <c r="C20237" s="52">
        <v>95329.265867666603</v>
      </c>
      <c r="D20237" s="56">
        <v>0.14176391315299439</v>
      </c>
      <c r="E20237" s="224" t="s">
        <v>2</v>
      </c>
      <c r="F20237" s="515" t="s">
        <v>21407</v>
      </c>
      <c r="G20237" s="52">
        <v>379826.322658922</v>
      </c>
      <c r="H20237" s="56">
        <v>0.10676859627911843</v>
      </c>
      <c r="I20237" s="224" t="s">
        <v>2</v>
      </c>
    </row>
    <row r="20238" spans="1:9" x14ac:dyDescent="0.25">
      <c r="A20238" s="515">
        <v>54104</v>
      </c>
      <c r="B20238" s="515" t="s">
        <v>923</v>
      </c>
      <c r="C20238" s="52">
        <v>135761.735123816</v>
      </c>
      <c r="D20238" s="56">
        <v>0.10451662056673654</v>
      </c>
      <c r="E20238" s="224" t="s">
        <v>2</v>
      </c>
      <c r="F20238" s="515" t="s">
        <v>21408</v>
      </c>
      <c r="G20238" s="52">
        <v>160965.464001121</v>
      </c>
      <c r="H20238" s="56">
        <v>0.12036912340798192</v>
      </c>
      <c r="I20238" s="224" t="s">
        <v>2</v>
      </c>
    </row>
    <row r="20239" spans="1:9" x14ac:dyDescent="0.25">
      <c r="A20239" s="515">
        <v>35585</v>
      </c>
      <c r="C20239" s="52">
        <v>172943.91729323301</v>
      </c>
      <c r="D20239" s="56">
        <v>0</v>
      </c>
      <c r="E20239" s="224" t="s">
        <v>2</v>
      </c>
      <c r="F20239" s="515" t="s">
        <v>21409</v>
      </c>
      <c r="G20239" s="52">
        <v>143151.93405882601</v>
      </c>
      <c r="H20239" s="56">
        <v>0.11436861079346715</v>
      </c>
      <c r="I20239" s="224" t="s">
        <v>2</v>
      </c>
    </row>
    <row r="20240" spans="1:9" x14ac:dyDescent="0.25">
      <c r="A20240" s="515">
        <v>46926</v>
      </c>
      <c r="B20240" s="515" t="s">
        <v>547</v>
      </c>
      <c r="C20240" s="52">
        <v>161790.86661121799</v>
      </c>
      <c r="D20240" s="56">
        <v>2.9944115715666242E-2</v>
      </c>
      <c r="E20240" s="224" t="s">
        <v>2</v>
      </c>
      <c r="F20240" s="515" t="s">
        <v>21410</v>
      </c>
      <c r="G20240" s="52">
        <v>119855.061428752</v>
      </c>
      <c r="H20240" s="56">
        <v>8.3537683873618179E-2</v>
      </c>
      <c r="I20240" s="224" t="s">
        <v>2</v>
      </c>
    </row>
    <row r="20241" spans="1:9" x14ac:dyDescent="0.25">
      <c r="A20241" s="515">
        <v>70080</v>
      </c>
      <c r="B20241" s="515" t="s">
        <v>777</v>
      </c>
      <c r="C20241" s="52">
        <v>168777.773913043</v>
      </c>
      <c r="D20241" s="56">
        <v>0</v>
      </c>
      <c r="E20241" s="224" t="s">
        <v>2</v>
      </c>
      <c r="F20241" s="515" t="s">
        <v>21411</v>
      </c>
      <c r="G20241" s="52">
        <v>172757.31161513299</v>
      </c>
      <c r="H20241" s="56">
        <v>5.3385208582619088E-2</v>
      </c>
      <c r="I20241" s="224" t="s">
        <v>2</v>
      </c>
    </row>
    <row r="20242" spans="1:9" x14ac:dyDescent="0.25">
      <c r="A20242" s="515">
        <v>56571</v>
      </c>
      <c r="B20242" s="515" t="s">
        <v>601</v>
      </c>
      <c r="C20242" s="52">
        <v>336885.56980756402</v>
      </c>
      <c r="D20242" s="56">
        <v>7.103765014867322E-2</v>
      </c>
      <c r="E20242" s="224" t="s">
        <v>2</v>
      </c>
      <c r="F20242" s="515" t="s">
        <v>21412</v>
      </c>
      <c r="G20242" s="52">
        <v>49226.639443752298</v>
      </c>
      <c r="H20242" s="56">
        <v>0</v>
      </c>
      <c r="I20242" s="224" t="s">
        <v>2</v>
      </c>
    </row>
    <row r="20243" spans="1:9" x14ac:dyDescent="0.25">
      <c r="A20243" s="515">
        <v>56330</v>
      </c>
      <c r="B20243" s="515" t="s">
        <v>532</v>
      </c>
      <c r="C20243" s="52">
        <v>282730.712667757</v>
      </c>
      <c r="D20243" s="56">
        <v>4.4316223951808946E-2</v>
      </c>
      <c r="E20243" s="224" t="s">
        <v>2</v>
      </c>
      <c r="F20243" s="515" t="s">
        <v>21413</v>
      </c>
      <c r="G20243" s="52">
        <v>115570.693475694</v>
      </c>
      <c r="H20243" s="56">
        <v>0</v>
      </c>
      <c r="I20243" s="224" t="s">
        <v>2</v>
      </c>
    </row>
    <row r="20244" spans="1:9" x14ac:dyDescent="0.25">
      <c r="A20244" s="515">
        <v>76351</v>
      </c>
      <c r="B20244" s="515" t="s">
        <v>328</v>
      </c>
      <c r="C20244" s="52">
        <v>106751.322652906</v>
      </c>
      <c r="D20244" s="56">
        <v>0</v>
      </c>
      <c r="E20244" s="224" t="s">
        <v>2</v>
      </c>
      <c r="F20244" s="515" t="s">
        <v>21414</v>
      </c>
      <c r="G20244" s="52">
        <v>193011.79517260901</v>
      </c>
      <c r="H20244" s="56">
        <v>0.23696367628475551</v>
      </c>
      <c r="I20244" s="224" t="s">
        <v>2</v>
      </c>
    </row>
    <row r="20245" spans="1:9" x14ac:dyDescent="0.25">
      <c r="A20245" s="515">
        <v>24102</v>
      </c>
      <c r="B20245" s="515" t="s">
        <v>861</v>
      </c>
      <c r="C20245" s="52">
        <v>180472.28780051999</v>
      </c>
      <c r="D20245" s="56">
        <v>8.5982911656481684E-2</v>
      </c>
      <c r="E20245" s="224" t="s">
        <v>2</v>
      </c>
      <c r="F20245" s="515" t="s">
        <v>21415</v>
      </c>
      <c r="G20245" s="52">
        <v>244579.19138613599</v>
      </c>
      <c r="H20245" s="56">
        <v>0.1179799209105709</v>
      </c>
      <c r="I20245" s="224" t="s">
        <v>2</v>
      </c>
    </row>
    <row r="20246" spans="1:9" x14ac:dyDescent="0.25">
      <c r="A20246" s="515">
        <v>23856</v>
      </c>
      <c r="C20246" s="52">
        <v>73265.767605633795</v>
      </c>
      <c r="D20246" s="56">
        <v>0</v>
      </c>
      <c r="E20246" s="224" t="s">
        <v>2</v>
      </c>
      <c r="F20246" s="515" t="s">
        <v>21416</v>
      </c>
      <c r="G20246" s="52">
        <v>92171.174066381602</v>
      </c>
      <c r="H20246" s="56">
        <v>0.18921837510048586</v>
      </c>
      <c r="I20246" s="224" t="s">
        <v>2</v>
      </c>
    </row>
    <row r="20247" spans="1:9" x14ac:dyDescent="0.25">
      <c r="A20247" s="515">
        <v>93562</v>
      </c>
      <c r="B20247" s="515" t="s">
        <v>599</v>
      </c>
      <c r="C20247" s="52">
        <v>64877.045863700303</v>
      </c>
      <c r="D20247" s="56">
        <v>-5.5751584120916256E-2</v>
      </c>
      <c r="E20247" s="224" t="s">
        <v>2</v>
      </c>
      <c r="F20247" s="515" t="s">
        <v>21417</v>
      </c>
      <c r="G20247" s="52">
        <v>266924.00109142502</v>
      </c>
      <c r="H20247" s="56">
        <v>0.18062313787486198</v>
      </c>
      <c r="I20247" s="224" t="s">
        <v>2</v>
      </c>
    </row>
    <row r="20248" spans="1:9" x14ac:dyDescent="0.25">
      <c r="A20248" s="515">
        <v>95255</v>
      </c>
      <c r="C20248" s="52">
        <v>304522.11781693302</v>
      </c>
      <c r="D20248" s="56">
        <v>1.879918197451819E-2</v>
      </c>
      <c r="E20248" s="224" t="s">
        <v>2</v>
      </c>
      <c r="F20248" s="515" t="s">
        <v>21418</v>
      </c>
      <c r="G20248" s="52">
        <v>138984.55755612199</v>
      </c>
      <c r="H20248" s="56">
        <v>0</v>
      </c>
      <c r="I20248" s="224" t="s">
        <v>2</v>
      </c>
    </row>
    <row r="20249" spans="1:9" x14ac:dyDescent="0.25">
      <c r="A20249" s="515">
        <v>56655</v>
      </c>
      <c r="B20249" s="515" t="s">
        <v>674</v>
      </c>
      <c r="C20249" s="52">
        <v>331762.96110949299</v>
      </c>
      <c r="D20249" s="56">
        <v>8.6357302812148345E-2</v>
      </c>
      <c r="E20249" s="224" t="s">
        <v>2</v>
      </c>
      <c r="F20249" s="515" t="s">
        <v>21419</v>
      </c>
      <c r="G20249" s="52">
        <v>153864.08086928201</v>
      </c>
      <c r="H20249" s="56">
        <v>0.16323216412250749</v>
      </c>
      <c r="I20249" s="224" t="s">
        <v>2</v>
      </c>
    </row>
    <row r="20250" spans="1:9" x14ac:dyDescent="0.25">
      <c r="A20250" s="515">
        <v>4010</v>
      </c>
      <c r="C20250" s="52">
        <v>311669.50521953002</v>
      </c>
      <c r="D20250" s="56">
        <v>5.2615789918951328E-2</v>
      </c>
      <c r="E20250" s="224" t="s">
        <v>2</v>
      </c>
      <c r="F20250" s="515" t="s">
        <v>21420</v>
      </c>
      <c r="G20250" s="52">
        <v>76978.425036214394</v>
      </c>
      <c r="H20250" s="56">
        <v>-1.5558171089764278E-3</v>
      </c>
      <c r="I20250" s="224" t="s">
        <v>2</v>
      </c>
    </row>
    <row r="20251" spans="1:9" x14ac:dyDescent="0.25">
      <c r="A20251" s="515">
        <v>62665</v>
      </c>
      <c r="B20251" s="515" t="s">
        <v>531</v>
      </c>
      <c r="C20251" s="52">
        <v>46037.0183848706</v>
      </c>
      <c r="D20251" s="56">
        <v>-2.7337129920084986E-2</v>
      </c>
      <c r="E20251" s="224" t="s">
        <v>2</v>
      </c>
      <c r="F20251" s="515" t="s">
        <v>21421</v>
      </c>
      <c r="G20251" s="52">
        <v>520631.48560310202</v>
      </c>
      <c r="H20251" s="56">
        <v>0.138726872039621</v>
      </c>
      <c r="I20251" s="224" t="s">
        <v>2</v>
      </c>
    </row>
    <row r="20252" spans="1:9" x14ac:dyDescent="0.25">
      <c r="A20252" s="515">
        <v>26818</v>
      </c>
      <c r="C20252" s="52">
        <v>185463.016794222</v>
      </c>
      <c r="D20252" s="56">
        <v>2.715158473970479E-2</v>
      </c>
      <c r="E20252" s="224" t="s">
        <v>2</v>
      </c>
      <c r="F20252" s="515" t="s">
        <v>21422</v>
      </c>
      <c r="G20252" s="52">
        <v>71584.839285714203</v>
      </c>
      <c r="H20252" s="56">
        <v>0</v>
      </c>
      <c r="I20252" s="224" t="s">
        <v>2</v>
      </c>
    </row>
    <row r="20253" spans="1:9" x14ac:dyDescent="0.25">
      <c r="A20253" s="515">
        <v>5038</v>
      </c>
      <c r="B20253" s="515" t="s">
        <v>420</v>
      </c>
      <c r="C20253" s="52">
        <v>268301.211577087</v>
      </c>
      <c r="D20253" s="56">
        <v>0.10277314576153533</v>
      </c>
      <c r="E20253" s="224" t="s">
        <v>2</v>
      </c>
      <c r="F20253" s="515" t="s">
        <v>21423</v>
      </c>
      <c r="G20253" s="52">
        <v>179315.068803934</v>
      </c>
      <c r="H20253" s="56">
        <v>0.11308253532357808</v>
      </c>
      <c r="I20253" s="224" t="s">
        <v>2</v>
      </c>
    </row>
    <row r="20254" spans="1:9" x14ac:dyDescent="0.25">
      <c r="A20254" s="515">
        <v>54766</v>
      </c>
      <c r="C20254" s="52">
        <v>130626.391589379</v>
      </c>
      <c r="D20254" s="56">
        <v>0.12754540604518089</v>
      </c>
      <c r="E20254" s="224" t="s">
        <v>2</v>
      </c>
      <c r="F20254" s="515" t="s">
        <v>21424</v>
      </c>
      <c r="G20254" s="52">
        <v>230062.058561502</v>
      </c>
      <c r="H20254" s="56">
        <v>0.27000351112089815</v>
      </c>
      <c r="I20254" s="224" t="s">
        <v>2</v>
      </c>
    </row>
    <row r="20255" spans="1:9" x14ac:dyDescent="0.25">
      <c r="A20255" s="515">
        <v>97413</v>
      </c>
      <c r="B20255" s="515" t="s">
        <v>801</v>
      </c>
      <c r="C20255" s="52">
        <v>418400.96630824503</v>
      </c>
      <c r="D20255" s="56">
        <v>4.8343168947782303E-2</v>
      </c>
      <c r="E20255" s="224" t="s">
        <v>2</v>
      </c>
      <c r="F20255" s="515" t="s">
        <v>21425</v>
      </c>
      <c r="G20255" s="52">
        <v>244461.34484002701</v>
      </c>
      <c r="H20255" s="56">
        <v>0.13158242632900582</v>
      </c>
      <c r="I20255" s="224" t="s">
        <v>2</v>
      </c>
    </row>
    <row r="20256" spans="1:9" x14ac:dyDescent="0.25">
      <c r="A20256" s="515">
        <v>20004</v>
      </c>
      <c r="B20256" s="515" t="s">
        <v>321</v>
      </c>
      <c r="C20256" s="52">
        <v>467852.436631491</v>
      </c>
      <c r="D20256" s="56">
        <v>-3.6134783418498143E-2</v>
      </c>
      <c r="E20256" s="224">
        <v>2546.6666666666601</v>
      </c>
      <c r="F20256" s="515" t="s">
        <v>21426</v>
      </c>
      <c r="G20256" s="52">
        <v>325057.502531801</v>
      </c>
      <c r="H20256" s="56">
        <v>0.17606995453454527</v>
      </c>
      <c r="I20256" s="224" t="s">
        <v>2</v>
      </c>
    </row>
    <row r="20257" spans="1:9" x14ac:dyDescent="0.25">
      <c r="A20257" s="515">
        <v>46764</v>
      </c>
      <c r="B20257" s="515" t="s">
        <v>1031</v>
      </c>
      <c r="C20257" s="52">
        <v>250676.939088226</v>
      </c>
      <c r="D20257" s="56">
        <v>9.9545669957924354E-2</v>
      </c>
      <c r="E20257" s="224" t="s">
        <v>2</v>
      </c>
      <c r="F20257" s="515" t="s">
        <v>21427</v>
      </c>
      <c r="G20257" s="52">
        <v>76983.439835618105</v>
      </c>
      <c r="H20257" s="56">
        <v>0.14069062523630163</v>
      </c>
      <c r="I20257" s="224" t="s">
        <v>2</v>
      </c>
    </row>
    <row r="20258" spans="1:9" x14ac:dyDescent="0.25">
      <c r="A20258" s="515">
        <v>50682</v>
      </c>
      <c r="C20258" s="52">
        <v>192991.43202494999</v>
      </c>
      <c r="D20258" s="56">
        <v>0.15781137516408894</v>
      </c>
      <c r="E20258" s="224" t="s">
        <v>2</v>
      </c>
      <c r="F20258" s="515" t="s">
        <v>21428</v>
      </c>
      <c r="G20258" s="52">
        <v>239201.09411013901</v>
      </c>
      <c r="H20258" s="56">
        <v>0.18166409674144279</v>
      </c>
      <c r="I20258" s="224" t="s">
        <v>2</v>
      </c>
    </row>
    <row r="20259" spans="1:9" x14ac:dyDescent="0.25">
      <c r="A20259" s="515">
        <v>64139</v>
      </c>
      <c r="B20259" s="515" t="s">
        <v>455</v>
      </c>
      <c r="C20259" s="52">
        <v>417187.44689823198</v>
      </c>
      <c r="D20259" s="56">
        <v>5.2602727382480195E-2</v>
      </c>
      <c r="E20259" s="224" t="s">
        <v>2</v>
      </c>
      <c r="F20259" s="515" t="s">
        <v>21429</v>
      </c>
      <c r="G20259" s="52">
        <v>43255.6</v>
      </c>
      <c r="H20259" s="56">
        <v>0</v>
      </c>
      <c r="I20259" s="224" t="s">
        <v>2</v>
      </c>
    </row>
    <row r="20260" spans="1:9" x14ac:dyDescent="0.25">
      <c r="A20260" s="515">
        <v>68924</v>
      </c>
      <c r="B20260" s="515" t="s">
        <v>660</v>
      </c>
      <c r="C20260" s="52">
        <v>232309.96100046099</v>
      </c>
      <c r="D20260" s="56">
        <v>7.2320607846911092E-2</v>
      </c>
      <c r="E20260" s="224" t="s">
        <v>2</v>
      </c>
      <c r="F20260" s="515" t="s">
        <v>21430</v>
      </c>
      <c r="G20260" s="52">
        <v>172335.698827802</v>
      </c>
      <c r="H20260" s="56">
        <v>0.11585951440676855</v>
      </c>
      <c r="I20260" s="224" t="s">
        <v>2</v>
      </c>
    </row>
    <row r="20261" spans="1:9" x14ac:dyDescent="0.25">
      <c r="A20261" s="515">
        <v>46960</v>
      </c>
      <c r="C20261" s="52">
        <v>142555.93726175799</v>
      </c>
      <c r="D20261" s="56">
        <v>8.6743181284760509E-2</v>
      </c>
      <c r="E20261" s="224" t="s">
        <v>2</v>
      </c>
      <c r="F20261" s="515" t="s">
        <v>21431</v>
      </c>
      <c r="G20261" s="52">
        <v>136935.26362605899</v>
      </c>
      <c r="H20261" s="56">
        <v>0.13023213953199342</v>
      </c>
      <c r="I20261" s="224" t="s">
        <v>2</v>
      </c>
    </row>
    <row r="20262" spans="1:9" x14ac:dyDescent="0.25">
      <c r="A20262" s="515">
        <v>56279</v>
      </c>
      <c r="B20262" s="515" t="s">
        <v>803</v>
      </c>
      <c r="C20262" s="52">
        <v>234624.655093846</v>
      </c>
      <c r="D20262" s="56">
        <v>4.1068787087489358E-2</v>
      </c>
      <c r="E20262" s="224" t="s">
        <v>2</v>
      </c>
      <c r="F20262" s="515" t="s">
        <v>21432</v>
      </c>
      <c r="G20262" s="52">
        <v>149018.385577985</v>
      </c>
      <c r="H20262" s="56">
        <v>6.8957511462020477E-2</v>
      </c>
      <c r="I20262" s="224" t="s">
        <v>2</v>
      </c>
    </row>
    <row r="20263" spans="1:9" x14ac:dyDescent="0.25">
      <c r="A20263" s="515">
        <v>6757</v>
      </c>
      <c r="B20263" s="515" t="s">
        <v>559</v>
      </c>
      <c r="C20263" s="52">
        <v>446747.26648654201</v>
      </c>
      <c r="D20263" s="56">
        <v>5.698028239167871E-2</v>
      </c>
      <c r="E20263" s="224" t="s">
        <v>2</v>
      </c>
      <c r="F20263" s="515" t="s">
        <v>21433</v>
      </c>
      <c r="G20263" s="52">
        <v>301059.74769026903</v>
      </c>
      <c r="H20263" s="56">
        <v>0.1234834903812298</v>
      </c>
      <c r="I20263" s="224" t="s">
        <v>2</v>
      </c>
    </row>
    <row r="20264" spans="1:9" x14ac:dyDescent="0.25">
      <c r="A20264" s="515">
        <v>62255</v>
      </c>
      <c r="B20264" s="515" t="s">
        <v>498</v>
      </c>
      <c r="C20264" s="52">
        <v>94886.762245524893</v>
      </c>
      <c r="D20264" s="56">
        <v>5.0790978531860626E-2</v>
      </c>
      <c r="E20264" s="224" t="s">
        <v>2</v>
      </c>
      <c r="F20264" s="515" t="s">
        <v>21434</v>
      </c>
      <c r="G20264" s="52">
        <v>245254.12593545101</v>
      </c>
      <c r="H20264" s="56">
        <v>8.5583728362233449E-2</v>
      </c>
      <c r="I20264" s="224" t="s">
        <v>2</v>
      </c>
    </row>
    <row r="20265" spans="1:9" x14ac:dyDescent="0.25">
      <c r="A20265" s="515">
        <v>70725</v>
      </c>
      <c r="B20265" s="515" t="s">
        <v>610</v>
      </c>
      <c r="C20265" s="52">
        <v>202850.504248048</v>
      </c>
      <c r="D20265" s="56">
        <v>2.6284771333479562E-2</v>
      </c>
      <c r="E20265" s="224" t="s">
        <v>2</v>
      </c>
      <c r="F20265" s="515" t="s">
        <v>21435</v>
      </c>
      <c r="G20265" s="52">
        <v>133014.47233523501</v>
      </c>
      <c r="H20265" s="56">
        <v>0.14201692082548281</v>
      </c>
      <c r="I20265" s="224" t="s">
        <v>2</v>
      </c>
    </row>
    <row r="20266" spans="1:9" x14ac:dyDescent="0.25">
      <c r="A20266" s="515">
        <v>4667</v>
      </c>
      <c r="C20266" s="52">
        <v>209308.44749201799</v>
      </c>
      <c r="D20266" s="56">
        <v>8.9475978415399796E-2</v>
      </c>
      <c r="E20266" s="224" t="s">
        <v>2</v>
      </c>
      <c r="F20266" s="515" t="s">
        <v>21436</v>
      </c>
      <c r="G20266" s="52">
        <v>126860.098775495</v>
      </c>
      <c r="H20266" s="56">
        <v>8.3572290425628429E-2</v>
      </c>
      <c r="I20266" s="224" t="s">
        <v>2</v>
      </c>
    </row>
    <row r="20267" spans="1:9" x14ac:dyDescent="0.25">
      <c r="A20267" s="515">
        <v>47968</v>
      </c>
      <c r="B20267" s="515" t="s">
        <v>408</v>
      </c>
      <c r="C20267" s="52">
        <v>195232.87720391501</v>
      </c>
      <c r="D20267" s="56">
        <v>7.4352696977399532E-2</v>
      </c>
      <c r="E20267" s="224" t="s">
        <v>2</v>
      </c>
      <c r="F20267" s="515" t="s">
        <v>21437</v>
      </c>
      <c r="G20267" s="52">
        <v>141053.50036284799</v>
      </c>
      <c r="H20267" s="56">
        <v>7.1046763062806939E-2</v>
      </c>
      <c r="I20267" s="224" t="s">
        <v>2</v>
      </c>
    </row>
    <row r="20268" spans="1:9" x14ac:dyDescent="0.25">
      <c r="A20268" s="515">
        <v>61843</v>
      </c>
      <c r="B20268" s="515" t="s">
        <v>417</v>
      </c>
      <c r="C20268" s="52">
        <v>176843.52105233699</v>
      </c>
      <c r="D20268" s="56">
        <v>4.4956784054538852E-2</v>
      </c>
      <c r="E20268" s="224" t="s">
        <v>2</v>
      </c>
      <c r="F20268" s="515" t="s">
        <v>21438</v>
      </c>
      <c r="G20268" s="52">
        <v>362427.99957315001</v>
      </c>
      <c r="H20268" s="56">
        <v>5.8465427193997471E-2</v>
      </c>
      <c r="I20268" s="224" t="s">
        <v>2</v>
      </c>
    </row>
    <row r="20269" spans="1:9" x14ac:dyDescent="0.25">
      <c r="A20269" s="515">
        <v>25164</v>
      </c>
      <c r="B20269" s="515" t="s">
        <v>322</v>
      </c>
      <c r="C20269" s="52">
        <v>90733.121141690805</v>
      </c>
      <c r="D20269" s="56">
        <v>7.9967603797524073E-2</v>
      </c>
      <c r="E20269" s="224" t="s">
        <v>2</v>
      </c>
      <c r="F20269" s="515" t="s">
        <v>21439</v>
      </c>
      <c r="G20269" s="52">
        <v>274001.59576097399</v>
      </c>
      <c r="H20269" s="56">
        <v>9.1877275768497385E-2</v>
      </c>
      <c r="I20269" s="224" t="s">
        <v>2</v>
      </c>
    </row>
    <row r="20270" spans="1:9" x14ac:dyDescent="0.25">
      <c r="A20270" s="515">
        <v>54546</v>
      </c>
      <c r="C20270" s="52">
        <v>94590.623893805299</v>
      </c>
      <c r="D20270" s="56">
        <v>0</v>
      </c>
      <c r="E20270" s="224" t="s">
        <v>2</v>
      </c>
      <c r="F20270" s="515" t="s">
        <v>21440</v>
      </c>
      <c r="G20270" s="52">
        <v>149707.725743644</v>
      </c>
      <c r="H20270" s="56">
        <v>0.20826928805524914</v>
      </c>
      <c r="I20270" s="224" t="s">
        <v>2</v>
      </c>
    </row>
    <row r="20271" spans="1:9" x14ac:dyDescent="0.25">
      <c r="A20271" s="515">
        <v>50166</v>
      </c>
      <c r="B20271" s="515" t="s">
        <v>295</v>
      </c>
      <c r="C20271" s="52">
        <v>214352.21603176801</v>
      </c>
      <c r="D20271" s="56">
        <v>0.10441388992102436</v>
      </c>
      <c r="E20271" s="224" t="s">
        <v>2</v>
      </c>
      <c r="F20271" s="515" t="s">
        <v>21441</v>
      </c>
      <c r="G20271" s="52">
        <v>94904.515794866107</v>
      </c>
      <c r="H20271" s="56">
        <v>5.0806473783990634E-2</v>
      </c>
      <c r="I20271" s="224" t="s">
        <v>2</v>
      </c>
    </row>
    <row r="20272" spans="1:9" x14ac:dyDescent="0.25">
      <c r="A20272" s="515">
        <v>78609</v>
      </c>
      <c r="C20272" s="52">
        <v>375957.24334892398</v>
      </c>
      <c r="D20272" s="56">
        <v>0.11948193933528355</v>
      </c>
      <c r="E20272" s="224" t="s">
        <v>2</v>
      </c>
      <c r="F20272" s="515" t="s">
        <v>21442</v>
      </c>
      <c r="G20272" s="52">
        <v>300633.77192982403</v>
      </c>
      <c r="H20272" s="56">
        <v>0</v>
      </c>
      <c r="I20272" s="224" t="s">
        <v>2</v>
      </c>
    </row>
    <row r="20273" spans="1:9" x14ac:dyDescent="0.25">
      <c r="A20273" s="515">
        <v>49689</v>
      </c>
      <c r="C20273" s="52">
        <v>112566.44191707901</v>
      </c>
      <c r="D20273" s="56">
        <v>-6.9275277020365079E-5</v>
      </c>
      <c r="E20273" s="224" t="s">
        <v>2</v>
      </c>
      <c r="F20273" s="515" t="s">
        <v>21443</v>
      </c>
      <c r="G20273" s="52">
        <v>197787.854360542</v>
      </c>
      <c r="H20273" s="56">
        <v>0</v>
      </c>
      <c r="I20273" s="224" t="s">
        <v>2</v>
      </c>
    </row>
    <row r="20274" spans="1:9" x14ac:dyDescent="0.25">
      <c r="A20274" s="515">
        <v>42436</v>
      </c>
      <c r="B20274" s="515" t="s">
        <v>598</v>
      </c>
      <c r="C20274" s="52">
        <v>176329.11963612601</v>
      </c>
      <c r="D20274" s="56">
        <v>9.2994325875054018E-2</v>
      </c>
      <c r="E20274" s="224" t="s">
        <v>2</v>
      </c>
      <c r="F20274" s="515" t="s">
        <v>21444</v>
      </c>
      <c r="G20274" s="52">
        <v>182840.35587574801</v>
      </c>
      <c r="H20274" s="56">
        <v>6.7731118610483032E-2</v>
      </c>
      <c r="I20274" s="224" t="s">
        <v>2</v>
      </c>
    </row>
    <row r="20275" spans="1:9" x14ac:dyDescent="0.25">
      <c r="A20275" s="515">
        <v>12153</v>
      </c>
      <c r="B20275" s="515" t="s">
        <v>609</v>
      </c>
      <c r="C20275" s="52">
        <v>300727.93883805402</v>
      </c>
      <c r="D20275" s="56">
        <v>8.9179202064061741E-2</v>
      </c>
      <c r="E20275" s="224" t="s">
        <v>2</v>
      </c>
      <c r="F20275" s="515" t="s">
        <v>21445</v>
      </c>
      <c r="G20275" s="52">
        <v>134826.63159300099</v>
      </c>
      <c r="H20275" s="56">
        <v>0.19163539642795063</v>
      </c>
      <c r="I20275" s="224" t="s">
        <v>2</v>
      </c>
    </row>
    <row r="20276" spans="1:9" x14ac:dyDescent="0.25">
      <c r="A20276" s="515">
        <v>4747</v>
      </c>
      <c r="C20276" s="52">
        <v>153733.89748485599</v>
      </c>
      <c r="D20276" s="56">
        <v>0.10888551322065954</v>
      </c>
      <c r="E20276" s="224" t="s">
        <v>2</v>
      </c>
      <c r="F20276" s="515" t="s">
        <v>21446</v>
      </c>
      <c r="G20276" s="52">
        <v>193738.86782505401</v>
      </c>
      <c r="H20276" s="56">
        <v>0</v>
      </c>
      <c r="I20276" s="224" t="s">
        <v>2</v>
      </c>
    </row>
    <row r="20277" spans="1:9" x14ac:dyDescent="0.25">
      <c r="A20277" s="515">
        <v>21780</v>
      </c>
      <c r="B20277" s="515" t="s">
        <v>321</v>
      </c>
      <c r="C20277" s="52">
        <v>327384.45349460503</v>
      </c>
      <c r="D20277" s="56">
        <v>4.329361243880827E-2</v>
      </c>
      <c r="E20277" s="224" t="s">
        <v>2</v>
      </c>
      <c r="F20277" s="515" t="s">
        <v>21447</v>
      </c>
      <c r="G20277" s="52">
        <v>33116.378154975697</v>
      </c>
      <c r="H20277" s="56">
        <v>3.0151696697621848E-2</v>
      </c>
      <c r="I20277" s="224" t="s">
        <v>2</v>
      </c>
    </row>
    <row r="20278" spans="1:9" x14ac:dyDescent="0.25">
      <c r="A20278" s="515">
        <v>40915</v>
      </c>
      <c r="B20278" s="515" t="s">
        <v>633</v>
      </c>
      <c r="C20278" s="52">
        <v>147190.38871944</v>
      </c>
      <c r="D20278" s="56">
        <v>0.22154604333034858</v>
      </c>
      <c r="E20278" s="224" t="s">
        <v>2</v>
      </c>
      <c r="F20278" s="515" t="s">
        <v>21448</v>
      </c>
      <c r="G20278" s="52">
        <v>272632.282051282</v>
      </c>
      <c r="H20278" s="56">
        <v>0</v>
      </c>
      <c r="I20278" s="224" t="s">
        <v>2</v>
      </c>
    </row>
    <row r="20279" spans="1:9" x14ac:dyDescent="0.25">
      <c r="A20279" s="515">
        <v>13052</v>
      </c>
      <c r="B20279" s="515" t="s">
        <v>361</v>
      </c>
      <c r="C20279" s="52">
        <v>182163.04414394801</v>
      </c>
      <c r="D20279" s="56">
        <v>9.8448677745138144E-2</v>
      </c>
      <c r="E20279" s="224" t="s">
        <v>2</v>
      </c>
      <c r="F20279" s="515" t="s">
        <v>21449</v>
      </c>
      <c r="G20279" s="52">
        <v>172858.18841117699</v>
      </c>
      <c r="H20279" s="56">
        <v>0.10639197130790376</v>
      </c>
      <c r="I20279" s="224" t="s">
        <v>2</v>
      </c>
    </row>
    <row r="20280" spans="1:9" x14ac:dyDescent="0.25">
      <c r="A20280" s="515">
        <v>54459</v>
      </c>
      <c r="C20280" s="52">
        <v>154704.456206084</v>
      </c>
      <c r="D20280" s="56">
        <v>0.10655892426028896</v>
      </c>
      <c r="E20280" s="224" t="s">
        <v>2</v>
      </c>
      <c r="F20280" s="515" t="s">
        <v>21450</v>
      </c>
      <c r="G20280" s="52">
        <v>339433.36363636301</v>
      </c>
      <c r="H20280" s="56">
        <v>0</v>
      </c>
      <c r="I20280" s="224" t="s">
        <v>2</v>
      </c>
    </row>
    <row r="20281" spans="1:9" x14ac:dyDescent="0.25">
      <c r="A20281" s="515">
        <v>92242</v>
      </c>
      <c r="B20281" s="515" t="s">
        <v>599</v>
      </c>
      <c r="C20281" s="52">
        <v>179483.91119598999</v>
      </c>
      <c r="D20281" s="56">
        <v>-3.8363749347290768E-2</v>
      </c>
      <c r="E20281" s="224" t="s">
        <v>2</v>
      </c>
      <c r="F20281" s="515" t="s">
        <v>21451</v>
      </c>
      <c r="G20281" s="52">
        <v>92656.049043642895</v>
      </c>
      <c r="H20281" s="56">
        <v>0.13555937710825375</v>
      </c>
      <c r="I20281" s="224" t="s">
        <v>2</v>
      </c>
    </row>
    <row r="20282" spans="1:9" x14ac:dyDescent="0.25">
      <c r="A20282" s="515">
        <v>31733</v>
      </c>
      <c r="B20282" s="515" t="s">
        <v>1053</v>
      </c>
      <c r="C20282" s="52">
        <v>206269.194393171</v>
      </c>
      <c r="D20282" s="56">
        <v>6.5806458564513448E-2</v>
      </c>
      <c r="E20282" s="224" t="s">
        <v>2</v>
      </c>
      <c r="F20282" s="515" t="s">
        <v>21452</v>
      </c>
      <c r="G20282" s="52">
        <v>152795.99434805501</v>
      </c>
      <c r="H20282" s="56">
        <v>8.3943758568309462E-2</v>
      </c>
      <c r="I20282" s="224" t="s">
        <v>2</v>
      </c>
    </row>
    <row r="20283" spans="1:9" x14ac:dyDescent="0.25">
      <c r="A20283" s="515">
        <v>56569</v>
      </c>
      <c r="C20283" s="52">
        <v>248601.67006555601</v>
      </c>
      <c r="D20283" s="56">
        <v>0.13696674950242427</v>
      </c>
      <c r="E20283" s="224" t="s">
        <v>2</v>
      </c>
      <c r="F20283" s="515" t="s">
        <v>21453</v>
      </c>
      <c r="G20283" s="52">
        <v>138410.036829989</v>
      </c>
      <c r="H20283" s="56">
        <v>0</v>
      </c>
      <c r="I20283" s="224" t="s">
        <v>2</v>
      </c>
    </row>
    <row r="20284" spans="1:9" x14ac:dyDescent="0.25">
      <c r="A20284" s="515">
        <v>32622</v>
      </c>
      <c r="C20284" s="52">
        <v>245273.91867101501</v>
      </c>
      <c r="D20284" s="56">
        <v>0.17400936283375842</v>
      </c>
      <c r="E20284" s="224" t="s">
        <v>2</v>
      </c>
      <c r="F20284" s="515" t="s">
        <v>21454</v>
      </c>
      <c r="G20284" s="52">
        <v>89230.487804877994</v>
      </c>
      <c r="H20284" s="56">
        <v>0</v>
      </c>
      <c r="I20284" s="224" t="s">
        <v>2</v>
      </c>
    </row>
    <row r="20285" spans="1:9" x14ac:dyDescent="0.25">
      <c r="A20285" s="515">
        <v>76518</v>
      </c>
      <c r="C20285" s="52">
        <v>266676.67733405402</v>
      </c>
      <c r="D20285" s="56">
        <v>0</v>
      </c>
      <c r="E20285" s="224" t="s">
        <v>2</v>
      </c>
      <c r="F20285" s="515" t="s">
        <v>21455</v>
      </c>
      <c r="G20285" s="52">
        <v>1050336.4351589</v>
      </c>
      <c r="H20285" s="56">
        <v>7.7956149757961613E-2</v>
      </c>
      <c r="I20285" s="224" t="s">
        <v>2</v>
      </c>
    </row>
    <row r="20286" spans="1:9" x14ac:dyDescent="0.25">
      <c r="A20286" s="515">
        <v>59645</v>
      </c>
      <c r="C20286" s="52">
        <v>297975.85075701401</v>
      </c>
      <c r="D20286" s="56">
        <v>7.8076311195914239E-2</v>
      </c>
      <c r="E20286" s="224" t="s">
        <v>2</v>
      </c>
      <c r="F20286" s="515" t="s">
        <v>21456</v>
      </c>
      <c r="G20286" s="52">
        <v>110088.100085527</v>
      </c>
      <c r="H20286" s="56">
        <v>2.1288283681395386E-2</v>
      </c>
      <c r="I20286" s="224" t="s">
        <v>2</v>
      </c>
    </row>
    <row r="20287" spans="1:9" x14ac:dyDescent="0.25">
      <c r="A20287" s="515">
        <v>39866</v>
      </c>
      <c r="C20287" s="52">
        <v>97548.046397751998</v>
      </c>
      <c r="D20287" s="56">
        <v>0</v>
      </c>
      <c r="E20287" s="224" t="s">
        <v>2</v>
      </c>
      <c r="F20287" s="515" t="s">
        <v>21457</v>
      </c>
      <c r="G20287" s="52">
        <v>151921.217391304</v>
      </c>
      <c r="H20287" s="56">
        <v>0</v>
      </c>
      <c r="I20287" s="224" t="s">
        <v>2</v>
      </c>
    </row>
    <row r="20288" spans="1:9" x14ac:dyDescent="0.25">
      <c r="A20288" s="515">
        <v>42350</v>
      </c>
      <c r="B20288" s="515" t="s">
        <v>1024</v>
      </c>
      <c r="C20288" s="52">
        <v>125568.305437777</v>
      </c>
      <c r="D20288" s="56">
        <v>0.13806132694988391</v>
      </c>
      <c r="E20288" s="224" t="s">
        <v>2</v>
      </c>
      <c r="F20288" s="515" t="s">
        <v>21458</v>
      </c>
      <c r="G20288" s="52">
        <v>335862.78700147901</v>
      </c>
      <c r="H20288" s="56">
        <v>8.6410796480811541E-2</v>
      </c>
      <c r="I20288" s="224" t="s">
        <v>2</v>
      </c>
    </row>
    <row r="20289" spans="1:9" x14ac:dyDescent="0.25">
      <c r="A20289" s="515">
        <v>4095</v>
      </c>
      <c r="B20289" s="515" t="s">
        <v>570</v>
      </c>
      <c r="C20289" s="52">
        <v>317986.645505391</v>
      </c>
      <c r="D20289" s="56">
        <v>7.8980277784444247E-2</v>
      </c>
      <c r="E20289" s="224" t="s">
        <v>2</v>
      </c>
      <c r="F20289" s="515" t="s">
        <v>21459</v>
      </c>
      <c r="G20289" s="52">
        <v>152330.222935725</v>
      </c>
      <c r="H20289" s="56">
        <v>7.3645040471039501E-3</v>
      </c>
      <c r="I20289" s="224" t="s">
        <v>2</v>
      </c>
    </row>
    <row r="20290" spans="1:9" x14ac:dyDescent="0.25">
      <c r="A20290" s="515">
        <v>18216</v>
      </c>
      <c r="B20290" s="515" t="s">
        <v>327</v>
      </c>
      <c r="C20290" s="52">
        <v>143982.47299720999</v>
      </c>
      <c r="D20290" s="56">
        <v>0.21273771404314593</v>
      </c>
      <c r="E20290" s="224" t="s">
        <v>2</v>
      </c>
      <c r="F20290" s="515" t="s">
        <v>21460</v>
      </c>
      <c r="G20290" s="52">
        <v>94180.353462368294</v>
      </c>
      <c r="H20290" s="56">
        <v>0.46525289594366193</v>
      </c>
      <c r="I20290" s="224" t="s">
        <v>2</v>
      </c>
    </row>
    <row r="20291" spans="1:9" x14ac:dyDescent="0.25">
      <c r="A20291" s="515">
        <v>49347</v>
      </c>
      <c r="B20291" s="515" t="s">
        <v>631</v>
      </c>
      <c r="C20291" s="52">
        <v>181418.51866542001</v>
      </c>
      <c r="D20291" s="56">
        <v>4.5986320508082122E-2</v>
      </c>
      <c r="E20291" s="224" t="s">
        <v>2</v>
      </c>
      <c r="F20291" s="515" t="s">
        <v>21461</v>
      </c>
      <c r="G20291" s="52">
        <v>290351.78947368398</v>
      </c>
      <c r="H20291" s="56">
        <v>0</v>
      </c>
      <c r="I20291" s="224" t="s">
        <v>2</v>
      </c>
    </row>
    <row r="20292" spans="1:9" x14ac:dyDescent="0.25">
      <c r="A20292" s="515">
        <v>76443</v>
      </c>
      <c r="B20292" s="515" t="s">
        <v>704</v>
      </c>
      <c r="C20292" s="52">
        <v>134278.00333918</v>
      </c>
      <c r="D20292" s="56">
        <v>-6.1099467590199442E-2</v>
      </c>
      <c r="E20292" s="224" t="s">
        <v>2</v>
      </c>
      <c r="F20292" s="515" t="s">
        <v>21462</v>
      </c>
      <c r="G20292" s="52">
        <v>77615.850419760405</v>
      </c>
      <c r="H20292" s="56">
        <v>0</v>
      </c>
      <c r="I20292" s="224" t="s">
        <v>2</v>
      </c>
    </row>
    <row r="20293" spans="1:9" x14ac:dyDescent="0.25">
      <c r="A20293" s="515">
        <v>73450</v>
      </c>
      <c r="C20293" s="52">
        <v>199304.76047739599</v>
      </c>
      <c r="D20293" s="56">
        <v>0.21152548782051522</v>
      </c>
      <c r="E20293" s="224" t="s">
        <v>2</v>
      </c>
      <c r="F20293" s="515" t="s">
        <v>21463</v>
      </c>
      <c r="G20293" s="52">
        <v>259306.44660059299</v>
      </c>
      <c r="H20293" s="56">
        <v>-8.5122719107863769E-3</v>
      </c>
      <c r="I20293" s="224" t="s">
        <v>2</v>
      </c>
    </row>
    <row r="20294" spans="1:9" x14ac:dyDescent="0.25">
      <c r="A20294" s="515">
        <v>39086</v>
      </c>
      <c r="C20294" s="52">
        <v>94252.183657602101</v>
      </c>
      <c r="D20294" s="56">
        <v>-0.12217302108160648</v>
      </c>
      <c r="E20294" s="224" t="s">
        <v>2</v>
      </c>
      <c r="F20294" s="515" t="s">
        <v>21464</v>
      </c>
      <c r="G20294" s="52">
        <v>132235.43649986599</v>
      </c>
      <c r="H20294" s="56">
        <v>6.7047087154195634E-2</v>
      </c>
      <c r="I20294" s="224" t="s">
        <v>2</v>
      </c>
    </row>
    <row r="20295" spans="1:9" x14ac:dyDescent="0.25">
      <c r="A20295" s="515">
        <v>76389</v>
      </c>
      <c r="B20295" s="515" t="s">
        <v>328</v>
      </c>
      <c r="C20295" s="52">
        <v>216574.23352283501</v>
      </c>
      <c r="D20295" s="56">
        <v>-9.0105994607901987E-3</v>
      </c>
      <c r="E20295" s="224" t="s">
        <v>2</v>
      </c>
      <c r="F20295" s="515" t="s">
        <v>21465</v>
      </c>
      <c r="G20295" s="52">
        <v>116950.081452643</v>
      </c>
      <c r="H20295" s="56">
        <v>4.256007271528818E-2</v>
      </c>
      <c r="I20295" s="224" t="s">
        <v>2</v>
      </c>
    </row>
    <row r="20296" spans="1:9" x14ac:dyDescent="0.25">
      <c r="A20296" s="515">
        <v>19503</v>
      </c>
      <c r="B20296" s="515" t="s">
        <v>569</v>
      </c>
      <c r="C20296" s="52">
        <v>244784.23649989901</v>
      </c>
      <c r="D20296" s="56">
        <v>0.10375298342035404</v>
      </c>
      <c r="E20296" s="224" t="s">
        <v>2</v>
      </c>
      <c r="F20296" s="515" t="s">
        <v>21466</v>
      </c>
      <c r="G20296" s="52">
        <v>221334.98303748699</v>
      </c>
      <c r="H20296" s="56">
        <v>0.12191141203238499</v>
      </c>
      <c r="I20296" s="224" t="s">
        <v>2</v>
      </c>
    </row>
    <row r="20297" spans="1:9" x14ac:dyDescent="0.25">
      <c r="A20297" s="515">
        <v>4352</v>
      </c>
      <c r="B20297" s="515" t="s">
        <v>848</v>
      </c>
      <c r="C20297" s="52">
        <v>315159.08099343802</v>
      </c>
      <c r="D20297" s="56">
        <v>0.1127737843211932</v>
      </c>
      <c r="E20297" s="224" t="s">
        <v>2</v>
      </c>
      <c r="F20297" s="515" t="s">
        <v>21467</v>
      </c>
      <c r="G20297" s="52">
        <v>110951.968659829</v>
      </c>
      <c r="H20297" s="56">
        <v>0.21940113483343202</v>
      </c>
      <c r="I20297" s="224" t="s">
        <v>2</v>
      </c>
    </row>
    <row r="20298" spans="1:9" x14ac:dyDescent="0.25">
      <c r="A20298" s="515">
        <v>5494</v>
      </c>
      <c r="B20298" s="515" t="s">
        <v>441</v>
      </c>
      <c r="C20298" s="52">
        <v>413850.09277119098</v>
      </c>
      <c r="D20298" s="56">
        <v>0.1006987653170843</v>
      </c>
      <c r="E20298" s="224" t="s">
        <v>2</v>
      </c>
      <c r="F20298" s="515" t="s">
        <v>21468</v>
      </c>
      <c r="G20298" s="52">
        <v>138257.61145815399</v>
      </c>
      <c r="H20298" s="56">
        <v>5.9049188001681893E-2</v>
      </c>
      <c r="I20298" s="224" t="s">
        <v>2</v>
      </c>
    </row>
    <row r="20299" spans="1:9" x14ac:dyDescent="0.25">
      <c r="A20299" s="515">
        <v>6242</v>
      </c>
      <c r="B20299" s="515" t="s">
        <v>751</v>
      </c>
      <c r="C20299" s="52">
        <v>320636.56904856802</v>
      </c>
      <c r="D20299" s="56">
        <v>0.10414732580733085</v>
      </c>
      <c r="E20299" s="224" t="s">
        <v>2</v>
      </c>
      <c r="F20299" s="515" t="s">
        <v>21469</v>
      </c>
      <c r="G20299" s="52">
        <v>89488.246892091498</v>
      </c>
      <c r="H20299" s="56">
        <v>0</v>
      </c>
      <c r="I20299" s="224" t="s">
        <v>2</v>
      </c>
    </row>
    <row r="20300" spans="1:9" x14ac:dyDescent="0.25">
      <c r="A20300" s="515">
        <v>69348</v>
      </c>
      <c r="C20300" s="52">
        <v>175451.21927548299</v>
      </c>
      <c r="D20300" s="56">
        <v>0.13787476935054449</v>
      </c>
      <c r="E20300" s="224" t="s">
        <v>2</v>
      </c>
      <c r="F20300" s="515" t="s">
        <v>21470</v>
      </c>
      <c r="G20300" s="52">
        <v>306411.34733055002</v>
      </c>
      <c r="H20300" s="56">
        <v>5.9815091327877573E-2</v>
      </c>
      <c r="I20300" s="224" t="s">
        <v>2</v>
      </c>
    </row>
    <row r="20301" spans="1:9" x14ac:dyDescent="0.25">
      <c r="A20301" s="515">
        <v>35463</v>
      </c>
      <c r="B20301" s="515" t="s">
        <v>841</v>
      </c>
      <c r="C20301" s="52">
        <v>196117.74480014699</v>
      </c>
      <c r="D20301" s="56">
        <v>5.4006081254979355E-2</v>
      </c>
      <c r="E20301" s="224" t="s">
        <v>2</v>
      </c>
      <c r="F20301" s="515" t="s">
        <v>21471</v>
      </c>
      <c r="G20301" s="52">
        <v>224149.16257448401</v>
      </c>
      <c r="H20301" s="56">
        <v>8.7018465338605813E-2</v>
      </c>
      <c r="I20301" s="224" t="s">
        <v>2</v>
      </c>
    </row>
    <row r="20302" spans="1:9" x14ac:dyDescent="0.25">
      <c r="A20302" s="515">
        <v>48765</v>
      </c>
      <c r="C20302" s="52">
        <v>116607.88413804201</v>
      </c>
      <c r="D20302" s="56">
        <v>3.3978205374198909E-3</v>
      </c>
      <c r="E20302" s="224" t="s">
        <v>2</v>
      </c>
      <c r="F20302" s="515" t="s">
        <v>21472</v>
      </c>
      <c r="G20302" s="52">
        <v>146611.11265667301</v>
      </c>
      <c r="H20302" s="56">
        <v>3.985244154462891E-3</v>
      </c>
      <c r="I20302" s="224" t="s">
        <v>2</v>
      </c>
    </row>
    <row r="20303" spans="1:9" x14ac:dyDescent="0.25">
      <c r="A20303" s="515">
        <v>26679</v>
      </c>
      <c r="C20303" s="52">
        <v>109629.486043233</v>
      </c>
      <c r="D20303" s="56">
        <v>9.2857701592939934E-2</v>
      </c>
      <c r="E20303" s="224" t="s">
        <v>2</v>
      </c>
      <c r="F20303" s="515" t="s">
        <v>21473</v>
      </c>
      <c r="G20303" s="52">
        <v>123704.405980166</v>
      </c>
      <c r="H20303" s="56">
        <v>0.26325955177521426</v>
      </c>
      <c r="I20303" s="224" t="s">
        <v>2</v>
      </c>
    </row>
    <row r="20304" spans="1:9" x14ac:dyDescent="0.25">
      <c r="A20304" s="515">
        <v>47666</v>
      </c>
      <c r="C20304" s="52">
        <v>131148.574533554</v>
      </c>
      <c r="D20304" s="56">
        <v>6.6441707103039815E-2</v>
      </c>
      <c r="E20304" s="224" t="s">
        <v>2</v>
      </c>
      <c r="F20304" s="515" t="s">
        <v>21474</v>
      </c>
      <c r="G20304" s="52">
        <v>250285.01715884401</v>
      </c>
      <c r="H20304" s="56">
        <v>0</v>
      </c>
      <c r="I20304" s="224" t="s">
        <v>2</v>
      </c>
    </row>
    <row r="20305" spans="1:9" x14ac:dyDescent="0.25">
      <c r="A20305" s="515">
        <v>56180</v>
      </c>
      <c r="C20305" s="52">
        <v>110763.41410306</v>
      </c>
      <c r="D20305" s="56">
        <v>1.8433543808113777E-2</v>
      </c>
      <c r="E20305" s="224" t="s">
        <v>2</v>
      </c>
      <c r="F20305" s="515" t="s">
        <v>21475</v>
      </c>
      <c r="G20305" s="52">
        <v>78099.206896551696</v>
      </c>
      <c r="H20305" s="56">
        <v>0</v>
      </c>
      <c r="I20305" s="224" t="s">
        <v>2</v>
      </c>
    </row>
    <row r="20306" spans="1:9" x14ac:dyDescent="0.25">
      <c r="A20306" s="515">
        <v>55936</v>
      </c>
      <c r="B20306" s="515" t="s">
        <v>413</v>
      </c>
      <c r="C20306" s="52">
        <v>233653.77469651599</v>
      </c>
      <c r="D20306" s="56">
        <v>7.1084281509795053E-2</v>
      </c>
      <c r="E20306" s="224" t="s">
        <v>2</v>
      </c>
      <c r="F20306" s="515" t="s">
        <v>21476</v>
      </c>
      <c r="G20306" s="52">
        <v>65989.2925125318</v>
      </c>
      <c r="H20306" s="56">
        <v>-1.6380731950393336E-2</v>
      </c>
      <c r="I20306" s="224" t="s">
        <v>2</v>
      </c>
    </row>
    <row r="20307" spans="1:9" x14ac:dyDescent="0.25">
      <c r="A20307" s="515">
        <v>68770</v>
      </c>
      <c r="B20307" s="515" t="s">
        <v>649</v>
      </c>
      <c r="C20307" s="52">
        <v>187984.47980989001</v>
      </c>
      <c r="D20307" s="56">
        <v>6.9378795923522613E-2</v>
      </c>
      <c r="E20307" s="224" t="s">
        <v>2</v>
      </c>
      <c r="F20307" s="515" t="s">
        <v>21477</v>
      </c>
      <c r="G20307" s="52">
        <v>522159.87055155297</v>
      </c>
      <c r="H20307" s="56">
        <v>6.4450629045670269E-2</v>
      </c>
      <c r="I20307" s="224" t="s">
        <v>2</v>
      </c>
    </row>
    <row r="20308" spans="1:9" x14ac:dyDescent="0.25">
      <c r="A20308" s="515">
        <v>40464</v>
      </c>
      <c r="B20308" s="515" t="s">
        <v>1015</v>
      </c>
      <c r="C20308" s="52">
        <v>144757.28591836599</v>
      </c>
      <c r="D20308" s="56">
        <v>0.28564910072195815</v>
      </c>
      <c r="E20308" s="224" t="s">
        <v>2</v>
      </c>
      <c r="F20308" s="515" t="s">
        <v>21478</v>
      </c>
      <c r="G20308" s="52">
        <v>187457.859757281</v>
      </c>
      <c r="H20308" s="56">
        <v>0.25058768156431449</v>
      </c>
      <c r="I20308" s="224" t="s">
        <v>2</v>
      </c>
    </row>
    <row r="20309" spans="1:9" x14ac:dyDescent="0.25">
      <c r="A20309" s="515">
        <v>69163</v>
      </c>
      <c r="B20309" s="515" t="s">
        <v>760</v>
      </c>
      <c r="C20309" s="52">
        <v>267524.70591027598</v>
      </c>
      <c r="D20309" s="56">
        <v>0.13361237575238025</v>
      </c>
      <c r="E20309" s="224" t="s">
        <v>2</v>
      </c>
      <c r="F20309" s="515" t="s">
        <v>21479</v>
      </c>
      <c r="G20309" s="52">
        <v>205980.58320012299</v>
      </c>
      <c r="H20309" s="56">
        <v>0.16571514506415974</v>
      </c>
      <c r="I20309" s="224" t="s">
        <v>2</v>
      </c>
    </row>
    <row r="20310" spans="1:9" x14ac:dyDescent="0.25">
      <c r="A20310" s="515">
        <v>54635</v>
      </c>
      <c r="C20310" s="52">
        <v>163986.51149819099</v>
      </c>
      <c r="D20310" s="56">
        <v>2.9412766627574586E-2</v>
      </c>
      <c r="E20310" s="224" t="s">
        <v>2</v>
      </c>
      <c r="F20310" s="515" t="s">
        <v>21480</v>
      </c>
      <c r="G20310" s="52">
        <v>157346.123312159</v>
      </c>
      <c r="H20310" s="56">
        <v>0</v>
      </c>
      <c r="I20310" s="224" t="s">
        <v>2</v>
      </c>
    </row>
    <row r="20311" spans="1:9" x14ac:dyDescent="0.25">
      <c r="A20311" s="515">
        <v>74731</v>
      </c>
      <c r="B20311" s="515" t="s">
        <v>1052</v>
      </c>
      <c r="C20311" s="52">
        <v>189138.77509121899</v>
      </c>
      <c r="D20311" s="56">
        <v>9.2475051812301146E-2</v>
      </c>
      <c r="E20311" s="224" t="s">
        <v>2</v>
      </c>
      <c r="F20311" s="515" t="s">
        <v>21481</v>
      </c>
      <c r="G20311" s="52">
        <v>320457.80014320399</v>
      </c>
      <c r="H20311" s="56">
        <v>4.2287496267008874E-2</v>
      </c>
      <c r="I20311" s="224" t="s">
        <v>2</v>
      </c>
    </row>
    <row r="20312" spans="1:9" x14ac:dyDescent="0.25">
      <c r="A20312" s="515">
        <v>48614</v>
      </c>
      <c r="B20312" s="515" t="s">
        <v>904</v>
      </c>
      <c r="C20312" s="52">
        <v>168137.06087786099</v>
      </c>
      <c r="D20312" s="56">
        <v>0.16080722728320143</v>
      </c>
      <c r="E20312" s="224" t="s">
        <v>2</v>
      </c>
      <c r="F20312" s="515" t="s">
        <v>21482</v>
      </c>
      <c r="G20312" s="52">
        <v>64478.914808285997</v>
      </c>
      <c r="H20312" s="56">
        <v>0</v>
      </c>
      <c r="I20312" s="224" t="s">
        <v>2</v>
      </c>
    </row>
    <row r="20313" spans="1:9" x14ac:dyDescent="0.25">
      <c r="A20313" s="515">
        <v>79052</v>
      </c>
      <c r="C20313" s="52">
        <v>101005.622327808</v>
      </c>
      <c r="D20313" s="56">
        <v>-3.9852046398598254E-2</v>
      </c>
      <c r="E20313" s="224" t="s">
        <v>2</v>
      </c>
      <c r="F20313" s="515" t="s">
        <v>21483</v>
      </c>
      <c r="G20313" s="52">
        <v>134646.593616214</v>
      </c>
      <c r="H20313" s="56">
        <v>0.13673096303355695</v>
      </c>
      <c r="I20313" s="224" t="s">
        <v>2</v>
      </c>
    </row>
    <row r="20314" spans="1:9" x14ac:dyDescent="0.25">
      <c r="A20314" s="515">
        <v>93651</v>
      </c>
      <c r="B20314" s="515" t="s">
        <v>541</v>
      </c>
      <c r="C20314" s="52">
        <v>494367.05289925</v>
      </c>
      <c r="D20314" s="56">
        <v>8.563213205167992E-3</v>
      </c>
      <c r="E20314" s="224" t="s">
        <v>2</v>
      </c>
      <c r="F20314" s="515" t="s">
        <v>21484</v>
      </c>
      <c r="G20314" s="52">
        <v>419328.51433911797</v>
      </c>
      <c r="H20314" s="56">
        <v>7.1311591280985603E-2</v>
      </c>
      <c r="I20314" s="224" t="s">
        <v>2</v>
      </c>
    </row>
    <row r="20315" spans="1:9" x14ac:dyDescent="0.25">
      <c r="A20315" s="515">
        <v>56316</v>
      </c>
      <c r="B20315" s="515" t="s">
        <v>803</v>
      </c>
      <c r="C20315" s="52">
        <v>204046.771628213</v>
      </c>
      <c r="D20315" s="56">
        <v>6.1341766103633552E-2</v>
      </c>
      <c r="E20315" s="224" t="s">
        <v>2</v>
      </c>
      <c r="F20315" s="515" t="s">
        <v>21485</v>
      </c>
      <c r="G20315" s="52">
        <v>228480.569159167</v>
      </c>
      <c r="H20315" s="56">
        <v>6.8584882000383693E-2</v>
      </c>
      <c r="I20315" s="224" t="s">
        <v>2</v>
      </c>
    </row>
    <row r="20316" spans="1:9" x14ac:dyDescent="0.25">
      <c r="A20316" s="515">
        <v>68421</v>
      </c>
      <c r="C20316" s="52">
        <v>98846.097464133098</v>
      </c>
      <c r="D20316" s="56">
        <v>0.11824997902074802</v>
      </c>
      <c r="E20316" s="224" t="s">
        <v>2</v>
      </c>
      <c r="F20316" s="515" t="s">
        <v>21486</v>
      </c>
      <c r="G20316" s="52">
        <v>117904.18071386201</v>
      </c>
      <c r="H20316" s="56">
        <v>1.3650368815022402E-2</v>
      </c>
      <c r="I20316" s="224" t="s">
        <v>2</v>
      </c>
    </row>
    <row r="20317" spans="1:9" x14ac:dyDescent="0.25">
      <c r="A20317" s="515">
        <v>46920</v>
      </c>
      <c r="B20317" s="515" t="s">
        <v>433</v>
      </c>
      <c r="C20317" s="52">
        <v>228685.759255843</v>
      </c>
      <c r="D20317" s="56">
        <v>4.873740022284459E-2</v>
      </c>
      <c r="E20317" s="224" t="s">
        <v>2</v>
      </c>
      <c r="F20317" s="515" t="s">
        <v>21487</v>
      </c>
      <c r="G20317" s="52">
        <v>193058.91766080601</v>
      </c>
      <c r="H20317" s="56">
        <v>0</v>
      </c>
      <c r="I20317" s="224" t="s">
        <v>2</v>
      </c>
    </row>
    <row r="20318" spans="1:9" x14ac:dyDescent="0.25">
      <c r="A20318" s="515">
        <v>37328</v>
      </c>
      <c r="C20318" s="52">
        <v>209671.342333365</v>
      </c>
      <c r="D20318" s="56">
        <v>0.10350910391437053</v>
      </c>
      <c r="E20318" s="224" t="s">
        <v>2</v>
      </c>
      <c r="F20318" s="515" t="s">
        <v>21488</v>
      </c>
      <c r="G20318" s="52">
        <v>185636.309452018</v>
      </c>
      <c r="H20318" s="56">
        <v>0.10961048843669753</v>
      </c>
      <c r="I20318" s="224" t="s">
        <v>2</v>
      </c>
    </row>
    <row r="20319" spans="1:9" x14ac:dyDescent="0.25">
      <c r="A20319" s="515">
        <v>83637</v>
      </c>
      <c r="B20319" s="515" t="s">
        <v>500</v>
      </c>
      <c r="C20319" s="52">
        <v>297506.20711404801</v>
      </c>
      <c r="D20319" s="56">
        <v>-1.1153119473876269E-2</v>
      </c>
      <c r="E20319" s="224" t="s">
        <v>2</v>
      </c>
      <c r="F20319" s="515" t="s">
        <v>21489</v>
      </c>
      <c r="G20319" s="52">
        <v>1092209.2047373799</v>
      </c>
      <c r="H20319" s="56">
        <v>3.7261124236760639E-2</v>
      </c>
      <c r="I20319" s="224" t="s">
        <v>2</v>
      </c>
    </row>
    <row r="20320" spans="1:9" x14ac:dyDescent="0.25">
      <c r="A20320" s="515">
        <v>39741</v>
      </c>
      <c r="B20320" s="515" t="s">
        <v>1051</v>
      </c>
      <c r="C20320" s="52">
        <v>132826.27537067499</v>
      </c>
      <c r="D20320" s="56">
        <v>2.9285855114138159E-3</v>
      </c>
      <c r="E20320" s="224" t="s">
        <v>2</v>
      </c>
      <c r="F20320" s="515" t="s">
        <v>21490</v>
      </c>
      <c r="G20320" s="52">
        <v>164088.22998418001</v>
      </c>
      <c r="H20320" s="56">
        <v>0.14859814766469845</v>
      </c>
      <c r="I20320" s="224" t="s">
        <v>2</v>
      </c>
    </row>
    <row r="20321" spans="1:9" x14ac:dyDescent="0.25">
      <c r="A20321" s="515">
        <v>16882</v>
      </c>
      <c r="B20321" s="515" t="s">
        <v>491</v>
      </c>
      <c r="C20321" s="52">
        <v>251482.972968908</v>
      </c>
      <c r="D20321" s="56">
        <v>3.0489969323436325E-2</v>
      </c>
      <c r="E20321" s="224" t="s">
        <v>2</v>
      </c>
      <c r="F20321" s="515" t="s">
        <v>21491</v>
      </c>
      <c r="G20321" s="52">
        <v>247289.312222946</v>
      </c>
      <c r="H20321" s="56">
        <v>8.2365804247558627E-2</v>
      </c>
      <c r="I20321" s="224" t="s">
        <v>2</v>
      </c>
    </row>
    <row r="20322" spans="1:9" x14ac:dyDescent="0.25">
      <c r="A20322" s="515">
        <v>54514</v>
      </c>
      <c r="C20322" s="52">
        <v>148619.59462440899</v>
      </c>
      <c r="D20322" s="56">
        <v>7.5884262488195256E-2</v>
      </c>
      <c r="E20322" s="224" t="s">
        <v>2</v>
      </c>
      <c r="F20322" s="515" t="s">
        <v>21492</v>
      </c>
      <c r="G20322" s="52">
        <v>169426.93509308199</v>
      </c>
      <c r="H20322" s="56">
        <v>9.4699416614908674E-2</v>
      </c>
      <c r="I20322" s="224" t="s">
        <v>2</v>
      </c>
    </row>
    <row r="20323" spans="1:9" x14ac:dyDescent="0.25">
      <c r="A20323" s="515">
        <v>49612</v>
      </c>
      <c r="B20323" s="515" t="s">
        <v>366</v>
      </c>
      <c r="C20323" s="52">
        <v>300016.33037655201</v>
      </c>
      <c r="D20323" s="56">
        <v>5.5672776260025987E-2</v>
      </c>
      <c r="E20323" s="224" t="s">
        <v>2</v>
      </c>
      <c r="F20323" s="515" t="s">
        <v>21493</v>
      </c>
      <c r="G20323" s="52">
        <v>388167.90918685199</v>
      </c>
      <c r="H20323" s="56">
        <v>2.7518359479192223E-2</v>
      </c>
      <c r="I20323" s="224" t="s">
        <v>2</v>
      </c>
    </row>
    <row r="20324" spans="1:9" x14ac:dyDescent="0.25">
      <c r="A20324" s="515">
        <v>58041</v>
      </c>
      <c r="B20324" s="515" t="s">
        <v>548</v>
      </c>
      <c r="C20324" s="52">
        <v>129428.443913116</v>
      </c>
      <c r="D20324" s="56">
        <v>8.7398524240144923E-2</v>
      </c>
      <c r="E20324" s="224" t="s">
        <v>2</v>
      </c>
      <c r="F20324" s="515" t="s">
        <v>21494</v>
      </c>
      <c r="G20324" s="52">
        <v>102739.615043789</v>
      </c>
      <c r="H20324" s="56">
        <v>5.1957694683058143E-2</v>
      </c>
      <c r="I20324" s="224" t="s">
        <v>2</v>
      </c>
    </row>
    <row r="20325" spans="1:9" x14ac:dyDescent="0.25">
      <c r="A20325" s="515">
        <v>68781</v>
      </c>
      <c r="B20325" s="515" t="s">
        <v>615</v>
      </c>
      <c r="C20325" s="52">
        <v>159047.712928099</v>
      </c>
      <c r="D20325" s="56">
        <v>3.0562902450257369E-2</v>
      </c>
      <c r="E20325" s="224" t="s">
        <v>2</v>
      </c>
      <c r="F20325" s="515" t="s">
        <v>21495</v>
      </c>
      <c r="G20325" s="52">
        <v>388145.01792736398</v>
      </c>
      <c r="H20325" s="56">
        <v>4.44185347183913E-2</v>
      </c>
      <c r="I20325" s="224" t="s">
        <v>2</v>
      </c>
    </row>
    <row r="20326" spans="1:9" x14ac:dyDescent="0.25">
      <c r="A20326" s="515">
        <v>50568</v>
      </c>
      <c r="B20326" s="515" t="s">
        <v>723</v>
      </c>
      <c r="C20326" s="52">
        <v>143022.96998535999</v>
      </c>
      <c r="D20326" s="56">
        <v>0.10036684609622767</v>
      </c>
      <c r="E20326" s="224" t="s">
        <v>2</v>
      </c>
      <c r="F20326" s="515" t="s">
        <v>21496</v>
      </c>
      <c r="G20326" s="52">
        <v>120079.480804791</v>
      </c>
      <c r="H20326" s="56">
        <v>0.2604339608688534</v>
      </c>
      <c r="I20326" s="224" t="s">
        <v>2</v>
      </c>
    </row>
    <row r="20327" spans="1:9" x14ac:dyDescent="0.25">
      <c r="A20327" s="515">
        <v>44855</v>
      </c>
      <c r="B20327" s="515" t="s">
        <v>1050</v>
      </c>
      <c r="C20327" s="52">
        <v>144764.91930522001</v>
      </c>
      <c r="D20327" s="56">
        <v>5.2883802334429325E-2</v>
      </c>
      <c r="E20327" s="224" t="s">
        <v>2</v>
      </c>
      <c r="F20327" s="515" t="s">
        <v>21497</v>
      </c>
      <c r="G20327" s="52">
        <v>184625.49451142101</v>
      </c>
      <c r="H20327" s="56">
        <v>0.16144550373636377</v>
      </c>
      <c r="I20327" s="224" t="s">
        <v>2</v>
      </c>
    </row>
    <row r="20328" spans="1:9" x14ac:dyDescent="0.25">
      <c r="A20328" s="515">
        <v>60921</v>
      </c>
      <c r="B20328" s="515" t="s">
        <v>678</v>
      </c>
      <c r="C20328" s="52">
        <v>71472.068799478395</v>
      </c>
      <c r="D20328" s="56">
        <v>4.5591537620053163E-2</v>
      </c>
      <c r="E20328" s="224" t="s">
        <v>2</v>
      </c>
      <c r="F20328" s="515" t="s">
        <v>21498</v>
      </c>
      <c r="G20328" s="52">
        <v>80614.967209570706</v>
      </c>
      <c r="H20328" s="56">
        <v>0</v>
      </c>
      <c r="I20328" s="224" t="s">
        <v>2</v>
      </c>
    </row>
    <row r="20329" spans="1:9" x14ac:dyDescent="0.25">
      <c r="A20329" s="515">
        <v>58060</v>
      </c>
      <c r="C20329" s="52">
        <v>134641.376217301</v>
      </c>
      <c r="D20329" s="56">
        <v>5.15595200185631E-2</v>
      </c>
      <c r="E20329" s="224" t="s">
        <v>2</v>
      </c>
      <c r="F20329" s="515" t="s">
        <v>21499</v>
      </c>
      <c r="G20329" s="52">
        <v>192028.913497078</v>
      </c>
      <c r="H20329" s="56">
        <v>0.17940745708164443</v>
      </c>
      <c r="I20329" s="224" t="s">
        <v>2</v>
      </c>
    </row>
    <row r="20330" spans="1:9" x14ac:dyDescent="0.25">
      <c r="A20330" s="515">
        <v>93653</v>
      </c>
      <c r="B20330" s="515" t="s">
        <v>681</v>
      </c>
      <c r="C20330" s="52">
        <v>417603.77093966602</v>
      </c>
      <c r="D20330" s="56">
        <v>1.1513525302676769E-2</v>
      </c>
      <c r="E20330" s="224" t="s">
        <v>2</v>
      </c>
      <c r="F20330" s="515" t="s">
        <v>21500</v>
      </c>
      <c r="G20330" s="52">
        <v>73826.761969786996</v>
      </c>
      <c r="H20330" s="56">
        <v>0.20090114414942967</v>
      </c>
      <c r="I20330" s="224" t="s">
        <v>2</v>
      </c>
    </row>
    <row r="20331" spans="1:9" x14ac:dyDescent="0.25">
      <c r="A20331" s="515">
        <v>27885</v>
      </c>
      <c r="C20331" s="52">
        <v>168052.06338488701</v>
      </c>
      <c r="D20331" s="56">
        <v>9.1550571716022461E-2</v>
      </c>
      <c r="E20331" s="224" t="s">
        <v>2</v>
      </c>
      <c r="F20331" s="515" t="s">
        <v>21501</v>
      </c>
      <c r="G20331" s="52">
        <v>350111.01750376401</v>
      </c>
      <c r="H20331" s="56">
        <v>-0.12508583856721059</v>
      </c>
      <c r="I20331" s="224" t="s">
        <v>2</v>
      </c>
    </row>
    <row r="20332" spans="1:9" x14ac:dyDescent="0.25">
      <c r="A20332" s="515">
        <v>54979</v>
      </c>
      <c r="B20332" s="515" t="s">
        <v>987</v>
      </c>
      <c r="C20332" s="52">
        <v>270356.352741246</v>
      </c>
      <c r="D20332" s="56">
        <v>5.0220133805813465E-2</v>
      </c>
      <c r="E20332" s="224" t="s">
        <v>2</v>
      </c>
      <c r="F20332" s="515" t="s">
        <v>21502</v>
      </c>
      <c r="G20332" s="52">
        <v>61213.640058630503</v>
      </c>
      <c r="H20332" s="56">
        <v>-1.234998409542804E-2</v>
      </c>
      <c r="I20332" s="224" t="s">
        <v>2</v>
      </c>
    </row>
    <row r="20333" spans="1:9" x14ac:dyDescent="0.25">
      <c r="A20333" s="515">
        <v>22738</v>
      </c>
      <c r="B20333" s="515" t="s">
        <v>321</v>
      </c>
      <c r="C20333" s="52">
        <v>342776.146338619</v>
      </c>
      <c r="D20333" s="56">
        <v>7.3338325426816273E-2</v>
      </c>
      <c r="E20333" s="224" t="s">
        <v>2</v>
      </c>
      <c r="F20333" s="515" t="s">
        <v>21503</v>
      </c>
      <c r="G20333" s="52">
        <v>353545.15662650601</v>
      </c>
      <c r="H20333" s="56">
        <v>0</v>
      </c>
      <c r="I20333" s="224" t="s">
        <v>2</v>
      </c>
    </row>
    <row r="20334" spans="1:9" x14ac:dyDescent="0.25">
      <c r="A20334" s="515">
        <v>42036</v>
      </c>
      <c r="B20334" s="515" t="s">
        <v>1034</v>
      </c>
      <c r="C20334" s="52">
        <v>122194.686583256</v>
      </c>
      <c r="D20334" s="56">
        <v>0.17788157755413517</v>
      </c>
      <c r="E20334" s="224" t="s">
        <v>2</v>
      </c>
      <c r="F20334" s="515" t="s">
        <v>21504</v>
      </c>
      <c r="G20334" s="52">
        <v>292680.25690194499</v>
      </c>
      <c r="H20334" s="56">
        <v>5.1354473837681644E-2</v>
      </c>
      <c r="I20334" s="224" t="s">
        <v>2</v>
      </c>
    </row>
    <row r="20335" spans="1:9" x14ac:dyDescent="0.25">
      <c r="A20335" s="515">
        <v>61272</v>
      </c>
      <c r="B20335" s="515" t="s">
        <v>439</v>
      </c>
      <c r="C20335" s="52">
        <v>102986.86325791699</v>
      </c>
      <c r="D20335" s="56">
        <v>-6.2577885161255288E-3</v>
      </c>
      <c r="E20335" s="224" t="s">
        <v>2</v>
      </c>
      <c r="F20335" s="515" t="s">
        <v>21505</v>
      </c>
      <c r="G20335" s="52">
        <v>238741.23765687301</v>
      </c>
      <c r="H20335" s="56">
        <v>8.8345963745311545E-3</v>
      </c>
      <c r="I20335" s="224" t="s">
        <v>2</v>
      </c>
    </row>
    <row r="20336" spans="1:9" x14ac:dyDescent="0.25">
      <c r="A20336" s="515">
        <v>39825</v>
      </c>
      <c r="B20336" s="515" t="s">
        <v>1049</v>
      </c>
      <c r="C20336" s="52">
        <v>143535.85044297201</v>
      </c>
      <c r="D20336" s="56">
        <v>0</v>
      </c>
      <c r="E20336" s="224" t="s">
        <v>2</v>
      </c>
      <c r="F20336" s="515" t="s">
        <v>21506</v>
      </c>
      <c r="G20336" s="52">
        <v>99501.337408431005</v>
      </c>
      <c r="H20336" s="56">
        <v>0</v>
      </c>
      <c r="I20336" s="224" t="s">
        <v>2</v>
      </c>
    </row>
    <row r="20337" spans="1:9" x14ac:dyDescent="0.25">
      <c r="A20337" s="515">
        <v>65058</v>
      </c>
      <c r="C20337" s="52">
        <v>221329.88749489401</v>
      </c>
      <c r="D20337" s="56">
        <v>0.17708260978114859</v>
      </c>
      <c r="E20337" s="224" t="s">
        <v>2</v>
      </c>
      <c r="F20337" s="515" t="s">
        <v>21507</v>
      </c>
      <c r="G20337" s="52">
        <v>188722.60002256901</v>
      </c>
      <c r="H20337" s="56">
        <v>0.12667356198478669</v>
      </c>
      <c r="I20337" s="224" t="s">
        <v>2</v>
      </c>
    </row>
    <row r="20338" spans="1:9" x14ac:dyDescent="0.25">
      <c r="A20338" s="515">
        <v>12140</v>
      </c>
      <c r="B20338" s="515" t="s">
        <v>609</v>
      </c>
      <c r="C20338" s="52">
        <v>296557.10851393302</v>
      </c>
      <c r="D20338" s="56">
        <v>4.4400568681636665E-2</v>
      </c>
      <c r="E20338" s="224" t="s">
        <v>2</v>
      </c>
      <c r="F20338" s="515" t="s">
        <v>21508</v>
      </c>
      <c r="G20338" s="52">
        <v>138286.53076446499</v>
      </c>
      <c r="H20338" s="56">
        <v>5.1876593635113488E-2</v>
      </c>
      <c r="I20338" s="224" t="s">
        <v>2</v>
      </c>
    </row>
    <row r="20339" spans="1:9" x14ac:dyDescent="0.25">
      <c r="A20339" s="515">
        <v>51450</v>
      </c>
      <c r="C20339" s="52">
        <v>186330.13833287201</v>
      </c>
      <c r="D20339" s="56">
        <v>0.14745356481497709</v>
      </c>
      <c r="E20339" s="224" t="s">
        <v>2</v>
      </c>
      <c r="F20339" s="515" t="s">
        <v>21509</v>
      </c>
      <c r="G20339" s="52">
        <v>334578.27873765602</v>
      </c>
      <c r="H20339" s="56">
        <v>0.2474132507135782</v>
      </c>
      <c r="I20339" s="224" t="s">
        <v>2</v>
      </c>
    </row>
    <row r="20340" spans="1:9" x14ac:dyDescent="0.25">
      <c r="A20340" s="515">
        <v>17058</v>
      </c>
      <c r="C20340" s="52">
        <v>164072.24063004801</v>
      </c>
      <c r="D20340" s="56">
        <v>0</v>
      </c>
      <c r="E20340" s="224" t="s">
        <v>2</v>
      </c>
      <c r="F20340" s="515" t="s">
        <v>21510</v>
      </c>
      <c r="G20340" s="52">
        <v>161579.187801416</v>
      </c>
      <c r="H20340" s="56">
        <v>3.8858862342423424E-2</v>
      </c>
      <c r="I20340" s="224" t="s">
        <v>2</v>
      </c>
    </row>
    <row r="20341" spans="1:9" x14ac:dyDescent="0.25">
      <c r="A20341" s="515">
        <v>12409</v>
      </c>
      <c r="B20341" s="515" t="s">
        <v>307</v>
      </c>
      <c r="C20341" s="52">
        <v>678035.18121314805</v>
      </c>
      <c r="D20341" s="56">
        <v>9.3098816874068374E-2</v>
      </c>
      <c r="E20341" s="224" t="s">
        <v>2</v>
      </c>
      <c r="F20341" s="515" t="s">
        <v>21511</v>
      </c>
      <c r="G20341" s="52">
        <v>150429.39316832999</v>
      </c>
      <c r="H20341" s="56">
        <v>0.18968295037049285</v>
      </c>
      <c r="I20341" s="224" t="s">
        <v>2</v>
      </c>
    </row>
    <row r="20342" spans="1:9" x14ac:dyDescent="0.25">
      <c r="A20342" s="515">
        <v>85630</v>
      </c>
      <c r="B20342" s="515" t="s">
        <v>374</v>
      </c>
      <c r="C20342" s="52">
        <v>275560.38128895202</v>
      </c>
      <c r="D20342" s="56">
        <v>6.8263077215739154E-2</v>
      </c>
      <c r="E20342" s="224" t="s">
        <v>2</v>
      </c>
      <c r="F20342" s="515" t="s">
        <v>21512</v>
      </c>
      <c r="G20342" s="52">
        <v>144913.03365939201</v>
      </c>
      <c r="H20342" s="56">
        <v>0.20688368320420483</v>
      </c>
      <c r="I20342" s="224" t="s">
        <v>2</v>
      </c>
    </row>
    <row r="20343" spans="1:9" x14ac:dyDescent="0.25">
      <c r="A20343" s="515">
        <v>62875</v>
      </c>
      <c r="B20343" s="515" t="s">
        <v>1211</v>
      </c>
      <c r="C20343" s="52">
        <v>95787.835067257096</v>
      </c>
      <c r="D20343" s="56">
        <v>8.5848319046786317E-2</v>
      </c>
      <c r="E20343" s="224" t="s">
        <v>2</v>
      </c>
      <c r="F20343" s="515" t="s">
        <v>21513</v>
      </c>
      <c r="G20343" s="52">
        <v>319357.15836023702</v>
      </c>
      <c r="H20343" s="56">
        <v>4.3544778864319587E-2</v>
      </c>
      <c r="I20343" s="224" t="s">
        <v>2</v>
      </c>
    </row>
    <row r="20344" spans="1:9" x14ac:dyDescent="0.25">
      <c r="A20344" s="515">
        <v>87415</v>
      </c>
      <c r="B20344" s="515" t="s">
        <v>893</v>
      </c>
      <c r="C20344" s="52">
        <v>227096.57452899299</v>
      </c>
      <c r="D20344" s="56">
        <v>9.8418611670047826E-2</v>
      </c>
      <c r="E20344" s="224" t="s">
        <v>2</v>
      </c>
      <c r="F20344" s="515" t="s">
        <v>21514</v>
      </c>
      <c r="G20344" s="52">
        <v>462250.54428979201</v>
      </c>
      <c r="H20344" s="56">
        <v>-7.3344915005511416E-3</v>
      </c>
      <c r="I20344" s="224" t="s">
        <v>2</v>
      </c>
    </row>
    <row r="20345" spans="1:9" x14ac:dyDescent="0.25">
      <c r="A20345" s="515">
        <v>4966</v>
      </c>
      <c r="C20345" s="52">
        <v>193248.469157254</v>
      </c>
      <c r="D20345" s="56">
        <v>6.3221472229027284E-2</v>
      </c>
      <c r="E20345" s="224" t="s">
        <v>2</v>
      </c>
      <c r="F20345" s="515" t="s">
        <v>21515</v>
      </c>
      <c r="G20345" s="52">
        <v>255317.72800897399</v>
      </c>
      <c r="H20345" s="56">
        <v>6.4100722574155194E-2</v>
      </c>
      <c r="I20345" s="224" t="s">
        <v>2</v>
      </c>
    </row>
    <row r="20346" spans="1:9" x14ac:dyDescent="0.25">
      <c r="A20346" s="515">
        <v>41647</v>
      </c>
      <c r="C20346" s="52">
        <v>62011.674177104796</v>
      </c>
      <c r="D20346" s="56">
        <v>0.1094450934681588</v>
      </c>
      <c r="E20346" s="224" t="s">
        <v>2</v>
      </c>
      <c r="F20346" s="515" t="s">
        <v>21516</v>
      </c>
      <c r="G20346" s="52">
        <v>186227.08189938101</v>
      </c>
      <c r="H20346" s="56">
        <v>7.0772936678483583E-2</v>
      </c>
      <c r="I20346" s="224" t="s">
        <v>2</v>
      </c>
    </row>
    <row r="20347" spans="1:9" x14ac:dyDescent="0.25">
      <c r="A20347" s="515">
        <v>12092</v>
      </c>
      <c r="B20347" s="515" t="s">
        <v>609</v>
      </c>
      <c r="C20347" s="52">
        <v>193158.03516980901</v>
      </c>
      <c r="D20347" s="56">
        <v>8.9566162817289685E-2</v>
      </c>
      <c r="E20347" s="224" t="s">
        <v>2</v>
      </c>
      <c r="F20347" s="515" t="s">
        <v>21517</v>
      </c>
      <c r="G20347" s="52">
        <v>71251.562046203995</v>
      </c>
      <c r="H20347" s="56">
        <v>0.18694926662824221</v>
      </c>
      <c r="I20347" s="224" t="s">
        <v>2</v>
      </c>
    </row>
    <row r="20348" spans="1:9" x14ac:dyDescent="0.25">
      <c r="A20348" s="515">
        <v>43462</v>
      </c>
      <c r="B20348" s="515" t="s">
        <v>300</v>
      </c>
      <c r="C20348" s="52">
        <v>159055.691158567</v>
      </c>
      <c r="D20348" s="56">
        <v>-4.4943258766928028E-2</v>
      </c>
      <c r="E20348" s="224" t="s">
        <v>2</v>
      </c>
      <c r="F20348" s="515" t="s">
        <v>21518</v>
      </c>
      <c r="G20348" s="52">
        <v>164249.98099815601</v>
      </c>
      <c r="H20348" s="56">
        <v>0.21038992908849752</v>
      </c>
      <c r="I20348" s="224" t="s">
        <v>2</v>
      </c>
    </row>
    <row r="20349" spans="1:9" x14ac:dyDescent="0.25">
      <c r="A20349" s="515">
        <v>75481</v>
      </c>
      <c r="B20349" s="515" t="s">
        <v>980</v>
      </c>
      <c r="C20349" s="52">
        <v>240926.86707906501</v>
      </c>
      <c r="D20349" s="56">
        <v>0</v>
      </c>
      <c r="E20349" s="224" t="s">
        <v>2</v>
      </c>
      <c r="F20349" s="515" t="s">
        <v>21519</v>
      </c>
      <c r="G20349" s="52">
        <v>78954.981203891904</v>
      </c>
      <c r="H20349" s="56">
        <v>2.9405799789327156E-2</v>
      </c>
      <c r="I20349" s="224" t="s">
        <v>2</v>
      </c>
    </row>
    <row r="20350" spans="1:9" x14ac:dyDescent="0.25">
      <c r="A20350" s="515">
        <v>93202</v>
      </c>
      <c r="B20350" s="515" t="s">
        <v>942</v>
      </c>
      <c r="C20350" s="52">
        <v>240899.80649695499</v>
      </c>
      <c r="D20350" s="56">
        <v>5.3361240494338054E-2</v>
      </c>
      <c r="E20350" s="224" t="s">
        <v>2</v>
      </c>
      <c r="F20350" s="515" t="s">
        <v>21520</v>
      </c>
      <c r="G20350" s="52">
        <v>371949.63914305001</v>
      </c>
      <c r="H20350" s="56">
        <v>6.3485494738355575E-2</v>
      </c>
      <c r="I20350" s="224" t="s">
        <v>2</v>
      </c>
    </row>
    <row r="20351" spans="1:9" x14ac:dyDescent="0.25">
      <c r="A20351" s="515">
        <v>75554</v>
      </c>
      <c r="C20351" s="52">
        <v>156500.145388315</v>
      </c>
      <c r="D20351" s="56">
        <v>5.3428099767686713E-2</v>
      </c>
      <c r="E20351" s="224" t="s">
        <v>2</v>
      </c>
      <c r="F20351" s="515" t="s">
        <v>21521</v>
      </c>
      <c r="G20351" s="52"/>
      <c r="H20351" s="56">
        <v>0</v>
      </c>
      <c r="I20351" s="224" t="s">
        <v>2</v>
      </c>
    </row>
    <row r="20352" spans="1:9" x14ac:dyDescent="0.25">
      <c r="A20352" s="515">
        <v>98829</v>
      </c>
      <c r="C20352" s="52">
        <v>225773.092016168</v>
      </c>
      <c r="D20352" s="56">
        <v>3.3530344339672308E-2</v>
      </c>
      <c r="E20352" s="224" t="s">
        <v>2</v>
      </c>
      <c r="F20352" s="515" t="s">
        <v>21522</v>
      </c>
      <c r="G20352" s="52">
        <v>30961.326589735902</v>
      </c>
      <c r="H20352" s="56">
        <v>-4.4906072550132348E-2</v>
      </c>
      <c r="I20352" s="224" t="s">
        <v>2</v>
      </c>
    </row>
    <row r="20353" spans="1:9" x14ac:dyDescent="0.25">
      <c r="A20353" s="515">
        <v>29471</v>
      </c>
      <c r="B20353" s="515" t="s">
        <v>1009</v>
      </c>
      <c r="C20353" s="52">
        <v>207491.44891087199</v>
      </c>
      <c r="D20353" s="56">
        <v>0.11088809988010216</v>
      </c>
      <c r="E20353" s="224" t="s">
        <v>2</v>
      </c>
      <c r="F20353" s="515" t="s">
        <v>21523</v>
      </c>
      <c r="G20353" s="52">
        <v>289086.22912297701</v>
      </c>
      <c r="H20353" s="56">
        <v>0.1190876519845544</v>
      </c>
      <c r="I20353" s="224" t="s">
        <v>2</v>
      </c>
    </row>
    <row r="20354" spans="1:9" x14ac:dyDescent="0.25">
      <c r="A20354" s="515">
        <v>56437</v>
      </c>
      <c r="C20354" s="52">
        <v>165628.05554613899</v>
      </c>
      <c r="D20354" s="56">
        <v>4.5345950123436889E-2</v>
      </c>
      <c r="E20354" s="224" t="s">
        <v>2</v>
      </c>
      <c r="F20354" s="515" t="s">
        <v>21524</v>
      </c>
      <c r="G20354" s="52">
        <v>321282.20388398302</v>
      </c>
      <c r="H20354" s="56">
        <v>8.9545106861002075E-2</v>
      </c>
      <c r="I20354" s="224" t="s">
        <v>2</v>
      </c>
    </row>
    <row r="20355" spans="1:9" x14ac:dyDescent="0.25">
      <c r="A20355" s="515">
        <v>62324</v>
      </c>
      <c r="B20355" s="515" t="s">
        <v>697</v>
      </c>
      <c r="C20355" s="52">
        <v>109506.38703421599</v>
      </c>
      <c r="D20355" s="56">
        <v>0.10118535964980012</v>
      </c>
      <c r="E20355" s="224" t="s">
        <v>2</v>
      </c>
      <c r="F20355" s="515" t="s">
        <v>21525</v>
      </c>
      <c r="G20355" s="52">
        <v>64439.941209345401</v>
      </c>
      <c r="H20355" s="56">
        <v>0.2033816412697971</v>
      </c>
      <c r="I20355" s="224" t="s">
        <v>2</v>
      </c>
    </row>
    <row r="20356" spans="1:9" x14ac:dyDescent="0.25">
      <c r="A20356" s="515">
        <v>54531</v>
      </c>
      <c r="C20356" s="52">
        <v>288260.35819579801</v>
      </c>
      <c r="D20356" s="56">
        <v>9.6916205021509411E-2</v>
      </c>
      <c r="E20356" s="224" t="s">
        <v>2</v>
      </c>
      <c r="F20356" s="515" t="s">
        <v>21526</v>
      </c>
      <c r="G20356" s="52">
        <v>141131.26764369299</v>
      </c>
      <c r="H20356" s="56">
        <v>0.14460152585487182</v>
      </c>
      <c r="I20356" s="224" t="s">
        <v>2</v>
      </c>
    </row>
    <row r="20357" spans="1:9" x14ac:dyDescent="0.25">
      <c r="A20357" s="515">
        <v>74442</v>
      </c>
      <c r="B20357" s="515" t="s">
        <v>451</v>
      </c>
      <c r="C20357" s="52">
        <v>178234.77473419401</v>
      </c>
      <c r="D20357" s="56">
        <v>9.6347181414617886E-2</v>
      </c>
      <c r="E20357" s="224" t="s">
        <v>2</v>
      </c>
      <c r="F20357" s="515" t="s">
        <v>21527</v>
      </c>
      <c r="G20357" s="52">
        <v>146917.20155920001</v>
      </c>
      <c r="H20357" s="56">
        <v>0.11400336869320198</v>
      </c>
      <c r="I20357" s="224" t="s">
        <v>2</v>
      </c>
    </row>
    <row r="20358" spans="1:9" x14ac:dyDescent="0.25">
      <c r="A20358" s="515">
        <v>16917</v>
      </c>
      <c r="C20358" s="52">
        <v>199117.40875889201</v>
      </c>
      <c r="D20358" s="56">
        <v>0.10955946740046822</v>
      </c>
      <c r="E20358" s="224" t="s">
        <v>2</v>
      </c>
      <c r="F20358" s="515" t="s">
        <v>21528</v>
      </c>
      <c r="G20358" s="52">
        <v>190348.82497551601</v>
      </c>
      <c r="H20358" s="56">
        <v>7.9839077456771032E-2</v>
      </c>
      <c r="I20358" s="224" t="s">
        <v>2</v>
      </c>
    </row>
    <row r="20359" spans="1:9" x14ac:dyDescent="0.25">
      <c r="A20359" s="515">
        <v>12543</v>
      </c>
      <c r="B20359" s="515" t="s">
        <v>529</v>
      </c>
      <c r="C20359" s="52">
        <v>272588.47185819602</v>
      </c>
      <c r="D20359" s="56">
        <v>7.8732012110612953E-2</v>
      </c>
      <c r="E20359" s="224" t="s">
        <v>2</v>
      </c>
      <c r="F20359" s="515" t="s">
        <v>21529</v>
      </c>
      <c r="G20359" s="52">
        <v>1069089.03248455</v>
      </c>
      <c r="H20359" s="56">
        <v>2.8259932196848924E-2</v>
      </c>
      <c r="I20359" s="224" t="s">
        <v>2</v>
      </c>
    </row>
    <row r="20360" spans="1:9" x14ac:dyDescent="0.25">
      <c r="A20360" s="515">
        <v>67578</v>
      </c>
      <c r="C20360" s="52">
        <v>68996.537442399305</v>
      </c>
      <c r="D20360" s="56">
        <v>0.13998924514420191</v>
      </c>
      <c r="E20360" s="224" t="s">
        <v>2</v>
      </c>
      <c r="F20360" s="515" t="s">
        <v>21530</v>
      </c>
      <c r="G20360" s="52">
        <v>97852.107530814494</v>
      </c>
      <c r="H20360" s="56">
        <v>0.11923427276284644</v>
      </c>
      <c r="I20360" s="224" t="s">
        <v>2</v>
      </c>
    </row>
    <row r="20361" spans="1:9" x14ac:dyDescent="0.25">
      <c r="A20361" s="515">
        <v>84781</v>
      </c>
      <c r="B20361" s="515" t="s">
        <v>522</v>
      </c>
      <c r="C20361" s="52">
        <v>449381.74804749701</v>
      </c>
      <c r="D20361" s="56">
        <v>1.58558628349506E-2</v>
      </c>
      <c r="E20361" s="224" t="s">
        <v>2</v>
      </c>
      <c r="F20361" s="515" t="s">
        <v>21531</v>
      </c>
      <c r="G20361" s="52">
        <v>291954.922288817</v>
      </c>
      <c r="H20361" s="56">
        <v>9.2410221476714738E-2</v>
      </c>
      <c r="I20361" s="224" t="s">
        <v>2</v>
      </c>
    </row>
    <row r="20362" spans="1:9" x14ac:dyDescent="0.25">
      <c r="A20362" s="515">
        <v>80133</v>
      </c>
      <c r="B20362" s="515" t="s">
        <v>701</v>
      </c>
      <c r="C20362" s="52">
        <v>503539.55615241901</v>
      </c>
      <c r="D20362" s="56">
        <v>4.3195252775815381E-2</v>
      </c>
      <c r="E20362" s="224" t="s">
        <v>2</v>
      </c>
      <c r="F20362" s="515" t="s">
        <v>21532</v>
      </c>
      <c r="G20362" s="52">
        <v>108614.69107515</v>
      </c>
      <c r="H20362" s="56">
        <v>0.10678555557215355</v>
      </c>
      <c r="I20362" s="224" t="s">
        <v>2</v>
      </c>
    </row>
    <row r="20363" spans="1:9" x14ac:dyDescent="0.25">
      <c r="A20363" s="515">
        <v>97886</v>
      </c>
      <c r="B20363" s="515" t="s">
        <v>733</v>
      </c>
      <c r="C20363" s="52">
        <v>236001.62318531401</v>
      </c>
      <c r="D20363" s="56">
        <v>0.11131416554402171</v>
      </c>
      <c r="E20363" s="224" t="s">
        <v>2</v>
      </c>
      <c r="F20363" s="515" t="s">
        <v>21533</v>
      </c>
      <c r="G20363" s="52">
        <v>87264.053998812</v>
      </c>
      <c r="H20363" s="56">
        <v>0</v>
      </c>
      <c r="I20363" s="224" t="s">
        <v>2</v>
      </c>
    </row>
    <row r="20364" spans="1:9" x14ac:dyDescent="0.25">
      <c r="A20364" s="515">
        <v>96134</v>
      </c>
      <c r="C20364" s="52">
        <v>139237.667168682</v>
      </c>
      <c r="D20364" s="56">
        <v>-2.0107016354594391E-3</v>
      </c>
      <c r="E20364" s="224" t="s">
        <v>2</v>
      </c>
      <c r="F20364" s="515" t="s">
        <v>21534</v>
      </c>
      <c r="G20364" s="52">
        <v>141538.336868871</v>
      </c>
      <c r="H20364" s="56">
        <v>0.15153332902017783</v>
      </c>
      <c r="I20364" s="224" t="s">
        <v>2</v>
      </c>
    </row>
    <row r="20365" spans="1:9" x14ac:dyDescent="0.25">
      <c r="A20365" s="515">
        <v>56584</v>
      </c>
      <c r="C20365" s="52">
        <v>135321.87456896799</v>
      </c>
      <c r="D20365" s="56">
        <v>6.168845751427573E-3</v>
      </c>
      <c r="E20365" s="224" t="s">
        <v>2</v>
      </c>
      <c r="F20365" s="515" t="s">
        <v>21535</v>
      </c>
      <c r="G20365" s="52">
        <v>98919.509425303899</v>
      </c>
      <c r="H20365" s="56">
        <v>0.16838975494351757</v>
      </c>
      <c r="I20365" s="224" t="s">
        <v>2</v>
      </c>
    </row>
    <row r="20366" spans="1:9" x14ac:dyDescent="0.25">
      <c r="A20366" s="515">
        <v>48635</v>
      </c>
      <c r="C20366" s="52">
        <v>149459.534455858</v>
      </c>
      <c r="D20366" s="56">
        <v>9.9318465747720019E-2</v>
      </c>
      <c r="E20366" s="224" t="s">
        <v>2</v>
      </c>
      <c r="F20366" s="515" t="s">
        <v>21536</v>
      </c>
      <c r="G20366" s="52">
        <v>250028.49546833301</v>
      </c>
      <c r="H20366" s="56">
        <v>-5.6262697181516073E-2</v>
      </c>
      <c r="I20366" s="224" t="s">
        <v>2</v>
      </c>
    </row>
    <row r="20367" spans="1:9" x14ac:dyDescent="0.25">
      <c r="A20367" s="515">
        <v>72368</v>
      </c>
      <c r="C20367" s="52">
        <v>102859.12230215799</v>
      </c>
      <c r="D20367" s="56">
        <v>0</v>
      </c>
      <c r="E20367" s="224" t="s">
        <v>2</v>
      </c>
      <c r="F20367" s="515" t="s">
        <v>21537</v>
      </c>
      <c r="G20367" s="52">
        <v>125575.25889823301</v>
      </c>
      <c r="H20367" s="56">
        <v>8.7268842285116402E-2</v>
      </c>
      <c r="I20367" s="224" t="s">
        <v>2</v>
      </c>
    </row>
    <row r="20368" spans="1:9" x14ac:dyDescent="0.25">
      <c r="A20368" s="515">
        <v>14037</v>
      </c>
      <c r="C20368" s="52">
        <v>272343.72767751903</v>
      </c>
      <c r="D20368" s="56">
        <v>8.3502032822718217E-2</v>
      </c>
      <c r="E20368" s="224" t="s">
        <v>2</v>
      </c>
      <c r="F20368" s="515" t="s">
        <v>21538</v>
      </c>
      <c r="G20368" s="52">
        <v>220014.64268948199</v>
      </c>
      <c r="H20368" s="56">
        <v>0</v>
      </c>
      <c r="I20368" s="224" t="s">
        <v>2</v>
      </c>
    </row>
    <row r="20369" spans="1:9" x14ac:dyDescent="0.25">
      <c r="A20369" s="515">
        <v>47177</v>
      </c>
      <c r="B20369" s="515" t="s">
        <v>479</v>
      </c>
      <c r="C20369" s="52">
        <v>214200.76706690699</v>
      </c>
      <c r="D20369" s="56">
        <v>5.7500173799572805E-2</v>
      </c>
      <c r="E20369" s="224" t="s">
        <v>2</v>
      </c>
      <c r="F20369" s="515" t="s">
        <v>21539</v>
      </c>
      <c r="G20369" s="52">
        <v>104854.337163777</v>
      </c>
      <c r="H20369" s="56">
        <v>0.10265119185295055</v>
      </c>
      <c r="I20369" s="224" t="s">
        <v>2</v>
      </c>
    </row>
    <row r="20370" spans="1:9" x14ac:dyDescent="0.25">
      <c r="A20370" s="515">
        <v>54247</v>
      </c>
      <c r="B20370" s="515" t="s">
        <v>446</v>
      </c>
      <c r="C20370" s="52">
        <v>212244.42843663701</v>
      </c>
      <c r="D20370" s="56">
        <v>3.3685409855204178E-2</v>
      </c>
      <c r="E20370" s="224" t="s">
        <v>2</v>
      </c>
      <c r="F20370" s="515" t="s">
        <v>21540</v>
      </c>
      <c r="G20370" s="52">
        <v>58810.125941123501</v>
      </c>
      <c r="H20370" s="56">
        <v>0.15960460685556099</v>
      </c>
      <c r="I20370" s="224" t="s">
        <v>2</v>
      </c>
    </row>
    <row r="20371" spans="1:9" x14ac:dyDescent="0.25">
      <c r="A20371" s="515">
        <v>64088</v>
      </c>
      <c r="B20371" s="515" t="s">
        <v>455</v>
      </c>
      <c r="C20371" s="52">
        <v>274369.51314436499</v>
      </c>
      <c r="D20371" s="56">
        <v>5.0243621795587758E-2</v>
      </c>
      <c r="E20371" s="224" t="s">
        <v>2</v>
      </c>
      <c r="F20371" s="515" t="s">
        <v>21541</v>
      </c>
      <c r="G20371" s="52">
        <v>763188.43546399905</v>
      </c>
      <c r="H20371" s="56">
        <v>0.17465943851841628</v>
      </c>
      <c r="I20371" s="224" t="s">
        <v>2</v>
      </c>
    </row>
    <row r="20372" spans="1:9" x14ac:dyDescent="0.25">
      <c r="A20372" s="515">
        <v>65649</v>
      </c>
      <c r="B20372" s="515" t="s">
        <v>603</v>
      </c>
      <c r="C20372" s="52">
        <v>191172.71044046001</v>
      </c>
      <c r="D20372" s="56">
        <v>0.10906171515208873</v>
      </c>
      <c r="E20372" s="224" t="s">
        <v>2</v>
      </c>
      <c r="F20372" s="515" t="s">
        <v>21542</v>
      </c>
      <c r="G20372" s="52">
        <v>290490.60804042598</v>
      </c>
      <c r="H20372" s="56">
        <v>6.2459998948399931E-2</v>
      </c>
      <c r="I20372" s="224" t="s">
        <v>2</v>
      </c>
    </row>
    <row r="20373" spans="1:9" x14ac:dyDescent="0.25">
      <c r="A20373" s="515">
        <v>28343</v>
      </c>
      <c r="B20373" s="515" t="s">
        <v>1048</v>
      </c>
      <c r="C20373" s="52">
        <v>84836.981655074007</v>
      </c>
      <c r="D20373" s="56">
        <v>0.36523194704103445</v>
      </c>
      <c r="E20373" s="224" t="s">
        <v>2</v>
      </c>
      <c r="F20373" s="515" t="s">
        <v>21543</v>
      </c>
      <c r="G20373" s="52">
        <v>3528039.7638300601</v>
      </c>
      <c r="H20373" s="56">
        <v>-5.1489291061939717E-2</v>
      </c>
      <c r="I20373" s="224" t="s">
        <v>2</v>
      </c>
    </row>
    <row r="20374" spans="1:9" x14ac:dyDescent="0.25">
      <c r="A20374" s="515">
        <v>65072</v>
      </c>
      <c r="C20374" s="52">
        <v>280247.02726506302</v>
      </c>
      <c r="D20374" s="56">
        <v>5.4941346781307868E-2</v>
      </c>
      <c r="E20374" s="224" t="s">
        <v>2</v>
      </c>
      <c r="F20374" s="515" t="s">
        <v>21544</v>
      </c>
      <c r="G20374" s="52">
        <v>257478.76695573601</v>
      </c>
      <c r="H20374" s="56">
        <v>8.0039490155772192E-2</v>
      </c>
      <c r="I20374" s="224" t="s">
        <v>2</v>
      </c>
    </row>
    <row r="20375" spans="1:9" x14ac:dyDescent="0.25">
      <c r="A20375" s="515">
        <v>31824</v>
      </c>
      <c r="C20375" s="52">
        <v>103776.863402377</v>
      </c>
      <c r="D20375" s="56">
        <v>0.19328454134881412</v>
      </c>
      <c r="E20375" s="224" t="s">
        <v>2</v>
      </c>
      <c r="F20375" s="515" t="s">
        <v>21545</v>
      </c>
      <c r="G20375" s="52">
        <v>236200.568181818</v>
      </c>
      <c r="H20375" s="56">
        <v>0</v>
      </c>
      <c r="I20375" s="224" t="s">
        <v>2</v>
      </c>
    </row>
    <row r="20376" spans="1:9" x14ac:dyDescent="0.25">
      <c r="A20376" s="515">
        <v>24925</v>
      </c>
      <c r="C20376" s="52">
        <v>169706.40998905399</v>
      </c>
      <c r="D20376" s="56">
        <v>0.12209902918499502</v>
      </c>
      <c r="E20376" s="224" t="s">
        <v>2</v>
      </c>
      <c r="F20376" s="515" t="s">
        <v>21546</v>
      </c>
      <c r="G20376" s="52">
        <v>182303.17920221901</v>
      </c>
      <c r="H20376" s="56">
        <v>0</v>
      </c>
      <c r="I20376" s="224" t="s">
        <v>2</v>
      </c>
    </row>
    <row r="20377" spans="1:9" x14ac:dyDescent="0.25">
      <c r="A20377" s="515">
        <v>64733</v>
      </c>
      <c r="B20377" s="515" t="s">
        <v>1047</v>
      </c>
      <c r="C20377" s="52">
        <v>219573.80863597</v>
      </c>
      <c r="D20377" s="56">
        <v>6.8441713131359258E-2</v>
      </c>
      <c r="E20377" s="224" t="s">
        <v>2</v>
      </c>
      <c r="F20377" s="515" t="s">
        <v>21547</v>
      </c>
      <c r="G20377" s="52">
        <v>332304.22090878501</v>
      </c>
      <c r="H20377" s="56">
        <v>0.15233436668385808</v>
      </c>
      <c r="I20377" s="224" t="s">
        <v>2</v>
      </c>
    </row>
    <row r="20378" spans="1:9" x14ac:dyDescent="0.25">
      <c r="A20378" s="515">
        <v>4970</v>
      </c>
      <c r="C20378" s="52">
        <v>352002.57236228901</v>
      </c>
      <c r="D20378" s="56">
        <v>5.8845249453031143E-2</v>
      </c>
      <c r="E20378" s="224" t="s">
        <v>2</v>
      </c>
      <c r="F20378" s="515" t="s">
        <v>21548</v>
      </c>
      <c r="G20378" s="52">
        <v>116606.369580885</v>
      </c>
      <c r="H20378" s="56">
        <v>0</v>
      </c>
      <c r="I20378" s="224" t="s">
        <v>2</v>
      </c>
    </row>
    <row r="20379" spans="1:9" x14ac:dyDescent="0.25">
      <c r="A20379" s="515">
        <v>17878</v>
      </c>
      <c r="B20379" s="515" t="s">
        <v>676</v>
      </c>
      <c r="C20379" s="52">
        <v>210392.91956425499</v>
      </c>
      <c r="D20379" s="56">
        <v>7.7047523871702231E-2</v>
      </c>
      <c r="E20379" s="224" t="s">
        <v>2</v>
      </c>
      <c r="F20379" s="515" t="s">
        <v>21549</v>
      </c>
      <c r="G20379" s="52">
        <v>67810.002372988296</v>
      </c>
      <c r="H20379" s="56">
        <v>0.12556728809705361</v>
      </c>
      <c r="I20379" s="224" t="s">
        <v>2</v>
      </c>
    </row>
    <row r="20380" spans="1:9" x14ac:dyDescent="0.25">
      <c r="A20380" s="515">
        <v>3849</v>
      </c>
      <c r="C20380" s="52">
        <v>388614.91930360202</v>
      </c>
      <c r="D20380" s="56">
        <v>0.10616299837251802</v>
      </c>
      <c r="E20380" s="224" t="s">
        <v>2</v>
      </c>
      <c r="F20380" s="515" t="s">
        <v>21550</v>
      </c>
      <c r="G20380" s="52">
        <v>113402.308641975</v>
      </c>
      <c r="H20380" s="56">
        <v>0</v>
      </c>
      <c r="I20380" s="224" t="s">
        <v>2</v>
      </c>
    </row>
    <row r="20381" spans="1:9" x14ac:dyDescent="0.25">
      <c r="A20381" s="515">
        <v>13144</v>
      </c>
      <c r="B20381" s="515" t="s">
        <v>361</v>
      </c>
      <c r="C20381" s="52">
        <v>122790.130443264</v>
      </c>
      <c r="D20381" s="56">
        <v>0.11686285534506988</v>
      </c>
      <c r="E20381" s="224" t="s">
        <v>2</v>
      </c>
      <c r="F20381" s="515" t="s">
        <v>21551</v>
      </c>
      <c r="G20381" s="52">
        <v>142798.94120300701</v>
      </c>
      <c r="H20381" s="56">
        <v>7.8171879769163163E-2</v>
      </c>
      <c r="I20381" s="224" t="s">
        <v>2</v>
      </c>
    </row>
    <row r="20382" spans="1:9" x14ac:dyDescent="0.25">
      <c r="A20382" s="515">
        <v>4020</v>
      </c>
      <c r="B20382" s="515" t="s">
        <v>570</v>
      </c>
      <c r="C20382" s="52">
        <v>318716.38619459601</v>
      </c>
      <c r="D20382" s="56">
        <v>0.14705122192305869</v>
      </c>
      <c r="E20382" s="224" t="s">
        <v>2</v>
      </c>
      <c r="F20382" s="515" t="s">
        <v>21552</v>
      </c>
      <c r="G20382" s="52">
        <v>433687.44596881699</v>
      </c>
      <c r="H20382" s="56">
        <v>6.0661461686840466E-2</v>
      </c>
      <c r="I20382" s="224" t="s">
        <v>2</v>
      </c>
    </row>
    <row r="20383" spans="1:9" x14ac:dyDescent="0.25">
      <c r="A20383" s="515">
        <v>52142</v>
      </c>
      <c r="C20383" s="52">
        <v>149443.31285814801</v>
      </c>
      <c r="D20383" s="56">
        <v>0.14307027155598551</v>
      </c>
      <c r="E20383" s="224" t="s">
        <v>2</v>
      </c>
      <c r="F20383" s="515" t="s">
        <v>21553</v>
      </c>
      <c r="G20383" s="52">
        <v>341743.81670588301</v>
      </c>
      <c r="H20383" s="56">
        <v>0.16056152599861184</v>
      </c>
      <c r="I20383" s="224" t="s">
        <v>2</v>
      </c>
    </row>
    <row r="20384" spans="1:9" x14ac:dyDescent="0.25">
      <c r="A20384" s="515">
        <v>73663</v>
      </c>
      <c r="C20384" s="52">
        <v>129395.055283163</v>
      </c>
      <c r="D20384" s="56">
        <v>7.4924504939430037E-2</v>
      </c>
      <c r="E20384" s="224" t="s">
        <v>2</v>
      </c>
      <c r="F20384" s="515" t="s">
        <v>21554</v>
      </c>
      <c r="G20384" s="52">
        <v>388814.98702956602</v>
      </c>
      <c r="H20384" s="56">
        <v>8.578058771006267E-3</v>
      </c>
      <c r="I20384" s="224" t="s">
        <v>2</v>
      </c>
    </row>
    <row r="20385" spans="1:9" x14ac:dyDescent="0.25">
      <c r="A20385" s="515">
        <v>43008</v>
      </c>
      <c r="B20385" s="515" t="s">
        <v>345</v>
      </c>
      <c r="C20385" s="52">
        <v>207335.70019390699</v>
      </c>
      <c r="D20385" s="56">
        <v>3.7227531811741536E-2</v>
      </c>
      <c r="E20385" s="224" t="s">
        <v>2</v>
      </c>
      <c r="F20385" s="515" t="s">
        <v>21555</v>
      </c>
      <c r="G20385" s="52">
        <v>102327.03499368</v>
      </c>
      <c r="H20385" s="56">
        <v>0.11069086663151843</v>
      </c>
      <c r="I20385" s="224" t="s">
        <v>2</v>
      </c>
    </row>
    <row r="20386" spans="1:9" x14ac:dyDescent="0.25">
      <c r="A20386" s="515">
        <v>18350</v>
      </c>
      <c r="B20386" s="515" t="s">
        <v>338</v>
      </c>
      <c r="C20386" s="52">
        <v>435858.24630834197</v>
      </c>
      <c r="D20386" s="56">
        <v>9.3528241327726164E-2</v>
      </c>
      <c r="E20386" s="224" t="s">
        <v>2</v>
      </c>
      <c r="F20386" s="515" t="s">
        <v>21556</v>
      </c>
      <c r="G20386" s="52">
        <v>224781.753004431</v>
      </c>
      <c r="H20386" s="56">
        <v>0.12705671491117157</v>
      </c>
      <c r="I20386" s="224" t="s">
        <v>2</v>
      </c>
    </row>
    <row r="20387" spans="1:9" x14ac:dyDescent="0.25">
      <c r="A20387" s="515">
        <v>42441</v>
      </c>
      <c r="B20387" s="515" t="s">
        <v>598</v>
      </c>
      <c r="C20387" s="52">
        <v>122031.32826384599</v>
      </c>
      <c r="D20387" s="56">
        <v>0.21149332946364124</v>
      </c>
      <c r="E20387" s="224" t="s">
        <v>2</v>
      </c>
      <c r="F20387" s="515" t="s">
        <v>21557</v>
      </c>
      <c r="G20387" s="52">
        <v>121143.39776701199</v>
      </c>
      <c r="H20387" s="56">
        <v>5.1068208259548976E-2</v>
      </c>
      <c r="I20387" s="224" t="s">
        <v>2</v>
      </c>
    </row>
    <row r="20388" spans="1:9" x14ac:dyDescent="0.25">
      <c r="A20388" s="515">
        <v>14717</v>
      </c>
      <c r="C20388" s="52">
        <v>160163.45833154701</v>
      </c>
      <c r="D20388" s="56">
        <v>8.9393202548498599E-2</v>
      </c>
      <c r="E20388" s="224" t="s">
        <v>2</v>
      </c>
      <c r="F20388" s="515" t="s">
        <v>21558</v>
      </c>
      <c r="G20388" s="52">
        <v>110402.845959415</v>
      </c>
      <c r="H20388" s="56">
        <v>0.15021379342582625</v>
      </c>
      <c r="I20388" s="224" t="s">
        <v>2</v>
      </c>
    </row>
    <row r="20389" spans="1:9" x14ac:dyDescent="0.25">
      <c r="A20389" s="515">
        <v>38617</v>
      </c>
      <c r="B20389" s="515" t="s">
        <v>822</v>
      </c>
      <c r="C20389" s="52">
        <v>72360.182689389403</v>
      </c>
      <c r="D20389" s="56">
        <v>0</v>
      </c>
      <c r="E20389" s="224" t="s">
        <v>2</v>
      </c>
      <c r="F20389" s="515" t="s">
        <v>21559</v>
      </c>
      <c r="G20389" s="52">
        <v>803876.70676310302</v>
      </c>
      <c r="H20389" s="56">
        <v>0</v>
      </c>
      <c r="I20389" s="224" t="s">
        <v>2</v>
      </c>
    </row>
    <row r="20390" spans="1:9" x14ac:dyDescent="0.25">
      <c r="A20390" s="515">
        <v>41219</v>
      </c>
      <c r="C20390" s="52">
        <v>97617.100521355896</v>
      </c>
      <c r="D20390" s="56">
        <v>0.18585596529215928</v>
      </c>
      <c r="E20390" s="224" t="s">
        <v>2</v>
      </c>
      <c r="F20390" s="515" t="s">
        <v>21560</v>
      </c>
      <c r="G20390" s="52">
        <v>188653.79693382699</v>
      </c>
      <c r="H20390" s="56">
        <v>0.11122669690809622</v>
      </c>
      <c r="I20390" s="224" t="s">
        <v>2</v>
      </c>
    </row>
    <row r="20391" spans="1:9" x14ac:dyDescent="0.25">
      <c r="A20391" s="515">
        <v>67752</v>
      </c>
      <c r="C20391" s="52">
        <v>130225.242025732</v>
      </c>
      <c r="D20391" s="56">
        <v>0.12261484084530064</v>
      </c>
      <c r="E20391" s="224" t="s">
        <v>2</v>
      </c>
      <c r="F20391" s="515" t="s">
        <v>21561</v>
      </c>
      <c r="G20391" s="52">
        <v>125998.70012659499</v>
      </c>
      <c r="H20391" s="56">
        <v>0.15018179733337292</v>
      </c>
      <c r="I20391" s="224" t="s">
        <v>2</v>
      </c>
    </row>
    <row r="20392" spans="1:9" x14ac:dyDescent="0.25">
      <c r="A20392" s="515">
        <v>61759</v>
      </c>
      <c r="B20392" s="515" t="s">
        <v>303</v>
      </c>
      <c r="C20392" s="52">
        <v>140229.22087974299</v>
      </c>
      <c r="D20392" s="56">
        <v>5.9784866622995592E-2</v>
      </c>
      <c r="E20392" s="224" t="s">
        <v>2</v>
      </c>
      <c r="F20392" s="515" t="s">
        <v>21562</v>
      </c>
      <c r="G20392" s="52">
        <v>172105.350355367</v>
      </c>
      <c r="H20392" s="56">
        <v>7.1810521940910574E-2</v>
      </c>
      <c r="I20392" s="224" t="s">
        <v>2</v>
      </c>
    </row>
    <row r="20393" spans="1:9" x14ac:dyDescent="0.25">
      <c r="A20393" s="515">
        <v>31625</v>
      </c>
      <c r="B20393" s="515" t="s">
        <v>505</v>
      </c>
      <c r="C20393" s="52">
        <v>190657.91100660499</v>
      </c>
      <c r="D20393" s="56">
        <v>3.5113401692871297E-2</v>
      </c>
      <c r="E20393" s="224" t="s">
        <v>2</v>
      </c>
      <c r="F20393" s="515" t="s">
        <v>21563</v>
      </c>
      <c r="G20393" s="52">
        <v>175042.030729741</v>
      </c>
      <c r="H20393" s="56">
        <v>0</v>
      </c>
      <c r="I20393" s="224" t="s">
        <v>2</v>
      </c>
    </row>
    <row r="20394" spans="1:9" x14ac:dyDescent="0.25">
      <c r="A20394" s="515">
        <v>56178</v>
      </c>
      <c r="C20394" s="52">
        <v>127540.02487861201</v>
      </c>
      <c r="D20394" s="56">
        <v>3.3491016775018194E-2</v>
      </c>
      <c r="E20394" s="224" t="s">
        <v>2</v>
      </c>
      <c r="F20394" s="515" t="s">
        <v>21564</v>
      </c>
      <c r="G20394" s="52">
        <v>122380.170719293</v>
      </c>
      <c r="H20394" s="56">
        <v>0.14501970782702225</v>
      </c>
      <c r="I20394" s="224" t="s">
        <v>2</v>
      </c>
    </row>
    <row r="20395" spans="1:9" x14ac:dyDescent="0.25">
      <c r="A20395" s="515">
        <v>26337</v>
      </c>
      <c r="C20395" s="52">
        <v>90990.4917504021</v>
      </c>
      <c r="D20395" s="56">
        <v>-4.7807636703250701E-2</v>
      </c>
      <c r="E20395" s="224" t="s">
        <v>2</v>
      </c>
      <c r="F20395" s="515" t="s">
        <v>21565</v>
      </c>
      <c r="G20395" s="52">
        <v>72602.916693620107</v>
      </c>
      <c r="H20395" s="56">
        <v>0</v>
      </c>
      <c r="I20395" s="224" t="s">
        <v>2</v>
      </c>
    </row>
    <row r="20396" spans="1:9" x14ac:dyDescent="0.25">
      <c r="A20396" s="515">
        <v>64439</v>
      </c>
      <c r="B20396" s="515" t="s">
        <v>455</v>
      </c>
      <c r="C20396" s="52">
        <v>258517.16495417399</v>
      </c>
      <c r="D20396" s="56">
        <v>6.9891918286506052E-2</v>
      </c>
      <c r="E20396" s="224" t="s">
        <v>2</v>
      </c>
      <c r="F20396" s="515" t="s">
        <v>21566</v>
      </c>
      <c r="G20396" s="52">
        <v>181718.76043327799</v>
      </c>
      <c r="H20396" s="56">
        <v>0.10552627647023886</v>
      </c>
      <c r="I20396" s="224" t="s">
        <v>2</v>
      </c>
    </row>
    <row r="20397" spans="1:9" x14ac:dyDescent="0.25">
      <c r="A20397" s="515">
        <v>30757</v>
      </c>
      <c r="B20397" s="515" t="s">
        <v>622</v>
      </c>
      <c r="C20397" s="52">
        <v>185043.37629966601</v>
      </c>
      <c r="D20397" s="56">
        <v>0.11998598590896585</v>
      </c>
      <c r="E20397" s="224" t="s">
        <v>2</v>
      </c>
      <c r="F20397" s="515" t="s">
        <v>21567</v>
      </c>
      <c r="G20397" s="52">
        <v>277106.06640347699</v>
      </c>
      <c r="H20397" s="56">
        <v>8.3118103418646477E-2</v>
      </c>
      <c r="I20397" s="224" t="s">
        <v>2</v>
      </c>
    </row>
    <row r="20398" spans="1:9" x14ac:dyDescent="0.25">
      <c r="A20398" s="515">
        <v>47847</v>
      </c>
      <c r="B20398" s="515" t="s">
        <v>318</v>
      </c>
      <c r="C20398" s="52">
        <v>116788.03286851601</v>
      </c>
      <c r="D20398" s="56">
        <v>4.9724297563945898E-2</v>
      </c>
      <c r="E20398" s="224" t="s">
        <v>2</v>
      </c>
      <c r="F20398" s="515" t="s">
        <v>21568</v>
      </c>
      <c r="G20398" s="52">
        <v>166484.34939759001</v>
      </c>
      <c r="H20398" s="56">
        <v>0</v>
      </c>
      <c r="I20398" s="224" t="s">
        <v>2</v>
      </c>
    </row>
    <row r="20399" spans="1:9" x14ac:dyDescent="0.25">
      <c r="A20399" s="515">
        <v>47234</v>
      </c>
      <c r="B20399" s="515" t="s">
        <v>403</v>
      </c>
      <c r="C20399" s="52">
        <v>200572.32468789199</v>
      </c>
      <c r="D20399" s="56">
        <v>0.10382368139330353</v>
      </c>
      <c r="E20399" s="224" t="s">
        <v>2</v>
      </c>
      <c r="F20399" s="515" t="s">
        <v>21569</v>
      </c>
      <c r="G20399" s="52">
        <v>7306681.4634716501</v>
      </c>
      <c r="H20399" s="56">
        <v>3.3256788316583651E-2</v>
      </c>
      <c r="I20399" s="224" t="s">
        <v>2</v>
      </c>
    </row>
    <row r="20400" spans="1:9" x14ac:dyDescent="0.25">
      <c r="A20400" s="515">
        <v>98846</v>
      </c>
      <c r="C20400" s="52">
        <v>424231.47920244402</v>
      </c>
      <c r="D20400" s="56">
        <v>6.3406980926041065E-2</v>
      </c>
      <c r="E20400" s="224" t="s">
        <v>2</v>
      </c>
      <c r="F20400" s="515" t="s">
        <v>21570</v>
      </c>
      <c r="G20400" s="52">
        <v>213380.58570761801</v>
      </c>
      <c r="H20400" s="56">
        <v>0.10063089243782695</v>
      </c>
      <c r="I20400" s="224" t="s">
        <v>2</v>
      </c>
    </row>
    <row r="20401" spans="1:9" x14ac:dyDescent="0.25">
      <c r="A20401" s="515">
        <v>85625</v>
      </c>
      <c r="B20401" s="515" t="s">
        <v>374</v>
      </c>
      <c r="C20401" s="52">
        <v>178193.75323927001</v>
      </c>
      <c r="D20401" s="56">
        <v>0.12640920738042577</v>
      </c>
      <c r="E20401" s="224" t="s">
        <v>2</v>
      </c>
      <c r="F20401" s="515" t="s">
        <v>21571</v>
      </c>
      <c r="G20401" s="52">
        <v>331813.10032956803</v>
      </c>
      <c r="H20401" s="56">
        <v>0</v>
      </c>
      <c r="I20401" s="224" t="s">
        <v>2</v>
      </c>
    </row>
    <row r="20402" spans="1:9" x14ac:dyDescent="0.25">
      <c r="A20402" s="515">
        <v>66427</v>
      </c>
      <c r="C20402" s="52">
        <v>128271.299061527</v>
      </c>
      <c r="D20402" s="56">
        <v>9.7216299631829151E-2</v>
      </c>
      <c r="E20402" s="224" t="s">
        <v>2</v>
      </c>
      <c r="F20402" s="515" t="s">
        <v>21572</v>
      </c>
      <c r="G20402" s="52">
        <v>263819.02992483298</v>
      </c>
      <c r="H20402" s="56">
        <v>6.589509507841837E-2</v>
      </c>
      <c r="I20402" s="224" t="s">
        <v>2</v>
      </c>
    </row>
    <row r="20403" spans="1:9" x14ac:dyDescent="0.25">
      <c r="A20403" s="515">
        <v>50619</v>
      </c>
      <c r="C20403" s="52">
        <v>162662.615664827</v>
      </c>
      <c r="D20403" s="56">
        <v>7.4523079506467332E-2</v>
      </c>
      <c r="E20403" s="224" t="s">
        <v>2</v>
      </c>
      <c r="F20403" s="515" t="s">
        <v>21573</v>
      </c>
      <c r="G20403" s="52">
        <v>130052.253615605</v>
      </c>
      <c r="H20403" s="56">
        <v>0.18139301646685485</v>
      </c>
      <c r="I20403" s="224" t="s">
        <v>2</v>
      </c>
    </row>
    <row r="20404" spans="1:9" x14ac:dyDescent="0.25">
      <c r="A20404" s="515">
        <v>16928</v>
      </c>
      <c r="C20404" s="52">
        <v>155106.20565356</v>
      </c>
      <c r="D20404" s="56">
        <v>9.9642311111829404E-2</v>
      </c>
      <c r="E20404" s="224" t="s">
        <v>2</v>
      </c>
      <c r="F20404" s="515" t="s">
        <v>21574</v>
      </c>
      <c r="G20404" s="52">
        <v>152396.39379603899</v>
      </c>
      <c r="H20404" s="56">
        <v>8.6360997535424172E-2</v>
      </c>
      <c r="I20404" s="224" t="s">
        <v>2</v>
      </c>
    </row>
    <row r="20405" spans="1:9" x14ac:dyDescent="0.25">
      <c r="A20405" s="515">
        <v>72084</v>
      </c>
      <c r="B20405" s="515" t="s">
        <v>393</v>
      </c>
      <c r="C20405" s="52">
        <v>86966.864493645495</v>
      </c>
      <c r="D20405" s="56">
        <v>0.11755526592071135</v>
      </c>
      <c r="E20405" s="224" t="s">
        <v>2</v>
      </c>
      <c r="F20405" s="515" t="s">
        <v>21575</v>
      </c>
      <c r="G20405" s="52">
        <v>97295.586365376003</v>
      </c>
      <c r="H20405" s="56">
        <v>5.2824912049736668E-2</v>
      </c>
      <c r="I20405" s="224" t="s">
        <v>2</v>
      </c>
    </row>
    <row r="20406" spans="1:9" x14ac:dyDescent="0.25">
      <c r="A20406" s="515">
        <v>38486</v>
      </c>
      <c r="B20406" s="515" t="s">
        <v>873</v>
      </c>
      <c r="C20406" s="52">
        <v>184893.65704799999</v>
      </c>
      <c r="D20406" s="56">
        <v>0</v>
      </c>
      <c r="E20406" s="224" t="s">
        <v>2</v>
      </c>
      <c r="F20406" s="515" t="s">
        <v>21576</v>
      </c>
      <c r="G20406" s="52">
        <v>196210.43329473899</v>
      </c>
      <c r="H20406" s="56">
        <v>0.10691220850402235</v>
      </c>
      <c r="I20406" s="224" t="s">
        <v>2</v>
      </c>
    </row>
    <row r="20407" spans="1:9" x14ac:dyDescent="0.25">
      <c r="A20407" s="515">
        <v>72088</v>
      </c>
      <c r="C20407" s="52">
        <v>136857.22561849601</v>
      </c>
      <c r="D20407" s="56">
        <v>0.1100129823939059</v>
      </c>
      <c r="E20407" s="224" t="s">
        <v>2</v>
      </c>
      <c r="F20407" s="515" t="s">
        <v>21577</v>
      </c>
      <c r="G20407" s="52">
        <v>66831.354749816193</v>
      </c>
      <c r="H20407" s="56">
        <v>0.11909723556716276</v>
      </c>
      <c r="I20407" s="224" t="s">
        <v>2</v>
      </c>
    </row>
    <row r="20408" spans="1:9" x14ac:dyDescent="0.25">
      <c r="A20408" s="515">
        <v>25671</v>
      </c>
      <c r="C20408" s="52">
        <v>73969.801973531401</v>
      </c>
      <c r="D20408" s="56">
        <v>0.11254015741761678</v>
      </c>
      <c r="E20408" s="224" t="s">
        <v>2</v>
      </c>
      <c r="F20408" s="515" t="s">
        <v>21578</v>
      </c>
      <c r="G20408" s="52">
        <v>220733.316634207</v>
      </c>
      <c r="H20408" s="56">
        <v>0</v>
      </c>
      <c r="I20408" s="224" t="s">
        <v>2</v>
      </c>
    </row>
    <row r="20409" spans="1:9" x14ac:dyDescent="0.25">
      <c r="A20409" s="515">
        <v>15321</v>
      </c>
      <c r="B20409" s="515" t="s">
        <v>297</v>
      </c>
      <c r="C20409" s="52">
        <v>257269.751562777</v>
      </c>
      <c r="D20409" s="56">
        <v>5.6491137454340895E-2</v>
      </c>
      <c r="E20409" s="224" t="s">
        <v>2</v>
      </c>
      <c r="F20409" s="515" t="s">
        <v>21579</v>
      </c>
      <c r="G20409" s="52">
        <v>292830.50814285001</v>
      </c>
      <c r="H20409" s="56">
        <v>0.21342924604344082</v>
      </c>
      <c r="I20409" s="224" t="s">
        <v>2</v>
      </c>
    </row>
    <row r="20410" spans="1:9" x14ac:dyDescent="0.25">
      <c r="A20410" s="515">
        <v>13835</v>
      </c>
      <c r="B20410" s="515" t="s">
        <v>840</v>
      </c>
      <c r="C20410" s="52">
        <v>159327.23519890499</v>
      </c>
      <c r="D20410" s="56">
        <v>6.5240081549597845E-2</v>
      </c>
      <c r="E20410" s="224" t="s">
        <v>2</v>
      </c>
      <c r="F20410" s="515" t="s">
        <v>21580</v>
      </c>
      <c r="G20410" s="52">
        <v>332175.91689307999</v>
      </c>
      <c r="H20410" s="56">
        <v>8.4033418851995362E-2</v>
      </c>
      <c r="I20410" s="224" t="s">
        <v>2</v>
      </c>
    </row>
    <row r="20411" spans="1:9" x14ac:dyDescent="0.25">
      <c r="A20411" s="515">
        <v>61859</v>
      </c>
      <c r="B20411" s="515" t="s">
        <v>417</v>
      </c>
      <c r="C20411" s="52">
        <v>167688.87414568101</v>
      </c>
      <c r="D20411" s="56">
        <v>4.9102357500685125E-2</v>
      </c>
      <c r="E20411" s="224" t="s">
        <v>2</v>
      </c>
      <c r="F20411" s="515" t="s">
        <v>21581</v>
      </c>
      <c r="G20411" s="52">
        <v>337533.76075574401</v>
      </c>
      <c r="H20411" s="56">
        <v>8.8947935508132861E-2</v>
      </c>
      <c r="I20411" s="224" t="s">
        <v>2</v>
      </c>
    </row>
    <row r="20412" spans="1:9" x14ac:dyDescent="0.25">
      <c r="A20412" s="515">
        <v>1072</v>
      </c>
      <c r="B20412" s="515" t="s">
        <v>575</v>
      </c>
      <c r="C20412" s="52">
        <v>348390.82451412</v>
      </c>
      <c r="D20412" s="56">
        <v>5.2987596905353214E-2</v>
      </c>
      <c r="E20412" s="224" t="s">
        <v>2</v>
      </c>
      <c r="F20412" s="515" t="s">
        <v>21582</v>
      </c>
      <c r="G20412" s="52">
        <v>47157.907789004501</v>
      </c>
      <c r="H20412" s="56">
        <v>0.17362592785150094</v>
      </c>
      <c r="I20412" s="224" t="s">
        <v>2</v>
      </c>
    </row>
    <row r="20413" spans="1:9" x14ac:dyDescent="0.25">
      <c r="A20413" s="515">
        <v>63944</v>
      </c>
      <c r="C20413" s="52">
        <v>132495.68867924501</v>
      </c>
      <c r="D20413" s="56">
        <v>0</v>
      </c>
      <c r="E20413" s="224" t="s">
        <v>2</v>
      </c>
      <c r="F20413" s="515" t="s">
        <v>21583</v>
      </c>
      <c r="G20413" s="52">
        <v>135232.53535275001</v>
      </c>
      <c r="H20413" s="56">
        <v>0.15203093141202981</v>
      </c>
      <c r="I20413" s="224" t="s">
        <v>2</v>
      </c>
    </row>
    <row r="20414" spans="1:9" x14ac:dyDescent="0.25">
      <c r="A20414" s="515">
        <v>1008</v>
      </c>
      <c r="B20414" s="515" t="s">
        <v>575</v>
      </c>
      <c r="C20414" s="52">
        <v>309533.25605991</v>
      </c>
      <c r="D20414" s="56">
        <v>8.8468200695657015E-2</v>
      </c>
      <c r="E20414" s="224" t="s">
        <v>2</v>
      </c>
      <c r="F20414" s="515" t="s">
        <v>21584</v>
      </c>
      <c r="G20414" s="52">
        <v>143090.26745848099</v>
      </c>
      <c r="H20414" s="56">
        <v>0</v>
      </c>
      <c r="I20414" s="224" t="s">
        <v>2</v>
      </c>
    </row>
    <row r="20415" spans="1:9" x14ac:dyDescent="0.25">
      <c r="A20415" s="515">
        <v>53804</v>
      </c>
      <c r="B20415" s="515" t="s">
        <v>664</v>
      </c>
      <c r="C20415" s="52">
        <v>131440.07032357701</v>
      </c>
      <c r="D20415" s="56">
        <v>6.7678967640550938E-2</v>
      </c>
      <c r="E20415" s="224" t="s">
        <v>2</v>
      </c>
      <c r="F20415" s="515" t="s">
        <v>21585</v>
      </c>
      <c r="G20415" s="52">
        <v>99894.959653734593</v>
      </c>
      <c r="H20415" s="56">
        <v>0</v>
      </c>
      <c r="I20415" s="224" t="s">
        <v>2</v>
      </c>
    </row>
    <row r="20416" spans="1:9" x14ac:dyDescent="0.25">
      <c r="A20416" s="515">
        <v>44638</v>
      </c>
      <c r="C20416" s="52">
        <v>238456.406694818</v>
      </c>
      <c r="D20416" s="56">
        <v>0.16323834718133179</v>
      </c>
      <c r="E20416" s="224" t="s">
        <v>2</v>
      </c>
      <c r="F20416" s="515" t="s">
        <v>21586</v>
      </c>
      <c r="G20416" s="52">
        <v>77749.039565407496</v>
      </c>
      <c r="H20416" s="56">
        <v>1.4153269302576326E-2</v>
      </c>
      <c r="I20416" s="224" t="s">
        <v>2</v>
      </c>
    </row>
    <row r="20417" spans="1:9" x14ac:dyDescent="0.25">
      <c r="A20417" s="515">
        <v>5767</v>
      </c>
      <c r="B20417" s="515" t="s">
        <v>420</v>
      </c>
      <c r="C20417" s="52">
        <v>296393.79283205903</v>
      </c>
      <c r="D20417" s="56">
        <v>7.5452307035144661E-2</v>
      </c>
      <c r="E20417" s="224" t="s">
        <v>2</v>
      </c>
      <c r="F20417" s="515" t="s">
        <v>21587</v>
      </c>
      <c r="G20417" s="52">
        <v>112108.25124903901</v>
      </c>
      <c r="H20417" s="56">
        <v>0.25109187007603107</v>
      </c>
      <c r="I20417" s="224" t="s">
        <v>2</v>
      </c>
    </row>
    <row r="20418" spans="1:9" x14ac:dyDescent="0.25">
      <c r="A20418" s="515">
        <v>57070</v>
      </c>
      <c r="B20418" s="515" t="s">
        <v>579</v>
      </c>
      <c r="C20418" s="52">
        <v>211570.93894645301</v>
      </c>
      <c r="D20418" s="56">
        <v>5.7519050168828155E-2</v>
      </c>
      <c r="E20418" s="224" t="s">
        <v>2</v>
      </c>
      <c r="F20418" s="515" t="s">
        <v>21588</v>
      </c>
      <c r="G20418" s="52">
        <v>142231.75442111699</v>
      </c>
      <c r="H20418" s="56">
        <v>0.13334865441235322</v>
      </c>
      <c r="I20418" s="224" t="s">
        <v>2</v>
      </c>
    </row>
    <row r="20419" spans="1:9" x14ac:dyDescent="0.25">
      <c r="A20419" s="515">
        <v>87025</v>
      </c>
      <c r="B20419" s="515" t="s">
        <v>406</v>
      </c>
      <c r="C20419" s="52">
        <v>280506.61232831603</v>
      </c>
      <c r="D20419" s="56">
        <v>6.3910606424940411E-2</v>
      </c>
      <c r="E20419" s="224" t="s">
        <v>2</v>
      </c>
      <c r="F20419" s="515" t="s">
        <v>21589</v>
      </c>
      <c r="G20419" s="52">
        <v>159510.052575098</v>
      </c>
      <c r="H20419" s="56">
        <v>5.9456397864896225E-2</v>
      </c>
      <c r="I20419" s="224" t="s">
        <v>2</v>
      </c>
    </row>
    <row r="20420" spans="1:9" x14ac:dyDescent="0.25">
      <c r="A20420" s="515">
        <v>45788</v>
      </c>
      <c r="B20420" s="515" t="s">
        <v>665</v>
      </c>
      <c r="C20420" s="52">
        <v>159690.85556371999</v>
      </c>
      <c r="D20420" s="56">
        <v>4.5180754977718347E-2</v>
      </c>
      <c r="E20420" s="224" t="s">
        <v>2</v>
      </c>
      <c r="F20420" s="515" t="s">
        <v>21590</v>
      </c>
      <c r="G20420" s="52">
        <v>117670.14470164099</v>
      </c>
      <c r="H20420" s="56">
        <v>5.9914445673166131E-2</v>
      </c>
      <c r="I20420" s="224" t="s">
        <v>2</v>
      </c>
    </row>
    <row r="20421" spans="1:9" x14ac:dyDescent="0.25">
      <c r="A20421" s="515">
        <v>57248</v>
      </c>
      <c r="B20421" s="515" t="s">
        <v>941</v>
      </c>
      <c r="C20421" s="52">
        <v>292614.53284750198</v>
      </c>
      <c r="D20421" s="56">
        <v>2.6642004394356288E-2</v>
      </c>
      <c r="E20421" s="224" t="s">
        <v>2</v>
      </c>
      <c r="F20421" s="515" t="s">
        <v>21591</v>
      </c>
      <c r="G20421" s="52">
        <v>184797.29140583501</v>
      </c>
      <c r="H20421" s="56">
        <v>0</v>
      </c>
      <c r="I20421" s="224" t="s">
        <v>2</v>
      </c>
    </row>
    <row r="20422" spans="1:9" x14ac:dyDescent="0.25">
      <c r="A20422" s="515">
        <v>24245</v>
      </c>
      <c r="B20422" s="515" t="s">
        <v>902</v>
      </c>
      <c r="C20422" s="52">
        <v>110591.02876821499</v>
      </c>
      <c r="D20422" s="56">
        <v>0.1626273756979896</v>
      </c>
      <c r="E20422" s="224" t="s">
        <v>2</v>
      </c>
      <c r="F20422" s="515" t="s">
        <v>21592</v>
      </c>
      <c r="G20422" s="52">
        <v>154710.42016917901</v>
      </c>
      <c r="H20422" s="56">
        <v>0.11341238328215585</v>
      </c>
      <c r="I20422" s="224" t="s">
        <v>2</v>
      </c>
    </row>
    <row r="20423" spans="1:9" x14ac:dyDescent="0.25">
      <c r="A20423" s="515">
        <v>63852</v>
      </c>
      <c r="B20423" s="515" t="s">
        <v>910</v>
      </c>
      <c r="C20423" s="52">
        <v>70864.307518786401</v>
      </c>
      <c r="D20423" s="56">
        <v>0</v>
      </c>
      <c r="E20423" s="224" t="s">
        <v>2</v>
      </c>
      <c r="F20423" s="515" t="s">
        <v>21593</v>
      </c>
      <c r="G20423" s="52">
        <v>142332.34405435901</v>
      </c>
      <c r="H20423" s="56">
        <v>8.4759628624712313E-2</v>
      </c>
      <c r="I20423" s="224" t="s">
        <v>2</v>
      </c>
    </row>
    <row r="20424" spans="1:9" x14ac:dyDescent="0.25">
      <c r="A20424" s="515">
        <v>51342</v>
      </c>
      <c r="C20424" s="52">
        <v>99239.734583974903</v>
      </c>
      <c r="D20424" s="56">
        <v>0</v>
      </c>
      <c r="E20424" s="224" t="s">
        <v>2</v>
      </c>
      <c r="F20424" s="515" t="s">
        <v>21594</v>
      </c>
      <c r="G20424" s="52">
        <v>191199.247690105</v>
      </c>
      <c r="H20424" s="56">
        <v>-3.6823222718843578E-2</v>
      </c>
      <c r="I20424" s="224" t="s">
        <v>2</v>
      </c>
    </row>
    <row r="20425" spans="1:9" x14ac:dyDescent="0.25">
      <c r="A20425" s="515">
        <v>83833</v>
      </c>
      <c r="B20425" s="515" t="s">
        <v>992</v>
      </c>
      <c r="C20425" s="52">
        <v>755126.34179261501</v>
      </c>
      <c r="D20425" s="56">
        <v>9.5620867621332595E-2</v>
      </c>
      <c r="E20425" s="224" t="s">
        <v>2</v>
      </c>
      <c r="F20425" s="515" t="s">
        <v>21595</v>
      </c>
      <c r="G20425" s="52">
        <v>274415.159715641</v>
      </c>
      <c r="H20425" s="56">
        <v>8.1465060278680543E-2</v>
      </c>
      <c r="I20425" s="224" t="s">
        <v>2</v>
      </c>
    </row>
    <row r="20426" spans="1:9" x14ac:dyDescent="0.25">
      <c r="A20426" s="515">
        <v>16657</v>
      </c>
      <c r="B20426" s="515" t="s">
        <v>539</v>
      </c>
      <c r="C20426" s="52">
        <v>201955.77967165899</v>
      </c>
      <c r="D20426" s="56">
        <v>0</v>
      </c>
      <c r="E20426" s="224" t="s">
        <v>2</v>
      </c>
      <c r="F20426" s="515" t="s">
        <v>21596</v>
      </c>
      <c r="G20426" s="52">
        <v>438296.06294191</v>
      </c>
      <c r="H20426" s="56">
        <v>0.11773309464728214</v>
      </c>
      <c r="I20426" s="224" t="s">
        <v>2</v>
      </c>
    </row>
    <row r="20427" spans="1:9" x14ac:dyDescent="0.25">
      <c r="A20427" s="515">
        <v>52640</v>
      </c>
      <c r="B20427" s="515" t="s">
        <v>672</v>
      </c>
      <c r="C20427" s="52">
        <v>130910.49133226401</v>
      </c>
      <c r="D20427" s="56">
        <v>6.7960559456115982E-2</v>
      </c>
      <c r="E20427" s="224" t="s">
        <v>2</v>
      </c>
      <c r="F20427" s="515" t="s">
        <v>21597</v>
      </c>
      <c r="G20427" s="52">
        <v>121836.11275129</v>
      </c>
      <c r="H20427" s="56">
        <v>3.6375141095627332E-2</v>
      </c>
      <c r="I20427" s="224" t="s">
        <v>2</v>
      </c>
    </row>
    <row r="20428" spans="1:9" x14ac:dyDescent="0.25">
      <c r="A20428" s="515">
        <v>47385</v>
      </c>
      <c r="B20428" s="515" t="s">
        <v>421</v>
      </c>
      <c r="C20428" s="52">
        <v>154628.77230806</v>
      </c>
      <c r="D20428" s="56">
        <v>0.10398021420791505</v>
      </c>
      <c r="E20428" s="224" t="s">
        <v>2</v>
      </c>
      <c r="F20428" s="515" t="s">
        <v>21598</v>
      </c>
      <c r="G20428" s="52">
        <v>161912.53921494301</v>
      </c>
      <c r="H20428" s="56">
        <v>6.1026156322010222E-2</v>
      </c>
      <c r="I20428" s="224" t="s">
        <v>2</v>
      </c>
    </row>
    <row r="20429" spans="1:9" x14ac:dyDescent="0.25">
      <c r="A20429" s="515">
        <v>61242</v>
      </c>
      <c r="B20429" s="515" t="s">
        <v>439</v>
      </c>
      <c r="C20429" s="52">
        <v>185121.69827226401</v>
      </c>
      <c r="D20429" s="56">
        <v>4.3117626424753606E-2</v>
      </c>
      <c r="E20429" s="224" t="s">
        <v>2</v>
      </c>
      <c r="F20429" s="515" t="s">
        <v>21599</v>
      </c>
      <c r="G20429" s="52">
        <v>58668.668881697798</v>
      </c>
      <c r="H20429" s="56">
        <v>0</v>
      </c>
      <c r="I20429" s="224" t="s">
        <v>2</v>
      </c>
    </row>
    <row r="20430" spans="1:9" x14ac:dyDescent="0.25">
      <c r="A20430" s="515">
        <v>50174</v>
      </c>
      <c r="C20430" s="52">
        <v>122116.32698571699</v>
      </c>
      <c r="D20430" s="56">
        <v>0.11175394526862578</v>
      </c>
      <c r="E20430" s="224" t="s">
        <v>2</v>
      </c>
      <c r="F20430" s="515" t="s">
        <v>21600</v>
      </c>
      <c r="G20430" s="52">
        <v>162152.42161660199</v>
      </c>
      <c r="H20430" s="56">
        <v>5.3405833298686013E-2</v>
      </c>
      <c r="I20430" s="224" t="s">
        <v>2</v>
      </c>
    </row>
    <row r="20431" spans="1:9" x14ac:dyDescent="0.25">
      <c r="A20431" s="515">
        <v>95560</v>
      </c>
      <c r="B20431" s="515" t="s">
        <v>352</v>
      </c>
      <c r="C20431" s="52">
        <v>346418.79160972597</v>
      </c>
      <c r="D20431" s="56">
        <v>-5.8288288707725233E-2</v>
      </c>
      <c r="E20431" s="224" t="s">
        <v>2</v>
      </c>
      <c r="F20431" s="515" t="s">
        <v>21601</v>
      </c>
      <c r="G20431" s="52">
        <v>220467.87941531799</v>
      </c>
      <c r="H20431" s="56">
        <v>2.9584600887524168E-2</v>
      </c>
      <c r="I20431" s="224" t="s">
        <v>2</v>
      </c>
    </row>
    <row r="20432" spans="1:9" x14ac:dyDescent="0.25">
      <c r="A20432" s="515">
        <v>54977</v>
      </c>
      <c r="C20432" s="52">
        <v>215204.29302249901</v>
      </c>
      <c r="D20432" s="56">
        <v>3.286576933841117E-2</v>
      </c>
      <c r="E20432" s="224" t="s">
        <v>2</v>
      </c>
      <c r="F20432" s="515" t="s">
        <v>21602</v>
      </c>
      <c r="G20432" s="52">
        <v>357494.69244910701</v>
      </c>
      <c r="H20432" s="56">
        <v>1.246591362591884E-2</v>
      </c>
      <c r="I20432" s="224" t="s">
        <v>2</v>
      </c>
    </row>
    <row r="20433" spans="1:9" x14ac:dyDescent="0.25">
      <c r="A20433" s="515">
        <v>14504</v>
      </c>
      <c r="B20433" s="515" t="s">
        <v>337</v>
      </c>
      <c r="C20433" s="52">
        <v>158895.74704189901</v>
      </c>
      <c r="D20433" s="56">
        <v>9.1565699944365309E-2</v>
      </c>
      <c r="E20433" s="224" t="s">
        <v>2</v>
      </c>
      <c r="F20433" s="515" t="s">
        <v>21603</v>
      </c>
      <c r="G20433" s="52">
        <v>425056.58021339797</v>
      </c>
      <c r="H20433" s="56">
        <v>3.5825684838041542E-2</v>
      </c>
      <c r="I20433" s="224" t="s">
        <v>2</v>
      </c>
    </row>
    <row r="20434" spans="1:9" x14ac:dyDescent="0.25">
      <c r="A20434" s="515">
        <v>51570</v>
      </c>
      <c r="C20434" s="52">
        <v>200426.16174156699</v>
      </c>
      <c r="D20434" s="56">
        <v>0.10246001388499244</v>
      </c>
      <c r="E20434" s="224" t="s">
        <v>2</v>
      </c>
      <c r="F20434" s="515" t="s">
        <v>21604</v>
      </c>
      <c r="G20434" s="52">
        <v>141764.47422702299</v>
      </c>
      <c r="H20434" s="56">
        <v>0.17143096479219189</v>
      </c>
      <c r="I20434" s="224" t="s">
        <v>2</v>
      </c>
    </row>
    <row r="20435" spans="1:9" x14ac:dyDescent="0.25">
      <c r="A20435" s="515">
        <v>24350</v>
      </c>
      <c r="C20435" s="52">
        <v>113418.385615447</v>
      </c>
      <c r="D20435" s="56">
        <v>3.8944164807295671E-2</v>
      </c>
      <c r="E20435" s="224" t="s">
        <v>2</v>
      </c>
      <c r="F20435" s="515" t="s">
        <v>21605</v>
      </c>
      <c r="G20435" s="52">
        <v>115668.413195171</v>
      </c>
      <c r="H20435" s="56">
        <v>0.10428745875397612</v>
      </c>
      <c r="I20435" s="224" t="s">
        <v>2</v>
      </c>
    </row>
    <row r="20436" spans="1:9" x14ac:dyDescent="0.25">
      <c r="A20436" s="515">
        <v>62510</v>
      </c>
      <c r="C20436" s="52">
        <v>87613.711916835804</v>
      </c>
      <c r="D20436" s="56">
        <v>8.0099386412039009E-2</v>
      </c>
      <c r="E20436" s="224" t="s">
        <v>2</v>
      </c>
      <c r="F20436" s="515" t="s">
        <v>21606</v>
      </c>
      <c r="G20436" s="52">
        <v>119511.04713608899</v>
      </c>
      <c r="H20436" s="56">
        <v>0</v>
      </c>
      <c r="I20436" s="224" t="s">
        <v>2</v>
      </c>
    </row>
    <row r="20437" spans="1:9" x14ac:dyDescent="0.25">
      <c r="A20437" s="515">
        <v>36765</v>
      </c>
      <c r="B20437" s="515" t="s">
        <v>841</v>
      </c>
      <c r="C20437" s="52">
        <v>108621.727499542</v>
      </c>
      <c r="D20437" s="56">
        <v>-3.1694169056707605E-2</v>
      </c>
      <c r="E20437" s="224" t="s">
        <v>2</v>
      </c>
      <c r="F20437" s="515" t="s">
        <v>21607</v>
      </c>
      <c r="G20437" s="52">
        <v>219183.19172911</v>
      </c>
      <c r="H20437" s="56">
        <v>0</v>
      </c>
      <c r="I20437" s="224" t="s">
        <v>2</v>
      </c>
    </row>
    <row r="20438" spans="1:9" x14ac:dyDescent="0.25">
      <c r="A20438" s="515">
        <v>68970</v>
      </c>
      <c r="C20438" s="52">
        <v>79149.060163065602</v>
      </c>
      <c r="D20438" s="56">
        <v>0.11997774582111548</v>
      </c>
      <c r="E20438" s="224" t="s">
        <v>2</v>
      </c>
      <c r="F20438" s="515" t="s">
        <v>21608</v>
      </c>
      <c r="G20438" s="52">
        <v>168035.64804939201</v>
      </c>
      <c r="H20438" s="56">
        <v>0</v>
      </c>
      <c r="I20438" s="224" t="s">
        <v>2</v>
      </c>
    </row>
    <row r="20439" spans="1:9" x14ac:dyDescent="0.25">
      <c r="A20439" s="515">
        <v>52571</v>
      </c>
      <c r="C20439" s="52">
        <v>151278.87736941999</v>
      </c>
      <c r="D20439" s="56">
        <v>6.280858486140492E-2</v>
      </c>
      <c r="E20439" s="224" t="s">
        <v>2</v>
      </c>
      <c r="F20439" s="515" t="s">
        <v>21609</v>
      </c>
      <c r="G20439" s="52">
        <v>179614.777777777</v>
      </c>
      <c r="H20439" s="56">
        <v>0</v>
      </c>
      <c r="I20439" s="224" t="s">
        <v>2</v>
      </c>
    </row>
    <row r="20440" spans="1:9" x14ac:dyDescent="0.25">
      <c r="A20440" s="515">
        <v>62017</v>
      </c>
      <c r="C20440" s="52">
        <v>79616.955824307501</v>
      </c>
      <c r="D20440" s="56">
        <v>-2.0871736045600327E-2</v>
      </c>
      <c r="E20440" s="224" t="s">
        <v>2</v>
      </c>
      <c r="F20440" s="515" t="s">
        <v>21610</v>
      </c>
      <c r="G20440" s="52">
        <v>105091.317935008</v>
      </c>
      <c r="H20440" s="56">
        <v>0.14059402990716516</v>
      </c>
      <c r="I20440" s="224" t="s">
        <v>2</v>
      </c>
    </row>
    <row r="20441" spans="1:9" x14ac:dyDescent="0.25">
      <c r="A20441" s="515">
        <v>4932</v>
      </c>
      <c r="B20441" s="515" t="s">
        <v>792</v>
      </c>
      <c r="C20441" s="52">
        <v>229622.33886494199</v>
      </c>
      <c r="D20441" s="56">
        <v>0.1142733195548145</v>
      </c>
      <c r="E20441" s="224" t="s">
        <v>2</v>
      </c>
      <c r="F20441" s="515" t="s">
        <v>21611</v>
      </c>
      <c r="G20441" s="52">
        <v>120285.03975239801</v>
      </c>
      <c r="H20441" s="56">
        <v>6.8753524185876283E-2</v>
      </c>
      <c r="I20441" s="224" t="s">
        <v>2</v>
      </c>
    </row>
    <row r="20442" spans="1:9" x14ac:dyDescent="0.25">
      <c r="A20442" s="515">
        <v>42021</v>
      </c>
      <c r="C20442" s="52">
        <v>97206.803901868305</v>
      </c>
      <c r="D20442" s="56">
        <v>0.21662717524891931</v>
      </c>
      <c r="E20442" s="224" t="s">
        <v>2</v>
      </c>
      <c r="F20442" s="515" t="s">
        <v>21612</v>
      </c>
      <c r="G20442" s="52">
        <v>181380.79351843</v>
      </c>
      <c r="H20442" s="56">
        <v>3.8971040555533104E-2</v>
      </c>
      <c r="I20442" s="224" t="s">
        <v>2</v>
      </c>
    </row>
    <row r="20443" spans="1:9" x14ac:dyDescent="0.25">
      <c r="A20443" s="515">
        <v>97868</v>
      </c>
      <c r="B20443" s="515" t="s">
        <v>733</v>
      </c>
      <c r="C20443" s="52">
        <v>212125.73060605899</v>
      </c>
      <c r="D20443" s="56">
        <v>6.1812011113904407E-2</v>
      </c>
      <c r="E20443" s="224" t="s">
        <v>2</v>
      </c>
      <c r="F20443" s="515" t="s">
        <v>21613</v>
      </c>
      <c r="G20443" s="52">
        <v>391195.30483504699</v>
      </c>
      <c r="H20443" s="56">
        <v>8.8917660788633807E-2</v>
      </c>
      <c r="I20443" s="224" t="s">
        <v>2</v>
      </c>
    </row>
    <row r="20444" spans="1:9" x14ac:dyDescent="0.25">
      <c r="A20444" s="515">
        <v>4627</v>
      </c>
      <c r="C20444" s="52">
        <v>327765.26160407602</v>
      </c>
      <c r="D20444" s="56">
        <v>0.13050294204558729</v>
      </c>
      <c r="E20444" s="224" t="s">
        <v>2</v>
      </c>
      <c r="F20444" s="515" t="s">
        <v>21614</v>
      </c>
      <c r="G20444" s="52">
        <v>114399.01677256799</v>
      </c>
      <c r="H20444" s="56">
        <v>9.3287301799658051E-2</v>
      </c>
      <c r="I20444" s="224" t="s">
        <v>2</v>
      </c>
    </row>
    <row r="20445" spans="1:9" x14ac:dyDescent="0.25">
      <c r="A20445" s="515">
        <v>47468</v>
      </c>
      <c r="B20445" s="515" t="s">
        <v>554</v>
      </c>
      <c r="C20445" s="52">
        <v>329448.14240044099</v>
      </c>
      <c r="D20445" s="56">
        <v>4.6247628275098915E-2</v>
      </c>
      <c r="E20445" s="224" t="s">
        <v>2</v>
      </c>
      <c r="F20445" s="515" t="s">
        <v>21615</v>
      </c>
      <c r="G20445" s="52">
        <v>282821.24610677402</v>
      </c>
      <c r="H20445" s="56">
        <v>2.1993111806301868E-2</v>
      </c>
      <c r="I20445" s="224" t="s">
        <v>2</v>
      </c>
    </row>
    <row r="20446" spans="1:9" x14ac:dyDescent="0.25">
      <c r="A20446" s="515">
        <v>97136</v>
      </c>
      <c r="C20446" s="52">
        <v>442814.07027689897</v>
      </c>
      <c r="D20446" s="56">
        <v>7.3451009369667544E-2</v>
      </c>
      <c r="E20446" s="224" t="s">
        <v>2</v>
      </c>
      <c r="F20446" s="515" t="s">
        <v>21616</v>
      </c>
      <c r="G20446" s="52">
        <v>177879.38298891901</v>
      </c>
      <c r="H20446" s="56">
        <v>7.8570486496691225E-2</v>
      </c>
      <c r="I20446" s="224" t="s">
        <v>2</v>
      </c>
    </row>
    <row r="20447" spans="1:9" x14ac:dyDescent="0.25">
      <c r="A20447" s="515">
        <v>62987</v>
      </c>
      <c r="C20447" s="52">
        <v>118336.586877749</v>
      </c>
      <c r="D20447" s="56">
        <v>2.5167291057614082E-2</v>
      </c>
      <c r="E20447" s="224" t="s">
        <v>2</v>
      </c>
      <c r="F20447" s="515" t="s">
        <v>21617</v>
      </c>
      <c r="G20447" s="52">
        <v>160799.91210074001</v>
      </c>
      <c r="H20447" s="56">
        <v>0</v>
      </c>
      <c r="I20447" s="224" t="s">
        <v>2</v>
      </c>
    </row>
    <row r="20448" spans="1:9" x14ac:dyDescent="0.25">
      <c r="A20448" s="515">
        <v>16930</v>
      </c>
      <c r="C20448" s="52">
        <v>216520.61496134801</v>
      </c>
      <c r="D20448" s="56">
        <v>0.11125358372374805</v>
      </c>
      <c r="E20448" s="224" t="s">
        <v>2</v>
      </c>
      <c r="F20448" s="515" t="s">
        <v>21618</v>
      </c>
      <c r="G20448" s="52">
        <v>228751.76271186399</v>
      </c>
      <c r="H20448" s="56">
        <v>0</v>
      </c>
      <c r="I20448" s="224" t="s">
        <v>2</v>
      </c>
    </row>
    <row r="20449" spans="1:9" x14ac:dyDescent="0.25">
      <c r="A20449" s="515">
        <v>25517</v>
      </c>
      <c r="B20449" s="515" t="s">
        <v>602</v>
      </c>
      <c r="C20449" s="52">
        <v>93684.744625392894</v>
      </c>
      <c r="D20449" s="56">
        <v>8.2662948081492535E-2</v>
      </c>
      <c r="E20449" s="224" t="s">
        <v>2</v>
      </c>
      <c r="F20449" s="515" t="s">
        <v>21619</v>
      </c>
      <c r="G20449" s="52">
        <v>338330.53949264</v>
      </c>
      <c r="H20449" s="56">
        <v>0.12572374222819943</v>
      </c>
      <c r="I20449" s="224" t="s">
        <v>2</v>
      </c>
    </row>
    <row r="20450" spans="1:9" x14ac:dyDescent="0.25">
      <c r="A20450" s="515">
        <v>72142</v>
      </c>
      <c r="B20450" s="515" t="s">
        <v>393</v>
      </c>
      <c r="C20450" s="52">
        <v>195829.372657542</v>
      </c>
      <c r="D20450" s="56">
        <v>1.5548827705031075E-2</v>
      </c>
      <c r="E20450" s="224" t="s">
        <v>2</v>
      </c>
      <c r="F20450" s="515" t="s">
        <v>21620</v>
      </c>
      <c r="G20450" s="52">
        <v>130598.699054799</v>
      </c>
      <c r="H20450" s="56">
        <v>1.1569827421450999E-2</v>
      </c>
      <c r="I20450" s="224" t="s">
        <v>2</v>
      </c>
    </row>
    <row r="20451" spans="1:9" x14ac:dyDescent="0.25">
      <c r="A20451" s="515">
        <v>42204</v>
      </c>
      <c r="C20451" s="52">
        <v>185737.83043905901</v>
      </c>
      <c r="D20451" s="56">
        <v>6.2965368671770217E-2</v>
      </c>
      <c r="E20451" s="224" t="s">
        <v>2</v>
      </c>
      <c r="F20451" s="515" t="s">
        <v>21621</v>
      </c>
      <c r="G20451" s="52">
        <v>268081.29523282603</v>
      </c>
      <c r="H20451" s="56">
        <v>7.9787896655197116E-2</v>
      </c>
      <c r="I20451" s="224" t="s">
        <v>2</v>
      </c>
    </row>
    <row r="20452" spans="1:9" x14ac:dyDescent="0.25">
      <c r="A20452" s="515">
        <v>26146</v>
      </c>
      <c r="C20452" s="52">
        <v>111917.850029097</v>
      </c>
      <c r="D20452" s="56">
        <v>0.12728318640252062</v>
      </c>
      <c r="E20452" s="224" t="s">
        <v>2</v>
      </c>
      <c r="F20452" s="515" t="s">
        <v>21622</v>
      </c>
      <c r="G20452" s="52">
        <v>120471.869999478</v>
      </c>
      <c r="H20452" s="56">
        <v>0.12590246274145064</v>
      </c>
      <c r="I20452" s="224" t="s">
        <v>2</v>
      </c>
    </row>
    <row r="20453" spans="1:9" x14ac:dyDescent="0.25">
      <c r="A20453" s="515">
        <v>60913</v>
      </c>
      <c r="B20453" s="515" t="s">
        <v>774</v>
      </c>
      <c r="C20453" s="52">
        <v>236636.17838933301</v>
      </c>
      <c r="D20453" s="56">
        <v>0.10384358849173039</v>
      </c>
      <c r="E20453" s="224" t="s">
        <v>2</v>
      </c>
      <c r="F20453" s="515" t="s">
        <v>21623</v>
      </c>
      <c r="G20453" s="52">
        <v>390696.16012555797</v>
      </c>
      <c r="H20453" s="56">
        <v>9.5823209566365461E-2</v>
      </c>
      <c r="I20453" s="224" t="s">
        <v>2</v>
      </c>
    </row>
    <row r="20454" spans="1:9" x14ac:dyDescent="0.25">
      <c r="A20454" s="515">
        <v>31783</v>
      </c>
      <c r="C20454" s="52">
        <v>122088.35523996501</v>
      </c>
      <c r="D20454" s="56">
        <v>6.7600476692077999E-2</v>
      </c>
      <c r="E20454" s="224" t="s">
        <v>2</v>
      </c>
      <c r="F20454" s="515" t="s">
        <v>21624</v>
      </c>
      <c r="G20454" s="52">
        <v>87948.441221834204</v>
      </c>
      <c r="H20454" s="56">
        <v>8.5055464719400009E-2</v>
      </c>
      <c r="I20454" s="224" t="s">
        <v>2</v>
      </c>
    </row>
    <row r="20455" spans="1:9" x14ac:dyDescent="0.25">
      <c r="A20455" s="515">
        <v>17260</v>
      </c>
      <c r="B20455" s="515" t="s">
        <v>539</v>
      </c>
      <c r="C20455" s="52">
        <v>155686.63079257301</v>
      </c>
      <c r="D20455" s="56">
        <v>0</v>
      </c>
      <c r="E20455" s="224" t="s">
        <v>2</v>
      </c>
      <c r="F20455" s="515" t="s">
        <v>21625</v>
      </c>
      <c r="G20455" s="52">
        <v>556931.37785187596</v>
      </c>
      <c r="H20455" s="56">
        <v>6.9196370710757918E-2</v>
      </c>
      <c r="I20455" s="224" t="s">
        <v>2</v>
      </c>
    </row>
    <row r="20456" spans="1:9" x14ac:dyDescent="0.25">
      <c r="A20456" s="515">
        <v>52554</v>
      </c>
      <c r="B20456" s="515" t="s">
        <v>845</v>
      </c>
      <c r="C20456" s="52">
        <v>89106.394642449697</v>
      </c>
      <c r="D20456" s="56">
        <v>0.17669609088772298</v>
      </c>
      <c r="E20456" s="224" t="s">
        <v>2</v>
      </c>
      <c r="F20456" s="515" t="s">
        <v>21626</v>
      </c>
      <c r="G20456" s="52">
        <v>527357.875078429</v>
      </c>
      <c r="H20456" s="56">
        <v>0.1576058295924157</v>
      </c>
      <c r="I20456" s="224" t="s">
        <v>2</v>
      </c>
    </row>
    <row r="20457" spans="1:9" x14ac:dyDescent="0.25">
      <c r="A20457" s="515">
        <v>49645</v>
      </c>
      <c r="C20457" s="52">
        <v>164902.59865627301</v>
      </c>
      <c r="D20457" s="56">
        <v>-1.6951964670392539E-7</v>
      </c>
      <c r="E20457" s="224" t="s">
        <v>2</v>
      </c>
      <c r="F20457" s="515" t="s">
        <v>21627</v>
      </c>
      <c r="G20457" s="52">
        <v>91611.396412554197</v>
      </c>
      <c r="H20457" s="56">
        <v>6.4332422895384975E-2</v>
      </c>
      <c r="I20457" s="224" t="s">
        <v>2</v>
      </c>
    </row>
    <row r="20458" spans="1:9" x14ac:dyDescent="0.25">
      <c r="A20458" s="515">
        <v>96103</v>
      </c>
      <c r="C20458" s="52">
        <v>396555.15147437499</v>
      </c>
      <c r="D20458" s="56">
        <v>3.88034114490967E-2</v>
      </c>
      <c r="E20458" s="224" t="s">
        <v>2</v>
      </c>
      <c r="F20458" s="515" t="s">
        <v>21628</v>
      </c>
      <c r="G20458" s="52">
        <v>107572.654632818</v>
      </c>
      <c r="H20458" s="56">
        <v>0</v>
      </c>
      <c r="I20458" s="224" t="s">
        <v>2</v>
      </c>
    </row>
    <row r="20459" spans="1:9" x14ac:dyDescent="0.25">
      <c r="A20459" s="515">
        <v>14466</v>
      </c>
      <c r="B20459" s="515" t="s">
        <v>337</v>
      </c>
      <c r="C20459" s="52">
        <v>220417.65919355099</v>
      </c>
      <c r="D20459" s="56">
        <v>9.4216918803071203E-2</v>
      </c>
      <c r="E20459" s="224" t="s">
        <v>2</v>
      </c>
      <c r="F20459" s="515" t="s">
        <v>21629</v>
      </c>
      <c r="G20459" s="52">
        <v>117578.88459553701</v>
      </c>
      <c r="H20459" s="56">
        <v>6.4029427858468824E-2</v>
      </c>
      <c r="I20459" s="224" t="s">
        <v>2</v>
      </c>
    </row>
    <row r="20460" spans="1:9" x14ac:dyDescent="0.25">
      <c r="A20460" s="515">
        <v>49653</v>
      </c>
      <c r="B20460" s="515" t="s">
        <v>366</v>
      </c>
      <c r="C20460" s="52">
        <v>594070.39121383999</v>
      </c>
      <c r="D20460" s="56">
        <v>0.11569115484778786</v>
      </c>
      <c r="E20460" s="224" t="s">
        <v>2</v>
      </c>
      <c r="F20460" s="515" t="s">
        <v>21630</v>
      </c>
      <c r="G20460" s="52">
        <v>189422.364038189</v>
      </c>
      <c r="H20460" s="56">
        <v>5.6048635629040944E-2</v>
      </c>
      <c r="I20460" s="224" t="s">
        <v>2</v>
      </c>
    </row>
    <row r="20461" spans="1:9" x14ac:dyDescent="0.25">
      <c r="A20461" s="515">
        <v>13160</v>
      </c>
      <c r="B20461" s="515" t="s">
        <v>986</v>
      </c>
      <c r="C20461" s="52">
        <v>202266.58657811201</v>
      </c>
      <c r="D20461" s="56">
        <v>8.8953603166019274E-2</v>
      </c>
      <c r="E20461" s="224" t="s">
        <v>2</v>
      </c>
      <c r="F20461" s="515" t="s">
        <v>21631</v>
      </c>
      <c r="G20461" s="52">
        <v>185228.38911432101</v>
      </c>
      <c r="H20461" s="56">
        <v>9.7455473652255709E-2</v>
      </c>
      <c r="I20461" s="224" t="s">
        <v>2</v>
      </c>
    </row>
    <row r="20462" spans="1:9" x14ac:dyDescent="0.25">
      <c r="A20462" s="515">
        <v>28683</v>
      </c>
      <c r="B20462" s="515" t="s">
        <v>1046</v>
      </c>
      <c r="C20462" s="52">
        <v>203963.34773209499</v>
      </c>
      <c r="D20462" s="56">
        <v>0.16952031494450784</v>
      </c>
      <c r="E20462" s="224" t="s">
        <v>2</v>
      </c>
      <c r="F20462" s="515" t="s">
        <v>21632</v>
      </c>
      <c r="G20462" s="52">
        <v>685898.48100832803</v>
      </c>
      <c r="H20462" s="56">
        <v>-4.6552850016877423E-3</v>
      </c>
      <c r="I20462" s="224" t="s">
        <v>2</v>
      </c>
    </row>
    <row r="20463" spans="1:9" x14ac:dyDescent="0.25">
      <c r="A20463" s="515">
        <v>97341</v>
      </c>
      <c r="B20463" s="515" t="s">
        <v>618</v>
      </c>
      <c r="C20463" s="52">
        <v>549287.88469951903</v>
      </c>
      <c r="D20463" s="56">
        <v>5.3572000586751191E-2</v>
      </c>
      <c r="E20463" s="224" t="s">
        <v>2</v>
      </c>
      <c r="F20463" s="515" t="s">
        <v>21633</v>
      </c>
      <c r="G20463" s="52">
        <v>228467.140374913</v>
      </c>
      <c r="H20463" s="56">
        <v>0.11298158880166367</v>
      </c>
      <c r="I20463" s="224" t="s">
        <v>2</v>
      </c>
    </row>
    <row r="20464" spans="1:9" x14ac:dyDescent="0.25">
      <c r="A20464" s="515">
        <v>73645</v>
      </c>
      <c r="B20464" s="515" t="s">
        <v>924</v>
      </c>
      <c r="C20464" s="52">
        <v>75774.596218993102</v>
      </c>
      <c r="D20464" s="56">
        <v>0.13745081098907283</v>
      </c>
      <c r="E20464" s="224" t="s">
        <v>2</v>
      </c>
      <c r="F20464" s="515" t="s">
        <v>21634</v>
      </c>
      <c r="G20464" s="52">
        <v>271203.93877551</v>
      </c>
      <c r="H20464" s="56">
        <v>0</v>
      </c>
      <c r="I20464" s="224" t="s">
        <v>2</v>
      </c>
    </row>
    <row r="20465" spans="1:9" x14ac:dyDescent="0.25">
      <c r="A20465" s="515">
        <v>13335</v>
      </c>
      <c r="B20465" s="515" t="s">
        <v>460</v>
      </c>
      <c r="C20465" s="52">
        <v>161407.731351216</v>
      </c>
      <c r="D20465" s="56">
        <v>7.5449481754896588E-2</v>
      </c>
      <c r="E20465" s="224" t="s">
        <v>2</v>
      </c>
      <c r="F20465" s="515" t="s">
        <v>21635</v>
      </c>
      <c r="G20465" s="52">
        <v>124748.00362721999</v>
      </c>
      <c r="H20465" s="56">
        <v>0.18240841586982506</v>
      </c>
      <c r="I20465" s="224" t="s">
        <v>2</v>
      </c>
    </row>
    <row r="20466" spans="1:9" x14ac:dyDescent="0.25">
      <c r="A20466" s="515">
        <v>56252</v>
      </c>
      <c r="C20466" s="52">
        <v>173467.117663974</v>
      </c>
      <c r="D20466" s="56">
        <v>4.6492557941815386E-2</v>
      </c>
      <c r="E20466" s="224" t="s">
        <v>2</v>
      </c>
      <c r="F20466" s="515" t="s">
        <v>21636</v>
      </c>
      <c r="G20466" s="52">
        <v>101024.68107572501</v>
      </c>
      <c r="H20466" s="56">
        <v>9.9722157566217121E-2</v>
      </c>
      <c r="I20466" s="224" t="s">
        <v>2</v>
      </c>
    </row>
    <row r="20467" spans="1:9" x14ac:dyDescent="0.25">
      <c r="A20467" s="515">
        <v>73858</v>
      </c>
      <c r="B20467" s="515" t="s">
        <v>830</v>
      </c>
      <c r="C20467" s="52">
        <v>89437.107367164004</v>
      </c>
      <c r="D20467" s="56">
        <v>0.1336138817110763</v>
      </c>
      <c r="E20467" s="224" t="s">
        <v>2</v>
      </c>
      <c r="F20467" s="515" t="s">
        <v>21637</v>
      </c>
      <c r="G20467" s="52">
        <v>467046.05585503503</v>
      </c>
      <c r="H20467" s="56">
        <v>6.0193605755863563E-2</v>
      </c>
      <c r="I20467" s="224" t="s">
        <v>2</v>
      </c>
    </row>
    <row r="20468" spans="1:9" x14ac:dyDescent="0.25">
      <c r="A20468" s="515">
        <v>24460</v>
      </c>
      <c r="C20468" s="52">
        <v>192857.50124764501</v>
      </c>
      <c r="D20468" s="56">
        <v>7.2981215570524213E-2</v>
      </c>
      <c r="E20468" s="224" t="s">
        <v>2</v>
      </c>
      <c r="F20468" s="515" t="s">
        <v>21638</v>
      </c>
      <c r="G20468" s="52">
        <v>338100.43553262798</v>
      </c>
      <c r="H20468" s="56">
        <v>-3.1877911529757455E-2</v>
      </c>
      <c r="I20468" s="224" t="s">
        <v>2</v>
      </c>
    </row>
    <row r="20469" spans="1:9" x14ac:dyDescent="0.25">
      <c r="A20469" s="515">
        <v>38381</v>
      </c>
      <c r="C20469" s="52">
        <v>133270.30239689301</v>
      </c>
      <c r="D20469" s="56">
        <v>0</v>
      </c>
      <c r="E20469" s="224" t="s">
        <v>2</v>
      </c>
      <c r="F20469" s="515" t="s">
        <v>21639</v>
      </c>
      <c r="G20469" s="52">
        <v>329123.95388644998</v>
      </c>
      <c r="H20469" s="56">
        <v>0.11960628050262026</v>
      </c>
      <c r="I20469" s="224" t="s">
        <v>2</v>
      </c>
    </row>
    <row r="20470" spans="1:9" x14ac:dyDescent="0.25">
      <c r="A20470" s="515">
        <v>38567</v>
      </c>
      <c r="B20470" s="515" t="s">
        <v>684</v>
      </c>
      <c r="C20470" s="52">
        <v>265067.65066030901</v>
      </c>
      <c r="D20470" s="56">
        <v>6.8716716730746405E-2</v>
      </c>
      <c r="E20470" s="224" t="s">
        <v>2</v>
      </c>
      <c r="F20470" s="515" t="s">
        <v>21640</v>
      </c>
      <c r="G20470" s="52">
        <v>242880.19474122499</v>
      </c>
      <c r="H20470" s="56">
        <v>-2.5979314704177008E-3</v>
      </c>
      <c r="I20470" s="224" t="s">
        <v>2</v>
      </c>
    </row>
    <row r="20471" spans="1:9" x14ac:dyDescent="0.25">
      <c r="A20471" s="515">
        <v>50233</v>
      </c>
      <c r="B20471" s="515" t="s">
        <v>295</v>
      </c>
      <c r="C20471" s="52">
        <v>183844.401240148</v>
      </c>
      <c r="D20471" s="56">
        <v>9.6112100710510573E-2</v>
      </c>
      <c r="E20471" s="224" t="s">
        <v>2</v>
      </c>
      <c r="F20471" s="515" t="s">
        <v>21641</v>
      </c>
      <c r="G20471" s="52">
        <v>348616.60485874303</v>
      </c>
      <c r="H20471" s="56">
        <v>5.0955641367743602E-2</v>
      </c>
      <c r="I20471" s="224" t="s">
        <v>2</v>
      </c>
    </row>
    <row r="20472" spans="1:9" x14ac:dyDescent="0.25">
      <c r="A20472" s="515">
        <v>14054</v>
      </c>
      <c r="B20472" s="515" t="s">
        <v>1014</v>
      </c>
      <c r="C20472" s="52">
        <v>190995.09608657399</v>
      </c>
      <c r="D20472" s="56">
        <v>6.4309297481790609E-2</v>
      </c>
      <c r="E20472" s="224" t="s">
        <v>2</v>
      </c>
      <c r="F20472" s="515" t="s">
        <v>21642</v>
      </c>
      <c r="G20472" s="52">
        <v>351983.76840728399</v>
      </c>
      <c r="H20472" s="56">
        <v>6.4438969348318637E-2</v>
      </c>
      <c r="I20472" s="224" t="s">
        <v>2</v>
      </c>
    </row>
    <row r="20473" spans="1:9" x14ac:dyDescent="0.25">
      <c r="A20473" s="515">
        <v>71861</v>
      </c>
      <c r="C20473" s="52">
        <v>100940.05283258201</v>
      </c>
      <c r="D20473" s="56">
        <v>2.2715899967655968E-3</v>
      </c>
      <c r="E20473" s="224" t="s">
        <v>2</v>
      </c>
      <c r="F20473" s="515" t="s">
        <v>21643</v>
      </c>
      <c r="G20473" s="52">
        <v>127034.02173913</v>
      </c>
      <c r="H20473" s="56">
        <v>0</v>
      </c>
      <c r="I20473" s="224" t="s">
        <v>2</v>
      </c>
    </row>
    <row r="20474" spans="1:9" x14ac:dyDescent="0.25">
      <c r="A20474" s="515">
        <v>25529</v>
      </c>
      <c r="B20474" s="515" t="s">
        <v>322</v>
      </c>
      <c r="C20474" s="52">
        <v>96409.546035183594</v>
      </c>
      <c r="D20474" s="56">
        <v>1.9753865126093409E-2</v>
      </c>
      <c r="E20474" s="224" t="s">
        <v>2</v>
      </c>
      <c r="F20474" s="515" t="s">
        <v>21644</v>
      </c>
      <c r="G20474" s="52">
        <v>358845.23429303902</v>
      </c>
      <c r="H20474" s="56">
        <v>3.9057682492166741E-2</v>
      </c>
      <c r="I20474" s="224" t="s">
        <v>2</v>
      </c>
    </row>
    <row r="20475" spans="1:9" x14ac:dyDescent="0.25">
      <c r="A20475" s="515">
        <v>39756</v>
      </c>
      <c r="C20475" s="52">
        <v>101077.946253202</v>
      </c>
      <c r="D20475" s="56">
        <v>-6.1088879683564898E-2</v>
      </c>
      <c r="E20475" s="224" t="s">
        <v>2</v>
      </c>
      <c r="F20475" s="515" t="s">
        <v>21645</v>
      </c>
      <c r="G20475" s="52">
        <v>45845.543282325903</v>
      </c>
      <c r="H20475" s="56">
        <v>1.9554882935649501E-2</v>
      </c>
      <c r="I20475" s="224" t="s">
        <v>2</v>
      </c>
    </row>
    <row r="20476" spans="1:9" x14ac:dyDescent="0.25">
      <c r="A20476" s="515">
        <v>51458</v>
      </c>
      <c r="C20476" s="52">
        <v>118064.316719037</v>
      </c>
      <c r="D20476" s="56">
        <v>0</v>
      </c>
      <c r="E20476" s="224" t="s">
        <v>2</v>
      </c>
      <c r="F20476" s="515" t="s">
        <v>21646</v>
      </c>
      <c r="G20476" s="52">
        <v>48653.957041439498</v>
      </c>
      <c r="H20476" s="56">
        <v>0</v>
      </c>
      <c r="I20476" s="224" t="s">
        <v>2</v>
      </c>
    </row>
    <row r="20477" spans="1:9" x14ac:dyDescent="0.25">
      <c r="A20477" s="515">
        <v>48832</v>
      </c>
      <c r="B20477" s="515" t="s">
        <v>1019</v>
      </c>
      <c r="C20477" s="52">
        <v>153340.91357912499</v>
      </c>
      <c r="D20477" s="56">
        <v>1.3304747466436968E-2</v>
      </c>
      <c r="E20477" s="224" t="s">
        <v>2</v>
      </c>
      <c r="F20477" s="515" t="s">
        <v>21647</v>
      </c>
      <c r="G20477" s="52">
        <v>98725.174650529807</v>
      </c>
      <c r="H20477" s="56">
        <v>0.16488912455042626</v>
      </c>
      <c r="I20477" s="224" t="s">
        <v>2</v>
      </c>
    </row>
    <row r="20478" spans="1:9" x14ac:dyDescent="0.25">
      <c r="A20478" s="515">
        <v>31787</v>
      </c>
      <c r="B20478" s="515" t="s">
        <v>746</v>
      </c>
      <c r="C20478" s="52">
        <v>135266.42714034801</v>
      </c>
      <c r="D20478" s="56">
        <v>0.13029273355138993</v>
      </c>
      <c r="E20478" s="224" t="s">
        <v>2</v>
      </c>
      <c r="F20478" s="515" t="s">
        <v>21648</v>
      </c>
      <c r="G20478" s="52">
        <v>276826.65583469399</v>
      </c>
      <c r="H20478" s="56">
        <v>5.0754561465350241E-2</v>
      </c>
      <c r="I20478" s="224" t="s">
        <v>2</v>
      </c>
    </row>
    <row r="20479" spans="1:9" x14ac:dyDescent="0.25">
      <c r="A20479" s="515">
        <v>5483</v>
      </c>
      <c r="B20479" s="515" t="s">
        <v>441</v>
      </c>
      <c r="C20479" s="52">
        <v>302380.17792274902</v>
      </c>
      <c r="D20479" s="56">
        <v>8.1962944681884323E-2</v>
      </c>
      <c r="E20479" s="224" t="s">
        <v>2</v>
      </c>
      <c r="F20479" s="515" t="s">
        <v>21649</v>
      </c>
      <c r="G20479" s="52">
        <v>115365.97619047599</v>
      </c>
      <c r="H20479" s="56">
        <v>0</v>
      </c>
      <c r="I20479" s="224" t="s">
        <v>2</v>
      </c>
    </row>
    <row r="20480" spans="1:9" x14ac:dyDescent="0.25">
      <c r="A20480" s="515">
        <v>73009</v>
      </c>
      <c r="C20480" s="52">
        <v>85466.833076403695</v>
      </c>
      <c r="D20480" s="56">
        <v>-4.2069643615079838E-2</v>
      </c>
      <c r="E20480" s="224" t="s">
        <v>2</v>
      </c>
      <c r="F20480" s="515" t="s">
        <v>21650</v>
      </c>
      <c r="G20480" s="52">
        <v>140234.82121599</v>
      </c>
      <c r="H20480" s="56">
        <v>8.0646892889683144E-2</v>
      </c>
      <c r="I20480" s="224" t="s">
        <v>2</v>
      </c>
    </row>
    <row r="20481" spans="1:9" x14ac:dyDescent="0.25">
      <c r="A20481" s="515">
        <v>55339</v>
      </c>
      <c r="B20481" s="515" t="s">
        <v>532</v>
      </c>
      <c r="C20481" s="52">
        <v>299470.12814500899</v>
      </c>
      <c r="D20481" s="56">
        <v>4.5593715843441393E-2</v>
      </c>
      <c r="E20481" s="224" t="s">
        <v>2</v>
      </c>
      <c r="F20481" s="515" t="s">
        <v>21651</v>
      </c>
      <c r="G20481" s="52">
        <v>98024.954125021395</v>
      </c>
      <c r="H20481" s="56">
        <v>5.8563336497293561E-2</v>
      </c>
      <c r="I20481" s="224" t="s">
        <v>2</v>
      </c>
    </row>
    <row r="20482" spans="1:9" x14ac:dyDescent="0.25">
      <c r="A20482" s="515">
        <v>30072</v>
      </c>
      <c r="B20482" s="515" t="s">
        <v>957</v>
      </c>
      <c r="C20482" s="52">
        <v>290526.81944115099</v>
      </c>
      <c r="D20482" s="56">
        <v>9.7309023231861955E-2</v>
      </c>
      <c r="E20482" s="224" t="s">
        <v>2</v>
      </c>
      <c r="F20482" s="515" t="s">
        <v>21652</v>
      </c>
      <c r="G20482" s="52">
        <v>114266.871878512</v>
      </c>
      <c r="H20482" s="56">
        <v>0.17462633151362247</v>
      </c>
      <c r="I20482" s="224" t="s">
        <v>2</v>
      </c>
    </row>
    <row r="20483" spans="1:9" x14ac:dyDescent="0.25">
      <c r="A20483" s="515">
        <v>3462</v>
      </c>
      <c r="B20483" s="515" t="s">
        <v>747</v>
      </c>
      <c r="C20483" s="52">
        <v>401004.18349019898</v>
      </c>
      <c r="D20483" s="56">
        <v>0.15283219210907495</v>
      </c>
      <c r="E20483" s="224" t="s">
        <v>2</v>
      </c>
      <c r="F20483" s="515" t="s">
        <v>21653</v>
      </c>
      <c r="G20483" s="52">
        <v>171455.836998449</v>
      </c>
      <c r="H20483" s="56">
        <v>0.21519051599594305</v>
      </c>
      <c r="I20483" s="224" t="s">
        <v>2</v>
      </c>
    </row>
    <row r="20484" spans="1:9" x14ac:dyDescent="0.25">
      <c r="A20484" s="515">
        <v>92347</v>
      </c>
      <c r="B20484" s="515" t="s">
        <v>599</v>
      </c>
      <c r="C20484" s="52">
        <v>176528.60968344699</v>
      </c>
      <c r="D20484" s="56">
        <v>-0.14323623344899836</v>
      </c>
      <c r="E20484" s="224" t="s">
        <v>2</v>
      </c>
      <c r="F20484" s="515" t="s">
        <v>21654</v>
      </c>
      <c r="G20484" s="52">
        <v>197299.76086956501</v>
      </c>
      <c r="H20484" s="56">
        <v>0</v>
      </c>
      <c r="I20484" s="224" t="s">
        <v>2</v>
      </c>
    </row>
    <row r="20485" spans="1:9" x14ac:dyDescent="0.25">
      <c r="A20485" s="515">
        <v>62661</v>
      </c>
      <c r="B20485" s="515" t="s">
        <v>819</v>
      </c>
      <c r="C20485" s="52">
        <v>161160.83189484599</v>
      </c>
      <c r="D20485" s="56">
        <v>6.7820343019094231E-2</v>
      </c>
      <c r="E20485" s="224" t="s">
        <v>2</v>
      </c>
      <c r="F20485" s="515" t="s">
        <v>21655</v>
      </c>
      <c r="G20485" s="52">
        <v>72534.444400474706</v>
      </c>
      <c r="H20485" s="56">
        <v>0</v>
      </c>
      <c r="I20485" s="224" t="s">
        <v>2</v>
      </c>
    </row>
    <row r="20486" spans="1:9" x14ac:dyDescent="0.25">
      <c r="A20486" s="515">
        <v>56535</v>
      </c>
      <c r="B20486" s="515" t="s">
        <v>624</v>
      </c>
      <c r="C20486" s="52">
        <v>246270.097533944</v>
      </c>
      <c r="D20486" s="56">
        <v>9.3680078008043788E-2</v>
      </c>
      <c r="E20486" s="224" t="s">
        <v>2</v>
      </c>
      <c r="F20486" s="515" t="s">
        <v>21656</v>
      </c>
      <c r="G20486" s="52">
        <v>29317.4425377474</v>
      </c>
      <c r="H20486" s="56">
        <v>0.10871864237548952</v>
      </c>
      <c r="I20486" s="224" t="s">
        <v>2</v>
      </c>
    </row>
    <row r="20487" spans="1:9" x14ac:dyDescent="0.25">
      <c r="A20487" s="515">
        <v>39776</v>
      </c>
      <c r="C20487" s="52">
        <v>116190.15106315599</v>
      </c>
      <c r="D20487" s="56">
        <v>3.916409383959793E-2</v>
      </c>
      <c r="E20487" s="224" t="s">
        <v>2</v>
      </c>
      <c r="F20487" s="515" t="s">
        <v>21657</v>
      </c>
      <c r="G20487" s="52">
        <v>141520.702228079</v>
      </c>
      <c r="H20487" s="56">
        <v>4.8716560934672637E-2</v>
      </c>
      <c r="I20487" s="224" t="s">
        <v>2</v>
      </c>
    </row>
    <row r="20488" spans="1:9" x14ac:dyDescent="0.25">
      <c r="A20488" s="515">
        <v>64444</v>
      </c>
      <c r="B20488" s="515" t="s">
        <v>455</v>
      </c>
      <c r="C20488" s="52">
        <v>265795.190663027</v>
      </c>
      <c r="D20488" s="56">
        <v>6.9823445099212705E-2</v>
      </c>
      <c r="E20488" s="224" t="s">
        <v>2</v>
      </c>
      <c r="F20488" s="515" t="s">
        <v>21658</v>
      </c>
      <c r="G20488" s="52">
        <v>154104.09546375801</v>
      </c>
      <c r="H20488" s="56">
        <v>0.34423552013613679</v>
      </c>
      <c r="I20488" s="224" t="s">
        <v>2</v>
      </c>
    </row>
    <row r="20489" spans="1:9" x14ac:dyDescent="0.25">
      <c r="A20489" s="515">
        <v>96091</v>
      </c>
      <c r="C20489" s="52">
        <v>287204.952701831</v>
      </c>
      <c r="D20489" s="56">
        <v>-3.5958087928580434E-2</v>
      </c>
      <c r="E20489" s="224" t="s">
        <v>2</v>
      </c>
      <c r="F20489" s="515" t="s">
        <v>21659</v>
      </c>
      <c r="G20489" s="52">
        <v>242006.151238105</v>
      </c>
      <c r="H20489" s="56">
        <v>0.11034872197816027</v>
      </c>
      <c r="I20489" s="224" t="s">
        <v>2</v>
      </c>
    </row>
    <row r="20490" spans="1:9" x14ac:dyDescent="0.25">
      <c r="A20490" s="515">
        <v>47142</v>
      </c>
      <c r="B20490" s="515" t="s">
        <v>479</v>
      </c>
      <c r="C20490" s="52">
        <v>175260.87529189599</v>
      </c>
      <c r="D20490" s="56">
        <v>9.2021318212439862E-2</v>
      </c>
      <c r="E20490" s="224" t="s">
        <v>2</v>
      </c>
      <c r="F20490" s="515" t="s">
        <v>21660</v>
      </c>
      <c r="G20490" s="52">
        <v>61871.289450690398</v>
      </c>
      <c r="H20490" s="56">
        <v>0</v>
      </c>
      <c r="I20490" s="224" t="s">
        <v>2</v>
      </c>
    </row>
    <row r="20491" spans="1:9" x14ac:dyDescent="0.25">
      <c r="A20491" s="515">
        <v>62530</v>
      </c>
      <c r="B20491" s="515" t="s">
        <v>819</v>
      </c>
      <c r="C20491" s="52">
        <v>119301.00516734101</v>
      </c>
      <c r="D20491" s="56">
        <v>6.7829990437521352E-3</v>
      </c>
      <c r="E20491" s="224" t="s">
        <v>2</v>
      </c>
      <c r="F20491" s="515" t="s">
        <v>21661</v>
      </c>
      <c r="G20491" s="52">
        <v>443434.52378765802</v>
      </c>
      <c r="H20491" s="56">
        <v>3.9622561850530889E-2</v>
      </c>
      <c r="I20491" s="224" t="s">
        <v>2</v>
      </c>
    </row>
    <row r="20492" spans="1:9" x14ac:dyDescent="0.25">
      <c r="A20492" s="515">
        <v>68463</v>
      </c>
      <c r="B20492" s="515" t="s">
        <v>367</v>
      </c>
      <c r="C20492" s="52">
        <v>207757.468057194</v>
      </c>
      <c r="D20492" s="56">
        <v>7.4934123449968332E-2</v>
      </c>
      <c r="E20492" s="224" t="s">
        <v>2</v>
      </c>
      <c r="F20492" s="515" t="s">
        <v>21662</v>
      </c>
      <c r="G20492" s="52">
        <v>110173.930153076</v>
      </c>
      <c r="H20492" s="56">
        <v>0</v>
      </c>
      <c r="I20492" s="224" t="s">
        <v>2</v>
      </c>
    </row>
    <row r="20493" spans="1:9" x14ac:dyDescent="0.25">
      <c r="A20493" s="515">
        <v>49670</v>
      </c>
      <c r="B20493" s="515" t="s">
        <v>366</v>
      </c>
      <c r="C20493" s="52">
        <v>587277.69144010602</v>
      </c>
      <c r="D20493" s="56">
        <v>0.16278134419320114</v>
      </c>
      <c r="E20493" s="224" t="s">
        <v>2</v>
      </c>
      <c r="F20493" s="515" t="s">
        <v>21663</v>
      </c>
      <c r="G20493" s="52">
        <v>77439.420632898793</v>
      </c>
      <c r="H20493" s="56">
        <v>0.17886509355402941</v>
      </c>
      <c r="I20493" s="224" t="s">
        <v>2</v>
      </c>
    </row>
    <row r="20494" spans="1:9" x14ac:dyDescent="0.25">
      <c r="A20494" s="515">
        <v>81152</v>
      </c>
      <c r="C20494" s="52">
        <v>161259.654748701</v>
      </c>
      <c r="D20494" s="56">
        <v>-4.9574052355025738E-2</v>
      </c>
      <c r="E20494" s="224" t="s">
        <v>2</v>
      </c>
      <c r="F20494" s="515" t="s">
        <v>21664</v>
      </c>
      <c r="G20494" s="52">
        <v>84154.567918312707</v>
      </c>
      <c r="H20494" s="56">
        <v>0.16093895593869129</v>
      </c>
      <c r="I20494" s="224" t="s">
        <v>2</v>
      </c>
    </row>
    <row r="20495" spans="1:9" x14ac:dyDescent="0.25">
      <c r="A20495" s="515">
        <v>54932</v>
      </c>
      <c r="B20495" s="515" t="s">
        <v>987</v>
      </c>
      <c r="C20495" s="52">
        <v>263451.72357141803</v>
      </c>
      <c r="D20495" s="56">
        <v>6.6975650837235126E-2</v>
      </c>
      <c r="E20495" s="224" t="s">
        <v>2</v>
      </c>
      <c r="F20495" s="515" t="s">
        <v>21665</v>
      </c>
      <c r="G20495" s="52">
        <v>230132.580704088</v>
      </c>
      <c r="H20495" s="56">
        <v>0.17156849949290362</v>
      </c>
      <c r="I20495" s="224" t="s">
        <v>2</v>
      </c>
    </row>
    <row r="20496" spans="1:9" x14ac:dyDescent="0.25">
      <c r="A20496" s="515">
        <v>75936</v>
      </c>
      <c r="C20496" s="52">
        <v>156640.62323866499</v>
      </c>
      <c r="D20496" s="56">
        <v>-3.2504221557803241E-2</v>
      </c>
      <c r="E20496" s="224" t="s">
        <v>2</v>
      </c>
      <c r="F20496" s="515" t="s">
        <v>21666</v>
      </c>
      <c r="G20496" s="52">
        <v>121698.788428706</v>
      </c>
      <c r="H20496" s="56">
        <v>0.18926222617340799</v>
      </c>
      <c r="I20496" s="224" t="s">
        <v>2</v>
      </c>
    </row>
    <row r="20497" spans="1:9" x14ac:dyDescent="0.25">
      <c r="A20497" s="515">
        <v>36042</v>
      </c>
      <c r="C20497" s="52">
        <v>123821.58249468201</v>
      </c>
      <c r="D20497" s="56">
        <v>-1.5496745188963523E-2</v>
      </c>
      <c r="E20497" s="224" t="s">
        <v>2</v>
      </c>
      <c r="F20497" s="515" t="s">
        <v>21667</v>
      </c>
      <c r="G20497" s="52">
        <v>64287.641126495102</v>
      </c>
      <c r="H20497" s="56">
        <v>0.16127098067048692</v>
      </c>
      <c r="I20497" s="224" t="s">
        <v>2</v>
      </c>
    </row>
    <row r="20498" spans="1:9" x14ac:dyDescent="0.25">
      <c r="A20498" s="515">
        <v>76245</v>
      </c>
      <c r="B20498" s="515" t="s">
        <v>553</v>
      </c>
      <c r="C20498" s="52">
        <v>168704.15501283301</v>
      </c>
      <c r="D20498" s="56">
        <v>9.3547846400663607E-3</v>
      </c>
      <c r="E20498" s="224" t="s">
        <v>2</v>
      </c>
      <c r="F20498" s="515" t="s">
        <v>21668</v>
      </c>
      <c r="G20498" s="52">
        <v>120308.120348561</v>
      </c>
      <c r="H20498" s="56">
        <v>6.4095073294571994E-2</v>
      </c>
      <c r="I20498" s="224" t="s">
        <v>2</v>
      </c>
    </row>
    <row r="20499" spans="1:9" x14ac:dyDescent="0.25">
      <c r="A20499" s="515">
        <v>7934</v>
      </c>
      <c r="B20499" s="515" t="s">
        <v>324</v>
      </c>
      <c r="C20499" s="52">
        <v>820684.72959148802</v>
      </c>
      <c r="D20499" s="56">
        <v>6.2134545052595948E-2</v>
      </c>
      <c r="E20499" s="224" t="s">
        <v>2</v>
      </c>
      <c r="F20499" s="515" t="s">
        <v>21669</v>
      </c>
      <c r="G20499" s="52">
        <v>57939.992494459701</v>
      </c>
      <c r="H20499" s="56">
        <v>0</v>
      </c>
      <c r="I20499" s="224" t="s">
        <v>2</v>
      </c>
    </row>
    <row r="20500" spans="1:9" x14ac:dyDescent="0.25">
      <c r="A20500" s="515">
        <v>73641</v>
      </c>
      <c r="C20500" s="52">
        <v>69532.942414987003</v>
      </c>
      <c r="D20500" s="56">
        <v>0.10592634202938098</v>
      </c>
      <c r="E20500" s="224" t="s">
        <v>2</v>
      </c>
      <c r="F20500" s="515" t="s">
        <v>21670</v>
      </c>
      <c r="G20500" s="52">
        <v>186872.83839372499</v>
      </c>
      <c r="H20500" s="56">
        <v>0.13175420360943846</v>
      </c>
      <c r="I20500" s="224" t="s">
        <v>2</v>
      </c>
    </row>
    <row r="20501" spans="1:9" x14ac:dyDescent="0.25">
      <c r="A20501" s="515">
        <v>4449</v>
      </c>
      <c r="B20501" s="515" t="s">
        <v>792</v>
      </c>
      <c r="C20501" s="52">
        <v>224119.557828099</v>
      </c>
      <c r="D20501" s="56">
        <v>7.2424347308895812E-2</v>
      </c>
      <c r="E20501" s="224" t="s">
        <v>2</v>
      </c>
      <c r="F20501" s="515" t="s">
        <v>21671</v>
      </c>
      <c r="G20501" s="52">
        <v>354674.72601230699</v>
      </c>
      <c r="H20501" s="56">
        <v>0.17547677776378307</v>
      </c>
      <c r="I20501" s="224" t="s">
        <v>2</v>
      </c>
    </row>
    <row r="20502" spans="1:9" x14ac:dyDescent="0.25">
      <c r="A20502" s="515">
        <v>23106</v>
      </c>
      <c r="B20502" s="515" t="s">
        <v>667</v>
      </c>
      <c r="C20502" s="52">
        <v>292938.63088461797</v>
      </c>
      <c r="D20502" s="56">
        <v>8.8612960678553981E-2</v>
      </c>
      <c r="E20502" s="224" t="s">
        <v>2</v>
      </c>
      <c r="F20502" s="515" t="s">
        <v>21672</v>
      </c>
      <c r="G20502" s="52">
        <v>405800.23311526101</v>
      </c>
      <c r="H20502" s="56">
        <v>5.995255757264259E-2</v>
      </c>
      <c r="I20502" s="224" t="s">
        <v>2</v>
      </c>
    </row>
    <row r="20503" spans="1:9" x14ac:dyDescent="0.25">
      <c r="A20503" s="515">
        <v>37710</v>
      </c>
      <c r="B20503" s="515" t="s">
        <v>907</v>
      </c>
      <c r="C20503" s="52">
        <v>98979.056190472504</v>
      </c>
      <c r="D20503" s="56">
        <v>0</v>
      </c>
      <c r="E20503" s="224" t="s">
        <v>2</v>
      </c>
      <c r="F20503" s="515" t="s">
        <v>21673</v>
      </c>
      <c r="G20503" s="52">
        <v>157121.94736842101</v>
      </c>
      <c r="H20503" s="56">
        <v>0</v>
      </c>
      <c r="I20503" s="224" t="s">
        <v>2</v>
      </c>
    </row>
    <row r="20504" spans="1:9" x14ac:dyDescent="0.25">
      <c r="A20504" s="515">
        <v>72626</v>
      </c>
      <c r="C20504" s="52">
        <v>190238.42238252601</v>
      </c>
      <c r="D20504" s="56">
        <v>1.7961493129301467E-2</v>
      </c>
      <c r="E20504" s="224" t="s">
        <v>2</v>
      </c>
      <c r="F20504" s="515" t="s">
        <v>21674</v>
      </c>
      <c r="G20504" s="52">
        <v>286280.07484046899</v>
      </c>
      <c r="H20504" s="56">
        <v>0.17875230295072081</v>
      </c>
      <c r="I20504" s="224" t="s">
        <v>2</v>
      </c>
    </row>
    <row r="20505" spans="1:9" x14ac:dyDescent="0.25">
      <c r="A20505" s="515">
        <v>41254</v>
      </c>
      <c r="C20505" s="52">
        <v>123028.561561986</v>
      </c>
      <c r="D20505" s="56">
        <v>0.18588057594102678</v>
      </c>
      <c r="E20505" s="224" t="s">
        <v>2</v>
      </c>
      <c r="F20505" s="515" t="s">
        <v>21675</v>
      </c>
      <c r="G20505" s="52">
        <v>128257.13890070601</v>
      </c>
      <c r="H20505" s="56">
        <v>-7.5736081074254114E-2</v>
      </c>
      <c r="I20505" s="224" t="s">
        <v>2</v>
      </c>
    </row>
    <row r="20506" spans="1:9" x14ac:dyDescent="0.25">
      <c r="A20506" s="515">
        <v>68038</v>
      </c>
      <c r="C20506" s="52">
        <v>139687.88850075501</v>
      </c>
      <c r="D20506" s="56">
        <v>0.21573823942743298</v>
      </c>
      <c r="E20506" s="224" t="s">
        <v>2</v>
      </c>
      <c r="F20506" s="515" t="s">
        <v>21676</v>
      </c>
      <c r="G20506" s="52">
        <v>410078.76016886398</v>
      </c>
      <c r="H20506" s="56">
        <v>0.11399887251011583</v>
      </c>
      <c r="I20506" s="224" t="s">
        <v>2</v>
      </c>
    </row>
    <row r="20507" spans="1:9" x14ac:dyDescent="0.25">
      <c r="A20507" s="515">
        <v>26623</v>
      </c>
      <c r="C20507" s="52">
        <v>140179.36714624899</v>
      </c>
      <c r="D20507" s="56">
        <v>0.10947943745596679</v>
      </c>
      <c r="E20507" s="224" t="s">
        <v>2</v>
      </c>
      <c r="F20507" s="515" t="s">
        <v>21677</v>
      </c>
      <c r="G20507" s="52">
        <v>947925.25671111897</v>
      </c>
      <c r="H20507" s="56">
        <v>6.6326060032630238E-2</v>
      </c>
      <c r="I20507" s="224" t="s">
        <v>2</v>
      </c>
    </row>
    <row r="20508" spans="1:9" x14ac:dyDescent="0.25">
      <c r="A20508" s="515">
        <v>30823</v>
      </c>
      <c r="C20508" s="52">
        <v>100499.23155990501</v>
      </c>
      <c r="D20508" s="56">
        <v>-3.8997118338317982E-2</v>
      </c>
      <c r="E20508" s="224" t="s">
        <v>2</v>
      </c>
      <c r="F20508" s="515" t="s">
        <v>21678</v>
      </c>
      <c r="G20508" s="52">
        <v>247509.18937398301</v>
      </c>
      <c r="H20508" s="56">
        <v>1.2327151402013273E-2</v>
      </c>
      <c r="I20508" s="224" t="s">
        <v>2</v>
      </c>
    </row>
    <row r="20509" spans="1:9" x14ac:dyDescent="0.25">
      <c r="A20509" s="515">
        <v>4666</v>
      </c>
      <c r="C20509" s="52">
        <v>175039.01343483699</v>
      </c>
      <c r="D20509" s="56">
        <v>9.2811342896577886E-2</v>
      </c>
      <c r="E20509" s="224" t="s">
        <v>2</v>
      </c>
      <c r="F20509" s="515" t="s">
        <v>21679</v>
      </c>
      <c r="G20509" s="52">
        <v>110604.90955448399</v>
      </c>
      <c r="H20509" s="56">
        <v>0.20694407938677273</v>
      </c>
      <c r="I20509" s="224" t="s">
        <v>2</v>
      </c>
    </row>
    <row r="20510" spans="1:9" x14ac:dyDescent="0.25">
      <c r="A20510" s="515">
        <v>45775</v>
      </c>
      <c r="C20510" s="52">
        <v>88753.975704264507</v>
      </c>
      <c r="D20510" s="56">
        <v>2.1289497919635504E-2</v>
      </c>
      <c r="E20510" s="224" t="s">
        <v>2</v>
      </c>
      <c r="F20510" s="515" t="s">
        <v>21680</v>
      </c>
      <c r="G20510" s="52">
        <v>417194.47282427998</v>
      </c>
      <c r="H20510" s="56">
        <v>9.6491796558048696E-5</v>
      </c>
      <c r="I20510" s="224" t="s">
        <v>2</v>
      </c>
    </row>
    <row r="20511" spans="1:9" x14ac:dyDescent="0.25">
      <c r="A20511" s="515">
        <v>30678</v>
      </c>
      <c r="C20511" s="52">
        <v>436531.00786053401</v>
      </c>
      <c r="D20511" s="56">
        <v>3.70143990350289E-2</v>
      </c>
      <c r="E20511" s="224" t="s">
        <v>2</v>
      </c>
      <c r="F20511" s="515" t="s">
        <v>21681</v>
      </c>
      <c r="G20511" s="52">
        <v>79564.770658918802</v>
      </c>
      <c r="H20511" s="56">
        <v>0.15213001860524369</v>
      </c>
      <c r="I20511" s="224" t="s">
        <v>2</v>
      </c>
    </row>
    <row r="20512" spans="1:9" x14ac:dyDescent="0.25">
      <c r="A20512" s="515">
        <v>82730</v>
      </c>
      <c r="B20512" s="515" t="s">
        <v>589</v>
      </c>
      <c r="C20512" s="52">
        <v>216384.76297224901</v>
      </c>
      <c r="D20512" s="56">
        <v>4.8984897463662143E-2</v>
      </c>
      <c r="E20512" s="224" t="s">
        <v>2</v>
      </c>
      <c r="F20512" s="515" t="s">
        <v>21682</v>
      </c>
      <c r="G20512" s="52">
        <v>169383.32977395199</v>
      </c>
      <c r="H20512" s="56">
        <v>9.9268634745539375E-2</v>
      </c>
      <c r="I20512" s="224" t="s">
        <v>2</v>
      </c>
    </row>
    <row r="20513" spans="1:9" x14ac:dyDescent="0.25">
      <c r="A20513" s="515">
        <v>38621</v>
      </c>
      <c r="C20513" s="52">
        <v>87376.960501489099</v>
      </c>
      <c r="D20513" s="56">
        <v>3.2484900490962852E-4</v>
      </c>
      <c r="E20513" s="224" t="s">
        <v>2</v>
      </c>
      <c r="F20513" s="515" t="s">
        <v>21683</v>
      </c>
      <c r="G20513" s="52">
        <v>293676.98684210499</v>
      </c>
      <c r="H20513" s="56">
        <v>0</v>
      </c>
      <c r="I20513" s="224" t="s">
        <v>2</v>
      </c>
    </row>
    <row r="20514" spans="1:9" x14ac:dyDescent="0.25">
      <c r="A20514" s="515">
        <v>10597</v>
      </c>
      <c r="B20514" s="515" t="s">
        <v>324</v>
      </c>
      <c r="C20514" s="52">
        <v>1236565.73311944</v>
      </c>
      <c r="D20514" s="56">
        <v>0.15515218769698519</v>
      </c>
      <c r="E20514" s="224" t="s">
        <v>2</v>
      </c>
      <c r="F20514" s="515" t="s">
        <v>21684</v>
      </c>
      <c r="G20514" s="52">
        <v>91081.076923076893</v>
      </c>
      <c r="H20514" s="56">
        <v>0</v>
      </c>
      <c r="I20514" s="224" t="s">
        <v>2</v>
      </c>
    </row>
    <row r="20515" spans="1:9" x14ac:dyDescent="0.25">
      <c r="A20515" s="515">
        <v>44032</v>
      </c>
      <c r="B20515" s="515" t="s">
        <v>592</v>
      </c>
      <c r="C20515" s="52">
        <v>165077.263315371</v>
      </c>
      <c r="D20515" s="56">
        <v>9.425298910903035E-2</v>
      </c>
      <c r="E20515" s="224" t="s">
        <v>2</v>
      </c>
      <c r="F20515" s="515" t="s">
        <v>21685</v>
      </c>
      <c r="G20515" s="52">
        <v>193184.04691946501</v>
      </c>
      <c r="H20515" s="56">
        <v>3.4533427355128342E-2</v>
      </c>
      <c r="I20515" s="224" t="s">
        <v>2</v>
      </c>
    </row>
    <row r="20516" spans="1:9" x14ac:dyDescent="0.25">
      <c r="A20516" s="515">
        <v>16878</v>
      </c>
      <c r="B20516" s="515" t="s">
        <v>876</v>
      </c>
      <c r="C20516" s="52">
        <v>127811.577464788</v>
      </c>
      <c r="D20516" s="56">
        <v>0</v>
      </c>
      <c r="E20516" s="224" t="s">
        <v>2</v>
      </c>
      <c r="F20516" s="515" t="s">
        <v>21686</v>
      </c>
      <c r="G20516" s="52">
        <v>76786.933475875005</v>
      </c>
      <c r="H20516" s="56">
        <v>-2.8292405284573111E-3</v>
      </c>
      <c r="I20516" s="224" t="s">
        <v>2</v>
      </c>
    </row>
    <row r="20517" spans="1:9" x14ac:dyDescent="0.25">
      <c r="A20517" s="515">
        <v>35480</v>
      </c>
      <c r="B20517" s="515" t="s">
        <v>841</v>
      </c>
      <c r="C20517" s="52">
        <v>235537.90383920699</v>
      </c>
      <c r="D20517" s="56">
        <v>5.8234144460245489E-2</v>
      </c>
      <c r="E20517" s="224" t="s">
        <v>2</v>
      </c>
      <c r="F20517" s="515" t="s">
        <v>21687</v>
      </c>
      <c r="G20517" s="52">
        <v>94849.987429329194</v>
      </c>
      <c r="H20517" s="56">
        <v>8.7039416074988565E-2</v>
      </c>
      <c r="I20517" s="224" t="s">
        <v>2</v>
      </c>
    </row>
    <row r="20518" spans="1:9" x14ac:dyDescent="0.25">
      <c r="A20518" s="515">
        <v>18854</v>
      </c>
      <c r="B20518" s="515" t="s">
        <v>699</v>
      </c>
      <c r="C20518" s="52">
        <v>155584.82608695599</v>
      </c>
      <c r="D20518" s="56">
        <v>0</v>
      </c>
      <c r="E20518" s="224" t="s">
        <v>2</v>
      </c>
      <c r="F20518" s="515" t="s">
        <v>21688</v>
      </c>
      <c r="G20518" s="52">
        <v>188950.815819451</v>
      </c>
      <c r="H20518" s="56">
        <v>0.14567388354058533</v>
      </c>
      <c r="I20518" s="224" t="s">
        <v>2</v>
      </c>
    </row>
    <row r="20519" spans="1:9" x14ac:dyDescent="0.25">
      <c r="A20519" s="515">
        <v>50139</v>
      </c>
      <c r="B20519" s="515" t="s">
        <v>295</v>
      </c>
      <c r="C20519" s="52">
        <v>224838.370723803</v>
      </c>
      <c r="D20519" s="56">
        <v>0.16149015658776419</v>
      </c>
      <c r="E20519" s="224" t="s">
        <v>2</v>
      </c>
      <c r="F20519" s="515" t="s">
        <v>21689</v>
      </c>
      <c r="G20519" s="52">
        <v>259341.774650515</v>
      </c>
      <c r="H20519" s="56">
        <v>5.9101704422344033E-2</v>
      </c>
      <c r="I20519" s="224" t="s">
        <v>2</v>
      </c>
    </row>
    <row r="20520" spans="1:9" x14ac:dyDescent="0.25">
      <c r="A20520" s="515">
        <v>56576</v>
      </c>
      <c r="B20520" s="515" t="s">
        <v>601</v>
      </c>
      <c r="C20520" s="52">
        <v>371522.11662370601</v>
      </c>
      <c r="D20520" s="56">
        <v>5.1767712812448088E-2</v>
      </c>
      <c r="E20520" s="224" t="s">
        <v>2</v>
      </c>
      <c r="F20520" s="515" t="s">
        <v>21690</v>
      </c>
      <c r="G20520" s="52">
        <v>143985.69989220999</v>
      </c>
      <c r="H20520" s="56">
        <v>0.15505890108347506</v>
      </c>
      <c r="I20520" s="224" t="s">
        <v>2</v>
      </c>
    </row>
    <row r="20521" spans="1:9" x14ac:dyDescent="0.25">
      <c r="A20521" s="515">
        <v>37141</v>
      </c>
      <c r="B20521" s="515" t="s">
        <v>684</v>
      </c>
      <c r="C20521" s="52">
        <v>312912.46912237903</v>
      </c>
      <c r="D20521" s="56">
        <v>6.7807428488996291E-2</v>
      </c>
      <c r="E20521" s="224" t="s">
        <v>2</v>
      </c>
      <c r="F20521" s="515" t="s">
        <v>21691</v>
      </c>
      <c r="G20521" s="52">
        <v>139871.11978747699</v>
      </c>
      <c r="H20521" s="56">
        <v>0.12560753741814354</v>
      </c>
      <c r="I20521" s="224" t="s">
        <v>2</v>
      </c>
    </row>
    <row r="20522" spans="1:9" x14ac:dyDescent="0.25">
      <c r="A20522" s="515">
        <v>72111</v>
      </c>
      <c r="B20522" s="515" t="s">
        <v>393</v>
      </c>
      <c r="C20522" s="52">
        <v>178730.58358410699</v>
      </c>
      <c r="D20522" s="56">
        <v>0.10341529526332184</v>
      </c>
      <c r="E20522" s="224" t="s">
        <v>2</v>
      </c>
      <c r="F20522" s="515" t="s">
        <v>21692</v>
      </c>
      <c r="G20522" s="52">
        <v>200430.94343776701</v>
      </c>
      <c r="H20522" s="56">
        <v>9.9833182038731844E-2</v>
      </c>
      <c r="I20522" s="224" t="s">
        <v>2</v>
      </c>
    </row>
    <row r="20523" spans="1:9" x14ac:dyDescent="0.25">
      <c r="A20523" s="515">
        <v>68729</v>
      </c>
      <c r="C20523" s="52">
        <v>113267.76185213499</v>
      </c>
      <c r="D20523" s="56">
        <v>5.7706768101006736E-2</v>
      </c>
      <c r="E20523" s="224" t="s">
        <v>2</v>
      </c>
      <c r="F20523" s="515" t="s">
        <v>21693</v>
      </c>
      <c r="G20523" s="52">
        <v>282856.26232270198</v>
      </c>
      <c r="H20523" s="56">
        <v>0</v>
      </c>
      <c r="I20523" s="224" t="s">
        <v>2</v>
      </c>
    </row>
    <row r="20524" spans="1:9" x14ac:dyDescent="0.25">
      <c r="A20524" s="515">
        <v>27842</v>
      </c>
      <c r="B20524" s="515" t="s">
        <v>909</v>
      </c>
      <c r="C20524" s="52">
        <v>556400.24857215502</v>
      </c>
      <c r="D20524" s="56">
        <v>3.6806627617583597E-2</v>
      </c>
      <c r="E20524" s="224" t="s">
        <v>2</v>
      </c>
      <c r="F20524" s="515" t="s">
        <v>21694</v>
      </c>
      <c r="G20524" s="52">
        <v>171992.03536870601</v>
      </c>
      <c r="H20524" s="56">
        <v>6.2763253816289874E-2</v>
      </c>
      <c r="I20524" s="224" t="s">
        <v>2</v>
      </c>
    </row>
    <row r="20525" spans="1:9" x14ac:dyDescent="0.25">
      <c r="A20525" s="515">
        <v>23011</v>
      </c>
      <c r="B20525" s="515" t="s">
        <v>667</v>
      </c>
      <c r="C20525" s="52">
        <v>377066.46518946899</v>
      </c>
      <c r="D20525" s="56">
        <v>6.7538981465597711E-2</v>
      </c>
      <c r="E20525" s="224" t="s">
        <v>2</v>
      </c>
      <c r="F20525" s="515" t="s">
        <v>21695</v>
      </c>
      <c r="G20525" s="52">
        <v>420814.22518789303</v>
      </c>
      <c r="H20525" s="56">
        <v>5.9077156551992485E-2</v>
      </c>
      <c r="I20525" s="224" t="s">
        <v>2</v>
      </c>
    </row>
    <row r="20526" spans="1:9" x14ac:dyDescent="0.25">
      <c r="A20526" s="515">
        <v>47531</v>
      </c>
      <c r="C20526" s="52">
        <v>218764.91293870501</v>
      </c>
      <c r="D20526" s="56">
        <v>6.1786142616312802E-2</v>
      </c>
      <c r="E20526" s="224" t="s">
        <v>2</v>
      </c>
      <c r="F20526" s="515" t="s">
        <v>21696</v>
      </c>
      <c r="G20526" s="52">
        <v>218951.38410209</v>
      </c>
      <c r="H20526" s="56">
        <v>7.78597183398506E-2</v>
      </c>
      <c r="I20526" s="224" t="s">
        <v>2</v>
      </c>
    </row>
    <row r="20527" spans="1:9" x14ac:dyDescent="0.25">
      <c r="A20527" s="515">
        <v>23035</v>
      </c>
      <c r="B20527" s="515" t="s">
        <v>301</v>
      </c>
      <c r="C20527" s="52">
        <v>290277.36345762602</v>
      </c>
      <c r="D20527" s="56">
        <v>2.0851144060648707E-2</v>
      </c>
      <c r="E20527" s="224" t="s">
        <v>2</v>
      </c>
      <c r="F20527" s="515" t="s">
        <v>21697</v>
      </c>
      <c r="G20527" s="52">
        <v>313247.87584375998</v>
      </c>
      <c r="H20527" s="56">
        <v>0.13808979571844648</v>
      </c>
      <c r="I20527" s="224" t="s">
        <v>2</v>
      </c>
    </row>
    <row r="20528" spans="1:9" x14ac:dyDescent="0.25">
      <c r="A20528" s="515">
        <v>13485</v>
      </c>
      <c r="B20528" s="515" t="s">
        <v>361</v>
      </c>
      <c r="C20528" s="52">
        <v>151391.25330491</v>
      </c>
      <c r="D20528" s="56">
        <v>0.11559140155572127</v>
      </c>
      <c r="E20528" s="224" t="s">
        <v>2</v>
      </c>
      <c r="F20528" s="515" t="s">
        <v>21698</v>
      </c>
      <c r="G20528" s="52">
        <v>116166.19025979401</v>
      </c>
      <c r="H20528" s="56">
        <v>-1.5647903020722252E-2</v>
      </c>
      <c r="I20528" s="224" t="s">
        <v>2</v>
      </c>
    </row>
    <row r="20529" spans="1:9" x14ac:dyDescent="0.25">
      <c r="A20529" s="515">
        <v>13355</v>
      </c>
      <c r="B20529" s="515" t="s">
        <v>361</v>
      </c>
      <c r="C20529" s="52">
        <v>180219.485019193</v>
      </c>
      <c r="D20529" s="56">
        <v>0.12147719485140393</v>
      </c>
      <c r="E20529" s="224" t="s">
        <v>2</v>
      </c>
      <c r="F20529" s="515" t="s">
        <v>21699</v>
      </c>
      <c r="G20529" s="52">
        <v>110457.354238927</v>
      </c>
      <c r="H20529" s="56">
        <v>0</v>
      </c>
      <c r="I20529" s="224" t="s">
        <v>2</v>
      </c>
    </row>
    <row r="20530" spans="1:9" x14ac:dyDescent="0.25">
      <c r="A20530" s="515">
        <v>98548</v>
      </c>
      <c r="B20530" s="515" t="s">
        <v>839</v>
      </c>
      <c r="C20530" s="52">
        <v>320262.70154784701</v>
      </c>
      <c r="D20530" s="56">
        <v>2.5587127610243399E-2</v>
      </c>
      <c r="E20530" s="224" t="s">
        <v>2</v>
      </c>
      <c r="F20530" s="515" t="s">
        <v>21700</v>
      </c>
      <c r="G20530" s="52">
        <v>94743.798181082602</v>
      </c>
      <c r="H20530" s="56">
        <v>0.13194820690666981</v>
      </c>
      <c r="I20530" s="224" t="s">
        <v>2</v>
      </c>
    </row>
    <row r="20531" spans="1:9" x14ac:dyDescent="0.25">
      <c r="A20531" s="515">
        <v>41723</v>
      </c>
      <c r="C20531" s="52">
        <v>55732.304314434499</v>
      </c>
      <c r="D20531" s="56">
        <v>0.21123834545812112</v>
      </c>
      <c r="E20531" s="224" t="s">
        <v>2</v>
      </c>
      <c r="F20531" s="515" t="s">
        <v>21701</v>
      </c>
      <c r="G20531" s="52">
        <v>242825.10524114899</v>
      </c>
      <c r="H20531" s="56">
        <v>3.6261401257414741E-2</v>
      </c>
      <c r="I20531" s="224" t="s">
        <v>2</v>
      </c>
    </row>
    <row r="20532" spans="1:9" x14ac:dyDescent="0.25">
      <c r="A20532" s="515">
        <v>95567</v>
      </c>
      <c r="B20532" s="515" t="s">
        <v>844</v>
      </c>
      <c r="C20532" s="52">
        <v>390242.54802790098</v>
      </c>
      <c r="D20532" s="56">
        <v>-3.0357807506506313E-2</v>
      </c>
      <c r="E20532" s="224" t="s">
        <v>2</v>
      </c>
      <c r="F20532" s="515" t="s">
        <v>21702</v>
      </c>
      <c r="G20532" s="52">
        <v>116149.85148189501</v>
      </c>
      <c r="H20532" s="56">
        <v>-5.3935265865166218E-4</v>
      </c>
      <c r="I20532" s="224" t="s">
        <v>2</v>
      </c>
    </row>
    <row r="20533" spans="1:9" x14ac:dyDescent="0.25">
      <c r="A20533" s="515">
        <v>60960</v>
      </c>
      <c r="B20533" s="515" t="s">
        <v>999</v>
      </c>
      <c r="C20533" s="52">
        <v>72517.814992986299</v>
      </c>
      <c r="D20533" s="56">
        <v>6.2570660992009572E-2</v>
      </c>
      <c r="E20533" s="224" t="s">
        <v>2</v>
      </c>
      <c r="F20533" s="515" t="s">
        <v>21703</v>
      </c>
      <c r="G20533" s="52">
        <v>148583.44322948699</v>
      </c>
      <c r="H20533" s="56">
        <v>2.6678217568180406E-2</v>
      </c>
      <c r="I20533" s="224" t="s">
        <v>2</v>
      </c>
    </row>
    <row r="20534" spans="1:9" x14ac:dyDescent="0.25">
      <c r="A20534" s="515">
        <v>50585</v>
      </c>
      <c r="B20534" s="515" t="s">
        <v>723</v>
      </c>
      <c r="C20534" s="52">
        <v>132495.739561102</v>
      </c>
      <c r="D20534" s="56">
        <v>0.12831209298469359</v>
      </c>
      <c r="E20534" s="224" t="s">
        <v>2</v>
      </c>
      <c r="F20534" s="515" t="s">
        <v>21704</v>
      </c>
      <c r="G20534" s="52">
        <v>80054.578308550001</v>
      </c>
      <c r="H20534" s="56">
        <v>1.6337474265084348E-2</v>
      </c>
      <c r="I20534" s="224" t="s">
        <v>2</v>
      </c>
    </row>
    <row r="20535" spans="1:9" x14ac:dyDescent="0.25">
      <c r="A20535" s="515">
        <v>54762</v>
      </c>
      <c r="C20535" s="52">
        <v>187770.253550372</v>
      </c>
      <c r="D20535" s="56">
        <v>5.1552758863525387E-2</v>
      </c>
      <c r="E20535" s="224" t="s">
        <v>2</v>
      </c>
      <c r="F20535" s="515" t="s">
        <v>21705</v>
      </c>
      <c r="G20535" s="52">
        <v>172825.07970002701</v>
      </c>
      <c r="H20535" s="56">
        <v>0.12399379211669261</v>
      </c>
      <c r="I20535" s="224" t="s">
        <v>2</v>
      </c>
    </row>
    <row r="20536" spans="1:9" x14ac:dyDescent="0.25">
      <c r="A20536" s="515">
        <v>78656</v>
      </c>
      <c r="B20536" s="515" t="s">
        <v>380</v>
      </c>
      <c r="C20536" s="52">
        <v>325503.62181141099</v>
      </c>
      <c r="D20536" s="56">
        <v>0.13886453035778726</v>
      </c>
      <c r="E20536" s="224" t="s">
        <v>2</v>
      </c>
      <c r="F20536" s="515" t="s">
        <v>21706</v>
      </c>
      <c r="G20536" s="52">
        <v>247767.841731472</v>
      </c>
      <c r="H20536" s="56">
        <v>0.1390456917571751</v>
      </c>
      <c r="I20536" s="224" t="s">
        <v>2</v>
      </c>
    </row>
    <row r="20537" spans="1:9" x14ac:dyDescent="0.25">
      <c r="A20537" s="515">
        <v>13026</v>
      </c>
      <c r="B20537" s="515" t="s">
        <v>986</v>
      </c>
      <c r="C20537" s="52">
        <v>261821.75723115</v>
      </c>
      <c r="D20537" s="56">
        <v>9.734553335207892E-2</v>
      </c>
      <c r="E20537" s="224" t="s">
        <v>2</v>
      </c>
      <c r="F20537" s="515" t="s">
        <v>21707</v>
      </c>
      <c r="G20537" s="52">
        <v>211422.02703952501</v>
      </c>
      <c r="H20537" s="56">
        <v>9.7292418661633406E-2</v>
      </c>
      <c r="I20537" s="224" t="s">
        <v>2</v>
      </c>
    </row>
    <row r="20538" spans="1:9" x14ac:dyDescent="0.25">
      <c r="A20538" s="515">
        <v>19967</v>
      </c>
      <c r="B20538" s="515" t="s">
        <v>552</v>
      </c>
      <c r="C20538" s="52">
        <v>483258.15525542002</v>
      </c>
      <c r="D20538" s="56">
        <v>4.6875804546900164E-2</v>
      </c>
      <c r="E20538" s="224" t="s">
        <v>2</v>
      </c>
      <c r="F20538" s="515" t="s">
        <v>21708</v>
      </c>
      <c r="G20538" s="52">
        <v>307649.96975657402</v>
      </c>
      <c r="H20538" s="56">
        <v>0.15090509395125912</v>
      </c>
      <c r="I20538" s="224" t="s">
        <v>2</v>
      </c>
    </row>
    <row r="20539" spans="1:9" x14ac:dyDescent="0.25">
      <c r="A20539" s="515">
        <v>16218</v>
      </c>
      <c r="B20539" s="515" t="s">
        <v>297</v>
      </c>
      <c r="C20539" s="52">
        <v>162141.467127276</v>
      </c>
      <c r="D20539" s="56">
        <v>0.10629126179182868</v>
      </c>
      <c r="E20539" s="224" t="s">
        <v>2</v>
      </c>
      <c r="F20539" s="515" t="s">
        <v>21709</v>
      </c>
      <c r="G20539" s="52">
        <v>112424.728037124</v>
      </c>
      <c r="H20539" s="56">
        <v>-3.7012775253612913E-2</v>
      </c>
      <c r="I20539" s="224" t="s">
        <v>2</v>
      </c>
    </row>
    <row r="20540" spans="1:9" x14ac:dyDescent="0.25">
      <c r="A20540" s="515">
        <v>17721</v>
      </c>
      <c r="B20540" s="515" t="s">
        <v>776</v>
      </c>
      <c r="C20540" s="52">
        <v>166237.99062259801</v>
      </c>
      <c r="D20540" s="56">
        <v>4.2993906632523851E-2</v>
      </c>
      <c r="E20540" s="224" t="s">
        <v>2</v>
      </c>
      <c r="F20540" s="515" t="s">
        <v>21710</v>
      </c>
      <c r="G20540" s="52">
        <v>127549.934992169</v>
      </c>
      <c r="H20540" s="56">
        <v>0.16667942474554817</v>
      </c>
      <c r="I20540" s="224" t="s">
        <v>2</v>
      </c>
    </row>
    <row r="20541" spans="1:9" x14ac:dyDescent="0.25">
      <c r="A20541" s="515">
        <v>14418</v>
      </c>
      <c r="B20541" s="515" t="s">
        <v>337</v>
      </c>
      <c r="C20541" s="52">
        <v>264820.72902261798</v>
      </c>
      <c r="D20541" s="56">
        <v>0.13358170355721508</v>
      </c>
      <c r="E20541" s="224" t="s">
        <v>2</v>
      </c>
      <c r="F20541" s="515" t="s">
        <v>21711</v>
      </c>
      <c r="G20541" s="52">
        <v>150123.152064692</v>
      </c>
      <c r="H20541" s="56">
        <v>9.0018056027717674E-2</v>
      </c>
      <c r="I20541" s="224" t="s">
        <v>2</v>
      </c>
    </row>
    <row r="20542" spans="1:9" x14ac:dyDescent="0.25">
      <c r="A20542" s="515">
        <v>41603</v>
      </c>
      <c r="C20542" s="52">
        <v>103469.130427032</v>
      </c>
      <c r="D20542" s="56">
        <v>0.15714126512142701</v>
      </c>
      <c r="E20542" s="224" t="s">
        <v>2</v>
      </c>
      <c r="F20542" s="515" t="s">
        <v>21712</v>
      </c>
      <c r="G20542" s="52">
        <v>102430.137254901</v>
      </c>
      <c r="H20542" s="56">
        <v>0</v>
      </c>
      <c r="I20542" s="224" t="s">
        <v>2</v>
      </c>
    </row>
    <row r="20543" spans="1:9" x14ac:dyDescent="0.25">
      <c r="A20543" s="515">
        <v>20880</v>
      </c>
      <c r="B20543" s="515" t="s">
        <v>321</v>
      </c>
      <c r="C20543" s="52">
        <v>569516.59796772804</v>
      </c>
      <c r="D20543" s="56">
        <v>4.8230090095224457E-2</v>
      </c>
      <c r="E20543" s="224" t="s">
        <v>2</v>
      </c>
      <c r="F20543" s="515" t="s">
        <v>21713</v>
      </c>
      <c r="G20543" s="52">
        <v>289525.22316952702</v>
      </c>
      <c r="H20543" s="56">
        <v>9.5493500060856551E-2</v>
      </c>
      <c r="I20543" s="224" t="s">
        <v>2</v>
      </c>
    </row>
    <row r="20544" spans="1:9" x14ac:dyDescent="0.25">
      <c r="A20544" s="515">
        <v>62835</v>
      </c>
      <c r="C20544" s="52">
        <v>63752.316036919103</v>
      </c>
      <c r="D20544" s="56">
        <v>-9.0669249236510676E-3</v>
      </c>
      <c r="E20544" s="224" t="s">
        <v>2</v>
      </c>
      <c r="F20544" s="515" t="s">
        <v>21714</v>
      </c>
      <c r="G20544" s="52">
        <v>890942.02530569595</v>
      </c>
      <c r="H20544" s="56">
        <v>-1.9568562704416221E-2</v>
      </c>
      <c r="I20544" s="224" t="s">
        <v>2</v>
      </c>
    </row>
    <row r="20545" spans="1:9" x14ac:dyDescent="0.25">
      <c r="A20545" s="515">
        <v>73939</v>
      </c>
      <c r="B20545" s="515" t="s">
        <v>1005</v>
      </c>
      <c r="C20545" s="52">
        <v>197497.57375335501</v>
      </c>
      <c r="D20545" s="56">
        <v>0.11132022784757488</v>
      </c>
      <c r="E20545" s="224" t="s">
        <v>2</v>
      </c>
      <c r="F20545" s="515" t="s">
        <v>21715</v>
      </c>
      <c r="G20545" s="52">
        <v>40128.340978784501</v>
      </c>
      <c r="H20545" s="56">
        <v>2.1947937450237886E-2</v>
      </c>
      <c r="I20545" s="224" t="s">
        <v>2</v>
      </c>
    </row>
    <row r="20546" spans="1:9" x14ac:dyDescent="0.25">
      <c r="A20546" s="515">
        <v>50238</v>
      </c>
      <c r="C20546" s="52">
        <v>136448.430515838</v>
      </c>
      <c r="D20546" s="56">
        <v>0</v>
      </c>
      <c r="E20546" s="224" t="s">
        <v>2</v>
      </c>
      <c r="F20546" s="515" t="s">
        <v>21716</v>
      </c>
      <c r="G20546" s="52">
        <v>159104.196200345</v>
      </c>
      <c r="H20546" s="56">
        <v>0.13146339274759836</v>
      </c>
      <c r="I20546" s="224" t="s">
        <v>2</v>
      </c>
    </row>
    <row r="20547" spans="1:9" x14ac:dyDescent="0.25">
      <c r="A20547" s="515">
        <v>52590</v>
      </c>
      <c r="C20547" s="52">
        <v>110140.15319038701</v>
      </c>
      <c r="D20547" s="56">
        <v>0.12776126652374287</v>
      </c>
      <c r="E20547" s="224" t="s">
        <v>2</v>
      </c>
      <c r="F20547" s="515" t="s">
        <v>21717</v>
      </c>
      <c r="G20547" s="52">
        <v>191713.529283285</v>
      </c>
      <c r="H20547" s="56">
        <v>0.13949311650753959</v>
      </c>
      <c r="I20547" s="224" t="s">
        <v>2</v>
      </c>
    </row>
    <row r="20548" spans="1:9" x14ac:dyDescent="0.25">
      <c r="A20548" s="515">
        <v>81223</v>
      </c>
      <c r="B20548" s="515" t="s">
        <v>925</v>
      </c>
      <c r="C20548" s="52">
        <v>321579.422594417</v>
      </c>
      <c r="D20548" s="56">
        <v>6.7463413603185279E-2</v>
      </c>
      <c r="E20548" s="224" t="s">
        <v>2</v>
      </c>
      <c r="F20548" s="515" t="s">
        <v>21718</v>
      </c>
      <c r="G20548" s="52">
        <v>344536.50231315597</v>
      </c>
      <c r="H20548" s="56">
        <v>4.1225876161823077E-2</v>
      </c>
      <c r="I20548" s="224" t="s">
        <v>2</v>
      </c>
    </row>
    <row r="20549" spans="1:9" x14ac:dyDescent="0.25">
      <c r="A20549" s="515">
        <v>25035</v>
      </c>
      <c r="B20549" s="515" t="s">
        <v>322</v>
      </c>
      <c r="C20549" s="52">
        <v>80261.903932157002</v>
      </c>
      <c r="D20549" s="56">
        <v>0.12576009441628266</v>
      </c>
      <c r="E20549" s="224" t="s">
        <v>2</v>
      </c>
      <c r="F20549" s="515" t="s">
        <v>21719</v>
      </c>
      <c r="G20549" s="52">
        <v>410598.69708272797</v>
      </c>
      <c r="H20549" s="56">
        <v>0.12092849328340234</v>
      </c>
      <c r="I20549" s="224" t="s">
        <v>2</v>
      </c>
    </row>
    <row r="20550" spans="1:9" x14ac:dyDescent="0.25">
      <c r="A20550" s="515">
        <v>66956</v>
      </c>
      <c r="C20550" s="52">
        <v>88164.377418937205</v>
      </c>
      <c r="D20550" s="56">
        <v>0.10388404513831415</v>
      </c>
      <c r="E20550" s="224" t="s">
        <v>2</v>
      </c>
      <c r="F20550" s="515" t="s">
        <v>21720</v>
      </c>
      <c r="G20550" s="52">
        <v>74191.426464923599</v>
      </c>
      <c r="H20550" s="56">
        <v>0.11869136917236457</v>
      </c>
      <c r="I20550" s="224" t="s">
        <v>2</v>
      </c>
    </row>
    <row r="20551" spans="1:9" x14ac:dyDescent="0.25">
      <c r="A20551" s="515">
        <v>20621</v>
      </c>
      <c r="B20551" s="515" t="s">
        <v>779</v>
      </c>
      <c r="C20551" s="52">
        <v>313042.58932762698</v>
      </c>
      <c r="D20551" s="56">
        <v>1.8557447252166317E-2</v>
      </c>
      <c r="E20551" s="224" t="s">
        <v>2</v>
      </c>
      <c r="F20551" s="515" t="s">
        <v>21721</v>
      </c>
      <c r="G20551" s="52">
        <v>89281.028142170006</v>
      </c>
      <c r="H20551" s="56">
        <v>0.13388181973714594</v>
      </c>
      <c r="I20551" s="224" t="s">
        <v>2</v>
      </c>
    </row>
    <row r="20552" spans="1:9" x14ac:dyDescent="0.25">
      <c r="A20552" s="515">
        <v>81624</v>
      </c>
      <c r="B20552" s="515" t="s">
        <v>619</v>
      </c>
      <c r="C20552" s="52">
        <v>377762.76771038497</v>
      </c>
      <c r="D20552" s="56">
        <v>3.7733901307164856E-2</v>
      </c>
      <c r="E20552" s="224" t="s">
        <v>2</v>
      </c>
      <c r="F20552" s="515" t="s">
        <v>21722</v>
      </c>
      <c r="G20552" s="52">
        <v>89085.999082046998</v>
      </c>
      <c r="H20552" s="56">
        <v>0.10859033112078538</v>
      </c>
      <c r="I20552" s="224" t="s">
        <v>2</v>
      </c>
    </row>
    <row r="20553" spans="1:9" x14ac:dyDescent="0.25">
      <c r="A20553" s="515">
        <v>4631</v>
      </c>
      <c r="C20553" s="52">
        <v>205916.93978864199</v>
      </c>
      <c r="D20553" s="56">
        <v>0.11030868197453056</v>
      </c>
      <c r="E20553" s="224" t="s">
        <v>2</v>
      </c>
      <c r="F20553" s="515" t="s">
        <v>21723</v>
      </c>
      <c r="G20553" s="52">
        <v>154425.94360862501</v>
      </c>
      <c r="H20553" s="56">
        <v>0.18152245414527143</v>
      </c>
      <c r="I20553" s="224" t="s">
        <v>2</v>
      </c>
    </row>
    <row r="20554" spans="1:9" x14ac:dyDescent="0.25">
      <c r="A20554" s="515">
        <v>18465</v>
      </c>
      <c r="C20554" s="52">
        <v>197237.06655001099</v>
      </c>
      <c r="D20554" s="56">
        <v>8.5870240574807119E-2</v>
      </c>
      <c r="E20554" s="224" t="s">
        <v>2</v>
      </c>
      <c r="F20554" s="515" t="s">
        <v>21724</v>
      </c>
      <c r="G20554" s="52">
        <v>278663.71698113199</v>
      </c>
      <c r="H20554" s="56">
        <v>0</v>
      </c>
      <c r="I20554" s="224" t="s">
        <v>2</v>
      </c>
    </row>
    <row r="20555" spans="1:9" x14ac:dyDescent="0.25">
      <c r="A20555" s="515">
        <v>54888</v>
      </c>
      <c r="C20555" s="52">
        <v>251669.450897779</v>
      </c>
      <c r="D20555" s="56">
        <v>0.14101179938458563</v>
      </c>
      <c r="E20555" s="224" t="s">
        <v>2</v>
      </c>
      <c r="F20555" s="515" t="s">
        <v>21725</v>
      </c>
      <c r="G20555" s="52">
        <v>204851.04539779801</v>
      </c>
      <c r="H20555" s="56">
        <v>0.10788457017661754</v>
      </c>
      <c r="I20555" s="224" t="s">
        <v>2</v>
      </c>
    </row>
    <row r="20556" spans="1:9" x14ac:dyDescent="0.25">
      <c r="A20556" s="515">
        <v>26133</v>
      </c>
      <c r="B20556" s="515" t="s">
        <v>956</v>
      </c>
      <c r="C20556" s="52">
        <v>171885.81307644999</v>
      </c>
      <c r="D20556" s="56">
        <v>6.6329900810229686E-2</v>
      </c>
      <c r="E20556" s="224" t="s">
        <v>2</v>
      </c>
      <c r="F20556" s="515" t="s">
        <v>21726</v>
      </c>
      <c r="G20556" s="52">
        <v>72930.3400026866</v>
      </c>
      <c r="H20556" s="56">
        <v>0.15518138085991659</v>
      </c>
      <c r="I20556" s="224" t="s">
        <v>2</v>
      </c>
    </row>
    <row r="20557" spans="1:9" x14ac:dyDescent="0.25">
      <c r="A20557" s="515">
        <v>14709</v>
      </c>
      <c r="C20557" s="52">
        <v>109583.97576269</v>
      </c>
      <c r="D20557" s="56">
        <v>7.8220589274161326E-2</v>
      </c>
      <c r="E20557" s="224" t="s">
        <v>2</v>
      </c>
      <c r="F20557" s="515" t="s">
        <v>21727</v>
      </c>
      <c r="G20557" s="52">
        <v>119406.05151311999</v>
      </c>
      <c r="H20557" s="56">
        <v>0</v>
      </c>
      <c r="I20557" s="224" t="s">
        <v>2</v>
      </c>
    </row>
    <row r="20558" spans="1:9" x14ac:dyDescent="0.25">
      <c r="A20558" s="515">
        <v>37175</v>
      </c>
      <c r="B20558" s="515" t="s">
        <v>651</v>
      </c>
      <c r="C20558" s="52">
        <v>164468.2360226</v>
      </c>
      <c r="D20558" s="56">
        <v>2.723426636752602E-2</v>
      </c>
      <c r="E20558" s="224" t="s">
        <v>2</v>
      </c>
      <c r="F20558" s="515" t="s">
        <v>21728</v>
      </c>
      <c r="G20558" s="52">
        <v>222916.876070431</v>
      </c>
      <c r="H20558" s="56">
        <v>0.21919455467119178</v>
      </c>
      <c r="I20558" s="224" t="s">
        <v>2</v>
      </c>
    </row>
    <row r="20559" spans="1:9" x14ac:dyDescent="0.25">
      <c r="A20559" s="515">
        <v>75439</v>
      </c>
      <c r="B20559" s="515" t="s">
        <v>298</v>
      </c>
      <c r="C20559" s="52">
        <v>195816.654759711</v>
      </c>
      <c r="D20559" s="56">
        <v>0</v>
      </c>
      <c r="E20559" s="224" t="s">
        <v>2</v>
      </c>
      <c r="F20559" s="515" t="s">
        <v>21729</v>
      </c>
      <c r="G20559" s="52">
        <v>105209.690015146</v>
      </c>
      <c r="H20559" s="56">
        <v>7.8737584404656183E-2</v>
      </c>
      <c r="I20559" s="224" t="s">
        <v>2</v>
      </c>
    </row>
    <row r="20560" spans="1:9" x14ac:dyDescent="0.25">
      <c r="A20560" s="515">
        <v>95689</v>
      </c>
      <c r="C20560" s="52">
        <v>400922.00488845998</v>
      </c>
      <c r="D20560" s="56">
        <v>-2.6701350235439854E-2</v>
      </c>
      <c r="E20560" s="224" t="s">
        <v>2</v>
      </c>
      <c r="F20560" s="515" t="s">
        <v>21730</v>
      </c>
      <c r="G20560" s="52">
        <v>155830.66607650099</v>
      </c>
      <c r="H20560" s="56">
        <v>0.22624246853279786</v>
      </c>
      <c r="I20560" s="224" t="s">
        <v>2</v>
      </c>
    </row>
    <row r="20561" spans="1:9" x14ac:dyDescent="0.25">
      <c r="A20561" s="515">
        <v>38039</v>
      </c>
      <c r="C20561" s="52">
        <v>114463.042464643</v>
      </c>
      <c r="D20561" s="56">
        <v>0</v>
      </c>
      <c r="E20561" s="224" t="s">
        <v>2</v>
      </c>
      <c r="F20561" s="515" t="s">
        <v>21731</v>
      </c>
      <c r="G20561" s="52">
        <v>180761.51558191501</v>
      </c>
      <c r="H20561" s="56">
        <v>3.7888989465354982E-2</v>
      </c>
      <c r="I20561" s="224" t="s">
        <v>2</v>
      </c>
    </row>
    <row r="20562" spans="1:9" x14ac:dyDescent="0.25">
      <c r="A20562" s="515">
        <v>48760</v>
      </c>
      <c r="B20562" s="515" t="s">
        <v>685</v>
      </c>
      <c r="C20562" s="52">
        <v>83134.149595019102</v>
      </c>
      <c r="D20562" s="56">
        <v>-1.3812869805310915E-2</v>
      </c>
      <c r="E20562" s="224" t="s">
        <v>2</v>
      </c>
      <c r="F20562" s="515" t="s">
        <v>21732</v>
      </c>
      <c r="G20562" s="52">
        <v>170482.556520151</v>
      </c>
      <c r="H20562" s="56">
        <v>0</v>
      </c>
      <c r="I20562" s="224" t="s">
        <v>2</v>
      </c>
    </row>
    <row r="20563" spans="1:9" x14ac:dyDescent="0.25">
      <c r="A20563" s="515">
        <v>23432</v>
      </c>
      <c r="B20563" s="515" t="s">
        <v>301</v>
      </c>
      <c r="C20563" s="52">
        <v>387528.32968734298</v>
      </c>
      <c r="D20563" s="56">
        <v>5.2269909307353292E-2</v>
      </c>
      <c r="E20563" s="224" t="s">
        <v>2</v>
      </c>
      <c r="F20563" s="515" t="s">
        <v>21733</v>
      </c>
      <c r="G20563" s="52">
        <v>735648.81889575603</v>
      </c>
      <c r="H20563" s="56">
        <v>0.15116187438485734</v>
      </c>
      <c r="I20563" s="224" t="s">
        <v>2</v>
      </c>
    </row>
    <row r="20564" spans="1:9" x14ac:dyDescent="0.25">
      <c r="A20564" s="515">
        <v>4973</v>
      </c>
      <c r="C20564" s="52">
        <v>300497.728316263</v>
      </c>
      <c r="D20564" s="56">
        <v>9.0289621751822216E-2</v>
      </c>
      <c r="E20564" s="224" t="s">
        <v>2</v>
      </c>
      <c r="F20564" s="515" t="s">
        <v>21734</v>
      </c>
      <c r="G20564" s="52">
        <v>118616.106964187</v>
      </c>
      <c r="H20564" s="56">
        <v>3.9639046793989004E-2</v>
      </c>
      <c r="I20564" s="224" t="s">
        <v>2</v>
      </c>
    </row>
    <row r="20565" spans="1:9" x14ac:dyDescent="0.25">
      <c r="A20565" s="515">
        <v>75449</v>
      </c>
      <c r="B20565" s="515" t="s">
        <v>458</v>
      </c>
      <c r="C20565" s="52">
        <v>158355.760127499</v>
      </c>
      <c r="D20565" s="56">
        <v>4.6988919723807724E-3</v>
      </c>
      <c r="E20565" s="224" t="s">
        <v>2</v>
      </c>
      <c r="F20565" s="515" t="s">
        <v>21735</v>
      </c>
      <c r="G20565" s="52">
        <v>731338.68669587304</v>
      </c>
      <c r="H20565" s="56">
        <v>2.9384821123033009E-2</v>
      </c>
      <c r="I20565" s="224" t="s">
        <v>2</v>
      </c>
    </row>
    <row r="20566" spans="1:9" x14ac:dyDescent="0.25">
      <c r="A20566" s="515">
        <v>99170</v>
      </c>
      <c r="B20566" s="515" t="s">
        <v>450</v>
      </c>
      <c r="C20566" s="52">
        <v>272488.72076961503</v>
      </c>
      <c r="D20566" s="56">
        <v>0.12575139927766776</v>
      </c>
      <c r="E20566" s="224" t="s">
        <v>2</v>
      </c>
      <c r="F20566" s="515" t="s">
        <v>21736</v>
      </c>
      <c r="G20566" s="52">
        <v>184110.22674744599</v>
      </c>
      <c r="H20566" s="56">
        <v>0.1014543264791332</v>
      </c>
      <c r="I20566" s="224" t="s">
        <v>2</v>
      </c>
    </row>
    <row r="20567" spans="1:9" x14ac:dyDescent="0.25">
      <c r="A20567" s="515">
        <v>26257</v>
      </c>
      <c r="B20567" s="515" t="s">
        <v>586</v>
      </c>
      <c r="C20567" s="52">
        <v>114762.094391936</v>
      </c>
      <c r="D20567" s="56">
        <v>6.5566456055916544E-2</v>
      </c>
      <c r="E20567" s="224" t="s">
        <v>2</v>
      </c>
      <c r="F20567" s="515" t="s">
        <v>21737</v>
      </c>
      <c r="G20567" s="52">
        <v>139893.23880512401</v>
      </c>
      <c r="H20567" s="56">
        <v>8.798891351363522E-2</v>
      </c>
      <c r="I20567" s="224" t="s">
        <v>2</v>
      </c>
    </row>
    <row r="20568" spans="1:9" x14ac:dyDescent="0.25">
      <c r="A20568" s="515">
        <v>40819</v>
      </c>
      <c r="C20568" s="52">
        <v>67300.9107091021</v>
      </c>
      <c r="D20568" s="56">
        <v>0.18512470858855484</v>
      </c>
      <c r="E20568" s="224" t="s">
        <v>2</v>
      </c>
      <c r="F20568" s="515" t="s">
        <v>21738</v>
      </c>
      <c r="G20568" s="52">
        <v>372347.85693860002</v>
      </c>
      <c r="H20568" s="56">
        <v>0.13143321768729258</v>
      </c>
      <c r="I20568" s="224" t="s">
        <v>2</v>
      </c>
    </row>
    <row r="20569" spans="1:9" x14ac:dyDescent="0.25">
      <c r="A20569" s="515">
        <v>63829</v>
      </c>
      <c r="B20569" s="515" t="s">
        <v>910</v>
      </c>
      <c r="C20569" s="52">
        <v>57877.893128887401</v>
      </c>
      <c r="D20569" s="56">
        <v>0</v>
      </c>
      <c r="E20569" s="224" t="s">
        <v>2</v>
      </c>
      <c r="F20569" s="515" t="s">
        <v>21739</v>
      </c>
      <c r="G20569" s="52">
        <v>155397.85646781299</v>
      </c>
      <c r="H20569" s="56">
        <v>0</v>
      </c>
      <c r="I20569" s="224" t="s">
        <v>2</v>
      </c>
    </row>
    <row r="20570" spans="1:9" x14ac:dyDescent="0.25">
      <c r="A20570" s="515">
        <v>11957</v>
      </c>
      <c r="B20570" s="515" t="s">
        <v>324</v>
      </c>
      <c r="C20570" s="52">
        <v>1398450.2005631099</v>
      </c>
      <c r="D20570" s="56">
        <v>0.10658072712868787</v>
      </c>
      <c r="E20570" s="224" t="s">
        <v>2</v>
      </c>
      <c r="F20570" s="515" t="s">
        <v>21740</v>
      </c>
      <c r="G20570" s="52">
        <v>428393.36629923299</v>
      </c>
      <c r="H20570" s="56">
        <v>4.8524455281290568E-2</v>
      </c>
      <c r="I20570" s="224" t="s">
        <v>2</v>
      </c>
    </row>
    <row r="20571" spans="1:9" x14ac:dyDescent="0.25">
      <c r="A20571" s="515">
        <v>24946</v>
      </c>
      <c r="C20571" s="52">
        <v>124054.92457800701</v>
      </c>
      <c r="D20571" s="56">
        <v>0.10914548892833183</v>
      </c>
      <c r="E20571" s="224" t="s">
        <v>2</v>
      </c>
      <c r="F20571" s="515" t="s">
        <v>21741</v>
      </c>
      <c r="G20571" s="52">
        <v>230471.377777777</v>
      </c>
      <c r="H20571" s="56">
        <v>0</v>
      </c>
      <c r="I20571" s="224" t="s">
        <v>2</v>
      </c>
    </row>
    <row r="20572" spans="1:9" x14ac:dyDescent="0.25">
      <c r="A20572" s="515">
        <v>30660</v>
      </c>
      <c r="C20572" s="52">
        <v>145402.744751277</v>
      </c>
      <c r="D20572" s="56">
        <v>0.17944742048879608</v>
      </c>
      <c r="E20572" s="224" t="s">
        <v>2</v>
      </c>
      <c r="F20572" s="515" t="s">
        <v>21742</v>
      </c>
      <c r="G20572" s="52">
        <v>162510.89083509901</v>
      </c>
      <c r="H20572" s="56">
        <v>0.1326277720980587</v>
      </c>
      <c r="I20572" s="224" t="s">
        <v>2</v>
      </c>
    </row>
    <row r="20573" spans="1:9" x14ac:dyDescent="0.25">
      <c r="A20573" s="515">
        <v>12076</v>
      </c>
      <c r="B20573" s="515" t="s">
        <v>609</v>
      </c>
      <c r="C20573" s="52">
        <v>191947.411437895</v>
      </c>
      <c r="D20573" s="56">
        <v>0.15940037629349996</v>
      </c>
      <c r="E20573" s="224" t="s">
        <v>2</v>
      </c>
      <c r="F20573" s="515" t="s">
        <v>21743</v>
      </c>
      <c r="G20573" s="52">
        <v>176340.62003719399</v>
      </c>
      <c r="H20573" s="56">
        <v>0.17242587583271438</v>
      </c>
      <c r="I20573" s="224" t="s">
        <v>2</v>
      </c>
    </row>
    <row r="20574" spans="1:9" x14ac:dyDescent="0.25">
      <c r="A20574" s="515">
        <v>43778</v>
      </c>
      <c r="B20574" s="515" t="s">
        <v>499</v>
      </c>
      <c r="C20574" s="52">
        <v>151502.93208978401</v>
      </c>
      <c r="D20574" s="56">
        <v>8.4078442102463541E-2</v>
      </c>
      <c r="E20574" s="224" t="s">
        <v>2</v>
      </c>
      <c r="F20574" s="515" t="s">
        <v>21744</v>
      </c>
      <c r="G20574" s="52">
        <v>216856.138888888</v>
      </c>
      <c r="H20574" s="56">
        <v>0</v>
      </c>
      <c r="I20574" s="224" t="s">
        <v>2</v>
      </c>
    </row>
    <row r="20575" spans="1:9" x14ac:dyDescent="0.25">
      <c r="A20575" s="515">
        <v>61075</v>
      </c>
      <c r="C20575" s="52">
        <v>146663.888932309</v>
      </c>
      <c r="D20575" s="56">
        <v>0</v>
      </c>
      <c r="E20575" s="224" t="s">
        <v>2</v>
      </c>
      <c r="F20575" s="515" t="s">
        <v>21745</v>
      </c>
      <c r="G20575" s="52">
        <v>228916.100710075</v>
      </c>
      <c r="H20575" s="56">
        <v>5.2264148455237885E-2</v>
      </c>
      <c r="I20575" s="224" t="s">
        <v>2</v>
      </c>
    </row>
    <row r="20576" spans="1:9" x14ac:dyDescent="0.25">
      <c r="A20576" s="515">
        <v>66856</v>
      </c>
      <c r="C20576" s="52">
        <v>161651.15122218101</v>
      </c>
      <c r="D20576" s="56">
        <v>9.1528260603075076E-2</v>
      </c>
      <c r="E20576" s="224" t="s">
        <v>2</v>
      </c>
      <c r="F20576" s="515" t="s">
        <v>21746</v>
      </c>
      <c r="G20576" s="52">
        <v>219612.51319351999</v>
      </c>
      <c r="H20576" s="56">
        <v>3.2502717965774787E-2</v>
      </c>
      <c r="I20576" s="224" t="s">
        <v>2</v>
      </c>
    </row>
    <row r="20577" spans="1:9" x14ac:dyDescent="0.25">
      <c r="A20577" s="515">
        <v>45745</v>
      </c>
      <c r="C20577" s="52">
        <v>130591.079950506</v>
      </c>
      <c r="D20577" s="56">
        <v>2.8752706977419218E-2</v>
      </c>
      <c r="E20577" s="224" t="s">
        <v>2</v>
      </c>
      <c r="F20577" s="515" t="s">
        <v>21747</v>
      </c>
      <c r="G20577" s="52">
        <v>139052.07736935801</v>
      </c>
      <c r="H20577" s="56">
        <v>0.36742840800952531</v>
      </c>
      <c r="I20577" s="224" t="s">
        <v>2</v>
      </c>
    </row>
    <row r="20578" spans="1:9" x14ac:dyDescent="0.25">
      <c r="A20578" s="515">
        <v>60550</v>
      </c>
      <c r="B20578" s="515" t="s">
        <v>394</v>
      </c>
      <c r="C20578" s="52">
        <v>211962.19601448599</v>
      </c>
      <c r="D20578" s="56">
        <v>8.5718440829141193E-2</v>
      </c>
      <c r="E20578" s="224" t="s">
        <v>2</v>
      </c>
      <c r="F20578" s="515" t="s">
        <v>21748</v>
      </c>
      <c r="G20578" s="52">
        <v>586523.24608093698</v>
      </c>
      <c r="H20578" s="56">
        <v>0.1049645335587395</v>
      </c>
      <c r="I20578" s="224" t="s">
        <v>2</v>
      </c>
    </row>
    <row r="20579" spans="1:9" x14ac:dyDescent="0.25">
      <c r="A20579" s="515">
        <v>95651</v>
      </c>
      <c r="B20579" s="515" t="s">
        <v>355</v>
      </c>
      <c r="C20579" s="52">
        <v>606353.47749118297</v>
      </c>
      <c r="D20579" s="56">
        <v>8.5850485571992551E-3</v>
      </c>
      <c r="E20579" s="224" t="s">
        <v>2</v>
      </c>
      <c r="F20579" s="515" t="s">
        <v>21749</v>
      </c>
      <c r="G20579" s="52">
        <v>770831.38150191202</v>
      </c>
      <c r="H20579" s="56">
        <v>2.3529697579577079E-2</v>
      </c>
      <c r="I20579" s="224" t="s">
        <v>2</v>
      </c>
    </row>
    <row r="20580" spans="1:9" x14ac:dyDescent="0.25">
      <c r="A20580" s="515">
        <v>96781</v>
      </c>
      <c r="B20580" s="515" t="s">
        <v>399</v>
      </c>
      <c r="C20580" s="52">
        <v>486803.24130824697</v>
      </c>
      <c r="D20580" s="56">
        <v>0.15804525086581311</v>
      </c>
      <c r="E20580" s="224" t="s">
        <v>2</v>
      </c>
      <c r="F20580" s="515" t="s">
        <v>21750</v>
      </c>
      <c r="G20580" s="52">
        <v>100477.724394626</v>
      </c>
      <c r="H20580" s="56">
        <v>-7.022459738812141E-2</v>
      </c>
      <c r="I20580" s="224" t="s">
        <v>2</v>
      </c>
    </row>
    <row r="20581" spans="1:9" x14ac:dyDescent="0.25">
      <c r="A20581" s="515">
        <v>56336</v>
      </c>
      <c r="C20581" s="52">
        <v>315538.05655129999</v>
      </c>
      <c r="D20581" s="56">
        <v>9.5851603640468352E-2</v>
      </c>
      <c r="E20581" s="224" t="s">
        <v>2</v>
      </c>
      <c r="F20581" s="515" t="s">
        <v>21751</v>
      </c>
      <c r="G20581" s="52">
        <v>105751.410032671</v>
      </c>
      <c r="H20581" s="56">
        <v>0</v>
      </c>
      <c r="I20581" s="224" t="s">
        <v>2</v>
      </c>
    </row>
    <row r="20582" spans="1:9" x14ac:dyDescent="0.25">
      <c r="A20582" s="515">
        <v>62634</v>
      </c>
      <c r="B20582" s="515" t="s">
        <v>837</v>
      </c>
      <c r="C20582" s="52">
        <v>125424.005629647</v>
      </c>
      <c r="D20582" s="56">
        <v>-2.2254999672560425E-2</v>
      </c>
      <c r="E20582" s="224" t="s">
        <v>2</v>
      </c>
      <c r="F20582" s="515" t="s">
        <v>21752</v>
      </c>
      <c r="G20582" s="52">
        <v>96963.447619047598</v>
      </c>
      <c r="H20582" s="56">
        <v>0</v>
      </c>
      <c r="I20582" s="224" t="s">
        <v>2</v>
      </c>
    </row>
    <row r="20583" spans="1:9" x14ac:dyDescent="0.25">
      <c r="A20583" s="515">
        <v>54564</v>
      </c>
      <c r="C20583" s="52">
        <v>154103.05031846499</v>
      </c>
      <c r="D20583" s="56">
        <v>0.1123808703837656</v>
      </c>
      <c r="E20583" s="224" t="s">
        <v>2</v>
      </c>
      <c r="F20583" s="515" t="s">
        <v>21753</v>
      </c>
      <c r="G20583" s="52">
        <v>149355.153580894</v>
      </c>
      <c r="H20583" s="56">
        <v>0</v>
      </c>
      <c r="I20583" s="224" t="s">
        <v>2</v>
      </c>
    </row>
    <row r="20584" spans="1:9" x14ac:dyDescent="0.25">
      <c r="A20584" s="515">
        <v>63862</v>
      </c>
      <c r="C20584" s="52">
        <v>81468.962814417406</v>
      </c>
      <c r="D20584" s="56">
        <v>0.12592809668745861</v>
      </c>
      <c r="E20584" s="224" t="s">
        <v>2</v>
      </c>
      <c r="F20584" s="515" t="s">
        <v>21754</v>
      </c>
      <c r="G20584" s="52">
        <v>204958.17176085099</v>
      </c>
      <c r="H20584" s="56">
        <v>4.2912473922396763E-2</v>
      </c>
      <c r="I20584" s="224" t="s">
        <v>2</v>
      </c>
    </row>
    <row r="20585" spans="1:9" x14ac:dyDescent="0.25">
      <c r="A20585" s="515">
        <v>21869</v>
      </c>
      <c r="B20585" s="515" t="s">
        <v>388</v>
      </c>
      <c r="C20585" s="52">
        <v>190340.94795580301</v>
      </c>
      <c r="D20585" s="56">
        <v>3.590970090223336E-2</v>
      </c>
      <c r="E20585" s="224" t="s">
        <v>2</v>
      </c>
      <c r="F20585" s="515" t="s">
        <v>21755</v>
      </c>
      <c r="G20585" s="52">
        <v>190412.86046511601</v>
      </c>
      <c r="H20585" s="56">
        <v>0</v>
      </c>
      <c r="I20585" s="224" t="s">
        <v>2</v>
      </c>
    </row>
    <row r="20586" spans="1:9" x14ac:dyDescent="0.25">
      <c r="A20586" s="515">
        <v>23153</v>
      </c>
      <c r="B20586" s="515" t="s">
        <v>667</v>
      </c>
      <c r="C20586" s="52">
        <v>400524.701717989</v>
      </c>
      <c r="D20586" s="56">
        <v>1.2204665956507307E-3</v>
      </c>
      <c r="E20586" s="224" t="s">
        <v>2</v>
      </c>
      <c r="F20586" s="515" t="s">
        <v>21756</v>
      </c>
      <c r="G20586" s="52">
        <v>176283.27010439301</v>
      </c>
      <c r="H20586" s="56">
        <v>4.2231252625929763E-2</v>
      </c>
      <c r="I20586" s="224" t="s">
        <v>2</v>
      </c>
    </row>
    <row r="20587" spans="1:9" x14ac:dyDescent="0.25">
      <c r="A20587" s="515">
        <v>49812</v>
      </c>
      <c r="B20587" s="515" t="s">
        <v>923</v>
      </c>
      <c r="C20587" s="52">
        <v>148419.88153487301</v>
      </c>
      <c r="D20587" s="56">
        <v>0</v>
      </c>
      <c r="E20587" s="224" t="s">
        <v>2</v>
      </c>
      <c r="F20587" s="515" t="s">
        <v>21757</v>
      </c>
      <c r="G20587" s="52">
        <v>175167.84884290499</v>
      </c>
      <c r="H20587" s="56">
        <v>0.16174199491329702</v>
      </c>
      <c r="I20587" s="224" t="s">
        <v>2</v>
      </c>
    </row>
    <row r="20588" spans="1:9" x14ac:dyDescent="0.25">
      <c r="A20588" s="515">
        <v>61421</v>
      </c>
      <c r="B20588" s="515" t="s">
        <v>303</v>
      </c>
      <c r="C20588" s="52">
        <v>81371.003842787904</v>
      </c>
      <c r="D20588" s="56">
        <v>5.2725183129945709E-2</v>
      </c>
      <c r="E20588" s="224" t="s">
        <v>2</v>
      </c>
      <c r="F20588" s="515" t="s">
        <v>21758</v>
      </c>
      <c r="G20588" s="52">
        <v>167886.60988040199</v>
      </c>
      <c r="H20588" s="56">
        <v>0.26432191265974642</v>
      </c>
      <c r="I20588" s="224" t="s">
        <v>2</v>
      </c>
    </row>
    <row r="20589" spans="1:9" x14ac:dyDescent="0.25">
      <c r="A20589" s="515">
        <v>16317</v>
      </c>
      <c r="B20589" s="515" t="s">
        <v>349</v>
      </c>
      <c r="C20589" s="52">
        <v>125886.766554961</v>
      </c>
      <c r="D20589" s="56">
        <v>6.3986390799592452E-2</v>
      </c>
      <c r="E20589" s="224" t="s">
        <v>2</v>
      </c>
      <c r="F20589" s="515" t="s">
        <v>21759</v>
      </c>
      <c r="G20589" s="52">
        <v>124496.94850922799</v>
      </c>
      <c r="H20589" s="56">
        <v>8.7218874796629195E-2</v>
      </c>
      <c r="I20589" s="224" t="s">
        <v>2</v>
      </c>
    </row>
    <row r="20590" spans="1:9" x14ac:dyDescent="0.25">
      <c r="A20590" s="515">
        <v>25969</v>
      </c>
      <c r="C20590" s="52">
        <v>158100.666486784</v>
      </c>
      <c r="D20590" s="56">
        <v>6.7782408369867361E-2</v>
      </c>
      <c r="E20590" s="224" t="s">
        <v>2</v>
      </c>
      <c r="F20590" s="515" t="s">
        <v>21760</v>
      </c>
      <c r="G20590" s="52">
        <v>162994.37300764801</v>
      </c>
      <c r="H20590" s="56">
        <v>5.5002534624432345E-2</v>
      </c>
      <c r="I20590" s="224" t="s">
        <v>2</v>
      </c>
    </row>
    <row r="20591" spans="1:9" x14ac:dyDescent="0.25">
      <c r="A20591" s="515">
        <v>37325</v>
      </c>
      <c r="B20591" s="515" t="s">
        <v>918</v>
      </c>
      <c r="C20591" s="52">
        <v>207359.90639945999</v>
      </c>
      <c r="D20591" s="56">
        <v>6.6471034562643555E-2</v>
      </c>
      <c r="E20591" s="224" t="s">
        <v>2</v>
      </c>
      <c r="F20591" s="515" t="s">
        <v>21761</v>
      </c>
      <c r="G20591" s="52">
        <v>148747.94915254199</v>
      </c>
      <c r="H20591" s="56">
        <v>0</v>
      </c>
      <c r="I20591" s="224" t="s">
        <v>2</v>
      </c>
    </row>
    <row r="20592" spans="1:9" x14ac:dyDescent="0.25">
      <c r="A20592" s="515">
        <v>45148</v>
      </c>
      <c r="B20592" s="515" t="s">
        <v>489</v>
      </c>
      <c r="C20592" s="52">
        <v>191587.60246492299</v>
      </c>
      <c r="D20592" s="56">
        <v>8.901913245181696E-2</v>
      </c>
      <c r="E20592" s="224" t="s">
        <v>2</v>
      </c>
      <c r="F20592" s="515" t="s">
        <v>21762</v>
      </c>
      <c r="G20592" s="52">
        <v>447082.89829471498</v>
      </c>
      <c r="H20592" s="56">
        <v>0.11269149902103391</v>
      </c>
      <c r="I20592" s="224" t="s">
        <v>2</v>
      </c>
    </row>
    <row r="20593" spans="1:9" x14ac:dyDescent="0.25">
      <c r="A20593" s="515">
        <v>59086</v>
      </c>
      <c r="C20593" s="52">
        <v>630918.10785080201</v>
      </c>
      <c r="D20593" s="56">
        <v>0.2466011232899003</v>
      </c>
      <c r="E20593" s="224" t="s">
        <v>2</v>
      </c>
      <c r="F20593" s="515" t="s">
        <v>21763</v>
      </c>
      <c r="G20593" s="52">
        <v>6517728.3382751597</v>
      </c>
      <c r="H20593" s="56">
        <v>0.19919252933657264</v>
      </c>
      <c r="I20593" s="224" t="s">
        <v>2</v>
      </c>
    </row>
    <row r="20594" spans="1:9" x14ac:dyDescent="0.25">
      <c r="A20594" s="515">
        <v>73062</v>
      </c>
      <c r="C20594" s="52">
        <v>66308.567759450802</v>
      </c>
      <c r="D20594" s="56">
        <v>0.11106920030067906</v>
      </c>
      <c r="E20594" s="224" t="s">
        <v>2</v>
      </c>
      <c r="F20594" s="515" t="s">
        <v>21764</v>
      </c>
      <c r="G20594" s="52">
        <v>294798.48721306399</v>
      </c>
      <c r="H20594" s="56">
        <v>5.2916866106901578E-2</v>
      </c>
      <c r="I20594" s="224" t="s">
        <v>2</v>
      </c>
    </row>
    <row r="20595" spans="1:9" x14ac:dyDescent="0.25">
      <c r="A20595" s="515">
        <v>62358</v>
      </c>
      <c r="B20595" s="515" t="s">
        <v>496</v>
      </c>
      <c r="C20595" s="52">
        <v>101447.296703296</v>
      </c>
      <c r="D20595" s="56">
        <v>0</v>
      </c>
      <c r="E20595" s="224" t="s">
        <v>2</v>
      </c>
      <c r="F20595" s="515" t="s">
        <v>21765</v>
      </c>
      <c r="G20595" s="52">
        <v>112095.98710599401</v>
      </c>
      <c r="H20595" s="56">
        <v>-2.5922552655480323E-3</v>
      </c>
      <c r="I20595" s="224" t="s">
        <v>2</v>
      </c>
    </row>
    <row r="20596" spans="1:9" x14ac:dyDescent="0.25">
      <c r="A20596" s="515">
        <v>38876</v>
      </c>
      <c r="B20596" s="515" t="s">
        <v>1010</v>
      </c>
      <c r="C20596" s="52">
        <v>113201.904508176</v>
      </c>
      <c r="D20596" s="56">
        <v>0</v>
      </c>
      <c r="E20596" s="224" t="s">
        <v>2</v>
      </c>
      <c r="F20596" s="515" t="s">
        <v>21766</v>
      </c>
      <c r="G20596" s="52">
        <v>104085.000369147</v>
      </c>
      <c r="H20596" s="56">
        <v>8.3170549857076795E-2</v>
      </c>
      <c r="I20596" s="224" t="s">
        <v>2</v>
      </c>
    </row>
    <row r="20597" spans="1:9" x14ac:dyDescent="0.25">
      <c r="A20597" s="515">
        <v>23934</v>
      </c>
      <c r="C20597" s="52">
        <v>155977.346710735</v>
      </c>
      <c r="D20597" s="56">
        <v>2.8921900583667462E-2</v>
      </c>
      <c r="E20597" s="224" t="s">
        <v>2</v>
      </c>
      <c r="F20597" s="515" t="s">
        <v>21767</v>
      </c>
      <c r="G20597" s="52">
        <v>205032.37422040501</v>
      </c>
      <c r="H20597" s="56">
        <v>8.9141161069933764E-2</v>
      </c>
      <c r="I20597" s="224" t="s">
        <v>2</v>
      </c>
    </row>
    <row r="20598" spans="1:9" x14ac:dyDescent="0.25">
      <c r="A20598" s="515">
        <v>99161</v>
      </c>
      <c r="B20598" s="515" t="s">
        <v>450</v>
      </c>
      <c r="C20598" s="52">
        <v>316357.51395862002</v>
      </c>
      <c r="D20598" s="56">
        <v>9.6419347206083875E-2</v>
      </c>
      <c r="E20598" s="224" t="s">
        <v>2</v>
      </c>
      <c r="F20598" s="515" t="s">
        <v>21768</v>
      </c>
      <c r="G20598" s="52">
        <v>322855.38237081497</v>
      </c>
      <c r="H20598" s="56">
        <v>0</v>
      </c>
      <c r="I20598" s="224" t="s">
        <v>2</v>
      </c>
    </row>
    <row r="20599" spans="1:9" x14ac:dyDescent="0.25">
      <c r="A20599" s="515">
        <v>31551</v>
      </c>
      <c r="B20599" s="515" t="s">
        <v>824</v>
      </c>
      <c r="C20599" s="52">
        <v>159153.42550873201</v>
      </c>
      <c r="D20599" s="56">
        <v>4.6770700659767121E-2</v>
      </c>
      <c r="E20599" s="224" t="s">
        <v>2</v>
      </c>
      <c r="F20599" s="515" t="s">
        <v>21769</v>
      </c>
      <c r="G20599" s="52">
        <v>117323.489234225</v>
      </c>
      <c r="H20599" s="56">
        <v>7.59195526486834E-2</v>
      </c>
      <c r="I20599" s="224" t="s">
        <v>2</v>
      </c>
    </row>
    <row r="20600" spans="1:9" x14ac:dyDescent="0.25">
      <c r="A20600" s="515">
        <v>22969</v>
      </c>
      <c r="B20600" s="515" t="s">
        <v>630</v>
      </c>
      <c r="C20600" s="52">
        <v>225626.651294343</v>
      </c>
      <c r="D20600" s="56">
        <v>0.14161012993298702</v>
      </c>
      <c r="E20600" s="224" t="s">
        <v>2</v>
      </c>
      <c r="F20600" s="515" t="s">
        <v>21770</v>
      </c>
      <c r="G20600" s="52">
        <v>113037.763636363</v>
      </c>
      <c r="H20600" s="56">
        <v>0</v>
      </c>
      <c r="I20600" s="224" t="s">
        <v>2</v>
      </c>
    </row>
    <row r="20601" spans="1:9" x14ac:dyDescent="0.25">
      <c r="A20601" s="515">
        <v>13147</v>
      </c>
      <c r="B20601" s="515" t="s">
        <v>986</v>
      </c>
      <c r="C20601" s="52">
        <v>183361.033337867</v>
      </c>
      <c r="D20601" s="56">
        <v>5.8236057620783405E-2</v>
      </c>
      <c r="E20601" s="224" t="s">
        <v>2</v>
      </c>
      <c r="F20601" s="515" t="s">
        <v>21771</v>
      </c>
      <c r="G20601" s="52">
        <v>128979.346153846</v>
      </c>
      <c r="H20601" s="56">
        <v>0</v>
      </c>
      <c r="I20601" s="224" t="s">
        <v>2</v>
      </c>
    </row>
    <row r="20602" spans="1:9" x14ac:dyDescent="0.25">
      <c r="A20602" s="515">
        <v>1071</v>
      </c>
      <c r="B20602" s="515" t="s">
        <v>575</v>
      </c>
      <c r="C20602" s="52">
        <v>295529.35966448701</v>
      </c>
      <c r="D20602" s="56">
        <v>9.4821654790704771E-2</v>
      </c>
      <c r="E20602" s="224" t="s">
        <v>2</v>
      </c>
      <c r="F20602" s="515" t="s">
        <v>21772</v>
      </c>
      <c r="G20602" s="52">
        <v>62922.369061773999</v>
      </c>
      <c r="H20602" s="56">
        <v>0.1270805192824816</v>
      </c>
      <c r="I20602" s="224" t="s">
        <v>2</v>
      </c>
    </row>
    <row r="20603" spans="1:9" x14ac:dyDescent="0.25">
      <c r="A20603" s="515">
        <v>48749</v>
      </c>
      <c r="C20603" s="52">
        <v>110982.325481258</v>
      </c>
      <c r="D20603" s="56">
        <v>5.3293520118600911E-2</v>
      </c>
      <c r="E20603" s="224" t="s">
        <v>2</v>
      </c>
      <c r="F20603" s="515" t="s">
        <v>21773</v>
      </c>
      <c r="G20603" s="52">
        <v>65077.1761478142</v>
      </c>
      <c r="H20603" s="56">
        <v>0.29807681265096581</v>
      </c>
      <c r="I20603" s="224" t="s">
        <v>2</v>
      </c>
    </row>
    <row r="20604" spans="1:9" x14ac:dyDescent="0.25">
      <c r="A20604" s="515">
        <v>12960</v>
      </c>
      <c r="C20604" s="52">
        <v>160618.26632805399</v>
      </c>
      <c r="D20604" s="56">
        <v>0.16548152852444814</v>
      </c>
      <c r="E20604" s="224" t="s">
        <v>2</v>
      </c>
      <c r="F20604" s="515" t="s">
        <v>21774</v>
      </c>
      <c r="G20604" s="52">
        <v>110003.05940825499</v>
      </c>
      <c r="H20604" s="56">
        <v>0</v>
      </c>
      <c r="I20604" s="224" t="s">
        <v>2</v>
      </c>
    </row>
    <row r="20605" spans="1:9" x14ac:dyDescent="0.25">
      <c r="A20605" s="515">
        <v>62277</v>
      </c>
      <c r="C20605" s="52">
        <v>110776.24296457</v>
      </c>
      <c r="D20605" s="56">
        <v>5.1841506105609274E-2</v>
      </c>
      <c r="E20605" s="224" t="s">
        <v>2</v>
      </c>
      <c r="F20605" s="515" t="s">
        <v>21775</v>
      </c>
      <c r="G20605" s="52">
        <v>203938.85039370001</v>
      </c>
      <c r="H20605" s="56">
        <v>0</v>
      </c>
      <c r="I20605" s="224" t="s">
        <v>2</v>
      </c>
    </row>
    <row r="20606" spans="1:9" x14ac:dyDescent="0.25">
      <c r="A20606" s="515">
        <v>38954</v>
      </c>
      <c r="B20606" s="515" t="s">
        <v>293</v>
      </c>
      <c r="C20606" s="52">
        <v>92334.136986301295</v>
      </c>
      <c r="D20606" s="56">
        <v>0</v>
      </c>
      <c r="E20606" s="224" t="s">
        <v>2</v>
      </c>
      <c r="F20606" s="515" t="s">
        <v>21776</v>
      </c>
      <c r="G20606" s="52">
        <v>87465.962377064003</v>
      </c>
      <c r="H20606" s="56">
        <v>0.12237394501794004</v>
      </c>
      <c r="I20606" s="224" t="s">
        <v>2</v>
      </c>
    </row>
    <row r="20607" spans="1:9" x14ac:dyDescent="0.25">
      <c r="A20607" s="515">
        <v>41562</v>
      </c>
      <c r="C20607" s="52">
        <v>65174.019494319102</v>
      </c>
      <c r="D20607" s="56">
        <v>0.24716608727381631</v>
      </c>
      <c r="E20607" s="224" t="s">
        <v>2</v>
      </c>
      <c r="F20607" s="515" t="s">
        <v>21777</v>
      </c>
      <c r="G20607" s="52">
        <v>121431.00143200799</v>
      </c>
      <c r="H20607" s="56">
        <v>0.13512953437349165</v>
      </c>
      <c r="I20607" s="224" t="s">
        <v>2</v>
      </c>
    </row>
    <row r="20608" spans="1:9" x14ac:dyDescent="0.25">
      <c r="A20608" s="515">
        <v>94020</v>
      </c>
      <c r="B20608" s="515" t="s">
        <v>593</v>
      </c>
      <c r="C20608" s="52">
        <v>909018.64917834604</v>
      </c>
      <c r="D20608" s="56">
        <v>-4.1214327148862424E-2</v>
      </c>
      <c r="E20608" s="224" t="s">
        <v>2</v>
      </c>
      <c r="F20608" s="515" t="s">
        <v>21778</v>
      </c>
      <c r="G20608" s="52">
        <v>90264.913854418803</v>
      </c>
      <c r="H20608" s="56">
        <v>7.118585411142514E-2</v>
      </c>
      <c r="I20608" s="224" t="s">
        <v>2</v>
      </c>
    </row>
    <row r="20609" spans="1:9" x14ac:dyDescent="0.25">
      <c r="A20609" s="515">
        <v>72471</v>
      </c>
      <c r="C20609" s="52">
        <v>77360.222222222204</v>
      </c>
      <c r="D20609" s="56">
        <v>0</v>
      </c>
      <c r="E20609" s="224" t="s">
        <v>2</v>
      </c>
      <c r="F20609" s="515" t="s">
        <v>21779</v>
      </c>
      <c r="G20609" s="52">
        <v>194195.90224614899</v>
      </c>
      <c r="H20609" s="56">
        <v>-8.896946045044217E-2</v>
      </c>
      <c r="I20609" s="224" t="s">
        <v>2</v>
      </c>
    </row>
    <row r="20610" spans="1:9" x14ac:dyDescent="0.25">
      <c r="A20610" s="515">
        <v>51358</v>
      </c>
      <c r="C20610" s="52">
        <v>144138.854641982</v>
      </c>
      <c r="D20610" s="56">
        <v>9.5612874936352191E-2</v>
      </c>
      <c r="E20610" s="224" t="s">
        <v>2</v>
      </c>
      <c r="F20610" s="515" t="s">
        <v>21780</v>
      </c>
      <c r="G20610" s="52">
        <v>247766.54831517299</v>
      </c>
      <c r="H20610" s="56">
        <v>4.0855081181487694E-2</v>
      </c>
      <c r="I20610" s="224" t="s">
        <v>2</v>
      </c>
    </row>
    <row r="20611" spans="1:9" x14ac:dyDescent="0.25">
      <c r="A20611" s="515">
        <v>13839</v>
      </c>
      <c r="C20611" s="52">
        <v>182880.533456684</v>
      </c>
      <c r="D20611" s="56">
        <v>0.11558165124872011</v>
      </c>
      <c r="E20611" s="224" t="s">
        <v>2</v>
      </c>
      <c r="F20611" s="515" t="s">
        <v>21781</v>
      </c>
      <c r="G20611" s="52">
        <v>335215.61962033802</v>
      </c>
      <c r="H20611" s="56">
        <v>6.6260288640562839E-2</v>
      </c>
      <c r="I20611" s="224" t="s">
        <v>2</v>
      </c>
    </row>
    <row r="20612" spans="1:9" x14ac:dyDescent="0.25">
      <c r="A20612" s="515">
        <v>1053</v>
      </c>
      <c r="B20612" s="515" t="s">
        <v>575</v>
      </c>
      <c r="C20612" s="52">
        <v>379303.99053770897</v>
      </c>
      <c r="D20612" s="56">
        <v>5.9995757605259672E-2</v>
      </c>
      <c r="E20612" s="224" t="s">
        <v>2</v>
      </c>
      <c r="F20612" s="515" t="s">
        <v>21782</v>
      </c>
      <c r="G20612" s="52">
        <v>254890.666201588</v>
      </c>
      <c r="H20612" s="56">
        <v>5.896582175746861E-2</v>
      </c>
      <c r="I20612" s="224" t="s">
        <v>2</v>
      </c>
    </row>
    <row r="20613" spans="1:9" x14ac:dyDescent="0.25">
      <c r="A20613" s="515">
        <v>61051</v>
      </c>
      <c r="C20613" s="52">
        <v>114888.589462672</v>
      </c>
      <c r="D20613" s="56">
        <v>4.8998116174535526E-2</v>
      </c>
      <c r="E20613" s="224" t="s">
        <v>2</v>
      </c>
      <c r="F20613" s="515" t="s">
        <v>21783</v>
      </c>
      <c r="G20613" s="52">
        <v>129827.68113961699</v>
      </c>
      <c r="H20613" s="56">
        <v>0.1155850329150977</v>
      </c>
      <c r="I20613" s="224" t="s">
        <v>2</v>
      </c>
    </row>
    <row r="20614" spans="1:9" x14ac:dyDescent="0.25">
      <c r="A20614" s="515">
        <v>54159</v>
      </c>
      <c r="B20614" s="515" t="s">
        <v>923</v>
      </c>
      <c r="C20614" s="52">
        <v>195963.37116171501</v>
      </c>
      <c r="D20614" s="56">
        <v>7.724720155899617E-2</v>
      </c>
      <c r="E20614" s="224" t="s">
        <v>2</v>
      </c>
      <c r="F20614" s="515" t="s">
        <v>21784</v>
      </c>
      <c r="G20614" s="52">
        <v>45507.889799074903</v>
      </c>
      <c r="H20614" s="56">
        <v>-1.0714055813598296E-2</v>
      </c>
      <c r="I20614" s="224" t="s">
        <v>2</v>
      </c>
    </row>
    <row r="20615" spans="1:9" x14ac:dyDescent="0.25">
      <c r="A20615" s="515">
        <v>11739</v>
      </c>
      <c r="B20615" s="515" t="s">
        <v>324</v>
      </c>
      <c r="C20615" s="52">
        <v>836082.23504794599</v>
      </c>
      <c r="D20615" s="56">
        <v>8.6534254576460218E-2</v>
      </c>
      <c r="E20615" s="224" t="s">
        <v>2</v>
      </c>
      <c r="F20615" s="515" t="s">
        <v>21785</v>
      </c>
      <c r="G20615" s="52">
        <v>480672.56205120002</v>
      </c>
      <c r="H20615" s="56">
        <v>4.7382670772022954E-2</v>
      </c>
      <c r="I20615" s="224" t="s">
        <v>2</v>
      </c>
    </row>
    <row r="20616" spans="1:9" x14ac:dyDescent="0.25">
      <c r="A20616" s="515">
        <v>68418</v>
      </c>
      <c r="C20616" s="52">
        <v>304185.042755106</v>
      </c>
      <c r="D20616" s="56">
        <v>0.13287146268250696</v>
      </c>
      <c r="E20616" s="224" t="s">
        <v>2</v>
      </c>
      <c r="F20616" s="515" t="s">
        <v>21786</v>
      </c>
      <c r="G20616" s="52">
        <v>159786.37424505001</v>
      </c>
      <c r="H20616" s="56">
        <v>0.12276451808862068</v>
      </c>
      <c r="I20616" s="224" t="s">
        <v>2</v>
      </c>
    </row>
    <row r="20617" spans="1:9" x14ac:dyDescent="0.25">
      <c r="A20617" s="515">
        <v>5651</v>
      </c>
      <c r="B20617" s="515" t="s">
        <v>945</v>
      </c>
      <c r="C20617" s="52">
        <v>396146.81271943799</v>
      </c>
      <c r="D20617" s="56">
        <v>0.10089306074549842</v>
      </c>
      <c r="E20617" s="224" t="s">
        <v>2</v>
      </c>
      <c r="F20617" s="515" t="s">
        <v>21787</v>
      </c>
      <c r="G20617" s="52">
        <v>108546.45843184199</v>
      </c>
      <c r="H20617" s="56">
        <v>0</v>
      </c>
      <c r="I20617" s="224" t="s">
        <v>2</v>
      </c>
    </row>
    <row r="20618" spans="1:9" x14ac:dyDescent="0.25">
      <c r="A20618" s="515">
        <v>76432</v>
      </c>
      <c r="B20618" s="515" t="s">
        <v>947</v>
      </c>
      <c r="C20618" s="52">
        <v>268499.08817488502</v>
      </c>
      <c r="D20618" s="56">
        <v>0</v>
      </c>
      <c r="E20618" s="224" t="s">
        <v>2</v>
      </c>
      <c r="F20618" s="515" t="s">
        <v>21788</v>
      </c>
      <c r="G20618" s="52">
        <v>231887.65736213201</v>
      </c>
      <c r="H20618" s="56">
        <v>0.15575442387655047</v>
      </c>
      <c r="I20618" s="224" t="s">
        <v>2</v>
      </c>
    </row>
    <row r="20619" spans="1:9" x14ac:dyDescent="0.25">
      <c r="A20619" s="515">
        <v>20630</v>
      </c>
      <c r="B20619" s="515" t="s">
        <v>779</v>
      </c>
      <c r="C20619" s="52">
        <v>529821.75564410002</v>
      </c>
      <c r="D20619" s="56">
        <v>2.1152659565293327E-2</v>
      </c>
      <c r="E20619" s="224" t="s">
        <v>2</v>
      </c>
      <c r="F20619" s="515" t="s">
        <v>21789</v>
      </c>
      <c r="G20619" s="52">
        <v>183242.78840141499</v>
      </c>
      <c r="H20619" s="56">
        <v>0.20280521489258391</v>
      </c>
      <c r="I20619" s="224" t="s">
        <v>2</v>
      </c>
    </row>
    <row r="20620" spans="1:9" x14ac:dyDescent="0.25">
      <c r="A20620" s="515">
        <v>72568</v>
      </c>
      <c r="B20620" s="515" t="s">
        <v>693</v>
      </c>
      <c r="C20620" s="52">
        <v>129983.94261389</v>
      </c>
      <c r="D20620" s="56">
        <v>3.5816304940859744E-2</v>
      </c>
      <c r="E20620" s="224" t="s">
        <v>2</v>
      </c>
      <c r="F20620" s="515" t="s">
        <v>21790</v>
      </c>
      <c r="G20620" s="52">
        <v>236378.02579253499</v>
      </c>
      <c r="H20620" s="56">
        <v>1.907156610254554E-2</v>
      </c>
      <c r="I20620" s="224" t="s">
        <v>2</v>
      </c>
    </row>
    <row r="20621" spans="1:9" x14ac:dyDescent="0.25">
      <c r="A20621" s="515">
        <v>26147</v>
      </c>
      <c r="C20621" s="52">
        <v>72943.364498140407</v>
      </c>
      <c r="D20621" s="56">
        <v>0.149072106573786</v>
      </c>
      <c r="E20621" s="224" t="s">
        <v>2</v>
      </c>
      <c r="F20621" s="515" t="s">
        <v>21791</v>
      </c>
      <c r="G20621" s="52">
        <v>266743.63623208099</v>
      </c>
      <c r="H20621" s="56">
        <v>0.15741335875590759</v>
      </c>
      <c r="I20621" s="224" t="s">
        <v>2</v>
      </c>
    </row>
    <row r="20622" spans="1:9" x14ac:dyDescent="0.25">
      <c r="A20622" s="515">
        <v>21659</v>
      </c>
      <c r="B20622" s="515" t="s">
        <v>388</v>
      </c>
      <c r="C20622" s="52">
        <v>251746.953673829</v>
      </c>
      <c r="D20622" s="56">
        <v>4.4444745682848188E-2</v>
      </c>
      <c r="E20622" s="224" t="s">
        <v>2</v>
      </c>
      <c r="F20622" s="515" t="s">
        <v>21792</v>
      </c>
      <c r="G20622" s="52">
        <v>574844.42689610203</v>
      </c>
      <c r="H20622" s="56">
        <v>2.9106106710270981E-2</v>
      </c>
      <c r="I20622" s="224" t="s">
        <v>2</v>
      </c>
    </row>
    <row r="20623" spans="1:9" x14ac:dyDescent="0.25">
      <c r="A20623" s="515">
        <v>13044</v>
      </c>
      <c r="B20623" s="515" t="s">
        <v>361</v>
      </c>
      <c r="C20623" s="52">
        <v>188319.230935075</v>
      </c>
      <c r="D20623" s="56">
        <v>6.8364687025539231E-2</v>
      </c>
      <c r="E20623" s="224" t="s">
        <v>2</v>
      </c>
      <c r="F20623" s="515" t="s">
        <v>21793</v>
      </c>
      <c r="G20623" s="52">
        <v>400506.625566951</v>
      </c>
      <c r="H20623" s="56">
        <v>4.1238358263730054E-2</v>
      </c>
      <c r="I20623" s="224" t="s">
        <v>2</v>
      </c>
    </row>
    <row r="20624" spans="1:9" x14ac:dyDescent="0.25">
      <c r="A20624" s="515">
        <v>75476</v>
      </c>
      <c r="B20624" s="515" t="s">
        <v>298</v>
      </c>
      <c r="C20624" s="52">
        <v>321561.90379640099</v>
      </c>
      <c r="D20624" s="56">
        <v>0</v>
      </c>
      <c r="E20624" s="224" t="s">
        <v>2</v>
      </c>
      <c r="F20624" s="515" t="s">
        <v>21794</v>
      </c>
      <c r="G20624" s="52">
        <v>82485.326530612205</v>
      </c>
      <c r="H20624" s="56">
        <v>0</v>
      </c>
      <c r="I20624" s="224" t="s">
        <v>2</v>
      </c>
    </row>
    <row r="20625" spans="1:9" x14ac:dyDescent="0.25">
      <c r="A20625" s="515">
        <v>95017</v>
      </c>
      <c r="B20625" s="515" t="s">
        <v>596</v>
      </c>
      <c r="C20625" s="52">
        <v>1004280.2512684</v>
      </c>
      <c r="D20625" s="56">
        <v>-4.223680776984827E-2</v>
      </c>
      <c r="E20625" s="224" t="s">
        <v>2</v>
      </c>
      <c r="F20625" s="515" t="s">
        <v>21795</v>
      </c>
      <c r="G20625" s="52">
        <v>175134.63859661599</v>
      </c>
      <c r="H20625" s="56">
        <v>0</v>
      </c>
      <c r="I20625" s="224" t="s">
        <v>2</v>
      </c>
    </row>
    <row r="20626" spans="1:9" x14ac:dyDescent="0.25">
      <c r="A20626" s="515">
        <v>32694</v>
      </c>
      <c r="B20626" s="515" t="s">
        <v>577</v>
      </c>
      <c r="C20626" s="52">
        <v>183012.53088427801</v>
      </c>
      <c r="D20626" s="56">
        <v>0.13399413396326321</v>
      </c>
      <c r="E20626" s="224" t="s">
        <v>2</v>
      </c>
      <c r="F20626" s="515" t="s">
        <v>21796</v>
      </c>
      <c r="G20626" s="52">
        <v>172195.75609755999</v>
      </c>
      <c r="H20626" s="56">
        <v>0</v>
      </c>
      <c r="I20626" s="224" t="s">
        <v>2</v>
      </c>
    </row>
    <row r="20627" spans="1:9" x14ac:dyDescent="0.25">
      <c r="A20627" s="515">
        <v>63440</v>
      </c>
      <c r="B20627" s="515" t="s">
        <v>697</v>
      </c>
      <c r="C20627" s="52">
        <v>181637.200199952</v>
      </c>
      <c r="D20627" s="56">
        <v>1.324578512424613E-2</v>
      </c>
      <c r="E20627" s="224" t="s">
        <v>2</v>
      </c>
      <c r="F20627" s="515" t="s">
        <v>21797</v>
      </c>
      <c r="G20627" s="52">
        <v>83900.451822276198</v>
      </c>
      <c r="H20627" s="56">
        <v>0.12885768909045875</v>
      </c>
      <c r="I20627" s="224" t="s">
        <v>2</v>
      </c>
    </row>
    <row r="20628" spans="1:9" x14ac:dyDescent="0.25">
      <c r="A20628" s="515">
        <v>62463</v>
      </c>
      <c r="C20628" s="52">
        <v>125059.931428571</v>
      </c>
      <c r="D20628" s="56">
        <v>0</v>
      </c>
      <c r="E20628" s="224" t="s">
        <v>2</v>
      </c>
      <c r="F20628" s="515" t="s">
        <v>21798</v>
      </c>
      <c r="G20628" s="52">
        <v>131979.388888888</v>
      </c>
      <c r="H20628" s="56">
        <v>0</v>
      </c>
      <c r="I20628" s="224" t="s">
        <v>2</v>
      </c>
    </row>
    <row r="20629" spans="1:9" x14ac:dyDescent="0.25">
      <c r="A20629" s="515">
        <v>55748</v>
      </c>
      <c r="B20629" s="515" t="s">
        <v>590</v>
      </c>
      <c r="C20629" s="52">
        <v>157762.21590696301</v>
      </c>
      <c r="D20629" s="56">
        <v>2.4727867243290839E-2</v>
      </c>
      <c r="E20629" s="224" t="s">
        <v>2</v>
      </c>
      <c r="F20629" s="515" t="s">
        <v>21799</v>
      </c>
      <c r="G20629" s="52">
        <v>200082.47796302801</v>
      </c>
      <c r="H20629" s="56">
        <v>1.9903714007264338E-2</v>
      </c>
      <c r="I20629" s="224" t="s">
        <v>2</v>
      </c>
    </row>
    <row r="20630" spans="1:9" x14ac:dyDescent="0.25">
      <c r="A20630" s="515">
        <v>5682</v>
      </c>
      <c r="B20630" s="515" t="s">
        <v>945</v>
      </c>
      <c r="C20630" s="52">
        <v>336288.99180247099</v>
      </c>
      <c r="D20630" s="56">
        <v>3.2801905543665417E-2</v>
      </c>
      <c r="E20630" s="224" t="s">
        <v>2</v>
      </c>
      <c r="F20630" s="515" t="s">
        <v>21800</v>
      </c>
      <c r="G20630" s="52">
        <v>112701.144879614</v>
      </c>
      <c r="H20630" s="56">
        <v>0.13127931541011931</v>
      </c>
      <c r="I20630" s="224" t="s">
        <v>2</v>
      </c>
    </row>
    <row r="20631" spans="1:9" x14ac:dyDescent="0.25">
      <c r="A20631" s="515">
        <v>24059</v>
      </c>
      <c r="B20631" s="515" t="s">
        <v>861</v>
      </c>
      <c r="C20631" s="52">
        <v>262426.69027927797</v>
      </c>
      <c r="D20631" s="56">
        <v>4.3231895513971927E-2</v>
      </c>
      <c r="E20631" s="224" t="s">
        <v>2</v>
      </c>
      <c r="F20631" s="515" t="s">
        <v>21801</v>
      </c>
      <c r="G20631" s="52">
        <v>108648.923790225</v>
      </c>
      <c r="H20631" s="56">
        <v>0</v>
      </c>
      <c r="I20631" s="224" t="s">
        <v>2</v>
      </c>
    </row>
    <row r="20632" spans="1:9" x14ac:dyDescent="0.25">
      <c r="A20632" s="515">
        <v>4623</v>
      </c>
      <c r="C20632" s="52">
        <v>159549.53492730501</v>
      </c>
      <c r="D20632" s="56">
        <v>0.12004950520267395</v>
      </c>
      <c r="E20632" s="224" t="s">
        <v>2</v>
      </c>
      <c r="F20632" s="515" t="s">
        <v>21802</v>
      </c>
      <c r="G20632" s="52">
        <v>96802.145454545403</v>
      </c>
      <c r="H20632" s="56">
        <v>0</v>
      </c>
      <c r="I20632" s="224" t="s">
        <v>2</v>
      </c>
    </row>
    <row r="20633" spans="1:9" x14ac:dyDescent="0.25">
      <c r="A20633" s="515">
        <v>52255</v>
      </c>
      <c r="C20633" s="52">
        <v>152097.644173479</v>
      </c>
      <c r="D20633" s="56">
        <v>4.7933756647839637E-2</v>
      </c>
      <c r="E20633" s="224" t="s">
        <v>2</v>
      </c>
      <c r="F20633" s="515" t="s">
        <v>21803</v>
      </c>
      <c r="G20633" s="52">
        <v>151245.585714285</v>
      </c>
      <c r="H20633" s="56">
        <v>0</v>
      </c>
      <c r="I20633" s="224" t="s">
        <v>2</v>
      </c>
    </row>
    <row r="20634" spans="1:9" x14ac:dyDescent="0.25">
      <c r="A20634" s="515">
        <v>73620</v>
      </c>
      <c r="B20634" s="515" t="s">
        <v>860</v>
      </c>
      <c r="C20634" s="52">
        <v>117846.67351219599</v>
      </c>
      <c r="D20634" s="56">
        <v>6.0017156488194445E-2</v>
      </c>
      <c r="E20634" s="224" t="s">
        <v>2</v>
      </c>
      <c r="F20634" s="515" t="s">
        <v>21804</v>
      </c>
      <c r="G20634" s="52">
        <v>152701.853035626</v>
      </c>
      <c r="H20634" s="56">
        <v>4.7966642088037352E-2</v>
      </c>
      <c r="I20634" s="224" t="s">
        <v>2</v>
      </c>
    </row>
    <row r="20635" spans="1:9" x14ac:dyDescent="0.25">
      <c r="A20635" s="515">
        <v>22714</v>
      </c>
      <c r="B20635" s="515" t="s">
        <v>321</v>
      </c>
      <c r="C20635" s="52">
        <v>430533.39788795903</v>
      </c>
      <c r="D20635" s="56">
        <v>7.4434933187494501E-2</v>
      </c>
      <c r="E20635" s="224" t="s">
        <v>2</v>
      </c>
      <c r="F20635" s="515" t="s">
        <v>21805</v>
      </c>
      <c r="G20635" s="52">
        <v>81063.841137408206</v>
      </c>
      <c r="H20635" s="56">
        <v>2.3249525446584287E-2</v>
      </c>
      <c r="I20635" s="224" t="s">
        <v>2</v>
      </c>
    </row>
    <row r="20636" spans="1:9" x14ac:dyDescent="0.25">
      <c r="A20636" s="515">
        <v>58053</v>
      </c>
      <c r="B20636" s="515" t="s">
        <v>548</v>
      </c>
      <c r="C20636" s="52">
        <v>91779.420141897004</v>
      </c>
      <c r="D20636" s="56">
        <v>1.9708501030613924E-2</v>
      </c>
      <c r="E20636" s="224" t="s">
        <v>2</v>
      </c>
      <c r="F20636" s="515" t="s">
        <v>21806</v>
      </c>
      <c r="G20636" s="52">
        <v>78072.2201064603</v>
      </c>
      <c r="H20636" s="56">
        <v>8.7012589768642196E-3</v>
      </c>
      <c r="I20636" s="224" t="s">
        <v>2</v>
      </c>
    </row>
    <row r="20637" spans="1:9" x14ac:dyDescent="0.25">
      <c r="A20637" s="515">
        <v>78004</v>
      </c>
      <c r="B20637" s="515" t="s">
        <v>717</v>
      </c>
      <c r="C20637" s="52">
        <v>589342.93100190104</v>
      </c>
      <c r="D20637" s="56">
        <v>9.8844222762765027E-2</v>
      </c>
      <c r="E20637" s="224" t="s">
        <v>2</v>
      </c>
      <c r="F20637" s="515" t="s">
        <v>21807</v>
      </c>
      <c r="G20637" s="52">
        <v>155111.609375</v>
      </c>
      <c r="H20637" s="56">
        <v>0</v>
      </c>
      <c r="I20637" s="224" t="s">
        <v>2</v>
      </c>
    </row>
    <row r="20638" spans="1:9" x14ac:dyDescent="0.25">
      <c r="A20638" s="515">
        <v>13061</v>
      </c>
      <c r="B20638" s="515" t="s">
        <v>361</v>
      </c>
      <c r="C20638" s="52">
        <v>234876.582145069</v>
      </c>
      <c r="D20638" s="56">
        <v>9.7903100561160944E-2</v>
      </c>
      <c r="E20638" s="224" t="s">
        <v>2</v>
      </c>
      <c r="F20638" s="515" t="s">
        <v>21808</v>
      </c>
      <c r="G20638" s="52">
        <v>129612.52173913</v>
      </c>
      <c r="H20638" s="56">
        <v>0</v>
      </c>
      <c r="I20638" s="224" t="s">
        <v>2</v>
      </c>
    </row>
    <row r="20639" spans="1:9" x14ac:dyDescent="0.25">
      <c r="A20639" s="515">
        <v>28623</v>
      </c>
      <c r="C20639" s="52">
        <v>193336.59789081101</v>
      </c>
      <c r="D20639" s="56">
        <v>0.13701253604909686</v>
      </c>
      <c r="E20639" s="224" t="s">
        <v>2</v>
      </c>
      <c r="F20639" s="515" t="s">
        <v>21809</v>
      </c>
      <c r="G20639" s="52">
        <v>332520.702485291</v>
      </c>
      <c r="H20639" s="56">
        <v>0.11450330057364631</v>
      </c>
      <c r="I20639" s="224" t="s">
        <v>2</v>
      </c>
    </row>
    <row r="20640" spans="1:9" x14ac:dyDescent="0.25">
      <c r="A20640" s="515">
        <v>95615</v>
      </c>
      <c r="B20640" s="515" t="s">
        <v>355</v>
      </c>
      <c r="C20640" s="52">
        <v>545219.61357359705</v>
      </c>
      <c r="D20640" s="56">
        <v>-2.7255542293846798E-2</v>
      </c>
      <c r="E20640" s="224" t="s">
        <v>2</v>
      </c>
      <c r="F20640" s="515" t="s">
        <v>21810</v>
      </c>
      <c r="G20640" s="52">
        <v>155843.04589030999</v>
      </c>
      <c r="H20640" s="56">
        <v>6.314187533908823E-2</v>
      </c>
      <c r="I20640" s="224" t="s">
        <v>2</v>
      </c>
    </row>
    <row r="20641" spans="1:9" x14ac:dyDescent="0.25">
      <c r="A20641" s="515">
        <v>62262</v>
      </c>
      <c r="B20641" s="515" t="s">
        <v>498</v>
      </c>
      <c r="C20641" s="52">
        <v>101767.237891786</v>
      </c>
      <c r="D20641" s="56">
        <v>0.21450543055853583</v>
      </c>
      <c r="E20641" s="224" t="s">
        <v>2</v>
      </c>
      <c r="F20641" s="515" t="s">
        <v>21811</v>
      </c>
      <c r="G20641" s="52">
        <v>137892.516979073</v>
      </c>
      <c r="H20641" s="56">
        <v>0</v>
      </c>
      <c r="I20641" s="224" t="s">
        <v>2</v>
      </c>
    </row>
    <row r="20642" spans="1:9" x14ac:dyDescent="0.25">
      <c r="A20642" s="515">
        <v>83624</v>
      </c>
      <c r="B20642" s="515" t="s">
        <v>500</v>
      </c>
      <c r="C20642" s="52">
        <v>346142.12675757799</v>
      </c>
      <c r="D20642" s="56">
        <v>6.361742117234187E-2</v>
      </c>
      <c r="E20642" s="224" t="s">
        <v>2</v>
      </c>
      <c r="F20642" s="515" t="s">
        <v>21812</v>
      </c>
      <c r="G20642" s="52">
        <v>440059.63815459801</v>
      </c>
      <c r="H20642" s="56">
        <v>6.1652270212028119E-2</v>
      </c>
      <c r="I20642" s="224" t="s">
        <v>2</v>
      </c>
    </row>
    <row r="20643" spans="1:9" x14ac:dyDescent="0.25">
      <c r="A20643" s="515">
        <v>65040</v>
      </c>
      <c r="B20643" s="515" t="s">
        <v>711</v>
      </c>
      <c r="C20643" s="52">
        <v>268544.97535592999</v>
      </c>
      <c r="D20643" s="56">
        <v>0.18540004636782992</v>
      </c>
      <c r="E20643" s="224" t="s">
        <v>2</v>
      </c>
      <c r="F20643" s="515" t="s">
        <v>21813</v>
      </c>
      <c r="G20643" s="52">
        <v>134237.210996273</v>
      </c>
      <c r="H20643" s="56">
        <v>0.11229590706827275</v>
      </c>
      <c r="I20643" s="224" t="s">
        <v>2</v>
      </c>
    </row>
    <row r="20644" spans="1:9" x14ac:dyDescent="0.25">
      <c r="A20644" s="515">
        <v>2670</v>
      </c>
      <c r="B20644" s="515" t="s">
        <v>427</v>
      </c>
      <c r="C20644" s="52">
        <v>613370.41656138306</v>
      </c>
      <c r="D20644" s="56">
        <v>6.9447901827198649E-2</v>
      </c>
      <c r="E20644" s="224" t="s">
        <v>2</v>
      </c>
      <c r="F20644" s="515" t="s">
        <v>21814</v>
      </c>
      <c r="G20644" s="52">
        <v>54707.442842276199</v>
      </c>
      <c r="H20644" s="56">
        <v>0.2146309754402865</v>
      </c>
      <c r="I20644" s="224" t="s">
        <v>2</v>
      </c>
    </row>
    <row r="20645" spans="1:9" x14ac:dyDescent="0.25">
      <c r="A20645" s="515">
        <v>24579</v>
      </c>
      <c r="C20645" s="52">
        <v>155141.130305953</v>
      </c>
      <c r="D20645" s="56">
        <v>2.7849326413990658E-2</v>
      </c>
      <c r="E20645" s="224" t="s">
        <v>2</v>
      </c>
      <c r="F20645" s="515" t="s">
        <v>21815</v>
      </c>
      <c r="G20645" s="52">
        <v>98393.931818181794</v>
      </c>
      <c r="H20645" s="56">
        <v>0</v>
      </c>
      <c r="I20645" s="224" t="s">
        <v>2</v>
      </c>
    </row>
    <row r="20646" spans="1:9" x14ac:dyDescent="0.25">
      <c r="A20646" s="515">
        <v>10969</v>
      </c>
      <c r="B20646" s="515" t="s">
        <v>529</v>
      </c>
      <c r="C20646" s="52">
        <v>410202.83697268902</v>
      </c>
      <c r="D20646" s="56">
        <v>7.9572696478356394E-2</v>
      </c>
      <c r="E20646" s="224" t="s">
        <v>2</v>
      </c>
      <c r="F20646" s="515" t="s">
        <v>21816</v>
      </c>
      <c r="G20646" s="52">
        <v>132003.41432747501</v>
      </c>
      <c r="H20646" s="56">
        <v>-0.21358305013559112</v>
      </c>
      <c r="I20646" s="224" t="s">
        <v>2</v>
      </c>
    </row>
    <row r="20647" spans="1:9" x14ac:dyDescent="0.25">
      <c r="A20647" s="515">
        <v>8061</v>
      </c>
      <c r="B20647" s="515" t="s">
        <v>294</v>
      </c>
      <c r="C20647" s="52">
        <v>366186.03814609599</v>
      </c>
      <c r="D20647" s="56">
        <v>6.3269251823614689E-2</v>
      </c>
      <c r="E20647" s="224" t="s">
        <v>2</v>
      </c>
      <c r="F20647" s="515" t="s">
        <v>21817</v>
      </c>
      <c r="G20647" s="52">
        <v>155433.46502732101</v>
      </c>
      <c r="H20647" s="56">
        <v>0</v>
      </c>
      <c r="I20647" s="224" t="s">
        <v>2</v>
      </c>
    </row>
    <row r="20648" spans="1:9" x14ac:dyDescent="0.25">
      <c r="A20648" s="515">
        <v>43319</v>
      </c>
      <c r="B20648" s="515" t="s">
        <v>973</v>
      </c>
      <c r="C20648" s="52">
        <v>222623.86656477099</v>
      </c>
      <c r="D20648" s="56">
        <v>9.0751609861276089E-2</v>
      </c>
      <c r="E20648" s="224" t="s">
        <v>2</v>
      </c>
      <c r="F20648" s="515" t="s">
        <v>21818</v>
      </c>
      <c r="G20648" s="52">
        <v>98704.807405885804</v>
      </c>
      <c r="H20648" s="56">
        <v>0.13582500889314866</v>
      </c>
      <c r="I20648" s="224" t="s">
        <v>2</v>
      </c>
    </row>
    <row r="20649" spans="1:9" x14ac:dyDescent="0.25">
      <c r="A20649" s="515">
        <v>42328</v>
      </c>
      <c r="C20649" s="52">
        <v>109003.764949473</v>
      </c>
      <c r="D20649" s="56">
        <v>8.238566659297776E-2</v>
      </c>
      <c r="E20649" s="224" t="s">
        <v>2</v>
      </c>
      <c r="F20649" s="515" t="s">
        <v>21819</v>
      </c>
      <c r="G20649" s="52">
        <v>676472.51375202497</v>
      </c>
      <c r="H20649" s="56">
        <v>4.695141637966898E-2</v>
      </c>
      <c r="I20649" s="224" t="s">
        <v>2</v>
      </c>
    </row>
    <row r="20650" spans="1:9" x14ac:dyDescent="0.25">
      <c r="A20650" s="515">
        <v>55924</v>
      </c>
      <c r="B20650" s="515" t="s">
        <v>470</v>
      </c>
      <c r="C20650" s="52">
        <v>264847.19046761998</v>
      </c>
      <c r="D20650" s="56">
        <v>0.12524404026779806</v>
      </c>
      <c r="E20650" s="224" t="s">
        <v>2</v>
      </c>
      <c r="F20650" s="515" t="s">
        <v>21820</v>
      </c>
      <c r="G20650" s="52">
        <v>269711.13972638501</v>
      </c>
      <c r="H20650" s="56">
        <v>4.9888377071255617E-2</v>
      </c>
      <c r="I20650" s="224" t="s">
        <v>2</v>
      </c>
    </row>
    <row r="20651" spans="1:9" x14ac:dyDescent="0.25">
      <c r="A20651" s="515">
        <v>70031</v>
      </c>
      <c r="B20651" s="515" t="s">
        <v>777</v>
      </c>
      <c r="C20651" s="52">
        <v>178735.77518551299</v>
      </c>
      <c r="D20651" s="56">
        <v>-6.4151763503865145E-2</v>
      </c>
      <c r="E20651" s="224" t="s">
        <v>2</v>
      </c>
      <c r="F20651" s="515" t="s">
        <v>21821</v>
      </c>
      <c r="G20651" s="52">
        <v>186526.73642785801</v>
      </c>
      <c r="H20651" s="56">
        <v>0.18170524960256312</v>
      </c>
      <c r="I20651" s="224" t="s">
        <v>2</v>
      </c>
    </row>
    <row r="20652" spans="1:9" x14ac:dyDescent="0.25">
      <c r="A20652" s="515">
        <v>53518</v>
      </c>
      <c r="C20652" s="52">
        <v>168261.977312979</v>
      </c>
      <c r="D20652" s="56">
        <v>4.810008298495054E-2</v>
      </c>
      <c r="E20652" s="224" t="s">
        <v>2</v>
      </c>
      <c r="F20652" s="515" t="s">
        <v>21822</v>
      </c>
      <c r="G20652" s="52">
        <v>175803.314882423</v>
      </c>
      <c r="H20652" s="56">
        <v>0</v>
      </c>
      <c r="I20652" s="224" t="s">
        <v>2</v>
      </c>
    </row>
    <row r="20653" spans="1:9" x14ac:dyDescent="0.25">
      <c r="A20653" s="515">
        <v>83627</v>
      </c>
      <c r="B20653" s="515" t="s">
        <v>500</v>
      </c>
      <c r="C20653" s="52">
        <v>393128.36273330002</v>
      </c>
      <c r="D20653" s="56">
        <v>2.119792978930678E-2</v>
      </c>
      <c r="E20653" s="224" t="s">
        <v>2</v>
      </c>
      <c r="F20653" s="515" t="s">
        <v>21823</v>
      </c>
      <c r="G20653" s="52">
        <v>204482.29694920199</v>
      </c>
      <c r="H20653" s="56">
        <v>7.1717175992600052E-2</v>
      </c>
      <c r="I20653" s="224" t="s">
        <v>2</v>
      </c>
    </row>
    <row r="20654" spans="1:9" x14ac:dyDescent="0.25">
      <c r="A20654" s="515">
        <v>47970</v>
      </c>
      <c r="B20654" s="515" t="s">
        <v>433</v>
      </c>
      <c r="C20654" s="52">
        <v>171026.96790500201</v>
      </c>
      <c r="D20654" s="56">
        <v>5.5892250902622322E-2</v>
      </c>
      <c r="E20654" s="224" t="s">
        <v>2</v>
      </c>
      <c r="F20654" s="515" t="s">
        <v>21824</v>
      </c>
      <c r="G20654" s="52">
        <v>143347.019647996</v>
      </c>
      <c r="H20654" s="56">
        <v>4.957450721697846E-2</v>
      </c>
      <c r="I20654" s="224" t="s">
        <v>2</v>
      </c>
    </row>
    <row r="20655" spans="1:9" x14ac:dyDescent="0.25">
      <c r="A20655" s="515">
        <v>5845</v>
      </c>
      <c r="C20655" s="52">
        <v>245361.63398688799</v>
      </c>
      <c r="D20655" s="56">
        <v>0.10719539607827254</v>
      </c>
      <c r="E20655" s="224" t="s">
        <v>2</v>
      </c>
      <c r="F20655" s="515" t="s">
        <v>21825</v>
      </c>
      <c r="G20655" s="52">
        <v>103701.41235349</v>
      </c>
      <c r="H20655" s="56">
        <v>0.11468241406542307</v>
      </c>
      <c r="I20655" s="224" t="s">
        <v>2</v>
      </c>
    </row>
    <row r="20656" spans="1:9" x14ac:dyDescent="0.25">
      <c r="A20656" s="515">
        <v>4858</v>
      </c>
      <c r="C20656" s="52">
        <v>408549.53165024502</v>
      </c>
      <c r="D20656" s="56">
        <v>8.146546959453628E-2</v>
      </c>
      <c r="E20656" s="224" t="s">
        <v>2</v>
      </c>
      <c r="F20656" s="515" t="s">
        <v>21826</v>
      </c>
      <c r="G20656" s="52">
        <v>131844.761977724</v>
      </c>
      <c r="H20656" s="56">
        <v>0.10418542206332435</v>
      </c>
      <c r="I20656" s="224" t="s">
        <v>2</v>
      </c>
    </row>
    <row r="20657" spans="1:9" x14ac:dyDescent="0.25">
      <c r="A20657" s="515">
        <v>69155</v>
      </c>
      <c r="C20657" s="52">
        <v>185744.08158424901</v>
      </c>
      <c r="D20657" s="56">
        <v>7.1971297541220641E-2</v>
      </c>
      <c r="E20657" s="224" t="s">
        <v>2</v>
      </c>
      <c r="F20657" s="515" t="s">
        <v>21827</v>
      </c>
      <c r="G20657" s="52">
        <v>195619.99559936099</v>
      </c>
      <c r="H20657" s="56">
        <v>7.5031649244116302E-2</v>
      </c>
      <c r="I20657" s="224" t="s">
        <v>2</v>
      </c>
    </row>
    <row r="20658" spans="1:9" x14ac:dyDescent="0.25">
      <c r="A20658" s="515">
        <v>73949</v>
      </c>
      <c r="B20658" s="515" t="s">
        <v>1005</v>
      </c>
      <c r="C20658" s="52">
        <v>135501.519395721</v>
      </c>
      <c r="D20658" s="56">
        <v>8.6375107821523175E-2</v>
      </c>
      <c r="E20658" s="224" t="s">
        <v>2</v>
      </c>
      <c r="F20658" s="515" t="s">
        <v>21828</v>
      </c>
      <c r="G20658" s="52">
        <v>287242.40086523298</v>
      </c>
      <c r="H20658" s="56">
        <v>8.9338365497301942E-3</v>
      </c>
      <c r="I20658" s="224" t="s">
        <v>2</v>
      </c>
    </row>
    <row r="20659" spans="1:9" x14ac:dyDescent="0.25">
      <c r="A20659" s="515">
        <v>32044</v>
      </c>
      <c r="C20659" s="52">
        <v>234303.538414187</v>
      </c>
      <c r="D20659" s="56">
        <v>0.15303225600902309</v>
      </c>
      <c r="E20659" s="224" t="s">
        <v>2</v>
      </c>
      <c r="F20659" s="515" t="s">
        <v>21829</v>
      </c>
      <c r="G20659" s="52">
        <v>152446.721241394</v>
      </c>
      <c r="H20659" s="56">
        <v>-6.7088759044442281E-2</v>
      </c>
      <c r="I20659" s="224" t="s">
        <v>2</v>
      </c>
    </row>
    <row r="20660" spans="1:9" x14ac:dyDescent="0.25">
      <c r="A20660" s="515">
        <v>27843</v>
      </c>
      <c r="C20660" s="52">
        <v>79106.235262458198</v>
      </c>
      <c r="D20660" s="56">
        <v>0.16942573157802507</v>
      </c>
      <c r="E20660" s="224" t="s">
        <v>2</v>
      </c>
      <c r="F20660" s="515" t="s">
        <v>21830</v>
      </c>
      <c r="G20660" s="52">
        <v>224275.85916620499</v>
      </c>
      <c r="H20660" s="56">
        <v>6.6044049950281791E-2</v>
      </c>
      <c r="I20660" s="224" t="s">
        <v>2</v>
      </c>
    </row>
    <row r="20661" spans="1:9" x14ac:dyDescent="0.25">
      <c r="A20661" s="515">
        <v>17265</v>
      </c>
      <c r="B20661" s="515" t="s">
        <v>372</v>
      </c>
      <c r="C20661" s="52">
        <v>192330.12707771899</v>
      </c>
      <c r="D20661" s="56">
        <v>0</v>
      </c>
      <c r="E20661" s="224" t="s">
        <v>2</v>
      </c>
      <c r="F20661" s="515" t="s">
        <v>21831</v>
      </c>
      <c r="G20661" s="52">
        <v>207838.73027051601</v>
      </c>
      <c r="H20661" s="56">
        <v>4.7696839925292854E-2</v>
      </c>
      <c r="I20661" s="224" t="s">
        <v>2</v>
      </c>
    </row>
    <row r="20662" spans="1:9" x14ac:dyDescent="0.25">
      <c r="A20662" s="515">
        <v>5647</v>
      </c>
      <c r="B20662" s="515" t="s">
        <v>945</v>
      </c>
      <c r="C20662" s="52">
        <v>295491.80258575903</v>
      </c>
      <c r="D20662" s="56">
        <v>5.352779540171787E-2</v>
      </c>
      <c r="E20662" s="224" t="s">
        <v>2</v>
      </c>
      <c r="F20662" s="515" t="s">
        <v>21832</v>
      </c>
      <c r="G20662" s="52">
        <v>82903.795780069602</v>
      </c>
      <c r="H20662" s="56">
        <v>0.17592439156493711</v>
      </c>
      <c r="I20662" s="224" t="s">
        <v>2</v>
      </c>
    </row>
    <row r="20663" spans="1:9" x14ac:dyDescent="0.25">
      <c r="A20663" s="515">
        <v>6021</v>
      </c>
      <c r="B20663" s="515" t="s">
        <v>559</v>
      </c>
      <c r="C20663" s="52">
        <v>354438.67355940503</v>
      </c>
      <c r="D20663" s="56">
        <v>9.2226486769153945E-2</v>
      </c>
      <c r="E20663" s="224" t="s">
        <v>2</v>
      </c>
      <c r="F20663" s="515" t="s">
        <v>21833</v>
      </c>
      <c r="G20663" s="52">
        <v>139893.64917022901</v>
      </c>
      <c r="H20663" s="56">
        <v>9.2584312101102226E-2</v>
      </c>
      <c r="I20663" s="224" t="s">
        <v>2</v>
      </c>
    </row>
    <row r="20664" spans="1:9" x14ac:dyDescent="0.25">
      <c r="A20664" s="515">
        <v>72482</v>
      </c>
      <c r="B20664" s="515" t="s">
        <v>693</v>
      </c>
      <c r="C20664" s="52">
        <v>77963.703204304795</v>
      </c>
      <c r="D20664" s="56">
        <v>2.8353028586897269E-2</v>
      </c>
      <c r="E20664" s="224" t="s">
        <v>2</v>
      </c>
      <c r="F20664" s="515" t="s">
        <v>21834</v>
      </c>
      <c r="G20664" s="52">
        <v>155743.49437994201</v>
      </c>
      <c r="H20664" s="56">
        <v>0</v>
      </c>
      <c r="I20664" s="224" t="s">
        <v>2</v>
      </c>
    </row>
    <row r="20665" spans="1:9" x14ac:dyDescent="0.25">
      <c r="A20665" s="515">
        <v>61486</v>
      </c>
      <c r="B20665" s="515" t="s">
        <v>439</v>
      </c>
      <c r="C20665" s="52">
        <v>132429.19139582</v>
      </c>
      <c r="D20665" s="56">
        <v>6.8585653215037637E-2</v>
      </c>
      <c r="E20665" s="224" t="s">
        <v>2</v>
      </c>
      <c r="F20665" s="515" t="s">
        <v>21835</v>
      </c>
      <c r="G20665" s="52">
        <v>162573.79563410301</v>
      </c>
      <c r="H20665" s="56">
        <v>0.14801757961266024</v>
      </c>
      <c r="I20665" s="224" t="s">
        <v>2</v>
      </c>
    </row>
    <row r="20666" spans="1:9" x14ac:dyDescent="0.25">
      <c r="A20666" s="515">
        <v>46531</v>
      </c>
      <c r="C20666" s="52">
        <v>206265.03736449601</v>
      </c>
      <c r="D20666" s="56">
        <v>0.11023192067007598</v>
      </c>
      <c r="E20666" s="224" t="s">
        <v>2</v>
      </c>
      <c r="F20666" s="515" t="s">
        <v>21836</v>
      </c>
      <c r="G20666" s="52">
        <v>131143.98247194599</v>
      </c>
      <c r="H20666" s="56">
        <v>0.10263909000613256</v>
      </c>
      <c r="I20666" s="224" t="s">
        <v>2</v>
      </c>
    </row>
    <row r="20667" spans="1:9" x14ac:dyDescent="0.25">
      <c r="A20667" s="515">
        <v>14711</v>
      </c>
      <c r="C20667" s="52">
        <v>102484.940075722</v>
      </c>
      <c r="D20667" s="56">
        <v>0.13649494166319615</v>
      </c>
      <c r="E20667" s="224" t="s">
        <v>2</v>
      </c>
      <c r="F20667" s="515" t="s">
        <v>21837</v>
      </c>
      <c r="G20667" s="52">
        <v>60676.927593295499</v>
      </c>
      <c r="H20667" s="56">
        <v>0.21244845385798897</v>
      </c>
      <c r="I20667" s="224" t="s">
        <v>2</v>
      </c>
    </row>
    <row r="20668" spans="1:9" x14ac:dyDescent="0.25">
      <c r="A20668" s="515">
        <v>73759</v>
      </c>
      <c r="C20668" s="52">
        <v>102420.904730066</v>
      </c>
      <c r="D20668" s="56">
        <v>0.12718556286367913</v>
      </c>
      <c r="E20668" s="224" t="s">
        <v>2</v>
      </c>
      <c r="F20668" s="515" t="s">
        <v>21838</v>
      </c>
      <c r="G20668" s="52">
        <v>46284.139085213101</v>
      </c>
      <c r="H20668" s="56">
        <v>0.37429680951263716</v>
      </c>
      <c r="I20668" s="224" t="s">
        <v>2</v>
      </c>
    </row>
    <row r="20669" spans="1:9" x14ac:dyDescent="0.25">
      <c r="A20669" s="515">
        <v>22949</v>
      </c>
      <c r="B20669" s="515" t="s">
        <v>630</v>
      </c>
      <c r="C20669" s="52">
        <v>276280.81713420898</v>
      </c>
      <c r="D20669" s="56">
        <v>0.15379754723887792</v>
      </c>
      <c r="E20669" s="224" t="s">
        <v>2</v>
      </c>
      <c r="F20669" s="515" t="s">
        <v>21839</v>
      </c>
      <c r="G20669" s="52">
        <v>89917.373919106903</v>
      </c>
      <c r="H20669" s="56">
        <v>0</v>
      </c>
      <c r="I20669" s="224" t="s">
        <v>2</v>
      </c>
    </row>
    <row r="20670" spans="1:9" x14ac:dyDescent="0.25">
      <c r="A20670" s="515">
        <v>44404</v>
      </c>
      <c r="B20670" s="515" t="s">
        <v>397</v>
      </c>
      <c r="C20670" s="52">
        <v>163411.28454575501</v>
      </c>
      <c r="D20670" s="56">
        <v>4.3752126001307685E-2</v>
      </c>
      <c r="E20670" s="224" t="s">
        <v>2</v>
      </c>
      <c r="F20670" s="515" t="s">
        <v>21840</v>
      </c>
      <c r="G20670" s="52">
        <v>197736.25952630499</v>
      </c>
      <c r="H20670" s="56">
        <v>9.8725611751156642E-2</v>
      </c>
      <c r="I20670" s="224" t="s">
        <v>2</v>
      </c>
    </row>
    <row r="20671" spans="1:9" x14ac:dyDescent="0.25">
      <c r="A20671" s="515">
        <v>36524</v>
      </c>
      <c r="C20671" s="52">
        <v>107842.606031337</v>
      </c>
      <c r="D20671" s="56">
        <v>-2.1488634570459381E-2</v>
      </c>
      <c r="E20671" s="224" t="s">
        <v>2</v>
      </c>
      <c r="F20671" s="515" t="s">
        <v>21841</v>
      </c>
      <c r="G20671" s="52">
        <v>148313.279816202</v>
      </c>
      <c r="H20671" s="56">
        <v>0.10921022272084853</v>
      </c>
      <c r="I20671" s="224" t="s">
        <v>2</v>
      </c>
    </row>
    <row r="20672" spans="1:9" x14ac:dyDescent="0.25">
      <c r="A20672" s="515">
        <v>23967</v>
      </c>
      <c r="C20672" s="52">
        <v>93781.411927904599</v>
      </c>
      <c r="D20672" s="56">
        <v>0</v>
      </c>
      <c r="E20672" s="224" t="s">
        <v>2</v>
      </c>
      <c r="F20672" s="515" t="s">
        <v>21842</v>
      </c>
      <c r="G20672" s="52">
        <v>124196.59998540299</v>
      </c>
      <c r="H20672" s="56">
        <v>0</v>
      </c>
      <c r="I20672" s="224" t="s">
        <v>2</v>
      </c>
    </row>
    <row r="20673" spans="1:9" x14ac:dyDescent="0.25">
      <c r="A20673" s="515">
        <v>29469</v>
      </c>
      <c r="B20673" s="515" t="s">
        <v>1009</v>
      </c>
      <c r="C20673" s="52">
        <v>454874.73775244801</v>
      </c>
      <c r="D20673" s="56">
        <v>9.7477466920801004E-2</v>
      </c>
      <c r="E20673" s="224" t="s">
        <v>2</v>
      </c>
      <c r="F20673" s="515" t="s">
        <v>21843</v>
      </c>
      <c r="G20673" s="52">
        <v>184504.52865247699</v>
      </c>
      <c r="H20673" s="56">
        <v>9.4091040403583848E-2</v>
      </c>
      <c r="I20673" s="224" t="s">
        <v>2</v>
      </c>
    </row>
    <row r="20674" spans="1:9" x14ac:dyDescent="0.25">
      <c r="A20674" s="515">
        <v>74759</v>
      </c>
      <c r="C20674" s="52">
        <v>149662.95079938599</v>
      </c>
      <c r="D20674" s="56">
        <v>8.895547819760509E-2</v>
      </c>
      <c r="E20674" s="224" t="s">
        <v>2</v>
      </c>
      <c r="F20674" s="515" t="s">
        <v>21844</v>
      </c>
      <c r="G20674" s="52">
        <v>193787.83003217299</v>
      </c>
      <c r="H20674" s="56">
        <v>6.2450969422762882E-2</v>
      </c>
      <c r="I20674" s="224" t="s">
        <v>2</v>
      </c>
    </row>
    <row r="20675" spans="1:9" x14ac:dyDescent="0.25">
      <c r="A20675" s="515">
        <v>54838</v>
      </c>
      <c r="B20675" s="515" t="s">
        <v>350</v>
      </c>
      <c r="C20675" s="52">
        <v>218284.384572843</v>
      </c>
      <c r="D20675" s="56">
        <v>7.0054208750225694E-2</v>
      </c>
      <c r="E20675" s="224" t="s">
        <v>2</v>
      </c>
      <c r="F20675" s="515" t="s">
        <v>21845</v>
      </c>
      <c r="G20675" s="52">
        <v>279346.27533313999</v>
      </c>
      <c r="H20675" s="56">
        <v>-1.7883577591896061E-2</v>
      </c>
      <c r="I20675" s="224" t="s">
        <v>2</v>
      </c>
    </row>
    <row r="20676" spans="1:9" x14ac:dyDescent="0.25">
      <c r="A20676" s="515">
        <v>25241</v>
      </c>
      <c r="B20676" s="515" t="s">
        <v>322</v>
      </c>
      <c r="C20676" s="52">
        <v>179858.34570939999</v>
      </c>
      <c r="D20676" s="56">
        <v>3.9390761987812467E-2</v>
      </c>
      <c r="E20676" s="224" t="s">
        <v>2</v>
      </c>
      <c r="F20676" s="515" t="s">
        <v>21846</v>
      </c>
      <c r="G20676" s="52">
        <v>561252.58172204404</v>
      </c>
      <c r="H20676" s="56">
        <v>0.20455238314607579</v>
      </c>
      <c r="I20676" s="224" t="s">
        <v>2</v>
      </c>
    </row>
    <row r="20677" spans="1:9" x14ac:dyDescent="0.25">
      <c r="A20677" s="515">
        <v>68660</v>
      </c>
      <c r="C20677" s="52">
        <v>152487.0416038</v>
      </c>
      <c r="D20677" s="56">
        <v>8.8174420644354171E-2</v>
      </c>
      <c r="E20677" s="224" t="s">
        <v>2</v>
      </c>
      <c r="F20677" s="515" t="s">
        <v>21847</v>
      </c>
      <c r="G20677" s="52">
        <v>101528.612937025</v>
      </c>
      <c r="H20677" s="56">
        <v>0.28568585130437879</v>
      </c>
      <c r="I20677" s="224" t="s">
        <v>2</v>
      </c>
    </row>
    <row r="20678" spans="1:9" x14ac:dyDescent="0.25">
      <c r="A20678" s="515">
        <v>63036</v>
      </c>
      <c r="B20678" s="515" t="s">
        <v>817</v>
      </c>
      <c r="C20678" s="52">
        <v>111621.441252415</v>
      </c>
      <c r="D20678" s="56">
        <v>-0.21181344730260623</v>
      </c>
      <c r="E20678" s="224" t="s">
        <v>2</v>
      </c>
      <c r="F20678" s="515" t="s">
        <v>21848</v>
      </c>
      <c r="G20678" s="52">
        <v>159191.962928177</v>
      </c>
      <c r="H20678" s="56">
        <v>0</v>
      </c>
      <c r="I20678" s="224" t="s">
        <v>2</v>
      </c>
    </row>
    <row r="20679" spans="1:9" x14ac:dyDescent="0.25">
      <c r="A20679" s="515">
        <v>47456</v>
      </c>
      <c r="B20679" s="515" t="s">
        <v>554</v>
      </c>
      <c r="C20679" s="52">
        <v>226099.450535221</v>
      </c>
      <c r="D20679" s="56">
        <v>7.2126362637521479E-2</v>
      </c>
      <c r="E20679" s="224" t="s">
        <v>2</v>
      </c>
      <c r="F20679" s="515" t="s">
        <v>21849</v>
      </c>
      <c r="G20679" s="52">
        <v>173099.176132041</v>
      </c>
      <c r="H20679" s="56">
        <v>6.9757470673527347E-2</v>
      </c>
      <c r="I20679" s="224" t="s">
        <v>2</v>
      </c>
    </row>
    <row r="20680" spans="1:9" x14ac:dyDescent="0.25">
      <c r="A20680" s="515">
        <v>56152</v>
      </c>
      <c r="C20680" s="52">
        <v>120248.479717215</v>
      </c>
      <c r="D20680" s="56">
        <v>3.4729740090210293E-2</v>
      </c>
      <c r="E20680" s="224" t="s">
        <v>2</v>
      </c>
      <c r="F20680" s="515" t="s">
        <v>21850</v>
      </c>
      <c r="G20680" s="52">
        <v>254762.35052246699</v>
      </c>
      <c r="H20680" s="56">
        <v>0.22693978327523712</v>
      </c>
      <c r="I20680" s="224" t="s">
        <v>2</v>
      </c>
    </row>
    <row r="20681" spans="1:9" x14ac:dyDescent="0.25">
      <c r="A20681" s="515">
        <v>12592</v>
      </c>
      <c r="B20681" s="515" t="s">
        <v>529</v>
      </c>
      <c r="C20681" s="52">
        <v>346619.81750119699</v>
      </c>
      <c r="D20681" s="56">
        <v>5.5435555593099164E-2</v>
      </c>
      <c r="E20681" s="224" t="s">
        <v>2</v>
      </c>
      <c r="F20681" s="515" t="s">
        <v>21851</v>
      </c>
      <c r="G20681" s="52">
        <v>197907.952435908</v>
      </c>
      <c r="H20681" s="56">
        <v>6.6593977632047802E-2</v>
      </c>
      <c r="I20681" s="224" t="s">
        <v>2</v>
      </c>
    </row>
    <row r="20682" spans="1:9" x14ac:dyDescent="0.25">
      <c r="A20682" s="515">
        <v>24325</v>
      </c>
      <c r="C20682" s="52">
        <v>144645.90450870799</v>
      </c>
      <c r="D20682" s="56">
        <v>-3.3065178432216506E-3</v>
      </c>
      <c r="E20682" s="224" t="s">
        <v>2</v>
      </c>
      <c r="F20682" s="515" t="s">
        <v>21852</v>
      </c>
      <c r="G20682" s="52">
        <v>564981.39412090997</v>
      </c>
      <c r="H20682" s="56">
        <v>6.1843273721751212E-2</v>
      </c>
      <c r="I20682" s="224" t="s">
        <v>2</v>
      </c>
    </row>
    <row r="20683" spans="1:9" x14ac:dyDescent="0.25">
      <c r="A20683" s="515">
        <v>94038</v>
      </c>
      <c r="B20683" s="515" t="s">
        <v>593</v>
      </c>
      <c r="C20683" s="52">
        <v>1341511.03501494</v>
      </c>
      <c r="D20683" s="56">
        <v>2.5506545400020418E-2</v>
      </c>
      <c r="E20683" s="224" t="s">
        <v>2</v>
      </c>
      <c r="F20683" s="515" t="s">
        <v>21853</v>
      </c>
      <c r="G20683" s="52">
        <v>89929.155186015007</v>
      </c>
      <c r="H20683" s="56">
        <v>0</v>
      </c>
      <c r="I20683" s="224" t="s">
        <v>2</v>
      </c>
    </row>
    <row r="20684" spans="1:9" x14ac:dyDescent="0.25">
      <c r="A20684" s="515">
        <v>62974</v>
      </c>
      <c r="B20684" s="515" t="s">
        <v>471</v>
      </c>
      <c r="C20684" s="52">
        <v>120402.69576323099</v>
      </c>
      <c r="D20684" s="56">
        <v>-1.3655427108900033E-2</v>
      </c>
      <c r="E20684" s="224" t="s">
        <v>2</v>
      </c>
      <c r="F20684" s="515" t="s">
        <v>21854</v>
      </c>
      <c r="G20684" s="52">
        <v>198590.789716548</v>
      </c>
      <c r="H20684" s="56">
        <v>0.17143996710028661</v>
      </c>
      <c r="I20684" s="224" t="s">
        <v>2</v>
      </c>
    </row>
    <row r="20685" spans="1:9" x14ac:dyDescent="0.25">
      <c r="A20685" s="515">
        <v>66411</v>
      </c>
      <c r="C20685" s="52">
        <v>95700.556298695607</v>
      </c>
      <c r="D20685" s="56">
        <v>8.0577144678978502E-2</v>
      </c>
      <c r="E20685" s="224" t="s">
        <v>2</v>
      </c>
      <c r="F20685" s="515" t="s">
        <v>21855</v>
      </c>
      <c r="G20685" s="52">
        <v>145731.924528301</v>
      </c>
      <c r="H20685" s="56">
        <v>0</v>
      </c>
      <c r="I20685" s="224" t="s">
        <v>2</v>
      </c>
    </row>
    <row r="20686" spans="1:9" x14ac:dyDescent="0.25">
      <c r="A20686" s="515">
        <v>70036</v>
      </c>
      <c r="B20686" s="515" t="s">
        <v>777</v>
      </c>
      <c r="C20686" s="52">
        <v>179115.62345679</v>
      </c>
      <c r="D20686" s="56">
        <v>0</v>
      </c>
      <c r="E20686" s="224" t="s">
        <v>2</v>
      </c>
      <c r="F20686" s="515" t="s">
        <v>21856</v>
      </c>
      <c r="G20686" s="52">
        <v>485286.69041759003</v>
      </c>
      <c r="H20686" s="56">
        <v>0.28888060209557581</v>
      </c>
      <c r="I20686" s="224" t="s">
        <v>2</v>
      </c>
    </row>
    <row r="20687" spans="1:9" x14ac:dyDescent="0.25">
      <c r="A20687" s="515">
        <v>66514</v>
      </c>
      <c r="B20687" s="515" t="s">
        <v>795</v>
      </c>
      <c r="C20687" s="52">
        <v>269743.74791213003</v>
      </c>
      <c r="D20687" s="56">
        <v>5.9601012791034434E-2</v>
      </c>
      <c r="E20687" s="224" t="s">
        <v>2</v>
      </c>
      <c r="F20687" s="515" t="s">
        <v>21857</v>
      </c>
      <c r="G20687" s="52">
        <v>159526.749522192</v>
      </c>
      <c r="H20687" s="56">
        <v>0</v>
      </c>
      <c r="I20687" s="224" t="s">
        <v>2</v>
      </c>
    </row>
    <row r="20688" spans="1:9" x14ac:dyDescent="0.25">
      <c r="A20688" s="515">
        <v>70455</v>
      </c>
      <c r="B20688" s="515" t="s">
        <v>814</v>
      </c>
      <c r="C20688" s="52">
        <v>211549.891165443</v>
      </c>
      <c r="D20688" s="56">
        <v>7.4464154197192989E-2</v>
      </c>
      <c r="E20688" s="224" t="s">
        <v>2</v>
      </c>
      <c r="F20688" s="515" t="s">
        <v>21858</v>
      </c>
      <c r="G20688" s="52">
        <v>30404.34630383</v>
      </c>
      <c r="H20688" s="56">
        <v>-9.1984095692770065E-2</v>
      </c>
      <c r="I20688" s="224" t="s">
        <v>2</v>
      </c>
    </row>
    <row r="20689" spans="1:9" x14ac:dyDescent="0.25">
      <c r="A20689" s="515">
        <v>28510</v>
      </c>
      <c r="B20689" s="515" t="s">
        <v>574</v>
      </c>
      <c r="C20689" s="52">
        <v>294054.580849764</v>
      </c>
      <c r="D20689" s="56">
        <v>9.2990124702972743E-2</v>
      </c>
      <c r="E20689" s="224" t="s">
        <v>2</v>
      </c>
      <c r="F20689" s="515" t="s">
        <v>21859</v>
      </c>
      <c r="G20689" s="52">
        <v>1776386.8907080099</v>
      </c>
      <c r="H20689" s="56">
        <v>0.12686919072778674</v>
      </c>
      <c r="I20689" s="224" t="s">
        <v>2</v>
      </c>
    </row>
    <row r="20690" spans="1:9" x14ac:dyDescent="0.25">
      <c r="A20690" s="515">
        <v>35554</v>
      </c>
      <c r="C20690" s="52">
        <v>124411.850310525</v>
      </c>
      <c r="D20690" s="56">
        <v>1.1034606038199307E-2</v>
      </c>
      <c r="E20690" s="224" t="s">
        <v>2</v>
      </c>
      <c r="F20690" s="515" t="s">
        <v>21860</v>
      </c>
      <c r="G20690" s="52">
        <v>160191.546235127</v>
      </c>
      <c r="H20690" s="56">
        <v>7.3788409511675424E-2</v>
      </c>
      <c r="I20690" s="224" t="s">
        <v>2</v>
      </c>
    </row>
    <row r="20691" spans="1:9" x14ac:dyDescent="0.25">
      <c r="A20691" s="515">
        <v>51576</v>
      </c>
      <c r="B20691" s="515" t="s">
        <v>367</v>
      </c>
      <c r="C20691" s="52">
        <v>300360.949131025</v>
      </c>
      <c r="D20691" s="56">
        <v>8.4467914536903624E-2</v>
      </c>
      <c r="E20691" s="224" t="s">
        <v>2</v>
      </c>
      <c r="F20691" s="515" t="s">
        <v>21861</v>
      </c>
      <c r="G20691" s="52">
        <v>336853.70705578901</v>
      </c>
      <c r="H20691" s="56">
        <v>0.10880325315229607</v>
      </c>
      <c r="I20691" s="224" t="s">
        <v>2</v>
      </c>
    </row>
    <row r="20692" spans="1:9" x14ac:dyDescent="0.25">
      <c r="A20692" s="515">
        <v>42076</v>
      </c>
      <c r="B20692" s="515" t="s">
        <v>1034</v>
      </c>
      <c r="C20692" s="52">
        <v>156867.41696026901</v>
      </c>
      <c r="D20692" s="56">
        <v>0.53134588726123388</v>
      </c>
      <c r="E20692" s="224" t="s">
        <v>2</v>
      </c>
      <c r="F20692" s="515" t="s">
        <v>21862</v>
      </c>
      <c r="G20692" s="52">
        <v>81457.045938085401</v>
      </c>
      <c r="H20692" s="56">
        <v>0.13317576946418858</v>
      </c>
      <c r="I20692" s="224" t="s">
        <v>2</v>
      </c>
    </row>
    <row r="20693" spans="1:9" x14ac:dyDescent="0.25">
      <c r="A20693" s="515">
        <v>42372</v>
      </c>
      <c r="B20693" s="515" t="s">
        <v>1024</v>
      </c>
      <c r="C20693" s="52">
        <v>123231.47095985799</v>
      </c>
      <c r="D20693" s="56">
        <v>0.13962717245306988</v>
      </c>
      <c r="E20693" s="224" t="s">
        <v>2</v>
      </c>
      <c r="F20693" s="515" t="s">
        <v>21863</v>
      </c>
      <c r="G20693" s="52">
        <v>178066.89568687399</v>
      </c>
      <c r="H20693" s="56">
        <v>8.9535816322420442E-2</v>
      </c>
      <c r="I20693" s="224" t="s">
        <v>2</v>
      </c>
    </row>
    <row r="20694" spans="1:9" x14ac:dyDescent="0.25">
      <c r="A20694" s="515">
        <v>16050</v>
      </c>
      <c r="B20694" s="515" t="s">
        <v>297</v>
      </c>
      <c r="C20694" s="52">
        <v>133880.98246073999</v>
      </c>
      <c r="D20694" s="56">
        <v>2.9360193574663161E-2</v>
      </c>
      <c r="E20694" s="224" t="s">
        <v>2</v>
      </c>
      <c r="F20694" s="515" t="s">
        <v>21864</v>
      </c>
      <c r="G20694" s="52">
        <v>95359.495746410394</v>
      </c>
      <c r="H20694" s="56">
        <v>0.13227802378207726</v>
      </c>
      <c r="I20694" s="224" t="s">
        <v>2</v>
      </c>
    </row>
    <row r="20695" spans="1:9" x14ac:dyDescent="0.25">
      <c r="A20695" s="515">
        <v>17212</v>
      </c>
      <c r="C20695" s="52">
        <v>215616.01858156701</v>
      </c>
      <c r="D20695" s="56">
        <v>0</v>
      </c>
      <c r="E20695" s="224" t="s">
        <v>2</v>
      </c>
      <c r="F20695" s="515" t="s">
        <v>21865</v>
      </c>
      <c r="G20695" s="52">
        <v>249616.24367095501</v>
      </c>
      <c r="H20695" s="56">
        <v>4.9125203644934536E-2</v>
      </c>
      <c r="I20695" s="224" t="s">
        <v>2</v>
      </c>
    </row>
    <row r="20696" spans="1:9" x14ac:dyDescent="0.25">
      <c r="A20696" s="515">
        <v>41773</v>
      </c>
      <c r="C20696" s="52">
        <v>72280.909717384799</v>
      </c>
      <c r="D20696" s="56">
        <v>0.21733238891281936</v>
      </c>
      <c r="E20696" s="224" t="s">
        <v>2</v>
      </c>
      <c r="F20696" s="515" t="s">
        <v>21866</v>
      </c>
      <c r="G20696" s="52">
        <v>153970.92727272701</v>
      </c>
      <c r="H20696" s="56">
        <v>0</v>
      </c>
      <c r="I20696" s="224" t="s">
        <v>2</v>
      </c>
    </row>
    <row r="20697" spans="1:9" x14ac:dyDescent="0.25">
      <c r="A20697" s="515">
        <v>22720</v>
      </c>
      <c r="B20697" s="515" t="s">
        <v>321</v>
      </c>
      <c r="C20697" s="52">
        <v>528688.08117616805</v>
      </c>
      <c r="D20697" s="56">
        <v>3.4199482682817112E-2</v>
      </c>
      <c r="E20697" s="224" t="s">
        <v>2</v>
      </c>
      <c r="F20697" s="515" t="s">
        <v>21867</v>
      </c>
      <c r="G20697" s="52">
        <v>179086.4</v>
      </c>
      <c r="H20697" s="56">
        <v>0</v>
      </c>
      <c r="I20697" s="224" t="s">
        <v>2</v>
      </c>
    </row>
    <row r="20698" spans="1:9" x14ac:dyDescent="0.25">
      <c r="A20698" s="515">
        <v>23968</v>
      </c>
      <c r="C20698" s="52">
        <v>142320.104030577</v>
      </c>
      <c r="D20698" s="56">
        <v>0</v>
      </c>
      <c r="E20698" s="224" t="s">
        <v>2</v>
      </c>
      <c r="F20698" s="515" t="s">
        <v>21868</v>
      </c>
      <c r="G20698" s="52">
        <v>173208.27602460099</v>
      </c>
      <c r="H20698" s="56">
        <v>5.8587066193335161E-2</v>
      </c>
      <c r="I20698" s="224" t="s">
        <v>2</v>
      </c>
    </row>
    <row r="20699" spans="1:9" x14ac:dyDescent="0.25">
      <c r="A20699" s="515">
        <v>29037</v>
      </c>
      <c r="B20699" s="515" t="s">
        <v>1011</v>
      </c>
      <c r="C20699" s="52">
        <v>228715.07765504401</v>
      </c>
      <c r="D20699" s="56">
        <v>4.9105839468289107E-2</v>
      </c>
      <c r="E20699" s="224" t="s">
        <v>2</v>
      </c>
      <c r="F20699" s="515" t="s">
        <v>21869</v>
      </c>
      <c r="G20699" s="52">
        <v>155490.32810419099</v>
      </c>
      <c r="H20699" s="56">
        <v>7.4567940288426504E-2</v>
      </c>
      <c r="I20699" s="224" t="s">
        <v>2</v>
      </c>
    </row>
    <row r="20700" spans="1:9" x14ac:dyDescent="0.25">
      <c r="A20700" s="515">
        <v>32445</v>
      </c>
      <c r="C20700" s="52">
        <v>132453.20901384801</v>
      </c>
      <c r="D20700" s="56">
        <v>0.19780339446378675</v>
      </c>
      <c r="E20700" s="224" t="s">
        <v>2</v>
      </c>
      <c r="F20700" s="515" t="s">
        <v>21870</v>
      </c>
      <c r="G20700" s="52">
        <v>148755.99698533499</v>
      </c>
      <c r="H20700" s="56">
        <v>3.1582530373658345E-2</v>
      </c>
      <c r="I20700" s="224" t="s">
        <v>2</v>
      </c>
    </row>
    <row r="20701" spans="1:9" x14ac:dyDescent="0.25">
      <c r="A20701" s="515">
        <v>61234</v>
      </c>
      <c r="B20701" s="515" t="s">
        <v>439</v>
      </c>
      <c r="C20701" s="52">
        <v>139527.70824765199</v>
      </c>
      <c r="D20701" s="56">
        <v>0.10538650944942267</v>
      </c>
      <c r="E20701" s="224" t="s">
        <v>2</v>
      </c>
      <c r="F20701" s="515" t="s">
        <v>21871</v>
      </c>
      <c r="G20701" s="52">
        <v>152995.92721820399</v>
      </c>
      <c r="H20701" s="56">
        <v>0</v>
      </c>
      <c r="I20701" s="224" t="s">
        <v>2</v>
      </c>
    </row>
    <row r="20702" spans="1:9" x14ac:dyDescent="0.25">
      <c r="A20702" s="515">
        <v>54026</v>
      </c>
      <c r="C20702" s="52">
        <v>327581.13291567302</v>
      </c>
      <c r="D20702" s="56">
        <v>3.689582531462296E-2</v>
      </c>
      <c r="E20702" s="224" t="s">
        <v>2</v>
      </c>
      <c r="F20702" s="515" t="s">
        <v>21872</v>
      </c>
      <c r="G20702" s="52">
        <v>250304.771428571</v>
      </c>
      <c r="H20702" s="56">
        <v>0</v>
      </c>
      <c r="I20702" s="224" t="s">
        <v>2</v>
      </c>
    </row>
    <row r="20703" spans="1:9" x14ac:dyDescent="0.25">
      <c r="A20703" s="515">
        <v>54854</v>
      </c>
      <c r="B20703" s="515" t="s">
        <v>350</v>
      </c>
      <c r="C20703" s="52">
        <v>170713.171972585</v>
      </c>
      <c r="D20703" s="56">
        <v>6.4135939940707251E-2</v>
      </c>
      <c r="E20703" s="224" t="s">
        <v>2</v>
      </c>
      <c r="F20703" s="515" t="s">
        <v>21873</v>
      </c>
      <c r="G20703" s="52">
        <v>149857.270445364</v>
      </c>
      <c r="H20703" s="56">
        <v>5.5158552492968631E-2</v>
      </c>
      <c r="I20703" s="224" t="s">
        <v>2</v>
      </c>
    </row>
    <row r="20704" spans="1:9" x14ac:dyDescent="0.25">
      <c r="A20704" s="515">
        <v>6785</v>
      </c>
      <c r="B20704" s="515" t="s">
        <v>559</v>
      </c>
      <c r="C20704" s="52">
        <v>680946.96164018603</v>
      </c>
      <c r="D20704" s="56">
        <v>7.2968076451768712E-2</v>
      </c>
      <c r="E20704" s="224" t="s">
        <v>2</v>
      </c>
      <c r="F20704" s="515" t="s">
        <v>21874</v>
      </c>
      <c r="G20704" s="52">
        <v>68114.366517981995</v>
      </c>
      <c r="H20704" s="56">
        <v>4.8774223182469538E-2</v>
      </c>
      <c r="I20704" s="224" t="s">
        <v>2</v>
      </c>
    </row>
    <row r="20705" spans="1:9" x14ac:dyDescent="0.25">
      <c r="A20705" s="515">
        <v>75471</v>
      </c>
      <c r="B20705" s="515" t="s">
        <v>980</v>
      </c>
      <c r="C20705" s="52">
        <v>266535.38000181603</v>
      </c>
      <c r="D20705" s="56">
        <v>0</v>
      </c>
      <c r="E20705" s="224" t="s">
        <v>2</v>
      </c>
      <c r="F20705" s="515" t="s">
        <v>21875</v>
      </c>
      <c r="G20705" s="52">
        <v>210429.594797725</v>
      </c>
      <c r="H20705" s="56">
        <v>8.5540174843969655E-2</v>
      </c>
      <c r="I20705" s="224" t="s">
        <v>2</v>
      </c>
    </row>
    <row r="20706" spans="1:9" x14ac:dyDescent="0.25">
      <c r="A20706" s="515">
        <v>52141</v>
      </c>
      <c r="C20706" s="52">
        <v>143885.25975127399</v>
      </c>
      <c r="D20706" s="56">
        <v>0.11657177850171008</v>
      </c>
      <c r="E20706" s="224" t="s">
        <v>2</v>
      </c>
      <c r="F20706" s="515" t="s">
        <v>21876</v>
      </c>
      <c r="G20706" s="52">
        <v>104024.37340148</v>
      </c>
      <c r="H20706" s="56">
        <v>0.17349857389401965</v>
      </c>
      <c r="I20706" s="224" t="s">
        <v>2</v>
      </c>
    </row>
    <row r="20707" spans="1:9" x14ac:dyDescent="0.25">
      <c r="A20707" s="515">
        <v>74944</v>
      </c>
      <c r="C20707" s="52">
        <v>120930.00011900401</v>
      </c>
      <c r="D20707" s="56">
        <v>9.9626146561925005E-2</v>
      </c>
      <c r="E20707" s="224" t="s">
        <v>2</v>
      </c>
      <c r="F20707" s="515" t="s">
        <v>21877</v>
      </c>
      <c r="G20707" s="52">
        <v>173122.618191574</v>
      </c>
      <c r="H20707" s="56">
        <v>-1.4146781218506006E-2</v>
      </c>
      <c r="I20707" s="224" t="s">
        <v>2</v>
      </c>
    </row>
    <row r="20708" spans="1:9" x14ac:dyDescent="0.25">
      <c r="A20708" s="515">
        <v>49440</v>
      </c>
      <c r="B20708" s="515" t="s">
        <v>943</v>
      </c>
      <c r="C20708" s="52">
        <v>251002.89049328701</v>
      </c>
      <c r="D20708" s="56">
        <v>2.4103789048344947E-2</v>
      </c>
      <c r="E20708" s="224" t="s">
        <v>2</v>
      </c>
      <c r="F20708" s="515" t="s">
        <v>21878</v>
      </c>
      <c r="G20708" s="52">
        <v>217070.39315968801</v>
      </c>
      <c r="H20708" s="56">
        <v>2.3066013271771626E-2</v>
      </c>
      <c r="I20708" s="224" t="s">
        <v>2</v>
      </c>
    </row>
    <row r="20709" spans="1:9" x14ac:dyDescent="0.25">
      <c r="A20709" s="515">
        <v>47550</v>
      </c>
      <c r="C20709" s="52">
        <v>226755.33634040601</v>
      </c>
      <c r="D20709" s="56">
        <v>9.890462878699853E-2</v>
      </c>
      <c r="E20709" s="224" t="s">
        <v>2</v>
      </c>
      <c r="F20709" s="515" t="s">
        <v>21879</v>
      </c>
      <c r="G20709" s="52">
        <v>180047.969363693</v>
      </c>
      <c r="H20709" s="56">
        <v>7.0895362746663138E-2</v>
      </c>
      <c r="I20709" s="224" t="s">
        <v>2</v>
      </c>
    </row>
    <row r="20710" spans="1:9" x14ac:dyDescent="0.25">
      <c r="A20710" s="515">
        <v>62627</v>
      </c>
      <c r="C20710" s="52">
        <v>72422.634376266302</v>
      </c>
      <c r="D20710" s="56">
        <v>5.0759512258050617E-3</v>
      </c>
      <c r="E20710" s="224" t="s">
        <v>2</v>
      </c>
      <c r="F20710" s="515" t="s">
        <v>21880</v>
      </c>
      <c r="G20710" s="52">
        <v>407313.23164302198</v>
      </c>
      <c r="H20710" s="56">
        <v>0.10212716210674055</v>
      </c>
      <c r="I20710" s="224" t="s">
        <v>2</v>
      </c>
    </row>
    <row r="20711" spans="1:9" x14ac:dyDescent="0.25">
      <c r="A20711" s="515">
        <v>20143</v>
      </c>
      <c r="B20711" s="515" t="s">
        <v>321</v>
      </c>
      <c r="C20711" s="52">
        <v>859037.86163412197</v>
      </c>
      <c r="D20711" s="56">
        <v>3.653361264706944E-2</v>
      </c>
      <c r="E20711" s="224" t="s">
        <v>2</v>
      </c>
      <c r="F20711" s="515" t="s">
        <v>21881</v>
      </c>
      <c r="G20711" s="52">
        <v>175344.94822424301</v>
      </c>
      <c r="H20711" s="56">
        <v>0</v>
      </c>
      <c r="I20711" s="224" t="s">
        <v>2</v>
      </c>
    </row>
    <row r="20712" spans="1:9" x14ac:dyDescent="0.25">
      <c r="A20712" s="515">
        <v>6282</v>
      </c>
      <c r="B20712" s="515" t="s">
        <v>751</v>
      </c>
      <c r="C20712" s="52">
        <v>337611.14060578903</v>
      </c>
      <c r="D20712" s="56">
        <v>0.10640237074335651</v>
      </c>
      <c r="E20712" s="224" t="s">
        <v>2</v>
      </c>
      <c r="F20712" s="515" t="s">
        <v>21882</v>
      </c>
      <c r="G20712" s="52">
        <v>322866.97327680798</v>
      </c>
      <c r="H20712" s="56">
        <v>3.1541088778635942E-2</v>
      </c>
      <c r="I20712" s="224" t="s">
        <v>2</v>
      </c>
    </row>
    <row r="20713" spans="1:9" x14ac:dyDescent="0.25">
      <c r="A20713" s="515">
        <v>17758</v>
      </c>
      <c r="C20713" s="52">
        <v>204226.30191387699</v>
      </c>
      <c r="D20713" s="56">
        <v>8.8831271965937875E-2</v>
      </c>
      <c r="E20713" s="224" t="s">
        <v>2</v>
      </c>
      <c r="F20713" s="515" t="s">
        <v>21883</v>
      </c>
      <c r="G20713" s="52">
        <v>357970.71584647603</v>
      </c>
      <c r="H20713" s="56">
        <v>7.1235434052491983E-2</v>
      </c>
      <c r="I20713" s="224" t="s">
        <v>2</v>
      </c>
    </row>
    <row r="20714" spans="1:9" x14ac:dyDescent="0.25">
      <c r="A20714" s="515">
        <v>49126</v>
      </c>
      <c r="B20714" s="515" t="s">
        <v>698</v>
      </c>
      <c r="C20714" s="52">
        <v>201891.852998966</v>
      </c>
      <c r="D20714" s="56">
        <v>0.12434898884594719</v>
      </c>
      <c r="E20714" s="224" t="s">
        <v>2</v>
      </c>
      <c r="F20714" s="515" t="s">
        <v>21884</v>
      </c>
      <c r="G20714" s="52">
        <v>147419.16129032199</v>
      </c>
      <c r="H20714" s="56">
        <v>0</v>
      </c>
      <c r="I20714" s="224" t="s">
        <v>2</v>
      </c>
    </row>
    <row r="20715" spans="1:9" x14ac:dyDescent="0.25">
      <c r="A20715" s="515">
        <v>68937</v>
      </c>
      <c r="B20715" s="515" t="s">
        <v>680</v>
      </c>
      <c r="C20715" s="52">
        <v>282061.544285601</v>
      </c>
      <c r="D20715" s="56">
        <v>0.20540563842279499</v>
      </c>
      <c r="E20715" s="224" t="s">
        <v>2</v>
      </c>
      <c r="F20715" s="515" t="s">
        <v>21885</v>
      </c>
      <c r="G20715" s="52">
        <v>124593.983984858</v>
      </c>
      <c r="H20715" s="56">
        <v>6.8352189017627629E-2</v>
      </c>
      <c r="I20715" s="224" t="s">
        <v>2</v>
      </c>
    </row>
    <row r="20716" spans="1:9" x14ac:dyDescent="0.25">
      <c r="A20716" s="515">
        <v>56119</v>
      </c>
      <c r="B20716" s="515" t="s">
        <v>782</v>
      </c>
      <c r="C20716" s="52">
        <v>204232.50155059999</v>
      </c>
      <c r="D20716" s="56">
        <v>0.13579449019796119</v>
      </c>
      <c r="E20716" s="224" t="s">
        <v>2</v>
      </c>
      <c r="F20716" s="515" t="s">
        <v>21886</v>
      </c>
      <c r="G20716" s="52">
        <v>146162.011268367</v>
      </c>
      <c r="H20716" s="56">
        <v>5.6764651186554667E-2</v>
      </c>
      <c r="I20716" s="224" t="s">
        <v>2</v>
      </c>
    </row>
    <row r="20717" spans="1:9" x14ac:dyDescent="0.25">
      <c r="A20717" s="515">
        <v>58652</v>
      </c>
      <c r="B20717" s="515" t="s">
        <v>771</v>
      </c>
      <c r="C20717" s="52">
        <v>186973.007882345</v>
      </c>
      <c r="D20717" s="56">
        <v>1.434063843983927E-2</v>
      </c>
      <c r="E20717" s="224" t="s">
        <v>2</v>
      </c>
      <c r="F20717" s="515" t="s">
        <v>21887</v>
      </c>
      <c r="G20717" s="52">
        <v>313219.82693410898</v>
      </c>
      <c r="H20717" s="56">
        <v>4.669100509235076E-2</v>
      </c>
      <c r="I20717" s="224" t="s">
        <v>2</v>
      </c>
    </row>
    <row r="20718" spans="1:9" x14ac:dyDescent="0.25">
      <c r="A20718" s="515">
        <v>5824</v>
      </c>
      <c r="C20718" s="52">
        <v>216678.68807489099</v>
      </c>
      <c r="D20718" s="56">
        <v>8.8104704678924256E-2</v>
      </c>
      <c r="E20718" s="224" t="s">
        <v>2</v>
      </c>
      <c r="F20718" s="515" t="s">
        <v>21888</v>
      </c>
      <c r="G20718" s="52">
        <v>293121.75419394003</v>
      </c>
      <c r="H20718" s="56">
        <v>5.7096848734186904E-2</v>
      </c>
      <c r="I20718" s="224" t="s">
        <v>2</v>
      </c>
    </row>
    <row r="20719" spans="1:9" x14ac:dyDescent="0.25">
      <c r="A20719" s="515">
        <v>38318</v>
      </c>
      <c r="C20719" s="52">
        <v>151013.68443087899</v>
      </c>
      <c r="D20719" s="56">
        <v>0</v>
      </c>
      <c r="E20719" s="224" t="s">
        <v>2</v>
      </c>
      <c r="F20719" s="515" t="s">
        <v>21889</v>
      </c>
      <c r="G20719" s="52">
        <v>180680.98319789401</v>
      </c>
      <c r="H20719" s="56">
        <v>8.5992761669973702E-2</v>
      </c>
      <c r="I20719" s="224" t="s">
        <v>2</v>
      </c>
    </row>
    <row r="20720" spans="1:9" x14ac:dyDescent="0.25">
      <c r="A20720" s="515">
        <v>71404</v>
      </c>
      <c r="C20720" s="52">
        <v>107518.45833333299</v>
      </c>
      <c r="D20720" s="56">
        <v>0</v>
      </c>
      <c r="E20720" s="224" t="s">
        <v>2</v>
      </c>
      <c r="F20720" s="515" t="s">
        <v>21890</v>
      </c>
      <c r="G20720" s="52">
        <v>139264.79606151601</v>
      </c>
      <c r="H20720" s="56">
        <v>6.0691403014704687E-2</v>
      </c>
      <c r="I20720" s="224">
        <v>1125</v>
      </c>
    </row>
    <row r="20721" spans="1:9" x14ac:dyDescent="0.25">
      <c r="A20721" s="515">
        <v>24597</v>
      </c>
      <c r="C20721" s="52">
        <v>123988.129700039</v>
      </c>
      <c r="D20721" s="56">
        <v>0.17043259035153221</v>
      </c>
      <c r="E20721" s="224" t="s">
        <v>2</v>
      </c>
      <c r="F20721" s="515" t="s">
        <v>21891</v>
      </c>
      <c r="G20721" s="52">
        <v>251907.40986859301</v>
      </c>
      <c r="H20721" s="56">
        <v>0.1056364053363638</v>
      </c>
      <c r="I20721" s="224" t="s">
        <v>2</v>
      </c>
    </row>
    <row r="20722" spans="1:9" x14ac:dyDescent="0.25">
      <c r="A20722" s="515">
        <v>71479</v>
      </c>
      <c r="C20722" s="52">
        <v>79831.947574667502</v>
      </c>
      <c r="D20722" s="56">
        <v>0</v>
      </c>
      <c r="E20722" s="224" t="s">
        <v>2</v>
      </c>
      <c r="F20722" s="515" t="s">
        <v>21892</v>
      </c>
      <c r="G20722" s="52">
        <v>188878.74948162999</v>
      </c>
      <c r="H20722" s="56">
        <v>-5.8183114860116757E-2</v>
      </c>
      <c r="I20722" s="224" t="s">
        <v>2</v>
      </c>
    </row>
    <row r="20723" spans="1:9" x14ac:dyDescent="0.25">
      <c r="A20723" s="515">
        <v>76673</v>
      </c>
      <c r="C20723" s="52">
        <v>198365.731489956</v>
      </c>
      <c r="D20723" s="56">
        <v>-3.4100798740983582E-2</v>
      </c>
      <c r="E20723" s="224" t="s">
        <v>2</v>
      </c>
      <c r="F20723" s="515" t="s">
        <v>21893</v>
      </c>
      <c r="G20723" s="52">
        <v>93210.827209352603</v>
      </c>
      <c r="H20723" s="56">
        <v>0.3737062317238054</v>
      </c>
      <c r="I20723" s="224" t="s">
        <v>2</v>
      </c>
    </row>
    <row r="20724" spans="1:9" x14ac:dyDescent="0.25">
      <c r="A20724" s="515">
        <v>24465</v>
      </c>
      <c r="C20724" s="52">
        <v>238551.21754241901</v>
      </c>
      <c r="D20724" s="56">
        <v>8.1400752975733681E-2</v>
      </c>
      <c r="E20724" s="224" t="s">
        <v>2</v>
      </c>
      <c r="F20724" s="515" t="s">
        <v>21894</v>
      </c>
      <c r="G20724" s="52">
        <v>80295.023922322507</v>
      </c>
      <c r="H20724" s="56">
        <v>-4.3498120706960131E-2</v>
      </c>
      <c r="I20724" s="224" t="s">
        <v>2</v>
      </c>
    </row>
    <row r="20725" spans="1:9" x14ac:dyDescent="0.25">
      <c r="A20725" s="515">
        <v>48885</v>
      </c>
      <c r="B20725" s="515" t="s">
        <v>631</v>
      </c>
      <c r="C20725" s="52">
        <v>180902.294282691</v>
      </c>
      <c r="D20725" s="56">
        <v>5.2112968704562321E-2</v>
      </c>
      <c r="E20725" s="224" t="s">
        <v>2</v>
      </c>
      <c r="F20725" s="515" t="s">
        <v>21895</v>
      </c>
      <c r="G20725" s="52">
        <v>91660.758081787499</v>
      </c>
      <c r="H20725" s="56">
        <v>8.4611518638523009E-2</v>
      </c>
      <c r="I20725" s="224" t="s">
        <v>2</v>
      </c>
    </row>
    <row r="20726" spans="1:9" x14ac:dyDescent="0.25">
      <c r="A20726" s="515">
        <v>48747</v>
      </c>
      <c r="B20726" s="515" t="s">
        <v>1022</v>
      </c>
      <c r="C20726" s="52">
        <v>164462.348002174</v>
      </c>
      <c r="D20726" s="56">
        <v>0.121252540219493</v>
      </c>
      <c r="E20726" s="224" t="s">
        <v>2</v>
      </c>
      <c r="F20726" s="515" t="s">
        <v>21896</v>
      </c>
      <c r="G20726" s="52">
        <v>163988.605475772</v>
      </c>
      <c r="H20726" s="56">
        <v>0.13100898312920992</v>
      </c>
      <c r="I20726" s="224" t="s">
        <v>2</v>
      </c>
    </row>
    <row r="20727" spans="1:9" x14ac:dyDescent="0.25">
      <c r="A20727" s="515">
        <v>15687</v>
      </c>
      <c r="B20727" s="515" t="s">
        <v>297</v>
      </c>
      <c r="C20727" s="52">
        <v>156033.55307262501</v>
      </c>
      <c r="D20727" s="56">
        <v>0</v>
      </c>
      <c r="E20727" s="224" t="s">
        <v>2</v>
      </c>
      <c r="F20727" s="515" t="s">
        <v>21897</v>
      </c>
      <c r="G20727" s="52">
        <v>189412.041438268</v>
      </c>
      <c r="H20727" s="56">
        <v>0.16928420959736321</v>
      </c>
      <c r="I20727" s="224" t="s">
        <v>2</v>
      </c>
    </row>
    <row r="20728" spans="1:9" x14ac:dyDescent="0.25">
      <c r="A20728" s="515">
        <v>20688</v>
      </c>
      <c r="B20728" s="515" t="s">
        <v>321</v>
      </c>
      <c r="C20728" s="52">
        <v>418647.42999456299</v>
      </c>
      <c r="D20728" s="56">
        <v>3.9441312283215228E-2</v>
      </c>
      <c r="E20728" s="224" t="s">
        <v>2</v>
      </c>
      <c r="F20728" s="515" t="s">
        <v>21898</v>
      </c>
      <c r="G20728" s="52">
        <v>327340.022222222</v>
      </c>
      <c r="H20728" s="56">
        <v>0</v>
      </c>
      <c r="I20728" s="224" t="s">
        <v>2</v>
      </c>
    </row>
    <row r="20729" spans="1:9" x14ac:dyDescent="0.25">
      <c r="A20729" s="515">
        <v>61878</v>
      </c>
      <c r="B20729" s="515" t="s">
        <v>417</v>
      </c>
      <c r="C20729" s="52">
        <v>126383.826577346</v>
      </c>
      <c r="D20729" s="56">
        <v>6.7257960292863433E-2</v>
      </c>
      <c r="E20729" s="224" t="s">
        <v>2</v>
      </c>
      <c r="F20729" s="515" t="s">
        <v>21899</v>
      </c>
      <c r="G20729" s="52">
        <v>247362.42178203899</v>
      </c>
      <c r="H20729" s="56">
        <v>6.4721662867510771E-2</v>
      </c>
      <c r="I20729" s="224" t="s">
        <v>2</v>
      </c>
    </row>
    <row r="20730" spans="1:9" x14ac:dyDescent="0.25">
      <c r="A20730" s="515">
        <v>16020</v>
      </c>
      <c r="B20730" s="515" t="s">
        <v>297</v>
      </c>
      <c r="C20730" s="52">
        <v>164578.49090909</v>
      </c>
      <c r="D20730" s="56">
        <v>0</v>
      </c>
      <c r="E20730" s="224" t="s">
        <v>2</v>
      </c>
      <c r="F20730" s="515" t="s">
        <v>21900</v>
      </c>
      <c r="G20730" s="52">
        <v>186427.75168952701</v>
      </c>
      <c r="H20730" s="56">
        <v>0.34579926040309766</v>
      </c>
      <c r="I20730" s="224" t="s">
        <v>2</v>
      </c>
    </row>
    <row r="20731" spans="1:9" x14ac:dyDescent="0.25">
      <c r="A20731" s="515">
        <v>4022</v>
      </c>
      <c r="C20731" s="52">
        <v>360661.72908321401</v>
      </c>
      <c r="D20731" s="56">
        <v>6.8627683488132779E-2</v>
      </c>
      <c r="E20731" s="224" t="s">
        <v>2</v>
      </c>
      <c r="F20731" s="515" t="s">
        <v>21901</v>
      </c>
      <c r="G20731" s="52">
        <v>179991.17424853001</v>
      </c>
      <c r="H20731" s="56">
        <v>6.5684775605138301E-2</v>
      </c>
      <c r="I20731" s="224" t="s">
        <v>2</v>
      </c>
    </row>
    <row r="20732" spans="1:9" x14ac:dyDescent="0.25">
      <c r="A20732" s="515">
        <v>96034</v>
      </c>
      <c r="C20732" s="52">
        <v>317538.91451793403</v>
      </c>
      <c r="D20732" s="56">
        <v>-3.6799699773469269E-3</v>
      </c>
      <c r="E20732" s="224" t="s">
        <v>2</v>
      </c>
      <c r="F20732" s="515" t="s">
        <v>21902</v>
      </c>
      <c r="G20732" s="52">
        <v>115464.87461771601</v>
      </c>
      <c r="H20732" s="56">
        <v>0.15174637753806602</v>
      </c>
      <c r="I20732" s="224" t="s">
        <v>2</v>
      </c>
    </row>
    <row r="20733" spans="1:9" x14ac:dyDescent="0.25">
      <c r="A20733" s="515">
        <v>78860</v>
      </c>
      <c r="B20733" s="515" t="s">
        <v>827</v>
      </c>
      <c r="C20733" s="52">
        <v>130330.28857131601</v>
      </c>
      <c r="D20733" s="56">
        <v>0</v>
      </c>
      <c r="E20733" s="224" t="s">
        <v>2</v>
      </c>
      <c r="F20733" s="515" t="s">
        <v>21903</v>
      </c>
      <c r="G20733" s="52">
        <v>97740.198821848899</v>
      </c>
      <c r="H20733" s="56">
        <v>7.5882908426505467E-3</v>
      </c>
      <c r="I20733" s="224" t="s">
        <v>2</v>
      </c>
    </row>
    <row r="20734" spans="1:9" x14ac:dyDescent="0.25">
      <c r="A20734" s="515">
        <v>51234</v>
      </c>
      <c r="C20734" s="52">
        <v>210313.350345288</v>
      </c>
      <c r="D20734" s="56">
        <v>0</v>
      </c>
      <c r="E20734" s="224" t="s">
        <v>2</v>
      </c>
      <c r="F20734" s="515" t="s">
        <v>21904</v>
      </c>
      <c r="G20734" s="52">
        <v>925188.15899052005</v>
      </c>
      <c r="H20734" s="56">
        <v>0.10213059903145516</v>
      </c>
      <c r="I20734" s="224" t="s">
        <v>2</v>
      </c>
    </row>
    <row r="20735" spans="1:9" x14ac:dyDescent="0.25">
      <c r="A20735" s="515">
        <v>16948</v>
      </c>
      <c r="C20735" s="52">
        <v>149859.25866446499</v>
      </c>
      <c r="D20735" s="56">
        <v>3.748269093999055E-2</v>
      </c>
      <c r="E20735" s="224" t="s">
        <v>2</v>
      </c>
      <c r="F20735" s="515" t="s">
        <v>21905</v>
      </c>
      <c r="G20735" s="52">
        <v>228538.5</v>
      </c>
      <c r="H20735" s="56">
        <v>0</v>
      </c>
      <c r="I20735" s="224" t="s">
        <v>2</v>
      </c>
    </row>
    <row r="20736" spans="1:9" x14ac:dyDescent="0.25">
      <c r="A20736" s="515">
        <v>38253</v>
      </c>
      <c r="B20736" s="515" t="s">
        <v>1044</v>
      </c>
      <c r="C20736" s="52">
        <v>126118.973743426</v>
      </c>
      <c r="D20736" s="56">
        <v>0</v>
      </c>
      <c r="E20736" s="224" t="s">
        <v>2</v>
      </c>
      <c r="F20736" s="515" t="s">
        <v>21906</v>
      </c>
      <c r="G20736" s="52">
        <v>248063.92673825799</v>
      </c>
      <c r="H20736" s="56">
        <v>3.7970060393106922E-2</v>
      </c>
      <c r="I20736" s="224" t="s">
        <v>2</v>
      </c>
    </row>
    <row r="20737" spans="1:9" x14ac:dyDescent="0.25">
      <c r="A20737" s="515">
        <v>69024</v>
      </c>
      <c r="C20737" s="52">
        <v>151747.049025805</v>
      </c>
      <c r="D20737" s="56">
        <v>0.11195972352335512</v>
      </c>
      <c r="E20737" s="224" t="s">
        <v>2</v>
      </c>
      <c r="F20737" s="515" t="s">
        <v>21907</v>
      </c>
      <c r="G20737" s="52">
        <v>91466.121951219495</v>
      </c>
      <c r="H20737" s="56">
        <v>0</v>
      </c>
      <c r="I20737" s="224" t="s">
        <v>2</v>
      </c>
    </row>
    <row r="20738" spans="1:9" x14ac:dyDescent="0.25">
      <c r="A20738" s="515">
        <v>64740</v>
      </c>
      <c r="C20738" s="52">
        <v>187665.98924417299</v>
      </c>
      <c r="D20738" s="56">
        <v>0.10308072306085794</v>
      </c>
      <c r="E20738" s="224" t="s">
        <v>2</v>
      </c>
      <c r="F20738" s="515" t="s">
        <v>21908</v>
      </c>
      <c r="G20738" s="52">
        <v>758285.34049101197</v>
      </c>
      <c r="H20738" s="56">
        <v>5.719746621845774E-2</v>
      </c>
      <c r="I20738" s="224" t="s">
        <v>2</v>
      </c>
    </row>
    <row r="20739" spans="1:9" x14ac:dyDescent="0.25">
      <c r="A20739" s="515">
        <v>33786</v>
      </c>
      <c r="B20739" s="515" t="s">
        <v>461</v>
      </c>
      <c r="C20739" s="52">
        <v>972161.74423526099</v>
      </c>
      <c r="D20739" s="56">
        <v>0.12152686786405645</v>
      </c>
      <c r="E20739" s="224" t="s">
        <v>2</v>
      </c>
      <c r="F20739" s="515" t="s">
        <v>21909</v>
      </c>
      <c r="G20739" s="52">
        <v>90448.5591370646</v>
      </c>
      <c r="H20739" s="56">
        <v>0.20107710368586482</v>
      </c>
      <c r="I20739" s="224" t="s">
        <v>2</v>
      </c>
    </row>
    <row r="20740" spans="1:9" x14ac:dyDescent="0.25">
      <c r="A20740" s="515">
        <v>63532</v>
      </c>
      <c r="C20740" s="52">
        <v>108893.92</v>
      </c>
      <c r="D20740" s="56">
        <v>0</v>
      </c>
      <c r="E20740" s="224" t="s">
        <v>2</v>
      </c>
      <c r="F20740" s="515" t="s">
        <v>21910</v>
      </c>
      <c r="G20740" s="52">
        <v>133926.45287623501</v>
      </c>
      <c r="H20740" s="56">
        <v>0</v>
      </c>
      <c r="I20740" s="224" t="s">
        <v>2</v>
      </c>
    </row>
    <row r="20741" spans="1:9" x14ac:dyDescent="0.25">
      <c r="A20741" s="515">
        <v>31058</v>
      </c>
      <c r="C20741" s="52">
        <v>111977.331346778</v>
      </c>
      <c r="D20741" s="56">
        <v>-2.7291613355925139E-2</v>
      </c>
      <c r="E20741" s="224" t="s">
        <v>2</v>
      </c>
      <c r="F20741" s="515" t="s">
        <v>21911</v>
      </c>
      <c r="G20741" s="52">
        <v>141775.90004419</v>
      </c>
      <c r="H20741" s="56">
        <v>0</v>
      </c>
      <c r="I20741" s="224" t="s">
        <v>2</v>
      </c>
    </row>
    <row r="20742" spans="1:9" x14ac:dyDescent="0.25">
      <c r="A20742" s="515">
        <v>65764</v>
      </c>
      <c r="B20742" s="515" t="s">
        <v>603</v>
      </c>
      <c r="C20742" s="52">
        <v>186343.18278740099</v>
      </c>
      <c r="D20742" s="56">
        <v>0.11898487692854706</v>
      </c>
      <c r="E20742" s="224" t="s">
        <v>2</v>
      </c>
      <c r="F20742" s="515" t="s">
        <v>21912</v>
      </c>
      <c r="G20742" s="52">
        <v>97971.114467317195</v>
      </c>
      <c r="H20742" s="56">
        <v>0.10387121932049163</v>
      </c>
      <c r="I20742" s="224" t="s">
        <v>2</v>
      </c>
    </row>
    <row r="20743" spans="1:9" x14ac:dyDescent="0.25">
      <c r="A20743" s="515">
        <v>13661</v>
      </c>
      <c r="B20743" s="515" t="s">
        <v>431</v>
      </c>
      <c r="C20743" s="52">
        <v>172837.80665098</v>
      </c>
      <c r="D20743" s="56">
        <v>7.7188105705602972E-2</v>
      </c>
      <c r="E20743" s="224" t="s">
        <v>2</v>
      </c>
      <c r="F20743" s="515" t="s">
        <v>21913</v>
      </c>
      <c r="G20743" s="52">
        <v>234855.927522062</v>
      </c>
      <c r="H20743" s="56">
        <v>7.4971694749453754E-2</v>
      </c>
      <c r="I20743" s="224" t="s">
        <v>2</v>
      </c>
    </row>
    <row r="20744" spans="1:9" x14ac:dyDescent="0.25">
      <c r="A20744" s="515">
        <v>65590</v>
      </c>
      <c r="B20744" s="515" t="s">
        <v>603</v>
      </c>
      <c r="C20744" s="52">
        <v>227937.768347114</v>
      </c>
      <c r="D20744" s="56">
        <v>0.13102614594814391</v>
      </c>
      <c r="E20744" s="224" t="s">
        <v>2</v>
      </c>
      <c r="F20744" s="515" t="s">
        <v>21914</v>
      </c>
      <c r="G20744" s="52">
        <v>205531.16857942101</v>
      </c>
      <c r="H20744" s="56">
        <v>6.9542829197527439E-2</v>
      </c>
      <c r="I20744" s="224" t="s">
        <v>2</v>
      </c>
    </row>
    <row r="20745" spans="1:9" x14ac:dyDescent="0.25">
      <c r="A20745" s="515">
        <v>31094</v>
      </c>
      <c r="C20745" s="52">
        <v>95311.042148954904</v>
      </c>
      <c r="D20745" s="56">
        <v>1.4243598375899511E-2</v>
      </c>
      <c r="E20745" s="224" t="s">
        <v>2</v>
      </c>
      <c r="F20745" s="515" t="s">
        <v>21915</v>
      </c>
      <c r="G20745" s="52">
        <v>151709.58056491401</v>
      </c>
      <c r="H20745" s="56">
        <v>0.14381776712268698</v>
      </c>
      <c r="I20745" s="224" t="s">
        <v>2</v>
      </c>
    </row>
    <row r="20746" spans="1:9" x14ac:dyDescent="0.25">
      <c r="A20746" s="515">
        <v>26405</v>
      </c>
      <c r="C20746" s="52">
        <v>132020.08490835401</v>
      </c>
      <c r="D20746" s="56">
        <v>3.3665040801077295E-2</v>
      </c>
      <c r="E20746" s="224" t="s">
        <v>2</v>
      </c>
      <c r="F20746" s="515" t="s">
        <v>21916</v>
      </c>
      <c r="G20746" s="52">
        <v>118098.80062658701</v>
      </c>
      <c r="H20746" s="56">
        <v>0.16378311619549357</v>
      </c>
      <c r="I20746" s="224" t="s">
        <v>2</v>
      </c>
    </row>
    <row r="20747" spans="1:9" x14ac:dyDescent="0.25">
      <c r="A20747" s="515">
        <v>25676</v>
      </c>
      <c r="C20747" s="52">
        <v>89261.172528349096</v>
      </c>
      <c r="D20747" s="56">
        <v>8.8531758245358347E-2</v>
      </c>
      <c r="E20747" s="224" t="s">
        <v>2</v>
      </c>
      <c r="F20747" s="515" t="s">
        <v>21917</v>
      </c>
      <c r="G20747" s="52">
        <v>89280.812888624103</v>
      </c>
      <c r="H20747" s="56">
        <v>0</v>
      </c>
      <c r="I20747" s="224" t="s">
        <v>2</v>
      </c>
    </row>
    <row r="20748" spans="1:9" x14ac:dyDescent="0.25">
      <c r="A20748" s="515">
        <v>15924</v>
      </c>
      <c r="B20748" s="515" t="s">
        <v>370</v>
      </c>
      <c r="C20748" s="52">
        <v>67117.250737641603</v>
      </c>
      <c r="D20748" s="56">
        <v>0.14218289648086016</v>
      </c>
      <c r="E20748" s="224" t="s">
        <v>2</v>
      </c>
      <c r="F20748" s="515" t="s">
        <v>21918</v>
      </c>
      <c r="G20748" s="52">
        <v>217455.567081482</v>
      </c>
      <c r="H20748" s="56">
        <v>4.2513795424707283E-2</v>
      </c>
      <c r="I20748" s="224" t="s">
        <v>2</v>
      </c>
    </row>
    <row r="20749" spans="1:9" x14ac:dyDescent="0.25">
      <c r="A20749" s="515">
        <v>68466</v>
      </c>
      <c r="B20749" s="515" t="s">
        <v>745</v>
      </c>
      <c r="C20749" s="52">
        <v>86194.980922634</v>
      </c>
      <c r="D20749" s="56">
        <v>4.6889878799837817E-2</v>
      </c>
      <c r="E20749" s="224" t="s">
        <v>2</v>
      </c>
      <c r="F20749" s="515" t="s">
        <v>21919</v>
      </c>
      <c r="G20749" s="52">
        <v>150297.55223780699</v>
      </c>
      <c r="H20749" s="56">
        <v>7.6620648603851621E-2</v>
      </c>
      <c r="I20749" s="224" t="s">
        <v>2</v>
      </c>
    </row>
    <row r="20750" spans="1:9" x14ac:dyDescent="0.25">
      <c r="A20750" s="515">
        <v>4290</v>
      </c>
      <c r="C20750" s="52">
        <v>205796.59139863</v>
      </c>
      <c r="D20750" s="56">
        <v>4.6485201324622492E-2</v>
      </c>
      <c r="E20750" s="224" t="s">
        <v>2</v>
      </c>
      <c r="F20750" s="515" t="s">
        <v>21920</v>
      </c>
      <c r="G20750" s="52">
        <v>113884.376068147</v>
      </c>
      <c r="H20750" s="56">
        <v>0</v>
      </c>
      <c r="I20750" s="224" t="s">
        <v>2</v>
      </c>
    </row>
    <row r="20751" spans="1:9" x14ac:dyDescent="0.25">
      <c r="A20751" s="515">
        <v>56319</v>
      </c>
      <c r="B20751" s="515" t="s">
        <v>965</v>
      </c>
      <c r="C20751" s="52">
        <v>264260.27449824702</v>
      </c>
      <c r="D20751" s="56">
        <v>9.4082406864474874E-2</v>
      </c>
      <c r="E20751" s="224" t="s">
        <v>2</v>
      </c>
      <c r="F20751" s="515" t="s">
        <v>21921</v>
      </c>
      <c r="G20751" s="52">
        <v>149456.676159497</v>
      </c>
      <c r="H20751" s="56">
        <v>8.0851718285015195E-2</v>
      </c>
      <c r="I20751" s="224" t="s">
        <v>2</v>
      </c>
    </row>
    <row r="20752" spans="1:9" x14ac:dyDescent="0.25">
      <c r="A20752" s="515">
        <v>43501</v>
      </c>
      <c r="C20752" s="52">
        <v>132377.33382183901</v>
      </c>
      <c r="D20752" s="56">
        <v>8.2731866197870374E-2</v>
      </c>
      <c r="E20752" s="224" t="s">
        <v>2</v>
      </c>
      <c r="F20752" s="515" t="s">
        <v>21922</v>
      </c>
      <c r="G20752" s="52">
        <v>168104.29838982801</v>
      </c>
      <c r="H20752" s="56">
        <v>-0.16611653225174947</v>
      </c>
      <c r="I20752" s="224" t="s">
        <v>2</v>
      </c>
    </row>
    <row r="20753" spans="1:9" x14ac:dyDescent="0.25">
      <c r="A20753" s="515">
        <v>36256</v>
      </c>
      <c r="B20753" s="515" t="s">
        <v>862</v>
      </c>
      <c r="C20753" s="52">
        <v>149232.137992303</v>
      </c>
      <c r="D20753" s="56">
        <v>7.2293768682359635E-2</v>
      </c>
      <c r="E20753" s="224" t="s">
        <v>2</v>
      </c>
      <c r="F20753" s="515" t="s">
        <v>21923</v>
      </c>
      <c r="G20753" s="52">
        <v>146139.44304046899</v>
      </c>
      <c r="H20753" s="56">
        <v>0.1467181877458571</v>
      </c>
      <c r="I20753" s="224" t="s">
        <v>2</v>
      </c>
    </row>
    <row r="20754" spans="1:9" x14ac:dyDescent="0.25">
      <c r="A20754" s="515">
        <v>5658</v>
      </c>
      <c r="B20754" s="515" t="s">
        <v>945</v>
      </c>
      <c r="C20754" s="52">
        <v>265064.865336922</v>
      </c>
      <c r="D20754" s="56">
        <v>9.0183416865710672E-2</v>
      </c>
      <c r="E20754" s="224" t="s">
        <v>2</v>
      </c>
      <c r="F20754" s="515" t="s">
        <v>21924</v>
      </c>
      <c r="G20754" s="52">
        <v>172205.09744710699</v>
      </c>
      <c r="H20754" s="56">
        <v>0.14615802984935711</v>
      </c>
      <c r="I20754" s="224" t="s">
        <v>2</v>
      </c>
    </row>
    <row r="20755" spans="1:9" x14ac:dyDescent="0.25">
      <c r="A20755" s="515">
        <v>42349</v>
      </c>
      <c r="C20755" s="52">
        <v>103936.494834096</v>
      </c>
      <c r="D20755" s="56">
        <v>0.11743871081040243</v>
      </c>
      <c r="E20755" s="224" t="s">
        <v>2</v>
      </c>
      <c r="F20755" s="515" t="s">
        <v>21925</v>
      </c>
      <c r="G20755" s="52">
        <v>602412.74383485096</v>
      </c>
      <c r="H20755" s="56">
        <v>9.2672181434624343E-2</v>
      </c>
      <c r="I20755" s="224" t="s">
        <v>2</v>
      </c>
    </row>
    <row r="20756" spans="1:9" x14ac:dyDescent="0.25">
      <c r="A20756" s="515">
        <v>80420</v>
      </c>
      <c r="B20756" s="515" t="s">
        <v>401</v>
      </c>
      <c r="C20756" s="52">
        <v>575921.48020055098</v>
      </c>
      <c r="D20756" s="56">
        <v>3.8299558607095371E-2</v>
      </c>
      <c r="E20756" s="224" t="s">
        <v>2</v>
      </c>
      <c r="F20756" s="515" t="s">
        <v>21926</v>
      </c>
      <c r="G20756" s="52">
        <v>147086.32545850001</v>
      </c>
      <c r="H20756" s="56">
        <v>3.8127094069933351E-2</v>
      </c>
      <c r="I20756" s="224" t="s">
        <v>2</v>
      </c>
    </row>
    <row r="20757" spans="1:9" x14ac:dyDescent="0.25">
      <c r="A20757" s="515">
        <v>61565</v>
      </c>
      <c r="B20757" s="515" t="s">
        <v>303</v>
      </c>
      <c r="C20757" s="52">
        <v>133567.79625954499</v>
      </c>
      <c r="D20757" s="56">
        <v>6.9235963701501785E-2</v>
      </c>
      <c r="E20757" s="224" t="s">
        <v>2</v>
      </c>
      <c r="F20757" s="515" t="s">
        <v>21927</v>
      </c>
      <c r="G20757" s="52">
        <v>170298.57154152199</v>
      </c>
      <c r="H20757" s="56">
        <v>0</v>
      </c>
      <c r="I20757" s="224" t="s">
        <v>2</v>
      </c>
    </row>
    <row r="20758" spans="1:9" x14ac:dyDescent="0.25">
      <c r="A20758" s="515">
        <v>52561</v>
      </c>
      <c r="B20758" s="515" t="s">
        <v>477</v>
      </c>
      <c r="C20758" s="52">
        <v>126778.54942682599</v>
      </c>
      <c r="D20758" s="56">
        <v>0.11400697411977249</v>
      </c>
      <c r="E20758" s="224" t="s">
        <v>2</v>
      </c>
      <c r="F20758" s="515" t="s">
        <v>21928</v>
      </c>
      <c r="G20758" s="52">
        <v>200204.09638554201</v>
      </c>
      <c r="H20758" s="56">
        <v>0</v>
      </c>
      <c r="I20758" s="224" t="s">
        <v>2</v>
      </c>
    </row>
    <row r="20759" spans="1:9" x14ac:dyDescent="0.25">
      <c r="A20759" s="515">
        <v>18354</v>
      </c>
      <c r="B20759" s="515" t="s">
        <v>338</v>
      </c>
      <c r="C20759" s="52">
        <v>303711.33156094502</v>
      </c>
      <c r="D20759" s="56">
        <v>7.1600798008019453E-2</v>
      </c>
      <c r="E20759" s="224" t="s">
        <v>2</v>
      </c>
      <c r="F20759" s="515" t="s">
        <v>21929</v>
      </c>
      <c r="G20759" s="52">
        <v>79006.313725490196</v>
      </c>
      <c r="H20759" s="56">
        <v>0</v>
      </c>
      <c r="I20759" s="224" t="s">
        <v>2</v>
      </c>
    </row>
    <row r="20760" spans="1:9" x14ac:dyDescent="0.25">
      <c r="A20760" s="515">
        <v>78005</v>
      </c>
      <c r="B20760" s="515" t="s">
        <v>1043</v>
      </c>
      <c r="C20760" s="52">
        <v>279257.52898704697</v>
      </c>
      <c r="D20760" s="56">
        <v>0</v>
      </c>
      <c r="E20760" s="224" t="s">
        <v>2</v>
      </c>
      <c r="F20760" s="515" t="s">
        <v>21930</v>
      </c>
      <c r="G20760" s="52">
        <v>104198.387675238</v>
      </c>
      <c r="H20760" s="56">
        <v>1.584144275235011E-2</v>
      </c>
      <c r="I20760" s="224" t="s">
        <v>2</v>
      </c>
    </row>
    <row r="20761" spans="1:9" x14ac:dyDescent="0.25">
      <c r="A20761" s="515">
        <v>16360</v>
      </c>
      <c r="B20761" s="515" t="s">
        <v>1042</v>
      </c>
      <c r="C20761" s="52">
        <v>145528.63877356201</v>
      </c>
      <c r="D20761" s="56">
        <v>3.1787392648041815E-3</v>
      </c>
      <c r="E20761" s="224" t="s">
        <v>2</v>
      </c>
      <c r="F20761" s="515" t="s">
        <v>21931</v>
      </c>
      <c r="G20761" s="52">
        <v>143684.664545932</v>
      </c>
      <c r="H20761" s="56">
        <v>0</v>
      </c>
      <c r="I20761" s="224" t="s">
        <v>2</v>
      </c>
    </row>
    <row r="20762" spans="1:9" x14ac:dyDescent="0.25">
      <c r="A20762" s="515">
        <v>16836</v>
      </c>
      <c r="B20762" s="515" t="s">
        <v>876</v>
      </c>
      <c r="C20762" s="52">
        <v>88559.876146788898</v>
      </c>
      <c r="D20762" s="56">
        <v>0</v>
      </c>
      <c r="E20762" s="224" t="s">
        <v>2</v>
      </c>
      <c r="F20762" s="515" t="s">
        <v>21932</v>
      </c>
      <c r="G20762" s="52">
        <v>419824.16550802998</v>
      </c>
      <c r="H20762" s="56">
        <v>0.17455232234521567</v>
      </c>
      <c r="I20762" s="224" t="s">
        <v>2</v>
      </c>
    </row>
    <row r="20763" spans="1:9" x14ac:dyDescent="0.25">
      <c r="A20763" s="515">
        <v>50530</v>
      </c>
      <c r="B20763" s="515" t="s">
        <v>670</v>
      </c>
      <c r="C20763" s="52">
        <v>108529.603741135</v>
      </c>
      <c r="D20763" s="56">
        <v>5.7632325289156076E-3</v>
      </c>
      <c r="E20763" s="224" t="s">
        <v>2</v>
      </c>
      <c r="F20763" s="515" t="s">
        <v>21933</v>
      </c>
      <c r="G20763" s="52">
        <v>189940.74779563301</v>
      </c>
      <c r="H20763" s="56">
        <v>0.11217801259562371</v>
      </c>
      <c r="I20763" s="224" t="s">
        <v>2</v>
      </c>
    </row>
    <row r="20764" spans="1:9" x14ac:dyDescent="0.25">
      <c r="A20764" s="515">
        <v>51638</v>
      </c>
      <c r="C20764" s="52">
        <v>129197.600961898</v>
      </c>
      <c r="D20764" s="56">
        <v>0.13913718150851256</v>
      </c>
      <c r="E20764" s="224" t="s">
        <v>2</v>
      </c>
      <c r="F20764" s="515" t="s">
        <v>21934</v>
      </c>
      <c r="G20764" s="52">
        <v>185738.71618316101</v>
      </c>
      <c r="H20764" s="56">
        <v>3.2133437376181823E-2</v>
      </c>
      <c r="I20764" s="224" t="s">
        <v>2</v>
      </c>
    </row>
    <row r="20765" spans="1:9" x14ac:dyDescent="0.25">
      <c r="A20765" s="515">
        <v>38476</v>
      </c>
      <c r="C20765" s="52">
        <v>476577.475568528</v>
      </c>
      <c r="D20765" s="56">
        <v>5.3200076795630845E-2</v>
      </c>
      <c r="E20765" s="224" t="s">
        <v>2</v>
      </c>
      <c r="F20765" s="515" t="s">
        <v>21935</v>
      </c>
      <c r="G20765" s="52">
        <v>131285.24354611701</v>
      </c>
      <c r="H20765" s="56">
        <v>9.9755973914344626E-2</v>
      </c>
      <c r="I20765" s="224" t="s">
        <v>2</v>
      </c>
    </row>
    <row r="20766" spans="1:9" x14ac:dyDescent="0.25">
      <c r="A20766" s="515">
        <v>69129</v>
      </c>
      <c r="C20766" s="52">
        <v>129417.761330981</v>
      </c>
      <c r="D20766" s="56">
        <v>0.1395281665739975</v>
      </c>
      <c r="E20766" s="224" t="s">
        <v>2</v>
      </c>
      <c r="F20766" s="515" t="s">
        <v>21936</v>
      </c>
      <c r="G20766" s="52">
        <v>48990.402853211999</v>
      </c>
      <c r="H20766" s="56">
        <v>0.17242615914424955</v>
      </c>
      <c r="I20766" s="224" t="s">
        <v>2</v>
      </c>
    </row>
    <row r="20767" spans="1:9" x14ac:dyDescent="0.25">
      <c r="A20767" s="515">
        <v>4679</v>
      </c>
      <c r="C20767" s="52">
        <v>502758.99898002401</v>
      </c>
      <c r="D20767" s="56">
        <v>0.11980484967362531</v>
      </c>
      <c r="E20767" s="224" t="s">
        <v>2</v>
      </c>
      <c r="F20767" s="515" t="s">
        <v>21937</v>
      </c>
      <c r="G20767" s="52">
        <v>119801.827528094</v>
      </c>
      <c r="H20767" s="56">
        <v>0.11779712890106268</v>
      </c>
      <c r="I20767" s="224" t="s">
        <v>2</v>
      </c>
    </row>
    <row r="20768" spans="1:9" x14ac:dyDescent="0.25">
      <c r="A20768" s="515">
        <v>68428</v>
      </c>
      <c r="B20768" s="515" t="s">
        <v>486</v>
      </c>
      <c r="C20768" s="52">
        <v>490470.21759018401</v>
      </c>
      <c r="D20768" s="56">
        <v>0.10591500779350643</v>
      </c>
      <c r="E20768" s="224" t="s">
        <v>2</v>
      </c>
      <c r="F20768" s="515" t="s">
        <v>21938</v>
      </c>
      <c r="G20768" s="52">
        <v>134501.23017209899</v>
      </c>
      <c r="H20768" s="56">
        <v>0.27768632886525046</v>
      </c>
      <c r="I20768" s="224" t="s">
        <v>2</v>
      </c>
    </row>
    <row r="20769" spans="1:9" x14ac:dyDescent="0.25">
      <c r="A20769" s="515">
        <v>31712</v>
      </c>
      <c r="B20769" s="515" t="s">
        <v>1041</v>
      </c>
      <c r="C20769" s="52">
        <v>109111.848252993</v>
      </c>
      <c r="D20769" s="56">
        <v>0.11675243205064949</v>
      </c>
      <c r="E20769" s="224" t="s">
        <v>2</v>
      </c>
      <c r="F20769" s="515" t="s">
        <v>21939</v>
      </c>
      <c r="G20769" s="52">
        <v>87221.247871472093</v>
      </c>
      <c r="H20769" s="56">
        <v>0.11514351020350315</v>
      </c>
      <c r="I20769" s="224" t="s">
        <v>2</v>
      </c>
    </row>
    <row r="20770" spans="1:9" x14ac:dyDescent="0.25">
      <c r="A20770" s="515">
        <v>65237</v>
      </c>
      <c r="B20770" s="515" t="s">
        <v>785</v>
      </c>
      <c r="C20770" s="52">
        <v>156752.897058823</v>
      </c>
      <c r="D20770" s="56">
        <v>0</v>
      </c>
      <c r="E20770" s="224" t="s">
        <v>2</v>
      </c>
      <c r="F20770" s="515" t="s">
        <v>21940</v>
      </c>
      <c r="G20770" s="52">
        <v>167501.66136453999</v>
      </c>
      <c r="H20770" s="56">
        <v>8.3388924371935236E-2</v>
      </c>
      <c r="I20770" s="224" t="s">
        <v>2</v>
      </c>
    </row>
    <row r="20771" spans="1:9" x14ac:dyDescent="0.25">
      <c r="A20771" s="515">
        <v>34739</v>
      </c>
      <c r="B20771" s="515" t="s">
        <v>517</v>
      </c>
      <c r="C20771" s="52">
        <v>322416.42882553599</v>
      </c>
      <c r="D20771" s="56">
        <v>0.15079941341047243</v>
      </c>
      <c r="E20771" s="224" t="s">
        <v>2</v>
      </c>
      <c r="F20771" s="515" t="s">
        <v>21941</v>
      </c>
      <c r="G20771" s="52">
        <v>120665.781109312</v>
      </c>
      <c r="H20771" s="56">
        <v>3.6620175735495787E-2</v>
      </c>
      <c r="I20771" s="224" t="s">
        <v>2</v>
      </c>
    </row>
    <row r="20772" spans="1:9" x14ac:dyDescent="0.25">
      <c r="A20772" s="515">
        <v>38311</v>
      </c>
      <c r="C20772" s="52">
        <v>200724.09072660501</v>
      </c>
      <c r="D20772" s="56">
        <v>4.0102930149436597E-2</v>
      </c>
      <c r="E20772" s="224" t="s">
        <v>2</v>
      </c>
      <c r="F20772" s="515" t="s">
        <v>21942</v>
      </c>
      <c r="G20772" s="52">
        <v>505443.171880498</v>
      </c>
      <c r="H20772" s="56">
        <v>7.338331057700534E-2</v>
      </c>
      <c r="I20772" s="224" t="s">
        <v>2</v>
      </c>
    </row>
    <row r="20773" spans="1:9" x14ac:dyDescent="0.25">
      <c r="A20773" s="515">
        <v>27947</v>
      </c>
      <c r="B20773" s="515" t="s">
        <v>301</v>
      </c>
      <c r="C20773" s="52">
        <v>315136.36614832998</v>
      </c>
      <c r="D20773" s="56">
        <v>0.15468142305268123</v>
      </c>
      <c r="E20773" s="224" t="s">
        <v>2</v>
      </c>
      <c r="F20773" s="515" t="s">
        <v>21943</v>
      </c>
      <c r="G20773" s="52">
        <v>169857.39215686201</v>
      </c>
      <c r="H20773" s="56">
        <v>0</v>
      </c>
      <c r="I20773" s="224" t="s">
        <v>2</v>
      </c>
    </row>
    <row r="20774" spans="1:9" x14ac:dyDescent="0.25">
      <c r="A20774" s="515">
        <v>59254</v>
      </c>
      <c r="C20774" s="52">
        <v>277295.02953204099</v>
      </c>
      <c r="D20774" s="56">
        <v>9.7769761383924195E-2</v>
      </c>
      <c r="E20774" s="224" t="s">
        <v>2</v>
      </c>
      <c r="F20774" s="515" t="s">
        <v>21944</v>
      </c>
      <c r="G20774" s="52">
        <v>313068.70523138402</v>
      </c>
      <c r="H20774" s="56">
        <v>4.7099100816153587E-2</v>
      </c>
      <c r="I20774" s="224" t="s">
        <v>2</v>
      </c>
    </row>
    <row r="20775" spans="1:9" x14ac:dyDescent="0.25">
      <c r="A20775" s="515">
        <v>21082</v>
      </c>
      <c r="B20775" s="515" t="s">
        <v>582</v>
      </c>
      <c r="C20775" s="52">
        <v>472146.70482389501</v>
      </c>
      <c r="D20775" s="56">
        <v>2.5111704715786273E-2</v>
      </c>
      <c r="E20775" s="224" t="s">
        <v>2</v>
      </c>
      <c r="F20775" s="515" t="s">
        <v>21945</v>
      </c>
      <c r="G20775" s="52">
        <v>491603.97320158401</v>
      </c>
      <c r="H20775" s="56">
        <v>8.7074986746391095E-2</v>
      </c>
      <c r="I20775" s="224" t="s">
        <v>2</v>
      </c>
    </row>
    <row r="20776" spans="1:9" x14ac:dyDescent="0.25">
      <c r="A20776" s="515">
        <v>70354</v>
      </c>
      <c r="B20776" s="515" t="s">
        <v>898</v>
      </c>
      <c r="C20776" s="52">
        <v>64066.699205377903</v>
      </c>
      <c r="D20776" s="56">
        <v>-0.30798905760982781</v>
      </c>
      <c r="E20776" s="224" t="s">
        <v>2</v>
      </c>
      <c r="F20776" s="515" t="s">
        <v>21946</v>
      </c>
      <c r="G20776" s="52">
        <v>156240.133437971</v>
      </c>
      <c r="H20776" s="56">
        <v>0.20492392409691071</v>
      </c>
      <c r="I20776" s="224" t="s">
        <v>2</v>
      </c>
    </row>
    <row r="20777" spans="1:9" x14ac:dyDescent="0.25">
      <c r="A20777" s="515">
        <v>15665</v>
      </c>
      <c r="B20777" s="515" t="s">
        <v>297</v>
      </c>
      <c r="C20777" s="52">
        <v>148522.48466052499</v>
      </c>
      <c r="D20777" s="56">
        <v>-2.553972651435368E-2</v>
      </c>
      <c r="E20777" s="224" t="s">
        <v>2</v>
      </c>
      <c r="F20777" s="515" t="s">
        <v>21947</v>
      </c>
      <c r="G20777" s="52">
        <v>96083.590933871994</v>
      </c>
      <c r="H20777" s="56">
        <v>7.8732825722815092E-2</v>
      </c>
      <c r="I20777" s="224" t="s">
        <v>2</v>
      </c>
    </row>
    <row r="20778" spans="1:9" x14ac:dyDescent="0.25">
      <c r="A20778" s="515">
        <v>5456</v>
      </c>
      <c r="C20778" s="52">
        <v>419558.244534</v>
      </c>
      <c r="D20778" s="56">
        <v>9.4273403021427338E-2</v>
      </c>
      <c r="E20778" s="224" t="s">
        <v>2</v>
      </c>
      <c r="F20778" s="515" t="s">
        <v>21948</v>
      </c>
      <c r="G20778" s="52">
        <v>91960.381146303102</v>
      </c>
      <c r="H20778" s="56">
        <v>5.7387562405407509E-2</v>
      </c>
      <c r="I20778" s="224" t="s">
        <v>2</v>
      </c>
    </row>
    <row r="20779" spans="1:9" x14ac:dyDescent="0.25">
      <c r="A20779" s="515">
        <v>12821</v>
      </c>
      <c r="B20779" s="515" t="s">
        <v>422</v>
      </c>
      <c r="C20779" s="52">
        <v>186066.925925925</v>
      </c>
      <c r="D20779" s="56">
        <v>0</v>
      </c>
      <c r="E20779" s="224" t="s">
        <v>2</v>
      </c>
      <c r="F20779" s="515" t="s">
        <v>21949</v>
      </c>
      <c r="G20779" s="52">
        <v>218392.08481698899</v>
      </c>
      <c r="H20779" s="56">
        <v>6.6656351392943375E-2</v>
      </c>
      <c r="I20779" s="224" t="s">
        <v>2</v>
      </c>
    </row>
    <row r="20780" spans="1:9" x14ac:dyDescent="0.25">
      <c r="A20780" s="515">
        <v>13428</v>
      </c>
      <c r="B20780" s="515" t="s">
        <v>378</v>
      </c>
      <c r="C20780" s="52">
        <v>168186.94537664601</v>
      </c>
      <c r="D20780" s="56">
        <v>0.1199049329710254</v>
      </c>
      <c r="E20780" s="224" t="s">
        <v>2</v>
      </c>
      <c r="F20780" s="515" t="s">
        <v>21950</v>
      </c>
      <c r="G20780" s="52">
        <v>101343.87497044601</v>
      </c>
      <c r="H20780" s="56">
        <v>0.15696982052271366</v>
      </c>
      <c r="I20780" s="224" t="s">
        <v>2</v>
      </c>
    </row>
    <row r="20781" spans="1:9" x14ac:dyDescent="0.25">
      <c r="A20781" s="515">
        <v>61259</v>
      </c>
      <c r="B20781" s="515" t="s">
        <v>439</v>
      </c>
      <c r="C20781" s="52">
        <v>206605.30663169999</v>
      </c>
      <c r="D20781" s="56">
        <v>1.3376931733979585E-2</v>
      </c>
      <c r="E20781" s="224" t="s">
        <v>2</v>
      </c>
      <c r="F20781" s="515" t="s">
        <v>21951</v>
      </c>
      <c r="G20781" s="52">
        <v>373434.92018901801</v>
      </c>
      <c r="H20781" s="56">
        <v>0.23826267874286025</v>
      </c>
      <c r="I20781" s="224" t="s">
        <v>2</v>
      </c>
    </row>
    <row r="20782" spans="1:9" x14ac:dyDescent="0.25">
      <c r="A20782" s="515">
        <v>67839</v>
      </c>
      <c r="C20782" s="52">
        <v>90930.1810972159</v>
      </c>
      <c r="D20782" s="56">
        <v>0.11496907291763402</v>
      </c>
      <c r="E20782" s="224" t="s">
        <v>2</v>
      </c>
      <c r="F20782" s="515" t="s">
        <v>21952</v>
      </c>
      <c r="G20782" s="52">
        <v>245855.92772685099</v>
      </c>
      <c r="H20782" s="56">
        <v>0.13162199204078287</v>
      </c>
      <c r="I20782" s="224" t="s">
        <v>2</v>
      </c>
    </row>
    <row r="20783" spans="1:9" x14ac:dyDescent="0.25">
      <c r="A20783" s="515">
        <v>95947</v>
      </c>
      <c r="C20783" s="52">
        <v>266922.60336205899</v>
      </c>
      <c r="D20783" s="56">
        <v>1.7149803365270493E-2</v>
      </c>
      <c r="E20783" s="224" t="s">
        <v>2</v>
      </c>
      <c r="F20783" s="515" t="s">
        <v>21953</v>
      </c>
      <c r="G20783" s="52">
        <v>1391293.89317729</v>
      </c>
      <c r="H20783" s="56">
        <v>5.4047650091475628E-2</v>
      </c>
      <c r="I20783" s="224" t="s">
        <v>2</v>
      </c>
    </row>
    <row r="20784" spans="1:9" x14ac:dyDescent="0.25">
      <c r="A20784" s="515">
        <v>78954</v>
      </c>
      <c r="C20784" s="52">
        <v>1152741.0721988699</v>
      </c>
      <c r="D20784" s="56">
        <v>0.24375787772148419</v>
      </c>
      <c r="E20784" s="224" t="s">
        <v>2</v>
      </c>
      <c r="F20784" s="515" t="s">
        <v>21954</v>
      </c>
      <c r="G20784" s="52">
        <v>409599.73729294102</v>
      </c>
      <c r="H20784" s="56">
        <v>7.13080085721325E-2</v>
      </c>
      <c r="I20784" s="224" t="s">
        <v>2</v>
      </c>
    </row>
    <row r="20785" spans="1:9" x14ac:dyDescent="0.25">
      <c r="A20785" s="515">
        <v>28627</v>
      </c>
      <c r="C20785" s="52">
        <v>318650.594051197</v>
      </c>
      <c r="D20785" s="56">
        <v>0.11870708777252663</v>
      </c>
      <c r="E20785" s="224" t="s">
        <v>2</v>
      </c>
      <c r="F20785" s="515" t="s">
        <v>21955</v>
      </c>
      <c r="G20785" s="52">
        <v>113067.043497951</v>
      </c>
      <c r="H20785" s="56">
        <v>0</v>
      </c>
      <c r="I20785" s="224" t="s">
        <v>2</v>
      </c>
    </row>
    <row r="20786" spans="1:9" x14ac:dyDescent="0.25">
      <c r="A20786" s="515">
        <v>66097</v>
      </c>
      <c r="B20786" s="515" t="s">
        <v>549</v>
      </c>
      <c r="C20786" s="52">
        <v>207610.92486998701</v>
      </c>
      <c r="D20786" s="56">
        <v>0.14485976388102606</v>
      </c>
      <c r="E20786" s="224" t="s">
        <v>2</v>
      </c>
      <c r="F20786" s="515" t="s">
        <v>21956</v>
      </c>
      <c r="G20786" s="52">
        <v>149022.02927401499</v>
      </c>
      <c r="H20786" s="56">
        <v>0</v>
      </c>
      <c r="I20786" s="224" t="s">
        <v>2</v>
      </c>
    </row>
    <row r="20787" spans="1:9" x14ac:dyDescent="0.25">
      <c r="A20787" s="515">
        <v>3588</v>
      </c>
      <c r="B20787" s="515" t="s">
        <v>752</v>
      </c>
      <c r="C20787" s="52">
        <v>249048.09071963801</v>
      </c>
      <c r="D20787" s="56">
        <v>0.1606025192691416</v>
      </c>
      <c r="E20787" s="224" t="s">
        <v>2</v>
      </c>
      <c r="F20787" s="515" t="s">
        <v>21957</v>
      </c>
      <c r="G20787" s="52">
        <v>241511.54337437701</v>
      </c>
      <c r="H20787" s="56">
        <v>8.6971309776092784E-2</v>
      </c>
      <c r="I20787" s="224" t="s">
        <v>2</v>
      </c>
    </row>
    <row r="20788" spans="1:9" x14ac:dyDescent="0.25">
      <c r="A20788" s="515">
        <v>73860</v>
      </c>
      <c r="C20788" s="52">
        <v>74208.714983408805</v>
      </c>
      <c r="D20788" s="56">
        <v>0.13759506984244388</v>
      </c>
      <c r="E20788" s="224" t="s">
        <v>2</v>
      </c>
      <c r="F20788" s="515" t="s">
        <v>21958</v>
      </c>
      <c r="G20788" s="52">
        <v>981057.17706128</v>
      </c>
      <c r="H20788" s="56">
        <v>3.7656403926338608E-2</v>
      </c>
      <c r="I20788" s="224" t="s">
        <v>2</v>
      </c>
    </row>
    <row r="20789" spans="1:9" x14ac:dyDescent="0.25">
      <c r="A20789" s="515">
        <v>24120</v>
      </c>
      <c r="C20789" s="52">
        <v>171855.51653711099</v>
      </c>
      <c r="D20789" s="56">
        <v>2.268229926035192E-2</v>
      </c>
      <c r="E20789" s="224" t="s">
        <v>2</v>
      </c>
      <c r="F20789" s="515" t="s">
        <v>21959</v>
      </c>
      <c r="G20789" s="52">
        <v>77905.587832543795</v>
      </c>
      <c r="H20789" s="56">
        <v>0.17873392677756222</v>
      </c>
      <c r="I20789" s="224" t="s">
        <v>2</v>
      </c>
    </row>
    <row r="20790" spans="1:9" x14ac:dyDescent="0.25">
      <c r="A20790" s="515">
        <v>83344</v>
      </c>
      <c r="B20790" s="515" t="s">
        <v>832</v>
      </c>
      <c r="C20790" s="52">
        <v>402708.80442663399</v>
      </c>
      <c r="D20790" s="56">
        <v>5.8023861757755674E-2</v>
      </c>
      <c r="E20790" s="224" t="s">
        <v>2</v>
      </c>
      <c r="F20790" s="515" t="s">
        <v>21960</v>
      </c>
      <c r="G20790" s="52">
        <v>98728.901670257706</v>
      </c>
      <c r="H20790" s="56">
        <v>0.14434712275768138</v>
      </c>
      <c r="I20790" s="224" t="s">
        <v>2</v>
      </c>
    </row>
    <row r="20791" spans="1:9" x14ac:dyDescent="0.25">
      <c r="A20791" s="515">
        <v>75937</v>
      </c>
      <c r="B20791" s="515" t="s">
        <v>1035</v>
      </c>
      <c r="C20791" s="52">
        <v>174266.511363636</v>
      </c>
      <c r="D20791" s="56">
        <v>0</v>
      </c>
      <c r="E20791" s="224" t="s">
        <v>2</v>
      </c>
      <c r="F20791" s="515" t="s">
        <v>21961</v>
      </c>
      <c r="G20791" s="52">
        <v>132359.19522770299</v>
      </c>
      <c r="H20791" s="56">
        <v>0</v>
      </c>
      <c r="I20791" s="224" t="s">
        <v>2</v>
      </c>
    </row>
    <row r="20792" spans="1:9" x14ac:dyDescent="0.25">
      <c r="A20792" s="515">
        <v>67336</v>
      </c>
      <c r="B20792" s="515" t="s">
        <v>656</v>
      </c>
      <c r="C20792" s="52">
        <v>73148.763959930599</v>
      </c>
      <c r="D20792" s="56">
        <v>0.13960373460509959</v>
      </c>
      <c r="E20792" s="224" t="s">
        <v>2</v>
      </c>
      <c r="F20792" s="515" t="s">
        <v>21962</v>
      </c>
      <c r="G20792" s="52">
        <v>351419.61206896498</v>
      </c>
      <c r="H20792" s="56">
        <v>0</v>
      </c>
      <c r="I20792" s="224" t="s">
        <v>2</v>
      </c>
    </row>
    <row r="20793" spans="1:9" x14ac:dyDescent="0.25">
      <c r="A20793" s="515">
        <v>84013</v>
      </c>
      <c r="B20793" s="515" t="s">
        <v>726</v>
      </c>
      <c r="C20793" s="52">
        <v>529160.05371283705</v>
      </c>
      <c r="D20793" s="56">
        <v>4.791938062847103E-2</v>
      </c>
      <c r="E20793" s="224" t="s">
        <v>2</v>
      </c>
      <c r="F20793" s="515" t="s">
        <v>21963</v>
      </c>
      <c r="G20793" s="52">
        <v>123775.372255015</v>
      </c>
      <c r="H20793" s="56">
        <v>0.16905001131939468</v>
      </c>
      <c r="I20793" s="224" t="s">
        <v>2</v>
      </c>
    </row>
    <row r="20794" spans="1:9" x14ac:dyDescent="0.25">
      <c r="A20794" s="515">
        <v>2812</v>
      </c>
      <c r="B20794" s="515" t="s">
        <v>513</v>
      </c>
      <c r="C20794" s="52">
        <v>437828.26392568299</v>
      </c>
      <c r="D20794" s="56">
        <v>6.3359927363459745E-2</v>
      </c>
      <c r="E20794" s="224" t="s">
        <v>2</v>
      </c>
      <c r="F20794" s="515" t="s">
        <v>21964</v>
      </c>
      <c r="G20794" s="52">
        <v>170071.58133530201</v>
      </c>
      <c r="H20794" s="56">
        <v>0.23588651697065152</v>
      </c>
      <c r="I20794" s="224" t="s">
        <v>2</v>
      </c>
    </row>
    <row r="20795" spans="1:9" x14ac:dyDescent="0.25">
      <c r="A20795" s="515">
        <v>65462</v>
      </c>
      <c r="B20795" s="515" t="s">
        <v>357</v>
      </c>
      <c r="C20795" s="52">
        <v>150152.29316996201</v>
      </c>
      <c r="D20795" s="56">
        <v>9.9490686279294596E-2</v>
      </c>
      <c r="E20795" s="224" t="s">
        <v>2</v>
      </c>
      <c r="F20795" s="515" t="s">
        <v>21965</v>
      </c>
      <c r="G20795" s="52">
        <v>120791.647183935</v>
      </c>
      <c r="H20795" s="56">
        <v>0</v>
      </c>
      <c r="I20795" s="224" t="s">
        <v>2</v>
      </c>
    </row>
    <row r="20796" spans="1:9" x14ac:dyDescent="0.25">
      <c r="A20796" s="515">
        <v>59758</v>
      </c>
      <c r="B20796" s="515" t="s">
        <v>561</v>
      </c>
      <c r="C20796" s="52">
        <v>550409.93207804905</v>
      </c>
      <c r="D20796" s="56">
        <v>6.9329467512337095E-2</v>
      </c>
      <c r="E20796" s="224" t="s">
        <v>2</v>
      </c>
      <c r="F20796" s="515" t="s">
        <v>21966</v>
      </c>
      <c r="G20796" s="52">
        <v>170233.47713196601</v>
      </c>
      <c r="H20796" s="56">
        <v>0.27584693496808194</v>
      </c>
      <c r="I20796" s="224" t="s">
        <v>2</v>
      </c>
    </row>
    <row r="20797" spans="1:9" x14ac:dyDescent="0.25">
      <c r="A20797" s="515">
        <v>48861</v>
      </c>
      <c r="B20797" s="515" t="s">
        <v>528</v>
      </c>
      <c r="C20797" s="52">
        <v>191866.56464583799</v>
      </c>
      <c r="D20797" s="56">
        <v>7.0108060520780127E-2</v>
      </c>
      <c r="E20797" s="224" t="s">
        <v>2</v>
      </c>
      <c r="F20797" s="515" t="s">
        <v>21967</v>
      </c>
      <c r="G20797" s="52">
        <v>79406.548218200696</v>
      </c>
      <c r="H20797" s="56">
        <v>-6.3607669203568001E-2</v>
      </c>
      <c r="I20797" s="224" t="s">
        <v>2</v>
      </c>
    </row>
    <row r="20798" spans="1:9" x14ac:dyDescent="0.25">
      <c r="A20798" s="515">
        <v>56653</v>
      </c>
      <c r="C20798" s="52">
        <v>138314.89447851499</v>
      </c>
      <c r="D20798" s="56">
        <v>6.3855847973121382E-2</v>
      </c>
      <c r="E20798" s="224" t="s">
        <v>2</v>
      </c>
      <c r="F20798" s="515" t="s">
        <v>21968</v>
      </c>
      <c r="G20798" s="52">
        <v>102330.117706399</v>
      </c>
      <c r="H20798" s="56">
        <v>0.17279244323036111</v>
      </c>
      <c r="I20798" s="224" t="s">
        <v>2</v>
      </c>
    </row>
    <row r="20799" spans="1:9" x14ac:dyDescent="0.25">
      <c r="A20799" s="515">
        <v>30820</v>
      </c>
      <c r="C20799" s="52">
        <v>114662.91911343401</v>
      </c>
      <c r="D20799" s="56">
        <v>-1.6171637299070243E-2</v>
      </c>
      <c r="E20799" s="224" t="s">
        <v>2</v>
      </c>
      <c r="F20799" s="515" t="s">
        <v>21969</v>
      </c>
      <c r="G20799" s="52">
        <v>75613.5201000612</v>
      </c>
      <c r="H20799" s="56">
        <v>-4.1619239790859582E-2</v>
      </c>
      <c r="I20799" s="224" t="s">
        <v>2</v>
      </c>
    </row>
    <row r="20800" spans="1:9" x14ac:dyDescent="0.25">
      <c r="A20800" s="515">
        <v>61330</v>
      </c>
      <c r="B20800" s="515" t="s">
        <v>556</v>
      </c>
      <c r="C20800" s="52">
        <v>122985.424773527</v>
      </c>
      <c r="D20800" s="56">
        <v>3.553813294416179E-2</v>
      </c>
      <c r="E20800" s="224" t="s">
        <v>2</v>
      </c>
      <c r="F20800" s="515" t="s">
        <v>21970</v>
      </c>
      <c r="G20800" s="52">
        <v>173387.178412123</v>
      </c>
      <c r="H20800" s="56">
        <v>0</v>
      </c>
      <c r="I20800" s="224" t="s">
        <v>2</v>
      </c>
    </row>
    <row r="20801" spans="1:9" x14ac:dyDescent="0.25">
      <c r="A20801" s="515">
        <v>50447</v>
      </c>
      <c r="C20801" s="52">
        <v>104672.84099765601</v>
      </c>
      <c r="D20801" s="56">
        <v>8.8132810041472401E-2</v>
      </c>
      <c r="E20801" s="224" t="s">
        <v>2</v>
      </c>
      <c r="F20801" s="515" t="s">
        <v>21971</v>
      </c>
      <c r="G20801" s="52">
        <v>398182.832824921</v>
      </c>
      <c r="H20801" s="56">
        <v>0.1248040808758531</v>
      </c>
      <c r="I20801" s="224" t="s">
        <v>2</v>
      </c>
    </row>
    <row r="20802" spans="1:9" x14ac:dyDescent="0.25">
      <c r="A20802" s="515">
        <v>67149</v>
      </c>
      <c r="B20802" s="515" t="s">
        <v>485</v>
      </c>
      <c r="C20802" s="52">
        <v>317171.72647512902</v>
      </c>
      <c r="D20802" s="56">
        <v>0.11591388745168532</v>
      </c>
      <c r="E20802" s="224" t="s">
        <v>2</v>
      </c>
      <c r="F20802" s="515" t="s">
        <v>21972</v>
      </c>
      <c r="G20802" s="52">
        <v>222670.69117646999</v>
      </c>
      <c r="H20802" s="56">
        <v>0</v>
      </c>
      <c r="I20802" s="224" t="s">
        <v>2</v>
      </c>
    </row>
    <row r="20803" spans="1:9" x14ac:dyDescent="0.25">
      <c r="A20803" s="515">
        <v>43153</v>
      </c>
      <c r="B20803" s="515" t="s">
        <v>345</v>
      </c>
      <c r="C20803" s="52">
        <v>201661.73454606699</v>
      </c>
      <c r="D20803" s="56">
        <v>8.963077657822488E-2</v>
      </c>
      <c r="E20803" s="224" t="s">
        <v>2</v>
      </c>
      <c r="F20803" s="515" t="s">
        <v>21973</v>
      </c>
      <c r="G20803" s="52">
        <v>77990.538224838005</v>
      </c>
      <c r="H20803" s="56">
        <v>0.14296715347003602</v>
      </c>
      <c r="I20803" s="224" t="s">
        <v>2</v>
      </c>
    </row>
    <row r="20804" spans="1:9" x14ac:dyDescent="0.25">
      <c r="A20804" s="515">
        <v>47354</v>
      </c>
      <c r="C20804" s="52">
        <v>161658.837448946</v>
      </c>
      <c r="D20804" s="56">
        <v>6.3755322691781705E-2</v>
      </c>
      <c r="E20804" s="224" t="s">
        <v>2</v>
      </c>
      <c r="F20804" s="515" t="s">
        <v>21974</v>
      </c>
      <c r="G20804" s="52">
        <v>164673.87747032399</v>
      </c>
      <c r="H20804" s="56">
        <v>0</v>
      </c>
      <c r="I20804" s="224" t="s">
        <v>2</v>
      </c>
    </row>
    <row r="20805" spans="1:9" x14ac:dyDescent="0.25">
      <c r="A20805" s="515">
        <v>54611</v>
      </c>
      <c r="C20805" s="52">
        <v>155558.794876909</v>
      </c>
      <c r="D20805" s="56">
        <v>6.0033882936738149E-2</v>
      </c>
      <c r="E20805" s="224" t="s">
        <v>2</v>
      </c>
      <c r="F20805" s="515" t="s">
        <v>21975</v>
      </c>
      <c r="G20805" s="52">
        <v>128535.40540540501</v>
      </c>
      <c r="H20805" s="56">
        <v>0</v>
      </c>
      <c r="I20805" s="224" t="s">
        <v>2</v>
      </c>
    </row>
    <row r="20806" spans="1:9" x14ac:dyDescent="0.25">
      <c r="A20806" s="515">
        <v>64832</v>
      </c>
      <c r="B20806" s="515" t="s">
        <v>784</v>
      </c>
      <c r="C20806" s="52">
        <v>242793.59681458099</v>
      </c>
      <c r="D20806" s="56">
        <v>0</v>
      </c>
      <c r="E20806" s="224" t="s">
        <v>2</v>
      </c>
      <c r="F20806" s="515" t="s">
        <v>21976</v>
      </c>
      <c r="G20806" s="52">
        <v>100018.234480014</v>
      </c>
      <c r="H20806" s="56">
        <v>0</v>
      </c>
      <c r="I20806" s="224" t="s">
        <v>2</v>
      </c>
    </row>
    <row r="20807" spans="1:9" x14ac:dyDescent="0.25">
      <c r="A20807" s="515">
        <v>44418</v>
      </c>
      <c r="B20807" s="515" t="s">
        <v>397</v>
      </c>
      <c r="C20807" s="52">
        <v>204765.00701855801</v>
      </c>
      <c r="D20807" s="56">
        <v>7.1252254466904627E-2</v>
      </c>
      <c r="E20807" s="224" t="s">
        <v>2</v>
      </c>
      <c r="F20807" s="515" t="s">
        <v>21977</v>
      </c>
      <c r="G20807" s="52">
        <v>75667.564730628204</v>
      </c>
      <c r="H20807" s="56">
        <v>1.8881806904649422E-2</v>
      </c>
      <c r="I20807" s="224" t="s">
        <v>2</v>
      </c>
    </row>
    <row r="20808" spans="1:9" x14ac:dyDescent="0.25">
      <c r="A20808" s="515">
        <v>25093</v>
      </c>
      <c r="B20808" s="515" t="s">
        <v>322</v>
      </c>
      <c r="C20808" s="52">
        <v>33577.123132937901</v>
      </c>
      <c r="D20808" s="56">
        <v>4.9044342904252997E-2</v>
      </c>
      <c r="E20808" s="224" t="s">
        <v>2</v>
      </c>
      <c r="F20808" s="515" t="s">
        <v>21978</v>
      </c>
      <c r="G20808" s="52">
        <v>62220.949139290198</v>
      </c>
      <c r="H20808" s="56">
        <v>0.15323092694903329</v>
      </c>
      <c r="I20808" s="224" t="s">
        <v>2</v>
      </c>
    </row>
    <row r="20809" spans="1:9" x14ac:dyDescent="0.25">
      <c r="A20809" s="515">
        <v>25831</v>
      </c>
      <c r="B20809" s="515" t="s">
        <v>566</v>
      </c>
      <c r="C20809" s="52">
        <v>109673.922979526</v>
      </c>
      <c r="D20809" s="56">
        <v>0.17142529760555594</v>
      </c>
      <c r="E20809" s="224" t="s">
        <v>2</v>
      </c>
      <c r="F20809" s="515" t="s">
        <v>21979</v>
      </c>
      <c r="G20809" s="52">
        <v>122319.07435928</v>
      </c>
      <c r="H20809" s="56">
        <v>0.11019135152431475</v>
      </c>
      <c r="I20809" s="224" t="s">
        <v>2</v>
      </c>
    </row>
    <row r="20810" spans="1:9" x14ac:dyDescent="0.25">
      <c r="A20810" s="515">
        <v>25537</v>
      </c>
      <c r="B20810" s="515" t="s">
        <v>602</v>
      </c>
      <c r="C20810" s="52">
        <v>121690.50428150099</v>
      </c>
      <c r="D20810" s="56">
        <v>5.7131003637180607E-2</v>
      </c>
      <c r="E20810" s="224" t="s">
        <v>2</v>
      </c>
      <c r="F20810" s="515" t="s">
        <v>21980</v>
      </c>
      <c r="G20810" s="52">
        <v>301993.65519146097</v>
      </c>
      <c r="H20810" s="56">
        <v>9.5193891796734584E-2</v>
      </c>
      <c r="I20810" s="224" t="s">
        <v>2</v>
      </c>
    </row>
    <row r="20811" spans="1:9" x14ac:dyDescent="0.25">
      <c r="A20811" s="515">
        <v>4740</v>
      </c>
      <c r="C20811" s="52">
        <v>167405.373937583</v>
      </c>
      <c r="D20811" s="56">
        <v>9.925061399138671E-2</v>
      </c>
      <c r="E20811" s="224" t="s">
        <v>2</v>
      </c>
      <c r="F20811" s="515" t="s">
        <v>21981</v>
      </c>
      <c r="G20811" s="52">
        <v>416634.51020408102</v>
      </c>
      <c r="H20811" s="56">
        <v>0</v>
      </c>
      <c r="I20811" s="224" t="s">
        <v>2</v>
      </c>
    </row>
    <row r="20812" spans="1:9" x14ac:dyDescent="0.25">
      <c r="A20812" s="515">
        <v>70749</v>
      </c>
      <c r="B20812" s="515" t="s">
        <v>610</v>
      </c>
      <c r="C20812" s="52">
        <v>213207.175510612</v>
      </c>
      <c r="D20812" s="56">
        <v>0.11657304805659427</v>
      </c>
      <c r="E20812" s="224" t="s">
        <v>2</v>
      </c>
      <c r="F20812" s="515" t="s">
        <v>21982</v>
      </c>
      <c r="G20812" s="52">
        <v>269047.49941044598</v>
      </c>
      <c r="H20812" s="56">
        <v>0.12794577800862469</v>
      </c>
      <c r="I20812" s="224" t="s">
        <v>2</v>
      </c>
    </row>
    <row r="20813" spans="1:9" x14ac:dyDescent="0.25">
      <c r="A20813" s="515">
        <v>13473</v>
      </c>
      <c r="C20813" s="52">
        <v>166118.54856697601</v>
      </c>
      <c r="D20813" s="56">
        <v>7.9487612420299156E-2</v>
      </c>
      <c r="E20813" s="224" t="s">
        <v>2</v>
      </c>
      <c r="F20813" s="515" t="s">
        <v>21983</v>
      </c>
      <c r="G20813" s="52">
        <v>243466.10515515099</v>
      </c>
      <c r="H20813" s="56">
        <v>6.1646726296240038E-2</v>
      </c>
      <c r="I20813" s="224" t="s">
        <v>2</v>
      </c>
    </row>
    <row r="20814" spans="1:9" x14ac:dyDescent="0.25">
      <c r="A20814" s="515">
        <v>72531</v>
      </c>
      <c r="B20814" s="515" t="s">
        <v>679</v>
      </c>
      <c r="C20814" s="52">
        <v>157155.64639445901</v>
      </c>
      <c r="D20814" s="56">
        <v>-0.11366376972495186</v>
      </c>
      <c r="E20814" s="224" t="s">
        <v>2</v>
      </c>
      <c r="F20814" s="515" t="s">
        <v>21984</v>
      </c>
      <c r="G20814" s="52">
        <v>190935.547134308</v>
      </c>
      <c r="H20814" s="56">
        <v>0</v>
      </c>
      <c r="I20814" s="224" t="s">
        <v>2</v>
      </c>
    </row>
    <row r="20815" spans="1:9" x14ac:dyDescent="0.25">
      <c r="A20815" s="515">
        <v>16111</v>
      </c>
      <c r="B20815" s="515" t="s">
        <v>1042</v>
      </c>
      <c r="C20815" s="52">
        <v>165188.866666666</v>
      </c>
      <c r="D20815" s="56">
        <v>0</v>
      </c>
      <c r="E20815" s="224" t="s">
        <v>2</v>
      </c>
      <c r="F20815" s="515" t="s">
        <v>21985</v>
      </c>
      <c r="G20815" s="52">
        <v>720276.72401984199</v>
      </c>
      <c r="H20815" s="56">
        <v>4.290931724462263E-2</v>
      </c>
      <c r="I20815" s="224" t="s">
        <v>2</v>
      </c>
    </row>
    <row r="20816" spans="1:9" x14ac:dyDescent="0.25">
      <c r="A20816" s="515">
        <v>68714</v>
      </c>
      <c r="C20816" s="52">
        <v>85236.804086485397</v>
      </c>
      <c r="D20816" s="56">
        <v>0</v>
      </c>
      <c r="E20816" s="224" t="s">
        <v>2</v>
      </c>
      <c r="F20816" s="515" t="s">
        <v>21986</v>
      </c>
      <c r="G20816" s="52">
        <v>314589.39076566201</v>
      </c>
      <c r="H20816" s="56">
        <v>5.6921080312278063E-2</v>
      </c>
      <c r="I20816" s="224" t="s">
        <v>2</v>
      </c>
    </row>
    <row r="20817" spans="1:9" x14ac:dyDescent="0.25">
      <c r="A20817" s="515">
        <v>59522</v>
      </c>
      <c r="C20817" s="52">
        <v>241233.96434108299</v>
      </c>
      <c r="D20817" s="56">
        <v>8.3120688307499704E-2</v>
      </c>
      <c r="E20817" s="224" t="s">
        <v>2</v>
      </c>
      <c r="F20817" s="515" t="s">
        <v>21987</v>
      </c>
      <c r="G20817" s="52">
        <v>96438.682078715807</v>
      </c>
      <c r="H20817" s="56">
        <v>0.2142840522167393</v>
      </c>
      <c r="I20817" s="224" t="s">
        <v>2</v>
      </c>
    </row>
    <row r="20818" spans="1:9" x14ac:dyDescent="0.25">
      <c r="A20818" s="515">
        <v>61014</v>
      </c>
      <c r="C20818" s="52">
        <v>120856.091979893</v>
      </c>
      <c r="D20818" s="56">
        <v>8.0306790417085688E-2</v>
      </c>
      <c r="E20818" s="224" t="s">
        <v>2</v>
      </c>
      <c r="F20818" s="515" t="s">
        <v>21988</v>
      </c>
      <c r="G20818" s="52">
        <v>766638.56742344098</v>
      </c>
      <c r="H20818" s="56">
        <v>0.14728517473696826</v>
      </c>
      <c r="I20818" s="224" t="s">
        <v>2</v>
      </c>
    </row>
    <row r="20819" spans="1:9" x14ac:dyDescent="0.25">
      <c r="A20819" s="515">
        <v>30545</v>
      </c>
      <c r="C20819" s="52">
        <v>317224.49394088401</v>
      </c>
      <c r="D20819" s="56">
        <v>0.10607149445726272</v>
      </c>
      <c r="E20819" s="224" t="s">
        <v>2</v>
      </c>
      <c r="F20819" s="515" t="s">
        <v>21989</v>
      </c>
      <c r="G20819" s="52">
        <v>109202.834788033</v>
      </c>
      <c r="H20819" s="56">
        <v>0.31621953369753142</v>
      </c>
      <c r="I20819" s="224" t="s">
        <v>2</v>
      </c>
    </row>
    <row r="20820" spans="1:9" x14ac:dyDescent="0.25">
      <c r="A20820" s="515">
        <v>64867</v>
      </c>
      <c r="B20820" s="515" t="s">
        <v>784</v>
      </c>
      <c r="C20820" s="52">
        <v>194895.46762589901</v>
      </c>
      <c r="D20820" s="56">
        <v>0</v>
      </c>
      <c r="E20820" s="224" t="s">
        <v>2</v>
      </c>
      <c r="F20820" s="515" t="s">
        <v>21990</v>
      </c>
      <c r="G20820" s="52">
        <v>84520.170476681</v>
      </c>
      <c r="H20820" s="56">
        <v>0.15309949406445889</v>
      </c>
      <c r="I20820" s="224" t="s">
        <v>2</v>
      </c>
    </row>
    <row r="20821" spans="1:9" x14ac:dyDescent="0.25">
      <c r="A20821" s="515">
        <v>17407</v>
      </c>
      <c r="B20821" s="515" t="s">
        <v>509</v>
      </c>
      <c r="C20821" s="52">
        <v>269430.94160884299</v>
      </c>
      <c r="D20821" s="56">
        <v>7.1277257672533303E-2</v>
      </c>
      <c r="E20821" s="224" t="s">
        <v>2</v>
      </c>
      <c r="F20821" s="515" t="s">
        <v>21991</v>
      </c>
      <c r="G20821" s="52">
        <v>211466.38121198199</v>
      </c>
      <c r="H20821" s="56">
        <v>0</v>
      </c>
      <c r="I20821" s="224" t="s">
        <v>2</v>
      </c>
    </row>
    <row r="20822" spans="1:9" x14ac:dyDescent="0.25">
      <c r="A20822" s="515">
        <v>63530</v>
      </c>
      <c r="C20822" s="52">
        <v>135677.36893203799</v>
      </c>
      <c r="D20822" s="56">
        <v>0</v>
      </c>
      <c r="E20822" s="224" t="s">
        <v>2</v>
      </c>
      <c r="F20822" s="515" t="s">
        <v>21992</v>
      </c>
      <c r="G20822" s="52">
        <v>112240.99960176701</v>
      </c>
      <c r="H20822" s="56">
        <v>0</v>
      </c>
      <c r="I20822" s="224" t="s">
        <v>2</v>
      </c>
    </row>
    <row r="20823" spans="1:9" x14ac:dyDescent="0.25">
      <c r="A20823" s="515">
        <v>58005</v>
      </c>
      <c r="B20823" s="515" t="s">
        <v>928</v>
      </c>
      <c r="C20823" s="52">
        <v>354368.64802645001</v>
      </c>
      <c r="D20823" s="56">
        <v>0</v>
      </c>
      <c r="E20823" s="224" t="s">
        <v>2</v>
      </c>
      <c r="F20823" s="515" t="s">
        <v>21993</v>
      </c>
      <c r="G20823" s="52">
        <v>159928.10526315699</v>
      </c>
      <c r="H20823" s="56">
        <v>0</v>
      </c>
      <c r="I20823" s="224" t="s">
        <v>2</v>
      </c>
    </row>
    <row r="20824" spans="1:9" x14ac:dyDescent="0.25">
      <c r="A20824" s="515">
        <v>75411</v>
      </c>
      <c r="B20824" s="515" t="s">
        <v>921</v>
      </c>
      <c r="C20824" s="52">
        <v>224266.86216216499</v>
      </c>
      <c r="D20824" s="56">
        <v>0</v>
      </c>
      <c r="E20824" s="224" t="s">
        <v>2</v>
      </c>
      <c r="F20824" s="515" t="s">
        <v>21994</v>
      </c>
      <c r="G20824" s="52">
        <v>221180.51088857799</v>
      </c>
      <c r="H20824" s="56">
        <v>4.9294804861649548E-2</v>
      </c>
      <c r="I20824" s="224" t="s">
        <v>2</v>
      </c>
    </row>
    <row r="20825" spans="1:9" x14ac:dyDescent="0.25">
      <c r="A20825" s="515">
        <v>75478</v>
      </c>
      <c r="B20825" s="515" t="s">
        <v>980</v>
      </c>
      <c r="C20825" s="52">
        <v>233892.51771838201</v>
      </c>
      <c r="D20825" s="56">
        <v>0</v>
      </c>
      <c r="E20825" s="224" t="s">
        <v>2</v>
      </c>
      <c r="F20825" s="515" t="s">
        <v>21995</v>
      </c>
      <c r="G20825" s="52">
        <v>248245.25010224001</v>
      </c>
      <c r="H20825" s="56">
        <v>0.10932939548555699</v>
      </c>
      <c r="I20825" s="224" t="s">
        <v>2</v>
      </c>
    </row>
    <row r="20826" spans="1:9" x14ac:dyDescent="0.25">
      <c r="A20826" s="515">
        <v>36509</v>
      </c>
      <c r="B20826" s="515" t="s">
        <v>815</v>
      </c>
      <c r="C20826" s="52">
        <v>71030.702296381394</v>
      </c>
      <c r="D20826" s="56">
        <v>5.0843857357190632E-3</v>
      </c>
      <c r="E20826" s="224" t="s">
        <v>2</v>
      </c>
      <c r="F20826" s="515" t="s">
        <v>21996</v>
      </c>
      <c r="G20826" s="52">
        <v>168703.539526468</v>
      </c>
      <c r="H20826" s="56">
        <v>7.4955761953705943E-2</v>
      </c>
      <c r="I20826" s="224" t="s">
        <v>2</v>
      </c>
    </row>
    <row r="20827" spans="1:9" x14ac:dyDescent="0.25">
      <c r="A20827" s="515">
        <v>39363</v>
      </c>
      <c r="B20827" s="515" t="s">
        <v>970</v>
      </c>
      <c r="C20827" s="52">
        <v>78837.938804175894</v>
      </c>
      <c r="D20827" s="56">
        <v>-6.5120589003771004E-2</v>
      </c>
      <c r="E20827" s="224" t="s">
        <v>2</v>
      </c>
      <c r="F20827" s="515" t="s">
        <v>21997</v>
      </c>
      <c r="G20827" s="52">
        <v>79185.392857142797</v>
      </c>
      <c r="H20827" s="56">
        <v>0</v>
      </c>
      <c r="I20827" s="224" t="s">
        <v>2</v>
      </c>
    </row>
    <row r="20828" spans="1:9" x14ac:dyDescent="0.25">
      <c r="A20828" s="515">
        <v>93517</v>
      </c>
      <c r="C20828" s="52">
        <v>366712.31522818003</v>
      </c>
      <c r="D20828" s="56">
        <v>3.2591781525922472E-2</v>
      </c>
      <c r="E20828" s="224" t="s">
        <v>2</v>
      </c>
      <c r="F20828" s="515" t="s">
        <v>21998</v>
      </c>
      <c r="G20828" s="52">
        <v>98719.090909090897</v>
      </c>
      <c r="H20828" s="56">
        <v>0</v>
      </c>
      <c r="I20828" s="224" t="s">
        <v>2</v>
      </c>
    </row>
    <row r="20829" spans="1:9" x14ac:dyDescent="0.25">
      <c r="A20829" s="515">
        <v>50628</v>
      </c>
      <c r="C20829" s="52">
        <v>151115.56764053399</v>
      </c>
      <c r="D20829" s="56">
        <v>0</v>
      </c>
      <c r="E20829" s="224" t="s">
        <v>2</v>
      </c>
      <c r="F20829" s="515" t="s">
        <v>21999</v>
      </c>
      <c r="G20829" s="52">
        <v>73153.619003164102</v>
      </c>
      <c r="H20829" s="56">
        <v>7.6329454150362699E-2</v>
      </c>
      <c r="I20829" s="224" t="s">
        <v>2</v>
      </c>
    </row>
    <row r="20830" spans="1:9" x14ac:dyDescent="0.25">
      <c r="A20830" s="515">
        <v>59643</v>
      </c>
      <c r="C20830" s="52">
        <v>410624.84063594299</v>
      </c>
      <c r="D20830" s="56">
        <v>0.16492737890739873</v>
      </c>
      <c r="E20830" s="224" t="s">
        <v>2</v>
      </c>
      <c r="F20830" s="515" t="s">
        <v>22000</v>
      </c>
      <c r="G20830" s="52">
        <v>205296.63966653301</v>
      </c>
      <c r="H20830" s="56">
        <v>9.9866533156600407E-2</v>
      </c>
      <c r="I20830" s="224" t="s">
        <v>2</v>
      </c>
    </row>
    <row r="20831" spans="1:9" x14ac:dyDescent="0.25">
      <c r="A20831" s="515">
        <v>69347</v>
      </c>
      <c r="C20831" s="52">
        <v>124928.040015448</v>
      </c>
      <c r="D20831" s="56">
        <v>0.13896399185133876</v>
      </c>
      <c r="E20831" s="224" t="s">
        <v>2</v>
      </c>
      <c r="F20831" s="515" t="s">
        <v>22001</v>
      </c>
      <c r="G20831" s="52">
        <v>126606.896563555</v>
      </c>
      <c r="H20831" s="56">
        <v>0.15325795960317279</v>
      </c>
      <c r="I20831" s="224" t="s">
        <v>2</v>
      </c>
    </row>
    <row r="20832" spans="1:9" x14ac:dyDescent="0.25">
      <c r="A20832" s="515">
        <v>88022</v>
      </c>
      <c r="B20832" s="515" t="s">
        <v>423</v>
      </c>
      <c r="C20832" s="52">
        <v>182469.29730358499</v>
      </c>
      <c r="D20832" s="56">
        <v>0.16256842123766019</v>
      </c>
      <c r="E20832" s="224" t="s">
        <v>2</v>
      </c>
      <c r="F20832" s="515" t="s">
        <v>22002</v>
      </c>
      <c r="G20832" s="52">
        <v>81253.337895081902</v>
      </c>
      <c r="H20832" s="56">
        <v>0.19064147438717202</v>
      </c>
      <c r="I20832" s="224" t="s">
        <v>2</v>
      </c>
    </row>
    <row r="20833" spans="1:9" x14ac:dyDescent="0.25">
      <c r="A20833" s="515">
        <v>87579</v>
      </c>
      <c r="B20833" s="515" t="s">
        <v>481</v>
      </c>
      <c r="C20833" s="52">
        <v>295251.69565217302</v>
      </c>
      <c r="D20833" s="56">
        <v>0</v>
      </c>
      <c r="E20833" s="224" t="s">
        <v>2</v>
      </c>
      <c r="F20833" s="515" t="s">
        <v>22003</v>
      </c>
      <c r="G20833" s="52">
        <v>142014.16816376301</v>
      </c>
      <c r="H20833" s="56">
        <v>8.4792671021347604E-2</v>
      </c>
      <c r="I20833" s="224" t="s">
        <v>2</v>
      </c>
    </row>
    <row r="20834" spans="1:9" x14ac:dyDescent="0.25">
      <c r="A20834" s="515">
        <v>41655</v>
      </c>
      <c r="C20834" s="52">
        <v>55388.4361736625</v>
      </c>
      <c r="D20834" s="56">
        <v>0.21447485816144887</v>
      </c>
      <c r="E20834" s="224" t="s">
        <v>2</v>
      </c>
      <c r="F20834" s="515" t="s">
        <v>22004</v>
      </c>
      <c r="G20834" s="52">
        <v>304630.98383738799</v>
      </c>
      <c r="H20834" s="56">
        <v>0.22706707292877243</v>
      </c>
      <c r="I20834" s="224" t="s">
        <v>2</v>
      </c>
    </row>
    <row r="20835" spans="1:9" x14ac:dyDescent="0.25">
      <c r="A20835" s="515">
        <v>3777</v>
      </c>
      <c r="B20835" s="515" t="s">
        <v>420</v>
      </c>
      <c r="C20835" s="52">
        <v>360692.25862592697</v>
      </c>
      <c r="D20835" s="56">
        <v>0.15654097983128418</v>
      </c>
      <c r="E20835" s="224" t="s">
        <v>2</v>
      </c>
      <c r="F20835" s="515" t="s">
        <v>22005</v>
      </c>
      <c r="G20835" s="52">
        <v>382365.14603985398</v>
      </c>
      <c r="H20835" s="56">
        <v>-3.9486875307661047E-2</v>
      </c>
      <c r="I20835" s="224" t="s">
        <v>2</v>
      </c>
    </row>
    <row r="20836" spans="1:9" x14ac:dyDescent="0.25">
      <c r="A20836" s="515">
        <v>50062</v>
      </c>
      <c r="B20836" s="515" t="s">
        <v>625</v>
      </c>
      <c r="C20836" s="52">
        <v>159832.50254474499</v>
      </c>
      <c r="D20836" s="56">
        <v>7.6327966306301898E-2</v>
      </c>
      <c r="E20836" s="224" t="s">
        <v>2</v>
      </c>
      <c r="F20836" s="515" t="s">
        <v>22006</v>
      </c>
      <c r="G20836" s="52">
        <v>98603.408235019495</v>
      </c>
      <c r="H20836" s="56">
        <v>0.14550267711240289</v>
      </c>
      <c r="I20836" s="224" t="s">
        <v>2</v>
      </c>
    </row>
    <row r="20837" spans="1:9" x14ac:dyDescent="0.25">
      <c r="A20837" s="515">
        <v>29105</v>
      </c>
      <c r="B20837" s="515" t="s">
        <v>888</v>
      </c>
      <c r="C20837" s="52">
        <v>75385.084575045505</v>
      </c>
      <c r="D20837" s="56">
        <v>6.7531592097278353E-2</v>
      </c>
      <c r="E20837" s="224" t="s">
        <v>2</v>
      </c>
      <c r="F20837" s="515" t="s">
        <v>22007</v>
      </c>
      <c r="G20837" s="52">
        <v>168762.56266804601</v>
      </c>
      <c r="H20837" s="56">
        <v>9.9626521493220405E-2</v>
      </c>
      <c r="I20837" s="224" t="s">
        <v>2</v>
      </c>
    </row>
    <row r="20838" spans="1:9" x14ac:dyDescent="0.25">
      <c r="A20838" s="515">
        <v>54547</v>
      </c>
      <c r="C20838" s="52">
        <v>246908.65195067399</v>
      </c>
      <c r="D20838" s="56">
        <v>0.14730791432589155</v>
      </c>
      <c r="E20838" s="224" t="s">
        <v>2</v>
      </c>
      <c r="F20838" s="515" t="s">
        <v>22008</v>
      </c>
      <c r="G20838" s="52">
        <v>88577.697262413902</v>
      </c>
      <c r="H20838" s="56">
        <v>0.1158277016957952</v>
      </c>
      <c r="I20838" s="224" t="s">
        <v>2</v>
      </c>
    </row>
    <row r="20839" spans="1:9" x14ac:dyDescent="0.25">
      <c r="A20839" s="515">
        <v>29717</v>
      </c>
      <c r="B20839" s="515" t="s">
        <v>360</v>
      </c>
      <c r="C20839" s="52">
        <v>191090.902941779</v>
      </c>
      <c r="D20839" s="56">
        <v>0</v>
      </c>
      <c r="E20839" s="224" t="s">
        <v>2</v>
      </c>
      <c r="F20839" s="515" t="s">
        <v>22009</v>
      </c>
      <c r="G20839" s="52">
        <v>103351.953741702</v>
      </c>
      <c r="H20839" s="56">
        <v>0</v>
      </c>
      <c r="I20839" s="224" t="s">
        <v>2</v>
      </c>
    </row>
    <row r="20840" spans="1:9" x14ac:dyDescent="0.25">
      <c r="A20840" s="515">
        <v>26681</v>
      </c>
      <c r="C20840" s="52">
        <v>109964.47501736799</v>
      </c>
      <c r="D20840" s="56">
        <v>0.13915532640861258</v>
      </c>
      <c r="E20840" s="224" t="s">
        <v>2</v>
      </c>
      <c r="F20840" s="515" t="s">
        <v>22010</v>
      </c>
      <c r="G20840" s="52">
        <v>270504.794871794</v>
      </c>
      <c r="H20840" s="56">
        <v>0</v>
      </c>
      <c r="I20840" s="224" t="s">
        <v>2</v>
      </c>
    </row>
    <row r="20841" spans="1:9" x14ac:dyDescent="0.25">
      <c r="A20841" s="515">
        <v>3845</v>
      </c>
      <c r="C20841" s="52">
        <v>405125.92202798999</v>
      </c>
      <c r="D20841" s="56">
        <v>0.187475538709863</v>
      </c>
      <c r="E20841" s="224" t="s">
        <v>2</v>
      </c>
      <c r="F20841" s="515" t="s">
        <v>22011</v>
      </c>
      <c r="G20841" s="52">
        <v>291922.70051866601</v>
      </c>
      <c r="H20841" s="56">
        <v>9.4066253486417006E-2</v>
      </c>
      <c r="I20841" s="224" t="s">
        <v>2</v>
      </c>
    </row>
    <row r="20842" spans="1:9" x14ac:dyDescent="0.25">
      <c r="A20842" s="515">
        <v>35975</v>
      </c>
      <c r="B20842" s="515" t="s">
        <v>979</v>
      </c>
      <c r="C20842" s="52">
        <v>196860.36071106099</v>
      </c>
      <c r="D20842" s="56">
        <v>0.18920514234799721</v>
      </c>
      <c r="E20842" s="224" t="s">
        <v>2</v>
      </c>
      <c r="F20842" s="515" t="s">
        <v>22012</v>
      </c>
      <c r="G20842" s="52">
        <v>243581.68176529501</v>
      </c>
      <c r="H20842" s="56">
        <v>0.15756310514167565</v>
      </c>
      <c r="I20842" s="224" t="s">
        <v>2</v>
      </c>
    </row>
    <row r="20843" spans="1:9" x14ac:dyDescent="0.25">
      <c r="A20843" s="515">
        <v>61844</v>
      </c>
      <c r="B20843" s="515" t="s">
        <v>999</v>
      </c>
      <c r="C20843" s="52">
        <v>140499.35715424601</v>
      </c>
      <c r="D20843" s="56">
        <v>5.6173955761003917E-2</v>
      </c>
      <c r="E20843" s="224" t="s">
        <v>2</v>
      </c>
      <c r="F20843" s="515" t="s">
        <v>22013</v>
      </c>
      <c r="G20843" s="52">
        <v>382844.12984861602</v>
      </c>
      <c r="H20843" s="56">
        <v>9.8684170214843159E-2</v>
      </c>
      <c r="I20843" s="224" t="s">
        <v>2</v>
      </c>
    </row>
    <row r="20844" spans="1:9" x14ac:dyDescent="0.25">
      <c r="A20844" s="515">
        <v>73458</v>
      </c>
      <c r="B20844" s="515" t="s">
        <v>710</v>
      </c>
      <c r="C20844" s="52">
        <v>186161.70484823699</v>
      </c>
      <c r="D20844" s="56">
        <v>0.11518224994222277</v>
      </c>
      <c r="E20844" s="224" t="s">
        <v>2</v>
      </c>
      <c r="F20844" s="515" t="s">
        <v>22014</v>
      </c>
      <c r="G20844" s="52">
        <v>239069.792253516</v>
      </c>
      <c r="H20844" s="56">
        <v>4.1949233616402952E-2</v>
      </c>
      <c r="I20844" s="224" t="s">
        <v>2</v>
      </c>
    </row>
    <row r="20845" spans="1:9" x14ac:dyDescent="0.25">
      <c r="A20845" s="515">
        <v>16443</v>
      </c>
      <c r="B20845" s="515" t="s">
        <v>753</v>
      </c>
      <c r="C20845" s="52">
        <v>171284.67763464799</v>
      </c>
      <c r="D20845" s="56">
        <v>6.8757393147592397E-2</v>
      </c>
      <c r="E20845" s="224" t="s">
        <v>2</v>
      </c>
      <c r="F20845" s="515" t="s">
        <v>22015</v>
      </c>
      <c r="G20845" s="52">
        <v>394164.61599572003</v>
      </c>
      <c r="H20845" s="56">
        <v>0.11614925018391348</v>
      </c>
      <c r="I20845" s="224" t="s">
        <v>2</v>
      </c>
    </row>
    <row r="20846" spans="1:9" x14ac:dyDescent="0.25">
      <c r="A20846" s="515">
        <v>15673</v>
      </c>
      <c r="B20846" s="515" t="s">
        <v>297</v>
      </c>
      <c r="C20846" s="52">
        <v>136194.56809721899</v>
      </c>
      <c r="D20846" s="56">
        <v>0.10822189066671123</v>
      </c>
      <c r="E20846" s="224" t="s">
        <v>2</v>
      </c>
      <c r="F20846" s="515" t="s">
        <v>22016</v>
      </c>
      <c r="G20846" s="52">
        <v>223863.84767835299</v>
      </c>
      <c r="H20846" s="56">
        <v>0.19176093199746494</v>
      </c>
      <c r="I20846" s="224" t="s">
        <v>2</v>
      </c>
    </row>
    <row r="20847" spans="1:9" x14ac:dyDescent="0.25">
      <c r="A20847" s="515">
        <v>13433</v>
      </c>
      <c r="C20847" s="52">
        <v>122398.221022949</v>
      </c>
      <c r="D20847" s="56">
        <v>0.12814354284342383</v>
      </c>
      <c r="E20847" s="224" t="s">
        <v>2</v>
      </c>
      <c r="F20847" s="515" t="s">
        <v>22017</v>
      </c>
      <c r="G20847" s="52">
        <v>109656.60209109601</v>
      </c>
      <c r="H20847" s="56">
        <v>0.15005313184482413</v>
      </c>
      <c r="I20847" s="224" t="s">
        <v>2</v>
      </c>
    </row>
    <row r="20848" spans="1:9" x14ac:dyDescent="0.25">
      <c r="A20848" s="515">
        <v>45654</v>
      </c>
      <c r="B20848" s="515" t="s">
        <v>345</v>
      </c>
      <c r="C20848" s="52">
        <v>151444.219720597</v>
      </c>
      <c r="D20848" s="56">
        <v>0.10637196426647909</v>
      </c>
      <c r="E20848" s="224" t="s">
        <v>2</v>
      </c>
      <c r="F20848" s="515" t="s">
        <v>12860</v>
      </c>
      <c r="G20848" s="52">
        <v>216795.06385356199</v>
      </c>
      <c r="H20848" s="56">
        <v>7.1603006821439677E-2</v>
      </c>
      <c r="I20848" s="224" t="s">
        <v>2</v>
      </c>
    </row>
    <row r="20849" spans="1:9" x14ac:dyDescent="0.25">
      <c r="A20849" s="515">
        <v>12087</v>
      </c>
      <c r="C20849" s="52">
        <v>301812.335197017</v>
      </c>
      <c r="D20849" s="56">
        <v>0.10889361768482735</v>
      </c>
      <c r="E20849" s="224" t="s">
        <v>2</v>
      </c>
      <c r="F20849" s="515" t="s">
        <v>22018</v>
      </c>
      <c r="G20849" s="52">
        <v>185292.71983407001</v>
      </c>
      <c r="H20849" s="56">
        <v>9.4400498217642168E-2</v>
      </c>
      <c r="I20849" s="224" t="s">
        <v>2</v>
      </c>
    </row>
    <row r="20850" spans="1:9" x14ac:dyDescent="0.25">
      <c r="A20850" s="515">
        <v>39743</v>
      </c>
      <c r="B20850" s="515" t="s">
        <v>1040</v>
      </c>
      <c r="C20850" s="52">
        <v>108194.610030519</v>
      </c>
      <c r="D20850" s="56">
        <v>-8.3667270542394895E-2</v>
      </c>
      <c r="E20850" s="224" t="s">
        <v>2</v>
      </c>
      <c r="F20850" s="515" t="s">
        <v>22019</v>
      </c>
      <c r="G20850" s="52">
        <v>121189.111872958</v>
      </c>
      <c r="H20850" s="56">
        <v>1.3500970697023719E-2</v>
      </c>
      <c r="I20850" s="224" t="s">
        <v>2</v>
      </c>
    </row>
    <row r="20851" spans="1:9" x14ac:dyDescent="0.25">
      <c r="A20851" s="515">
        <v>67548</v>
      </c>
      <c r="C20851" s="52">
        <v>82187.224972361</v>
      </c>
      <c r="D20851" s="56">
        <v>7.3983029148411164E-2</v>
      </c>
      <c r="E20851" s="224" t="s">
        <v>2</v>
      </c>
      <c r="F20851" s="515" t="s">
        <v>22020</v>
      </c>
      <c r="G20851" s="52">
        <v>175853.324786324</v>
      </c>
      <c r="H20851" s="56">
        <v>0</v>
      </c>
      <c r="I20851" s="224" t="s">
        <v>2</v>
      </c>
    </row>
    <row r="20852" spans="1:9" x14ac:dyDescent="0.25">
      <c r="A20852" s="515">
        <v>14728</v>
      </c>
      <c r="B20852" s="515" t="s">
        <v>560</v>
      </c>
      <c r="C20852" s="52">
        <v>229640.91061795599</v>
      </c>
      <c r="D20852" s="56">
        <v>6.6965356606421292E-2</v>
      </c>
      <c r="E20852" s="224" t="s">
        <v>2</v>
      </c>
      <c r="F20852" s="515" t="s">
        <v>22021</v>
      </c>
      <c r="G20852" s="52">
        <v>153792.45000000001</v>
      </c>
      <c r="H20852" s="56">
        <v>0</v>
      </c>
      <c r="I20852" s="224" t="s">
        <v>2</v>
      </c>
    </row>
    <row r="20853" spans="1:9" x14ac:dyDescent="0.25">
      <c r="A20853" s="515">
        <v>24323</v>
      </c>
      <c r="C20853" s="52">
        <v>184677.12522354699</v>
      </c>
      <c r="D20853" s="56">
        <v>6.602906088955092E-2</v>
      </c>
      <c r="E20853" s="224" t="s">
        <v>2</v>
      </c>
      <c r="F20853" s="515" t="s">
        <v>22022</v>
      </c>
      <c r="G20853" s="52">
        <v>242608.44383031901</v>
      </c>
      <c r="H20853" s="56">
        <v>0.23603095700896379</v>
      </c>
      <c r="I20853" s="224" t="s">
        <v>2</v>
      </c>
    </row>
    <row r="20854" spans="1:9" x14ac:dyDescent="0.25">
      <c r="A20854" s="515">
        <v>23962</v>
      </c>
      <c r="C20854" s="52">
        <v>116067.378218532</v>
      </c>
      <c r="D20854" s="56">
        <v>0</v>
      </c>
      <c r="E20854" s="224" t="s">
        <v>2</v>
      </c>
      <c r="F20854" s="515" t="s">
        <v>22023</v>
      </c>
      <c r="G20854" s="52">
        <v>105337.822927706</v>
      </c>
      <c r="H20854" s="56">
        <v>7.9819878287091181E-2</v>
      </c>
      <c r="I20854" s="224" t="s">
        <v>2</v>
      </c>
    </row>
    <row r="20855" spans="1:9" x14ac:dyDescent="0.25">
      <c r="A20855" s="515">
        <v>62354</v>
      </c>
      <c r="B20855" s="515" t="s">
        <v>496</v>
      </c>
      <c r="C20855" s="52">
        <v>128378.064660734</v>
      </c>
      <c r="D20855" s="56">
        <v>2.4179286969786221E-2</v>
      </c>
      <c r="E20855" s="224" t="s">
        <v>2</v>
      </c>
      <c r="F20855" s="515" t="s">
        <v>22024</v>
      </c>
      <c r="G20855" s="52">
        <v>251505.32051282001</v>
      </c>
      <c r="H20855" s="56">
        <v>0</v>
      </c>
      <c r="I20855" s="224" t="s">
        <v>2</v>
      </c>
    </row>
    <row r="20856" spans="1:9" x14ac:dyDescent="0.25">
      <c r="A20856" s="515">
        <v>26412</v>
      </c>
      <c r="C20856" s="52">
        <v>103491.617026141</v>
      </c>
      <c r="D20856" s="56">
        <v>7.8146520783446971E-2</v>
      </c>
      <c r="E20856" s="224" t="s">
        <v>2</v>
      </c>
      <c r="F20856" s="515" t="s">
        <v>22025</v>
      </c>
      <c r="G20856" s="52">
        <v>108594.767990344</v>
      </c>
      <c r="H20856" s="56">
        <v>0.11412366863868562</v>
      </c>
      <c r="I20856" s="224" t="s">
        <v>2</v>
      </c>
    </row>
    <row r="20857" spans="1:9" x14ac:dyDescent="0.25">
      <c r="A20857" s="515">
        <v>55385</v>
      </c>
      <c r="B20857" s="515" t="s">
        <v>882</v>
      </c>
      <c r="C20857" s="52">
        <v>225158.12689250501</v>
      </c>
      <c r="D20857" s="56">
        <v>5.8935121768778159E-2</v>
      </c>
      <c r="E20857" s="224" t="s">
        <v>2</v>
      </c>
      <c r="F20857" s="515" t="s">
        <v>22026</v>
      </c>
      <c r="G20857" s="52">
        <v>364462.48484848399</v>
      </c>
      <c r="H20857" s="56">
        <v>0</v>
      </c>
      <c r="I20857" s="224" t="s">
        <v>2</v>
      </c>
    </row>
    <row r="20858" spans="1:9" x14ac:dyDescent="0.25">
      <c r="A20858" s="515">
        <v>81025</v>
      </c>
      <c r="B20858" s="515" t="s">
        <v>1003</v>
      </c>
      <c r="C20858" s="52">
        <v>215625.945039443</v>
      </c>
      <c r="D20858" s="56">
        <v>0.11732582383484076</v>
      </c>
      <c r="E20858" s="224" t="s">
        <v>2</v>
      </c>
      <c r="F20858" s="515" t="s">
        <v>22027</v>
      </c>
      <c r="G20858" s="52">
        <v>83265.859515425705</v>
      </c>
      <c r="H20858" s="56">
        <v>6.549735509595761E-2</v>
      </c>
      <c r="I20858" s="224" t="s">
        <v>2</v>
      </c>
    </row>
    <row r="20859" spans="1:9" x14ac:dyDescent="0.25">
      <c r="A20859" s="515">
        <v>25446</v>
      </c>
      <c r="B20859" s="515" t="s">
        <v>321</v>
      </c>
      <c r="C20859" s="52">
        <v>372910.80371490901</v>
      </c>
      <c r="D20859" s="56">
        <v>5.6554394681746591E-2</v>
      </c>
      <c r="E20859" s="224" t="s">
        <v>2</v>
      </c>
      <c r="F20859" s="515" t="s">
        <v>22028</v>
      </c>
      <c r="G20859" s="52">
        <v>95375.284681012505</v>
      </c>
      <c r="H20859" s="56">
        <v>5.4434457337259934E-2</v>
      </c>
      <c r="I20859" s="224" t="s">
        <v>2</v>
      </c>
    </row>
    <row r="20860" spans="1:9" x14ac:dyDescent="0.25">
      <c r="A20860" s="515">
        <v>17060</v>
      </c>
      <c r="B20860" s="515" t="s">
        <v>539</v>
      </c>
      <c r="C20860" s="52">
        <v>127026.138206547</v>
      </c>
      <c r="D20860" s="56">
        <v>0</v>
      </c>
      <c r="E20860" s="224" t="s">
        <v>2</v>
      </c>
      <c r="F20860" s="515" t="s">
        <v>22029</v>
      </c>
      <c r="G20860" s="52">
        <v>254885.66119645201</v>
      </c>
      <c r="H20860" s="56">
        <v>3.7797391536297222E-2</v>
      </c>
      <c r="I20860" s="224" t="s">
        <v>2</v>
      </c>
    </row>
    <row r="20861" spans="1:9" x14ac:dyDescent="0.25">
      <c r="A20861" s="515">
        <v>12932</v>
      </c>
      <c r="C20861" s="52">
        <v>217905.82750025301</v>
      </c>
      <c r="D20861" s="56">
        <v>9.8657818936469008E-2</v>
      </c>
      <c r="E20861" s="224" t="s">
        <v>2</v>
      </c>
      <c r="F20861" s="515" t="s">
        <v>22030</v>
      </c>
      <c r="G20861" s="52">
        <v>119781.00300996201</v>
      </c>
      <c r="H20861" s="56">
        <v>0.11714746277725321</v>
      </c>
      <c r="I20861" s="224" t="s">
        <v>2</v>
      </c>
    </row>
    <row r="20862" spans="1:9" x14ac:dyDescent="0.25">
      <c r="A20862" s="515">
        <v>29809</v>
      </c>
      <c r="B20862" s="515" t="s">
        <v>888</v>
      </c>
      <c r="C20862" s="52"/>
      <c r="D20862" s="56">
        <v>0</v>
      </c>
      <c r="E20862" s="224" t="s">
        <v>2</v>
      </c>
      <c r="F20862" s="515" t="s">
        <v>22031</v>
      </c>
      <c r="G20862" s="52">
        <v>67088.4888057793</v>
      </c>
      <c r="H20862" s="56">
        <v>5.4624298664738211E-2</v>
      </c>
      <c r="I20862" s="224" t="s">
        <v>2</v>
      </c>
    </row>
    <row r="20863" spans="1:9" x14ac:dyDescent="0.25">
      <c r="A20863" s="515">
        <v>48889</v>
      </c>
      <c r="B20863" s="515" t="s">
        <v>1019</v>
      </c>
      <c r="C20863" s="52">
        <v>154565.521306173</v>
      </c>
      <c r="D20863" s="56">
        <v>3.1917786332670776E-2</v>
      </c>
      <c r="E20863" s="224" t="s">
        <v>2</v>
      </c>
      <c r="F20863" s="515" t="s">
        <v>22032</v>
      </c>
      <c r="G20863" s="52">
        <v>113789.101633342</v>
      </c>
      <c r="H20863" s="56">
        <v>0</v>
      </c>
      <c r="I20863" s="224" t="s">
        <v>2</v>
      </c>
    </row>
    <row r="20864" spans="1:9" x14ac:dyDescent="0.25">
      <c r="A20864" s="515">
        <v>26040</v>
      </c>
      <c r="B20864" s="515" t="s">
        <v>442</v>
      </c>
      <c r="C20864" s="52">
        <v>62407.5699670092</v>
      </c>
      <c r="D20864" s="56">
        <v>-5.2987773405067835E-2</v>
      </c>
      <c r="E20864" s="224" t="s">
        <v>2</v>
      </c>
      <c r="F20864" s="515" t="s">
        <v>22033</v>
      </c>
      <c r="G20864" s="52">
        <v>406848.40931539901</v>
      </c>
      <c r="H20864" s="56">
        <v>8.6485536677558997E-2</v>
      </c>
      <c r="I20864" s="224" t="s">
        <v>2</v>
      </c>
    </row>
    <row r="20865" spans="1:9" x14ac:dyDescent="0.25">
      <c r="A20865" s="515">
        <v>3218</v>
      </c>
      <c r="B20865" s="515" t="s">
        <v>1006</v>
      </c>
      <c r="C20865" s="52">
        <v>376074.0935746</v>
      </c>
      <c r="D20865" s="56">
        <v>0.12109226854658238</v>
      </c>
      <c r="E20865" s="224" t="s">
        <v>2</v>
      </c>
      <c r="F20865" s="515" t="s">
        <v>22034</v>
      </c>
      <c r="G20865" s="52">
        <v>295273.72141074401</v>
      </c>
      <c r="H20865" s="56">
        <v>7.7886772522626171E-2</v>
      </c>
      <c r="I20865" s="224" t="s">
        <v>2</v>
      </c>
    </row>
    <row r="20866" spans="1:9" x14ac:dyDescent="0.25">
      <c r="A20866" s="515">
        <v>14784</v>
      </c>
      <c r="B20866" s="515" t="s">
        <v>560</v>
      </c>
      <c r="C20866" s="52">
        <v>124416.585272424</v>
      </c>
      <c r="D20866" s="56">
        <v>0.1053983462706877</v>
      </c>
      <c r="E20866" s="224" t="s">
        <v>2</v>
      </c>
      <c r="F20866" s="515" t="s">
        <v>22035</v>
      </c>
      <c r="G20866" s="52">
        <v>199453.166170732</v>
      </c>
      <c r="H20866" s="56">
        <v>0.10511414848297169</v>
      </c>
      <c r="I20866" s="224" t="s">
        <v>2</v>
      </c>
    </row>
    <row r="20867" spans="1:9" x14ac:dyDescent="0.25">
      <c r="A20867" s="515">
        <v>15771</v>
      </c>
      <c r="B20867" s="515" t="s">
        <v>343</v>
      </c>
      <c r="C20867" s="52">
        <v>153758.016908941</v>
      </c>
      <c r="D20867" s="56">
        <v>2.0438436768427236E-2</v>
      </c>
      <c r="E20867" s="224" t="s">
        <v>2</v>
      </c>
      <c r="F20867" s="515" t="s">
        <v>22036</v>
      </c>
      <c r="G20867" s="52">
        <v>267269.03571428498</v>
      </c>
      <c r="H20867" s="56">
        <v>0</v>
      </c>
      <c r="I20867" s="224" t="s">
        <v>2</v>
      </c>
    </row>
    <row r="20868" spans="1:9" x14ac:dyDescent="0.25">
      <c r="A20868" s="515">
        <v>50134</v>
      </c>
      <c r="B20868" s="515" t="s">
        <v>568</v>
      </c>
      <c r="C20868" s="52">
        <v>273066.362377843</v>
      </c>
      <c r="D20868" s="56">
        <v>8.2972261812244791E-2</v>
      </c>
      <c r="E20868" s="224" t="s">
        <v>2</v>
      </c>
      <c r="F20868" s="515" t="s">
        <v>22037</v>
      </c>
      <c r="G20868" s="52">
        <v>157317.544465983</v>
      </c>
      <c r="H20868" s="56">
        <v>0</v>
      </c>
      <c r="I20868" s="224" t="s">
        <v>2</v>
      </c>
    </row>
    <row r="20869" spans="1:9" x14ac:dyDescent="0.25">
      <c r="A20869" s="515">
        <v>73843</v>
      </c>
      <c r="B20869" s="515" t="s">
        <v>830</v>
      </c>
      <c r="C20869" s="52">
        <v>92797.908843199693</v>
      </c>
      <c r="D20869" s="56">
        <v>0.14420316295933583</v>
      </c>
      <c r="E20869" s="224" t="s">
        <v>2</v>
      </c>
      <c r="F20869" s="515" t="s">
        <v>22038</v>
      </c>
      <c r="G20869" s="52">
        <v>83741.466414924507</v>
      </c>
      <c r="H20869" s="56">
        <v>0.21653738824833185</v>
      </c>
      <c r="I20869" s="224" t="s">
        <v>2</v>
      </c>
    </row>
    <row r="20870" spans="1:9" x14ac:dyDescent="0.25">
      <c r="A20870" s="515">
        <v>74574</v>
      </c>
      <c r="C20870" s="52">
        <v>131280.76319067</v>
      </c>
      <c r="D20870" s="56">
        <v>7.953252454454883E-2</v>
      </c>
      <c r="E20870" s="224" t="s">
        <v>2</v>
      </c>
      <c r="F20870" s="515" t="s">
        <v>22039</v>
      </c>
      <c r="G20870" s="52">
        <v>124000.312668047</v>
      </c>
      <c r="H20870" s="56">
        <v>0.14079316454751423</v>
      </c>
      <c r="I20870" s="224" t="s">
        <v>2</v>
      </c>
    </row>
    <row r="20871" spans="1:9" x14ac:dyDescent="0.25">
      <c r="A20871" s="515">
        <v>23821</v>
      </c>
      <c r="C20871" s="52">
        <v>99298.949771689498</v>
      </c>
      <c r="D20871" s="56">
        <v>0</v>
      </c>
      <c r="E20871" s="224" t="s">
        <v>2</v>
      </c>
      <c r="F20871" s="515" t="s">
        <v>22040</v>
      </c>
      <c r="G20871" s="52">
        <v>546725.71279817901</v>
      </c>
      <c r="H20871" s="56">
        <v>9.0346337762487974E-2</v>
      </c>
      <c r="I20871" s="224" t="s">
        <v>2</v>
      </c>
    </row>
    <row r="20872" spans="1:9" x14ac:dyDescent="0.25">
      <c r="A20872" s="515">
        <v>1037</v>
      </c>
      <c r="B20872" s="515" t="s">
        <v>751</v>
      </c>
      <c r="C20872" s="52">
        <v>394680.890046552</v>
      </c>
      <c r="D20872" s="56">
        <v>9.9360820739296141E-2</v>
      </c>
      <c r="E20872" s="224" t="s">
        <v>2</v>
      </c>
      <c r="F20872" s="515" t="s">
        <v>22041</v>
      </c>
      <c r="G20872" s="52">
        <v>722650.10269768804</v>
      </c>
      <c r="H20872" s="56">
        <v>0</v>
      </c>
      <c r="I20872" s="224" t="s">
        <v>2</v>
      </c>
    </row>
    <row r="20873" spans="1:9" x14ac:dyDescent="0.25">
      <c r="A20873" s="515">
        <v>80731</v>
      </c>
      <c r="C20873" s="52">
        <v>252836.43725679899</v>
      </c>
      <c r="D20873" s="56">
        <v>0.11578165213951867</v>
      </c>
      <c r="E20873" s="224" t="s">
        <v>2</v>
      </c>
      <c r="F20873" s="515" t="s">
        <v>22042</v>
      </c>
      <c r="G20873" s="52">
        <v>78992.856482327305</v>
      </c>
      <c r="H20873" s="56">
        <v>0</v>
      </c>
      <c r="I20873" s="224" t="s">
        <v>2</v>
      </c>
    </row>
    <row r="20874" spans="1:9" x14ac:dyDescent="0.25">
      <c r="A20874" s="515">
        <v>92305</v>
      </c>
      <c r="B20874" s="515" t="s">
        <v>599</v>
      </c>
      <c r="C20874" s="52">
        <v>334472.58245818701</v>
      </c>
      <c r="D20874" s="56">
        <v>2.7803159032512448E-2</v>
      </c>
      <c r="E20874" s="224" t="s">
        <v>2</v>
      </c>
      <c r="F20874" s="515" t="s">
        <v>22043</v>
      </c>
      <c r="G20874" s="52">
        <v>70172.061128724905</v>
      </c>
      <c r="H20874" s="56">
        <v>0.12149236455624994</v>
      </c>
      <c r="I20874" s="224" t="s">
        <v>2</v>
      </c>
    </row>
    <row r="20875" spans="1:9" x14ac:dyDescent="0.25">
      <c r="A20875" s="515">
        <v>58240</v>
      </c>
      <c r="C20875" s="52">
        <v>161954.331744333</v>
      </c>
      <c r="D20875" s="56">
        <v>2.126945344572314E-2</v>
      </c>
      <c r="E20875" s="224" t="s">
        <v>2</v>
      </c>
      <c r="F20875" s="515" t="s">
        <v>22044</v>
      </c>
      <c r="G20875" s="52">
        <v>98788.054972356695</v>
      </c>
      <c r="H20875" s="56">
        <v>0.17268425905531518</v>
      </c>
      <c r="I20875" s="224" t="s">
        <v>2</v>
      </c>
    </row>
    <row r="20876" spans="1:9" x14ac:dyDescent="0.25">
      <c r="A20876" s="515">
        <v>71826</v>
      </c>
      <c r="C20876" s="52">
        <v>83399.096153846098</v>
      </c>
      <c r="D20876" s="56">
        <v>0</v>
      </c>
      <c r="E20876" s="224" t="s">
        <v>2</v>
      </c>
      <c r="F20876" s="515" t="s">
        <v>22045</v>
      </c>
      <c r="G20876" s="52">
        <v>189223.61111111101</v>
      </c>
      <c r="H20876" s="56">
        <v>0</v>
      </c>
      <c r="I20876" s="224" t="s">
        <v>2</v>
      </c>
    </row>
    <row r="20877" spans="1:9" x14ac:dyDescent="0.25">
      <c r="A20877" s="515">
        <v>47590</v>
      </c>
      <c r="B20877" s="515" t="s">
        <v>544</v>
      </c>
      <c r="C20877" s="52">
        <v>187440.74596705401</v>
      </c>
      <c r="D20877" s="56">
        <v>0.11251608429970733</v>
      </c>
      <c r="E20877" s="224" t="s">
        <v>2</v>
      </c>
      <c r="F20877" s="515" t="s">
        <v>22046</v>
      </c>
      <c r="G20877" s="52">
        <v>134850.47660793699</v>
      </c>
      <c r="H20877" s="56">
        <v>0.1174053844096514</v>
      </c>
      <c r="I20877" s="224" t="s">
        <v>2</v>
      </c>
    </row>
    <row r="20878" spans="1:9" x14ac:dyDescent="0.25">
      <c r="A20878" s="515">
        <v>49318</v>
      </c>
      <c r="B20878" s="515" t="s">
        <v>943</v>
      </c>
      <c r="C20878" s="52">
        <v>252143.717260834</v>
      </c>
      <c r="D20878" s="56">
        <v>0.11525093909485387</v>
      </c>
      <c r="E20878" s="224" t="s">
        <v>2</v>
      </c>
      <c r="F20878" s="515" t="s">
        <v>22047</v>
      </c>
      <c r="G20878" s="52">
        <v>311678.57575757499</v>
      </c>
      <c r="H20878" s="56">
        <v>0</v>
      </c>
      <c r="I20878" s="224" t="s">
        <v>2</v>
      </c>
    </row>
    <row r="20879" spans="1:9" x14ac:dyDescent="0.25">
      <c r="A20879" s="515">
        <v>62090</v>
      </c>
      <c r="B20879" s="515" t="s">
        <v>498</v>
      </c>
      <c r="C20879" s="52">
        <v>30884.663295705999</v>
      </c>
      <c r="D20879" s="56">
        <v>0.26324288586087269</v>
      </c>
      <c r="E20879" s="224" t="s">
        <v>2</v>
      </c>
      <c r="F20879" s="515" t="s">
        <v>22048</v>
      </c>
      <c r="G20879" s="52">
        <v>98935.782157353504</v>
      </c>
      <c r="H20879" s="56">
        <v>-8.9502386383366245E-2</v>
      </c>
      <c r="I20879" s="224" t="s">
        <v>2</v>
      </c>
    </row>
    <row r="20880" spans="1:9" x14ac:dyDescent="0.25">
      <c r="A20880" s="515">
        <v>98325</v>
      </c>
      <c r="C20880" s="52">
        <v>507891.29166092799</v>
      </c>
      <c r="D20880" s="56">
        <v>5.2843665440663316E-2</v>
      </c>
      <c r="E20880" s="224" t="s">
        <v>2</v>
      </c>
      <c r="F20880" s="515" t="s">
        <v>22049</v>
      </c>
      <c r="G20880" s="52">
        <v>210773.77950251801</v>
      </c>
      <c r="H20880" s="56">
        <v>0.11565886702938265</v>
      </c>
      <c r="I20880" s="224" t="s">
        <v>2</v>
      </c>
    </row>
    <row r="20881" spans="1:9" x14ac:dyDescent="0.25">
      <c r="A20881" s="515">
        <v>72044</v>
      </c>
      <c r="C20881" s="52">
        <v>275584.99384518003</v>
      </c>
      <c r="D20881" s="56">
        <v>6.3720421816175515E-2</v>
      </c>
      <c r="E20881" s="224" t="s">
        <v>2</v>
      </c>
      <c r="F20881" s="515" t="s">
        <v>22050</v>
      </c>
      <c r="G20881" s="52">
        <v>244057.472830966</v>
      </c>
      <c r="H20881" s="56">
        <v>0.13839292771866052</v>
      </c>
      <c r="I20881" s="224" t="s">
        <v>2</v>
      </c>
    </row>
    <row r="20882" spans="1:9" x14ac:dyDescent="0.25">
      <c r="A20882" s="515">
        <v>15729</v>
      </c>
      <c r="B20882" s="515" t="s">
        <v>343</v>
      </c>
      <c r="C20882" s="52">
        <v>112116.267735847</v>
      </c>
      <c r="D20882" s="56">
        <v>8.7980820508054489E-2</v>
      </c>
      <c r="E20882" s="224" t="s">
        <v>2</v>
      </c>
      <c r="F20882" s="515" t="s">
        <v>22051</v>
      </c>
      <c r="G20882" s="52">
        <v>94746.5035028938</v>
      </c>
      <c r="H20882" s="56">
        <v>0.11915675859667316</v>
      </c>
      <c r="I20882" s="224" t="s">
        <v>2</v>
      </c>
    </row>
    <row r="20883" spans="1:9" x14ac:dyDescent="0.25">
      <c r="A20883" s="515">
        <v>47541</v>
      </c>
      <c r="B20883" s="515" t="s">
        <v>544</v>
      </c>
      <c r="C20883" s="52">
        <v>171378.97160781801</v>
      </c>
      <c r="D20883" s="56">
        <v>6.619527027458319E-2</v>
      </c>
      <c r="E20883" s="224" t="s">
        <v>2</v>
      </c>
      <c r="F20883" s="515" t="s">
        <v>22052</v>
      </c>
      <c r="G20883" s="52">
        <v>232724.02911016901</v>
      </c>
      <c r="H20883" s="56">
        <v>4.9955196852371181E-2</v>
      </c>
      <c r="I20883" s="224" t="s">
        <v>2</v>
      </c>
    </row>
    <row r="20884" spans="1:9" x14ac:dyDescent="0.25">
      <c r="A20884" s="515">
        <v>29114</v>
      </c>
      <c r="B20884" s="515" t="s">
        <v>1039</v>
      </c>
      <c r="C20884" s="52">
        <v>104889.361409805</v>
      </c>
      <c r="D20884" s="56">
        <v>0.12709153205970194</v>
      </c>
      <c r="E20884" s="224" t="s">
        <v>2</v>
      </c>
      <c r="F20884" s="515" t="s">
        <v>22053</v>
      </c>
      <c r="G20884" s="52">
        <v>220526.13557332999</v>
      </c>
      <c r="H20884" s="56">
        <v>6.4669627608406291E-2</v>
      </c>
      <c r="I20884" s="224" t="s">
        <v>2</v>
      </c>
    </row>
    <row r="20885" spans="1:9" x14ac:dyDescent="0.25">
      <c r="A20885" s="515">
        <v>22938</v>
      </c>
      <c r="B20885" s="515" t="s">
        <v>630</v>
      </c>
      <c r="C20885" s="52">
        <v>306632.40771302901</v>
      </c>
      <c r="D20885" s="56">
        <v>0.11941602595798272</v>
      </c>
      <c r="E20885" s="224" t="s">
        <v>2</v>
      </c>
      <c r="F20885" s="515" t="s">
        <v>22054</v>
      </c>
      <c r="G20885" s="52">
        <v>117434.81511799499</v>
      </c>
      <c r="H20885" s="56">
        <v>0.10546367443619023</v>
      </c>
      <c r="I20885" s="224" t="s">
        <v>2</v>
      </c>
    </row>
    <row r="20886" spans="1:9" x14ac:dyDescent="0.25">
      <c r="A20886" s="515">
        <v>24326</v>
      </c>
      <c r="C20886" s="52">
        <v>207459.12217261901</v>
      </c>
      <c r="D20886" s="56">
        <v>0.11205703187567875</v>
      </c>
      <c r="E20886" s="224" t="s">
        <v>2</v>
      </c>
      <c r="F20886" s="515" t="s">
        <v>22055</v>
      </c>
      <c r="G20886" s="52">
        <v>136054.90586982999</v>
      </c>
      <c r="H20886" s="56">
        <v>4.2034240147154803E-2</v>
      </c>
      <c r="I20886" s="224" t="s">
        <v>2</v>
      </c>
    </row>
    <row r="20887" spans="1:9" x14ac:dyDescent="0.25">
      <c r="A20887" s="515">
        <v>63870</v>
      </c>
      <c r="C20887" s="52">
        <v>67808.987112952294</v>
      </c>
      <c r="D20887" s="56">
        <v>0.10720287283397992</v>
      </c>
      <c r="E20887" s="224" t="s">
        <v>2</v>
      </c>
      <c r="F20887" s="515" t="s">
        <v>22056</v>
      </c>
      <c r="G20887" s="52">
        <v>84459.4706315941</v>
      </c>
      <c r="H20887" s="56">
        <v>9.827022418339415E-2</v>
      </c>
      <c r="I20887" s="224" t="s">
        <v>2</v>
      </c>
    </row>
    <row r="20888" spans="1:9" x14ac:dyDescent="0.25">
      <c r="A20888" s="515">
        <v>45741</v>
      </c>
      <c r="C20888" s="52">
        <v>89624.773271773403</v>
      </c>
      <c r="D20888" s="56">
        <v>-3.2278974998844363E-3</v>
      </c>
      <c r="E20888" s="224" t="s">
        <v>2</v>
      </c>
      <c r="F20888" s="515" t="s">
        <v>22057</v>
      </c>
      <c r="G20888" s="52">
        <v>91584.985581780798</v>
      </c>
      <c r="H20888" s="56">
        <v>0</v>
      </c>
      <c r="I20888" s="224" t="s">
        <v>2</v>
      </c>
    </row>
    <row r="20889" spans="1:9" x14ac:dyDescent="0.25">
      <c r="A20889" s="515">
        <v>1092</v>
      </c>
      <c r="B20889" s="515" t="s">
        <v>751</v>
      </c>
      <c r="C20889" s="52">
        <v>292981.06410679303</v>
      </c>
      <c r="D20889" s="56">
        <v>9.1228767042598663E-2</v>
      </c>
      <c r="E20889" s="224" t="s">
        <v>2</v>
      </c>
      <c r="F20889" s="515" t="s">
        <v>22058</v>
      </c>
      <c r="G20889" s="52">
        <v>64250.069815702002</v>
      </c>
      <c r="H20889" s="56">
        <v>-1.9355177140555489E-3</v>
      </c>
      <c r="I20889" s="224" t="s">
        <v>2</v>
      </c>
    </row>
    <row r="20890" spans="1:9" x14ac:dyDescent="0.25">
      <c r="A20890" s="515">
        <v>72025</v>
      </c>
      <c r="B20890" s="515" t="s">
        <v>393</v>
      </c>
      <c r="C20890" s="52">
        <v>103845.55943441299</v>
      </c>
      <c r="D20890" s="56">
        <v>1.5444948708446494E-2</v>
      </c>
      <c r="E20890" s="224" t="s">
        <v>2</v>
      </c>
      <c r="F20890" s="515" t="s">
        <v>22059</v>
      </c>
      <c r="G20890" s="52">
        <v>325313.29210933403</v>
      </c>
      <c r="H20890" s="56">
        <v>-1.8903611763871009E-2</v>
      </c>
      <c r="I20890" s="224" t="s">
        <v>2</v>
      </c>
    </row>
    <row r="20891" spans="1:9" x14ac:dyDescent="0.25">
      <c r="A20891" s="515">
        <v>73834</v>
      </c>
      <c r="C20891" s="52">
        <v>77498.818183941199</v>
      </c>
      <c r="D20891" s="56">
        <v>0.14709645885466355</v>
      </c>
      <c r="E20891" s="224" t="s">
        <v>2</v>
      </c>
      <c r="F20891" s="515" t="s">
        <v>22060</v>
      </c>
      <c r="G20891" s="52">
        <v>154100.37197673699</v>
      </c>
      <c r="H20891" s="56">
        <v>-0.13318315995788368</v>
      </c>
      <c r="I20891" s="224" t="s">
        <v>2</v>
      </c>
    </row>
    <row r="20892" spans="1:9" x14ac:dyDescent="0.25">
      <c r="A20892" s="515">
        <v>38588</v>
      </c>
      <c r="B20892" s="515" t="s">
        <v>833</v>
      </c>
      <c r="C20892" s="52">
        <v>197588.91472943101</v>
      </c>
      <c r="D20892" s="56">
        <v>9.961676736913247E-2</v>
      </c>
      <c r="E20892" s="224" t="s">
        <v>2</v>
      </c>
      <c r="F20892" s="515" t="s">
        <v>22061</v>
      </c>
      <c r="G20892" s="52">
        <v>119259.790513919</v>
      </c>
      <c r="H20892" s="56">
        <v>0.15001695736403106</v>
      </c>
      <c r="I20892" s="224" t="s">
        <v>2</v>
      </c>
    </row>
    <row r="20893" spans="1:9" x14ac:dyDescent="0.25">
      <c r="A20893" s="515">
        <v>92322</v>
      </c>
      <c r="B20893" s="515" t="s">
        <v>599</v>
      </c>
      <c r="C20893" s="52">
        <v>334246.69687865803</v>
      </c>
      <c r="D20893" s="56">
        <v>7.5087799934562424E-2</v>
      </c>
      <c r="E20893" s="224" t="s">
        <v>2</v>
      </c>
      <c r="F20893" s="515" t="s">
        <v>22062</v>
      </c>
      <c r="G20893" s="52">
        <v>272426.32935014297</v>
      </c>
      <c r="H20893" s="56">
        <v>0.14444523679073082</v>
      </c>
      <c r="I20893" s="224" t="s">
        <v>2</v>
      </c>
    </row>
    <row r="20894" spans="1:9" x14ac:dyDescent="0.25">
      <c r="A20894" s="515">
        <v>66724</v>
      </c>
      <c r="B20894" s="515" t="s">
        <v>669</v>
      </c>
      <c r="C20894" s="52">
        <v>85359.340581729397</v>
      </c>
      <c r="D20894" s="56">
        <v>7.687183643464926E-2</v>
      </c>
      <c r="E20894" s="224" t="s">
        <v>2</v>
      </c>
      <c r="F20894" s="515" t="s">
        <v>22063</v>
      </c>
      <c r="G20894" s="52">
        <v>145786.893207813</v>
      </c>
      <c r="H20894" s="56">
        <v>0.14327906158583423</v>
      </c>
      <c r="I20894" s="224" t="s">
        <v>2</v>
      </c>
    </row>
    <row r="20895" spans="1:9" x14ac:dyDescent="0.25">
      <c r="A20895" s="515">
        <v>40111</v>
      </c>
      <c r="C20895" s="52">
        <v>74360.389695304693</v>
      </c>
      <c r="D20895" s="56">
        <v>0.2277864833149805</v>
      </c>
      <c r="E20895" s="224" t="s">
        <v>2</v>
      </c>
      <c r="F20895" s="515" t="s">
        <v>22064</v>
      </c>
      <c r="G20895" s="52">
        <v>64856.326319018299</v>
      </c>
      <c r="H20895" s="56">
        <v>0</v>
      </c>
      <c r="I20895" s="224" t="s">
        <v>2</v>
      </c>
    </row>
    <row r="20896" spans="1:9" x14ac:dyDescent="0.25">
      <c r="A20896" s="515">
        <v>93664</v>
      </c>
      <c r="B20896" s="515" t="s">
        <v>541</v>
      </c>
      <c r="C20896" s="52">
        <v>580083.01254949695</v>
      </c>
      <c r="D20896" s="56">
        <v>2.9716115442133789E-2</v>
      </c>
      <c r="E20896" s="224" t="s">
        <v>2</v>
      </c>
      <c r="F20896" s="515" t="s">
        <v>22065</v>
      </c>
      <c r="G20896" s="52">
        <v>183661.122114995</v>
      </c>
      <c r="H20896" s="56">
        <v>0</v>
      </c>
      <c r="I20896" s="224" t="s">
        <v>2</v>
      </c>
    </row>
    <row r="20897" spans="1:9" x14ac:dyDescent="0.25">
      <c r="A20897" s="515">
        <v>61353</v>
      </c>
      <c r="B20897" s="515" t="s">
        <v>836</v>
      </c>
      <c r="C20897" s="52">
        <v>158406.37646338</v>
      </c>
      <c r="D20897" s="56">
        <v>4.3627257714314305E-2</v>
      </c>
      <c r="E20897" s="224" t="s">
        <v>2</v>
      </c>
      <c r="F20897" s="515" t="s">
        <v>22066</v>
      </c>
      <c r="G20897" s="52">
        <v>63817.482758620601</v>
      </c>
      <c r="H20897" s="56">
        <v>0</v>
      </c>
      <c r="I20897" s="224" t="s">
        <v>2</v>
      </c>
    </row>
    <row r="20898" spans="1:9" x14ac:dyDescent="0.25">
      <c r="A20898" s="515">
        <v>75968</v>
      </c>
      <c r="C20898" s="52">
        <v>113907.84704721</v>
      </c>
      <c r="D20898" s="56">
        <v>0</v>
      </c>
      <c r="E20898" s="224" t="s">
        <v>2</v>
      </c>
      <c r="F20898" s="515" t="s">
        <v>22067</v>
      </c>
      <c r="G20898" s="52">
        <v>205424.12492261399</v>
      </c>
      <c r="H20898" s="56">
        <v>6.8406343511114201E-2</v>
      </c>
      <c r="I20898" s="224" t="s">
        <v>2</v>
      </c>
    </row>
    <row r="20899" spans="1:9" x14ac:dyDescent="0.25">
      <c r="A20899" s="515">
        <v>39366</v>
      </c>
      <c r="B20899" s="515" t="s">
        <v>793</v>
      </c>
      <c r="C20899" s="52">
        <v>98366.441520174703</v>
      </c>
      <c r="D20899" s="56">
        <v>-0.13967375139094043</v>
      </c>
      <c r="E20899" s="224" t="s">
        <v>2</v>
      </c>
      <c r="F20899" s="515" t="s">
        <v>22068</v>
      </c>
      <c r="G20899" s="52">
        <v>236439.62084546601</v>
      </c>
      <c r="H20899" s="56">
        <v>7.7677798595429115E-2</v>
      </c>
      <c r="I20899" s="224" t="s">
        <v>2</v>
      </c>
    </row>
    <row r="20900" spans="1:9" x14ac:dyDescent="0.25">
      <c r="A20900" s="515">
        <v>66070</v>
      </c>
      <c r="B20900" s="515" t="s">
        <v>549</v>
      </c>
      <c r="C20900" s="52">
        <v>203625.809925982</v>
      </c>
      <c r="D20900" s="56">
        <v>6.7560521689878222E-2</v>
      </c>
      <c r="E20900" s="224" t="s">
        <v>2</v>
      </c>
      <c r="F20900" s="515" t="s">
        <v>22069</v>
      </c>
      <c r="G20900" s="52">
        <v>115852.39348631501</v>
      </c>
      <c r="H20900" s="56">
        <v>0</v>
      </c>
      <c r="I20900" s="224" t="s">
        <v>2</v>
      </c>
    </row>
    <row r="20901" spans="1:9" x14ac:dyDescent="0.25">
      <c r="A20901" s="515">
        <v>5829</v>
      </c>
      <c r="C20901" s="52">
        <v>249190.63303615301</v>
      </c>
      <c r="D20901" s="56">
        <v>0.11011133068785577</v>
      </c>
      <c r="E20901" s="224" t="s">
        <v>2</v>
      </c>
      <c r="F20901" s="515" t="s">
        <v>22070</v>
      </c>
      <c r="G20901" s="52">
        <v>204543.63043478201</v>
      </c>
      <c r="H20901" s="56">
        <v>0</v>
      </c>
      <c r="I20901" s="224" t="s">
        <v>2</v>
      </c>
    </row>
    <row r="20902" spans="1:9" x14ac:dyDescent="0.25">
      <c r="A20902" s="515">
        <v>74062</v>
      </c>
      <c r="B20902" s="515" t="s">
        <v>969</v>
      </c>
      <c r="C20902" s="52">
        <v>140742.05608553201</v>
      </c>
      <c r="D20902" s="56">
        <v>9.4107933929030232E-2</v>
      </c>
      <c r="E20902" s="224" t="s">
        <v>2</v>
      </c>
      <c r="F20902" s="515" t="s">
        <v>22071</v>
      </c>
      <c r="G20902" s="52">
        <v>175612.378873368</v>
      </c>
      <c r="H20902" s="56">
        <v>0.19085748153007356</v>
      </c>
      <c r="I20902" s="224" t="s">
        <v>2</v>
      </c>
    </row>
    <row r="20903" spans="1:9" x14ac:dyDescent="0.25">
      <c r="A20903" s="515">
        <v>51245</v>
      </c>
      <c r="C20903" s="52">
        <v>122376.60727972101</v>
      </c>
      <c r="D20903" s="56">
        <v>0.10762907077320902</v>
      </c>
      <c r="E20903" s="224" t="s">
        <v>2</v>
      </c>
      <c r="F20903" s="515" t="s">
        <v>22072</v>
      </c>
      <c r="G20903" s="52">
        <v>146101.439552172</v>
      </c>
      <c r="H20903" s="56">
        <v>2.5040945303868203E-2</v>
      </c>
      <c r="I20903" s="224" t="s">
        <v>2</v>
      </c>
    </row>
    <row r="20904" spans="1:9" x14ac:dyDescent="0.25">
      <c r="A20904" s="515">
        <v>42039</v>
      </c>
      <c r="C20904" s="52">
        <v>147326.42252990199</v>
      </c>
      <c r="D20904" s="56">
        <v>0.17792483740494811</v>
      </c>
      <c r="E20904" s="224" t="s">
        <v>2</v>
      </c>
      <c r="F20904" s="515" t="s">
        <v>22073</v>
      </c>
      <c r="G20904" s="52">
        <v>149662.27577030601</v>
      </c>
      <c r="H20904" s="56">
        <v>0.12670585451601782</v>
      </c>
      <c r="I20904" s="224" t="s">
        <v>2</v>
      </c>
    </row>
    <row r="20905" spans="1:9" x14ac:dyDescent="0.25">
      <c r="A20905" s="515">
        <v>55991</v>
      </c>
      <c r="B20905" s="515" t="s">
        <v>470</v>
      </c>
      <c r="C20905" s="52">
        <v>353640.40729167702</v>
      </c>
      <c r="D20905" s="56">
        <v>0.12422383473158678</v>
      </c>
      <c r="E20905" s="224" t="s">
        <v>2</v>
      </c>
      <c r="F20905" s="515" t="s">
        <v>22074</v>
      </c>
      <c r="G20905" s="52">
        <v>117927.314087736</v>
      </c>
      <c r="H20905" s="56">
        <v>0.14169389683323527</v>
      </c>
      <c r="I20905" s="224" t="s">
        <v>2</v>
      </c>
    </row>
    <row r="20906" spans="1:9" x14ac:dyDescent="0.25">
      <c r="A20906" s="515">
        <v>52315</v>
      </c>
      <c r="B20906" s="515" t="s">
        <v>404</v>
      </c>
      <c r="C20906" s="52">
        <v>201090.379750516</v>
      </c>
      <c r="D20906" s="56">
        <v>8.1334723901771294E-2</v>
      </c>
      <c r="E20906" s="224" t="s">
        <v>2</v>
      </c>
      <c r="F20906" s="515" t="s">
        <v>22075</v>
      </c>
      <c r="G20906" s="52">
        <v>104364.984479108</v>
      </c>
      <c r="H20906" s="56">
        <v>0.11197914777051315</v>
      </c>
      <c r="I20906" s="224" t="s">
        <v>2</v>
      </c>
    </row>
    <row r="20907" spans="1:9" x14ac:dyDescent="0.25">
      <c r="A20907" s="515">
        <v>51055</v>
      </c>
      <c r="B20907" s="515" t="s">
        <v>649</v>
      </c>
      <c r="C20907" s="52">
        <v>198866.8007545</v>
      </c>
      <c r="D20907" s="56">
        <v>0.10469241670023716</v>
      </c>
      <c r="E20907" s="224" t="s">
        <v>2</v>
      </c>
      <c r="F20907" s="515" t="s">
        <v>22076</v>
      </c>
      <c r="G20907" s="52">
        <v>353849.90149471001</v>
      </c>
      <c r="H20907" s="56">
        <v>6.6555707026722991E-2</v>
      </c>
      <c r="I20907" s="224" t="s">
        <v>2</v>
      </c>
    </row>
    <row r="20908" spans="1:9" x14ac:dyDescent="0.25">
      <c r="A20908" s="515">
        <v>61569</v>
      </c>
      <c r="B20908" s="515" t="s">
        <v>303</v>
      </c>
      <c r="C20908" s="52">
        <v>186991.963801612</v>
      </c>
      <c r="D20908" s="56">
        <v>8.40321409519455E-2</v>
      </c>
      <c r="E20908" s="224" t="s">
        <v>2</v>
      </c>
      <c r="F20908" s="515" t="s">
        <v>22077</v>
      </c>
      <c r="G20908" s="52">
        <v>1743650.02782397</v>
      </c>
      <c r="H20908" s="56">
        <v>4.3807713774188059E-2</v>
      </c>
      <c r="I20908" s="224" t="s">
        <v>2</v>
      </c>
    </row>
    <row r="20909" spans="1:9" x14ac:dyDescent="0.25">
      <c r="A20909" s="515">
        <v>47858</v>
      </c>
      <c r="B20909" s="515" t="s">
        <v>318</v>
      </c>
      <c r="C20909" s="52">
        <v>159883.554619556</v>
      </c>
      <c r="D20909" s="56">
        <v>5.9241544490603065E-2</v>
      </c>
      <c r="E20909" s="224" t="s">
        <v>2</v>
      </c>
      <c r="F20909" s="515" t="s">
        <v>22078</v>
      </c>
      <c r="G20909" s="52">
        <v>122993.077223792</v>
      </c>
      <c r="H20909" s="56">
        <v>0.10687093087748149</v>
      </c>
      <c r="I20909" s="224" t="s">
        <v>2</v>
      </c>
    </row>
    <row r="20910" spans="1:9" x14ac:dyDescent="0.25">
      <c r="A20910" s="515">
        <v>38575</v>
      </c>
      <c r="C20910" s="52">
        <v>159472.990182126</v>
      </c>
      <c r="D20910" s="56">
        <v>0</v>
      </c>
      <c r="E20910" s="224" t="s">
        <v>2</v>
      </c>
      <c r="F20910" s="515" t="s">
        <v>22079</v>
      </c>
      <c r="G20910" s="52">
        <v>261069.933874093</v>
      </c>
      <c r="H20910" s="56">
        <v>8.0833702303545168E-2</v>
      </c>
      <c r="I20910" s="224" t="s">
        <v>2</v>
      </c>
    </row>
    <row r="20911" spans="1:9" x14ac:dyDescent="0.25">
      <c r="A20911" s="515">
        <v>5474</v>
      </c>
      <c r="B20911" s="515" t="s">
        <v>441</v>
      </c>
      <c r="C20911" s="52">
        <v>482517.49074241798</v>
      </c>
      <c r="D20911" s="56">
        <v>9.0359968569435262E-2</v>
      </c>
      <c r="E20911" s="224" t="s">
        <v>2</v>
      </c>
      <c r="F20911" s="515" t="s">
        <v>22080</v>
      </c>
      <c r="G20911" s="52">
        <v>86605.998383969403</v>
      </c>
      <c r="H20911" s="56">
        <v>5.1474019397964157E-2</v>
      </c>
      <c r="I20911" s="224" t="s">
        <v>2</v>
      </c>
    </row>
    <row r="20912" spans="1:9" x14ac:dyDescent="0.25">
      <c r="A20912" s="515">
        <v>28449</v>
      </c>
      <c r="B20912" s="515" t="s">
        <v>1038</v>
      </c>
      <c r="C20912" s="52">
        <v>675760.12907877599</v>
      </c>
      <c r="D20912" s="56">
        <v>9.8752478441437572E-2</v>
      </c>
      <c r="E20912" s="224" t="s">
        <v>2</v>
      </c>
      <c r="F20912" s="515" t="s">
        <v>22081</v>
      </c>
      <c r="G20912" s="52">
        <v>176578.43884727199</v>
      </c>
      <c r="H20912" s="56">
        <v>9.2834380799516975E-2</v>
      </c>
      <c r="I20912" s="224" t="s">
        <v>2</v>
      </c>
    </row>
    <row r="20913" spans="1:9" x14ac:dyDescent="0.25">
      <c r="A20913" s="515">
        <v>71007</v>
      </c>
      <c r="B20913" s="515" t="s">
        <v>739</v>
      </c>
      <c r="C20913" s="52">
        <v>170198.01314484599</v>
      </c>
      <c r="D20913" s="56">
        <v>7.0851573999856463E-2</v>
      </c>
      <c r="E20913" s="224" t="s">
        <v>2</v>
      </c>
      <c r="F20913" s="515" t="s">
        <v>22082</v>
      </c>
      <c r="G20913" s="52">
        <v>160183.53517395799</v>
      </c>
      <c r="H20913" s="56">
        <v>0.12696670911820271</v>
      </c>
      <c r="I20913" s="224" t="s">
        <v>2</v>
      </c>
    </row>
    <row r="20914" spans="1:9" x14ac:dyDescent="0.25">
      <c r="A20914" s="515">
        <v>70645</v>
      </c>
      <c r="B20914" s="515" t="s">
        <v>696</v>
      </c>
      <c r="C20914" s="52">
        <v>183664.568686085</v>
      </c>
      <c r="D20914" s="56">
        <v>8.1571778897551642E-2</v>
      </c>
      <c r="E20914" s="224" t="s">
        <v>2</v>
      </c>
      <c r="F20914" s="515" t="s">
        <v>22083</v>
      </c>
      <c r="G20914" s="52">
        <v>347717.09613502398</v>
      </c>
      <c r="H20914" s="56">
        <v>6.8695217891026186E-2</v>
      </c>
      <c r="I20914" s="224" t="s">
        <v>2</v>
      </c>
    </row>
    <row r="20915" spans="1:9" x14ac:dyDescent="0.25">
      <c r="A20915" s="515">
        <v>38328</v>
      </c>
      <c r="C20915" s="52">
        <v>168977.020386088</v>
      </c>
      <c r="D20915" s="56">
        <v>0</v>
      </c>
      <c r="E20915" s="224" t="s">
        <v>2</v>
      </c>
      <c r="F20915" s="515" t="s">
        <v>22084</v>
      </c>
      <c r="G20915" s="52">
        <v>405959.50173237198</v>
      </c>
      <c r="H20915" s="56">
        <v>3.1028809077133828E-2</v>
      </c>
      <c r="I20915" s="224" t="s">
        <v>2</v>
      </c>
    </row>
    <row r="20916" spans="1:9" x14ac:dyDescent="0.25">
      <c r="A20916" s="515">
        <v>47135</v>
      </c>
      <c r="B20916" s="515" t="s">
        <v>479</v>
      </c>
      <c r="C20916" s="52">
        <v>197029.26960355599</v>
      </c>
      <c r="D20916" s="56">
        <v>3.2811821022876518E-2</v>
      </c>
      <c r="E20916" s="224" t="s">
        <v>2</v>
      </c>
      <c r="F20916" s="515" t="s">
        <v>22085</v>
      </c>
      <c r="G20916" s="52">
        <v>358698.92029365298</v>
      </c>
      <c r="H20916" s="56">
        <v>0.1098859543599893</v>
      </c>
      <c r="I20916" s="224" t="s">
        <v>2</v>
      </c>
    </row>
    <row r="20917" spans="1:9" x14ac:dyDescent="0.25">
      <c r="A20917" s="515">
        <v>24966</v>
      </c>
      <c r="C20917" s="52">
        <v>138183.01902056101</v>
      </c>
      <c r="D20917" s="56">
        <v>6.5028891414209311E-2</v>
      </c>
      <c r="E20917" s="224" t="s">
        <v>2</v>
      </c>
      <c r="F20917" s="515" t="s">
        <v>22086</v>
      </c>
      <c r="G20917" s="52">
        <v>264297.93588901497</v>
      </c>
      <c r="H20917" s="56">
        <v>7.1498742351342279E-2</v>
      </c>
      <c r="I20917" s="224" t="s">
        <v>2</v>
      </c>
    </row>
    <row r="20918" spans="1:9" x14ac:dyDescent="0.25">
      <c r="A20918" s="515">
        <v>56686</v>
      </c>
      <c r="C20918" s="52">
        <v>169432.77316602899</v>
      </c>
      <c r="D20918" s="56">
        <v>5.7821164359841547E-2</v>
      </c>
      <c r="E20918" s="224" t="s">
        <v>2</v>
      </c>
      <c r="F20918" s="515" t="s">
        <v>22087</v>
      </c>
      <c r="G20918" s="52">
        <v>181430.333895722</v>
      </c>
      <c r="H20918" s="56">
        <v>1.9713628505227242E-2</v>
      </c>
      <c r="I20918" s="224" t="s">
        <v>2</v>
      </c>
    </row>
    <row r="20919" spans="1:9" x14ac:dyDescent="0.25">
      <c r="A20919" s="515">
        <v>36761</v>
      </c>
      <c r="B20919" s="515" t="s">
        <v>806</v>
      </c>
      <c r="C20919" s="52">
        <v>118997.47092496901</v>
      </c>
      <c r="D20919" s="56">
        <v>3.283431228944645E-2</v>
      </c>
      <c r="E20919" s="224" t="s">
        <v>2</v>
      </c>
      <c r="F20919" s="515" t="s">
        <v>22088</v>
      </c>
      <c r="G20919" s="52">
        <v>96150.753956177301</v>
      </c>
      <c r="H20919" s="56">
        <v>9.5665721894699671E-2</v>
      </c>
      <c r="I20919" s="224" t="s">
        <v>2</v>
      </c>
    </row>
    <row r="20920" spans="1:9" x14ac:dyDescent="0.25">
      <c r="A20920" s="515">
        <v>52777</v>
      </c>
      <c r="B20920" s="515" t="s">
        <v>330</v>
      </c>
      <c r="C20920" s="52">
        <v>147129.927383514</v>
      </c>
      <c r="D20920" s="56">
        <v>7.3620935003211693E-2</v>
      </c>
      <c r="E20920" s="224" t="s">
        <v>2</v>
      </c>
      <c r="F20920" s="515" t="s">
        <v>22089</v>
      </c>
      <c r="G20920" s="52">
        <v>77070.497628796802</v>
      </c>
      <c r="H20920" s="56">
        <v>7.3969296441232929E-2</v>
      </c>
      <c r="I20920" s="224" t="s">
        <v>2</v>
      </c>
    </row>
    <row r="20921" spans="1:9" x14ac:dyDescent="0.25">
      <c r="A20921" s="515">
        <v>80449</v>
      </c>
      <c r="B20921" s="515" t="s">
        <v>401</v>
      </c>
      <c r="C20921" s="52">
        <v>424184.66310601501</v>
      </c>
      <c r="D20921" s="56">
        <v>8.0301552613872951E-2</v>
      </c>
      <c r="E20921" s="224" t="s">
        <v>2</v>
      </c>
      <c r="F20921" s="515" t="s">
        <v>22090</v>
      </c>
      <c r="G20921" s="52">
        <v>320651.02005956101</v>
      </c>
      <c r="H20921" s="56">
        <v>6.4259056307954757E-3</v>
      </c>
      <c r="I20921" s="224" t="s">
        <v>2</v>
      </c>
    </row>
    <row r="20922" spans="1:9" x14ac:dyDescent="0.25">
      <c r="A20922" s="515">
        <v>24226</v>
      </c>
      <c r="C20922" s="52">
        <v>72645.688818775801</v>
      </c>
      <c r="D20922" s="56">
        <v>0.22096582528244027</v>
      </c>
      <c r="E20922" s="224" t="s">
        <v>2</v>
      </c>
      <c r="F20922" s="515" t="s">
        <v>22091</v>
      </c>
      <c r="G20922" s="52">
        <v>463071.23951517802</v>
      </c>
      <c r="H20922" s="56">
        <v>0.63444255382102965</v>
      </c>
      <c r="I20922" s="224" t="s">
        <v>2</v>
      </c>
    </row>
    <row r="20923" spans="1:9" x14ac:dyDescent="0.25">
      <c r="A20923" s="515">
        <v>60556</v>
      </c>
      <c r="B20923" s="515" t="s">
        <v>394</v>
      </c>
      <c r="C20923" s="52">
        <v>217522.72264072701</v>
      </c>
      <c r="D20923" s="56">
        <v>5.4208831333061258E-2</v>
      </c>
      <c r="E20923" s="224" t="s">
        <v>2</v>
      </c>
      <c r="F20923" s="515" t="s">
        <v>22092</v>
      </c>
      <c r="G20923" s="52">
        <v>76003.041961039198</v>
      </c>
      <c r="H20923" s="56">
        <v>0</v>
      </c>
      <c r="I20923" s="224" t="s">
        <v>2</v>
      </c>
    </row>
    <row r="20924" spans="1:9" x14ac:dyDescent="0.25">
      <c r="A20924" s="515">
        <v>95452</v>
      </c>
      <c r="B20924" s="515" t="s">
        <v>331</v>
      </c>
      <c r="C20924" s="52">
        <v>1144807.85288624</v>
      </c>
      <c r="D20924" s="56">
        <v>-3.3800209524811227E-2</v>
      </c>
      <c r="E20924" s="224" t="s">
        <v>2</v>
      </c>
      <c r="F20924" s="515" t="s">
        <v>22093</v>
      </c>
      <c r="G20924" s="52">
        <v>486562.10943582701</v>
      </c>
      <c r="H20924" s="56">
        <v>4.8910178785764716E-2</v>
      </c>
      <c r="I20924" s="224" t="s">
        <v>2</v>
      </c>
    </row>
    <row r="20925" spans="1:9" x14ac:dyDescent="0.25">
      <c r="A20925" s="515">
        <v>5059</v>
      </c>
      <c r="B20925" s="515" t="s">
        <v>420</v>
      </c>
      <c r="C20925" s="52">
        <v>367457.73326220899</v>
      </c>
      <c r="D20925" s="56">
        <v>9.091010009430478E-2</v>
      </c>
      <c r="E20925" s="224" t="s">
        <v>2</v>
      </c>
      <c r="F20925" s="515" t="s">
        <v>22094</v>
      </c>
      <c r="G20925" s="52">
        <v>598267.74962341902</v>
      </c>
      <c r="H20925" s="56">
        <v>5.8359103531409967E-2</v>
      </c>
      <c r="I20925" s="224" t="s">
        <v>2</v>
      </c>
    </row>
    <row r="20926" spans="1:9" x14ac:dyDescent="0.25">
      <c r="A20926" s="515">
        <v>13338</v>
      </c>
      <c r="B20926" s="515" t="s">
        <v>543</v>
      </c>
      <c r="C20926" s="52">
        <v>187078.931840423</v>
      </c>
      <c r="D20926" s="56">
        <v>0.10112086289193073</v>
      </c>
      <c r="E20926" s="224" t="s">
        <v>2</v>
      </c>
      <c r="F20926" s="515" t="s">
        <v>22095</v>
      </c>
      <c r="G20926" s="52">
        <v>212982.858497059</v>
      </c>
      <c r="H20926" s="56">
        <v>0.12042819154607863</v>
      </c>
      <c r="I20926" s="224" t="s">
        <v>2</v>
      </c>
    </row>
    <row r="20927" spans="1:9" x14ac:dyDescent="0.25">
      <c r="A20927" s="515">
        <v>76857</v>
      </c>
      <c r="B20927" s="515" t="s">
        <v>947</v>
      </c>
      <c r="C20927" s="52">
        <v>171576.59755820199</v>
      </c>
      <c r="D20927" s="56">
        <v>-0.10327751117942403</v>
      </c>
      <c r="E20927" s="224" t="s">
        <v>2</v>
      </c>
      <c r="F20927" s="515" t="s">
        <v>22096</v>
      </c>
      <c r="G20927" s="52">
        <v>88354.2505037136</v>
      </c>
      <c r="H20927" s="56">
        <v>0.2336857113890595</v>
      </c>
      <c r="I20927" s="224" t="s">
        <v>2</v>
      </c>
    </row>
    <row r="20928" spans="1:9" x14ac:dyDescent="0.25">
      <c r="A20928" s="515">
        <v>13684</v>
      </c>
      <c r="B20928" s="515" t="s">
        <v>511</v>
      </c>
      <c r="C20928" s="52">
        <v>109810.768653095</v>
      </c>
      <c r="D20928" s="56">
        <v>4.7185635702129212E-2</v>
      </c>
      <c r="E20928" s="224" t="s">
        <v>2</v>
      </c>
      <c r="F20928" s="515" t="s">
        <v>22097</v>
      </c>
      <c r="G20928" s="52">
        <v>93352.868881040195</v>
      </c>
      <c r="H20928" s="56">
        <v>0</v>
      </c>
      <c r="I20928" s="224" t="s">
        <v>2</v>
      </c>
    </row>
    <row r="20929" spans="1:9" x14ac:dyDescent="0.25">
      <c r="A20929" s="515">
        <v>14571</v>
      </c>
      <c r="B20929" s="515" t="s">
        <v>337</v>
      </c>
      <c r="C20929" s="52">
        <v>173904.69643380601</v>
      </c>
      <c r="D20929" s="56">
        <v>0.10675934420203353</v>
      </c>
      <c r="E20929" s="224" t="s">
        <v>2</v>
      </c>
      <c r="F20929" s="515" t="s">
        <v>22098</v>
      </c>
      <c r="G20929" s="52">
        <v>193542.14031252699</v>
      </c>
      <c r="H20929" s="56">
        <v>6.6507122868434687E-2</v>
      </c>
      <c r="I20929" s="224" t="s">
        <v>2</v>
      </c>
    </row>
    <row r="20930" spans="1:9" x14ac:dyDescent="0.25">
      <c r="A20930" s="515">
        <v>77983</v>
      </c>
      <c r="B20930" s="515" t="s">
        <v>495</v>
      </c>
      <c r="C20930" s="52">
        <v>169108.26223981901</v>
      </c>
      <c r="D20930" s="56">
        <v>5.32615741713858E-2</v>
      </c>
      <c r="E20930" s="224" t="s">
        <v>2</v>
      </c>
      <c r="F20930" s="515" t="s">
        <v>22099</v>
      </c>
      <c r="G20930" s="52">
        <v>118737.024675807</v>
      </c>
      <c r="H20930" s="56">
        <v>0.18631872752991391</v>
      </c>
      <c r="I20930" s="224" t="s">
        <v>2</v>
      </c>
    </row>
    <row r="20931" spans="1:9" x14ac:dyDescent="0.25">
      <c r="A20931" s="515">
        <v>14145</v>
      </c>
      <c r="C20931" s="52">
        <v>223246.13095962201</v>
      </c>
      <c r="D20931" s="56">
        <v>9.1428975585871125E-2</v>
      </c>
      <c r="E20931" s="224" t="s">
        <v>2</v>
      </c>
      <c r="F20931" s="515" t="s">
        <v>22100</v>
      </c>
      <c r="G20931" s="52">
        <v>112660.904103865</v>
      </c>
      <c r="H20931" s="56">
        <v>0.18897707814340042</v>
      </c>
      <c r="I20931" s="224" t="s">
        <v>2</v>
      </c>
    </row>
    <row r="20932" spans="1:9" x14ac:dyDescent="0.25">
      <c r="A20932" s="515">
        <v>83234</v>
      </c>
      <c r="B20932" s="515" t="s">
        <v>884</v>
      </c>
      <c r="C20932" s="52">
        <v>252289.15189249199</v>
      </c>
      <c r="D20932" s="56">
        <v>8.8230760322335396E-3</v>
      </c>
      <c r="E20932" s="224" t="s">
        <v>2</v>
      </c>
      <c r="F20932" s="515" t="s">
        <v>22101</v>
      </c>
      <c r="G20932" s="52">
        <v>110445.129460896</v>
      </c>
      <c r="H20932" s="56">
        <v>0</v>
      </c>
      <c r="I20932" s="224" t="s">
        <v>2</v>
      </c>
    </row>
    <row r="20933" spans="1:9" x14ac:dyDescent="0.25">
      <c r="A20933" s="515">
        <v>49052</v>
      </c>
      <c r="B20933" s="515" t="s">
        <v>1037</v>
      </c>
      <c r="C20933" s="52">
        <v>183574.105143856</v>
      </c>
      <c r="D20933" s="56">
        <v>6.3299265996557996E-2</v>
      </c>
      <c r="E20933" s="224" t="s">
        <v>2</v>
      </c>
      <c r="F20933" s="515" t="s">
        <v>22102</v>
      </c>
      <c r="G20933" s="52">
        <v>196548.60683963599</v>
      </c>
      <c r="H20933" s="56">
        <v>0.15146347076645958</v>
      </c>
      <c r="I20933" s="224" t="s">
        <v>2</v>
      </c>
    </row>
    <row r="20934" spans="1:9" x14ac:dyDescent="0.25">
      <c r="A20934" s="515">
        <v>44620</v>
      </c>
      <c r="B20934" s="515" t="s">
        <v>863</v>
      </c>
      <c r="C20934" s="52">
        <v>215599.449673361</v>
      </c>
      <c r="D20934" s="56">
        <v>6.1360033160637519E-2</v>
      </c>
      <c r="E20934" s="224" t="s">
        <v>2</v>
      </c>
      <c r="F20934" s="515" t="s">
        <v>22103</v>
      </c>
      <c r="G20934" s="52">
        <v>80638.107142857101</v>
      </c>
      <c r="H20934" s="56">
        <v>0</v>
      </c>
      <c r="I20934" s="224" t="s">
        <v>2</v>
      </c>
    </row>
    <row r="20935" spans="1:9" x14ac:dyDescent="0.25">
      <c r="A20935" s="515">
        <v>15848</v>
      </c>
      <c r="B20935" s="515" t="s">
        <v>876</v>
      </c>
      <c r="C20935" s="52">
        <v>122715.821052631</v>
      </c>
      <c r="D20935" s="56">
        <v>0</v>
      </c>
      <c r="E20935" s="224" t="s">
        <v>2</v>
      </c>
      <c r="F20935" s="515" t="s">
        <v>22104</v>
      </c>
      <c r="G20935" s="52">
        <v>94513.938596491207</v>
      </c>
      <c r="H20935" s="56">
        <v>0</v>
      </c>
      <c r="I20935" s="224" t="s">
        <v>2</v>
      </c>
    </row>
    <row r="20936" spans="1:9" x14ac:dyDescent="0.25">
      <c r="A20936" s="515">
        <v>39179</v>
      </c>
      <c r="B20936" s="515" t="s">
        <v>851</v>
      </c>
      <c r="C20936" s="52">
        <v>102781.929980897</v>
      </c>
      <c r="D20936" s="56">
        <v>-7.536549606370517E-2</v>
      </c>
      <c r="E20936" s="224" t="s">
        <v>2</v>
      </c>
      <c r="F20936" s="515" t="s">
        <v>22105</v>
      </c>
      <c r="G20936" s="52">
        <v>225850.95372291299</v>
      </c>
      <c r="H20936" s="56">
        <v>0</v>
      </c>
      <c r="I20936" s="224" t="s">
        <v>2</v>
      </c>
    </row>
    <row r="20937" spans="1:9" x14ac:dyDescent="0.25">
      <c r="A20937" s="515">
        <v>52032</v>
      </c>
      <c r="B20937" s="515" t="s">
        <v>478</v>
      </c>
      <c r="C20937" s="52">
        <v>210697.52661931599</v>
      </c>
      <c r="D20937" s="56">
        <v>0.1048211013261774</v>
      </c>
      <c r="E20937" s="224" t="s">
        <v>2</v>
      </c>
      <c r="F20937" s="515" t="s">
        <v>22106</v>
      </c>
      <c r="G20937" s="52">
        <v>437661.88062049699</v>
      </c>
      <c r="H20937" s="56">
        <v>0.14258786235758844</v>
      </c>
      <c r="I20937" s="224" t="s">
        <v>2</v>
      </c>
    </row>
    <row r="20938" spans="1:9" x14ac:dyDescent="0.25">
      <c r="A20938" s="515">
        <v>30177</v>
      </c>
      <c r="B20938" s="515" t="s">
        <v>957</v>
      </c>
      <c r="C20938" s="52">
        <v>237529.25343444201</v>
      </c>
      <c r="D20938" s="56">
        <v>5.0151923608694436E-2</v>
      </c>
      <c r="E20938" s="224" t="s">
        <v>2</v>
      </c>
      <c r="F20938" s="515" t="s">
        <v>22107</v>
      </c>
      <c r="G20938" s="52">
        <v>131036.973136186</v>
      </c>
      <c r="H20938" s="56">
        <v>0</v>
      </c>
      <c r="I20938" s="224" t="s">
        <v>2</v>
      </c>
    </row>
    <row r="20939" spans="1:9" x14ac:dyDescent="0.25">
      <c r="A20939" s="515">
        <v>97543</v>
      </c>
      <c r="B20939" s="515" t="s">
        <v>626</v>
      </c>
      <c r="C20939" s="52">
        <v>413006.06405689003</v>
      </c>
      <c r="D20939" s="56">
        <v>1.8882192563712129E-3</v>
      </c>
      <c r="E20939" s="224" t="s">
        <v>2</v>
      </c>
      <c r="F20939" s="515" t="s">
        <v>22108</v>
      </c>
      <c r="G20939" s="52">
        <v>204549.130405009</v>
      </c>
      <c r="H20939" s="56">
        <v>6.4278865628559834E-2</v>
      </c>
      <c r="I20939" s="224" t="s">
        <v>2</v>
      </c>
    </row>
    <row r="20940" spans="1:9" x14ac:dyDescent="0.25">
      <c r="A20940" s="515">
        <v>36321</v>
      </c>
      <c r="B20940" s="515" t="s">
        <v>816</v>
      </c>
      <c r="C20940" s="52">
        <v>159566.09773133401</v>
      </c>
      <c r="D20940" s="56">
        <v>9.5117262765410257E-2</v>
      </c>
      <c r="E20940" s="224" t="s">
        <v>2</v>
      </c>
      <c r="F20940" s="515" t="s">
        <v>22109</v>
      </c>
      <c r="G20940" s="52">
        <v>403975.20392863499</v>
      </c>
      <c r="H20940" s="56">
        <v>3.3322012569474375E-2</v>
      </c>
      <c r="I20940" s="224" t="s">
        <v>2</v>
      </c>
    </row>
    <row r="20941" spans="1:9" x14ac:dyDescent="0.25">
      <c r="A20941" s="515">
        <v>12137</v>
      </c>
      <c r="B20941" s="515" t="s">
        <v>609</v>
      </c>
      <c r="C20941" s="52">
        <v>250903.72237169399</v>
      </c>
      <c r="D20941" s="56">
        <v>8.680610911335257E-2</v>
      </c>
      <c r="E20941" s="224" t="s">
        <v>2</v>
      </c>
      <c r="F20941" s="515" t="s">
        <v>22110</v>
      </c>
      <c r="G20941" s="52">
        <v>444279.42548861902</v>
      </c>
      <c r="H20941" s="56">
        <v>0.11403019547755208</v>
      </c>
      <c r="I20941" s="224" t="s">
        <v>2</v>
      </c>
    </row>
    <row r="20942" spans="1:9" x14ac:dyDescent="0.25">
      <c r="A20942" s="515">
        <v>98605</v>
      </c>
      <c r="B20942" s="515" t="s">
        <v>659</v>
      </c>
      <c r="C20942" s="52">
        <v>382155.78639141901</v>
      </c>
      <c r="D20942" s="56">
        <v>3.9795796439895371E-2</v>
      </c>
      <c r="E20942" s="224" t="s">
        <v>2</v>
      </c>
      <c r="F20942" s="515" t="s">
        <v>22111</v>
      </c>
      <c r="G20942" s="52">
        <v>179761.90223490799</v>
      </c>
      <c r="H20942" s="56">
        <v>-4.484099097908318E-2</v>
      </c>
      <c r="I20942" s="224" t="s">
        <v>2</v>
      </c>
    </row>
    <row r="20943" spans="1:9" x14ac:dyDescent="0.25">
      <c r="A20943" s="515">
        <v>54469</v>
      </c>
      <c r="B20943" s="515" t="s">
        <v>607</v>
      </c>
      <c r="C20943" s="52">
        <v>147062.23941527601</v>
      </c>
      <c r="D20943" s="56">
        <v>8.1946257825249363E-2</v>
      </c>
      <c r="E20943" s="224" t="s">
        <v>2</v>
      </c>
      <c r="F20943" s="515" t="s">
        <v>22112</v>
      </c>
      <c r="G20943" s="52">
        <v>126808.209995453</v>
      </c>
      <c r="H20943" s="56">
        <v>0</v>
      </c>
      <c r="I20943" s="224" t="s">
        <v>2</v>
      </c>
    </row>
    <row r="20944" spans="1:9" x14ac:dyDescent="0.25">
      <c r="A20944" s="515">
        <v>45312</v>
      </c>
      <c r="B20944" s="515" t="s">
        <v>340</v>
      </c>
      <c r="C20944" s="52">
        <v>277005.97112980398</v>
      </c>
      <c r="D20944" s="56">
        <v>9.6163608075215137E-2</v>
      </c>
      <c r="E20944" s="224" t="s">
        <v>2</v>
      </c>
      <c r="F20944" s="515" t="s">
        <v>22113</v>
      </c>
      <c r="G20944" s="52">
        <v>141336.63157894701</v>
      </c>
      <c r="H20944" s="56">
        <v>0</v>
      </c>
      <c r="I20944" s="224" t="s">
        <v>2</v>
      </c>
    </row>
    <row r="20945" spans="1:9" x14ac:dyDescent="0.25">
      <c r="A20945" s="515">
        <v>5774</v>
      </c>
      <c r="B20945" s="515" t="s">
        <v>791</v>
      </c>
      <c r="C20945" s="52">
        <v>285371.60556142201</v>
      </c>
      <c r="D20945" s="56">
        <v>5.7426198435785947E-2</v>
      </c>
      <c r="E20945" s="224" t="s">
        <v>2</v>
      </c>
      <c r="F20945" s="515" t="s">
        <v>22114</v>
      </c>
      <c r="G20945" s="52">
        <v>142709.99152835199</v>
      </c>
      <c r="H20945" s="56">
        <v>0.17840070371734534</v>
      </c>
      <c r="I20945" s="224" t="s">
        <v>2</v>
      </c>
    </row>
    <row r="20946" spans="1:9" x14ac:dyDescent="0.25">
      <c r="A20946" s="515">
        <v>15923</v>
      </c>
      <c r="B20946" s="515" t="s">
        <v>297</v>
      </c>
      <c r="C20946" s="52">
        <v>90140.513089005195</v>
      </c>
      <c r="D20946" s="56">
        <v>0</v>
      </c>
      <c r="E20946" s="224" t="s">
        <v>2</v>
      </c>
      <c r="F20946" s="515" t="s">
        <v>22115</v>
      </c>
      <c r="G20946" s="52">
        <v>145355.06404792101</v>
      </c>
      <c r="H20946" s="56">
        <v>0.23441859365700266</v>
      </c>
      <c r="I20946" s="224" t="s">
        <v>2</v>
      </c>
    </row>
    <row r="20947" spans="1:9" x14ac:dyDescent="0.25">
      <c r="A20947" s="515">
        <v>4607</v>
      </c>
      <c r="C20947" s="52">
        <v>317255.50895919401</v>
      </c>
      <c r="D20947" s="56">
        <v>5.6522401751619933E-2</v>
      </c>
      <c r="E20947" s="224" t="s">
        <v>2</v>
      </c>
      <c r="F20947" s="515" t="s">
        <v>22116</v>
      </c>
      <c r="G20947" s="52">
        <v>495275.82647201099</v>
      </c>
      <c r="H20947" s="56">
        <v>5.6285316228638894E-2</v>
      </c>
      <c r="I20947" s="224" t="s">
        <v>2</v>
      </c>
    </row>
    <row r="20948" spans="1:9" x14ac:dyDescent="0.25">
      <c r="A20948" s="515">
        <v>52042</v>
      </c>
      <c r="C20948" s="52">
        <v>180546.419986686</v>
      </c>
      <c r="D20948" s="56">
        <v>0.10069987134601499</v>
      </c>
      <c r="E20948" s="224" t="s">
        <v>2</v>
      </c>
      <c r="F20948" s="515" t="s">
        <v>22117</v>
      </c>
      <c r="G20948" s="52">
        <v>387788.67246085702</v>
      </c>
      <c r="H20948" s="56">
        <v>9.6908527534488711E-2</v>
      </c>
      <c r="I20948" s="224" t="s">
        <v>2</v>
      </c>
    </row>
    <row r="20949" spans="1:9" x14ac:dyDescent="0.25">
      <c r="A20949" s="515">
        <v>36026</v>
      </c>
      <c r="B20949" s="515" t="s">
        <v>862</v>
      </c>
      <c r="C20949" s="52">
        <v>486312.32287066203</v>
      </c>
      <c r="D20949" s="56">
        <v>0.10989726064453464</v>
      </c>
      <c r="E20949" s="224" t="s">
        <v>2</v>
      </c>
      <c r="F20949" s="515" t="s">
        <v>22118</v>
      </c>
      <c r="G20949" s="52">
        <v>84194.997818287302</v>
      </c>
      <c r="H20949" s="56">
        <v>9.194072114816082E-2</v>
      </c>
      <c r="I20949" s="224" t="s">
        <v>2</v>
      </c>
    </row>
    <row r="20950" spans="1:9" x14ac:dyDescent="0.25">
      <c r="A20950" s="515">
        <v>47011</v>
      </c>
      <c r="C20950" s="52">
        <v>221293.157166208</v>
      </c>
      <c r="D20950" s="56">
        <v>0.11087492009934512</v>
      </c>
      <c r="E20950" s="224" t="s">
        <v>2</v>
      </c>
      <c r="F20950" s="515" t="s">
        <v>22119</v>
      </c>
      <c r="G20950" s="52">
        <v>95514.290322580593</v>
      </c>
      <c r="H20950" s="56">
        <v>0</v>
      </c>
      <c r="I20950" s="224" t="s">
        <v>2</v>
      </c>
    </row>
    <row r="20951" spans="1:9" x14ac:dyDescent="0.25">
      <c r="A20951" s="515">
        <v>57024</v>
      </c>
      <c r="C20951" s="52">
        <v>123951.197087846</v>
      </c>
      <c r="D20951" s="56">
        <v>0</v>
      </c>
      <c r="E20951" s="224" t="s">
        <v>2</v>
      </c>
      <c r="F20951" s="515" t="s">
        <v>22120</v>
      </c>
      <c r="G20951" s="52">
        <v>231063.16983609999</v>
      </c>
      <c r="H20951" s="56">
        <v>9.1575832163381624E-2</v>
      </c>
      <c r="I20951" s="224" t="s">
        <v>2</v>
      </c>
    </row>
    <row r="20952" spans="1:9" x14ac:dyDescent="0.25">
      <c r="A20952" s="515">
        <v>31798</v>
      </c>
      <c r="C20952" s="52">
        <v>142083.627140514</v>
      </c>
      <c r="D20952" s="56">
        <v>0.11432163774640462</v>
      </c>
      <c r="E20952" s="224" t="s">
        <v>2</v>
      </c>
      <c r="F20952" s="515" t="s">
        <v>22121</v>
      </c>
      <c r="G20952" s="52">
        <v>79656.515773498599</v>
      </c>
      <c r="H20952" s="56">
        <v>-3.2508323204678245E-2</v>
      </c>
      <c r="I20952" s="224" t="s">
        <v>2</v>
      </c>
    </row>
    <row r="20953" spans="1:9" x14ac:dyDescent="0.25">
      <c r="A20953" s="515">
        <v>45766</v>
      </c>
      <c r="B20953" s="515" t="s">
        <v>578</v>
      </c>
      <c r="C20953" s="52">
        <v>114506.78116744199</v>
      </c>
      <c r="D20953" s="56">
        <v>8.3021611515271695E-2</v>
      </c>
      <c r="E20953" s="224" t="s">
        <v>2</v>
      </c>
      <c r="F20953" s="515" t="s">
        <v>22122</v>
      </c>
      <c r="G20953" s="52">
        <v>637681.26025006606</v>
      </c>
      <c r="H20953" s="56">
        <v>7.9795994157696754E-2</v>
      </c>
      <c r="I20953" s="224" t="s">
        <v>2</v>
      </c>
    </row>
    <row r="20954" spans="1:9" x14ac:dyDescent="0.25">
      <c r="A20954" s="515">
        <v>12993</v>
      </c>
      <c r="C20954" s="52">
        <v>249012.422477446</v>
      </c>
      <c r="D20954" s="56">
        <v>0.16719450982205983</v>
      </c>
      <c r="E20954" s="224" t="s">
        <v>2</v>
      </c>
      <c r="F20954" s="515" t="s">
        <v>22123</v>
      </c>
      <c r="G20954" s="52">
        <v>271439.28802818502</v>
      </c>
      <c r="H20954" s="56">
        <v>6.4484272859017755E-2</v>
      </c>
      <c r="I20954" s="224" t="s">
        <v>2</v>
      </c>
    </row>
    <row r="20955" spans="1:9" x14ac:dyDescent="0.25">
      <c r="A20955" s="515">
        <v>93432</v>
      </c>
      <c r="B20955" s="515" t="s">
        <v>959</v>
      </c>
      <c r="C20955" s="52">
        <v>900465.12642999995</v>
      </c>
      <c r="D20955" s="56">
        <v>3.7765516204041345E-2</v>
      </c>
      <c r="E20955" s="224" t="s">
        <v>2</v>
      </c>
      <c r="F20955" s="515" t="s">
        <v>22124</v>
      </c>
      <c r="G20955" s="52">
        <v>144821.82163391399</v>
      </c>
      <c r="H20955" s="56">
        <v>0.12763301858116033</v>
      </c>
      <c r="I20955" s="224" t="s">
        <v>2</v>
      </c>
    </row>
    <row r="20956" spans="1:9" x14ac:dyDescent="0.25">
      <c r="A20956" s="515">
        <v>63855</v>
      </c>
      <c r="B20956" s="515" t="s">
        <v>910</v>
      </c>
      <c r="C20956" s="52">
        <v>73920.319705581001</v>
      </c>
      <c r="D20956" s="56">
        <v>0</v>
      </c>
      <c r="E20956" s="224" t="s">
        <v>2</v>
      </c>
      <c r="F20956" s="515" t="s">
        <v>22125</v>
      </c>
      <c r="G20956" s="52">
        <v>270901.39432349399</v>
      </c>
      <c r="H20956" s="56">
        <v>5.6672155405646386E-2</v>
      </c>
      <c r="I20956" s="224" t="s">
        <v>2</v>
      </c>
    </row>
    <row r="20957" spans="1:9" x14ac:dyDescent="0.25">
      <c r="A20957" s="515">
        <v>37057</v>
      </c>
      <c r="B20957" s="515" t="s">
        <v>684</v>
      </c>
      <c r="C20957" s="52">
        <v>258940.76941282899</v>
      </c>
      <c r="D20957" s="56">
        <v>0</v>
      </c>
      <c r="E20957" s="224" t="s">
        <v>2</v>
      </c>
      <c r="F20957" s="515" t="s">
        <v>22126</v>
      </c>
      <c r="G20957" s="52">
        <v>195135.80379668099</v>
      </c>
      <c r="H20957" s="56">
        <v>7.9504835565573209E-2</v>
      </c>
      <c r="I20957" s="224" t="s">
        <v>2</v>
      </c>
    </row>
    <row r="20958" spans="1:9" x14ac:dyDescent="0.25">
      <c r="A20958" s="515">
        <v>16647</v>
      </c>
      <c r="B20958" s="515" t="s">
        <v>539</v>
      </c>
      <c r="C20958" s="52">
        <v>224974.69810211301</v>
      </c>
      <c r="D20958" s="56">
        <v>0</v>
      </c>
      <c r="E20958" s="224" t="s">
        <v>2</v>
      </c>
      <c r="F20958" s="515" t="s">
        <v>22127</v>
      </c>
      <c r="G20958" s="52">
        <v>84214.189613801194</v>
      </c>
      <c r="H20958" s="56">
        <v>0.24726806803462512</v>
      </c>
      <c r="I20958" s="224" t="s">
        <v>2</v>
      </c>
    </row>
    <row r="20959" spans="1:9" x14ac:dyDescent="0.25">
      <c r="A20959" s="515">
        <v>62074</v>
      </c>
      <c r="B20959" s="515" t="s">
        <v>498</v>
      </c>
      <c r="C20959" s="52">
        <v>163684.093189106</v>
      </c>
      <c r="D20959" s="56">
        <v>0.10945204604948156</v>
      </c>
      <c r="E20959" s="224" t="s">
        <v>2</v>
      </c>
      <c r="F20959" s="515" t="s">
        <v>22128</v>
      </c>
      <c r="G20959" s="52">
        <v>161759.03323015801</v>
      </c>
      <c r="H20959" s="56">
        <v>6.7629659300557352E-2</v>
      </c>
      <c r="I20959" s="224" t="s">
        <v>2</v>
      </c>
    </row>
    <row r="20960" spans="1:9" x14ac:dyDescent="0.25">
      <c r="A20960" s="515">
        <v>50249</v>
      </c>
      <c r="C20960" s="52">
        <v>161101.88947863801</v>
      </c>
      <c r="D20960" s="56">
        <v>0.10435964664435367</v>
      </c>
      <c r="E20960" s="224" t="s">
        <v>2</v>
      </c>
      <c r="F20960" s="515" t="s">
        <v>22129</v>
      </c>
      <c r="G20960" s="52">
        <v>85562.337242719994</v>
      </c>
      <c r="H20960" s="56">
        <v>7.3895006843422081E-2</v>
      </c>
      <c r="I20960" s="224" t="s">
        <v>2</v>
      </c>
    </row>
    <row r="20961" spans="1:9" x14ac:dyDescent="0.25">
      <c r="A20961" s="515">
        <v>49724</v>
      </c>
      <c r="B20961" s="515" t="s">
        <v>740</v>
      </c>
      <c r="C20961" s="52">
        <v>174663.35699473799</v>
      </c>
      <c r="D20961" s="56">
        <v>4.3916082726557865E-2</v>
      </c>
      <c r="E20961" s="224" t="s">
        <v>2</v>
      </c>
      <c r="F20961" s="515" t="s">
        <v>22130</v>
      </c>
      <c r="G20961" s="52">
        <v>148750.41379310301</v>
      </c>
      <c r="H20961" s="56">
        <v>0</v>
      </c>
      <c r="I20961" s="224" t="s">
        <v>2</v>
      </c>
    </row>
    <row r="20962" spans="1:9" x14ac:dyDescent="0.25">
      <c r="A20962" s="515">
        <v>42207</v>
      </c>
      <c r="B20962" s="515" t="s">
        <v>799</v>
      </c>
      <c r="C20962" s="52">
        <v>132101.886797302</v>
      </c>
      <c r="D20962" s="56">
        <v>0.22878567102578223</v>
      </c>
      <c r="E20962" s="224" t="s">
        <v>2</v>
      </c>
      <c r="F20962" s="515" t="s">
        <v>22131</v>
      </c>
      <c r="G20962" s="52">
        <v>510323.44600491202</v>
      </c>
      <c r="H20962" s="56">
        <v>9.1869658454959008E-2</v>
      </c>
      <c r="I20962" s="224" t="s">
        <v>2</v>
      </c>
    </row>
    <row r="20963" spans="1:9" x14ac:dyDescent="0.25">
      <c r="A20963" s="515">
        <v>98638</v>
      </c>
      <c r="C20963" s="52">
        <v>353011.95741097402</v>
      </c>
      <c r="D20963" s="56">
        <v>3.1227281113064605E-2</v>
      </c>
      <c r="E20963" s="224" t="s">
        <v>2</v>
      </c>
      <c r="F20963" s="515" t="s">
        <v>22132</v>
      </c>
      <c r="G20963" s="52">
        <v>133435.20840349101</v>
      </c>
      <c r="H20963" s="56">
        <v>0</v>
      </c>
      <c r="I20963" s="224" t="s">
        <v>2</v>
      </c>
    </row>
    <row r="20964" spans="1:9" x14ac:dyDescent="0.25">
      <c r="A20964" s="515">
        <v>47926</v>
      </c>
      <c r="C20964" s="52">
        <v>145520.03870365099</v>
      </c>
      <c r="D20964" s="56">
        <v>6.0694076038097067E-2</v>
      </c>
      <c r="E20964" s="224" t="s">
        <v>2</v>
      </c>
      <c r="F20964" s="515" t="s">
        <v>22133</v>
      </c>
      <c r="G20964" s="52">
        <v>406822.171913539</v>
      </c>
      <c r="H20964" s="56">
        <v>7.8129185095208636E-2</v>
      </c>
      <c r="I20964" s="224" t="s">
        <v>2</v>
      </c>
    </row>
    <row r="20965" spans="1:9" x14ac:dyDescent="0.25">
      <c r="A20965" s="515">
        <v>4476</v>
      </c>
      <c r="C20965" s="52">
        <v>306806.75187337701</v>
      </c>
      <c r="D20965" s="56">
        <v>6.8564378945193294E-2</v>
      </c>
      <c r="E20965" s="224" t="s">
        <v>2</v>
      </c>
      <c r="F20965" s="515" t="s">
        <v>22134</v>
      </c>
      <c r="G20965" s="52">
        <v>218630.08756296599</v>
      </c>
      <c r="H20965" s="56">
        <v>5.2491044848155748E-2</v>
      </c>
      <c r="I20965" s="224" t="s">
        <v>2</v>
      </c>
    </row>
    <row r="20966" spans="1:9" x14ac:dyDescent="0.25">
      <c r="A20966" s="515">
        <v>97865</v>
      </c>
      <c r="C20966" s="52">
        <v>276212.77515926497</v>
      </c>
      <c r="D20966" s="56">
        <v>0</v>
      </c>
      <c r="E20966" s="224" t="s">
        <v>2</v>
      </c>
      <c r="F20966" s="515" t="s">
        <v>22135</v>
      </c>
      <c r="G20966" s="52">
        <v>472918.32681631501</v>
      </c>
      <c r="H20966" s="56">
        <v>7.0427609676673858E-2</v>
      </c>
      <c r="I20966" s="224" t="s">
        <v>2</v>
      </c>
    </row>
    <row r="20967" spans="1:9" x14ac:dyDescent="0.25">
      <c r="A20967" s="515">
        <v>15015</v>
      </c>
      <c r="B20967" s="515" t="s">
        <v>297</v>
      </c>
      <c r="C20967" s="52">
        <v>442515.40146988002</v>
      </c>
      <c r="D20967" s="56">
        <v>6.596762073742693E-2</v>
      </c>
      <c r="E20967" s="224" t="s">
        <v>2</v>
      </c>
      <c r="F20967" s="515" t="s">
        <v>22136</v>
      </c>
      <c r="G20967" s="52">
        <v>170628.80230754599</v>
      </c>
      <c r="H20967" s="56">
        <v>2.5195917695778013E-2</v>
      </c>
      <c r="I20967" s="224" t="s">
        <v>2</v>
      </c>
    </row>
    <row r="20968" spans="1:9" x14ac:dyDescent="0.25">
      <c r="A20968" s="515">
        <v>31090</v>
      </c>
      <c r="C20968" s="52">
        <v>84146.159143454599</v>
      </c>
      <c r="D20968" s="56">
        <v>0.11464826461097466</v>
      </c>
      <c r="E20968" s="224" t="s">
        <v>2</v>
      </c>
      <c r="F20968" s="515" t="s">
        <v>22137</v>
      </c>
      <c r="G20968" s="52">
        <v>145023.28750000001</v>
      </c>
      <c r="H20968" s="56">
        <v>0</v>
      </c>
      <c r="I20968" s="224" t="s">
        <v>2</v>
      </c>
    </row>
    <row r="20969" spans="1:9" x14ac:dyDescent="0.25">
      <c r="A20969" s="515">
        <v>36029</v>
      </c>
      <c r="C20969" s="52">
        <v>242148.512195121</v>
      </c>
      <c r="D20969" s="56">
        <v>0</v>
      </c>
      <c r="E20969" s="224" t="s">
        <v>2</v>
      </c>
      <c r="F20969" s="515" t="s">
        <v>22138</v>
      </c>
      <c r="G20969" s="52">
        <v>204240.86376315699</v>
      </c>
      <c r="H20969" s="56">
        <v>0.12151483300313688</v>
      </c>
      <c r="I20969" s="224" t="s">
        <v>2</v>
      </c>
    </row>
    <row r="20970" spans="1:9" x14ac:dyDescent="0.25">
      <c r="A20970" s="515">
        <v>12468</v>
      </c>
      <c r="C20970" s="52">
        <v>309167.96906610602</v>
      </c>
      <c r="D20970" s="56">
        <v>0.13552886914705586</v>
      </c>
      <c r="E20970" s="224" t="s">
        <v>2</v>
      </c>
      <c r="F20970" s="515" t="s">
        <v>22139</v>
      </c>
      <c r="G20970" s="52">
        <v>112024.517926275</v>
      </c>
      <c r="H20970" s="56">
        <v>5.6309282151219234E-2</v>
      </c>
      <c r="I20970" s="224" t="s">
        <v>2</v>
      </c>
    </row>
    <row r="20971" spans="1:9" x14ac:dyDescent="0.25">
      <c r="A20971" s="515">
        <v>54427</v>
      </c>
      <c r="B20971" s="515" t="s">
        <v>940</v>
      </c>
      <c r="C20971" s="52">
        <v>151935.90283227299</v>
      </c>
      <c r="D20971" s="56">
        <v>3.7576379150887136E-2</v>
      </c>
      <c r="E20971" s="224" t="s">
        <v>2</v>
      </c>
      <c r="F20971" s="515" t="s">
        <v>22140</v>
      </c>
      <c r="G20971" s="52">
        <v>151548.786885245</v>
      </c>
      <c r="H20971" s="56">
        <v>0</v>
      </c>
      <c r="I20971" s="224" t="s">
        <v>2</v>
      </c>
    </row>
    <row r="20972" spans="1:9" x14ac:dyDescent="0.25">
      <c r="A20972" s="515">
        <v>61230</v>
      </c>
      <c r="B20972" s="515" t="s">
        <v>756</v>
      </c>
      <c r="C20972" s="52">
        <v>139013.72530578799</v>
      </c>
      <c r="D20972" s="56">
        <v>0.10618587009580482</v>
      </c>
      <c r="E20972" s="224" t="s">
        <v>2</v>
      </c>
      <c r="F20972" s="515" t="s">
        <v>22141</v>
      </c>
      <c r="G20972" s="52">
        <v>72585.840329836094</v>
      </c>
      <c r="H20972" s="56">
        <v>0.10654729037501574</v>
      </c>
      <c r="I20972" s="224" t="s">
        <v>2</v>
      </c>
    </row>
    <row r="20973" spans="1:9" x14ac:dyDescent="0.25">
      <c r="A20973" s="515">
        <v>40209</v>
      </c>
      <c r="B20973" s="515" t="s">
        <v>479</v>
      </c>
      <c r="C20973" s="52">
        <v>97281.543203902096</v>
      </c>
      <c r="D20973" s="56">
        <v>0.11757101841208614</v>
      </c>
      <c r="E20973" s="224" t="s">
        <v>2</v>
      </c>
      <c r="F20973" s="515" t="s">
        <v>22142</v>
      </c>
      <c r="G20973" s="52">
        <v>472137.23103448201</v>
      </c>
      <c r="H20973" s="56">
        <v>0</v>
      </c>
      <c r="I20973" s="224" t="s">
        <v>2</v>
      </c>
    </row>
    <row r="20974" spans="1:9" x14ac:dyDescent="0.25">
      <c r="A20974" s="515">
        <v>54420</v>
      </c>
      <c r="C20974" s="52">
        <v>150395.42598647601</v>
      </c>
      <c r="D20974" s="56">
        <v>-6.0870299998514584E-3</v>
      </c>
      <c r="E20974" s="224" t="s">
        <v>2</v>
      </c>
      <c r="F20974" s="515" t="s">
        <v>22143</v>
      </c>
      <c r="G20974" s="52">
        <v>127426.475111879</v>
      </c>
      <c r="H20974" s="56">
        <v>-0.12420247551587608</v>
      </c>
      <c r="I20974" s="224" t="s">
        <v>2</v>
      </c>
    </row>
    <row r="20975" spans="1:9" x14ac:dyDescent="0.25">
      <c r="A20975" s="515">
        <v>75944</v>
      </c>
      <c r="B20975" s="515" t="s">
        <v>1035</v>
      </c>
      <c r="C20975" s="52">
        <v>165155.72299901699</v>
      </c>
      <c r="D20975" s="56">
        <v>6.9555303941368177E-2</v>
      </c>
      <c r="E20975" s="224" t="s">
        <v>2</v>
      </c>
      <c r="F20975" s="515" t="s">
        <v>22144</v>
      </c>
      <c r="G20975" s="52">
        <v>361105.692879287</v>
      </c>
      <c r="H20975" s="56">
        <v>6.7803599992609903E-2</v>
      </c>
      <c r="I20975" s="224" t="s">
        <v>2</v>
      </c>
    </row>
    <row r="20976" spans="1:9" x14ac:dyDescent="0.25">
      <c r="A20976" s="515">
        <v>60961</v>
      </c>
      <c r="B20976" s="515" t="s">
        <v>774</v>
      </c>
      <c r="C20976" s="52">
        <v>189459.772961713</v>
      </c>
      <c r="D20976" s="56">
        <v>7.0268620082078459E-2</v>
      </c>
      <c r="E20976" s="224" t="s">
        <v>2</v>
      </c>
      <c r="F20976" s="515" t="s">
        <v>22145</v>
      </c>
      <c r="G20976" s="52">
        <v>248105.61166734199</v>
      </c>
      <c r="H20976" s="56">
        <v>7.6002768920505948E-2</v>
      </c>
      <c r="I20976" s="224" t="s">
        <v>2</v>
      </c>
    </row>
    <row r="20977" spans="1:9" x14ac:dyDescent="0.25">
      <c r="A20977" s="515">
        <v>56339</v>
      </c>
      <c r="C20977" s="52">
        <v>198621.75748187801</v>
      </c>
      <c r="D20977" s="56">
        <v>8.3746258762036382E-2</v>
      </c>
      <c r="E20977" s="224" t="s">
        <v>2</v>
      </c>
      <c r="F20977" s="515" t="s">
        <v>22146</v>
      </c>
      <c r="G20977" s="52">
        <v>81457.847654040801</v>
      </c>
      <c r="H20977" s="56">
        <v>0</v>
      </c>
      <c r="I20977" s="224" t="s">
        <v>2</v>
      </c>
    </row>
    <row r="20978" spans="1:9" x14ac:dyDescent="0.25">
      <c r="A20978" s="515">
        <v>8317</v>
      </c>
      <c r="B20978" s="515" t="s">
        <v>800</v>
      </c>
      <c r="C20978" s="52">
        <v>283145.88332623598</v>
      </c>
      <c r="D20978" s="56">
        <v>1.1067616257163335E-3</v>
      </c>
      <c r="E20978" s="224" t="s">
        <v>2</v>
      </c>
      <c r="F20978" s="515" t="s">
        <v>22147</v>
      </c>
      <c r="G20978" s="52">
        <v>839289.26053806895</v>
      </c>
      <c r="H20978" s="56">
        <v>0.1562875774199764</v>
      </c>
      <c r="I20978" s="224" t="s">
        <v>2</v>
      </c>
    </row>
    <row r="20979" spans="1:9" x14ac:dyDescent="0.25">
      <c r="A20979" s="515">
        <v>13081</v>
      </c>
      <c r="B20979" s="515" t="s">
        <v>986</v>
      </c>
      <c r="C20979" s="52">
        <v>257021.50067288001</v>
      </c>
      <c r="D20979" s="56">
        <v>9.3722320836317666E-2</v>
      </c>
      <c r="E20979" s="224" t="s">
        <v>2</v>
      </c>
      <c r="F20979" s="515" t="s">
        <v>22148</v>
      </c>
      <c r="G20979" s="52">
        <v>80849.291034593596</v>
      </c>
      <c r="H20979" s="56">
        <v>4.1325947593556053E-2</v>
      </c>
      <c r="I20979" s="224" t="s">
        <v>2</v>
      </c>
    </row>
    <row r="20980" spans="1:9" x14ac:dyDescent="0.25">
      <c r="A20980" s="515">
        <v>56010</v>
      </c>
      <c r="B20980" s="515" t="s">
        <v>542</v>
      </c>
      <c r="C20980" s="52">
        <v>202258.448190939</v>
      </c>
      <c r="D20980" s="56">
        <v>8.293088629918699E-2</v>
      </c>
      <c r="E20980" s="224" t="s">
        <v>2</v>
      </c>
      <c r="F20980" s="515" t="s">
        <v>22149</v>
      </c>
      <c r="G20980" s="52">
        <v>191475.642451872</v>
      </c>
      <c r="H20980" s="56">
        <v>0</v>
      </c>
      <c r="I20980" s="224" t="s">
        <v>2</v>
      </c>
    </row>
    <row r="20981" spans="1:9" x14ac:dyDescent="0.25">
      <c r="A20981" s="515">
        <v>58267</v>
      </c>
      <c r="B20981" s="515" t="s">
        <v>624</v>
      </c>
      <c r="C20981" s="52">
        <v>172919.85419835299</v>
      </c>
      <c r="D20981" s="56">
        <v>-2.5567152364148731E-2</v>
      </c>
      <c r="E20981" s="224" t="s">
        <v>2</v>
      </c>
      <c r="F20981" s="515" t="s">
        <v>22150</v>
      </c>
      <c r="G20981" s="52">
        <v>325541.02452255302</v>
      </c>
      <c r="H20981" s="56">
        <v>0.11404917213838786</v>
      </c>
      <c r="I20981" s="224" t="s">
        <v>2</v>
      </c>
    </row>
    <row r="20982" spans="1:9" x14ac:dyDescent="0.25">
      <c r="A20982" s="515">
        <v>38391</v>
      </c>
      <c r="B20982" s="515" t="s">
        <v>691</v>
      </c>
      <c r="C20982" s="52">
        <v>134415.16893566801</v>
      </c>
      <c r="D20982" s="56">
        <v>0</v>
      </c>
      <c r="E20982" s="224" t="s">
        <v>2</v>
      </c>
      <c r="F20982" s="515" t="s">
        <v>22151</v>
      </c>
      <c r="G20982" s="52">
        <v>3538718.95849628</v>
      </c>
      <c r="H20982" s="56">
        <v>0.15317861009849551</v>
      </c>
      <c r="I20982" s="224" t="s">
        <v>2</v>
      </c>
    </row>
    <row r="20983" spans="1:9" x14ac:dyDescent="0.25">
      <c r="A20983" s="515">
        <v>61833</v>
      </c>
      <c r="B20983" s="515" t="s">
        <v>999</v>
      </c>
      <c r="C20983" s="52">
        <v>58071.824067982001</v>
      </c>
      <c r="D20983" s="56">
        <v>7.8746703521128739E-2</v>
      </c>
      <c r="E20983" s="224" t="s">
        <v>2</v>
      </c>
      <c r="F20983" s="515" t="s">
        <v>22152</v>
      </c>
      <c r="G20983" s="52">
        <v>105062.945958022</v>
      </c>
      <c r="H20983" s="56">
        <v>0</v>
      </c>
      <c r="I20983" s="224" t="s">
        <v>2</v>
      </c>
    </row>
    <row r="20984" spans="1:9" x14ac:dyDescent="0.25">
      <c r="A20984" s="515">
        <v>38061</v>
      </c>
      <c r="C20984" s="52">
        <v>144412.293136027</v>
      </c>
      <c r="D20984" s="56">
        <v>0</v>
      </c>
      <c r="E20984" s="224" t="s">
        <v>2</v>
      </c>
      <c r="F20984" s="515" t="s">
        <v>22153</v>
      </c>
      <c r="G20984" s="52">
        <v>239841.341118296</v>
      </c>
      <c r="H20984" s="56">
        <v>7.3269027245875917E-2</v>
      </c>
      <c r="I20984" s="224" t="s">
        <v>2</v>
      </c>
    </row>
    <row r="20985" spans="1:9" x14ac:dyDescent="0.25">
      <c r="A20985" s="515">
        <v>8041</v>
      </c>
      <c r="B20985" s="515" t="s">
        <v>294</v>
      </c>
      <c r="C20985" s="52">
        <v>417850.83569961099</v>
      </c>
      <c r="D20985" s="56">
        <v>3.3299997812806362E-2</v>
      </c>
      <c r="E20985" s="224" t="s">
        <v>2</v>
      </c>
      <c r="F20985" s="515" t="s">
        <v>22154</v>
      </c>
      <c r="G20985" s="52">
        <v>148774.16766835799</v>
      </c>
      <c r="H20985" s="56">
        <v>0.16667279996532947</v>
      </c>
      <c r="I20985" s="224" t="s">
        <v>2</v>
      </c>
    </row>
    <row r="20986" spans="1:9" x14ac:dyDescent="0.25">
      <c r="A20986" s="515">
        <v>40009</v>
      </c>
      <c r="C20986" s="52">
        <v>126896.135025881</v>
      </c>
      <c r="D20986" s="56">
        <v>0.26652409369315716</v>
      </c>
      <c r="E20986" s="224" t="s">
        <v>2</v>
      </c>
      <c r="F20986" s="515" t="s">
        <v>22155</v>
      </c>
      <c r="G20986" s="52">
        <v>278434.722492553</v>
      </c>
      <c r="H20986" s="56">
        <v>7.0559239444922414E-2</v>
      </c>
      <c r="I20986" s="224" t="s">
        <v>2</v>
      </c>
    </row>
    <row r="20987" spans="1:9" x14ac:dyDescent="0.25">
      <c r="A20987" s="515">
        <v>67059</v>
      </c>
      <c r="C20987" s="52">
        <v>109581.601164184</v>
      </c>
      <c r="D20987" s="56">
        <v>9.5025852208678346E-2</v>
      </c>
      <c r="E20987" s="224" t="s">
        <v>2</v>
      </c>
      <c r="F20987" s="515" t="s">
        <v>22156</v>
      </c>
      <c r="G20987" s="52">
        <v>174615.049294497</v>
      </c>
      <c r="H20987" s="56">
        <v>2.5260119339808977E-2</v>
      </c>
      <c r="I20987" s="224" t="s">
        <v>2</v>
      </c>
    </row>
    <row r="20988" spans="1:9" x14ac:dyDescent="0.25">
      <c r="A20988" s="515">
        <v>25979</v>
      </c>
      <c r="C20988" s="52">
        <v>153051.913761943</v>
      </c>
      <c r="D20988" s="56">
        <v>0.10225567937514327</v>
      </c>
      <c r="E20988" s="224" t="s">
        <v>2</v>
      </c>
      <c r="F20988" s="515" t="s">
        <v>22157</v>
      </c>
      <c r="G20988" s="52">
        <v>279081.26277726598</v>
      </c>
      <c r="H20988" s="56">
        <v>0</v>
      </c>
      <c r="I20988" s="224" t="s">
        <v>2</v>
      </c>
    </row>
    <row r="20989" spans="1:9" x14ac:dyDescent="0.25">
      <c r="A20989" s="515">
        <v>17959</v>
      </c>
      <c r="B20989" s="515" t="s">
        <v>994</v>
      </c>
      <c r="C20989" s="52">
        <v>64368.571040813396</v>
      </c>
      <c r="D20989" s="56">
        <v>0.16609667130031863</v>
      </c>
      <c r="E20989" s="224" t="s">
        <v>2</v>
      </c>
      <c r="F20989" s="515" t="s">
        <v>22158</v>
      </c>
      <c r="G20989" s="52">
        <v>538877.79401958</v>
      </c>
      <c r="H20989" s="56">
        <v>5.6509266877123106E-2</v>
      </c>
      <c r="I20989" s="224" t="s">
        <v>2</v>
      </c>
    </row>
    <row r="20990" spans="1:9" x14ac:dyDescent="0.25">
      <c r="A20990" s="515">
        <v>94937</v>
      </c>
      <c r="B20990" s="515" t="s">
        <v>593</v>
      </c>
      <c r="C20990" s="52">
        <v>1349213.9495413899</v>
      </c>
      <c r="D20990" s="56">
        <v>-1.7670926548353519E-2</v>
      </c>
      <c r="E20990" s="224" t="s">
        <v>2</v>
      </c>
      <c r="F20990" s="515" t="s">
        <v>22159</v>
      </c>
      <c r="G20990" s="52">
        <v>361670.32287308801</v>
      </c>
      <c r="H20990" s="56">
        <v>9.4281816326715534E-2</v>
      </c>
      <c r="I20990" s="224" t="s">
        <v>2</v>
      </c>
    </row>
    <row r="20991" spans="1:9" x14ac:dyDescent="0.25">
      <c r="A20991" s="515">
        <v>62338</v>
      </c>
      <c r="B20991" s="515" t="s">
        <v>697</v>
      </c>
      <c r="C20991" s="52">
        <v>186590.13967282101</v>
      </c>
      <c r="D20991" s="56">
        <v>9.6699978097674458E-2</v>
      </c>
      <c r="E20991" s="224" t="s">
        <v>2</v>
      </c>
      <c r="F20991" s="515" t="s">
        <v>22160</v>
      </c>
      <c r="G20991" s="52">
        <v>199522.55824143099</v>
      </c>
      <c r="H20991" s="56">
        <v>0.10614395028934745</v>
      </c>
      <c r="I20991" s="224" t="s">
        <v>2</v>
      </c>
    </row>
    <row r="20992" spans="1:9" x14ac:dyDescent="0.25">
      <c r="A20992" s="515">
        <v>25882</v>
      </c>
      <c r="C20992" s="52">
        <v>41847.164722192501</v>
      </c>
      <c r="D20992" s="56">
        <v>-1.3400289432889449E-2</v>
      </c>
      <c r="E20992" s="224" t="s">
        <v>2</v>
      </c>
      <c r="F20992" s="515" t="s">
        <v>22161</v>
      </c>
      <c r="G20992" s="52">
        <v>77337.082345599207</v>
      </c>
      <c r="H20992" s="56">
        <v>-2.3508582621794736E-4</v>
      </c>
      <c r="I20992" s="224" t="s">
        <v>2</v>
      </c>
    </row>
    <row r="20993" spans="1:9" x14ac:dyDescent="0.25">
      <c r="A20993" s="515">
        <v>5455</v>
      </c>
      <c r="B20993" s="515" t="s">
        <v>441</v>
      </c>
      <c r="C20993" s="52">
        <v>377039.69411722198</v>
      </c>
      <c r="D20993" s="56">
        <v>0.15153362235408577</v>
      </c>
      <c r="E20993" s="224" t="s">
        <v>2</v>
      </c>
      <c r="F20993" s="515" t="s">
        <v>22162</v>
      </c>
      <c r="G20993" s="52">
        <v>103648.270223118</v>
      </c>
      <c r="H20993" s="56">
        <v>0.10452136814959888</v>
      </c>
      <c r="I20993" s="224" t="s">
        <v>2</v>
      </c>
    </row>
    <row r="20994" spans="1:9" x14ac:dyDescent="0.25">
      <c r="A20994" s="515">
        <v>63867</v>
      </c>
      <c r="C20994" s="52">
        <v>119336.767103953</v>
      </c>
      <c r="D20994" s="56">
        <v>8.9951511062166187E-3</v>
      </c>
      <c r="E20994" s="224" t="s">
        <v>2</v>
      </c>
      <c r="F20994" s="515" t="s">
        <v>22163</v>
      </c>
      <c r="G20994" s="52">
        <v>127400.785039284</v>
      </c>
      <c r="H20994" s="56">
        <v>0</v>
      </c>
      <c r="I20994" s="224" t="s">
        <v>2</v>
      </c>
    </row>
    <row r="20995" spans="1:9" x14ac:dyDescent="0.25">
      <c r="A20995" s="515">
        <v>31077</v>
      </c>
      <c r="C20995" s="52">
        <v>125114.617064702</v>
      </c>
      <c r="D20995" s="56">
        <v>-2.5442658648696507E-3</v>
      </c>
      <c r="E20995" s="224" t="s">
        <v>2</v>
      </c>
      <c r="F20995" s="515" t="s">
        <v>22164</v>
      </c>
      <c r="G20995" s="52">
        <v>810745.47203354398</v>
      </c>
      <c r="H20995" s="56">
        <v>8.8817095452284237E-2</v>
      </c>
      <c r="I20995" s="224" t="s">
        <v>2</v>
      </c>
    </row>
    <row r="20996" spans="1:9" x14ac:dyDescent="0.25">
      <c r="A20996" s="515">
        <v>61747</v>
      </c>
      <c r="B20996" s="515" t="s">
        <v>303</v>
      </c>
      <c r="C20996" s="52">
        <v>149753.96745422599</v>
      </c>
      <c r="D20996" s="56">
        <v>4.7526654301945685E-2</v>
      </c>
      <c r="E20996" s="224" t="s">
        <v>2</v>
      </c>
      <c r="F20996" s="515" t="s">
        <v>22165</v>
      </c>
      <c r="G20996" s="52">
        <v>73913.167447177402</v>
      </c>
      <c r="H20996" s="56">
        <v>0</v>
      </c>
      <c r="I20996" s="224" t="s">
        <v>2</v>
      </c>
    </row>
    <row r="20997" spans="1:9" x14ac:dyDescent="0.25">
      <c r="A20997" s="515">
        <v>4969</v>
      </c>
      <c r="B20997" s="515" t="s">
        <v>792</v>
      </c>
      <c r="C20997" s="52">
        <v>204790.72403487499</v>
      </c>
      <c r="D20997" s="56">
        <v>5.4578007293227315E-2</v>
      </c>
      <c r="E20997" s="224" t="s">
        <v>2</v>
      </c>
      <c r="F20997" s="515" t="s">
        <v>22166</v>
      </c>
      <c r="G20997" s="52">
        <v>266843.50786264898</v>
      </c>
      <c r="H20997" s="56">
        <v>5.1465509440785082E-2</v>
      </c>
      <c r="I20997" s="224" t="s">
        <v>2</v>
      </c>
    </row>
    <row r="20998" spans="1:9" x14ac:dyDescent="0.25">
      <c r="A20998" s="515">
        <v>66938</v>
      </c>
      <c r="C20998" s="52">
        <v>101827.896725725</v>
      </c>
      <c r="D20998" s="56">
        <v>2.400308153345038E-2</v>
      </c>
      <c r="E20998" s="224" t="s">
        <v>2</v>
      </c>
      <c r="F20998" s="515" t="s">
        <v>22167</v>
      </c>
      <c r="G20998" s="52">
        <v>88809.829910229004</v>
      </c>
      <c r="H20998" s="56">
        <v>-1.2639302001742066E-2</v>
      </c>
      <c r="I20998" s="224" t="s">
        <v>2</v>
      </c>
    </row>
    <row r="20999" spans="1:9" x14ac:dyDescent="0.25">
      <c r="A20999" s="515">
        <v>24138</v>
      </c>
      <c r="B20999" s="515" t="s">
        <v>597</v>
      </c>
      <c r="C20999" s="52">
        <v>198916.69038563501</v>
      </c>
      <c r="D20999" s="56">
        <v>1.3247289549794788E-2</v>
      </c>
      <c r="E20999" s="224" t="s">
        <v>2</v>
      </c>
      <c r="F20999" s="515" t="s">
        <v>22168</v>
      </c>
      <c r="G20999" s="52">
        <v>61956.643724208698</v>
      </c>
      <c r="H20999" s="56">
        <v>7.4022742360941737E-2</v>
      </c>
      <c r="I20999" s="224" t="s">
        <v>2</v>
      </c>
    </row>
    <row r="21000" spans="1:9" x14ac:dyDescent="0.25">
      <c r="A21000" s="515">
        <v>42054</v>
      </c>
      <c r="B21000" s="515" t="s">
        <v>1034</v>
      </c>
      <c r="C21000" s="52">
        <v>150240.81548686401</v>
      </c>
      <c r="D21000" s="56">
        <v>0.11034318089913771</v>
      </c>
      <c r="E21000" s="224" t="s">
        <v>2</v>
      </c>
      <c r="F21000" s="515" t="s">
        <v>22169</v>
      </c>
      <c r="G21000" s="52">
        <v>129987.942658343</v>
      </c>
      <c r="H21000" s="56">
        <v>0.16149602044638045</v>
      </c>
      <c r="I21000" s="224" t="s">
        <v>2</v>
      </c>
    </row>
    <row r="21001" spans="1:9" x14ac:dyDescent="0.25">
      <c r="A21001" s="515">
        <v>5761</v>
      </c>
      <c r="B21001" s="515" t="s">
        <v>791</v>
      </c>
      <c r="C21001" s="52">
        <v>361179.209019022</v>
      </c>
      <c r="D21001" s="56">
        <v>6.0950605425121415E-2</v>
      </c>
      <c r="E21001" s="224" t="s">
        <v>2</v>
      </c>
      <c r="F21001" s="515" t="s">
        <v>22170</v>
      </c>
      <c r="G21001" s="52">
        <v>286412.64285714203</v>
      </c>
      <c r="H21001" s="56">
        <v>0</v>
      </c>
      <c r="I21001" s="224" t="s">
        <v>2</v>
      </c>
    </row>
    <row r="21002" spans="1:9" x14ac:dyDescent="0.25">
      <c r="A21002" s="515">
        <v>31072</v>
      </c>
      <c r="C21002" s="52">
        <v>111157.53315209701</v>
      </c>
      <c r="D21002" s="56">
        <v>0.12355702480734335</v>
      </c>
      <c r="E21002" s="224" t="s">
        <v>2</v>
      </c>
      <c r="F21002" s="515" t="s">
        <v>22171</v>
      </c>
      <c r="G21002" s="52">
        <v>1859823.6664364</v>
      </c>
      <c r="H21002" s="56">
        <v>0.17892655073312566</v>
      </c>
      <c r="I21002" s="224" t="s">
        <v>2</v>
      </c>
    </row>
    <row r="21003" spans="1:9" x14ac:dyDescent="0.25">
      <c r="A21003" s="515">
        <v>61412</v>
      </c>
      <c r="B21003" s="515" t="s">
        <v>439</v>
      </c>
      <c r="C21003" s="52">
        <v>105459.644503669</v>
      </c>
      <c r="D21003" s="56">
        <v>3.8517104435216928E-2</v>
      </c>
      <c r="E21003" s="224" t="s">
        <v>2</v>
      </c>
      <c r="F21003" s="515" t="s">
        <v>22172</v>
      </c>
      <c r="G21003" s="52">
        <v>134683.54639589199</v>
      </c>
      <c r="H21003" s="56">
        <v>0.15153057065209535</v>
      </c>
      <c r="I21003" s="224" t="s">
        <v>2</v>
      </c>
    </row>
    <row r="21004" spans="1:9" x14ac:dyDescent="0.25">
      <c r="A21004" s="515">
        <v>38224</v>
      </c>
      <c r="B21004" s="515" t="s">
        <v>975</v>
      </c>
      <c r="C21004" s="52">
        <v>195504.199496863</v>
      </c>
      <c r="D21004" s="56">
        <v>2.680554925916068E-2</v>
      </c>
      <c r="E21004" s="224" t="s">
        <v>2</v>
      </c>
      <c r="F21004" s="515" t="s">
        <v>22173</v>
      </c>
      <c r="G21004" s="52">
        <v>421897.36313828599</v>
      </c>
      <c r="H21004" s="56">
        <v>3.8756091190558992E-2</v>
      </c>
      <c r="I21004" s="224" t="s">
        <v>2</v>
      </c>
    </row>
    <row r="21005" spans="1:9" x14ac:dyDescent="0.25">
      <c r="A21005" s="515">
        <v>40075</v>
      </c>
      <c r="B21005" s="515" t="s">
        <v>479</v>
      </c>
      <c r="C21005" s="52">
        <v>204865.79047162199</v>
      </c>
      <c r="D21005" s="56">
        <v>0.1621090343138871</v>
      </c>
      <c r="E21005" s="224" t="s">
        <v>2</v>
      </c>
      <c r="F21005" s="515" t="s">
        <v>22174</v>
      </c>
      <c r="G21005" s="52">
        <v>164006.56462613199</v>
      </c>
      <c r="H21005" s="56">
        <v>4.8657230551920894E-2</v>
      </c>
      <c r="I21005" s="224" t="s">
        <v>2</v>
      </c>
    </row>
    <row r="21006" spans="1:9" x14ac:dyDescent="0.25">
      <c r="A21006" s="515">
        <v>48157</v>
      </c>
      <c r="B21006" s="515" t="s">
        <v>1033</v>
      </c>
      <c r="C21006" s="52">
        <v>149604.863433953</v>
      </c>
      <c r="D21006" s="56">
        <v>1.8653423861031037E-2</v>
      </c>
      <c r="E21006" s="224" t="s">
        <v>2</v>
      </c>
      <c r="F21006" s="515" t="s">
        <v>22175</v>
      </c>
      <c r="G21006" s="52">
        <v>121124.377777777</v>
      </c>
      <c r="H21006" s="56">
        <v>0</v>
      </c>
      <c r="I21006" s="224" t="s">
        <v>2</v>
      </c>
    </row>
    <row r="21007" spans="1:9" x14ac:dyDescent="0.25">
      <c r="A21007" s="515">
        <v>47557</v>
      </c>
      <c r="B21007" s="515" t="s">
        <v>573</v>
      </c>
      <c r="C21007" s="52">
        <v>163565.99177864401</v>
      </c>
      <c r="D21007" s="56">
        <v>7.0299434764195548E-2</v>
      </c>
      <c r="E21007" s="224" t="s">
        <v>2</v>
      </c>
      <c r="F21007" s="515" t="s">
        <v>22176</v>
      </c>
      <c r="G21007" s="52">
        <v>150031.493242672</v>
      </c>
      <c r="H21007" s="56">
        <v>0.19025146291602602</v>
      </c>
      <c r="I21007" s="224" t="s">
        <v>2</v>
      </c>
    </row>
    <row r="21008" spans="1:9" x14ac:dyDescent="0.25">
      <c r="A21008" s="515">
        <v>39861</v>
      </c>
      <c r="C21008" s="52">
        <v>113057.809481228</v>
      </c>
      <c r="D21008" s="56">
        <v>6.8053712321417562E-2</v>
      </c>
      <c r="E21008" s="224" t="s">
        <v>2</v>
      </c>
      <c r="F21008" s="515" t="s">
        <v>22177</v>
      </c>
      <c r="G21008" s="52">
        <v>188690.37168168399</v>
      </c>
      <c r="H21008" s="56">
        <v>0.10403665699833109</v>
      </c>
      <c r="I21008" s="224" t="s">
        <v>2</v>
      </c>
    </row>
    <row r="21009" spans="1:9" x14ac:dyDescent="0.25">
      <c r="A21009" s="515">
        <v>57077</v>
      </c>
      <c r="B21009" s="515" t="s">
        <v>579</v>
      </c>
      <c r="C21009" s="52">
        <v>255640.14021109499</v>
      </c>
      <c r="D21009" s="56">
        <v>0.14224284872952969</v>
      </c>
      <c r="E21009" s="224" t="s">
        <v>2</v>
      </c>
      <c r="F21009" s="515" t="s">
        <v>22178</v>
      </c>
      <c r="G21009" s="52">
        <v>144289.49042799301</v>
      </c>
      <c r="H21009" s="56">
        <v>0.14258531694150028</v>
      </c>
      <c r="I21009" s="224" t="s">
        <v>2</v>
      </c>
    </row>
    <row r="21010" spans="1:9" x14ac:dyDescent="0.25">
      <c r="A21010" s="515">
        <v>67223</v>
      </c>
      <c r="B21010" s="515" t="s">
        <v>485</v>
      </c>
      <c r="C21010" s="52">
        <v>401288.58389588998</v>
      </c>
      <c r="D21010" s="56">
        <v>5.8209020692913747E-2</v>
      </c>
      <c r="E21010" s="224" t="s">
        <v>2</v>
      </c>
      <c r="F21010" s="515" t="s">
        <v>22179</v>
      </c>
      <c r="G21010" s="52">
        <v>531797.59152108897</v>
      </c>
      <c r="H21010" s="56">
        <v>6.5797315152048674E-2</v>
      </c>
      <c r="I21010" s="224" t="s">
        <v>2</v>
      </c>
    </row>
    <row r="21011" spans="1:9" x14ac:dyDescent="0.25">
      <c r="A21011" s="515">
        <v>54213</v>
      </c>
      <c r="C21011" s="52">
        <v>196017.20927517</v>
      </c>
      <c r="D21011" s="56">
        <v>3.6864572116340144E-2</v>
      </c>
      <c r="E21011" s="224" t="s">
        <v>2</v>
      </c>
      <c r="F21011" s="515" t="s">
        <v>22180</v>
      </c>
      <c r="G21011" s="52">
        <v>170251.44117472001</v>
      </c>
      <c r="H21011" s="56">
        <v>0.14424276123552046</v>
      </c>
      <c r="I21011" s="224" t="s">
        <v>2</v>
      </c>
    </row>
    <row r="21012" spans="1:9" x14ac:dyDescent="0.25">
      <c r="A21012" s="515">
        <v>54557</v>
      </c>
      <c r="C21012" s="52">
        <v>409588.16270139598</v>
      </c>
      <c r="D21012" s="56">
        <v>7.8247862613780944E-2</v>
      </c>
      <c r="E21012" s="224" t="s">
        <v>2</v>
      </c>
      <c r="F21012" s="515" t="s">
        <v>22181</v>
      </c>
      <c r="G21012" s="52">
        <v>225713.10323419201</v>
      </c>
      <c r="H21012" s="56">
        <v>4.7470066706032522E-2</v>
      </c>
      <c r="I21012" s="224" t="s">
        <v>2</v>
      </c>
    </row>
    <row r="21013" spans="1:9" x14ac:dyDescent="0.25">
      <c r="A21013" s="515">
        <v>12870</v>
      </c>
      <c r="C21013" s="52">
        <v>312536.31536762102</v>
      </c>
      <c r="D21013" s="56">
        <v>0.13518363606008763</v>
      </c>
      <c r="E21013" s="224" t="s">
        <v>2</v>
      </c>
      <c r="F21013" s="515" t="s">
        <v>22182</v>
      </c>
      <c r="G21013" s="52">
        <v>481353.48098595999</v>
      </c>
      <c r="H21013" s="56">
        <v>5.3362777006206279E-2</v>
      </c>
      <c r="I21013" s="224" t="s">
        <v>2</v>
      </c>
    </row>
    <row r="21014" spans="1:9" x14ac:dyDescent="0.25">
      <c r="A21014" s="515">
        <v>15345</v>
      </c>
      <c r="B21014" s="515" t="s">
        <v>297</v>
      </c>
      <c r="C21014" s="52">
        <v>69020.243924598006</v>
      </c>
      <c r="D21014" s="56">
        <v>-6.7638550556894009E-2</v>
      </c>
      <c r="E21014" s="224" t="s">
        <v>2</v>
      </c>
      <c r="F21014" s="515" t="s">
        <v>22183</v>
      </c>
      <c r="G21014" s="52">
        <v>55739.844343206998</v>
      </c>
      <c r="H21014" s="56">
        <v>0.19262053939328061</v>
      </c>
      <c r="I21014" s="224" t="s">
        <v>2</v>
      </c>
    </row>
    <row r="21015" spans="1:9" x14ac:dyDescent="0.25">
      <c r="A21015" s="515">
        <v>36528</v>
      </c>
      <c r="B21015" s="515" t="s">
        <v>815</v>
      </c>
      <c r="C21015" s="52">
        <v>447193.02635518298</v>
      </c>
      <c r="D21015" s="56">
        <v>0.1172684487306684</v>
      </c>
      <c r="E21015" s="224" t="s">
        <v>2</v>
      </c>
      <c r="F21015" s="515" t="s">
        <v>22184</v>
      </c>
      <c r="G21015" s="52">
        <v>122703.63829787201</v>
      </c>
      <c r="H21015" s="56">
        <v>0</v>
      </c>
      <c r="I21015" s="224" t="s">
        <v>2</v>
      </c>
    </row>
    <row r="21016" spans="1:9" x14ac:dyDescent="0.25">
      <c r="A21016" s="515">
        <v>69021</v>
      </c>
      <c r="C21016" s="52">
        <v>97922.731454890294</v>
      </c>
      <c r="D21016" s="56">
        <v>0</v>
      </c>
      <c r="E21016" s="224" t="s">
        <v>2</v>
      </c>
      <c r="F21016" s="515" t="s">
        <v>22185</v>
      </c>
      <c r="G21016" s="52">
        <v>87705.267981839293</v>
      </c>
      <c r="H21016" s="56">
        <v>5.906359957087455E-2</v>
      </c>
      <c r="I21016" s="224" t="s">
        <v>2</v>
      </c>
    </row>
    <row r="21017" spans="1:9" x14ac:dyDescent="0.25">
      <c r="A21017" s="515">
        <v>71264</v>
      </c>
      <c r="C21017" s="52">
        <v>133003.289144287</v>
      </c>
      <c r="D21017" s="56">
        <v>6.474913817164317E-2</v>
      </c>
      <c r="E21017" s="224" t="s">
        <v>2</v>
      </c>
      <c r="F21017" s="515" t="s">
        <v>22186</v>
      </c>
      <c r="G21017" s="52">
        <v>166882.55412140401</v>
      </c>
      <c r="H21017" s="56">
        <v>6.6783011515398408E-2</v>
      </c>
      <c r="I21017" s="224" t="s">
        <v>2</v>
      </c>
    </row>
    <row r="21018" spans="1:9" x14ac:dyDescent="0.25">
      <c r="A21018" s="515">
        <v>66423</v>
      </c>
      <c r="B21018" s="515" t="s">
        <v>549</v>
      </c>
      <c r="C21018" s="52">
        <v>139562.662139608</v>
      </c>
      <c r="D21018" s="56">
        <v>0.13771192649973041</v>
      </c>
      <c r="E21018" s="224" t="s">
        <v>2</v>
      </c>
      <c r="F21018" s="515" t="s">
        <v>22187</v>
      </c>
      <c r="G21018" s="52">
        <v>192653.86544040599</v>
      </c>
      <c r="H21018" s="56">
        <v>5.7507080099022771E-2</v>
      </c>
      <c r="I21018" s="224" t="s">
        <v>2</v>
      </c>
    </row>
    <row r="21019" spans="1:9" x14ac:dyDescent="0.25">
      <c r="A21019" s="515">
        <v>27305</v>
      </c>
      <c r="C21019" s="52">
        <v>126469.90997305101</v>
      </c>
      <c r="D21019" s="56">
        <v>0.18478910604232165</v>
      </c>
      <c r="E21019" s="224" t="s">
        <v>2</v>
      </c>
      <c r="F21019" s="515" t="s">
        <v>22188</v>
      </c>
      <c r="G21019" s="52">
        <v>84555.491832701096</v>
      </c>
      <c r="H21019" s="56">
        <v>0.13558861103067535</v>
      </c>
      <c r="I21019" s="224" t="s">
        <v>2</v>
      </c>
    </row>
    <row r="21020" spans="1:9" x14ac:dyDescent="0.25">
      <c r="A21020" s="515">
        <v>14860</v>
      </c>
      <c r="B21020" s="515" t="s">
        <v>1032</v>
      </c>
      <c r="C21020" s="52">
        <v>229679.21794354601</v>
      </c>
      <c r="D21020" s="56">
        <v>6.2718255047841634E-2</v>
      </c>
      <c r="E21020" s="224" t="s">
        <v>2</v>
      </c>
      <c r="F21020" s="515" t="s">
        <v>22189</v>
      </c>
      <c r="G21020" s="52">
        <v>221407.202791324</v>
      </c>
      <c r="H21020" s="56">
        <v>0</v>
      </c>
      <c r="I21020" s="224" t="s">
        <v>2</v>
      </c>
    </row>
    <row r="21021" spans="1:9" x14ac:dyDescent="0.25">
      <c r="A21021" s="515">
        <v>18438</v>
      </c>
      <c r="C21021" s="52">
        <v>373840.01987558597</v>
      </c>
      <c r="D21021" s="56">
        <v>2.5900257307147505E-2</v>
      </c>
      <c r="E21021" s="224" t="s">
        <v>2</v>
      </c>
      <c r="F21021" s="515" t="s">
        <v>22190</v>
      </c>
      <c r="G21021" s="52">
        <v>143551.031489152</v>
      </c>
      <c r="H21021" s="56">
        <v>-0.11992321082480721</v>
      </c>
      <c r="I21021" s="224" t="s">
        <v>2</v>
      </c>
    </row>
    <row r="21022" spans="1:9" x14ac:dyDescent="0.25">
      <c r="A21022" s="515">
        <v>80612</v>
      </c>
      <c r="B21022" s="515" t="s">
        <v>382</v>
      </c>
      <c r="C21022" s="52">
        <v>573108.13772688003</v>
      </c>
      <c r="D21022" s="56">
        <v>2.2150919893944018E-2</v>
      </c>
      <c r="E21022" s="224" t="s">
        <v>2</v>
      </c>
      <c r="F21022" s="515" t="s">
        <v>22191</v>
      </c>
      <c r="G21022" s="52">
        <v>314287.55121193797</v>
      </c>
      <c r="H21022" s="56">
        <v>5.6820370948860326E-2</v>
      </c>
      <c r="I21022" s="224" t="s">
        <v>2</v>
      </c>
    </row>
    <row r="21023" spans="1:9" x14ac:dyDescent="0.25">
      <c r="A21023" s="515">
        <v>67758</v>
      </c>
      <c r="C21023" s="52">
        <v>96146.288456023598</v>
      </c>
      <c r="D21023" s="56">
        <v>3.0359683224328266E-2</v>
      </c>
      <c r="E21023" s="224" t="s">
        <v>2</v>
      </c>
      <c r="F21023" s="515" t="s">
        <v>22192</v>
      </c>
      <c r="G21023" s="52">
        <v>298769.90798590297</v>
      </c>
      <c r="H21023" s="56">
        <v>2.6536532642815081E-2</v>
      </c>
      <c r="I21023" s="224" t="s">
        <v>2</v>
      </c>
    </row>
    <row r="21024" spans="1:9" x14ac:dyDescent="0.25">
      <c r="A21024" s="515">
        <v>51101</v>
      </c>
      <c r="B21024" s="515" t="s">
        <v>649</v>
      </c>
      <c r="C21024" s="52">
        <v>220377.648246553</v>
      </c>
      <c r="D21024" s="56">
        <v>5.670139079281121E-2</v>
      </c>
      <c r="E21024" s="224" t="s">
        <v>2</v>
      </c>
      <c r="F21024" s="515" t="s">
        <v>22193</v>
      </c>
      <c r="G21024" s="52">
        <v>158740.96961232799</v>
      </c>
      <c r="H21024" s="56">
        <v>3.5549143550557383E-2</v>
      </c>
      <c r="I21024" s="224" t="s">
        <v>2</v>
      </c>
    </row>
    <row r="21025" spans="1:9" x14ac:dyDescent="0.25">
      <c r="A21025" s="515">
        <v>59353</v>
      </c>
      <c r="C21025" s="52">
        <v>256788.771313748</v>
      </c>
      <c r="D21025" s="56">
        <v>0.18176447833167109</v>
      </c>
      <c r="E21025" s="224" t="s">
        <v>2</v>
      </c>
      <c r="F21025" s="515" t="s">
        <v>22194</v>
      </c>
      <c r="G21025" s="52">
        <v>149778.087528834</v>
      </c>
      <c r="H21025" s="56">
        <v>0</v>
      </c>
      <c r="I21025" s="224" t="s">
        <v>2</v>
      </c>
    </row>
    <row r="21026" spans="1:9" x14ac:dyDescent="0.25">
      <c r="A21026" s="515">
        <v>95258</v>
      </c>
      <c r="B21026" s="515" t="s">
        <v>852</v>
      </c>
      <c r="C21026" s="52">
        <v>549920.138677562</v>
      </c>
      <c r="D21026" s="56">
        <v>1.2944814717867223E-2</v>
      </c>
      <c r="E21026" s="224" t="s">
        <v>2</v>
      </c>
      <c r="F21026" s="515" t="s">
        <v>22195</v>
      </c>
      <c r="G21026" s="52">
        <v>129131.027795323</v>
      </c>
      <c r="H21026" s="56">
        <v>0.33294837466323091</v>
      </c>
      <c r="I21026" s="224" t="s">
        <v>2</v>
      </c>
    </row>
    <row r="21027" spans="1:9" x14ac:dyDescent="0.25">
      <c r="A21027" s="515">
        <v>62534</v>
      </c>
      <c r="C21027" s="52">
        <v>118876.731707317</v>
      </c>
      <c r="D21027" s="56">
        <v>0</v>
      </c>
      <c r="E21027" s="224" t="s">
        <v>2</v>
      </c>
      <c r="F21027" s="515" t="s">
        <v>22196</v>
      </c>
      <c r="G21027" s="52">
        <v>77178.719902551005</v>
      </c>
      <c r="H21027" s="56">
        <v>0.15627767583577803</v>
      </c>
      <c r="I21027" s="224" t="s">
        <v>2</v>
      </c>
    </row>
    <row r="21028" spans="1:9" x14ac:dyDescent="0.25">
      <c r="A21028" s="515">
        <v>17262</v>
      </c>
      <c r="B21028" s="515" t="s">
        <v>372</v>
      </c>
      <c r="C21028" s="52">
        <v>226918.38663001501</v>
      </c>
      <c r="D21028" s="56">
        <v>0</v>
      </c>
      <c r="E21028" s="224" t="s">
        <v>2</v>
      </c>
      <c r="F21028" s="515" t="s">
        <v>22197</v>
      </c>
      <c r="G21028" s="52">
        <v>348873.82782764902</v>
      </c>
      <c r="H21028" s="56">
        <v>4.7271822537170743E-2</v>
      </c>
      <c r="I21028" s="224" t="s">
        <v>2</v>
      </c>
    </row>
    <row r="21029" spans="1:9" x14ac:dyDescent="0.25">
      <c r="A21029" s="515">
        <v>74333</v>
      </c>
      <c r="C21029" s="52">
        <v>198342.654501168</v>
      </c>
      <c r="D21029" s="56">
        <v>0.15724708784653812</v>
      </c>
      <c r="E21029" s="224" t="s">
        <v>2</v>
      </c>
      <c r="F21029" s="515" t="s">
        <v>22198</v>
      </c>
      <c r="G21029" s="52">
        <v>54111.795587179397</v>
      </c>
      <c r="H21029" s="56">
        <v>-9.802702532790275E-2</v>
      </c>
      <c r="I21029" s="224" t="s">
        <v>2</v>
      </c>
    </row>
    <row r="21030" spans="1:9" x14ac:dyDescent="0.25">
      <c r="A21030" s="515">
        <v>82839</v>
      </c>
      <c r="B21030" s="515" t="s">
        <v>648</v>
      </c>
      <c r="C21030" s="52">
        <v>375283.33481484803</v>
      </c>
      <c r="D21030" s="56">
        <v>9.4604858035804221E-2</v>
      </c>
      <c r="E21030" s="224" t="s">
        <v>2</v>
      </c>
      <c r="F21030" s="515" t="s">
        <v>22199</v>
      </c>
      <c r="G21030" s="52">
        <v>147301.582652618</v>
      </c>
      <c r="H21030" s="56">
        <v>0</v>
      </c>
      <c r="I21030" s="224" t="s">
        <v>2</v>
      </c>
    </row>
    <row r="21031" spans="1:9" x14ac:dyDescent="0.25">
      <c r="A21031" s="515">
        <v>73848</v>
      </c>
      <c r="C21031" s="52">
        <v>86831.005286164698</v>
      </c>
      <c r="D21031" s="56">
        <v>9.2463432222956859E-2</v>
      </c>
      <c r="E21031" s="224" t="s">
        <v>2</v>
      </c>
      <c r="F21031" s="515" t="s">
        <v>22200</v>
      </c>
      <c r="G21031" s="52">
        <v>228627.65809845499</v>
      </c>
      <c r="H21031" s="56">
        <v>0.13596855563663565</v>
      </c>
      <c r="I21031" s="224" t="s">
        <v>2</v>
      </c>
    </row>
    <row r="21032" spans="1:9" x14ac:dyDescent="0.25">
      <c r="A21032" s="515">
        <v>51461</v>
      </c>
      <c r="C21032" s="52">
        <v>132793.09761638701</v>
      </c>
      <c r="D21032" s="56">
        <v>0.10853716246848806</v>
      </c>
      <c r="E21032" s="224" t="s">
        <v>2</v>
      </c>
      <c r="F21032" s="515" t="s">
        <v>22201</v>
      </c>
      <c r="G21032" s="52">
        <v>157736.11794466901</v>
      </c>
      <c r="H21032" s="56">
        <v>6.1110084771857386E-2</v>
      </c>
      <c r="I21032" s="224" t="s">
        <v>2</v>
      </c>
    </row>
    <row r="21033" spans="1:9" x14ac:dyDescent="0.25">
      <c r="A21033" s="515">
        <v>78829</v>
      </c>
      <c r="C21033" s="52">
        <v>93800.8600425107</v>
      </c>
      <c r="D21033" s="56">
        <v>0.10834758010566616</v>
      </c>
      <c r="E21033" s="224" t="s">
        <v>2</v>
      </c>
      <c r="F21033" s="515" t="s">
        <v>22202</v>
      </c>
      <c r="G21033" s="52">
        <v>121373.49810307501</v>
      </c>
      <c r="H21033" s="56">
        <v>0.14967887559762849</v>
      </c>
      <c r="I21033" s="224" t="s">
        <v>2</v>
      </c>
    </row>
    <row r="21034" spans="1:9" x14ac:dyDescent="0.25">
      <c r="A21034" s="515">
        <v>4765</v>
      </c>
      <c r="B21034" s="515" t="s">
        <v>792</v>
      </c>
      <c r="C21034" s="52">
        <v>176688.60351965899</v>
      </c>
      <c r="D21034" s="56">
        <v>0.11171504225279127</v>
      </c>
      <c r="E21034" s="224" t="s">
        <v>2</v>
      </c>
      <c r="F21034" s="515" t="s">
        <v>22203</v>
      </c>
      <c r="G21034" s="52">
        <v>98249.033333333296</v>
      </c>
      <c r="H21034" s="56">
        <v>0</v>
      </c>
      <c r="I21034" s="224" t="s">
        <v>2</v>
      </c>
    </row>
    <row r="21035" spans="1:9" x14ac:dyDescent="0.25">
      <c r="A21035" s="515">
        <v>1531</v>
      </c>
      <c r="B21035" s="515" t="s">
        <v>751</v>
      </c>
      <c r="C21035" s="52">
        <v>402796.35160685697</v>
      </c>
      <c r="D21035" s="56">
        <v>7.9794694018524778E-2</v>
      </c>
      <c r="E21035" s="224" t="s">
        <v>2</v>
      </c>
      <c r="F21035" s="515" t="s">
        <v>22204</v>
      </c>
      <c r="G21035" s="52">
        <v>131454.62400003499</v>
      </c>
      <c r="H21035" s="56">
        <v>0</v>
      </c>
      <c r="I21035" s="224" t="s">
        <v>2</v>
      </c>
    </row>
    <row r="21036" spans="1:9" x14ac:dyDescent="0.25">
      <c r="A21036" s="515">
        <v>76556</v>
      </c>
      <c r="C21036" s="52">
        <v>312092.63110536803</v>
      </c>
      <c r="D21036" s="56">
        <v>0</v>
      </c>
      <c r="E21036" s="224" t="s">
        <v>2</v>
      </c>
      <c r="F21036" s="515" t="s">
        <v>22205</v>
      </c>
      <c r="G21036" s="52">
        <v>360462.47674295702</v>
      </c>
      <c r="H21036" s="56">
        <v>5.0222167946287193E-2</v>
      </c>
      <c r="I21036" s="224" t="s">
        <v>2</v>
      </c>
    </row>
    <row r="21037" spans="1:9" x14ac:dyDescent="0.25">
      <c r="A21037" s="515">
        <v>83251</v>
      </c>
      <c r="C21037" s="52">
        <v>254431.586248659</v>
      </c>
      <c r="D21037" s="56">
        <v>-2.0953473068611495E-2</v>
      </c>
      <c r="E21037" s="224" t="s">
        <v>2</v>
      </c>
      <c r="F21037" s="515" t="s">
        <v>22206</v>
      </c>
      <c r="G21037" s="52">
        <v>100739.730725763</v>
      </c>
      <c r="H21037" s="56">
        <v>0.2204997497918901</v>
      </c>
      <c r="I21037" s="224" t="s">
        <v>2</v>
      </c>
    </row>
    <row r="21038" spans="1:9" x14ac:dyDescent="0.25">
      <c r="A21038" s="515">
        <v>48401</v>
      </c>
      <c r="C21038" s="52">
        <v>139504.72695040799</v>
      </c>
      <c r="D21038" s="56">
        <v>0</v>
      </c>
      <c r="E21038" s="224" t="s">
        <v>2</v>
      </c>
      <c r="F21038" s="515" t="s">
        <v>22207</v>
      </c>
      <c r="G21038" s="52">
        <v>488915.19876862701</v>
      </c>
      <c r="H21038" s="56">
        <v>4.2604123409428589E-2</v>
      </c>
      <c r="I21038" s="224" t="s">
        <v>2</v>
      </c>
    </row>
    <row r="21039" spans="1:9" x14ac:dyDescent="0.25">
      <c r="A21039" s="515">
        <v>75926</v>
      </c>
      <c r="C21039" s="52">
        <v>211124.827137905</v>
      </c>
      <c r="D21039" s="56">
        <v>0</v>
      </c>
      <c r="E21039" s="224" t="s">
        <v>2</v>
      </c>
      <c r="F21039" s="515" t="s">
        <v>22208</v>
      </c>
      <c r="G21039" s="52">
        <v>211492.085427824</v>
      </c>
      <c r="H21039" s="56">
        <v>0.20854718139041981</v>
      </c>
      <c r="I21039" s="224" t="s">
        <v>2</v>
      </c>
    </row>
    <row r="21040" spans="1:9" x14ac:dyDescent="0.25">
      <c r="A21040" s="515">
        <v>99674</v>
      </c>
      <c r="B21040" s="515" t="s">
        <v>405</v>
      </c>
      <c r="C21040" s="52">
        <v>234255.141982998</v>
      </c>
      <c r="D21040" s="56">
        <v>1.5449677625682525E-2</v>
      </c>
      <c r="E21040" s="224" t="s">
        <v>2</v>
      </c>
      <c r="F21040" s="515" t="s">
        <v>22209</v>
      </c>
      <c r="G21040" s="52">
        <v>510215.479181676</v>
      </c>
      <c r="H21040" s="56">
        <v>-3.418022959947345E-2</v>
      </c>
      <c r="I21040" s="224" t="s">
        <v>2</v>
      </c>
    </row>
    <row r="21041" spans="1:9" x14ac:dyDescent="0.25">
      <c r="A21041" s="515">
        <v>52346</v>
      </c>
      <c r="B21041" s="515" t="s">
        <v>404</v>
      </c>
      <c r="C21041" s="52">
        <v>196478.33626207901</v>
      </c>
      <c r="D21041" s="56">
        <v>6.5721012646940247E-2</v>
      </c>
      <c r="E21041" s="224" t="s">
        <v>2</v>
      </c>
      <c r="F21041" s="515" t="s">
        <v>22210</v>
      </c>
      <c r="G21041" s="52">
        <v>115631.166666666</v>
      </c>
      <c r="H21041" s="56">
        <v>0</v>
      </c>
      <c r="I21041" s="224" t="s">
        <v>2</v>
      </c>
    </row>
    <row r="21042" spans="1:9" x14ac:dyDescent="0.25">
      <c r="A21042" s="515">
        <v>26032</v>
      </c>
      <c r="B21042" s="515" t="s">
        <v>389</v>
      </c>
      <c r="C21042" s="52">
        <v>140989.91472372899</v>
      </c>
      <c r="D21042" s="56">
        <v>8.6293981814335383E-2</v>
      </c>
      <c r="E21042" s="224" t="s">
        <v>2</v>
      </c>
      <c r="F21042" s="515" t="s">
        <v>22211</v>
      </c>
      <c r="G21042" s="52">
        <v>77822.346020065001</v>
      </c>
      <c r="H21042" s="56">
        <v>0</v>
      </c>
      <c r="I21042" s="224" t="s">
        <v>2</v>
      </c>
    </row>
    <row r="21043" spans="1:9" x14ac:dyDescent="0.25">
      <c r="A21043" s="515">
        <v>46104</v>
      </c>
      <c r="C21043" s="52">
        <v>191038.86650596099</v>
      </c>
      <c r="D21043" s="56">
        <v>4.6929973357724843E-2</v>
      </c>
      <c r="E21043" s="224" t="s">
        <v>2</v>
      </c>
      <c r="F21043" s="515" t="s">
        <v>22212</v>
      </c>
      <c r="G21043" s="52">
        <v>136685.28369533099</v>
      </c>
      <c r="H21043" s="56">
        <v>0.19227418836870269</v>
      </c>
      <c r="I21043" s="224" t="s">
        <v>2</v>
      </c>
    </row>
    <row r="21044" spans="1:9" x14ac:dyDescent="0.25">
      <c r="A21044" s="515">
        <v>48762</v>
      </c>
      <c r="C21044" s="52">
        <v>151092.59787860801</v>
      </c>
      <c r="D21044" s="56">
        <v>6.8748175528727848E-2</v>
      </c>
      <c r="E21044" s="224" t="s">
        <v>2</v>
      </c>
      <c r="F21044" s="515" t="s">
        <v>22213</v>
      </c>
      <c r="G21044" s="52">
        <v>355277.05001094198</v>
      </c>
      <c r="H21044" s="56">
        <v>0.13820977929762213</v>
      </c>
      <c r="I21044" s="224" t="s">
        <v>2</v>
      </c>
    </row>
    <row r="21045" spans="1:9" x14ac:dyDescent="0.25">
      <c r="A21045" s="515">
        <v>16364</v>
      </c>
      <c r="B21045" s="515" t="s">
        <v>349</v>
      </c>
      <c r="C21045" s="52">
        <v>167544.35515044499</v>
      </c>
      <c r="D21045" s="56">
        <v>0.12912022136206802</v>
      </c>
      <c r="E21045" s="224" t="s">
        <v>2</v>
      </c>
      <c r="F21045" s="515" t="s">
        <v>22214</v>
      </c>
      <c r="G21045" s="52">
        <v>150525.083737735</v>
      </c>
      <c r="H21045" s="56">
        <v>0</v>
      </c>
      <c r="I21045" s="224" t="s">
        <v>2</v>
      </c>
    </row>
    <row r="21046" spans="1:9" x14ac:dyDescent="0.25">
      <c r="A21046" s="515">
        <v>62520</v>
      </c>
      <c r="B21046" s="515" t="s">
        <v>819</v>
      </c>
      <c r="C21046" s="52">
        <v>181686.27905890599</v>
      </c>
      <c r="D21046" s="56">
        <v>7.9928520351233698E-2</v>
      </c>
      <c r="E21046" s="224" t="s">
        <v>2</v>
      </c>
      <c r="F21046" s="515" t="s">
        <v>22215</v>
      </c>
      <c r="G21046" s="52">
        <v>179185.205626521</v>
      </c>
      <c r="H21046" s="56">
        <v>0.11088286298320013</v>
      </c>
      <c r="I21046" s="224" t="s">
        <v>2</v>
      </c>
    </row>
    <row r="21047" spans="1:9" x14ac:dyDescent="0.25">
      <c r="A21047" s="515">
        <v>56440</v>
      </c>
      <c r="C21047" s="52">
        <v>170391.316974257</v>
      </c>
      <c r="D21047" s="56">
        <v>6.4262926350242E-2</v>
      </c>
      <c r="E21047" s="224" t="s">
        <v>2</v>
      </c>
      <c r="F21047" s="515" t="s">
        <v>22216</v>
      </c>
      <c r="G21047" s="52">
        <v>246445.654936504</v>
      </c>
      <c r="H21047" s="56">
        <v>0.11888702823038533</v>
      </c>
      <c r="I21047" s="224" t="s">
        <v>2</v>
      </c>
    </row>
    <row r="21048" spans="1:9" x14ac:dyDescent="0.25">
      <c r="A21048" s="515">
        <v>14859</v>
      </c>
      <c r="B21048" s="515" t="s">
        <v>840</v>
      </c>
      <c r="C21048" s="52">
        <v>162226.646532685</v>
      </c>
      <c r="D21048" s="56">
        <v>0.10491356695027268</v>
      </c>
      <c r="E21048" s="224" t="s">
        <v>2</v>
      </c>
      <c r="F21048" s="515" t="s">
        <v>22217</v>
      </c>
      <c r="G21048" s="52">
        <v>187784.06335117601</v>
      </c>
      <c r="H21048" s="56">
        <v>6.1747107431132271E-2</v>
      </c>
      <c r="I21048" s="224" t="s">
        <v>2</v>
      </c>
    </row>
    <row r="21049" spans="1:9" x14ac:dyDescent="0.25">
      <c r="A21049" s="515">
        <v>43908</v>
      </c>
      <c r="B21049" s="515" t="s">
        <v>389</v>
      </c>
      <c r="C21049" s="52">
        <v>79191.743559377603</v>
      </c>
      <c r="D21049" s="56">
        <v>2.7464711340734343E-2</v>
      </c>
      <c r="E21049" s="224" t="s">
        <v>2</v>
      </c>
      <c r="F21049" s="515" t="s">
        <v>22218</v>
      </c>
      <c r="G21049" s="52">
        <v>189895.68764530399</v>
      </c>
      <c r="H21049" s="56">
        <v>0.10790450804171481</v>
      </c>
      <c r="I21049" s="224" t="s">
        <v>2</v>
      </c>
    </row>
    <row r="21050" spans="1:9" x14ac:dyDescent="0.25">
      <c r="A21050" s="515">
        <v>3583</v>
      </c>
      <c r="B21050" s="515" t="s">
        <v>752</v>
      </c>
      <c r="C21050" s="52">
        <v>309882.43806902098</v>
      </c>
      <c r="D21050" s="56">
        <v>0.19434615672118966</v>
      </c>
      <c r="E21050" s="224" t="s">
        <v>2</v>
      </c>
      <c r="F21050" s="515" t="s">
        <v>22219</v>
      </c>
      <c r="G21050" s="52">
        <v>95006.0896551724</v>
      </c>
      <c r="H21050" s="56">
        <v>0</v>
      </c>
      <c r="I21050" s="224" t="s">
        <v>2</v>
      </c>
    </row>
    <row r="21051" spans="1:9" x14ac:dyDescent="0.25">
      <c r="A21051" s="515">
        <v>81424</v>
      </c>
      <c r="B21051" s="515" t="s">
        <v>677</v>
      </c>
      <c r="C21051" s="52">
        <v>193176.14546777701</v>
      </c>
      <c r="D21051" s="56">
        <v>0.10849201392722205</v>
      </c>
      <c r="E21051" s="224" t="s">
        <v>2</v>
      </c>
      <c r="F21051" s="515" t="s">
        <v>22220</v>
      </c>
      <c r="G21051" s="52">
        <v>148568.55171374101</v>
      </c>
      <c r="H21051" s="56">
        <v>0.20001615309307946</v>
      </c>
      <c r="I21051" s="224" t="s">
        <v>2</v>
      </c>
    </row>
    <row r="21052" spans="1:9" x14ac:dyDescent="0.25">
      <c r="A21052" s="515">
        <v>56324</v>
      </c>
      <c r="B21052" s="515" t="s">
        <v>601</v>
      </c>
      <c r="C21052" s="52">
        <v>284875.96029390697</v>
      </c>
      <c r="D21052" s="56">
        <v>9.2077365353247412E-2</v>
      </c>
      <c r="E21052" s="224" t="s">
        <v>2</v>
      </c>
      <c r="F21052" s="515" t="s">
        <v>22221</v>
      </c>
      <c r="G21052" s="52">
        <v>398194.33688426297</v>
      </c>
      <c r="H21052" s="56">
        <v>5.0590501736186691E-2</v>
      </c>
      <c r="I21052" s="224" t="s">
        <v>2</v>
      </c>
    </row>
    <row r="21053" spans="1:9" x14ac:dyDescent="0.25">
      <c r="A21053" s="515">
        <v>5448</v>
      </c>
      <c r="B21053" s="515" t="s">
        <v>441</v>
      </c>
      <c r="C21053" s="52">
        <v>309835.256138378</v>
      </c>
      <c r="D21053" s="56">
        <v>9.7050412188500954E-2</v>
      </c>
      <c r="E21053" s="224" t="s">
        <v>2</v>
      </c>
      <c r="F21053" s="515" t="s">
        <v>22222</v>
      </c>
      <c r="G21053" s="52">
        <v>183937.45454545401</v>
      </c>
      <c r="H21053" s="56">
        <v>0</v>
      </c>
      <c r="I21053" s="224" t="s">
        <v>2</v>
      </c>
    </row>
    <row r="21054" spans="1:9" x14ac:dyDescent="0.25">
      <c r="A21054" s="515">
        <v>25984</v>
      </c>
      <c r="C21054" s="52">
        <v>105084.782379989</v>
      </c>
      <c r="D21054" s="56">
        <v>0.14928147836269257</v>
      </c>
      <c r="E21054" s="224" t="s">
        <v>2</v>
      </c>
      <c r="F21054" s="515" t="s">
        <v>22223</v>
      </c>
      <c r="G21054" s="52">
        <v>176792.17777777699</v>
      </c>
      <c r="H21054" s="56">
        <v>0</v>
      </c>
      <c r="I21054" s="224" t="s">
        <v>2</v>
      </c>
    </row>
    <row r="21055" spans="1:9" x14ac:dyDescent="0.25">
      <c r="A21055" s="515">
        <v>23175</v>
      </c>
      <c r="C21055" s="52">
        <v>344308.68888113298</v>
      </c>
      <c r="D21055" s="56">
        <v>4.9505976220179701E-2</v>
      </c>
      <c r="E21055" s="224" t="s">
        <v>2</v>
      </c>
      <c r="F21055" s="515" t="s">
        <v>22224</v>
      </c>
      <c r="G21055" s="52">
        <v>329861.68884432002</v>
      </c>
      <c r="H21055" s="56">
        <v>0.12664419731039853</v>
      </c>
      <c r="I21055" s="224" t="s">
        <v>2</v>
      </c>
    </row>
    <row r="21056" spans="1:9" x14ac:dyDescent="0.25">
      <c r="A21056" s="515">
        <v>42716</v>
      </c>
      <c r="B21056" s="515" t="s">
        <v>671</v>
      </c>
      <c r="C21056" s="52">
        <v>165940.86087206399</v>
      </c>
      <c r="D21056" s="56">
        <v>9.0626728379984603E-2</v>
      </c>
      <c r="E21056" s="224" t="s">
        <v>2</v>
      </c>
      <c r="F21056" s="515" t="s">
        <v>22225</v>
      </c>
      <c r="G21056" s="52">
        <v>314273.31128906499</v>
      </c>
      <c r="H21056" s="56">
        <v>0.21256879573656995</v>
      </c>
      <c r="I21056" s="224" t="s">
        <v>2</v>
      </c>
    </row>
    <row r="21057" spans="1:9" x14ac:dyDescent="0.25">
      <c r="A21057" s="515">
        <v>15377</v>
      </c>
      <c r="B21057" s="515" t="s">
        <v>297</v>
      </c>
      <c r="C21057" s="52">
        <v>203893.60257590201</v>
      </c>
      <c r="D21057" s="56">
        <v>0.14448485348024889</v>
      </c>
      <c r="E21057" s="224" t="s">
        <v>2</v>
      </c>
      <c r="F21057" s="515" t="s">
        <v>22226</v>
      </c>
      <c r="G21057" s="52">
        <v>182835.16447724699</v>
      </c>
      <c r="H21057" s="56">
        <v>0.17672723457938919</v>
      </c>
      <c r="I21057" s="224" t="s">
        <v>2</v>
      </c>
    </row>
    <row r="21058" spans="1:9" x14ac:dyDescent="0.25">
      <c r="A21058" s="515">
        <v>48766</v>
      </c>
      <c r="C21058" s="52">
        <v>117012.83676467701</v>
      </c>
      <c r="D21058" s="56">
        <v>9.9942273707903E-4</v>
      </c>
      <c r="E21058" s="224" t="s">
        <v>2</v>
      </c>
      <c r="F21058" s="515" t="s">
        <v>22227</v>
      </c>
      <c r="G21058" s="52">
        <v>354233.93142095098</v>
      </c>
      <c r="H21058" s="56">
        <v>3.1176112045775212E-2</v>
      </c>
      <c r="I21058" s="224" t="s">
        <v>2</v>
      </c>
    </row>
    <row r="21059" spans="1:9" x14ac:dyDescent="0.25">
      <c r="A21059" s="515">
        <v>35974</v>
      </c>
      <c r="B21059" s="515" t="s">
        <v>979</v>
      </c>
      <c r="C21059" s="52">
        <v>165582.082657905</v>
      </c>
      <c r="D21059" s="56">
        <v>0.12242937585800501</v>
      </c>
      <c r="E21059" s="224" t="s">
        <v>2</v>
      </c>
      <c r="F21059" s="515" t="s">
        <v>22228</v>
      </c>
      <c r="G21059" s="52">
        <v>359717.46081875003</v>
      </c>
      <c r="H21059" s="56">
        <v>6.3546094734083389E-2</v>
      </c>
      <c r="I21059" s="224" t="s">
        <v>2</v>
      </c>
    </row>
    <row r="21060" spans="1:9" x14ac:dyDescent="0.25">
      <c r="A21060" s="515">
        <v>11547</v>
      </c>
      <c r="B21060" s="515" t="s">
        <v>324</v>
      </c>
      <c r="C21060" s="52">
        <v>739661.38482735702</v>
      </c>
      <c r="D21060" s="56">
        <v>5.4598136000861136E-2</v>
      </c>
      <c r="E21060" s="224" t="s">
        <v>2</v>
      </c>
      <c r="F21060" s="515" t="s">
        <v>22229</v>
      </c>
      <c r="G21060" s="52">
        <v>384369.88856030401</v>
      </c>
      <c r="H21060" s="56">
        <v>8.0138670495702766E-2</v>
      </c>
      <c r="I21060" s="224" t="s">
        <v>2</v>
      </c>
    </row>
    <row r="21061" spans="1:9" x14ac:dyDescent="0.25">
      <c r="A21061" s="515">
        <v>59754</v>
      </c>
      <c r="C21061" s="52">
        <v>450111.36643506301</v>
      </c>
      <c r="D21061" s="56">
        <v>0.1175431765788419</v>
      </c>
      <c r="E21061" s="224" t="s">
        <v>2</v>
      </c>
      <c r="F21061" s="515" t="s">
        <v>22230</v>
      </c>
      <c r="G21061" s="52">
        <v>139055.298338906</v>
      </c>
      <c r="H21061" s="56">
        <v>0.12946605189246332</v>
      </c>
      <c r="I21061" s="224" t="s">
        <v>2</v>
      </c>
    </row>
    <row r="21062" spans="1:9" x14ac:dyDescent="0.25">
      <c r="A21062" s="515">
        <v>99113</v>
      </c>
      <c r="B21062" s="515" t="s">
        <v>450</v>
      </c>
      <c r="C21062" s="52">
        <v>361161.81969289202</v>
      </c>
      <c r="D21062" s="56">
        <v>7.9454245449182115E-2</v>
      </c>
      <c r="E21062" s="224" t="s">
        <v>2</v>
      </c>
      <c r="F21062" s="515" t="s">
        <v>22231</v>
      </c>
      <c r="G21062" s="52">
        <v>74300.6547322431</v>
      </c>
      <c r="H21062" s="56">
        <v>-1.2797858578487779E-2</v>
      </c>
      <c r="I21062" s="224" t="s">
        <v>2</v>
      </c>
    </row>
    <row r="21063" spans="1:9" x14ac:dyDescent="0.25">
      <c r="A21063" s="515">
        <v>77873</v>
      </c>
      <c r="B21063" s="515" t="s">
        <v>503</v>
      </c>
      <c r="C21063" s="52">
        <v>360708.40189747099</v>
      </c>
      <c r="D21063" s="56">
        <v>6.1667555974401295E-2</v>
      </c>
      <c r="E21063" s="224" t="s">
        <v>2</v>
      </c>
      <c r="F21063" s="515" t="s">
        <v>22232</v>
      </c>
      <c r="G21063" s="52">
        <v>75726.822795009604</v>
      </c>
      <c r="H21063" s="56">
        <v>0.12000623924139349</v>
      </c>
      <c r="I21063" s="224" t="s">
        <v>2</v>
      </c>
    </row>
    <row r="21064" spans="1:9" x14ac:dyDescent="0.25">
      <c r="A21064" s="515">
        <v>83246</v>
      </c>
      <c r="B21064" s="515" t="s">
        <v>884</v>
      </c>
      <c r="C21064" s="52">
        <v>381720.66474181903</v>
      </c>
      <c r="D21064" s="56">
        <v>2.4210078531892953E-2</v>
      </c>
      <c r="E21064" s="224" t="s">
        <v>2</v>
      </c>
      <c r="F21064" s="515" t="s">
        <v>22233</v>
      </c>
      <c r="G21064" s="52">
        <v>153392.404622047</v>
      </c>
      <c r="H21064" s="56">
        <v>1.8317271714584529E-3</v>
      </c>
      <c r="I21064" s="224" t="s">
        <v>2</v>
      </c>
    </row>
    <row r="21065" spans="1:9" x14ac:dyDescent="0.25">
      <c r="A21065" s="515">
        <v>38927</v>
      </c>
      <c r="C21065" s="52">
        <v>114407.428781073</v>
      </c>
      <c r="D21065" s="56">
        <v>-6.0691436065318835E-2</v>
      </c>
      <c r="E21065" s="224" t="s">
        <v>2</v>
      </c>
      <c r="F21065" s="515" t="s">
        <v>22234</v>
      </c>
      <c r="G21065" s="52">
        <v>217376.29128012099</v>
      </c>
      <c r="H21065" s="56">
        <v>0</v>
      </c>
      <c r="I21065" s="224" t="s">
        <v>2</v>
      </c>
    </row>
    <row r="21066" spans="1:9" x14ac:dyDescent="0.25">
      <c r="A21066" s="515">
        <v>47950</v>
      </c>
      <c r="C21066" s="52">
        <v>136003.570555474</v>
      </c>
      <c r="D21066" s="56">
        <v>-1.9933305108956858E-3</v>
      </c>
      <c r="E21066" s="224" t="s">
        <v>2</v>
      </c>
      <c r="F21066" s="515" t="s">
        <v>22235</v>
      </c>
      <c r="G21066" s="52">
        <v>269847.98540251999</v>
      </c>
      <c r="H21066" s="56">
        <v>3.391964931136833E-2</v>
      </c>
      <c r="I21066" s="224" t="s">
        <v>2</v>
      </c>
    </row>
    <row r="21067" spans="1:9" x14ac:dyDescent="0.25">
      <c r="A21067" s="515">
        <v>81236</v>
      </c>
      <c r="C21067" s="52">
        <v>607092.41302209999</v>
      </c>
      <c r="D21067" s="56">
        <v>3.3261402202002965E-2</v>
      </c>
      <c r="E21067" s="224" t="s">
        <v>2</v>
      </c>
      <c r="F21067" s="515" t="s">
        <v>22236</v>
      </c>
      <c r="G21067" s="52">
        <v>112988.473772816</v>
      </c>
      <c r="H21067" s="56">
        <v>0.25409692702615588</v>
      </c>
      <c r="I21067" s="224" t="s">
        <v>2</v>
      </c>
    </row>
    <row r="21068" spans="1:9" x14ac:dyDescent="0.25">
      <c r="A21068" s="515">
        <v>64746</v>
      </c>
      <c r="B21068" s="515" t="s">
        <v>455</v>
      </c>
      <c r="C21068" s="52">
        <v>243109.10772205799</v>
      </c>
      <c r="D21068" s="56">
        <v>0.22455368061476846</v>
      </c>
      <c r="E21068" s="224" t="s">
        <v>2</v>
      </c>
      <c r="F21068" s="515" t="s">
        <v>22237</v>
      </c>
      <c r="G21068" s="52">
        <v>183925.27264193801</v>
      </c>
      <c r="H21068" s="56">
        <v>5.0024039328163669E-2</v>
      </c>
      <c r="I21068" s="224" t="s">
        <v>2</v>
      </c>
    </row>
    <row r="21069" spans="1:9" x14ac:dyDescent="0.25">
      <c r="A21069" s="515">
        <v>13608</v>
      </c>
      <c r="B21069" s="515" t="s">
        <v>431</v>
      </c>
      <c r="C21069" s="52">
        <v>148899.23593323401</v>
      </c>
      <c r="D21069" s="56">
        <v>0.10991182066756132</v>
      </c>
      <c r="E21069" s="224" t="s">
        <v>2</v>
      </c>
      <c r="F21069" s="515" t="s">
        <v>22238</v>
      </c>
      <c r="G21069" s="52">
        <v>131168.119476728</v>
      </c>
      <c r="H21069" s="56">
        <v>8.5676572055818634E-2</v>
      </c>
      <c r="I21069" s="224" t="s">
        <v>2</v>
      </c>
    </row>
    <row r="21070" spans="1:9" x14ac:dyDescent="0.25">
      <c r="A21070" s="515">
        <v>56068</v>
      </c>
      <c r="C21070" s="52">
        <v>187073.56728326101</v>
      </c>
      <c r="D21070" s="56">
        <v>0.11162175602169798</v>
      </c>
      <c r="E21070" s="224" t="s">
        <v>2</v>
      </c>
      <c r="F21070" s="515" t="s">
        <v>22239</v>
      </c>
      <c r="G21070" s="52">
        <v>186595.322863557</v>
      </c>
      <c r="H21070" s="56">
        <v>2.5300251021625694E-2</v>
      </c>
      <c r="I21070" s="224" t="s">
        <v>2</v>
      </c>
    </row>
    <row r="21071" spans="1:9" x14ac:dyDescent="0.25">
      <c r="A21071" s="515">
        <v>23436</v>
      </c>
      <c r="B21071" s="515" t="s">
        <v>301</v>
      </c>
      <c r="C21071" s="52">
        <v>442614.298884983</v>
      </c>
      <c r="D21071" s="56">
        <v>4.6568062709549947E-2</v>
      </c>
      <c r="E21071" s="224" t="s">
        <v>2</v>
      </c>
      <c r="F21071" s="515" t="s">
        <v>22240</v>
      </c>
      <c r="G21071" s="52">
        <v>95467.019316786595</v>
      </c>
      <c r="H21071" s="56">
        <v>0</v>
      </c>
      <c r="I21071" s="224" t="s">
        <v>2</v>
      </c>
    </row>
    <row r="21072" spans="1:9" x14ac:dyDescent="0.25">
      <c r="A21072" s="515">
        <v>50236</v>
      </c>
      <c r="B21072" s="515" t="s">
        <v>568</v>
      </c>
      <c r="C21072" s="52">
        <v>208947.08068056701</v>
      </c>
      <c r="D21072" s="56">
        <v>7.1818667578953874E-2</v>
      </c>
      <c r="E21072" s="224" t="s">
        <v>2</v>
      </c>
      <c r="F21072" s="515" t="s">
        <v>22241</v>
      </c>
      <c r="G21072" s="52">
        <v>129250.70822557699</v>
      </c>
      <c r="H21072" s="56">
        <v>0</v>
      </c>
      <c r="I21072" s="224" t="s">
        <v>2</v>
      </c>
    </row>
    <row r="21073" spans="1:9" x14ac:dyDescent="0.25">
      <c r="A21073" s="515">
        <v>75480</v>
      </c>
      <c r="C21073" s="52">
        <v>500680.842512423</v>
      </c>
      <c r="D21073" s="56">
        <v>7.0136999554381504E-2</v>
      </c>
      <c r="E21073" s="224" t="s">
        <v>2</v>
      </c>
      <c r="F21073" s="515" t="s">
        <v>22242</v>
      </c>
      <c r="G21073" s="52">
        <v>200307.202804887</v>
      </c>
      <c r="H21073" s="56">
        <v>0</v>
      </c>
      <c r="I21073" s="224" t="s">
        <v>2</v>
      </c>
    </row>
    <row r="21074" spans="1:9" x14ac:dyDescent="0.25">
      <c r="A21074" s="515">
        <v>25268</v>
      </c>
      <c r="C21074" s="52">
        <v>95956.801787672506</v>
      </c>
      <c r="D21074" s="56">
        <v>3.9726447157043009E-2</v>
      </c>
      <c r="E21074" s="224" t="s">
        <v>2</v>
      </c>
      <c r="F21074" s="515" t="s">
        <v>22243</v>
      </c>
      <c r="G21074" s="52">
        <v>88895.494327543798</v>
      </c>
      <c r="H21074" s="56">
        <v>0</v>
      </c>
      <c r="I21074" s="224" t="s">
        <v>2</v>
      </c>
    </row>
    <row r="21075" spans="1:9" x14ac:dyDescent="0.25">
      <c r="A21075" s="515">
        <v>23850</v>
      </c>
      <c r="B21075" s="515" t="s">
        <v>667</v>
      </c>
      <c r="C21075" s="52">
        <v>244275.241840795</v>
      </c>
      <c r="D21075" s="56">
        <v>0.27687064826608249</v>
      </c>
      <c r="E21075" s="224" t="s">
        <v>2</v>
      </c>
      <c r="F21075" s="515" t="s">
        <v>22244</v>
      </c>
      <c r="G21075" s="52">
        <v>301938.27888467198</v>
      </c>
      <c r="H21075" s="56">
        <v>4.9760338996086478E-2</v>
      </c>
      <c r="I21075" s="224" t="s">
        <v>2</v>
      </c>
    </row>
    <row r="21076" spans="1:9" x14ac:dyDescent="0.25">
      <c r="A21076" s="515">
        <v>85610</v>
      </c>
      <c r="B21076" s="515" t="s">
        <v>374</v>
      </c>
      <c r="C21076" s="52">
        <v>168523.28755354401</v>
      </c>
      <c r="D21076" s="56">
        <v>0.15278607550565226</v>
      </c>
      <c r="E21076" s="224" t="s">
        <v>2</v>
      </c>
      <c r="F21076" s="515" t="s">
        <v>22245</v>
      </c>
      <c r="G21076" s="52">
        <v>167435.237496799</v>
      </c>
      <c r="H21076" s="56">
        <v>0.13094130793278438</v>
      </c>
      <c r="I21076" s="224" t="s">
        <v>2</v>
      </c>
    </row>
    <row r="21077" spans="1:9" x14ac:dyDescent="0.25">
      <c r="A21077" s="515">
        <v>4606</v>
      </c>
      <c r="C21077" s="52">
        <v>199845.314437808</v>
      </c>
      <c r="D21077" s="56">
        <v>0.12677895740244172</v>
      </c>
      <c r="E21077" s="224" t="s">
        <v>2</v>
      </c>
      <c r="F21077" s="515" t="s">
        <v>22246</v>
      </c>
      <c r="G21077" s="52">
        <v>155104.20762445801</v>
      </c>
      <c r="H21077" s="56">
        <v>9.0588897536629048E-2</v>
      </c>
      <c r="I21077" s="224" t="s">
        <v>2</v>
      </c>
    </row>
    <row r="21078" spans="1:9" x14ac:dyDescent="0.25">
      <c r="A21078" s="515">
        <v>46348</v>
      </c>
      <c r="B21078" s="515" t="s">
        <v>944</v>
      </c>
      <c r="C21078" s="52">
        <v>178130.840716773</v>
      </c>
      <c r="D21078" s="56">
        <v>0.13109788359019534</v>
      </c>
      <c r="E21078" s="224" t="s">
        <v>2</v>
      </c>
      <c r="F21078" s="515" t="s">
        <v>22247</v>
      </c>
      <c r="G21078" s="52">
        <v>617763.22014456196</v>
      </c>
      <c r="H21078" s="56">
        <v>0.11702102682029865</v>
      </c>
      <c r="I21078" s="224" t="s">
        <v>2</v>
      </c>
    </row>
    <row r="21079" spans="1:9" x14ac:dyDescent="0.25">
      <c r="A21079" s="515">
        <v>68404</v>
      </c>
      <c r="B21079" s="515" t="s">
        <v>486</v>
      </c>
      <c r="C21079" s="52">
        <v>440993.352951615</v>
      </c>
      <c r="D21079" s="56">
        <v>0.10115235288505321</v>
      </c>
      <c r="E21079" s="224" t="s">
        <v>2</v>
      </c>
      <c r="F21079" s="515" t="s">
        <v>22248</v>
      </c>
      <c r="G21079" s="52">
        <v>142039</v>
      </c>
      <c r="H21079" s="56">
        <v>0</v>
      </c>
      <c r="I21079" s="224" t="s">
        <v>2</v>
      </c>
    </row>
    <row r="21080" spans="1:9" x14ac:dyDescent="0.25">
      <c r="A21080" s="515">
        <v>26039</v>
      </c>
      <c r="B21080" s="515" t="s">
        <v>442</v>
      </c>
      <c r="C21080" s="52">
        <v>111778.611371651</v>
      </c>
      <c r="D21080" s="56">
        <v>4.4345150356519515E-2</v>
      </c>
      <c r="E21080" s="224" t="s">
        <v>2</v>
      </c>
      <c r="F21080" s="515" t="s">
        <v>22249</v>
      </c>
      <c r="G21080" s="52">
        <v>1412841.6890585499</v>
      </c>
      <c r="H21080" s="56">
        <v>0.10397587028354122</v>
      </c>
      <c r="I21080" s="224" t="s">
        <v>2</v>
      </c>
    </row>
    <row r="21081" spans="1:9" x14ac:dyDescent="0.25">
      <c r="A21081" s="515">
        <v>56732</v>
      </c>
      <c r="C21081" s="52">
        <v>120912.18201277</v>
      </c>
      <c r="D21081" s="56">
        <v>1.2102308314673101E-2</v>
      </c>
      <c r="E21081" s="224" t="s">
        <v>2</v>
      </c>
      <c r="F21081" s="515" t="s">
        <v>22250</v>
      </c>
      <c r="G21081" s="52">
        <v>158153.333807363</v>
      </c>
      <c r="H21081" s="56">
        <v>4.7367035978555856E-2</v>
      </c>
      <c r="I21081" s="224" t="s">
        <v>2</v>
      </c>
    </row>
    <row r="21082" spans="1:9" x14ac:dyDescent="0.25">
      <c r="A21082" s="515">
        <v>97366</v>
      </c>
      <c r="B21082" s="515" t="s">
        <v>618</v>
      </c>
      <c r="C21082" s="52">
        <v>524985.04517789697</v>
      </c>
      <c r="D21082" s="56">
        <v>5.7396819047787144E-2</v>
      </c>
      <c r="E21082" s="224" t="s">
        <v>2</v>
      </c>
      <c r="F21082" s="515" t="s">
        <v>22251</v>
      </c>
      <c r="G21082" s="52">
        <v>134425.982623438</v>
      </c>
      <c r="H21082" s="56">
        <v>7.4509945903842315E-2</v>
      </c>
      <c r="I21082" s="224" t="s">
        <v>2</v>
      </c>
    </row>
    <row r="21083" spans="1:9" x14ac:dyDescent="0.25">
      <c r="A21083" s="515">
        <v>3280</v>
      </c>
      <c r="B21083" s="515" t="s">
        <v>420</v>
      </c>
      <c r="C21083" s="52">
        <v>329014.684252951</v>
      </c>
      <c r="D21083" s="56">
        <v>0.13012431595123153</v>
      </c>
      <c r="E21083" s="224" t="s">
        <v>2</v>
      </c>
      <c r="F21083" s="515" t="s">
        <v>22252</v>
      </c>
      <c r="G21083" s="52">
        <v>154514.91590132</v>
      </c>
      <c r="H21083" s="56">
        <v>7.7110258472678397E-2</v>
      </c>
      <c r="I21083" s="224" t="s">
        <v>2</v>
      </c>
    </row>
    <row r="21084" spans="1:9" x14ac:dyDescent="0.25">
      <c r="A21084" s="515">
        <v>15533</v>
      </c>
      <c r="C21084" s="52">
        <v>191078.70895826101</v>
      </c>
      <c r="D21084" s="56">
        <v>2.7956670567004595E-2</v>
      </c>
      <c r="E21084" s="224" t="s">
        <v>2</v>
      </c>
      <c r="F21084" s="515" t="s">
        <v>22253</v>
      </c>
      <c r="G21084" s="52">
        <v>98073.989955412704</v>
      </c>
      <c r="H21084" s="56">
        <v>0</v>
      </c>
      <c r="I21084" s="224" t="s">
        <v>2</v>
      </c>
    </row>
    <row r="21085" spans="1:9" x14ac:dyDescent="0.25">
      <c r="A21085" s="515">
        <v>46798</v>
      </c>
      <c r="B21085" s="515" t="s">
        <v>1031</v>
      </c>
      <c r="C21085" s="52">
        <v>232847.585757194</v>
      </c>
      <c r="D21085" s="56">
        <v>9.1907575121701016E-2</v>
      </c>
      <c r="E21085" s="224" t="s">
        <v>2</v>
      </c>
      <c r="F21085" s="515" t="s">
        <v>22254</v>
      </c>
      <c r="G21085" s="52">
        <v>218051.15635145499</v>
      </c>
      <c r="H21085" s="56">
        <v>6.7212069494057447E-2</v>
      </c>
      <c r="I21085" s="224" t="s">
        <v>2</v>
      </c>
    </row>
    <row r="21086" spans="1:9" x14ac:dyDescent="0.25">
      <c r="A21086" s="515">
        <v>62822</v>
      </c>
      <c r="C21086" s="52">
        <v>58152.732543042701</v>
      </c>
      <c r="D21086" s="56">
        <v>-5.7046731792826356E-2</v>
      </c>
      <c r="E21086" s="224" t="s">
        <v>2</v>
      </c>
      <c r="F21086" s="515" t="s">
        <v>22255</v>
      </c>
      <c r="G21086" s="52">
        <v>75721.758620689594</v>
      </c>
      <c r="H21086" s="56">
        <v>0</v>
      </c>
      <c r="I21086" s="224" t="s">
        <v>2</v>
      </c>
    </row>
    <row r="21087" spans="1:9" x14ac:dyDescent="0.25">
      <c r="A21087" s="515">
        <v>51235</v>
      </c>
      <c r="C21087" s="52">
        <v>197198.848713096</v>
      </c>
      <c r="D21087" s="56">
        <v>0</v>
      </c>
      <c r="E21087" s="224" t="s">
        <v>2</v>
      </c>
      <c r="F21087" s="515" t="s">
        <v>22256</v>
      </c>
      <c r="G21087" s="52">
        <v>217929.328438025</v>
      </c>
      <c r="H21087" s="56">
        <v>0.10209865991449397</v>
      </c>
      <c r="I21087" s="224" t="s">
        <v>2</v>
      </c>
    </row>
    <row r="21088" spans="1:9" x14ac:dyDescent="0.25">
      <c r="A21088" s="515">
        <v>56017</v>
      </c>
      <c r="B21088" s="515" t="s">
        <v>532</v>
      </c>
      <c r="C21088" s="52">
        <v>329126.05920474499</v>
      </c>
      <c r="D21088" s="56">
        <v>7.5545448298814391E-2</v>
      </c>
      <c r="E21088" s="224" t="s">
        <v>2</v>
      </c>
      <c r="F21088" s="515" t="s">
        <v>22257</v>
      </c>
      <c r="G21088" s="52">
        <v>62969.3344173597</v>
      </c>
      <c r="H21088" s="56">
        <v>0.14607598077225803</v>
      </c>
      <c r="I21088" s="224" t="s">
        <v>2</v>
      </c>
    </row>
    <row r="21089" spans="1:9" x14ac:dyDescent="0.25">
      <c r="A21089" s="515">
        <v>4539</v>
      </c>
      <c r="C21089" s="52">
        <v>380179.834219207</v>
      </c>
      <c r="D21089" s="56">
        <v>1.2868552167558004E-2</v>
      </c>
      <c r="E21089" s="224" t="s">
        <v>2</v>
      </c>
      <c r="F21089" s="515" t="s">
        <v>22258</v>
      </c>
      <c r="G21089" s="52">
        <v>591376.46976748295</v>
      </c>
      <c r="H21089" s="56">
        <v>7.5794195785848742E-2</v>
      </c>
      <c r="I21089" s="224" t="s">
        <v>2</v>
      </c>
    </row>
    <row r="21090" spans="1:9" x14ac:dyDescent="0.25">
      <c r="A21090" s="515">
        <v>61087</v>
      </c>
      <c r="C21090" s="52">
        <v>89962.100936894494</v>
      </c>
      <c r="D21090" s="56">
        <v>1.3229264217761131E-2</v>
      </c>
      <c r="E21090" s="224" t="s">
        <v>2</v>
      </c>
      <c r="F21090" s="515" t="s">
        <v>22259</v>
      </c>
      <c r="G21090" s="52">
        <v>164077.34071025401</v>
      </c>
      <c r="H21090" s="56">
        <v>8.4906941526777219E-2</v>
      </c>
      <c r="I21090" s="224" t="s">
        <v>2</v>
      </c>
    </row>
    <row r="21091" spans="1:9" x14ac:dyDescent="0.25">
      <c r="A21091" s="515">
        <v>23148</v>
      </c>
      <c r="B21091" s="515" t="s">
        <v>667</v>
      </c>
      <c r="C21091" s="52">
        <v>249915.65713076599</v>
      </c>
      <c r="D21091" s="56">
        <v>9.4117896464362638E-2</v>
      </c>
      <c r="E21091" s="224" t="s">
        <v>2</v>
      </c>
      <c r="F21091" s="515" t="s">
        <v>22260</v>
      </c>
      <c r="G21091" s="52">
        <v>488737.37064554601</v>
      </c>
      <c r="H21091" s="56">
        <v>0.18386807395304178</v>
      </c>
      <c r="I21091" s="224" t="s">
        <v>2</v>
      </c>
    </row>
    <row r="21092" spans="1:9" x14ac:dyDescent="0.25">
      <c r="A21092" s="515">
        <v>87710</v>
      </c>
      <c r="C21092" s="52">
        <v>466613.34397957299</v>
      </c>
      <c r="D21092" s="56">
        <v>0.11299955380552058</v>
      </c>
      <c r="E21092" s="224" t="s">
        <v>2</v>
      </c>
      <c r="F21092" s="515" t="s">
        <v>22261</v>
      </c>
      <c r="G21092" s="52">
        <v>50461.131660814703</v>
      </c>
      <c r="H21092" s="56">
        <v>0.23113957654331649</v>
      </c>
      <c r="I21092" s="224" t="s">
        <v>2</v>
      </c>
    </row>
    <row r="21093" spans="1:9" x14ac:dyDescent="0.25">
      <c r="A21093" s="515">
        <v>17823</v>
      </c>
      <c r="B21093" s="515" t="s">
        <v>939</v>
      </c>
      <c r="C21093" s="52">
        <v>202223.048798823</v>
      </c>
      <c r="D21093" s="56">
        <v>0</v>
      </c>
      <c r="E21093" s="224" t="s">
        <v>2</v>
      </c>
      <c r="F21093" s="515" t="s">
        <v>22262</v>
      </c>
      <c r="G21093" s="52">
        <v>281887.61413046502</v>
      </c>
      <c r="H21093" s="56">
        <v>0.16249907901143062</v>
      </c>
      <c r="I21093" s="224" t="s">
        <v>2</v>
      </c>
    </row>
    <row r="21094" spans="1:9" x14ac:dyDescent="0.25">
      <c r="A21094" s="515">
        <v>5737</v>
      </c>
      <c r="B21094" s="515" t="s">
        <v>791</v>
      </c>
      <c r="C21094" s="52">
        <v>312346.513214865</v>
      </c>
      <c r="D21094" s="56">
        <v>2.5359770453296713E-2</v>
      </c>
      <c r="E21094" s="224" t="s">
        <v>2</v>
      </c>
      <c r="F21094" s="515" t="s">
        <v>22263</v>
      </c>
      <c r="G21094" s="52">
        <v>147416.86558526001</v>
      </c>
      <c r="H21094" s="56">
        <v>0.12876098909315786</v>
      </c>
      <c r="I21094" s="224" t="s">
        <v>2</v>
      </c>
    </row>
    <row r="21095" spans="1:9" x14ac:dyDescent="0.25">
      <c r="A21095" s="515">
        <v>54721</v>
      </c>
      <c r="C21095" s="52">
        <v>208878.71992449701</v>
      </c>
      <c r="D21095" s="56">
        <v>6.901612036955164E-2</v>
      </c>
      <c r="E21095" s="224" t="s">
        <v>2</v>
      </c>
      <c r="F21095" s="515" t="s">
        <v>22264</v>
      </c>
      <c r="G21095" s="52">
        <v>148154.49345403301</v>
      </c>
      <c r="H21095" s="56">
        <v>0.17283788673346812</v>
      </c>
      <c r="I21095" s="224" t="s">
        <v>2</v>
      </c>
    </row>
    <row r="21096" spans="1:9" x14ac:dyDescent="0.25">
      <c r="A21096" s="515">
        <v>88049</v>
      </c>
      <c r="B21096" s="515" t="s">
        <v>423</v>
      </c>
      <c r="C21096" s="52">
        <v>189502.86876849999</v>
      </c>
      <c r="D21096" s="56">
        <v>0.13198151886275383</v>
      </c>
      <c r="E21096" s="224" t="s">
        <v>2</v>
      </c>
      <c r="F21096" s="515" t="s">
        <v>22265</v>
      </c>
      <c r="G21096" s="52">
        <v>192234.75285429001</v>
      </c>
      <c r="H21096" s="56">
        <v>4.5699888649050148E-2</v>
      </c>
      <c r="I21096" s="224" t="s">
        <v>2</v>
      </c>
    </row>
    <row r="21097" spans="1:9" x14ac:dyDescent="0.25">
      <c r="A21097" s="515">
        <v>33921</v>
      </c>
      <c r="B21097" s="515" t="s">
        <v>1030</v>
      </c>
      <c r="C21097" s="52">
        <v>2914109.4710512902</v>
      </c>
      <c r="D21097" s="56">
        <v>0.2079563311622088</v>
      </c>
      <c r="E21097" s="224" t="s">
        <v>2</v>
      </c>
      <c r="F21097" s="515" t="s">
        <v>22266</v>
      </c>
      <c r="G21097" s="52">
        <v>89935.604510126301</v>
      </c>
      <c r="H21097" s="56">
        <v>0.11249728027705112</v>
      </c>
      <c r="I21097" s="224" t="s">
        <v>2</v>
      </c>
    </row>
    <row r="21098" spans="1:9" x14ac:dyDescent="0.25">
      <c r="A21098" s="515">
        <v>12985</v>
      </c>
      <c r="B21098" s="515" t="s">
        <v>395</v>
      </c>
      <c r="C21098" s="52">
        <v>170119.25593800101</v>
      </c>
      <c r="D21098" s="56">
        <v>0.14874978880073536</v>
      </c>
      <c r="E21098" s="224" t="s">
        <v>2</v>
      </c>
      <c r="F21098" s="515" t="s">
        <v>22267</v>
      </c>
      <c r="G21098" s="52">
        <v>138333.77392122999</v>
      </c>
      <c r="H21098" s="56">
        <v>0</v>
      </c>
      <c r="I21098" s="224" t="s">
        <v>2</v>
      </c>
    </row>
    <row r="21099" spans="1:9" x14ac:dyDescent="0.25">
      <c r="A21099" s="515">
        <v>63732</v>
      </c>
      <c r="C21099" s="52">
        <v>190364.46319559601</v>
      </c>
      <c r="D21099" s="56">
        <v>5.6765296401222715E-2</v>
      </c>
      <c r="E21099" s="224" t="s">
        <v>2</v>
      </c>
      <c r="F21099" s="515" t="s">
        <v>22268</v>
      </c>
      <c r="G21099" s="52">
        <v>63287.668311798203</v>
      </c>
      <c r="H21099" s="56">
        <v>0.16410641503874626</v>
      </c>
      <c r="I21099" s="224" t="s">
        <v>2</v>
      </c>
    </row>
    <row r="21100" spans="1:9" x14ac:dyDescent="0.25">
      <c r="A21100" s="515">
        <v>24076</v>
      </c>
      <c r="C21100" s="52">
        <v>130641.57273029799</v>
      </c>
      <c r="D21100" s="56">
        <v>4.8224964936301627E-3</v>
      </c>
      <c r="E21100" s="224" t="s">
        <v>2</v>
      </c>
      <c r="F21100" s="515" t="s">
        <v>22269</v>
      </c>
      <c r="G21100" s="52">
        <v>496305.733641689</v>
      </c>
      <c r="H21100" s="56">
        <v>7.970032344883439E-2</v>
      </c>
      <c r="I21100" s="224" t="s">
        <v>2</v>
      </c>
    </row>
    <row r="21101" spans="1:9" x14ac:dyDescent="0.25">
      <c r="A21101" s="515">
        <v>83836</v>
      </c>
      <c r="B21101" s="515" t="s">
        <v>623</v>
      </c>
      <c r="C21101" s="52">
        <v>643600.96169062797</v>
      </c>
      <c r="D21101" s="56">
        <v>2.5883325833397898E-2</v>
      </c>
      <c r="E21101" s="224" t="s">
        <v>2</v>
      </c>
      <c r="F21101" s="515" t="s">
        <v>22270</v>
      </c>
      <c r="G21101" s="52">
        <v>553687.92466732103</v>
      </c>
      <c r="H21101" s="56">
        <v>0.14138235627406809</v>
      </c>
      <c r="I21101" s="224" t="s">
        <v>2</v>
      </c>
    </row>
    <row r="21102" spans="1:9" x14ac:dyDescent="0.25">
      <c r="A21102" s="515">
        <v>59639</v>
      </c>
      <c r="B21102" s="515" t="s">
        <v>750</v>
      </c>
      <c r="C21102" s="52">
        <v>316243.29380273202</v>
      </c>
      <c r="D21102" s="56">
        <v>6.7323733656899629E-2</v>
      </c>
      <c r="E21102" s="224" t="s">
        <v>2</v>
      </c>
      <c r="F21102" s="515" t="s">
        <v>22271</v>
      </c>
      <c r="G21102" s="52">
        <v>334079.37298843701</v>
      </c>
      <c r="H21102" s="56">
        <v>0.11915811161194116</v>
      </c>
      <c r="I21102" s="224" t="s">
        <v>2</v>
      </c>
    </row>
    <row r="21103" spans="1:9" x14ac:dyDescent="0.25">
      <c r="A21103" s="515">
        <v>50214</v>
      </c>
      <c r="B21103" s="515" t="s">
        <v>625</v>
      </c>
      <c r="C21103" s="52">
        <v>299450.78931186802</v>
      </c>
      <c r="D21103" s="56">
        <v>0.14266132982258659</v>
      </c>
      <c r="E21103" s="224" t="s">
        <v>2</v>
      </c>
      <c r="F21103" s="515" t="s">
        <v>22272</v>
      </c>
      <c r="G21103" s="52">
        <v>247438.85579797599</v>
      </c>
      <c r="H21103" s="56">
        <v>8.8400966431618461E-2</v>
      </c>
      <c r="I21103" s="224" t="s">
        <v>2</v>
      </c>
    </row>
    <row r="21104" spans="1:9" x14ac:dyDescent="0.25">
      <c r="A21104" s="515">
        <v>76561</v>
      </c>
      <c r="B21104" s="515" t="s">
        <v>859</v>
      </c>
      <c r="C21104" s="52">
        <v>230481.76531439699</v>
      </c>
      <c r="D21104" s="56">
        <v>0.11309625795011127</v>
      </c>
      <c r="E21104" s="224" t="s">
        <v>2</v>
      </c>
      <c r="F21104" s="515" t="s">
        <v>22273</v>
      </c>
      <c r="G21104" s="52">
        <v>67773.541019689903</v>
      </c>
      <c r="H21104" s="56">
        <v>0</v>
      </c>
      <c r="I21104" s="224" t="s">
        <v>2</v>
      </c>
    </row>
    <row r="21105" spans="1:9" x14ac:dyDescent="0.25">
      <c r="A21105" s="515">
        <v>21841</v>
      </c>
      <c r="B21105" s="515" t="s">
        <v>552</v>
      </c>
      <c r="C21105" s="52">
        <v>300333.58992097998</v>
      </c>
      <c r="D21105" s="56">
        <v>4.8864003249271065E-2</v>
      </c>
      <c r="E21105" s="224" t="s">
        <v>2</v>
      </c>
      <c r="F21105" s="515" t="s">
        <v>22274</v>
      </c>
      <c r="G21105" s="52">
        <v>316705.54347825999</v>
      </c>
      <c r="H21105" s="56">
        <v>0</v>
      </c>
      <c r="I21105" s="224" t="s">
        <v>2</v>
      </c>
    </row>
    <row r="21106" spans="1:9" x14ac:dyDescent="0.25">
      <c r="A21106" s="515">
        <v>45382</v>
      </c>
      <c r="C21106" s="52">
        <v>160167.89695464799</v>
      </c>
      <c r="D21106" s="56">
        <v>6.267522205142366E-2</v>
      </c>
      <c r="E21106" s="224" t="s">
        <v>2</v>
      </c>
      <c r="F21106" s="515" t="s">
        <v>22275</v>
      </c>
      <c r="G21106" s="52">
        <v>1122417.67889206</v>
      </c>
      <c r="H21106" s="56">
        <v>4.5007537647790925E-2</v>
      </c>
      <c r="I21106" s="224" t="s">
        <v>2</v>
      </c>
    </row>
    <row r="21107" spans="1:9" x14ac:dyDescent="0.25">
      <c r="A21107" s="515">
        <v>18812</v>
      </c>
      <c r="C21107" s="52">
        <v>246167.57557267699</v>
      </c>
      <c r="D21107" s="56">
        <v>9.2875329617933655E-2</v>
      </c>
      <c r="E21107" s="224" t="s">
        <v>2</v>
      </c>
      <c r="F21107" s="515" t="s">
        <v>22276</v>
      </c>
      <c r="G21107" s="52">
        <v>214698.12407639201</v>
      </c>
      <c r="H21107" s="56">
        <v>9.4996919397818316E-3</v>
      </c>
      <c r="I21107" s="224" t="s">
        <v>2</v>
      </c>
    </row>
    <row r="21108" spans="1:9" x14ac:dyDescent="0.25">
      <c r="A21108" s="515">
        <v>50680</v>
      </c>
      <c r="B21108" s="515" t="s">
        <v>315</v>
      </c>
      <c r="C21108" s="52">
        <v>137069.08190538801</v>
      </c>
      <c r="D21108" s="56">
        <v>0.12565195369795443</v>
      </c>
      <c r="E21108" s="224" t="s">
        <v>2</v>
      </c>
      <c r="F21108" s="515" t="s">
        <v>22277</v>
      </c>
      <c r="G21108" s="52">
        <v>64253.0517392365</v>
      </c>
      <c r="H21108" s="56">
        <v>-0.19581730553306237</v>
      </c>
      <c r="I21108" s="224" t="s">
        <v>2</v>
      </c>
    </row>
    <row r="21109" spans="1:9" x14ac:dyDescent="0.25">
      <c r="A21109" s="515">
        <v>48621</v>
      </c>
      <c r="C21109" s="52">
        <v>135521.724463836</v>
      </c>
      <c r="D21109" s="56">
        <v>7.729017850479325E-2</v>
      </c>
      <c r="E21109" s="224" t="s">
        <v>2</v>
      </c>
      <c r="F21109" s="515" t="s">
        <v>22278</v>
      </c>
      <c r="G21109" s="52">
        <v>130288.237586031</v>
      </c>
      <c r="H21109" s="56">
        <v>0.24307153038613541</v>
      </c>
      <c r="I21109" s="224" t="s">
        <v>2</v>
      </c>
    </row>
    <row r="21110" spans="1:9" x14ac:dyDescent="0.25">
      <c r="A21110" s="515">
        <v>25512</v>
      </c>
      <c r="B21110" s="515" t="s">
        <v>602</v>
      </c>
      <c r="C21110" s="52">
        <v>62407.095354105302</v>
      </c>
      <c r="D21110" s="56">
        <v>5.898511987180604E-2</v>
      </c>
      <c r="E21110" s="224" t="s">
        <v>2</v>
      </c>
      <c r="F21110" s="515" t="s">
        <v>22279</v>
      </c>
      <c r="G21110" s="52">
        <v>339437.90970120701</v>
      </c>
      <c r="H21110" s="56">
        <v>6.2915620378664869E-2</v>
      </c>
      <c r="I21110" s="224" t="s">
        <v>2</v>
      </c>
    </row>
    <row r="21111" spans="1:9" x14ac:dyDescent="0.25">
      <c r="A21111" s="515">
        <v>73950</v>
      </c>
      <c r="C21111" s="52">
        <v>194585.55048270099</v>
      </c>
      <c r="D21111" s="56">
        <v>0.13368783073504345</v>
      </c>
      <c r="E21111" s="224" t="s">
        <v>2</v>
      </c>
      <c r="F21111" s="515" t="s">
        <v>22280</v>
      </c>
      <c r="G21111" s="52">
        <v>117644.171537327</v>
      </c>
      <c r="H21111" s="56">
        <v>0.14573301066891159</v>
      </c>
      <c r="I21111" s="224" t="s">
        <v>2</v>
      </c>
    </row>
    <row r="21112" spans="1:9" x14ac:dyDescent="0.25">
      <c r="A21112" s="515">
        <v>79526</v>
      </c>
      <c r="B21112" s="515" t="s">
        <v>743</v>
      </c>
      <c r="C21112" s="52">
        <v>135192.72467309301</v>
      </c>
      <c r="D21112" s="56">
        <v>-0.11820835744313631</v>
      </c>
      <c r="E21112" s="224" t="s">
        <v>2</v>
      </c>
      <c r="F21112" s="515" t="s">
        <v>22281</v>
      </c>
      <c r="G21112" s="52">
        <v>200206.187113063</v>
      </c>
      <c r="H21112" s="56">
        <v>0.11050616083340557</v>
      </c>
      <c r="I21112" s="224" t="s">
        <v>2</v>
      </c>
    </row>
    <row r="21113" spans="1:9" x14ac:dyDescent="0.25">
      <c r="A21113" s="515">
        <v>59052</v>
      </c>
      <c r="C21113" s="52">
        <v>595852.17767574603</v>
      </c>
      <c r="D21113" s="56">
        <v>7.2206462557107678E-2</v>
      </c>
      <c r="E21113" s="224" t="s">
        <v>2</v>
      </c>
      <c r="F21113" s="515" t="s">
        <v>22282</v>
      </c>
      <c r="G21113" s="52">
        <v>74618.933333333305</v>
      </c>
      <c r="H21113" s="56">
        <v>0</v>
      </c>
      <c r="I21113" s="224" t="s">
        <v>2</v>
      </c>
    </row>
    <row r="21114" spans="1:9" x14ac:dyDescent="0.25">
      <c r="A21114" s="515">
        <v>54749</v>
      </c>
      <c r="B21114" s="515" t="s">
        <v>731</v>
      </c>
      <c r="C21114" s="52">
        <v>233432.38423829799</v>
      </c>
      <c r="D21114" s="56">
        <v>5.8373243463286047E-2</v>
      </c>
      <c r="E21114" s="224" t="s">
        <v>2</v>
      </c>
      <c r="F21114" s="515" t="s">
        <v>22283</v>
      </c>
      <c r="G21114" s="52">
        <v>142207.70088179401</v>
      </c>
      <c r="H21114" s="56">
        <v>0.2340793007926788</v>
      </c>
      <c r="I21114" s="224" t="s">
        <v>2</v>
      </c>
    </row>
    <row r="21115" spans="1:9" x14ac:dyDescent="0.25">
      <c r="A21115" s="515">
        <v>58722</v>
      </c>
      <c r="B21115" s="515" t="s">
        <v>849</v>
      </c>
      <c r="C21115" s="52">
        <v>240940.91144698599</v>
      </c>
      <c r="D21115" s="56">
        <v>-4.114330937195417E-3</v>
      </c>
      <c r="E21115" s="224" t="s">
        <v>2</v>
      </c>
      <c r="F21115" s="515" t="s">
        <v>22284</v>
      </c>
      <c r="G21115" s="52">
        <v>615309.74379746895</v>
      </c>
      <c r="H21115" s="56">
        <v>-3.6189683533647321E-2</v>
      </c>
      <c r="I21115" s="224" t="s">
        <v>2</v>
      </c>
    </row>
    <row r="21116" spans="1:9" x14ac:dyDescent="0.25">
      <c r="A21116" s="515">
        <v>56475</v>
      </c>
      <c r="C21116" s="52">
        <v>212889.00034805699</v>
      </c>
      <c r="D21116" s="56">
        <v>0.11684982929321527</v>
      </c>
      <c r="E21116" s="224" t="s">
        <v>2</v>
      </c>
      <c r="F21116" s="515" t="s">
        <v>22285</v>
      </c>
      <c r="G21116" s="52">
        <v>103983.008214988</v>
      </c>
      <c r="H21116" s="56">
        <v>9.1928876335928569E-2</v>
      </c>
      <c r="I21116" s="224" t="s">
        <v>2</v>
      </c>
    </row>
    <row r="21117" spans="1:9" x14ac:dyDescent="0.25">
      <c r="A21117" s="515">
        <v>14864</v>
      </c>
      <c r="C21117" s="52">
        <v>142885.27993215399</v>
      </c>
      <c r="D21117" s="56">
        <v>0.10233806300982307</v>
      </c>
      <c r="E21117" s="224" t="s">
        <v>2</v>
      </c>
      <c r="F21117" s="515" t="s">
        <v>22286</v>
      </c>
      <c r="G21117" s="52">
        <v>116551.99645147601</v>
      </c>
      <c r="H21117" s="56">
        <v>0.19664919819120219</v>
      </c>
      <c r="I21117" s="224" t="s">
        <v>2</v>
      </c>
    </row>
    <row r="21118" spans="1:9" x14ac:dyDescent="0.25">
      <c r="A21118" s="515">
        <v>14066</v>
      </c>
      <c r="C21118" s="52">
        <v>146302.78731348101</v>
      </c>
      <c r="D21118" s="56">
        <v>9.280535167932015E-2</v>
      </c>
      <c r="E21118" s="224" t="s">
        <v>2</v>
      </c>
      <c r="F21118" s="515" t="s">
        <v>22287</v>
      </c>
      <c r="G21118" s="52">
        <v>203478.07971509299</v>
      </c>
      <c r="H21118" s="56">
        <v>8.0584454051630047E-2</v>
      </c>
      <c r="I21118" s="224" t="s">
        <v>2</v>
      </c>
    </row>
    <row r="21119" spans="1:9" x14ac:dyDescent="0.25">
      <c r="A21119" s="515">
        <v>68339</v>
      </c>
      <c r="B21119" s="515" t="s">
        <v>486</v>
      </c>
      <c r="C21119" s="52">
        <v>510549.56911041902</v>
      </c>
      <c r="D21119" s="56">
        <v>0.14422194242607822</v>
      </c>
      <c r="E21119" s="224" t="s">
        <v>2</v>
      </c>
      <c r="F21119" s="515" t="s">
        <v>22288</v>
      </c>
      <c r="G21119" s="52">
        <v>33774.285714285703</v>
      </c>
      <c r="H21119" s="56">
        <v>0</v>
      </c>
      <c r="I21119" s="224" t="s">
        <v>2</v>
      </c>
    </row>
    <row r="21120" spans="1:9" x14ac:dyDescent="0.25">
      <c r="A21120" s="515">
        <v>69025</v>
      </c>
      <c r="C21120" s="52">
        <v>133349.01348414601</v>
      </c>
      <c r="D21120" s="56">
        <v>0.20972119684603638</v>
      </c>
      <c r="E21120" s="224" t="s">
        <v>2</v>
      </c>
      <c r="F21120" s="515" t="s">
        <v>22289</v>
      </c>
      <c r="G21120" s="52">
        <v>207276.88069882701</v>
      </c>
      <c r="H21120" s="56">
        <v>7.6888433546907229E-3</v>
      </c>
      <c r="I21120" s="224" t="s">
        <v>2</v>
      </c>
    </row>
    <row r="21121" spans="1:9" x14ac:dyDescent="0.25">
      <c r="A21121" s="515">
        <v>58225</v>
      </c>
      <c r="C21121" s="52">
        <v>94828.023721462305</v>
      </c>
      <c r="D21121" s="56">
        <v>8.6317271194880904E-2</v>
      </c>
      <c r="E21121" s="224" t="s">
        <v>2</v>
      </c>
      <c r="F21121" s="515" t="s">
        <v>22290</v>
      </c>
      <c r="G21121" s="52">
        <v>145516.414887199</v>
      </c>
      <c r="H21121" s="56">
        <v>3.1729367513616928E-2</v>
      </c>
      <c r="I21121" s="224" t="s">
        <v>2</v>
      </c>
    </row>
    <row r="21122" spans="1:9" x14ac:dyDescent="0.25">
      <c r="A21122" s="515">
        <v>54566</v>
      </c>
      <c r="C21122" s="52">
        <v>163389.47265108401</v>
      </c>
      <c r="D21122" s="56">
        <v>3.2958954724414291E-2</v>
      </c>
      <c r="E21122" s="224" t="s">
        <v>2</v>
      </c>
      <c r="F21122" s="515" t="s">
        <v>22291</v>
      </c>
      <c r="G21122" s="52">
        <v>198330.75409835999</v>
      </c>
      <c r="H21122" s="56">
        <v>0</v>
      </c>
      <c r="I21122" s="224" t="s">
        <v>2</v>
      </c>
    </row>
    <row r="21123" spans="1:9" x14ac:dyDescent="0.25">
      <c r="A21123" s="515">
        <v>23065</v>
      </c>
      <c r="B21123" s="515" t="s">
        <v>667</v>
      </c>
      <c r="C21123" s="52">
        <v>314577.829987832</v>
      </c>
      <c r="D21123" s="56">
        <v>0.10177624303682502</v>
      </c>
      <c r="E21123" s="224" t="s">
        <v>2</v>
      </c>
      <c r="F21123" s="515" t="s">
        <v>22292</v>
      </c>
      <c r="G21123" s="52">
        <v>136226.574155043</v>
      </c>
      <c r="H21123" s="56">
        <v>0.10146495977833231</v>
      </c>
      <c r="I21123" s="224" t="s">
        <v>2</v>
      </c>
    </row>
    <row r="21124" spans="1:9" x14ac:dyDescent="0.25">
      <c r="A21124" s="515">
        <v>47427</v>
      </c>
      <c r="B21124" s="515" t="s">
        <v>554</v>
      </c>
      <c r="C21124" s="52">
        <v>175255.85181603499</v>
      </c>
      <c r="D21124" s="56">
        <v>9.6746247268920602E-2</v>
      </c>
      <c r="E21124" s="224" t="s">
        <v>2</v>
      </c>
      <c r="F21124" s="515" t="s">
        <v>22293</v>
      </c>
      <c r="G21124" s="52">
        <v>107436.04003506999</v>
      </c>
      <c r="H21124" s="56">
        <v>8.8157032023467502E-2</v>
      </c>
      <c r="I21124" s="224" t="s">
        <v>2</v>
      </c>
    </row>
    <row r="21125" spans="1:9" x14ac:dyDescent="0.25">
      <c r="A21125" s="515">
        <v>43720</v>
      </c>
      <c r="B21125" s="515" t="s">
        <v>518</v>
      </c>
      <c r="C21125" s="52">
        <v>153236.008849565</v>
      </c>
      <c r="D21125" s="56">
        <v>9.4733275935987349E-2</v>
      </c>
      <c r="E21125" s="224" t="s">
        <v>2</v>
      </c>
      <c r="F21125" s="515" t="s">
        <v>22294</v>
      </c>
      <c r="G21125" s="52">
        <v>176084.151515151</v>
      </c>
      <c r="H21125" s="56">
        <v>0</v>
      </c>
      <c r="I21125" s="224" t="s">
        <v>2</v>
      </c>
    </row>
    <row r="21126" spans="1:9" x14ac:dyDescent="0.25">
      <c r="A21126" s="515">
        <v>28783</v>
      </c>
      <c r="B21126" s="515" t="s">
        <v>487</v>
      </c>
      <c r="C21126" s="52">
        <v>381800.68748047599</v>
      </c>
      <c r="D21126" s="56">
        <v>0.14738760992048772</v>
      </c>
      <c r="E21126" s="224" t="s">
        <v>2</v>
      </c>
      <c r="F21126" s="515" t="s">
        <v>22295</v>
      </c>
      <c r="G21126" s="52">
        <v>116745.511627906</v>
      </c>
      <c r="H21126" s="56">
        <v>0</v>
      </c>
      <c r="I21126" s="224" t="s">
        <v>2</v>
      </c>
    </row>
    <row r="21127" spans="1:9" x14ac:dyDescent="0.25">
      <c r="A21127" s="515">
        <v>63748</v>
      </c>
      <c r="C21127" s="52">
        <v>206574.36109813899</v>
      </c>
      <c r="D21127" s="56">
        <v>9.0381953911211066E-2</v>
      </c>
      <c r="E21127" s="224" t="s">
        <v>2</v>
      </c>
      <c r="F21127" s="515" t="s">
        <v>22296</v>
      </c>
      <c r="G21127" s="52">
        <v>207845.83251340501</v>
      </c>
      <c r="H21127" s="56">
        <v>0</v>
      </c>
      <c r="I21127" s="224" t="s">
        <v>2</v>
      </c>
    </row>
    <row r="21128" spans="1:9" x14ac:dyDescent="0.25">
      <c r="A21128" s="515">
        <v>84779</v>
      </c>
      <c r="B21128" s="515" t="s">
        <v>522</v>
      </c>
      <c r="C21128" s="52">
        <v>517809.06248551101</v>
      </c>
      <c r="D21128" s="56">
        <v>-9.659653183424018E-3</v>
      </c>
      <c r="E21128" s="224" t="s">
        <v>2</v>
      </c>
      <c r="F21128" s="515" t="s">
        <v>22297</v>
      </c>
      <c r="G21128" s="52">
        <v>90295.0041069406</v>
      </c>
      <c r="H21128" s="56">
        <v>0.15351991258376063</v>
      </c>
      <c r="I21128" s="224" t="s">
        <v>2</v>
      </c>
    </row>
    <row r="21129" spans="1:9" x14ac:dyDescent="0.25">
      <c r="A21129" s="515">
        <v>67024</v>
      </c>
      <c r="C21129" s="52">
        <v>94759.716495197994</v>
      </c>
      <c r="D21129" s="56">
        <v>0.12532908036711149</v>
      </c>
      <c r="E21129" s="224" t="s">
        <v>2</v>
      </c>
      <c r="F21129" s="515" t="s">
        <v>22298</v>
      </c>
      <c r="G21129" s="52">
        <v>161862.36201067999</v>
      </c>
      <c r="H21129" s="56">
        <v>0.18243592638499254</v>
      </c>
      <c r="I21129" s="224" t="s">
        <v>2</v>
      </c>
    </row>
    <row r="21130" spans="1:9" x14ac:dyDescent="0.25">
      <c r="A21130" s="515">
        <v>95957</v>
      </c>
      <c r="B21130" s="515" t="s">
        <v>796</v>
      </c>
      <c r="C21130" s="52">
        <v>424583.13266704901</v>
      </c>
      <c r="D21130" s="56">
        <v>-4.3689130529124563E-2</v>
      </c>
      <c r="E21130" s="224" t="s">
        <v>2</v>
      </c>
      <c r="F21130" s="515" t="s">
        <v>22299</v>
      </c>
      <c r="G21130" s="52">
        <v>410431.47050359601</v>
      </c>
      <c r="H21130" s="56">
        <v>0.16009612507422191</v>
      </c>
      <c r="I21130" s="224" t="s">
        <v>2</v>
      </c>
    </row>
    <row r="21131" spans="1:9" x14ac:dyDescent="0.25">
      <c r="A21131" s="515">
        <v>65774</v>
      </c>
      <c r="C21131" s="52">
        <v>149116.28761928601</v>
      </c>
      <c r="D21131" s="56">
        <v>7.8999689163455039E-2</v>
      </c>
      <c r="E21131" s="224" t="s">
        <v>2</v>
      </c>
      <c r="F21131" s="515" t="s">
        <v>22300</v>
      </c>
      <c r="G21131" s="52">
        <v>133153.199149333</v>
      </c>
      <c r="H21131" s="56">
        <v>0.16074976233121305</v>
      </c>
      <c r="I21131" s="224" t="s">
        <v>2</v>
      </c>
    </row>
    <row r="21132" spans="1:9" x14ac:dyDescent="0.25">
      <c r="A21132" s="515">
        <v>52053</v>
      </c>
      <c r="B21132" s="515" t="s">
        <v>478</v>
      </c>
      <c r="C21132" s="52">
        <v>253841.300401966</v>
      </c>
      <c r="D21132" s="56">
        <v>0.14227859628631323</v>
      </c>
      <c r="E21132" s="224" t="s">
        <v>2</v>
      </c>
      <c r="F21132" s="515" t="s">
        <v>22301</v>
      </c>
      <c r="G21132" s="52">
        <v>119603.94724371799</v>
      </c>
      <c r="H21132" s="56">
        <v>0.29463739169041719</v>
      </c>
      <c r="I21132" s="224" t="s">
        <v>2</v>
      </c>
    </row>
    <row r="21133" spans="1:9" x14ac:dyDescent="0.25">
      <c r="A21133" s="515">
        <v>71031</v>
      </c>
      <c r="C21133" s="52">
        <v>105506.853940539</v>
      </c>
      <c r="D21133" s="56">
        <v>-2.3627014606376506E-2</v>
      </c>
      <c r="E21133" s="224" t="s">
        <v>2</v>
      </c>
      <c r="F21133" s="515" t="s">
        <v>22302</v>
      </c>
      <c r="G21133" s="52">
        <v>136100.75974751799</v>
      </c>
      <c r="H21133" s="56">
        <v>0</v>
      </c>
      <c r="I21133" s="224" t="s">
        <v>2</v>
      </c>
    </row>
    <row r="21134" spans="1:9" x14ac:dyDescent="0.25">
      <c r="A21134" s="515">
        <v>49831</v>
      </c>
      <c r="B21134" s="515" t="s">
        <v>990</v>
      </c>
      <c r="C21134" s="52">
        <v>137333.195126787</v>
      </c>
      <c r="D21134" s="56">
        <v>1.7035924883674721E-2</v>
      </c>
      <c r="E21134" s="224" t="s">
        <v>2</v>
      </c>
      <c r="F21134" s="515" t="s">
        <v>22303</v>
      </c>
      <c r="G21134" s="52">
        <v>127038.157981374</v>
      </c>
      <c r="H21134" s="56">
        <v>0.10268291162520882</v>
      </c>
      <c r="I21134" s="224" t="s">
        <v>2</v>
      </c>
    </row>
    <row r="21135" spans="1:9" x14ac:dyDescent="0.25">
      <c r="A21135" s="515">
        <v>12903</v>
      </c>
      <c r="B21135" s="515" t="s">
        <v>395</v>
      </c>
      <c r="C21135" s="52">
        <v>214994.98514899999</v>
      </c>
      <c r="D21135" s="56">
        <v>3.5672163691483273E-2</v>
      </c>
      <c r="E21135" s="224" t="s">
        <v>2</v>
      </c>
      <c r="F21135" s="515" t="s">
        <v>22304</v>
      </c>
      <c r="G21135" s="52">
        <v>181558.985437992</v>
      </c>
      <c r="H21135" s="56">
        <v>-5.0505440433256986E-3</v>
      </c>
      <c r="I21135" s="224" t="s">
        <v>2</v>
      </c>
    </row>
    <row r="21136" spans="1:9" x14ac:dyDescent="0.25">
      <c r="A21136" s="515">
        <v>78873</v>
      </c>
      <c r="C21136" s="52">
        <v>303325.02508550498</v>
      </c>
      <c r="D21136" s="56">
        <v>5.7698232357060251E-2</v>
      </c>
      <c r="E21136" s="224" t="s">
        <v>2</v>
      </c>
      <c r="F21136" s="515" t="s">
        <v>22305</v>
      </c>
      <c r="G21136" s="52">
        <v>194041.65853658499</v>
      </c>
      <c r="H21136" s="56">
        <v>0</v>
      </c>
      <c r="I21136" s="224" t="s">
        <v>2</v>
      </c>
    </row>
    <row r="21137" spans="1:9" x14ac:dyDescent="0.25">
      <c r="A21137" s="515">
        <v>60112</v>
      </c>
      <c r="B21137" s="515" t="s">
        <v>394</v>
      </c>
      <c r="C21137" s="52">
        <v>222692.618125237</v>
      </c>
      <c r="D21137" s="56">
        <v>4.7799463518659047E-2</v>
      </c>
      <c r="E21137" s="224" t="s">
        <v>2</v>
      </c>
      <c r="F21137" s="515" t="s">
        <v>22306</v>
      </c>
      <c r="G21137" s="52">
        <v>80735.192307692298</v>
      </c>
      <c r="H21137" s="56">
        <v>0</v>
      </c>
      <c r="I21137" s="224" t="s">
        <v>2</v>
      </c>
    </row>
    <row r="21138" spans="1:9" x14ac:dyDescent="0.25">
      <c r="A21138" s="515">
        <v>58761</v>
      </c>
      <c r="B21138" s="515" t="s">
        <v>849</v>
      </c>
      <c r="C21138" s="52">
        <v>152363.930779129</v>
      </c>
      <c r="D21138" s="56">
        <v>-2.1488001496304476E-2</v>
      </c>
      <c r="E21138" s="224" t="s">
        <v>2</v>
      </c>
      <c r="F21138" s="515" t="s">
        <v>22307</v>
      </c>
      <c r="G21138" s="52">
        <v>83828.566652106703</v>
      </c>
      <c r="H21138" s="56">
        <v>0.14159760107490624</v>
      </c>
      <c r="I21138" s="224" t="s">
        <v>2</v>
      </c>
    </row>
    <row r="21139" spans="1:9" x14ac:dyDescent="0.25">
      <c r="A21139" s="515">
        <v>80545</v>
      </c>
      <c r="B21139" s="515" t="s">
        <v>738</v>
      </c>
      <c r="C21139" s="52">
        <v>414098.03582223202</v>
      </c>
      <c r="D21139" s="56">
        <v>9.6016868567041752E-2</v>
      </c>
      <c r="E21139" s="224" t="s">
        <v>2</v>
      </c>
      <c r="F21139" s="515" t="s">
        <v>22308</v>
      </c>
      <c r="G21139" s="52">
        <v>161466.517647058</v>
      </c>
      <c r="H21139" s="56">
        <v>0</v>
      </c>
      <c r="I21139" s="224" t="s">
        <v>2</v>
      </c>
    </row>
    <row r="21140" spans="1:9" x14ac:dyDescent="0.25">
      <c r="A21140" s="515">
        <v>68933</v>
      </c>
      <c r="C21140" s="52">
        <v>142834.14845399701</v>
      </c>
      <c r="D21140" s="56">
        <v>0.13029157181080497</v>
      </c>
      <c r="E21140" s="224" t="s">
        <v>2</v>
      </c>
      <c r="F21140" s="515" t="s">
        <v>22309</v>
      </c>
      <c r="G21140" s="52">
        <v>56431.873920905302</v>
      </c>
      <c r="H21140" s="56">
        <v>0</v>
      </c>
      <c r="I21140" s="224" t="s">
        <v>2</v>
      </c>
    </row>
    <row r="21141" spans="1:9" x14ac:dyDescent="0.25">
      <c r="A21141" s="515">
        <v>66603</v>
      </c>
      <c r="B21141" s="515" t="s">
        <v>549</v>
      </c>
      <c r="C21141" s="52">
        <v>67481.897620280506</v>
      </c>
      <c r="D21141" s="56">
        <v>0.28052007004997531</v>
      </c>
      <c r="E21141" s="224" t="s">
        <v>2</v>
      </c>
      <c r="F21141" s="515" t="s">
        <v>22310</v>
      </c>
      <c r="G21141" s="52">
        <v>230417.81797979999</v>
      </c>
      <c r="H21141" s="56">
        <v>7.3914973035302478E-2</v>
      </c>
      <c r="I21141" s="224" t="s">
        <v>2</v>
      </c>
    </row>
    <row r="21142" spans="1:9" x14ac:dyDescent="0.25">
      <c r="A21142" s="515">
        <v>51466</v>
      </c>
      <c r="C21142" s="52">
        <v>129968.594543791</v>
      </c>
      <c r="D21142" s="56">
        <v>0</v>
      </c>
      <c r="E21142" s="224" t="s">
        <v>2</v>
      </c>
      <c r="F21142" s="515" t="s">
        <v>22311</v>
      </c>
      <c r="G21142" s="52">
        <v>202757.16838906001</v>
      </c>
      <c r="H21142" s="56">
        <v>6.7151007857433387E-2</v>
      </c>
      <c r="I21142" s="224" t="s">
        <v>2</v>
      </c>
    </row>
    <row r="21143" spans="1:9" x14ac:dyDescent="0.25">
      <c r="A21143" s="515">
        <v>59720</v>
      </c>
      <c r="C21143" s="52">
        <v>727458.82509569102</v>
      </c>
      <c r="D21143" s="56">
        <v>5.3364946020821279E-2</v>
      </c>
      <c r="E21143" s="224" t="s">
        <v>2</v>
      </c>
      <c r="F21143" s="515" t="s">
        <v>22312</v>
      </c>
      <c r="G21143" s="52">
        <v>230896.75253566299</v>
      </c>
      <c r="H21143" s="56">
        <v>1.880615387816196E-3</v>
      </c>
      <c r="I21143" s="224" t="s">
        <v>2</v>
      </c>
    </row>
    <row r="21144" spans="1:9" x14ac:dyDescent="0.25">
      <c r="A21144" s="515">
        <v>24578</v>
      </c>
      <c r="C21144" s="52">
        <v>266832.86630835303</v>
      </c>
      <c r="D21144" s="56">
        <v>9.3859561884212572E-2</v>
      </c>
      <c r="E21144" s="224" t="s">
        <v>2</v>
      </c>
      <c r="F21144" s="515" t="s">
        <v>22313</v>
      </c>
      <c r="G21144" s="52">
        <v>434639.86527941999</v>
      </c>
      <c r="H21144" s="56">
        <v>0.11723850331101678</v>
      </c>
      <c r="I21144" s="224" t="s">
        <v>2</v>
      </c>
    </row>
    <row r="21145" spans="1:9" x14ac:dyDescent="0.25">
      <c r="A21145" s="515">
        <v>59932</v>
      </c>
      <c r="B21145" s="515" t="s">
        <v>459</v>
      </c>
      <c r="C21145" s="52">
        <v>668976.96008868702</v>
      </c>
      <c r="D21145" s="56">
        <v>6.8357546274556868E-2</v>
      </c>
      <c r="E21145" s="224" t="s">
        <v>2</v>
      </c>
      <c r="F21145" s="515" t="s">
        <v>22314</v>
      </c>
      <c r="G21145" s="52">
        <v>251114.178028155</v>
      </c>
      <c r="H21145" s="56">
        <v>0.11918639248400051</v>
      </c>
      <c r="I21145" s="224" t="s">
        <v>2</v>
      </c>
    </row>
    <row r="21146" spans="1:9" x14ac:dyDescent="0.25">
      <c r="A21146" s="515">
        <v>67879</v>
      </c>
      <c r="C21146" s="52">
        <v>124452.441971807</v>
      </c>
      <c r="D21146" s="56">
        <v>0.15696659941475263</v>
      </c>
      <c r="E21146" s="224" t="s">
        <v>2</v>
      </c>
      <c r="F21146" s="515" t="s">
        <v>22315</v>
      </c>
      <c r="G21146" s="52">
        <v>313124.26171957998</v>
      </c>
      <c r="H21146" s="56">
        <v>-1.1677232302424578E-2</v>
      </c>
      <c r="I21146" s="224" t="s">
        <v>2</v>
      </c>
    </row>
    <row r="21147" spans="1:9" x14ac:dyDescent="0.25">
      <c r="A21147" s="515">
        <v>12726</v>
      </c>
      <c r="C21147" s="52">
        <v>290000.95672918198</v>
      </c>
      <c r="D21147" s="56">
        <v>0.22317250502423458</v>
      </c>
      <c r="E21147" s="224" t="s">
        <v>2</v>
      </c>
      <c r="F21147" s="515" t="s">
        <v>22316</v>
      </c>
      <c r="G21147" s="52">
        <v>122519.444444444</v>
      </c>
      <c r="H21147" s="56">
        <v>0</v>
      </c>
      <c r="I21147" s="224" t="s">
        <v>2</v>
      </c>
    </row>
    <row r="21148" spans="1:9" x14ac:dyDescent="0.25">
      <c r="A21148" s="515">
        <v>53569</v>
      </c>
      <c r="B21148" s="515" t="s">
        <v>664</v>
      </c>
      <c r="C21148" s="52">
        <v>168775.72803028699</v>
      </c>
      <c r="D21148" s="56">
        <v>3.7503448052696502E-2</v>
      </c>
      <c r="E21148" s="224" t="s">
        <v>2</v>
      </c>
      <c r="F21148" s="515" t="s">
        <v>22317</v>
      </c>
      <c r="G21148" s="52">
        <v>448996.96181372902</v>
      </c>
      <c r="H21148" s="56">
        <v>8.7142543750300394E-2</v>
      </c>
      <c r="I21148" s="224" t="s">
        <v>2</v>
      </c>
    </row>
    <row r="21149" spans="1:9" x14ac:dyDescent="0.25">
      <c r="A21149" s="515">
        <v>97371</v>
      </c>
      <c r="B21149" s="515" t="s">
        <v>416</v>
      </c>
      <c r="C21149" s="52">
        <v>688001.29142564</v>
      </c>
      <c r="D21149" s="56">
        <v>5.5373647775295541E-2</v>
      </c>
      <c r="E21149" s="224" t="s">
        <v>2</v>
      </c>
      <c r="F21149" s="515" t="s">
        <v>22318</v>
      </c>
      <c r="G21149" s="52">
        <v>101892.48338635</v>
      </c>
      <c r="H21149" s="56">
        <v>0.22627183134894521</v>
      </c>
      <c r="I21149" s="224" t="s">
        <v>2</v>
      </c>
    </row>
    <row r="21150" spans="1:9" x14ac:dyDescent="0.25">
      <c r="A21150" s="515">
        <v>64448</v>
      </c>
      <c r="B21150" s="515" t="s">
        <v>371</v>
      </c>
      <c r="C21150" s="52">
        <v>270697.11139344599</v>
      </c>
      <c r="D21150" s="56">
        <v>0</v>
      </c>
      <c r="E21150" s="224" t="s">
        <v>2</v>
      </c>
      <c r="F21150" s="515" t="s">
        <v>22319</v>
      </c>
      <c r="G21150" s="52">
        <v>86197.811594202896</v>
      </c>
      <c r="H21150" s="56">
        <v>0</v>
      </c>
      <c r="I21150" s="224" t="s">
        <v>2</v>
      </c>
    </row>
    <row r="21151" spans="1:9" x14ac:dyDescent="0.25">
      <c r="A21151" s="515">
        <v>96730</v>
      </c>
      <c r="B21151" s="515" t="s">
        <v>1029</v>
      </c>
      <c r="C21151" s="52">
        <v>1001103.22477814</v>
      </c>
      <c r="D21151" s="56">
        <v>5.2726273495145144E-2</v>
      </c>
      <c r="E21151" s="224" t="s">
        <v>2</v>
      </c>
      <c r="F21151" s="515" t="s">
        <v>22320</v>
      </c>
      <c r="G21151" s="52">
        <v>79466.441884364904</v>
      </c>
      <c r="H21151" s="56">
        <v>0.10558073832215502</v>
      </c>
      <c r="I21151" s="224" t="s">
        <v>2</v>
      </c>
    </row>
    <row r="21152" spans="1:9" x14ac:dyDescent="0.25">
      <c r="A21152" s="515">
        <v>58374</v>
      </c>
      <c r="C21152" s="52">
        <v>79916.922651470406</v>
      </c>
      <c r="D21152" s="56">
        <v>5.052839498406932E-3</v>
      </c>
      <c r="E21152" s="224" t="s">
        <v>2</v>
      </c>
      <c r="F21152" s="515" t="s">
        <v>22321</v>
      </c>
      <c r="G21152" s="52">
        <v>133133.51978671699</v>
      </c>
      <c r="H21152" s="56">
        <v>0</v>
      </c>
      <c r="I21152" s="224" t="s">
        <v>2</v>
      </c>
    </row>
    <row r="21153" spans="1:9" x14ac:dyDescent="0.25">
      <c r="A21153" s="515">
        <v>77622</v>
      </c>
      <c r="B21153" s="515" t="s">
        <v>492</v>
      </c>
      <c r="C21153" s="52">
        <v>209467.79857619401</v>
      </c>
      <c r="D21153" s="56">
        <v>4.0955230191705605E-2</v>
      </c>
      <c r="E21153" s="224" t="s">
        <v>2</v>
      </c>
      <c r="F21153" s="515" t="s">
        <v>22322</v>
      </c>
      <c r="G21153" s="52">
        <v>215038.12972295101</v>
      </c>
      <c r="H21153" s="56">
        <v>7.3936508011132773E-2</v>
      </c>
      <c r="I21153" s="224" t="s">
        <v>2</v>
      </c>
    </row>
    <row r="21154" spans="1:9" x14ac:dyDescent="0.25">
      <c r="A21154" s="515">
        <v>50517</v>
      </c>
      <c r="C21154" s="52">
        <v>125317.91295810101</v>
      </c>
      <c r="D21154" s="56">
        <v>0</v>
      </c>
      <c r="E21154" s="224" t="s">
        <v>2</v>
      </c>
      <c r="F21154" s="515" t="s">
        <v>22323</v>
      </c>
      <c r="G21154" s="52">
        <v>179621.29787233999</v>
      </c>
      <c r="H21154" s="56">
        <v>0</v>
      </c>
      <c r="I21154" s="224" t="s">
        <v>2</v>
      </c>
    </row>
    <row r="21155" spans="1:9" x14ac:dyDescent="0.25">
      <c r="A21155" s="515">
        <v>12125</v>
      </c>
      <c r="B21155" s="515" t="s">
        <v>564</v>
      </c>
      <c r="C21155" s="52">
        <v>299844.11599355802</v>
      </c>
      <c r="D21155" s="56">
        <v>9.9595503629463858E-2</v>
      </c>
      <c r="E21155" s="224" t="s">
        <v>2</v>
      </c>
      <c r="F21155" s="515" t="s">
        <v>22324</v>
      </c>
      <c r="G21155" s="52">
        <v>108818.482549234</v>
      </c>
      <c r="H21155" s="56">
        <v>4.1025485783692153E-2</v>
      </c>
      <c r="I21155" s="224" t="s">
        <v>2</v>
      </c>
    </row>
    <row r="21156" spans="1:9" x14ac:dyDescent="0.25">
      <c r="A21156" s="515">
        <v>27022</v>
      </c>
      <c r="B21156" s="515" t="s">
        <v>735</v>
      </c>
      <c r="C21156" s="52">
        <v>188637.27309526701</v>
      </c>
      <c r="D21156" s="56">
        <v>0.16646562777916671</v>
      </c>
      <c r="E21156" s="224" t="s">
        <v>2</v>
      </c>
      <c r="F21156" s="515" t="s">
        <v>22325</v>
      </c>
      <c r="G21156" s="52">
        <v>127530.193304808</v>
      </c>
      <c r="H21156" s="56">
        <v>3.853806319293103E-2</v>
      </c>
      <c r="I21156" s="224" t="s">
        <v>2</v>
      </c>
    </row>
    <row r="21157" spans="1:9" x14ac:dyDescent="0.25">
      <c r="A21157" s="515">
        <v>95462</v>
      </c>
      <c r="B21157" s="515" t="s">
        <v>331</v>
      </c>
      <c r="C21157" s="52">
        <v>556316.25362497696</v>
      </c>
      <c r="D21157" s="56">
        <v>-2.814482969450497E-3</v>
      </c>
      <c r="E21157" s="224" t="s">
        <v>2</v>
      </c>
      <c r="F21157" s="515" t="s">
        <v>22326</v>
      </c>
      <c r="G21157" s="52">
        <v>515940.82968454802</v>
      </c>
      <c r="H21157" s="56">
        <v>5.3641490429476621E-2</v>
      </c>
      <c r="I21157" s="224" t="s">
        <v>2</v>
      </c>
    </row>
    <row r="21158" spans="1:9" x14ac:dyDescent="0.25">
      <c r="A21158" s="515">
        <v>49262</v>
      </c>
      <c r="B21158" s="515" t="s">
        <v>971</v>
      </c>
      <c r="C21158" s="52">
        <v>149514.12573206</v>
      </c>
      <c r="D21158" s="56">
        <v>4.3987576011767053E-2</v>
      </c>
      <c r="E21158" s="224" t="s">
        <v>2</v>
      </c>
      <c r="F21158" s="515" t="s">
        <v>22327</v>
      </c>
      <c r="G21158" s="52">
        <v>215731.351155796</v>
      </c>
      <c r="H21158" s="56">
        <v>6.3789280268882503E-2</v>
      </c>
      <c r="I21158" s="224" t="s">
        <v>2</v>
      </c>
    </row>
    <row r="21159" spans="1:9" x14ac:dyDescent="0.25">
      <c r="A21159" s="515">
        <v>45836</v>
      </c>
      <c r="C21159" s="52">
        <v>133608.23334897499</v>
      </c>
      <c r="D21159" s="56">
        <v>6.5612731758520726E-2</v>
      </c>
      <c r="E21159" s="224" t="s">
        <v>2</v>
      </c>
      <c r="F21159" s="515" t="s">
        <v>22328</v>
      </c>
      <c r="G21159" s="52">
        <v>208431.450201439</v>
      </c>
      <c r="H21159" s="56">
        <v>7.6820023885386321E-2</v>
      </c>
      <c r="I21159" s="224" t="s">
        <v>2</v>
      </c>
    </row>
    <row r="21160" spans="1:9" x14ac:dyDescent="0.25">
      <c r="A21160" s="515">
        <v>37356</v>
      </c>
      <c r="B21160" s="515" t="s">
        <v>622</v>
      </c>
      <c r="C21160" s="52">
        <v>322431.050616753</v>
      </c>
      <c r="D21160" s="56">
        <v>0.10054871011142776</v>
      </c>
      <c r="E21160" s="224" t="s">
        <v>2</v>
      </c>
      <c r="F21160" s="515" t="s">
        <v>22329</v>
      </c>
      <c r="G21160" s="52">
        <v>282031.52393191599</v>
      </c>
      <c r="H21160" s="56">
        <v>0</v>
      </c>
      <c r="I21160" s="224" t="s">
        <v>2</v>
      </c>
    </row>
    <row r="21161" spans="1:9" x14ac:dyDescent="0.25">
      <c r="A21161" s="515">
        <v>75932</v>
      </c>
      <c r="C21161" s="52">
        <v>203814.40031212699</v>
      </c>
      <c r="D21161" s="56">
        <v>8.0879023548161177E-2</v>
      </c>
      <c r="E21161" s="224" t="s">
        <v>2</v>
      </c>
      <c r="F21161" s="515" t="s">
        <v>22330</v>
      </c>
      <c r="G21161" s="52">
        <v>207548.24545811399</v>
      </c>
      <c r="H21161" s="56">
        <v>0</v>
      </c>
      <c r="I21161" s="224" t="s">
        <v>2</v>
      </c>
    </row>
    <row r="21162" spans="1:9" x14ac:dyDescent="0.25">
      <c r="A21162" s="515">
        <v>24069</v>
      </c>
      <c r="B21162" s="515" t="s">
        <v>901</v>
      </c>
      <c r="C21162" s="52">
        <v>119596.46115608601</v>
      </c>
      <c r="D21162" s="56">
        <v>0.17797497549808208</v>
      </c>
      <c r="E21162" s="224" t="s">
        <v>2</v>
      </c>
      <c r="F21162" s="515" t="s">
        <v>22331</v>
      </c>
      <c r="G21162" s="52">
        <v>312789.47407419601</v>
      </c>
      <c r="H21162" s="56">
        <v>2.093830632271404E-2</v>
      </c>
      <c r="I21162" s="224" t="s">
        <v>2</v>
      </c>
    </row>
    <row r="21163" spans="1:9" x14ac:dyDescent="0.25">
      <c r="A21163" s="515">
        <v>13807</v>
      </c>
      <c r="B21163" s="515" t="s">
        <v>460</v>
      </c>
      <c r="C21163" s="52">
        <v>222713.15344382799</v>
      </c>
      <c r="D21163" s="56">
        <v>0.14714536465828432</v>
      </c>
      <c r="E21163" s="224" t="s">
        <v>2</v>
      </c>
      <c r="F21163" s="515" t="s">
        <v>22332</v>
      </c>
      <c r="G21163" s="52">
        <v>236106.40328618101</v>
      </c>
      <c r="H21163" s="56">
        <v>0.2127617920351533</v>
      </c>
      <c r="I21163" s="224" t="s">
        <v>2</v>
      </c>
    </row>
    <row r="21164" spans="1:9" x14ac:dyDescent="0.25">
      <c r="A21164" s="515">
        <v>89439</v>
      </c>
      <c r="B21164" s="515" t="s">
        <v>581</v>
      </c>
      <c r="C21164" s="52">
        <v>740000.15112061799</v>
      </c>
      <c r="D21164" s="56">
        <v>7.1324986917146865E-3</v>
      </c>
      <c r="E21164" s="224" t="s">
        <v>2</v>
      </c>
      <c r="F21164" s="515" t="s">
        <v>22333</v>
      </c>
      <c r="G21164" s="52">
        <v>93102.574074074</v>
      </c>
      <c r="H21164" s="56">
        <v>0</v>
      </c>
      <c r="I21164" s="224" t="s">
        <v>2</v>
      </c>
    </row>
    <row r="21165" spans="1:9" x14ac:dyDescent="0.25">
      <c r="A21165" s="515">
        <v>54748</v>
      </c>
      <c r="B21165" s="515" t="s">
        <v>1028</v>
      </c>
      <c r="C21165" s="52">
        <v>263354.24662573502</v>
      </c>
      <c r="D21165" s="56">
        <v>5.888115809816178E-2</v>
      </c>
      <c r="E21165" s="224" t="s">
        <v>2</v>
      </c>
      <c r="F21165" s="515" t="s">
        <v>22334</v>
      </c>
      <c r="G21165" s="52">
        <v>103598.065089189</v>
      </c>
      <c r="H21165" s="56">
        <v>0</v>
      </c>
      <c r="I21165" s="224" t="s">
        <v>2</v>
      </c>
    </row>
    <row r="21166" spans="1:9" x14ac:dyDescent="0.25">
      <c r="A21166" s="515">
        <v>4292</v>
      </c>
      <c r="C21166" s="52">
        <v>211175.69325903099</v>
      </c>
      <c r="D21166" s="56">
        <v>4.6321745222702493E-2</v>
      </c>
      <c r="E21166" s="224" t="s">
        <v>2</v>
      </c>
      <c r="F21166" s="515" t="s">
        <v>22335</v>
      </c>
      <c r="G21166" s="52">
        <v>212935.776741618</v>
      </c>
      <c r="H21166" s="56">
        <v>0.16338692983162192</v>
      </c>
      <c r="I21166" s="224" t="s">
        <v>2</v>
      </c>
    </row>
    <row r="21167" spans="1:9" x14ac:dyDescent="0.25">
      <c r="A21167" s="515">
        <v>59063</v>
      </c>
      <c r="B21167" s="515" t="s">
        <v>637</v>
      </c>
      <c r="C21167" s="52">
        <v>463049.55748822598</v>
      </c>
      <c r="D21167" s="56">
        <v>4.9322244655328147E-2</v>
      </c>
      <c r="E21167" s="224" t="s">
        <v>2</v>
      </c>
      <c r="F21167" s="515" t="s">
        <v>22336</v>
      </c>
      <c r="G21167" s="52">
        <v>105731.071767385</v>
      </c>
      <c r="H21167" s="56">
        <v>5.6738491473592778E-2</v>
      </c>
      <c r="I21167" s="224" t="s">
        <v>2</v>
      </c>
    </row>
    <row r="21168" spans="1:9" x14ac:dyDescent="0.25">
      <c r="A21168" s="515">
        <v>96096</v>
      </c>
      <c r="B21168" s="515" t="s">
        <v>514</v>
      </c>
      <c r="C21168" s="52">
        <v>398012.426975818</v>
      </c>
      <c r="D21168" s="56">
        <v>-3.5116387601584358E-2</v>
      </c>
      <c r="E21168" s="224" t="s">
        <v>2</v>
      </c>
      <c r="F21168" s="515" t="s">
        <v>22337</v>
      </c>
      <c r="G21168" s="52">
        <v>111025.099777102</v>
      </c>
      <c r="H21168" s="56">
        <v>1.3211455638179713E-2</v>
      </c>
      <c r="I21168" s="224" t="s">
        <v>2</v>
      </c>
    </row>
    <row r="21169" spans="1:9" x14ac:dyDescent="0.25">
      <c r="A21169" s="515">
        <v>62957</v>
      </c>
      <c r="B21169" s="515" t="s">
        <v>424</v>
      </c>
      <c r="C21169" s="52">
        <v>52924.330446606298</v>
      </c>
      <c r="D21169" s="56">
        <v>-9.5884752061881406E-2</v>
      </c>
      <c r="E21169" s="224" t="s">
        <v>2</v>
      </c>
      <c r="F21169" s="515" t="s">
        <v>22338</v>
      </c>
      <c r="G21169" s="52">
        <v>112884.89360384599</v>
      </c>
      <c r="H21169" s="56">
        <v>1.2618130262306054E-2</v>
      </c>
      <c r="I21169" s="224" t="s">
        <v>2</v>
      </c>
    </row>
    <row r="21170" spans="1:9" x14ac:dyDescent="0.25">
      <c r="A21170" s="515">
        <v>83255</v>
      </c>
      <c r="B21170" s="515" t="s">
        <v>409</v>
      </c>
      <c r="C21170" s="52">
        <v>330278.29001267097</v>
      </c>
      <c r="D21170" s="56">
        <v>5.6401349506167098E-2</v>
      </c>
      <c r="E21170" s="224" t="s">
        <v>2</v>
      </c>
      <c r="F21170" s="515" t="s">
        <v>22339</v>
      </c>
      <c r="G21170" s="52">
        <v>93062.615634054106</v>
      </c>
      <c r="H21170" s="56">
        <v>0</v>
      </c>
      <c r="I21170" s="224" t="s">
        <v>2</v>
      </c>
    </row>
    <row r="21171" spans="1:9" x14ac:dyDescent="0.25">
      <c r="A21171" s="515">
        <v>26447</v>
      </c>
      <c r="C21171" s="52">
        <v>137068.98927570399</v>
      </c>
      <c r="D21171" s="56">
        <v>7.0938361281235388E-2</v>
      </c>
      <c r="E21171" s="224" t="s">
        <v>2</v>
      </c>
      <c r="F21171" s="515" t="s">
        <v>22340</v>
      </c>
      <c r="G21171" s="52">
        <v>272763.72660165001</v>
      </c>
      <c r="H21171" s="56">
        <v>9.6740617990452235E-2</v>
      </c>
      <c r="I21171" s="224" t="s">
        <v>2</v>
      </c>
    </row>
    <row r="21172" spans="1:9" x14ac:dyDescent="0.25">
      <c r="A21172" s="515">
        <v>26269</v>
      </c>
      <c r="C21172" s="52">
        <v>137513.543359612</v>
      </c>
      <c r="D21172" s="56">
        <v>8.5121904012230701E-2</v>
      </c>
      <c r="E21172" s="224" t="s">
        <v>2</v>
      </c>
      <c r="F21172" s="515" t="s">
        <v>22341</v>
      </c>
      <c r="G21172" s="52">
        <v>146551.53708635501</v>
      </c>
      <c r="H21172" s="56">
        <v>8.2161520018395356E-2</v>
      </c>
      <c r="I21172" s="224" t="s">
        <v>2</v>
      </c>
    </row>
    <row r="21173" spans="1:9" x14ac:dyDescent="0.25">
      <c r="A21173" s="515">
        <v>54652</v>
      </c>
      <c r="C21173" s="52">
        <v>125675.37218864499</v>
      </c>
      <c r="D21173" s="56">
        <v>5.5324783165802006E-2</v>
      </c>
      <c r="E21173" s="224" t="s">
        <v>2</v>
      </c>
      <c r="F21173" s="515" t="s">
        <v>22342</v>
      </c>
      <c r="G21173" s="52">
        <v>360458.53482961701</v>
      </c>
      <c r="H21173" s="56">
        <v>5.3123569868222184E-2</v>
      </c>
      <c r="I21173" s="224" t="s">
        <v>2</v>
      </c>
    </row>
    <row r="21174" spans="1:9" x14ac:dyDescent="0.25">
      <c r="A21174" s="515">
        <v>77444</v>
      </c>
      <c r="B21174" s="515" t="s">
        <v>314</v>
      </c>
      <c r="C21174" s="52">
        <v>241766.49581858501</v>
      </c>
      <c r="D21174" s="56">
        <v>5.9814829847021529E-2</v>
      </c>
      <c r="E21174" s="224" t="s">
        <v>2</v>
      </c>
      <c r="F21174" s="515" t="s">
        <v>22343</v>
      </c>
      <c r="G21174" s="52">
        <v>107162.228623102</v>
      </c>
      <c r="H21174" s="56">
        <v>0.17357255744117692</v>
      </c>
      <c r="I21174" s="224" t="s">
        <v>2</v>
      </c>
    </row>
    <row r="21175" spans="1:9" x14ac:dyDescent="0.25">
      <c r="A21175" s="515">
        <v>82649</v>
      </c>
      <c r="B21175" s="515" t="s">
        <v>308</v>
      </c>
      <c r="C21175" s="52">
        <v>179252.67892741499</v>
      </c>
      <c r="D21175" s="56">
        <v>5.235631321352293E-2</v>
      </c>
      <c r="E21175" s="224" t="s">
        <v>2</v>
      </c>
      <c r="F21175" s="515" t="s">
        <v>22344</v>
      </c>
      <c r="G21175" s="52">
        <v>170179.65595658799</v>
      </c>
      <c r="H21175" s="56">
        <v>0.13431278536691249</v>
      </c>
      <c r="I21175" s="224" t="s">
        <v>2</v>
      </c>
    </row>
    <row r="21176" spans="1:9" x14ac:dyDescent="0.25">
      <c r="A21176" s="515">
        <v>29434</v>
      </c>
      <c r="B21176" s="515" t="s">
        <v>1009</v>
      </c>
      <c r="C21176" s="52">
        <v>250810.51428571399</v>
      </c>
      <c r="D21176" s="56">
        <v>0</v>
      </c>
      <c r="E21176" s="224" t="s">
        <v>2</v>
      </c>
      <c r="F21176" s="515" t="s">
        <v>22345</v>
      </c>
      <c r="G21176" s="52">
        <v>169873.36532820901</v>
      </c>
      <c r="H21176" s="56">
        <v>0</v>
      </c>
      <c r="I21176" s="224" t="s">
        <v>2</v>
      </c>
    </row>
    <row r="21177" spans="1:9" x14ac:dyDescent="0.25">
      <c r="A21177" s="515">
        <v>54864</v>
      </c>
      <c r="B21177" s="515" t="s">
        <v>350</v>
      </c>
      <c r="C21177" s="52">
        <v>229081.55223147399</v>
      </c>
      <c r="D21177" s="56">
        <v>2.8248764305158009E-2</v>
      </c>
      <c r="E21177" s="224" t="s">
        <v>2</v>
      </c>
      <c r="F21177" s="515" t="s">
        <v>22346</v>
      </c>
      <c r="G21177" s="52">
        <v>77173.560153002705</v>
      </c>
      <c r="H21177" s="56">
        <v>0.12288700888530636</v>
      </c>
      <c r="I21177" s="224" t="s">
        <v>2</v>
      </c>
    </row>
    <row r="21178" spans="1:9" x14ac:dyDescent="0.25">
      <c r="A21178" s="515">
        <v>84730</v>
      </c>
      <c r="C21178" s="52">
        <v>325930.79451835598</v>
      </c>
      <c r="D21178" s="56">
        <v>0</v>
      </c>
      <c r="E21178" s="224" t="s">
        <v>2</v>
      </c>
      <c r="F21178" s="515" t="s">
        <v>22347</v>
      </c>
      <c r="G21178" s="52">
        <v>187279.155844155</v>
      </c>
      <c r="H21178" s="56">
        <v>0</v>
      </c>
      <c r="I21178" s="224" t="s">
        <v>2</v>
      </c>
    </row>
    <row r="21179" spans="1:9" x14ac:dyDescent="0.25">
      <c r="A21179" s="515">
        <v>54626</v>
      </c>
      <c r="C21179" s="52">
        <v>171082.351138433</v>
      </c>
      <c r="D21179" s="56">
        <v>8.0938266358917516E-2</v>
      </c>
      <c r="E21179" s="224" t="s">
        <v>2</v>
      </c>
      <c r="F21179" s="515" t="s">
        <v>22348</v>
      </c>
      <c r="G21179" s="52">
        <v>199529</v>
      </c>
      <c r="H21179" s="56">
        <v>0</v>
      </c>
      <c r="I21179" s="224" t="s">
        <v>2</v>
      </c>
    </row>
    <row r="21180" spans="1:9" x14ac:dyDescent="0.25">
      <c r="A21180" s="515">
        <v>56314</v>
      </c>
      <c r="C21180" s="52">
        <v>288934.20622815198</v>
      </c>
      <c r="D21180" s="56">
        <v>0.15178637853728119</v>
      </c>
      <c r="E21180" s="224" t="s">
        <v>2</v>
      </c>
      <c r="F21180" s="515" t="s">
        <v>22349</v>
      </c>
      <c r="G21180" s="52">
        <v>96101.4638691687</v>
      </c>
      <c r="H21180" s="56">
        <v>0</v>
      </c>
      <c r="I21180" s="224" t="s">
        <v>2</v>
      </c>
    </row>
    <row r="21181" spans="1:9" x14ac:dyDescent="0.25">
      <c r="A21181" s="515">
        <v>23043</v>
      </c>
      <c r="C21181" s="52">
        <v>408974.438140866</v>
      </c>
      <c r="D21181" s="56">
        <v>3.3663671542737902E-2</v>
      </c>
      <c r="E21181" s="224" t="s">
        <v>2</v>
      </c>
      <c r="F21181" s="515" t="s">
        <v>22350</v>
      </c>
      <c r="G21181" s="52">
        <v>159868.18526746001</v>
      </c>
      <c r="H21181" s="56">
        <v>0.1669632934925375</v>
      </c>
      <c r="I21181" s="224" t="s">
        <v>2</v>
      </c>
    </row>
    <row r="21182" spans="1:9" x14ac:dyDescent="0.25">
      <c r="A21182" s="515">
        <v>98547</v>
      </c>
      <c r="C21182" s="52">
        <v>251807.44685827501</v>
      </c>
      <c r="D21182" s="56">
        <v>4.1574198770961246E-2</v>
      </c>
      <c r="E21182" s="224" t="s">
        <v>2</v>
      </c>
      <c r="F21182" s="515" t="s">
        <v>22351</v>
      </c>
      <c r="G21182" s="52">
        <v>200984.20869881101</v>
      </c>
      <c r="H21182" s="56">
        <v>0.11941368648874529</v>
      </c>
      <c r="I21182" s="224" t="s">
        <v>2</v>
      </c>
    </row>
    <row r="21183" spans="1:9" x14ac:dyDescent="0.25">
      <c r="A21183" s="515">
        <v>57334</v>
      </c>
      <c r="B21183" s="515" t="s">
        <v>890</v>
      </c>
      <c r="C21183" s="52">
        <v>241928.45455212999</v>
      </c>
      <c r="D21183" s="56">
        <v>8.5879174074105405E-2</v>
      </c>
      <c r="E21183" s="224" t="s">
        <v>2</v>
      </c>
      <c r="F21183" s="515" t="s">
        <v>22352</v>
      </c>
      <c r="G21183" s="52">
        <v>306707.87074829399</v>
      </c>
      <c r="H21183" s="56">
        <v>0.1738811047833356</v>
      </c>
      <c r="I21183" s="224" t="s">
        <v>2</v>
      </c>
    </row>
    <row r="21184" spans="1:9" x14ac:dyDescent="0.25">
      <c r="A21184" s="515">
        <v>71256</v>
      </c>
      <c r="B21184" s="515" t="s">
        <v>695</v>
      </c>
      <c r="C21184" s="52">
        <v>69065.258051090103</v>
      </c>
      <c r="D21184" s="56">
        <v>0.13311271519234358</v>
      </c>
      <c r="E21184" s="224" t="s">
        <v>2</v>
      </c>
      <c r="F21184" s="515" t="s">
        <v>22353</v>
      </c>
      <c r="G21184" s="52">
        <v>264153.25507430901</v>
      </c>
      <c r="H21184" s="56">
        <v>0.11358986374958729</v>
      </c>
      <c r="I21184" s="224" t="s">
        <v>2</v>
      </c>
    </row>
    <row r="21185" spans="1:9" x14ac:dyDescent="0.25">
      <c r="A21185" s="515">
        <v>64096</v>
      </c>
      <c r="B21185" s="515" t="s">
        <v>455</v>
      </c>
      <c r="C21185" s="52">
        <v>153575.346520586</v>
      </c>
      <c r="D21185" s="56">
        <v>4.150648890558728E-2</v>
      </c>
      <c r="E21185" s="224" t="s">
        <v>2</v>
      </c>
      <c r="F21185" s="515" t="s">
        <v>22354</v>
      </c>
      <c r="G21185" s="52">
        <v>126302.296509883</v>
      </c>
      <c r="H21185" s="56">
        <v>0.11799005673310094</v>
      </c>
      <c r="I21185" s="224" t="s">
        <v>2</v>
      </c>
    </row>
    <row r="21186" spans="1:9" x14ac:dyDescent="0.25">
      <c r="A21186" s="515">
        <v>12474</v>
      </c>
      <c r="C21186" s="52">
        <v>281309.80206300801</v>
      </c>
      <c r="D21186" s="56">
        <v>0.14485656935082289</v>
      </c>
      <c r="E21186" s="224" t="s">
        <v>2</v>
      </c>
      <c r="F21186" s="515" t="s">
        <v>22355</v>
      </c>
      <c r="G21186" s="52">
        <v>389280.351648351</v>
      </c>
      <c r="H21186" s="56">
        <v>0</v>
      </c>
      <c r="I21186" s="224" t="s">
        <v>2</v>
      </c>
    </row>
    <row r="21187" spans="1:9" x14ac:dyDescent="0.25">
      <c r="A21187" s="515">
        <v>76454</v>
      </c>
      <c r="C21187" s="52">
        <v>125531.078216706</v>
      </c>
      <c r="D21187" s="56">
        <v>0</v>
      </c>
      <c r="E21187" s="224" t="s">
        <v>2</v>
      </c>
      <c r="F21187" s="515" t="s">
        <v>22356</v>
      </c>
      <c r="G21187" s="52">
        <v>248450.17647058799</v>
      </c>
      <c r="H21187" s="56">
        <v>0</v>
      </c>
      <c r="I21187" s="224" t="s">
        <v>2</v>
      </c>
    </row>
    <row r="21188" spans="1:9" x14ac:dyDescent="0.25">
      <c r="A21188" s="515">
        <v>24484</v>
      </c>
      <c r="C21188" s="52">
        <v>196624.511695897</v>
      </c>
      <c r="D21188" s="56">
        <v>6.2513947974443998E-2</v>
      </c>
      <c r="E21188" s="224" t="s">
        <v>2</v>
      </c>
      <c r="F21188" s="515" t="s">
        <v>22357</v>
      </c>
      <c r="G21188" s="52">
        <v>167662.862752174</v>
      </c>
      <c r="H21188" s="56">
        <v>4.9632703719358864E-2</v>
      </c>
      <c r="I21188" s="224" t="s">
        <v>2</v>
      </c>
    </row>
    <row r="21189" spans="1:9" x14ac:dyDescent="0.25">
      <c r="A21189" s="515">
        <v>83554</v>
      </c>
      <c r="C21189" s="52">
        <v>473993.84201688197</v>
      </c>
      <c r="D21189" s="56">
        <v>0.12190238516335805</v>
      </c>
      <c r="E21189" s="224" t="s">
        <v>2</v>
      </c>
      <c r="F21189" s="515" t="s">
        <v>22358</v>
      </c>
      <c r="G21189" s="52">
        <v>222754.34531030199</v>
      </c>
      <c r="H21189" s="56">
        <v>0.11655533104387414</v>
      </c>
      <c r="I21189" s="224" t="s">
        <v>2</v>
      </c>
    </row>
    <row r="21190" spans="1:9" x14ac:dyDescent="0.25">
      <c r="A21190" s="515">
        <v>55710</v>
      </c>
      <c r="B21190" s="515" t="s">
        <v>350</v>
      </c>
      <c r="C21190" s="52">
        <v>238708.995789479</v>
      </c>
      <c r="D21190" s="56">
        <v>6.6416432889218988E-2</v>
      </c>
      <c r="E21190" s="224" t="s">
        <v>2</v>
      </c>
      <c r="F21190" s="515" t="s">
        <v>22359</v>
      </c>
      <c r="G21190" s="52">
        <v>361798.215245953</v>
      </c>
      <c r="H21190" s="56">
        <v>0.16493485318633452</v>
      </c>
      <c r="I21190" s="224" t="s">
        <v>2</v>
      </c>
    </row>
    <row r="21191" spans="1:9" x14ac:dyDescent="0.25">
      <c r="A21191" s="515">
        <v>39323</v>
      </c>
      <c r="C21191" s="52">
        <v>128989.91186314001</v>
      </c>
      <c r="D21191" s="56">
        <v>-3.3583445758056024E-2</v>
      </c>
      <c r="E21191" s="224" t="s">
        <v>2</v>
      </c>
      <c r="F21191" s="515" t="s">
        <v>22360</v>
      </c>
      <c r="G21191" s="52">
        <v>89681.342771358206</v>
      </c>
      <c r="H21191" s="56">
        <v>0.12415887893409673</v>
      </c>
      <c r="I21191" s="224" t="s">
        <v>2</v>
      </c>
    </row>
    <row r="21192" spans="1:9" x14ac:dyDescent="0.25">
      <c r="A21192" s="515">
        <v>5734</v>
      </c>
      <c r="C21192" s="52">
        <v>333764.882950917</v>
      </c>
      <c r="D21192" s="56">
        <v>6.2608182177603861E-2</v>
      </c>
      <c r="E21192" s="224" t="s">
        <v>2</v>
      </c>
      <c r="F21192" s="515" t="s">
        <v>22361</v>
      </c>
      <c r="G21192" s="52">
        <v>332078.391935647</v>
      </c>
      <c r="H21192" s="56">
        <v>1.3120992330385705E-2</v>
      </c>
      <c r="I21192" s="224" t="s">
        <v>2</v>
      </c>
    </row>
    <row r="21193" spans="1:9" x14ac:dyDescent="0.25">
      <c r="A21193" s="515">
        <v>5473</v>
      </c>
      <c r="C21193" s="52">
        <v>418029.13370126602</v>
      </c>
      <c r="D21193" s="56">
        <v>8.8618009760080149E-2</v>
      </c>
      <c r="E21193" s="224" t="s">
        <v>2</v>
      </c>
      <c r="F21193" s="515" t="s">
        <v>22362</v>
      </c>
      <c r="G21193" s="52">
        <v>141349.21128167899</v>
      </c>
      <c r="H21193" s="56">
        <v>0</v>
      </c>
      <c r="I21193" s="224" t="s">
        <v>2</v>
      </c>
    </row>
    <row r="21194" spans="1:9" x14ac:dyDescent="0.25">
      <c r="A21194" s="515">
        <v>80652</v>
      </c>
      <c r="B21194" s="515" t="s">
        <v>382</v>
      </c>
      <c r="C21194" s="52">
        <v>545159.660560027</v>
      </c>
      <c r="D21194" s="56">
        <v>5.1178102508895165E-2</v>
      </c>
      <c r="E21194" s="224" t="s">
        <v>2</v>
      </c>
      <c r="F21194" s="515" t="s">
        <v>22363</v>
      </c>
      <c r="G21194" s="52">
        <v>191400.53731772499</v>
      </c>
      <c r="H21194" s="56">
        <v>5.8659846763391296E-2</v>
      </c>
      <c r="I21194" s="224" t="s">
        <v>2</v>
      </c>
    </row>
    <row r="21195" spans="1:9" x14ac:dyDescent="0.25">
      <c r="A21195" s="515">
        <v>13348</v>
      </c>
      <c r="B21195" s="515" t="s">
        <v>460</v>
      </c>
      <c r="C21195" s="52">
        <v>216145.78340702801</v>
      </c>
      <c r="D21195" s="56">
        <v>7.918935258344427E-2</v>
      </c>
      <c r="E21195" s="224" t="s">
        <v>2</v>
      </c>
      <c r="F21195" s="515" t="s">
        <v>22364</v>
      </c>
      <c r="G21195" s="52">
        <v>440992.68518518499</v>
      </c>
      <c r="H21195" s="56">
        <v>0</v>
      </c>
      <c r="I21195" s="224" t="s">
        <v>2</v>
      </c>
    </row>
    <row r="21196" spans="1:9" x14ac:dyDescent="0.25">
      <c r="A21196" s="515">
        <v>24250</v>
      </c>
      <c r="B21196" s="515" t="s">
        <v>902</v>
      </c>
      <c r="C21196" s="52">
        <v>126678.300761362</v>
      </c>
      <c r="D21196" s="56">
        <v>0.16669213659062856</v>
      </c>
      <c r="E21196" s="224" t="s">
        <v>2</v>
      </c>
      <c r="F21196" s="515" t="s">
        <v>22365</v>
      </c>
      <c r="G21196" s="52">
        <v>52140.028350632398</v>
      </c>
      <c r="H21196" s="56">
        <v>0</v>
      </c>
      <c r="I21196" s="224" t="s">
        <v>2</v>
      </c>
    </row>
    <row r="21197" spans="1:9" x14ac:dyDescent="0.25">
      <c r="A21197" s="515">
        <v>60924</v>
      </c>
      <c r="C21197" s="52">
        <v>128180.39799108201</v>
      </c>
      <c r="D21197" s="56">
        <v>0.10974836609510813</v>
      </c>
      <c r="E21197" s="224" t="s">
        <v>2</v>
      </c>
      <c r="F21197" s="515" t="s">
        <v>22366</v>
      </c>
      <c r="G21197" s="52">
        <v>222436.76168091001</v>
      </c>
      <c r="H21197" s="56">
        <v>6.1003744022074979E-2</v>
      </c>
      <c r="I21197" s="224" t="s">
        <v>2</v>
      </c>
    </row>
    <row r="21198" spans="1:9" x14ac:dyDescent="0.25">
      <c r="A21198" s="515">
        <v>12967</v>
      </c>
      <c r="B21198" s="515" t="s">
        <v>511</v>
      </c>
      <c r="C21198" s="52">
        <v>105302.407938932</v>
      </c>
      <c r="D21198" s="56">
        <v>2.5780590391341358E-2</v>
      </c>
      <c r="E21198" s="224" t="s">
        <v>2</v>
      </c>
      <c r="F21198" s="515" t="s">
        <v>22367</v>
      </c>
      <c r="G21198" s="52">
        <v>120183.8</v>
      </c>
      <c r="H21198" s="56">
        <v>0</v>
      </c>
      <c r="I21198" s="224" t="s">
        <v>2</v>
      </c>
    </row>
    <row r="21199" spans="1:9" x14ac:dyDescent="0.25">
      <c r="A21199" s="515">
        <v>54876</v>
      </c>
      <c r="C21199" s="52">
        <v>419884.39683022897</v>
      </c>
      <c r="D21199" s="56">
        <v>0.12160389588569626</v>
      </c>
      <c r="E21199" s="224" t="s">
        <v>2</v>
      </c>
      <c r="F21199" s="515" t="s">
        <v>22368</v>
      </c>
      <c r="G21199" s="52">
        <v>223243.37711130799</v>
      </c>
      <c r="H21199" s="56">
        <v>0</v>
      </c>
      <c r="I21199" s="224" t="s">
        <v>2</v>
      </c>
    </row>
    <row r="21200" spans="1:9" x14ac:dyDescent="0.25">
      <c r="A21200" s="515">
        <v>83803</v>
      </c>
      <c r="B21200" s="515" t="s">
        <v>623</v>
      </c>
      <c r="C21200" s="52">
        <v>418757.34300676797</v>
      </c>
      <c r="D21200" s="56">
        <v>3.9979200971705944E-2</v>
      </c>
      <c r="E21200" s="224" t="s">
        <v>2</v>
      </c>
      <c r="F21200" s="515" t="s">
        <v>22369</v>
      </c>
      <c r="G21200" s="52">
        <v>393799.127445561</v>
      </c>
      <c r="H21200" s="56">
        <v>0.165151240429356</v>
      </c>
      <c r="I21200" s="224" t="s">
        <v>2</v>
      </c>
    </row>
    <row r="21201" spans="1:9" x14ac:dyDescent="0.25">
      <c r="A21201" s="515">
        <v>31007</v>
      </c>
      <c r="C21201" s="52">
        <v>86443.781817725394</v>
      </c>
      <c r="D21201" s="56">
        <v>0</v>
      </c>
      <c r="E21201" s="224" t="s">
        <v>2</v>
      </c>
      <c r="F21201" s="515" t="s">
        <v>22370</v>
      </c>
      <c r="G21201" s="52">
        <v>1455333.5964912199</v>
      </c>
      <c r="H21201" s="56">
        <v>0</v>
      </c>
      <c r="I21201" s="224" t="s">
        <v>2</v>
      </c>
    </row>
    <row r="21202" spans="1:9" x14ac:dyDescent="0.25">
      <c r="A21202" s="515">
        <v>72087</v>
      </c>
      <c r="B21202" s="515" t="s">
        <v>393</v>
      </c>
      <c r="C21202" s="52">
        <v>202044.321423007</v>
      </c>
      <c r="D21202" s="56">
        <v>6.9804450430799067E-2</v>
      </c>
      <c r="E21202" s="224" t="s">
        <v>2</v>
      </c>
      <c r="F21202" s="515" t="s">
        <v>22371</v>
      </c>
      <c r="G21202" s="52">
        <v>34608.294590364203</v>
      </c>
      <c r="H21202" s="56">
        <v>-0.10952110150886991</v>
      </c>
      <c r="I21202" s="224" t="s">
        <v>2</v>
      </c>
    </row>
    <row r="21203" spans="1:9" x14ac:dyDescent="0.25">
      <c r="A21203" s="515">
        <v>95629</v>
      </c>
      <c r="C21203" s="52">
        <v>462020.21894334001</v>
      </c>
      <c r="D21203" s="56">
        <v>-1.6797416697780669E-2</v>
      </c>
      <c r="E21203" s="224" t="s">
        <v>2</v>
      </c>
      <c r="F21203" s="515" t="s">
        <v>22372</v>
      </c>
      <c r="G21203" s="52">
        <v>38949.064593461801</v>
      </c>
      <c r="H21203" s="56">
        <v>-0.10210534024302745</v>
      </c>
      <c r="I21203" s="224" t="s">
        <v>2</v>
      </c>
    </row>
    <row r="21204" spans="1:9" x14ac:dyDescent="0.25">
      <c r="A21204" s="515">
        <v>64125</v>
      </c>
      <c r="B21204" s="515" t="s">
        <v>455</v>
      </c>
      <c r="C21204" s="52">
        <v>82268.224591411694</v>
      </c>
      <c r="D21204" s="56">
        <v>0.25556096482250895</v>
      </c>
      <c r="E21204" s="224" t="s">
        <v>2</v>
      </c>
      <c r="F21204" s="515" t="s">
        <v>22373</v>
      </c>
      <c r="G21204" s="52">
        <v>218955.72916666599</v>
      </c>
      <c r="H21204" s="56">
        <v>0</v>
      </c>
      <c r="I21204" s="224" t="s">
        <v>2</v>
      </c>
    </row>
    <row r="21205" spans="1:9" x14ac:dyDescent="0.25">
      <c r="A21205" s="515">
        <v>66753</v>
      </c>
      <c r="B21205" s="515" t="s">
        <v>669</v>
      </c>
      <c r="C21205" s="52">
        <v>122844.514957023</v>
      </c>
      <c r="D21205" s="56">
        <v>0.19919688835124816</v>
      </c>
      <c r="E21205" s="224" t="s">
        <v>2</v>
      </c>
      <c r="F21205" s="515" t="s">
        <v>22374</v>
      </c>
      <c r="G21205" s="52">
        <v>81806.922128467195</v>
      </c>
      <c r="H21205" s="56">
        <v>7.5327699618604971E-2</v>
      </c>
      <c r="I21205" s="224" t="s">
        <v>2</v>
      </c>
    </row>
    <row r="21206" spans="1:9" x14ac:dyDescent="0.25">
      <c r="A21206" s="515">
        <v>26755</v>
      </c>
      <c r="B21206" s="515" t="s">
        <v>629</v>
      </c>
      <c r="C21206" s="52">
        <v>216561.217026422</v>
      </c>
      <c r="D21206" s="56">
        <v>0.16048550241212015</v>
      </c>
      <c r="E21206" s="224" t="s">
        <v>2</v>
      </c>
      <c r="F21206" s="515" t="s">
        <v>22375</v>
      </c>
      <c r="G21206" s="52">
        <v>314029.05182545201</v>
      </c>
      <c r="H21206" s="56">
        <v>5.5224056546843432E-2</v>
      </c>
      <c r="I21206" s="224" t="s">
        <v>2</v>
      </c>
    </row>
    <row r="21207" spans="1:9" x14ac:dyDescent="0.25">
      <c r="A21207" s="515">
        <v>65348</v>
      </c>
      <c r="B21207" s="515" t="s">
        <v>785</v>
      </c>
      <c r="C21207" s="52">
        <v>159508.440366972</v>
      </c>
      <c r="D21207" s="56">
        <v>0</v>
      </c>
      <c r="E21207" s="224" t="s">
        <v>2</v>
      </c>
      <c r="F21207" s="515" t="s">
        <v>22376</v>
      </c>
      <c r="G21207" s="52">
        <v>105870</v>
      </c>
      <c r="H21207" s="56">
        <v>0</v>
      </c>
      <c r="I21207" s="224" t="s">
        <v>2</v>
      </c>
    </row>
    <row r="21208" spans="1:9" x14ac:dyDescent="0.25">
      <c r="A21208" s="515">
        <v>53057</v>
      </c>
      <c r="B21208" s="515" t="s">
        <v>987</v>
      </c>
      <c r="C21208" s="52">
        <v>239870.425222939</v>
      </c>
      <c r="D21208" s="56">
        <v>4.4310215357105748E-2</v>
      </c>
      <c r="E21208" s="224" t="s">
        <v>2</v>
      </c>
      <c r="F21208" s="515" t="s">
        <v>22377</v>
      </c>
      <c r="G21208" s="52">
        <v>89083.292315922197</v>
      </c>
      <c r="H21208" s="56">
        <v>2.5158119771049831E-2</v>
      </c>
      <c r="I21208" s="224" t="s">
        <v>2</v>
      </c>
    </row>
    <row r="21209" spans="1:9" x14ac:dyDescent="0.25">
      <c r="A21209" s="515">
        <v>14030</v>
      </c>
      <c r="B21209" s="515" t="s">
        <v>336</v>
      </c>
      <c r="C21209" s="52">
        <v>209810.10647377599</v>
      </c>
      <c r="D21209" s="56">
        <v>5.1254133120541188E-2</v>
      </c>
      <c r="E21209" s="224" t="s">
        <v>2</v>
      </c>
      <c r="F21209" s="515" t="s">
        <v>22378</v>
      </c>
      <c r="G21209" s="52">
        <v>160091.86408814101</v>
      </c>
      <c r="H21209" s="56">
        <v>0.11604054690338075</v>
      </c>
      <c r="I21209" s="224" t="s">
        <v>2</v>
      </c>
    </row>
    <row r="21210" spans="1:9" x14ac:dyDescent="0.25">
      <c r="A21210" s="515">
        <v>88026</v>
      </c>
      <c r="B21210" s="515" t="s">
        <v>423</v>
      </c>
      <c r="C21210" s="52">
        <v>96923.036245302806</v>
      </c>
      <c r="D21210" s="56">
        <v>0.30443130037662269</v>
      </c>
      <c r="E21210" s="224" t="s">
        <v>2</v>
      </c>
      <c r="F21210" s="515" t="s">
        <v>22379</v>
      </c>
      <c r="G21210" s="52">
        <v>50900.4970942125</v>
      </c>
      <c r="H21210" s="56">
        <v>2.500276958313841E-2</v>
      </c>
      <c r="I21210" s="224" t="s">
        <v>2</v>
      </c>
    </row>
    <row r="21211" spans="1:9" x14ac:dyDescent="0.25">
      <c r="A21211" s="515">
        <v>31630</v>
      </c>
      <c r="C21211" s="52">
        <v>80755.094914542395</v>
      </c>
      <c r="D21211" s="56">
        <v>0</v>
      </c>
      <c r="E21211" s="224" t="s">
        <v>2</v>
      </c>
      <c r="F21211" s="515" t="s">
        <v>22380</v>
      </c>
      <c r="G21211" s="52">
        <v>27574.9999107064</v>
      </c>
      <c r="H21211" s="56">
        <v>-2.1753337858047228E-2</v>
      </c>
      <c r="I21211" s="224" t="s">
        <v>2</v>
      </c>
    </row>
    <row r="21212" spans="1:9" x14ac:dyDescent="0.25">
      <c r="A21212" s="515">
        <v>40060</v>
      </c>
      <c r="C21212" s="52">
        <v>183702.91130037</v>
      </c>
      <c r="D21212" s="56">
        <v>0.21724566198551726</v>
      </c>
      <c r="E21212" s="224" t="s">
        <v>2</v>
      </c>
      <c r="F21212" s="515" t="s">
        <v>22381</v>
      </c>
      <c r="G21212" s="52">
        <v>110517.559761357</v>
      </c>
      <c r="H21212" s="56">
        <v>0.1216664321700914</v>
      </c>
      <c r="I21212" s="224" t="s">
        <v>2</v>
      </c>
    </row>
    <row r="21213" spans="1:9" x14ac:dyDescent="0.25">
      <c r="A21213" s="515">
        <v>44093</v>
      </c>
      <c r="B21213" s="515" t="s">
        <v>592</v>
      </c>
      <c r="C21213" s="52">
        <v>149091.21229979899</v>
      </c>
      <c r="D21213" s="56">
        <v>0.12004339796755242</v>
      </c>
      <c r="E21213" s="224" t="s">
        <v>2</v>
      </c>
      <c r="F21213" s="515" t="s">
        <v>22382</v>
      </c>
      <c r="G21213" s="52">
        <v>190648.42105263099</v>
      </c>
      <c r="H21213" s="56">
        <v>0</v>
      </c>
      <c r="I21213" s="224" t="s">
        <v>2</v>
      </c>
    </row>
    <row r="21214" spans="1:9" x14ac:dyDescent="0.25">
      <c r="A21214" s="515">
        <v>95002</v>
      </c>
      <c r="B21214" s="515" t="s">
        <v>850</v>
      </c>
      <c r="C21214" s="52">
        <v>1028177.19418347</v>
      </c>
      <c r="D21214" s="56">
        <v>3.249229025454746E-2</v>
      </c>
      <c r="E21214" s="224" t="s">
        <v>2</v>
      </c>
      <c r="F21214" s="515" t="s">
        <v>22383</v>
      </c>
      <c r="G21214" s="52">
        <v>69947.676470588194</v>
      </c>
      <c r="H21214" s="56">
        <v>0</v>
      </c>
      <c r="I21214" s="224" t="s">
        <v>2</v>
      </c>
    </row>
    <row r="21215" spans="1:9" x14ac:dyDescent="0.25">
      <c r="A21215" s="515">
        <v>56628</v>
      </c>
      <c r="B21215" s="515" t="s">
        <v>590</v>
      </c>
      <c r="C21215" s="52">
        <v>222547.69438169501</v>
      </c>
      <c r="D21215" s="56">
        <v>6.8582707186108011E-2</v>
      </c>
      <c r="E21215" s="224" t="s">
        <v>2</v>
      </c>
      <c r="F21215" s="515" t="s">
        <v>22384</v>
      </c>
      <c r="G21215" s="52">
        <v>111824.471947289</v>
      </c>
      <c r="H21215" s="56">
        <v>5.1328530854377441E-2</v>
      </c>
      <c r="I21215" s="224" t="s">
        <v>2</v>
      </c>
    </row>
    <row r="21216" spans="1:9" x14ac:dyDescent="0.25">
      <c r="A21216" s="515">
        <v>65085</v>
      </c>
      <c r="B21216" s="515" t="s">
        <v>711</v>
      </c>
      <c r="C21216" s="52">
        <v>232004.27272727201</v>
      </c>
      <c r="D21216" s="56">
        <v>0</v>
      </c>
      <c r="E21216" s="224" t="s">
        <v>2</v>
      </c>
      <c r="F21216" s="515" t="s">
        <v>22385</v>
      </c>
      <c r="G21216" s="52">
        <v>151326.766326746</v>
      </c>
      <c r="H21216" s="56">
        <v>0</v>
      </c>
      <c r="I21216" s="224" t="s">
        <v>2</v>
      </c>
    </row>
    <row r="21217" spans="1:9" x14ac:dyDescent="0.25">
      <c r="A21217" s="515">
        <v>43504</v>
      </c>
      <c r="B21217" s="515" t="s">
        <v>300</v>
      </c>
      <c r="C21217" s="52">
        <v>215795.454255241</v>
      </c>
      <c r="D21217" s="56">
        <v>4.0590144412058077E-2</v>
      </c>
      <c r="E21217" s="224" t="s">
        <v>2</v>
      </c>
      <c r="F21217" s="515" t="s">
        <v>22386</v>
      </c>
      <c r="G21217" s="52">
        <v>218922.26594841201</v>
      </c>
      <c r="H21217" s="56">
        <v>0.10085847291779911</v>
      </c>
      <c r="I21217" s="224" t="s">
        <v>2</v>
      </c>
    </row>
    <row r="21218" spans="1:9" x14ac:dyDescent="0.25">
      <c r="A21218" s="515">
        <v>97037</v>
      </c>
      <c r="B21218" s="515" t="s">
        <v>864</v>
      </c>
      <c r="C21218" s="52">
        <v>297621.41524990002</v>
      </c>
      <c r="D21218" s="56">
        <v>6.5428049065006738E-2</v>
      </c>
      <c r="E21218" s="224" t="s">
        <v>2</v>
      </c>
      <c r="F21218" s="515" t="s">
        <v>22387</v>
      </c>
      <c r="G21218" s="52">
        <v>207247.00176319</v>
      </c>
      <c r="H21218" s="56">
        <v>0.1645595995645264</v>
      </c>
      <c r="I21218" s="224" t="s">
        <v>2</v>
      </c>
    </row>
    <row r="21219" spans="1:9" x14ac:dyDescent="0.25">
      <c r="A21219" s="515">
        <v>43540</v>
      </c>
      <c r="B21219" s="515" t="s">
        <v>300</v>
      </c>
      <c r="C21219" s="52">
        <v>188805.12140117699</v>
      </c>
      <c r="D21219" s="56">
        <v>9.5323648455822155E-2</v>
      </c>
      <c r="E21219" s="224" t="s">
        <v>2</v>
      </c>
      <c r="F21219" s="515" t="s">
        <v>22388</v>
      </c>
      <c r="G21219" s="52">
        <v>166159.707153094</v>
      </c>
      <c r="H21219" s="56">
        <v>0.11726211209483542</v>
      </c>
      <c r="I21219" s="224" t="s">
        <v>2</v>
      </c>
    </row>
    <row r="21220" spans="1:9" x14ac:dyDescent="0.25">
      <c r="A21220" s="515">
        <v>59729</v>
      </c>
      <c r="C21220" s="52">
        <v>595204.70820551703</v>
      </c>
      <c r="D21220" s="56">
        <v>6.4605462458212443E-2</v>
      </c>
      <c r="E21220" s="224" t="s">
        <v>2</v>
      </c>
      <c r="F21220" s="515" t="s">
        <v>22389</v>
      </c>
      <c r="G21220" s="52">
        <v>712871.45461152995</v>
      </c>
      <c r="H21220" s="56">
        <v>3.6120122634055299E-2</v>
      </c>
      <c r="I21220" s="224" t="s">
        <v>2</v>
      </c>
    </row>
    <row r="21221" spans="1:9" x14ac:dyDescent="0.25">
      <c r="A21221" s="515">
        <v>30619</v>
      </c>
      <c r="B21221" s="515" t="s">
        <v>991</v>
      </c>
      <c r="C21221" s="52">
        <v>296794.45266230701</v>
      </c>
      <c r="D21221" s="56">
        <v>8.5156159737644968E-2</v>
      </c>
      <c r="E21221" s="224" t="s">
        <v>2</v>
      </c>
      <c r="F21221" s="515" t="s">
        <v>22390</v>
      </c>
      <c r="G21221" s="52">
        <v>388824.92524576897</v>
      </c>
      <c r="H21221" s="56">
        <v>9.0676262854333348E-2</v>
      </c>
      <c r="I21221" s="224" t="s">
        <v>2</v>
      </c>
    </row>
    <row r="21222" spans="1:9" x14ac:dyDescent="0.25">
      <c r="A21222" s="515">
        <v>53943</v>
      </c>
      <c r="B21222" s="515" t="s">
        <v>916</v>
      </c>
      <c r="C21222" s="52">
        <v>190247.406100658</v>
      </c>
      <c r="D21222" s="56">
        <v>2.482893539445578E-2</v>
      </c>
      <c r="E21222" s="224" t="s">
        <v>2</v>
      </c>
      <c r="F21222" s="515" t="s">
        <v>22391</v>
      </c>
      <c r="G21222" s="52">
        <v>266375.32201150001</v>
      </c>
      <c r="H21222" s="56">
        <v>0.16994130504881738</v>
      </c>
      <c r="I21222" s="224" t="s">
        <v>2</v>
      </c>
    </row>
    <row r="21223" spans="1:9" x14ac:dyDescent="0.25">
      <c r="A21223" s="515">
        <v>1011</v>
      </c>
      <c r="B21223" s="515" t="s">
        <v>575</v>
      </c>
      <c r="C21223" s="52">
        <v>244249.97989052499</v>
      </c>
      <c r="D21223" s="56">
        <v>7.8497383904265514E-2</v>
      </c>
      <c r="E21223" s="224" t="s">
        <v>2</v>
      </c>
      <c r="F21223" s="515" t="s">
        <v>22392</v>
      </c>
      <c r="G21223" s="52">
        <v>140168.07639832099</v>
      </c>
      <c r="H21223" s="56">
        <v>6.4956878684247946E-2</v>
      </c>
      <c r="I21223" s="224" t="s">
        <v>2</v>
      </c>
    </row>
    <row r="21224" spans="1:9" x14ac:dyDescent="0.25">
      <c r="A21224" s="515">
        <v>12763</v>
      </c>
      <c r="C21224" s="52">
        <v>221373.552271275</v>
      </c>
      <c r="D21224" s="56">
        <v>0.10467142218786771</v>
      </c>
      <c r="E21224" s="224" t="s">
        <v>2</v>
      </c>
      <c r="F21224" s="515" t="s">
        <v>22393</v>
      </c>
      <c r="G21224" s="52">
        <v>403052.73785198998</v>
      </c>
      <c r="H21224" s="56">
        <v>0.10450127085911756</v>
      </c>
      <c r="I21224" s="224" t="s">
        <v>2</v>
      </c>
    </row>
    <row r="21225" spans="1:9" x14ac:dyDescent="0.25">
      <c r="A21225" s="515">
        <v>26866</v>
      </c>
      <c r="C21225" s="52">
        <v>159571.71504194901</v>
      </c>
      <c r="D21225" s="56">
        <v>6.3170683235994618E-2</v>
      </c>
      <c r="E21225" s="224" t="s">
        <v>2</v>
      </c>
      <c r="F21225" s="515" t="s">
        <v>22394</v>
      </c>
      <c r="G21225" s="52">
        <v>541115.67059661495</v>
      </c>
      <c r="H21225" s="56">
        <v>-5.6067590156419706E-3</v>
      </c>
      <c r="I21225" s="224" t="s">
        <v>2</v>
      </c>
    </row>
    <row r="21226" spans="1:9" x14ac:dyDescent="0.25">
      <c r="A21226" s="515">
        <v>29482</v>
      </c>
      <c r="B21226" s="515" t="s">
        <v>1009</v>
      </c>
      <c r="C21226" s="52">
        <v>3371560.19880646</v>
      </c>
      <c r="D21226" s="56">
        <v>0.18304639106193607</v>
      </c>
      <c r="E21226" s="224" t="s">
        <v>2</v>
      </c>
      <c r="F21226" s="515" t="s">
        <v>22395</v>
      </c>
      <c r="G21226" s="52">
        <v>70589.902594753104</v>
      </c>
      <c r="H21226" s="56">
        <v>6.8646660555755773E-2</v>
      </c>
      <c r="I21226" s="224" t="s">
        <v>2</v>
      </c>
    </row>
    <row r="21227" spans="1:9" x14ac:dyDescent="0.25">
      <c r="A21227" s="515">
        <v>26621</v>
      </c>
      <c r="C21227" s="52">
        <v>122386.023580237</v>
      </c>
      <c r="D21227" s="56">
        <v>0.13302064539849953</v>
      </c>
      <c r="E21227" s="224" t="s">
        <v>2</v>
      </c>
      <c r="F21227" s="515" t="s">
        <v>22396</v>
      </c>
      <c r="G21227" s="52">
        <v>230555.124889289</v>
      </c>
      <c r="H21227" s="56">
        <v>0.10751630480377891</v>
      </c>
      <c r="I21227" s="224" t="s">
        <v>2</v>
      </c>
    </row>
    <row r="21228" spans="1:9" x14ac:dyDescent="0.25">
      <c r="A21228" s="515">
        <v>87535</v>
      </c>
      <c r="B21228" s="515" t="s">
        <v>926</v>
      </c>
      <c r="C21228" s="52">
        <v>368534.64912081201</v>
      </c>
      <c r="D21228" s="56">
        <v>7.260108018127083E-2</v>
      </c>
      <c r="E21228" s="224" t="s">
        <v>2</v>
      </c>
      <c r="F21228" s="515" t="s">
        <v>22397</v>
      </c>
      <c r="G21228" s="52">
        <v>574722.50168602599</v>
      </c>
      <c r="H21228" s="56">
        <v>9.7303316385309549E-2</v>
      </c>
      <c r="I21228" s="224" t="s">
        <v>2</v>
      </c>
    </row>
    <row r="21229" spans="1:9" x14ac:dyDescent="0.25">
      <c r="A21229" s="515">
        <v>12494</v>
      </c>
      <c r="B21229" s="515" t="s">
        <v>307</v>
      </c>
      <c r="C21229" s="52">
        <v>428891.394275019</v>
      </c>
      <c r="D21229" s="56">
        <v>9.6250970767203736E-2</v>
      </c>
      <c r="E21229" s="224" t="s">
        <v>2</v>
      </c>
      <c r="F21229" s="515" t="s">
        <v>22398</v>
      </c>
      <c r="G21229" s="52">
        <v>368892.85886832298</v>
      </c>
      <c r="H21229" s="56">
        <v>6.5152174557571746E-2</v>
      </c>
      <c r="I21229" s="224" t="s">
        <v>2</v>
      </c>
    </row>
    <row r="21230" spans="1:9" x14ac:dyDescent="0.25">
      <c r="A21230" s="515">
        <v>74957</v>
      </c>
      <c r="C21230" s="52">
        <v>155053.67526938199</v>
      </c>
      <c r="D21230" s="56">
        <v>0.1439165204043823</v>
      </c>
      <c r="E21230" s="224" t="s">
        <v>2</v>
      </c>
      <c r="F21230" s="515" t="s">
        <v>22399</v>
      </c>
      <c r="G21230" s="52">
        <v>77197.8447297393</v>
      </c>
      <c r="H21230" s="56">
        <v>0.22009043758114347</v>
      </c>
      <c r="I21230" s="224" t="s">
        <v>2</v>
      </c>
    </row>
    <row r="21231" spans="1:9" x14ac:dyDescent="0.25">
      <c r="A21231" s="515">
        <v>66845</v>
      </c>
      <c r="B21231" s="515" t="s">
        <v>707</v>
      </c>
      <c r="C21231" s="52">
        <v>108971.66704976201</v>
      </c>
      <c r="D21231" s="56">
        <v>7.1667288661706921E-2</v>
      </c>
      <c r="E21231" s="224" t="s">
        <v>2</v>
      </c>
      <c r="F21231" s="515" t="s">
        <v>22400</v>
      </c>
      <c r="G21231" s="52">
        <v>171463.29699168299</v>
      </c>
      <c r="H21231" s="56">
        <v>0.10530242388246419</v>
      </c>
      <c r="I21231" s="224" t="s">
        <v>2</v>
      </c>
    </row>
    <row r="21232" spans="1:9" x14ac:dyDescent="0.25">
      <c r="A21232" s="515">
        <v>22747</v>
      </c>
      <c r="B21232" s="515" t="s">
        <v>321</v>
      </c>
      <c r="C21232" s="52">
        <v>562011.867393372</v>
      </c>
      <c r="D21232" s="56">
        <v>0.11520148430886844</v>
      </c>
      <c r="E21232" s="224" t="s">
        <v>2</v>
      </c>
      <c r="F21232" s="515" t="s">
        <v>22401</v>
      </c>
      <c r="G21232" s="52">
        <v>325790.28901459498</v>
      </c>
      <c r="H21232" s="56">
        <v>0.14588657651577444</v>
      </c>
      <c r="I21232" s="224" t="s">
        <v>2</v>
      </c>
    </row>
    <row r="21233" spans="1:9" x14ac:dyDescent="0.25">
      <c r="A21233" s="515">
        <v>20667</v>
      </c>
      <c r="B21233" s="515" t="s">
        <v>779</v>
      </c>
      <c r="C21233" s="52">
        <v>323633.216962851</v>
      </c>
      <c r="D21233" s="56">
        <v>0</v>
      </c>
      <c r="E21233" s="224" t="s">
        <v>2</v>
      </c>
      <c r="F21233" s="515" t="s">
        <v>22402</v>
      </c>
      <c r="G21233" s="52">
        <v>160759.65556183999</v>
      </c>
      <c r="H21233" s="56">
        <v>2.1480418668372622E-2</v>
      </c>
      <c r="I21233" s="224" t="s">
        <v>2</v>
      </c>
    </row>
    <row r="21234" spans="1:9" x14ac:dyDescent="0.25">
      <c r="A21234" s="515">
        <v>43511</v>
      </c>
      <c r="B21234" s="515" t="s">
        <v>300</v>
      </c>
      <c r="C21234" s="52">
        <v>161768.91135667099</v>
      </c>
      <c r="D21234" s="56">
        <v>3.2070056598119637E-2</v>
      </c>
      <c r="E21234" s="224" t="s">
        <v>2</v>
      </c>
      <c r="F21234" s="515" t="s">
        <v>22403</v>
      </c>
      <c r="G21234" s="52">
        <v>171118.40888915199</v>
      </c>
      <c r="H21234" s="56">
        <v>0</v>
      </c>
      <c r="I21234" s="224" t="s">
        <v>2</v>
      </c>
    </row>
    <row r="21235" spans="1:9" x14ac:dyDescent="0.25">
      <c r="A21235" s="515">
        <v>26160</v>
      </c>
      <c r="B21235" s="515" t="s">
        <v>956</v>
      </c>
      <c r="C21235" s="52">
        <v>104306.869926578</v>
      </c>
      <c r="D21235" s="56">
        <v>1.7683959399728635E-2</v>
      </c>
      <c r="E21235" s="224" t="s">
        <v>2</v>
      </c>
      <c r="F21235" s="515" t="s">
        <v>22404</v>
      </c>
      <c r="G21235" s="52">
        <v>2332007.66155867</v>
      </c>
      <c r="H21235" s="56">
        <v>0.10135685923666651</v>
      </c>
      <c r="I21235" s="224" t="s">
        <v>2</v>
      </c>
    </row>
    <row r="21236" spans="1:9" x14ac:dyDescent="0.25">
      <c r="A21236" s="515">
        <v>5739</v>
      </c>
      <c r="B21236" s="515" t="s">
        <v>791</v>
      </c>
      <c r="C21236" s="52">
        <v>307148.42049195</v>
      </c>
      <c r="D21236" s="56">
        <v>0.10873908387167283</v>
      </c>
      <c r="E21236" s="224" t="s">
        <v>2</v>
      </c>
      <c r="F21236" s="515" t="s">
        <v>22405</v>
      </c>
      <c r="G21236" s="52">
        <v>303717.15721532999</v>
      </c>
      <c r="H21236" s="56">
        <v>0.10435633491476233</v>
      </c>
      <c r="I21236" s="224" t="s">
        <v>2</v>
      </c>
    </row>
    <row r="21237" spans="1:9" x14ac:dyDescent="0.25">
      <c r="A21237" s="515">
        <v>71061</v>
      </c>
      <c r="B21237" s="515" t="s">
        <v>739</v>
      </c>
      <c r="C21237" s="52">
        <v>91817.478941854395</v>
      </c>
      <c r="D21237" s="56">
        <v>7.5165215964570056E-2</v>
      </c>
      <c r="E21237" s="224" t="s">
        <v>2</v>
      </c>
      <c r="F21237" s="515" t="s">
        <v>22406</v>
      </c>
      <c r="G21237" s="52">
        <v>169836.205608652</v>
      </c>
      <c r="H21237" s="56">
        <v>0</v>
      </c>
      <c r="I21237" s="224" t="s">
        <v>2</v>
      </c>
    </row>
    <row r="21238" spans="1:9" x14ac:dyDescent="0.25">
      <c r="A21238" s="515">
        <v>26425</v>
      </c>
      <c r="B21238" s="515" t="s">
        <v>643</v>
      </c>
      <c r="C21238" s="52">
        <v>76700.318474956905</v>
      </c>
      <c r="D21238" s="56">
        <v>8.2074159182437642E-2</v>
      </c>
      <c r="E21238" s="224" t="s">
        <v>2</v>
      </c>
      <c r="F21238" s="515" t="s">
        <v>22407</v>
      </c>
      <c r="G21238" s="52">
        <v>110919.021977622</v>
      </c>
      <c r="H21238" s="56">
        <v>0.16594206401639749</v>
      </c>
      <c r="I21238" s="224" t="s">
        <v>2</v>
      </c>
    </row>
    <row r="21239" spans="1:9" x14ac:dyDescent="0.25">
      <c r="A21239" s="515">
        <v>50668</v>
      </c>
      <c r="B21239" s="515" t="s">
        <v>315</v>
      </c>
      <c r="C21239" s="52">
        <v>186412.696570778</v>
      </c>
      <c r="D21239" s="56">
        <v>7.7150891944656616E-2</v>
      </c>
      <c r="E21239" s="224" t="s">
        <v>2</v>
      </c>
      <c r="F21239" s="515" t="s">
        <v>22408</v>
      </c>
      <c r="G21239" s="52">
        <v>226666.70033192699</v>
      </c>
      <c r="H21239" s="56">
        <v>0.23499842014010072</v>
      </c>
      <c r="I21239" s="224" t="s">
        <v>2</v>
      </c>
    </row>
    <row r="21240" spans="1:9" x14ac:dyDescent="0.25">
      <c r="A21240" s="515">
        <v>54651</v>
      </c>
      <c r="C21240" s="52">
        <v>142008.222360215</v>
      </c>
      <c r="D21240" s="56">
        <v>3.5406649581536845E-2</v>
      </c>
      <c r="E21240" s="224" t="s">
        <v>2</v>
      </c>
      <c r="F21240" s="515" t="s">
        <v>22409</v>
      </c>
      <c r="G21240" s="52">
        <v>174181.935654314</v>
      </c>
      <c r="H21240" s="56">
        <v>8.9204721313319746E-2</v>
      </c>
      <c r="I21240" s="224" t="s">
        <v>2</v>
      </c>
    </row>
    <row r="21241" spans="1:9" x14ac:dyDescent="0.25">
      <c r="A21241" s="515">
        <v>11964</v>
      </c>
      <c r="B21241" s="515" t="s">
        <v>324</v>
      </c>
      <c r="C21241" s="52">
        <v>1195928.6405821401</v>
      </c>
      <c r="D21241" s="56">
        <v>7.5091797040998734E-2</v>
      </c>
      <c r="E21241" s="224">
        <v>20000</v>
      </c>
      <c r="F21241" s="515" t="s">
        <v>22410</v>
      </c>
      <c r="G21241" s="52">
        <v>107729.88652911699</v>
      </c>
      <c r="H21241" s="56">
        <v>0.17800436894922333</v>
      </c>
      <c r="I21241" s="224" t="s">
        <v>2</v>
      </c>
    </row>
    <row r="21242" spans="1:9" x14ac:dyDescent="0.25">
      <c r="A21242" s="515">
        <v>14805</v>
      </c>
      <c r="C21242" s="52">
        <v>191066.37086274201</v>
      </c>
      <c r="D21242" s="56">
        <v>9.9957896559757536E-2</v>
      </c>
      <c r="E21242" s="224" t="s">
        <v>2</v>
      </c>
      <c r="F21242" s="515" t="s">
        <v>22411</v>
      </c>
      <c r="G21242" s="52">
        <v>326208.16843500698</v>
      </c>
      <c r="H21242" s="56">
        <v>-5.1605286569606459E-2</v>
      </c>
      <c r="I21242" s="224" t="s">
        <v>2</v>
      </c>
    </row>
    <row r="21243" spans="1:9" x14ac:dyDescent="0.25">
      <c r="A21243" s="515">
        <v>68015</v>
      </c>
      <c r="B21243" s="515" t="s">
        <v>367</v>
      </c>
      <c r="C21243" s="52">
        <v>207547.08950674799</v>
      </c>
      <c r="D21243" s="56">
        <v>7.2763259000275443E-2</v>
      </c>
      <c r="E21243" s="224" t="s">
        <v>2</v>
      </c>
      <c r="F21243" s="515" t="s">
        <v>22412</v>
      </c>
      <c r="G21243" s="52">
        <v>210175.59137573399</v>
      </c>
      <c r="H21243" s="56">
        <v>6.8413607395667445E-2</v>
      </c>
      <c r="I21243" s="224" t="s">
        <v>2</v>
      </c>
    </row>
    <row r="21244" spans="1:9" x14ac:dyDescent="0.25">
      <c r="A21244" s="515">
        <v>47597</v>
      </c>
      <c r="B21244" s="515" t="s">
        <v>573</v>
      </c>
      <c r="C21244" s="52">
        <v>137773.945889058</v>
      </c>
      <c r="D21244" s="56">
        <v>4.2732523088071087E-2</v>
      </c>
      <c r="E21244" s="224" t="s">
        <v>2</v>
      </c>
      <c r="F21244" s="515" t="s">
        <v>22413</v>
      </c>
      <c r="G21244" s="52">
        <v>289412.09879878402</v>
      </c>
      <c r="H21244" s="56">
        <v>0.11058951070205693</v>
      </c>
      <c r="I21244" s="224" t="s">
        <v>2</v>
      </c>
    </row>
    <row r="21245" spans="1:9" x14ac:dyDescent="0.25">
      <c r="A21245" s="515">
        <v>36034</v>
      </c>
      <c r="B21245" s="515" t="s">
        <v>1027</v>
      </c>
      <c r="C21245" s="52">
        <v>106428.893604909</v>
      </c>
      <c r="D21245" s="56">
        <v>4.0287781739173209E-3</v>
      </c>
      <c r="E21245" s="224" t="s">
        <v>2</v>
      </c>
      <c r="F21245" s="515" t="s">
        <v>22414</v>
      </c>
      <c r="G21245" s="52">
        <v>90548.375068101799</v>
      </c>
      <c r="H21245" s="56">
        <v>8.1732495661894528E-2</v>
      </c>
      <c r="I21245" s="224" t="s">
        <v>2</v>
      </c>
    </row>
    <row r="21246" spans="1:9" x14ac:dyDescent="0.25">
      <c r="A21246" s="515">
        <v>83443</v>
      </c>
      <c r="B21246" s="515" t="s">
        <v>409</v>
      </c>
      <c r="C21246" s="52">
        <v>334695.10251013102</v>
      </c>
      <c r="D21246" s="56">
        <v>3.800702329710539E-2</v>
      </c>
      <c r="E21246" s="224" t="s">
        <v>2</v>
      </c>
      <c r="F21246" s="515" t="s">
        <v>22415</v>
      </c>
      <c r="G21246" s="52">
        <v>122031.286438608</v>
      </c>
      <c r="H21246" s="56">
        <v>8.0465062880761676E-2</v>
      </c>
      <c r="I21246" s="224" t="s">
        <v>2</v>
      </c>
    </row>
    <row r="21247" spans="1:9" x14ac:dyDescent="0.25">
      <c r="A21247" s="515">
        <v>13694</v>
      </c>
      <c r="B21247" s="515" t="s">
        <v>511</v>
      </c>
      <c r="C21247" s="52">
        <v>164246.85212611701</v>
      </c>
      <c r="D21247" s="56">
        <v>0.12255417480716652</v>
      </c>
      <c r="E21247" s="224" t="s">
        <v>2</v>
      </c>
      <c r="F21247" s="515" t="s">
        <v>22416</v>
      </c>
      <c r="G21247" s="52">
        <v>229069.55127838399</v>
      </c>
      <c r="H21247" s="56">
        <v>7.1222715736231484E-2</v>
      </c>
      <c r="I21247" s="224" t="s">
        <v>2</v>
      </c>
    </row>
    <row r="21248" spans="1:9" x14ac:dyDescent="0.25">
      <c r="A21248" s="515">
        <v>5906</v>
      </c>
      <c r="C21248" s="52">
        <v>177640.95115142499</v>
      </c>
      <c r="D21248" s="56">
        <v>9.3361384415402579E-2</v>
      </c>
      <c r="E21248" s="224" t="s">
        <v>2</v>
      </c>
      <c r="F21248" s="515" t="s">
        <v>22417</v>
      </c>
      <c r="G21248" s="52">
        <v>91269.742167053701</v>
      </c>
      <c r="H21248" s="56">
        <v>7.973387156401994E-2</v>
      </c>
      <c r="I21248" s="224" t="s">
        <v>2</v>
      </c>
    </row>
    <row r="21249" spans="1:9" x14ac:dyDescent="0.25">
      <c r="A21249" s="515">
        <v>17582</v>
      </c>
      <c r="B21249" s="515" t="s">
        <v>537</v>
      </c>
      <c r="C21249" s="52">
        <v>318301.36750786297</v>
      </c>
      <c r="D21249" s="56">
        <v>7.6369123569636696E-2</v>
      </c>
      <c r="E21249" s="224" t="s">
        <v>2</v>
      </c>
      <c r="F21249" s="515" t="s">
        <v>22418</v>
      </c>
      <c r="G21249" s="52">
        <v>101379.36946708401</v>
      </c>
      <c r="H21249" s="56">
        <v>-3.6813188926428417E-2</v>
      </c>
      <c r="I21249" s="224" t="s">
        <v>2</v>
      </c>
    </row>
    <row r="21250" spans="1:9" x14ac:dyDescent="0.25">
      <c r="A21250" s="515">
        <v>14740</v>
      </c>
      <c r="B21250" s="515" t="s">
        <v>560</v>
      </c>
      <c r="C21250" s="52">
        <v>144933.86653891701</v>
      </c>
      <c r="D21250" s="56">
        <v>8.918558154960507E-2</v>
      </c>
      <c r="E21250" s="224" t="s">
        <v>2</v>
      </c>
      <c r="F21250" s="515" t="s">
        <v>22419</v>
      </c>
      <c r="G21250" s="52">
        <v>162109.25282338599</v>
      </c>
      <c r="H21250" s="56">
        <v>8.2623389321896515E-2</v>
      </c>
      <c r="I21250" s="224" t="s">
        <v>2</v>
      </c>
    </row>
    <row r="21251" spans="1:9" x14ac:dyDescent="0.25">
      <c r="A21251" s="515">
        <v>47020</v>
      </c>
      <c r="C21251" s="52">
        <v>190094.949674256</v>
      </c>
      <c r="D21251" s="56">
        <v>7.5949622341015696E-2</v>
      </c>
      <c r="E21251" s="224" t="s">
        <v>2</v>
      </c>
      <c r="F21251" s="515" t="s">
        <v>22420</v>
      </c>
      <c r="G21251" s="52">
        <v>884284.43548907398</v>
      </c>
      <c r="H21251" s="56">
        <v>0.13461229449030523</v>
      </c>
      <c r="I21251" s="224" t="s">
        <v>2</v>
      </c>
    </row>
    <row r="21252" spans="1:9" x14ac:dyDescent="0.25">
      <c r="A21252" s="515">
        <v>28556</v>
      </c>
      <c r="B21252" s="515" t="s">
        <v>574</v>
      </c>
      <c r="C21252" s="52">
        <v>329119.28628618497</v>
      </c>
      <c r="D21252" s="56">
        <v>0.10536197495565885</v>
      </c>
      <c r="E21252" s="224" t="s">
        <v>2</v>
      </c>
      <c r="F21252" s="515" t="s">
        <v>22421</v>
      </c>
      <c r="G21252" s="52">
        <v>179105.74152361901</v>
      </c>
      <c r="H21252" s="56">
        <v>6.0958054519453686E-2</v>
      </c>
      <c r="I21252" s="224" t="s">
        <v>2</v>
      </c>
    </row>
    <row r="21253" spans="1:9" x14ac:dyDescent="0.25">
      <c r="A21253" s="515">
        <v>18417</v>
      </c>
      <c r="C21253" s="52">
        <v>285079.06440569198</v>
      </c>
      <c r="D21253" s="56">
        <v>5.6713709811398179E-2</v>
      </c>
      <c r="E21253" s="224" t="s">
        <v>2</v>
      </c>
      <c r="F21253" s="515" t="s">
        <v>22422</v>
      </c>
      <c r="G21253" s="52">
        <v>658928.63619120396</v>
      </c>
      <c r="H21253" s="56">
        <v>8.0885237567822801E-2</v>
      </c>
      <c r="I21253" s="224" t="s">
        <v>2</v>
      </c>
    </row>
    <row r="21254" spans="1:9" x14ac:dyDescent="0.25">
      <c r="A21254" s="515">
        <v>54156</v>
      </c>
      <c r="B21254" s="515" t="s">
        <v>923</v>
      </c>
      <c r="C21254" s="52">
        <v>120137.143880929</v>
      </c>
      <c r="D21254" s="56">
        <v>9.6977259631858187E-2</v>
      </c>
      <c r="E21254" s="224" t="s">
        <v>2</v>
      </c>
      <c r="F21254" s="515" t="s">
        <v>22423</v>
      </c>
      <c r="G21254" s="52">
        <v>217912.93939393901</v>
      </c>
      <c r="H21254" s="56">
        <v>0</v>
      </c>
      <c r="I21254" s="224" t="s">
        <v>2</v>
      </c>
    </row>
    <row r="21255" spans="1:9" x14ac:dyDescent="0.25">
      <c r="A21255" s="515">
        <v>22660</v>
      </c>
      <c r="C21255" s="52">
        <v>298220.77716944099</v>
      </c>
      <c r="D21255" s="56">
        <v>0.10568784799027223</v>
      </c>
      <c r="E21255" s="224" t="s">
        <v>2</v>
      </c>
      <c r="F21255" s="515" t="s">
        <v>22424</v>
      </c>
      <c r="G21255" s="52">
        <v>172734.89707468901</v>
      </c>
      <c r="H21255" s="56">
        <v>-3.1647253300458563E-3</v>
      </c>
      <c r="I21255" s="224" t="s">
        <v>2</v>
      </c>
    </row>
    <row r="21256" spans="1:9" x14ac:dyDescent="0.25">
      <c r="A21256" s="515">
        <v>73673</v>
      </c>
      <c r="C21256" s="52">
        <v>116192</v>
      </c>
      <c r="D21256" s="56">
        <v>0</v>
      </c>
      <c r="E21256" s="224" t="s">
        <v>2</v>
      </c>
      <c r="F21256" s="515" t="s">
        <v>22425</v>
      </c>
      <c r="G21256" s="52">
        <v>175914.52442997199</v>
      </c>
      <c r="H21256" s="56">
        <v>8.3162337183563764E-2</v>
      </c>
      <c r="I21256" s="224" t="s">
        <v>2</v>
      </c>
    </row>
    <row r="21257" spans="1:9" x14ac:dyDescent="0.25">
      <c r="A21257" s="515">
        <v>61370</v>
      </c>
      <c r="B21257" s="515" t="s">
        <v>556</v>
      </c>
      <c r="C21257" s="52">
        <v>144847.97200966699</v>
      </c>
      <c r="D21257" s="56">
        <v>1.554761101024537E-2</v>
      </c>
      <c r="E21257" s="224" t="s">
        <v>2</v>
      </c>
      <c r="F21257" s="515" t="s">
        <v>22426</v>
      </c>
      <c r="G21257" s="52">
        <v>421914.10750683298</v>
      </c>
      <c r="H21257" s="56">
        <v>6.7172541419276574E-2</v>
      </c>
      <c r="I21257" s="224" t="s">
        <v>2</v>
      </c>
    </row>
    <row r="21258" spans="1:9" x14ac:dyDescent="0.25">
      <c r="A21258" s="515">
        <v>56318</v>
      </c>
      <c r="C21258" s="52">
        <v>296219.22320478898</v>
      </c>
      <c r="D21258" s="56">
        <v>0.13228940649390761</v>
      </c>
      <c r="E21258" s="224" t="s">
        <v>2</v>
      </c>
      <c r="F21258" s="515" t="s">
        <v>22427</v>
      </c>
      <c r="G21258" s="52">
        <v>95448.792710760303</v>
      </c>
      <c r="H21258" s="56">
        <v>3.3867174062178429E-2</v>
      </c>
      <c r="I21258" s="224" t="s">
        <v>2</v>
      </c>
    </row>
    <row r="21259" spans="1:9" x14ac:dyDescent="0.25">
      <c r="A21259" s="515">
        <v>41631</v>
      </c>
      <c r="C21259" s="52">
        <v>63584.890959313001</v>
      </c>
      <c r="D21259" s="56">
        <v>0.12039544812677977</v>
      </c>
      <c r="E21259" s="224" t="s">
        <v>2</v>
      </c>
      <c r="F21259" s="515" t="s">
        <v>22428</v>
      </c>
      <c r="G21259" s="52">
        <v>290769.96000000002</v>
      </c>
      <c r="H21259" s="56">
        <v>0</v>
      </c>
      <c r="I21259" s="224" t="s">
        <v>2</v>
      </c>
    </row>
    <row r="21260" spans="1:9" x14ac:dyDescent="0.25">
      <c r="A21260" s="515">
        <v>48845</v>
      </c>
      <c r="B21260" s="515" t="s">
        <v>631</v>
      </c>
      <c r="C21260" s="52">
        <v>135803.61885100501</v>
      </c>
      <c r="D21260" s="56">
        <v>5.8100056264661949E-2</v>
      </c>
      <c r="E21260" s="224" t="s">
        <v>2</v>
      </c>
      <c r="F21260" s="515" t="s">
        <v>22429</v>
      </c>
      <c r="G21260" s="52">
        <v>92834.8</v>
      </c>
      <c r="H21260" s="56">
        <v>0</v>
      </c>
      <c r="I21260" s="224" t="s">
        <v>2</v>
      </c>
    </row>
    <row r="21261" spans="1:9" x14ac:dyDescent="0.25">
      <c r="A21261" s="515">
        <v>65627</v>
      </c>
      <c r="B21261" s="515" t="s">
        <v>757</v>
      </c>
      <c r="C21261" s="52">
        <v>152519.50187189499</v>
      </c>
      <c r="D21261" s="56">
        <v>0.11985218631296517</v>
      </c>
      <c r="E21261" s="224" t="s">
        <v>2</v>
      </c>
      <c r="F21261" s="515" t="s">
        <v>22430</v>
      </c>
      <c r="G21261" s="52">
        <v>110437.642857142</v>
      </c>
      <c r="H21261" s="56">
        <v>0</v>
      </c>
      <c r="I21261" s="224" t="s">
        <v>2</v>
      </c>
    </row>
    <row r="21262" spans="1:9" x14ac:dyDescent="0.25">
      <c r="A21262" s="515">
        <v>51542</v>
      </c>
      <c r="B21262" s="515" t="s">
        <v>367</v>
      </c>
      <c r="C21262" s="52">
        <v>350412.86722673802</v>
      </c>
      <c r="D21262" s="56">
        <v>0.10941993944159545</v>
      </c>
      <c r="E21262" s="224" t="s">
        <v>2</v>
      </c>
      <c r="F21262" s="515" t="s">
        <v>22431</v>
      </c>
      <c r="G21262" s="52">
        <v>648700.20700304594</v>
      </c>
      <c r="H21262" s="56">
        <v>5.5505812707088216E-2</v>
      </c>
      <c r="I21262" s="224" t="s">
        <v>2</v>
      </c>
    </row>
    <row r="21263" spans="1:9" x14ac:dyDescent="0.25">
      <c r="A21263" s="515">
        <v>19501</v>
      </c>
      <c r="B21263" s="515" t="s">
        <v>537</v>
      </c>
      <c r="C21263" s="52">
        <v>257498.84793405101</v>
      </c>
      <c r="D21263" s="56">
        <v>0.1134850648967004</v>
      </c>
      <c r="E21263" s="224" t="s">
        <v>2</v>
      </c>
      <c r="F21263" s="515" t="s">
        <v>22432</v>
      </c>
      <c r="G21263" s="52">
        <v>110973.53463335399</v>
      </c>
      <c r="H21263" s="56">
        <v>0.11858178863403668</v>
      </c>
      <c r="I21263" s="224" t="s">
        <v>2</v>
      </c>
    </row>
    <row r="21264" spans="1:9" x14ac:dyDescent="0.25">
      <c r="A21264" s="515">
        <v>41531</v>
      </c>
      <c r="C21264" s="52">
        <v>79711.779875434499</v>
      </c>
      <c r="D21264" s="56">
        <v>0.22189396369895006</v>
      </c>
      <c r="E21264" s="224" t="s">
        <v>2</v>
      </c>
      <c r="F21264" s="515" t="s">
        <v>22433</v>
      </c>
      <c r="G21264" s="52">
        <v>107725.601260429</v>
      </c>
      <c r="H21264" s="56">
        <v>8.4069857590395494E-2</v>
      </c>
      <c r="I21264" s="224" t="s">
        <v>2</v>
      </c>
    </row>
    <row r="21265" spans="1:9" x14ac:dyDescent="0.25">
      <c r="A21265" s="515">
        <v>66756</v>
      </c>
      <c r="B21265" s="515" t="s">
        <v>669</v>
      </c>
      <c r="C21265" s="52">
        <v>71201.950705352094</v>
      </c>
      <c r="D21265" s="56">
        <v>3.9248542445514852E-2</v>
      </c>
      <c r="E21265" s="224" t="s">
        <v>2</v>
      </c>
      <c r="F21265" s="515" t="s">
        <v>22434</v>
      </c>
      <c r="G21265" s="52">
        <v>293427.49577559897</v>
      </c>
      <c r="H21265" s="56">
        <v>0</v>
      </c>
      <c r="I21265" s="224" t="s">
        <v>2</v>
      </c>
    </row>
    <row r="21266" spans="1:9" x14ac:dyDescent="0.25">
      <c r="A21266" s="515">
        <v>97442</v>
      </c>
      <c r="B21266" s="515" t="s">
        <v>449</v>
      </c>
      <c r="C21266" s="52">
        <v>250655.97838972101</v>
      </c>
      <c r="D21266" s="56">
        <v>4.8478554130771151E-2</v>
      </c>
      <c r="E21266" s="224" t="s">
        <v>2</v>
      </c>
      <c r="F21266" s="515" t="s">
        <v>22435</v>
      </c>
      <c r="G21266" s="52">
        <v>328601.62186476903</v>
      </c>
      <c r="H21266" s="56">
        <v>5.8635438608532202E-2</v>
      </c>
      <c r="I21266" s="224" t="s">
        <v>2</v>
      </c>
    </row>
    <row r="21267" spans="1:9" x14ac:dyDescent="0.25">
      <c r="A21267" s="515">
        <v>18254</v>
      </c>
      <c r="B21267" s="515" t="s">
        <v>327</v>
      </c>
      <c r="C21267" s="52">
        <v>143899.243893078</v>
      </c>
      <c r="D21267" s="56">
        <v>0.12438208964517976</v>
      </c>
      <c r="E21267" s="224" t="s">
        <v>2</v>
      </c>
      <c r="F21267" s="515" t="s">
        <v>22436</v>
      </c>
      <c r="G21267" s="52">
        <v>130364.79333956599</v>
      </c>
      <c r="H21267" s="56">
        <v>6.399849438971035E-2</v>
      </c>
      <c r="I21267" s="224" t="s">
        <v>2</v>
      </c>
    </row>
    <row r="21268" spans="1:9" x14ac:dyDescent="0.25">
      <c r="A21268" s="515">
        <v>43360</v>
      </c>
      <c r="B21268" s="515" t="s">
        <v>973</v>
      </c>
      <c r="C21268" s="52">
        <v>282883.49999164703</v>
      </c>
      <c r="D21268" s="56">
        <v>0.11619305244139116</v>
      </c>
      <c r="E21268" s="224" t="s">
        <v>2</v>
      </c>
      <c r="F21268" s="515" t="s">
        <v>22437</v>
      </c>
      <c r="G21268" s="52">
        <v>97474.133666193404</v>
      </c>
      <c r="H21268" s="56">
        <v>8.9801796195765352E-2</v>
      </c>
      <c r="I21268" s="224" t="s">
        <v>2</v>
      </c>
    </row>
    <row r="21269" spans="1:9" x14ac:dyDescent="0.25">
      <c r="A21269" s="515">
        <v>50008</v>
      </c>
      <c r="C21269" s="52">
        <v>108201.610069613</v>
      </c>
      <c r="D21269" s="56">
        <v>0.22223222484062632</v>
      </c>
      <c r="E21269" s="224" t="s">
        <v>2</v>
      </c>
      <c r="F21269" s="515" t="s">
        <v>22438</v>
      </c>
      <c r="G21269" s="52">
        <v>129668.98853878</v>
      </c>
      <c r="H21269" s="56">
        <v>1.3696474940628513E-2</v>
      </c>
      <c r="I21269" s="224" t="s">
        <v>2</v>
      </c>
    </row>
    <row r="21270" spans="1:9" x14ac:dyDescent="0.25">
      <c r="A21270" s="515">
        <v>5738</v>
      </c>
      <c r="B21270" s="515" t="s">
        <v>791</v>
      </c>
      <c r="C21270" s="52">
        <v>303146.96186515602</v>
      </c>
      <c r="D21270" s="56">
        <v>6.7718308707750752E-2</v>
      </c>
      <c r="E21270" s="224" t="s">
        <v>2</v>
      </c>
      <c r="F21270" s="515" t="s">
        <v>22439</v>
      </c>
      <c r="G21270" s="52">
        <v>74041.278018239303</v>
      </c>
      <c r="H21270" s="56">
        <v>2.1874344614085786E-2</v>
      </c>
      <c r="I21270" s="224" t="s">
        <v>2</v>
      </c>
    </row>
    <row r="21271" spans="1:9" x14ac:dyDescent="0.25">
      <c r="A21271" s="515">
        <v>4349</v>
      </c>
      <c r="B21271" s="515" t="s">
        <v>848</v>
      </c>
      <c r="C21271" s="52">
        <v>302357.41570035502</v>
      </c>
      <c r="D21271" s="56">
        <v>8.5094832513790158E-2</v>
      </c>
      <c r="E21271" s="224" t="s">
        <v>2</v>
      </c>
      <c r="F21271" s="515" t="s">
        <v>22440</v>
      </c>
      <c r="G21271" s="52">
        <v>368591.17004095099</v>
      </c>
      <c r="H21271" s="56">
        <v>0.20683613784102703</v>
      </c>
      <c r="I21271" s="224" t="s">
        <v>2</v>
      </c>
    </row>
    <row r="21272" spans="1:9" x14ac:dyDescent="0.25">
      <c r="A21272" s="515">
        <v>85939</v>
      </c>
      <c r="B21272" s="515" t="s">
        <v>533</v>
      </c>
      <c r="C21272" s="52">
        <v>324521.64722568297</v>
      </c>
      <c r="D21272" s="56">
        <v>3.7825934403043361E-2</v>
      </c>
      <c r="E21272" s="224" t="s">
        <v>2</v>
      </c>
      <c r="F21272" s="515" t="s">
        <v>22441</v>
      </c>
      <c r="G21272" s="52">
        <v>90132.946572478104</v>
      </c>
      <c r="H21272" s="56">
        <v>0.16536463943808</v>
      </c>
      <c r="I21272" s="224" t="s">
        <v>2</v>
      </c>
    </row>
    <row r="21273" spans="1:9" x14ac:dyDescent="0.25">
      <c r="A21273" s="515">
        <v>74936</v>
      </c>
      <c r="B21273" s="515" t="s">
        <v>326</v>
      </c>
      <c r="C21273" s="52">
        <v>150887.97823626801</v>
      </c>
      <c r="D21273" s="56">
        <v>0.14930268652618933</v>
      </c>
      <c r="E21273" s="224" t="s">
        <v>2</v>
      </c>
      <c r="F21273" s="515" t="s">
        <v>22442</v>
      </c>
      <c r="G21273" s="52">
        <v>134891.16056003401</v>
      </c>
      <c r="H21273" s="56">
        <v>9.7002976753813475E-2</v>
      </c>
      <c r="I21273" s="224" t="s">
        <v>2</v>
      </c>
    </row>
    <row r="21274" spans="1:9" x14ac:dyDescent="0.25">
      <c r="A21274" s="515">
        <v>38914</v>
      </c>
      <c r="C21274" s="52">
        <v>108725.175118777</v>
      </c>
      <c r="D21274" s="56">
        <v>-1.8362031332659384E-2</v>
      </c>
      <c r="E21274" s="224" t="s">
        <v>2</v>
      </c>
      <c r="F21274" s="515" t="s">
        <v>22443</v>
      </c>
      <c r="G21274" s="52">
        <v>222861.19303033</v>
      </c>
      <c r="H21274" s="56">
        <v>5.8614001541926489E-2</v>
      </c>
      <c r="I21274" s="224" t="s">
        <v>2</v>
      </c>
    </row>
    <row r="21275" spans="1:9" x14ac:dyDescent="0.25">
      <c r="A21275" s="515">
        <v>11932</v>
      </c>
      <c r="B21275" s="515" t="s">
        <v>324</v>
      </c>
      <c r="C21275" s="52">
        <v>3166083.7024277798</v>
      </c>
      <c r="D21275" s="56">
        <v>5.7787514510761528E-2</v>
      </c>
      <c r="E21275" s="224">
        <v>56666.666666666599</v>
      </c>
      <c r="F21275" s="515" t="s">
        <v>22444</v>
      </c>
      <c r="G21275" s="52">
        <v>199574.80797388899</v>
      </c>
      <c r="H21275" s="56">
        <v>2.9458545501321577E-2</v>
      </c>
      <c r="I21275" s="224" t="s">
        <v>2</v>
      </c>
    </row>
    <row r="21276" spans="1:9" x14ac:dyDescent="0.25">
      <c r="A21276" s="515">
        <v>58740</v>
      </c>
      <c r="B21276" s="515" t="s">
        <v>849</v>
      </c>
      <c r="C21276" s="52">
        <v>189655.54970616099</v>
      </c>
      <c r="D21276" s="56">
        <v>-5.4355163515581943E-2</v>
      </c>
      <c r="E21276" s="224" t="s">
        <v>2</v>
      </c>
      <c r="F21276" s="515" t="s">
        <v>22445</v>
      </c>
      <c r="G21276" s="52">
        <v>254053.95493310899</v>
      </c>
      <c r="H21276" s="56">
        <v>3.4038705307907188E-2</v>
      </c>
      <c r="I21276" s="224" t="s">
        <v>2</v>
      </c>
    </row>
    <row r="21277" spans="1:9" x14ac:dyDescent="0.25">
      <c r="A21277" s="515">
        <v>42733</v>
      </c>
      <c r="B21277" s="515" t="s">
        <v>761</v>
      </c>
      <c r="C21277" s="52">
        <v>146114.29872612201</v>
      </c>
      <c r="D21277" s="56">
        <v>0.24459989714573016</v>
      </c>
      <c r="E21277" s="224" t="s">
        <v>2</v>
      </c>
      <c r="F21277" s="515" t="s">
        <v>22446</v>
      </c>
      <c r="G21277" s="52">
        <v>215946.02487839901</v>
      </c>
      <c r="H21277" s="56">
        <v>0.1809978342054169</v>
      </c>
      <c r="I21277" s="224" t="s">
        <v>2</v>
      </c>
    </row>
    <row r="21278" spans="1:9" x14ac:dyDescent="0.25">
      <c r="A21278" s="515">
        <v>24822</v>
      </c>
      <c r="C21278" s="52">
        <v>65843.191108865401</v>
      </c>
      <c r="D21278" s="56">
        <v>-1.1427986385058672E-2</v>
      </c>
      <c r="E21278" s="224" t="s">
        <v>2</v>
      </c>
      <c r="F21278" s="515" t="s">
        <v>22447</v>
      </c>
      <c r="G21278" s="52">
        <v>222818.76554922899</v>
      </c>
      <c r="H21278" s="56">
        <v>0</v>
      </c>
      <c r="I21278" s="224" t="s">
        <v>2</v>
      </c>
    </row>
    <row r="21279" spans="1:9" x14ac:dyDescent="0.25">
      <c r="A21279" s="515">
        <v>52536</v>
      </c>
      <c r="B21279" s="515" t="s">
        <v>845</v>
      </c>
      <c r="C21279" s="52">
        <v>159558.149007195</v>
      </c>
      <c r="D21279" s="56">
        <v>0.19415119395136377</v>
      </c>
      <c r="E21279" s="224" t="s">
        <v>2</v>
      </c>
      <c r="F21279" s="515" t="s">
        <v>22448</v>
      </c>
      <c r="G21279" s="52">
        <v>216842.643440905</v>
      </c>
      <c r="H21279" s="56">
        <v>-5.482494652138116E-2</v>
      </c>
      <c r="I21279" s="224" t="s">
        <v>2</v>
      </c>
    </row>
    <row r="21280" spans="1:9" x14ac:dyDescent="0.25">
      <c r="A21280" s="515">
        <v>22831</v>
      </c>
      <c r="B21280" s="515" t="s">
        <v>1026</v>
      </c>
      <c r="C21280" s="52">
        <v>207821.128413264</v>
      </c>
      <c r="D21280" s="56">
        <v>7.9242163347741298E-2</v>
      </c>
      <c r="E21280" s="224" t="s">
        <v>2</v>
      </c>
      <c r="F21280" s="515" t="s">
        <v>22449</v>
      </c>
      <c r="G21280" s="52">
        <v>330295.00733565999</v>
      </c>
      <c r="H21280" s="56">
        <v>-2.1719689536295318E-2</v>
      </c>
      <c r="I21280" s="224" t="s">
        <v>2</v>
      </c>
    </row>
    <row r="21281" spans="1:9" x14ac:dyDescent="0.25">
      <c r="A21281" s="515">
        <v>64778</v>
      </c>
      <c r="C21281" s="52">
        <v>173354.641042567</v>
      </c>
      <c r="D21281" s="56">
        <v>7.7442856269205579E-2</v>
      </c>
      <c r="E21281" s="224" t="s">
        <v>2</v>
      </c>
      <c r="F21281" s="515" t="s">
        <v>22450</v>
      </c>
      <c r="G21281" s="52">
        <v>158965.23333333299</v>
      </c>
      <c r="H21281" s="56">
        <v>0</v>
      </c>
      <c r="I21281" s="224" t="s">
        <v>2</v>
      </c>
    </row>
    <row r="21282" spans="1:9" x14ac:dyDescent="0.25">
      <c r="A21282" s="515">
        <v>24221</v>
      </c>
      <c r="C21282" s="52">
        <v>109838.76973468</v>
      </c>
      <c r="D21282" s="56">
        <v>9.0652204120236488E-2</v>
      </c>
      <c r="E21282" s="224" t="s">
        <v>2</v>
      </c>
      <c r="F21282" s="515" t="s">
        <v>22451</v>
      </c>
      <c r="G21282" s="52">
        <v>57331.540002166403</v>
      </c>
      <c r="H21282" s="56">
        <v>0.29835352064739684</v>
      </c>
      <c r="I21282" s="224" t="s">
        <v>2</v>
      </c>
    </row>
    <row r="21283" spans="1:9" x14ac:dyDescent="0.25">
      <c r="A21283" s="515">
        <v>30537</v>
      </c>
      <c r="C21283" s="52">
        <v>330411.37355511403</v>
      </c>
      <c r="D21283" s="56">
        <v>9.5339865706931107E-2</v>
      </c>
      <c r="E21283" s="224" t="s">
        <v>2</v>
      </c>
      <c r="F21283" s="515" t="s">
        <v>22452</v>
      </c>
      <c r="G21283" s="52">
        <v>95007.192307692298</v>
      </c>
      <c r="H21283" s="56">
        <v>0</v>
      </c>
      <c r="I21283" s="224" t="s">
        <v>2</v>
      </c>
    </row>
    <row r="21284" spans="1:9" x14ac:dyDescent="0.25">
      <c r="A21284" s="515">
        <v>37723</v>
      </c>
      <c r="B21284" s="515" t="s">
        <v>1025</v>
      </c>
      <c r="C21284" s="52">
        <v>143931.53957239501</v>
      </c>
      <c r="D21284" s="56">
        <v>0.12383963294302482</v>
      </c>
      <c r="E21284" s="224" t="s">
        <v>2</v>
      </c>
      <c r="F21284" s="515" t="s">
        <v>22453</v>
      </c>
      <c r="G21284" s="52">
        <v>125855.358806761</v>
      </c>
      <c r="H21284" s="56">
        <v>0</v>
      </c>
      <c r="I21284" s="224" t="s">
        <v>2</v>
      </c>
    </row>
    <row r="21285" spans="1:9" x14ac:dyDescent="0.25">
      <c r="A21285" s="515">
        <v>66872</v>
      </c>
      <c r="C21285" s="52">
        <v>132655.32149879701</v>
      </c>
      <c r="D21285" s="56">
        <v>0.18180459895689666</v>
      </c>
      <c r="E21285" s="224" t="s">
        <v>2</v>
      </c>
      <c r="F21285" s="515" t="s">
        <v>22454</v>
      </c>
      <c r="G21285" s="52">
        <v>817500.95817013097</v>
      </c>
      <c r="H21285" s="56">
        <v>1.9399626539859709E-2</v>
      </c>
      <c r="I21285" s="224" t="s">
        <v>2</v>
      </c>
    </row>
    <row r="21286" spans="1:9" x14ac:dyDescent="0.25">
      <c r="A21286" s="515">
        <v>24530</v>
      </c>
      <c r="B21286" s="515" t="s">
        <v>901</v>
      </c>
      <c r="C21286" s="52">
        <v>112293.98171881201</v>
      </c>
      <c r="D21286" s="56">
        <v>0.16325849442854276</v>
      </c>
      <c r="E21286" s="224" t="s">
        <v>2</v>
      </c>
      <c r="F21286" s="515" t="s">
        <v>22455</v>
      </c>
      <c r="G21286" s="52">
        <v>148401.70253965401</v>
      </c>
      <c r="H21286" s="56">
        <v>9.5983097630033334E-2</v>
      </c>
      <c r="I21286" s="224" t="s">
        <v>2</v>
      </c>
    </row>
    <row r="21287" spans="1:9" x14ac:dyDescent="0.25">
      <c r="A21287" s="515">
        <v>56253</v>
      </c>
      <c r="B21287" s="515" t="s">
        <v>803</v>
      </c>
      <c r="C21287" s="52">
        <v>245198.29850570101</v>
      </c>
      <c r="D21287" s="56">
        <v>7.3743377742016253E-2</v>
      </c>
      <c r="E21287" s="224" t="s">
        <v>2</v>
      </c>
      <c r="F21287" s="515" t="s">
        <v>22456</v>
      </c>
      <c r="G21287" s="52">
        <v>550010.76194282901</v>
      </c>
      <c r="H21287" s="56">
        <v>8.6096347820922958E-2</v>
      </c>
      <c r="I21287" s="224" t="s">
        <v>2</v>
      </c>
    </row>
    <row r="21288" spans="1:9" x14ac:dyDescent="0.25">
      <c r="A21288" s="515">
        <v>67505</v>
      </c>
      <c r="B21288" s="515" t="s">
        <v>700</v>
      </c>
      <c r="C21288" s="52">
        <v>124485.772436787</v>
      </c>
      <c r="D21288" s="56">
        <v>8.4104802380241123E-2</v>
      </c>
      <c r="E21288" s="224" t="s">
        <v>2</v>
      </c>
      <c r="F21288" s="515" t="s">
        <v>22457</v>
      </c>
      <c r="G21288" s="52">
        <v>195607.77562984399</v>
      </c>
      <c r="H21288" s="56">
        <v>0.10577057958639444</v>
      </c>
      <c r="I21288" s="224" t="s">
        <v>2</v>
      </c>
    </row>
    <row r="21289" spans="1:9" x14ac:dyDescent="0.25">
      <c r="A21289" s="515">
        <v>38589</v>
      </c>
      <c r="C21289" s="52">
        <v>191352.30760129201</v>
      </c>
      <c r="D21289" s="56">
        <v>0</v>
      </c>
      <c r="E21289" s="224" t="s">
        <v>2</v>
      </c>
      <c r="F21289" s="515" t="s">
        <v>22458</v>
      </c>
      <c r="G21289" s="52">
        <v>268074.75471698103</v>
      </c>
      <c r="H21289" s="56">
        <v>0</v>
      </c>
      <c r="I21289" s="224" t="s">
        <v>2</v>
      </c>
    </row>
    <row r="21290" spans="1:9" x14ac:dyDescent="0.25">
      <c r="A21290" s="515">
        <v>49322</v>
      </c>
      <c r="B21290" s="515" t="s">
        <v>631</v>
      </c>
      <c r="C21290" s="52">
        <v>187605.127811246</v>
      </c>
      <c r="D21290" s="56">
        <v>2.5957805265771162E-2</v>
      </c>
      <c r="E21290" s="224" t="s">
        <v>2</v>
      </c>
      <c r="F21290" s="515" t="s">
        <v>22459</v>
      </c>
      <c r="G21290" s="52">
        <v>156910.62667973599</v>
      </c>
      <c r="H21290" s="56">
        <v>7.1428606001066125E-2</v>
      </c>
      <c r="I21290" s="224" t="s">
        <v>2</v>
      </c>
    </row>
    <row r="21291" spans="1:9" x14ac:dyDescent="0.25">
      <c r="A21291" s="515">
        <v>43930</v>
      </c>
      <c r="B21291" s="515" t="s">
        <v>389</v>
      </c>
      <c r="C21291" s="52">
        <v>159925.63270091999</v>
      </c>
      <c r="D21291" s="56">
        <v>6.4470177446467741E-2</v>
      </c>
      <c r="E21291" s="224" t="s">
        <v>2</v>
      </c>
      <c r="F21291" s="515" t="s">
        <v>22460</v>
      </c>
      <c r="G21291" s="52">
        <v>594917.78846153803</v>
      </c>
      <c r="H21291" s="56">
        <v>0</v>
      </c>
      <c r="I21291" s="224" t="s">
        <v>2</v>
      </c>
    </row>
    <row r="21292" spans="1:9" x14ac:dyDescent="0.25">
      <c r="A21292" s="515">
        <v>1266</v>
      </c>
      <c r="B21292" s="515" t="s">
        <v>497</v>
      </c>
      <c r="C21292" s="52">
        <v>565178.06980768195</v>
      </c>
      <c r="D21292" s="56">
        <v>0.13027136320556748</v>
      </c>
      <c r="E21292" s="224" t="s">
        <v>2</v>
      </c>
      <c r="F21292" s="515" t="s">
        <v>22461</v>
      </c>
      <c r="G21292" s="52">
        <v>483657.87630124099</v>
      </c>
      <c r="H21292" s="56">
        <v>0.25459562687184178</v>
      </c>
      <c r="I21292" s="224" t="s">
        <v>2</v>
      </c>
    </row>
    <row r="21293" spans="1:9" x14ac:dyDescent="0.25">
      <c r="A21293" s="515">
        <v>40445</v>
      </c>
      <c r="C21293" s="52">
        <v>82841.307721704201</v>
      </c>
      <c r="D21293" s="56">
        <v>0.33307884768264373</v>
      </c>
      <c r="E21293" s="224" t="s">
        <v>2</v>
      </c>
      <c r="F21293" s="515" t="s">
        <v>22462</v>
      </c>
      <c r="G21293" s="52">
        <v>93084.1847915791</v>
      </c>
      <c r="H21293" s="56">
        <v>0.12933176065521532</v>
      </c>
      <c r="I21293" s="224" t="s">
        <v>2</v>
      </c>
    </row>
    <row r="21294" spans="1:9" x14ac:dyDescent="0.25">
      <c r="A21294" s="515">
        <v>38337</v>
      </c>
      <c r="B21294" s="515" t="s">
        <v>691</v>
      </c>
      <c r="C21294" s="52">
        <v>138971.06530968001</v>
      </c>
      <c r="D21294" s="56">
        <v>0</v>
      </c>
      <c r="E21294" s="224" t="s">
        <v>2</v>
      </c>
      <c r="F21294" s="515" t="s">
        <v>22463</v>
      </c>
      <c r="G21294" s="52">
        <v>86495.816081441895</v>
      </c>
      <c r="H21294" s="56">
        <v>0</v>
      </c>
      <c r="I21294" s="224" t="s">
        <v>2</v>
      </c>
    </row>
    <row r="21295" spans="1:9" x14ac:dyDescent="0.25">
      <c r="A21295" s="515">
        <v>12515</v>
      </c>
      <c r="B21295" s="515" t="s">
        <v>307</v>
      </c>
      <c r="C21295" s="52">
        <v>372195.52514875098</v>
      </c>
      <c r="D21295" s="56">
        <v>9.2904927818836164E-2</v>
      </c>
      <c r="E21295" s="224" t="s">
        <v>2</v>
      </c>
      <c r="F21295" s="515" t="s">
        <v>22464</v>
      </c>
      <c r="G21295" s="52">
        <v>130615.43958525499</v>
      </c>
      <c r="H21295" s="56">
        <v>9.5328736981889386E-2</v>
      </c>
      <c r="I21295" s="224" t="s">
        <v>2</v>
      </c>
    </row>
    <row r="21296" spans="1:9" x14ac:dyDescent="0.25">
      <c r="A21296" s="515">
        <v>59874</v>
      </c>
      <c r="C21296" s="52">
        <v>553293.50623435201</v>
      </c>
      <c r="D21296" s="56">
        <v>0.10066956673398741</v>
      </c>
      <c r="E21296" s="224" t="s">
        <v>2</v>
      </c>
      <c r="F21296" s="515" t="s">
        <v>22465</v>
      </c>
      <c r="G21296" s="52">
        <v>987185.77937967901</v>
      </c>
      <c r="H21296" s="56">
        <v>1.1630413894484316E-2</v>
      </c>
      <c r="I21296" s="224" t="s">
        <v>2</v>
      </c>
    </row>
    <row r="21297" spans="1:9" x14ac:dyDescent="0.25">
      <c r="A21297" s="515">
        <v>13757</v>
      </c>
      <c r="C21297" s="52">
        <v>246649.47842191599</v>
      </c>
      <c r="D21297" s="56">
        <v>9.7674308362504708E-2</v>
      </c>
      <c r="E21297" s="224" t="s">
        <v>2</v>
      </c>
      <c r="F21297" s="515" t="s">
        <v>22466</v>
      </c>
      <c r="G21297" s="52">
        <v>77769.992362972305</v>
      </c>
      <c r="H21297" s="56">
        <v>8.7424844713906158E-2</v>
      </c>
      <c r="I21297" s="224" t="s">
        <v>2</v>
      </c>
    </row>
    <row r="21298" spans="1:9" x14ac:dyDescent="0.25">
      <c r="A21298" s="515">
        <v>65710</v>
      </c>
      <c r="B21298" s="515" t="s">
        <v>603</v>
      </c>
      <c r="C21298" s="52">
        <v>209511.67195449499</v>
      </c>
      <c r="D21298" s="56">
        <v>0.10860941937262626</v>
      </c>
      <c r="E21298" s="224" t="s">
        <v>2</v>
      </c>
      <c r="F21298" s="515" t="s">
        <v>22467</v>
      </c>
      <c r="G21298" s="52">
        <v>81308.126730194796</v>
      </c>
      <c r="H21298" s="56">
        <v>8.8257760513417577E-2</v>
      </c>
      <c r="I21298" s="224" t="s">
        <v>2</v>
      </c>
    </row>
    <row r="21299" spans="1:9" x14ac:dyDescent="0.25">
      <c r="A21299" s="515">
        <v>12980</v>
      </c>
      <c r="B21299" s="515" t="s">
        <v>706</v>
      </c>
      <c r="C21299" s="52">
        <v>105652.712255929</v>
      </c>
      <c r="D21299" s="56">
        <v>0.10919942330393938</v>
      </c>
      <c r="E21299" s="224" t="s">
        <v>2</v>
      </c>
      <c r="F21299" s="515" t="s">
        <v>22468</v>
      </c>
      <c r="G21299" s="52">
        <v>178748.28803153901</v>
      </c>
      <c r="H21299" s="56">
        <v>0</v>
      </c>
      <c r="I21299" s="224" t="s">
        <v>2</v>
      </c>
    </row>
    <row r="21300" spans="1:9" x14ac:dyDescent="0.25">
      <c r="A21300" s="515">
        <v>80729</v>
      </c>
      <c r="B21300" s="515" t="s">
        <v>382</v>
      </c>
      <c r="C21300" s="52">
        <v>350936.18395449402</v>
      </c>
      <c r="D21300" s="56">
        <v>3.2002270172509895E-2</v>
      </c>
      <c r="E21300" s="224" t="s">
        <v>2</v>
      </c>
      <c r="F21300" s="515" t="s">
        <v>22469</v>
      </c>
      <c r="G21300" s="52">
        <v>167848.67243146399</v>
      </c>
      <c r="H21300" s="56">
        <v>-8.7979892282914307E-2</v>
      </c>
      <c r="I21300" s="224" t="s">
        <v>2</v>
      </c>
    </row>
    <row r="21301" spans="1:9" x14ac:dyDescent="0.25">
      <c r="A21301" s="515">
        <v>97498</v>
      </c>
      <c r="B21301" s="515" t="s">
        <v>618</v>
      </c>
      <c r="C21301" s="52">
        <v>505461.71089966397</v>
      </c>
      <c r="D21301" s="56">
        <v>4.6075621239789012E-2</v>
      </c>
      <c r="E21301" s="224" t="s">
        <v>2</v>
      </c>
      <c r="F21301" s="515" t="s">
        <v>22470</v>
      </c>
      <c r="G21301" s="52">
        <v>158843.09013978401</v>
      </c>
      <c r="H21301" s="56">
        <v>0.16462066000728168</v>
      </c>
      <c r="I21301" s="224" t="s">
        <v>2</v>
      </c>
    </row>
    <row r="21302" spans="1:9" x14ac:dyDescent="0.25">
      <c r="A21302" s="515">
        <v>52201</v>
      </c>
      <c r="B21302" s="515" t="s">
        <v>587</v>
      </c>
      <c r="C21302" s="52">
        <v>185929.720717908</v>
      </c>
      <c r="D21302" s="56">
        <v>0.1062716110314931</v>
      </c>
      <c r="E21302" s="224" t="s">
        <v>2</v>
      </c>
      <c r="F21302" s="515" t="s">
        <v>22471</v>
      </c>
      <c r="G21302" s="52">
        <v>211697.91439742499</v>
      </c>
      <c r="H21302" s="56">
        <v>0.11339555829722413</v>
      </c>
      <c r="I21302" s="224" t="s">
        <v>2</v>
      </c>
    </row>
    <row r="21303" spans="1:9" x14ac:dyDescent="0.25">
      <c r="A21303" s="515">
        <v>63837</v>
      </c>
      <c r="B21303" s="515" t="s">
        <v>910</v>
      </c>
      <c r="C21303" s="52">
        <v>49668.8738390168</v>
      </c>
      <c r="D21303" s="56">
        <v>0</v>
      </c>
      <c r="E21303" s="224" t="s">
        <v>2</v>
      </c>
      <c r="F21303" s="515" t="s">
        <v>22472</v>
      </c>
      <c r="G21303" s="52">
        <v>176967.54459112801</v>
      </c>
      <c r="H21303" s="56">
        <v>6.2719579016041305E-2</v>
      </c>
      <c r="I21303" s="224" t="s">
        <v>2</v>
      </c>
    </row>
    <row r="21304" spans="1:9" x14ac:dyDescent="0.25">
      <c r="A21304" s="515">
        <v>50597</v>
      </c>
      <c r="C21304" s="52">
        <v>155331.76709563701</v>
      </c>
      <c r="D21304" s="56">
        <v>0.12738518360968407</v>
      </c>
      <c r="E21304" s="224" t="s">
        <v>2</v>
      </c>
      <c r="F21304" s="515" t="s">
        <v>22473</v>
      </c>
      <c r="G21304" s="52">
        <v>47973.050483251704</v>
      </c>
      <c r="H21304" s="56">
        <v>8.1577002757458231E-2</v>
      </c>
      <c r="I21304" s="224" t="s">
        <v>2</v>
      </c>
    </row>
    <row r="21305" spans="1:9" x14ac:dyDescent="0.25">
      <c r="A21305" s="515">
        <v>75477</v>
      </c>
      <c r="B21305" s="515" t="s">
        <v>921</v>
      </c>
      <c r="C21305" s="52">
        <v>139071.08695947501</v>
      </c>
      <c r="D21305" s="56">
        <v>0</v>
      </c>
      <c r="E21305" s="224" t="s">
        <v>2</v>
      </c>
      <c r="F21305" s="515" t="s">
        <v>22474</v>
      </c>
      <c r="G21305" s="52">
        <v>155173.30770656801</v>
      </c>
      <c r="H21305" s="56">
        <v>0</v>
      </c>
      <c r="I21305" s="224" t="s">
        <v>2</v>
      </c>
    </row>
    <row r="21306" spans="1:9" x14ac:dyDescent="0.25">
      <c r="A21306" s="515">
        <v>40022</v>
      </c>
      <c r="B21306" s="515" t="s">
        <v>479</v>
      </c>
      <c r="C21306" s="52">
        <v>365572.92984467198</v>
      </c>
      <c r="D21306" s="56">
        <v>1.4564969882804748E-2</v>
      </c>
      <c r="E21306" s="224" t="s">
        <v>2</v>
      </c>
      <c r="F21306" s="515" t="s">
        <v>22475</v>
      </c>
      <c r="G21306" s="52">
        <v>272858.53846153797</v>
      </c>
      <c r="H21306" s="56">
        <v>0</v>
      </c>
      <c r="I21306" s="224" t="s">
        <v>2</v>
      </c>
    </row>
    <row r="21307" spans="1:9" x14ac:dyDescent="0.25">
      <c r="A21307" s="515">
        <v>80448</v>
      </c>
      <c r="B21307" s="515" t="s">
        <v>401</v>
      </c>
      <c r="C21307" s="52">
        <v>609260.85667138395</v>
      </c>
      <c r="D21307" s="56">
        <v>8.488142369931978E-2</v>
      </c>
      <c r="E21307" s="224" t="s">
        <v>2</v>
      </c>
      <c r="F21307" s="515" t="s">
        <v>22476</v>
      </c>
      <c r="G21307" s="52">
        <v>561346.57119003695</v>
      </c>
      <c r="H21307" s="56">
        <v>5.0922725950803681E-2</v>
      </c>
      <c r="I21307" s="224" t="s">
        <v>2</v>
      </c>
    </row>
    <row r="21308" spans="1:9" x14ac:dyDescent="0.25">
      <c r="A21308" s="515">
        <v>56469</v>
      </c>
      <c r="C21308" s="52">
        <v>217309.01393806201</v>
      </c>
      <c r="D21308" s="56">
        <v>4.9026930977786036E-2</v>
      </c>
      <c r="E21308" s="224" t="s">
        <v>2</v>
      </c>
      <c r="F21308" s="515" t="s">
        <v>22477</v>
      </c>
      <c r="G21308" s="52">
        <v>111577.747434213</v>
      </c>
      <c r="H21308" s="56">
        <v>2.5057470928143612E-2</v>
      </c>
      <c r="I21308" s="224" t="s">
        <v>2</v>
      </c>
    </row>
    <row r="21309" spans="1:9" x14ac:dyDescent="0.25">
      <c r="A21309" s="515">
        <v>97454</v>
      </c>
      <c r="B21309" s="515" t="s">
        <v>801</v>
      </c>
      <c r="C21309" s="52">
        <v>475434.43780467199</v>
      </c>
      <c r="D21309" s="56">
        <v>7.7505103588172935E-4</v>
      </c>
      <c r="E21309" s="224" t="s">
        <v>2</v>
      </c>
      <c r="F21309" s="515" t="s">
        <v>22478</v>
      </c>
      <c r="G21309" s="52">
        <v>231939.47338443401</v>
      </c>
      <c r="H21309" s="56">
        <v>-2.5611179657855053E-2</v>
      </c>
      <c r="I21309" s="224" t="s">
        <v>2</v>
      </c>
    </row>
    <row r="21310" spans="1:9" x14ac:dyDescent="0.25">
      <c r="A21310" s="515">
        <v>84306</v>
      </c>
      <c r="B21310" s="515" t="s">
        <v>628</v>
      </c>
      <c r="C21310" s="52">
        <v>540974.94999999995</v>
      </c>
      <c r="D21310" s="56">
        <v>0</v>
      </c>
      <c r="E21310" s="224" t="s">
        <v>2</v>
      </c>
      <c r="F21310" s="515" t="s">
        <v>22479</v>
      </c>
      <c r="G21310" s="52">
        <v>81695.912814583993</v>
      </c>
      <c r="H21310" s="56">
        <v>0.12282192065162847</v>
      </c>
      <c r="I21310" s="224" t="s">
        <v>2</v>
      </c>
    </row>
    <row r="21311" spans="1:9" x14ac:dyDescent="0.25">
      <c r="A21311" s="515">
        <v>5836</v>
      </c>
      <c r="C21311" s="52">
        <v>247316.55597912299</v>
      </c>
      <c r="D21311" s="56">
        <v>9.5619025558747225E-2</v>
      </c>
      <c r="E21311" s="224" t="s">
        <v>2</v>
      </c>
      <c r="F21311" s="515" t="s">
        <v>22480</v>
      </c>
      <c r="G21311" s="52">
        <v>225415.62422670901</v>
      </c>
      <c r="H21311" s="56">
        <v>6.4911484959170221E-2</v>
      </c>
      <c r="I21311" s="224" t="s">
        <v>2</v>
      </c>
    </row>
    <row r="21312" spans="1:9" x14ac:dyDescent="0.25">
      <c r="A21312" s="515">
        <v>24290</v>
      </c>
      <c r="B21312" s="515" t="s">
        <v>902</v>
      </c>
      <c r="C21312" s="52">
        <v>144850.35319039799</v>
      </c>
      <c r="D21312" s="56">
        <v>0.17699965768606649</v>
      </c>
      <c r="E21312" s="224" t="s">
        <v>2</v>
      </c>
      <c r="F21312" s="515" t="s">
        <v>22481</v>
      </c>
      <c r="G21312" s="52">
        <v>169936.287122159</v>
      </c>
      <c r="H21312" s="56">
        <v>0.12756859472592988</v>
      </c>
      <c r="I21312" s="224" t="s">
        <v>2</v>
      </c>
    </row>
    <row r="21313" spans="1:9" x14ac:dyDescent="0.25">
      <c r="A21313" s="515">
        <v>38625</v>
      </c>
      <c r="C21313" s="52">
        <v>121241.30544834</v>
      </c>
      <c r="D21313" s="56">
        <v>5.9017369863395369E-2</v>
      </c>
      <c r="E21313" s="224" t="s">
        <v>2</v>
      </c>
      <c r="F21313" s="515" t="s">
        <v>22482</v>
      </c>
      <c r="G21313" s="52">
        <v>265131.31966974301</v>
      </c>
      <c r="H21313" s="56">
        <v>0.10777356871062958</v>
      </c>
      <c r="I21313" s="224" t="s">
        <v>2</v>
      </c>
    </row>
    <row r="21314" spans="1:9" x14ac:dyDescent="0.25">
      <c r="A21314" s="515">
        <v>1254</v>
      </c>
      <c r="B21314" s="515" t="s">
        <v>497</v>
      </c>
      <c r="C21314" s="52">
        <v>540917.42321540695</v>
      </c>
      <c r="D21314" s="56">
        <v>0.12048765798401616</v>
      </c>
      <c r="E21314" s="224" t="s">
        <v>2</v>
      </c>
      <c r="F21314" s="515" t="s">
        <v>22483</v>
      </c>
      <c r="G21314" s="52">
        <v>260875.47166214601</v>
      </c>
      <c r="H21314" s="56">
        <v>0</v>
      </c>
      <c r="I21314" s="224" t="s">
        <v>2</v>
      </c>
    </row>
    <row r="21315" spans="1:9" x14ac:dyDescent="0.25">
      <c r="A21315" s="515">
        <v>52626</v>
      </c>
      <c r="C21315" s="52">
        <v>98788.497534126102</v>
      </c>
      <c r="D21315" s="56">
        <v>0.1061618844194642</v>
      </c>
      <c r="E21315" s="224" t="s">
        <v>2</v>
      </c>
      <c r="F21315" s="515" t="s">
        <v>22484</v>
      </c>
      <c r="G21315" s="52">
        <v>636788.40430117701</v>
      </c>
      <c r="H21315" s="56">
        <v>6.872368348121817E-2</v>
      </c>
      <c r="I21315" s="224" t="s">
        <v>2</v>
      </c>
    </row>
    <row r="21316" spans="1:9" x14ac:dyDescent="0.25">
      <c r="A21316" s="515">
        <v>79039</v>
      </c>
      <c r="B21316" s="515" t="s">
        <v>869</v>
      </c>
      <c r="C21316" s="52">
        <v>119201.828875889</v>
      </c>
      <c r="D21316" s="56">
        <v>0</v>
      </c>
      <c r="E21316" s="224" t="s">
        <v>2</v>
      </c>
      <c r="F21316" s="515" t="s">
        <v>22485</v>
      </c>
      <c r="G21316" s="52">
        <v>146957.89438577701</v>
      </c>
      <c r="H21316" s="56">
        <v>2.1210526406726871E-2</v>
      </c>
      <c r="I21316" s="224" t="s">
        <v>2</v>
      </c>
    </row>
    <row r="21317" spans="1:9" x14ac:dyDescent="0.25">
      <c r="A21317" s="515">
        <v>60911</v>
      </c>
      <c r="C21317" s="52">
        <v>162987.91537539399</v>
      </c>
      <c r="D21317" s="56">
        <v>9.2439157927786259E-2</v>
      </c>
      <c r="E21317" s="224" t="s">
        <v>2</v>
      </c>
      <c r="F21317" s="515" t="s">
        <v>22486</v>
      </c>
      <c r="G21317" s="52">
        <v>378887.97966389201</v>
      </c>
      <c r="H21317" s="56">
        <v>8.1695938061504741E-2</v>
      </c>
      <c r="I21317" s="224" t="s">
        <v>2</v>
      </c>
    </row>
    <row r="21318" spans="1:9" x14ac:dyDescent="0.25">
      <c r="A21318" s="515">
        <v>62567</v>
      </c>
      <c r="B21318" s="515" t="s">
        <v>386</v>
      </c>
      <c r="C21318" s="52">
        <v>87642.065385130103</v>
      </c>
      <c r="D21318" s="56">
        <v>6.0706894178248712E-2</v>
      </c>
      <c r="E21318" s="224" t="s">
        <v>2</v>
      </c>
      <c r="F21318" s="515" t="s">
        <v>22487</v>
      </c>
      <c r="G21318" s="52">
        <v>213650.36614869701</v>
      </c>
      <c r="H21318" s="56">
        <v>5.8155098479524187E-2</v>
      </c>
      <c r="I21318" s="224" t="s">
        <v>2</v>
      </c>
    </row>
    <row r="21319" spans="1:9" x14ac:dyDescent="0.25">
      <c r="A21319" s="515">
        <v>4430</v>
      </c>
      <c r="B21319" s="515" t="s">
        <v>792</v>
      </c>
      <c r="C21319" s="52">
        <v>105020.51190476101</v>
      </c>
      <c r="D21319" s="56">
        <v>0</v>
      </c>
      <c r="E21319" s="224" t="s">
        <v>2</v>
      </c>
      <c r="F21319" s="515" t="s">
        <v>22488</v>
      </c>
      <c r="G21319" s="52">
        <v>110992.12971195699</v>
      </c>
      <c r="H21319" s="56">
        <v>4.8348907417585081E-2</v>
      </c>
      <c r="I21319" s="224" t="s">
        <v>2</v>
      </c>
    </row>
    <row r="21320" spans="1:9" x14ac:dyDescent="0.25">
      <c r="A21320" s="515">
        <v>25981</v>
      </c>
      <c r="C21320" s="52">
        <v>66444.987284698305</v>
      </c>
      <c r="D21320" s="56">
        <v>0.14938276023839947</v>
      </c>
      <c r="E21320" s="224" t="s">
        <v>2</v>
      </c>
      <c r="F21320" s="515" t="s">
        <v>22489</v>
      </c>
      <c r="G21320" s="52">
        <v>165048.698989153</v>
      </c>
      <c r="H21320" s="56">
        <v>4.1883573129448334E-2</v>
      </c>
      <c r="I21320" s="224" t="s">
        <v>2</v>
      </c>
    </row>
    <row r="21321" spans="1:9" x14ac:dyDescent="0.25">
      <c r="A21321" s="515">
        <v>12431</v>
      </c>
      <c r="C21321" s="52">
        <v>298793.15338731802</v>
      </c>
      <c r="D21321" s="56">
        <v>0.11953609028185874</v>
      </c>
      <c r="E21321" s="224" t="s">
        <v>2</v>
      </c>
      <c r="F21321" s="515" t="s">
        <v>22490</v>
      </c>
      <c r="G21321" s="52">
        <v>120388.199239109</v>
      </c>
      <c r="H21321" s="56">
        <v>0</v>
      </c>
      <c r="I21321" s="224" t="s">
        <v>2</v>
      </c>
    </row>
    <row r="21322" spans="1:9" x14ac:dyDescent="0.25">
      <c r="A21322" s="515">
        <v>24437</v>
      </c>
      <c r="B21322" s="515" t="s">
        <v>728</v>
      </c>
      <c r="C21322" s="52">
        <v>374517.774829812</v>
      </c>
      <c r="D21322" s="56">
        <v>9.6068232553467081E-2</v>
      </c>
      <c r="E21322" s="224" t="s">
        <v>2</v>
      </c>
      <c r="F21322" s="515" t="s">
        <v>22491</v>
      </c>
      <c r="G21322" s="52">
        <v>107812.166570751</v>
      </c>
      <c r="H21322" s="56">
        <v>7.025407001100803E-2</v>
      </c>
      <c r="I21322" s="224" t="s">
        <v>2</v>
      </c>
    </row>
    <row r="21323" spans="1:9" x14ac:dyDescent="0.25">
      <c r="A21323" s="515">
        <v>73090</v>
      </c>
      <c r="B21323" s="515" t="s">
        <v>385</v>
      </c>
      <c r="C21323" s="52">
        <v>174657.21671769599</v>
      </c>
      <c r="D21323" s="56">
        <v>8.552766391325492E-2</v>
      </c>
      <c r="E21323" s="224" t="s">
        <v>2</v>
      </c>
      <c r="F21323" s="515" t="s">
        <v>22492</v>
      </c>
      <c r="G21323" s="52">
        <v>94137.819880541996</v>
      </c>
      <c r="H21323" s="56">
        <v>1.2199484466335968E-2</v>
      </c>
      <c r="I21323" s="224" t="s">
        <v>2</v>
      </c>
    </row>
    <row r="21324" spans="1:9" x14ac:dyDescent="0.25">
      <c r="A21324" s="515">
        <v>13780</v>
      </c>
      <c r="C21324" s="52">
        <v>159794.252614369</v>
      </c>
      <c r="D21324" s="56">
        <v>0.11743790531571491</v>
      </c>
      <c r="E21324" s="224" t="s">
        <v>2</v>
      </c>
      <c r="F21324" s="515" t="s">
        <v>22493</v>
      </c>
      <c r="G21324" s="52">
        <v>439111.53686730098</v>
      </c>
      <c r="H21324" s="56">
        <v>5.0163789607721783E-2</v>
      </c>
      <c r="I21324" s="224" t="s">
        <v>2</v>
      </c>
    </row>
    <row r="21325" spans="1:9" x14ac:dyDescent="0.25">
      <c r="A21325" s="515">
        <v>56120</v>
      </c>
      <c r="C21325" s="52">
        <v>181089.47776148</v>
      </c>
      <c r="D21325" s="56">
        <v>0.18595511302301315</v>
      </c>
      <c r="E21325" s="224" t="s">
        <v>2</v>
      </c>
      <c r="F21325" s="515" t="s">
        <v>22494</v>
      </c>
      <c r="G21325" s="52">
        <v>123913.55791261701</v>
      </c>
      <c r="H21325" s="56">
        <v>7.0250709612709822E-2</v>
      </c>
      <c r="I21325" s="224" t="s">
        <v>2</v>
      </c>
    </row>
    <row r="21326" spans="1:9" x14ac:dyDescent="0.25">
      <c r="A21326" s="515">
        <v>49268</v>
      </c>
      <c r="B21326" s="515" t="s">
        <v>958</v>
      </c>
      <c r="C21326" s="52">
        <v>173320.43891977301</v>
      </c>
      <c r="D21326" s="56">
        <v>9.1584101394351608E-2</v>
      </c>
      <c r="E21326" s="224" t="s">
        <v>2</v>
      </c>
      <c r="F21326" s="515" t="s">
        <v>22495</v>
      </c>
      <c r="G21326" s="52">
        <v>219760.83123575899</v>
      </c>
      <c r="H21326" s="56">
        <v>0.10603921035223646</v>
      </c>
      <c r="I21326" s="224" t="s">
        <v>2</v>
      </c>
    </row>
    <row r="21327" spans="1:9" x14ac:dyDescent="0.25">
      <c r="A21327" s="515">
        <v>42368</v>
      </c>
      <c r="C21327" s="52">
        <v>144220.27650716499</v>
      </c>
      <c r="D21327" s="56">
        <v>0.15558676680717759</v>
      </c>
      <c r="E21327" s="224" t="s">
        <v>2</v>
      </c>
      <c r="F21327" s="515" t="s">
        <v>22496</v>
      </c>
      <c r="G21327" s="52">
        <v>84400.446002046898</v>
      </c>
      <c r="H21327" s="56">
        <v>4.6574270981879787E-2</v>
      </c>
      <c r="I21327" s="224" t="s">
        <v>2</v>
      </c>
    </row>
    <row r="21328" spans="1:9" x14ac:dyDescent="0.25">
      <c r="A21328" s="515">
        <v>42371</v>
      </c>
      <c r="B21328" s="515" t="s">
        <v>1024</v>
      </c>
      <c r="C21328" s="52">
        <v>108437.48253067701</v>
      </c>
      <c r="D21328" s="56">
        <v>0.17591894810822464</v>
      </c>
      <c r="E21328" s="224" t="s">
        <v>2</v>
      </c>
      <c r="F21328" s="515" t="s">
        <v>22497</v>
      </c>
      <c r="G21328" s="52">
        <v>3407119.9901499702</v>
      </c>
      <c r="H21328" s="56">
        <v>0.18100922085926538</v>
      </c>
      <c r="I21328" s="224" t="s">
        <v>2</v>
      </c>
    </row>
    <row r="21329" spans="1:9" x14ac:dyDescent="0.25">
      <c r="A21329" s="515">
        <v>56181</v>
      </c>
      <c r="B21329" s="515" t="s">
        <v>608</v>
      </c>
      <c r="C21329" s="52">
        <v>163074.59263795201</v>
      </c>
      <c r="D21329" s="56">
        <v>7.5595492606573472E-2</v>
      </c>
      <c r="E21329" s="224" t="s">
        <v>2</v>
      </c>
      <c r="F21329" s="515" t="s">
        <v>22498</v>
      </c>
      <c r="G21329" s="52">
        <v>132466.12945589799</v>
      </c>
      <c r="H21329" s="56">
        <v>0.20730935581634308</v>
      </c>
      <c r="I21329" s="224" t="s">
        <v>2</v>
      </c>
    </row>
    <row r="21330" spans="1:9" x14ac:dyDescent="0.25">
      <c r="A21330" s="515">
        <v>5654</v>
      </c>
      <c r="B21330" s="515" t="s">
        <v>945</v>
      </c>
      <c r="C21330" s="52">
        <v>247280.361581423</v>
      </c>
      <c r="D21330" s="56">
        <v>0.17251559778126685</v>
      </c>
      <c r="E21330" s="224" t="s">
        <v>2</v>
      </c>
      <c r="F21330" s="515" t="s">
        <v>22499</v>
      </c>
      <c r="G21330" s="52">
        <v>198956.68561386899</v>
      </c>
      <c r="H21330" s="56">
        <v>2.4205459432642674E-2</v>
      </c>
      <c r="I21330" s="224" t="s">
        <v>2</v>
      </c>
    </row>
    <row r="21331" spans="1:9" x14ac:dyDescent="0.25">
      <c r="A21331" s="515">
        <v>42170</v>
      </c>
      <c r="B21331" s="515" t="s">
        <v>799</v>
      </c>
      <c r="C21331" s="52">
        <v>244794.714422647</v>
      </c>
      <c r="D21331" s="56">
        <v>0.12186068886654698</v>
      </c>
      <c r="E21331" s="224" t="s">
        <v>2</v>
      </c>
      <c r="F21331" s="515" t="s">
        <v>22500</v>
      </c>
      <c r="G21331" s="52">
        <v>523126.27844311303</v>
      </c>
      <c r="H21331" s="56">
        <v>0</v>
      </c>
      <c r="I21331" s="224" t="s">
        <v>2</v>
      </c>
    </row>
    <row r="21332" spans="1:9" x14ac:dyDescent="0.25">
      <c r="A21332" s="515">
        <v>68956</v>
      </c>
      <c r="B21332" s="515" t="s">
        <v>754</v>
      </c>
      <c r="C21332" s="52">
        <v>190352.88908717301</v>
      </c>
      <c r="D21332" s="56">
        <v>5.3620400738387163E-2</v>
      </c>
      <c r="E21332" s="224" t="s">
        <v>2</v>
      </c>
      <c r="F21332" s="515" t="s">
        <v>22501</v>
      </c>
      <c r="G21332" s="52">
        <v>113379.856654264</v>
      </c>
      <c r="H21332" s="56">
        <v>9.9161294169295477E-2</v>
      </c>
      <c r="I21332" s="224" t="s">
        <v>2</v>
      </c>
    </row>
    <row r="21333" spans="1:9" x14ac:dyDescent="0.25">
      <c r="A21333" s="515">
        <v>61912</v>
      </c>
      <c r="B21333" s="515" t="s">
        <v>853</v>
      </c>
      <c r="C21333" s="52">
        <v>93597.377650595896</v>
      </c>
      <c r="D21333" s="56">
        <v>3.1278067475993605E-2</v>
      </c>
      <c r="E21333" s="224" t="s">
        <v>2</v>
      </c>
      <c r="F21333" s="515" t="s">
        <v>22502</v>
      </c>
      <c r="G21333" s="52">
        <v>235678.50618243401</v>
      </c>
      <c r="H21333" s="56">
        <v>0</v>
      </c>
      <c r="I21333" s="224" t="s">
        <v>2</v>
      </c>
    </row>
    <row r="21334" spans="1:9" x14ac:dyDescent="0.25">
      <c r="A21334" s="515">
        <v>41817</v>
      </c>
      <c r="C21334" s="52">
        <v>91900.599282523501</v>
      </c>
      <c r="D21334" s="56">
        <v>0.22171109423662322</v>
      </c>
      <c r="E21334" s="224" t="s">
        <v>2</v>
      </c>
      <c r="F21334" s="515" t="s">
        <v>22503</v>
      </c>
      <c r="G21334" s="52">
        <v>309173.83457815798</v>
      </c>
      <c r="H21334" s="56">
        <v>7.7362737905407097E-2</v>
      </c>
      <c r="I21334" s="224" t="s">
        <v>2</v>
      </c>
    </row>
    <row r="21335" spans="1:9" x14ac:dyDescent="0.25">
      <c r="A21335" s="515">
        <v>50107</v>
      </c>
      <c r="C21335" s="52">
        <v>85769.568723334203</v>
      </c>
      <c r="D21335" s="56">
        <v>0.10150237581289694</v>
      </c>
      <c r="E21335" s="224" t="s">
        <v>2</v>
      </c>
      <c r="F21335" s="515" t="s">
        <v>22504</v>
      </c>
      <c r="G21335" s="52">
        <v>160654.72631400501</v>
      </c>
      <c r="H21335" s="56">
        <v>0.42671383886984671</v>
      </c>
      <c r="I21335" s="224" t="s">
        <v>2</v>
      </c>
    </row>
    <row r="21336" spans="1:9" x14ac:dyDescent="0.25">
      <c r="A21336" s="515">
        <v>17774</v>
      </c>
      <c r="B21336" s="515" t="s">
        <v>296</v>
      </c>
      <c r="C21336" s="52">
        <v>227103.70198422499</v>
      </c>
      <c r="D21336" s="56">
        <v>5.3756751096095783E-2</v>
      </c>
      <c r="E21336" s="224" t="s">
        <v>2</v>
      </c>
      <c r="F21336" s="515" t="s">
        <v>22505</v>
      </c>
      <c r="G21336" s="52">
        <v>110670.639851703</v>
      </c>
      <c r="H21336" s="56">
        <v>0</v>
      </c>
      <c r="I21336" s="224" t="s">
        <v>2</v>
      </c>
    </row>
    <row r="21337" spans="1:9" x14ac:dyDescent="0.25">
      <c r="A21337" s="515">
        <v>46365</v>
      </c>
      <c r="B21337" s="515" t="s">
        <v>944</v>
      </c>
      <c r="C21337" s="52">
        <v>260168.16308192399</v>
      </c>
      <c r="D21337" s="56">
        <v>7.0397219131398431E-2</v>
      </c>
      <c r="E21337" s="224" t="s">
        <v>2</v>
      </c>
      <c r="F21337" s="515" t="s">
        <v>22506</v>
      </c>
      <c r="G21337" s="52">
        <v>131044.42220584</v>
      </c>
      <c r="H21337" s="56">
        <v>0.21843336966845056</v>
      </c>
      <c r="I21337" s="224" t="s">
        <v>2</v>
      </c>
    </row>
    <row r="21338" spans="1:9" x14ac:dyDescent="0.25">
      <c r="A21338" s="515">
        <v>29518</v>
      </c>
      <c r="C21338" s="52">
        <v>119270.614360211</v>
      </c>
      <c r="D21338" s="56">
        <v>5.4634489077127736E-2</v>
      </c>
      <c r="E21338" s="224" t="s">
        <v>2</v>
      </c>
      <c r="F21338" s="515" t="s">
        <v>22507</v>
      </c>
      <c r="G21338" s="52">
        <v>148833.16058350401</v>
      </c>
      <c r="H21338" s="56">
        <v>0</v>
      </c>
      <c r="I21338" s="224" t="s">
        <v>2</v>
      </c>
    </row>
    <row r="21339" spans="1:9" x14ac:dyDescent="0.25">
      <c r="A21339" s="515">
        <v>62422</v>
      </c>
      <c r="C21339" s="52">
        <v>94401.278517062907</v>
      </c>
      <c r="D21339" s="56">
        <v>5.8751145921413492E-2</v>
      </c>
      <c r="E21339" s="224" t="s">
        <v>2</v>
      </c>
      <c r="F21339" s="515" t="s">
        <v>22508</v>
      </c>
      <c r="G21339" s="52">
        <v>412157.89310082298</v>
      </c>
      <c r="H21339" s="56">
        <v>4.8339197452459799E-2</v>
      </c>
      <c r="I21339" s="224" t="s">
        <v>2</v>
      </c>
    </row>
    <row r="21340" spans="1:9" x14ac:dyDescent="0.25">
      <c r="A21340" s="515">
        <v>68927</v>
      </c>
      <c r="C21340" s="52">
        <v>168182.60562609101</v>
      </c>
      <c r="D21340" s="56">
        <v>5.6585732231517902E-2</v>
      </c>
      <c r="E21340" s="224" t="s">
        <v>2</v>
      </c>
      <c r="F21340" s="515" t="s">
        <v>22509</v>
      </c>
      <c r="G21340" s="52">
        <v>150413.72115128901</v>
      </c>
      <c r="H21340" s="56">
        <v>7.972368099514987E-2</v>
      </c>
      <c r="I21340" s="224" t="s">
        <v>2</v>
      </c>
    </row>
    <row r="21341" spans="1:9" x14ac:dyDescent="0.25">
      <c r="A21341" s="515">
        <v>1355</v>
      </c>
      <c r="B21341" s="515" t="s">
        <v>575</v>
      </c>
      <c r="C21341" s="52">
        <v>321922.20090600802</v>
      </c>
      <c r="D21341" s="56">
        <v>7.5343669938984142E-2</v>
      </c>
      <c r="E21341" s="224" t="s">
        <v>2</v>
      </c>
      <c r="F21341" s="515" t="s">
        <v>22510</v>
      </c>
      <c r="G21341" s="52">
        <v>154018.75</v>
      </c>
      <c r="H21341" s="56">
        <v>0</v>
      </c>
      <c r="I21341" s="224" t="s">
        <v>2</v>
      </c>
    </row>
    <row r="21342" spans="1:9" x14ac:dyDescent="0.25">
      <c r="A21342" s="515">
        <v>21779</v>
      </c>
      <c r="B21342" s="515" t="s">
        <v>654</v>
      </c>
      <c r="C21342" s="52">
        <v>407980.84601605602</v>
      </c>
      <c r="D21342" s="56">
        <v>4.7437225112619899E-2</v>
      </c>
      <c r="E21342" s="224" t="s">
        <v>2</v>
      </c>
      <c r="F21342" s="515" t="s">
        <v>22511</v>
      </c>
      <c r="G21342" s="52">
        <v>149760.88225563601</v>
      </c>
      <c r="H21342" s="56">
        <v>0.18229436650985945</v>
      </c>
      <c r="I21342" s="224" t="s">
        <v>2</v>
      </c>
    </row>
    <row r="21343" spans="1:9" x14ac:dyDescent="0.25">
      <c r="A21343" s="515">
        <v>49726</v>
      </c>
      <c r="B21343" s="515" t="s">
        <v>740</v>
      </c>
      <c r="C21343" s="52">
        <v>155883.88077707399</v>
      </c>
      <c r="D21343" s="56">
        <v>9.075808562806699E-2</v>
      </c>
      <c r="E21343" s="224" t="s">
        <v>2</v>
      </c>
      <c r="F21343" s="515" t="s">
        <v>22512</v>
      </c>
      <c r="G21343" s="52">
        <v>61584.048844872901</v>
      </c>
      <c r="H21343" s="56">
        <v>6.0132744655105236E-2</v>
      </c>
      <c r="I21343" s="224" t="s">
        <v>2</v>
      </c>
    </row>
    <row r="21344" spans="1:9" x14ac:dyDescent="0.25">
      <c r="A21344" s="515">
        <v>64163</v>
      </c>
      <c r="B21344" s="515" t="s">
        <v>455</v>
      </c>
      <c r="C21344" s="52">
        <v>242499.69930347701</v>
      </c>
      <c r="D21344" s="56">
        <v>6.0912699021033759E-2</v>
      </c>
      <c r="E21344" s="224" t="s">
        <v>2</v>
      </c>
      <c r="F21344" s="515" t="s">
        <v>22513</v>
      </c>
      <c r="G21344" s="52">
        <v>263546.875</v>
      </c>
      <c r="H21344" s="56">
        <v>0</v>
      </c>
      <c r="I21344" s="224" t="s">
        <v>2</v>
      </c>
    </row>
    <row r="21345" spans="1:9" x14ac:dyDescent="0.25">
      <c r="A21345" s="515">
        <v>3592</v>
      </c>
      <c r="B21345" s="515" t="s">
        <v>752</v>
      </c>
      <c r="C21345" s="52">
        <v>239900.76991942001</v>
      </c>
      <c r="D21345" s="56">
        <v>0.15737478117596532</v>
      </c>
      <c r="E21345" s="224" t="s">
        <v>2</v>
      </c>
      <c r="F21345" s="515" t="s">
        <v>22514</v>
      </c>
      <c r="G21345" s="52">
        <v>105956.086530145</v>
      </c>
      <c r="H21345" s="56">
        <v>0.14053009451708837</v>
      </c>
      <c r="I21345" s="224" t="s">
        <v>2</v>
      </c>
    </row>
    <row r="21346" spans="1:9" x14ac:dyDescent="0.25">
      <c r="A21346" s="515">
        <v>82082</v>
      </c>
      <c r="B21346" s="515" t="s">
        <v>639</v>
      </c>
      <c r="C21346" s="52">
        <v>278473.10657313198</v>
      </c>
      <c r="D21346" s="56">
        <v>9.8181704729639625E-3</v>
      </c>
      <c r="E21346" s="224" t="s">
        <v>2</v>
      </c>
      <c r="F21346" s="515" t="s">
        <v>22515</v>
      </c>
      <c r="G21346" s="52">
        <v>243000.40625</v>
      </c>
      <c r="H21346" s="56">
        <v>0</v>
      </c>
      <c r="I21346" s="224" t="s">
        <v>2</v>
      </c>
    </row>
    <row r="21347" spans="1:9" x14ac:dyDescent="0.25">
      <c r="A21347" s="515">
        <v>22437</v>
      </c>
      <c r="C21347" s="52">
        <v>253583.566587915</v>
      </c>
      <c r="D21347" s="56">
        <v>0.15263168557874005</v>
      </c>
      <c r="E21347" s="224" t="s">
        <v>2</v>
      </c>
      <c r="F21347" s="515" t="s">
        <v>22516</v>
      </c>
      <c r="G21347" s="52">
        <v>133498.24998042799</v>
      </c>
      <c r="H21347" s="56">
        <v>0.42229392952298805</v>
      </c>
      <c r="I21347" s="224" t="s">
        <v>2</v>
      </c>
    </row>
    <row r="21348" spans="1:9" x14ac:dyDescent="0.25">
      <c r="A21348" s="515">
        <v>73626</v>
      </c>
      <c r="C21348" s="52">
        <v>139170.09479666399</v>
      </c>
      <c r="D21348" s="56">
        <v>7.4267433620781434E-2</v>
      </c>
      <c r="E21348" s="224" t="s">
        <v>2</v>
      </c>
      <c r="F21348" s="515" t="s">
        <v>22517</v>
      </c>
      <c r="G21348" s="52">
        <v>138008.477170817</v>
      </c>
      <c r="H21348" s="56">
        <v>7.6022332798530712E-2</v>
      </c>
      <c r="I21348" s="224" t="s">
        <v>2</v>
      </c>
    </row>
    <row r="21349" spans="1:9" x14ac:dyDescent="0.25">
      <c r="A21349" s="515">
        <v>43549</v>
      </c>
      <c r="B21349" s="515" t="s">
        <v>583</v>
      </c>
      <c r="C21349" s="52">
        <v>168827.784082108</v>
      </c>
      <c r="D21349" s="56">
        <v>6.9981013177591422E-2</v>
      </c>
      <c r="E21349" s="224" t="s">
        <v>2</v>
      </c>
      <c r="F21349" s="515" t="s">
        <v>22518</v>
      </c>
      <c r="G21349" s="52">
        <v>208718.62499873</v>
      </c>
      <c r="H21349" s="56">
        <v>0.10599128540800866</v>
      </c>
      <c r="I21349" s="224" t="s">
        <v>2</v>
      </c>
    </row>
    <row r="21350" spans="1:9" x14ac:dyDescent="0.25">
      <c r="A21350" s="515">
        <v>39427</v>
      </c>
      <c r="C21350" s="52">
        <v>96352.067334322099</v>
      </c>
      <c r="D21350" s="56">
        <v>0</v>
      </c>
      <c r="E21350" s="224" t="s">
        <v>2</v>
      </c>
      <c r="F21350" s="515" t="s">
        <v>22519</v>
      </c>
      <c r="G21350" s="52">
        <v>298675.70700159</v>
      </c>
      <c r="H21350" s="56">
        <v>2.3979696701819268E-2</v>
      </c>
      <c r="I21350" s="224" t="s">
        <v>2</v>
      </c>
    </row>
    <row r="21351" spans="1:9" x14ac:dyDescent="0.25">
      <c r="A21351" s="515">
        <v>54858</v>
      </c>
      <c r="C21351" s="52">
        <v>232377.31673994299</v>
      </c>
      <c r="D21351" s="56">
        <v>5.9957166106257426E-2</v>
      </c>
      <c r="E21351" s="224" t="s">
        <v>2</v>
      </c>
      <c r="F21351" s="515" t="s">
        <v>22520</v>
      </c>
      <c r="G21351" s="52">
        <v>110657.513434462</v>
      </c>
      <c r="H21351" s="56">
        <v>7.4236786002723099E-2</v>
      </c>
      <c r="I21351" s="224" t="s">
        <v>2</v>
      </c>
    </row>
    <row r="21352" spans="1:9" x14ac:dyDescent="0.25">
      <c r="A21352" s="515">
        <v>51053</v>
      </c>
      <c r="C21352" s="52">
        <v>124490.061009653</v>
      </c>
      <c r="D21352" s="56">
        <v>0.13753266759399238</v>
      </c>
      <c r="E21352" s="224" t="s">
        <v>2</v>
      </c>
      <c r="F21352" s="515" t="s">
        <v>22521</v>
      </c>
      <c r="G21352" s="52">
        <v>123733.851782183</v>
      </c>
      <c r="H21352" s="56">
        <v>0.17050608018359112</v>
      </c>
      <c r="I21352" s="224" t="s">
        <v>2</v>
      </c>
    </row>
    <row r="21353" spans="1:9" x14ac:dyDescent="0.25">
      <c r="A21353" s="515">
        <v>5830</v>
      </c>
      <c r="C21353" s="52">
        <v>192799.45989304199</v>
      </c>
      <c r="D21353" s="56">
        <v>8.4189829582899639E-2</v>
      </c>
      <c r="E21353" s="224" t="s">
        <v>2</v>
      </c>
      <c r="F21353" s="515" t="s">
        <v>22522</v>
      </c>
      <c r="G21353" s="52">
        <v>352787.636660352</v>
      </c>
      <c r="H21353" s="56">
        <v>0.11222326986980728</v>
      </c>
      <c r="I21353" s="224" t="s">
        <v>2</v>
      </c>
    </row>
    <row r="21354" spans="1:9" x14ac:dyDescent="0.25">
      <c r="A21354" s="515">
        <v>65658</v>
      </c>
      <c r="C21354" s="52">
        <v>269115.117121724</v>
      </c>
      <c r="D21354" s="56">
        <v>0.12118685016346309</v>
      </c>
      <c r="E21354" s="224" t="s">
        <v>2</v>
      </c>
      <c r="F21354" s="515" t="s">
        <v>22523</v>
      </c>
      <c r="G21354" s="52">
        <v>79169.2532900566</v>
      </c>
      <c r="H21354" s="56">
        <v>0.17133374277461419</v>
      </c>
      <c r="I21354" s="224" t="s">
        <v>2</v>
      </c>
    </row>
    <row r="21355" spans="1:9" x14ac:dyDescent="0.25">
      <c r="A21355" s="515">
        <v>35459</v>
      </c>
      <c r="C21355" s="52">
        <v>147773.489361702</v>
      </c>
      <c r="D21355" s="56">
        <v>0</v>
      </c>
      <c r="E21355" s="224" t="s">
        <v>2</v>
      </c>
      <c r="F21355" s="515" t="s">
        <v>22524</v>
      </c>
      <c r="G21355" s="52">
        <v>140835.42756386599</v>
      </c>
      <c r="H21355" s="56">
        <v>8.2925508577676388E-2</v>
      </c>
      <c r="I21355" s="224" t="s">
        <v>2</v>
      </c>
    </row>
    <row r="21356" spans="1:9" x14ac:dyDescent="0.25">
      <c r="A21356" s="515">
        <v>19964</v>
      </c>
      <c r="B21356" s="515" t="s">
        <v>410</v>
      </c>
      <c r="C21356" s="52">
        <v>292508.68122746103</v>
      </c>
      <c r="D21356" s="56">
        <v>8.3833472245268714E-2</v>
      </c>
      <c r="E21356" s="224" t="s">
        <v>2</v>
      </c>
      <c r="F21356" s="515" t="s">
        <v>22525</v>
      </c>
      <c r="G21356" s="52">
        <v>85682.148380489001</v>
      </c>
      <c r="H21356" s="56">
        <v>0.11173590133612193</v>
      </c>
      <c r="I21356" s="224" t="s">
        <v>2</v>
      </c>
    </row>
    <row r="21357" spans="1:9" x14ac:dyDescent="0.25">
      <c r="A21357" s="515">
        <v>21654</v>
      </c>
      <c r="B21357" s="515" t="s">
        <v>519</v>
      </c>
      <c r="C21357" s="52">
        <v>775188.10002805095</v>
      </c>
      <c r="D21357" s="56">
        <v>2.7161082073467381E-2</v>
      </c>
      <c r="E21357" s="224" t="s">
        <v>2</v>
      </c>
      <c r="F21357" s="515" t="s">
        <v>22526</v>
      </c>
      <c r="G21357" s="52">
        <v>95825.772658032598</v>
      </c>
      <c r="H21357" s="56">
        <v>0.36210969608225663</v>
      </c>
      <c r="I21357" s="224" t="s">
        <v>2</v>
      </c>
    </row>
    <row r="21358" spans="1:9" x14ac:dyDescent="0.25">
      <c r="A21358" s="515">
        <v>41776</v>
      </c>
      <c r="C21358" s="52">
        <v>74983.299855729798</v>
      </c>
      <c r="D21358" s="56">
        <v>0.32397298237713207</v>
      </c>
      <c r="E21358" s="224" t="s">
        <v>2</v>
      </c>
      <c r="F21358" s="515" t="s">
        <v>22527</v>
      </c>
      <c r="G21358" s="52">
        <v>360243.49206408102</v>
      </c>
      <c r="H21358" s="56">
        <v>2.8021888071214876E-2</v>
      </c>
      <c r="I21358" s="224" t="s">
        <v>2</v>
      </c>
    </row>
    <row r="21359" spans="1:9" x14ac:dyDescent="0.25">
      <c r="A21359" s="515">
        <v>55310</v>
      </c>
      <c r="C21359" s="52">
        <v>155166.21917880201</v>
      </c>
      <c r="D21359" s="56">
        <v>5.0193626556063013E-2</v>
      </c>
      <c r="E21359" s="224" t="s">
        <v>2</v>
      </c>
      <c r="F21359" s="515" t="s">
        <v>22528</v>
      </c>
      <c r="G21359" s="52">
        <v>419568.245876937</v>
      </c>
      <c r="H21359" s="56">
        <v>0.18618533155701453</v>
      </c>
      <c r="I21359" s="224" t="s">
        <v>2</v>
      </c>
    </row>
    <row r="21360" spans="1:9" x14ac:dyDescent="0.25">
      <c r="A21360" s="515">
        <v>5039</v>
      </c>
      <c r="B21360" s="515" t="s">
        <v>420</v>
      </c>
      <c r="C21360" s="52">
        <v>273560.25889697601</v>
      </c>
      <c r="D21360" s="56">
        <v>0.12680182285470484</v>
      </c>
      <c r="E21360" s="224" t="s">
        <v>2</v>
      </c>
      <c r="F21360" s="515" t="s">
        <v>22529</v>
      </c>
      <c r="G21360" s="52">
        <v>225094.10859085401</v>
      </c>
      <c r="H21360" s="56">
        <v>0.28024535834042402</v>
      </c>
      <c r="I21360" s="224" t="s">
        <v>2</v>
      </c>
    </row>
    <row r="21361" spans="1:9" x14ac:dyDescent="0.25">
      <c r="A21361" s="515">
        <v>50625</v>
      </c>
      <c r="C21361" s="52">
        <v>107528.84783506099</v>
      </c>
      <c r="D21361" s="56">
        <v>0.13820081664040107</v>
      </c>
      <c r="E21361" s="224" t="s">
        <v>2</v>
      </c>
      <c r="F21361" s="515" t="s">
        <v>22530</v>
      </c>
      <c r="G21361" s="52">
        <v>126574.56718261501</v>
      </c>
      <c r="H21361" s="56">
        <v>2.1105338653274394E-2</v>
      </c>
      <c r="I21361" s="224" t="s">
        <v>2</v>
      </c>
    </row>
    <row r="21362" spans="1:9" x14ac:dyDescent="0.25">
      <c r="A21362" s="515">
        <v>85637</v>
      </c>
      <c r="B21362" s="515" t="s">
        <v>720</v>
      </c>
      <c r="C21362" s="52">
        <v>505876.14764986199</v>
      </c>
      <c r="D21362" s="56">
        <v>5.0792239413823263E-2</v>
      </c>
      <c r="E21362" s="224" t="s">
        <v>2</v>
      </c>
      <c r="F21362" s="515" t="s">
        <v>22531</v>
      </c>
      <c r="G21362" s="52">
        <v>108165.285177281</v>
      </c>
      <c r="H21362" s="56">
        <v>0.13932665012191975</v>
      </c>
      <c r="I21362" s="224" t="s">
        <v>2</v>
      </c>
    </row>
    <row r="21363" spans="1:9" x14ac:dyDescent="0.25">
      <c r="A21363" s="515">
        <v>12029</v>
      </c>
      <c r="B21363" s="515" t="s">
        <v>564</v>
      </c>
      <c r="C21363" s="52">
        <v>420576.110997129</v>
      </c>
      <c r="D21363" s="56">
        <v>8.4869003868447479E-2</v>
      </c>
      <c r="E21363" s="224" t="s">
        <v>2</v>
      </c>
      <c r="F21363" s="515" t="s">
        <v>22532</v>
      </c>
      <c r="G21363" s="52">
        <v>377045.80311461602</v>
      </c>
      <c r="H21363" s="56">
        <v>7.355577006823065E-2</v>
      </c>
      <c r="I21363" s="224" t="s">
        <v>2</v>
      </c>
    </row>
    <row r="21364" spans="1:9" x14ac:dyDescent="0.25">
      <c r="A21364" s="515">
        <v>3230</v>
      </c>
      <c r="B21364" s="515" t="s">
        <v>981</v>
      </c>
      <c r="C21364" s="52">
        <v>289746.71025009197</v>
      </c>
      <c r="D21364" s="56">
        <v>0.16289193751958056</v>
      </c>
      <c r="E21364" s="224" t="s">
        <v>2</v>
      </c>
      <c r="F21364" s="515" t="s">
        <v>22533</v>
      </c>
      <c r="G21364" s="52">
        <v>199324.99172861699</v>
      </c>
      <c r="H21364" s="56">
        <v>5.8370620710292941E-2</v>
      </c>
      <c r="I21364" s="224" t="s">
        <v>2</v>
      </c>
    </row>
    <row r="21365" spans="1:9" x14ac:dyDescent="0.25">
      <c r="A21365" s="515">
        <v>25607</v>
      </c>
      <c r="B21365" s="515" t="s">
        <v>464</v>
      </c>
      <c r="C21365" s="52">
        <v>80408.463112739104</v>
      </c>
      <c r="D21365" s="56">
        <v>0.12685414529790037</v>
      </c>
      <c r="E21365" s="224" t="s">
        <v>2</v>
      </c>
      <c r="F21365" s="515" t="s">
        <v>22534</v>
      </c>
      <c r="G21365" s="52">
        <v>146033.15500698099</v>
      </c>
      <c r="H21365" s="56">
        <v>0</v>
      </c>
      <c r="I21365" s="224" t="s">
        <v>2</v>
      </c>
    </row>
    <row r="21366" spans="1:9" x14ac:dyDescent="0.25">
      <c r="A21366" s="515">
        <v>64035</v>
      </c>
      <c r="B21366" s="515" t="s">
        <v>455</v>
      </c>
      <c r="C21366" s="52">
        <v>136709.09116930899</v>
      </c>
      <c r="D21366" s="56">
        <v>8.7234335992456488E-2</v>
      </c>
      <c r="E21366" s="224" t="s">
        <v>2</v>
      </c>
      <c r="F21366" s="515" t="s">
        <v>22535</v>
      </c>
      <c r="G21366" s="52">
        <v>134079.01000807399</v>
      </c>
      <c r="H21366" s="56">
        <v>0.10473841705798873</v>
      </c>
      <c r="I21366" s="224" t="s">
        <v>2</v>
      </c>
    </row>
    <row r="21367" spans="1:9" x14ac:dyDescent="0.25">
      <c r="A21367" s="515">
        <v>68863</v>
      </c>
      <c r="B21367" s="515" t="s">
        <v>680</v>
      </c>
      <c r="C21367" s="52">
        <v>162186.62822228399</v>
      </c>
      <c r="D21367" s="56">
        <v>5.6450831397397705E-2</v>
      </c>
      <c r="E21367" s="224" t="s">
        <v>2</v>
      </c>
      <c r="F21367" s="515" t="s">
        <v>22536</v>
      </c>
      <c r="G21367" s="52">
        <v>218179.094347342</v>
      </c>
      <c r="H21367" s="56">
        <v>0</v>
      </c>
      <c r="I21367" s="224" t="s">
        <v>2</v>
      </c>
    </row>
    <row r="21368" spans="1:9" x14ac:dyDescent="0.25">
      <c r="A21368" s="515">
        <v>62988</v>
      </c>
      <c r="B21368" s="515" t="s">
        <v>424</v>
      </c>
      <c r="C21368" s="52">
        <v>63709.442397234801</v>
      </c>
      <c r="D21368" s="56">
        <v>8.1553739073016579E-2</v>
      </c>
      <c r="E21368" s="224" t="s">
        <v>2</v>
      </c>
      <c r="F21368" s="515" t="s">
        <v>22537</v>
      </c>
      <c r="G21368" s="52">
        <v>324329.72222222202</v>
      </c>
      <c r="H21368" s="56">
        <v>0</v>
      </c>
      <c r="I21368" s="224" t="s">
        <v>2</v>
      </c>
    </row>
    <row r="21369" spans="1:9" x14ac:dyDescent="0.25">
      <c r="A21369" s="515">
        <v>3905</v>
      </c>
      <c r="B21369" s="515" t="s">
        <v>570</v>
      </c>
      <c r="C21369" s="52">
        <v>691579.58039578504</v>
      </c>
      <c r="D21369" s="56">
        <v>0.1051374016979887</v>
      </c>
      <c r="E21369" s="224" t="s">
        <v>2</v>
      </c>
      <c r="F21369" s="515" t="s">
        <v>22538</v>
      </c>
      <c r="G21369" s="52">
        <v>998574.16858928802</v>
      </c>
      <c r="H21369" s="56">
        <v>6.8187920875581939E-2</v>
      </c>
      <c r="I21369" s="224" t="s">
        <v>2</v>
      </c>
    </row>
    <row r="21370" spans="1:9" x14ac:dyDescent="0.25">
      <c r="A21370" s="515">
        <v>73079</v>
      </c>
      <c r="B21370" s="515" t="s">
        <v>385</v>
      </c>
      <c r="C21370" s="52">
        <v>205325.51793086599</v>
      </c>
      <c r="D21370" s="56">
        <v>6.5626973887536744E-2</v>
      </c>
      <c r="E21370" s="224" t="s">
        <v>2</v>
      </c>
      <c r="F21370" s="515" t="s">
        <v>22539</v>
      </c>
      <c r="G21370" s="52">
        <v>190438.97159291801</v>
      </c>
      <c r="H21370" s="56">
        <v>4.6214743011073652E-2</v>
      </c>
      <c r="I21370" s="224" t="s">
        <v>2</v>
      </c>
    </row>
    <row r="21371" spans="1:9" x14ac:dyDescent="0.25">
      <c r="A21371" s="515">
        <v>61420</v>
      </c>
      <c r="B21371" s="515" t="s">
        <v>493</v>
      </c>
      <c r="C21371" s="52">
        <v>74325.448508741902</v>
      </c>
      <c r="D21371" s="56">
        <v>2.4041834177427109E-2</v>
      </c>
      <c r="E21371" s="224" t="s">
        <v>2</v>
      </c>
      <c r="F21371" s="515" t="s">
        <v>22540</v>
      </c>
      <c r="G21371" s="52">
        <v>234796.39378062301</v>
      </c>
      <c r="H21371" s="56">
        <v>5.9014593331918025E-2</v>
      </c>
      <c r="I21371" s="224" t="s">
        <v>2</v>
      </c>
    </row>
    <row r="21372" spans="1:9" x14ac:dyDescent="0.25">
      <c r="A21372" s="515">
        <v>64866</v>
      </c>
      <c r="B21372" s="515" t="s">
        <v>784</v>
      </c>
      <c r="C21372" s="52">
        <v>202595.42107357099</v>
      </c>
      <c r="D21372" s="56">
        <v>0.20415575545891168</v>
      </c>
      <c r="E21372" s="224" t="s">
        <v>2</v>
      </c>
      <c r="F21372" s="515" t="s">
        <v>22541</v>
      </c>
      <c r="G21372" s="52">
        <v>90533.150517965099</v>
      </c>
      <c r="H21372" s="56">
        <v>0.13816444322407453</v>
      </c>
      <c r="I21372" s="224" t="s">
        <v>2</v>
      </c>
    </row>
    <row r="21373" spans="1:9" x14ac:dyDescent="0.25">
      <c r="A21373" s="515">
        <v>14731</v>
      </c>
      <c r="B21373" s="515" t="s">
        <v>870</v>
      </c>
      <c r="C21373" s="52">
        <v>339085.50378260697</v>
      </c>
      <c r="D21373" s="56">
        <v>0.12341293338521701</v>
      </c>
      <c r="E21373" s="224" t="s">
        <v>2</v>
      </c>
      <c r="F21373" s="515" t="s">
        <v>22542</v>
      </c>
      <c r="G21373" s="52">
        <v>506745.67394334002</v>
      </c>
      <c r="H21373" s="56">
        <v>0.11262185721507191</v>
      </c>
      <c r="I21373" s="224" t="s">
        <v>2</v>
      </c>
    </row>
    <row r="21374" spans="1:9" x14ac:dyDescent="0.25">
      <c r="A21374" s="515">
        <v>84061</v>
      </c>
      <c r="B21374" s="515" t="s">
        <v>502</v>
      </c>
      <c r="C21374" s="52">
        <v>879057.97019629204</v>
      </c>
      <c r="D21374" s="56">
        <v>0</v>
      </c>
      <c r="E21374" s="224" t="s">
        <v>2</v>
      </c>
      <c r="F21374" s="515" t="s">
        <v>22543</v>
      </c>
      <c r="G21374" s="52">
        <v>478739.34071321198</v>
      </c>
      <c r="H21374" s="56">
        <v>7.8133389427404651E-2</v>
      </c>
      <c r="I21374" s="224" t="s">
        <v>2</v>
      </c>
    </row>
    <row r="21375" spans="1:9" x14ac:dyDescent="0.25">
      <c r="A21375" s="515">
        <v>67228</v>
      </c>
      <c r="B21375" s="515" t="s">
        <v>485</v>
      </c>
      <c r="C21375" s="52">
        <v>432005.11208373302</v>
      </c>
      <c r="D21375" s="56">
        <v>5.3500927623882408E-2</v>
      </c>
      <c r="E21375" s="224" t="s">
        <v>2</v>
      </c>
      <c r="F21375" s="515" t="s">
        <v>22544</v>
      </c>
      <c r="G21375" s="52">
        <v>411466.03448275803</v>
      </c>
      <c r="H21375" s="56">
        <v>0</v>
      </c>
      <c r="I21375" s="224" t="s">
        <v>2</v>
      </c>
    </row>
    <row r="21376" spans="1:9" x14ac:dyDescent="0.25">
      <c r="A21376" s="515">
        <v>62094</v>
      </c>
      <c r="C21376" s="52">
        <v>54120.596737801898</v>
      </c>
      <c r="D21376" s="56">
        <v>5.9430558425142374E-2</v>
      </c>
      <c r="E21376" s="224" t="s">
        <v>2</v>
      </c>
      <c r="F21376" s="515" t="s">
        <v>22545</v>
      </c>
      <c r="G21376" s="52">
        <v>112040.723208022</v>
      </c>
      <c r="H21376" s="56">
        <v>9.1052443811590625E-2</v>
      </c>
      <c r="I21376" s="224" t="s">
        <v>2</v>
      </c>
    </row>
    <row r="21377" spans="1:9" x14ac:dyDescent="0.25">
      <c r="A21377" s="515">
        <v>6794</v>
      </c>
      <c r="B21377" s="515" t="s">
        <v>559</v>
      </c>
      <c r="C21377" s="52">
        <v>689435.63349440298</v>
      </c>
      <c r="D21377" s="56">
        <v>9.4970109633537164E-2</v>
      </c>
      <c r="E21377" s="224" t="s">
        <v>2</v>
      </c>
      <c r="F21377" s="515" t="s">
        <v>22546</v>
      </c>
      <c r="G21377" s="52">
        <v>135742.085893165</v>
      </c>
      <c r="H21377" s="56">
        <v>0</v>
      </c>
      <c r="I21377" s="224" t="s">
        <v>2</v>
      </c>
    </row>
    <row r="21378" spans="1:9" x14ac:dyDescent="0.25">
      <c r="A21378" s="515">
        <v>39149</v>
      </c>
      <c r="B21378" s="515" t="s">
        <v>851</v>
      </c>
      <c r="C21378" s="52">
        <v>103660.65773304499</v>
      </c>
      <c r="D21378" s="56">
        <v>-6.7346249540764513E-2</v>
      </c>
      <c r="E21378" s="224" t="s">
        <v>2</v>
      </c>
      <c r="F21378" s="515" t="s">
        <v>22547</v>
      </c>
      <c r="G21378" s="52">
        <v>424990.14963005</v>
      </c>
      <c r="H21378" s="56">
        <v>0.12603414797567492</v>
      </c>
      <c r="I21378" s="224" t="s">
        <v>2</v>
      </c>
    </row>
    <row r="21379" spans="1:9" x14ac:dyDescent="0.25">
      <c r="A21379" s="515">
        <v>25521</v>
      </c>
      <c r="B21379" s="515" t="s">
        <v>322</v>
      </c>
      <c r="C21379" s="52">
        <v>117036.821802294</v>
      </c>
      <c r="D21379" s="56">
        <v>0.15380514349359298</v>
      </c>
      <c r="E21379" s="224" t="s">
        <v>2</v>
      </c>
      <c r="F21379" s="515" t="s">
        <v>22548</v>
      </c>
      <c r="G21379" s="52">
        <v>373119.44786826702</v>
      </c>
      <c r="H21379" s="56">
        <v>0.20761570144147254</v>
      </c>
      <c r="I21379" s="224" t="s">
        <v>2</v>
      </c>
    </row>
    <row r="21380" spans="1:9" x14ac:dyDescent="0.25">
      <c r="A21380" s="515">
        <v>56052</v>
      </c>
      <c r="B21380" s="515" t="s">
        <v>504</v>
      </c>
      <c r="C21380" s="52">
        <v>349519.87810567301</v>
      </c>
      <c r="D21380" s="56">
        <v>0.1421613730223257</v>
      </c>
      <c r="E21380" s="224" t="s">
        <v>2</v>
      </c>
      <c r="F21380" s="515" t="s">
        <v>22549</v>
      </c>
      <c r="G21380" s="52">
        <v>46248.9856240808</v>
      </c>
      <c r="H21380" s="56">
        <v>0.11389290123298604</v>
      </c>
      <c r="I21380" s="224" t="s">
        <v>2</v>
      </c>
    </row>
    <row r="21381" spans="1:9" x14ac:dyDescent="0.25">
      <c r="A21381" s="515">
        <v>26801</v>
      </c>
      <c r="C21381" s="52">
        <v>209500.61725166099</v>
      </c>
      <c r="D21381" s="56">
        <v>5.3499327544887787E-2</v>
      </c>
      <c r="E21381" s="224" t="s">
        <v>2</v>
      </c>
      <c r="F21381" s="515" t="s">
        <v>22550</v>
      </c>
      <c r="G21381" s="52">
        <v>141091.038555798</v>
      </c>
      <c r="H21381" s="56">
        <v>0</v>
      </c>
      <c r="I21381" s="224" t="s">
        <v>2</v>
      </c>
    </row>
    <row r="21382" spans="1:9" x14ac:dyDescent="0.25">
      <c r="A21382" s="515">
        <v>49880</v>
      </c>
      <c r="B21382" s="515" t="s">
        <v>713</v>
      </c>
      <c r="C21382" s="52">
        <v>125011.246739892</v>
      </c>
      <c r="D21382" s="56">
        <v>8.3366789256253696E-2</v>
      </c>
      <c r="E21382" s="224" t="s">
        <v>2</v>
      </c>
      <c r="F21382" s="515" t="s">
        <v>22551</v>
      </c>
      <c r="G21382" s="52">
        <v>235125.24755540799</v>
      </c>
      <c r="H21382" s="56">
        <v>0.19568304736460701</v>
      </c>
      <c r="I21382" s="224" t="s">
        <v>2</v>
      </c>
    </row>
    <row r="21383" spans="1:9" x14ac:dyDescent="0.25">
      <c r="A21383" s="515">
        <v>59414</v>
      </c>
      <c r="B21383" s="515" t="s">
        <v>373</v>
      </c>
      <c r="C21383" s="52">
        <v>188584.80004113901</v>
      </c>
      <c r="D21383" s="56">
        <v>7.2564756197047969E-2</v>
      </c>
      <c r="E21383" s="224" t="s">
        <v>2</v>
      </c>
      <c r="F21383" s="515" t="s">
        <v>22552</v>
      </c>
      <c r="G21383" s="52">
        <v>98044.393535591706</v>
      </c>
      <c r="H21383" s="56">
        <v>0.10200583770508163</v>
      </c>
      <c r="I21383" s="224" t="s">
        <v>2</v>
      </c>
    </row>
    <row r="21384" spans="1:9" x14ac:dyDescent="0.25">
      <c r="A21384" s="515">
        <v>56271</v>
      </c>
      <c r="C21384" s="52">
        <v>196858.58766607899</v>
      </c>
      <c r="D21384" s="56">
        <v>3.3686649930844826E-3</v>
      </c>
      <c r="E21384" s="224" t="s">
        <v>2</v>
      </c>
      <c r="F21384" s="515" t="s">
        <v>22553</v>
      </c>
      <c r="G21384" s="52">
        <v>175725.95243042501</v>
      </c>
      <c r="H21384" s="56">
        <v>5.7590471531659637E-2</v>
      </c>
      <c r="I21384" s="224" t="s">
        <v>2</v>
      </c>
    </row>
    <row r="21385" spans="1:9" x14ac:dyDescent="0.25">
      <c r="A21385" s="515">
        <v>61501</v>
      </c>
      <c r="B21385" s="515" t="s">
        <v>303</v>
      </c>
      <c r="C21385" s="52">
        <v>58753.400809169703</v>
      </c>
      <c r="D21385" s="56">
        <v>-2.3605077687587853E-2</v>
      </c>
      <c r="E21385" s="224" t="s">
        <v>2</v>
      </c>
      <c r="F21385" s="515" t="s">
        <v>22554</v>
      </c>
      <c r="G21385" s="52">
        <v>252661.23040285899</v>
      </c>
      <c r="H21385" s="56">
        <v>4.5640169802980218E-2</v>
      </c>
      <c r="I21385" s="224" t="s">
        <v>2</v>
      </c>
    </row>
    <row r="21386" spans="1:9" x14ac:dyDescent="0.25">
      <c r="A21386" s="515">
        <v>52171</v>
      </c>
      <c r="C21386" s="52">
        <v>191538.65361223801</v>
      </c>
      <c r="D21386" s="56">
        <v>0.20967301257045617</v>
      </c>
      <c r="E21386" s="224" t="s">
        <v>2</v>
      </c>
      <c r="F21386" s="515" t="s">
        <v>22555</v>
      </c>
      <c r="G21386" s="52">
        <v>142379.616380552</v>
      </c>
      <c r="H21386" s="56">
        <v>7.5282722071848412E-2</v>
      </c>
      <c r="I21386" s="224" t="s">
        <v>2</v>
      </c>
    </row>
    <row r="21387" spans="1:9" x14ac:dyDescent="0.25">
      <c r="A21387" s="515">
        <v>50268</v>
      </c>
      <c r="C21387" s="52">
        <v>75097.514162958003</v>
      </c>
      <c r="D21387" s="56">
        <v>0</v>
      </c>
      <c r="E21387" s="224" t="s">
        <v>2</v>
      </c>
      <c r="F21387" s="515" t="s">
        <v>22556</v>
      </c>
      <c r="G21387" s="52">
        <v>92273.569945644296</v>
      </c>
      <c r="H21387" s="56">
        <v>0.14108854720745631</v>
      </c>
      <c r="I21387" s="224" t="s">
        <v>2</v>
      </c>
    </row>
    <row r="21388" spans="1:9" x14ac:dyDescent="0.25">
      <c r="A21388" s="515">
        <v>88041</v>
      </c>
      <c r="B21388" s="515" t="s">
        <v>423</v>
      </c>
      <c r="C21388" s="52">
        <v>134723.08861329101</v>
      </c>
      <c r="D21388" s="56">
        <v>7.7990002768031183E-2</v>
      </c>
      <c r="E21388" s="224" t="s">
        <v>2</v>
      </c>
      <c r="F21388" s="515" t="s">
        <v>22557</v>
      </c>
      <c r="G21388" s="52">
        <v>155597.80928034199</v>
      </c>
      <c r="H21388" s="56">
        <v>0.21487191201106756</v>
      </c>
      <c r="I21388" s="224" t="s">
        <v>2</v>
      </c>
    </row>
    <row r="21389" spans="1:9" x14ac:dyDescent="0.25">
      <c r="A21389" s="515">
        <v>61325</v>
      </c>
      <c r="B21389" s="515" t="s">
        <v>556</v>
      </c>
      <c r="C21389" s="52">
        <v>150991.39034662899</v>
      </c>
      <c r="D21389" s="56">
        <v>3.4331486163487732E-2</v>
      </c>
      <c r="E21389" s="224" t="s">
        <v>2</v>
      </c>
      <c r="F21389" s="515" t="s">
        <v>22558</v>
      </c>
      <c r="G21389" s="52">
        <v>2270052.47730385</v>
      </c>
      <c r="H21389" s="56">
        <v>0.21604323869158798</v>
      </c>
      <c r="I21389" s="224" t="s">
        <v>2</v>
      </c>
    </row>
    <row r="21390" spans="1:9" x14ac:dyDescent="0.25">
      <c r="A21390" s="515">
        <v>40104</v>
      </c>
      <c r="B21390" s="515" t="s">
        <v>671</v>
      </c>
      <c r="C21390" s="52">
        <v>176457.43274422199</v>
      </c>
      <c r="D21390" s="56">
        <v>5.5896606246830342E-2</v>
      </c>
      <c r="E21390" s="224" t="s">
        <v>2</v>
      </c>
      <c r="F21390" s="515" t="s">
        <v>22559</v>
      </c>
      <c r="G21390" s="52">
        <v>62023.434999620797</v>
      </c>
      <c r="H21390" s="56">
        <v>9.0420117631447555E-2</v>
      </c>
      <c r="I21390" s="224" t="s">
        <v>2</v>
      </c>
    </row>
    <row r="21391" spans="1:9" x14ac:dyDescent="0.25">
      <c r="A21391" s="515">
        <v>37828</v>
      </c>
      <c r="B21391" s="515" t="s">
        <v>907</v>
      </c>
      <c r="C21391" s="52">
        <v>300737.254706309</v>
      </c>
      <c r="D21391" s="56">
        <v>7.5829466351959127E-2</v>
      </c>
      <c r="E21391" s="224" t="s">
        <v>2</v>
      </c>
      <c r="F21391" s="515" t="s">
        <v>22560</v>
      </c>
      <c r="G21391" s="52">
        <v>138084.20458180801</v>
      </c>
      <c r="H21391" s="56">
        <v>7.4263996921498293E-2</v>
      </c>
      <c r="I21391" s="224" t="s">
        <v>2</v>
      </c>
    </row>
    <row r="21392" spans="1:9" x14ac:dyDescent="0.25">
      <c r="A21392" s="515">
        <v>64146</v>
      </c>
      <c r="B21392" s="515" t="s">
        <v>455</v>
      </c>
      <c r="C21392" s="52">
        <v>251294.419242495</v>
      </c>
      <c r="D21392" s="56">
        <v>6.5114691535487143E-2</v>
      </c>
      <c r="E21392" s="224" t="s">
        <v>2</v>
      </c>
      <c r="F21392" s="515" t="s">
        <v>22561</v>
      </c>
      <c r="G21392" s="52">
        <v>383018.87298547901</v>
      </c>
      <c r="H21392" s="56">
        <v>0.23843264583759954</v>
      </c>
      <c r="I21392" s="224" t="s">
        <v>2</v>
      </c>
    </row>
    <row r="21393" spans="1:9" x14ac:dyDescent="0.25">
      <c r="A21393" s="515">
        <v>12959</v>
      </c>
      <c r="B21393" s="515" t="s">
        <v>395</v>
      </c>
      <c r="C21393" s="52">
        <v>155037.38243112899</v>
      </c>
      <c r="D21393" s="56">
        <v>0.11268460517083631</v>
      </c>
      <c r="E21393" s="224" t="s">
        <v>2</v>
      </c>
      <c r="F21393" s="515" t="s">
        <v>22562</v>
      </c>
      <c r="G21393" s="52">
        <v>44778.651554829601</v>
      </c>
      <c r="H21393" s="56">
        <v>-7.0927399986658687E-2</v>
      </c>
      <c r="I21393" s="224" t="s">
        <v>2</v>
      </c>
    </row>
    <row r="21394" spans="1:9" x14ac:dyDescent="0.25">
      <c r="A21394" s="515">
        <v>45333</v>
      </c>
      <c r="B21394" s="515" t="s">
        <v>329</v>
      </c>
      <c r="C21394" s="52">
        <v>219348.90819471399</v>
      </c>
      <c r="D21394" s="56">
        <v>8.2139587675279735E-2</v>
      </c>
      <c r="E21394" s="224" t="s">
        <v>2</v>
      </c>
      <c r="F21394" s="515" t="s">
        <v>22563</v>
      </c>
      <c r="G21394" s="52">
        <v>70181.693742521995</v>
      </c>
      <c r="H21394" s="56">
        <v>-1.3248562894732363E-2</v>
      </c>
      <c r="I21394" s="224" t="s">
        <v>2</v>
      </c>
    </row>
    <row r="21395" spans="1:9" x14ac:dyDescent="0.25">
      <c r="A21395" s="515">
        <v>12451</v>
      </c>
      <c r="C21395" s="52">
        <v>279964.34214662801</v>
      </c>
      <c r="D21395" s="56">
        <v>9.7544835340632172E-2</v>
      </c>
      <c r="E21395" s="224" t="s">
        <v>2</v>
      </c>
      <c r="F21395" s="515" t="s">
        <v>22564</v>
      </c>
      <c r="G21395" s="52">
        <v>106251.75584614401</v>
      </c>
      <c r="H21395" s="56">
        <v>3.3042550788194965E-2</v>
      </c>
      <c r="I21395" s="224" t="s">
        <v>2</v>
      </c>
    </row>
    <row r="21396" spans="1:9" x14ac:dyDescent="0.25">
      <c r="A21396" s="515">
        <v>39082</v>
      </c>
      <c r="B21396" s="515" t="s">
        <v>851</v>
      </c>
      <c r="C21396" s="52">
        <v>113458.361812345</v>
      </c>
      <c r="D21396" s="56">
        <v>-8.429668972429917E-2</v>
      </c>
      <c r="E21396" s="224" t="s">
        <v>2</v>
      </c>
      <c r="F21396" s="515" t="s">
        <v>22565</v>
      </c>
      <c r="G21396" s="52">
        <v>122423.57715496499</v>
      </c>
      <c r="H21396" s="56">
        <v>0</v>
      </c>
      <c r="I21396" s="224" t="s">
        <v>2</v>
      </c>
    </row>
    <row r="21397" spans="1:9" x14ac:dyDescent="0.25">
      <c r="A21397" s="515">
        <v>5051</v>
      </c>
      <c r="B21397" s="515" t="s">
        <v>420</v>
      </c>
      <c r="C21397" s="52">
        <v>260867.20294796</v>
      </c>
      <c r="D21397" s="56">
        <v>0.10085609938345397</v>
      </c>
      <c r="E21397" s="224" t="s">
        <v>2</v>
      </c>
      <c r="F21397" s="515" t="s">
        <v>22566</v>
      </c>
      <c r="G21397" s="52">
        <v>136780.18545901301</v>
      </c>
      <c r="H21397" s="56">
        <v>-0.16834478229304045</v>
      </c>
      <c r="I21397" s="224" t="s">
        <v>2</v>
      </c>
    </row>
    <row r="21398" spans="1:9" x14ac:dyDescent="0.25">
      <c r="A21398" s="515">
        <v>39862</v>
      </c>
      <c r="C21398" s="52">
        <v>85583.212218683693</v>
      </c>
      <c r="D21398" s="56">
        <v>0</v>
      </c>
      <c r="E21398" s="224" t="s">
        <v>2</v>
      </c>
      <c r="F21398" s="515" t="s">
        <v>22567</v>
      </c>
      <c r="G21398" s="52">
        <v>470151.57116897701</v>
      </c>
      <c r="H21398" s="56">
        <v>4.9322718274981171E-2</v>
      </c>
      <c r="I21398" s="224" t="s">
        <v>2</v>
      </c>
    </row>
    <row r="21399" spans="1:9" x14ac:dyDescent="0.25">
      <c r="A21399" s="515">
        <v>83537</v>
      </c>
      <c r="B21399" s="515" t="s">
        <v>857</v>
      </c>
      <c r="C21399" s="52">
        <v>345539.76139528397</v>
      </c>
      <c r="D21399" s="56">
        <v>3.0420332097255545E-2</v>
      </c>
      <c r="E21399" s="224" t="s">
        <v>2</v>
      </c>
      <c r="F21399" s="515" t="s">
        <v>22568</v>
      </c>
      <c r="G21399" s="52">
        <v>135778.54901960699</v>
      </c>
      <c r="H21399" s="56">
        <v>0</v>
      </c>
      <c r="I21399" s="224" t="s">
        <v>2</v>
      </c>
    </row>
    <row r="21400" spans="1:9" x14ac:dyDescent="0.25">
      <c r="A21400" s="515">
        <v>25245</v>
      </c>
      <c r="B21400" s="515" t="s">
        <v>322</v>
      </c>
      <c r="C21400" s="52">
        <v>198972.65560447</v>
      </c>
      <c r="D21400" s="56">
        <v>5.4607222688907005E-2</v>
      </c>
      <c r="E21400" s="224" t="s">
        <v>2</v>
      </c>
      <c r="F21400" s="515" t="s">
        <v>22569</v>
      </c>
      <c r="G21400" s="52">
        <v>116765.029587382</v>
      </c>
      <c r="H21400" s="56">
        <v>0</v>
      </c>
      <c r="I21400" s="224" t="s">
        <v>2</v>
      </c>
    </row>
    <row r="21401" spans="1:9" x14ac:dyDescent="0.25">
      <c r="A21401" s="515">
        <v>66548</v>
      </c>
      <c r="C21401" s="52">
        <v>115702.942351223</v>
      </c>
      <c r="D21401" s="56">
        <v>8.9161994154822788E-2</v>
      </c>
      <c r="E21401" s="224" t="s">
        <v>2</v>
      </c>
      <c r="F21401" s="515" t="s">
        <v>22570</v>
      </c>
      <c r="G21401" s="52">
        <v>84441.059050084907</v>
      </c>
      <c r="H21401" s="56">
        <v>0.24460500861977422</v>
      </c>
      <c r="I21401" s="224" t="s">
        <v>2</v>
      </c>
    </row>
    <row r="21402" spans="1:9" x14ac:dyDescent="0.25">
      <c r="A21402" s="515">
        <v>68358</v>
      </c>
      <c r="B21402" s="515" t="s">
        <v>486</v>
      </c>
      <c r="C21402" s="52">
        <v>401120.18649698299</v>
      </c>
      <c r="D21402" s="56">
        <v>0.10521607138105758</v>
      </c>
      <c r="E21402" s="224" t="s">
        <v>2</v>
      </c>
      <c r="F21402" s="515" t="s">
        <v>22571</v>
      </c>
      <c r="G21402" s="52">
        <v>157089.10612884499</v>
      </c>
      <c r="H21402" s="56">
        <v>0.19146138931023235</v>
      </c>
      <c r="I21402" s="224" t="s">
        <v>2</v>
      </c>
    </row>
    <row r="21403" spans="1:9" x14ac:dyDescent="0.25">
      <c r="A21403" s="515">
        <v>38473</v>
      </c>
      <c r="C21403" s="52">
        <v>189858.911127556</v>
      </c>
      <c r="D21403" s="56">
        <v>0.11210844446310365</v>
      </c>
      <c r="E21403" s="224" t="s">
        <v>2</v>
      </c>
      <c r="F21403" s="515" t="s">
        <v>22572</v>
      </c>
      <c r="G21403" s="52">
        <v>192442.643494583</v>
      </c>
      <c r="H21403" s="56">
        <v>0</v>
      </c>
      <c r="I21403" s="224" t="s">
        <v>2</v>
      </c>
    </row>
    <row r="21404" spans="1:9" x14ac:dyDescent="0.25">
      <c r="A21404" s="515">
        <v>62803</v>
      </c>
      <c r="C21404" s="52">
        <v>115437.279698028</v>
      </c>
      <c r="D21404" s="56">
        <v>6.7439074603873134E-2</v>
      </c>
      <c r="E21404" s="224" t="s">
        <v>2</v>
      </c>
      <c r="F21404" s="515" t="s">
        <v>22573</v>
      </c>
      <c r="G21404" s="52">
        <v>77780.384356824594</v>
      </c>
      <c r="H21404" s="56">
        <v>0</v>
      </c>
      <c r="I21404" s="224" t="s">
        <v>2</v>
      </c>
    </row>
    <row r="21405" spans="1:9" x14ac:dyDescent="0.25">
      <c r="A21405" s="515">
        <v>61942</v>
      </c>
      <c r="C21405" s="52">
        <v>84957.356307167604</v>
      </c>
      <c r="D21405" s="56">
        <v>0.1008193158734482</v>
      </c>
      <c r="E21405" s="224" t="s">
        <v>2</v>
      </c>
      <c r="F21405" s="515" t="s">
        <v>22574</v>
      </c>
      <c r="G21405" s="52">
        <v>106402.167981851</v>
      </c>
      <c r="H21405" s="56">
        <v>0</v>
      </c>
      <c r="I21405" s="224" t="s">
        <v>2</v>
      </c>
    </row>
    <row r="21406" spans="1:9" x14ac:dyDescent="0.25">
      <c r="A21406" s="515">
        <v>66776</v>
      </c>
      <c r="C21406" s="52">
        <v>117894.380739342</v>
      </c>
      <c r="D21406" s="56">
        <v>0.18054490100562559</v>
      </c>
      <c r="E21406" s="224" t="s">
        <v>2</v>
      </c>
      <c r="F21406" s="515" t="s">
        <v>22575</v>
      </c>
      <c r="G21406" s="52">
        <v>95592.512572505904</v>
      </c>
      <c r="H21406" s="56">
        <v>0</v>
      </c>
      <c r="I21406" s="224" t="s">
        <v>2</v>
      </c>
    </row>
    <row r="21407" spans="1:9" x14ac:dyDescent="0.25">
      <c r="A21407" s="515">
        <v>25208</v>
      </c>
      <c r="B21407" s="515" t="s">
        <v>322</v>
      </c>
      <c r="C21407" s="52">
        <v>34159.312768178301</v>
      </c>
      <c r="D21407" s="56">
        <v>4.9419755812496399E-2</v>
      </c>
      <c r="E21407" s="224" t="s">
        <v>2</v>
      </c>
      <c r="F21407" s="515" t="s">
        <v>22576</v>
      </c>
      <c r="G21407" s="52">
        <v>228281.29132769999</v>
      </c>
      <c r="H21407" s="56">
        <v>9.9152597656832681E-2</v>
      </c>
      <c r="I21407" s="224" t="s">
        <v>2</v>
      </c>
    </row>
    <row r="21408" spans="1:9" x14ac:dyDescent="0.25">
      <c r="A21408" s="515">
        <v>41174</v>
      </c>
      <c r="B21408" s="515" t="s">
        <v>602</v>
      </c>
      <c r="C21408" s="52">
        <v>90336.611535472301</v>
      </c>
      <c r="D21408" s="56">
        <v>6.9818184193849941E-2</v>
      </c>
      <c r="E21408" s="224" t="s">
        <v>2</v>
      </c>
      <c r="F21408" s="515" t="s">
        <v>22577</v>
      </c>
      <c r="G21408" s="52">
        <v>411344.46054043103</v>
      </c>
      <c r="H21408" s="56">
        <v>0.12084090557795574</v>
      </c>
      <c r="I21408" s="224" t="s">
        <v>2</v>
      </c>
    </row>
    <row r="21409" spans="1:9" x14ac:dyDescent="0.25">
      <c r="A21409" s="515">
        <v>43013</v>
      </c>
      <c r="B21409" s="515" t="s">
        <v>345</v>
      </c>
      <c r="C21409" s="52">
        <v>316876.40887647198</v>
      </c>
      <c r="D21409" s="56">
        <v>0.11388816851110449</v>
      </c>
      <c r="E21409" s="224" t="s">
        <v>2</v>
      </c>
      <c r="F21409" s="515" t="s">
        <v>22578</v>
      </c>
      <c r="G21409" s="52">
        <v>118514.412741525</v>
      </c>
      <c r="H21409" s="56">
        <v>0.25479166169428913</v>
      </c>
      <c r="I21409" s="224" t="s">
        <v>2</v>
      </c>
    </row>
    <row r="21410" spans="1:9" x14ac:dyDescent="0.25">
      <c r="A21410" s="515">
        <v>20144</v>
      </c>
      <c r="B21410" s="515" t="s">
        <v>321</v>
      </c>
      <c r="C21410" s="52">
        <v>848209.54765282501</v>
      </c>
      <c r="D21410" s="56">
        <v>5.9756029018439974E-2</v>
      </c>
      <c r="E21410" s="224" t="s">
        <v>2</v>
      </c>
      <c r="F21410" s="515" t="s">
        <v>22579</v>
      </c>
      <c r="G21410" s="52">
        <v>497005.03075894603</v>
      </c>
      <c r="H21410" s="56">
        <v>2.9221324842400118E-2</v>
      </c>
      <c r="I21410" s="224" t="s">
        <v>2</v>
      </c>
    </row>
    <row r="21411" spans="1:9" x14ac:dyDescent="0.25">
      <c r="A21411" s="515">
        <v>81036</v>
      </c>
      <c r="C21411" s="52">
        <v>147413.16115632301</v>
      </c>
      <c r="D21411" s="56">
        <v>0.11534084614788037</v>
      </c>
      <c r="E21411" s="224" t="s">
        <v>2</v>
      </c>
      <c r="F21411" s="515" t="s">
        <v>22580</v>
      </c>
      <c r="G21411" s="52">
        <v>158712.76576885299</v>
      </c>
      <c r="H21411" s="56">
        <v>4.9202574536264004E-2</v>
      </c>
      <c r="I21411" s="224" t="s">
        <v>2</v>
      </c>
    </row>
    <row r="21412" spans="1:9" x14ac:dyDescent="0.25">
      <c r="A21412" s="515">
        <v>82433</v>
      </c>
      <c r="C21412" s="52">
        <v>287410.24068741698</v>
      </c>
      <c r="D21412" s="56">
        <v>3.9641574828092857E-2</v>
      </c>
      <c r="E21412" s="224" t="s">
        <v>2</v>
      </c>
      <c r="F21412" s="515" t="s">
        <v>22581</v>
      </c>
      <c r="G21412" s="52">
        <v>100080.045454545</v>
      </c>
      <c r="H21412" s="56">
        <v>0</v>
      </c>
      <c r="I21412" s="224" t="s">
        <v>2</v>
      </c>
    </row>
    <row r="21413" spans="1:9" x14ac:dyDescent="0.25">
      <c r="A21413" s="515">
        <v>24726</v>
      </c>
      <c r="C21413" s="52">
        <v>32012.7086020608</v>
      </c>
      <c r="D21413" s="56">
        <v>-9.3037735342820185E-2</v>
      </c>
      <c r="E21413" s="224" t="s">
        <v>2</v>
      </c>
      <c r="F21413" s="515" t="s">
        <v>22582</v>
      </c>
      <c r="G21413" s="52">
        <v>216705.16685744899</v>
      </c>
      <c r="H21413" s="56">
        <v>0.19853072729812615</v>
      </c>
      <c r="I21413" s="224" t="s">
        <v>2</v>
      </c>
    </row>
    <row r="21414" spans="1:9" x14ac:dyDescent="0.25">
      <c r="A21414" s="515">
        <v>54556</v>
      </c>
      <c r="C21414" s="52">
        <v>124332.20013755999</v>
      </c>
      <c r="D21414" s="56">
        <v>4.9546430868264477E-2</v>
      </c>
      <c r="E21414" s="224" t="s">
        <v>2</v>
      </c>
      <c r="F21414" s="515" t="s">
        <v>22583</v>
      </c>
      <c r="G21414" s="52">
        <v>70475.772373814907</v>
      </c>
      <c r="H21414" s="56">
        <v>5.8785101976407995E-2</v>
      </c>
      <c r="I21414" s="224" t="s">
        <v>2</v>
      </c>
    </row>
    <row r="21415" spans="1:9" x14ac:dyDescent="0.25">
      <c r="A21415" s="515">
        <v>20779</v>
      </c>
      <c r="B21415" s="515" t="s">
        <v>582</v>
      </c>
      <c r="C21415" s="52">
        <v>570900.75533203396</v>
      </c>
      <c r="D21415" s="56">
        <v>5.4481591045668298E-2</v>
      </c>
      <c r="E21415" s="224" t="s">
        <v>2</v>
      </c>
      <c r="F21415" s="515" t="s">
        <v>22584</v>
      </c>
      <c r="G21415" s="52">
        <v>152377.037850842</v>
      </c>
      <c r="H21415" s="56">
        <v>0.13821980555792335</v>
      </c>
      <c r="I21415" s="224" t="s">
        <v>2</v>
      </c>
    </row>
    <row r="21416" spans="1:9" x14ac:dyDescent="0.25">
      <c r="A21416" s="515">
        <v>13122</v>
      </c>
      <c r="B21416" s="515" t="s">
        <v>361</v>
      </c>
      <c r="C21416" s="52">
        <v>203132.48152706501</v>
      </c>
      <c r="D21416" s="56">
        <v>0.1027170463949489</v>
      </c>
      <c r="E21416" s="224" t="s">
        <v>2</v>
      </c>
      <c r="F21416" s="515" t="s">
        <v>22585</v>
      </c>
      <c r="G21416" s="52">
        <v>349791.45</v>
      </c>
      <c r="H21416" s="56">
        <v>0</v>
      </c>
      <c r="I21416" s="224" t="s">
        <v>2</v>
      </c>
    </row>
    <row r="21417" spans="1:9" x14ac:dyDescent="0.25">
      <c r="A21417" s="515">
        <v>61001</v>
      </c>
      <c r="C21417" s="52">
        <v>270564.63914096903</v>
      </c>
      <c r="D21417" s="56">
        <v>0.10340481411489898</v>
      </c>
      <c r="E21417" s="224" t="s">
        <v>2</v>
      </c>
      <c r="F21417" s="515" t="s">
        <v>22586</v>
      </c>
      <c r="G21417" s="52">
        <v>163491.52413329901</v>
      </c>
      <c r="H21417" s="56">
        <v>0</v>
      </c>
      <c r="I21417" s="224" t="s">
        <v>2</v>
      </c>
    </row>
    <row r="21418" spans="1:9" x14ac:dyDescent="0.25">
      <c r="A21418" s="515">
        <v>47832</v>
      </c>
      <c r="B21418" s="515" t="s">
        <v>318</v>
      </c>
      <c r="C21418" s="52">
        <v>152752.89074118799</v>
      </c>
      <c r="D21418" s="56">
        <v>0.12267584981833142</v>
      </c>
      <c r="E21418" s="224" t="s">
        <v>2</v>
      </c>
      <c r="F21418" s="515" t="s">
        <v>22587</v>
      </c>
      <c r="G21418" s="52">
        <v>203697.36117760901</v>
      </c>
      <c r="H21418" s="56">
        <v>-2.0933326039139326E-3</v>
      </c>
      <c r="I21418" s="224" t="s">
        <v>2</v>
      </c>
    </row>
    <row r="21419" spans="1:9" x14ac:dyDescent="0.25">
      <c r="A21419" s="515">
        <v>67561</v>
      </c>
      <c r="B21419" s="515" t="s">
        <v>700</v>
      </c>
      <c r="C21419" s="52">
        <v>100050.587458282</v>
      </c>
      <c r="D21419" s="56">
        <v>9.6870273365050524E-2</v>
      </c>
      <c r="E21419" s="224" t="s">
        <v>2</v>
      </c>
      <c r="F21419" s="515" t="s">
        <v>22588</v>
      </c>
      <c r="G21419" s="52">
        <v>120457.732405394</v>
      </c>
      <c r="H21419" s="56">
        <v>5.2941371462333714E-2</v>
      </c>
      <c r="I21419" s="224" t="s">
        <v>2</v>
      </c>
    </row>
    <row r="21420" spans="1:9" x14ac:dyDescent="0.25">
      <c r="A21420" s="515">
        <v>12472</v>
      </c>
      <c r="B21420" s="515" t="s">
        <v>307</v>
      </c>
      <c r="C21420" s="52">
        <v>336729.61169510899</v>
      </c>
      <c r="D21420" s="56">
        <v>0.10572129041091832</v>
      </c>
      <c r="E21420" s="224" t="s">
        <v>2</v>
      </c>
      <c r="F21420" s="515" t="s">
        <v>22589</v>
      </c>
      <c r="G21420" s="52">
        <v>475347.46892957902</v>
      </c>
      <c r="H21420" s="56">
        <v>2.5622360392845909E-2</v>
      </c>
      <c r="I21420" s="224" t="s">
        <v>2</v>
      </c>
    </row>
    <row r="21421" spans="1:9" x14ac:dyDescent="0.25">
      <c r="A21421" s="515">
        <v>83346</v>
      </c>
      <c r="B21421" s="515" t="s">
        <v>719</v>
      </c>
      <c r="C21421" s="52">
        <v>293825.75815288897</v>
      </c>
      <c r="D21421" s="56">
        <v>0.11719489254847562</v>
      </c>
      <c r="E21421" s="224" t="s">
        <v>2</v>
      </c>
      <c r="F21421" s="515" t="s">
        <v>22590</v>
      </c>
      <c r="G21421" s="52">
        <v>146413.74609423001</v>
      </c>
      <c r="H21421" s="56">
        <v>4.3653320179610378E-2</v>
      </c>
      <c r="I21421" s="224" t="s">
        <v>2</v>
      </c>
    </row>
    <row r="21422" spans="1:9" x14ac:dyDescent="0.25">
      <c r="A21422" s="515">
        <v>79502</v>
      </c>
      <c r="C21422" s="52">
        <v>71038.561363746994</v>
      </c>
      <c r="D21422" s="56">
        <v>0</v>
      </c>
      <c r="E21422" s="224" t="s">
        <v>2</v>
      </c>
      <c r="F21422" s="515" t="s">
        <v>22591</v>
      </c>
      <c r="G21422" s="52">
        <v>140887.22558048699</v>
      </c>
      <c r="H21422" s="56">
        <v>0</v>
      </c>
      <c r="I21422" s="224" t="s">
        <v>2</v>
      </c>
    </row>
    <row r="21423" spans="1:9" x14ac:dyDescent="0.25">
      <c r="A21423" s="515">
        <v>67029</v>
      </c>
      <c r="C21423" s="52">
        <v>68595.197659537604</v>
      </c>
      <c r="D21423" s="56">
        <v>0.12357479302788577</v>
      </c>
      <c r="E21423" s="224" t="s">
        <v>2</v>
      </c>
      <c r="F21423" s="515" t="s">
        <v>22592</v>
      </c>
      <c r="G21423" s="52">
        <v>293448.33487722999</v>
      </c>
      <c r="H21423" s="56">
        <v>0.13322866762639879</v>
      </c>
      <c r="I21423" s="224" t="s">
        <v>2</v>
      </c>
    </row>
    <row r="21424" spans="1:9" x14ac:dyDescent="0.25">
      <c r="A21424" s="515">
        <v>23827</v>
      </c>
      <c r="B21424" s="515" t="s">
        <v>301</v>
      </c>
      <c r="C21424" s="52">
        <v>143052.79232937301</v>
      </c>
      <c r="D21424" s="56">
        <v>6.750616501670248E-2</v>
      </c>
      <c r="E21424" s="224" t="s">
        <v>2</v>
      </c>
      <c r="F21424" s="515" t="s">
        <v>22593</v>
      </c>
      <c r="G21424" s="52">
        <v>328560.43243243202</v>
      </c>
      <c r="H21424" s="56">
        <v>0</v>
      </c>
      <c r="I21424" s="224" t="s">
        <v>2</v>
      </c>
    </row>
    <row r="21425" spans="1:9" x14ac:dyDescent="0.25">
      <c r="A21425" s="515">
        <v>76435</v>
      </c>
      <c r="C21425" s="52">
        <v>154567.49376921001</v>
      </c>
      <c r="D21425" s="56">
        <v>0</v>
      </c>
      <c r="E21425" s="224" t="s">
        <v>2</v>
      </c>
      <c r="F21425" s="515" t="s">
        <v>22594</v>
      </c>
      <c r="G21425" s="52">
        <v>139726.57175517699</v>
      </c>
      <c r="H21425" s="56">
        <v>1.9988480570096317E-2</v>
      </c>
      <c r="I21425" s="224" t="s">
        <v>2</v>
      </c>
    </row>
    <row r="21426" spans="1:9" x14ac:dyDescent="0.25">
      <c r="A21426" s="515">
        <v>54442</v>
      </c>
      <c r="B21426" s="515" t="s">
        <v>940</v>
      </c>
      <c r="C21426" s="52">
        <v>193246.22711249199</v>
      </c>
      <c r="D21426" s="56">
        <v>6.280185828526981E-2</v>
      </c>
      <c r="E21426" s="224" t="s">
        <v>2</v>
      </c>
      <c r="F21426" s="515" t="s">
        <v>22595</v>
      </c>
      <c r="G21426" s="52">
        <v>102187.94647993401</v>
      </c>
      <c r="H21426" s="56">
        <v>-7.7159992534985442E-2</v>
      </c>
      <c r="I21426" s="224" t="s">
        <v>2</v>
      </c>
    </row>
    <row r="21427" spans="1:9" x14ac:dyDescent="0.25">
      <c r="A21427" s="515">
        <v>56585</v>
      </c>
      <c r="B21427" s="515" t="s">
        <v>928</v>
      </c>
      <c r="C21427" s="52">
        <v>217333.77195561101</v>
      </c>
      <c r="D21427" s="56">
        <v>7.9293773271935375E-2</v>
      </c>
      <c r="E21427" s="224" t="s">
        <v>2</v>
      </c>
      <c r="F21427" s="515" t="s">
        <v>22596</v>
      </c>
      <c r="G21427" s="52">
        <v>89836.624305529505</v>
      </c>
      <c r="H21427" s="56">
        <v>0</v>
      </c>
      <c r="I21427" s="224" t="s">
        <v>2</v>
      </c>
    </row>
    <row r="21428" spans="1:9" x14ac:dyDescent="0.25">
      <c r="A21428" s="515">
        <v>86337</v>
      </c>
      <c r="B21428" s="515" t="s">
        <v>332</v>
      </c>
      <c r="C21428" s="52">
        <v>175801.553787741</v>
      </c>
      <c r="D21428" s="56">
        <v>3.6388347052615518E-2</v>
      </c>
      <c r="E21428" s="224" t="s">
        <v>2</v>
      </c>
      <c r="F21428" s="515" t="s">
        <v>22597</v>
      </c>
      <c r="G21428" s="52">
        <v>128020.143744252</v>
      </c>
      <c r="H21428" s="56">
        <v>7.3812866125249663E-2</v>
      </c>
      <c r="I21428" s="224" t="s">
        <v>2</v>
      </c>
    </row>
    <row r="21429" spans="1:9" x14ac:dyDescent="0.25">
      <c r="A21429" s="515">
        <v>43457</v>
      </c>
      <c r="B21429" s="515" t="s">
        <v>878</v>
      </c>
      <c r="C21429" s="52">
        <v>139698.66254720101</v>
      </c>
      <c r="D21429" s="56">
        <v>-3.3109737628943293E-2</v>
      </c>
      <c r="E21429" s="224" t="s">
        <v>2</v>
      </c>
      <c r="F21429" s="515" t="s">
        <v>22598</v>
      </c>
      <c r="G21429" s="52">
        <v>103046.27533571</v>
      </c>
      <c r="H21429" s="56">
        <v>0.15044413626970315</v>
      </c>
      <c r="I21429" s="224" t="s">
        <v>2</v>
      </c>
    </row>
    <row r="21430" spans="1:9" x14ac:dyDescent="0.25">
      <c r="A21430" s="515">
        <v>98572</v>
      </c>
      <c r="B21430" s="515" t="s">
        <v>468</v>
      </c>
      <c r="C21430" s="52">
        <v>312190.54032842303</v>
      </c>
      <c r="D21430" s="56">
        <v>3.9601731881669149E-2</v>
      </c>
      <c r="E21430" s="224" t="s">
        <v>2</v>
      </c>
      <c r="F21430" s="515" t="s">
        <v>22599</v>
      </c>
      <c r="G21430" s="52">
        <v>556681.08156666497</v>
      </c>
      <c r="H21430" s="56">
        <v>0</v>
      </c>
      <c r="I21430" s="224" t="s">
        <v>2</v>
      </c>
    </row>
    <row r="21431" spans="1:9" x14ac:dyDescent="0.25">
      <c r="A21431" s="515">
        <v>66781</v>
      </c>
      <c r="C21431" s="52">
        <v>92413.809452924907</v>
      </c>
      <c r="D21431" s="56">
        <v>0.10841520885092217</v>
      </c>
      <c r="E21431" s="224" t="s">
        <v>2</v>
      </c>
      <c r="F21431" s="515" t="s">
        <v>22600</v>
      </c>
      <c r="G21431" s="52">
        <v>89147.426086956504</v>
      </c>
      <c r="H21431" s="56">
        <v>0</v>
      </c>
      <c r="I21431" s="224" t="s">
        <v>2</v>
      </c>
    </row>
    <row r="21432" spans="1:9" x14ac:dyDescent="0.25">
      <c r="A21432" s="515">
        <v>32625</v>
      </c>
      <c r="B21432" s="515" t="s">
        <v>577</v>
      </c>
      <c r="C21432" s="52">
        <v>341241.14958686702</v>
      </c>
      <c r="D21432" s="56">
        <v>0.10089803184653745</v>
      </c>
      <c r="E21432" s="224" t="s">
        <v>2</v>
      </c>
      <c r="F21432" s="515" t="s">
        <v>22601</v>
      </c>
      <c r="G21432" s="52">
        <v>123097.77699021999</v>
      </c>
      <c r="H21432" s="56">
        <v>0</v>
      </c>
      <c r="I21432" s="224" t="s">
        <v>2</v>
      </c>
    </row>
    <row r="21433" spans="1:9" x14ac:dyDescent="0.25">
      <c r="A21433" s="515">
        <v>54628</v>
      </c>
      <c r="C21433" s="52">
        <v>162799.71806252401</v>
      </c>
      <c r="D21433" s="56">
        <v>4.4519781221320373E-2</v>
      </c>
      <c r="E21433" s="224" t="s">
        <v>2</v>
      </c>
      <c r="F21433" s="515" t="s">
        <v>22602</v>
      </c>
      <c r="G21433" s="52">
        <v>114878.03307106601</v>
      </c>
      <c r="H21433" s="56">
        <v>0</v>
      </c>
      <c r="I21433" s="224" t="s">
        <v>2</v>
      </c>
    </row>
    <row r="21434" spans="1:9" x14ac:dyDescent="0.25">
      <c r="A21434" s="515">
        <v>18453</v>
      </c>
      <c r="C21434" s="52">
        <v>273660.02624884603</v>
      </c>
      <c r="D21434" s="56">
        <v>9.1608266882567332E-2</v>
      </c>
      <c r="E21434" s="224" t="s">
        <v>2</v>
      </c>
      <c r="F21434" s="515" t="s">
        <v>22603</v>
      </c>
      <c r="G21434" s="52">
        <v>2561847.9782891599</v>
      </c>
      <c r="H21434" s="56">
        <v>0.14628124257331465</v>
      </c>
      <c r="I21434" s="224" t="s">
        <v>2</v>
      </c>
    </row>
    <row r="21435" spans="1:9" x14ac:dyDescent="0.25">
      <c r="A21435" s="515">
        <v>67054</v>
      </c>
      <c r="C21435" s="52">
        <v>163228.05625679399</v>
      </c>
      <c r="D21435" s="56">
        <v>9.0323947682739561E-2</v>
      </c>
      <c r="E21435" s="224" t="s">
        <v>2</v>
      </c>
      <c r="F21435" s="515" t="s">
        <v>22604</v>
      </c>
      <c r="G21435" s="52">
        <v>241122.94171474301</v>
      </c>
      <c r="H21435" s="56">
        <v>2.7521508064948758E-2</v>
      </c>
      <c r="I21435" s="224" t="s">
        <v>2</v>
      </c>
    </row>
    <row r="21436" spans="1:9" x14ac:dyDescent="0.25">
      <c r="A21436" s="515">
        <v>21636</v>
      </c>
      <c r="C21436" s="52">
        <v>270307.850194856</v>
      </c>
      <c r="D21436" s="56">
        <v>-1.9625670707794662E-3</v>
      </c>
      <c r="E21436" s="224" t="s">
        <v>2</v>
      </c>
      <c r="F21436" s="515" t="s">
        <v>22605</v>
      </c>
      <c r="G21436" s="52">
        <v>109195.52084790501</v>
      </c>
      <c r="H21436" s="56">
        <v>3.8579851788693088E-2</v>
      </c>
      <c r="I21436" s="224" t="s">
        <v>2</v>
      </c>
    </row>
    <row r="21437" spans="1:9" x14ac:dyDescent="0.25">
      <c r="A21437" s="515">
        <v>65761</v>
      </c>
      <c r="C21437" s="52">
        <v>203684.53753646201</v>
      </c>
      <c r="D21437" s="56">
        <v>0.10846598507832059</v>
      </c>
      <c r="E21437" s="224" t="s">
        <v>2</v>
      </c>
      <c r="F21437" s="515" t="s">
        <v>22606</v>
      </c>
      <c r="G21437" s="52">
        <v>108639.187555955</v>
      </c>
      <c r="H21437" s="56">
        <v>4.0470876719642439E-2</v>
      </c>
      <c r="I21437" s="224" t="s">
        <v>2</v>
      </c>
    </row>
    <row r="21438" spans="1:9" x14ac:dyDescent="0.25">
      <c r="A21438" s="515">
        <v>16656</v>
      </c>
      <c r="B21438" s="515" t="s">
        <v>876</v>
      </c>
      <c r="C21438" s="52">
        <v>72820.762962962894</v>
      </c>
      <c r="D21438" s="56">
        <v>0</v>
      </c>
      <c r="E21438" s="224" t="s">
        <v>2</v>
      </c>
      <c r="F21438" s="515" t="s">
        <v>22607</v>
      </c>
      <c r="G21438" s="52">
        <v>118843.137214794</v>
      </c>
      <c r="H21438" s="56">
        <v>9.6661819203734317E-2</v>
      </c>
      <c r="I21438" s="224" t="s">
        <v>2</v>
      </c>
    </row>
    <row r="21439" spans="1:9" x14ac:dyDescent="0.25">
      <c r="A21439" s="515">
        <v>4556</v>
      </c>
      <c r="C21439" s="52">
        <v>370749.69287228701</v>
      </c>
      <c r="D21439" s="56">
        <v>2.2730037202172371E-2</v>
      </c>
      <c r="E21439" s="224" t="s">
        <v>2</v>
      </c>
      <c r="F21439" s="515" t="s">
        <v>22608</v>
      </c>
      <c r="G21439" s="52">
        <v>97720.713088163</v>
      </c>
      <c r="H21439" s="56">
        <v>7.3919670841111867E-2</v>
      </c>
      <c r="I21439" s="224" t="s">
        <v>2</v>
      </c>
    </row>
    <row r="21440" spans="1:9" x14ac:dyDescent="0.25">
      <c r="A21440" s="515">
        <v>80737</v>
      </c>
      <c r="C21440" s="52">
        <v>150121.80710718699</v>
      </c>
      <c r="D21440" s="56">
        <v>0.23907453546074081</v>
      </c>
      <c r="E21440" s="224" t="s">
        <v>2</v>
      </c>
      <c r="F21440" s="515" t="s">
        <v>22609</v>
      </c>
      <c r="G21440" s="52">
        <v>170327.992434388</v>
      </c>
      <c r="H21440" s="56">
        <v>0.1038957085532534</v>
      </c>
      <c r="I21440" s="224" t="s">
        <v>2</v>
      </c>
    </row>
    <row r="21441" spans="1:9" x14ac:dyDescent="0.25">
      <c r="A21441" s="515">
        <v>12768</v>
      </c>
      <c r="C21441" s="52">
        <v>286241.84850973799</v>
      </c>
      <c r="D21441" s="56">
        <v>0.18036492521126765</v>
      </c>
      <c r="E21441" s="224" t="s">
        <v>2</v>
      </c>
      <c r="F21441" s="515" t="s">
        <v>22610</v>
      </c>
      <c r="G21441" s="52">
        <v>56743.189189079203</v>
      </c>
      <c r="H21441" s="56">
        <v>0.16328385614217961</v>
      </c>
      <c r="I21441" s="224" t="s">
        <v>2</v>
      </c>
    </row>
    <row r="21442" spans="1:9" x14ac:dyDescent="0.25">
      <c r="A21442" s="515">
        <v>59648</v>
      </c>
      <c r="B21442" s="515" t="s">
        <v>750</v>
      </c>
      <c r="C21442" s="52">
        <v>463509.80548939499</v>
      </c>
      <c r="D21442" s="56">
        <v>6.3101822198445068E-2</v>
      </c>
      <c r="E21442" s="224" t="s">
        <v>2</v>
      </c>
      <c r="F21442" s="515" t="s">
        <v>22611</v>
      </c>
      <c r="G21442" s="52">
        <v>324796.49430010503</v>
      </c>
      <c r="H21442" s="56">
        <v>2.5818286708483622E-2</v>
      </c>
      <c r="I21442" s="224" t="s">
        <v>2</v>
      </c>
    </row>
    <row r="21443" spans="1:9" x14ac:dyDescent="0.25">
      <c r="A21443" s="515">
        <v>61413</v>
      </c>
      <c r="B21443" s="515" t="s">
        <v>439</v>
      </c>
      <c r="C21443" s="52">
        <v>121071.741105537</v>
      </c>
      <c r="D21443" s="56">
        <v>7.4513021927190018E-2</v>
      </c>
      <c r="E21443" s="224" t="s">
        <v>2</v>
      </c>
      <c r="F21443" s="515" t="s">
        <v>22612</v>
      </c>
      <c r="G21443" s="52">
        <v>187886.08299401001</v>
      </c>
      <c r="H21443" s="56">
        <v>8.355352145309615E-2</v>
      </c>
      <c r="I21443" s="224" t="s">
        <v>2</v>
      </c>
    </row>
    <row r="21444" spans="1:9" x14ac:dyDescent="0.25">
      <c r="A21444" s="515">
        <v>37680</v>
      </c>
      <c r="C21444" s="52">
        <v>138516.024156436</v>
      </c>
      <c r="D21444" s="56">
        <v>0</v>
      </c>
      <c r="E21444" s="224" t="s">
        <v>2</v>
      </c>
      <c r="F21444" s="515" t="s">
        <v>22613</v>
      </c>
      <c r="G21444" s="52">
        <v>157095.03295050099</v>
      </c>
      <c r="H21444" s="56">
        <v>0.26891882622030366</v>
      </c>
      <c r="I21444" s="224" t="s">
        <v>2</v>
      </c>
    </row>
    <row r="21445" spans="1:9" x14ac:dyDescent="0.25">
      <c r="A21445" s="515">
        <v>61052</v>
      </c>
      <c r="B21445" s="515" t="s">
        <v>429</v>
      </c>
      <c r="C21445" s="52">
        <v>193748.59058805901</v>
      </c>
      <c r="D21445" s="56">
        <v>5.1613136567482142E-2</v>
      </c>
      <c r="E21445" s="224" t="s">
        <v>2</v>
      </c>
      <c r="F21445" s="515" t="s">
        <v>22614</v>
      </c>
      <c r="G21445" s="52">
        <v>222001.50341719901</v>
      </c>
      <c r="H21445" s="56">
        <v>0</v>
      </c>
      <c r="I21445" s="224" t="s">
        <v>2</v>
      </c>
    </row>
    <row r="21446" spans="1:9" x14ac:dyDescent="0.25">
      <c r="A21446" s="515">
        <v>55775</v>
      </c>
      <c r="B21446" s="515" t="s">
        <v>590</v>
      </c>
      <c r="C21446" s="52">
        <v>203301.40344918901</v>
      </c>
      <c r="D21446" s="56">
        <v>7.8201234015986831E-2</v>
      </c>
      <c r="E21446" s="224" t="s">
        <v>2</v>
      </c>
      <c r="F21446" s="515" t="s">
        <v>22615</v>
      </c>
      <c r="G21446" s="52">
        <v>232658.59528206699</v>
      </c>
      <c r="H21446" s="56">
        <v>4.3860899810861276E-2</v>
      </c>
      <c r="I21446" s="224" t="s">
        <v>2</v>
      </c>
    </row>
    <row r="21447" spans="1:9" x14ac:dyDescent="0.25">
      <c r="A21447" s="515">
        <v>38560</v>
      </c>
      <c r="B21447" s="515" t="s">
        <v>684</v>
      </c>
      <c r="C21447" s="52">
        <v>233316.99044348401</v>
      </c>
      <c r="D21447" s="56">
        <v>9.1916827028748579E-2</v>
      </c>
      <c r="E21447" s="224" t="s">
        <v>2</v>
      </c>
      <c r="F21447" s="515" t="s">
        <v>22616</v>
      </c>
      <c r="G21447" s="52">
        <v>115621.35225794499</v>
      </c>
      <c r="H21447" s="56">
        <v>-2.3578929554047143E-2</v>
      </c>
      <c r="I21447" s="224" t="s">
        <v>2</v>
      </c>
    </row>
    <row r="21448" spans="1:9" x14ac:dyDescent="0.25">
      <c r="A21448" s="515">
        <v>67834</v>
      </c>
      <c r="B21448" s="515" t="s">
        <v>809</v>
      </c>
      <c r="C21448" s="52">
        <v>121233.845216296</v>
      </c>
      <c r="D21448" s="56">
        <v>9.6169045648169693E-2</v>
      </c>
      <c r="E21448" s="224" t="s">
        <v>2</v>
      </c>
      <c r="F21448" s="515" t="s">
        <v>22617</v>
      </c>
      <c r="G21448" s="52">
        <v>120648.249086524</v>
      </c>
      <c r="H21448" s="56">
        <v>5.2659331101913343E-2</v>
      </c>
      <c r="I21448" s="224" t="s">
        <v>2</v>
      </c>
    </row>
    <row r="21449" spans="1:9" x14ac:dyDescent="0.25">
      <c r="A21449" s="515">
        <v>93218</v>
      </c>
      <c r="B21449" s="515" t="s">
        <v>358</v>
      </c>
      <c r="C21449" s="52">
        <v>220445.19031134</v>
      </c>
      <c r="D21449" s="56">
        <v>8.4505820257410352E-2</v>
      </c>
      <c r="E21449" s="224" t="s">
        <v>2</v>
      </c>
      <c r="F21449" s="515" t="s">
        <v>22618</v>
      </c>
      <c r="G21449" s="52">
        <v>153632.66800075801</v>
      </c>
      <c r="H21449" s="56">
        <v>0</v>
      </c>
      <c r="I21449" s="224" t="s">
        <v>2</v>
      </c>
    </row>
    <row r="21450" spans="1:9" x14ac:dyDescent="0.25">
      <c r="A21450" s="515">
        <v>48613</v>
      </c>
      <c r="B21450" s="515" t="s">
        <v>1022</v>
      </c>
      <c r="C21450" s="52">
        <v>134259.344372861</v>
      </c>
      <c r="D21450" s="56">
        <v>2.8174410244391386E-2</v>
      </c>
      <c r="E21450" s="224" t="s">
        <v>2</v>
      </c>
      <c r="F21450" s="515" t="s">
        <v>22619</v>
      </c>
      <c r="G21450" s="52">
        <v>268486.265142221</v>
      </c>
      <c r="H21450" s="56">
        <v>5.9513671131263463E-2</v>
      </c>
      <c r="I21450" s="224" t="s">
        <v>2</v>
      </c>
    </row>
    <row r="21451" spans="1:9" x14ac:dyDescent="0.25">
      <c r="A21451" s="515">
        <v>76941</v>
      </c>
      <c r="B21451" s="515" t="s">
        <v>551</v>
      </c>
      <c r="C21451" s="52">
        <v>212171.46698058699</v>
      </c>
      <c r="D21451" s="56">
        <v>-6.7146642791089776E-3</v>
      </c>
      <c r="E21451" s="224" t="s">
        <v>2</v>
      </c>
      <c r="F21451" s="515" t="s">
        <v>22620</v>
      </c>
      <c r="G21451" s="52">
        <v>181927.34389861301</v>
      </c>
      <c r="H21451" s="56">
        <v>0.18923402724538949</v>
      </c>
      <c r="I21451" s="224" t="s">
        <v>2</v>
      </c>
    </row>
    <row r="21452" spans="1:9" x14ac:dyDescent="0.25">
      <c r="A21452" s="515">
        <v>72436</v>
      </c>
      <c r="C21452" s="52">
        <v>118734.23223881501</v>
      </c>
      <c r="D21452" s="56">
        <v>6.9117238704378248E-2</v>
      </c>
      <c r="E21452" s="224" t="s">
        <v>2</v>
      </c>
      <c r="F21452" s="515" t="s">
        <v>22621</v>
      </c>
      <c r="G21452" s="52">
        <v>112053.779411764</v>
      </c>
      <c r="H21452" s="56">
        <v>0</v>
      </c>
      <c r="I21452" s="224" t="s">
        <v>2</v>
      </c>
    </row>
    <row r="21453" spans="1:9" x14ac:dyDescent="0.25">
      <c r="A21453" s="515">
        <v>50073</v>
      </c>
      <c r="B21453" s="515" t="s">
        <v>295</v>
      </c>
      <c r="C21453" s="52">
        <v>277947.019107614</v>
      </c>
      <c r="D21453" s="56">
        <v>5.2381103380553358E-2</v>
      </c>
      <c r="E21453" s="224" t="s">
        <v>2</v>
      </c>
      <c r="F21453" s="515" t="s">
        <v>22622</v>
      </c>
      <c r="G21453" s="52">
        <v>152966.89131965599</v>
      </c>
      <c r="H21453" s="56">
        <v>5.4934435596537344E-2</v>
      </c>
      <c r="I21453" s="224" t="s">
        <v>2</v>
      </c>
    </row>
    <row r="21454" spans="1:9" x14ac:dyDescent="0.25">
      <c r="A21454" s="515">
        <v>42461</v>
      </c>
      <c r="C21454" s="52">
        <v>81791.388783733099</v>
      </c>
      <c r="D21454" s="56">
        <v>0.13347551281147751</v>
      </c>
      <c r="E21454" s="224" t="s">
        <v>2</v>
      </c>
      <c r="F21454" s="515" t="s">
        <v>22623</v>
      </c>
      <c r="G21454" s="52">
        <v>295814.441994978</v>
      </c>
      <c r="H21454" s="56">
        <v>4.7845456934684831E-2</v>
      </c>
      <c r="I21454" s="224" t="s">
        <v>2</v>
      </c>
    </row>
    <row r="21455" spans="1:9" x14ac:dyDescent="0.25">
      <c r="A21455" s="515">
        <v>21521</v>
      </c>
      <c r="C21455" s="52">
        <v>91915.224090185395</v>
      </c>
      <c r="D21455" s="56">
        <v>-2.7688825237376504E-2</v>
      </c>
      <c r="E21455" s="224" t="s">
        <v>2</v>
      </c>
      <c r="F21455" s="515" t="s">
        <v>22624</v>
      </c>
      <c r="G21455" s="52">
        <v>102021.30900835</v>
      </c>
      <c r="H21455" s="56">
        <v>0</v>
      </c>
      <c r="I21455" s="224" t="s">
        <v>2</v>
      </c>
    </row>
    <row r="21456" spans="1:9" x14ac:dyDescent="0.25">
      <c r="A21456" s="515">
        <v>64670</v>
      </c>
      <c r="C21456" s="52">
        <v>189999.62302391799</v>
      </c>
      <c r="D21456" s="56">
        <v>0.10444666809198191</v>
      </c>
      <c r="E21456" s="224" t="s">
        <v>2</v>
      </c>
      <c r="F21456" s="515" t="s">
        <v>22625</v>
      </c>
      <c r="G21456" s="52">
        <v>161059.36319704301</v>
      </c>
      <c r="H21456" s="56">
        <v>-1.4711499086685356E-2</v>
      </c>
      <c r="I21456" s="224" t="s">
        <v>2</v>
      </c>
    </row>
    <row r="21457" spans="1:9" x14ac:dyDescent="0.25">
      <c r="A21457" s="515">
        <v>49638</v>
      </c>
      <c r="B21457" s="515" t="s">
        <v>937</v>
      </c>
      <c r="C21457" s="52">
        <v>135835.992060877</v>
      </c>
      <c r="D21457" s="56">
        <v>7.8327284092263527E-2</v>
      </c>
      <c r="E21457" s="224" t="s">
        <v>2</v>
      </c>
      <c r="F21457" s="515" t="s">
        <v>22626</v>
      </c>
      <c r="G21457" s="52">
        <v>273663.03886779898</v>
      </c>
      <c r="H21457" s="56">
        <v>5.2525294504235584E-2</v>
      </c>
      <c r="I21457" s="224" t="s">
        <v>2</v>
      </c>
    </row>
    <row r="21458" spans="1:9" x14ac:dyDescent="0.25">
      <c r="A21458" s="515">
        <v>4676</v>
      </c>
      <c r="C21458" s="52">
        <v>332837.34118513297</v>
      </c>
      <c r="D21458" s="56">
        <v>4.5474589017618312E-2</v>
      </c>
      <c r="E21458" s="224" t="s">
        <v>2</v>
      </c>
      <c r="F21458" s="515" t="s">
        <v>22627</v>
      </c>
      <c r="G21458" s="52">
        <v>165874.248110357</v>
      </c>
      <c r="H21458" s="56">
        <v>0.16830829244019657</v>
      </c>
      <c r="I21458" s="224" t="s">
        <v>2</v>
      </c>
    </row>
    <row r="21459" spans="1:9" x14ac:dyDescent="0.25">
      <c r="A21459" s="515">
        <v>31009</v>
      </c>
      <c r="B21459" s="515" t="s">
        <v>929</v>
      </c>
      <c r="C21459" s="52">
        <v>127862.21889629999</v>
      </c>
      <c r="D21459" s="56">
        <v>5.1455524392098495E-2</v>
      </c>
      <c r="E21459" s="224" t="s">
        <v>2</v>
      </c>
      <c r="F21459" s="515" t="s">
        <v>22628</v>
      </c>
      <c r="G21459" s="52">
        <v>102360.474621456</v>
      </c>
      <c r="H21459" s="56">
        <v>5.5292315980173506E-2</v>
      </c>
      <c r="I21459" s="224" t="s">
        <v>2</v>
      </c>
    </row>
    <row r="21460" spans="1:9" x14ac:dyDescent="0.25">
      <c r="A21460" s="515">
        <v>76578</v>
      </c>
      <c r="B21460" s="515" t="s">
        <v>380</v>
      </c>
      <c r="C21460" s="52">
        <v>327995.45939774701</v>
      </c>
      <c r="D21460" s="56">
        <v>1.7051884755175387E-2</v>
      </c>
      <c r="E21460" s="224" t="s">
        <v>2</v>
      </c>
      <c r="F21460" s="515" t="s">
        <v>22629</v>
      </c>
      <c r="G21460" s="52">
        <v>528593.07201988494</v>
      </c>
      <c r="H21460" s="56">
        <v>4.1789789214945632E-2</v>
      </c>
      <c r="I21460" s="224" t="s">
        <v>2</v>
      </c>
    </row>
    <row r="21461" spans="1:9" x14ac:dyDescent="0.25">
      <c r="A21461" s="515">
        <v>40140</v>
      </c>
      <c r="C21461" s="52">
        <v>143236.398956647</v>
      </c>
      <c r="D21461" s="56">
        <v>0.15362493561311219</v>
      </c>
      <c r="E21461" s="224" t="s">
        <v>2</v>
      </c>
      <c r="F21461" s="515" t="s">
        <v>22630</v>
      </c>
      <c r="G21461" s="52">
        <v>117057.260535176</v>
      </c>
      <c r="H21461" s="56">
        <v>7.921674986949348E-2</v>
      </c>
      <c r="I21461" s="224" t="s">
        <v>2</v>
      </c>
    </row>
    <row r="21462" spans="1:9" x14ac:dyDescent="0.25">
      <c r="A21462" s="515">
        <v>38371</v>
      </c>
      <c r="C21462" s="52">
        <v>120727.533840719</v>
      </c>
      <c r="D21462" s="56">
        <v>4.5294262599785341E-2</v>
      </c>
      <c r="E21462" s="224" t="s">
        <v>2</v>
      </c>
      <c r="F21462" s="515" t="s">
        <v>22631</v>
      </c>
      <c r="G21462" s="52">
        <v>204970.35635260999</v>
      </c>
      <c r="H21462" s="56">
        <v>0.10785490831210573</v>
      </c>
      <c r="I21462" s="224" t="s">
        <v>2</v>
      </c>
    </row>
    <row r="21463" spans="1:9" x14ac:dyDescent="0.25">
      <c r="A21463" s="515">
        <v>38559</v>
      </c>
      <c r="C21463" s="52">
        <v>182838.915212653</v>
      </c>
      <c r="D21463" s="56">
        <v>6.8490217804485568E-2</v>
      </c>
      <c r="E21463" s="224" t="s">
        <v>2</v>
      </c>
      <c r="F21463" s="515" t="s">
        <v>22632</v>
      </c>
      <c r="G21463" s="52">
        <v>376620.73607981898</v>
      </c>
      <c r="H21463" s="56">
        <v>0</v>
      </c>
      <c r="I21463" s="224" t="s">
        <v>2</v>
      </c>
    </row>
    <row r="21464" spans="1:9" x14ac:dyDescent="0.25">
      <c r="A21464" s="515">
        <v>74083</v>
      </c>
      <c r="C21464" s="52">
        <v>212965.791733322</v>
      </c>
      <c r="D21464" s="56">
        <v>0.15803524494930146</v>
      </c>
      <c r="E21464" s="224" t="s">
        <v>2</v>
      </c>
      <c r="F21464" s="515" t="s">
        <v>22633</v>
      </c>
      <c r="G21464" s="52">
        <v>197265.85048341</v>
      </c>
      <c r="H21464" s="56">
        <v>0.17637403113363739</v>
      </c>
      <c r="I21464" s="224" t="s">
        <v>2</v>
      </c>
    </row>
    <row r="21465" spans="1:9" x14ac:dyDescent="0.25">
      <c r="A21465" s="515">
        <v>40856</v>
      </c>
      <c r="B21465" s="515" t="s">
        <v>687</v>
      </c>
      <c r="C21465" s="52">
        <v>50388.620228832202</v>
      </c>
      <c r="D21465" s="56">
        <v>0.1232837430767222</v>
      </c>
      <c r="E21465" s="224" t="s">
        <v>2</v>
      </c>
      <c r="F21465" s="515" t="s">
        <v>22634</v>
      </c>
      <c r="G21465" s="52">
        <v>342354.38081349799</v>
      </c>
      <c r="H21465" s="56">
        <v>6.776151038945831E-2</v>
      </c>
      <c r="I21465" s="224" t="s">
        <v>2</v>
      </c>
    </row>
    <row r="21466" spans="1:9" x14ac:dyDescent="0.25">
      <c r="A21466" s="515">
        <v>8341</v>
      </c>
      <c r="B21466" s="515" t="s">
        <v>800</v>
      </c>
      <c r="C21466" s="52">
        <v>239320.29437792901</v>
      </c>
      <c r="D21466" s="56">
        <v>7.7600351026966913E-2</v>
      </c>
      <c r="E21466" s="224" t="s">
        <v>2</v>
      </c>
      <c r="F21466" s="515" t="s">
        <v>22635</v>
      </c>
      <c r="G21466" s="52">
        <v>112555.066666666</v>
      </c>
      <c r="H21466" s="56">
        <v>0</v>
      </c>
      <c r="I21466" s="224" t="s">
        <v>2</v>
      </c>
    </row>
    <row r="21467" spans="1:9" x14ac:dyDescent="0.25">
      <c r="A21467" s="515">
        <v>12997</v>
      </c>
      <c r="C21467" s="52">
        <v>339532.83248181402</v>
      </c>
      <c r="D21467" s="56">
        <v>0.14578098901124414</v>
      </c>
      <c r="E21467" s="224" t="s">
        <v>2</v>
      </c>
      <c r="F21467" s="515" t="s">
        <v>22636</v>
      </c>
      <c r="G21467" s="52">
        <v>83216.794008101904</v>
      </c>
      <c r="H21467" s="56">
        <v>1.9818684152814098E-2</v>
      </c>
      <c r="I21467" s="224" t="s">
        <v>2</v>
      </c>
    </row>
    <row r="21468" spans="1:9" x14ac:dyDescent="0.25">
      <c r="A21468" s="515">
        <v>22935</v>
      </c>
      <c r="B21468" s="515" t="s">
        <v>630</v>
      </c>
      <c r="C21468" s="52">
        <v>333650.88638872601</v>
      </c>
      <c r="D21468" s="56">
        <v>0.15513416560536505</v>
      </c>
      <c r="E21468" s="224" t="s">
        <v>2</v>
      </c>
      <c r="F21468" s="515" t="s">
        <v>22637</v>
      </c>
      <c r="G21468" s="52">
        <v>206354.96956030899</v>
      </c>
      <c r="H21468" s="56">
        <v>2.2137107303103334E-2</v>
      </c>
      <c r="I21468" s="224" t="s">
        <v>2</v>
      </c>
    </row>
    <row r="21469" spans="1:9" x14ac:dyDescent="0.25">
      <c r="A21469" s="515">
        <v>62638</v>
      </c>
      <c r="B21469" s="515" t="s">
        <v>531</v>
      </c>
      <c r="C21469" s="52">
        <v>111528.61948021701</v>
      </c>
      <c r="D21469" s="56">
        <v>2.5514460522513979E-2</v>
      </c>
      <c r="E21469" s="224" t="s">
        <v>2</v>
      </c>
      <c r="F21469" s="515" t="s">
        <v>22638</v>
      </c>
      <c r="G21469" s="52">
        <v>409149.44530429802</v>
      </c>
      <c r="H21469" s="56">
        <v>4.5069972035342902E-2</v>
      </c>
      <c r="I21469" s="224" t="s">
        <v>2</v>
      </c>
    </row>
    <row r="21470" spans="1:9" x14ac:dyDescent="0.25">
      <c r="A21470" s="515">
        <v>23964</v>
      </c>
      <c r="C21470" s="52">
        <v>130135.385890691</v>
      </c>
      <c r="D21470" s="56">
        <v>0</v>
      </c>
      <c r="E21470" s="224" t="s">
        <v>2</v>
      </c>
      <c r="F21470" s="515" t="s">
        <v>22639</v>
      </c>
      <c r="G21470" s="52">
        <v>169572.915924756</v>
      </c>
      <c r="H21470" s="56">
        <v>8.9799744081044547E-2</v>
      </c>
      <c r="I21470" s="224" t="s">
        <v>2</v>
      </c>
    </row>
    <row r="21471" spans="1:9" x14ac:dyDescent="0.25">
      <c r="A21471" s="515">
        <v>54422</v>
      </c>
      <c r="C21471" s="52">
        <v>131414.84112314999</v>
      </c>
      <c r="D21471" s="56">
        <v>0.10096019748998288</v>
      </c>
      <c r="E21471" s="224" t="s">
        <v>2</v>
      </c>
      <c r="F21471" s="515" t="s">
        <v>22640</v>
      </c>
      <c r="G21471" s="52">
        <v>156102.457564232</v>
      </c>
      <c r="H21471" s="56">
        <v>0.21474621818167428</v>
      </c>
      <c r="I21471" s="224" t="s">
        <v>2</v>
      </c>
    </row>
    <row r="21472" spans="1:9" x14ac:dyDescent="0.25">
      <c r="A21472" s="515">
        <v>81019</v>
      </c>
      <c r="B21472" s="515" t="s">
        <v>1003</v>
      </c>
      <c r="C21472" s="52">
        <v>303561.717363309</v>
      </c>
      <c r="D21472" s="56">
        <v>1.9353351145436733E-2</v>
      </c>
      <c r="E21472" s="224" t="s">
        <v>2</v>
      </c>
      <c r="F21472" s="515" t="s">
        <v>22641</v>
      </c>
      <c r="G21472" s="52">
        <v>93760.076923076893</v>
      </c>
      <c r="H21472" s="56">
        <v>0</v>
      </c>
      <c r="I21472" s="224" t="s">
        <v>2</v>
      </c>
    </row>
    <row r="21473" spans="1:9" x14ac:dyDescent="0.25">
      <c r="A21473" s="515">
        <v>41166</v>
      </c>
      <c r="C21473" s="52">
        <v>74090.841499865695</v>
      </c>
      <c r="D21473" s="56">
        <v>0.17967636450154215</v>
      </c>
      <c r="E21473" s="224" t="s">
        <v>2</v>
      </c>
      <c r="F21473" s="515" t="s">
        <v>22642</v>
      </c>
      <c r="G21473" s="52">
        <v>333906.80485873797</v>
      </c>
      <c r="H21473" s="56">
        <v>0.10886566204206513</v>
      </c>
      <c r="I21473" s="224" t="s">
        <v>2</v>
      </c>
    </row>
    <row r="21474" spans="1:9" x14ac:dyDescent="0.25">
      <c r="A21474" s="515">
        <v>93040</v>
      </c>
      <c r="B21474" s="515" t="s">
        <v>1021</v>
      </c>
      <c r="C21474" s="52">
        <v>533154.67521466897</v>
      </c>
      <c r="D21474" s="56">
        <v>7.1342834244557132E-2</v>
      </c>
      <c r="E21474" s="224" t="s">
        <v>2</v>
      </c>
      <c r="F21474" s="515" t="s">
        <v>22643</v>
      </c>
      <c r="G21474" s="52">
        <v>244798.44953357501</v>
      </c>
      <c r="H21474" s="56">
        <v>0.29068635696971573</v>
      </c>
      <c r="I21474" s="224" t="s">
        <v>2</v>
      </c>
    </row>
    <row r="21475" spans="1:9" x14ac:dyDescent="0.25">
      <c r="A21475" s="515">
        <v>13801</v>
      </c>
      <c r="C21475" s="52">
        <v>135622.29287541099</v>
      </c>
      <c r="D21475" s="56">
        <v>0.11222766526853249</v>
      </c>
      <c r="E21475" s="224" t="s">
        <v>2</v>
      </c>
      <c r="F21475" s="515" t="s">
        <v>22644</v>
      </c>
      <c r="G21475" s="52">
        <v>73682.292037088293</v>
      </c>
      <c r="H21475" s="56">
        <v>0.26676762731650688</v>
      </c>
      <c r="I21475" s="224" t="s">
        <v>2</v>
      </c>
    </row>
    <row r="21476" spans="1:9" x14ac:dyDescent="0.25">
      <c r="A21476" s="515">
        <v>50510</v>
      </c>
      <c r="B21476" s="515" t="s">
        <v>723</v>
      </c>
      <c r="C21476" s="52">
        <v>118815.671022968</v>
      </c>
      <c r="D21476" s="56">
        <v>0.11392579407429101</v>
      </c>
      <c r="E21476" s="224" t="s">
        <v>2</v>
      </c>
      <c r="F21476" s="515" t="s">
        <v>22645</v>
      </c>
      <c r="G21476" s="52">
        <v>225762.02423733301</v>
      </c>
      <c r="H21476" s="56">
        <v>0.11954989637605805</v>
      </c>
      <c r="I21476" s="224" t="s">
        <v>2</v>
      </c>
    </row>
    <row r="21477" spans="1:9" x14ac:dyDescent="0.25">
      <c r="A21477" s="515">
        <v>75105</v>
      </c>
      <c r="B21477" s="515" t="s">
        <v>655</v>
      </c>
      <c r="C21477" s="52">
        <v>279316.55555555498</v>
      </c>
      <c r="D21477" s="56">
        <v>0</v>
      </c>
      <c r="E21477" s="224" t="s">
        <v>2</v>
      </c>
      <c r="F21477" s="515" t="s">
        <v>22646</v>
      </c>
      <c r="G21477" s="52">
        <v>25646.346101673698</v>
      </c>
      <c r="H21477" s="56">
        <v>9.4563294325015243E-2</v>
      </c>
      <c r="I21477" s="224" t="s">
        <v>2</v>
      </c>
    </row>
    <row r="21478" spans="1:9" x14ac:dyDescent="0.25">
      <c r="A21478" s="515">
        <v>3240</v>
      </c>
      <c r="B21478" s="515" t="s">
        <v>420</v>
      </c>
      <c r="C21478" s="52">
        <v>273043.76051844802</v>
      </c>
      <c r="D21478" s="56">
        <v>0.16331331831502235</v>
      </c>
      <c r="E21478" s="224" t="s">
        <v>2</v>
      </c>
      <c r="F21478" s="515" t="s">
        <v>22647</v>
      </c>
      <c r="G21478" s="52">
        <v>134470.48720065801</v>
      </c>
      <c r="H21478" s="56">
        <v>3.7838961254307447E-2</v>
      </c>
      <c r="I21478" s="224" t="s">
        <v>2</v>
      </c>
    </row>
    <row r="21479" spans="1:9" x14ac:dyDescent="0.25">
      <c r="A21479" s="515">
        <v>54769</v>
      </c>
      <c r="C21479" s="52">
        <v>301410.32973232801</v>
      </c>
      <c r="D21479" s="56">
        <v>0.11248002266252591</v>
      </c>
      <c r="E21479" s="224" t="s">
        <v>2</v>
      </c>
      <c r="F21479" s="515" t="s">
        <v>22648</v>
      </c>
      <c r="G21479" s="52">
        <v>75395.906976744096</v>
      </c>
      <c r="H21479" s="56">
        <v>0</v>
      </c>
      <c r="I21479" s="224" t="s">
        <v>2</v>
      </c>
    </row>
    <row r="21480" spans="1:9" x14ac:dyDescent="0.25">
      <c r="A21480" s="515">
        <v>62355</v>
      </c>
      <c r="B21480" s="515" t="s">
        <v>498</v>
      </c>
      <c r="C21480" s="52">
        <v>72917.600000000006</v>
      </c>
      <c r="D21480" s="56">
        <v>0</v>
      </c>
      <c r="E21480" s="224" t="s">
        <v>2</v>
      </c>
      <c r="F21480" s="515" t="s">
        <v>22649</v>
      </c>
      <c r="G21480" s="52">
        <v>34623.900112425399</v>
      </c>
      <c r="H21480" s="56">
        <v>-0.1360900399322012</v>
      </c>
      <c r="I21480" s="224" t="s">
        <v>2</v>
      </c>
    </row>
    <row r="21481" spans="1:9" x14ac:dyDescent="0.25">
      <c r="A21481" s="515">
        <v>4284</v>
      </c>
      <c r="B21481" s="515" t="s">
        <v>848</v>
      </c>
      <c r="C21481" s="52">
        <v>311630.34113993298</v>
      </c>
      <c r="D21481" s="56">
        <v>5.8389626599853424E-2</v>
      </c>
      <c r="E21481" s="224" t="s">
        <v>2</v>
      </c>
      <c r="F21481" s="515" t="s">
        <v>22650</v>
      </c>
      <c r="G21481" s="52">
        <v>456001.76033057802</v>
      </c>
      <c r="H21481" s="56">
        <v>0</v>
      </c>
      <c r="I21481" s="224" t="s">
        <v>2</v>
      </c>
    </row>
    <row r="21482" spans="1:9" x14ac:dyDescent="0.25">
      <c r="A21482" s="515">
        <v>65334</v>
      </c>
      <c r="B21482" s="515" t="s">
        <v>798</v>
      </c>
      <c r="C21482" s="52">
        <v>239800.55350554999</v>
      </c>
      <c r="D21482" s="56">
        <v>9.8795083048990415E-2</v>
      </c>
      <c r="E21482" s="224" t="s">
        <v>2</v>
      </c>
      <c r="F21482" s="515" t="s">
        <v>22651</v>
      </c>
      <c r="G21482" s="52">
        <v>190468.16644226899</v>
      </c>
      <c r="H21482" s="56">
        <v>5.0904481375296642E-2</v>
      </c>
      <c r="I21482" s="224" t="s">
        <v>2</v>
      </c>
    </row>
    <row r="21483" spans="1:9" x14ac:dyDescent="0.25">
      <c r="A21483" s="515">
        <v>18415</v>
      </c>
      <c r="C21483" s="52">
        <v>292528.298661949</v>
      </c>
      <c r="D21483" s="56">
        <v>5.402088791967076E-2</v>
      </c>
      <c r="E21483" s="224" t="s">
        <v>2</v>
      </c>
      <c r="F21483" s="515" t="s">
        <v>22652</v>
      </c>
      <c r="G21483" s="52">
        <v>339425.96084800101</v>
      </c>
      <c r="H21483" s="56">
        <v>0.17170839081639316</v>
      </c>
      <c r="I21483" s="224" t="s">
        <v>2</v>
      </c>
    </row>
    <row r="21484" spans="1:9" x14ac:dyDescent="0.25">
      <c r="A21484" s="515">
        <v>50846</v>
      </c>
      <c r="C21484" s="52">
        <v>128268.815421935</v>
      </c>
      <c r="D21484" s="56">
        <v>6.9117309073642719E-2</v>
      </c>
      <c r="E21484" s="224" t="s">
        <v>2</v>
      </c>
      <c r="F21484" s="515" t="s">
        <v>22653</v>
      </c>
      <c r="G21484" s="52">
        <v>973859.368421052</v>
      </c>
      <c r="H21484" s="56">
        <v>0</v>
      </c>
      <c r="I21484" s="224" t="s">
        <v>2</v>
      </c>
    </row>
    <row r="21485" spans="1:9" x14ac:dyDescent="0.25">
      <c r="A21485" s="515">
        <v>51525</v>
      </c>
      <c r="B21485" s="515" t="s">
        <v>367</v>
      </c>
      <c r="C21485" s="52">
        <v>198940.286757183</v>
      </c>
      <c r="D21485" s="56">
        <v>9.5591614265362432E-2</v>
      </c>
      <c r="E21485" s="224" t="s">
        <v>2</v>
      </c>
      <c r="F21485" s="515" t="s">
        <v>22654</v>
      </c>
      <c r="G21485" s="52">
        <v>165520.01895693399</v>
      </c>
      <c r="H21485" s="56">
        <v>0.23543901386782545</v>
      </c>
      <c r="I21485" s="224" t="s">
        <v>2</v>
      </c>
    </row>
    <row r="21486" spans="1:9" x14ac:dyDescent="0.25">
      <c r="A21486" s="515">
        <v>31054</v>
      </c>
      <c r="C21486" s="52">
        <v>92554.657908479901</v>
      </c>
      <c r="D21486" s="56">
        <v>3.2257361184020131E-2</v>
      </c>
      <c r="E21486" s="224" t="s">
        <v>2</v>
      </c>
      <c r="F21486" s="515" t="s">
        <v>22655</v>
      </c>
      <c r="G21486" s="52">
        <v>159622.28361846501</v>
      </c>
      <c r="H21486" s="56">
        <v>-4.8929299519378721E-3</v>
      </c>
      <c r="I21486" s="224" t="s">
        <v>2</v>
      </c>
    </row>
    <row r="21487" spans="1:9" x14ac:dyDescent="0.25">
      <c r="A21487" s="515">
        <v>24473</v>
      </c>
      <c r="C21487" s="52">
        <v>326163.55845984502</v>
      </c>
      <c r="D21487" s="56">
        <v>0.14096869673570184</v>
      </c>
      <c r="E21487" s="224" t="s">
        <v>2</v>
      </c>
      <c r="F21487" s="515" t="s">
        <v>22656</v>
      </c>
      <c r="G21487" s="52">
        <v>191613.522389133</v>
      </c>
      <c r="H21487" s="56">
        <v>0</v>
      </c>
      <c r="I21487" s="224" t="s">
        <v>2</v>
      </c>
    </row>
    <row r="21488" spans="1:9" x14ac:dyDescent="0.25">
      <c r="A21488" s="515">
        <v>96146</v>
      </c>
      <c r="B21488" s="515" t="s">
        <v>355</v>
      </c>
      <c r="C21488" s="52">
        <v>902420.476999067</v>
      </c>
      <c r="D21488" s="56">
        <v>-4.2847762042675791E-2</v>
      </c>
      <c r="E21488" s="224" t="s">
        <v>2</v>
      </c>
      <c r="F21488" s="515" t="s">
        <v>22657</v>
      </c>
      <c r="G21488" s="52">
        <v>1230080.7757260499</v>
      </c>
      <c r="H21488" s="56">
        <v>4.2004664276389624E-2</v>
      </c>
      <c r="I21488" s="224" t="s">
        <v>2</v>
      </c>
    </row>
    <row r="21489" spans="1:9" x14ac:dyDescent="0.25">
      <c r="A21489" s="515">
        <v>6793</v>
      </c>
      <c r="B21489" s="515" t="s">
        <v>559</v>
      </c>
      <c r="C21489" s="52">
        <v>972723.65485868906</v>
      </c>
      <c r="D21489" s="56">
        <v>0.10000183610838863</v>
      </c>
      <c r="E21489" s="224" t="s">
        <v>2</v>
      </c>
      <c r="F21489" s="515" t="s">
        <v>22658</v>
      </c>
      <c r="G21489" s="52">
        <v>87706.189654223999</v>
      </c>
      <c r="H21489" s="56">
        <v>0.10991314725549585</v>
      </c>
      <c r="I21489" s="224" t="s">
        <v>2</v>
      </c>
    </row>
    <row r="21490" spans="1:9" x14ac:dyDescent="0.25">
      <c r="A21490" s="515">
        <v>67487</v>
      </c>
      <c r="C21490" s="52">
        <v>174364.93913373601</v>
      </c>
      <c r="D21490" s="56">
        <v>8.9697837943391881E-2</v>
      </c>
      <c r="E21490" s="224" t="s">
        <v>2</v>
      </c>
      <c r="F21490" s="515" t="s">
        <v>22659</v>
      </c>
      <c r="G21490" s="52">
        <v>246176.174783661</v>
      </c>
      <c r="H21490" s="56">
        <v>7.5319266455664752E-2</v>
      </c>
      <c r="I21490" s="224" t="s">
        <v>2</v>
      </c>
    </row>
    <row r="21491" spans="1:9" x14ac:dyDescent="0.25">
      <c r="A21491" s="515">
        <v>14869</v>
      </c>
      <c r="C21491" s="52">
        <v>168975.01553343199</v>
      </c>
      <c r="D21491" s="56">
        <v>9.7627262642196275E-2</v>
      </c>
      <c r="E21491" s="224" t="s">
        <v>2</v>
      </c>
      <c r="F21491" s="515" t="s">
        <v>22660</v>
      </c>
      <c r="G21491" s="52">
        <v>115895.156471739</v>
      </c>
      <c r="H21491" s="56">
        <v>4.805090875059613E-2</v>
      </c>
      <c r="I21491" s="224" t="s">
        <v>2</v>
      </c>
    </row>
    <row r="21492" spans="1:9" x14ac:dyDescent="0.25">
      <c r="A21492" s="515">
        <v>8247</v>
      </c>
      <c r="B21492" s="515" t="s">
        <v>653</v>
      </c>
      <c r="C21492" s="52">
        <v>2157462.4309026902</v>
      </c>
      <c r="D21492" s="56">
        <v>6.9364585612842464E-2</v>
      </c>
      <c r="E21492" s="224" t="s">
        <v>2</v>
      </c>
      <c r="F21492" s="515" t="s">
        <v>22661</v>
      </c>
      <c r="G21492" s="52">
        <v>644563.65757427202</v>
      </c>
      <c r="H21492" s="56">
        <v>0.11393637341273313</v>
      </c>
      <c r="I21492" s="224" t="s">
        <v>2</v>
      </c>
    </row>
    <row r="21493" spans="1:9" x14ac:dyDescent="0.25">
      <c r="A21493" s="515">
        <v>1330</v>
      </c>
      <c r="B21493" s="515" t="s">
        <v>575</v>
      </c>
      <c r="C21493" s="52">
        <v>354437.15827262</v>
      </c>
      <c r="D21493" s="56">
        <v>8.9188705988618264E-2</v>
      </c>
      <c r="E21493" s="224" t="s">
        <v>2</v>
      </c>
      <c r="F21493" s="515" t="s">
        <v>22662</v>
      </c>
      <c r="G21493" s="52">
        <v>177652.02372785599</v>
      </c>
      <c r="H21493" s="56">
        <v>0</v>
      </c>
      <c r="I21493" s="224" t="s">
        <v>2</v>
      </c>
    </row>
    <row r="21494" spans="1:9" x14ac:dyDescent="0.25">
      <c r="A21494" s="515">
        <v>46985</v>
      </c>
      <c r="C21494" s="52">
        <v>138617.34574377601</v>
      </c>
      <c r="D21494" s="56">
        <v>8.5705108929332391E-2</v>
      </c>
      <c r="E21494" s="224" t="s">
        <v>2</v>
      </c>
      <c r="F21494" s="515" t="s">
        <v>22663</v>
      </c>
      <c r="G21494" s="52">
        <v>95593.332762299804</v>
      </c>
      <c r="H21494" s="56">
        <v>6.7283054519162347E-2</v>
      </c>
      <c r="I21494" s="224" t="s">
        <v>2</v>
      </c>
    </row>
    <row r="21495" spans="1:9" x14ac:dyDescent="0.25">
      <c r="A21495" s="515">
        <v>53587</v>
      </c>
      <c r="C21495" s="52">
        <v>149484.27155516201</v>
      </c>
      <c r="D21495" s="56">
        <v>-7.770584527503323E-4</v>
      </c>
      <c r="E21495" s="224" t="s">
        <v>2</v>
      </c>
      <c r="F21495" s="515" t="s">
        <v>22664</v>
      </c>
      <c r="G21495" s="52">
        <v>91746.301791562102</v>
      </c>
      <c r="H21495" s="56">
        <v>-0.12474082951517111</v>
      </c>
      <c r="I21495" s="224" t="s">
        <v>2</v>
      </c>
    </row>
    <row r="21496" spans="1:9" x14ac:dyDescent="0.25">
      <c r="A21496" s="515">
        <v>43524</v>
      </c>
      <c r="C21496" s="52">
        <v>137364.87356974199</v>
      </c>
      <c r="D21496" s="56">
        <v>4.1460092277710935E-2</v>
      </c>
      <c r="E21496" s="224" t="s">
        <v>2</v>
      </c>
      <c r="F21496" s="515" t="s">
        <v>22665</v>
      </c>
      <c r="G21496" s="52">
        <v>190173.026466904</v>
      </c>
      <c r="H21496" s="56">
        <v>0</v>
      </c>
      <c r="I21496" s="224" t="s">
        <v>2</v>
      </c>
    </row>
    <row r="21497" spans="1:9" x14ac:dyDescent="0.25">
      <c r="A21497" s="515">
        <v>52746</v>
      </c>
      <c r="B21497" s="515" t="s">
        <v>439</v>
      </c>
      <c r="C21497" s="52">
        <v>252869.21393358801</v>
      </c>
      <c r="D21497" s="56">
        <v>8.4601233382287422E-2</v>
      </c>
      <c r="E21497" s="224" t="s">
        <v>2</v>
      </c>
      <c r="F21497" s="515" t="s">
        <v>22666</v>
      </c>
      <c r="G21497" s="52">
        <v>90832.020073597494</v>
      </c>
      <c r="H21497" s="56">
        <v>2.0746924560019385E-2</v>
      </c>
      <c r="I21497" s="224" t="s">
        <v>2</v>
      </c>
    </row>
    <row r="21498" spans="1:9" x14ac:dyDescent="0.25">
      <c r="A21498" s="515">
        <v>85606</v>
      </c>
      <c r="B21498" s="515" t="s">
        <v>374</v>
      </c>
      <c r="C21498" s="52">
        <v>206921.962449438</v>
      </c>
      <c r="D21498" s="56">
        <v>8.5732165684410347E-2</v>
      </c>
      <c r="E21498" s="224" t="s">
        <v>2</v>
      </c>
      <c r="F21498" s="515" t="s">
        <v>22667</v>
      </c>
      <c r="G21498" s="52">
        <v>318698.80264892703</v>
      </c>
      <c r="H21498" s="56">
        <v>0.11350846582855867</v>
      </c>
      <c r="I21498" s="224" t="s">
        <v>2</v>
      </c>
    </row>
    <row r="21499" spans="1:9" x14ac:dyDescent="0.25">
      <c r="A21499" s="515">
        <v>80832</v>
      </c>
      <c r="B21499" s="515" t="s">
        <v>701</v>
      </c>
      <c r="C21499" s="52">
        <v>398030.64556972397</v>
      </c>
      <c r="D21499" s="56">
        <v>2.6055842626529518E-2</v>
      </c>
      <c r="E21499" s="224" t="s">
        <v>2</v>
      </c>
      <c r="F21499" s="515" t="s">
        <v>22668</v>
      </c>
      <c r="G21499" s="52">
        <v>342661.20512820501</v>
      </c>
      <c r="H21499" s="56">
        <v>0</v>
      </c>
      <c r="I21499" s="224" t="s">
        <v>2</v>
      </c>
    </row>
    <row r="21500" spans="1:9" x14ac:dyDescent="0.25">
      <c r="A21500" s="515">
        <v>73724</v>
      </c>
      <c r="C21500" s="52">
        <v>79228.643803824598</v>
      </c>
      <c r="D21500" s="56">
        <v>-2.5883192287962764E-2</v>
      </c>
      <c r="E21500" s="224" t="s">
        <v>2</v>
      </c>
      <c r="F21500" s="515" t="s">
        <v>22669</v>
      </c>
      <c r="G21500" s="52">
        <v>332934.00583098701</v>
      </c>
      <c r="H21500" s="56">
        <v>9.4736533502588455E-2</v>
      </c>
      <c r="I21500" s="224" t="s">
        <v>2</v>
      </c>
    </row>
    <row r="21501" spans="1:9" x14ac:dyDescent="0.25">
      <c r="A21501" s="515">
        <v>64401</v>
      </c>
      <c r="B21501" s="515" t="s">
        <v>371</v>
      </c>
      <c r="C21501" s="52">
        <v>261115.667650419</v>
      </c>
      <c r="D21501" s="56">
        <v>7.2670436129083707E-2</v>
      </c>
      <c r="E21501" s="224" t="s">
        <v>2</v>
      </c>
      <c r="F21501" s="515" t="s">
        <v>22670</v>
      </c>
      <c r="G21501" s="52">
        <v>117047.08333333299</v>
      </c>
      <c r="H21501" s="56">
        <v>0</v>
      </c>
      <c r="I21501" s="224" t="s">
        <v>2</v>
      </c>
    </row>
    <row r="21502" spans="1:9" x14ac:dyDescent="0.25">
      <c r="A21502" s="515">
        <v>2666</v>
      </c>
      <c r="B21502" s="515" t="s">
        <v>427</v>
      </c>
      <c r="C21502" s="52">
        <v>959161.38841163996</v>
      </c>
      <c r="D21502" s="56">
        <v>0.12844259111929388</v>
      </c>
      <c r="E21502" s="224" t="s">
        <v>2</v>
      </c>
      <c r="F21502" s="515" t="s">
        <v>22671</v>
      </c>
      <c r="G21502" s="52">
        <v>93107.759725965807</v>
      </c>
      <c r="H21502" s="56">
        <v>0.15131228510426808</v>
      </c>
      <c r="I21502" s="224" t="s">
        <v>2</v>
      </c>
    </row>
    <row r="21503" spans="1:9" x14ac:dyDescent="0.25">
      <c r="A21503" s="515">
        <v>25186</v>
      </c>
      <c r="B21503" s="515" t="s">
        <v>566</v>
      </c>
      <c r="C21503" s="52">
        <v>69725.881624584596</v>
      </c>
      <c r="D21503" s="56">
        <v>0.25900647252755038</v>
      </c>
      <c r="E21503" s="224" t="s">
        <v>2</v>
      </c>
      <c r="F21503" s="515" t="s">
        <v>22672</v>
      </c>
      <c r="G21503" s="52">
        <v>78246.356996132294</v>
      </c>
      <c r="H21503" s="56">
        <v>8.4645008317897244E-2</v>
      </c>
      <c r="I21503" s="224" t="s">
        <v>2</v>
      </c>
    </row>
    <row r="21504" spans="1:9" x14ac:dyDescent="0.25">
      <c r="A21504" s="515">
        <v>52155</v>
      </c>
      <c r="C21504" s="52">
        <v>164253.98592028499</v>
      </c>
      <c r="D21504" s="56">
        <v>0</v>
      </c>
      <c r="E21504" s="224" t="s">
        <v>2</v>
      </c>
      <c r="F21504" s="515" t="s">
        <v>22673</v>
      </c>
      <c r="G21504" s="52">
        <v>272978.28866591997</v>
      </c>
      <c r="H21504" s="56">
        <v>5.027525874959668E-2</v>
      </c>
      <c r="I21504" s="224" t="s">
        <v>2</v>
      </c>
    </row>
    <row r="21505" spans="1:9" x14ac:dyDescent="0.25">
      <c r="A21505" s="515">
        <v>25125</v>
      </c>
      <c r="B21505" s="515" t="s">
        <v>322</v>
      </c>
      <c r="C21505" s="52">
        <v>86860.765575160898</v>
      </c>
      <c r="D21505" s="56">
        <v>8.8440788878482571E-2</v>
      </c>
      <c r="E21505" s="224" t="s">
        <v>2</v>
      </c>
      <c r="F21505" s="515" t="s">
        <v>22674</v>
      </c>
      <c r="G21505" s="52">
        <v>146290.180223395</v>
      </c>
      <c r="H21505" s="56">
        <v>-1.0666334023309994E-2</v>
      </c>
      <c r="I21505" s="224" t="s">
        <v>2</v>
      </c>
    </row>
    <row r="21506" spans="1:9" x14ac:dyDescent="0.25">
      <c r="A21506" s="515">
        <v>81324</v>
      </c>
      <c r="C21506" s="52">
        <v>182409.434486004</v>
      </c>
      <c r="D21506" s="56">
        <v>7.2658113561604828E-2</v>
      </c>
      <c r="E21506" s="224" t="s">
        <v>2</v>
      </c>
      <c r="F21506" s="515" t="s">
        <v>22675</v>
      </c>
      <c r="G21506" s="52">
        <v>272304.06077749399</v>
      </c>
      <c r="H21506" s="56">
        <v>3.6250923775140251E-3</v>
      </c>
      <c r="I21506" s="224" t="s">
        <v>2</v>
      </c>
    </row>
    <row r="21507" spans="1:9" x14ac:dyDescent="0.25">
      <c r="A21507" s="515">
        <v>66537</v>
      </c>
      <c r="B21507" s="515" t="s">
        <v>549</v>
      </c>
      <c r="C21507" s="52">
        <v>184548.47265235099</v>
      </c>
      <c r="D21507" s="56">
        <v>8.3578016606061359E-2</v>
      </c>
      <c r="E21507" s="224" t="s">
        <v>2</v>
      </c>
      <c r="F21507" s="515" t="s">
        <v>22676</v>
      </c>
      <c r="G21507" s="52">
        <v>83505.9054552499</v>
      </c>
      <c r="H21507" s="56">
        <v>0.10381686954092786</v>
      </c>
      <c r="I21507" s="224" t="s">
        <v>2</v>
      </c>
    </row>
    <row r="21508" spans="1:9" x14ac:dyDescent="0.25">
      <c r="A21508" s="515">
        <v>45326</v>
      </c>
      <c r="B21508" s="515" t="s">
        <v>340</v>
      </c>
      <c r="C21508" s="52">
        <v>185299.90808206901</v>
      </c>
      <c r="D21508" s="56">
        <v>6.5053707725032689E-2</v>
      </c>
      <c r="E21508" s="224" t="s">
        <v>2</v>
      </c>
      <c r="F21508" s="515" t="s">
        <v>22677</v>
      </c>
      <c r="G21508" s="52">
        <v>178892.48239294099</v>
      </c>
      <c r="H21508" s="56">
        <v>7.7426333305468567E-2</v>
      </c>
      <c r="I21508" s="224" t="s">
        <v>2</v>
      </c>
    </row>
    <row r="21509" spans="1:9" x14ac:dyDescent="0.25">
      <c r="A21509" s="515">
        <v>22718</v>
      </c>
      <c r="B21509" s="515" t="s">
        <v>321</v>
      </c>
      <c r="C21509" s="52">
        <v>381725.576019848</v>
      </c>
      <c r="D21509" s="56">
        <v>9.7828911504891577E-2</v>
      </c>
      <c r="E21509" s="224" t="s">
        <v>2</v>
      </c>
      <c r="F21509" s="515" t="s">
        <v>22678</v>
      </c>
      <c r="G21509" s="52">
        <v>219378.91567307999</v>
      </c>
      <c r="H21509" s="56">
        <v>0</v>
      </c>
      <c r="I21509" s="224" t="s">
        <v>2</v>
      </c>
    </row>
    <row r="21510" spans="1:9" x14ac:dyDescent="0.25">
      <c r="A21510" s="515">
        <v>47386</v>
      </c>
      <c r="B21510" s="515" t="s">
        <v>421</v>
      </c>
      <c r="C21510" s="52">
        <v>210619.82167674601</v>
      </c>
      <c r="D21510" s="56">
        <v>7.2182154114203867E-2</v>
      </c>
      <c r="E21510" s="224" t="s">
        <v>2</v>
      </c>
      <c r="F21510" s="515" t="s">
        <v>22679</v>
      </c>
      <c r="G21510" s="52">
        <v>319365.118523026</v>
      </c>
      <c r="H21510" s="56">
        <v>0</v>
      </c>
      <c r="I21510" s="224" t="s">
        <v>2</v>
      </c>
    </row>
    <row r="21511" spans="1:9" x14ac:dyDescent="0.25">
      <c r="A21511" s="515">
        <v>99101</v>
      </c>
      <c r="B21511" s="515" t="s">
        <v>820</v>
      </c>
      <c r="C21511" s="52">
        <v>355221.74190102197</v>
      </c>
      <c r="D21511" s="56">
        <v>5.1224716638787145E-2</v>
      </c>
      <c r="E21511" s="224" t="s">
        <v>2</v>
      </c>
      <c r="F21511" s="515" t="s">
        <v>22680</v>
      </c>
      <c r="G21511" s="52">
        <v>400294.46131590399</v>
      </c>
      <c r="H21511" s="56">
        <v>1.0487514725217553E-3</v>
      </c>
      <c r="I21511" s="224" t="s">
        <v>2</v>
      </c>
    </row>
    <row r="21512" spans="1:9" x14ac:dyDescent="0.25">
      <c r="A21512" s="515">
        <v>15056</v>
      </c>
      <c r="B21512" s="515" t="s">
        <v>297</v>
      </c>
      <c r="C21512" s="52">
        <v>136715.85973209699</v>
      </c>
      <c r="D21512" s="56">
        <v>5.1137097713195176E-2</v>
      </c>
      <c r="E21512" s="224" t="s">
        <v>2</v>
      </c>
      <c r="F21512" s="515" t="s">
        <v>22681</v>
      </c>
      <c r="G21512" s="52">
        <v>111304.920982104</v>
      </c>
      <c r="H21512" s="56">
        <v>0.10310917031055118</v>
      </c>
      <c r="I21512" s="224" t="s">
        <v>2</v>
      </c>
    </row>
    <row r="21513" spans="1:9" x14ac:dyDescent="0.25">
      <c r="A21513" s="515">
        <v>39767</v>
      </c>
      <c r="B21513" s="515" t="s">
        <v>722</v>
      </c>
      <c r="C21513" s="52">
        <v>133327.14516534001</v>
      </c>
      <c r="D21513" s="56">
        <v>-3.2442814279744284E-2</v>
      </c>
      <c r="E21513" s="224" t="s">
        <v>2</v>
      </c>
      <c r="F21513" s="515" t="s">
        <v>22682</v>
      </c>
      <c r="G21513" s="52">
        <v>145373.625</v>
      </c>
      <c r="H21513" s="56">
        <v>0</v>
      </c>
      <c r="I21513" s="224" t="s">
        <v>2</v>
      </c>
    </row>
    <row r="21514" spans="1:9" x14ac:dyDescent="0.25">
      <c r="A21514" s="515">
        <v>50666</v>
      </c>
      <c r="B21514" s="515" t="s">
        <v>315</v>
      </c>
      <c r="C21514" s="52">
        <v>166630.04140371401</v>
      </c>
      <c r="D21514" s="56">
        <v>0.11872725985816888</v>
      </c>
      <c r="E21514" s="224" t="s">
        <v>2</v>
      </c>
      <c r="F21514" s="515" t="s">
        <v>22683</v>
      </c>
      <c r="G21514" s="52">
        <v>281785.37598018098</v>
      </c>
      <c r="H21514" s="56">
        <v>-5.0713440343710177E-2</v>
      </c>
      <c r="I21514" s="224" t="s">
        <v>2</v>
      </c>
    </row>
    <row r="21515" spans="1:9" x14ac:dyDescent="0.25">
      <c r="A21515" s="515">
        <v>98613</v>
      </c>
      <c r="C21515" s="52">
        <v>401814.308593756</v>
      </c>
      <c r="D21515" s="56">
        <v>-3.8414329891940435E-2</v>
      </c>
      <c r="E21515" s="224" t="s">
        <v>2</v>
      </c>
      <c r="F21515" s="515" t="s">
        <v>22684</v>
      </c>
      <c r="G21515" s="52">
        <v>244157.16452138399</v>
      </c>
      <c r="H21515" s="56">
        <v>8.0581428769981409E-2</v>
      </c>
      <c r="I21515" s="224" t="s">
        <v>2</v>
      </c>
    </row>
    <row r="21516" spans="1:9" x14ac:dyDescent="0.25">
      <c r="A21516" s="515">
        <v>3464</v>
      </c>
      <c r="B21516" s="515" t="s">
        <v>747</v>
      </c>
      <c r="C21516" s="52">
        <v>340224.04678873002</v>
      </c>
      <c r="D21516" s="56">
        <v>0.12937533011203989</v>
      </c>
      <c r="E21516" s="224" t="s">
        <v>2</v>
      </c>
      <c r="F21516" s="515" t="s">
        <v>22685</v>
      </c>
      <c r="G21516" s="52">
        <v>222889.76528940501</v>
      </c>
      <c r="H21516" s="56">
        <v>0.11299624652793235</v>
      </c>
      <c r="I21516" s="224" t="s">
        <v>2</v>
      </c>
    </row>
    <row r="21517" spans="1:9" x14ac:dyDescent="0.25">
      <c r="A21517" s="515">
        <v>56534</v>
      </c>
      <c r="B21517" s="515" t="s">
        <v>601</v>
      </c>
      <c r="C21517" s="52">
        <v>289843.11939208099</v>
      </c>
      <c r="D21517" s="56">
        <v>0.11194624491146679</v>
      </c>
      <c r="E21517" s="224" t="s">
        <v>2</v>
      </c>
      <c r="F21517" s="515" t="s">
        <v>22686</v>
      </c>
      <c r="G21517" s="52">
        <v>234716.31178261599</v>
      </c>
      <c r="H21517" s="56">
        <v>9.9890220378944281E-2</v>
      </c>
      <c r="I21517" s="224" t="s">
        <v>2</v>
      </c>
    </row>
    <row r="21518" spans="1:9" x14ac:dyDescent="0.25">
      <c r="A21518" s="515">
        <v>66868</v>
      </c>
      <c r="B21518" s="515" t="s">
        <v>707</v>
      </c>
      <c r="C21518" s="52">
        <v>207233.3975207</v>
      </c>
      <c r="D21518" s="56">
        <v>0.22631963376602884</v>
      </c>
      <c r="E21518" s="224" t="s">
        <v>2</v>
      </c>
      <c r="F21518" s="515" t="s">
        <v>22687</v>
      </c>
      <c r="G21518" s="52">
        <v>70818.875764466895</v>
      </c>
      <c r="H21518" s="56">
        <v>0.23020421041908323</v>
      </c>
      <c r="I21518" s="224" t="s">
        <v>2</v>
      </c>
    </row>
    <row r="21519" spans="1:9" x14ac:dyDescent="0.25">
      <c r="A21519" s="515">
        <v>36020</v>
      </c>
      <c r="B21519" s="515" t="s">
        <v>806</v>
      </c>
      <c r="C21519" s="52">
        <v>184366.58175247401</v>
      </c>
      <c r="D21519" s="56">
        <v>8.3550957233851808E-2</v>
      </c>
      <c r="E21519" s="224" t="s">
        <v>2</v>
      </c>
      <c r="F21519" s="515" t="s">
        <v>22688</v>
      </c>
      <c r="G21519" s="52">
        <v>246551.84652761801</v>
      </c>
      <c r="H21519" s="56">
        <v>-6.8386665225787435E-3</v>
      </c>
      <c r="I21519" s="224" t="s">
        <v>2</v>
      </c>
    </row>
    <row r="21520" spans="1:9" x14ac:dyDescent="0.25">
      <c r="A21520" s="515">
        <v>56251</v>
      </c>
      <c r="B21520" s="515" t="s">
        <v>803</v>
      </c>
      <c r="C21520" s="52">
        <v>222421.597503172</v>
      </c>
      <c r="D21520" s="56">
        <v>3.3291827428600915E-2</v>
      </c>
      <c r="E21520" s="224" t="s">
        <v>2</v>
      </c>
      <c r="F21520" s="515" t="s">
        <v>22689</v>
      </c>
      <c r="G21520" s="52">
        <v>1220226.8449657301</v>
      </c>
      <c r="H21520" s="56">
        <v>0.14886888589943423</v>
      </c>
      <c r="I21520" s="224" t="s">
        <v>2</v>
      </c>
    </row>
    <row r="21521" spans="1:9" x14ac:dyDescent="0.25">
      <c r="A21521" s="515">
        <v>46057</v>
      </c>
      <c r="B21521" s="515" t="s">
        <v>808</v>
      </c>
      <c r="C21521" s="52">
        <v>183689.04681953901</v>
      </c>
      <c r="D21521" s="56">
        <v>8.3330494613770997E-2</v>
      </c>
      <c r="E21521" s="224" t="s">
        <v>2</v>
      </c>
      <c r="F21521" s="515" t="s">
        <v>22690</v>
      </c>
      <c r="G21521" s="52">
        <v>1103687.71621621</v>
      </c>
      <c r="H21521" s="56">
        <v>0</v>
      </c>
      <c r="I21521" s="224" t="s">
        <v>2</v>
      </c>
    </row>
    <row r="21522" spans="1:9" x14ac:dyDescent="0.25">
      <c r="A21522" s="515">
        <v>45359</v>
      </c>
      <c r="B21522" s="515" t="s">
        <v>340</v>
      </c>
      <c r="C21522" s="52">
        <v>197430.99793292899</v>
      </c>
      <c r="D21522" s="56">
        <v>8.6642382226844603E-2</v>
      </c>
      <c r="E21522" s="224" t="s">
        <v>2</v>
      </c>
      <c r="F21522" s="515" t="s">
        <v>22691</v>
      </c>
      <c r="G21522" s="52">
        <v>149815.925045777</v>
      </c>
      <c r="H21522" s="56">
        <v>9.8069251556484993E-2</v>
      </c>
      <c r="I21522" s="224" t="s">
        <v>2</v>
      </c>
    </row>
    <row r="21523" spans="1:9" x14ac:dyDescent="0.25">
      <c r="A21523" s="515">
        <v>33849</v>
      </c>
      <c r="B21523" s="515" t="s">
        <v>359</v>
      </c>
      <c r="C21523" s="52">
        <v>371730.47424110002</v>
      </c>
      <c r="D21523" s="56">
        <v>0.12564431998152636</v>
      </c>
      <c r="E21523" s="224" t="s">
        <v>2</v>
      </c>
      <c r="F21523" s="515" t="s">
        <v>22692</v>
      </c>
      <c r="G21523" s="52">
        <v>107422.905361546</v>
      </c>
      <c r="H21523" s="56">
        <v>9.7158167849984184E-2</v>
      </c>
      <c r="I21523" s="224" t="s">
        <v>2</v>
      </c>
    </row>
    <row r="21524" spans="1:9" x14ac:dyDescent="0.25">
      <c r="A21524" s="515">
        <v>50230</v>
      </c>
      <c r="C21524" s="52">
        <v>151765.02450134401</v>
      </c>
      <c r="D21524" s="56">
        <v>0.13053162074345692</v>
      </c>
      <c r="E21524" s="224" t="s">
        <v>2</v>
      </c>
      <c r="F21524" s="515" t="s">
        <v>22693</v>
      </c>
      <c r="G21524" s="52">
        <v>109317.968586844</v>
      </c>
      <c r="H21524" s="56">
        <v>0.2025400483589242</v>
      </c>
      <c r="I21524" s="224" t="s">
        <v>2</v>
      </c>
    </row>
    <row r="21525" spans="1:9" x14ac:dyDescent="0.25">
      <c r="A21525" s="515">
        <v>31629</v>
      </c>
      <c r="B21525" s="515" t="s">
        <v>505</v>
      </c>
      <c r="C21525" s="52">
        <v>156749.32948830101</v>
      </c>
      <c r="D21525" s="56">
        <v>3.7553647562339914E-3</v>
      </c>
      <c r="E21525" s="224" t="s">
        <v>2</v>
      </c>
      <c r="F21525" s="515" t="s">
        <v>22694</v>
      </c>
      <c r="G21525" s="52">
        <v>251313.66422524399</v>
      </c>
      <c r="H21525" s="56">
        <v>-3.3835792688868202E-2</v>
      </c>
      <c r="I21525" s="224" t="s">
        <v>2</v>
      </c>
    </row>
    <row r="21526" spans="1:9" x14ac:dyDescent="0.25">
      <c r="A21526" s="515">
        <v>83335</v>
      </c>
      <c r="B21526" s="515" t="s">
        <v>832</v>
      </c>
      <c r="C21526" s="52">
        <v>316300.09225602698</v>
      </c>
      <c r="D21526" s="56">
        <v>6.4628891102809144E-2</v>
      </c>
      <c r="E21526" s="224" t="s">
        <v>2</v>
      </c>
      <c r="F21526" s="515" t="s">
        <v>22695</v>
      </c>
      <c r="G21526" s="52">
        <v>1061077.9752813501</v>
      </c>
      <c r="H21526" s="56">
        <v>8.4148263986789956E-2</v>
      </c>
      <c r="I21526" s="224" t="s">
        <v>2</v>
      </c>
    </row>
    <row r="21527" spans="1:9" x14ac:dyDescent="0.25">
      <c r="A21527" s="515">
        <v>14091</v>
      </c>
      <c r="B21527" s="515" t="s">
        <v>336</v>
      </c>
      <c r="C21527" s="52">
        <v>227234.92934432399</v>
      </c>
      <c r="D21527" s="56">
        <v>0.11144699137137057</v>
      </c>
      <c r="E21527" s="224" t="s">
        <v>2</v>
      </c>
      <c r="F21527" s="515" t="s">
        <v>22696</v>
      </c>
      <c r="G21527" s="52">
        <v>126767.038191538</v>
      </c>
      <c r="H21527" s="56">
        <v>0.40729332899095605</v>
      </c>
      <c r="I21527" s="224" t="s">
        <v>2</v>
      </c>
    </row>
    <row r="21528" spans="1:9" x14ac:dyDescent="0.25">
      <c r="A21528" s="515">
        <v>41815</v>
      </c>
      <c r="C21528" s="52">
        <v>76412.583914545598</v>
      </c>
      <c r="D21528" s="56">
        <v>0.17352909628321683</v>
      </c>
      <c r="E21528" s="224" t="s">
        <v>2</v>
      </c>
      <c r="F21528" s="515" t="s">
        <v>22697</v>
      </c>
      <c r="G21528" s="52">
        <v>235353.52489028001</v>
      </c>
      <c r="H21528" s="56">
        <v>0</v>
      </c>
      <c r="I21528" s="224" t="s">
        <v>2</v>
      </c>
    </row>
    <row r="21529" spans="1:9" x14ac:dyDescent="0.25">
      <c r="A21529" s="515">
        <v>52065</v>
      </c>
      <c r="C21529" s="52">
        <v>243738.390279201</v>
      </c>
      <c r="D21529" s="56">
        <v>0.12569125950275578</v>
      </c>
      <c r="E21529" s="224" t="s">
        <v>2</v>
      </c>
      <c r="F21529" s="515" t="s">
        <v>22698</v>
      </c>
      <c r="G21529" s="52">
        <v>105119.382870548</v>
      </c>
      <c r="H21529" s="56">
        <v>3.5195196627144959E-2</v>
      </c>
      <c r="I21529" s="224" t="s">
        <v>2</v>
      </c>
    </row>
    <row r="21530" spans="1:9" x14ac:dyDescent="0.25">
      <c r="A21530" s="515">
        <v>16935</v>
      </c>
      <c r="C21530" s="52">
        <v>197461.536704803</v>
      </c>
      <c r="D21530" s="56">
        <v>6.6318104120241042E-2</v>
      </c>
      <c r="E21530" s="224" t="s">
        <v>2</v>
      </c>
      <c r="F21530" s="515" t="s">
        <v>22699</v>
      </c>
      <c r="G21530" s="52">
        <v>339502.54306628503</v>
      </c>
      <c r="H21530" s="56">
        <v>-6.1245076667710556E-2</v>
      </c>
      <c r="I21530" s="224" t="s">
        <v>2</v>
      </c>
    </row>
    <row r="21531" spans="1:9" x14ac:dyDescent="0.25">
      <c r="A21531" s="515">
        <v>94060</v>
      </c>
      <c r="B21531" s="515" t="s">
        <v>593</v>
      </c>
      <c r="C21531" s="52">
        <v>1068831.0418487501</v>
      </c>
      <c r="D21531" s="56">
        <v>-0.12576082227652774</v>
      </c>
      <c r="E21531" s="224" t="s">
        <v>2</v>
      </c>
      <c r="F21531" s="515" t="s">
        <v>22700</v>
      </c>
      <c r="G21531" s="52">
        <v>371503.48519774497</v>
      </c>
      <c r="H21531" s="56">
        <v>7.9866116642970372E-2</v>
      </c>
      <c r="I21531" s="224" t="s">
        <v>2</v>
      </c>
    </row>
    <row r="21532" spans="1:9" x14ac:dyDescent="0.25">
      <c r="A21532" s="515">
        <v>93668</v>
      </c>
      <c r="B21532" s="515" t="s">
        <v>541</v>
      </c>
      <c r="C21532" s="52">
        <v>260706.33181239699</v>
      </c>
      <c r="D21532" s="56">
        <v>7.340814205857342E-2</v>
      </c>
      <c r="E21532" s="224" t="s">
        <v>2</v>
      </c>
      <c r="F21532" s="515" t="s">
        <v>22701</v>
      </c>
      <c r="G21532" s="52">
        <v>268069.92251517699</v>
      </c>
      <c r="H21532" s="56">
        <v>7.2564197480992437E-2</v>
      </c>
      <c r="I21532" s="224" t="s">
        <v>2</v>
      </c>
    </row>
    <row r="21533" spans="1:9" x14ac:dyDescent="0.25">
      <c r="A21533" s="515">
        <v>75853</v>
      </c>
      <c r="B21533" s="515" t="s">
        <v>1020</v>
      </c>
      <c r="C21533" s="52">
        <v>272442.27160493803</v>
      </c>
      <c r="D21533" s="56">
        <v>0</v>
      </c>
      <c r="E21533" s="224" t="s">
        <v>2</v>
      </c>
      <c r="F21533" s="515" t="s">
        <v>22702</v>
      </c>
      <c r="G21533" s="52">
        <v>206929.61377222001</v>
      </c>
      <c r="H21533" s="56">
        <v>-4.3179848403344608E-2</v>
      </c>
      <c r="I21533" s="224" t="s">
        <v>2</v>
      </c>
    </row>
    <row r="21534" spans="1:9" x14ac:dyDescent="0.25">
      <c r="A21534" s="515">
        <v>4435</v>
      </c>
      <c r="B21534" s="515" t="s">
        <v>792</v>
      </c>
      <c r="C21534" s="52">
        <v>195387.10550731601</v>
      </c>
      <c r="D21534" s="56">
        <v>0.20531074926549411</v>
      </c>
      <c r="E21534" s="224" t="s">
        <v>2</v>
      </c>
      <c r="F21534" s="515" t="s">
        <v>22703</v>
      </c>
      <c r="G21534" s="52">
        <v>73246.941204478702</v>
      </c>
      <c r="H21534" s="56">
        <v>0.11442471945868918</v>
      </c>
      <c r="I21534" s="224" t="s">
        <v>2</v>
      </c>
    </row>
    <row r="21535" spans="1:9" x14ac:dyDescent="0.25">
      <c r="A21535" s="515">
        <v>43451</v>
      </c>
      <c r="B21535" s="515" t="s">
        <v>300</v>
      </c>
      <c r="C21535" s="52">
        <v>169896.344102045</v>
      </c>
      <c r="D21535" s="56">
        <v>1.9269679473037687E-2</v>
      </c>
      <c r="E21535" s="224" t="s">
        <v>2</v>
      </c>
      <c r="F21535" s="515" t="s">
        <v>22704</v>
      </c>
      <c r="G21535" s="52">
        <v>318347.32247292303</v>
      </c>
      <c r="H21535" s="56">
        <v>9.0305908371450153E-2</v>
      </c>
      <c r="I21535" s="224" t="s">
        <v>2</v>
      </c>
    </row>
    <row r="21536" spans="1:9" x14ac:dyDescent="0.25">
      <c r="A21536" s="515">
        <v>21711</v>
      </c>
      <c r="B21536" s="515" t="s">
        <v>654</v>
      </c>
      <c r="C21536" s="52">
        <v>257329.043652931</v>
      </c>
      <c r="D21536" s="56">
        <v>0</v>
      </c>
      <c r="E21536" s="224" t="s">
        <v>2</v>
      </c>
      <c r="F21536" s="515" t="s">
        <v>22705</v>
      </c>
      <c r="G21536" s="52">
        <v>602600.01195833599</v>
      </c>
      <c r="H21536" s="56">
        <v>8.2945341041810852E-2</v>
      </c>
      <c r="I21536" s="224" t="s">
        <v>2</v>
      </c>
    </row>
    <row r="21537" spans="1:9" x14ac:dyDescent="0.25">
      <c r="A21537" s="515">
        <v>66528</v>
      </c>
      <c r="B21537" s="515" t="s">
        <v>549</v>
      </c>
      <c r="C21537" s="52">
        <v>163823.55711761999</v>
      </c>
      <c r="D21537" s="56">
        <v>4.5959769352806976E-2</v>
      </c>
      <c r="E21537" s="224" t="s">
        <v>2</v>
      </c>
      <c r="F21537" s="515" t="s">
        <v>22706</v>
      </c>
      <c r="G21537" s="52">
        <v>128916.362230595</v>
      </c>
      <c r="H21537" s="56">
        <v>0.3172572221465233</v>
      </c>
      <c r="I21537" s="224" t="s">
        <v>2</v>
      </c>
    </row>
    <row r="21538" spans="1:9" x14ac:dyDescent="0.25">
      <c r="A21538" s="515">
        <v>5251</v>
      </c>
      <c r="B21538" s="515" t="s">
        <v>657</v>
      </c>
      <c r="C21538" s="52">
        <v>692779.841850425</v>
      </c>
      <c r="D21538" s="56">
        <v>7.7071895390909639E-2</v>
      </c>
      <c r="E21538" s="224" t="s">
        <v>2</v>
      </c>
      <c r="F21538" s="515" t="s">
        <v>22707</v>
      </c>
      <c r="G21538" s="52">
        <v>280764.98800779303</v>
      </c>
      <c r="H21538" s="56">
        <v>0.11924764840392303</v>
      </c>
      <c r="I21538" s="224" t="s">
        <v>2</v>
      </c>
    </row>
    <row r="21539" spans="1:9" x14ac:dyDescent="0.25">
      <c r="A21539" s="515">
        <v>92268</v>
      </c>
      <c r="B21539" s="515" t="s">
        <v>599</v>
      </c>
      <c r="C21539" s="52">
        <v>539609.40524880996</v>
      </c>
      <c r="D21539" s="56">
        <v>5.8895312844946812E-2</v>
      </c>
      <c r="E21539" s="224" t="s">
        <v>2</v>
      </c>
      <c r="F21539" s="515" t="s">
        <v>22708</v>
      </c>
      <c r="G21539" s="52">
        <v>1408608.9860447</v>
      </c>
      <c r="H21539" s="56">
        <v>9.3608349115497161E-2</v>
      </c>
      <c r="I21539" s="224" t="s">
        <v>2</v>
      </c>
    </row>
    <row r="21540" spans="1:9" x14ac:dyDescent="0.25">
      <c r="A21540" s="515">
        <v>47357</v>
      </c>
      <c r="B21540" s="515" t="s">
        <v>883</v>
      </c>
      <c r="C21540" s="52">
        <v>166211.61339625501</v>
      </c>
      <c r="D21540" s="56">
        <v>8.7834203470005742E-2</v>
      </c>
      <c r="E21540" s="224" t="s">
        <v>2</v>
      </c>
      <c r="F21540" s="515" t="s">
        <v>22709</v>
      </c>
      <c r="G21540" s="52">
        <v>112603.39950257599</v>
      </c>
      <c r="H21540" s="56">
        <v>5.5744038156135579E-2</v>
      </c>
      <c r="I21540" s="224" t="s">
        <v>2</v>
      </c>
    </row>
    <row r="21541" spans="1:9" x14ac:dyDescent="0.25">
      <c r="A21541" s="515">
        <v>24072</v>
      </c>
      <c r="C21541" s="52">
        <v>198175.670617811</v>
      </c>
      <c r="D21541" s="56">
        <v>2.0138223518189002E-2</v>
      </c>
      <c r="E21541" s="224" t="s">
        <v>2</v>
      </c>
      <c r="F21541" s="515" t="s">
        <v>22710</v>
      </c>
      <c r="G21541" s="52">
        <v>217244.466912631</v>
      </c>
      <c r="H21541" s="56">
        <v>0</v>
      </c>
      <c r="I21541" s="224" t="s">
        <v>2</v>
      </c>
    </row>
    <row r="21542" spans="1:9" x14ac:dyDescent="0.25">
      <c r="A21542" s="515">
        <v>56357</v>
      </c>
      <c r="B21542" s="515" t="s">
        <v>418</v>
      </c>
      <c r="C21542" s="52">
        <v>319022.98222601</v>
      </c>
      <c r="D21542" s="56">
        <v>5.7575279879802918E-2</v>
      </c>
      <c r="E21542" s="224" t="s">
        <v>2</v>
      </c>
      <c r="F21542" s="515" t="s">
        <v>22711</v>
      </c>
      <c r="G21542" s="52">
        <v>42905.1232227488</v>
      </c>
      <c r="H21542" s="56">
        <v>0</v>
      </c>
      <c r="I21542" s="224" t="s">
        <v>2</v>
      </c>
    </row>
    <row r="21543" spans="1:9" x14ac:dyDescent="0.25">
      <c r="A21543" s="515">
        <v>6796</v>
      </c>
      <c r="B21543" s="515" t="s">
        <v>559</v>
      </c>
      <c r="C21543" s="52">
        <v>596538.637180791</v>
      </c>
      <c r="D21543" s="56">
        <v>8.6635601772053275E-2</v>
      </c>
      <c r="E21543" s="224" t="s">
        <v>2</v>
      </c>
      <c r="F21543" s="515" t="s">
        <v>22712</v>
      </c>
      <c r="G21543" s="52">
        <v>233945.40831827701</v>
      </c>
      <c r="H21543" s="56">
        <v>0.19903629525790614</v>
      </c>
      <c r="I21543" s="224" t="s">
        <v>2</v>
      </c>
    </row>
    <row r="21544" spans="1:9" x14ac:dyDescent="0.25">
      <c r="A21544" s="515">
        <v>48856</v>
      </c>
      <c r="B21544" s="515" t="s">
        <v>1019</v>
      </c>
      <c r="C21544" s="52">
        <v>116964.582513163</v>
      </c>
      <c r="D21544" s="56">
        <v>2.796710652939109E-3</v>
      </c>
      <c r="E21544" s="224" t="s">
        <v>2</v>
      </c>
      <c r="F21544" s="515" t="s">
        <v>22713</v>
      </c>
      <c r="G21544" s="52">
        <v>172229.81513629499</v>
      </c>
      <c r="H21544" s="56">
        <v>0.10368203876983002</v>
      </c>
      <c r="I21544" s="224" t="s">
        <v>2</v>
      </c>
    </row>
    <row r="21545" spans="1:9" x14ac:dyDescent="0.25">
      <c r="A21545" s="515">
        <v>51571</v>
      </c>
      <c r="B21545" s="515" t="s">
        <v>367</v>
      </c>
      <c r="C21545" s="52">
        <v>266584.83696447802</v>
      </c>
      <c r="D21545" s="56">
        <v>0</v>
      </c>
      <c r="E21545" s="224" t="s">
        <v>2</v>
      </c>
      <c r="F21545" s="515" t="s">
        <v>22714</v>
      </c>
      <c r="G21545" s="52">
        <v>485489.495513006</v>
      </c>
      <c r="H21545" s="56">
        <v>5.3712882039113084E-2</v>
      </c>
      <c r="I21545" s="224" t="s">
        <v>2</v>
      </c>
    </row>
    <row r="21546" spans="1:9" x14ac:dyDescent="0.25">
      <c r="A21546" s="515">
        <v>49958</v>
      </c>
      <c r="B21546" s="515" t="s">
        <v>462</v>
      </c>
      <c r="C21546" s="52">
        <v>127314.807842419</v>
      </c>
      <c r="D21546" s="56">
        <v>0.13438494088991118</v>
      </c>
      <c r="E21546" s="224" t="s">
        <v>2</v>
      </c>
      <c r="F21546" s="515" t="s">
        <v>22715</v>
      </c>
      <c r="G21546" s="52">
        <v>443729.16833777702</v>
      </c>
      <c r="H21546" s="56">
        <v>-2.3436327371301316E-2</v>
      </c>
      <c r="I21546" s="224" t="s">
        <v>2</v>
      </c>
    </row>
    <row r="21547" spans="1:9" x14ac:dyDescent="0.25">
      <c r="A21547" s="515">
        <v>61733</v>
      </c>
      <c r="B21547" s="515" t="s">
        <v>303</v>
      </c>
      <c r="C21547" s="52">
        <v>155128.86626563</v>
      </c>
      <c r="D21547" s="56">
        <v>5.458529624021792E-2</v>
      </c>
      <c r="E21547" s="224" t="s">
        <v>2</v>
      </c>
      <c r="F21547" s="515" t="s">
        <v>22716</v>
      </c>
      <c r="G21547" s="52">
        <v>679550.31136800896</v>
      </c>
      <c r="H21547" s="56">
        <v>6.1328075144478814E-2</v>
      </c>
      <c r="I21547" s="224" t="s">
        <v>2</v>
      </c>
    </row>
    <row r="21548" spans="1:9" x14ac:dyDescent="0.25">
      <c r="A21548" s="515">
        <v>55367</v>
      </c>
      <c r="B21548" s="515" t="s">
        <v>532</v>
      </c>
      <c r="C21548" s="52">
        <v>345098.49606201798</v>
      </c>
      <c r="D21548" s="56">
        <v>7.2716793073871466E-2</v>
      </c>
      <c r="E21548" s="224" t="s">
        <v>2</v>
      </c>
      <c r="F21548" s="515" t="s">
        <v>22717</v>
      </c>
      <c r="G21548" s="52">
        <v>299551.50378951</v>
      </c>
      <c r="H21548" s="56">
        <v>0.10217795762727426</v>
      </c>
      <c r="I21548" s="224" t="s">
        <v>2</v>
      </c>
    </row>
    <row r="21549" spans="1:9" x14ac:dyDescent="0.25">
      <c r="A21549" s="515">
        <v>38452</v>
      </c>
      <c r="C21549" s="52">
        <v>189643.05123787999</v>
      </c>
      <c r="D21549" s="56">
        <v>0</v>
      </c>
      <c r="E21549" s="224" t="s">
        <v>2</v>
      </c>
      <c r="F21549" s="515" t="s">
        <v>22718</v>
      </c>
      <c r="G21549" s="52">
        <v>104153.82334179799</v>
      </c>
      <c r="H21549" s="56">
        <v>-1.1935928609016051E-2</v>
      </c>
      <c r="I21549" s="224" t="s">
        <v>2</v>
      </c>
    </row>
    <row r="21550" spans="1:9" x14ac:dyDescent="0.25">
      <c r="A21550" s="515">
        <v>5361</v>
      </c>
      <c r="C21550" s="52">
        <v>300213.74164215999</v>
      </c>
      <c r="D21550" s="56">
        <v>9.0215231745468791E-2</v>
      </c>
      <c r="E21550" s="224" t="s">
        <v>2</v>
      </c>
      <c r="F21550" s="515" t="s">
        <v>22719</v>
      </c>
      <c r="G21550" s="52">
        <v>58921.608168316001</v>
      </c>
      <c r="H21550" s="56">
        <v>-1.4926930667853314E-3</v>
      </c>
      <c r="I21550" s="224" t="s">
        <v>2</v>
      </c>
    </row>
    <row r="21551" spans="1:9" x14ac:dyDescent="0.25">
      <c r="A21551" s="515">
        <v>4622</v>
      </c>
      <c r="C21551" s="52">
        <v>200658.30640966701</v>
      </c>
      <c r="D21551" s="56">
        <v>0.15271794709759606</v>
      </c>
      <c r="E21551" s="224" t="s">
        <v>2</v>
      </c>
      <c r="F21551" s="515" t="s">
        <v>22720</v>
      </c>
      <c r="G21551" s="52">
        <v>389826.35952139797</v>
      </c>
      <c r="H21551" s="56">
        <v>1.4830593712225839E-2</v>
      </c>
      <c r="I21551" s="224" t="s">
        <v>2</v>
      </c>
    </row>
    <row r="21552" spans="1:9" x14ac:dyDescent="0.25">
      <c r="A21552" s="515">
        <v>50522</v>
      </c>
      <c r="C21552" s="52">
        <v>94807.486969377598</v>
      </c>
      <c r="D21552" s="56">
        <v>0</v>
      </c>
      <c r="E21552" s="224" t="s">
        <v>2</v>
      </c>
      <c r="F21552" s="515" t="s">
        <v>22721</v>
      </c>
      <c r="G21552" s="52">
        <v>190555.62649889599</v>
      </c>
      <c r="H21552" s="56">
        <v>6.8099245928712054E-2</v>
      </c>
      <c r="I21552" s="224" t="s">
        <v>2</v>
      </c>
    </row>
    <row r="21553" spans="1:9" x14ac:dyDescent="0.25">
      <c r="A21553" s="515">
        <v>77650</v>
      </c>
      <c r="B21553" s="515" t="s">
        <v>314</v>
      </c>
      <c r="C21553" s="52">
        <v>423042.42616908398</v>
      </c>
      <c r="D21553" s="56">
        <v>0.13212875513534222</v>
      </c>
      <c r="E21553" s="224" t="s">
        <v>2</v>
      </c>
      <c r="F21553" s="515" t="s">
        <v>22722</v>
      </c>
      <c r="G21553" s="52">
        <v>528793.81078431895</v>
      </c>
      <c r="H21553" s="56">
        <v>0.1173682125654705</v>
      </c>
      <c r="I21553" s="224" t="s">
        <v>2</v>
      </c>
    </row>
    <row r="21554" spans="1:9" x14ac:dyDescent="0.25">
      <c r="A21554" s="515">
        <v>67831</v>
      </c>
      <c r="C21554" s="52">
        <v>74762.003241182902</v>
      </c>
      <c r="D21554" s="56">
        <v>8.738358036424794E-2</v>
      </c>
      <c r="E21554" s="224" t="s">
        <v>2</v>
      </c>
      <c r="F21554" s="515" t="s">
        <v>22723</v>
      </c>
      <c r="G21554" s="52">
        <v>99838.236023367805</v>
      </c>
      <c r="H21554" s="56">
        <v>0.21240094467793377</v>
      </c>
      <c r="I21554" s="224" t="s">
        <v>2</v>
      </c>
    </row>
    <row r="21555" spans="1:9" x14ac:dyDescent="0.25">
      <c r="A21555" s="515">
        <v>61847</v>
      </c>
      <c r="B21555" s="515" t="s">
        <v>417</v>
      </c>
      <c r="C21555" s="52">
        <v>178376.37051471099</v>
      </c>
      <c r="D21555" s="56">
        <v>2.6341947988727948E-2</v>
      </c>
      <c r="E21555" s="224" t="s">
        <v>2</v>
      </c>
      <c r="F21555" s="515" t="s">
        <v>22724</v>
      </c>
      <c r="G21555" s="52">
        <v>489259.52843256801</v>
      </c>
      <c r="H21555" s="56">
        <v>6.6249827344146764E-2</v>
      </c>
      <c r="I21555" s="224" t="s">
        <v>2</v>
      </c>
    </row>
    <row r="21556" spans="1:9" x14ac:dyDescent="0.25">
      <c r="A21556" s="515">
        <v>49279</v>
      </c>
      <c r="B21556" s="515" t="s">
        <v>958</v>
      </c>
      <c r="C21556" s="52">
        <v>195175.85831968201</v>
      </c>
      <c r="D21556" s="56">
        <v>0.1062954085001836</v>
      </c>
      <c r="E21556" s="224" t="s">
        <v>2</v>
      </c>
      <c r="F21556" s="515" t="s">
        <v>22725</v>
      </c>
      <c r="G21556" s="52">
        <v>168686.84408249499</v>
      </c>
      <c r="H21556" s="56">
        <v>0</v>
      </c>
      <c r="I21556" s="224" t="s">
        <v>2</v>
      </c>
    </row>
    <row r="21557" spans="1:9" x14ac:dyDescent="0.25">
      <c r="A21557" s="515">
        <v>25260</v>
      </c>
      <c r="B21557" s="515" t="s">
        <v>445</v>
      </c>
      <c r="C21557" s="52">
        <v>90408.103749790404</v>
      </c>
      <c r="D21557" s="56">
        <v>0.1448021389488619</v>
      </c>
      <c r="E21557" s="224" t="s">
        <v>2</v>
      </c>
      <c r="F21557" s="515" t="s">
        <v>22726</v>
      </c>
      <c r="G21557" s="52">
        <v>94161.6832652554</v>
      </c>
      <c r="H21557" s="56">
        <v>1.7998274049752295E-3</v>
      </c>
      <c r="I21557" s="224" t="s">
        <v>2</v>
      </c>
    </row>
    <row r="21558" spans="1:9" x14ac:dyDescent="0.25">
      <c r="A21558" s="515">
        <v>73053</v>
      </c>
      <c r="C21558" s="52">
        <v>121032.042598635</v>
      </c>
      <c r="D21558" s="56">
        <v>-0.11814285592686836</v>
      </c>
      <c r="E21558" s="224" t="s">
        <v>2</v>
      </c>
      <c r="F21558" s="515" t="s">
        <v>22727</v>
      </c>
      <c r="G21558" s="52">
        <v>150676.19440100301</v>
      </c>
      <c r="H21558" s="56">
        <v>0.17647904922454191</v>
      </c>
      <c r="I21558" s="224" t="s">
        <v>2</v>
      </c>
    </row>
    <row r="21559" spans="1:9" x14ac:dyDescent="0.25">
      <c r="A21559" s="515">
        <v>81091</v>
      </c>
      <c r="C21559" s="52">
        <v>308524.22303448699</v>
      </c>
      <c r="D21559" s="56">
        <v>0.13347717428557965</v>
      </c>
      <c r="E21559" s="224" t="s">
        <v>2</v>
      </c>
      <c r="F21559" s="515" t="s">
        <v>22728</v>
      </c>
      <c r="G21559" s="52">
        <v>61618.1476510067</v>
      </c>
      <c r="H21559" s="56">
        <v>0</v>
      </c>
      <c r="I21559" s="224" t="s">
        <v>2</v>
      </c>
    </row>
    <row r="21560" spans="1:9" x14ac:dyDescent="0.25">
      <c r="A21560" s="515">
        <v>45362</v>
      </c>
      <c r="B21560" s="515" t="s">
        <v>316</v>
      </c>
      <c r="C21560" s="52">
        <v>235163.28959495199</v>
      </c>
      <c r="D21560" s="56">
        <v>0.13950561892489952</v>
      </c>
      <c r="E21560" s="224" t="s">
        <v>2</v>
      </c>
      <c r="F21560" s="515" t="s">
        <v>22729</v>
      </c>
      <c r="G21560" s="52">
        <v>107672.42702583699</v>
      </c>
      <c r="H21560" s="56">
        <v>0</v>
      </c>
      <c r="I21560" s="224" t="s">
        <v>2</v>
      </c>
    </row>
    <row r="21561" spans="1:9" x14ac:dyDescent="0.25">
      <c r="A21561" s="515">
        <v>59483</v>
      </c>
      <c r="B21561" s="515" t="s">
        <v>373</v>
      </c>
      <c r="C21561" s="52">
        <v>362819.29961590999</v>
      </c>
      <c r="D21561" s="56">
        <v>0.12269232791868739</v>
      </c>
      <c r="E21561" s="224" t="s">
        <v>2</v>
      </c>
      <c r="F21561" s="515" t="s">
        <v>22730</v>
      </c>
      <c r="G21561" s="52">
        <v>331091.46054278099</v>
      </c>
      <c r="H21561" s="56">
        <v>0.10541053198618336</v>
      </c>
      <c r="I21561" s="224" t="s">
        <v>2</v>
      </c>
    </row>
    <row r="21562" spans="1:9" x14ac:dyDescent="0.25">
      <c r="A21562" s="515">
        <v>50482</v>
      </c>
      <c r="B21562" s="515" t="s">
        <v>634</v>
      </c>
      <c r="C21562" s="52">
        <v>248276.94232162301</v>
      </c>
      <c r="D21562" s="56">
        <v>0.18463156930692604</v>
      </c>
      <c r="E21562" s="224" t="s">
        <v>2</v>
      </c>
      <c r="F21562" s="515" t="s">
        <v>22731</v>
      </c>
      <c r="G21562" s="52">
        <v>155555.743095421</v>
      </c>
      <c r="H21562" s="56">
        <v>0.14448904412890337</v>
      </c>
      <c r="I21562" s="224" t="s">
        <v>2</v>
      </c>
    </row>
    <row r="21563" spans="1:9" x14ac:dyDescent="0.25">
      <c r="A21563" s="515">
        <v>39326</v>
      </c>
      <c r="B21563" s="515" t="s">
        <v>970</v>
      </c>
      <c r="C21563" s="52">
        <v>122860.539879369</v>
      </c>
      <c r="D21563" s="56">
        <v>9.6723941759221679E-2</v>
      </c>
      <c r="E21563" s="224" t="s">
        <v>2</v>
      </c>
      <c r="F21563" s="515" t="s">
        <v>22732</v>
      </c>
      <c r="G21563" s="52">
        <v>124398.950329908</v>
      </c>
      <c r="H21563" s="56">
        <v>8.1443744302987744E-2</v>
      </c>
      <c r="I21563" s="224" t="s">
        <v>2</v>
      </c>
    </row>
    <row r="21564" spans="1:9" x14ac:dyDescent="0.25">
      <c r="A21564" s="515">
        <v>22847</v>
      </c>
      <c r="C21564" s="52">
        <v>290435.342948523</v>
      </c>
      <c r="D21564" s="56">
        <v>6.7578812333312088E-2</v>
      </c>
      <c r="E21564" s="224" t="s">
        <v>2</v>
      </c>
      <c r="F21564" s="515" t="s">
        <v>22733</v>
      </c>
      <c r="G21564" s="52">
        <v>653619.36016801302</v>
      </c>
      <c r="H21564" s="56">
        <v>1.561789983750822E-2</v>
      </c>
      <c r="I21564" s="224" t="s">
        <v>2</v>
      </c>
    </row>
    <row r="21565" spans="1:9" x14ac:dyDescent="0.25">
      <c r="A21565" s="515">
        <v>66526</v>
      </c>
      <c r="B21565" s="515" t="s">
        <v>549</v>
      </c>
      <c r="C21565" s="52">
        <v>208637.49668727201</v>
      </c>
      <c r="D21565" s="56">
        <v>0.12758554470297345</v>
      </c>
      <c r="E21565" s="224" t="s">
        <v>2</v>
      </c>
      <c r="F21565" s="515" t="s">
        <v>22734</v>
      </c>
      <c r="G21565" s="52">
        <v>111479.94128624399</v>
      </c>
      <c r="H21565" s="56">
        <v>0.11054202852654003</v>
      </c>
      <c r="I21565" s="224" t="s">
        <v>2</v>
      </c>
    </row>
    <row r="21566" spans="1:9" x14ac:dyDescent="0.25">
      <c r="A21566" s="515">
        <v>43963</v>
      </c>
      <c r="B21566" s="515" t="s">
        <v>389</v>
      </c>
      <c r="C21566" s="52">
        <v>98488.983112055997</v>
      </c>
      <c r="D21566" s="56">
        <v>9.0401436420569331E-2</v>
      </c>
      <c r="E21566" s="224" t="s">
        <v>2</v>
      </c>
      <c r="F21566" s="515" t="s">
        <v>22735</v>
      </c>
      <c r="G21566" s="52">
        <v>456265.40112145501</v>
      </c>
      <c r="H21566" s="56">
        <v>0.10724418797803731</v>
      </c>
      <c r="I21566" s="224" t="s">
        <v>2</v>
      </c>
    </row>
    <row r="21567" spans="1:9" x14ac:dyDescent="0.25">
      <c r="A21567" s="515">
        <v>25565</v>
      </c>
      <c r="B21567" s="515" t="s">
        <v>322</v>
      </c>
      <c r="C21567" s="52">
        <v>78032.430350602706</v>
      </c>
      <c r="D21567" s="56">
        <v>3.3990542162587956E-2</v>
      </c>
      <c r="E21567" s="224" t="s">
        <v>2</v>
      </c>
      <c r="F21567" s="515" t="s">
        <v>22736</v>
      </c>
      <c r="G21567" s="52">
        <v>1177212.6043729701</v>
      </c>
      <c r="H21567" s="56">
        <v>5.7993990949893257E-2</v>
      </c>
      <c r="I21567" s="224" t="s">
        <v>2</v>
      </c>
    </row>
    <row r="21568" spans="1:9" x14ac:dyDescent="0.25">
      <c r="A21568" s="515">
        <v>38258</v>
      </c>
      <c r="C21568" s="52">
        <v>99808.723082814206</v>
      </c>
      <c r="D21568" s="56">
        <v>0.1270766847016423</v>
      </c>
      <c r="E21568" s="224" t="s">
        <v>2</v>
      </c>
      <c r="F21568" s="515" t="s">
        <v>22737</v>
      </c>
      <c r="G21568" s="52">
        <v>123131.686015414</v>
      </c>
      <c r="H21568" s="56">
        <v>8.3705009148663551E-2</v>
      </c>
      <c r="I21568" s="224" t="s">
        <v>2</v>
      </c>
    </row>
    <row r="21569" spans="1:9" x14ac:dyDescent="0.25">
      <c r="A21569" s="515">
        <v>40145</v>
      </c>
      <c r="C21569" s="52">
        <v>102929.94387926599</v>
      </c>
      <c r="D21569" s="56">
        <v>0.15170274834247693</v>
      </c>
      <c r="E21569" s="224" t="s">
        <v>2</v>
      </c>
      <c r="F21569" s="515" t="s">
        <v>22738</v>
      </c>
      <c r="G21569" s="52">
        <v>106979.58282644799</v>
      </c>
      <c r="H21569" s="56">
        <v>0.11417279657392625</v>
      </c>
      <c r="I21569" s="224" t="s">
        <v>2</v>
      </c>
    </row>
    <row r="21570" spans="1:9" x14ac:dyDescent="0.25">
      <c r="A21570" s="515">
        <v>28611</v>
      </c>
      <c r="B21570" s="515" t="s">
        <v>638</v>
      </c>
      <c r="C21570" s="52">
        <v>149748.573597271</v>
      </c>
      <c r="D21570" s="56">
        <v>0.22077895977823569</v>
      </c>
      <c r="E21570" s="224" t="s">
        <v>2</v>
      </c>
      <c r="F21570" s="515" t="s">
        <v>22739</v>
      </c>
      <c r="G21570" s="52">
        <v>218068.41273680999</v>
      </c>
      <c r="H21570" s="56">
        <v>9.4309710734355581E-2</v>
      </c>
      <c r="I21570" s="224" t="s">
        <v>2</v>
      </c>
    </row>
    <row r="21571" spans="1:9" x14ac:dyDescent="0.25">
      <c r="A21571" s="515">
        <v>37391</v>
      </c>
      <c r="B21571" s="515" t="s">
        <v>918</v>
      </c>
      <c r="C21571" s="52">
        <v>195115.49850456399</v>
      </c>
      <c r="D21571" s="56">
        <v>8.0121395318545272E-2</v>
      </c>
      <c r="E21571" s="224" t="s">
        <v>2</v>
      </c>
      <c r="F21571" s="515" t="s">
        <v>22740</v>
      </c>
      <c r="G21571" s="52">
        <v>140532.74252548299</v>
      </c>
      <c r="H21571" s="56">
        <v>0.35464612201163415</v>
      </c>
      <c r="I21571" s="224" t="s">
        <v>2</v>
      </c>
    </row>
    <row r="21572" spans="1:9" x14ac:dyDescent="0.25">
      <c r="A21572" s="515">
        <v>52341</v>
      </c>
      <c r="B21572" s="515" t="s">
        <v>404</v>
      </c>
      <c r="C21572" s="52">
        <v>345780.55631873402</v>
      </c>
      <c r="D21572" s="56">
        <v>8.9176861654222603E-2</v>
      </c>
      <c r="E21572" s="224" t="s">
        <v>2</v>
      </c>
      <c r="F21572" s="515" t="s">
        <v>22741</v>
      </c>
      <c r="G21572" s="52">
        <v>231549.93843011599</v>
      </c>
      <c r="H21572" s="56">
        <v>0.36894451857671351</v>
      </c>
      <c r="I21572" s="224" t="s">
        <v>2</v>
      </c>
    </row>
    <row r="21573" spans="1:9" x14ac:dyDescent="0.25">
      <c r="A21573" s="515">
        <v>81656</v>
      </c>
      <c r="B21573" s="515" t="s">
        <v>725</v>
      </c>
      <c r="C21573" s="52">
        <v>3790963.8561239</v>
      </c>
      <c r="D21573" s="56">
        <v>7.7329562769647919E-2</v>
      </c>
      <c r="E21573" s="224" t="s">
        <v>2</v>
      </c>
      <c r="F21573" s="515" t="s">
        <v>22742</v>
      </c>
      <c r="G21573" s="52">
        <v>326577.89504709799</v>
      </c>
      <c r="H21573" s="56">
        <v>0.11442618392522837</v>
      </c>
      <c r="I21573" s="224" t="s">
        <v>2</v>
      </c>
    </row>
    <row r="21574" spans="1:9" x14ac:dyDescent="0.25">
      <c r="A21574" s="515">
        <v>27919</v>
      </c>
      <c r="B21574" s="515" t="s">
        <v>1017</v>
      </c>
      <c r="C21574" s="52">
        <v>198837.19252219101</v>
      </c>
      <c r="D21574" s="56">
        <v>0.20173073055862772</v>
      </c>
      <c r="E21574" s="224" t="s">
        <v>2</v>
      </c>
      <c r="F21574" s="515" t="s">
        <v>22743</v>
      </c>
      <c r="G21574" s="52">
        <v>363082.38257058599</v>
      </c>
      <c r="H21574" s="56">
        <v>4.3238042583252596E-2</v>
      </c>
      <c r="I21574" s="224" t="s">
        <v>2</v>
      </c>
    </row>
    <row r="21575" spans="1:9" x14ac:dyDescent="0.25">
      <c r="A21575" s="515">
        <v>23039</v>
      </c>
      <c r="B21575" s="515" t="s">
        <v>667</v>
      </c>
      <c r="C21575" s="52">
        <v>410547.69035716198</v>
      </c>
      <c r="D21575" s="56">
        <v>1.1119414445119196E-2</v>
      </c>
      <c r="E21575" s="224" t="s">
        <v>2</v>
      </c>
      <c r="F21575" s="515" t="s">
        <v>22744</v>
      </c>
      <c r="G21575" s="52">
        <v>55087.032009186798</v>
      </c>
      <c r="H21575" s="56">
        <v>-9.7388892707612473E-3</v>
      </c>
      <c r="I21575" s="224" t="s">
        <v>2</v>
      </c>
    </row>
    <row r="21576" spans="1:9" x14ac:dyDescent="0.25">
      <c r="A21576" s="515">
        <v>66865</v>
      </c>
      <c r="B21576" s="515" t="s">
        <v>707</v>
      </c>
      <c r="C21576" s="52">
        <v>239522.00730316699</v>
      </c>
      <c r="D21576" s="56">
        <v>0.18480103606157261</v>
      </c>
      <c r="E21576" s="224" t="s">
        <v>2</v>
      </c>
      <c r="F21576" s="515" t="s">
        <v>22745</v>
      </c>
      <c r="G21576" s="52">
        <v>412301.58510638197</v>
      </c>
      <c r="H21576" s="56">
        <v>0</v>
      </c>
      <c r="I21576" s="224" t="s">
        <v>2</v>
      </c>
    </row>
    <row r="21577" spans="1:9" x14ac:dyDescent="0.25">
      <c r="A21577" s="515">
        <v>56556</v>
      </c>
      <c r="B21577" s="515" t="s">
        <v>624</v>
      </c>
      <c r="C21577" s="52">
        <v>164022.36507238701</v>
      </c>
      <c r="D21577" s="56">
        <v>7.932957700205065E-2</v>
      </c>
      <c r="E21577" s="224" t="s">
        <v>2</v>
      </c>
      <c r="F21577" s="515" t="s">
        <v>22746</v>
      </c>
      <c r="G21577" s="52">
        <v>63809.624187252099</v>
      </c>
      <c r="H21577" s="56">
        <v>0</v>
      </c>
      <c r="I21577" s="224" t="s">
        <v>2</v>
      </c>
    </row>
    <row r="21578" spans="1:9" x14ac:dyDescent="0.25">
      <c r="A21578" s="515">
        <v>43802</v>
      </c>
      <c r="B21578" s="515" t="s">
        <v>518</v>
      </c>
      <c r="C21578" s="52">
        <v>172225.30913594799</v>
      </c>
      <c r="D21578" s="56">
        <v>0.12772414707890298</v>
      </c>
      <c r="E21578" s="224" t="s">
        <v>2</v>
      </c>
      <c r="F21578" s="515" t="s">
        <v>22747</v>
      </c>
      <c r="G21578" s="52">
        <v>103963.85051691</v>
      </c>
      <c r="H21578" s="56">
        <v>9.0912429194944716E-2</v>
      </c>
      <c r="I21578" s="224" t="s">
        <v>2</v>
      </c>
    </row>
    <row r="21579" spans="1:9" x14ac:dyDescent="0.25">
      <c r="A21579" s="515">
        <v>27876</v>
      </c>
      <c r="B21579" s="515" t="s">
        <v>909</v>
      </c>
      <c r="C21579" s="52">
        <v>81569.194007997794</v>
      </c>
      <c r="D21579" s="56">
        <v>0.14593070542892225</v>
      </c>
      <c r="E21579" s="224" t="s">
        <v>2</v>
      </c>
      <c r="F21579" s="515" t="s">
        <v>22748</v>
      </c>
      <c r="G21579" s="52">
        <v>87560.8820774294</v>
      </c>
      <c r="H21579" s="56">
        <v>6.9179611408209093E-2</v>
      </c>
      <c r="I21579" s="224" t="s">
        <v>2</v>
      </c>
    </row>
    <row r="21580" spans="1:9" x14ac:dyDescent="0.25">
      <c r="A21580" s="515">
        <v>64770</v>
      </c>
      <c r="C21580" s="52">
        <v>205236.965754854</v>
      </c>
      <c r="D21580" s="56">
        <v>0.1444513146251542</v>
      </c>
      <c r="E21580" s="224" t="s">
        <v>2</v>
      </c>
      <c r="F21580" s="515" t="s">
        <v>22749</v>
      </c>
      <c r="G21580" s="52">
        <v>121501.78471017101</v>
      </c>
      <c r="H21580" s="56">
        <v>0</v>
      </c>
      <c r="I21580" s="224" t="s">
        <v>2</v>
      </c>
    </row>
    <row r="21581" spans="1:9" x14ac:dyDescent="0.25">
      <c r="A21581" s="515">
        <v>41722</v>
      </c>
      <c r="C21581" s="52">
        <v>60832.161302133703</v>
      </c>
      <c r="D21581" s="56">
        <v>0.19517950624181632</v>
      </c>
      <c r="E21581" s="224" t="s">
        <v>2</v>
      </c>
      <c r="F21581" s="515" t="s">
        <v>22750</v>
      </c>
      <c r="G21581" s="52">
        <v>117525.693548387</v>
      </c>
      <c r="H21581" s="56">
        <v>0</v>
      </c>
      <c r="I21581" s="224" t="s">
        <v>2</v>
      </c>
    </row>
    <row r="21582" spans="1:9" x14ac:dyDescent="0.25">
      <c r="A21582" s="515">
        <v>61572</v>
      </c>
      <c r="B21582" s="515" t="s">
        <v>339</v>
      </c>
      <c r="C21582" s="52">
        <v>101196.527288892</v>
      </c>
      <c r="D21582" s="56">
        <v>2.4166521392657628E-2</v>
      </c>
      <c r="E21582" s="224" t="s">
        <v>2</v>
      </c>
      <c r="F21582" s="515" t="s">
        <v>22751</v>
      </c>
      <c r="G21582" s="52">
        <v>220541.11428571399</v>
      </c>
      <c r="H21582" s="56">
        <v>0</v>
      </c>
      <c r="I21582" s="224" t="s">
        <v>2</v>
      </c>
    </row>
    <row r="21583" spans="1:9" x14ac:dyDescent="0.25">
      <c r="A21583" s="515">
        <v>24265</v>
      </c>
      <c r="C21583" s="52">
        <v>42711.215329203696</v>
      </c>
      <c r="D21583" s="56">
        <v>6.8036461883732469E-2</v>
      </c>
      <c r="E21583" s="224" t="s">
        <v>2</v>
      </c>
      <c r="F21583" s="515" t="s">
        <v>22752</v>
      </c>
      <c r="G21583" s="52">
        <v>245282.325552202</v>
      </c>
      <c r="H21583" s="56">
        <v>4.5059313286373325E-2</v>
      </c>
      <c r="I21583" s="224" t="s">
        <v>2</v>
      </c>
    </row>
    <row r="21584" spans="1:9" x14ac:dyDescent="0.25">
      <c r="A21584" s="515">
        <v>39336</v>
      </c>
      <c r="C21584" s="52">
        <v>115297.512854243</v>
      </c>
      <c r="D21584" s="56">
        <v>-2.511059316015685E-2</v>
      </c>
      <c r="E21584" s="224" t="s">
        <v>2</v>
      </c>
      <c r="F21584" s="515" t="s">
        <v>22753</v>
      </c>
      <c r="G21584" s="52">
        <v>283779.854519738</v>
      </c>
      <c r="H21584" s="56">
        <v>7.4592873967956982E-2</v>
      </c>
      <c r="I21584" s="224" t="s">
        <v>2</v>
      </c>
    </row>
    <row r="21585" spans="1:9" x14ac:dyDescent="0.25">
      <c r="A21585" s="515">
        <v>68758</v>
      </c>
      <c r="B21585" s="515" t="s">
        <v>615</v>
      </c>
      <c r="C21585" s="52">
        <v>143066.57077740799</v>
      </c>
      <c r="D21585" s="56">
        <v>5.0009146560125124E-2</v>
      </c>
      <c r="E21585" s="224" t="s">
        <v>2</v>
      </c>
      <c r="F21585" s="515" t="s">
        <v>22754</v>
      </c>
      <c r="G21585" s="52">
        <v>303990.98758039001</v>
      </c>
      <c r="H21585" s="56">
        <v>-1.4994278926595888E-2</v>
      </c>
      <c r="I21585" s="224" t="s">
        <v>2</v>
      </c>
    </row>
    <row r="21586" spans="1:9" x14ac:dyDescent="0.25">
      <c r="A21586" s="515">
        <v>38721</v>
      </c>
      <c r="C21586" s="52">
        <v>99471.815190306705</v>
      </c>
      <c r="D21586" s="56">
        <v>0</v>
      </c>
      <c r="E21586" s="224" t="s">
        <v>2</v>
      </c>
      <c r="F21586" s="515" t="s">
        <v>22755</v>
      </c>
      <c r="G21586" s="52">
        <v>433504.06824875501</v>
      </c>
      <c r="H21586" s="56">
        <v>3.3589200498938931E-2</v>
      </c>
      <c r="I21586" s="224" t="s">
        <v>2</v>
      </c>
    </row>
    <row r="21587" spans="1:9" x14ac:dyDescent="0.25">
      <c r="A21587" s="515">
        <v>57276</v>
      </c>
      <c r="B21587" s="515" t="s">
        <v>895</v>
      </c>
      <c r="C21587" s="52">
        <v>227376.72332249599</v>
      </c>
      <c r="D21587" s="56">
        <v>0.12765609073365339</v>
      </c>
      <c r="E21587" s="224" t="s">
        <v>2</v>
      </c>
      <c r="F21587" s="515" t="s">
        <v>22756</v>
      </c>
      <c r="G21587" s="52">
        <v>305513.68115503702</v>
      </c>
      <c r="H21587" s="56">
        <v>0.10263981667493922</v>
      </c>
      <c r="I21587" s="224" t="s">
        <v>2</v>
      </c>
    </row>
    <row r="21588" spans="1:9" x14ac:dyDescent="0.25">
      <c r="A21588" s="515">
        <v>96140</v>
      </c>
      <c r="B21588" s="515" t="s">
        <v>355</v>
      </c>
      <c r="C21588" s="52">
        <v>1018226.85690047</v>
      </c>
      <c r="D21588" s="56">
        <v>-1.1987261246668114E-2</v>
      </c>
      <c r="E21588" s="224" t="s">
        <v>2</v>
      </c>
      <c r="F21588" s="515" t="s">
        <v>22757</v>
      </c>
      <c r="G21588" s="52">
        <v>138073.96267437501</v>
      </c>
      <c r="H21588" s="56">
        <v>7.6026211727705073E-2</v>
      </c>
      <c r="I21588" s="224" t="s">
        <v>2</v>
      </c>
    </row>
    <row r="21589" spans="1:9" x14ac:dyDescent="0.25">
      <c r="A21589" s="515">
        <v>67035</v>
      </c>
      <c r="C21589" s="52">
        <v>146338.14127876799</v>
      </c>
      <c r="D21589" s="56">
        <v>0.12001914719336254</v>
      </c>
      <c r="E21589" s="224" t="s">
        <v>2</v>
      </c>
      <c r="F21589" s="515" t="s">
        <v>22758</v>
      </c>
      <c r="G21589" s="52">
        <v>101298.270351846</v>
      </c>
      <c r="H21589" s="56">
        <v>0.12714365968362978</v>
      </c>
      <c r="I21589" s="224" t="s">
        <v>2</v>
      </c>
    </row>
    <row r="21590" spans="1:9" x14ac:dyDescent="0.25">
      <c r="A21590" s="515">
        <v>58718</v>
      </c>
      <c r="B21590" s="515" t="s">
        <v>849</v>
      </c>
      <c r="C21590" s="52">
        <v>257726.301279331</v>
      </c>
      <c r="D21590" s="56">
        <v>1.2115872556913923E-2</v>
      </c>
      <c r="E21590" s="224" t="s">
        <v>2</v>
      </c>
      <c r="F21590" s="515" t="s">
        <v>22759</v>
      </c>
      <c r="G21590" s="52">
        <v>1305711.6119402901</v>
      </c>
      <c r="H21590" s="56">
        <v>0</v>
      </c>
      <c r="I21590" s="224" t="s">
        <v>2</v>
      </c>
    </row>
    <row r="21591" spans="1:9" x14ac:dyDescent="0.25">
      <c r="A21591" s="515">
        <v>36482</v>
      </c>
      <c r="C21591" s="52">
        <v>101152.247550384</v>
      </c>
      <c r="D21591" s="56">
        <v>-8.773685219585492E-2</v>
      </c>
      <c r="E21591" s="224" t="s">
        <v>2</v>
      </c>
      <c r="F21591" s="515" t="s">
        <v>22760</v>
      </c>
      <c r="G21591" s="52">
        <v>218249.278689864</v>
      </c>
      <c r="H21591" s="56">
        <v>-6.631856015193921E-3</v>
      </c>
      <c r="I21591" s="224" t="s">
        <v>2</v>
      </c>
    </row>
    <row r="21592" spans="1:9" x14ac:dyDescent="0.25">
      <c r="A21592" s="515">
        <v>15961</v>
      </c>
      <c r="B21592" s="515" t="s">
        <v>343</v>
      </c>
      <c r="C21592" s="52">
        <v>71147.455375864796</v>
      </c>
      <c r="D21592" s="56">
        <v>2.2037677976149982E-2</v>
      </c>
      <c r="E21592" s="224" t="s">
        <v>2</v>
      </c>
      <c r="F21592" s="515" t="s">
        <v>22761</v>
      </c>
      <c r="G21592" s="52">
        <v>587600.69686859101</v>
      </c>
      <c r="H21592" s="56">
        <v>0.10100253803588756</v>
      </c>
      <c r="I21592" s="224" t="s">
        <v>2</v>
      </c>
    </row>
    <row r="21593" spans="1:9" x14ac:dyDescent="0.25">
      <c r="A21593" s="515">
        <v>76621</v>
      </c>
      <c r="C21593" s="52">
        <v>223051.565607859</v>
      </c>
      <c r="D21593" s="56">
        <v>0</v>
      </c>
      <c r="E21593" s="224" t="s">
        <v>2</v>
      </c>
      <c r="F21593" s="515" t="s">
        <v>22762</v>
      </c>
      <c r="G21593" s="52">
        <v>117099.6041839</v>
      </c>
      <c r="H21593" s="56">
        <v>9.6520540440684213E-2</v>
      </c>
      <c r="I21593" s="224" t="s">
        <v>2</v>
      </c>
    </row>
    <row r="21594" spans="1:9" x14ac:dyDescent="0.25">
      <c r="A21594" s="515">
        <v>54527</v>
      </c>
      <c r="C21594" s="52">
        <v>89258.803120523298</v>
      </c>
      <c r="D21594" s="56">
        <v>7.7948859501001819E-2</v>
      </c>
      <c r="E21594" s="224" t="s">
        <v>2</v>
      </c>
      <c r="F21594" s="515" t="s">
        <v>22763</v>
      </c>
      <c r="G21594" s="52">
        <v>113426.371293794</v>
      </c>
      <c r="H21594" s="56">
        <v>0.14596067882495944</v>
      </c>
      <c r="I21594" s="224" t="s">
        <v>2</v>
      </c>
    </row>
    <row r="21595" spans="1:9" x14ac:dyDescent="0.25">
      <c r="A21595" s="515">
        <v>97435</v>
      </c>
      <c r="B21595" s="515" t="s">
        <v>449</v>
      </c>
      <c r="C21595" s="52">
        <v>286634.978684598</v>
      </c>
      <c r="D21595" s="56">
        <v>7.0493829537143379E-2</v>
      </c>
      <c r="E21595" s="224" t="s">
        <v>2</v>
      </c>
      <c r="F21595" s="515" t="s">
        <v>22764</v>
      </c>
      <c r="G21595" s="52">
        <v>105730.14047595</v>
      </c>
      <c r="H21595" s="56">
        <v>0.32671032595293259</v>
      </c>
      <c r="I21595" s="224" t="s">
        <v>2</v>
      </c>
    </row>
    <row r="21596" spans="1:9" x14ac:dyDescent="0.25">
      <c r="A21596" s="515">
        <v>12914</v>
      </c>
      <c r="B21596" s="515" t="s">
        <v>706</v>
      </c>
      <c r="C21596" s="52">
        <v>125510.86776166499</v>
      </c>
      <c r="D21596" s="56">
        <v>0.12573978834554864</v>
      </c>
      <c r="E21596" s="224" t="s">
        <v>2</v>
      </c>
      <c r="F21596" s="515" t="s">
        <v>22765</v>
      </c>
      <c r="G21596" s="52">
        <v>118428.1530718</v>
      </c>
      <c r="H21596" s="56">
        <v>7.8527225087358876E-2</v>
      </c>
      <c r="I21596" s="224" t="s">
        <v>2</v>
      </c>
    </row>
    <row r="21597" spans="1:9" x14ac:dyDescent="0.25">
      <c r="A21597" s="515">
        <v>44841</v>
      </c>
      <c r="B21597" s="515" t="s">
        <v>463</v>
      </c>
      <c r="C21597" s="52">
        <v>150069.06987005399</v>
      </c>
      <c r="D21597" s="56">
        <v>7.0757086988530171E-2</v>
      </c>
      <c r="E21597" s="224" t="s">
        <v>2</v>
      </c>
      <c r="F21597" s="515" t="s">
        <v>22766</v>
      </c>
      <c r="G21597" s="52">
        <v>104166.03422792201</v>
      </c>
      <c r="H21597" s="56">
        <v>-1.6978628885843214E-2</v>
      </c>
      <c r="I21597" s="224" t="s">
        <v>2</v>
      </c>
    </row>
    <row r="21598" spans="1:9" x14ac:dyDescent="0.25">
      <c r="A21598" s="515">
        <v>29081</v>
      </c>
      <c r="C21598" s="52">
        <v>128314.56914864</v>
      </c>
      <c r="D21598" s="56">
        <v>1.687957493640491E-2</v>
      </c>
      <c r="E21598" s="224" t="s">
        <v>2</v>
      </c>
      <c r="F21598" s="515" t="s">
        <v>22767</v>
      </c>
      <c r="G21598" s="52">
        <v>254442.261019119</v>
      </c>
      <c r="H21598" s="56">
        <v>6.5253783734708609E-2</v>
      </c>
      <c r="I21598" s="224" t="s">
        <v>2</v>
      </c>
    </row>
    <row r="21599" spans="1:9" x14ac:dyDescent="0.25">
      <c r="A21599" s="515">
        <v>42339</v>
      </c>
      <c r="B21599" s="515" t="s">
        <v>686</v>
      </c>
      <c r="C21599" s="52">
        <v>110189.236466363</v>
      </c>
      <c r="D21599" s="56">
        <v>0.18212361816640552</v>
      </c>
      <c r="E21599" s="224" t="s">
        <v>2</v>
      </c>
      <c r="F21599" s="515" t="s">
        <v>22768</v>
      </c>
      <c r="G21599" s="52">
        <v>181343.281322055</v>
      </c>
      <c r="H21599" s="56">
        <v>2.5132831682522026E-2</v>
      </c>
      <c r="I21599" s="224" t="s">
        <v>2</v>
      </c>
    </row>
    <row r="21600" spans="1:9" x14ac:dyDescent="0.25">
      <c r="A21600" s="515">
        <v>27847</v>
      </c>
      <c r="C21600" s="52">
        <v>35394.020863439502</v>
      </c>
      <c r="D21600" s="56">
        <v>0</v>
      </c>
      <c r="E21600" s="224" t="s">
        <v>2</v>
      </c>
      <c r="F21600" s="515" t="s">
        <v>22769</v>
      </c>
      <c r="G21600" s="52">
        <v>287353.03080469603</v>
      </c>
      <c r="H21600" s="56">
        <v>7.4175074050471149E-2</v>
      </c>
      <c r="I21600" s="224" t="s">
        <v>2</v>
      </c>
    </row>
    <row r="21601" spans="1:9" x14ac:dyDescent="0.25">
      <c r="A21601" s="515">
        <v>54763</v>
      </c>
      <c r="B21601" s="515" t="s">
        <v>731</v>
      </c>
      <c r="C21601" s="52">
        <v>199188.31815729299</v>
      </c>
      <c r="D21601" s="56">
        <v>6.4473883038925886E-2</v>
      </c>
      <c r="E21601" s="224" t="s">
        <v>2</v>
      </c>
      <c r="F21601" s="515" t="s">
        <v>22770</v>
      </c>
      <c r="G21601" s="52">
        <v>459974.359400652</v>
      </c>
      <c r="H21601" s="56">
        <v>2.3014086646369256E-2</v>
      </c>
      <c r="I21601" s="224" t="s">
        <v>2</v>
      </c>
    </row>
    <row r="21602" spans="1:9" x14ac:dyDescent="0.25">
      <c r="A21602" s="515">
        <v>65347</v>
      </c>
      <c r="B21602" s="515" t="s">
        <v>1142</v>
      </c>
      <c r="C21602" s="52">
        <v>195265.07317073099</v>
      </c>
      <c r="D21602" s="56">
        <v>0</v>
      </c>
      <c r="E21602" s="224" t="s">
        <v>2</v>
      </c>
      <c r="F21602" s="515" t="s">
        <v>11772</v>
      </c>
      <c r="G21602" s="52">
        <v>231993.54808163201</v>
      </c>
      <c r="H21602" s="56">
        <v>9.9059717206847767E-2</v>
      </c>
      <c r="I21602" s="224" t="s">
        <v>2</v>
      </c>
    </row>
    <row r="21603" spans="1:9" x14ac:dyDescent="0.25">
      <c r="A21603" s="515">
        <v>12502</v>
      </c>
      <c r="B21603" s="515" t="s">
        <v>564</v>
      </c>
      <c r="C21603" s="52">
        <v>456004.15996782097</v>
      </c>
      <c r="D21603" s="56">
        <v>6.4647917009649322E-2</v>
      </c>
      <c r="E21603" s="224" t="s">
        <v>2</v>
      </c>
      <c r="F21603" s="515" t="s">
        <v>22771</v>
      </c>
      <c r="G21603" s="52">
        <v>130296.808459639</v>
      </c>
      <c r="H21603" s="56">
        <v>9.4728311662484868E-2</v>
      </c>
      <c r="I21603" s="224" t="s">
        <v>2</v>
      </c>
    </row>
    <row r="21604" spans="1:9" x14ac:dyDescent="0.25">
      <c r="A21604" s="515">
        <v>15340</v>
      </c>
      <c r="B21604" s="515" t="s">
        <v>297</v>
      </c>
      <c r="C21604" s="52">
        <v>236304.28286311901</v>
      </c>
      <c r="D21604" s="56">
        <v>9.4153471249595305E-2</v>
      </c>
      <c r="E21604" s="224" t="s">
        <v>2</v>
      </c>
      <c r="F21604" s="515" t="s">
        <v>22772</v>
      </c>
      <c r="G21604" s="52">
        <v>45789.369385358201</v>
      </c>
      <c r="H21604" s="56">
        <v>-7.1758770329428956E-2</v>
      </c>
      <c r="I21604" s="224" t="s">
        <v>2</v>
      </c>
    </row>
    <row r="21605" spans="1:9" x14ac:dyDescent="0.25">
      <c r="A21605" s="515">
        <v>61770</v>
      </c>
      <c r="B21605" s="515" t="s">
        <v>645</v>
      </c>
      <c r="C21605" s="52">
        <v>120272.293442276</v>
      </c>
      <c r="D21605" s="56">
        <v>0.10076232838039366</v>
      </c>
      <c r="E21605" s="224" t="s">
        <v>2</v>
      </c>
      <c r="F21605" s="515" t="s">
        <v>22773</v>
      </c>
      <c r="G21605" s="52">
        <v>61556.848359150703</v>
      </c>
      <c r="H21605" s="56">
        <v>0.10852112231395952</v>
      </c>
      <c r="I21605" s="224" t="s">
        <v>2</v>
      </c>
    </row>
    <row r="21606" spans="1:9" x14ac:dyDescent="0.25">
      <c r="A21606" s="515">
        <v>47235</v>
      </c>
      <c r="B21606" s="515" t="s">
        <v>1016</v>
      </c>
      <c r="C21606" s="52">
        <v>205594.890934867</v>
      </c>
      <c r="D21606" s="56">
        <v>7.4212572045836353E-2</v>
      </c>
      <c r="E21606" s="224" t="s">
        <v>2</v>
      </c>
      <c r="F21606" s="515" t="s">
        <v>22774</v>
      </c>
      <c r="G21606" s="52">
        <v>215425.545454545</v>
      </c>
      <c r="H21606" s="56">
        <v>0</v>
      </c>
      <c r="I21606" s="224" t="s">
        <v>2</v>
      </c>
    </row>
    <row r="21607" spans="1:9" x14ac:dyDescent="0.25">
      <c r="A21607" s="515">
        <v>38647</v>
      </c>
      <c r="C21607" s="52">
        <v>108998.351519495</v>
      </c>
      <c r="D21607" s="56">
        <v>-0.10723790649182306</v>
      </c>
      <c r="E21607" s="224" t="s">
        <v>2</v>
      </c>
      <c r="F21607" s="515" t="s">
        <v>22775</v>
      </c>
      <c r="G21607" s="52">
        <v>178078.24184441299</v>
      </c>
      <c r="H21607" s="56">
        <v>6.9433912322353214E-2</v>
      </c>
      <c r="I21607" s="224" t="s">
        <v>2</v>
      </c>
    </row>
    <row r="21608" spans="1:9" x14ac:dyDescent="0.25">
      <c r="A21608" s="515">
        <v>44804</v>
      </c>
      <c r="B21608" s="515" t="s">
        <v>448</v>
      </c>
      <c r="C21608" s="52">
        <v>175337.709871606</v>
      </c>
      <c r="D21608" s="56">
        <v>7.5492055516905049E-2</v>
      </c>
      <c r="E21608" s="224" t="s">
        <v>2</v>
      </c>
      <c r="F21608" s="515" t="s">
        <v>22776</v>
      </c>
      <c r="G21608" s="52">
        <v>897259.76413586095</v>
      </c>
      <c r="H21608" s="56">
        <v>9.9279777879562499E-3</v>
      </c>
      <c r="I21608" s="224" t="s">
        <v>2</v>
      </c>
    </row>
    <row r="21609" spans="1:9" x14ac:dyDescent="0.25">
      <c r="A21609" s="515">
        <v>20628</v>
      </c>
      <c r="B21609" s="515" t="s">
        <v>779</v>
      </c>
      <c r="C21609" s="52">
        <v>438969.89620892698</v>
      </c>
      <c r="D21609" s="56">
        <v>2.4461211355971103E-2</v>
      </c>
      <c r="E21609" s="224" t="s">
        <v>2</v>
      </c>
      <c r="F21609" s="515" t="s">
        <v>22777</v>
      </c>
      <c r="G21609" s="52">
        <v>117607.802836651</v>
      </c>
      <c r="H21609" s="56">
        <v>5.784939503118517E-2</v>
      </c>
      <c r="I21609" s="224" t="s">
        <v>2</v>
      </c>
    </row>
    <row r="21610" spans="1:9" x14ac:dyDescent="0.25">
      <c r="A21610" s="515">
        <v>3268</v>
      </c>
      <c r="B21610" s="515" t="s">
        <v>981</v>
      </c>
      <c r="C21610" s="52">
        <v>361068.765497702</v>
      </c>
      <c r="D21610" s="56">
        <v>0.11514106160210053</v>
      </c>
      <c r="E21610" s="224" t="s">
        <v>2</v>
      </c>
      <c r="F21610" s="515" t="s">
        <v>22778</v>
      </c>
      <c r="G21610" s="52">
        <v>111168</v>
      </c>
      <c r="H21610" s="56">
        <v>0</v>
      </c>
      <c r="I21610" s="224" t="s">
        <v>2</v>
      </c>
    </row>
    <row r="21611" spans="1:9" x14ac:dyDescent="0.25">
      <c r="A21611" s="515">
        <v>8720</v>
      </c>
      <c r="B21611" s="515" t="s">
        <v>324</v>
      </c>
      <c r="C21611" s="52">
        <v>768248.72218497202</v>
      </c>
      <c r="D21611" s="56">
        <v>9.7635141102566894E-2</v>
      </c>
      <c r="E21611" s="224" t="s">
        <v>2</v>
      </c>
      <c r="F21611" s="515" t="s">
        <v>22779</v>
      </c>
      <c r="G21611" s="52">
        <v>193297.093208495</v>
      </c>
      <c r="H21611" s="56">
        <v>0.16016270497031618</v>
      </c>
      <c r="I21611" s="224" t="s">
        <v>2</v>
      </c>
    </row>
    <row r="21612" spans="1:9" x14ac:dyDescent="0.25">
      <c r="A21612" s="515">
        <v>73654</v>
      </c>
      <c r="C21612" s="52">
        <v>136209.71342881999</v>
      </c>
      <c r="D21612" s="56">
        <v>5.1665261373569769E-2</v>
      </c>
      <c r="E21612" s="224" t="s">
        <v>2</v>
      </c>
      <c r="F21612" s="515" t="s">
        <v>22780</v>
      </c>
      <c r="G21612" s="52">
        <v>303973.10567399597</v>
      </c>
      <c r="H21612" s="56">
        <v>0.11387407600801543</v>
      </c>
      <c r="I21612" s="224" t="s">
        <v>2</v>
      </c>
    </row>
    <row r="21613" spans="1:9" x14ac:dyDescent="0.25">
      <c r="A21613" s="515">
        <v>65470</v>
      </c>
      <c r="B21613" s="515" t="s">
        <v>813</v>
      </c>
      <c r="C21613" s="52">
        <v>231429.863168868</v>
      </c>
      <c r="D21613" s="56">
        <v>0.14533801722668746</v>
      </c>
      <c r="E21613" s="224" t="s">
        <v>2</v>
      </c>
      <c r="F21613" s="515" t="s">
        <v>22781</v>
      </c>
      <c r="G21613" s="52">
        <v>131655.17579923299</v>
      </c>
      <c r="H21613" s="56">
        <v>0.15226785180962132</v>
      </c>
      <c r="I21613" s="224" t="s">
        <v>2</v>
      </c>
    </row>
    <row r="21614" spans="1:9" x14ac:dyDescent="0.25">
      <c r="A21614" s="515">
        <v>58788</v>
      </c>
      <c r="B21614" s="515" t="s">
        <v>849</v>
      </c>
      <c r="C21614" s="52">
        <v>94605.929437706203</v>
      </c>
      <c r="D21614" s="56">
        <v>0</v>
      </c>
      <c r="E21614" s="224" t="s">
        <v>2</v>
      </c>
      <c r="F21614" s="515" t="s">
        <v>22782</v>
      </c>
      <c r="G21614" s="52">
        <v>92863.09375</v>
      </c>
      <c r="H21614" s="56">
        <v>0</v>
      </c>
      <c r="I21614" s="224" t="s">
        <v>2</v>
      </c>
    </row>
    <row r="21615" spans="1:9" x14ac:dyDescent="0.25">
      <c r="A21615" s="515">
        <v>70658</v>
      </c>
      <c r="C21615" s="52">
        <v>119090.264705882</v>
      </c>
      <c r="D21615" s="56">
        <v>0</v>
      </c>
      <c r="E21615" s="224" t="s">
        <v>2</v>
      </c>
      <c r="F21615" s="515" t="s">
        <v>22783</v>
      </c>
      <c r="G21615" s="52">
        <v>91146.6233749682</v>
      </c>
      <c r="H21615" s="56">
        <v>0</v>
      </c>
      <c r="I21615" s="224" t="s">
        <v>2</v>
      </c>
    </row>
    <row r="21616" spans="1:9" x14ac:dyDescent="0.25">
      <c r="A21616" s="515">
        <v>12970</v>
      </c>
      <c r="B21616" s="515" t="s">
        <v>706</v>
      </c>
      <c r="C21616" s="52">
        <v>238728.46250486601</v>
      </c>
      <c r="D21616" s="56">
        <v>0.18282663034353075</v>
      </c>
      <c r="E21616" s="224" t="s">
        <v>2</v>
      </c>
      <c r="F21616" s="515" t="s">
        <v>22784</v>
      </c>
      <c r="G21616" s="52">
        <v>144749.625</v>
      </c>
      <c r="H21616" s="56">
        <v>0</v>
      </c>
      <c r="I21616" s="224" t="s">
        <v>2</v>
      </c>
    </row>
    <row r="21617" spans="1:9" x14ac:dyDescent="0.25">
      <c r="A21617" s="515">
        <v>52147</v>
      </c>
      <c r="C21617" s="52">
        <v>153631.81949793501</v>
      </c>
      <c r="D21617" s="56">
        <v>0.13784201385233966</v>
      </c>
      <c r="E21617" s="224" t="s">
        <v>2</v>
      </c>
      <c r="F21617" s="515" t="s">
        <v>22785</v>
      </c>
      <c r="G21617" s="52">
        <v>157934.73336063899</v>
      </c>
      <c r="H21617" s="56">
        <v>0.18131079193999028</v>
      </c>
      <c r="I21617" s="224" t="s">
        <v>2</v>
      </c>
    </row>
    <row r="21618" spans="1:9" x14ac:dyDescent="0.25">
      <c r="A21618" s="515">
        <v>23156</v>
      </c>
      <c r="B21618" s="515" t="s">
        <v>667</v>
      </c>
      <c r="C21618" s="52">
        <v>229945.35126202201</v>
      </c>
      <c r="D21618" s="56">
        <v>0.10948683313936389</v>
      </c>
      <c r="E21618" s="224" t="s">
        <v>2</v>
      </c>
      <c r="F21618" s="515" t="s">
        <v>22786</v>
      </c>
      <c r="G21618" s="52">
        <v>119007.110620587</v>
      </c>
      <c r="H21618" s="56">
        <v>4.1847285527213368E-2</v>
      </c>
      <c r="I21618" s="224" t="s">
        <v>2</v>
      </c>
    </row>
    <row r="21619" spans="1:9" x14ac:dyDescent="0.25">
      <c r="A21619" s="515">
        <v>13158</v>
      </c>
      <c r="B21619" s="515" t="s">
        <v>507</v>
      </c>
      <c r="C21619" s="52">
        <v>156732.81276641501</v>
      </c>
      <c r="D21619" s="56">
        <v>6.1213459950756693E-2</v>
      </c>
      <c r="E21619" s="224" t="s">
        <v>2</v>
      </c>
      <c r="F21619" s="515" t="s">
        <v>22787</v>
      </c>
      <c r="G21619" s="52">
        <v>157087.84405150701</v>
      </c>
      <c r="H21619" s="56">
        <v>0</v>
      </c>
      <c r="I21619" s="224" t="s">
        <v>2</v>
      </c>
    </row>
    <row r="21620" spans="1:9" x14ac:dyDescent="0.25">
      <c r="A21620" s="515">
        <v>40442</v>
      </c>
      <c r="B21620" s="515" t="s">
        <v>1015</v>
      </c>
      <c r="C21620" s="52">
        <v>124496.744403698</v>
      </c>
      <c r="D21620" s="56">
        <v>0.13414340025985214</v>
      </c>
      <c r="E21620" s="224" t="s">
        <v>2</v>
      </c>
      <c r="F21620" s="515" t="s">
        <v>22788</v>
      </c>
      <c r="G21620" s="52">
        <v>216357.08081330301</v>
      </c>
      <c r="H21620" s="56">
        <v>8.4711913152543256E-2</v>
      </c>
      <c r="I21620" s="224" t="s">
        <v>2</v>
      </c>
    </row>
    <row r="21621" spans="1:9" x14ac:dyDescent="0.25">
      <c r="A21621" s="515">
        <v>28718</v>
      </c>
      <c r="B21621" s="515" t="s">
        <v>908</v>
      </c>
      <c r="C21621" s="52">
        <v>338699.92118019197</v>
      </c>
      <c r="D21621" s="56">
        <v>0.18182106314588181</v>
      </c>
      <c r="E21621" s="224" t="s">
        <v>2</v>
      </c>
      <c r="F21621" s="515" t="s">
        <v>22789</v>
      </c>
      <c r="G21621" s="52">
        <v>71039.871794871797</v>
      </c>
      <c r="H21621" s="56">
        <v>0</v>
      </c>
      <c r="I21621" s="224" t="s">
        <v>2</v>
      </c>
    </row>
    <row r="21622" spans="1:9" x14ac:dyDescent="0.25">
      <c r="A21622" s="515">
        <v>13303</v>
      </c>
      <c r="B21622" s="515" t="s">
        <v>543</v>
      </c>
      <c r="C21622" s="52">
        <v>208185.64678312899</v>
      </c>
      <c r="D21622" s="56">
        <v>0.13506410756827331</v>
      </c>
      <c r="E21622" s="224" t="s">
        <v>2</v>
      </c>
      <c r="F21622" s="515" t="s">
        <v>22790</v>
      </c>
      <c r="G21622" s="52">
        <v>271404.15999999997</v>
      </c>
      <c r="H21622" s="56">
        <v>0</v>
      </c>
      <c r="I21622" s="224" t="s">
        <v>2</v>
      </c>
    </row>
    <row r="21623" spans="1:9" x14ac:dyDescent="0.25">
      <c r="A21623" s="515">
        <v>72773</v>
      </c>
      <c r="B21623" s="515" t="s">
        <v>675</v>
      </c>
      <c r="C21623" s="52">
        <v>208481.39908189201</v>
      </c>
      <c r="D21623" s="56">
        <v>0.11505142945941334</v>
      </c>
      <c r="E21623" s="224" t="s">
        <v>2</v>
      </c>
      <c r="F21623" s="515" t="s">
        <v>22791</v>
      </c>
      <c r="G21623" s="52">
        <v>234744.180498667</v>
      </c>
      <c r="H21623" s="56">
        <v>3.9769817785680915E-2</v>
      </c>
      <c r="I21623" s="224" t="s">
        <v>2</v>
      </c>
    </row>
    <row r="21624" spans="1:9" x14ac:dyDescent="0.25">
      <c r="A21624" s="515">
        <v>97632</v>
      </c>
      <c r="B21624" s="515" t="s">
        <v>545</v>
      </c>
      <c r="C21624" s="52">
        <v>250453.868262034</v>
      </c>
      <c r="D21624" s="56">
        <v>5.847434324151822E-2</v>
      </c>
      <c r="E21624" s="224" t="s">
        <v>2</v>
      </c>
      <c r="F21624" s="515" t="s">
        <v>22792</v>
      </c>
      <c r="G21624" s="52">
        <v>110054.73713492999</v>
      </c>
      <c r="H21624" s="56">
        <v>0.14942830470122245</v>
      </c>
      <c r="I21624" s="224" t="s">
        <v>2</v>
      </c>
    </row>
    <row r="21625" spans="1:9" x14ac:dyDescent="0.25">
      <c r="A21625" s="515">
        <v>76951</v>
      </c>
      <c r="B21625" s="515" t="s">
        <v>551</v>
      </c>
      <c r="C21625" s="52">
        <v>126226.39703224</v>
      </c>
      <c r="D21625" s="56">
        <v>0</v>
      </c>
      <c r="E21625" s="224" t="s">
        <v>2</v>
      </c>
      <c r="F21625" s="515" t="s">
        <v>22793</v>
      </c>
      <c r="G21625" s="52">
        <v>194289.84814903</v>
      </c>
      <c r="H21625" s="56">
        <v>0.34446916618328172</v>
      </c>
      <c r="I21625" s="224" t="s">
        <v>2</v>
      </c>
    </row>
    <row r="21626" spans="1:9" x14ac:dyDescent="0.25">
      <c r="A21626" s="515">
        <v>51027</v>
      </c>
      <c r="C21626" s="52">
        <v>206126.86936251001</v>
      </c>
      <c r="D21626" s="56">
        <v>9.4231971686447993E-2</v>
      </c>
      <c r="E21626" s="224" t="s">
        <v>2</v>
      </c>
      <c r="F21626" s="515" t="s">
        <v>22794</v>
      </c>
      <c r="G21626" s="52">
        <v>314647.71654252999</v>
      </c>
      <c r="H21626" s="56">
        <v>8.6367645430319662E-2</v>
      </c>
      <c r="I21626" s="224" t="s">
        <v>2</v>
      </c>
    </row>
    <row r="21627" spans="1:9" x14ac:dyDescent="0.25">
      <c r="A21627" s="515">
        <v>4547</v>
      </c>
      <c r="C21627" s="52">
        <v>344276.60894489998</v>
      </c>
      <c r="D21627" s="56">
        <v>6.0528345601860115E-2</v>
      </c>
      <c r="E21627" s="224" t="s">
        <v>2</v>
      </c>
      <c r="F21627" s="515" t="s">
        <v>22795</v>
      </c>
      <c r="G21627" s="52">
        <v>192594.43671512499</v>
      </c>
      <c r="H21627" s="56">
        <v>0.21055539489854572</v>
      </c>
      <c r="I21627" s="224" t="s">
        <v>2</v>
      </c>
    </row>
    <row r="21628" spans="1:9" x14ac:dyDescent="0.25">
      <c r="A21628" s="515">
        <v>47521</v>
      </c>
      <c r="B21628" s="515" t="s">
        <v>544</v>
      </c>
      <c r="C21628" s="52">
        <v>236906.82646829699</v>
      </c>
      <c r="D21628" s="56">
        <v>6.9631936591565191E-2</v>
      </c>
      <c r="E21628" s="224" t="s">
        <v>2</v>
      </c>
      <c r="F21628" s="515" t="s">
        <v>22796</v>
      </c>
      <c r="G21628" s="52">
        <v>203177.74394962599</v>
      </c>
      <c r="H21628" s="56">
        <v>0</v>
      </c>
      <c r="I21628" s="224" t="s">
        <v>2</v>
      </c>
    </row>
    <row r="21629" spans="1:9" x14ac:dyDescent="0.25">
      <c r="A21629" s="515">
        <v>54234</v>
      </c>
      <c r="C21629" s="52">
        <v>384449.35974267399</v>
      </c>
      <c r="D21629" s="56">
        <v>0.11437980256235565</v>
      </c>
      <c r="E21629" s="224" t="s">
        <v>2</v>
      </c>
      <c r="F21629" s="515" t="s">
        <v>22797</v>
      </c>
      <c r="G21629" s="52">
        <v>387131.29674174299</v>
      </c>
      <c r="H21629" s="56">
        <v>2.6749126471644909E-2</v>
      </c>
      <c r="I21629" s="224" t="s">
        <v>2</v>
      </c>
    </row>
    <row r="21630" spans="1:9" x14ac:dyDescent="0.25">
      <c r="A21630" s="515">
        <v>97326</v>
      </c>
      <c r="B21630" s="515" t="s">
        <v>618</v>
      </c>
      <c r="C21630" s="52">
        <v>471669.58357149502</v>
      </c>
      <c r="D21630" s="56">
        <v>3.193117896018597E-2</v>
      </c>
      <c r="E21630" s="224" t="s">
        <v>2</v>
      </c>
      <c r="F21630" s="515" t="s">
        <v>22798</v>
      </c>
      <c r="G21630" s="52">
        <v>272466.20122037298</v>
      </c>
      <c r="H21630" s="56">
        <v>3.5728148000784929E-2</v>
      </c>
      <c r="I21630" s="224" t="s">
        <v>2</v>
      </c>
    </row>
    <row r="21631" spans="1:9" x14ac:dyDescent="0.25">
      <c r="A21631" s="515">
        <v>97846</v>
      </c>
      <c r="C21631" s="52">
        <v>466768.74009292398</v>
      </c>
      <c r="D21631" s="56">
        <v>9.0340372623624793E-2</v>
      </c>
      <c r="E21631" s="224" t="s">
        <v>2</v>
      </c>
      <c r="F21631" s="515" t="s">
        <v>22799</v>
      </c>
      <c r="G21631" s="52">
        <v>234172.480607373</v>
      </c>
      <c r="H21631" s="56">
        <v>9.4728440917532325E-2</v>
      </c>
      <c r="I21631" s="224" t="s">
        <v>2</v>
      </c>
    </row>
    <row r="21632" spans="1:9" x14ac:dyDescent="0.25">
      <c r="A21632" s="515">
        <v>14143</v>
      </c>
      <c r="B21632" s="515" t="s">
        <v>1014</v>
      </c>
      <c r="C21632" s="52">
        <v>190938.32848201101</v>
      </c>
      <c r="D21632" s="56">
        <v>4.0350678505210548E-2</v>
      </c>
      <c r="E21632" s="224" t="s">
        <v>2</v>
      </c>
      <c r="F21632" s="515" t="s">
        <v>22800</v>
      </c>
      <c r="G21632" s="52">
        <v>82589.6018125548</v>
      </c>
      <c r="H21632" s="56">
        <v>0.11734783930609875</v>
      </c>
      <c r="I21632" s="224" t="s">
        <v>2</v>
      </c>
    </row>
    <row r="21633" spans="1:9" x14ac:dyDescent="0.25">
      <c r="A21633" s="515">
        <v>25252</v>
      </c>
      <c r="B21633" s="515" t="s">
        <v>322</v>
      </c>
      <c r="C21633" s="52">
        <v>132700.34168635699</v>
      </c>
      <c r="D21633" s="56">
        <v>-1.7113627104802947E-3</v>
      </c>
      <c r="E21633" s="224" t="s">
        <v>2</v>
      </c>
      <c r="F21633" s="515" t="s">
        <v>22801</v>
      </c>
      <c r="G21633" s="52">
        <v>107576.91658528701</v>
      </c>
      <c r="H21633" s="56">
        <v>4.8505363497604981E-2</v>
      </c>
      <c r="I21633" s="224" t="s">
        <v>2</v>
      </c>
    </row>
    <row r="21634" spans="1:9" x14ac:dyDescent="0.25">
      <c r="A21634" s="515">
        <v>47162</v>
      </c>
      <c r="B21634" s="515" t="s">
        <v>479</v>
      </c>
      <c r="C21634" s="52">
        <v>177281.15894524101</v>
      </c>
      <c r="D21634" s="56">
        <v>9.2401295395815E-2</v>
      </c>
      <c r="E21634" s="224" t="s">
        <v>2</v>
      </c>
      <c r="F21634" s="515" t="s">
        <v>22802</v>
      </c>
      <c r="G21634" s="52">
        <v>114867.541589299</v>
      </c>
      <c r="H21634" s="56">
        <v>6.4512176029784013E-2</v>
      </c>
      <c r="I21634" s="224" t="s">
        <v>2</v>
      </c>
    </row>
    <row r="21635" spans="1:9" x14ac:dyDescent="0.25">
      <c r="A21635" s="515">
        <v>97021</v>
      </c>
      <c r="B21635" s="515" t="s">
        <v>864</v>
      </c>
      <c r="C21635" s="52">
        <v>385174.084458709</v>
      </c>
      <c r="D21635" s="56">
        <v>7.9070410855467163E-2</v>
      </c>
      <c r="E21635" s="224" t="s">
        <v>2</v>
      </c>
      <c r="F21635" s="515" t="s">
        <v>22803</v>
      </c>
      <c r="G21635" s="52">
        <v>89818.843742683399</v>
      </c>
      <c r="H21635" s="56">
        <v>6.3348658171876446E-2</v>
      </c>
      <c r="I21635" s="224" t="s">
        <v>2</v>
      </c>
    </row>
    <row r="21636" spans="1:9" x14ac:dyDescent="0.25">
      <c r="A21636" s="515">
        <v>23306</v>
      </c>
      <c r="C21636" s="52">
        <v>255307.47144012401</v>
      </c>
      <c r="D21636" s="56">
        <v>2.3546188634026473E-2</v>
      </c>
      <c r="E21636" s="224" t="s">
        <v>2</v>
      </c>
      <c r="F21636" s="515" t="s">
        <v>22804</v>
      </c>
      <c r="G21636" s="52">
        <v>220314.57455328401</v>
      </c>
      <c r="H21636" s="56">
        <v>2.3039883862170284E-2</v>
      </c>
      <c r="I21636" s="224" t="s">
        <v>2</v>
      </c>
    </row>
    <row r="21637" spans="1:9" x14ac:dyDescent="0.25">
      <c r="A21637" s="515">
        <v>62985</v>
      </c>
      <c r="B21637" s="515" t="s">
        <v>471</v>
      </c>
      <c r="C21637" s="52">
        <v>138039.885779403</v>
      </c>
      <c r="D21637" s="56">
        <v>2.3321444250023377E-2</v>
      </c>
      <c r="E21637" s="224" t="s">
        <v>2</v>
      </c>
      <c r="F21637" s="515" t="s">
        <v>22805</v>
      </c>
      <c r="G21637" s="52">
        <v>392220.49914718</v>
      </c>
      <c r="H21637" s="56">
        <v>5.7133241401781394E-2</v>
      </c>
      <c r="I21637" s="224" t="s">
        <v>2</v>
      </c>
    </row>
    <row r="21638" spans="1:9" x14ac:dyDescent="0.25">
      <c r="A21638" s="515">
        <v>50232</v>
      </c>
      <c r="B21638" s="515" t="s">
        <v>295</v>
      </c>
      <c r="C21638" s="52">
        <v>173029.36913231399</v>
      </c>
      <c r="D21638" s="56">
        <v>0.14506504585761487</v>
      </c>
      <c r="E21638" s="224" t="s">
        <v>2</v>
      </c>
      <c r="F21638" s="515" t="s">
        <v>22806</v>
      </c>
      <c r="G21638" s="52">
        <v>217318.455101756</v>
      </c>
      <c r="H21638" s="56">
        <v>0.17768033784568044</v>
      </c>
      <c r="I21638" s="224" t="s">
        <v>2</v>
      </c>
    </row>
    <row r="21639" spans="1:9" x14ac:dyDescent="0.25">
      <c r="A21639" s="515">
        <v>97633</v>
      </c>
      <c r="B21639" s="515" t="s">
        <v>545</v>
      </c>
      <c r="C21639" s="52">
        <v>252213.56324998001</v>
      </c>
      <c r="D21639" s="56">
        <v>3.7871341700819322E-2</v>
      </c>
      <c r="E21639" s="224" t="s">
        <v>2</v>
      </c>
      <c r="F21639" s="515" t="s">
        <v>22807</v>
      </c>
      <c r="G21639" s="52">
        <v>225449.63452395701</v>
      </c>
      <c r="H21639" s="56">
        <v>0</v>
      </c>
      <c r="I21639" s="224" t="s">
        <v>2</v>
      </c>
    </row>
    <row r="21640" spans="1:9" x14ac:dyDescent="0.25">
      <c r="A21640" s="515">
        <v>68971</v>
      </c>
      <c r="C21640" s="52">
        <v>135234.091608271</v>
      </c>
      <c r="D21640" s="56">
        <v>8.5451735139654261E-2</v>
      </c>
      <c r="E21640" s="224" t="s">
        <v>2</v>
      </c>
      <c r="F21640" s="515" t="s">
        <v>22808</v>
      </c>
      <c r="G21640" s="52">
        <v>140370.26096929901</v>
      </c>
      <c r="H21640" s="56">
        <v>0.19517395090199133</v>
      </c>
      <c r="I21640" s="224" t="s">
        <v>2</v>
      </c>
    </row>
    <row r="21641" spans="1:9" x14ac:dyDescent="0.25">
      <c r="A21641" s="515">
        <v>74428</v>
      </c>
      <c r="B21641" s="515" t="s">
        <v>538</v>
      </c>
      <c r="C21641" s="52">
        <v>177767.62098916501</v>
      </c>
      <c r="D21641" s="56">
        <v>0.12413541824938468</v>
      </c>
      <c r="E21641" s="224" t="s">
        <v>2</v>
      </c>
      <c r="F21641" s="515" t="s">
        <v>22809</v>
      </c>
      <c r="G21641" s="52">
        <v>138411.341585983</v>
      </c>
      <c r="H21641" s="56">
        <v>0.1767873920339518</v>
      </c>
      <c r="I21641" s="224" t="s">
        <v>2</v>
      </c>
    </row>
    <row r="21642" spans="1:9" x14ac:dyDescent="0.25">
      <c r="A21642" s="515">
        <v>12733</v>
      </c>
      <c r="C21642" s="52">
        <v>239914.24774544401</v>
      </c>
      <c r="D21642" s="56">
        <v>9.8858741473707684E-2</v>
      </c>
      <c r="E21642" s="224" t="s">
        <v>2</v>
      </c>
      <c r="F21642" s="515" t="s">
        <v>22810</v>
      </c>
      <c r="G21642" s="52">
        <v>92307.651006747605</v>
      </c>
      <c r="H21642" s="56">
        <v>3.1511307389132735E-2</v>
      </c>
      <c r="I21642" s="224" t="s">
        <v>2</v>
      </c>
    </row>
    <row r="21643" spans="1:9" x14ac:dyDescent="0.25">
      <c r="A21643" s="515">
        <v>59317</v>
      </c>
      <c r="C21643" s="52">
        <v>247436.76670054</v>
      </c>
      <c r="D21643" s="56">
        <v>0.10518840696324466</v>
      </c>
      <c r="E21643" s="224" t="s">
        <v>2</v>
      </c>
      <c r="F21643" s="515" t="s">
        <v>22811</v>
      </c>
      <c r="G21643" s="52">
        <v>215357.19512195099</v>
      </c>
      <c r="H21643" s="56">
        <v>0</v>
      </c>
      <c r="I21643" s="224" t="s">
        <v>2</v>
      </c>
    </row>
    <row r="21644" spans="1:9" x14ac:dyDescent="0.25">
      <c r="A21644" s="515">
        <v>98649</v>
      </c>
      <c r="B21644" s="515" t="s">
        <v>807</v>
      </c>
      <c r="C21644" s="52">
        <v>451571.65935933398</v>
      </c>
      <c r="D21644" s="56">
        <v>0.13586276774835701</v>
      </c>
      <c r="E21644" s="224" t="s">
        <v>2</v>
      </c>
      <c r="F21644" s="515" t="s">
        <v>22812</v>
      </c>
      <c r="G21644" s="52">
        <v>124707.79248818201</v>
      </c>
      <c r="H21644" s="56">
        <v>6.9285147375477182E-2</v>
      </c>
      <c r="I21644" s="224" t="s">
        <v>2</v>
      </c>
    </row>
    <row r="21645" spans="1:9" x14ac:dyDescent="0.25">
      <c r="A21645" s="515">
        <v>54836</v>
      </c>
      <c r="B21645" s="515" t="s">
        <v>350</v>
      </c>
      <c r="C21645" s="52">
        <v>214562.787380725</v>
      </c>
      <c r="D21645" s="56">
        <v>5.4564333643631696E-2</v>
      </c>
      <c r="E21645" s="224" t="s">
        <v>2</v>
      </c>
      <c r="F21645" s="515" t="s">
        <v>22813</v>
      </c>
      <c r="G21645" s="52">
        <v>344817.92460853601</v>
      </c>
      <c r="H21645" s="56">
        <v>0.10015607915765268</v>
      </c>
      <c r="I21645" s="224" t="s">
        <v>2</v>
      </c>
    </row>
    <row r="21646" spans="1:9" x14ac:dyDescent="0.25">
      <c r="A21646" s="515">
        <v>62031</v>
      </c>
      <c r="B21646" s="515" t="s">
        <v>498</v>
      </c>
      <c r="C21646" s="52">
        <v>119573.20535320201</v>
      </c>
      <c r="D21646" s="56">
        <v>9.3177532121407364E-2</v>
      </c>
      <c r="E21646" s="224" t="s">
        <v>2</v>
      </c>
      <c r="F21646" s="515" t="s">
        <v>22814</v>
      </c>
      <c r="G21646" s="52">
        <v>341553.97144099302</v>
      </c>
      <c r="H21646" s="56">
        <v>5.3936950223266666E-2</v>
      </c>
      <c r="I21646" s="224" t="s">
        <v>2</v>
      </c>
    </row>
    <row r="21647" spans="1:9" x14ac:dyDescent="0.25">
      <c r="A21647" s="515">
        <v>61349</v>
      </c>
      <c r="B21647" s="515" t="s">
        <v>556</v>
      </c>
      <c r="C21647" s="52">
        <v>104003.59968422999</v>
      </c>
      <c r="D21647" s="56">
        <v>2.267207811553873E-2</v>
      </c>
      <c r="E21647" s="224" t="s">
        <v>2</v>
      </c>
      <c r="F21647" s="515" t="s">
        <v>22815</v>
      </c>
      <c r="G21647" s="52">
        <v>132846.32214784401</v>
      </c>
      <c r="H21647" s="56">
        <v>9.1632929834036786E-2</v>
      </c>
      <c r="I21647" s="224" t="s">
        <v>2</v>
      </c>
    </row>
    <row r="21648" spans="1:9" x14ac:dyDescent="0.25">
      <c r="A21648" s="515">
        <v>89049</v>
      </c>
      <c r="B21648" s="515" t="s">
        <v>311</v>
      </c>
      <c r="C21648" s="52">
        <v>110957.488419716</v>
      </c>
      <c r="D21648" s="56">
        <v>-4.4141174274605989E-2</v>
      </c>
      <c r="E21648" s="224" t="s">
        <v>2</v>
      </c>
      <c r="F21648" s="515" t="s">
        <v>22816</v>
      </c>
      <c r="G21648" s="52">
        <v>223397.53822154601</v>
      </c>
      <c r="H21648" s="56">
        <v>0.16450544748536702</v>
      </c>
      <c r="I21648" s="224" t="s">
        <v>2</v>
      </c>
    </row>
    <row r="21649" spans="1:9" x14ac:dyDescent="0.25">
      <c r="A21649" s="515">
        <v>26865</v>
      </c>
      <c r="B21649" s="515" t="s">
        <v>629</v>
      </c>
      <c r="C21649" s="52">
        <v>272438.62406436901</v>
      </c>
      <c r="D21649" s="56">
        <v>0.15184273856686378</v>
      </c>
      <c r="E21649" s="224" t="s">
        <v>2</v>
      </c>
      <c r="F21649" s="515" t="s">
        <v>22817</v>
      </c>
      <c r="G21649" s="52">
        <v>132127.244468569</v>
      </c>
      <c r="H21649" s="56">
        <v>0.24004751635275623</v>
      </c>
      <c r="I21649" s="224" t="s">
        <v>2</v>
      </c>
    </row>
    <row r="21650" spans="1:9" x14ac:dyDescent="0.25">
      <c r="A21650" s="515">
        <v>68633</v>
      </c>
      <c r="B21650" s="515" t="s">
        <v>334</v>
      </c>
      <c r="C21650" s="52">
        <v>191443.43013792299</v>
      </c>
      <c r="D21650" s="56">
        <v>0.10295146652186507</v>
      </c>
      <c r="E21650" s="224" t="s">
        <v>2</v>
      </c>
      <c r="F21650" s="515" t="s">
        <v>22818</v>
      </c>
      <c r="G21650" s="52">
        <v>62867.861843718099</v>
      </c>
      <c r="H21650" s="56">
        <v>9.4891099254187511E-2</v>
      </c>
      <c r="I21650" s="224" t="s">
        <v>2</v>
      </c>
    </row>
    <row r="21651" spans="1:9" x14ac:dyDescent="0.25">
      <c r="A21651" s="515">
        <v>59027</v>
      </c>
      <c r="C21651" s="52">
        <v>690268.96352041105</v>
      </c>
      <c r="D21651" s="56">
        <v>0.10810704210033166</v>
      </c>
      <c r="E21651" s="224" t="s">
        <v>2</v>
      </c>
      <c r="F21651" s="515" t="s">
        <v>22819</v>
      </c>
      <c r="G21651" s="52">
        <v>138535.073219037</v>
      </c>
      <c r="H21651" s="56">
        <v>0.13234869533680407</v>
      </c>
      <c r="I21651" s="224" t="s">
        <v>2</v>
      </c>
    </row>
    <row r="21652" spans="1:9" x14ac:dyDescent="0.25">
      <c r="A21652" s="515">
        <v>39152</v>
      </c>
      <c r="C21652" s="52">
        <v>135329.15210428799</v>
      </c>
      <c r="D21652" s="56">
        <v>-7.0850382994080655E-2</v>
      </c>
      <c r="E21652" s="224" t="s">
        <v>2</v>
      </c>
      <c r="F21652" s="515" t="s">
        <v>22820</v>
      </c>
      <c r="G21652" s="52">
        <v>264172.60282213701</v>
      </c>
      <c r="H21652" s="56">
        <v>0</v>
      </c>
      <c r="I21652" s="224" t="s">
        <v>2</v>
      </c>
    </row>
    <row r="21653" spans="1:9" x14ac:dyDescent="0.25">
      <c r="A21653" s="515">
        <v>62461</v>
      </c>
      <c r="B21653" s="515" t="s">
        <v>952</v>
      </c>
      <c r="C21653" s="52">
        <v>171709.28398622799</v>
      </c>
      <c r="D21653" s="56">
        <v>0.11044302273264693</v>
      </c>
      <c r="E21653" s="224" t="s">
        <v>2</v>
      </c>
      <c r="F21653" s="515" t="s">
        <v>22821</v>
      </c>
      <c r="G21653" s="52">
        <v>144802.95833333299</v>
      </c>
      <c r="H21653" s="56">
        <v>0</v>
      </c>
      <c r="I21653" s="224" t="s">
        <v>2</v>
      </c>
    </row>
    <row r="21654" spans="1:9" x14ac:dyDescent="0.25">
      <c r="A21654" s="515">
        <v>17229</v>
      </c>
      <c r="C21654" s="52">
        <v>153604.45256477199</v>
      </c>
      <c r="D21654" s="56">
        <v>0</v>
      </c>
      <c r="E21654" s="224" t="s">
        <v>2</v>
      </c>
      <c r="F21654" s="515" t="s">
        <v>22822</v>
      </c>
      <c r="G21654" s="52">
        <v>71189.104166666599</v>
      </c>
      <c r="H21654" s="56">
        <v>0</v>
      </c>
      <c r="I21654" s="224" t="s">
        <v>2</v>
      </c>
    </row>
    <row r="21655" spans="1:9" x14ac:dyDescent="0.25">
      <c r="A21655" s="515">
        <v>36346</v>
      </c>
      <c r="B21655" s="515" t="s">
        <v>1013</v>
      </c>
      <c r="C21655" s="52">
        <v>153916.73720743699</v>
      </c>
      <c r="D21655" s="56">
        <v>4.571901140627551E-2</v>
      </c>
      <c r="E21655" s="224" t="s">
        <v>2</v>
      </c>
      <c r="F21655" s="515" t="s">
        <v>22823</v>
      </c>
      <c r="G21655" s="52">
        <v>235975.65831674801</v>
      </c>
      <c r="H21655" s="56">
        <v>0.14796604983982836</v>
      </c>
      <c r="I21655" s="224" t="s">
        <v>2</v>
      </c>
    </row>
    <row r="21656" spans="1:9" x14ac:dyDescent="0.25">
      <c r="A21656" s="515">
        <v>46374</v>
      </c>
      <c r="C21656" s="52">
        <v>188753.75957868699</v>
      </c>
      <c r="D21656" s="56">
        <v>9.9288632891340614E-2</v>
      </c>
      <c r="E21656" s="224" t="s">
        <v>2</v>
      </c>
      <c r="F21656" s="515" t="s">
        <v>22824</v>
      </c>
      <c r="G21656" s="52">
        <v>152943.23157004901</v>
      </c>
      <c r="H21656" s="56">
        <v>9.2221754863328134E-2</v>
      </c>
      <c r="I21656" s="224" t="s">
        <v>2</v>
      </c>
    </row>
    <row r="21657" spans="1:9" x14ac:dyDescent="0.25">
      <c r="A21657" s="515">
        <v>63559</v>
      </c>
      <c r="B21657" s="515" t="s">
        <v>949</v>
      </c>
      <c r="C21657" s="52">
        <v>134217.29903066001</v>
      </c>
      <c r="D21657" s="56">
        <v>-0.1833858994727979</v>
      </c>
      <c r="E21657" s="224" t="s">
        <v>2</v>
      </c>
      <c r="F21657" s="515" t="s">
        <v>22825</v>
      </c>
      <c r="G21657" s="52">
        <v>91732.184521158502</v>
      </c>
      <c r="H21657" s="56">
        <v>1.8936395144102666E-2</v>
      </c>
      <c r="I21657" s="224" t="s">
        <v>2</v>
      </c>
    </row>
    <row r="21658" spans="1:9" x14ac:dyDescent="0.25">
      <c r="A21658" s="515">
        <v>16112</v>
      </c>
      <c r="B21658" s="515" t="s">
        <v>652</v>
      </c>
      <c r="C21658" s="52">
        <v>121069.184221388</v>
      </c>
      <c r="D21658" s="56">
        <v>0.11305313282330397</v>
      </c>
      <c r="E21658" s="224" t="s">
        <v>2</v>
      </c>
      <c r="F21658" s="515" t="s">
        <v>22826</v>
      </c>
      <c r="G21658" s="52">
        <v>225414.88523605201</v>
      </c>
      <c r="H21658" s="56">
        <v>0</v>
      </c>
      <c r="I21658" s="224" t="s">
        <v>2</v>
      </c>
    </row>
    <row r="21659" spans="1:9" x14ac:dyDescent="0.25">
      <c r="A21659" s="515">
        <v>65739</v>
      </c>
      <c r="B21659" s="515" t="s">
        <v>757</v>
      </c>
      <c r="C21659" s="52">
        <v>366026.41742000502</v>
      </c>
      <c r="D21659" s="56">
        <v>0.141269264235627</v>
      </c>
      <c r="E21659" s="224" t="s">
        <v>2</v>
      </c>
      <c r="F21659" s="515" t="s">
        <v>22827</v>
      </c>
      <c r="G21659" s="52">
        <v>92308.245433882694</v>
      </c>
      <c r="H21659" s="56">
        <v>3.9303394272226774E-2</v>
      </c>
      <c r="I21659" s="224" t="s">
        <v>2</v>
      </c>
    </row>
    <row r="21660" spans="1:9" x14ac:dyDescent="0.25">
      <c r="A21660" s="515">
        <v>52620</v>
      </c>
      <c r="C21660" s="52">
        <v>124433.07262714799</v>
      </c>
      <c r="D21660" s="56">
        <v>0.15259230769617602</v>
      </c>
      <c r="E21660" s="224" t="s">
        <v>2</v>
      </c>
      <c r="F21660" s="515" t="s">
        <v>22828</v>
      </c>
      <c r="G21660" s="52">
        <v>120380.323923032</v>
      </c>
      <c r="H21660" s="56">
        <v>0.10615990244817783</v>
      </c>
      <c r="I21660" s="224" t="s">
        <v>2</v>
      </c>
    </row>
    <row r="21661" spans="1:9" x14ac:dyDescent="0.25">
      <c r="A21661" s="515">
        <v>55713</v>
      </c>
      <c r="B21661" s="515" t="s">
        <v>350</v>
      </c>
      <c r="C21661" s="52">
        <v>103603.980160338</v>
      </c>
      <c r="D21661" s="56">
        <v>0.10495961021688349</v>
      </c>
      <c r="E21661" s="224" t="s">
        <v>2</v>
      </c>
      <c r="F21661" s="515" t="s">
        <v>22829</v>
      </c>
      <c r="G21661" s="52">
        <v>96599.627264801296</v>
      </c>
      <c r="H21661" s="56">
        <v>0.21888148388264955</v>
      </c>
      <c r="I21661" s="224" t="s">
        <v>2</v>
      </c>
    </row>
    <row r="21662" spans="1:9" x14ac:dyDescent="0.25">
      <c r="A21662" s="515">
        <v>28909</v>
      </c>
      <c r="C21662" s="52">
        <v>240332.203455935</v>
      </c>
      <c r="D21662" s="56">
        <v>0.15244951352700525</v>
      </c>
      <c r="E21662" s="224" t="s">
        <v>2</v>
      </c>
      <c r="F21662" s="515" t="s">
        <v>22830</v>
      </c>
      <c r="G21662" s="52">
        <v>327095.92418912199</v>
      </c>
      <c r="H21662" s="56">
        <v>4.7436699100712153E-2</v>
      </c>
      <c r="I21662" s="224" t="s">
        <v>2</v>
      </c>
    </row>
    <row r="21663" spans="1:9" x14ac:dyDescent="0.25">
      <c r="A21663" s="515">
        <v>56756</v>
      </c>
      <c r="C21663" s="52">
        <v>217007.74725274701</v>
      </c>
      <c r="D21663" s="56">
        <v>0</v>
      </c>
      <c r="E21663" s="224" t="s">
        <v>2</v>
      </c>
      <c r="F21663" s="515" t="s">
        <v>22831</v>
      </c>
      <c r="G21663" s="52">
        <v>148744.33701143099</v>
      </c>
      <c r="H21663" s="56">
        <v>0.11073306588694465</v>
      </c>
      <c r="I21663" s="224" t="s">
        <v>2</v>
      </c>
    </row>
    <row r="21664" spans="1:9" x14ac:dyDescent="0.25">
      <c r="A21664" s="515">
        <v>57216</v>
      </c>
      <c r="C21664" s="52">
        <v>183357.13074444499</v>
      </c>
      <c r="D21664" s="56">
        <v>2.3005730117696611E-2</v>
      </c>
      <c r="E21664" s="224" t="s">
        <v>2</v>
      </c>
      <c r="F21664" s="515" t="s">
        <v>22832</v>
      </c>
      <c r="G21664" s="52">
        <v>149024.21743131499</v>
      </c>
      <c r="H21664" s="56">
        <v>0.11609960724789355</v>
      </c>
      <c r="I21664" s="224" t="s">
        <v>2</v>
      </c>
    </row>
    <row r="21665" spans="1:9" x14ac:dyDescent="0.25">
      <c r="A21665" s="515">
        <v>59925</v>
      </c>
      <c r="B21665" s="515" t="s">
        <v>459</v>
      </c>
      <c r="C21665" s="52">
        <v>656559.22478624003</v>
      </c>
      <c r="D21665" s="56">
        <v>6.7846213048365689E-2</v>
      </c>
      <c r="E21665" s="224" t="s">
        <v>2</v>
      </c>
      <c r="F21665" s="515" t="s">
        <v>22833</v>
      </c>
      <c r="G21665" s="52">
        <v>680649.67663970904</v>
      </c>
      <c r="H21665" s="56">
        <v>3.2842617350556109E-2</v>
      </c>
      <c r="I21665" s="224" t="s">
        <v>2</v>
      </c>
    </row>
    <row r="21666" spans="1:9" x14ac:dyDescent="0.25">
      <c r="A21666" s="515">
        <v>50604</v>
      </c>
      <c r="C21666" s="52">
        <v>159346.203335022</v>
      </c>
      <c r="D21666" s="56">
        <v>9.8684386456114867E-2</v>
      </c>
      <c r="E21666" s="224" t="s">
        <v>2</v>
      </c>
      <c r="F21666" s="515" t="s">
        <v>22834</v>
      </c>
      <c r="G21666" s="52">
        <v>230144.54802813701</v>
      </c>
      <c r="H21666" s="56">
        <v>0.21617999984556877</v>
      </c>
      <c r="I21666" s="224" t="s">
        <v>2</v>
      </c>
    </row>
    <row r="21667" spans="1:9" x14ac:dyDescent="0.25">
      <c r="A21667" s="515">
        <v>13682</v>
      </c>
      <c r="B21667" s="515" t="s">
        <v>431</v>
      </c>
      <c r="C21667" s="52">
        <v>205201.417033759</v>
      </c>
      <c r="D21667" s="56">
        <v>5.058233262143387E-2</v>
      </c>
      <c r="E21667" s="224" t="s">
        <v>2</v>
      </c>
      <c r="F21667" s="515" t="s">
        <v>22835</v>
      </c>
      <c r="G21667" s="52">
        <v>393336.12387773802</v>
      </c>
      <c r="H21667" s="56">
        <v>5.154659782411284E-2</v>
      </c>
      <c r="I21667" s="224" t="s">
        <v>2</v>
      </c>
    </row>
    <row r="21668" spans="1:9" x14ac:dyDescent="0.25">
      <c r="A21668" s="515">
        <v>74824</v>
      </c>
      <c r="B21668" s="515" t="s">
        <v>385</v>
      </c>
      <c r="C21668" s="52">
        <v>152335.567162041</v>
      </c>
      <c r="D21668" s="56">
        <v>4.5910062286357196E-2</v>
      </c>
      <c r="E21668" s="224" t="s">
        <v>2</v>
      </c>
      <c r="F21668" s="515" t="s">
        <v>22836</v>
      </c>
      <c r="G21668" s="52">
        <v>291375.27930518298</v>
      </c>
      <c r="H21668" s="56">
        <v>0</v>
      </c>
      <c r="I21668" s="224" t="s">
        <v>2</v>
      </c>
    </row>
    <row r="21669" spans="1:9" x14ac:dyDescent="0.25">
      <c r="A21669" s="515">
        <v>47955</v>
      </c>
      <c r="B21669" s="515" t="s">
        <v>408</v>
      </c>
      <c r="C21669" s="52">
        <v>156111.63545378501</v>
      </c>
      <c r="D21669" s="56">
        <v>9.0419577709674737E-2</v>
      </c>
      <c r="E21669" s="224" t="s">
        <v>2</v>
      </c>
      <c r="F21669" s="515" t="s">
        <v>22837</v>
      </c>
      <c r="G21669" s="52">
        <v>246170.08802771501</v>
      </c>
      <c r="H21669" s="56">
        <v>0</v>
      </c>
      <c r="I21669" s="224" t="s">
        <v>2</v>
      </c>
    </row>
    <row r="21670" spans="1:9" x14ac:dyDescent="0.25">
      <c r="A21670" s="515">
        <v>18321</v>
      </c>
      <c r="B21670" s="515" t="s">
        <v>338</v>
      </c>
      <c r="C21670" s="52">
        <v>256810.94711926501</v>
      </c>
      <c r="D21670" s="56">
        <v>8.3302934377309082E-2</v>
      </c>
      <c r="E21670" s="224" t="s">
        <v>2</v>
      </c>
      <c r="F21670" s="515" t="s">
        <v>22838</v>
      </c>
      <c r="G21670" s="52">
        <v>140629.61892512901</v>
      </c>
      <c r="H21670" s="56">
        <v>0.19086295842049045</v>
      </c>
      <c r="I21670" s="224" t="s">
        <v>2</v>
      </c>
    </row>
    <row r="21671" spans="1:9" x14ac:dyDescent="0.25">
      <c r="A21671" s="515">
        <v>24815</v>
      </c>
      <c r="C21671" s="52">
        <v>29365.413793103398</v>
      </c>
      <c r="D21671" s="56">
        <v>0</v>
      </c>
      <c r="E21671" s="224" t="s">
        <v>2</v>
      </c>
      <c r="F21671" s="515" t="s">
        <v>22839</v>
      </c>
      <c r="G21671" s="52">
        <v>66558.367494236503</v>
      </c>
      <c r="H21671" s="56">
        <v>0</v>
      </c>
      <c r="I21671" s="224" t="s">
        <v>2</v>
      </c>
    </row>
    <row r="21672" spans="1:9" x14ac:dyDescent="0.25">
      <c r="A21672" s="515">
        <v>65680</v>
      </c>
      <c r="B21672" s="515" t="s">
        <v>757</v>
      </c>
      <c r="C21672" s="52">
        <v>183035.48853176899</v>
      </c>
      <c r="D21672" s="56">
        <v>0.11029865739894409</v>
      </c>
      <c r="E21672" s="224" t="s">
        <v>2</v>
      </c>
      <c r="F21672" s="515" t="s">
        <v>22840</v>
      </c>
      <c r="G21672" s="52">
        <v>83761.005423779206</v>
      </c>
      <c r="H21672" s="56">
        <v>8.8276707204769975E-2</v>
      </c>
      <c r="I21672" s="224" t="s">
        <v>2</v>
      </c>
    </row>
    <row r="21673" spans="1:9" x14ac:dyDescent="0.25">
      <c r="A21673" s="515">
        <v>60918</v>
      </c>
      <c r="C21673" s="52">
        <v>111627.709187983</v>
      </c>
      <c r="D21673" s="56">
        <v>5.6179863094712686E-2</v>
      </c>
      <c r="E21673" s="224" t="s">
        <v>2</v>
      </c>
      <c r="F21673" s="515" t="s">
        <v>22841</v>
      </c>
      <c r="G21673" s="52">
        <v>374524.51464867499</v>
      </c>
      <c r="H21673" s="56">
        <v>0.13657276376435928</v>
      </c>
      <c r="I21673" s="224" t="s">
        <v>2</v>
      </c>
    </row>
    <row r="21674" spans="1:9" x14ac:dyDescent="0.25">
      <c r="A21674" s="515">
        <v>15030</v>
      </c>
      <c r="B21674" s="515" t="s">
        <v>297</v>
      </c>
      <c r="C21674" s="52">
        <v>79090.629451923698</v>
      </c>
      <c r="D21674" s="56">
        <v>0.11652255860823005</v>
      </c>
      <c r="E21674" s="224" t="s">
        <v>2</v>
      </c>
      <c r="F21674" s="515" t="s">
        <v>22842</v>
      </c>
      <c r="G21674" s="52">
        <v>385358.25694840698</v>
      </c>
      <c r="H21674" s="56">
        <v>0</v>
      </c>
      <c r="I21674" s="224" t="s">
        <v>2</v>
      </c>
    </row>
    <row r="21675" spans="1:9" x14ac:dyDescent="0.25">
      <c r="A21675" s="515">
        <v>83615</v>
      </c>
      <c r="C21675" s="52">
        <v>566394.72718260798</v>
      </c>
      <c r="D21675" s="56">
        <v>3.8889411346455995E-2</v>
      </c>
      <c r="E21675" s="224" t="s">
        <v>2</v>
      </c>
      <c r="F21675" s="515" t="s">
        <v>22843</v>
      </c>
      <c r="G21675" s="52">
        <v>192653.74163665401</v>
      </c>
      <c r="H21675" s="56">
        <v>0.18898111666260264</v>
      </c>
      <c r="I21675" s="224" t="s">
        <v>2</v>
      </c>
    </row>
    <row r="21676" spans="1:9" x14ac:dyDescent="0.25">
      <c r="A21676" s="515">
        <v>3226</v>
      </c>
      <c r="B21676" s="515" t="s">
        <v>1006</v>
      </c>
      <c r="C21676" s="52">
        <v>536517.93527251598</v>
      </c>
      <c r="D21676" s="56">
        <v>0.1366159553478225</v>
      </c>
      <c r="E21676" s="224" t="s">
        <v>2</v>
      </c>
      <c r="F21676" s="515" t="s">
        <v>22844</v>
      </c>
      <c r="G21676" s="52">
        <v>121275.04229178</v>
      </c>
      <c r="H21676" s="56">
        <v>0.10823278032441291</v>
      </c>
      <c r="I21676" s="224" t="s">
        <v>2</v>
      </c>
    </row>
    <row r="21677" spans="1:9" x14ac:dyDescent="0.25">
      <c r="A21677" s="515">
        <v>58228</v>
      </c>
      <c r="B21677" s="515" t="s">
        <v>624</v>
      </c>
      <c r="C21677" s="52">
        <v>158313.66055001301</v>
      </c>
      <c r="D21677" s="56">
        <v>-2.9025997598230262E-2</v>
      </c>
      <c r="E21677" s="224" t="s">
        <v>2</v>
      </c>
      <c r="F21677" s="515" t="s">
        <v>22845</v>
      </c>
      <c r="G21677" s="52">
        <v>1066372.4308414599</v>
      </c>
      <c r="H21677" s="56">
        <v>0.14192187871360157</v>
      </c>
      <c r="I21677" s="224" t="s">
        <v>2</v>
      </c>
    </row>
    <row r="21678" spans="1:9" x14ac:dyDescent="0.25">
      <c r="A21678" s="515">
        <v>14555</v>
      </c>
      <c r="B21678" s="515" t="s">
        <v>337</v>
      </c>
      <c r="C21678" s="52">
        <v>220926.90109840399</v>
      </c>
      <c r="D21678" s="56">
        <v>0.14901467340286334</v>
      </c>
      <c r="E21678" s="224" t="s">
        <v>2</v>
      </c>
      <c r="F21678" s="515" t="s">
        <v>22846</v>
      </c>
      <c r="G21678" s="52">
        <v>80682.28125</v>
      </c>
      <c r="H21678" s="56">
        <v>0</v>
      </c>
      <c r="I21678" s="224" t="s">
        <v>2</v>
      </c>
    </row>
    <row r="21679" spans="1:9" x14ac:dyDescent="0.25">
      <c r="A21679" s="515">
        <v>10922</v>
      </c>
      <c r="B21679" s="515" t="s">
        <v>529</v>
      </c>
      <c r="C21679" s="52">
        <v>397512.404230193</v>
      </c>
      <c r="D21679" s="56">
        <v>8.1527682119966208E-2</v>
      </c>
      <c r="E21679" s="224" t="s">
        <v>2</v>
      </c>
      <c r="F21679" s="515" t="s">
        <v>22847</v>
      </c>
      <c r="G21679" s="52">
        <v>170526.36876015499</v>
      </c>
      <c r="H21679" s="56">
        <v>0.15080706045323494</v>
      </c>
      <c r="I21679" s="224" t="s">
        <v>2</v>
      </c>
    </row>
    <row r="21680" spans="1:9" x14ac:dyDescent="0.25">
      <c r="A21680" s="515">
        <v>26377</v>
      </c>
      <c r="C21680" s="52">
        <v>75181.911826417505</v>
      </c>
      <c r="D21680" s="56">
        <v>8.6424022721452408E-3</v>
      </c>
      <c r="E21680" s="224" t="s">
        <v>2</v>
      </c>
      <c r="F21680" s="515" t="s">
        <v>22848</v>
      </c>
      <c r="G21680" s="52">
        <v>112591.03577211</v>
      </c>
      <c r="H21680" s="56">
        <v>0.29870402569465609</v>
      </c>
      <c r="I21680" s="224" t="s">
        <v>2</v>
      </c>
    </row>
    <row r="21681" spans="1:9" x14ac:dyDescent="0.25">
      <c r="A21681" s="515">
        <v>62280</v>
      </c>
      <c r="C21681" s="52">
        <v>108820.432284811</v>
      </c>
      <c r="D21681" s="56">
        <v>8.4507417184556968E-2</v>
      </c>
      <c r="E21681" s="224" t="s">
        <v>2</v>
      </c>
      <c r="F21681" s="515" t="s">
        <v>22849</v>
      </c>
      <c r="G21681" s="52">
        <v>299575.31549915002</v>
      </c>
      <c r="H21681" s="56">
        <v>0</v>
      </c>
      <c r="I21681" s="224" t="s">
        <v>2</v>
      </c>
    </row>
    <row r="21682" spans="1:9" x14ac:dyDescent="0.25">
      <c r="A21682" s="515">
        <v>66080</v>
      </c>
      <c r="B21682" s="515" t="s">
        <v>880</v>
      </c>
      <c r="C21682" s="52">
        <v>182790.75750886399</v>
      </c>
      <c r="D21682" s="56">
        <v>0.1431582849815789</v>
      </c>
      <c r="E21682" s="224" t="s">
        <v>2</v>
      </c>
      <c r="F21682" s="515" t="s">
        <v>22850</v>
      </c>
      <c r="G21682" s="52">
        <v>69358.415070431394</v>
      </c>
      <c r="H21682" s="56">
        <v>0</v>
      </c>
      <c r="I21682" s="224" t="s">
        <v>2</v>
      </c>
    </row>
    <row r="21683" spans="1:9" x14ac:dyDescent="0.25">
      <c r="A21683" s="515">
        <v>5675</v>
      </c>
      <c r="B21683" s="515" t="s">
        <v>420</v>
      </c>
      <c r="C21683" s="52">
        <v>295328.22123893799</v>
      </c>
      <c r="D21683" s="56">
        <v>0</v>
      </c>
      <c r="E21683" s="224" t="s">
        <v>2</v>
      </c>
      <c r="F21683" s="515" t="s">
        <v>22851</v>
      </c>
      <c r="G21683" s="52">
        <v>134623.208673841</v>
      </c>
      <c r="H21683" s="56">
        <v>0.18737080021477578</v>
      </c>
      <c r="I21683" s="224" t="s">
        <v>2</v>
      </c>
    </row>
    <row r="21684" spans="1:9" x14ac:dyDescent="0.25">
      <c r="A21684" s="515">
        <v>36752</v>
      </c>
      <c r="B21684" s="515" t="s">
        <v>806</v>
      </c>
      <c r="C21684" s="52">
        <v>167091.036388626</v>
      </c>
      <c r="D21684" s="56">
        <v>4.1863696502799023E-2</v>
      </c>
      <c r="E21684" s="224" t="s">
        <v>2</v>
      </c>
      <c r="F21684" s="515" t="s">
        <v>22852</v>
      </c>
      <c r="G21684" s="52">
        <v>485570.184635891</v>
      </c>
      <c r="H21684" s="56">
        <v>0</v>
      </c>
      <c r="I21684" s="224" t="s">
        <v>2</v>
      </c>
    </row>
    <row r="21685" spans="1:9" x14ac:dyDescent="0.25">
      <c r="A21685" s="515">
        <v>41262</v>
      </c>
      <c r="C21685" s="52">
        <v>88445.135949250194</v>
      </c>
      <c r="D21685" s="56">
        <v>0.26125956202005562</v>
      </c>
      <c r="E21685" s="224" t="s">
        <v>2</v>
      </c>
      <c r="F21685" s="515" t="s">
        <v>22853</v>
      </c>
      <c r="G21685" s="52">
        <v>410867.53654035</v>
      </c>
      <c r="H21685" s="56">
        <v>6.6345801386171827E-2</v>
      </c>
      <c r="I21685" s="224" t="s">
        <v>2</v>
      </c>
    </row>
    <row r="21686" spans="1:9" x14ac:dyDescent="0.25">
      <c r="A21686" s="515">
        <v>78833</v>
      </c>
      <c r="C21686" s="52">
        <v>149626.193531164</v>
      </c>
      <c r="D21686" s="56">
        <v>0</v>
      </c>
      <c r="E21686" s="224" t="s">
        <v>2</v>
      </c>
      <c r="F21686" s="515" t="s">
        <v>22854</v>
      </c>
      <c r="G21686" s="52">
        <v>414674.76690485299</v>
      </c>
      <c r="H21686" s="56">
        <v>4.4316594943301438E-2</v>
      </c>
      <c r="I21686" s="224" t="s">
        <v>2</v>
      </c>
    </row>
    <row r="21687" spans="1:9" x14ac:dyDescent="0.25">
      <c r="A21687" s="515">
        <v>16405</v>
      </c>
      <c r="B21687" s="515" t="s">
        <v>584</v>
      </c>
      <c r="C21687" s="52">
        <v>127535.987124746</v>
      </c>
      <c r="D21687" s="56">
        <v>0.10134542159746425</v>
      </c>
      <c r="E21687" s="224" t="s">
        <v>2</v>
      </c>
      <c r="F21687" s="515" t="s">
        <v>22855</v>
      </c>
      <c r="G21687" s="52">
        <v>112658.57894736801</v>
      </c>
      <c r="H21687" s="56">
        <v>0</v>
      </c>
      <c r="I21687" s="224" t="s">
        <v>2</v>
      </c>
    </row>
    <row r="21688" spans="1:9" x14ac:dyDescent="0.25">
      <c r="A21688" s="515">
        <v>54875</v>
      </c>
      <c r="C21688" s="52">
        <v>219486.30757007</v>
      </c>
      <c r="D21688" s="56">
        <v>0.17758419120407865</v>
      </c>
      <c r="E21688" s="224" t="s">
        <v>2</v>
      </c>
      <c r="F21688" s="515" t="s">
        <v>22856</v>
      </c>
      <c r="G21688" s="52">
        <v>274730.25</v>
      </c>
      <c r="H21688" s="56">
        <v>0</v>
      </c>
      <c r="I21688" s="224" t="s">
        <v>2</v>
      </c>
    </row>
    <row r="21689" spans="1:9" x14ac:dyDescent="0.25">
      <c r="A21689" s="515">
        <v>12032</v>
      </c>
      <c r="B21689" s="515" t="s">
        <v>744</v>
      </c>
      <c r="C21689" s="52">
        <v>207555.977802426</v>
      </c>
      <c r="D21689" s="56">
        <v>0.11247126132919318</v>
      </c>
      <c r="E21689" s="224" t="s">
        <v>2</v>
      </c>
      <c r="F21689" s="515" t="s">
        <v>22857</v>
      </c>
      <c r="G21689" s="52">
        <v>232996.672186407</v>
      </c>
      <c r="H21689" s="56">
        <v>4.3116193691567481E-2</v>
      </c>
      <c r="I21689" s="224" t="s">
        <v>2</v>
      </c>
    </row>
    <row r="21690" spans="1:9" x14ac:dyDescent="0.25">
      <c r="A21690" s="515">
        <v>4664</v>
      </c>
      <c r="C21690" s="52">
        <v>309479.36144194502</v>
      </c>
      <c r="D21690" s="56">
        <v>9.918620534467304E-2</v>
      </c>
      <c r="E21690" s="224" t="s">
        <v>2</v>
      </c>
      <c r="F21690" s="515" t="s">
        <v>22858</v>
      </c>
      <c r="G21690" s="52">
        <v>97211.381038584295</v>
      </c>
      <c r="H21690" s="56">
        <v>9.4804696163718644E-2</v>
      </c>
      <c r="I21690" s="224" t="s">
        <v>2</v>
      </c>
    </row>
    <row r="21691" spans="1:9" x14ac:dyDescent="0.25">
      <c r="A21691" s="515">
        <v>68348</v>
      </c>
      <c r="C21691" s="52">
        <v>237202.57332877</v>
      </c>
      <c r="D21691" s="56">
        <v>0.24728836330541329</v>
      </c>
      <c r="E21691" s="224" t="s">
        <v>2</v>
      </c>
      <c r="F21691" s="515" t="s">
        <v>22859</v>
      </c>
      <c r="G21691" s="52">
        <v>412927.49164103199</v>
      </c>
      <c r="H21691" s="56">
        <v>4.7359241710901008E-2</v>
      </c>
      <c r="I21691" s="224" t="s">
        <v>2</v>
      </c>
    </row>
    <row r="21692" spans="1:9" x14ac:dyDescent="0.25">
      <c r="A21692" s="515">
        <v>26273</v>
      </c>
      <c r="B21692" s="515" t="s">
        <v>586</v>
      </c>
      <c r="C21692" s="52">
        <v>108036.75727453</v>
      </c>
      <c r="D21692" s="56">
        <v>0.10026662054442138</v>
      </c>
      <c r="E21692" s="224" t="s">
        <v>2</v>
      </c>
      <c r="F21692" s="515" t="s">
        <v>22860</v>
      </c>
      <c r="G21692" s="52">
        <v>264406.41871715599</v>
      </c>
      <c r="H21692" s="56">
        <v>6.3129060849712301E-2</v>
      </c>
      <c r="I21692" s="224" t="s">
        <v>2</v>
      </c>
    </row>
    <row r="21693" spans="1:9" x14ac:dyDescent="0.25">
      <c r="A21693" s="515">
        <v>24374</v>
      </c>
      <c r="C21693" s="52">
        <v>128754.409907687</v>
      </c>
      <c r="D21693" s="56">
        <v>9.9514890935635786E-2</v>
      </c>
      <c r="E21693" s="224" t="s">
        <v>2</v>
      </c>
      <c r="F21693" s="515" t="s">
        <v>22861</v>
      </c>
      <c r="G21693" s="52">
        <v>35038.586049198602</v>
      </c>
      <c r="H21693" s="56">
        <v>0.39739713693148959</v>
      </c>
      <c r="I21693" s="224" t="s">
        <v>2</v>
      </c>
    </row>
    <row r="21694" spans="1:9" x14ac:dyDescent="0.25">
      <c r="A21694" s="515">
        <v>4434</v>
      </c>
      <c r="B21694" s="515" t="s">
        <v>792</v>
      </c>
      <c r="C21694" s="52">
        <v>234672.741358267</v>
      </c>
      <c r="D21694" s="56">
        <v>8.477707478606572E-2</v>
      </c>
      <c r="E21694" s="224" t="s">
        <v>2</v>
      </c>
      <c r="F21694" s="515" t="s">
        <v>22862</v>
      </c>
      <c r="G21694" s="52">
        <v>192986.40065344801</v>
      </c>
      <c r="H21694" s="56">
        <v>6.1597196196388024E-2</v>
      </c>
      <c r="I21694" s="224" t="s">
        <v>2</v>
      </c>
    </row>
    <row r="21695" spans="1:9" x14ac:dyDescent="0.25">
      <c r="A21695" s="515">
        <v>37301</v>
      </c>
      <c r="C21695" s="52">
        <v>149105.30932504401</v>
      </c>
      <c r="D21695" s="56">
        <v>-1.2339697116405477E-2</v>
      </c>
      <c r="E21695" s="224" t="s">
        <v>2</v>
      </c>
      <c r="F21695" s="515" t="s">
        <v>22863</v>
      </c>
      <c r="G21695" s="52">
        <v>483872.55229995301</v>
      </c>
      <c r="H21695" s="56">
        <v>0.11406905293357773</v>
      </c>
      <c r="I21695" s="224" t="s">
        <v>2</v>
      </c>
    </row>
    <row r="21696" spans="1:9" x14ac:dyDescent="0.25">
      <c r="A21696" s="515">
        <v>43767</v>
      </c>
      <c r="B21696" s="515" t="s">
        <v>518</v>
      </c>
      <c r="C21696" s="52">
        <v>212513.039481827</v>
      </c>
      <c r="D21696" s="56">
        <v>0.17131472089432664</v>
      </c>
      <c r="E21696" s="224" t="s">
        <v>2</v>
      </c>
      <c r="F21696" s="515" t="s">
        <v>22864</v>
      </c>
      <c r="G21696" s="52">
        <v>460454.78547765402</v>
      </c>
      <c r="H21696" s="56">
        <v>0</v>
      </c>
      <c r="I21696" s="224" t="s">
        <v>2</v>
      </c>
    </row>
    <row r="21697" spans="1:9" x14ac:dyDescent="0.25">
      <c r="A21697" s="515">
        <v>94963</v>
      </c>
      <c r="B21697" s="515" t="s">
        <v>593</v>
      </c>
      <c r="C21697" s="52">
        <v>1252058.5748870401</v>
      </c>
      <c r="D21697" s="56">
        <v>2.2084405818362574E-2</v>
      </c>
      <c r="E21697" s="224" t="s">
        <v>2</v>
      </c>
      <c r="F21697" s="515" t="s">
        <v>22865</v>
      </c>
      <c r="G21697" s="52">
        <v>587738.33037159604</v>
      </c>
      <c r="H21697" s="56">
        <v>2.3654935204657137E-2</v>
      </c>
      <c r="I21697" s="224" t="s">
        <v>2</v>
      </c>
    </row>
    <row r="21698" spans="1:9" x14ac:dyDescent="0.25">
      <c r="A21698" s="515">
        <v>59070</v>
      </c>
      <c r="B21698" s="515" t="s">
        <v>637</v>
      </c>
      <c r="C21698" s="52">
        <v>481861.67250363901</v>
      </c>
      <c r="D21698" s="56">
        <v>0.10134537089779125</v>
      </c>
      <c r="E21698" s="224" t="s">
        <v>2</v>
      </c>
      <c r="F21698" s="515" t="s">
        <v>22866</v>
      </c>
      <c r="G21698" s="52">
        <v>366198.98266320099</v>
      </c>
      <c r="H21698" s="56">
        <v>7.6519626653217224E-2</v>
      </c>
      <c r="I21698" s="224" t="s">
        <v>2</v>
      </c>
    </row>
    <row r="21699" spans="1:9" x14ac:dyDescent="0.25">
      <c r="A21699" s="515">
        <v>65567</v>
      </c>
      <c r="C21699" s="52">
        <v>162671.88237227601</v>
      </c>
      <c r="D21699" s="56">
        <v>-8.3743027097579262E-2</v>
      </c>
      <c r="E21699" s="224" t="s">
        <v>2</v>
      </c>
      <c r="F21699" s="515" t="s">
        <v>22867</v>
      </c>
      <c r="G21699" s="52">
        <v>98291.193625447602</v>
      </c>
      <c r="H21699" s="56">
        <v>0.1984276459858608</v>
      </c>
      <c r="I21699" s="224" t="s">
        <v>2</v>
      </c>
    </row>
    <row r="21700" spans="1:9" x14ac:dyDescent="0.25">
      <c r="A21700" s="515">
        <v>22958</v>
      </c>
      <c r="B21700" s="515" t="s">
        <v>630</v>
      </c>
      <c r="C21700" s="52">
        <v>512466.37675961002</v>
      </c>
      <c r="D21700" s="56">
        <v>8.3353371419554359E-2</v>
      </c>
      <c r="E21700" s="224" t="s">
        <v>2</v>
      </c>
      <c r="F21700" s="515" t="s">
        <v>22868</v>
      </c>
      <c r="G21700" s="52">
        <v>774261.20917151496</v>
      </c>
      <c r="H21700" s="56">
        <v>0.10177456146902616</v>
      </c>
      <c r="I21700" s="224" t="s">
        <v>2</v>
      </c>
    </row>
    <row r="21701" spans="1:9" x14ac:dyDescent="0.25">
      <c r="A21701" s="515">
        <v>67854</v>
      </c>
      <c r="C21701" s="52">
        <v>110470.57897318</v>
      </c>
      <c r="D21701" s="56">
        <v>8.4246461984566784E-2</v>
      </c>
      <c r="E21701" s="224" t="s">
        <v>2</v>
      </c>
      <c r="F21701" s="515" t="s">
        <v>22869</v>
      </c>
      <c r="G21701" s="52">
        <v>293174.57718503498</v>
      </c>
      <c r="H21701" s="56">
        <v>7.5559710776071765E-2</v>
      </c>
      <c r="I21701" s="224" t="s">
        <v>2</v>
      </c>
    </row>
    <row r="21702" spans="1:9" x14ac:dyDescent="0.25">
      <c r="A21702" s="515">
        <v>79343</v>
      </c>
      <c r="B21702" s="515" t="s">
        <v>354</v>
      </c>
      <c r="C21702" s="52">
        <v>82301.837243502101</v>
      </c>
      <c r="D21702" s="56">
        <v>-4.129324492038533E-2</v>
      </c>
      <c r="E21702" s="224" t="s">
        <v>2</v>
      </c>
      <c r="F21702" s="515" t="s">
        <v>22870</v>
      </c>
      <c r="G21702" s="52">
        <v>110817.563553374</v>
      </c>
      <c r="H21702" s="56">
        <v>7.4866049405478363E-2</v>
      </c>
      <c r="I21702" s="224" t="s">
        <v>2</v>
      </c>
    </row>
    <row r="21703" spans="1:9" x14ac:dyDescent="0.25">
      <c r="A21703" s="515">
        <v>12481</v>
      </c>
      <c r="B21703" s="515" t="s">
        <v>307</v>
      </c>
      <c r="C21703" s="52">
        <v>394107.893150674</v>
      </c>
      <c r="D21703" s="56">
        <v>0.13457920785630953</v>
      </c>
      <c r="E21703" s="224" t="s">
        <v>2</v>
      </c>
      <c r="F21703" s="515" t="s">
        <v>22871</v>
      </c>
      <c r="G21703" s="52">
        <v>1123922.26236015</v>
      </c>
      <c r="H21703" s="56">
        <v>0</v>
      </c>
      <c r="I21703" s="224" t="s">
        <v>2</v>
      </c>
    </row>
    <row r="21704" spans="1:9" x14ac:dyDescent="0.25">
      <c r="A21704" s="515">
        <v>83228</v>
      </c>
      <c r="B21704" s="515" t="s">
        <v>632</v>
      </c>
      <c r="C21704" s="52">
        <v>401297.37395364803</v>
      </c>
      <c r="D21704" s="56">
        <v>5.0105612461386964E-2</v>
      </c>
      <c r="E21704" s="224" t="s">
        <v>2</v>
      </c>
      <c r="F21704" s="515" t="s">
        <v>22872</v>
      </c>
      <c r="G21704" s="52">
        <v>205649.42298577499</v>
      </c>
      <c r="H21704" s="56">
        <v>6.0305550025740333E-2</v>
      </c>
      <c r="I21704" s="224" t="s">
        <v>2</v>
      </c>
    </row>
    <row r="21705" spans="1:9" x14ac:dyDescent="0.25">
      <c r="A21705" s="515">
        <v>31035</v>
      </c>
      <c r="C21705" s="52">
        <v>89356.027650606498</v>
      </c>
      <c r="D21705" s="56">
        <v>-4.5905429534425932E-2</v>
      </c>
      <c r="E21705" s="224" t="s">
        <v>2</v>
      </c>
      <c r="F21705" s="515" t="s">
        <v>22873</v>
      </c>
      <c r="G21705" s="52">
        <v>122962.107142857</v>
      </c>
      <c r="H21705" s="56">
        <v>0</v>
      </c>
      <c r="I21705" s="224" t="s">
        <v>2</v>
      </c>
    </row>
    <row r="21706" spans="1:9" x14ac:dyDescent="0.25">
      <c r="A21706" s="515">
        <v>77482</v>
      </c>
      <c r="B21706" s="515" t="s">
        <v>333</v>
      </c>
      <c r="C21706" s="52">
        <v>194013.73065904499</v>
      </c>
      <c r="D21706" s="56">
        <v>1.0237973519076947E-2</v>
      </c>
      <c r="E21706" s="224" t="s">
        <v>2</v>
      </c>
      <c r="F21706" s="515" t="s">
        <v>22874</v>
      </c>
      <c r="G21706" s="52">
        <v>199298.709089526</v>
      </c>
      <c r="H21706" s="56">
        <v>0.18670830539451275</v>
      </c>
      <c r="I21706" s="224" t="s">
        <v>2</v>
      </c>
    </row>
    <row r="21707" spans="1:9" x14ac:dyDescent="0.25">
      <c r="A21707" s="515">
        <v>72579</v>
      </c>
      <c r="B21707" s="515" t="s">
        <v>693</v>
      </c>
      <c r="C21707" s="52">
        <v>149504.612949042</v>
      </c>
      <c r="D21707" s="56">
        <v>2.5368266007159652E-2</v>
      </c>
      <c r="E21707" s="224" t="s">
        <v>2</v>
      </c>
      <c r="F21707" s="515" t="s">
        <v>22875</v>
      </c>
      <c r="G21707" s="52">
        <v>119029.06746981099</v>
      </c>
      <c r="H21707" s="56">
        <v>0.12375774109326121</v>
      </c>
      <c r="I21707" s="224" t="s">
        <v>2</v>
      </c>
    </row>
    <row r="21708" spans="1:9" x14ac:dyDescent="0.25">
      <c r="A21708" s="515">
        <v>3227</v>
      </c>
      <c r="C21708" s="52">
        <v>454350.30104581901</v>
      </c>
      <c r="D21708" s="56">
        <v>0.1852437629584216</v>
      </c>
      <c r="E21708" s="224" t="s">
        <v>2</v>
      </c>
      <c r="F21708" s="515" t="s">
        <v>22876</v>
      </c>
      <c r="G21708" s="52">
        <v>195810.059211254</v>
      </c>
      <c r="H21708" s="56">
        <v>5.7430271521385599E-2</v>
      </c>
      <c r="I21708" s="224" t="s">
        <v>2</v>
      </c>
    </row>
    <row r="21709" spans="1:9" x14ac:dyDescent="0.25">
      <c r="A21709" s="515">
        <v>19453</v>
      </c>
      <c r="B21709" s="515" t="s">
        <v>294</v>
      </c>
      <c r="C21709" s="52">
        <v>218308.12918770601</v>
      </c>
      <c r="D21709" s="56">
        <v>0.1478343073253191</v>
      </c>
      <c r="E21709" s="224" t="s">
        <v>2</v>
      </c>
      <c r="F21709" s="515" t="s">
        <v>22877</v>
      </c>
      <c r="G21709" s="52">
        <v>99808.749053357795</v>
      </c>
      <c r="H21709" s="56">
        <v>0</v>
      </c>
      <c r="I21709" s="224" t="s">
        <v>2</v>
      </c>
    </row>
    <row r="21710" spans="1:9" x14ac:dyDescent="0.25">
      <c r="A21710" s="515">
        <v>62990</v>
      </c>
      <c r="B21710" s="515" t="s">
        <v>424</v>
      </c>
      <c r="C21710" s="52">
        <v>68140.923923238894</v>
      </c>
      <c r="D21710" s="56">
        <v>0.16715090899001864</v>
      </c>
      <c r="E21710" s="224" t="s">
        <v>2</v>
      </c>
      <c r="F21710" s="515" t="s">
        <v>22878</v>
      </c>
      <c r="G21710" s="52">
        <v>82737.924424188896</v>
      </c>
      <c r="H21710" s="56">
        <v>0.12059620747467655</v>
      </c>
      <c r="I21710" s="224" t="s">
        <v>2</v>
      </c>
    </row>
    <row r="21711" spans="1:9" x14ac:dyDescent="0.25">
      <c r="A21711" s="515">
        <v>76636</v>
      </c>
      <c r="C21711" s="52">
        <v>299760.03173297399</v>
      </c>
      <c r="D21711" s="56">
        <v>-1.0195065041562007E-2</v>
      </c>
      <c r="E21711" s="224" t="s">
        <v>2</v>
      </c>
      <c r="F21711" s="515" t="s">
        <v>22879</v>
      </c>
      <c r="G21711" s="52">
        <v>112872.2</v>
      </c>
      <c r="H21711" s="56">
        <v>0</v>
      </c>
      <c r="I21711" s="224" t="s">
        <v>2</v>
      </c>
    </row>
    <row r="21712" spans="1:9" x14ac:dyDescent="0.25">
      <c r="A21712" s="515">
        <v>39647</v>
      </c>
      <c r="C21712" s="52">
        <v>152866.626145193</v>
      </c>
      <c r="D21712" s="56">
        <v>0</v>
      </c>
      <c r="E21712" s="224" t="s">
        <v>2</v>
      </c>
      <c r="F21712" s="515" t="s">
        <v>22880</v>
      </c>
      <c r="G21712" s="52">
        <v>348957.187509084</v>
      </c>
      <c r="H21712" s="56">
        <v>0.13456523378641808</v>
      </c>
      <c r="I21712" s="224" t="s">
        <v>2</v>
      </c>
    </row>
    <row r="21713" spans="1:9" x14ac:dyDescent="0.25">
      <c r="A21713" s="515">
        <v>75838</v>
      </c>
      <c r="C21713" s="52">
        <v>230928.05475742</v>
      </c>
      <c r="D21713" s="56">
        <v>1.8608815039031237E-2</v>
      </c>
      <c r="E21713" s="224" t="s">
        <v>2</v>
      </c>
      <c r="F21713" s="515" t="s">
        <v>22881</v>
      </c>
      <c r="G21713" s="52">
        <v>98271.862604673996</v>
      </c>
      <c r="H21713" s="56">
        <v>7.6446234825816722E-2</v>
      </c>
      <c r="I21713" s="224" t="s">
        <v>2</v>
      </c>
    </row>
    <row r="21714" spans="1:9" x14ac:dyDescent="0.25">
      <c r="A21714" s="515">
        <v>79561</v>
      </c>
      <c r="C21714" s="52">
        <v>113243.257334016</v>
      </c>
      <c r="D21714" s="56">
        <v>3.9604391160180205E-2</v>
      </c>
      <c r="E21714" s="224" t="s">
        <v>2</v>
      </c>
      <c r="F21714" s="515" t="s">
        <v>22882</v>
      </c>
      <c r="G21714" s="52">
        <v>94605.315208732703</v>
      </c>
      <c r="H21714" s="56">
        <v>0.12813033271756202</v>
      </c>
      <c r="I21714" s="224" t="s">
        <v>2</v>
      </c>
    </row>
    <row r="21715" spans="1:9" x14ac:dyDescent="0.25">
      <c r="A21715" s="515">
        <v>47515</v>
      </c>
      <c r="C21715" s="52">
        <v>186947.72127706601</v>
      </c>
      <c r="D21715" s="56">
        <v>7.0990553643562687E-2</v>
      </c>
      <c r="E21715" s="224" t="s">
        <v>2</v>
      </c>
      <c r="F21715" s="515" t="s">
        <v>22883</v>
      </c>
      <c r="G21715" s="52">
        <v>202448.01242996199</v>
      </c>
      <c r="H21715" s="56">
        <v>7.6903998018025596E-2</v>
      </c>
      <c r="I21715" s="224" t="s">
        <v>2</v>
      </c>
    </row>
    <row r="21716" spans="1:9" x14ac:dyDescent="0.25">
      <c r="A21716" s="515">
        <v>61814</v>
      </c>
      <c r="B21716" s="515" t="s">
        <v>999</v>
      </c>
      <c r="C21716" s="52">
        <v>127046.247649318</v>
      </c>
      <c r="D21716" s="56">
        <v>4.6980769110429872E-2</v>
      </c>
      <c r="E21716" s="224" t="s">
        <v>2</v>
      </c>
      <c r="F21716" s="515" t="s">
        <v>22884</v>
      </c>
      <c r="G21716" s="52">
        <v>118137.178571428</v>
      </c>
      <c r="H21716" s="56">
        <v>0</v>
      </c>
      <c r="I21716" s="224" t="s">
        <v>2</v>
      </c>
    </row>
    <row r="21717" spans="1:9" x14ac:dyDescent="0.25">
      <c r="A21717" s="515">
        <v>43152</v>
      </c>
      <c r="B21717" s="515" t="s">
        <v>345</v>
      </c>
      <c r="C21717" s="52">
        <v>205581.11786760201</v>
      </c>
      <c r="D21717" s="56">
        <v>0.1442082162918405</v>
      </c>
      <c r="E21717" s="224" t="s">
        <v>2</v>
      </c>
      <c r="F21717" s="515" t="s">
        <v>22885</v>
      </c>
      <c r="G21717" s="52">
        <v>406068.513397092</v>
      </c>
      <c r="H21717" s="56">
        <v>3.1851468170348E-2</v>
      </c>
      <c r="I21717" s="224" t="s">
        <v>2</v>
      </c>
    </row>
    <row r="21718" spans="1:9" x14ac:dyDescent="0.25">
      <c r="A21718" s="515">
        <v>67425</v>
      </c>
      <c r="C21718" s="52">
        <v>200400.36745017499</v>
      </c>
      <c r="D21718" s="56">
        <v>2.8083217876430915E-2</v>
      </c>
      <c r="E21718" s="224" t="s">
        <v>2</v>
      </c>
      <c r="F21718" s="515" t="s">
        <v>22886</v>
      </c>
      <c r="G21718" s="52">
        <v>503001.39321058698</v>
      </c>
      <c r="H21718" s="56">
        <v>-2.4030147098213252E-3</v>
      </c>
      <c r="I21718" s="224" t="s">
        <v>2</v>
      </c>
    </row>
    <row r="21719" spans="1:9" x14ac:dyDescent="0.25">
      <c r="A21719" s="515">
        <v>95345</v>
      </c>
      <c r="C21719" s="52">
        <v>329780.00562884798</v>
      </c>
      <c r="D21719" s="56">
        <v>-4.2934892089750492E-3</v>
      </c>
      <c r="E21719" s="224" t="s">
        <v>2</v>
      </c>
      <c r="F21719" s="515" t="s">
        <v>22887</v>
      </c>
      <c r="G21719" s="52">
        <v>233697.40454677999</v>
      </c>
      <c r="H21719" s="56">
        <v>0.10827231302503473</v>
      </c>
      <c r="I21719" s="224" t="s">
        <v>2</v>
      </c>
    </row>
    <row r="21720" spans="1:9" x14ac:dyDescent="0.25">
      <c r="A21720" s="515">
        <v>4438</v>
      </c>
      <c r="C21720" s="52">
        <v>228191.576337095</v>
      </c>
      <c r="D21720" s="56">
        <v>5.5325676682559416E-2</v>
      </c>
      <c r="E21720" s="224" t="s">
        <v>2</v>
      </c>
      <c r="F21720" s="515" t="s">
        <v>22888</v>
      </c>
      <c r="G21720" s="52">
        <v>172495.31610866799</v>
      </c>
      <c r="H21720" s="56">
        <v>8.1336407930985885E-2</v>
      </c>
      <c r="I21720" s="224" t="s">
        <v>2</v>
      </c>
    </row>
    <row r="21721" spans="1:9" x14ac:dyDescent="0.25">
      <c r="A21721" s="515">
        <v>63437</v>
      </c>
      <c r="C21721" s="52">
        <v>105210.655711297</v>
      </c>
      <c r="D21721" s="56">
        <v>5.9330043509306304E-2</v>
      </c>
      <c r="E21721" s="224" t="s">
        <v>2</v>
      </c>
      <c r="F21721" s="515" t="s">
        <v>22889</v>
      </c>
      <c r="G21721" s="52">
        <v>564048.87944558496</v>
      </c>
      <c r="H21721" s="56">
        <v>0.10975540028289252</v>
      </c>
      <c r="I21721" s="224" t="s">
        <v>2</v>
      </c>
    </row>
    <row r="21722" spans="1:9" x14ac:dyDescent="0.25">
      <c r="A21722" s="515">
        <v>87936</v>
      </c>
      <c r="B21722" s="515" t="s">
        <v>317</v>
      </c>
      <c r="C21722" s="52">
        <v>166736.97204314399</v>
      </c>
      <c r="D21722" s="56">
        <v>0.16877282299339011</v>
      </c>
      <c r="E21722" s="224" t="s">
        <v>2</v>
      </c>
      <c r="F21722" s="515" t="s">
        <v>22890</v>
      </c>
      <c r="G21722" s="52">
        <v>265624.00117297901</v>
      </c>
      <c r="H21722" s="56">
        <v>8.8064549129074757E-2</v>
      </c>
      <c r="I21722" s="224" t="s">
        <v>2</v>
      </c>
    </row>
    <row r="21723" spans="1:9" x14ac:dyDescent="0.25">
      <c r="A21723" s="515">
        <v>74427</v>
      </c>
      <c r="B21723" s="515" t="s">
        <v>899</v>
      </c>
      <c r="C21723" s="52">
        <v>198437.20238675</v>
      </c>
      <c r="D21723" s="56">
        <v>0.11439910012642163</v>
      </c>
      <c r="E21723" s="224" t="s">
        <v>2</v>
      </c>
      <c r="F21723" s="515" t="s">
        <v>22891</v>
      </c>
      <c r="G21723" s="52">
        <v>212765.89626071599</v>
      </c>
      <c r="H21723" s="56">
        <v>-2.2211746094928347E-2</v>
      </c>
      <c r="I21723" s="224" t="s">
        <v>2</v>
      </c>
    </row>
    <row r="21724" spans="1:9" x14ac:dyDescent="0.25">
      <c r="A21724" s="515">
        <v>27857</v>
      </c>
      <c r="C21724" s="52">
        <v>101987.931919886</v>
      </c>
      <c r="D21724" s="56">
        <v>-2.0738898722402338E-2</v>
      </c>
      <c r="E21724" s="224" t="s">
        <v>2</v>
      </c>
      <c r="F21724" s="515" t="s">
        <v>22892</v>
      </c>
      <c r="G21724" s="52">
        <v>67937.281861938303</v>
      </c>
      <c r="H21724" s="56">
        <v>0</v>
      </c>
      <c r="I21724" s="224" t="s">
        <v>2</v>
      </c>
    </row>
    <row r="21725" spans="1:9" x14ac:dyDescent="0.25">
      <c r="A21725" s="515">
        <v>26610</v>
      </c>
      <c r="C21725" s="52">
        <v>88862.894702285004</v>
      </c>
      <c r="D21725" s="56">
        <v>0.10844141232891279</v>
      </c>
      <c r="E21725" s="224" t="s">
        <v>2</v>
      </c>
      <c r="F21725" s="515" t="s">
        <v>22893</v>
      </c>
      <c r="G21725" s="52">
        <v>307463.78204383701</v>
      </c>
      <c r="H21725" s="56">
        <v>8.3333322682188793E-2</v>
      </c>
      <c r="I21725" s="224" t="s">
        <v>2</v>
      </c>
    </row>
    <row r="21726" spans="1:9" x14ac:dyDescent="0.25">
      <c r="A21726" s="515">
        <v>83629</v>
      </c>
      <c r="B21726" s="515" t="s">
        <v>500</v>
      </c>
      <c r="C21726" s="52">
        <v>425837.64550156199</v>
      </c>
      <c r="D21726" s="56">
        <v>-1.4490645195742315E-2</v>
      </c>
      <c r="E21726" s="224" t="s">
        <v>2</v>
      </c>
      <c r="F21726" s="515" t="s">
        <v>22894</v>
      </c>
      <c r="G21726" s="52">
        <v>114963.17736699199</v>
      </c>
      <c r="H21726" s="56">
        <v>6.9726724897001005E-2</v>
      </c>
      <c r="I21726" s="224" t="s">
        <v>2</v>
      </c>
    </row>
    <row r="21727" spans="1:9" x14ac:dyDescent="0.25">
      <c r="A21727" s="515">
        <v>53577</v>
      </c>
      <c r="B21727" s="515" t="s">
        <v>916</v>
      </c>
      <c r="C21727" s="52">
        <v>223813.37554317</v>
      </c>
      <c r="D21727" s="56">
        <v>4.7472081790910496E-2</v>
      </c>
      <c r="E21727" s="224" t="s">
        <v>2</v>
      </c>
      <c r="F21727" s="515" t="s">
        <v>22895</v>
      </c>
      <c r="G21727" s="52">
        <v>147645.02643830699</v>
      </c>
      <c r="H21727" s="56">
        <v>8.8191845188270016E-2</v>
      </c>
      <c r="I21727" s="224" t="s">
        <v>2</v>
      </c>
    </row>
    <row r="21728" spans="1:9" x14ac:dyDescent="0.25">
      <c r="A21728" s="515">
        <v>87024</v>
      </c>
      <c r="B21728" s="515" t="s">
        <v>406</v>
      </c>
      <c r="C21728" s="52">
        <v>292504.57777777698</v>
      </c>
      <c r="D21728" s="56">
        <v>0</v>
      </c>
      <c r="E21728" s="224" t="s">
        <v>2</v>
      </c>
      <c r="F21728" s="515" t="s">
        <v>22896</v>
      </c>
      <c r="G21728" s="52">
        <v>106571.983007136</v>
      </c>
      <c r="H21728" s="56">
        <v>0</v>
      </c>
      <c r="I21728" s="224" t="s">
        <v>2</v>
      </c>
    </row>
    <row r="21729" spans="1:9" x14ac:dyDescent="0.25">
      <c r="A21729" s="515">
        <v>71070</v>
      </c>
      <c r="B21729" s="515" t="s">
        <v>961</v>
      </c>
      <c r="C21729" s="52">
        <v>103947.72159707799</v>
      </c>
      <c r="D21729" s="56">
        <v>1.6123657340426467E-3</v>
      </c>
      <c r="E21729" s="224" t="s">
        <v>2</v>
      </c>
      <c r="F21729" s="515" t="s">
        <v>22897</v>
      </c>
      <c r="G21729" s="52">
        <v>88119.359103975396</v>
      </c>
      <c r="H21729" s="56">
        <v>0.19548480994319184</v>
      </c>
      <c r="I21729" s="224" t="s">
        <v>2</v>
      </c>
    </row>
    <row r="21730" spans="1:9" x14ac:dyDescent="0.25">
      <c r="A21730" s="515">
        <v>45685</v>
      </c>
      <c r="B21730" s="515" t="s">
        <v>445</v>
      </c>
      <c r="C21730" s="52">
        <v>153843.21821785101</v>
      </c>
      <c r="D21730" s="56">
        <v>5.5927656094916518E-2</v>
      </c>
      <c r="E21730" s="224" t="s">
        <v>2</v>
      </c>
      <c r="F21730" s="515" t="s">
        <v>22898</v>
      </c>
      <c r="G21730" s="52">
        <v>54837.796296296299</v>
      </c>
      <c r="H21730" s="56">
        <v>0</v>
      </c>
      <c r="I21730" s="224" t="s">
        <v>2</v>
      </c>
    </row>
    <row r="21731" spans="1:9" x14ac:dyDescent="0.25">
      <c r="A21731" s="515">
        <v>13028</v>
      </c>
      <c r="B21731" s="515" t="s">
        <v>361</v>
      </c>
      <c r="C21731" s="52">
        <v>178007.05441340001</v>
      </c>
      <c r="D21731" s="56">
        <v>8.9350798146065752E-2</v>
      </c>
      <c r="E21731" s="224" t="s">
        <v>2</v>
      </c>
      <c r="F21731" s="515" t="s">
        <v>22899</v>
      </c>
      <c r="G21731" s="52">
        <v>126727.08288800799</v>
      </c>
      <c r="H21731" s="56">
        <v>7.5959217364115719E-2</v>
      </c>
      <c r="I21731" s="224" t="s">
        <v>2</v>
      </c>
    </row>
    <row r="21732" spans="1:9" x14ac:dyDescent="0.25">
      <c r="A21732" s="515">
        <v>14878</v>
      </c>
      <c r="C21732" s="52">
        <v>224113.87602579</v>
      </c>
      <c r="D21732" s="56">
        <v>9.0071724570096753E-2</v>
      </c>
      <c r="E21732" s="224" t="s">
        <v>2</v>
      </c>
      <c r="F21732" s="515" t="s">
        <v>22900</v>
      </c>
      <c r="G21732" s="52">
        <v>223361.73985497101</v>
      </c>
      <c r="H21732" s="56">
        <v>0.16431363242132882</v>
      </c>
      <c r="I21732" s="224" t="s">
        <v>2</v>
      </c>
    </row>
    <row r="21733" spans="1:9" x14ac:dyDescent="0.25">
      <c r="A21733" s="515">
        <v>60959</v>
      </c>
      <c r="C21733" s="52">
        <v>79014.584481159196</v>
      </c>
      <c r="D21733" s="56">
        <v>2.319187854298202E-2</v>
      </c>
      <c r="E21733" s="224" t="s">
        <v>2</v>
      </c>
      <c r="F21733" s="515" t="s">
        <v>22901</v>
      </c>
      <c r="G21733" s="52">
        <v>630830.27247712703</v>
      </c>
      <c r="H21733" s="56">
        <v>7.9782217948219616E-2</v>
      </c>
      <c r="I21733" s="224" t="s">
        <v>2</v>
      </c>
    </row>
    <row r="21734" spans="1:9" x14ac:dyDescent="0.25">
      <c r="A21734" s="515">
        <v>44887</v>
      </c>
      <c r="B21734" s="515" t="s">
        <v>516</v>
      </c>
      <c r="C21734" s="52">
        <v>133213.010225843</v>
      </c>
      <c r="D21734" s="56">
        <v>5.9140049218921471E-2</v>
      </c>
      <c r="E21734" s="224" t="s">
        <v>2</v>
      </c>
      <c r="F21734" s="515" t="s">
        <v>22902</v>
      </c>
      <c r="G21734" s="52">
        <v>117026.84957346899</v>
      </c>
      <c r="H21734" s="56">
        <v>0</v>
      </c>
      <c r="I21734" s="224" t="s">
        <v>2</v>
      </c>
    </row>
    <row r="21735" spans="1:9" x14ac:dyDescent="0.25">
      <c r="A21735" s="515">
        <v>22972</v>
      </c>
      <c r="C21735" s="52">
        <v>274947.972350411</v>
      </c>
      <c r="D21735" s="56">
        <v>5.2775839720874806E-3</v>
      </c>
      <c r="E21735" s="224" t="s">
        <v>2</v>
      </c>
      <c r="F21735" s="515" t="s">
        <v>22903</v>
      </c>
      <c r="G21735" s="52">
        <v>104856.560926591</v>
      </c>
      <c r="H21735" s="56">
        <v>0.32898215778013051</v>
      </c>
      <c r="I21735" s="224" t="s">
        <v>2</v>
      </c>
    </row>
    <row r="21736" spans="1:9" x14ac:dyDescent="0.25">
      <c r="A21736" s="515">
        <v>27957</v>
      </c>
      <c r="C21736" s="52">
        <v>67554.537510181603</v>
      </c>
      <c r="D21736" s="56">
        <v>-7.8049167596449545E-2</v>
      </c>
      <c r="E21736" s="224" t="s">
        <v>2</v>
      </c>
      <c r="F21736" s="515" t="s">
        <v>22904</v>
      </c>
      <c r="G21736" s="52">
        <v>631767.88240843697</v>
      </c>
      <c r="H21736" s="56">
        <v>7.4015034936787308E-2</v>
      </c>
      <c r="I21736" s="224" t="s">
        <v>2</v>
      </c>
    </row>
    <row r="21737" spans="1:9" x14ac:dyDescent="0.25">
      <c r="A21737" s="515">
        <v>71028</v>
      </c>
      <c r="C21737" s="52">
        <v>60558.248275862003</v>
      </c>
      <c r="D21737" s="56">
        <v>0</v>
      </c>
      <c r="E21737" s="224" t="s">
        <v>2</v>
      </c>
      <c r="F21737" s="515" t="s">
        <v>22905</v>
      </c>
      <c r="G21737" s="52">
        <v>103231.989858046</v>
      </c>
      <c r="H21737" s="56">
        <v>9.0600481679556338E-2</v>
      </c>
      <c r="I21737" s="224" t="s">
        <v>2</v>
      </c>
    </row>
    <row r="21738" spans="1:9" x14ac:dyDescent="0.25">
      <c r="A21738" s="515">
        <v>51238</v>
      </c>
      <c r="C21738" s="52">
        <v>192847.85163651899</v>
      </c>
      <c r="D21738" s="56">
        <v>0</v>
      </c>
      <c r="E21738" s="224" t="s">
        <v>2</v>
      </c>
      <c r="F21738" s="515" t="s">
        <v>22906</v>
      </c>
      <c r="G21738" s="52">
        <v>703503.17572864005</v>
      </c>
      <c r="H21738" s="56">
        <v>4.8101017995927267E-2</v>
      </c>
      <c r="I21738" s="224" t="s">
        <v>2</v>
      </c>
    </row>
    <row r="21739" spans="1:9" x14ac:dyDescent="0.25">
      <c r="A21739" s="515">
        <v>3779</v>
      </c>
      <c r="B21739" s="515" t="s">
        <v>420</v>
      </c>
      <c r="C21739" s="52">
        <v>292885.65198032203</v>
      </c>
      <c r="D21739" s="56">
        <v>0.19376188844913253</v>
      </c>
      <c r="E21739" s="224" t="s">
        <v>2</v>
      </c>
      <c r="F21739" s="515" t="s">
        <v>22907</v>
      </c>
      <c r="G21739" s="52">
        <v>351504.23990570602</v>
      </c>
      <c r="H21739" s="56">
        <v>0.10562259819488569</v>
      </c>
      <c r="I21739" s="224" t="s">
        <v>2</v>
      </c>
    </row>
    <row r="21740" spans="1:9" x14ac:dyDescent="0.25">
      <c r="A21740" s="515">
        <v>74552</v>
      </c>
      <c r="C21740" s="52">
        <v>150416.90442952601</v>
      </c>
      <c r="D21740" s="56">
        <v>0.12452803167948463</v>
      </c>
      <c r="E21740" s="224" t="s">
        <v>2</v>
      </c>
      <c r="F21740" s="515" t="s">
        <v>22908</v>
      </c>
      <c r="G21740" s="52">
        <v>133330.68175114799</v>
      </c>
      <c r="H21740" s="56">
        <v>5.6347063389228763E-2</v>
      </c>
      <c r="I21740" s="224" t="s">
        <v>2</v>
      </c>
    </row>
    <row r="21741" spans="1:9" x14ac:dyDescent="0.25">
      <c r="A21741" s="515">
        <v>4945</v>
      </c>
      <c r="C21741" s="52">
        <v>201615.753159958</v>
      </c>
      <c r="D21741" s="56">
        <v>6.7296372679640337E-2</v>
      </c>
      <c r="E21741" s="224" t="s">
        <v>2</v>
      </c>
      <c r="F21741" s="515" t="s">
        <v>22909</v>
      </c>
      <c r="G21741" s="52">
        <v>222753.94261232301</v>
      </c>
      <c r="H21741" s="56">
        <v>0.13453441682509887</v>
      </c>
      <c r="I21741" s="224" t="s">
        <v>2</v>
      </c>
    </row>
    <row r="21742" spans="1:9" x14ac:dyDescent="0.25">
      <c r="A21742" s="515">
        <v>67349</v>
      </c>
      <c r="C21742" s="52">
        <v>92448.018763338201</v>
      </c>
      <c r="D21742" s="56">
        <v>9.3220064714411133E-2</v>
      </c>
      <c r="E21742" s="224" t="s">
        <v>2</v>
      </c>
      <c r="F21742" s="515" t="s">
        <v>22910</v>
      </c>
      <c r="G21742" s="52">
        <v>281785.85259336798</v>
      </c>
      <c r="H21742" s="56">
        <v>-1.8939468732787325E-2</v>
      </c>
      <c r="I21742" s="224" t="s">
        <v>2</v>
      </c>
    </row>
    <row r="21743" spans="1:9" x14ac:dyDescent="0.25">
      <c r="A21743" s="515">
        <v>13802</v>
      </c>
      <c r="B21743" s="515" t="s">
        <v>840</v>
      </c>
      <c r="C21743" s="52">
        <v>172594.82776141001</v>
      </c>
      <c r="D21743" s="56">
        <v>4.404993735970196E-2</v>
      </c>
      <c r="E21743" s="224" t="s">
        <v>2</v>
      </c>
      <c r="F21743" s="515" t="s">
        <v>22911</v>
      </c>
      <c r="G21743" s="52">
        <v>86389.711538657895</v>
      </c>
      <c r="H21743" s="56">
        <v>8.3697523977328284E-2</v>
      </c>
      <c r="I21743" s="224" t="s">
        <v>2</v>
      </c>
    </row>
    <row r="21744" spans="1:9" x14ac:dyDescent="0.25">
      <c r="A21744" s="515">
        <v>30137</v>
      </c>
      <c r="B21744" s="515" t="s">
        <v>957</v>
      </c>
      <c r="C21744" s="52">
        <v>245263.17546402599</v>
      </c>
      <c r="D21744" s="56">
        <v>0.13761336326593571</v>
      </c>
      <c r="E21744" s="224" t="s">
        <v>2</v>
      </c>
      <c r="F21744" s="515" t="s">
        <v>22912</v>
      </c>
      <c r="G21744" s="52">
        <v>289154.02325581299</v>
      </c>
      <c r="H21744" s="56">
        <v>0</v>
      </c>
      <c r="I21744" s="224" t="s">
        <v>2</v>
      </c>
    </row>
    <row r="21745" spans="1:9" x14ac:dyDescent="0.25">
      <c r="A21745" s="515">
        <v>62611</v>
      </c>
      <c r="C21745" s="52">
        <v>135588.75488578901</v>
      </c>
      <c r="D21745" s="56">
        <v>4.4881469577654723E-2</v>
      </c>
      <c r="E21745" s="224" t="s">
        <v>2</v>
      </c>
      <c r="F21745" s="515" t="s">
        <v>22913</v>
      </c>
      <c r="G21745" s="52">
        <v>144193.21617602301</v>
      </c>
      <c r="H21745" s="56">
        <v>0</v>
      </c>
      <c r="I21745" s="224" t="s">
        <v>2</v>
      </c>
    </row>
    <row r="21746" spans="1:9" x14ac:dyDescent="0.25">
      <c r="A21746" s="515">
        <v>40155</v>
      </c>
      <c r="B21746" s="515" t="s">
        <v>671</v>
      </c>
      <c r="C21746" s="52">
        <v>113483.874772141</v>
      </c>
      <c r="D21746" s="56">
        <v>8.0498286072251388E-2</v>
      </c>
      <c r="E21746" s="224" t="s">
        <v>2</v>
      </c>
      <c r="F21746" s="515" t="s">
        <v>22914</v>
      </c>
      <c r="G21746" s="52">
        <v>97916.005031577006</v>
      </c>
      <c r="H21746" s="56">
        <v>0.16692380539777754</v>
      </c>
      <c r="I21746" s="224" t="s">
        <v>2</v>
      </c>
    </row>
    <row r="21747" spans="1:9" x14ac:dyDescent="0.25">
      <c r="A21747" s="515">
        <v>80515</v>
      </c>
      <c r="B21747" s="515" t="s">
        <v>738</v>
      </c>
      <c r="C21747" s="52">
        <v>443761.92908335599</v>
      </c>
      <c r="D21747" s="56">
        <v>8.9462176686306127E-2</v>
      </c>
      <c r="E21747" s="224" t="s">
        <v>2</v>
      </c>
      <c r="F21747" s="515" t="s">
        <v>22915</v>
      </c>
      <c r="G21747" s="52">
        <v>89687.219539234706</v>
      </c>
      <c r="H21747" s="56">
        <v>0.18003393493726186</v>
      </c>
      <c r="I21747" s="224" t="s">
        <v>2</v>
      </c>
    </row>
    <row r="21748" spans="1:9" x14ac:dyDescent="0.25">
      <c r="A21748" s="515">
        <v>61319</v>
      </c>
      <c r="B21748" s="515" t="s">
        <v>678</v>
      </c>
      <c r="C21748" s="52">
        <v>129281.145003627</v>
      </c>
      <c r="D21748" s="56">
        <v>6.122858940047253E-2</v>
      </c>
      <c r="E21748" s="224" t="s">
        <v>2</v>
      </c>
      <c r="F21748" s="515" t="s">
        <v>22916</v>
      </c>
      <c r="G21748" s="52">
        <v>155726.22109007699</v>
      </c>
      <c r="H21748" s="56">
        <v>0.16006236986094988</v>
      </c>
      <c r="I21748" s="224" t="s">
        <v>2</v>
      </c>
    </row>
    <row r="21749" spans="1:9" x14ac:dyDescent="0.25">
      <c r="A21749" s="515">
        <v>62086</v>
      </c>
      <c r="B21749" s="515" t="s">
        <v>498</v>
      </c>
      <c r="C21749" s="52">
        <v>94526.214370868896</v>
      </c>
      <c r="D21749" s="56">
        <v>3.620821119990994E-2</v>
      </c>
      <c r="E21749" s="224" t="s">
        <v>2</v>
      </c>
      <c r="F21749" s="515" t="s">
        <v>22917</v>
      </c>
      <c r="G21749" s="52">
        <v>226169.059875009</v>
      </c>
      <c r="H21749" s="56">
        <v>0.11703278740433641</v>
      </c>
      <c r="I21749" s="224" t="s">
        <v>2</v>
      </c>
    </row>
    <row r="21750" spans="1:9" x14ac:dyDescent="0.25">
      <c r="A21750" s="515">
        <v>61039</v>
      </c>
      <c r="B21750" s="515" t="s">
        <v>411</v>
      </c>
      <c r="C21750" s="52">
        <v>162961.23218005901</v>
      </c>
      <c r="D21750" s="56">
        <v>9.3991079059116439E-2</v>
      </c>
      <c r="E21750" s="224" t="s">
        <v>2</v>
      </c>
      <c r="F21750" s="515" t="s">
        <v>22918</v>
      </c>
      <c r="G21750" s="52">
        <v>117557.62484691</v>
      </c>
      <c r="H21750" s="56">
        <v>0</v>
      </c>
      <c r="I21750" s="224" t="s">
        <v>2</v>
      </c>
    </row>
    <row r="21751" spans="1:9" x14ac:dyDescent="0.25">
      <c r="A21751" s="515">
        <v>54895</v>
      </c>
      <c r="C21751" s="52">
        <v>195824.53402869799</v>
      </c>
      <c r="D21751" s="56">
        <v>9.2985800203357741E-2</v>
      </c>
      <c r="E21751" s="224" t="s">
        <v>2</v>
      </c>
      <c r="F21751" s="515" t="s">
        <v>22919</v>
      </c>
      <c r="G21751" s="52">
        <v>157635.11964870401</v>
      </c>
      <c r="H21751" s="56">
        <v>7.718344636083127E-2</v>
      </c>
      <c r="I21751" s="224" t="s">
        <v>2</v>
      </c>
    </row>
    <row r="21752" spans="1:9" x14ac:dyDescent="0.25">
      <c r="A21752" s="515">
        <v>38859</v>
      </c>
      <c r="B21752" s="515" t="s">
        <v>1010</v>
      </c>
      <c r="C21752" s="52">
        <v>112073.500831624</v>
      </c>
      <c r="D21752" s="56">
        <v>-6.5044339895545455E-3</v>
      </c>
      <c r="E21752" s="224" t="s">
        <v>2</v>
      </c>
      <c r="F21752" s="515" t="s">
        <v>22920</v>
      </c>
      <c r="G21752" s="52">
        <v>75504.862578698201</v>
      </c>
      <c r="H21752" s="56">
        <v>0.10898721697831866</v>
      </c>
      <c r="I21752" s="224" t="s">
        <v>2</v>
      </c>
    </row>
    <row r="21753" spans="1:9" x14ac:dyDescent="0.25">
      <c r="A21753" s="515">
        <v>62474</v>
      </c>
      <c r="C21753" s="52">
        <v>80663.014717664002</v>
      </c>
      <c r="D21753" s="56">
        <v>2.4676914538582916E-2</v>
      </c>
      <c r="E21753" s="224" t="s">
        <v>2</v>
      </c>
      <c r="F21753" s="515" t="s">
        <v>22921</v>
      </c>
      <c r="G21753" s="52">
        <v>120332.969522851</v>
      </c>
      <c r="H21753" s="56">
        <v>0.18670324205496866</v>
      </c>
      <c r="I21753" s="224" t="s">
        <v>2</v>
      </c>
    </row>
    <row r="21754" spans="1:9" x14ac:dyDescent="0.25">
      <c r="A21754" s="515">
        <v>59030</v>
      </c>
      <c r="C21754" s="52">
        <v>708814.65702348005</v>
      </c>
      <c r="D21754" s="56">
        <v>0.11564913850006212</v>
      </c>
      <c r="E21754" s="224" t="s">
        <v>2</v>
      </c>
      <c r="F21754" s="515" t="s">
        <v>22922</v>
      </c>
      <c r="G21754" s="52">
        <v>226124.846101034</v>
      </c>
      <c r="H21754" s="56">
        <v>9.8935164412283658E-2</v>
      </c>
      <c r="I21754" s="224" t="s">
        <v>2</v>
      </c>
    </row>
    <row r="21755" spans="1:9" x14ac:dyDescent="0.25">
      <c r="A21755" s="515">
        <v>38951</v>
      </c>
      <c r="C21755" s="52">
        <v>108461.677265697</v>
      </c>
      <c r="D21755" s="56">
        <v>-1.3321552062541301E-2</v>
      </c>
      <c r="E21755" s="224" t="s">
        <v>2</v>
      </c>
      <c r="F21755" s="515" t="s">
        <v>22923</v>
      </c>
      <c r="G21755" s="52">
        <v>177526.41661684701</v>
      </c>
      <c r="H21755" s="56">
        <v>0</v>
      </c>
      <c r="I21755" s="224" t="s">
        <v>2</v>
      </c>
    </row>
    <row r="21756" spans="1:9" x14ac:dyDescent="0.25">
      <c r="A21756" s="515">
        <v>62426</v>
      </c>
      <c r="C21756" s="52">
        <v>81484.255081620795</v>
      </c>
      <c r="D21756" s="56">
        <v>2.3672657553109971E-2</v>
      </c>
      <c r="E21756" s="224" t="s">
        <v>2</v>
      </c>
      <c r="F21756" s="515" t="s">
        <v>22924</v>
      </c>
      <c r="G21756" s="52">
        <v>96091.0670381331</v>
      </c>
      <c r="H21756" s="56">
        <v>0</v>
      </c>
      <c r="I21756" s="224" t="s">
        <v>2</v>
      </c>
    </row>
    <row r="21757" spans="1:9" x14ac:dyDescent="0.25">
      <c r="A21757" s="515">
        <v>65059</v>
      </c>
      <c r="B21757" s="515" t="s">
        <v>711</v>
      </c>
      <c r="C21757" s="52">
        <v>196302.45880103399</v>
      </c>
      <c r="D21757" s="56">
        <v>0</v>
      </c>
      <c r="E21757" s="224" t="s">
        <v>2</v>
      </c>
      <c r="F21757" s="515" t="s">
        <v>22925</v>
      </c>
      <c r="G21757" s="52">
        <v>562006.57195364195</v>
      </c>
      <c r="H21757" s="56">
        <v>9.2329641728727493E-4</v>
      </c>
      <c r="I21757" s="224" t="s">
        <v>2</v>
      </c>
    </row>
    <row r="21758" spans="1:9" x14ac:dyDescent="0.25">
      <c r="A21758" s="515">
        <v>12719</v>
      </c>
      <c r="C21758" s="52">
        <v>338996.83378135198</v>
      </c>
      <c r="D21758" s="56">
        <v>0.15148040524579337</v>
      </c>
      <c r="E21758" s="224" t="s">
        <v>2</v>
      </c>
      <c r="F21758" s="515" t="s">
        <v>22926</v>
      </c>
      <c r="G21758" s="52">
        <v>621385.21476108197</v>
      </c>
      <c r="H21758" s="56">
        <v>5.8435466428390939E-2</v>
      </c>
      <c r="I21758" s="224" t="s">
        <v>2</v>
      </c>
    </row>
    <row r="21759" spans="1:9" x14ac:dyDescent="0.25">
      <c r="A21759" s="515">
        <v>36578</v>
      </c>
      <c r="B21759" s="515" t="s">
        <v>488</v>
      </c>
      <c r="C21759" s="52">
        <v>279728.316300395</v>
      </c>
      <c r="D21759" s="56">
        <v>5.6088860576901947E-2</v>
      </c>
      <c r="E21759" s="224" t="s">
        <v>2</v>
      </c>
      <c r="F21759" s="515" t="s">
        <v>22927</v>
      </c>
      <c r="G21759" s="52">
        <v>151197.22869094901</v>
      </c>
      <c r="H21759" s="56">
        <v>3.1196976144408282E-2</v>
      </c>
      <c r="I21759" s="224" t="s">
        <v>2</v>
      </c>
    </row>
    <row r="21760" spans="1:9" x14ac:dyDescent="0.25">
      <c r="A21760" s="515">
        <v>62545</v>
      </c>
      <c r="B21760" s="515" t="s">
        <v>819</v>
      </c>
      <c r="C21760" s="52">
        <v>153997.37173032801</v>
      </c>
      <c r="D21760" s="56">
        <v>8.4532719842423401E-2</v>
      </c>
      <c r="E21760" s="224" t="s">
        <v>2</v>
      </c>
      <c r="F21760" s="515" t="s">
        <v>22928</v>
      </c>
      <c r="G21760" s="52">
        <v>317941.08411506098</v>
      </c>
      <c r="H21760" s="56">
        <v>0</v>
      </c>
      <c r="I21760" s="224" t="s">
        <v>2</v>
      </c>
    </row>
    <row r="21761" spans="1:9" x14ac:dyDescent="0.25">
      <c r="A21761" s="515">
        <v>44454</v>
      </c>
      <c r="B21761" s="515" t="s">
        <v>397</v>
      </c>
      <c r="C21761" s="52">
        <v>159610.19697698599</v>
      </c>
      <c r="D21761" s="56">
        <v>0.12362456787930512</v>
      </c>
      <c r="E21761" s="224" t="s">
        <v>2</v>
      </c>
      <c r="F21761" s="515" t="s">
        <v>22929</v>
      </c>
      <c r="G21761" s="52">
        <v>123895.666448027</v>
      </c>
      <c r="H21761" s="56">
        <v>0</v>
      </c>
      <c r="I21761" s="224" t="s">
        <v>2</v>
      </c>
    </row>
    <row r="21762" spans="1:9" x14ac:dyDescent="0.25">
      <c r="A21762" s="515">
        <v>16661</v>
      </c>
      <c r="B21762" s="515" t="s">
        <v>876</v>
      </c>
      <c r="C21762" s="52">
        <v>72323.924657534197</v>
      </c>
      <c r="D21762" s="56">
        <v>0</v>
      </c>
      <c r="E21762" s="224" t="s">
        <v>2</v>
      </c>
      <c r="F21762" s="515" t="s">
        <v>22930</v>
      </c>
      <c r="G21762" s="52">
        <v>157099.962403196</v>
      </c>
      <c r="H21762" s="56">
        <v>6.8764710761431994E-2</v>
      </c>
      <c r="I21762" s="224" t="s">
        <v>2</v>
      </c>
    </row>
    <row r="21763" spans="1:9" x14ac:dyDescent="0.25">
      <c r="A21763" s="515">
        <v>29439</v>
      </c>
      <c r="B21763" s="515" t="s">
        <v>1009</v>
      </c>
      <c r="C21763" s="52">
        <v>1191557.12728924</v>
      </c>
      <c r="D21763" s="56">
        <v>0.18242542540907722</v>
      </c>
      <c r="E21763" s="224" t="s">
        <v>2</v>
      </c>
      <c r="F21763" s="515" t="s">
        <v>22931</v>
      </c>
      <c r="G21763" s="52">
        <v>126154.012547038</v>
      </c>
      <c r="H21763" s="56">
        <v>0.11721432783994512</v>
      </c>
      <c r="I21763" s="224" t="s">
        <v>2</v>
      </c>
    </row>
    <row r="21764" spans="1:9" x14ac:dyDescent="0.25">
      <c r="A21764" s="515">
        <v>46730</v>
      </c>
      <c r="B21764" s="515" t="s">
        <v>1008</v>
      </c>
      <c r="C21764" s="52">
        <v>250088.536223862</v>
      </c>
      <c r="D21764" s="56">
        <v>9.8369201614715684E-2</v>
      </c>
      <c r="E21764" s="224" t="s">
        <v>2</v>
      </c>
      <c r="F21764" s="515" t="s">
        <v>22932</v>
      </c>
      <c r="G21764" s="52">
        <v>32562.2795945949</v>
      </c>
      <c r="H21764" s="56">
        <v>0</v>
      </c>
      <c r="I21764" s="224" t="s">
        <v>2</v>
      </c>
    </row>
    <row r="21765" spans="1:9" x14ac:dyDescent="0.25">
      <c r="A21765" s="515">
        <v>26852</v>
      </c>
      <c r="B21765" s="515" t="s">
        <v>629</v>
      </c>
      <c r="C21765" s="52">
        <v>202151.586378943</v>
      </c>
      <c r="D21765" s="56">
        <v>0.12248155013664053</v>
      </c>
      <c r="E21765" s="224" t="s">
        <v>2</v>
      </c>
      <c r="F21765" s="515" t="s">
        <v>22933</v>
      </c>
      <c r="G21765" s="52">
        <v>400530.41341402999</v>
      </c>
      <c r="H21765" s="56">
        <v>0</v>
      </c>
      <c r="I21765" s="224" t="s">
        <v>2</v>
      </c>
    </row>
    <row r="21766" spans="1:9" x14ac:dyDescent="0.25">
      <c r="A21766" s="515">
        <v>53554</v>
      </c>
      <c r="B21766" s="515" t="s">
        <v>664</v>
      </c>
      <c r="C21766" s="52">
        <v>166060.41199216401</v>
      </c>
      <c r="D21766" s="56">
        <v>4.7530544352722665E-2</v>
      </c>
      <c r="E21766" s="224" t="s">
        <v>2</v>
      </c>
      <c r="F21766" s="515" t="s">
        <v>22934</v>
      </c>
      <c r="G21766" s="52">
        <v>147366.811575459</v>
      </c>
      <c r="H21766" s="56">
        <v>3.5155765684562697E-2</v>
      </c>
      <c r="I21766" s="224" t="s">
        <v>2</v>
      </c>
    </row>
    <row r="21767" spans="1:9" x14ac:dyDescent="0.25">
      <c r="A21767" s="515">
        <v>53911</v>
      </c>
      <c r="B21767" s="515" t="s">
        <v>727</v>
      </c>
      <c r="C21767" s="52">
        <v>298496.281093981</v>
      </c>
      <c r="D21767" s="56">
        <v>2.8723913092934799E-2</v>
      </c>
      <c r="E21767" s="224" t="s">
        <v>2</v>
      </c>
      <c r="F21767" s="515" t="s">
        <v>22935</v>
      </c>
      <c r="G21767" s="52">
        <v>121258.588787014</v>
      </c>
      <c r="H21767" s="56">
        <v>0.16350468002976659</v>
      </c>
      <c r="I21767" s="224" t="s">
        <v>2</v>
      </c>
    </row>
    <row r="21768" spans="1:9" x14ac:dyDescent="0.25">
      <c r="A21768" s="515">
        <v>62063</v>
      </c>
      <c r="B21768" s="515" t="s">
        <v>498</v>
      </c>
      <c r="C21768" s="52">
        <v>115203.88949753399</v>
      </c>
      <c r="D21768" s="56">
        <v>3.0714094710600621E-2</v>
      </c>
      <c r="E21768" s="224" t="s">
        <v>2</v>
      </c>
      <c r="F21768" s="515" t="s">
        <v>22936</v>
      </c>
      <c r="G21768" s="52">
        <v>191020.32888623601</v>
      </c>
      <c r="H21768" s="56">
        <v>4.9862829597080278E-2</v>
      </c>
      <c r="I21768" s="224" t="s">
        <v>2</v>
      </c>
    </row>
    <row r="21769" spans="1:9" x14ac:dyDescent="0.25">
      <c r="A21769" s="515">
        <v>62087</v>
      </c>
      <c r="B21769" s="515" t="s">
        <v>498</v>
      </c>
      <c r="C21769" s="52">
        <v>76214.831005365399</v>
      </c>
      <c r="D21769" s="56">
        <v>0.12377800793783571</v>
      </c>
      <c r="E21769" s="224" t="s">
        <v>2</v>
      </c>
      <c r="F21769" s="515" t="s">
        <v>22937</v>
      </c>
      <c r="G21769" s="52">
        <v>201919.358694378</v>
      </c>
      <c r="H21769" s="56">
        <v>0</v>
      </c>
      <c r="I21769" s="224" t="s">
        <v>2</v>
      </c>
    </row>
    <row r="21770" spans="1:9" x14ac:dyDescent="0.25">
      <c r="A21770" s="515">
        <v>48761</v>
      </c>
      <c r="C21770" s="52">
        <v>94629.1433528794</v>
      </c>
      <c r="D21770" s="56">
        <v>8.9018530949831365E-2</v>
      </c>
      <c r="E21770" s="224" t="s">
        <v>2</v>
      </c>
      <c r="F21770" s="515" t="s">
        <v>22938</v>
      </c>
      <c r="G21770" s="52">
        <v>182798.48275862</v>
      </c>
      <c r="H21770" s="56">
        <v>0</v>
      </c>
      <c r="I21770" s="224" t="s">
        <v>2</v>
      </c>
    </row>
    <row r="21771" spans="1:9" x14ac:dyDescent="0.25">
      <c r="A21771" s="515">
        <v>87412</v>
      </c>
      <c r="B21771" s="515" t="s">
        <v>313</v>
      </c>
      <c r="C21771" s="52">
        <v>192337.67998761401</v>
      </c>
      <c r="D21771" s="56">
        <v>-1.0933234638867413E-3</v>
      </c>
      <c r="E21771" s="224" t="s">
        <v>2</v>
      </c>
      <c r="F21771" s="515" t="s">
        <v>22939</v>
      </c>
      <c r="G21771" s="52">
        <v>126592.66159793601</v>
      </c>
      <c r="H21771" s="56">
        <v>5.8315187376736265E-2</v>
      </c>
      <c r="I21771" s="224" t="s">
        <v>2</v>
      </c>
    </row>
    <row r="21772" spans="1:9" x14ac:dyDescent="0.25">
      <c r="A21772" s="515">
        <v>67470</v>
      </c>
      <c r="B21772" s="515" t="s">
        <v>715</v>
      </c>
      <c r="C21772" s="52">
        <v>216614.22451452099</v>
      </c>
      <c r="D21772" s="56">
        <v>4.0084949603055135E-2</v>
      </c>
      <c r="E21772" s="224" t="s">
        <v>2</v>
      </c>
      <c r="F21772" s="515" t="s">
        <v>22940</v>
      </c>
      <c r="G21772" s="52">
        <v>203278.73584905599</v>
      </c>
      <c r="H21772" s="56">
        <v>0</v>
      </c>
      <c r="I21772" s="224" t="s">
        <v>2</v>
      </c>
    </row>
    <row r="21773" spans="1:9" x14ac:dyDescent="0.25">
      <c r="A21773" s="515">
        <v>16040</v>
      </c>
      <c r="B21773" s="515" t="s">
        <v>297</v>
      </c>
      <c r="C21773" s="52">
        <v>169592.693181818</v>
      </c>
      <c r="D21773" s="56">
        <v>0</v>
      </c>
      <c r="E21773" s="224" t="s">
        <v>2</v>
      </c>
      <c r="F21773" s="515" t="s">
        <v>22941</v>
      </c>
      <c r="G21773" s="52">
        <v>88685.766861641605</v>
      </c>
      <c r="H21773" s="56">
        <v>8.4792815046267803E-2</v>
      </c>
      <c r="I21773" s="224" t="s">
        <v>2</v>
      </c>
    </row>
    <row r="21774" spans="1:9" x14ac:dyDescent="0.25">
      <c r="A21774" s="515">
        <v>15475</v>
      </c>
      <c r="B21774" s="515" t="s">
        <v>297</v>
      </c>
      <c r="C21774" s="52">
        <v>46773.279877032503</v>
      </c>
      <c r="D21774" s="56">
        <v>0.10553755076222178</v>
      </c>
      <c r="E21774" s="224" t="s">
        <v>2</v>
      </c>
      <c r="F21774" s="515" t="s">
        <v>22942</v>
      </c>
      <c r="G21774" s="52">
        <v>218954.440904252</v>
      </c>
      <c r="H21774" s="56">
        <v>0.15231718757239771</v>
      </c>
      <c r="I21774" s="224" t="s">
        <v>2</v>
      </c>
    </row>
    <row r="21775" spans="1:9" x14ac:dyDescent="0.25">
      <c r="A21775" s="515">
        <v>75669</v>
      </c>
      <c r="C21775" s="52">
        <v>186618.276993701</v>
      </c>
      <c r="D21775" s="56">
        <v>0</v>
      </c>
      <c r="E21775" s="224" t="s">
        <v>2</v>
      </c>
      <c r="F21775" s="515" t="s">
        <v>22943</v>
      </c>
      <c r="G21775" s="52">
        <v>133212.056603773</v>
      </c>
      <c r="H21775" s="56">
        <v>0</v>
      </c>
      <c r="I21775" s="224" t="s">
        <v>2</v>
      </c>
    </row>
    <row r="21776" spans="1:9" x14ac:dyDescent="0.25">
      <c r="A21776" s="515">
        <v>47564</v>
      </c>
      <c r="B21776" s="515" t="s">
        <v>544</v>
      </c>
      <c r="C21776" s="52">
        <v>178148.45787615699</v>
      </c>
      <c r="D21776" s="56">
        <v>7.3630435248164136E-2</v>
      </c>
      <c r="E21776" s="224" t="s">
        <v>2</v>
      </c>
      <c r="F21776" s="515" t="s">
        <v>22944</v>
      </c>
      <c r="G21776" s="52">
        <v>91021.385666742193</v>
      </c>
      <c r="H21776" s="56">
        <v>-0.11066166196934583</v>
      </c>
      <c r="I21776" s="224" t="s">
        <v>2</v>
      </c>
    </row>
    <row r="21777" spans="1:9" x14ac:dyDescent="0.25">
      <c r="A21777" s="515">
        <v>61913</v>
      </c>
      <c r="C21777" s="52">
        <v>106541.121620494</v>
      </c>
      <c r="D21777" s="56">
        <v>9.6685315430186713E-2</v>
      </c>
      <c r="E21777" s="224" t="s">
        <v>2</v>
      </c>
      <c r="F21777" s="515" t="s">
        <v>22945</v>
      </c>
      <c r="G21777" s="52">
        <v>90311.557530954102</v>
      </c>
      <c r="H21777" s="56">
        <v>0.26825383362339505</v>
      </c>
      <c r="I21777" s="224" t="s">
        <v>2</v>
      </c>
    </row>
    <row r="21778" spans="1:9" x14ac:dyDescent="0.25">
      <c r="A21778" s="515">
        <v>65555</v>
      </c>
      <c r="C21778" s="52">
        <v>175656.381751031</v>
      </c>
      <c r="D21778" s="56">
        <v>0</v>
      </c>
      <c r="E21778" s="224" t="s">
        <v>2</v>
      </c>
      <c r="F21778" s="515" t="s">
        <v>22946</v>
      </c>
      <c r="G21778" s="52">
        <v>110938.776534056</v>
      </c>
      <c r="H21778" s="56">
        <v>0.10034265083817914</v>
      </c>
      <c r="I21778" s="224" t="s">
        <v>2</v>
      </c>
    </row>
    <row r="21779" spans="1:9" x14ac:dyDescent="0.25">
      <c r="A21779" s="515">
        <v>84082</v>
      </c>
      <c r="B21779" s="515" t="s">
        <v>502</v>
      </c>
      <c r="C21779" s="52">
        <v>663427.04</v>
      </c>
      <c r="D21779" s="56">
        <v>0</v>
      </c>
      <c r="E21779" s="224" t="s">
        <v>2</v>
      </c>
      <c r="F21779" s="515" t="s">
        <v>22947</v>
      </c>
      <c r="G21779" s="52">
        <v>199213.015199802</v>
      </c>
      <c r="H21779" s="56">
        <v>0</v>
      </c>
      <c r="I21779" s="224" t="s">
        <v>2</v>
      </c>
    </row>
    <row r="21780" spans="1:9" x14ac:dyDescent="0.25">
      <c r="A21780" s="515">
        <v>27314</v>
      </c>
      <c r="C21780" s="52">
        <v>234075.07635857799</v>
      </c>
      <c r="D21780" s="56">
        <v>0.10955305689712536</v>
      </c>
      <c r="E21780" s="224" t="s">
        <v>2</v>
      </c>
      <c r="F21780" s="515" t="s">
        <v>22948</v>
      </c>
      <c r="G21780" s="52">
        <v>437137.26112382201</v>
      </c>
      <c r="H21780" s="56">
        <v>-2.894743228736131E-2</v>
      </c>
      <c r="I21780" s="224" t="s">
        <v>2</v>
      </c>
    </row>
    <row r="21781" spans="1:9" x14ac:dyDescent="0.25">
      <c r="A21781" s="515">
        <v>56343</v>
      </c>
      <c r="B21781" s="515" t="s">
        <v>965</v>
      </c>
      <c r="C21781" s="52">
        <v>226953.51974228901</v>
      </c>
      <c r="D21781" s="56">
        <v>9.6367436649315699E-2</v>
      </c>
      <c r="E21781" s="224" t="s">
        <v>2</v>
      </c>
      <c r="F21781" s="515" t="s">
        <v>22949</v>
      </c>
      <c r="G21781" s="52">
        <v>170412.41598188601</v>
      </c>
      <c r="H21781" s="56">
        <v>6.7712164040926073E-2</v>
      </c>
      <c r="I21781" s="224" t="s">
        <v>2</v>
      </c>
    </row>
    <row r="21782" spans="1:9" x14ac:dyDescent="0.25">
      <c r="A21782" s="515">
        <v>16362</v>
      </c>
      <c r="B21782" s="515" t="s">
        <v>349</v>
      </c>
      <c r="C21782" s="52">
        <v>145413.27773867801</v>
      </c>
      <c r="D21782" s="56">
        <v>0.15987029114507012</v>
      </c>
      <c r="E21782" s="224" t="s">
        <v>2</v>
      </c>
      <c r="F21782" s="515" t="s">
        <v>22950</v>
      </c>
      <c r="G21782" s="52">
        <v>68306.696200311999</v>
      </c>
      <c r="H21782" s="56">
        <v>0</v>
      </c>
      <c r="I21782" s="224" t="s">
        <v>2</v>
      </c>
    </row>
    <row r="21783" spans="1:9" x14ac:dyDescent="0.25">
      <c r="A21783" s="515">
        <v>47575</v>
      </c>
      <c r="B21783" s="515" t="s">
        <v>544</v>
      </c>
      <c r="C21783" s="52">
        <v>247994.43473969001</v>
      </c>
      <c r="D21783" s="56">
        <v>7.3124641913603169E-2</v>
      </c>
      <c r="E21783" s="224" t="s">
        <v>2</v>
      </c>
      <c r="F21783" s="515" t="s">
        <v>22951</v>
      </c>
      <c r="G21783" s="52">
        <v>130931.788793103</v>
      </c>
      <c r="H21783" s="56">
        <v>0</v>
      </c>
      <c r="I21783" s="224" t="s">
        <v>2</v>
      </c>
    </row>
    <row r="21784" spans="1:9" x14ac:dyDescent="0.25">
      <c r="A21784" s="515">
        <v>35571</v>
      </c>
      <c r="C21784" s="52">
        <v>148357.42806730399</v>
      </c>
      <c r="D21784" s="56">
        <v>0.11898804767221825</v>
      </c>
      <c r="E21784" s="224" t="s">
        <v>2</v>
      </c>
      <c r="F21784" s="515" t="s">
        <v>22952</v>
      </c>
      <c r="G21784" s="52">
        <v>118137.776315789</v>
      </c>
      <c r="H21784" s="56">
        <v>0</v>
      </c>
      <c r="I21784" s="224" t="s">
        <v>2</v>
      </c>
    </row>
    <row r="21785" spans="1:9" x14ac:dyDescent="0.25">
      <c r="A21785" s="515">
        <v>95955</v>
      </c>
      <c r="C21785" s="52">
        <v>277830.29679487698</v>
      </c>
      <c r="D21785" s="56">
        <v>3.3356890692025644E-3</v>
      </c>
      <c r="E21785" s="224" t="s">
        <v>2</v>
      </c>
      <c r="F21785" s="515" t="s">
        <v>22953</v>
      </c>
      <c r="G21785" s="52">
        <v>186031.11968721001</v>
      </c>
      <c r="H21785" s="56">
        <v>0.31098889756919201</v>
      </c>
      <c r="I21785" s="224" t="s">
        <v>2</v>
      </c>
    </row>
    <row r="21786" spans="1:9" x14ac:dyDescent="0.25">
      <c r="A21786" s="515">
        <v>62241</v>
      </c>
      <c r="C21786" s="52">
        <v>125760.910958904</v>
      </c>
      <c r="D21786" s="56">
        <v>0</v>
      </c>
      <c r="E21786" s="224" t="s">
        <v>2</v>
      </c>
      <c r="F21786" s="515" t="s">
        <v>22954</v>
      </c>
      <c r="G21786" s="52">
        <v>246613.27377258299</v>
      </c>
      <c r="H21786" s="56">
        <v>0.46756236372622734</v>
      </c>
      <c r="I21786" s="224" t="s">
        <v>2</v>
      </c>
    </row>
    <row r="21787" spans="1:9" x14ac:dyDescent="0.25">
      <c r="A21787" s="515">
        <v>13752</v>
      </c>
      <c r="C21787" s="52">
        <v>253624.02816577899</v>
      </c>
      <c r="D21787" s="56">
        <v>0.12151593206432378</v>
      </c>
      <c r="E21787" s="224" t="s">
        <v>2</v>
      </c>
      <c r="F21787" s="515" t="s">
        <v>22955</v>
      </c>
      <c r="G21787" s="52">
        <v>167403.35908688401</v>
      </c>
      <c r="H21787" s="56">
        <v>9.1645330766485233E-2</v>
      </c>
      <c r="I21787" s="224" t="s">
        <v>2</v>
      </c>
    </row>
    <row r="21788" spans="1:9" x14ac:dyDescent="0.25">
      <c r="A21788" s="515">
        <v>67001</v>
      </c>
      <c r="B21788" s="515" t="s">
        <v>485</v>
      </c>
      <c r="C21788" s="52">
        <v>327938.912064654</v>
      </c>
      <c r="D21788" s="56">
        <v>9.1906125885341791E-2</v>
      </c>
      <c r="E21788" s="224" t="s">
        <v>2</v>
      </c>
      <c r="F21788" s="515" t="s">
        <v>22956</v>
      </c>
      <c r="G21788" s="52">
        <v>322738.97058823501</v>
      </c>
      <c r="H21788" s="56">
        <v>0</v>
      </c>
      <c r="I21788" s="224" t="s">
        <v>2</v>
      </c>
    </row>
    <row r="21789" spans="1:9" x14ac:dyDescent="0.25">
      <c r="A21789" s="515">
        <v>24599</v>
      </c>
      <c r="C21789" s="52">
        <v>162656.19075265201</v>
      </c>
      <c r="D21789" s="56">
        <v>0.12442753270378251</v>
      </c>
      <c r="E21789" s="224" t="s">
        <v>2</v>
      </c>
      <c r="F21789" s="515" t="s">
        <v>22957</v>
      </c>
      <c r="G21789" s="52">
        <v>300296.09712721698</v>
      </c>
      <c r="H21789" s="56">
        <v>-3.6851210433280067E-2</v>
      </c>
      <c r="I21789" s="224" t="s">
        <v>2</v>
      </c>
    </row>
    <row r="21790" spans="1:9" x14ac:dyDescent="0.25">
      <c r="A21790" s="515">
        <v>5075</v>
      </c>
      <c r="B21790" s="515" t="s">
        <v>420</v>
      </c>
      <c r="C21790" s="52">
        <v>372100.48499862099</v>
      </c>
      <c r="D21790" s="56">
        <v>7.1481213596588766E-2</v>
      </c>
      <c r="E21790" s="224" t="s">
        <v>2</v>
      </c>
      <c r="F21790" s="515" t="s">
        <v>22958</v>
      </c>
      <c r="G21790" s="52">
        <v>84929.613636363603</v>
      </c>
      <c r="H21790" s="56">
        <v>0</v>
      </c>
      <c r="I21790" s="224" t="s">
        <v>2</v>
      </c>
    </row>
    <row r="21791" spans="1:9" x14ac:dyDescent="0.25">
      <c r="A21791" s="515">
        <v>8241</v>
      </c>
      <c r="B21791" s="515" t="s">
        <v>800</v>
      </c>
      <c r="C21791" s="52">
        <v>336708.14761811099</v>
      </c>
      <c r="D21791" s="56">
        <v>5.1425807237619442E-2</v>
      </c>
      <c r="E21791" s="224" t="s">
        <v>2</v>
      </c>
      <c r="F21791" s="515" t="s">
        <v>22959</v>
      </c>
      <c r="G21791" s="52">
        <v>256703.35329641699</v>
      </c>
      <c r="H21791" s="56">
        <v>0.20630556849179349</v>
      </c>
      <c r="I21791" s="224" t="s">
        <v>2</v>
      </c>
    </row>
    <row r="21792" spans="1:9" x14ac:dyDescent="0.25">
      <c r="A21792" s="515">
        <v>35651</v>
      </c>
      <c r="B21792" s="515" t="s">
        <v>1007</v>
      </c>
      <c r="C21792" s="52">
        <v>204018.007408556</v>
      </c>
      <c r="D21792" s="56">
        <v>8.5099615141998361E-2</v>
      </c>
      <c r="E21792" s="224" t="s">
        <v>2</v>
      </c>
      <c r="F21792" s="515" t="s">
        <v>22960</v>
      </c>
      <c r="G21792" s="52">
        <v>339081.62393792201</v>
      </c>
      <c r="H21792" s="56">
        <v>4.1338158769802909E-2</v>
      </c>
      <c r="I21792" s="224" t="s">
        <v>2</v>
      </c>
    </row>
    <row r="21793" spans="1:9" x14ac:dyDescent="0.25">
      <c r="A21793" s="515">
        <v>52249</v>
      </c>
      <c r="B21793" s="515" t="s">
        <v>404</v>
      </c>
      <c r="C21793" s="52">
        <v>170031.907496728</v>
      </c>
      <c r="D21793" s="56">
        <v>9.542600931254111E-2</v>
      </c>
      <c r="E21793" s="224" t="s">
        <v>2</v>
      </c>
      <c r="F21793" s="515" t="s">
        <v>22961</v>
      </c>
      <c r="G21793" s="52">
        <v>108317.746478873</v>
      </c>
      <c r="H21793" s="56">
        <v>0</v>
      </c>
      <c r="I21793" s="224" t="s">
        <v>2</v>
      </c>
    </row>
    <row r="21794" spans="1:9" x14ac:dyDescent="0.25">
      <c r="A21794" s="515">
        <v>21778</v>
      </c>
      <c r="B21794" s="515" t="s">
        <v>321</v>
      </c>
      <c r="C21794" s="52">
        <v>377896.346050622</v>
      </c>
      <c r="D21794" s="56">
        <v>4.9316385369224017E-2</v>
      </c>
      <c r="E21794" s="224" t="s">
        <v>2</v>
      </c>
      <c r="F21794" s="515" t="s">
        <v>22962</v>
      </c>
      <c r="G21794" s="52">
        <v>72198.263875688004</v>
      </c>
      <c r="H21794" s="56">
        <v>5.1850566090074879E-2</v>
      </c>
      <c r="I21794" s="224" t="s">
        <v>2</v>
      </c>
    </row>
    <row r="21795" spans="1:9" x14ac:dyDescent="0.25">
      <c r="A21795" s="515">
        <v>13072</v>
      </c>
      <c r="B21795" s="515" t="s">
        <v>361</v>
      </c>
      <c r="C21795" s="52">
        <v>122572.97001634201</v>
      </c>
      <c r="D21795" s="56">
        <v>8.0546960465631659E-2</v>
      </c>
      <c r="E21795" s="224" t="s">
        <v>2</v>
      </c>
      <c r="F21795" s="515" t="s">
        <v>22963</v>
      </c>
      <c r="G21795" s="52">
        <v>254368.21212121201</v>
      </c>
      <c r="H21795" s="56">
        <v>0</v>
      </c>
      <c r="I21795" s="224" t="s">
        <v>2</v>
      </c>
    </row>
    <row r="21796" spans="1:9" x14ac:dyDescent="0.25">
      <c r="A21796" s="515">
        <v>32427</v>
      </c>
      <c r="C21796" s="52">
        <v>171953.55252526299</v>
      </c>
      <c r="D21796" s="56">
        <v>0.14517611799164742</v>
      </c>
      <c r="E21796" s="224" t="s">
        <v>2</v>
      </c>
      <c r="F21796" s="515" t="s">
        <v>22964</v>
      </c>
      <c r="G21796" s="52">
        <v>142517.6992304</v>
      </c>
      <c r="H21796" s="56">
        <v>0.10408075150229684</v>
      </c>
      <c r="I21796" s="224" t="s">
        <v>2</v>
      </c>
    </row>
    <row r="21797" spans="1:9" x14ac:dyDescent="0.25">
      <c r="A21797" s="515">
        <v>26411</v>
      </c>
      <c r="B21797" s="515" t="s">
        <v>347</v>
      </c>
      <c r="C21797" s="52">
        <v>145692.89429535301</v>
      </c>
      <c r="D21797" s="56">
        <v>-3.6908259016002226E-2</v>
      </c>
      <c r="E21797" s="224" t="s">
        <v>2</v>
      </c>
      <c r="F21797" s="515" t="s">
        <v>22965</v>
      </c>
      <c r="G21797" s="52">
        <v>167207.09375</v>
      </c>
      <c r="H21797" s="56">
        <v>0</v>
      </c>
      <c r="I21797" s="224" t="s">
        <v>2</v>
      </c>
    </row>
    <row r="21798" spans="1:9" x14ac:dyDescent="0.25">
      <c r="A21798" s="515">
        <v>3837</v>
      </c>
      <c r="B21798" s="515" t="s">
        <v>1006</v>
      </c>
      <c r="C21798" s="52">
        <v>394607.37470545602</v>
      </c>
      <c r="D21798" s="56">
        <v>0.10307380639439856</v>
      </c>
      <c r="E21798" s="224" t="s">
        <v>2</v>
      </c>
      <c r="F21798" s="515" t="s">
        <v>22966</v>
      </c>
      <c r="G21798" s="52">
        <v>105147.631801945</v>
      </c>
      <c r="H21798" s="56">
        <v>0.12756704438307884</v>
      </c>
      <c r="I21798" s="224" t="s">
        <v>2</v>
      </c>
    </row>
    <row r="21799" spans="1:9" x14ac:dyDescent="0.25">
      <c r="A21799" s="515">
        <v>69154</v>
      </c>
      <c r="C21799" s="52">
        <v>104976.898130127</v>
      </c>
      <c r="D21799" s="56">
        <v>4.8073962720719454E-2</v>
      </c>
      <c r="E21799" s="224" t="s">
        <v>2</v>
      </c>
      <c r="F21799" s="515" t="s">
        <v>22967</v>
      </c>
      <c r="G21799" s="52">
        <v>45899.629926158297</v>
      </c>
      <c r="H21799" s="56">
        <v>1.1228690345893688E-2</v>
      </c>
      <c r="I21799" s="224" t="s">
        <v>2</v>
      </c>
    </row>
    <row r="21800" spans="1:9" x14ac:dyDescent="0.25">
      <c r="A21800" s="515">
        <v>81146</v>
      </c>
      <c r="C21800" s="52">
        <v>320978.46636427299</v>
      </c>
      <c r="D21800" s="56">
        <v>0.14537683452585248</v>
      </c>
      <c r="E21800" s="224" t="s">
        <v>2</v>
      </c>
      <c r="F21800" s="515" t="s">
        <v>22968</v>
      </c>
      <c r="G21800" s="52">
        <v>454354.15050713101</v>
      </c>
      <c r="H21800" s="56">
        <v>4.9406613373379579E-2</v>
      </c>
      <c r="I21800" s="224" t="s">
        <v>2</v>
      </c>
    </row>
    <row r="21801" spans="1:9" x14ac:dyDescent="0.25">
      <c r="A21801" s="515">
        <v>62555</v>
      </c>
      <c r="B21801" s="515" t="s">
        <v>386</v>
      </c>
      <c r="C21801" s="52">
        <v>125907.27824524901</v>
      </c>
      <c r="D21801" s="56">
        <v>3.2670924210770079E-2</v>
      </c>
      <c r="E21801" s="224" t="s">
        <v>2</v>
      </c>
      <c r="F21801" s="515" t="s">
        <v>22969</v>
      </c>
      <c r="G21801" s="52">
        <v>91864.541666666599</v>
      </c>
      <c r="H21801" s="56">
        <v>0</v>
      </c>
      <c r="I21801" s="224" t="s">
        <v>2</v>
      </c>
    </row>
    <row r="21802" spans="1:9" x14ac:dyDescent="0.25">
      <c r="A21802" s="515">
        <v>94973</v>
      </c>
      <c r="B21802" s="515" t="s">
        <v>593</v>
      </c>
      <c r="C21802" s="52">
        <v>953252.99930764001</v>
      </c>
      <c r="D21802" s="56">
        <v>1.7801679415272626E-2</v>
      </c>
      <c r="E21802" s="224" t="s">
        <v>2</v>
      </c>
      <c r="F21802" s="515" t="s">
        <v>22970</v>
      </c>
      <c r="G21802" s="52">
        <v>586709.62650145998</v>
      </c>
      <c r="H21802" s="56">
        <v>0.10466707982661005</v>
      </c>
      <c r="I21802" s="224" t="s">
        <v>2</v>
      </c>
    </row>
    <row r="21803" spans="1:9" x14ac:dyDescent="0.25">
      <c r="A21803" s="515">
        <v>57012</v>
      </c>
      <c r="B21803" s="515" t="s">
        <v>579</v>
      </c>
      <c r="C21803" s="52">
        <v>283515.08503362298</v>
      </c>
      <c r="D21803" s="56">
        <v>9.7943483879043405E-2</v>
      </c>
      <c r="E21803" s="224" t="s">
        <v>2</v>
      </c>
      <c r="F21803" s="515" t="s">
        <v>22971</v>
      </c>
      <c r="G21803" s="52">
        <v>215855.889299264</v>
      </c>
      <c r="H21803" s="56">
        <v>6.8371304582061546E-2</v>
      </c>
      <c r="I21803" s="224" t="s">
        <v>2</v>
      </c>
    </row>
    <row r="21804" spans="1:9" x14ac:dyDescent="0.25">
      <c r="A21804" s="515">
        <v>73951</v>
      </c>
      <c r="B21804" s="515" t="s">
        <v>1005</v>
      </c>
      <c r="C21804" s="52">
        <v>162526.36416283599</v>
      </c>
      <c r="D21804" s="56">
        <v>7.356700143822982E-2</v>
      </c>
      <c r="E21804" s="224" t="s">
        <v>2</v>
      </c>
      <c r="F21804" s="515" t="s">
        <v>22972</v>
      </c>
      <c r="G21804" s="52">
        <v>86812.439788017204</v>
      </c>
      <c r="H21804" s="56">
        <v>0.15945386541316556</v>
      </c>
      <c r="I21804" s="224" t="s">
        <v>2</v>
      </c>
    </row>
    <row r="21805" spans="1:9" x14ac:dyDescent="0.25">
      <c r="A21805" s="515">
        <v>47980</v>
      </c>
      <c r="C21805" s="52">
        <v>157647.96325584699</v>
      </c>
      <c r="D21805" s="56">
        <v>0.10445177975967271</v>
      </c>
      <c r="E21805" s="224" t="s">
        <v>2</v>
      </c>
      <c r="F21805" s="515" t="s">
        <v>22973</v>
      </c>
      <c r="G21805" s="52">
        <v>259405.58516975699</v>
      </c>
      <c r="H21805" s="56">
        <v>0</v>
      </c>
      <c r="I21805" s="224" t="s">
        <v>2</v>
      </c>
    </row>
    <row r="21806" spans="1:9" x14ac:dyDescent="0.25">
      <c r="A21806" s="515">
        <v>56579</v>
      </c>
      <c r="B21806" s="515" t="s">
        <v>548</v>
      </c>
      <c r="C21806" s="52">
        <v>239870.22623537501</v>
      </c>
      <c r="D21806" s="56">
        <v>0.15345854476906934</v>
      </c>
      <c r="E21806" s="224" t="s">
        <v>2</v>
      </c>
      <c r="F21806" s="515" t="s">
        <v>22974</v>
      </c>
      <c r="G21806" s="52">
        <v>152812.614514619</v>
      </c>
      <c r="H21806" s="56">
        <v>0</v>
      </c>
      <c r="I21806" s="224" t="s">
        <v>2</v>
      </c>
    </row>
    <row r="21807" spans="1:9" x14ac:dyDescent="0.25">
      <c r="A21807" s="515">
        <v>49248</v>
      </c>
      <c r="B21807" s="515" t="s">
        <v>958</v>
      </c>
      <c r="C21807" s="52">
        <v>156240.64087301999</v>
      </c>
      <c r="D21807" s="56">
        <v>0.11734924527368576</v>
      </c>
      <c r="E21807" s="224" t="s">
        <v>2</v>
      </c>
      <c r="F21807" s="515" t="s">
        <v>22975</v>
      </c>
      <c r="G21807" s="52">
        <v>296986.60670897301</v>
      </c>
      <c r="H21807" s="56">
        <v>7.1965335114686793E-2</v>
      </c>
      <c r="I21807" s="224" t="s">
        <v>2</v>
      </c>
    </row>
    <row r="21808" spans="1:9" x14ac:dyDescent="0.25">
      <c r="A21808" s="515">
        <v>5077</v>
      </c>
      <c r="B21808" s="515" t="s">
        <v>420</v>
      </c>
      <c r="C21808" s="52">
        <v>315304.45892401802</v>
      </c>
      <c r="D21808" s="56">
        <v>9.9557251148167214E-2</v>
      </c>
      <c r="E21808" s="224" t="s">
        <v>2</v>
      </c>
      <c r="F21808" s="515" t="s">
        <v>22976</v>
      </c>
      <c r="G21808" s="52">
        <v>123904.642706964</v>
      </c>
      <c r="H21808" s="56">
        <v>6.5077986052930539E-2</v>
      </c>
      <c r="I21808" s="224" t="s">
        <v>2</v>
      </c>
    </row>
    <row r="21809" spans="1:9" x14ac:dyDescent="0.25">
      <c r="A21809" s="515">
        <v>58576</v>
      </c>
      <c r="C21809" s="52">
        <v>156542.02382667499</v>
      </c>
      <c r="D21809" s="56">
        <v>2.1029599254988006E-2</v>
      </c>
      <c r="E21809" s="224" t="s">
        <v>2</v>
      </c>
      <c r="F21809" s="515" t="s">
        <v>22977</v>
      </c>
      <c r="G21809" s="52">
        <v>258530.97098451201</v>
      </c>
      <c r="H21809" s="56">
        <v>0.12412991059100793</v>
      </c>
      <c r="I21809" s="224" t="s">
        <v>2</v>
      </c>
    </row>
    <row r="21810" spans="1:9" x14ac:dyDescent="0.25">
      <c r="A21810" s="515">
        <v>77046</v>
      </c>
      <c r="B21810" s="515" t="s">
        <v>314</v>
      </c>
      <c r="C21810" s="52">
        <v>322425.09666878299</v>
      </c>
      <c r="D21810" s="56">
        <v>-6.7351578656707767E-2</v>
      </c>
      <c r="E21810" s="224">
        <v>1661.8380952380901</v>
      </c>
      <c r="F21810" s="515" t="s">
        <v>22978</v>
      </c>
      <c r="G21810" s="52">
        <v>125927.83333333299</v>
      </c>
      <c r="H21810" s="56">
        <v>0</v>
      </c>
      <c r="I21810" s="224" t="s">
        <v>2</v>
      </c>
    </row>
    <row r="21811" spans="1:9" x14ac:dyDescent="0.25">
      <c r="A21811" s="515">
        <v>68920</v>
      </c>
      <c r="C21811" s="52">
        <v>146881.224095212</v>
      </c>
      <c r="D21811" s="56">
        <v>6.6868148872141417E-2</v>
      </c>
      <c r="E21811" s="224" t="s">
        <v>2</v>
      </c>
      <c r="F21811" s="515" t="s">
        <v>22979</v>
      </c>
      <c r="G21811" s="52">
        <v>161661.694444444</v>
      </c>
      <c r="H21811" s="56">
        <v>0</v>
      </c>
      <c r="I21811" s="224" t="s">
        <v>2</v>
      </c>
    </row>
    <row r="21812" spans="1:9" x14ac:dyDescent="0.25">
      <c r="A21812" s="515">
        <v>51058</v>
      </c>
      <c r="C21812" s="52">
        <v>99989.535853213602</v>
      </c>
      <c r="D21812" s="56">
        <v>0.15726708908755171</v>
      </c>
      <c r="E21812" s="224" t="s">
        <v>2</v>
      </c>
      <c r="F21812" s="515" t="s">
        <v>22980</v>
      </c>
      <c r="G21812" s="52">
        <v>80546.376168714603</v>
      </c>
      <c r="H21812" s="56">
        <v>7.941186715411834E-2</v>
      </c>
      <c r="I21812" s="224" t="s">
        <v>2</v>
      </c>
    </row>
    <row r="21813" spans="1:9" x14ac:dyDescent="0.25">
      <c r="A21813" s="515">
        <v>49947</v>
      </c>
      <c r="C21813" s="52">
        <v>158538.05557947099</v>
      </c>
      <c r="D21813" s="56">
        <v>5.4251604101912883E-2</v>
      </c>
      <c r="E21813" s="224" t="s">
        <v>2</v>
      </c>
      <c r="F21813" s="515" t="s">
        <v>22981</v>
      </c>
      <c r="G21813" s="52">
        <v>80859.230494557996</v>
      </c>
      <c r="H21813" s="56">
        <v>-4.2843805528285459E-3</v>
      </c>
      <c r="I21813" s="224" t="s">
        <v>2</v>
      </c>
    </row>
    <row r="21814" spans="1:9" x14ac:dyDescent="0.25">
      <c r="A21814" s="515">
        <v>81023</v>
      </c>
      <c r="B21814" s="515" t="s">
        <v>1003</v>
      </c>
      <c r="C21814" s="52">
        <v>370087.49637529597</v>
      </c>
      <c r="D21814" s="56">
        <v>4.7340900375653423E-2</v>
      </c>
      <c r="E21814" s="224" t="s">
        <v>2</v>
      </c>
      <c r="F21814" s="515" t="s">
        <v>22982</v>
      </c>
      <c r="G21814" s="52">
        <v>103313.483801731</v>
      </c>
      <c r="H21814" s="56">
        <v>4.7072709189421476E-2</v>
      </c>
      <c r="I21814" s="224" t="s">
        <v>2</v>
      </c>
    </row>
    <row r="21815" spans="1:9" x14ac:dyDescent="0.25">
      <c r="A21815" s="515">
        <v>95528</v>
      </c>
      <c r="B21815" s="515" t="s">
        <v>352</v>
      </c>
      <c r="C21815" s="52">
        <v>374873.438035434</v>
      </c>
      <c r="D21815" s="56">
        <v>-8.5528189993536438E-2</v>
      </c>
      <c r="E21815" s="224" t="s">
        <v>2</v>
      </c>
      <c r="F21815" s="515" t="s">
        <v>22983</v>
      </c>
      <c r="G21815" s="52">
        <v>288553.93611986702</v>
      </c>
      <c r="H21815" s="56">
        <v>0</v>
      </c>
      <c r="I21815" s="224" t="s">
        <v>2</v>
      </c>
    </row>
    <row r="21816" spans="1:9" x14ac:dyDescent="0.25">
      <c r="A21816" s="515">
        <v>10546</v>
      </c>
      <c r="B21816" s="515" t="s">
        <v>324</v>
      </c>
      <c r="C21816" s="52">
        <v>750605.20422930794</v>
      </c>
      <c r="D21816" s="56">
        <v>7.9701802350452142E-2</v>
      </c>
      <c r="E21816" s="224" t="s">
        <v>2</v>
      </c>
      <c r="F21816" s="515" t="s">
        <v>22984</v>
      </c>
      <c r="G21816" s="52">
        <v>96803.868124145694</v>
      </c>
      <c r="H21816" s="56">
        <v>0</v>
      </c>
      <c r="I21816" s="224" t="s">
        <v>2</v>
      </c>
    </row>
    <row r="21817" spans="1:9" x14ac:dyDescent="0.25">
      <c r="A21817" s="515">
        <v>31790</v>
      </c>
      <c r="C21817" s="52">
        <v>124191.545435532</v>
      </c>
      <c r="D21817" s="56">
        <v>-1.9572653577492615E-2</v>
      </c>
      <c r="E21817" s="224" t="s">
        <v>2</v>
      </c>
      <c r="F21817" s="515" t="s">
        <v>22985</v>
      </c>
      <c r="G21817" s="52">
        <v>247644.30681967799</v>
      </c>
      <c r="H21817" s="56">
        <v>2.649065322633061E-2</v>
      </c>
      <c r="I21817" s="224" t="s">
        <v>2</v>
      </c>
    </row>
    <row r="21818" spans="1:9" x14ac:dyDescent="0.25">
      <c r="A21818" s="515">
        <v>70528</v>
      </c>
      <c r="B21818" s="515" t="s">
        <v>1004</v>
      </c>
      <c r="C21818" s="52">
        <v>113509.745601288</v>
      </c>
      <c r="D21818" s="56">
        <v>-6.2873786520648553E-2</v>
      </c>
      <c r="E21818" s="224" t="s">
        <v>2</v>
      </c>
      <c r="F21818" s="515" t="s">
        <v>22986</v>
      </c>
      <c r="G21818" s="52">
        <v>456619.10905287502</v>
      </c>
      <c r="H21818" s="56">
        <v>0.18729522182870512</v>
      </c>
      <c r="I21818" s="224" t="s">
        <v>2</v>
      </c>
    </row>
    <row r="21819" spans="1:9" x14ac:dyDescent="0.25">
      <c r="A21819" s="515">
        <v>96065</v>
      </c>
      <c r="B21819" s="515" t="s">
        <v>514</v>
      </c>
      <c r="C21819" s="52">
        <v>283445.31848595297</v>
      </c>
      <c r="D21819" s="56">
        <v>-7.1772433852116374E-2</v>
      </c>
      <c r="E21819" s="224" t="s">
        <v>2</v>
      </c>
      <c r="F21819" s="515" t="s">
        <v>22987</v>
      </c>
      <c r="G21819" s="52">
        <v>82418.280641124104</v>
      </c>
      <c r="H21819" s="56">
        <v>9.7427546707660961E-2</v>
      </c>
      <c r="I21819" s="224" t="s">
        <v>2</v>
      </c>
    </row>
    <row r="21820" spans="1:9" x14ac:dyDescent="0.25">
      <c r="A21820" s="515">
        <v>91008</v>
      </c>
      <c r="B21820" s="515" t="s">
        <v>375</v>
      </c>
      <c r="C21820" s="52">
        <v>1746690.6810371601</v>
      </c>
      <c r="D21820" s="56">
        <v>1.4343413780884745E-2</v>
      </c>
      <c r="E21820" s="224" t="s">
        <v>2</v>
      </c>
      <c r="F21820" s="515" t="s">
        <v>22988</v>
      </c>
      <c r="G21820" s="52">
        <v>88199.5</v>
      </c>
      <c r="H21820" s="56">
        <v>0</v>
      </c>
      <c r="I21820" s="224" t="s">
        <v>2</v>
      </c>
    </row>
    <row r="21821" spans="1:9" x14ac:dyDescent="0.25">
      <c r="A21821" s="515">
        <v>23076</v>
      </c>
      <c r="B21821" s="515" t="s">
        <v>301</v>
      </c>
      <c r="C21821" s="52">
        <v>289297.32834003598</v>
      </c>
      <c r="D21821" s="56">
        <v>9.7991664527524343E-3</v>
      </c>
      <c r="E21821" s="224" t="s">
        <v>2</v>
      </c>
      <c r="F21821" s="515" t="s">
        <v>22989</v>
      </c>
      <c r="G21821" s="52">
        <v>415804.91832950799</v>
      </c>
      <c r="H21821" s="56">
        <v>9.6649031470670457E-2</v>
      </c>
      <c r="I21821" s="224" t="s">
        <v>2</v>
      </c>
    </row>
    <row r="21822" spans="1:9" x14ac:dyDescent="0.25">
      <c r="A21822" s="515">
        <v>81022</v>
      </c>
      <c r="B21822" s="515" t="s">
        <v>1003</v>
      </c>
      <c r="C21822" s="52">
        <v>246648.44780009601</v>
      </c>
      <c r="D21822" s="56">
        <v>5.6043059785757243E-2</v>
      </c>
      <c r="E21822" s="224" t="s">
        <v>2</v>
      </c>
      <c r="F21822" s="515" t="s">
        <v>22990</v>
      </c>
      <c r="G21822" s="52">
        <v>247512.92392307901</v>
      </c>
      <c r="H21822" s="56">
        <v>0</v>
      </c>
      <c r="I21822" s="224" t="s">
        <v>2</v>
      </c>
    </row>
    <row r="21823" spans="1:9" x14ac:dyDescent="0.25">
      <c r="A21823" s="515">
        <v>22654</v>
      </c>
      <c r="B21823" s="515" t="s">
        <v>629</v>
      </c>
      <c r="C21823" s="52">
        <v>345602.90232512302</v>
      </c>
      <c r="D21823" s="56">
        <v>6.1107609112277028E-2</v>
      </c>
      <c r="E21823" s="224" t="s">
        <v>2</v>
      </c>
      <c r="F21823" s="515" t="s">
        <v>22991</v>
      </c>
      <c r="G21823" s="52">
        <v>79780.692307692298</v>
      </c>
      <c r="H21823" s="56">
        <v>0</v>
      </c>
      <c r="I21823" s="224" t="s">
        <v>2</v>
      </c>
    </row>
    <row r="21824" spans="1:9" x14ac:dyDescent="0.25">
      <c r="A21824" s="515">
        <v>5770</v>
      </c>
      <c r="C21824" s="52">
        <v>341740.086582713</v>
      </c>
      <c r="D21824" s="56">
        <v>0.10343638745314999</v>
      </c>
      <c r="E21824" s="224" t="s">
        <v>2</v>
      </c>
      <c r="F21824" s="515" t="s">
        <v>22992</v>
      </c>
      <c r="G21824" s="52">
        <v>105895.80645161201</v>
      </c>
      <c r="H21824" s="56">
        <v>0</v>
      </c>
      <c r="I21824" s="224" t="s">
        <v>2</v>
      </c>
    </row>
    <row r="21825" spans="1:9" x14ac:dyDescent="0.25">
      <c r="A21825" s="515">
        <v>60604</v>
      </c>
      <c r="B21825" s="515" t="s">
        <v>394</v>
      </c>
      <c r="C21825" s="52">
        <v>299454.46184668998</v>
      </c>
      <c r="D21825" s="56">
        <v>6.9784819103446846E-2</v>
      </c>
      <c r="E21825" s="224">
        <v>2017.5</v>
      </c>
      <c r="F21825" s="515" t="s">
        <v>22993</v>
      </c>
      <c r="G21825" s="52">
        <v>185139.94751504</v>
      </c>
      <c r="H21825" s="56">
        <v>0.10341100445420333</v>
      </c>
      <c r="I21825" s="224" t="s">
        <v>2</v>
      </c>
    </row>
    <row r="21826" spans="1:9" x14ac:dyDescent="0.25">
      <c r="A21826" s="515">
        <v>15225</v>
      </c>
      <c r="B21826" s="515" t="s">
        <v>297</v>
      </c>
      <c r="C21826" s="52">
        <v>147218.857532814</v>
      </c>
      <c r="D21826" s="56">
        <v>3.3378691017207585E-2</v>
      </c>
      <c r="E21826" s="224" t="s">
        <v>2</v>
      </c>
      <c r="F21826" s="515" t="s">
        <v>22994</v>
      </c>
      <c r="G21826" s="52">
        <v>179858.587037688</v>
      </c>
      <c r="H21826" s="56">
        <v>0</v>
      </c>
      <c r="I21826" s="224" t="s">
        <v>2</v>
      </c>
    </row>
    <row r="21827" spans="1:9" x14ac:dyDescent="0.25">
      <c r="A21827" s="515">
        <v>12046</v>
      </c>
      <c r="B21827" s="515" t="s">
        <v>609</v>
      </c>
      <c r="C21827" s="52">
        <v>273965.47364366299</v>
      </c>
      <c r="D21827" s="56">
        <v>8.5106032500153181E-2</v>
      </c>
      <c r="E21827" s="224" t="s">
        <v>2</v>
      </c>
      <c r="F21827" s="515" t="s">
        <v>22995</v>
      </c>
      <c r="G21827" s="52">
        <v>376497.38497993798</v>
      </c>
      <c r="H21827" s="56">
        <v>8.3660640286674651E-2</v>
      </c>
      <c r="I21827" s="224" t="s">
        <v>2</v>
      </c>
    </row>
    <row r="21828" spans="1:9" x14ac:dyDescent="0.25">
      <c r="A21828" s="515">
        <v>30446</v>
      </c>
      <c r="C21828" s="52">
        <v>149184.59188760101</v>
      </c>
      <c r="D21828" s="56">
        <v>5.1945731207473742E-2</v>
      </c>
      <c r="E21828" s="224" t="s">
        <v>2</v>
      </c>
      <c r="F21828" s="515" t="s">
        <v>22996</v>
      </c>
      <c r="G21828" s="52">
        <v>325503.87109073898</v>
      </c>
      <c r="H21828" s="56">
        <v>8.3362930424507542E-2</v>
      </c>
      <c r="I21828" s="224" t="s">
        <v>2</v>
      </c>
    </row>
    <row r="21829" spans="1:9" x14ac:dyDescent="0.25">
      <c r="A21829" s="515">
        <v>11569</v>
      </c>
      <c r="B21829" s="515" t="s">
        <v>324</v>
      </c>
      <c r="C21829" s="52">
        <v>1095659.292506</v>
      </c>
      <c r="D21829" s="56">
        <v>0.11357408001848614</v>
      </c>
      <c r="E21829" s="224" t="s">
        <v>2</v>
      </c>
      <c r="F21829" s="515" t="s">
        <v>22997</v>
      </c>
      <c r="G21829" s="52">
        <v>133892.360207775</v>
      </c>
      <c r="H21829" s="56">
        <v>0</v>
      </c>
      <c r="I21829" s="224" t="s">
        <v>2</v>
      </c>
    </row>
    <row r="21830" spans="1:9" x14ac:dyDescent="0.25">
      <c r="A21830" s="515">
        <v>42140</v>
      </c>
      <c r="C21830" s="52">
        <v>117521.51842388501</v>
      </c>
      <c r="D21830" s="56">
        <v>0.11861766571379696</v>
      </c>
      <c r="E21830" s="224" t="s">
        <v>2</v>
      </c>
      <c r="F21830" s="515" t="s">
        <v>22998</v>
      </c>
      <c r="G21830" s="52">
        <v>201808.54054054001</v>
      </c>
      <c r="H21830" s="56">
        <v>0</v>
      </c>
      <c r="I21830" s="224" t="s">
        <v>2</v>
      </c>
    </row>
    <row r="21831" spans="1:9" x14ac:dyDescent="0.25">
      <c r="A21831" s="515">
        <v>63626</v>
      </c>
      <c r="C21831" s="52">
        <v>224616.877159525</v>
      </c>
      <c r="D21831" s="56">
        <v>4.9251353787049632E-2</v>
      </c>
      <c r="E21831" s="224" t="s">
        <v>2</v>
      </c>
      <c r="F21831" s="515" t="s">
        <v>22999</v>
      </c>
      <c r="G21831" s="52">
        <v>735020.21337807795</v>
      </c>
      <c r="H21831" s="56">
        <v>0.13900655748688934</v>
      </c>
      <c r="I21831" s="224" t="s">
        <v>2</v>
      </c>
    </row>
    <row r="21832" spans="1:9" x14ac:dyDescent="0.25">
      <c r="A21832" s="515">
        <v>41777</v>
      </c>
      <c r="C21832" s="52">
        <v>64843.118428972302</v>
      </c>
      <c r="D21832" s="56">
        <v>0.32837781337811128</v>
      </c>
      <c r="E21832" s="224" t="s">
        <v>2</v>
      </c>
      <c r="F21832" s="515" t="s">
        <v>23000</v>
      </c>
      <c r="G21832" s="52">
        <v>147567.411764705</v>
      </c>
      <c r="H21832" s="56">
        <v>0</v>
      </c>
      <c r="I21832" s="224" t="s">
        <v>2</v>
      </c>
    </row>
    <row r="21833" spans="1:9" x14ac:dyDescent="0.25">
      <c r="A21833" s="515">
        <v>59215</v>
      </c>
      <c r="C21833" s="52">
        <v>262315.43070730899</v>
      </c>
      <c r="D21833" s="56">
        <v>0.12820375133682532</v>
      </c>
      <c r="E21833" s="224" t="s">
        <v>2</v>
      </c>
      <c r="F21833" s="515" t="s">
        <v>23001</v>
      </c>
      <c r="G21833" s="52">
        <v>154883.19187186399</v>
      </c>
      <c r="H21833" s="56">
        <v>0</v>
      </c>
      <c r="I21833" s="224" t="s">
        <v>2</v>
      </c>
    </row>
    <row r="21834" spans="1:9" x14ac:dyDescent="0.25">
      <c r="A21834" s="515">
        <v>2659</v>
      </c>
      <c r="B21834" s="515" t="s">
        <v>427</v>
      </c>
      <c r="C21834" s="52">
        <v>832426.37429700501</v>
      </c>
      <c r="D21834" s="56">
        <v>0.12810355124550041</v>
      </c>
      <c r="E21834" s="224" t="s">
        <v>2</v>
      </c>
      <c r="F21834" s="515" t="s">
        <v>23002</v>
      </c>
      <c r="G21834" s="52">
        <v>268889.142620078</v>
      </c>
      <c r="H21834" s="56">
        <v>0.11005983245641628</v>
      </c>
      <c r="I21834" s="224" t="s">
        <v>2</v>
      </c>
    </row>
    <row r="21835" spans="1:9" x14ac:dyDescent="0.25">
      <c r="A21835" s="515">
        <v>54659</v>
      </c>
      <c r="C21835" s="52">
        <v>131779.852648328</v>
      </c>
      <c r="D21835" s="56">
        <v>3.0515009678119261E-2</v>
      </c>
      <c r="E21835" s="224" t="s">
        <v>2</v>
      </c>
      <c r="F21835" s="515" t="s">
        <v>23003</v>
      </c>
      <c r="G21835" s="52">
        <v>353556.5</v>
      </c>
      <c r="H21835" s="56">
        <v>0</v>
      </c>
      <c r="I21835" s="224" t="s">
        <v>2</v>
      </c>
    </row>
    <row r="21836" spans="1:9" x14ac:dyDescent="0.25">
      <c r="A21836" s="515">
        <v>54962</v>
      </c>
      <c r="C21836" s="52">
        <v>178250.86913188401</v>
      </c>
      <c r="D21836" s="56">
        <v>6.3113680251618079E-2</v>
      </c>
      <c r="E21836" s="224" t="s">
        <v>2</v>
      </c>
      <c r="F21836" s="515" t="s">
        <v>23004</v>
      </c>
      <c r="G21836" s="52">
        <v>156745.97511955601</v>
      </c>
      <c r="H21836" s="56">
        <v>8.5204963292748709E-2</v>
      </c>
      <c r="I21836" s="224" t="s">
        <v>2</v>
      </c>
    </row>
    <row r="21837" spans="1:9" x14ac:dyDescent="0.25">
      <c r="A21837" s="515">
        <v>42215</v>
      </c>
      <c r="B21837" s="515" t="s">
        <v>651</v>
      </c>
      <c r="C21837" s="52">
        <v>151972.03203902699</v>
      </c>
      <c r="D21837" s="56">
        <v>0.17367317025605178</v>
      </c>
      <c r="E21837" s="224" t="s">
        <v>2</v>
      </c>
      <c r="F21837" s="515" t="s">
        <v>23005</v>
      </c>
      <c r="G21837" s="52">
        <v>118622.82983826099</v>
      </c>
      <c r="H21837" s="56">
        <v>-3.2416088533380662E-2</v>
      </c>
      <c r="I21837" s="224" t="s">
        <v>2</v>
      </c>
    </row>
    <row r="21838" spans="1:9" x14ac:dyDescent="0.25">
      <c r="A21838" s="515">
        <v>47859</v>
      </c>
      <c r="B21838" s="515" t="s">
        <v>318</v>
      </c>
      <c r="C21838" s="52">
        <v>173086.32547208201</v>
      </c>
      <c r="D21838" s="56">
        <v>6.0023614956171936E-2</v>
      </c>
      <c r="E21838" s="224" t="s">
        <v>2</v>
      </c>
      <c r="F21838" s="515" t="s">
        <v>23006</v>
      </c>
      <c r="G21838" s="52">
        <v>93382.277375641002</v>
      </c>
      <c r="H21838" s="56">
        <v>0.15743327018778175</v>
      </c>
      <c r="I21838" s="224" t="s">
        <v>2</v>
      </c>
    </row>
    <row r="21839" spans="1:9" x14ac:dyDescent="0.25">
      <c r="A21839" s="515">
        <v>25567</v>
      </c>
      <c r="B21839" s="515" t="s">
        <v>322</v>
      </c>
      <c r="C21839" s="52">
        <v>107643.46640336901</v>
      </c>
      <c r="D21839" s="56">
        <v>0.16452097016179898</v>
      </c>
      <c r="E21839" s="224" t="s">
        <v>2</v>
      </c>
      <c r="F21839" s="515" t="s">
        <v>23007</v>
      </c>
      <c r="G21839" s="52">
        <v>110300.08896276201</v>
      </c>
      <c r="H21839" s="56">
        <v>0</v>
      </c>
      <c r="I21839" s="224" t="s">
        <v>2</v>
      </c>
    </row>
    <row r="21840" spans="1:9" x14ac:dyDescent="0.25">
      <c r="A21840" s="515">
        <v>55018</v>
      </c>
      <c r="B21840" s="515" t="s">
        <v>663</v>
      </c>
      <c r="C21840" s="52">
        <v>391090.527595944</v>
      </c>
      <c r="D21840" s="56">
        <v>6.5817501195275796E-2</v>
      </c>
      <c r="E21840" s="224" t="s">
        <v>2</v>
      </c>
      <c r="F21840" s="515" t="s">
        <v>23008</v>
      </c>
      <c r="G21840" s="52">
        <v>356442.40102902101</v>
      </c>
      <c r="H21840" s="56">
        <v>7.779904538161253E-2</v>
      </c>
      <c r="I21840" s="224" t="s">
        <v>2</v>
      </c>
    </row>
    <row r="21841" spans="1:9" x14ac:dyDescent="0.25">
      <c r="A21841" s="515">
        <v>94514</v>
      </c>
      <c r="B21841" s="515" t="s">
        <v>593</v>
      </c>
      <c r="C21841" s="52">
        <v>715922.58102472697</v>
      </c>
      <c r="D21841" s="56">
        <v>3.8789738656812875E-3</v>
      </c>
      <c r="E21841" s="224" t="s">
        <v>2</v>
      </c>
      <c r="F21841" s="515" t="s">
        <v>23009</v>
      </c>
      <c r="G21841" s="52">
        <v>264320.21133793902</v>
      </c>
      <c r="H21841" s="56">
        <v>0.22000197376433842</v>
      </c>
      <c r="I21841" s="224" t="s">
        <v>2</v>
      </c>
    </row>
    <row r="21842" spans="1:9" x14ac:dyDescent="0.25">
      <c r="A21842" s="515">
        <v>47431</v>
      </c>
      <c r="B21842" s="515" t="s">
        <v>554</v>
      </c>
      <c r="C21842" s="52">
        <v>195141.83811230501</v>
      </c>
      <c r="D21842" s="56">
        <v>6.5019024150972687E-2</v>
      </c>
      <c r="E21842" s="224" t="s">
        <v>2</v>
      </c>
      <c r="F21842" s="515" t="s">
        <v>23010</v>
      </c>
      <c r="G21842" s="52">
        <v>476889.86785920901</v>
      </c>
      <c r="H21842" s="56">
        <v>0.16606381633085462</v>
      </c>
      <c r="I21842" s="224" t="s">
        <v>2</v>
      </c>
    </row>
    <row r="21843" spans="1:9" x14ac:dyDescent="0.25">
      <c r="A21843" s="515">
        <v>62367</v>
      </c>
      <c r="B21843" s="515" t="s">
        <v>493</v>
      </c>
      <c r="C21843" s="52">
        <v>75523.608939159603</v>
      </c>
      <c r="D21843" s="56">
        <v>-4.2740811893191731E-3</v>
      </c>
      <c r="E21843" s="224" t="s">
        <v>2</v>
      </c>
      <c r="F21843" s="515" t="s">
        <v>23011</v>
      </c>
      <c r="G21843" s="52">
        <v>140497.51430736599</v>
      </c>
      <c r="H21843" s="56">
        <v>8.4346437518390507E-2</v>
      </c>
      <c r="I21843" s="224" t="s">
        <v>2</v>
      </c>
    </row>
    <row r="21844" spans="1:9" x14ac:dyDescent="0.25">
      <c r="A21844" s="515">
        <v>95547</v>
      </c>
      <c r="B21844" s="515" t="s">
        <v>352</v>
      </c>
      <c r="C21844" s="52">
        <v>470179.91059184802</v>
      </c>
      <c r="D21844" s="56">
        <v>-5.6268667802791862E-2</v>
      </c>
      <c r="E21844" s="224" t="s">
        <v>2</v>
      </c>
      <c r="F21844" s="515" t="s">
        <v>23012</v>
      </c>
      <c r="G21844" s="52">
        <v>85098.044862778799</v>
      </c>
      <c r="H21844" s="56">
        <v>0.17468893537801031</v>
      </c>
      <c r="I21844" s="224" t="s">
        <v>2</v>
      </c>
    </row>
    <row r="21845" spans="1:9" x14ac:dyDescent="0.25">
      <c r="A21845" s="515">
        <v>45898</v>
      </c>
      <c r="B21845" s="515" t="s">
        <v>818</v>
      </c>
      <c r="C21845" s="52">
        <v>134145.966466766</v>
      </c>
      <c r="D21845" s="56">
        <v>7.0070309157127239E-2</v>
      </c>
      <c r="E21845" s="224" t="s">
        <v>2</v>
      </c>
      <c r="F21845" s="515" t="s">
        <v>23013</v>
      </c>
      <c r="G21845" s="52">
        <v>77306.039812741801</v>
      </c>
      <c r="H21845" s="56">
        <v>-4.4704757449263575E-2</v>
      </c>
      <c r="I21845" s="224" t="s">
        <v>2</v>
      </c>
    </row>
    <row r="21846" spans="1:9" x14ac:dyDescent="0.25">
      <c r="A21846" s="515">
        <v>17006</v>
      </c>
      <c r="B21846" s="515" t="s">
        <v>428</v>
      </c>
      <c r="C21846" s="52">
        <v>145968.86465090199</v>
      </c>
      <c r="D21846" s="56">
        <v>5.8459953413689113E-2</v>
      </c>
      <c r="E21846" s="224" t="s">
        <v>2</v>
      </c>
      <c r="F21846" s="515" t="s">
        <v>23014</v>
      </c>
      <c r="G21846" s="52">
        <v>3575617.7904457599</v>
      </c>
      <c r="H21846" s="56">
        <v>0.16454119735220818</v>
      </c>
      <c r="I21846" s="224" t="s">
        <v>2</v>
      </c>
    </row>
    <row r="21847" spans="1:9" x14ac:dyDescent="0.25">
      <c r="A21847" s="515">
        <v>3262</v>
      </c>
      <c r="B21847" s="515" t="s">
        <v>420</v>
      </c>
      <c r="C21847" s="52">
        <v>323504.22075539402</v>
      </c>
      <c r="D21847" s="56">
        <v>0.10698042384121467</v>
      </c>
      <c r="E21847" s="224" t="s">
        <v>2</v>
      </c>
      <c r="F21847" s="515" t="s">
        <v>23015</v>
      </c>
      <c r="G21847" s="52">
        <v>64507.837233653801</v>
      </c>
      <c r="H21847" s="56">
        <v>0</v>
      </c>
      <c r="I21847" s="224" t="s">
        <v>2</v>
      </c>
    </row>
    <row r="21848" spans="1:9" x14ac:dyDescent="0.25">
      <c r="A21848" s="515">
        <v>15018</v>
      </c>
      <c r="B21848" s="515" t="s">
        <v>297</v>
      </c>
      <c r="C21848" s="52">
        <v>97113.434354410303</v>
      </c>
      <c r="D21848" s="56">
        <v>0.11040214279044247</v>
      </c>
      <c r="E21848" s="224" t="s">
        <v>2</v>
      </c>
      <c r="F21848" s="515" t="s">
        <v>23016</v>
      </c>
      <c r="G21848" s="52">
        <v>177567.18181818101</v>
      </c>
      <c r="H21848" s="56">
        <v>0</v>
      </c>
      <c r="I21848" s="224" t="s">
        <v>2</v>
      </c>
    </row>
    <row r="21849" spans="1:9" x14ac:dyDescent="0.25">
      <c r="A21849" s="515">
        <v>54813</v>
      </c>
      <c r="C21849" s="52">
        <v>192983.728046654</v>
      </c>
      <c r="D21849" s="56">
        <v>2.4123363422391401E-2</v>
      </c>
      <c r="E21849" s="224" t="s">
        <v>2</v>
      </c>
      <c r="F21849" s="515" t="s">
        <v>23017</v>
      </c>
      <c r="G21849" s="52">
        <v>415657.23768211697</v>
      </c>
      <c r="H21849" s="56">
        <v>8.7296968968234454E-2</v>
      </c>
      <c r="I21849" s="224" t="s">
        <v>2</v>
      </c>
    </row>
    <row r="21850" spans="1:9" x14ac:dyDescent="0.25">
      <c r="A21850" s="515">
        <v>49675</v>
      </c>
      <c r="C21850" s="52">
        <v>282221.32136793202</v>
      </c>
      <c r="D21850" s="56">
        <v>3.903189811482223E-2</v>
      </c>
      <c r="E21850" s="224" t="s">
        <v>2</v>
      </c>
      <c r="F21850" s="515" t="s">
        <v>23018</v>
      </c>
      <c r="G21850" s="52">
        <v>179877.268711054</v>
      </c>
      <c r="H21850" s="56">
        <v>2.9912163086812302E-2</v>
      </c>
      <c r="I21850" s="224" t="s">
        <v>2</v>
      </c>
    </row>
    <row r="21851" spans="1:9" x14ac:dyDescent="0.25">
      <c r="A21851" s="515">
        <v>10501</v>
      </c>
      <c r="B21851" s="515" t="s">
        <v>324</v>
      </c>
      <c r="C21851" s="52">
        <v>608091.76381240995</v>
      </c>
      <c r="D21851" s="56">
        <v>4.9205826614069643E-2</v>
      </c>
      <c r="E21851" s="224" t="s">
        <v>2</v>
      </c>
      <c r="F21851" s="515" t="s">
        <v>23019</v>
      </c>
      <c r="G21851" s="52">
        <v>112424.15952216899</v>
      </c>
      <c r="H21851" s="56">
        <v>0.34486942220145572</v>
      </c>
      <c r="I21851" s="224" t="s">
        <v>2</v>
      </c>
    </row>
    <row r="21852" spans="1:9" x14ac:dyDescent="0.25">
      <c r="A21852" s="515">
        <v>42451</v>
      </c>
      <c r="B21852" s="515" t="s">
        <v>911</v>
      </c>
      <c r="C21852" s="52">
        <v>100215.594823684</v>
      </c>
      <c r="D21852" s="56">
        <v>0.12555790524976118</v>
      </c>
      <c r="E21852" s="224" t="s">
        <v>2</v>
      </c>
      <c r="F21852" s="515" t="s">
        <v>23020</v>
      </c>
      <c r="G21852" s="52">
        <v>411262.55</v>
      </c>
      <c r="H21852" s="56">
        <v>0</v>
      </c>
      <c r="I21852" s="224" t="s">
        <v>2</v>
      </c>
    </row>
    <row r="21853" spans="1:9" x14ac:dyDescent="0.25">
      <c r="A21853" s="515">
        <v>78827</v>
      </c>
      <c r="C21853" s="52">
        <v>80273.742687951206</v>
      </c>
      <c r="D21853" s="56">
        <v>0</v>
      </c>
      <c r="E21853" s="224" t="s">
        <v>2</v>
      </c>
      <c r="F21853" s="515" t="s">
        <v>23021</v>
      </c>
      <c r="G21853" s="52">
        <v>85327.177567776496</v>
      </c>
      <c r="H21853" s="56">
        <v>0.15650876537625899</v>
      </c>
      <c r="I21853" s="224" t="s">
        <v>2</v>
      </c>
    </row>
    <row r="21854" spans="1:9" x14ac:dyDescent="0.25">
      <c r="A21854" s="515">
        <v>12086</v>
      </c>
      <c r="B21854" s="515" t="s">
        <v>744</v>
      </c>
      <c r="C21854" s="52">
        <v>214167.16164527499</v>
      </c>
      <c r="D21854" s="56">
        <v>0.10092780518052645</v>
      </c>
      <c r="E21854" s="224" t="s">
        <v>2</v>
      </c>
      <c r="F21854" s="515" t="s">
        <v>23022</v>
      </c>
      <c r="G21854" s="52">
        <v>428222.08514708502</v>
      </c>
      <c r="H21854" s="56">
        <v>8.7444158442940456E-2</v>
      </c>
      <c r="I21854" s="224" t="s">
        <v>2</v>
      </c>
    </row>
    <row r="21855" spans="1:9" x14ac:dyDescent="0.25">
      <c r="A21855" s="515">
        <v>65264</v>
      </c>
      <c r="B21855" s="515" t="s">
        <v>787</v>
      </c>
      <c r="C21855" s="52">
        <v>185728.68076001399</v>
      </c>
      <c r="D21855" s="56">
        <v>0.12780041279660409</v>
      </c>
      <c r="E21855" s="224" t="s">
        <v>2</v>
      </c>
      <c r="F21855" s="515" t="s">
        <v>23023</v>
      </c>
      <c r="G21855" s="52">
        <v>219200.93494034401</v>
      </c>
      <c r="H21855" s="56">
        <v>0.15792947164888077</v>
      </c>
      <c r="I21855" s="224" t="s">
        <v>2</v>
      </c>
    </row>
    <row r="21856" spans="1:9" x14ac:dyDescent="0.25">
      <c r="A21856" s="515">
        <v>68733</v>
      </c>
      <c r="B21856" s="515" t="s">
        <v>649</v>
      </c>
      <c r="C21856" s="52">
        <v>140859.87267968999</v>
      </c>
      <c r="D21856" s="56">
        <v>0.10381771545923105</v>
      </c>
      <c r="E21856" s="224" t="s">
        <v>2</v>
      </c>
      <c r="F21856" s="515" t="s">
        <v>23024</v>
      </c>
      <c r="G21856" s="52">
        <v>100249.73593872599</v>
      </c>
      <c r="H21856" s="56">
        <v>0.2032185920156814</v>
      </c>
      <c r="I21856" s="224" t="s">
        <v>2</v>
      </c>
    </row>
    <row r="21857" spans="1:9" x14ac:dyDescent="0.25">
      <c r="A21857" s="515">
        <v>98850</v>
      </c>
      <c r="B21857" s="515" t="s">
        <v>521</v>
      </c>
      <c r="C21857" s="52">
        <v>382420.926425185</v>
      </c>
      <c r="D21857" s="56">
        <v>9.6008445014275398E-2</v>
      </c>
      <c r="E21857" s="224" t="s">
        <v>2</v>
      </c>
      <c r="F21857" s="515" t="s">
        <v>23025</v>
      </c>
      <c r="G21857" s="52">
        <v>428160.23333333299</v>
      </c>
      <c r="H21857" s="56">
        <v>0</v>
      </c>
      <c r="I21857" s="224" t="s">
        <v>2</v>
      </c>
    </row>
    <row r="21858" spans="1:9" x14ac:dyDescent="0.25">
      <c r="A21858" s="515">
        <v>49130</v>
      </c>
      <c r="B21858" s="515" t="s">
        <v>1002</v>
      </c>
      <c r="C21858" s="52">
        <v>302789.81766996899</v>
      </c>
      <c r="D21858" s="56">
        <v>7.7961385484864365E-2</v>
      </c>
      <c r="E21858" s="224" t="s">
        <v>2</v>
      </c>
      <c r="F21858" s="515" t="s">
        <v>23026</v>
      </c>
      <c r="G21858" s="52">
        <v>149294.405142392</v>
      </c>
      <c r="H21858" s="56">
        <v>6.9759370126596623E-2</v>
      </c>
      <c r="I21858" s="224" t="s">
        <v>2</v>
      </c>
    </row>
    <row r="21859" spans="1:9" x14ac:dyDescent="0.25">
      <c r="A21859" s="515">
        <v>3886</v>
      </c>
      <c r="C21859" s="52">
        <v>336135.06300994201</v>
      </c>
      <c r="D21859" s="56">
        <v>0.1374085578532788</v>
      </c>
      <c r="E21859" s="224" t="s">
        <v>2</v>
      </c>
      <c r="F21859" s="515" t="s">
        <v>23027</v>
      </c>
      <c r="G21859" s="52">
        <v>76238.553019906802</v>
      </c>
      <c r="H21859" s="56">
        <v>2.361913751365954E-2</v>
      </c>
      <c r="I21859" s="224" t="s">
        <v>2</v>
      </c>
    </row>
    <row r="21860" spans="1:9" x14ac:dyDescent="0.25">
      <c r="A21860" s="515">
        <v>23959</v>
      </c>
      <c r="C21860" s="52">
        <v>131341.35830498001</v>
      </c>
      <c r="D21860" s="56">
        <v>0</v>
      </c>
      <c r="E21860" s="224" t="s">
        <v>2</v>
      </c>
      <c r="F21860" s="515" t="s">
        <v>23028</v>
      </c>
      <c r="G21860" s="52">
        <v>394685.8</v>
      </c>
      <c r="H21860" s="56">
        <v>0</v>
      </c>
      <c r="I21860" s="224" t="s">
        <v>2</v>
      </c>
    </row>
    <row r="21861" spans="1:9" x14ac:dyDescent="0.25">
      <c r="A21861" s="515">
        <v>89007</v>
      </c>
      <c r="B21861" s="515" t="s">
        <v>323</v>
      </c>
      <c r="C21861" s="52">
        <v>332366.25239664997</v>
      </c>
      <c r="D21861" s="56">
        <v>5.7858561626113483E-2</v>
      </c>
      <c r="E21861" s="224" t="s">
        <v>2</v>
      </c>
      <c r="F21861" s="515" t="s">
        <v>23029</v>
      </c>
      <c r="G21861" s="52">
        <v>298270.428571428</v>
      </c>
      <c r="H21861" s="56">
        <v>0</v>
      </c>
      <c r="I21861" s="224" t="s">
        <v>2</v>
      </c>
    </row>
    <row r="21862" spans="1:9" x14ac:dyDescent="0.25">
      <c r="A21862" s="515">
        <v>23071</v>
      </c>
      <c r="C21862" s="52">
        <v>360638.083952735</v>
      </c>
      <c r="D21862" s="56">
        <v>4.0099577527552506E-2</v>
      </c>
      <c r="E21862" s="224" t="s">
        <v>2</v>
      </c>
      <c r="F21862" s="515" t="s">
        <v>23030</v>
      </c>
      <c r="G21862" s="52">
        <v>310933.08583375602</v>
      </c>
      <c r="H21862" s="56">
        <v>7.482786989235099E-2</v>
      </c>
      <c r="I21862" s="224" t="s">
        <v>2</v>
      </c>
    </row>
    <row r="21863" spans="1:9" x14ac:dyDescent="0.25">
      <c r="A21863" s="515">
        <v>11509</v>
      </c>
      <c r="B21863" s="515" t="s">
        <v>324</v>
      </c>
      <c r="C21863" s="52">
        <v>1216811.7806569999</v>
      </c>
      <c r="D21863" s="56">
        <v>0.12244063409939558</v>
      </c>
      <c r="E21863" s="224" t="s">
        <v>2</v>
      </c>
      <c r="F21863" s="515" t="s">
        <v>23031</v>
      </c>
      <c r="G21863" s="52">
        <v>124284.28803050899</v>
      </c>
      <c r="H21863" s="56">
        <v>0.10339942895561463</v>
      </c>
      <c r="I21863" s="224" t="s">
        <v>2</v>
      </c>
    </row>
    <row r="21864" spans="1:9" x14ac:dyDescent="0.25">
      <c r="A21864" s="515">
        <v>45348</v>
      </c>
      <c r="B21864" s="515" t="s">
        <v>316</v>
      </c>
      <c r="C21864" s="52">
        <v>255458.76182583999</v>
      </c>
      <c r="D21864" s="56">
        <v>0.11252323978893615</v>
      </c>
      <c r="E21864" s="224" t="s">
        <v>2</v>
      </c>
      <c r="F21864" s="515" t="s">
        <v>23032</v>
      </c>
      <c r="G21864" s="52">
        <v>129591.20262217001</v>
      </c>
      <c r="H21864" s="56">
        <v>3.2269425452250769E-2</v>
      </c>
      <c r="I21864" s="224" t="s">
        <v>2</v>
      </c>
    </row>
    <row r="21865" spans="1:9" x14ac:dyDescent="0.25">
      <c r="A21865" s="515">
        <v>38241</v>
      </c>
      <c r="B21865" s="515" t="s">
        <v>788</v>
      </c>
      <c r="C21865" s="52">
        <v>145385.48151554199</v>
      </c>
      <c r="D21865" s="56">
        <v>0</v>
      </c>
      <c r="E21865" s="224" t="s">
        <v>2</v>
      </c>
      <c r="F21865" s="515" t="s">
        <v>23033</v>
      </c>
      <c r="G21865" s="52">
        <v>285510.05818004801</v>
      </c>
      <c r="H21865" s="56">
        <v>0</v>
      </c>
      <c r="I21865" s="224" t="s">
        <v>2</v>
      </c>
    </row>
    <row r="21866" spans="1:9" x14ac:dyDescent="0.25">
      <c r="A21866" s="515">
        <v>85645</v>
      </c>
      <c r="B21866" s="515" t="s">
        <v>368</v>
      </c>
      <c r="C21866" s="52">
        <v>223749.59643914099</v>
      </c>
      <c r="D21866" s="56">
        <v>8.6537887237351271E-2</v>
      </c>
      <c r="E21866" s="224" t="s">
        <v>2</v>
      </c>
      <c r="F21866" s="515" t="s">
        <v>23034</v>
      </c>
      <c r="G21866" s="52">
        <v>86151.071602454205</v>
      </c>
      <c r="H21866" s="56">
        <v>3.3779646072808638E-2</v>
      </c>
      <c r="I21866" s="224" t="s">
        <v>2</v>
      </c>
    </row>
    <row r="21867" spans="1:9" x14ac:dyDescent="0.25">
      <c r="A21867" s="515">
        <v>64688</v>
      </c>
      <c r="C21867" s="52">
        <v>156102.79171312301</v>
      </c>
      <c r="D21867" s="56">
        <v>0.11479129086261948</v>
      </c>
      <c r="E21867" s="224" t="s">
        <v>2</v>
      </c>
      <c r="F21867" s="515" t="s">
        <v>23035</v>
      </c>
      <c r="G21867" s="52">
        <v>120242.38095238</v>
      </c>
      <c r="H21867" s="56">
        <v>0</v>
      </c>
      <c r="I21867" s="224" t="s">
        <v>2</v>
      </c>
    </row>
    <row r="21868" spans="1:9" x14ac:dyDescent="0.25">
      <c r="A21868" s="515">
        <v>50540</v>
      </c>
      <c r="C21868" s="52">
        <v>92428.198042618998</v>
      </c>
      <c r="D21868" s="56">
        <v>0</v>
      </c>
      <c r="E21868" s="224" t="s">
        <v>2</v>
      </c>
      <c r="F21868" s="515" t="s">
        <v>23036</v>
      </c>
      <c r="G21868" s="52">
        <v>108656.372093023</v>
      </c>
      <c r="H21868" s="56">
        <v>0</v>
      </c>
      <c r="I21868" s="224" t="s">
        <v>2</v>
      </c>
    </row>
    <row r="21869" spans="1:9" x14ac:dyDescent="0.25">
      <c r="A21869" s="515">
        <v>11972</v>
      </c>
      <c r="B21869" s="515" t="s">
        <v>324</v>
      </c>
      <c r="C21869" s="52">
        <v>652059.220777579</v>
      </c>
      <c r="D21869" s="56">
        <v>8.5795149017230746E-2</v>
      </c>
      <c r="E21869" s="224" t="s">
        <v>2</v>
      </c>
      <c r="F21869" s="515" t="s">
        <v>23037</v>
      </c>
      <c r="G21869" s="52">
        <v>462292.38596491201</v>
      </c>
      <c r="H21869" s="56">
        <v>0</v>
      </c>
      <c r="I21869" s="224" t="s">
        <v>2</v>
      </c>
    </row>
    <row r="21870" spans="1:9" x14ac:dyDescent="0.25">
      <c r="A21870" s="515">
        <v>61442</v>
      </c>
      <c r="B21870" s="515" t="s">
        <v>439</v>
      </c>
      <c r="C21870" s="52">
        <v>66660.096563311105</v>
      </c>
      <c r="D21870" s="56">
        <v>-9.5675592341056461E-3</v>
      </c>
      <c r="E21870" s="224" t="s">
        <v>2</v>
      </c>
      <c r="F21870" s="515" t="s">
        <v>23038</v>
      </c>
      <c r="G21870" s="52">
        <v>882983.20060116297</v>
      </c>
      <c r="H21870" s="56">
        <v>7.7605322756514702E-2</v>
      </c>
      <c r="I21870" s="224" t="s">
        <v>2</v>
      </c>
    </row>
    <row r="21871" spans="1:9" x14ac:dyDescent="0.25">
      <c r="A21871" s="515">
        <v>54529</v>
      </c>
      <c r="C21871" s="52">
        <v>258268.66202158399</v>
      </c>
      <c r="D21871" s="56">
        <v>0.10573069772000118</v>
      </c>
      <c r="E21871" s="224" t="s">
        <v>2</v>
      </c>
      <c r="F21871" s="515" t="s">
        <v>23039</v>
      </c>
      <c r="G21871" s="52">
        <v>65598.5430447533</v>
      </c>
      <c r="H21871" s="56">
        <v>8.1369647433566644E-2</v>
      </c>
      <c r="I21871" s="224" t="s">
        <v>2</v>
      </c>
    </row>
    <row r="21872" spans="1:9" x14ac:dyDescent="0.25">
      <c r="A21872" s="515">
        <v>98923</v>
      </c>
      <c r="B21872" s="515" t="s">
        <v>948</v>
      </c>
      <c r="C21872" s="52">
        <v>308607.82361532398</v>
      </c>
      <c r="D21872" s="56">
        <v>4.4612810163047578E-2</v>
      </c>
      <c r="E21872" s="224" t="s">
        <v>2</v>
      </c>
      <c r="F21872" s="515" t="s">
        <v>23040</v>
      </c>
      <c r="G21872" s="52">
        <v>222392.46363907901</v>
      </c>
      <c r="H21872" s="56">
        <v>5.8516676003077077E-2</v>
      </c>
      <c r="I21872" s="224" t="s">
        <v>2</v>
      </c>
    </row>
    <row r="21873" spans="1:9" x14ac:dyDescent="0.25">
      <c r="A21873" s="515">
        <v>48468</v>
      </c>
      <c r="C21873" s="52">
        <v>122708.51102242499</v>
      </c>
      <c r="D21873" s="56">
        <v>-2.4467671035315407E-2</v>
      </c>
      <c r="E21873" s="224" t="s">
        <v>2</v>
      </c>
      <c r="F21873" s="515" t="s">
        <v>23041</v>
      </c>
      <c r="G21873" s="52">
        <v>277237.290774516</v>
      </c>
      <c r="H21873" s="56">
        <v>0</v>
      </c>
      <c r="I21873" s="224" t="s">
        <v>2</v>
      </c>
    </row>
    <row r="21874" spans="1:9" x14ac:dyDescent="0.25">
      <c r="A21874" s="515">
        <v>68624</v>
      </c>
      <c r="C21874" s="52">
        <v>188553.27232457401</v>
      </c>
      <c r="D21874" s="56">
        <v>3.3776109685453609E-2</v>
      </c>
      <c r="E21874" s="224" t="s">
        <v>2</v>
      </c>
      <c r="F21874" s="515" t="s">
        <v>23042</v>
      </c>
      <c r="G21874" s="52">
        <v>372652.132167381</v>
      </c>
      <c r="H21874" s="56">
        <v>0.10703625758425045</v>
      </c>
      <c r="I21874" s="224" t="s">
        <v>2</v>
      </c>
    </row>
    <row r="21875" spans="1:9" x14ac:dyDescent="0.25">
      <c r="A21875" s="515">
        <v>36751</v>
      </c>
      <c r="C21875" s="52">
        <v>77640.736483708606</v>
      </c>
      <c r="D21875" s="56">
        <v>-1.9350774017122555E-2</v>
      </c>
      <c r="E21875" s="224" t="s">
        <v>2</v>
      </c>
      <c r="F21875" s="515" t="s">
        <v>23043</v>
      </c>
      <c r="G21875" s="52">
        <v>211359.95188204301</v>
      </c>
      <c r="H21875" s="56">
        <v>0</v>
      </c>
      <c r="I21875" s="224" t="s">
        <v>2</v>
      </c>
    </row>
    <row r="21876" spans="1:9" x14ac:dyDescent="0.25">
      <c r="A21876" s="515">
        <v>2199</v>
      </c>
      <c r="B21876" s="515" t="s">
        <v>534</v>
      </c>
      <c r="C21876" s="52">
        <v>3585986.9777450501</v>
      </c>
      <c r="D21876" s="56">
        <v>-8.2918207729205634E-2</v>
      </c>
      <c r="E21876" s="224" t="s">
        <v>2</v>
      </c>
      <c r="F21876" s="515" t="s">
        <v>23044</v>
      </c>
      <c r="G21876" s="52">
        <v>636719.25504610303</v>
      </c>
      <c r="H21876" s="56">
        <v>0.10399417255255136</v>
      </c>
      <c r="I21876" s="224" t="s">
        <v>2</v>
      </c>
    </row>
    <row r="21877" spans="1:9" x14ac:dyDescent="0.25">
      <c r="A21877" s="515">
        <v>63436</v>
      </c>
      <c r="B21877" s="515" t="s">
        <v>867</v>
      </c>
      <c r="C21877" s="52">
        <v>158503.59427699901</v>
      </c>
      <c r="D21877" s="56">
        <v>9.1461781805961109E-2</v>
      </c>
      <c r="E21877" s="224" t="s">
        <v>2</v>
      </c>
      <c r="F21877" s="515" t="s">
        <v>23045</v>
      </c>
      <c r="G21877" s="52">
        <v>85244.605312272804</v>
      </c>
      <c r="H21877" s="56">
        <v>-1.5162126062140339E-2</v>
      </c>
      <c r="I21877" s="224" t="s">
        <v>2</v>
      </c>
    </row>
    <row r="21878" spans="1:9" x14ac:dyDescent="0.25">
      <c r="A21878" s="515">
        <v>57048</v>
      </c>
      <c r="B21878" s="515" t="s">
        <v>579</v>
      </c>
      <c r="C21878" s="52">
        <v>312962.32350141701</v>
      </c>
      <c r="D21878" s="56">
        <v>0.1206933566646041</v>
      </c>
      <c r="E21878" s="224" t="s">
        <v>2</v>
      </c>
      <c r="F21878" s="515" t="s">
        <v>23046</v>
      </c>
      <c r="G21878" s="52">
        <v>272784.07307605201</v>
      </c>
      <c r="H21878" s="56">
        <v>0</v>
      </c>
      <c r="I21878" s="224" t="s">
        <v>2</v>
      </c>
    </row>
    <row r="21879" spans="1:9" x14ac:dyDescent="0.25">
      <c r="A21879" s="515">
        <v>45168</v>
      </c>
      <c r="B21879" s="515" t="s">
        <v>344</v>
      </c>
      <c r="C21879" s="52">
        <v>189250.76297559199</v>
      </c>
      <c r="D21879" s="56">
        <v>6.1684712730676494E-2</v>
      </c>
      <c r="E21879" s="224" t="s">
        <v>2</v>
      </c>
      <c r="F21879" s="515" t="s">
        <v>23047</v>
      </c>
      <c r="G21879" s="52">
        <v>547763.67939297995</v>
      </c>
      <c r="H21879" s="56">
        <v>3.8942624228142646E-2</v>
      </c>
      <c r="I21879" s="224" t="s">
        <v>2</v>
      </c>
    </row>
    <row r="21880" spans="1:9" x14ac:dyDescent="0.25">
      <c r="A21880" s="515">
        <v>54480</v>
      </c>
      <c r="C21880" s="52">
        <v>151412.66115840999</v>
      </c>
      <c r="D21880" s="56">
        <v>9.1162261972957848E-2</v>
      </c>
      <c r="E21880" s="224" t="s">
        <v>2</v>
      </c>
      <c r="F21880" s="515" t="s">
        <v>23048</v>
      </c>
      <c r="G21880" s="52">
        <v>32866.021225202101</v>
      </c>
      <c r="H21880" s="56">
        <v>-2.6977987291139332E-3</v>
      </c>
      <c r="I21880" s="224" t="s">
        <v>2</v>
      </c>
    </row>
    <row r="21881" spans="1:9" x14ac:dyDescent="0.25">
      <c r="A21881" s="515">
        <v>48454</v>
      </c>
      <c r="C21881" s="52">
        <v>196182.48258670099</v>
      </c>
      <c r="D21881" s="56">
        <v>0</v>
      </c>
      <c r="E21881" s="224" t="s">
        <v>2</v>
      </c>
      <c r="F21881" s="515" t="s">
        <v>23049</v>
      </c>
      <c r="G21881" s="52">
        <v>154489.83729569399</v>
      </c>
      <c r="H21881" s="56">
        <v>0</v>
      </c>
      <c r="I21881" s="224" t="s">
        <v>2</v>
      </c>
    </row>
    <row r="21882" spans="1:9" x14ac:dyDescent="0.25">
      <c r="A21882" s="515">
        <v>73859</v>
      </c>
      <c r="C21882" s="52">
        <v>125929.98986925901</v>
      </c>
      <c r="D21882" s="56">
        <v>3.5869632103031568E-2</v>
      </c>
      <c r="E21882" s="224" t="s">
        <v>2</v>
      </c>
      <c r="F21882" s="515" t="s">
        <v>23050</v>
      </c>
      <c r="G21882" s="52">
        <v>269350.44014025998</v>
      </c>
      <c r="H21882" s="56">
        <v>6.9659761290675984E-2</v>
      </c>
      <c r="I21882" s="224" t="s">
        <v>2</v>
      </c>
    </row>
    <row r="21883" spans="1:9" x14ac:dyDescent="0.25">
      <c r="A21883" s="515">
        <v>45851</v>
      </c>
      <c r="C21883" s="52">
        <v>152912.50031838901</v>
      </c>
      <c r="D21883" s="56">
        <v>0.11639390038650736</v>
      </c>
      <c r="E21883" s="224" t="s">
        <v>2</v>
      </c>
      <c r="F21883" s="515" t="s">
        <v>23051</v>
      </c>
      <c r="G21883" s="52">
        <v>71417.184124021398</v>
      </c>
      <c r="H21883" s="56">
        <v>0</v>
      </c>
      <c r="I21883" s="224" t="s">
        <v>2</v>
      </c>
    </row>
    <row r="21884" spans="1:9" x14ac:dyDescent="0.25">
      <c r="A21884" s="515">
        <v>97452</v>
      </c>
      <c r="B21884" s="515" t="s">
        <v>801</v>
      </c>
      <c r="C21884" s="52">
        <v>400439.723611689</v>
      </c>
      <c r="D21884" s="56">
        <v>4.2096978486824095E-2</v>
      </c>
      <c r="E21884" s="224" t="s">
        <v>2</v>
      </c>
      <c r="F21884" s="515" t="s">
        <v>23052</v>
      </c>
      <c r="G21884" s="52">
        <v>180708.80211605199</v>
      </c>
      <c r="H21884" s="56">
        <v>0.11311293434194905</v>
      </c>
      <c r="I21884" s="224" t="s">
        <v>2</v>
      </c>
    </row>
    <row r="21885" spans="1:9" x14ac:dyDescent="0.25">
      <c r="A21885" s="515">
        <v>96048</v>
      </c>
      <c r="C21885" s="52">
        <v>315494.051122398</v>
      </c>
      <c r="D21885" s="56">
        <v>-7.019138314906738E-2</v>
      </c>
      <c r="E21885" s="224" t="s">
        <v>2</v>
      </c>
      <c r="F21885" s="515" t="s">
        <v>23053</v>
      </c>
      <c r="G21885" s="52">
        <v>174148.43924412801</v>
      </c>
      <c r="H21885" s="56">
        <v>0.11279996757766844</v>
      </c>
      <c r="I21885" s="224" t="s">
        <v>2</v>
      </c>
    </row>
    <row r="21886" spans="1:9" x14ac:dyDescent="0.25">
      <c r="A21886" s="515">
        <v>25502</v>
      </c>
      <c r="B21886" s="515" t="s">
        <v>445</v>
      </c>
      <c r="C21886" s="52">
        <v>132049.193352409</v>
      </c>
      <c r="D21886" s="56">
        <v>6.3346639781420772E-2</v>
      </c>
      <c r="E21886" s="224" t="s">
        <v>2</v>
      </c>
      <c r="F21886" s="515" t="s">
        <v>23054</v>
      </c>
      <c r="G21886" s="52">
        <v>129127.65912610199</v>
      </c>
      <c r="H21886" s="56">
        <v>0.11490987096754762</v>
      </c>
      <c r="I21886" s="224" t="s">
        <v>2</v>
      </c>
    </row>
    <row r="21887" spans="1:9" x14ac:dyDescent="0.25">
      <c r="A21887" s="515">
        <v>62460</v>
      </c>
      <c r="C21887" s="52">
        <v>57686.205913193597</v>
      </c>
      <c r="D21887" s="56">
        <v>-1.5919446446706842E-2</v>
      </c>
      <c r="E21887" s="224" t="s">
        <v>2</v>
      </c>
      <c r="F21887" s="515" t="s">
        <v>23055</v>
      </c>
      <c r="G21887" s="52">
        <v>876302.82475347398</v>
      </c>
      <c r="H21887" s="56">
        <v>0.14734615961575845</v>
      </c>
      <c r="I21887" s="224" t="s">
        <v>2</v>
      </c>
    </row>
    <row r="21888" spans="1:9" x14ac:dyDescent="0.25">
      <c r="A21888" s="515">
        <v>43348</v>
      </c>
      <c r="B21888" s="515" t="s">
        <v>973</v>
      </c>
      <c r="C21888" s="52">
        <v>158098.186077363</v>
      </c>
      <c r="D21888" s="56">
        <v>4.1357167658479584E-2</v>
      </c>
      <c r="E21888" s="224" t="s">
        <v>2</v>
      </c>
      <c r="F21888" s="515" t="s">
        <v>23056</v>
      </c>
      <c r="G21888" s="52">
        <v>59902.396018385698</v>
      </c>
      <c r="H21888" s="56">
        <v>0</v>
      </c>
      <c r="I21888" s="224" t="s">
        <v>2</v>
      </c>
    </row>
    <row r="21889" spans="1:9" x14ac:dyDescent="0.25">
      <c r="A21889" s="515">
        <v>7935</v>
      </c>
      <c r="B21889" s="515" t="s">
        <v>324</v>
      </c>
      <c r="C21889" s="52">
        <v>852194.59718665096</v>
      </c>
      <c r="D21889" s="56">
        <v>4.5203102347631884E-2</v>
      </c>
      <c r="E21889" s="224" t="s">
        <v>2</v>
      </c>
      <c r="F21889" s="515" t="s">
        <v>23057</v>
      </c>
      <c r="G21889" s="52">
        <v>364536.94479413697</v>
      </c>
      <c r="H21889" s="56">
        <v>0.18822275540133521</v>
      </c>
      <c r="I21889" s="224" t="s">
        <v>2</v>
      </c>
    </row>
    <row r="21890" spans="1:9" x14ac:dyDescent="0.25">
      <c r="A21890" s="515">
        <v>55324</v>
      </c>
      <c r="C21890" s="52">
        <v>325977.93996763899</v>
      </c>
      <c r="D21890" s="56">
        <v>6.1059431455510592E-2</v>
      </c>
      <c r="E21890" s="224" t="s">
        <v>2</v>
      </c>
      <c r="F21890" s="515" t="s">
        <v>23058</v>
      </c>
      <c r="G21890" s="52">
        <v>139117.81504095101</v>
      </c>
      <c r="H21890" s="56">
        <v>0</v>
      </c>
      <c r="I21890" s="224" t="s">
        <v>2</v>
      </c>
    </row>
    <row r="21891" spans="1:9" x14ac:dyDescent="0.25">
      <c r="A21891" s="515">
        <v>23022</v>
      </c>
      <c r="B21891" s="515" t="s">
        <v>630</v>
      </c>
      <c r="C21891" s="52">
        <v>208078.72279854299</v>
      </c>
      <c r="D21891" s="56">
        <v>0.16842875571262217</v>
      </c>
      <c r="E21891" s="224" t="s">
        <v>2</v>
      </c>
      <c r="F21891" s="515" t="s">
        <v>23059</v>
      </c>
      <c r="G21891" s="52">
        <v>172993.96811616601</v>
      </c>
      <c r="H21891" s="56">
        <v>8.866678044761743E-2</v>
      </c>
      <c r="I21891" s="224" t="s">
        <v>2</v>
      </c>
    </row>
    <row r="21892" spans="1:9" x14ac:dyDescent="0.25">
      <c r="A21892" s="515">
        <v>73832</v>
      </c>
      <c r="B21892" s="515" t="s">
        <v>830</v>
      </c>
      <c r="C21892" s="52">
        <v>103866.973071474</v>
      </c>
      <c r="D21892" s="56">
        <v>0.13359402855766983</v>
      </c>
      <c r="E21892" s="224" t="s">
        <v>2</v>
      </c>
      <c r="F21892" s="515" t="s">
        <v>23060</v>
      </c>
      <c r="G21892" s="52">
        <v>50788.134724594398</v>
      </c>
      <c r="H21892" s="56">
        <v>0.13772643151858904</v>
      </c>
      <c r="I21892" s="224" t="s">
        <v>2</v>
      </c>
    </row>
    <row r="21893" spans="1:9" x14ac:dyDescent="0.25">
      <c r="A21893" s="515">
        <v>4450</v>
      </c>
      <c r="B21893" s="515" t="s">
        <v>792</v>
      </c>
      <c r="C21893" s="52">
        <v>205321.44818920299</v>
      </c>
      <c r="D21893" s="56">
        <v>4.1936139020353674E-2</v>
      </c>
      <c r="E21893" s="224" t="s">
        <v>2</v>
      </c>
      <c r="F21893" s="515" t="s">
        <v>23061</v>
      </c>
      <c r="G21893" s="52">
        <v>381828.44883038098</v>
      </c>
      <c r="H21893" s="56">
        <v>7.5314841803658439E-2</v>
      </c>
      <c r="I21893" s="224" t="s">
        <v>2</v>
      </c>
    </row>
    <row r="21894" spans="1:9" x14ac:dyDescent="0.25">
      <c r="A21894" s="515">
        <v>51439</v>
      </c>
      <c r="C21894" s="52">
        <v>116974.10182136499</v>
      </c>
      <c r="D21894" s="56">
        <v>0.23097831597192556</v>
      </c>
      <c r="E21894" s="224" t="s">
        <v>2</v>
      </c>
      <c r="F21894" s="515" t="s">
        <v>23062</v>
      </c>
      <c r="G21894" s="52">
        <v>412642.42072610598</v>
      </c>
      <c r="H21894" s="56">
        <v>0</v>
      </c>
      <c r="I21894" s="224" t="s">
        <v>2</v>
      </c>
    </row>
    <row r="21895" spans="1:9" x14ac:dyDescent="0.25">
      <c r="A21895" s="515">
        <v>67441</v>
      </c>
      <c r="C21895" s="52">
        <v>124804.25509801001</v>
      </c>
      <c r="D21895" s="56">
        <v>8.3322187710705167E-2</v>
      </c>
      <c r="E21895" s="224" t="s">
        <v>2</v>
      </c>
      <c r="F21895" s="515" t="s">
        <v>23063</v>
      </c>
      <c r="G21895" s="52">
        <v>210005.60766708999</v>
      </c>
      <c r="H21895" s="56">
        <v>8.0642415420298388E-2</v>
      </c>
      <c r="I21895" s="224" t="s">
        <v>2</v>
      </c>
    </row>
    <row r="21896" spans="1:9" x14ac:dyDescent="0.25">
      <c r="A21896" s="515">
        <v>49613</v>
      </c>
      <c r="C21896" s="52">
        <v>322509.89428490901</v>
      </c>
      <c r="D21896" s="56">
        <v>0.10722125436128582</v>
      </c>
      <c r="E21896" s="224" t="s">
        <v>2</v>
      </c>
      <c r="F21896" s="515" t="s">
        <v>23064</v>
      </c>
      <c r="G21896" s="52">
        <v>92898.610378145997</v>
      </c>
      <c r="H21896" s="56">
        <v>0</v>
      </c>
      <c r="I21896" s="224" t="s">
        <v>2</v>
      </c>
    </row>
    <row r="21897" spans="1:9" x14ac:dyDescent="0.25">
      <c r="A21897" s="515">
        <v>82442</v>
      </c>
      <c r="C21897" s="52">
        <v>359033.227654955</v>
      </c>
      <c r="D21897" s="56">
        <v>5.9981063354678905E-2</v>
      </c>
      <c r="E21897" s="224" t="s">
        <v>2</v>
      </c>
      <c r="F21897" s="515" t="s">
        <v>23065</v>
      </c>
      <c r="G21897" s="52">
        <v>281017.328393779</v>
      </c>
      <c r="H21897" s="56">
        <v>3.3372758828008178E-2</v>
      </c>
      <c r="I21897" s="224" t="s">
        <v>2</v>
      </c>
    </row>
    <row r="21898" spans="1:9" x14ac:dyDescent="0.25">
      <c r="A21898" s="515">
        <v>64635</v>
      </c>
      <c r="C21898" s="52">
        <v>147374.31748634999</v>
      </c>
      <c r="D21898" s="56">
        <v>0.10754727438248864</v>
      </c>
      <c r="E21898" s="224" t="s">
        <v>2</v>
      </c>
      <c r="F21898" s="515" t="s">
        <v>23066</v>
      </c>
      <c r="G21898" s="52">
        <v>386058.77505779598</v>
      </c>
      <c r="H21898" s="56">
        <v>5.1571807496078023E-2</v>
      </c>
      <c r="I21898" s="224" t="s">
        <v>2</v>
      </c>
    </row>
    <row r="21899" spans="1:9" x14ac:dyDescent="0.25">
      <c r="A21899" s="515">
        <v>17855</v>
      </c>
      <c r="B21899" s="515" t="s">
        <v>794</v>
      </c>
      <c r="C21899" s="52">
        <v>194059.41204245301</v>
      </c>
      <c r="D21899" s="56">
        <v>5.8200342313949445E-2</v>
      </c>
      <c r="E21899" s="224" t="s">
        <v>2</v>
      </c>
      <c r="F21899" s="515" t="s">
        <v>23067</v>
      </c>
      <c r="G21899" s="52">
        <v>172773.67754993</v>
      </c>
      <c r="H21899" s="56">
        <v>7.4209050972140284E-2</v>
      </c>
      <c r="I21899" s="224" t="s">
        <v>2</v>
      </c>
    </row>
    <row r="21900" spans="1:9" x14ac:dyDescent="0.25">
      <c r="A21900" s="515">
        <v>80821</v>
      </c>
      <c r="C21900" s="52">
        <v>224942.33057509299</v>
      </c>
      <c r="D21900" s="56">
        <v>0.10899196129270228</v>
      </c>
      <c r="E21900" s="224" t="s">
        <v>2</v>
      </c>
      <c r="F21900" s="515" t="s">
        <v>23068</v>
      </c>
      <c r="G21900" s="52">
        <v>450889.78571428498</v>
      </c>
      <c r="H21900" s="56">
        <v>0</v>
      </c>
      <c r="I21900" s="224" t="s">
        <v>2</v>
      </c>
    </row>
    <row r="21901" spans="1:9" x14ac:dyDescent="0.25">
      <c r="A21901" s="515">
        <v>75437</v>
      </c>
      <c r="B21901" s="515" t="s">
        <v>980</v>
      </c>
      <c r="C21901" s="52">
        <v>269286.806461634</v>
      </c>
      <c r="D21901" s="56">
        <v>0</v>
      </c>
      <c r="E21901" s="224" t="s">
        <v>2</v>
      </c>
      <c r="F21901" s="515" t="s">
        <v>23069</v>
      </c>
      <c r="G21901" s="52">
        <v>198314.342828739</v>
      </c>
      <c r="H21901" s="56">
        <v>9.1465623401555216E-2</v>
      </c>
      <c r="I21901" s="224" t="s">
        <v>2</v>
      </c>
    </row>
    <row r="21902" spans="1:9" x14ac:dyDescent="0.25">
      <c r="A21902" s="515">
        <v>63633</v>
      </c>
      <c r="C21902" s="52">
        <v>117257.398398017</v>
      </c>
      <c r="D21902" s="56">
        <v>0</v>
      </c>
      <c r="E21902" s="224" t="s">
        <v>2</v>
      </c>
      <c r="F21902" s="515" t="s">
        <v>23070</v>
      </c>
      <c r="G21902" s="52">
        <v>48177.315004350297</v>
      </c>
      <c r="H21902" s="56">
        <v>5.2789323818300902E-3</v>
      </c>
      <c r="I21902" s="224" t="s">
        <v>2</v>
      </c>
    </row>
    <row r="21903" spans="1:9" x14ac:dyDescent="0.25">
      <c r="A21903" s="515">
        <v>13616</v>
      </c>
      <c r="B21903" s="515" t="s">
        <v>431</v>
      </c>
      <c r="C21903" s="52">
        <v>191149.185031</v>
      </c>
      <c r="D21903" s="56">
        <v>6.3912314813817053E-2</v>
      </c>
      <c r="E21903" s="224" t="s">
        <v>2</v>
      </c>
      <c r="F21903" s="515" t="s">
        <v>23071</v>
      </c>
      <c r="G21903" s="52">
        <v>338619.42869706103</v>
      </c>
      <c r="H21903" s="56">
        <v>0.17372030023538776</v>
      </c>
      <c r="I21903" s="224" t="s">
        <v>2</v>
      </c>
    </row>
    <row r="21904" spans="1:9" x14ac:dyDescent="0.25">
      <c r="A21904" s="515">
        <v>22640</v>
      </c>
      <c r="B21904" s="515" t="s">
        <v>321</v>
      </c>
      <c r="C21904" s="52">
        <v>504105.74609765102</v>
      </c>
      <c r="D21904" s="56">
        <v>8.2755356976929859E-2</v>
      </c>
      <c r="E21904" s="224" t="s">
        <v>2</v>
      </c>
      <c r="F21904" s="515" t="s">
        <v>23072</v>
      </c>
      <c r="G21904" s="52">
        <v>116645.78583742501</v>
      </c>
      <c r="H21904" s="56">
        <v>0.1123431863892552</v>
      </c>
      <c r="I21904" s="224" t="s">
        <v>2</v>
      </c>
    </row>
    <row r="21905" spans="1:9" x14ac:dyDescent="0.25">
      <c r="A21905" s="515">
        <v>61041</v>
      </c>
      <c r="C21905" s="52">
        <v>82383.337953693001</v>
      </c>
      <c r="D21905" s="56">
        <v>0</v>
      </c>
      <c r="E21905" s="224" t="s">
        <v>2</v>
      </c>
      <c r="F21905" s="515" t="s">
        <v>23073</v>
      </c>
      <c r="G21905" s="52">
        <v>202774.78841046401</v>
      </c>
      <c r="H21905" s="56">
        <v>0</v>
      </c>
      <c r="I21905" s="224" t="s">
        <v>2</v>
      </c>
    </row>
    <row r="21906" spans="1:9" x14ac:dyDescent="0.25">
      <c r="A21906" s="515">
        <v>46156</v>
      </c>
      <c r="C21906" s="52">
        <v>180554.68715850401</v>
      </c>
      <c r="D21906" s="56">
        <v>6.4484117674066033E-2</v>
      </c>
      <c r="E21906" s="224" t="s">
        <v>2</v>
      </c>
      <c r="F21906" s="515" t="s">
        <v>23074</v>
      </c>
      <c r="G21906" s="52">
        <v>286822.176861902</v>
      </c>
      <c r="H21906" s="56">
        <v>0</v>
      </c>
      <c r="I21906" s="224" t="s">
        <v>2</v>
      </c>
    </row>
    <row r="21907" spans="1:9" x14ac:dyDescent="0.25">
      <c r="A21907" s="515">
        <v>40949</v>
      </c>
      <c r="B21907" s="515" t="s">
        <v>633</v>
      </c>
      <c r="C21907" s="52">
        <v>130426.575292568</v>
      </c>
      <c r="D21907" s="56">
        <v>0.19432940604561091</v>
      </c>
      <c r="E21907" s="224" t="s">
        <v>2</v>
      </c>
      <c r="F21907" s="515" t="s">
        <v>23075</v>
      </c>
      <c r="G21907" s="52">
        <v>165474.436909068</v>
      </c>
      <c r="H21907" s="56">
        <v>0</v>
      </c>
      <c r="I21907" s="224" t="s">
        <v>2</v>
      </c>
    </row>
    <row r="21908" spans="1:9" x14ac:dyDescent="0.25">
      <c r="A21908" s="515">
        <v>58579</v>
      </c>
      <c r="C21908" s="52">
        <v>208025.28196802601</v>
      </c>
      <c r="D21908" s="56">
        <v>5.2199716212231108E-2</v>
      </c>
      <c r="E21908" s="224" t="s">
        <v>2</v>
      </c>
      <c r="F21908" s="515" t="s">
        <v>23076</v>
      </c>
      <c r="G21908" s="52">
        <v>503454.84694020101</v>
      </c>
      <c r="H21908" s="56">
        <v>5.0285402647951824E-2</v>
      </c>
      <c r="I21908" s="224" t="s">
        <v>2</v>
      </c>
    </row>
    <row r="21909" spans="1:9" x14ac:dyDescent="0.25">
      <c r="A21909" s="515">
        <v>54759</v>
      </c>
      <c r="C21909" s="52">
        <v>220168.97095148001</v>
      </c>
      <c r="D21909" s="56">
        <v>0.10836344515658235</v>
      </c>
      <c r="E21909" s="224" t="s">
        <v>2</v>
      </c>
      <c r="F21909" s="515" t="s">
        <v>23077</v>
      </c>
      <c r="G21909" s="52">
        <v>81366.169262024501</v>
      </c>
      <c r="H21909" s="56">
        <v>7.7934131873322432E-2</v>
      </c>
      <c r="I21909" s="224" t="s">
        <v>2</v>
      </c>
    </row>
    <row r="21910" spans="1:9" x14ac:dyDescent="0.25">
      <c r="A21910" s="515">
        <v>56028</v>
      </c>
      <c r="B21910" s="515" t="s">
        <v>532</v>
      </c>
      <c r="C21910" s="52">
        <v>368182.86355136603</v>
      </c>
      <c r="D21910" s="56">
        <v>9.6111493072673859E-2</v>
      </c>
      <c r="E21910" s="224" t="s">
        <v>2</v>
      </c>
      <c r="F21910" s="515" t="s">
        <v>23078</v>
      </c>
      <c r="G21910" s="52">
        <v>307824.094290254</v>
      </c>
      <c r="H21910" s="56">
        <v>-9.0358469073568135E-2</v>
      </c>
      <c r="I21910" s="224" t="s">
        <v>2</v>
      </c>
    </row>
    <row r="21911" spans="1:9" x14ac:dyDescent="0.25">
      <c r="A21911" s="515">
        <v>5042</v>
      </c>
      <c r="C21911" s="52">
        <v>299893.52500000002</v>
      </c>
      <c r="D21911" s="56">
        <v>0</v>
      </c>
      <c r="E21911" s="224" t="s">
        <v>2</v>
      </c>
      <c r="F21911" s="515" t="s">
        <v>23079</v>
      </c>
      <c r="G21911" s="52">
        <v>382765.45084559999</v>
      </c>
      <c r="H21911" s="56">
        <v>6.8439276759149958E-2</v>
      </c>
      <c r="I21911" s="224" t="s">
        <v>2</v>
      </c>
    </row>
    <row r="21912" spans="1:9" x14ac:dyDescent="0.25">
      <c r="A21912" s="515">
        <v>13607</v>
      </c>
      <c r="B21912" s="515" t="s">
        <v>431</v>
      </c>
      <c r="C21912" s="52">
        <v>178458.104341559</v>
      </c>
      <c r="D21912" s="56">
        <v>8.704463309769736E-2</v>
      </c>
      <c r="E21912" s="224" t="s">
        <v>2</v>
      </c>
      <c r="F21912" s="515" t="s">
        <v>23080</v>
      </c>
      <c r="G21912" s="52">
        <v>221889.40898099699</v>
      </c>
      <c r="H21912" s="56">
        <v>8.4987188708566322E-2</v>
      </c>
      <c r="I21912" s="224" t="s">
        <v>2</v>
      </c>
    </row>
    <row r="21913" spans="1:9" x14ac:dyDescent="0.25">
      <c r="A21913" s="515">
        <v>49757</v>
      </c>
      <c r="C21913" s="52">
        <v>326133.59922742599</v>
      </c>
      <c r="D21913" s="56">
        <v>0.12011066990216565</v>
      </c>
      <c r="E21913" s="224" t="s">
        <v>2</v>
      </c>
      <c r="F21913" s="515" t="s">
        <v>23081</v>
      </c>
      <c r="G21913" s="52">
        <v>139292.36043264301</v>
      </c>
      <c r="H21913" s="56">
        <v>0</v>
      </c>
      <c r="I21913" s="224" t="s">
        <v>2</v>
      </c>
    </row>
    <row r="21914" spans="1:9" x14ac:dyDescent="0.25">
      <c r="A21914" s="515">
        <v>41630</v>
      </c>
      <c r="C21914" s="52">
        <v>58862.6230878438</v>
      </c>
      <c r="D21914" s="56">
        <v>0.17478107427282458</v>
      </c>
      <c r="E21914" s="224" t="s">
        <v>2</v>
      </c>
      <c r="F21914" s="515" t="s">
        <v>23082</v>
      </c>
      <c r="G21914" s="52">
        <v>94576.836757305005</v>
      </c>
      <c r="H21914" s="56">
        <v>-7.4560764256633494E-2</v>
      </c>
      <c r="I21914" s="224" t="s">
        <v>2</v>
      </c>
    </row>
    <row r="21915" spans="1:9" x14ac:dyDescent="0.25">
      <c r="A21915" s="515">
        <v>57221</v>
      </c>
      <c r="B21915" s="515" t="s">
        <v>941</v>
      </c>
      <c r="C21915" s="52">
        <v>190094.069444444</v>
      </c>
      <c r="D21915" s="56">
        <v>0</v>
      </c>
      <c r="E21915" s="224" t="s">
        <v>2</v>
      </c>
      <c r="F21915" s="515" t="s">
        <v>23083</v>
      </c>
      <c r="G21915" s="52">
        <v>352473.68374271097</v>
      </c>
      <c r="H21915" s="56">
        <v>0.109601678896793</v>
      </c>
      <c r="I21915" s="224" t="s">
        <v>2</v>
      </c>
    </row>
    <row r="21916" spans="1:9" x14ac:dyDescent="0.25">
      <c r="A21916" s="515">
        <v>25617</v>
      </c>
      <c r="B21916" s="515" t="s">
        <v>464</v>
      </c>
      <c r="C21916" s="52">
        <v>83152.557772392</v>
      </c>
      <c r="D21916" s="56">
        <v>0.15895196559715868</v>
      </c>
      <c r="E21916" s="224" t="s">
        <v>2</v>
      </c>
      <c r="F21916" s="515" t="s">
        <v>23084</v>
      </c>
      <c r="G21916" s="52">
        <v>57839.291537698897</v>
      </c>
      <c r="H21916" s="56">
        <v>0.20343011944321188</v>
      </c>
      <c r="I21916" s="224" t="s">
        <v>2</v>
      </c>
    </row>
    <row r="21917" spans="1:9" x14ac:dyDescent="0.25">
      <c r="A21917" s="515">
        <v>54621</v>
      </c>
      <c r="C21917" s="52">
        <v>229746.74488601799</v>
      </c>
      <c r="D21917" s="56">
        <v>2.8947882252448341E-2</v>
      </c>
      <c r="E21917" s="224" t="s">
        <v>2</v>
      </c>
      <c r="F21917" s="515" t="s">
        <v>23085</v>
      </c>
      <c r="G21917" s="52">
        <v>498528.77665231097</v>
      </c>
      <c r="H21917" s="56">
        <v>0.11041547809858758</v>
      </c>
      <c r="I21917" s="224" t="s">
        <v>2</v>
      </c>
    </row>
    <row r="21918" spans="1:9" x14ac:dyDescent="0.25">
      <c r="A21918" s="515">
        <v>47358</v>
      </c>
      <c r="C21918" s="52">
        <v>166465.39512024701</v>
      </c>
      <c r="D21918" s="56">
        <v>8.8149402262335003E-2</v>
      </c>
      <c r="E21918" s="224" t="s">
        <v>2</v>
      </c>
      <c r="F21918" s="515" t="s">
        <v>23086</v>
      </c>
      <c r="G21918" s="52">
        <v>610325.62490387994</v>
      </c>
      <c r="H21918" s="56">
        <v>9.4942363562560833E-2</v>
      </c>
      <c r="I21918" s="224" t="s">
        <v>2</v>
      </c>
    </row>
    <row r="21919" spans="1:9" x14ac:dyDescent="0.25">
      <c r="A21919" s="515">
        <v>38333</v>
      </c>
      <c r="C21919" s="52">
        <v>145146.928800897</v>
      </c>
      <c r="D21919" s="56">
        <v>0</v>
      </c>
      <c r="E21919" s="224" t="s">
        <v>2</v>
      </c>
      <c r="F21919" s="515" t="s">
        <v>23087</v>
      </c>
      <c r="G21919" s="52">
        <v>98507.020627204605</v>
      </c>
      <c r="H21919" s="56">
        <v>4.0385384019093411E-2</v>
      </c>
      <c r="I21919" s="224" t="s">
        <v>2</v>
      </c>
    </row>
    <row r="21920" spans="1:9" x14ac:dyDescent="0.25">
      <c r="A21920" s="515">
        <v>25067</v>
      </c>
      <c r="B21920" s="515" t="s">
        <v>322</v>
      </c>
      <c r="C21920" s="52">
        <v>110661.544378985</v>
      </c>
      <c r="D21920" s="56">
        <v>0.12525813961222046</v>
      </c>
      <c r="E21920" s="224" t="s">
        <v>2</v>
      </c>
      <c r="F21920" s="515" t="s">
        <v>23088</v>
      </c>
      <c r="G21920" s="52">
        <v>381945.63292369898</v>
      </c>
      <c r="H21920" s="56">
        <v>5.6541021793152908E-2</v>
      </c>
      <c r="I21920" s="224" t="s">
        <v>2</v>
      </c>
    </row>
    <row r="21921" spans="1:9" x14ac:dyDescent="0.25">
      <c r="A21921" s="515">
        <v>74831</v>
      </c>
      <c r="B21921" s="515" t="s">
        <v>385</v>
      </c>
      <c r="C21921" s="52">
        <v>167376.97103495701</v>
      </c>
      <c r="D21921" s="56">
        <v>0.10663281300819671</v>
      </c>
      <c r="E21921" s="224" t="s">
        <v>2</v>
      </c>
      <c r="F21921" s="515" t="s">
        <v>23089</v>
      </c>
      <c r="G21921" s="52">
        <v>214271.931034482</v>
      </c>
      <c r="H21921" s="56">
        <v>0</v>
      </c>
      <c r="I21921" s="224" t="s">
        <v>2</v>
      </c>
    </row>
    <row r="21922" spans="1:9" x14ac:dyDescent="0.25">
      <c r="A21922" s="515">
        <v>21153</v>
      </c>
      <c r="B21922" s="515" t="s">
        <v>582</v>
      </c>
      <c r="C21922" s="52">
        <v>842481.60362123104</v>
      </c>
      <c r="D21922" s="56">
        <v>6.2427206410252629E-2</v>
      </c>
      <c r="E21922" s="224" t="s">
        <v>2</v>
      </c>
      <c r="F21922" s="515" t="s">
        <v>23090</v>
      </c>
      <c r="G21922" s="52">
        <v>129040.61777459701</v>
      </c>
      <c r="H21922" s="56">
        <v>0</v>
      </c>
      <c r="I21922" s="224" t="s">
        <v>2</v>
      </c>
    </row>
    <row r="21923" spans="1:9" x14ac:dyDescent="0.25">
      <c r="A21923" s="515">
        <v>61933</v>
      </c>
      <c r="C21923" s="52">
        <v>58400.525546381097</v>
      </c>
      <c r="D21923" s="56">
        <v>7.4039440367168224E-2</v>
      </c>
      <c r="E21923" s="224" t="s">
        <v>2</v>
      </c>
      <c r="F21923" s="515" t="s">
        <v>23091</v>
      </c>
      <c r="G21923" s="52">
        <v>128953.018012295</v>
      </c>
      <c r="H21923" s="56">
        <v>4.5257907248976374E-2</v>
      </c>
      <c r="I21923" s="224" t="s">
        <v>2</v>
      </c>
    </row>
    <row r="21924" spans="1:9" x14ac:dyDescent="0.25">
      <c r="A21924" s="515">
        <v>25235</v>
      </c>
      <c r="C21924" s="52">
        <v>102182.50281703399</v>
      </c>
      <c r="D21924" s="56">
        <v>5.3659041949423891E-2</v>
      </c>
      <c r="E21924" s="224" t="s">
        <v>2</v>
      </c>
      <c r="F21924" s="515" t="s">
        <v>23092</v>
      </c>
      <c r="G21924" s="52">
        <v>274112.204507749</v>
      </c>
      <c r="H21924" s="56">
        <v>8.5144357062100481E-2</v>
      </c>
      <c r="I21924" s="224" t="s">
        <v>2</v>
      </c>
    </row>
    <row r="21925" spans="1:9" x14ac:dyDescent="0.25">
      <c r="A21925" s="515">
        <v>24237</v>
      </c>
      <c r="C21925" s="52">
        <v>30955.556211942599</v>
      </c>
      <c r="D21925" s="56">
        <v>-1.2750561037975462E-2</v>
      </c>
      <c r="E21925" s="224" t="s">
        <v>2</v>
      </c>
      <c r="F21925" s="515" t="s">
        <v>23093</v>
      </c>
      <c r="G21925" s="52">
        <v>59090</v>
      </c>
      <c r="H21925" s="56">
        <v>0</v>
      </c>
      <c r="I21925" s="224" t="s">
        <v>2</v>
      </c>
    </row>
    <row r="21926" spans="1:9" x14ac:dyDescent="0.25">
      <c r="A21926" s="515">
        <v>37366</v>
      </c>
      <c r="C21926" s="52">
        <v>180042.183929436</v>
      </c>
      <c r="D21926" s="56">
        <v>0</v>
      </c>
      <c r="E21926" s="224" t="s">
        <v>2</v>
      </c>
      <c r="F21926" s="515" t="s">
        <v>23094</v>
      </c>
      <c r="G21926" s="52">
        <v>103794.238783514</v>
      </c>
      <c r="H21926" s="56">
        <v>0.11931382288106289</v>
      </c>
      <c r="I21926" s="224" t="s">
        <v>2</v>
      </c>
    </row>
    <row r="21927" spans="1:9" x14ac:dyDescent="0.25">
      <c r="A21927" s="515">
        <v>74829</v>
      </c>
      <c r="C21927" s="52">
        <v>120860.23854277399</v>
      </c>
      <c r="D21927" s="56">
        <v>0.22293869855876644</v>
      </c>
      <c r="E21927" s="224" t="s">
        <v>2</v>
      </c>
      <c r="F21927" s="515" t="s">
        <v>23095</v>
      </c>
      <c r="G21927" s="52">
        <v>219040.946809916</v>
      </c>
      <c r="H21927" s="56">
        <v>-3.1802365528255466E-2</v>
      </c>
      <c r="I21927" s="224" t="s">
        <v>2</v>
      </c>
    </row>
    <row r="21928" spans="1:9" x14ac:dyDescent="0.25">
      <c r="A21928" s="515">
        <v>58274</v>
      </c>
      <c r="C21928" s="52">
        <v>194566.10772295401</v>
      </c>
      <c r="D21928" s="56">
        <v>4.926402967565021E-2</v>
      </c>
      <c r="E21928" s="224" t="s">
        <v>2</v>
      </c>
      <c r="F21928" s="515" t="s">
        <v>23096</v>
      </c>
      <c r="G21928" s="52">
        <v>45312.666751789598</v>
      </c>
      <c r="H21928" s="56">
        <v>0.34808801684945173</v>
      </c>
      <c r="I21928" s="224" t="s">
        <v>2</v>
      </c>
    </row>
    <row r="21929" spans="1:9" x14ac:dyDescent="0.25">
      <c r="A21929" s="515">
        <v>42214</v>
      </c>
      <c r="B21929" s="515" t="s">
        <v>829</v>
      </c>
      <c r="C21929" s="52">
        <v>143878.040250177</v>
      </c>
      <c r="D21929" s="56">
        <v>0.28022747827598482</v>
      </c>
      <c r="E21929" s="224" t="s">
        <v>2</v>
      </c>
      <c r="F21929" s="515" t="s">
        <v>23097</v>
      </c>
      <c r="G21929" s="52">
        <v>89746.09375</v>
      </c>
      <c r="H21929" s="56">
        <v>0</v>
      </c>
      <c r="I21929" s="224" t="s">
        <v>2</v>
      </c>
    </row>
    <row r="21930" spans="1:9" x14ac:dyDescent="0.25">
      <c r="A21930" s="515">
        <v>47640</v>
      </c>
      <c r="C21930" s="52">
        <v>134230.21138571299</v>
      </c>
      <c r="D21930" s="56">
        <v>9.3704846568196651E-2</v>
      </c>
      <c r="E21930" s="224" t="s">
        <v>2</v>
      </c>
      <c r="F21930" s="515" t="s">
        <v>23098</v>
      </c>
      <c r="G21930" s="52">
        <v>51156.276603616498</v>
      </c>
      <c r="H21930" s="56">
        <v>0.27754341669678817</v>
      </c>
      <c r="I21930" s="224" t="s">
        <v>2</v>
      </c>
    </row>
    <row r="21931" spans="1:9" x14ac:dyDescent="0.25">
      <c r="A21931" s="515">
        <v>67437</v>
      </c>
      <c r="C21931" s="52">
        <v>82414.963346110002</v>
      </c>
      <c r="D21931" s="56">
        <v>7.2346449658870507E-2</v>
      </c>
      <c r="E21931" s="224" t="s">
        <v>2</v>
      </c>
      <c r="F21931" s="515" t="s">
        <v>23099</v>
      </c>
      <c r="G21931" s="52">
        <v>63927.231160670097</v>
      </c>
      <c r="H21931" s="56">
        <v>0.243412445528261</v>
      </c>
      <c r="I21931" s="224" t="s">
        <v>2</v>
      </c>
    </row>
    <row r="21932" spans="1:9" x14ac:dyDescent="0.25">
      <c r="A21932" s="515">
        <v>76483</v>
      </c>
      <c r="C21932" s="52">
        <v>93351.8953568945</v>
      </c>
      <c r="D21932" s="56">
        <v>0</v>
      </c>
      <c r="E21932" s="224" t="s">
        <v>2</v>
      </c>
      <c r="F21932" s="515" t="s">
        <v>23100</v>
      </c>
      <c r="G21932" s="52">
        <v>208360.208586288</v>
      </c>
      <c r="H21932" s="56">
        <v>0.18991836992877495</v>
      </c>
      <c r="I21932" s="224" t="s">
        <v>2</v>
      </c>
    </row>
    <row r="21933" spans="1:9" x14ac:dyDescent="0.25">
      <c r="A21933" s="515">
        <v>80648</v>
      </c>
      <c r="B21933" s="515" t="s">
        <v>382</v>
      </c>
      <c r="C21933" s="52">
        <v>554456.613335178</v>
      </c>
      <c r="D21933" s="56">
        <v>5.9371430655499831E-2</v>
      </c>
      <c r="E21933" s="224" t="s">
        <v>2</v>
      </c>
      <c r="F21933" s="515" t="s">
        <v>23101</v>
      </c>
      <c r="G21933" s="52">
        <v>78791.543713860694</v>
      </c>
      <c r="H21933" s="56">
        <v>5.6924290021938224E-2</v>
      </c>
      <c r="I21933" s="224" t="s">
        <v>2</v>
      </c>
    </row>
    <row r="21934" spans="1:9" x14ac:dyDescent="0.25">
      <c r="A21934" s="515">
        <v>27849</v>
      </c>
      <c r="C21934" s="52">
        <v>38680.8582141812</v>
      </c>
      <c r="D21934" s="56">
        <v>0</v>
      </c>
      <c r="E21934" s="224" t="s">
        <v>2</v>
      </c>
      <c r="F21934" s="515" t="s">
        <v>23102</v>
      </c>
      <c r="G21934" s="52">
        <v>72415.16</v>
      </c>
      <c r="H21934" s="56">
        <v>0</v>
      </c>
      <c r="I21934" s="224" t="s">
        <v>2</v>
      </c>
    </row>
    <row r="21935" spans="1:9" x14ac:dyDescent="0.25">
      <c r="A21935" s="515">
        <v>41731</v>
      </c>
      <c r="C21935" s="52">
        <v>57318.110908643503</v>
      </c>
      <c r="D21935" s="56">
        <v>0.18564366484343989</v>
      </c>
      <c r="E21935" s="224" t="s">
        <v>2</v>
      </c>
      <c r="F21935" s="515" t="s">
        <v>23103</v>
      </c>
      <c r="G21935" s="52">
        <v>129621.692577152</v>
      </c>
      <c r="H21935" s="56">
        <v>2.3722355617899614E-2</v>
      </c>
      <c r="I21935" s="224" t="s">
        <v>2</v>
      </c>
    </row>
    <row r="21936" spans="1:9" x14ac:dyDescent="0.25">
      <c r="A21936" s="515">
        <v>40940</v>
      </c>
      <c r="B21936" s="515" t="s">
        <v>687</v>
      </c>
      <c r="C21936" s="52"/>
      <c r="D21936" s="56">
        <v>0</v>
      </c>
      <c r="E21936" s="224" t="s">
        <v>2</v>
      </c>
      <c r="F21936" s="515" t="s">
        <v>23104</v>
      </c>
      <c r="G21936" s="52">
        <v>284480.98131939699</v>
      </c>
      <c r="H21936" s="56">
        <v>0.10896138539764295</v>
      </c>
      <c r="I21936" s="224" t="s">
        <v>2</v>
      </c>
    </row>
    <row r="21937" spans="1:9" x14ac:dyDescent="0.25">
      <c r="A21937" s="515">
        <v>35441</v>
      </c>
      <c r="B21937" s="515" t="s">
        <v>841</v>
      </c>
      <c r="C21937" s="52">
        <v>132042.17542791</v>
      </c>
      <c r="D21937" s="56">
        <v>-1.1123409809800866E-2</v>
      </c>
      <c r="E21937" s="224" t="s">
        <v>2</v>
      </c>
      <c r="F21937" s="515" t="s">
        <v>23105</v>
      </c>
      <c r="G21937" s="52">
        <v>73546.239767970997</v>
      </c>
      <c r="H21937" s="56">
        <v>0.12982232580139683</v>
      </c>
      <c r="I21937" s="224" t="s">
        <v>2</v>
      </c>
    </row>
    <row r="21938" spans="1:9" x14ac:dyDescent="0.25">
      <c r="A21938" s="515">
        <v>59248</v>
      </c>
      <c r="C21938" s="52">
        <v>263453.90840785601</v>
      </c>
      <c r="D21938" s="56">
        <v>4.7034175408267112E-2</v>
      </c>
      <c r="E21938" s="224" t="s">
        <v>2</v>
      </c>
      <c r="F21938" s="515" t="s">
        <v>23106</v>
      </c>
      <c r="G21938" s="52">
        <v>220480.64629328801</v>
      </c>
      <c r="H21938" s="56">
        <v>8.7623040521121201E-2</v>
      </c>
      <c r="I21938" s="224" t="s">
        <v>2</v>
      </c>
    </row>
    <row r="21939" spans="1:9" x14ac:dyDescent="0.25">
      <c r="A21939" s="515">
        <v>75960</v>
      </c>
      <c r="C21939" s="52">
        <v>143940.175418339</v>
      </c>
      <c r="D21939" s="56">
        <v>-6.3200105610636097E-3</v>
      </c>
      <c r="E21939" s="224" t="s">
        <v>2</v>
      </c>
      <c r="F21939" s="515" t="s">
        <v>23107</v>
      </c>
      <c r="G21939" s="52">
        <v>819371.5</v>
      </c>
      <c r="H21939" s="56">
        <v>0</v>
      </c>
      <c r="I21939" s="224" t="s">
        <v>2</v>
      </c>
    </row>
    <row r="21940" spans="1:9" x14ac:dyDescent="0.25">
      <c r="A21940" s="515">
        <v>36907</v>
      </c>
      <c r="C21940" s="52">
        <v>101735.724489795</v>
      </c>
      <c r="D21940" s="56">
        <v>0</v>
      </c>
      <c r="E21940" s="224" t="s">
        <v>2</v>
      </c>
      <c r="F21940" s="515" t="s">
        <v>23108</v>
      </c>
      <c r="G21940" s="52">
        <v>214504.022222222</v>
      </c>
      <c r="H21940" s="56">
        <v>0</v>
      </c>
      <c r="I21940" s="224" t="s">
        <v>2</v>
      </c>
    </row>
    <row r="21941" spans="1:9" x14ac:dyDescent="0.25">
      <c r="A21941" s="515">
        <v>30803</v>
      </c>
      <c r="C21941" s="52">
        <v>103464.154808459</v>
      </c>
      <c r="D21941" s="56">
        <v>0</v>
      </c>
      <c r="E21941" s="224" t="s">
        <v>2</v>
      </c>
      <c r="F21941" s="515" t="s">
        <v>23109</v>
      </c>
      <c r="G21941" s="52">
        <v>155669.05773381901</v>
      </c>
      <c r="H21941" s="56">
        <v>-5.9037414137300306E-2</v>
      </c>
      <c r="I21941" s="224" t="s">
        <v>2</v>
      </c>
    </row>
    <row r="21942" spans="1:9" x14ac:dyDescent="0.25">
      <c r="A21942" s="515">
        <v>25187</v>
      </c>
      <c r="B21942" s="515" t="s">
        <v>445</v>
      </c>
      <c r="C21942" s="52">
        <v>140383.500448398</v>
      </c>
      <c r="D21942" s="56">
        <v>4.5277672714414699E-2</v>
      </c>
      <c r="E21942" s="224" t="s">
        <v>2</v>
      </c>
      <c r="F21942" s="515" t="s">
        <v>23110</v>
      </c>
      <c r="G21942" s="52">
        <v>238265.623926687</v>
      </c>
      <c r="H21942" s="56">
        <v>9.2929293811616853E-2</v>
      </c>
      <c r="I21942" s="224" t="s">
        <v>2</v>
      </c>
    </row>
    <row r="21943" spans="1:9" x14ac:dyDescent="0.25">
      <c r="A21943" s="515">
        <v>60948</v>
      </c>
      <c r="C21943" s="52">
        <v>194941.86399399</v>
      </c>
      <c r="D21943" s="56">
        <v>9.6115353236043449E-2</v>
      </c>
      <c r="E21943" s="224" t="s">
        <v>2</v>
      </c>
      <c r="F21943" s="515" t="s">
        <v>23111</v>
      </c>
      <c r="G21943" s="52">
        <v>87664.194444444394</v>
      </c>
      <c r="H21943" s="56">
        <v>0</v>
      </c>
      <c r="I21943" s="224" t="s">
        <v>2</v>
      </c>
    </row>
    <row r="21944" spans="1:9" x14ac:dyDescent="0.25">
      <c r="A21944" s="515">
        <v>78117</v>
      </c>
      <c r="C21944" s="52">
        <v>255840.324471848</v>
      </c>
      <c r="D21944" s="56">
        <v>0</v>
      </c>
      <c r="E21944" s="224" t="s">
        <v>2</v>
      </c>
      <c r="F21944" s="515" t="s">
        <v>23112</v>
      </c>
      <c r="G21944" s="52">
        <v>592559.33552177995</v>
      </c>
      <c r="H21944" s="56">
        <v>-3.8777668155991589E-2</v>
      </c>
      <c r="I21944" s="224" t="s">
        <v>2</v>
      </c>
    </row>
    <row r="21945" spans="1:9" x14ac:dyDescent="0.25">
      <c r="A21945" s="515">
        <v>31649</v>
      </c>
      <c r="B21945" s="515" t="s">
        <v>505</v>
      </c>
      <c r="C21945" s="52">
        <v>129929.63824919</v>
      </c>
      <c r="D21945" s="56">
        <v>2.3805760889966516E-2</v>
      </c>
      <c r="E21945" s="224" t="s">
        <v>2</v>
      </c>
      <c r="F21945" s="515" t="s">
        <v>23113</v>
      </c>
      <c r="G21945" s="52">
        <v>137711.70514578599</v>
      </c>
      <c r="H21945" s="56">
        <v>0</v>
      </c>
      <c r="I21945" s="224" t="s">
        <v>2</v>
      </c>
    </row>
    <row r="21946" spans="1:9" x14ac:dyDescent="0.25">
      <c r="A21946" s="515">
        <v>29564</v>
      </c>
      <c r="C21946" s="52">
        <v>72061.714839633001</v>
      </c>
      <c r="D21946" s="56">
        <v>8.9609302442773417E-2</v>
      </c>
      <c r="E21946" s="224" t="s">
        <v>2</v>
      </c>
      <c r="F21946" s="515" t="s">
        <v>23114</v>
      </c>
      <c r="G21946" s="52">
        <v>190327.29972540899</v>
      </c>
      <c r="H21946" s="56">
        <v>0.12286548841894626</v>
      </c>
      <c r="I21946" s="224" t="s">
        <v>2</v>
      </c>
    </row>
    <row r="21947" spans="1:9" x14ac:dyDescent="0.25">
      <c r="A21947" s="515">
        <v>29516</v>
      </c>
      <c r="B21947" s="515" t="s">
        <v>1130</v>
      </c>
      <c r="C21947" s="52">
        <v>79666.103259701602</v>
      </c>
      <c r="D21947" s="56">
        <v>0</v>
      </c>
      <c r="E21947" s="224" t="s">
        <v>2</v>
      </c>
      <c r="F21947" s="515" t="s">
        <v>23115</v>
      </c>
      <c r="G21947" s="52">
        <v>80196.6105484484</v>
      </c>
      <c r="H21947" s="56">
        <v>-4.1656278300888895E-2</v>
      </c>
      <c r="I21947" s="224" t="s">
        <v>2</v>
      </c>
    </row>
    <row r="21948" spans="1:9" x14ac:dyDescent="0.25">
      <c r="A21948" s="515">
        <v>38348</v>
      </c>
      <c r="C21948" s="52">
        <v>138769.56445415001</v>
      </c>
      <c r="D21948" s="56">
        <v>0</v>
      </c>
      <c r="E21948" s="224" t="s">
        <v>2</v>
      </c>
      <c r="F21948" s="515" t="s">
        <v>23116</v>
      </c>
      <c r="G21948" s="52">
        <v>200942.8</v>
      </c>
      <c r="H21948" s="56">
        <v>0</v>
      </c>
      <c r="I21948" s="224" t="s">
        <v>2</v>
      </c>
    </row>
    <row r="21949" spans="1:9" x14ac:dyDescent="0.25">
      <c r="A21949" s="515">
        <v>61749</v>
      </c>
      <c r="C21949" s="52">
        <v>96053.027777777694</v>
      </c>
      <c r="D21949" s="56">
        <v>0</v>
      </c>
      <c r="E21949" s="224" t="s">
        <v>2</v>
      </c>
      <c r="F21949" s="515" t="s">
        <v>23117</v>
      </c>
      <c r="G21949" s="52">
        <v>365510.98667262198</v>
      </c>
      <c r="H21949" s="56">
        <v>6.457814237020687E-2</v>
      </c>
      <c r="I21949" s="224" t="s">
        <v>2</v>
      </c>
    </row>
    <row r="21950" spans="1:9" x14ac:dyDescent="0.25">
      <c r="A21950" s="515">
        <v>57241</v>
      </c>
      <c r="B21950" s="515" t="s">
        <v>941</v>
      </c>
      <c r="C21950" s="52">
        <v>248008.57303370701</v>
      </c>
      <c r="D21950" s="56">
        <v>0</v>
      </c>
      <c r="E21950" s="224" t="s">
        <v>2</v>
      </c>
      <c r="F21950" s="515" t="s">
        <v>23118</v>
      </c>
      <c r="G21950" s="52">
        <v>685758.476184392</v>
      </c>
      <c r="H21950" s="56">
        <v>3.9992097943234398E-2</v>
      </c>
      <c r="I21950" s="224" t="s">
        <v>2</v>
      </c>
    </row>
    <row r="21951" spans="1:9" x14ac:dyDescent="0.25">
      <c r="A21951" s="515">
        <v>52362</v>
      </c>
      <c r="B21951" s="515" t="s">
        <v>404</v>
      </c>
      <c r="C21951" s="52">
        <v>126171.609567024</v>
      </c>
      <c r="D21951" s="56">
        <v>0.11391186216174595</v>
      </c>
      <c r="E21951" s="224" t="s">
        <v>2</v>
      </c>
      <c r="F21951" s="515" t="s">
        <v>23119</v>
      </c>
      <c r="G21951" s="52">
        <v>99202.291479991007</v>
      </c>
      <c r="H21951" s="56">
        <v>-2.4445594605135627E-2</v>
      </c>
      <c r="I21951" s="224" t="s">
        <v>2</v>
      </c>
    </row>
    <row r="21952" spans="1:9" x14ac:dyDescent="0.25">
      <c r="A21952" s="515">
        <v>56736</v>
      </c>
      <c r="B21952" s="515" t="s">
        <v>624</v>
      </c>
      <c r="C21952" s="52">
        <v>305081.72220427199</v>
      </c>
      <c r="D21952" s="56">
        <v>0.10905761735785707</v>
      </c>
      <c r="E21952" s="224" t="s">
        <v>2</v>
      </c>
      <c r="F21952" s="515" t="s">
        <v>23120</v>
      </c>
      <c r="G21952" s="52">
        <v>286124.43567627098</v>
      </c>
      <c r="H21952" s="56">
        <v>0.13788771943996073</v>
      </c>
      <c r="I21952" s="224" t="s">
        <v>2</v>
      </c>
    </row>
    <row r="21953" spans="1:9" x14ac:dyDescent="0.25">
      <c r="A21953" s="515">
        <v>98624</v>
      </c>
      <c r="C21953" s="52">
        <v>374138.975214893</v>
      </c>
      <c r="D21953" s="56">
        <v>4.4312446814939094E-2</v>
      </c>
      <c r="E21953" s="224" t="s">
        <v>2</v>
      </c>
      <c r="F21953" s="515" t="s">
        <v>23121</v>
      </c>
      <c r="G21953" s="52">
        <v>77256.666666666599</v>
      </c>
      <c r="H21953" s="56">
        <v>0</v>
      </c>
      <c r="I21953" s="224" t="s">
        <v>2</v>
      </c>
    </row>
    <row r="21954" spans="1:9" x14ac:dyDescent="0.25">
      <c r="A21954" s="515">
        <v>64642</v>
      </c>
      <c r="C21954" s="52">
        <v>84628.393639808404</v>
      </c>
      <c r="D21954" s="56">
        <v>-9.8638678568531701E-2</v>
      </c>
      <c r="E21954" s="224" t="s">
        <v>2</v>
      </c>
      <c r="F21954" s="515" t="s">
        <v>23122</v>
      </c>
      <c r="G21954" s="52">
        <v>323748.88066405099</v>
      </c>
      <c r="H21954" s="56">
        <v>0.14500728782043121</v>
      </c>
      <c r="I21954" s="224" t="s">
        <v>2</v>
      </c>
    </row>
    <row r="21955" spans="1:9" x14ac:dyDescent="0.25">
      <c r="A21955" s="515">
        <v>61740</v>
      </c>
      <c r="B21955" s="515" t="s">
        <v>678</v>
      </c>
      <c r="C21955" s="52">
        <v>132382.88596333901</v>
      </c>
      <c r="D21955" s="56">
        <v>4.3373514621956724E-2</v>
      </c>
      <c r="E21955" s="224" t="s">
        <v>2</v>
      </c>
      <c r="F21955" s="515" t="s">
        <v>23123</v>
      </c>
      <c r="G21955" s="52">
        <v>192274.02173913</v>
      </c>
      <c r="H21955" s="56">
        <v>0</v>
      </c>
      <c r="I21955" s="224" t="s">
        <v>2</v>
      </c>
    </row>
    <row r="21956" spans="1:9" x14ac:dyDescent="0.25">
      <c r="A21956" s="515">
        <v>12008</v>
      </c>
      <c r="B21956" s="515" t="s">
        <v>609</v>
      </c>
      <c r="C21956" s="52">
        <v>270022.87058742403</v>
      </c>
      <c r="D21956" s="56">
        <v>7.1338831276530817E-2</v>
      </c>
      <c r="E21956" s="224" t="s">
        <v>2</v>
      </c>
      <c r="F21956" s="515" t="s">
        <v>23124</v>
      </c>
      <c r="G21956" s="52">
        <v>44157.917935185498</v>
      </c>
      <c r="H21956" s="56">
        <v>0.37212555869514052</v>
      </c>
      <c r="I21956" s="224" t="s">
        <v>2</v>
      </c>
    </row>
    <row r="21957" spans="1:9" x14ac:dyDescent="0.25">
      <c r="A21957" s="515">
        <v>89043</v>
      </c>
      <c r="C21957" s="52">
        <v>189574.85946681601</v>
      </c>
      <c r="D21957" s="56">
        <v>-1.4057795161827062E-2</v>
      </c>
      <c r="E21957" s="224" t="s">
        <v>2</v>
      </c>
      <c r="F21957" s="515" t="s">
        <v>23125</v>
      </c>
      <c r="G21957" s="52">
        <v>71659.161388757406</v>
      </c>
      <c r="H21957" s="56">
        <v>6.5832053532615155E-3</v>
      </c>
      <c r="I21957" s="224" t="s">
        <v>2</v>
      </c>
    </row>
    <row r="21958" spans="1:9" x14ac:dyDescent="0.25">
      <c r="A21958" s="515">
        <v>5148</v>
      </c>
      <c r="C21958" s="52">
        <v>372311.67014097603</v>
      </c>
      <c r="D21958" s="56">
        <v>6.5593109331815572E-2</v>
      </c>
      <c r="E21958" s="224" t="s">
        <v>2</v>
      </c>
      <c r="F21958" s="515" t="s">
        <v>23126</v>
      </c>
      <c r="G21958" s="52">
        <v>578487.91560521699</v>
      </c>
      <c r="H21958" s="56">
        <v>4.3201827786106088E-2</v>
      </c>
      <c r="I21958" s="224" t="s">
        <v>2</v>
      </c>
    </row>
    <row r="21959" spans="1:9" x14ac:dyDescent="0.25">
      <c r="A21959" s="515">
        <v>28736</v>
      </c>
      <c r="B21959" s="515" t="s">
        <v>487</v>
      </c>
      <c r="C21959" s="52">
        <v>676045.71205230395</v>
      </c>
      <c r="D21959" s="56">
        <v>0.15552090056864495</v>
      </c>
      <c r="E21959" s="224" t="s">
        <v>2</v>
      </c>
      <c r="F21959" s="515" t="s">
        <v>23127</v>
      </c>
      <c r="G21959" s="52">
        <v>113909.035714285</v>
      </c>
      <c r="H21959" s="56">
        <v>0</v>
      </c>
      <c r="I21959" s="224" t="s">
        <v>2</v>
      </c>
    </row>
    <row r="21960" spans="1:9" x14ac:dyDescent="0.25">
      <c r="A21960" s="515">
        <v>61729</v>
      </c>
      <c r="B21960" s="515" t="s">
        <v>303</v>
      </c>
      <c r="C21960" s="52">
        <v>238103.636829614</v>
      </c>
      <c r="D21960" s="56">
        <v>5.6863160743901991E-2</v>
      </c>
      <c r="E21960" s="224" t="s">
        <v>2</v>
      </c>
      <c r="F21960" s="515" t="s">
        <v>23128</v>
      </c>
      <c r="G21960" s="52">
        <v>94717.165343728295</v>
      </c>
      <c r="H21960" s="56">
        <v>5.8248128366443379E-2</v>
      </c>
      <c r="I21960" s="224" t="s">
        <v>2</v>
      </c>
    </row>
    <row r="21961" spans="1:9" x14ac:dyDescent="0.25">
      <c r="A21961" s="515">
        <v>44250</v>
      </c>
      <c r="B21961" s="515" t="s">
        <v>1000</v>
      </c>
      <c r="C21961" s="52">
        <v>100876.50578478099</v>
      </c>
      <c r="D21961" s="56">
        <v>0.10066440881340619</v>
      </c>
      <c r="E21961" s="224" t="s">
        <v>2</v>
      </c>
      <c r="F21961" s="515" t="s">
        <v>23129</v>
      </c>
      <c r="G21961" s="52">
        <v>234987.46110268199</v>
      </c>
      <c r="H21961" s="56">
        <v>5.1068148734073678E-2</v>
      </c>
      <c r="I21961" s="224" t="s">
        <v>2</v>
      </c>
    </row>
    <row r="21962" spans="1:9" x14ac:dyDescent="0.25">
      <c r="A21962" s="515">
        <v>36562</v>
      </c>
      <c r="B21962" s="515" t="s">
        <v>488</v>
      </c>
      <c r="C21962" s="52">
        <v>185874.28136666</v>
      </c>
      <c r="D21962" s="56">
        <v>7.8668377652911306E-2</v>
      </c>
      <c r="E21962" s="224" t="s">
        <v>2</v>
      </c>
      <c r="F21962" s="515" t="s">
        <v>23130</v>
      </c>
      <c r="G21962" s="52">
        <v>711440.15521052701</v>
      </c>
      <c r="H21962" s="56">
        <v>4.188654246352419E-2</v>
      </c>
      <c r="I21962" s="224" t="s">
        <v>2</v>
      </c>
    </row>
    <row r="21963" spans="1:9" x14ac:dyDescent="0.25">
      <c r="A21963" s="515">
        <v>40815</v>
      </c>
      <c r="C21963" s="52">
        <v>56744.757958714297</v>
      </c>
      <c r="D21963" s="56">
        <v>0.2437577919941725</v>
      </c>
      <c r="E21963" s="224" t="s">
        <v>2</v>
      </c>
      <c r="F21963" s="515" t="s">
        <v>23131</v>
      </c>
      <c r="G21963" s="52">
        <v>86603.798552011198</v>
      </c>
      <c r="H21963" s="56">
        <v>2.1437241439605684E-2</v>
      </c>
      <c r="I21963" s="224" t="s">
        <v>2</v>
      </c>
    </row>
    <row r="21964" spans="1:9" x14ac:dyDescent="0.25">
      <c r="A21964" s="515">
        <v>39633</v>
      </c>
      <c r="C21964" s="52">
        <v>92179.658070333506</v>
      </c>
      <c r="D21964" s="56">
        <v>-0.13946703410842329</v>
      </c>
      <c r="E21964" s="224" t="s">
        <v>2</v>
      </c>
      <c r="F21964" s="515" t="s">
        <v>23132</v>
      </c>
      <c r="G21964" s="52">
        <v>566762.74006624206</v>
      </c>
      <c r="H21964" s="56">
        <v>1.3442345356511782E-2</v>
      </c>
      <c r="I21964" s="224" t="s">
        <v>2</v>
      </c>
    </row>
    <row r="21965" spans="1:9" x14ac:dyDescent="0.25">
      <c r="A21965" s="515">
        <v>62554</v>
      </c>
      <c r="B21965" s="515" t="s">
        <v>540</v>
      </c>
      <c r="C21965" s="52">
        <v>134808.574843326</v>
      </c>
      <c r="D21965" s="56">
        <v>3.2972192071297222E-2</v>
      </c>
      <c r="E21965" s="224" t="s">
        <v>2</v>
      </c>
      <c r="F21965" s="515" t="s">
        <v>23133</v>
      </c>
      <c r="G21965" s="52">
        <v>107841.05292816801</v>
      </c>
      <c r="H21965" s="56">
        <v>4.615325460282229E-2</v>
      </c>
      <c r="I21965" s="224" t="s">
        <v>2</v>
      </c>
    </row>
    <row r="21966" spans="1:9" x14ac:dyDescent="0.25">
      <c r="A21966" s="515">
        <v>56455</v>
      </c>
      <c r="B21966" s="515" t="s">
        <v>674</v>
      </c>
      <c r="C21966" s="52">
        <v>219441.947245919</v>
      </c>
      <c r="D21966" s="56">
        <v>8.5173950200089985E-2</v>
      </c>
      <c r="E21966" s="224" t="s">
        <v>2</v>
      </c>
      <c r="F21966" s="515" t="s">
        <v>23134</v>
      </c>
      <c r="G21966" s="52">
        <v>248818.37000358599</v>
      </c>
      <c r="H21966" s="56">
        <v>7.629074080673294E-2</v>
      </c>
      <c r="I21966" s="224" t="s">
        <v>2</v>
      </c>
    </row>
    <row r="21967" spans="1:9" x14ac:dyDescent="0.25">
      <c r="A21967" s="515">
        <v>76453</v>
      </c>
      <c r="B21967" s="515" t="s">
        <v>931</v>
      </c>
      <c r="C21967" s="52">
        <v>297319.65294704703</v>
      </c>
      <c r="D21967" s="56">
        <v>7.3573631624109487E-2</v>
      </c>
      <c r="E21967" s="224" t="s">
        <v>2</v>
      </c>
      <c r="F21967" s="515" t="s">
        <v>23135</v>
      </c>
      <c r="G21967" s="52">
        <v>236489.96551179499</v>
      </c>
      <c r="H21967" s="56">
        <v>8.9474286630476851E-2</v>
      </c>
      <c r="I21967" s="224" t="s">
        <v>2</v>
      </c>
    </row>
    <row r="21968" spans="1:9" x14ac:dyDescent="0.25">
      <c r="A21968" s="515">
        <v>51577</v>
      </c>
      <c r="B21968" s="515" t="s">
        <v>367</v>
      </c>
      <c r="C21968" s="52">
        <v>154571.60384075801</v>
      </c>
      <c r="D21968" s="56">
        <v>8.2567154626278699E-2</v>
      </c>
      <c r="E21968" s="224" t="s">
        <v>2</v>
      </c>
      <c r="F21968" s="515" t="s">
        <v>23136</v>
      </c>
      <c r="G21968" s="52">
        <v>149822.487466994</v>
      </c>
      <c r="H21968" s="56">
        <v>9.8918381374642816E-2</v>
      </c>
      <c r="I21968" s="224" t="s">
        <v>2</v>
      </c>
    </row>
    <row r="21969" spans="1:9" x14ac:dyDescent="0.25">
      <c r="A21969" s="515">
        <v>28772</v>
      </c>
      <c r="B21969" s="515" t="s">
        <v>908</v>
      </c>
      <c r="C21969" s="52">
        <v>286287.19259444397</v>
      </c>
      <c r="D21969" s="56">
        <v>0.21110268479548699</v>
      </c>
      <c r="E21969" s="224" t="s">
        <v>2</v>
      </c>
      <c r="F21969" s="515" t="s">
        <v>23137</v>
      </c>
      <c r="G21969" s="52">
        <v>94241.485736936695</v>
      </c>
      <c r="H21969" s="56">
        <v>0.12082782115712054</v>
      </c>
      <c r="I21969" s="224" t="s">
        <v>2</v>
      </c>
    </row>
    <row r="21970" spans="1:9" x14ac:dyDescent="0.25">
      <c r="A21970" s="515">
        <v>74457</v>
      </c>
      <c r="B21970" s="515" t="s">
        <v>899</v>
      </c>
      <c r="C21970" s="52">
        <v>167904.85006161901</v>
      </c>
      <c r="D21970" s="56">
        <v>7.2363919564763901E-2</v>
      </c>
      <c r="E21970" s="224" t="s">
        <v>2</v>
      </c>
      <c r="F21970" s="515" t="s">
        <v>23138</v>
      </c>
      <c r="G21970" s="52">
        <v>130845.022280812</v>
      </c>
      <c r="H21970" s="56">
        <v>0</v>
      </c>
      <c r="I21970" s="224" t="s">
        <v>2</v>
      </c>
    </row>
    <row r="21971" spans="1:9" x14ac:dyDescent="0.25">
      <c r="A21971" s="515">
        <v>56144</v>
      </c>
      <c r="C21971" s="52">
        <v>138277.19833890701</v>
      </c>
      <c r="D21971" s="56">
        <v>-4.3541268326130964E-3</v>
      </c>
      <c r="E21971" s="224" t="s">
        <v>2</v>
      </c>
      <c r="F21971" s="515" t="s">
        <v>23139</v>
      </c>
      <c r="G21971" s="52">
        <v>460735.873366279</v>
      </c>
      <c r="H21971" s="56">
        <v>1.6191922975217276E-2</v>
      </c>
      <c r="I21971" s="224" t="s">
        <v>2</v>
      </c>
    </row>
    <row r="21972" spans="1:9" x14ac:dyDescent="0.25">
      <c r="A21972" s="515">
        <v>19730</v>
      </c>
      <c r="B21972" s="515" t="s">
        <v>294</v>
      </c>
      <c r="C21972" s="52">
        <v>299157.46264598699</v>
      </c>
      <c r="D21972" s="56">
        <v>6.9359633311703917E-2</v>
      </c>
      <c r="E21972" s="224" t="s">
        <v>2</v>
      </c>
      <c r="F21972" s="515" t="s">
        <v>23140</v>
      </c>
      <c r="G21972" s="52">
        <v>446696.24666465301</v>
      </c>
      <c r="H21972" s="56">
        <v>2.8262763757784203E-2</v>
      </c>
      <c r="I21972" s="224" t="s">
        <v>2</v>
      </c>
    </row>
    <row r="21973" spans="1:9" x14ac:dyDescent="0.25">
      <c r="A21973" s="515">
        <v>78543</v>
      </c>
      <c r="B21973" s="515" t="s">
        <v>550</v>
      </c>
      <c r="C21973" s="52">
        <v>102147.85789634701</v>
      </c>
      <c r="D21973" s="56">
        <v>0.2451962661492447</v>
      </c>
      <c r="E21973" s="224" t="s">
        <v>2</v>
      </c>
      <c r="F21973" s="515" t="s">
        <v>23141</v>
      </c>
      <c r="G21973" s="52">
        <v>179322.571284587</v>
      </c>
      <c r="H21973" s="56">
        <v>6.4148984254728952E-2</v>
      </c>
      <c r="I21973" s="224" t="s">
        <v>2</v>
      </c>
    </row>
    <row r="21974" spans="1:9" x14ac:dyDescent="0.25">
      <c r="A21974" s="515">
        <v>17037</v>
      </c>
      <c r="B21974" s="515" t="s">
        <v>428</v>
      </c>
      <c r="C21974" s="52">
        <v>189473.74300296599</v>
      </c>
      <c r="D21974" s="56">
        <v>8.4277660002235105E-2</v>
      </c>
      <c r="E21974" s="224" t="s">
        <v>2</v>
      </c>
      <c r="F21974" s="515" t="s">
        <v>23142</v>
      </c>
      <c r="G21974" s="52">
        <v>155064.03120939599</v>
      </c>
      <c r="H21974" s="56">
        <v>0.19645651838018538</v>
      </c>
      <c r="I21974" s="224" t="s">
        <v>2</v>
      </c>
    </row>
    <row r="21975" spans="1:9" x14ac:dyDescent="0.25">
      <c r="A21975" s="515">
        <v>49619</v>
      </c>
      <c r="C21975" s="52">
        <v>158616.54114114901</v>
      </c>
      <c r="D21975" s="56">
        <v>3.2781430374375913E-2</v>
      </c>
      <c r="E21975" s="224" t="s">
        <v>2</v>
      </c>
      <c r="F21975" s="515" t="s">
        <v>23143</v>
      </c>
      <c r="G21975" s="52">
        <v>111363.27027027</v>
      </c>
      <c r="H21975" s="56">
        <v>0</v>
      </c>
      <c r="I21975" s="224" t="s">
        <v>2</v>
      </c>
    </row>
    <row r="21976" spans="1:9" x14ac:dyDescent="0.25">
      <c r="A21976" s="515">
        <v>5760</v>
      </c>
      <c r="C21976" s="52">
        <v>304385.81951220502</v>
      </c>
      <c r="D21976" s="56">
        <v>8.683956835812888E-2</v>
      </c>
      <c r="E21976" s="224" t="s">
        <v>2</v>
      </c>
      <c r="F21976" s="515" t="s">
        <v>23144</v>
      </c>
      <c r="G21976" s="52">
        <v>107303.38055446099</v>
      </c>
      <c r="H21976" s="56">
        <v>2.4663365947097941E-2</v>
      </c>
      <c r="I21976" s="224" t="s">
        <v>2</v>
      </c>
    </row>
    <row r="21977" spans="1:9" x14ac:dyDescent="0.25">
      <c r="A21977" s="515">
        <v>95960</v>
      </c>
      <c r="B21977" s="515" t="s">
        <v>387</v>
      </c>
      <c r="C21977" s="52">
        <v>397064.30353663699</v>
      </c>
      <c r="D21977" s="56">
        <v>-7.0773398560983565E-3</v>
      </c>
      <c r="E21977" s="224" t="s">
        <v>2</v>
      </c>
      <c r="F21977" s="515" t="s">
        <v>23145</v>
      </c>
      <c r="G21977" s="52">
        <v>95737.254758828203</v>
      </c>
      <c r="H21977" s="56">
        <v>0</v>
      </c>
      <c r="I21977" s="224" t="s">
        <v>2</v>
      </c>
    </row>
    <row r="21978" spans="1:9" x14ac:dyDescent="0.25">
      <c r="A21978" s="515">
        <v>68460</v>
      </c>
      <c r="C21978" s="52">
        <v>257475.92782982899</v>
      </c>
      <c r="D21978" s="56">
        <v>5.9509682013543931E-2</v>
      </c>
      <c r="E21978" s="224" t="s">
        <v>2</v>
      </c>
      <c r="F21978" s="515" t="s">
        <v>23146</v>
      </c>
      <c r="G21978" s="52">
        <v>249520.43784919099</v>
      </c>
      <c r="H21978" s="56">
        <v>0.15155225772255529</v>
      </c>
      <c r="I21978" s="224" t="s">
        <v>2</v>
      </c>
    </row>
    <row r="21979" spans="1:9" x14ac:dyDescent="0.25">
      <c r="A21979" s="515">
        <v>13796</v>
      </c>
      <c r="B21979" s="515" t="s">
        <v>460</v>
      </c>
      <c r="C21979" s="52">
        <v>183604.44496315101</v>
      </c>
      <c r="D21979" s="56">
        <v>0.12233866344581304</v>
      </c>
      <c r="E21979" s="224" t="s">
        <v>2</v>
      </c>
      <c r="F21979" s="515" t="s">
        <v>23147</v>
      </c>
      <c r="G21979" s="52">
        <v>91505.966954615404</v>
      </c>
      <c r="H21979" s="56">
        <v>0.14963191853384772</v>
      </c>
      <c r="I21979" s="224" t="s">
        <v>2</v>
      </c>
    </row>
    <row r="21980" spans="1:9" x14ac:dyDescent="0.25">
      <c r="A21980" s="515">
        <v>59762</v>
      </c>
      <c r="C21980" s="52">
        <v>465445.39971141599</v>
      </c>
      <c r="D21980" s="56">
        <v>0.12555209841575676</v>
      </c>
      <c r="E21980" s="224" t="s">
        <v>2</v>
      </c>
      <c r="F21980" s="515" t="s">
        <v>23148</v>
      </c>
      <c r="G21980" s="52">
        <v>100231.615717468</v>
      </c>
      <c r="H21980" s="56">
        <v>9.3269427339337227E-2</v>
      </c>
      <c r="I21980" s="224" t="s">
        <v>2</v>
      </c>
    </row>
    <row r="21981" spans="1:9" x14ac:dyDescent="0.25">
      <c r="A21981" s="515">
        <v>10527</v>
      </c>
      <c r="B21981" s="515" t="s">
        <v>324</v>
      </c>
      <c r="C21981" s="52">
        <v>733038.73096293304</v>
      </c>
      <c r="D21981" s="56">
        <v>2.9309526719214968E-2</v>
      </c>
      <c r="E21981" s="224" t="s">
        <v>2</v>
      </c>
      <c r="F21981" s="515" t="s">
        <v>23149</v>
      </c>
      <c r="G21981" s="52">
        <v>284064.53939393902</v>
      </c>
      <c r="H21981" s="56">
        <v>0</v>
      </c>
      <c r="I21981" s="224" t="s">
        <v>2</v>
      </c>
    </row>
    <row r="21982" spans="1:9" x14ac:dyDescent="0.25">
      <c r="A21982" s="515">
        <v>8403</v>
      </c>
      <c r="B21982" s="515" t="s">
        <v>800</v>
      </c>
      <c r="C21982" s="52">
        <v>1043718.55610873</v>
      </c>
      <c r="D21982" s="56">
        <v>8.7080352576146797E-2</v>
      </c>
      <c r="E21982" s="224" t="s">
        <v>2</v>
      </c>
      <c r="F21982" s="515" t="s">
        <v>23150</v>
      </c>
      <c r="G21982" s="52">
        <v>401331.70064790599</v>
      </c>
      <c r="H21982" s="56">
        <v>5.7390935942431345E-2</v>
      </c>
      <c r="I21982" s="224" t="s">
        <v>2</v>
      </c>
    </row>
    <row r="21983" spans="1:9" x14ac:dyDescent="0.25">
      <c r="A21983" s="515">
        <v>68454</v>
      </c>
      <c r="C21983" s="52">
        <v>246880.95702482399</v>
      </c>
      <c r="D21983" s="56">
        <v>0.14231733740685754</v>
      </c>
      <c r="E21983" s="224" t="s">
        <v>2</v>
      </c>
      <c r="F21983" s="515" t="s">
        <v>23151</v>
      </c>
      <c r="G21983" s="52">
        <v>50342.0889336982</v>
      </c>
      <c r="H21983" s="56">
        <v>0</v>
      </c>
      <c r="I21983" s="224" t="s">
        <v>2</v>
      </c>
    </row>
    <row r="21984" spans="1:9" x14ac:dyDescent="0.25">
      <c r="A21984" s="515">
        <v>24352</v>
      </c>
      <c r="C21984" s="52">
        <v>159725.99870310599</v>
      </c>
      <c r="D21984" s="56">
        <v>2.0088240319255164E-2</v>
      </c>
      <c r="E21984" s="224" t="s">
        <v>2</v>
      </c>
      <c r="F21984" s="515" t="s">
        <v>23152</v>
      </c>
      <c r="G21984" s="52">
        <v>861137.04067558597</v>
      </c>
      <c r="H21984" s="56">
        <v>0</v>
      </c>
      <c r="I21984" s="224" t="s">
        <v>2</v>
      </c>
    </row>
    <row r="21985" spans="1:9" x14ac:dyDescent="0.25">
      <c r="A21985" s="515">
        <v>85320</v>
      </c>
      <c r="B21985" s="515" t="s">
        <v>563</v>
      </c>
      <c r="C21985" s="52">
        <v>426273.40350877098</v>
      </c>
      <c r="D21985" s="56">
        <v>0</v>
      </c>
      <c r="E21985" s="224" t="s">
        <v>2</v>
      </c>
      <c r="F21985" s="515" t="s">
        <v>23153</v>
      </c>
      <c r="G21985" s="52">
        <v>539857.75655531499</v>
      </c>
      <c r="H21985" s="56">
        <v>7.7217959840437098E-2</v>
      </c>
      <c r="I21985" s="224" t="s">
        <v>2</v>
      </c>
    </row>
    <row r="21986" spans="1:9" x14ac:dyDescent="0.25">
      <c r="A21986" s="515">
        <v>81225</v>
      </c>
      <c r="C21986" s="52">
        <v>577943.66036899004</v>
      </c>
      <c r="D21986" s="56">
        <v>2.7797815567742502E-2</v>
      </c>
      <c r="E21986" s="224" t="s">
        <v>2</v>
      </c>
      <c r="F21986" s="515" t="s">
        <v>23154</v>
      </c>
      <c r="G21986" s="52">
        <v>554181.02034034801</v>
      </c>
      <c r="H21986" s="56">
        <v>5.4867482599084895E-2</v>
      </c>
      <c r="I21986" s="224" t="s">
        <v>2</v>
      </c>
    </row>
    <row r="21987" spans="1:9" x14ac:dyDescent="0.25">
      <c r="A21987" s="515">
        <v>99148</v>
      </c>
      <c r="B21987" s="515" t="s">
        <v>820</v>
      </c>
      <c r="C21987" s="52">
        <v>429617.05277908198</v>
      </c>
      <c r="D21987" s="56">
        <v>5.0856838385171278E-2</v>
      </c>
      <c r="E21987" s="224" t="s">
        <v>2</v>
      </c>
      <c r="F21987" s="515" t="s">
        <v>23155</v>
      </c>
      <c r="G21987" s="52">
        <v>125587.004370332</v>
      </c>
      <c r="H21987" s="56">
        <v>0</v>
      </c>
      <c r="I21987" s="224" t="s">
        <v>2</v>
      </c>
    </row>
    <row r="21988" spans="1:9" x14ac:dyDescent="0.25">
      <c r="A21988" s="515">
        <v>56570</v>
      </c>
      <c r="C21988" s="52">
        <v>268992.32021798298</v>
      </c>
      <c r="D21988" s="56">
        <v>0.14482810144436478</v>
      </c>
      <c r="E21988" s="224" t="s">
        <v>2</v>
      </c>
      <c r="F21988" s="515" t="s">
        <v>23156</v>
      </c>
      <c r="G21988" s="52">
        <v>78727.156862745105</v>
      </c>
      <c r="H21988" s="56">
        <v>0</v>
      </c>
      <c r="I21988" s="224" t="s">
        <v>2</v>
      </c>
    </row>
    <row r="21989" spans="1:9" x14ac:dyDescent="0.25">
      <c r="A21989" s="515">
        <v>38460</v>
      </c>
      <c r="C21989" s="52">
        <v>191256.95157843101</v>
      </c>
      <c r="D21989" s="56">
        <v>0.10986022358683066</v>
      </c>
      <c r="E21989" s="224" t="s">
        <v>2</v>
      </c>
      <c r="F21989" s="515" t="s">
        <v>23157</v>
      </c>
      <c r="G21989" s="52">
        <v>131283.76666666599</v>
      </c>
      <c r="H21989" s="56">
        <v>0</v>
      </c>
      <c r="I21989" s="224" t="s">
        <v>2</v>
      </c>
    </row>
    <row r="21990" spans="1:9" x14ac:dyDescent="0.25">
      <c r="A21990" s="515">
        <v>26678</v>
      </c>
      <c r="C21990" s="52">
        <v>148789.78165241401</v>
      </c>
      <c r="D21990" s="56">
        <v>8.2290887996779069E-2</v>
      </c>
      <c r="E21990" s="224" t="s">
        <v>2</v>
      </c>
      <c r="F21990" s="515" t="s">
        <v>8143</v>
      </c>
      <c r="G21990" s="52">
        <v>542853.49057743698</v>
      </c>
      <c r="H21990" s="56">
        <v>8.8712581821257602E-2</v>
      </c>
      <c r="I21990" s="224">
        <v>2600</v>
      </c>
    </row>
    <row r="21991" spans="1:9" x14ac:dyDescent="0.25">
      <c r="A21991" s="515">
        <v>26234</v>
      </c>
      <c r="C21991" s="52">
        <v>111347.067913573</v>
      </c>
      <c r="D21991" s="56">
        <v>4.5247447013151601E-2</v>
      </c>
      <c r="E21991" s="224" t="s">
        <v>2</v>
      </c>
      <c r="F21991" s="515" t="s">
        <v>23158</v>
      </c>
      <c r="G21991" s="52">
        <v>214311.71219735401</v>
      </c>
      <c r="H21991" s="56">
        <v>6.2601555921233315E-2</v>
      </c>
      <c r="I21991" s="224" t="s">
        <v>2</v>
      </c>
    </row>
    <row r="21992" spans="1:9" x14ac:dyDescent="0.25">
      <c r="A21992" s="515">
        <v>98068</v>
      </c>
      <c r="B21992" s="515" t="s">
        <v>384</v>
      </c>
      <c r="C21992" s="52">
        <v>748406.75288608705</v>
      </c>
      <c r="D21992" s="56">
        <v>0.10131463232653756</v>
      </c>
      <c r="E21992" s="224" t="s">
        <v>2</v>
      </c>
      <c r="F21992" s="515" t="s">
        <v>23159</v>
      </c>
      <c r="G21992" s="52">
        <v>84117.027777777694</v>
      </c>
      <c r="H21992" s="56">
        <v>0</v>
      </c>
      <c r="I21992" s="224" t="s">
        <v>2</v>
      </c>
    </row>
    <row r="21993" spans="1:9" x14ac:dyDescent="0.25">
      <c r="A21993" s="515">
        <v>65016</v>
      </c>
      <c r="B21993" s="515" t="s">
        <v>711</v>
      </c>
      <c r="C21993" s="52">
        <v>248442.71153846101</v>
      </c>
      <c r="D21993" s="56">
        <v>0</v>
      </c>
      <c r="E21993" s="224" t="s">
        <v>2</v>
      </c>
      <c r="F21993" s="515" t="s">
        <v>23160</v>
      </c>
      <c r="G21993" s="52">
        <v>100195.965784856</v>
      </c>
      <c r="H21993" s="56">
        <v>-9.2814084283882659E-2</v>
      </c>
      <c r="I21993" s="224" t="s">
        <v>2</v>
      </c>
    </row>
    <row r="21994" spans="1:9" x14ac:dyDescent="0.25">
      <c r="A21994" s="515">
        <v>61865</v>
      </c>
      <c r="B21994" s="515" t="s">
        <v>999</v>
      </c>
      <c r="C21994" s="52">
        <v>96822.034391291003</v>
      </c>
      <c r="D21994" s="56">
        <v>6.9481391839451373E-2</v>
      </c>
      <c r="E21994" s="224" t="s">
        <v>2</v>
      </c>
      <c r="F21994" s="515" t="s">
        <v>23161</v>
      </c>
      <c r="G21994" s="52">
        <v>339018.105371718</v>
      </c>
      <c r="H21994" s="56">
        <v>6.4737570571052561E-2</v>
      </c>
      <c r="I21994" s="224" t="s">
        <v>2</v>
      </c>
    </row>
    <row r="21995" spans="1:9" x14ac:dyDescent="0.25">
      <c r="A21995" s="515">
        <v>26739</v>
      </c>
      <c r="C21995" s="52">
        <v>108946.339598138</v>
      </c>
      <c r="D21995" s="56">
        <v>7.914170607891241E-2</v>
      </c>
      <c r="E21995" s="224" t="s">
        <v>2</v>
      </c>
      <c r="F21995" s="515" t="s">
        <v>23162</v>
      </c>
      <c r="G21995" s="52">
        <v>89979.814814814803</v>
      </c>
      <c r="H21995" s="56">
        <v>0</v>
      </c>
      <c r="I21995" s="224" t="s">
        <v>2</v>
      </c>
    </row>
    <row r="21996" spans="1:9" x14ac:dyDescent="0.25">
      <c r="A21996" s="515">
        <v>57063</v>
      </c>
      <c r="C21996" s="52">
        <v>186342.40048138099</v>
      </c>
      <c r="D21996" s="56">
        <v>5.3987663199081555E-2</v>
      </c>
      <c r="E21996" s="224" t="s">
        <v>2</v>
      </c>
      <c r="F21996" s="515" t="s">
        <v>23163</v>
      </c>
      <c r="G21996" s="52">
        <v>39833.338716085796</v>
      </c>
      <c r="H21996" s="56">
        <v>-7.2667992935293885E-2</v>
      </c>
      <c r="I21996" s="224" t="s">
        <v>2</v>
      </c>
    </row>
    <row r="21997" spans="1:9" x14ac:dyDescent="0.25">
      <c r="A21997" s="515">
        <v>64631</v>
      </c>
      <c r="C21997" s="52">
        <v>105084.51080214301</v>
      </c>
      <c r="D21997" s="56">
        <v>0.17599013443413469</v>
      </c>
      <c r="E21997" s="224" t="s">
        <v>2</v>
      </c>
      <c r="F21997" s="515" t="s">
        <v>23164</v>
      </c>
      <c r="G21997" s="52">
        <v>119356.944444444</v>
      </c>
      <c r="H21997" s="56">
        <v>0</v>
      </c>
      <c r="I21997" s="224" t="s">
        <v>2</v>
      </c>
    </row>
    <row r="21998" spans="1:9" x14ac:dyDescent="0.25">
      <c r="A21998" s="515">
        <v>23874</v>
      </c>
      <c r="B21998" s="515" t="s">
        <v>301</v>
      </c>
      <c r="C21998" s="52">
        <v>174752.545762781</v>
      </c>
      <c r="D21998" s="56">
        <v>6.056580253011605E-2</v>
      </c>
      <c r="E21998" s="224" t="s">
        <v>2</v>
      </c>
      <c r="F21998" s="515" t="s">
        <v>23165</v>
      </c>
      <c r="G21998" s="52">
        <v>70741.620465328306</v>
      </c>
      <c r="H21998" s="56">
        <v>0</v>
      </c>
      <c r="I21998" s="224" t="s">
        <v>2</v>
      </c>
    </row>
    <row r="21999" spans="1:9" x14ac:dyDescent="0.25">
      <c r="A21999" s="515">
        <v>74875</v>
      </c>
      <c r="B21999" s="515" t="s">
        <v>385</v>
      </c>
      <c r="C21999" s="52">
        <v>140078.49505827</v>
      </c>
      <c r="D21999" s="56">
        <v>4.7732843381671344E-2</v>
      </c>
      <c r="E21999" s="224" t="s">
        <v>2</v>
      </c>
      <c r="F21999" s="515" t="s">
        <v>23166</v>
      </c>
      <c r="G21999" s="52">
        <v>149513.96222220399</v>
      </c>
      <c r="H21999" s="56">
        <v>1.5934635868730274E-2</v>
      </c>
      <c r="I21999" s="224" t="s">
        <v>2</v>
      </c>
    </row>
    <row r="22000" spans="1:9" x14ac:dyDescent="0.25">
      <c r="A22000" s="515">
        <v>73459</v>
      </c>
      <c r="B22000" s="515" t="s">
        <v>710</v>
      </c>
      <c r="C22000" s="52">
        <v>199097.41524675701</v>
      </c>
      <c r="D22000" s="56">
        <v>0.21413059033826998</v>
      </c>
      <c r="E22000" s="224" t="s">
        <v>2</v>
      </c>
      <c r="F22000" s="515" t="s">
        <v>23167</v>
      </c>
      <c r="G22000" s="52">
        <v>205325.033397033</v>
      </c>
      <c r="H22000" s="56">
        <v>7.7822266855453293E-2</v>
      </c>
      <c r="I22000" s="224" t="s">
        <v>2</v>
      </c>
    </row>
    <row r="22001" spans="1:9" x14ac:dyDescent="0.25">
      <c r="A22001" s="515">
        <v>35647</v>
      </c>
      <c r="B22001" s="515" t="s">
        <v>997</v>
      </c>
      <c r="C22001" s="52">
        <v>216800.56666666601</v>
      </c>
      <c r="D22001" s="56">
        <v>0</v>
      </c>
      <c r="E22001" s="224" t="s">
        <v>2</v>
      </c>
      <c r="F22001" s="515" t="s">
        <v>23168</v>
      </c>
      <c r="G22001" s="52">
        <v>225934.29376037</v>
      </c>
      <c r="H22001" s="56">
        <v>0.10647214803405007</v>
      </c>
      <c r="I22001" s="224" t="s">
        <v>2</v>
      </c>
    </row>
    <row r="22002" spans="1:9" x14ac:dyDescent="0.25">
      <c r="A22002" s="515">
        <v>61015</v>
      </c>
      <c r="B22002" s="515" t="s">
        <v>429</v>
      </c>
      <c r="C22002" s="52">
        <v>211910.071947149</v>
      </c>
      <c r="D22002" s="56">
        <v>5.2468007604900016E-2</v>
      </c>
      <c r="E22002" s="224" t="s">
        <v>2</v>
      </c>
      <c r="F22002" s="515" t="s">
        <v>23169</v>
      </c>
      <c r="G22002" s="52">
        <v>58793.470809955499</v>
      </c>
      <c r="H22002" s="56">
        <v>0.15493872719333307</v>
      </c>
      <c r="I22002" s="224" t="s">
        <v>2</v>
      </c>
    </row>
    <row r="22003" spans="1:9" x14ac:dyDescent="0.25">
      <c r="A22003" s="515">
        <v>36740</v>
      </c>
      <c r="B22003" s="515" t="s">
        <v>841</v>
      </c>
      <c r="C22003" s="52">
        <v>115433.553571428</v>
      </c>
      <c r="D22003" s="56">
        <v>0</v>
      </c>
      <c r="E22003" s="224" t="s">
        <v>2</v>
      </c>
      <c r="F22003" s="515" t="s">
        <v>23170</v>
      </c>
      <c r="G22003" s="52">
        <v>335161.85738218401</v>
      </c>
      <c r="H22003" s="56">
        <v>0.104901489349392</v>
      </c>
      <c r="I22003" s="224" t="s">
        <v>2</v>
      </c>
    </row>
    <row r="22004" spans="1:9" x14ac:dyDescent="0.25">
      <c r="A22004" s="515">
        <v>66095</v>
      </c>
      <c r="B22004" s="515" t="s">
        <v>880</v>
      </c>
      <c r="C22004" s="52">
        <v>215165.514314845</v>
      </c>
      <c r="D22004" s="56">
        <v>0.1412738024216601</v>
      </c>
      <c r="E22004" s="224" t="s">
        <v>2</v>
      </c>
      <c r="F22004" s="515" t="s">
        <v>23171</v>
      </c>
      <c r="G22004" s="52">
        <v>102802.73076922999</v>
      </c>
      <c r="H22004" s="56">
        <v>0</v>
      </c>
      <c r="I22004" s="224" t="s">
        <v>2</v>
      </c>
    </row>
    <row r="22005" spans="1:9" x14ac:dyDescent="0.25">
      <c r="A22005" s="515">
        <v>3580</v>
      </c>
      <c r="B22005" s="515" t="s">
        <v>420</v>
      </c>
      <c r="C22005" s="52">
        <v>510516.389827698</v>
      </c>
      <c r="D22005" s="56">
        <v>0.13356681865292341</v>
      </c>
      <c r="E22005" s="224" t="s">
        <v>2</v>
      </c>
      <c r="F22005" s="515" t="s">
        <v>23172</v>
      </c>
      <c r="G22005" s="52">
        <v>93336.264810674795</v>
      </c>
      <c r="H22005" s="56">
        <v>0</v>
      </c>
      <c r="I22005" s="224" t="s">
        <v>2</v>
      </c>
    </row>
    <row r="22006" spans="1:9" x14ac:dyDescent="0.25">
      <c r="A22006" s="515">
        <v>56083</v>
      </c>
      <c r="C22006" s="52">
        <v>138226.96742745899</v>
      </c>
      <c r="D22006" s="56">
        <v>5.2560331918272238E-2</v>
      </c>
      <c r="E22006" s="224" t="s">
        <v>2</v>
      </c>
      <c r="F22006" s="515" t="s">
        <v>23173</v>
      </c>
      <c r="G22006" s="52">
        <v>756387.55740544398</v>
      </c>
      <c r="H22006" s="56">
        <v>0.10268237115768561</v>
      </c>
      <c r="I22006" s="224" t="s">
        <v>2</v>
      </c>
    </row>
    <row r="22007" spans="1:9" x14ac:dyDescent="0.25">
      <c r="A22007" s="515">
        <v>12732</v>
      </c>
      <c r="C22007" s="52">
        <v>298997.88076596602</v>
      </c>
      <c r="D22007" s="56">
        <v>0.1468650084627709</v>
      </c>
      <c r="E22007" s="224" t="s">
        <v>2</v>
      </c>
      <c r="F22007" s="515" t="s">
        <v>23174</v>
      </c>
      <c r="G22007" s="52">
        <v>133438.972070555</v>
      </c>
      <c r="H22007" s="56">
        <v>0.19392143285500091</v>
      </c>
      <c r="I22007" s="224" t="s">
        <v>2</v>
      </c>
    </row>
    <row r="22008" spans="1:9" x14ac:dyDescent="0.25">
      <c r="A22008" s="515">
        <v>46990</v>
      </c>
      <c r="B22008" s="515" t="s">
        <v>435</v>
      </c>
      <c r="C22008" s="52">
        <v>206218.107115655</v>
      </c>
      <c r="D22008" s="56">
        <v>6.6358994011204209E-2</v>
      </c>
      <c r="E22008" s="224" t="s">
        <v>2</v>
      </c>
      <c r="F22008" s="515" t="s">
        <v>23175</v>
      </c>
      <c r="G22008" s="52">
        <v>125896.19218312899</v>
      </c>
      <c r="H22008" s="56">
        <v>9.5574239863763455E-2</v>
      </c>
      <c r="I22008" s="224" t="s">
        <v>2</v>
      </c>
    </row>
    <row r="22009" spans="1:9" x14ac:dyDescent="0.25">
      <c r="A22009" s="515">
        <v>59480</v>
      </c>
      <c r="B22009" s="515" t="s">
        <v>373</v>
      </c>
      <c r="C22009" s="52">
        <v>273132.50798048498</v>
      </c>
      <c r="D22009" s="56">
        <v>0.147835489714395</v>
      </c>
      <c r="E22009" s="224" t="s">
        <v>2</v>
      </c>
      <c r="F22009" s="515" t="s">
        <v>23176</v>
      </c>
      <c r="G22009" s="52">
        <v>106153.49002806</v>
      </c>
      <c r="H22009" s="56">
        <v>0</v>
      </c>
      <c r="I22009" s="224" t="s">
        <v>2</v>
      </c>
    </row>
    <row r="22010" spans="1:9" x14ac:dyDescent="0.25">
      <c r="A22010" s="515">
        <v>54733</v>
      </c>
      <c r="C22010" s="52">
        <v>189101.171935138</v>
      </c>
      <c r="D22010" s="56">
        <v>7.2180542768993217E-2</v>
      </c>
      <c r="E22010" s="224" t="s">
        <v>2</v>
      </c>
      <c r="F22010" s="515" t="s">
        <v>23177</v>
      </c>
      <c r="G22010" s="52">
        <v>181174.549161345</v>
      </c>
      <c r="H22010" s="56">
        <v>0</v>
      </c>
      <c r="I22010" s="224" t="s">
        <v>2</v>
      </c>
    </row>
    <row r="22011" spans="1:9" x14ac:dyDescent="0.25">
      <c r="A22011" s="515">
        <v>43432</v>
      </c>
      <c r="B22011" s="515" t="s">
        <v>300</v>
      </c>
      <c r="C22011" s="52">
        <v>211728.64453486601</v>
      </c>
      <c r="D22011" s="56">
        <v>8.008732453928287E-2</v>
      </c>
      <c r="E22011" s="224" t="s">
        <v>2</v>
      </c>
      <c r="F22011" s="515" t="s">
        <v>23178</v>
      </c>
      <c r="G22011" s="52">
        <v>56787.082018920497</v>
      </c>
      <c r="H22011" s="56">
        <v>0</v>
      </c>
      <c r="I22011" s="224" t="s">
        <v>2</v>
      </c>
    </row>
    <row r="22012" spans="1:9" x14ac:dyDescent="0.25">
      <c r="A22012" s="515">
        <v>47949</v>
      </c>
      <c r="C22012" s="52">
        <v>148208.50557998801</v>
      </c>
      <c r="D22012" s="56">
        <v>7.722641048200006E-2</v>
      </c>
      <c r="E22012" s="224" t="s">
        <v>2</v>
      </c>
      <c r="F22012" s="515" t="s">
        <v>23179</v>
      </c>
      <c r="G22012" s="52">
        <v>71459.823293046094</v>
      </c>
      <c r="H22012" s="56">
        <v>0.21295541844286583</v>
      </c>
      <c r="I22012" s="224" t="s">
        <v>2</v>
      </c>
    </row>
    <row r="22013" spans="1:9" x14ac:dyDescent="0.25">
      <c r="A22013" s="515">
        <v>95464</v>
      </c>
      <c r="B22013" s="515" t="s">
        <v>363</v>
      </c>
      <c r="C22013" s="52">
        <v>251645.79662934699</v>
      </c>
      <c r="D22013" s="56">
        <v>2.0548385028245394E-2</v>
      </c>
      <c r="E22013" s="224" t="s">
        <v>2</v>
      </c>
      <c r="F22013" s="515" t="s">
        <v>23180</v>
      </c>
      <c r="G22013" s="52">
        <v>207505.058864538</v>
      </c>
      <c r="H22013" s="56">
        <v>0</v>
      </c>
      <c r="I22013" s="224" t="s">
        <v>2</v>
      </c>
    </row>
    <row r="22014" spans="1:9" x14ac:dyDescent="0.25">
      <c r="A22014" s="515">
        <v>4776</v>
      </c>
      <c r="C22014" s="52">
        <v>133976.337491496</v>
      </c>
      <c r="D22014" s="56">
        <v>9.5082724456476309E-2</v>
      </c>
      <c r="E22014" s="224" t="s">
        <v>2</v>
      </c>
      <c r="F22014" s="515" t="s">
        <v>23181</v>
      </c>
      <c r="G22014" s="52">
        <v>112086.049901045</v>
      </c>
      <c r="H22014" s="56">
        <v>0.13992923844946925</v>
      </c>
      <c r="I22014" s="224" t="s">
        <v>2</v>
      </c>
    </row>
    <row r="22015" spans="1:9" x14ac:dyDescent="0.25">
      <c r="A22015" s="515">
        <v>71375</v>
      </c>
      <c r="C22015" s="52">
        <v>49616.761655587099</v>
      </c>
      <c r="D22015" s="56">
        <v>0</v>
      </c>
      <c r="E22015" s="224" t="s">
        <v>2</v>
      </c>
      <c r="F22015" s="515" t="s">
        <v>23182</v>
      </c>
      <c r="G22015" s="52">
        <v>526917.385061712</v>
      </c>
      <c r="H22015" s="56">
        <v>0</v>
      </c>
      <c r="I22015" s="224" t="s">
        <v>2</v>
      </c>
    </row>
    <row r="22016" spans="1:9" x14ac:dyDescent="0.25">
      <c r="A22016" s="515">
        <v>1253</v>
      </c>
      <c r="B22016" s="515" t="s">
        <v>497</v>
      </c>
      <c r="C22016" s="52">
        <v>412115.09119945503</v>
      </c>
      <c r="D22016" s="56">
        <v>0.11701333890457799</v>
      </c>
      <c r="E22016" s="224" t="s">
        <v>2</v>
      </c>
      <c r="F22016" s="515" t="s">
        <v>23183</v>
      </c>
      <c r="G22016" s="52">
        <v>1113641.7268600301</v>
      </c>
      <c r="H22016" s="56">
        <v>0.11310367831261031</v>
      </c>
      <c r="I22016" s="224" t="s">
        <v>2</v>
      </c>
    </row>
    <row r="22017" spans="1:9" x14ac:dyDescent="0.25">
      <c r="A22017" s="515">
        <v>97453</v>
      </c>
      <c r="B22017" s="515" t="s">
        <v>801</v>
      </c>
      <c r="C22017" s="52">
        <v>359340.76264597202</v>
      </c>
      <c r="D22017" s="56">
        <v>4.2627069873372947E-2</v>
      </c>
      <c r="E22017" s="224" t="s">
        <v>2</v>
      </c>
      <c r="F22017" s="515" t="s">
        <v>23184</v>
      </c>
      <c r="G22017" s="52">
        <v>255336.83752205301</v>
      </c>
      <c r="H22017" s="56">
        <v>9.0973550086264454E-2</v>
      </c>
      <c r="I22017" s="224" t="s">
        <v>2</v>
      </c>
    </row>
    <row r="22018" spans="1:9" x14ac:dyDescent="0.25">
      <c r="A22018" s="515">
        <v>73639</v>
      </c>
      <c r="B22018" s="515" t="s">
        <v>860</v>
      </c>
      <c r="C22018" s="52">
        <v>106388.44365653599</v>
      </c>
      <c r="D22018" s="56">
        <v>3.5159683386884612E-2</v>
      </c>
      <c r="E22018" s="224" t="s">
        <v>2</v>
      </c>
      <c r="F22018" s="515" t="s">
        <v>23185</v>
      </c>
      <c r="G22018" s="52">
        <v>187008.232656209</v>
      </c>
      <c r="H22018" s="56">
        <v>4.4382579043053552E-2</v>
      </c>
      <c r="I22018" s="224" t="s">
        <v>2</v>
      </c>
    </row>
    <row r="22019" spans="1:9" x14ac:dyDescent="0.25">
      <c r="A22019" s="515">
        <v>21872</v>
      </c>
      <c r="B22019" s="515" t="s">
        <v>552</v>
      </c>
      <c r="C22019" s="52">
        <v>315541.630097766</v>
      </c>
      <c r="D22019" s="56">
        <v>0</v>
      </c>
      <c r="E22019" s="224" t="s">
        <v>2</v>
      </c>
      <c r="F22019" s="515" t="s">
        <v>23186</v>
      </c>
      <c r="G22019" s="52">
        <v>64991.7805166209</v>
      </c>
      <c r="H22019" s="56">
        <v>0</v>
      </c>
      <c r="I22019" s="224" t="s">
        <v>2</v>
      </c>
    </row>
    <row r="22020" spans="1:9" x14ac:dyDescent="0.25">
      <c r="A22020" s="515">
        <v>40854</v>
      </c>
      <c r="C22020" s="52">
        <v>71642.898002604605</v>
      </c>
      <c r="D22020" s="56">
        <v>0.20444312360441394</v>
      </c>
      <c r="E22020" s="224" t="s">
        <v>2</v>
      </c>
      <c r="F22020" s="515" t="s">
        <v>23187</v>
      </c>
      <c r="G22020" s="52">
        <v>129723.03253449401</v>
      </c>
      <c r="H22020" s="56">
        <v>0.13355210375646093</v>
      </c>
      <c r="I22020" s="224" t="s">
        <v>2</v>
      </c>
    </row>
    <row r="22021" spans="1:9" x14ac:dyDescent="0.25">
      <c r="A22021" s="515">
        <v>38392</v>
      </c>
      <c r="B22021" s="515" t="s">
        <v>691</v>
      </c>
      <c r="C22021" s="52">
        <v>140193.81396690701</v>
      </c>
      <c r="D22021" s="56">
        <v>0</v>
      </c>
      <c r="E22021" s="224" t="s">
        <v>2</v>
      </c>
      <c r="F22021" s="515" t="s">
        <v>23188</v>
      </c>
      <c r="G22021" s="52">
        <v>104275.20574213</v>
      </c>
      <c r="H22021" s="56">
        <v>9.9692284829923997E-3</v>
      </c>
      <c r="I22021" s="224" t="s">
        <v>2</v>
      </c>
    </row>
    <row r="22022" spans="1:9" x14ac:dyDescent="0.25">
      <c r="A22022" s="515">
        <v>5352</v>
      </c>
      <c r="B22022" s="515" t="s">
        <v>657</v>
      </c>
      <c r="C22022" s="52">
        <v>290086.90178571403</v>
      </c>
      <c r="D22022" s="56">
        <v>0</v>
      </c>
      <c r="E22022" s="224" t="s">
        <v>2</v>
      </c>
      <c r="F22022" s="515" t="s">
        <v>23189</v>
      </c>
      <c r="G22022" s="52">
        <v>1220604.1896901899</v>
      </c>
      <c r="H22022" s="56">
        <v>0.19239141688428132</v>
      </c>
      <c r="I22022" s="224" t="s">
        <v>2</v>
      </c>
    </row>
    <row r="22023" spans="1:9" x14ac:dyDescent="0.25">
      <c r="A22023" s="515">
        <v>68070</v>
      </c>
      <c r="B22023" s="515" t="s">
        <v>367</v>
      </c>
      <c r="C22023" s="52">
        <v>293490.13288377301</v>
      </c>
      <c r="D22023" s="56">
        <v>0.17086907666073275</v>
      </c>
      <c r="E22023" s="224" t="s">
        <v>2</v>
      </c>
      <c r="F22023" s="515" t="s">
        <v>23190</v>
      </c>
      <c r="G22023" s="52">
        <v>114417.457686988</v>
      </c>
      <c r="H22023" s="56">
        <v>0.19067897546172688</v>
      </c>
      <c r="I22023" s="224" t="s">
        <v>2</v>
      </c>
    </row>
    <row r="22024" spans="1:9" x14ac:dyDescent="0.25">
      <c r="A22024" s="515">
        <v>16938</v>
      </c>
      <c r="C22024" s="52">
        <v>200563.69316022799</v>
      </c>
      <c r="D22024" s="56">
        <v>0.1708036819630851</v>
      </c>
      <c r="E22024" s="224" t="s">
        <v>2</v>
      </c>
      <c r="F22024" s="515" t="s">
        <v>23191</v>
      </c>
      <c r="G22024" s="52">
        <v>124673.933856944</v>
      </c>
      <c r="H22024" s="56">
        <v>0.15406147789467284</v>
      </c>
      <c r="I22024" s="224" t="s">
        <v>2</v>
      </c>
    </row>
    <row r="22025" spans="1:9" x14ac:dyDescent="0.25">
      <c r="A22025" s="515">
        <v>94924</v>
      </c>
      <c r="B22025" s="515" t="s">
        <v>593</v>
      </c>
      <c r="C22025" s="52">
        <v>1918357.98208814</v>
      </c>
      <c r="D22025" s="56">
        <v>3.3484878428003441E-2</v>
      </c>
      <c r="E22025" s="224" t="s">
        <v>2</v>
      </c>
      <c r="F22025" s="515" t="s">
        <v>23192</v>
      </c>
      <c r="G22025" s="52">
        <v>448885.61254839902</v>
      </c>
      <c r="H22025" s="56">
        <v>3.4770807650115934E-2</v>
      </c>
      <c r="I22025" s="224" t="s">
        <v>2</v>
      </c>
    </row>
    <row r="22026" spans="1:9" x14ac:dyDescent="0.25">
      <c r="A22026" s="515">
        <v>3084</v>
      </c>
      <c r="B22026" s="515" t="s">
        <v>996</v>
      </c>
      <c r="C22026" s="52">
        <v>429856.66485562001</v>
      </c>
      <c r="D22026" s="56">
        <v>0.11346781059283084</v>
      </c>
      <c r="E22026" s="224" t="s">
        <v>2</v>
      </c>
      <c r="F22026" s="515" t="s">
        <v>23193</v>
      </c>
      <c r="G22026" s="52">
        <v>91509.256077902901</v>
      </c>
      <c r="H22026" s="56">
        <v>6.0503952973384741E-2</v>
      </c>
      <c r="I22026" s="224" t="s">
        <v>2</v>
      </c>
    </row>
    <row r="22027" spans="1:9" x14ac:dyDescent="0.25">
      <c r="A22027" s="515">
        <v>58792</v>
      </c>
      <c r="B22027" s="515" t="s">
        <v>849</v>
      </c>
      <c r="C22027" s="52">
        <v>132221.11645731301</v>
      </c>
      <c r="D22027" s="56">
        <v>0</v>
      </c>
      <c r="E22027" s="224" t="s">
        <v>2</v>
      </c>
      <c r="F22027" s="515" t="s">
        <v>23194</v>
      </c>
      <c r="G22027" s="52">
        <v>60221.989332677898</v>
      </c>
      <c r="H22027" s="56">
        <v>0.10115248025787005</v>
      </c>
      <c r="I22027" s="224" t="s">
        <v>2</v>
      </c>
    </row>
    <row r="22028" spans="1:9" x14ac:dyDescent="0.25">
      <c r="A22028" s="515">
        <v>43747</v>
      </c>
      <c r="C22028" s="52">
        <v>154974.86495020799</v>
      </c>
      <c r="D22028" s="56">
        <v>2.0600507886694579E-2</v>
      </c>
      <c r="E22028" s="224" t="s">
        <v>2</v>
      </c>
      <c r="F22028" s="515" t="s">
        <v>23195</v>
      </c>
      <c r="G22028" s="52">
        <v>72038.609111857004</v>
      </c>
      <c r="H22028" s="56">
        <v>0</v>
      </c>
      <c r="I22028" s="224" t="s">
        <v>2</v>
      </c>
    </row>
    <row r="22029" spans="1:9" x14ac:dyDescent="0.25">
      <c r="A22029" s="515">
        <v>83847</v>
      </c>
      <c r="C22029" s="52">
        <v>497542.48614339298</v>
      </c>
      <c r="D22029" s="56">
        <v>1.3949860430419399E-2</v>
      </c>
      <c r="E22029" s="224" t="s">
        <v>2</v>
      </c>
      <c r="F22029" s="515" t="s">
        <v>23196</v>
      </c>
      <c r="G22029" s="52">
        <v>355256.14429550502</v>
      </c>
      <c r="H22029" s="56">
        <v>0</v>
      </c>
      <c r="I22029" s="224" t="s">
        <v>2</v>
      </c>
    </row>
    <row r="22030" spans="1:9" x14ac:dyDescent="0.25">
      <c r="A22030" s="515">
        <v>80743</v>
      </c>
      <c r="C22030" s="52">
        <v>223294.53940440499</v>
      </c>
      <c r="D22030" s="56">
        <v>8.120213392928001E-2</v>
      </c>
      <c r="E22030" s="224" t="s">
        <v>2</v>
      </c>
      <c r="F22030" s="515" t="s">
        <v>23197</v>
      </c>
      <c r="G22030" s="52">
        <v>442406.77519135299</v>
      </c>
      <c r="H22030" s="56">
        <v>0.10304018932538569</v>
      </c>
      <c r="I22030" s="224" t="s">
        <v>2</v>
      </c>
    </row>
    <row r="22031" spans="1:9" x14ac:dyDescent="0.25">
      <c r="A22031" s="515">
        <v>13739</v>
      </c>
      <c r="C22031" s="52">
        <v>220409.47489448299</v>
      </c>
      <c r="D22031" s="56">
        <v>0.10022895561265027</v>
      </c>
      <c r="E22031" s="224" t="s">
        <v>2</v>
      </c>
      <c r="F22031" s="515" t="s">
        <v>23198</v>
      </c>
      <c r="G22031" s="52">
        <v>181787.37186131001</v>
      </c>
      <c r="H22031" s="56">
        <v>5.1291793133489152E-2</v>
      </c>
      <c r="I22031" s="224" t="s">
        <v>2</v>
      </c>
    </row>
    <row r="22032" spans="1:9" x14ac:dyDescent="0.25">
      <c r="A22032" s="515">
        <v>58324</v>
      </c>
      <c r="C22032" s="52">
        <v>94382.387030435406</v>
      </c>
      <c r="D22032" s="56">
        <v>6.5301145386920861E-2</v>
      </c>
      <c r="E22032" s="224" t="s">
        <v>2</v>
      </c>
      <c r="F22032" s="515" t="s">
        <v>23199</v>
      </c>
      <c r="G22032" s="52">
        <v>224824.22500000001</v>
      </c>
      <c r="H22032" s="56">
        <v>0</v>
      </c>
      <c r="I22032" s="224" t="s">
        <v>2</v>
      </c>
    </row>
    <row r="22033" spans="1:9" x14ac:dyDescent="0.25">
      <c r="A22033" s="515">
        <v>73738</v>
      </c>
      <c r="B22033" s="515" t="s">
        <v>730</v>
      </c>
      <c r="C22033" s="52">
        <v>84665.812886532804</v>
      </c>
      <c r="D22033" s="56">
        <v>0.13095277725771504</v>
      </c>
      <c r="E22033" s="224" t="s">
        <v>2</v>
      </c>
      <c r="F22033" s="515" t="s">
        <v>23200</v>
      </c>
      <c r="G22033" s="52">
        <v>178466.80565447899</v>
      </c>
      <c r="H22033" s="56">
        <v>0.16932334192288087</v>
      </c>
      <c r="I22033" s="224" t="s">
        <v>2</v>
      </c>
    </row>
    <row r="22034" spans="1:9" x14ac:dyDescent="0.25">
      <c r="A22034" s="515">
        <v>37688</v>
      </c>
      <c r="C22034" s="52">
        <v>172096.31196483999</v>
      </c>
      <c r="D22034" s="56">
        <v>0</v>
      </c>
      <c r="E22034" s="224" t="s">
        <v>2</v>
      </c>
      <c r="F22034" s="515" t="s">
        <v>23201</v>
      </c>
      <c r="G22034" s="52">
        <v>131880.42976017599</v>
      </c>
      <c r="H22034" s="56">
        <v>6.6092216209598958E-2</v>
      </c>
      <c r="I22034" s="224" t="s">
        <v>2</v>
      </c>
    </row>
    <row r="22035" spans="1:9" x14ac:dyDescent="0.25">
      <c r="A22035" s="515">
        <v>25133</v>
      </c>
      <c r="B22035" s="515" t="s">
        <v>322</v>
      </c>
      <c r="C22035" s="52">
        <v>102610.68439325001</v>
      </c>
      <c r="D22035" s="56">
        <v>0.13959517443520114</v>
      </c>
      <c r="E22035" s="224" t="s">
        <v>2</v>
      </c>
      <c r="F22035" s="515" t="s">
        <v>23202</v>
      </c>
      <c r="G22035" s="52">
        <v>207951.222506133</v>
      </c>
      <c r="H22035" s="56">
        <v>0.14728532596424918</v>
      </c>
      <c r="I22035" s="224" t="s">
        <v>2</v>
      </c>
    </row>
    <row r="22036" spans="1:9" x14ac:dyDescent="0.25">
      <c r="A22036" s="515">
        <v>31050</v>
      </c>
      <c r="B22036" s="515" t="s">
        <v>995</v>
      </c>
      <c r="C22036" s="52">
        <v>191550.140450712</v>
      </c>
      <c r="D22036" s="56">
        <v>0.13816516499486609</v>
      </c>
      <c r="E22036" s="224" t="s">
        <v>2</v>
      </c>
      <c r="F22036" s="515" t="s">
        <v>23203</v>
      </c>
      <c r="G22036" s="52">
        <v>71578.707317073102</v>
      </c>
      <c r="H22036" s="56">
        <v>0</v>
      </c>
      <c r="I22036" s="224" t="s">
        <v>2</v>
      </c>
    </row>
    <row r="22037" spans="1:9" x14ac:dyDescent="0.25">
      <c r="A22037" s="515">
        <v>38504</v>
      </c>
      <c r="C22037" s="52">
        <v>211216.05218115199</v>
      </c>
      <c r="D22037" s="56">
        <v>0</v>
      </c>
      <c r="E22037" s="224" t="s">
        <v>2</v>
      </c>
      <c r="F22037" s="515" t="s">
        <v>23204</v>
      </c>
      <c r="G22037" s="52">
        <v>84453.068472168903</v>
      </c>
      <c r="H22037" s="56">
        <v>4.5557121145147414E-2</v>
      </c>
      <c r="I22037" s="224" t="s">
        <v>2</v>
      </c>
    </row>
    <row r="22038" spans="1:9" x14ac:dyDescent="0.25">
      <c r="A22038" s="515">
        <v>26676</v>
      </c>
      <c r="C22038" s="52">
        <v>69543.699195141598</v>
      </c>
      <c r="D22038" s="56">
        <v>-1.3350092050881961E-2</v>
      </c>
      <c r="E22038" s="224" t="s">
        <v>2</v>
      </c>
      <c r="F22038" s="515" t="s">
        <v>23205</v>
      </c>
      <c r="G22038" s="52">
        <v>49360.6366145836</v>
      </c>
      <c r="H22038" s="56">
        <v>-0.13567076251419882</v>
      </c>
      <c r="I22038" s="224" t="s">
        <v>2</v>
      </c>
    </row>
    <row r="22039" spans="1:9" x14ac:dyDescent="0.25">
      <c r="A22039" s="515">
        <v>48426</v>
      </c>
      <c r="C22039" s="52">
        <v>153143.28062105001</v>
      </c>
      <c r="D22039" s="56">
        <v>0</v>
      </c>
      <c r="E22039" s="224" t="s">
        <v>2</v>
      </c>
      <c r="F22039" s="515" t="s">
        <v>23206</v>
      </c>
      <c r="G22039" s="52">
        <v>79490.690594834101</v>
      </c>
      <c r="H22039" s="56">
        <v>-2.2446330801356325E-2</v>
      </c>
      <c r="I22039" s="224" t="s">
        <v>2</v>
      </c>
    </row>
    <row r="22040" spans="1:9" x14ac:dyDescent="0.25">
      <c r="A22040" s="515">
        <v>57035</v>
      </c>
      <c r="B22040" s="515" t="s">
        <v>579</v>
      </c>
      <c r="C22040" s="52">
        <v>338009.79037613602</v>
      </c>
      <c r="D22040" s="56">
        <v>0.1175685829701027</v>
      </c>
      <c r="E22040" s="224" t="s">
        <v>2</v>
      </c>
      <c r="F22040" s="515" t="s">
        <v>23207</v>
      </c>
      <c r="G22040" s="52">
        <v>94124.233650768801</v>
      </c>
      <c r="H22040" s="56">
        <v>0.12523355165523548</v>
      </c>
      <c r="I22040" s="224" t="s">
        <v>2</v>
      </c>
    </row>
    <row r="22041" spans="1:9" x14ac:dyDescent="0.25">
      <c r="A22041" s="515">
        <v>56285</v>
      </c>
      <c r="C22041" s="52">
        <v>148932.25028979499</v>
      </c>
      <c r="D22041" s="56">
        <v>8.6060328833446484E-2</v>
      </c>
      <c r="E22041" s="224" t="s">
        <v>2</v>
      </c>
      <c r="F22041" s="515" t="s">
        <v>23208</v>
      </c>
      <c r="G22041" s="52">
        <v>61546.639195502801</v>
      </c>
      <c r="H22041" s="56">
        <v>0</v>
      </c>
      <c r="I22041" s="224" t="s">
        <v>2</v>
      </c>
    </row>
    <row r="22042" spans="1:9" x14ac:dyDescent="0.25">
      <c r="A22042" s="515">
        <v>74569</v>
      </c>
      <c r="C22042" s="52">
        <v>175119.395815039</v>
      </c>
      <c r="D22042" s="56">
        <v>0.11841704605336732</v>
      </c>
      <c r="E22042" s="224" t="s">
        <v>2</v>
      </c>
      <c r="F22042" s="515" t="s">
        <v>23209</v>
      </c>
      <c r="G22042" s="52">
        <v>246756.84685271801</v>
      </c>
      <c r="H22042" s="56">
        <v>3.0900588495796556E-2</v>
      </c>
      <c r="I22042" s="224" t="s">
        <v>2</v>
      </c>
    </row>
    <row r="22043" spans="1:9" x14ac:dyDescent="0.25">
      <c r="A22043" s="515">
        <v>54820</v>
      </c>
      <c r="B22043" s="515" t="s">
        <v>350</v>
      </c>
      <c r="C22043" s="52">
        <v>181717.58882617901</v>
      </c>
      <c r="D22043" s="56">
        <v>2.4400288483888477E-2</v>
      </c>
      <c r="E22043" s="224" t="s">
        <v>2</v>
      </c>
      <c r="F22043" s="515" t="s">
        <v>23210</v>
      </c>
      <c r="G22043" s="52">
        <v>148680.14427091501</v>
      </c>
      <c r="H22043" s="56">
        <v>6.9441050477242153E-2</v>
      </c>
      <c r="I22043" s="224" t="s">
        <v>2</v>
      </c>
    </row>
    <row r="22044" spans="1:9" x14ac:dyDescent="0.25">
      <c r="A22044" s="515">
        <v>68874</v>
      </c>
      <c r="C22044" s="52">
        <v>101767.59271195</v>
      </c>
      <c r="D22044" s="56">
        <v>0</v>
      </c>
      <c r="E22044" s="224" t="s">
        <v>2</v>
      </c>
      <c r="F22044" s="515" t="s">
        <v>23211</v>
      </c>
      <c r="G22044" s="52">
        <v>1631654.69870012</v>
      </c>
      <c r="H22044" s="56">
        <v>0.18657054075733143</v>
      </c>
      <c r="I22044" s="224" t="s">
        <v>2</v>
      </c>
    </row>
    <row r="22045" spans="1:9" x14ac:dyDescent="0.25">
      <c r="A22045" s="515">
        <v>83541</v>
      </c>
      <c r="B22045" s="515" t="s">
        <v>736</v>
      </c>
      <c r="C22045" s="52">
        <v>400445.10311333003</v>
      </c>
      <c r="D22045" s="56">
        <v>0.10227558429900273</v>
      </c>
      <c r="E22045" s="224" t="s">
        <v>2</v>
      </c>
      <c r="F22045" s="515" t="s">
        <v>23212</v>
      </c>
      <c r="G22045" s="52">
        <v>504582.349897568</v>
      </c>
      <c r="H22045" s="56">
        <v>-3.162526739306374E-2</v>
      </c>
      <c r="I22045" s="224" t="s">
        <v>2</v>
      </c>
    </row>
    <row r="22046" spans="1:9" x14ac:dyDescent="0.25">
      <c r="A22046" s="515">
        <v>68752</v>
      </c>
      <c r="B22046" s="515" t="s">
        <v>615</v>
      </c>
      <c r="C22046" s="52">
        <v>221533.10059237399</v>
      </c>
      <c r="D22046" s="56">
        <v>5.8957747835189436E-2</v>
      </c>
      <c r="E22046" s="224" t="s">
        <v>2</v>
      </c>
      <c r="F22046" s="515" t="s">
        <v>23213</v>
      </c>
      <c r="G22046" s="52">
        <v>338865.80012667098</v>
      </c>
      <c r="H22046" s="56">
        <v>3.4691698210020182E-2</v>
      </c>
      <c r="I22046" s="224" t="s">
        <v>2</v>
      </c>
    </row>
    <row r="22047" spans="1:9" x14ac:dyDescent="0.25">
      <c r="A22047" s="515">
        <v>62051</v>
      </c>
      <c r="C22047" s="52">
        <v>78432.932440922494</v>
      </c>
      <c r="D22047" s="56">
        <v>3.0722606300379207E-2</v>
      </c>
      <c r="E22047" s="224" t="s">
        <v>2</v>
      </c>
      <c r="F22047" s="515" t="s">
        <v>23214</v>
      </c>
      <c r="G22047" s="52">
        <v>851801.79050944501</v>
      </c>
      <c r="H22047" s="56">
        <v>9.0285414663362443E-2</v>
      </c>
      <c r="I22047" s="224" t="s">
        <v>2</v>
      </c>
    </row>
    <row r="22048" spans="1:9" x14ac:dyDescent="0.25">
      <c r="A22048" s="515">
        <v>51331</v>
      </c>
      <c r="B22048" s="515" t="s">
        <v>932</v>
      </c>
      <c r="C22048" s="52">
        <v>392334.63054447202</v>
      </c>
      <c r="D22048" s="56">
        <v>0.12294420509769854</v>
      </c>
      <c r="E22048" s="224" t="s">
        <v>2</v>
      </c>
      <c r="F22048" s="515" t="s">
        <v>23215</v>
      </c>
      <c r="G22048" s="52">
        <v>235664.20286878801</v>
      </c>
      <c r="H22048" s="56">
        <v>0.11062053343827491</v>
      </c>
      <c r="I22048" s="224" t="s">
        <v>2</v>
      </c>
    </row>
    <row r="22049" spans="1:9" x14ac:dyDescent="0.25">
      <c r="A22049" s="515">
        <v>24839</v>
      </c>
      <c r="C22049" s="52">
        <v>58980.633333333302</v>
      </c>
      <c r="D22049" s="56">
        <v>0</v>
      </c>
      <c r="E22049" s="224" t="s">
        <v>2</v>
      </c>
      <c r="F22049" s="515" t="s">
        <v>23216</v>
      </c>
      <c r="G22049" s="52">
        <v>728752.61344232503</v>
      </c>
      <c r="H22049" s="56">
        <v>3.0521514472031521E-2</v>
      </c>
      <c r="I22049" s="224" t="s">
        <v>2</v>
      </c>
    </row>
    <row r="22050" spans="1:9" x14ac:dyDescent="0.25">
      <c r="A22050" s="515">
        <v>56714</v>
      </c>
      <c r="C22050" s="52">
        <v>189599.463087248</v>
      </c>
      <c r="D22050" s="56">
        <v>0</v>
      </c>
      <c r="E22050" s="224" t="s">
        <v>2</v>
      </c>
      <c r="F22050" s="515" t="s">
        <v>23217</v>
      </c>
      <c r="G22050" s="52">
        <v>435525.02974739298</v>
      </c>
      <c r="H22050" s="56">
        <v>-1.0660191417630076E-2</v>
      </c>
      <c r="I22050" s="224" t="s">
        <v>2</v>
      </c>
    </row>
    <row r="22051" spans="1:9" x14ac:dyDescent="0.25">
      <c r="A22051" s="515">
        <v>57017</v>
      </c>
      <c r="C22051" s="52">
        <v>300245.50058604102</v>
      </c>
      <c r="D22051" s="56">
        <v>0.12164392747384052</v>
      </c>
      <c r="E22051" s="224" t="s">
        <v>2</v>
      </c>
      <c r="F22051" s="515" t="s">
        <v>23218</v>
      </c>
      <c r="G22051" s="52">
        <v>379842.52205169201</v>
      </c>
      <c r="H22051" s="56">
        <v>4.0535823740455876E-2</v>
      </c>
      <c r="I22051" s="224" t="s">
        <v>2</v>
      </c>
    </row>
    <row r="22052" spans="1:9" x14ac:dyDescent="0.25">
      <c r="A22052" s="515">
        <v>72658</v>
      </c>
      <c r="B22052" s="515" t="s">
        <v>679</v>
      </c>
      <c r="C22052" s="52">
        <v>224939.16152291099</v>
      </c>
      <c r="D22052" s="56">
        <v>1.413839511709233E-2</v>
      </c>
      <c r="E22052" s="224" t="s">
        <v>2</v>
      </c>
      <c r="F22052" s="515" t="s">
        <v>23219</v>
      </c>
      <c r="G22052" s="52">
        <v>265807.02137407899</v>
      </c>
      <c r="H22052" s="56">
        <v>8.1078260812061098E-2</v>
      </c>
      <c r="I22052" s="224" t="s">
        <v>2</v>
      </c>
    </row>
    <row r="22053" spans="1:9" x14ac:dyDescent="0.25">
      <c r="A22053" s="515">
        <v>89413</v>
      </c>
      <c r="B22053" s="515" t="s">
        <v>823</v>
      </c>
      <c r="C22053" s="52">
        <v>2668552.26080454</v>
      </c>
      <c r="D22053" s="56">
        <v>4.5216345610970925E-2</v>
      </c>
      <c r="E22053" s="224" t="s">
        <v>2</v>
      </c>
      <c r="F22053" s="515" t="s">
        <v>23220</v>
      </c>
      <c r="G22053" s="52">
        <v>125922.288666785</v>
      </c>
      <c r="H22053" s="56">
        <v>0</v>
      </c>
      <c r="I22053" s="224" t="s">
        <v>2</v>
      </c>
    </row>
    <row r="22054" spans="1:9" x14ac:dyDescent="0.25">
      <c r="A22054" s="515">
        <v>81615</v>
      </c>
      <c r="B22054" s="515" t="s">
        <v>725</v>
      </c>
      <c r="C22054" s="52">
        <v>1616062.15246851</v>
      </c>
      <c r="D22054" s="56">
        <v>0.18599795554313003</v>
      </c>
      <c r="E22054" s="224" t="s">
        <v>2</v>
      </c>
      <c r="F22054" s="515" t="s">
        <v>23221</v>
      </c>
      <c r="G22054" s="52">
        <v>152635.51090643101</v>
      </c>
      <c r="H22054" s="56">
        <v>6.4609263781357548E-2</v>
      </c>
      <c r="I22054" s="224" t="s">
        <v>2</v>
      </c>
    </row>
    <row r="22055" spans="1:9" x14ac:dyDescent="0.25">
      <c r="A22055" s="515">
        <v>60602</v>
      </c>
      <c r="B22055" s="515" t="s">
        <v>394</v>
      </c>
      <c r="C22055" s="52">
        <v>240704.77241224301</v>
      </c>
      <c r="D22055" s="56">
        <v>1.0231922418085864E-2</v>
      </c>
      <c r="E22055" s="224">
        <v>2195</v>
      </c>
      <c r="F22055" s="515" t="s">
        <v>23222</v>
      </c>
      <c r="G22055" s="52">
        <v>89137.231989841399</v>
      </c>
      <c r="H22055" s="56">
        <v>-3.004702733783695E-2</v>
      </c>
      <c r="I22055" s="224" t="s">
        <v>2</v>
      </c>
    </row>
    <row r="22056" spans="1:9" x14ac:dyDescent="0.25">
      <c r="A22056" s="515">
        <v>6027</v>
      </c>
      <c r="B22056" s="515" t="s">
        <v>894</v>
      </c>
      <c r="C22056" s="52">
        <v>332789.61869643</v>
      </c>
      <c r="D22056" s="56">
        <v>8.243002297767181E-2</v>
      </c>
      <c r="E22056" s="224" t="s">
        <v>2</v>
      </c>
      <c r="F22056" s="515" t="s">
        <v>23223</v>
      </c>
      <c r="G22056" s="52">
        <v>411022.20134273602</v>
      </c>
      <c r="H22056" s="56">
        <v>9.4009740175102358E-3</v>
      </c>
      <c r="I22056" s="224" t="s">
        <v>2</v>
      </c>
    </row>
    <row r="22057" spans="1:9" x14ac:dyDescent="0.25">
      <c r="A22057" s="515">
        <v>14846</v>
      </c>
      <c r="B22057" s="515" t="s">
        <v>337</v>
      </c>
      <c r="C22057" s="52">
        <v>137686.801863395</v>
      </c>
      <c r="D22057" s="56">
        <v>0.14865923104725196</v>
      </c>
      <c r="E22057" s="224" t="s">
        <v>2</v>
      </c>
      <c r="F22057" s="515" t="s">
        <v>23224</v>
      </c>
      <c r="G22057" s="52">
        <v>140853.509846614</v>
      </c>
      <c r="H22057" s="56">
        <v>0.17974218458708255</v>
      </c>
      <c r="I22057" s="224" t="s">
        <v>2</v>
      </c>
    </row>
    <row r="22058" spans="1:9" x14ac:dyDescent="0.25">
      <c r="A22058" s="515">
        <v>5065</v>
      </c>
      <c r="B22058" s="515" t="s">
        <v>420</v>
      </c>
      <c r="C22058" s="52">
        <v>350909.68735757202</v>
      </c>
      <c r="D22058" s="56">
        <v>7.4312274660480029E-2</v>
      </c>
      <c r="E22058" s="224" t="s">
        <v>2</v>
      </c>
      <c r="F22058" s="515" t="s">
        <v>23225</v>
      </c>
      <c r="G22058" s="52">
        <v>137559.17150166599</v>
      </c>
      <c r="H22058" s="56">
        <v>8.1595965351828378E-2</v>
      </c>
      <c r="I22058" s="224" t="s">
        <v>2</v>
      </c>
    </row>
    <row r="22059" spans="1:9" x14ac:dyDescent="0.25">
      <c r="A22059" s="515">
        <v>81123</v>
      </c>
      <c r="C22059" s="52">
        <v>179812.91239819999</v>
      </c>
      <c r="D22059" s="56">
        <v>5.9542872170044087E-2</v>
      </c>
      <c r="E22059" s="224" t="s">
        <v>2</v>
      </c>
      <c r="F22059" s="515" t="s">
        <v>23226</v>
      </c>
      <c r="G22059" s="52">
        <v>97359.693530663193</v>
      </c>
      <c r="H22059" s="56">
        <v>0.17171515606859938</v>
      </c>
      <c r="I22059" s="224" t="s">
        <v>2</v>
      </c>
    </row>
    <row r="22060" spans="1:9" x14ac:dyDescent="0.25">
      <c r="A22060" s="515">
        <v>23138</v>
      </c>
      <c r="B22060" s="515" t="s">
        <v>301</v>
      </c>
      <c r="C22060" s="52">
        <v>277142.96347935102</v>
      </c>
      <c r="D22060" s="56">
        <v>2.686318457698068E-2</v>
      </c>
      <c r="E22060" s="224" t="s">
        <v>2</v>
      </c>
      <c r="F22060" s="515" t="s">
        <v>23227</v>
      </c>
      <c r="G22060" s="52">
        <v>124201.161031899</v>
      </c>
      <c r="H22060" s="56">
        <v>8.6535824309107737E-2</v>
      </c>
      <c r="I22060" s="224" t="s">
        <v>2</v>
      </c>
    </row>
    <row r="22061" spans="1:9" x14ac:dyDescent="0.25">
      <c r="A22061" s="515">
        <v>16411</v>
      </c>
      <c r="B22061" s="515" t="s">
        <v>753</v>
      </c>
      <c r="C22061" s="52">
        <v>157493.509903211</v>
      </c>
      <c r="D22061" s="56">
        <v>5.9495621109924075E-2</v>
      </c>
      <c r="E22061" s="224" t="s">
        <v>2</v>
      </c>
      <c r="F22061" s="515" t="s">
        <v>23228</v>
      </c>
      <c r="G22061" s="52">
        <v>112934.611764705</v>
      </c>
      <c r="H22061" s="56">
        <v>0</v>
      </c>
      <c r="I22061" s="224" t="s">
        <v>2</v>
      </c>
    </row>
    <row r="22062" spans="1:9" x14ac:dyDescent="0.25">
      <c r="A22062" s="515">
        <v>79739</v>
      </c>
      <c r="C22062" s="52">
        <v>209792.914841547</v>
      </c>
      <c r="D22062" s="56">
        <v>0</v>
      </c>
      <c r="E22062" s="224" t="s">
        <v>2</v>
      </c>
      <c r="F22062" s="515" t="s">
        <v>23229</v>
      </c>
      <c r="G22062" s="52">
        <v>327238.17511916801</v>
      </c>
      <c r="H22062" s="56">
        <v>6.1720628908192833E-2</v>
      </c>
      <c r="I22062" s="224" t="s">
        <v>2</v>
      </c>
    </row>
    <row r="22063" spans="1:9" x14ac:dyDescent="0.25">
      <c r="A22063" s="515">
        <v>17983</v>
      </c>
      <c r="B22063" s="515" t="s">
        <v>994</v>
      </c>
      <c r="C22063" s="52">
        <v>156023.231889608</v>
      </c>
      <c r="D22063" s="56">
        <v>9.707816607671807E-2</v>
      </c>
      <c r="E22063" s="224" t="s">
        <v>2</v>
      </c>
      <c r="F22063" s="515" t="s">
        <v>23230</v>
      </c>
      <c r="G22063" s="52">
        <v>207498.27012600299</v>
      </c>
      <c r="H22063" s="56">
        <v>7.6219085931904337E-2</v>
      </c>
      <c r="I22063" s="224" t="s">
        <v>2</v>
      </c>
    </row>
    <row r="22064" spans="1:9" x14ac:dyDescent="0.25">
      <c r="A22064" s="515">
        <v>16045</v>
      </c>
      <c r="B22064" s="515" t="s">
        <v>297</v>
      </c>
      <c r="C22064" s="52">
        <v>100211.56831551599</v>
      </c>
      <c r="D22064" s="56">
        <v>6.9906176981465035E-2</v>
      </c>
      <c r="E22064" s="224" t="s">
        <v>2</v>
      </c>
      <c r="F22064" s="515" t="s">
        <v>23231</v>
      </c>
      <c r="G22064" s="52">
        <v>165987.221336986</v>
      </c>
      <c r="H22064" s="56">
        <v>5.0189897245407115E-2</v>
      </c>
      <c r="I22064" s="224" t="s">
        <v>2</v>
      </c>
    </row>
    <row r="22065" spans="1:9" x14ac:dyDescent="0.25">
      <c r="A22065" s="515">
        <v>16845</v>
      </c>
      <c r="B22065" s="515" t="s">
        <v>491</v>
      </c>
      <c r="C22065" s="52">
        <v>99492.995806029197</v>
      </c>
      <c r="D22065" s="56">
        <v>4.1536834025524022E-2</v>
      </c>
      <c r="E22065" s="224" t="s">
        <v>2</v>
      </c>
      <c r="F22065" s="515" t="s">
        <v>23232</v>
      </c>
      <c r="G22065" s="52">
        <v>297855.67149839998</v>
      </c>
      <c r="H22065" s="56">
        <v>-2.2408017801494269E-2</v>
      </c>
      <c r="I22065" s="224" t="s">
        <v>2</v>
      </c>
    </row>
    <row r="22066" spans="1:9" x14ac:dyDescent="0.25">
      <c r="A22066" s="515">
        <v>61840</v>
      </c>
      <c r="B22066" s="515" t="s">
        <v>417</v>
      </c>
      <c r="C22066" s="52">
        <v>278795.208223333</v>
      </c>
      <c r="D22066" s="56">
        <v>0.10669846128533793</v>
      </c>
      <c r="E22066" s="224" t="s">
        <v>2</v>
      </c>
      <c r="F22066" s="515" t="s">
        <v>23233</v>
      </c>
      <c r="G22066" s="52">
        <v>52252.851444311498</v>
      </c>
      <c r="H22066" s="56">
        <v>7.4449667970388558E-2</v>
      </c>
      <c r="I22066" s="224" t="s">
        <v>2</v>
      </c>
    </row>
    <row r="22067" spans="1:9" x14ac:dyDescent="0.25">
      <c r="A22067" s="515">
        <v>94528</v>
      </c>
      <c r="B22067" s="515" t="s">
        <v>593</v>
      </c>
      <c r="C22067" s="52">
        <v>2897331.3760954998</v>
      </c>
      <c r="D22067" s="56">
        <v>-3.8652946702474135E-2</v>
      </c>
      <c r="E22067" s="224" t="s">
        <v>2</v>
      </c>
      <c r="F22067" s="515" t="s">
        <v>23234</v>
      </c>
      <c r="G22067" s="52">
        <v>98068.3902673579</v>
      </c>
      <c r="H22067" s="56">
        <v>6.4898328479046308E-2</v>
      </c>
      <c r="I22067" s="224" t="s">
        <v>2</v>
      </c>
    </row>
    <row r="22068" spans="1:9" x14ac:dyDescent="0.25">
      <c r="A22068" s="515">
        <v>23442</v>
      </c>
      <c r="C22068" s="52">
        <v>141763.820359281</v>
      </c>
      <c r="D22068" s="56">
        <v>0</v>
      </c>
      <c r="E22068" s="224" t="s">
        <v>2</v>
      </c>
      <c r="F22068" s="515" t="s">
        <v>23235</v>
      </c>
      <c r="G22068" s="52">
        <v>142584.716778851</v>
      </c>
      <c r="H22068" s="56">
        <v>8.4305600015331231E-2</v>
      </c>
      <c r="I22068" s="224" t="s">
        <v>2</v>
      </c>
    </row>
    <row r="22069" spans="1:9" x14ac:dyDescent="0.25">
      <c r="A22069" s="515">
        <v>57036</v>
      </c>
      <c r="B22069" s="515" t="s">
        <v>579</v>
      </c>
      <c r="C22069" s="52">
        <v>242084.22567447601</v>
      </c>
      <c r="D22069" s="56">
        <v>0.13112730989271415</v>
      </c>
      <c r="E22069" s="224" t="s">
        <v>2</v>
      </c>
      <c r="F22069" s="515" t="s">
        <v>23236</v>
      </c>
      <c r="G22069" s="52">
        <v>151066.60168862401</v>
      </c>
      <c r="H22069" s="56">
        <v>6.7678663669312022E-2</v>
      </c>
      <c r="I22069" s="224" t="s">
        <v>2</v>
      </c>
    </row>
    <row r="22070" spans="1:9" x14ac:dyDescent="0.25">
      <c r="A22070" s="515">
        <v>68740</v>
      </c>
      <c r="C22070" s="52">
        <v>280315.86561224499</v>
      </c>
      <c r="D22070" s="56">
        <v>0.15593061191741284</v>
      </c>
      <c r="E22070" s="224" t="s">
        <v>2</v>
      </c>
      <c r="F22070" s="515" t="s">
        <v>23237</v>
      </c>
      <c r="G22070" s="52">
        <v>81785.091021952598</v>
      </c>
      <c r="H22070" s="56">
        <v>5.907481468050612E-2</v>
      </c>
      <c r="I22070" s="224" t="s">
        <v>2</v>
      </c>
    </row>
    <row r="22071" spans="1:9" x14ac:dyDescent="0.25">
      <c r="A22071" s="515">
        <v>94923</v>
      </c>
      <c r="B22071" s="515" t="s">
        <v>331</v>
      </c>
      <c r="C22071" s="52">
        <v>1292364.44538801</v>
      </c>
      <c r="D22071" s="56">
        <v>7.6308854234502094E-2</v>
      </c>
      <c r="E22071" s="224" t="s">
        <v>2</v>
      </c>
      <c r="F22071" s="515" t="s">
        <v>23238</v>
      </c>
      <c r="G22071" s="52">
        <v>442045.37223737</v>
      </c>
      <c r="H22071" s="56">
        <v>3.6464644522942125E-2</v>
      </c>
      <c r="I22071" s="224" t="s">
        <v>2</v>
      </c>
    </row>
    <row r="22072" spans="1:9" x14ac:dyDescent="0.25">
      <c r="A22072" s="515">
        <v>41606</v>
      </c>
      <c r="C22072" s="52">
        <v>56032.660494880402</v>
      </c>
      <c r="D22072" s="56">
        <v>0.23188080062597918</v>
      </c>
      <c r="E22072" s="224" t="s">
        <v>2</v>
      </c>
      <c r="F22072" s="515" t="s">
        <v>23239</v>
      </c>
      <c r="G22072" s="52">
        <v>157174.42478310899</v>
      </c>
      <c r="H22072" s="56">
        <v>6.9243066623635816E-2</v>
      </c>
      <c r="I22072" s="224" t="s">
        <v>2</v>
      </c>
    </row>
    <row r="22073" spans="1:9" x14ac:dyDescent="0.25">
      <c r="A22073" s="515">
        <v>62462</v>
      </c>
      <c r="B22073" s="515" t="s">
        <v>853</v>
      </c>
      <c r="C22073" s="52">
        <v>166857.324673642</v>
      </c>
      <c r="D22073" s="56">
        <v>9.6344504857654806E-2</v>
      </c>
      <c r="E22073" s="224" t="s">
        <v>2</v>
      </c>
      <c r="F22073" s="515" t="s">
        <v>23240</v>
      </c>
      <c r="G22073" s="52">
        <v>207082.38698023401</v>
      </c>
      <c r="H22073" s="56">
        <v>7.5772983543162531E-2</v>
      </c>
      <c r="I22073" s="224" t="s">
        <v>2</v>
      </c>
    </row>
    <row r="22074" spans="1:9" x14ac:dyDescent="0.25">
      <c r="A22074" s="515">
        <v>44449</v>
      </c>
      <c r="B22074" s="515" t="s">
        <v>397</v>
      </c>
      <c r="C22074" s="52">
        <v>196942.962520539</v>
      </c>
      <c r="D22074" s="56">
        <v>0.13033792064506342</v>
      </c>
      <c r="E22074" s="224" t="s">
        <v>2</v>
      </c>
      <c r="F22074" s="515" t="s">
        <v>23241</v>
      </c>
      <c r="G22074" s="52">
        <v>51741.474640309803</v>
      </c>
      <c r="H22074" s="56">
        <v>0</v>
      </c>
      <c r="I22074" s="224" t="s">
        <v>2</v>
      </c>
    </row>
    <row r="22075" spans="1:9" x14ac:dyDescent="0.25">
      <c r="A22075" s="515">
        <v>1098</v>
      </c>
      <c r="B22075" s="515" t="s">
        <v>575</v>
      </c>
      <c r="C22075" s="52">
        <v>336786.953914324</v>
      </c>
      <c r="D22075" s="56">
        <v>0.11120802041880118</v>
      </c>
      <c r="E22075" s="224" t="s">
        <v>2</v>
      </c>
      <c r="F22075" s="515" t="s">
        <v>23242</v>
      </c>
      <c r="G22075" s="52">
        <v>443419.17099602398</v>
      </c>
      <c r="H22075" s="56">
        <v>2.9166426184325921E-2</v>
      </c>
      <c r="I22075" s="224" t="s">
        <v>2</v>
      </c>
    </row>
    <row r="22076" spans="1:9" x14ac:dyDescent="0.25">
      <c r="A22076" s="515">
        <v>75421</v>
      </c>
      <c r="B22076" s="515" t="s">
        <v>921</v>
      </c>
      <c r="C22076" s="52">
        <v>196912.71405933599</v>
      </c>
      <c r="D22076" s="56">
        <v>0</v>
      </c>
      <c r="E22076" s="224" t="s">
        <v>2</v>
      </c>
      <c r="F22076" s="515" t="s">
        <v>23243</v>
      </c>
      <c r="G22076" s="52">
        <v>302238.38709677401</v>
      </c>
      <c r="H22076" s="56">
        <v>0</v>
      </c>
      <c r="I22076" s="224" t="s">
        <v>2</v>
      </c>
    </row>
    <row r="22077" spans="1:9" x14ac:dyDescent="0.25">
      <c r="A22077" s="515">
        <v>38554</v>
      </c>
      <c r="B22077" s="515" t="s">
        <v>833</v>
      </c>
      <c r="C22077" s="52">
        <v>159458.42109423899</v>
      </c>
      <c r="D22077" s="56">
        <v>2.9453136365822467E-3</v>
      </c>
      <c r="E22077" s="224" t="s">
        <v>2</v>
      </c>
      <c r="F22077" s="515" t="s">
        <v>23244</v>
      </c>
      <c r="G22077" s="52">
        <v>81384.0221818844</v>
      </c>
      <c r="H22077" s="56">
        <v>1.9219073719673966E-2</v>
      </c>
      <c r="I22077" s="224" t="s">
        <v>2</v>
      </c>
    </row>
    <row r="22078" spans="1:9" x14ac:dyDescent="0.25">
      <c r="A22078" s="515">
        <v>52751</v>
      </c>
      <c r="B22078" s="515" t="s">
        <v>330</v>
      </c>
      <c r="C22078" s="52">
        <v>194008.877108941</v>
      </c>
      <c r="D22078" s="56">
        <v>8.102847612760819E-2</v>
      </c>
      <c r="E22078" s="224" t="s">
        <v>2</v>
      </c>
      <c r="F22078" s="515" t="s">
        <v>23245</v>
      </c>
      <c r="G22078" s="52">
        <v>219667.91428571401</v>
      </c>
      <c r="H22078" s="56">
        <v>0</v>
      </c>
      <c r="I22078" s="224" t="s">
        <v>2</v>
      </c>
    </row>
    <row r="22079" spans="1:9" x14ac:dyDescent="0.25">
      <c r="A22079" s="515">
        <v>52078</v>
      </c>
      <c r="B22079" s="515" t="s">
        <v>478</v>
      </c>
      <c r="C22079" s="52">
        <v>238437.15590451701</v>
      </c>
      <c r="D22079" s="56">
        <v>0.13467045109257506</v>
      </c>
      <c r="E22079" s="224" t="s">
        <v>2</v>
      </c>
      <c r="F22079" s="515" t="s">
        <v>23246</v>
      </c>
      <c r="G22079" s="52">
        <v>256881.21153846101</v>
      </c>
      <c r="H22079" s="56">
        <v>0</v>
      </c>
      <c r="I22079" s="224" t="s">
        <v>2</v>
      </c>
    </row>
    <row r="22080" spans="1:9" x14ac:dyDescent="0.25">
      <c r="A22080" s="515">
        <v>58790</v>
      </c>
      <c r="B22080" s="515" t="s">
        <v>849</v>
      </c>
      <c r="C22080" s="52">
        <v>187386.477536972</v>
      </c>
      <c r="D22080" s="56">
        <v>6.589950517609755E-2</v>
      </c>
      <c r="E22080" s="224" t="s">
        <v>2</v>
      </c>
      <c r="F22080" s="515" t="s">
        <v>23247</v>
      </c>
      <c r="G22080" s="52">
        <v>119939.739130434</v>
      </c>
      <c r="H22080" s="56">
        <v>0</v>
      </c>
      <c r="I22080" s="224" t="s">
        <v>2</v>
      </c>
    </row>
    <row r="22081" spans="1:9" x14ac:dyDescent="0.25">
      <c r="A22081" s="515">
        <v>55704</v>
      </c>
      <c r="C22081" s="52">
        <v>216060.97848767301</v>
      </c>
      <c r="D22081" s="56">
        <v>0.16882123023405488</v>
      </c>
      <c r="E22081" s="224" t="s">
        <v>2</v>
      </c>
      <c r="F22081" s="515" t="s">
        <v>23248</v>
      </c>
      <c r="G22081" s="52">
        <v>50720.74</v>
      </c>
      <c r="H22081" s="56">
        <v>0</v>
      </c>
      <c r="I22081" s="224" t="s">
        <v>2</v>
      </c>
    </row>
    <row r="22082" spans="1:9" x14ac:dyDescent="0.25">
      <c r="A22082" s="515">
        <v>76538</v>
      </c>
      <c r="C22082" s="52">
        <v>335320.84460828698</v>
      </c>
      <c r="D22082" s="56">
        <v>-2.3804448232056467E-3</v>
      </c>
      <c r="E22082" s="224" t="s">
        <v>2</v>
      </c>
      <c r="F22082" s="515" t="s">
        <v>23249</v>
      </c>
      <c r="G22082" s="52">
        <v>181767.75639331399</v>
      </c>
      <c r="H22082" s="56">
        <v>0.12941578097143949</v>
      </c>
      <c r="I22082" s="224" t="s">
        <v>2</v>
      </c>
    </row>
    <row r="22083" spans="1:9" x14ac:dyDescent="0.25">
      <c r="A22083" s="515">
        <v>4668</v>
      </c>
      <c r="C22083" s="52">
        <v>175241.519709221</v>
      </c>
      <c r="D22083" s="56">
        <v>0.10440039436259815</v>
      </c>
      <c r="E22083" s="224" t="s">
        <v>2</v>
      </c>
      <c r="F22083" s="515" t="s">
        <v>23250</v>
      </c>
      <c r="G22083" s="52">
        <v>489866.87245345401</v>
      </c>
      <c r="H22083" s="56">
        <v>0.13944452769432811</v>
      </c>
      <c r="I22083" s="224" t="s">
        <v>2</v>
      </c>
    </row>
    <row r="22084" spans="1:9" x14ac:dyDescent="0.25">
      <c r="A22084" s="515">
        <v>17978</v>
      </c>
      <c r="B22084" s="515" t="s">
        <v>428</v>
      </c>
      <c r="C22084" s="52">
        <v>175069.669189754</v>
      </c>
      <c r="D22084" s="56">
        <v>8.0023167187495151E-2</v>
      </c>
      <c r="E22084" s="224" t="s">
        <v>2</v>
      </c>
      <c r="F22084" s="515" t="s">
        <v>23251</v>
      </c>
      <c r="G22084" s="52">
        <v>81490.380758163301</v>
      </c>
      <c r="H22084" s="56">
        <v>9.4440684280223619E-2</v>
      </c>
      <c r="I22084" s="224" t="s">
        <v>2</v>
      </c>
    </row>
    <row r="22085" spans="1:9" x14ac:dyDescent="0.25">
      <c r="A22085" s="515">
        <v>56176</v>
      </c>
      <c r="B22085" s="515" t="s">
        <v>608</v>
      </c>
      <c r="C22085" s="52">
        <v>151623.495890675</v>
      </c>
      <c r="D22085" s="56">
        <v>9.5093888700808094E-2</v>
      </c>
      <c r="E22085" s="224" t="s">
        <v>2</v>
      </c>
      <c r="F22085" s="515" t="s">
        <v>23252</v>
      </c>
      <c r="G22085" s="52">
        <v>299718.019374975</v>
      </c>
      <c r="H22085" s="56">
        <v>6.5281783379780939E-2</v>
      </c>
      <c r="I22085" s="224" t="s">
        <v>2</v>
      </c>
    </row>
    <row r="22086" spans="1:9" x14ac:dyDescent="0.25">
      <c r="A22086" s="515">
        <v>93440</v>
      </c>
      <c r="B22086" s="515" t="s">
        <v>847</v>
      </c>
      <c r="C22086" s="52">
        <v>785115.65161710698</v>
      </c>
      <c r="D22086" s="56">
        <v>5.4209825267888985E-2</v>
      </c>
      <c r="E22086" s="224" t="s">
        <v>2</v>
      </c>
      <c r="F22086" s="515" t="s">
        <v>23253</v>
      </c>
      <c r="G22086" s="52">
        <v>185249.905882352</v>
      </c>
      <c r="H22086" s="56">
        <v>0</v>
      </c>
      <c r="I22086" s="224" t="s">
        <v>2</v>
      </c>
    </row>
    <row r="22087" spans="1:9" x14ac:dyDescent="0.25">
      <c r="A22087" s="515">
        <v>5903</v>
      </c>
      <c r="C22087" s="52">
        <v>179089.68678567701</v>
      </c>
      <c r="D22087" s="56">
        <v>0.11487370277050209</v>
      </c>
      <c r="E22087" s="224" t="s">
        <v>2</v>
      </c>
      <c r="F22087" s="515" t="s">
        <v>23254</v>
      </c>
      <c r="G22087" s="52">
        <v>276323.11133118102</v>
      </c>
      <c r="H22087" s="56">
        <v>2.9472406551343151E-2</v>
      </c>
      <c r="I22087" s="224" t="s">
        <v>2</v>
      </c>
    </row>
    <row r="22088" spans="1:9" x14ac:dyDescent="0.25">
      <c r="A22088" s="515">
        <v>83868</v>
      </c>
      <c r="C22088" s="52">
        <v>192821.85891438101</v>
      </c>
      <c r="D22088" s="56">
        <v>0</v>
      </c>
      <c r="E22088" s="224" t="s">
        <v>2</v>
      </c>
      <c r="F22088" s="515" t="s">
        <v>23255</v>
      </c>
      <c r="G22088" s="52">
        <v>316042.65662738902</v>
      </c>
      <c r="H22088" s="56">
        <v>7.056776207451676E-2</v>
      </c>
      <c r="I22088" s="224" t="s">
        <v>2</v>
      </c>
    </row>
    <row r="22089" spans="1:9" x14ac:dyDescent="0.25">
      <c r="A22089" s="515">
        <v>73042</v>
      </c>
      <c r="C22089" s="52">
        <v>82642.837701474797</v>
      </c>
      <c r="D22089" s="56">
        <v>-2.045659173680215E-2</v>
      </c>
      <c r="E22089" s="224" t="s">
        <v>2</v>
      </c>
      <c r="F22089" s="515" t="s">
        <v>23256</v>
      </c>
      <c r="G22089" s="52">
        <v>1022269.41918144</v>
      </c>
      <c r="H22089" s="56">
        <v>0.11383435206378462</v>
      </c>
      <c r="I22089" s="224" t="s">
        <v>2</v>
      </c>
    </row>
    <row r="22090" spans="1:9" x14ac:dyDescent="0.25">
      <c r="A22090" s="515">
        <v>97820</v>
      </c>
      <c r="C22090" s="52">
        <v>252670.25976666401</v>
      </c>
      <c r="D22090" s="56">
        <v>4.5791061801146213E-2</v>
      </c>
      <c r="E22090" s="224" t="s">
        <v>2</v>
      </c>
      <c r="F22090" s="515" t="s">
        <v>23257</v>
      </c>
      <c r="G22090" s="52">
        <v>529096.35399629304</v>
      </c>
      <c r="H22090" s="56">
        <v>1.5351274620565084E-2</v>
      </c>
      <c r="I22090" s="224" t="s">
        <v>2</v>
      </c>
    </row>
    <row r="22091" spans="1:9" x14ac:dyDescent="0.25">
      <c r="A22091" s="515">
        <v>76653</v>
      </c>
      <c r="C22091" s="52">
        <v>200949.92718775899</v>
      </c>
      <c r="D22091" s="56">
        <v>-5.4109623368680023E-3</v>
      </c>
      <c r="E22091" s="224" t="s">
        <v>2</v>
      </c>
      <c r="F22091" s="515" t="s">
        <v>23258</v>
      </c>
      <c r="G22091" s="52">
        <v>52043.9485713705</v>
      </c>
      <c r="H22091" s="56">
        <v>0.27177695269549579</v>
      </c>
      <c r="I22091" s="224" t="s">
        <v>2</v>
      </c>
    </row>
    <row r="22092" spans="1:9" x14ac:dyDescent="0.25">
      <c r="A22092" s="515">
        <v>83543</v>
      </c>
      <c r="C22092" s="52">
        <v>235741.8588359</v>
      </c>
      <c r="D22092" s="56">
        <v>0.10189159029694346</v>
      </c>
      <c r="E22092" s="224" t="s">
        <v>2</v>
      </c>
      <c r="F22092" s="515" t="s">
        <v>23259</v>
      </c>
      <c r="G22092" s="52">
        <v>1053439.9103544899</v>
      </c>
      <c r="H22092" s="56">
        <v>0.13354060854669819</v>
      </c>
      <c r="I22092" s="224" t="s">
        <v>2</v>
      </c>
    </row>
    <row r="22093" spans="1:9" x14ac:dyDescent="0.25">
      <c r="A22093" s="515">
        <v>22480</v>
      </c>
      <c r="C22093" s="52">
        <v>402976.96863999002</v>
      </c>
      <c r="D22093" s="56">
        <v>8.5635752442104335E-2</v>
      </c>
      <c r="E22093" s="224" t="s">
        <v>2</v>
      </c>
      <c r="F22093" s="515" t="s">
        <v>23260</v>
      </c>
      <c r="G22093" s="52">
        <v>108383.35958572201</v>
      </c>
      <c r="H22093" s="56">
        <v>0.10814375878322434</v>
      </c>
      <c r="I22093" s="224" t="s">
        <v>2</v>
      </c>
    </row>
    <row r="22094" spans="1:9" x14ac:dyDescent="0.25">
      <c r="A22094" s="515">
        <v>45863</v>
      </c>
      <c r="B22094" s="515" t="s">
        <v>818</v>
      </c>
      <c r="C22094" s="52">
        <v>123970.52045915699</v>
      </c>
      <c r="D22094" s="56">
        <v>3.8942279871446613E-2</v>
      </c>
      <c r="E22094" s="224" t="s">
        <v>2</v>
      </c>
      <c r="F22094" s="515" t="s">
        <v>23261</v>
      </c>
      <c r="G22094" s="52">
        <v>112278.67838004199</v>
      </c>
      <c r="H22094" s="56">
        <v>0.13970373973520156</v>
      </c>
      <c r="I22094" s="224" t="s">
        <v>2</v>
      </c>
    </row>
    <row r="22095" spans="1:9" x14ac:dyDescent="0.25">
      <c r="A22095" s="515">
        <v>68354</v>
      </c>
      <c r="C22095" s="52">
        <v>132388.36392005399</v>
      </c>
      <c r="D22095" s="56">
        <v>0.1350905386937537</v>
      </c>
      <c r="E22095" s="224" t="s">
        <v>2</v>
      </c>
      <c r="F22095" s="515" t="s">
        <v>23262</v>
      </c>
      <c r="G22095" s="52">
        <v>208522.831460674</v>
      </c>
      <c r="H22095" s="56">
        <v>0</v>
      </c>
      <c r="I22095" s="224" t="s">
        <v>2</v>
      </c>
    </row>
    <row r="22096" spans="1:9" x14ac:dyDescent="0.25">
      <c r="A22096" s="515">
        <v>56137</v>
      </c>
      <c r="C22096" s="52">
        <v>148321.927282238</v>
      </c>
      <c r="D22096" s="56">
        <v>0.13017756571250153</v>
      </c>
      <c r="E22096" s="224" t="s">
        <v>2</v>
      </c>
      <c r="F22096" s="515" t="s">
        <v>23263</v>
      </c>
      <c r="G22096" s="52">
        <v>234221.98670385301</v>
      </c>
      <c r="H22096" s="56">
        <v>5.3369403213063112E-2</v>
      </c>
      <c r="I22096" s="224" t="s">
        <v>2</v>
      </c>
    </row>
    <row r="22097" spans="1:9" x14ac:dyDescent="0.25">
      <c r="A22097" s="515">
        <v>47981</v>
      </c>
      <c r="B22097" s="515" t="s">
        <v>433</v>
      </c>
      <c r="C22097" s="52">
        <v>259735.22239305699</v>
      </c>
      <c r="D22097" s="56">
        <v>4.2890269811879836E-2</v>
      </c>
      <c r="E22097" s="224" t="s">
        <v>2</v>
      </c>
      <c r="F22097" s="515" t="s">
        <v>23264</v>
      </c>
      <c r="G22097" s="52">
        <v>200217.95339090499</v>
      </c>
      <c r="H22097" s="56">
        <v>9.5029392593282164E-2</v>
      </c>
      <c r="I22097" s="224" t="s">
        <v>2</v>
      </c>
    </row>
    <row r="22098" spans="1:9" x14ac:dyDescent="0.25">
      <c r="A22098" s="515">
        <v>51573</v>
      </c>
      <c r="C22098" s="52">
        <v>146926.31166860901</v>
      </c>
      <c r="D22098" s="56">
        <v>0.14944106840469787</v>
      </c>
      <c r="E22098" s="224" t="s">
        <v>2</v>
      </c>
      <c r="F22098" s="515" t="s">
        <v>23265</v>
      </c>
      <c r="G22098" s="52">
        <v>325915.31836856803</v>
      </c>
      <c r="H22098" s="56">
        <v>6.7350797311895375E-2</v>
      </c>
      <c r="I22098" s="224" t="s">
        <v>2</v>
      </c>
    </row>
    <row r="22099" spans="1:9" x14ac:dyDescent="0.25">
      <c r="A22099" s="515">
        <v>8511</v>
      </c>
      <c r="B22099" s="515" t="s">
        <v>294</v>
      </c>
      <c r="C22099" s="52">
        <v>333341.42073383601</v>
      </c>
      <c r="D22099" s="56">
        <v>6.7458310333732216E-2</v>
      </c>
      <c r="E22099" s="224" t="s">
        <v>2</v>
      </c>
      <c r="F22099" s="515" t="s">
        <v>23266</v>
      </c>
      <c r="G22099" s="52">
        <v>154085.977542601</v>
      </c>
      <c r="H22099" s="56">
        <v>8.4231547725443584E-2</v>
      </c>
      <c r="I22099" s="224" t="s">
        <v>2</v>
      </c>
    </row>
    <row r="22100" spans="1:9" x14ac:dyDescent="0.25">
      <c r="A22100" s="515">
        <v>5036</v>
      </c>
      <c r="B22100" s="515" t="s">
        <v>420</v>
      </c>
      <c r="C22100" s="52">
        <v>333448.52581456699</v>
      </c>
      <c r="D22100" s="56">
        <v>0.12192824727253437</v>
      </c>
      <c r="E22100" s="224" t="s">
        <v>2</v>
      </c>
      <c r="F22100" s="515" t="s">
        <v>23267</v>
      </c>
      <c r="G22100" s="52">
        <v>117129.615524742</v>
      </c>
      <c r="H22100" s="56">
        <v>1.5358654306172139E-2</v>
      </c>
      <c r="I22100" s="224" t="s">
        <v>2</v>
      </c>
    </row>
    <row r="22101" spans="1:9" x14ac:dyDescent="0.25">
      <c r="A22101" s="515">
        <v>17228</v>
      </c>
      <c r="C22101" s="52">
        <v>187225.832340297</v>
      </c>
      <c r="D22101" s="56">
        <v>0</v>
      </c>
      <c r="E22101" s="224" t="s">
        <v>2</v>
      </c>
      <c r="F22101" s="515" t="s">
        <v>23268</v>
      </c>
      <c r="G22101" s="52">
        <v>146365.94957298701</v>
      </c>
      <c r="H22101" s="56">
        <v>9.1446843495292099E-2</v>
      </c>
      <c r="I22101" s="224" t="s">
        <v>2</v>
      </c>
    </row>
    <row r="22102" spans="1:9" x14ac:dyDescent="0.25">
      <c r="A22102" s="515">
        <v>49410</v>
      </c>
      <c r="B22102" s="515" t="s">
        <v>993</v>
      </c>
      <c r="C22102" s="52">
        <v>122047.483235554</v>
      </c>
      <c r="D22102" s="56">
        <v>1.8150339827520151E-2</v>
      </c>
      <c r="E22102" s="224" t="s">
        <v>2</v>
      </c>
      <c r="F22102" s="515" t="s">
        <v>23269</v>
      </c>
      <c r="G22102" s="52">
        <v>98560.018279059193</v>
      </c>
      <c r="H22102" s="56">
        <v>7.0721822142383539E-2</v>
      </c>
      <c r="I22102" s="224" t="s">
        <v>2</v>
      </c>
    </row>
    <row r="22103" spans="1:9" x14ac:dyDescent="0.25">
      <c r="A22103" s="515">
        <v>4951</v>
      </c>
      <c r="C22103" s="52">
        <v>268639.59554612101</v>
      </c>
      <c r="D22103" s="56">
        <v>1.5340457489525193E-2</v>
      </c>
      <c r="E22103" s="224" t="s">
        <v>2</v>
      </c>
      <c r="F22103" s="515" t="s">
        <v>23270</v>
      </c>
      <c r="G22103" s="52">
        <v>133212.586368783</v>
      </c>
      <c r="H22103" s="56">
        <v>9.2485515156488049E-2</v>
      </c>
      <c r="I22103" s="224" t="s">
        <v>2</v>
      </c>
    </row>
    <row r="22104" spans="1:9" x14ac:dyDescent="0.25">
      <c r="A22104" s="515">
        <v>68864</v>
      </c>
      <c r="B22104" s="515" t="s">
        <v>650</v>
      </c>
      <c r="C22104" s="52">
        <v>234641.66724915101</v>
      </c>
      <c r="D22104" s="56">
        <v>7.5728681147625834E-2</v>
      </c>
      <c r="E22104" s="224" t="s">
        <v>2</v>
      </c>
      <c r="F22104" s="515" t="s">
        <v>23271</v>
      </c>
      <c r="G22104" s="52">
        <v>267545.23624290503</v>
      </c>
      <c r="H22104" s="56">
        <v>6.0508989057856288E-2</v>
      </c>
      <c r="I22104" s="224" t="s">
        <v>2</v>
      </c>
    </row>
    <row r="22105" spans="1:9" x14ac:dyDescent="0.25">
      <c r="A22105" s="515">
        <v>15540</v>
      </c>
      <c r="B22105" s="515" t="s">
        <v>370</v>
      </c>
      <c r="C22105" s="52">
        <v>167106.476794705</v>
      </c>
      <c r="D22105" s="56">
        <v>0.16882823946322023</v>
      </c>
      <c r="E22105" s="224" t="s">
        <v>2</v>
      </c>
      <c r="F22105" s="515" t="s">
        <v>23272</v>
      </c>
      <c r="G22105" s="52">
        <v>267662.37970742001</v>
      </c>
      <c r="H22105" s="56">
        <v>0.1039399401561462</v>
      </c>
      <c r="I22105" s="224" t="s">
        <v>2</v>
      </c>
    </row>
    <row r="22106" spans="1:9" x14ac:dyDescent="0.25">
      <c r="A22106" s="515">
        <v>22627</v>
      </c>
      <c r="B22106" s="515" t="s">
        <v>321</v>
      </c>
      <c r="C22106" s="52">
        <v>564121.03474756505</v>
      </c>
      <c r="D22106" s="56">
        <v>0.17006849584442449</v>
      </c>
      <c r="E22106" s="224" t="s">
        <v>2</v>
      </c>
      <c r="F22106" s="515" t="s">
        <v>23273</v>
      </c>
      <c r="G22106" s="52">
        <v>358013.47692307603</v>
      </c>
      <c r="H22106" s="56">
        <v>0</v>
      </c>
      <c r="I22106" s="224" t="s">
        <v>2</v>
      </c>
    </row>
    <row r="22107" spans="1:9" x14ac:dyDescent="0.25">
      <c r="A22107" s="515">
        <v>71261</v>
      </c>
      <c r="B22107" s="515" t="s">
        <v>695</v>
      </c>
      <c r="C22107" s="52">
        <v>72458.661689436805</v>
      </c>
      <c r="D22107" s="56">
        <v>0.11199428651543555</v>
      </c>
      <c r="E22107" s="224" t="s">
        <v>2</v>
      </c>
      <c r="F22107" s="515" t="s">
        <v>23274</v>
      </c>
      <c r="G22107" s="52">
        <v>60950.495486635198</v>
      </c>
      <c r="H22107" s="56">
        <v>0.23461847948053693</v>
      </c>
      <c r="I22107" s="224" t="s">
        <v>2</v>
      </c>
    </row>
    <row r="22108" spans="1:9" x14ac:dyDescent="0.25">
      <c r="A22108" s="515">
        <v>52223</v>
      </c>
      <c r="C22108" s="52">
        <v>187273.73357632101</v>
      </c>
      <c r="D22108" s="56">
        <v>-5.8392397171171284E-2</v>
      </c>
      <c r="E22108" s="224" t="s">
        <v>2</v>
      </c>
      <c r="F22108" s="515" t="s">
        <v>23275</v>
      </c>
      <c r="G22108" s="52">
        <v>253789.117103856</v>
      </c>
      <c r="H22108" s="56">
        <v>3.7817203611937231E-2</v>
      </c>
      <c r="I22108" s="224" t="s">
        <v>2</v>
      </c>
    </row>
    <row r="22109" spans="1:9" x14ac:dyDescent="0.25">
      <c r="A22109" s="515">
        <v>83810</v>
      </c>
      <c r="B22109" s="515" t="s">
        <v>992</v>
      </c>
      <c r="C22109" s="52">
        <v>429197.246147378</v>
      </c>
      <c r="D22109" s="56">
        <v>2.6686863498380155E-2</v>
      </c>
      <c r="E22109" s="224" t="s">
        <v>2</v>
      </c>
      <c r="F22109" s="515" t="s">
        <v>23276</v>
      </c>
      <c r="G22109" s="52">
        <v>121288.18165235101</v>
      </c>
      <c r="H22109" s="56">
        <v>-8.4857913710144561E-2</v>
      </c>
      <c r="I22109" s="224" t="s">
        <v>2</v>
      </c>
    </row>
    <row r="22110" spans="1:9" x14ac:dyDescent="0.25">
      <c r="A22110" s="515">
        <v>76890</v>
      </c>
      <c r="B22110" s="515" t="s">
        <v>947</v>
      </c>
      <c r="C22110" s="52">
        <v>315606.05719907</v>
      </c>
      <c r="D22110" s="56">
        <v>7.858484922887406E-3</v>
      </c>
      <c r="E22110" s="224" t="s">
        <v>2</v>
      </c>
      <c r="F22110" s="515" t="s">
        <v>23277</v>
      </c>
      <c r="G22110" s="52">
        <v>63735.969707395401</v>
      </c>
      <c r="H22110" s="56">
        <v>6.0500958126793999E-2</v>
      </c>
      <c r="I22110" s="224" t="s">
        <v>2</v>
      </c>
    </row>
    <row r="22111" spans="1:9" x14ac:dyDescent="0.25">
      <c r="A22111" s="515">
        <v>65601</v>
      </c>
      <c r="B22111" s="515" t="s">
        <v>603</v>
      </c>
      <c r="C22111" s="52">
        <v>216897.15764150699</v>
      </c>
      <c r="D22111" s="56">
        <v>0.13452246748041655</v>
      </c>
      <c r="E22111" s="224" t="s">
        <v>2</v>
      </c>
      <c r="F22111" s="515" t="s">
        <v>23278</v>
      </c>
      <c r="G22111" s="52">
        <v>165776.27157083299</v>
      </c>
      <c r="H22111" s="56">
        <v>7.306320312932324E-3</v>
      </c>
      <c r="I22111" s="224" t="s">
        <v>2</v>
      </c>
    </row>
    <row r="22112" spans="1:9" x14ac:dyDescent="0.25">
      <c r="A22112" s="515">
        <v>64421</v>
      </c>
      <c r="B22112" s="515" t="s">
        <v>371</v>
      </c>
      <c r="C22112" s="52">
        <v>153577.30964411399</v>
      </c>
      <c r="D22112" s="56">
        <v>-0.21079888324639026</v>
      </c>
      <c r="E22112" s="224" t="s">
        <v>2</v>
      </c>
      <c r="F22112" s="515" t="s">
        <v>23279</v>
      </c>
      <c r="G22112" s="52">
        <v>78844.428297009901</v>
      </c>
      <c r="H22112" s="56">
        <v>0.15421093386821141</v>
      </c>
      <c r="I22112" s="224" t="s">
        <v>2</v>
      </c>
    </row>
    <row r="22113" spans="1:9" x14ac:dyDescent="0.25">
      <c r="A22113" s="515">
        <v>38548</v>
      </c>
      <c r="B22113" s="515" t="s">
        <v>833</v>
      </c>
      <c r="C22113" s="52">
        <v>258033.19496750701</v>
      </c>
      <c r="D22113" s="56">
        <v>0</v>
      </c>
      <c r="E22113" s="224" t="s">
        <v>2</v>
      </c>
      <c r="F22113" s="515" t="s">
        <v>23280</v>
      </c>
      <c r="G22113" s="52">
        <v>162050.66666666599</v>
      </c>
      <c r="H22113" s="56">
        <v>0</v>
      </c>
      <c r="I22113" s="224" t="s">
        <v>2</v>
      </c>
    </row>
    <row r="22114" spans="1:9" x14ac:dyDescent="0.25">
      <c r="A22114" s="515">
        <v>35755</v>
      </c>
      <c r="B22114" s="515" t="s">
        <v>748</v>
      </c>
      <c r="C22114" s="52">
        <v>285147.65511473099</v>
      </c>
      <c r="D22114" s="56">
        <v>0.13530196150529994</v>
      </c>
      <c r="E22114" s="224" t="s">
        <v>2</v>
      </c>
      <c r="F22114" s="515" t="s">
        <v>23281</v>
      </c>
      <c r="G22114" s="52">
        <v>152963.31549894399</v>
      </c>
      <c r="H22114" s="56">
        <v>8.2808309227591206E-2</v>
      </c>
      <c r="I22114" s="224" t="s">
        <v>2</v>
      </c>
    </row>
    <row r="22115" spans="1:9" x14ac:dyDescent="0.25">
      <c r="A22115" s="515">
        <v>63785</v>
      </c>
      <c r="B22115" s="515" t="s">
        <v>424</v>
      </c>
      <c r="C22115" s="52">
        <v>203523.88440399</v>
      </c>
      <c r="D22115" s="56">
        <v>8.2257386958252535E-2</v>
      </c>
      <c r="E22115" s="224" t="s">
        <v>2</v>
      </c>
      <c r="F22115" s="515" t="s">
        <v>23282</v>
      </c>
      <c r="G22115" s="52">
        <v>355854.38726844598</v>
      </c>
      <c r="H22115" s="56">
        <v>1.8676722316018211E-2</v>
      </c>
      <c r="I22115" s="224" t="s">
        <v>2</v>
      </c>
    </row>
    <row r="22116" spans="1:9" x14ac:dyDescent="0.25">
      <c r="A22116" s="515">
        <v>26802</v>
      </c>
      <c r="C22116" s="52">
        <v>166177.579313722</v>
      </c>
      <c r="D22116" s="56">
        <v>8.7875103970022794E-2</v>
      </c>
      <c r="E22116" s="224" t="s">
        <v>2</v>
      </c>
      <c r="F22116" s="515" t="s">
        <v>23283</v>
      </c>
      <c r="G22116" s="52">
        <v>287881.37162679399</v>
      </c>
      <c r="H22116" s="56">
        <v>1.4820090952490485E-2</v>
      </c>
      <c r="I22116" s="224" t="s">
        <v>2</v>
      </c>
    </row>
    <row r="22117" spans="1:9" x14ac:dyDescent="0.25">
      <c r="A22117" s="515">
        <v>65637</v>
      </c>
      <c r="C22117" s="52">
        <v>218716.350565467</v>
      </c>
      <c r="D22117" s="56">
        <v>9.4398734106590623E-2</v>
      </c>
      <c r="E22117" s="224" t="s">
        <v>2</v>
      </c>
      <c r="F22117" s="515" t="s">
        <v>23284</v>
      </c>
      <c r="G22117" s="52">
        <v>119581.343820826</v>
      </c>
      <c r="H22117" s="56">
        <v>0.19951875679741179</v>
      </c>
      <c r="I22117" s="224" t="s">
        <v>2</v>
      </c>
    </row>
    <row r="22118" spans="1:9" x14ac:dyDescent="0.25">
      <c r="A22118" s="515">
        <v>52161</v>
      </c>
      <c r="C22118" s="52">
        <v>200592.07150610301</v>
      </c>
      <c r="D22118" s="56">
        <v>0.11392384156102212</v>
      </c>
      <c r="E22118" s="224" t="s">
        <v>2</v>
      </c>
      <c r="F22118" s="515" t="s">
        <v>23285</v>
      </c>
      <c r="G22118" s="52">
        <v>60904.726426094101</v>
      </c>
      <c r="H22118" s="56">
        <v>0.24207939718968993</v>
      </c>
      <c r="I22118" s="224" t="s">
        <v>2</v>
      </c>
    </row>
    <row r="22119" spans="1:9" x14ac:dyDescent="0.25">
      <c r="A22119" s="515">
        <v>28631</v>
      </c>
      <c r="C22119" s="52">
        <v>294846.95367381303</v>
      </c>
      <c r="D22119" s="56">
        <v>0.10965625256272014</v>
      </c>
      <c r="E22119" s="224" t="s">
        <v>2</v>
      </c>
      <c r="F22119" s="515" t="s">
        <v>23286</v>
      </c>
      <c r="G22119" s="52">
        <v>167560.03703703699</v>
      </c>
      <c r="H22119" s="56">
        <v>0</v>
      </c>
      <c r="I22119" s="224" t="s">
        <v>2</v>
      </c>
    </row>
    <row r="22120" spans="1:9" x14ac:dyDescent="0.25">
      <c r="A22120" s="515">
        <v>72651</v>
      </c>
      <c r="B22120" s="515" t="s">
        <v>679</v>
      </c>
      <c r="C22120" s="52">
        <v>176595.78879927201</v>
      </c>
      <c r="D22120" s="56">
        <v>7.6377418118589251E-4</v>
      </c>
      <c r="E22120" s="224" t="s">
        <v>2</v>
      </c>
      <c r="F22120" s="515" t="s">
        <v>23287</v>
      </c>
      <c r="G22120" s="52">
        <v>236124.292904728</v>
      </c>
      <c r="H22120" s="56">
        <v>0.10738360013370778</v>
      </c>
      <c r="I22120" s="224" t="s">
        <v>2</v>
      </c>
    </row>
    <row r="22121" spans="1:9" x14ac:dyDescent="0.25">
      <c r="A22121" s="515">
        <v>30667</v>
      </c>
      <c r="B22121" s="515" t="s">
        <v>991</v>
      </c>
      <c r="C22121" s="52">
        <v>235785.522176044</v>
      </c>
      <c r="D22121" s="56">
        <v>0.11836163222648034</v>
      </c>
      <c r="E22121" s="224" t="s">
        <v>2</v>
      </c>
      <c r="F22121" s="515" t="s">
        <v>23288</v>
      </c>
      <c r="G22121" s="52">
        <v>183016.402526727</v>
      </c>
      <c r="H22121" s="56">
        <v>0</v>
      </c>
      <c r="I22121" s="224" t="s">
        <v>2</v>
      </c>
    </row>
    <row r="22122" spans="1:9" x14ac:dyDescent="0.25">
      <c r="A22122" s="515">
        <v>74652</v>
      </c>
      <c r="B22122" s="515" t="s">
        <v>348</v>
      </c>
      <c r="C22122" s="52">
        <v>93671.189004254906</v>
      </c>
      <c r="D22122" s="56">
        <v>0.13726952184271476</v>
      </c>
      <c r="E22122" s="224" t="s">
        <v>2</v>
      </c>
      <c r="F22122" s="515" t="s">
        <v>23289</v>
      </c>
      <c r="G22122" s="52">
        <v>164979.19472602601</v>
      </c>
      <c r="H22122" s="56">
        <v>0.1324538511276655</v>
      </c>
      <c r="I22122" s="224" t="s">
        <v>2</v>
      </c>
    </row>
    <row r="22123" spans="1:9" x14ac:dyDescent="0.25">
      <c r="A22123" s="515">
        <v>73565</v>
      </c>
      <c r="C22123" s="52">
        <v>74777.770326682294</v>
      </c>
      <c r="D22123" s="56">
        <v>0.44100277754314282</v>
      </c>
      <c r="E22123" s="224" t="s">
        <v>2</v>
      </c>
      <c r="F22123" s="515" t="s">
        <v>23290</v>
      </c>
      <c r="G22123" s="52">
        <v>27492.759442043302</v>
      </c>
      <c r="H22123" s="56">
        <v>0.14723148117975218</v>
      </c>
      <c r="I22123" s="224" t="s">
        <v>2</v>
      </c>
    </row>
    <row r="22124" spans="1:9" x14ac:dyDescent="0.25">
      <c r="A22124" s="515">
        <v>83553</v>
      </c>
      <c r="C22124" s="52">
        <v>226808.15279154401</v>
      </c>
      <c r="D22124" s="56">
        <v>0.15625697096997782</v>
      </c>
      <c r="E22124" s="224" t="s">
        <v>2</v>
      </c>
      <c r="F22124" s="515" t="s">
        <v>23291</v>
      </c>
      <c r="G22124" s="52">
        <v>66170.892658670302</v>
      </c>
      <c r="H22124" s="56">
        <v>-1.1787948890773252E-2</v>
      </c>
      <c r="I22124" s="224" t="s">
        <v>2</v>
      </c>
    </row>
    <row r="22125" spans="1:9" x14ac:dyDescent="0.25">
      <c r="A22125" s="515">
        <v>40810</v>
      </c>
      <c r="C22125" s="52">
        <v>66796.662117114101</v>
      </c>
      <c r="D22125" s="56">
        <v>0.31072935434443033</v>
      </c>
      <c r="E22125" s="224" t="s">
        <v>2</v>
      </c>
      <c r="F22125" s="515" t="s">
        <v>23292</v>
      </c>
      <c r="G22125" s="52">
        <v>111856.975505611</v>
      </c>
      <c r="H22125" s="56">
        <v>-4.851029809471142E-2</v>
      </c>
      <c r="I22125" s="224" t="s">
        <v>2</v>
      </c>
    </row>
    <row r="22126" spans="1:9" x14ac:dyDescent="0.25">
      <c r="A22126" s="515">
        <v>15538</v>
      </c>
      <c r="B22126" s="515" t="s">
        <v>370</v>
      </c>
      <c r="C22126" s="52">
        <v>157145.18180975999</v>
      </c>
      <c r="D22126" s="56">
        <v>0.11056921505089934</v>
      </c>
      <c r="E22126" s="224" t="s">
        <v>2</v>
      </c>
      <c r="F22126" s="515" t="s">
        <v>23293</v>
      </c>
      <c r="G22126" s="52">
        <v>587798.28463206498</v>
      </c>
      <c r="H22126" s="56">
        <v>0.15678470095660524</v>
      </c>
      <c r="I22126" s="224" t="s">
        <v>2</v>
      </c>
    </row>
    <row r="22127" spans="1:9" x14ac:dyDescent="0.25">
      <c r="A22127" s="515">
        <v>95227</v>
      </c>
      <c r="B22127" s="515" t="s">
        <v>852</v>
      </c>
      <c r="C22127" s="52">
        <v>817539.75716785004</v>
      </c>
      <c r="D22127" s="56">
        <v>-1.1570123440343914E-2</v>
      </c>
      <c r="E22127" s="224" t="s">
        <v>2</v>
      </c>
      <c r="F22127" s="515" t="s">
        <v>23294</v>
      </c>
      <c r="G22127" s="52">
        <v>182303.96</v>
      </c>
      <c r="H22127" s="56">
        <v>0</v>
      </c>
      <c r="I22127" s="224" t="s">
        <v>2</v>
      </c>
    </row>
    <row r="22128" spans="1:9" x14ac:dyDescent="0.25">
      <c r="A22128" s="515">
        <v>24941</v>
      </c>
      <c r="C22128" s="52">
        <v>104843.972197107</v>
      </c>
      <c r="D22128" s="56">
        <v>0.11912032731188431</v>
      </c>
      <c r="E22128" s="224" t="s">
        <v>2</v>
      </c>
      <c r="F22128" s="515" t="s">
        <v>23295</v>
      </c>
      <c r="G22128" s="52">
        <v>60026.600214217899</v>
      </c>
      <c r="H22128" s="56">
        <v>0.26968675003754106</v>
      </c>
      <c r="I22128" s="224" t="s">
        <v>2</v>
      </c>
    </row>
    <row r="22129" spans="1:9" x14ac:dyDescent="0.25">
      <c r="A22129" s="515">
        <v>72845</v>
      </c>
      <c r="C22129" s="52">
        <v>145689.14115085901</v>
      </c>
      <c r="D22129" s="56">
        <v>1.7058113130292735E-2</v>
      </c>
      <c r="E22129" s="224" t="s">
        <v>2</v>
      </c>
      <c r="F22129" s="515" t="s">
        <v>23296</v>
      </c>
      <c r="G22129" s="52">
        <v>277285.91125585698</v>
      </c>
      <c r="H22129" s="56">
        <v>6.6976467500356948E-2</v>
      </c>
      <c r="I22129" s="224" t="s">
        <v>2</v>
      </c>
    </row>
    <row r="22130" spans="1:9" x14ac:dyDescent="0.25">
      <c r="A22130" s="515">
        <v>68760</v>
      </c>
      <c r="C22130" s="52">
        <v>120252.37721193</v>
      </c>
      <c r="D22130" s="56">
        <v>4.0031302948734505E-2</v>
      </c>
      <c r="E22130" s="224" t="s">
        <v>2</v>
      </c>
      <c r="F22130" s="515" t="s">
        <v>23297</v>
      </c>
      <c r="G22130" s="52">
        <v>387383.78702549898</v>
      </c>
      <c r="H22130" s="56">
        <v>9.0681196452676943E-2</v>
      </c>
      <c r="I22130" s="224" t="s">
        <v>2</v>
      </c>
    </row>
    <row r="22131" spans="1:9" x14ac:dyDescent="0.25">
      <c r="A22131" s="515">
        <v>66060</v>
      </c>
      <c r="B22131" s="515" t="s">
        <v>549</v>
      </c>
      <c r="C22131" s="52">
        <v>158958.696216321</v>
      </c>
      <c r="D22131" s="56">
        <v>9.2268817881601545E-2</v>
      </c>
      <c r="E22131" s="224" t="s">
        <v>2</v>
      </c>
      <c r="F22131" s="515" t="s">
        <v>23298</v>
      </c>
      <c r="G22131" s="52">
        <v>150707.616765916</v>
      </c>
      <c r="H22131" s="56">
        <v>-1.2727412568557354E-3</v>
      </c>
      <c r="I22131" s="224" t="s">
        <v>2</v>
      </c>
    </row>
    <row r="22132" spans="1:9" x14ac:dyDescent="0.25">
      <c r="A22132" s="515">
        <v>55787</v>
      </c>
      <c r="C22132" s="52">
        <v>179634.864594126</v>
      </c>
      <c r="D22132" s="56">
        <v>4.1587767386976705E-2</v>
      </c>
      <c r="E22132" s="224" t="s">
        <v>2</v>
      </c>
      <c r="F22132" s="515" t="s">
        <v>23299</v>
      </c>
      <c r="G22132" s="52">
        <v>95643.522859714605</v>
      </c>
      <c r="H22132" s="56">
        <v>0.20618710542929189</v>
      </c>
      <c r="I22132" s="224" t="s">
        <v>2</v>
      </c>
    </row>
    <row r="22133" spans="1:9" x14ac:dyDescent="0.25">
      <c r="A22133" s="515">
        <v>12943</v>
      </c>
      <c r="C22133" s="52">
        <v>471935.03535227</v>
      </c>
      <c r="D22133" s="56">
        <v>0.11176688681264989</v>
      </c>
      <c r="E22133" s="224" t="s">
        <v>2</v>
      </c>
      <c r="F22133" s="515" t="s">
        <v>23300</v>
      </c>
      <c r="G22133" s="52">
        <v>110460.438596491</v>
      </c>
      <c r="H22133" s="56">
        <v>0</v>
      </c>
      <c r="I22133" s="224" t="s">
        <v>2</v>
      </c>
    </row>
    <row r="22134" spans="1:9" x14ac:dyDescent="0.25">
      <c r="A22134" s="515">
        <v>46791</v>
      </c>
      <c r="B22134" s="515" t="s">
        <v>465</v>
      </c>
      <c r="C22134" s="52">
        <v>226038.87334238499</v>
      </c>
      <c r="D22134" s="56">
        <v>3.3968725496184841E-2</v>
      </c>
      <c r="E22134" s="224" t="s">
        <v>2</v>
      </c>
      <c r="F22134" s="515" t="s">
        <v>23301</v>
      </c>
      <c r="G22134" s="52">
        <v>207902.925925925</v>
      </c>
      <c r="H22134" s="56">
        <v>0</v>
      </c>
      <c r="I22134" s="224" t="s">
        <v>2</v>
      </c>
    </row>
    <row r="22135" spans="1:9" x14ac:dyDescent="0.25">
      <c r="A22135" s="515">
        <v>66507</v>
      </c>
      <c r="B22135" s="515" t="s">
        <v>549</v>
      </c>
      <c r="C22135" s="52">
        <v>229053.130291081</v>
      </c>
      <c r="D22135" s="56">
        <v>0.12002824460613662</v>
      </c>
      <c r="E22135" s="224" t="s">
        <v>2</v>
      </c>
      <c r="F22135" s="515" t="s">
        <v>23302</v>
      </c>
      <c r="G22135" s="52">
        <v>615287.30922934401</v>
      </c>
      <c r="H22135" s="56">
        <v>7.4315744983154894E-2</v>
      </c>
      <c r="I22135" s="224" t="s">
        <v>2</v>
      </c>
    </row>
    <row r="22136" spans="1:9" x14ac:dyDescent="0.25">
      <c r="A22136" s="515">
        <v>54204</v>
      </c>
      <c r="C22136" s="52">
        <v>269497.71205045702</v>
      </c>
      <c r="D22136" s="56">
        <v>6.7130613916648763E-2</v>
      </c>
      <c r="E22136" s="224" t="s">
        <v>2</v>
      </c>
      <c r="F22136" s="515" t="s">
        <v>23303</v>
      </c>
      <c r="G22136" s="52">
        <v>90650.130547912297</v>
      </c>
      <c r="H22136" s="56">
        <v>0.217548314718532</v>
      </c>
      <c r="I22136" s="224" t="s">
        <v>2</v>
      </c>
    </row>
    <row r="22137" spans="1:9" x14ac:dyDescent="0.25">
      <c r="A22137" s="515">
        <v>3907</v>
      </c>
      <c r="B22137" s="515" t="s">
        <v>570</v>
      </c>
      <c r="C22137" s="52">
        <v>749065.16422841605</v>
      </c>
      <c r="D22137" s="56">
        <v>8.3529873048958661E-2</v>
      </c>
      <c r="E22137" s="224" t="s">
        <v>2</v>
      </c>
      <c r="F22137" s="515" t="s">
        <v>23304</v>
      </c>
      <c r="G22137" s="52">
        <v>123454.526705265</v>
      </c>
      <c r="H22137" s="56">
        <v>8.0088757834837682E-2</v>
      </c>
      <c r="I22137" s="224" t="s">
        <v>2</v>
      </c>
    </row>
    <row r="22138" spans="1:9" x14ac:dyDescent="0.25">
      <c r="A22138" s="515">
        <v>68865</v>
      </c>
      <c r="C22138" s="52">
        <v>294882.706941652</v>
      </c>
      <c r="D22138" s="56">
        <v>6.1399252303728953E-2</v>
      </c>
      <c r="E22138" s="224" t="s">
        <v>2</v>
      </c>
      <c r="F22138" s="515" t="s">
        <v>23305</v>
      </c>
      <c r="G22138" s="52">
        <v>236570.521718648</v>
      </c>
      <c r="H22138" s="56">
        <v>7.0486844426550579E-2</v>
      </c>
      <c r="I22138" s="224" t="s">
        <v>2</v>
      </c>
    </row>
    <row r="22139" spans="1:9" x14ac:dyDescent="0.25">
      <c r="A22139" s="515">
        <v>10505</v>
      </c>
      <c r="B22139" s="515" t="s">
        <v>324</v>
      </c>
      <c r="C22139" s="52">
        <v>828157.38916428899</v>
      </c>
      <c r="D22139" s="56">
        <v>4.4221622041643885E-2</v>
      </c>
      <c r="E22139" s="224" t="s">
        <v>2</v>
      </c>
      <c r="F22139" s="515" t="s">
        <v>23306</v>
      </c>
      <c r="G22139" s="52">
        <v>189643.50761927001</v>
      </c>
      <c r="H22139" s="56">
        <v>0.10221424361008523</v>
      </c>
      <c r="I22139" s="224" t="s">
        <v>2</v>
      </c>
    </row>
    <row r="22140" spans="1:9" x14ac:dyDescent="0.25">
      <c r="A22140" s="515">
        <v>96777</v>
      </c>
      <c r="B22140" s="515" t="s">
        <v>399</v>
      </c>
      <c r="C22140" s="52">
        <v>284710.26195857598</v>
      </c>
      <c r="D22140" s="56">
        <v>0.143078843199381</v>
      </c>
      <c r="E22140" s="224" t="s">
        <v>2</v>
      </c>
      <c r="F22140" s="515" t="s">
        <v>23307</v>
      </c>
      <c r="G22140" s="52">
        <v>265704.64673098398</v>
      </c>
      <c r="H22140" s="56">
        <v>3.8657120122682111E-2</v>
      </c>
      <c r="I22140" s="224" t="s">
        <v>2</v>
      </c>
    </row>
    <row r="22141" spans="1:9" x14ac:dyDescent="0.25">
      <c r="A22141" s="515">
        <v>87573</v>
      </c>
      <c r="B22141" s="515" t="s">
        <v>767</v>
      </c>
      <c r="C22141" s="52">
        <v>257320.59700317099</v>
      </c>
      <c r="D22141" s="56">
        <v>0</v>
      </c>
      <c r="E22141" s="224" t="s">
        <v>2</v>
      </c>
      <c r="F22141" s="515" t="s">
        <v>23308</v>
      </c>
      <c r="G22141" s="52">
        <v>136064.05348842201</v>
      </c>
      <c r="H22141" s="56">
        <v>0.14334511870737865</v>
      </c>
      <c r="I22141" s="224" t="s">
        <v>2</v>
      </c>
    </row>
    <row r="22142" spans="1:9" x14ac:dyDescent="0.25">
      <c r="A22142" s="515">
        <v>36793</v>
      </c>
      <c r="B22142" s="515" t="s">
        <v>640</v>
      </c>
      <c r="C22142" s="52">
        <v>204299.47500000001</v>
      </c>
      <c r="D22142" s="56">
        <v>0</v>
      </c>
      <c r="E22142" s="224" t="s">
        <v>2</v>
      </c>
      <c r="F22142" s="515" t="s">
        <v>23309</v>
      </c>
      <c r="G22142" s="52">
        <v>192996.71250086601</v>
      </c>
      <c r="H22142" s="56">
        <v>0</v>
      </c>
      <c r="I22142" s="224" t="s">
        <v>2</v>
      </c>
    </row>
    <row r="22143" spans="1:9" x14ac:dyDescent="0.25">
      <c r="A22143" s="515">
        <v>63014</v>
      </c>
      <c r="B22143" s="515" t="s">
        <v>498</v>
      </c>
      <c r="C22143" s="52">
        <v>199451.91475290401</v>
      </c>
      <c r="D22143" s="56">
        <v>0.1350695106813771</v>
      </c>
      <c r="E22143" s="224" t="s">
        <v>2</v>
      </c>
      <c r="F22143" s="515" t="s">
        <v>23310</v>
      </c>
      <c r="G22143" s="52">
        <v>316251.91226826003</v>
      </c>
      <c r="H22143" s="56">
        <v>0.12718433758032094</v>
      </c>
      <c r="I22143" s="224" t="s">
        <v>2</v>
      </c>
    </row>
    <row r="22144" spans="1:9" x14ac:dyDescent="0.25">
      <c r="A22144" s="515">
        <v>68351</v>
      </c>
      <c r="C22144" s="52">
        <v>134951.97465587599</v>
      </c>
      <c r="D22144" s="56">
        <v>0.12034215662305885</v>
      </c>
      <c r="E22144" s="224" t="s">
        <v>2</v>
      </c>
      <c r="F22144" s="515" t="s">
        <v>23311</v>
      </c>
      <c r="G22144" s="52">
        <v>128482.309523809</v>
      </c>
      <c r="H22144" s="56">
        <v>0</v>
      </c>
      <c r="I22144" s="224" t="s">
        <v>2</v>
      </c>
    </row>
    <row r="22145" spans="1:9" x14ac:dyDescent="0.25">
      <c r="A22145" s="515">
        <v>97733</v>
      </c>
      <c r="B22145" s="515" t="s">
        <v>545</v>
      </c>
      <c r="C22145" s="52">
        <v>371920.46202947502</v>
      </c>
      <c r="D22145" s="56">
        <v>7.3452221916955177E-2</v>
      </c>
      <c r="E22145" s="224" t="s">
        <v>2</v>
      </c>
      <c r="F22145" s="515" t="s">
        <v>23312</v>
      </c>
      <c r="G22145" s="52">
        <v>37168.541666666599</v>
      </c>
      <c r="H22145" s="56">
        <v>0</v>
      </c>
      <c r="I22145" s="224" t="s">
        <v>2</v>
      </c>
    </row>
    <row r="22146" spans="1:9" x14ac:dyDescent="0.25">
      <c r="A22146" s="515">
        <v>8328</v>
      </c>
      <c r="B22146" s="515" t="s">
        <v>294</v>
      </c>
      <c r="C22146" s="52">
        <v>245276.735313696</v>
      </c>
      <c r="D22146" s="56">
        <v>7.2318327377588601E-2</v>
      </c>
      <c r="E22146" s="224" t="s">
        <v>2</v>
      </c>
      <c r="F22146" s="515" t="s">
        <v>23313</v>
      </c>
      <c r="G22146" s="52">
        <v>113802.115101132</v>
      </c>
      <c r="H22146" s="56">
        <v>0.17936484022524016</v>
      </c>
      <c r="I22146" s="224" t="s">
        <v>2</v>
      </c>
    </row>
    <row r="22147" spans="1:9" x14ac:dyDescent="0.25">
      <c r="A22147" s="515">
        <v>4655</v>
      </c>
      <c r="C22147" s="52">
        <v>225414.86942482201</v>
      </c>
      <c r="D22147" s="56">
        <v>9.6828032363754354E-2</v>
      </c>
      <c r="E22147" s="224" t="s">
        <v>2</v>
      </c>
      <c r="F22147" s="515" t="s">
        <v>23314</v>
      </c>
      <c r="G22147" s="52">
        <v>154315.30398227199</v>
      </c>
      <c r="H22147" s="56">
        <v>3.7078456530743903E-2</v>
      </c>
      <c r="I22147" s="224" t="s">
        <v>2</v>
      </c>
    </row>
    <row r="22148" spans="1:9" x14ac:dyDescent="0.25">
      <c r="A22148" s="515">
        <v>31071</v>
      </c>
      <c r="C22148" s="52">
        <v>94061.620391329794</v>
      </c>
      <c r="D22148" s="56">
        <v>2.9218262169194844E-2</v>
      </c>
      <c r="E22148" s="224" t="s">
        <v>2</v>
      </c>
      <c r="F22148" s="515" t="s">
        <v>23315</v>
      </c>
      <c r="G22148" s="52">
        <v>56454.284616498298</v>
      </c>
      <c r="H22148" s="56">
        <v>6.0936808258507974E-2</v>
      </c>
      <c r="I22148" s="224" t="s">
        <v>2</v>
      </c>
    </row>
    <row r="22149" spans="1:9" x14ac:dyDescent="0.25">
      <c r="A22149" s="515">
        <v>74560</v>
      </c>
      <c r="B22149" s="515" t="s">
        <v>451</v>
      </c>
      <c r="C22149" s="52">
        <v>124085.569218024</v>
      </c>
      <c r="D22149" s="56">
        <v>2.1507877345096002E-2</v>
      </c>
      <c r="E22149" s="224" t="s">
        <v>2</v>
      </c>
      <c r="F22149" s="515" t="s">
        <v>23316</v>
      </c>
      <c r="G22149" s="52">
        <v>202504.85714285701</v>
      </c>
      <c r="H22149" s="56">
        <v>0</v>
      </c>
      <c r="I22149" s="224" t="s">
        <v>2</v>
      </c>
    </row>
    <row r="22150" spans="1:9" x14ac:dyDescent="0.25">
      <c r="A22150" s="515">
        <v>88267</v>
      </c>
      <c r="B22150" s="515" t="s">
        <v>1097</v>
      </c>
      <c r="C22150" s="52">
        <v>117960.324741649</v>
      </c>
      <c r="D22150" s="56">
        <v>0</v>
      </c>
      <c r="E22150" s="224" t="s">
        <v>2</v>
      </c>
      <c r="F22150" s="515" t="s">
        <v>23317</v>
      </c>
      <c r="G22150" s="52">
        <v>73386.104381414305</v>
      </c>
      <c r="H22150" s="56">
        <v>7.1939973400125673E-2</v>
      </c>
      <c r="I22150" s="224" t="s">
        <v>2</v>
      </c>
    </row>
    <row r="22151" spans="1:9" x14ac:dyDescent="0.25">
      <c r="A22151" s="515">
        <v>74826</v>
      </c>
      <c r="B22151" s="515" t="s">
        <v>989</v>
      </c>
      <c r="C22151" s="52">
        <v>138987.234873332</v>
      </c>
      <c r="D22151" s="56">
        <v>0.14241471181349824</v>
      </c>
      <c r="E22151" s="224" t="s">
        <v>2</v>
      </c>
      <c r="F22151" s="515" t="s">
        <v>23318</v>
      </c>
      <c r="G22151" s="52">
        <v>40313.4</v>
      </c>
      <c r="H22151" s="56">
        <v>0</v>
      </c>
      <c r="I22151" s="224" t="s">
        <v>2</v>
      </c>
    </row>
    <row r="22152" spans="1:9" x14ac:dyDescent="0.25">
      <c r="A22152" s="515">
        <v>7723</v>
      </c>
      <c r="B22152" s="515" t="s">
        <v>324</v>
      </c>
      <c r="C22152" s="52">
        <v>3153963.1020169002</v>
      </c>
      <c r="D22152" s="56">
        <v>0.21954324243029621</v>
      </c>
      <c r="E22152" s="224" t="s">
        <v>2</v>
      </c>
      <c r="F22152" s="515" t="s">
        <v>23319</v>
      </c>
      <c r="G22152" s="52">
        <v>424976.57775588398</v>
      </c>
      <c r="H22152" s="56">
        <v>1.2026693211186129E-2</v>
      </c>
      <c r="I22152" s="224" t="s">
        <v>2</v>
      </c>
    </row>
    <row r="22153" spans="1:9" x14ac:dyDescent="0.25">
      <c r="A22153" s="515">
        <v>38361</v>
      </c>
      <c r="C22153" s="52">
        <v>164852.92827141401</v>
      </c>
      <c r="D22153" s="56">
        <v>9.7702038583538209E-2</v>
      </c>
      <c r="E22153" s="224" t="s">
        <v>2</v>
      </c>
      <c r="F22153" s="515" t="s">
        <v>23320</v>
      </c>
      <c r="G22153" s="52">
        <v>337860.27344134002</v>
      </c>
      <c r="H22153" s="56">
        <v>4.0625002481810273E-2</v>
      </c>
      <c r="I22153" s="224" t="s">
        <v>2</v>
      </c>
    </row>
    <row r="22154" spans="1:9" x14ac:dyDescent="0.25">
      <c r="A22154" s="515">
        <v>64632</v>
      </c>
      <c r="C22154" s="52">
        <v>114203.704534766</v>
      </c>
      <c r="D22154" s="56">
        <v>5.0909712390385407E-2</v>
      </c>
      <c r="E22154" s="224" t="s">
        <v>2</v>
      </c>
      <c r="F22154" s="515" t="s">
        <v>23321</v>
      </c>
      <c r="G22154" s="52">
        <v>362711.18784991902</v>
      </c>
      <c r="H22154" s="56">
        <v>8.083389845981577E-2</v>
      </c>
      <c r="I22154" s="224" t="s">
        <v>2</v>
      </c>
    </row>
    <row r="22155" spans="1:9" x14ac:dyDescent="0.25">
      <c r="A22155" s="515">
        <v>73092</v>
      </c>
      <c r="B22155" s="515" t="s">
        <v>385</v>
      </c>
      <c r="C22155" s="52">
        <v>104576.771659098</v>
      </c>
      <c r="D22155" s="56">
        <v>8.8113714258217832E-2</v>
      </c>
      <c r="E22155" s="224" t="s">
        <v>2</v>
      </c>
      <c r="F22155" s="515" t="s">
        <v>23322</v>
      </c>
      <c r="G22155" s="52">
        <v>96760.830100912295</v>
      </c>
      <c r="H22155" s="56">
        <v>0</v>
      </c>
      <c r="I22155" s="224" t="s">
        <v>2</v>
      </c>
    </row>
    <row r="22156" spans="1:9" x14ac:dyDescent="0.25">
      <c r="A22156" s="515">
        <v>58482</v>
      </c>
      <c r="C22156" s="52">
        <v>171472.83043345201</v>
      </c>
      <c r="D22156" s="56">
        <v>0.11692728544452977</v>
      </c>
      <c r="E22156" s="224" t="s">
        <v>2</v>
      </c>
      <c r="F22156" s="515" t="s">
        <v>23323</v>
      </c>
      <c r="G22156" s="52">
        <v>191066.89791494599</v>
      </c>
      <c r="H22156" s="56">
        <v>-2.8928434876603966E-2</v>
      </c>
      <c r="I22156" s="224" t="s">
        <v>2</v>
      </c>
    </row>
    <row r="22157" spans="1:9" x14ac:dyDescent="0.25">
      <c r="A22157" s="515">
        <v>46049</v>
      </c>
      <c r="C22157" s="52">
        <v>164779.944935092</v>
      </c>
      <c r="D22157" s="56">
        <v>4.6296464056081635E-2</v>
      </c>
      <c r="E22157" s="224" t="s">
        <v>2</v>
      </c>
      <c r="F22157" s="515" t="s">
        <v>23324</v>
      </c>
      <c r="G22157" s="52">
        <v>58123.729498481</v>
      </c>
      <c r="H22157" s="56">
        <v>0.14559202964469919</v>
      </c>
      <c r="I22157" s="224" t="s">
        <v>2</v>
      </c>
    </row>
    <row r="22158" spans="1:9" x14ac:dyDescent="0.25">
      <c r="A22158" s="515">
        <v>67841</v>
      </c>
      <c r="C22158" s="52">
        <v>142556.41865075499</v>
      </c>
      <c r="D22158" s="56">
        <v>9.358773303528832E-2</v>
      </c>
      <c r="E22158" s="224" t="s">
        <v>2</v>
      </c>
      <c r="F22158" s="515" t="s">
        <v>23325</v>
      </c>
      <c r="G22158" s="52">
        <v>61237.333333333299</v>
      </c>
      <c r="H22158" s="56">
        <v>0</v>
      </c>
      <c r="I22158" s="224" t="s">
        <v>2</v>
      </c>
    </row>
    <row r="22159" spans="1:9" x14ac:dyDescent="0.25">
      <c r="A22159" s="515">
        <v>12160</v>
      </c>
      <c r="B22159" s="515" t="s">
        <v>609</v>
      </c>
      <c r="C22159" s="52">
        <v>235095.98849798</v>
      </c>
      <c r="D22159" s="56">
        <v>0.1036378247152462</v>
      </c>
      <c r="E22159" s="224" t="s">
        <v>2</v>
      </c>
      <c r="F22159" s="515" t="s">
        <v>23326</v>
      </c>
      <c r="G22159" s="52">
        <v>206612.50096182199</v>
      </c>
      <c r="H22159" s="56">
        <v>7.4656384380753102E-2</v>
      </c>
      <c r="I22159" s="224" t="s">
        <v>2</v>
      </c>
    </row>
    <row r="22160" spans="1:9" x14ac:dyDescent="0.25">
      <c r="A22160" s="515">
        <v>37731</v>
      </c>
      <c r="B22160" s="515" t="s">
        <v>902</v>
      </c>
      <c r="C22160" s="52">
        <v>166316.62617980799</v>
      </c>
      <c r="D22160" s="56">
        <v>0</v>
      </c>
      <c r="E22160" s="224" t="s">
        <v>2</v>
      </c>
      <c r="F22160" s="515" t="s">
        <v>23327</v>
      </c>
      <c r="G22160" s="52">
        <v>211778.568795831</v>
      </c>
      <c r="H22160" s="56">
        <v>0.17511802122540418</v>
      </c>
      <c r="I22160" s="224" t="s">
        <v>2</v>
      </c>
    </row>
    <row r="22161" spans="1:9" x14ac:dyDescent="0.25">
      <c r="A22161" s="515">
        <v>52202</v>
      </c>
      <c r="B22161" s="515" t="s">
        <v>404</v>
      </c>
      <c r="C22161" s="52">
        <v>251709.694686943</v>
      </c>
      <c r="D22161" s="56">
        <v>8.8623503532436892E-2</v>
      </c>
      <c r="E22161" s="224" t="s">
        <v>2</v>
      </c>
      <c r="F22161" s="515" t="s">
        <v>23328</v>
      </c>
      <c r="G22161" s="52">
        <v>291826.032909317</v>
      </c>
      <c r="H22161" s="56">
        <v>8.0271623188620606E-2</v>
      </c>
      <c r="I22161" s="224" t="s">
        <v>2</v>
      </c>
    </row>
    <row r="22162" spans="1:9" x14ac:dyDescent="0.25">
      <c r="A22162" s="515">
        <v>59036</v>
      </c>
      <c r="C22162" s="52">
        <v>178440.254186501</v>
      </c>
      <c r="D22162" s="56">
        <v>0.13435842797306219</v>
      </c>
      <c r="E22162" s="224" t="s">
        <v>2</v>
      </c>
      <c r="F22162" s="515" t="s">
        <v>23329</v>
      </c>
      <c r="G22162" s="52">
        <v>1142356.38356164</v>
      </c>
      <c r="H22162" s="56">
        <v>0</v>
      </c>
      <c r="I22162" s="224" t="s">
        <v>2</v>
      </c>
    </row>
    <row r="22163" spans="1:9" x14ac:dyDescent="0.25">
      <c r="A22163" s="515">
        <v>51364</v>
      </c>
      <c r="B22163" s="515" t="s">
        <v>932</v>
      </c>
      <c r="C22163" s="52">
        <v>131064.398266376</v>
      </c>
      <c r="D22163" s="56">
        <v>0.1193016571284007</v>
      </c>
      <c r="E22163" s="224" t="s">
        <v>2</v>
      </c>
      <c r="F22163" s="515" t="s">
        <v>23330</v>
      </c>
      <c r="G22163" s="52">
        <v>90637.636678200695</v>
      </c>
      <c r="H22163" s="56">
        <v>0</v>
      </c>
      <c r="I22163" s="224" t="s">
        <v>2</v>
      </c>
    </row>
    <row r="22164" spans="1:9" x14ac:dyDescent="0.25">
      <c r="A22164" s="515">
        <v>51553</v>
      </c>
      <c r="B22164" s="515" t="s">
        <v>367</v>
      </c>
      <c r="C22164" s="52">
        <v>216745.06238648601</v>
      </c>
      <c r="D22164" s="56">
        <v>5.2913684655967685E-2</v>
      </c>
      <c r="E22164" s="224" t="s">
        <v>2</v>
      </c>
      <c r="F22164" s="515" t="s">
        <v>23331</v>
      </c>
      <c r="G22164" s="52">
        <v>78992.556050737301</v>
      </c>
      <c r="H22164" s="56">
        <v>9.9560310205661876E-2</v>
      </c>
      <c r="I22164" s="224" t="s">
        <v>2</v>
      </c>
    </row>
    <row r="22165" spans="1:9" x14ac:dyDescent="0.25">
      <c r="A22165" s="515">
        <v>61488</v>
      </c>
      <c r="B22165" s="515" t="s">
        <v>339</v>
      </c>
      <c r="C22165" s="52">
        <v>101771.231485914</v>
      </c>
      <c r="D22165" s="56">
        <v>5.8086594331650851E-2</v>
      </c>
      <c r="E22165" s="224" t="s">
        <v>2</v>
      </c>
      <c r="F22165" s="515" t="s">
        <v>23332</v>
      </c>
      <c r="G22165" s="52">
        <v>213771.54420796799</v>
      </c>
      <c r="H22165" s="56">
        <v>0</v>
      </c>
      <c r="I22165" s="224" t="s">
        <v>2</v>
      </c>
    </row>
    <row r="22166" spans="1:9" x14ac:dyDescent="0.25">
      <c r="A22166" s="515">
        <v>49632</v>
      </c>
      <c r="B22166" s="515" t="s">
        <v>937</v>
      </c>
      <c r="C22166" s="52">
        <v>157254.51140824499</v>
      </c>
      <c r="D22166" s="56">
        <v>4.7105743145478184E-2</v>
      </c>
      <c r="E22166" s="224" t="s">
        <v>2</v>
      </c>
      <c r="F22166" s="515" t="s">
        <v>23333</v>
      </c>
      <c r="G22166" s="52">
        <v>943033.27029376896</v>
      </c>
      <c r="H22166" s="56">
        <v>0.11539310358701771</v>
      </c>
      <c r="I22166" s="224" t="s">
        <v>2</v>
      </c>
    </row>
    <row r="22167" spans="1:9" x14ac:dyDescent="0.25">
      <c r="A22167" s="515">
        <v>65440</v>
      </c>
      <c r="C22167" s="52">
        <v>187244.82028043701</v>
      </c>
      <c r="D22167" s="56">
        <v>0.12566650931102788</v>
      </c>
      <c r="E22167" s="224" t="s">
        <v>2</v>
      </c>
      <c r="F22167" s="515" t="s">
        <v>23334</v>
      </c>
      <c r="G22167" s="52">
        <v>70987.198350349296</v>
      </c>
      <c r="H22167" s="56">
        <v>0.1275014717659034</v>
      </c>
      <c r="I22167" s="224" t="s">
        <v>2</v>
      </c>
    </row>
    <row r="22168" spans="1:9" x14ac:dyDescent="0.25">
      <c r="A22168" s="515">
        <v>25270</v>
      </c>
      <c r="C22168" s="52">
        <v>115171.129076572</v>
      </c>
      <c r="D22168" s="56">
        <v>4.6052344536278843E-2</v>
      </c>
      <c r="E22168" s="224" t="s">
        <v>2</v>
      </c>
      <c r="F22168" s="515" t="s">
        <v>23335</v>
      </c>
      <c r="G22168" s="52">
        <v>115342.153964071</v>
      </c>
      <c r="H22168" s="56">
        <v>0</v>
      </c>
      <c r="I22168" s="224" t="s">
        <v>2</v>
      </c>
    </row>
    <row r="22169" spans="1:9" x14ac:dyDescent="0.25">
      <c r="A22169" s="515">
        <v>78632</v>
      </c>
      <c r="B22169" s="515" t="s">
        <v>380</v>
      </c>
      <c r="C22169" s="52">
        <v>430360.15584146598</v>
      </c>
      <c r="D22169" s="56">
        <v>0</v>
      </c>
      <c r="E22169" s="224" t="s">
        <v>2</v>
      </c>
      <c r="F22169" s="515" t="s">
        <v>23336</v>
      </c>
      <c r="G22169" s="52">
        <v>95726.793940639298</v>
      </c>
      <c r="H22169" s="56">
        <v>0.12433874721619179</v>
      </c>
      <c r="I22169" s="224" t="s">
        <v>2</v>
      </c>
    </row>
    <row r="22170" spans="1:9" x14ac:dyDescent="0.25">
      <c r="A22170" s="515">
        <v>22488</v>
      </c>
      <c r="C22170" s="52">
        <v>211829.60054244401</v>
      </c>
      <c r="D22170" s="56">
        <v>8.6717611760648173E-4</v>
      </c>
      <c r="E22170" s="224" t="s">
        <v>2</v>
      </c>
      <c r="F22170" s="515" t="s">
        <v>23337</v>
      </c>
      <c r="G22170" s="52">
        <v>168124.63014229099</v>
      </c>
      <c r="H22170" s="56">
        <v>7.7492345565230991E-2</v>
      </c>
      <c r="I22170" s="224" t="s">
        <v>2</v>
      </c>
    </row>
    <row r="22171" spans="1:9" x14ac:dyDescent="0.25">
      <c r="A22171" s="515">
        <v>96039</v>
      </c>
      <c r="C22171" s="52">
        <v>144483.36972425599</v>
      </c>
      <c r="D22171" s="56">
        <v>4.2831018720563049E-3</v>
      </c>
      <c r="E22171" s="224" t="s">
        <v>2</v>
      </c>
      <c r="F22171" s="515" t="s">
        <v>23338</v>
      </c>
      <c r="G22171" s="52">
        <v>313521.73040843901</v>
      </c>
      <c r="H22171" s="56">
        <v>9.412979260766216E-2</v>
      </c>
      <c r="I22171" s="224" t="s">
        <v>2</v>
      </c>
    </row>
    <row r="22172" spans="1:9" x14ac:dyDescent="0.25">
      <c r="A22172" s="515">
        <v>37657</v>
      </c>
      <c r="B22172" s="515" t="s">
        <v>988</v>
      </c>
      <c r="C22172" s="52">
        <v>179587.361550053</v>
      </c>
      <c r="D22172" s="56">
        <v>0</v>
      </c>
      <c r="E22172" s="224" t="s">
        <v>2</v>
      </c>
      <c r="F22172" s="515" t="s">
        <v>23339</v>
      </c>
      <c r="G22172" s="52">
        <v>411738.71884122398</v>
      </c>
      <c r="H22172" s="56">
        <v>7.2381024927676105E-2</v>
      </c>
      <c r="I22172" s="224" t="s">
        <v>2</v>
      </c>
    </row>
    <row r="22173" spans="1:9" x14ac:dyDescent="0.25">
      <c r="A22173" s="515">
        <v>55798</v>
      </c>
      <c r="B22173" s="515" t="s">
        <v>350</v>
      </c>
      <c r="C22173" s="52">
        <v>195069.849947276</v>
      </c>
      <c r="D22173" s="56">
        <v>5.0505448603498745E-2</v>
      </c>
      <c r="E22173" s="224" t="s">
        <v>2</v>
      </c>
      <c r="F22173" s="515" t="s">
        <v>23340</v>
      </c>
      <c r="G22173" s="52">
        <v>284642.72429432702</v>
      </c>
      <c r="H22173" s="56">
        <v>3.2194695016756841E-2</v>
      </c>
      <c r="I22173" s="224" t="s">
        <v>2</v>
      </c>
    </row>
    <row r="22174" spans="1:9" x14ac:dyDescent="0.25">
      <c r="A22174" s="515">
        <v>13681</v>
      </c>
      <c r="B22174" s="515" t="s">
        <v>511</v>
      </c>
      <c r="C22174" s="52">
        <v>124027.59973771901</v>
      </c>
      <c r="D22174" s="56">
        <v>9.9987752807045291E-2</v>
      </c>
      <c r="E22174" s="224" t="s">
        <v>2</v>
      </c>
      <c r="F22174" s="515" t="s">
        <v>23341</v>
      </c>
      <c r="G22174" s="52">
        <v>87391.1863119513</v>
      </c>
      <c r="H22174" s="56">
        <v>-3.5371316598692595E-2</v>
      </c>
      <c r="I22174" s="224" t="s">
        <v>2</v>
      </c>
    </row>
    <row r="22175" spans="1:9" x14ac:dyDescent="0.25">
      <c r="A22175" s="515">
        <v>28531</v>
      </c>
      <c r="B22175" s="515" t="s">
        <v>641</v>
      </c>
      <c r="C22175" s="52">
        <v>328377.08734960499</v>
      </c>
      <c r="D22175" s="56">
        <v>0.13566960059602828</v>
      </c>
      <c r="E22175" s="224" t="s">
        <v>2</v>
      </c>
      <c r="F22175" s="515" t="s">
        <v>23342</v>
      </c>
      <c r="G22175" s="52">
        <v>87497.418620371405</v>
      </c>
      <c r="H22175" s="56">
        <v>0.10710954886002789</v>
      </c>
      <c r="I22175" s="224" t="s">
        <v>2</v>
      </c>
    </row>
    <row r="22176" spans="1:9" x14ac:dyDescent="0.25">
      <c r="A22176" s="515">
        <v>97823</v>
      </c>
      <c r="C22176" s="52">
        <v>184757.166615756</v>
      </c>
      <c r="D22176" s="56">
        <v>-3.3657108411021062E-2</v>
      </c>
      <c r="E22176" s="224" t="s">
        <v>2</v>
      </c>
      <c r="F22176" s="515" t="s">
        <v>23343</v>
      </c>
      <c r="G22176" s="52">
        <v>127449.748063197</v>
      </c>
      <c r="H22176" s="56">
        <v>0.12347790389422028</v>
      </c>
      <c r="I22176" s="224" t="s">
        <v>2</v>
      </c>
    </row>
    <row r="22177" spans="1:9" x14ac:dyDescent="0.25">
      <c r="A22177" s="515">
        <v>4471</v>
      </c>
      <c r="C22177" s="52">
        <v>199805.79365635701</v>
      </c>
      <c r="D22177" s="56">
        <v>0.23147454476214599</v>
      </c>
      <c r="E22177" s="224" t="s">
        <v>2</v>
      </c>
      <c r="F22177" s="515" t="s">
        <v>23344</v>
      </c>
      <c r="G22177" s="52">
        <v>191518.735567847</v>
      </c>
      <c r="H22177" s="56">
        <v>0</v>
      </c>
      <c r="I22177" s="224" t="s">
        <v>2</v>
      </c>
    </row>
    <row r="22178" spans="1:9" x14ac:dyDescent="0.25">
      <c r="A22178" s="515">
        <v>4548</v>
      </c>
      <c r="B22178" s="515" t="s">
        <v>570</v>
      </c>
      <c r="C22178" s="52">
        <v>550109.26138818997</v>
      </c>
      <c r="D22178" s="56">
        <v>5.9681902417290406E-2</v>
      </c>
      <c r="E22178" s="224" t="s">
        <v>2</v>
      </c>
      <c r="F22178" s="515" t="s">
        <v>23345</v>
      </c>
      <c r="G22178" s="52">
        <v>98025.596491228003</v>
      </c>
      <c r="H22178" s="56">
        <v>0</v>
      </c>
      <c r="I22178" s="224" t="s">
        <v>2</v>
      </c>
    </row>
    <row r="22179" spans="1:9" x14ac:dyDescent="0.25">
      <c r="A22179" s="515">
        <v>41564</v>
      </c>
      <c r="C22179" s="52">
        <v>80443.691303098807</v>
      </c>
      <c r="D22179" s="56">
        <v>0.22423831626646146</v>
      </c>
      <c r="E22179" s="224" t="s">
        <v>2</v>
      </c>
      <c r="F22179" s="515" t="s">
        <v>23346</v>
      </c>
      <c r="G22179" s="52">
        <v>198130.70823748101</v>
      </c>
      <c r="H22179" s="56">
        <v>0.22298134147551235</v>
      </c>
      <c r="I22179" s="224" t="s">
        <v>2</v>
      </c>
    </row>
    <row r="22180" spans="1:9" x14ac:dyDescent="0.25">
      <c r="A22180" s="515">
        <v>53937</v>
      </c>
      <c r="B22180" s="515" t="s">
        <v>916</v>
      </c>
      <c r="C22180" s="52">
        <v>223775.67430082901</v>
      </c>
      <c r="D22180" s="56">
        <v>6.0993844529590627E-2</v>
      </c>
      <c r="E22180" s="224" t="s">
        <v>2</v>
      </c>
      <c r="F22180" s="515" t="s">
        <v>23347</v>
      </c>
      <c r="G22180" s="52">
        <v>210946.01965480499</v>
      </c>
      <c r="H22180" s="56">
        <v>9.4098587495410765E-2</v>
      </c>
      <c r="I22180" s="224" t="s">
        <v>2</v>
      </c>
    </row>
    <row r="22181" spans="1:9" x14ac:dyDescent="0.25">
      <c r="A22181" s="515">
        <v>61754</v>
      </c>
      <c r="B22181" s="515" t="s">
        <v>645</v>
      </c>
      <c r="C22181" s="52">
        <v>149759.05109423201</v>
      </c>
      <c r="D22181" s="56">
        <v>0.12213125248151342</v>
      </c>
      <c r="E22181" s="224" t="s">
        <v>2</v>
      </c>
      <c r="F22181" s="515" t="s">
        <v>23348</v>
      </c>
      <c r="G22181" s="52">
        <v>344605.92542895098</v>
      </c>
      <c r="H22181" s="56">
        <v>3.7555312635174379E-2</v>
      </c>
      <c r="I22181" s="224" t="s">
        <v>2</v>
      </c>
    </row>
    <row r="22182" spans="1:9" x14ac:dyDescent="0.25">
      <c r="A22182" s="515">
        <v>68944</v>
      </c>
      <c r="C22182" s="52">
        <v>97354.874144118396</v>
      </c>
      <c r="D22182" s="56">
        <v>0.13852831968019783</v>
      </c>
      <c r="E22182" s="224" t="s">
        <v>2</v>
      </c>
      <c r="F22182" s="515" t="s">
        <v>23349</v>
      </c>
      <c r="G22182" s="52">
        <v>195906.617023436</v>
      </c>
      <c r="H22182" s="56">
        <v>3.9727568764967081E-2</v>
      </c>
      <c r="I22182" s="224" t="s">
        <v>2</v>
      </c>
    </row>
    <row r="22183" spans="1:9" x14ac:dyDescent="0.25">
      <c r="A22183" s="515">
        <v>81426</v>
      </c>
      <c r="C22183" s="52">
        <v>806596.74088948697</v>
      </c>
      <c r="D22183" s="56">
        <v>5.0646884613353108E-2</v>
      </c>
      <c r="E22183" s="224" t="s">
        <v>2</v>
      </c>
      <c r="F22183" s="515" t="s">
        <v>23350</v>
      </c>
      <c r="G22183" s="52">
        <v>53443.509403479999</v>
      </c>
      <c r="H22183" s="56">
        <v>0.21420446316172317</v>
      </c>
      <c r="I22183" s="224" t="s">
        <v>2</v>
      </c>
    </row>
    <row r="22184" spans="1:9" x14ac:dyDescent="0.25">
      <c r="A22184" s="515">
        <v>22850</v>
      </c>
      <c r="B22184" s="515" t="s">
        <v>1026</v>
      </c>
      <c r="C22184" s="52">
        <v>280494.82258064498</v>
      </c>
      <c r="D22184" s="56">
        <v>0</v>
      </c>
      <c r="E22184" s="224" t="s">
        <v>2</v>
      </c>
      <c r="F22184" s="515" t="s">
        <v>23351</v>
      </c>
      <c r="G22184" s="52">
        <v>213514.008157406</v>
      </c>
      <c r="H22184" s="56">
        <v>8.4199746614413831E-2</v>
      </c>
      <c r="I22184" s="224" t="s">
        <v>2</v>
      </c>
    </row>
    <row r="22185" spans="1:9" x14ac:dyDescent="0.25">
      <c r="A22185" s="515">
        <v>54974</v>
      </c>
      <c r="B22185" s="515" t="s">
        <v>987</v>
      </c>
      <c r="C22185" s="52">
        <v>229615.28097087899</v>
      </c>
      <c r="D22185" s="56">
        <v>6.1638434263521433E-2</v>
      </c>
      <c r="E22185" s="224" t="s">
        <v>2</v>
      </c>
      <c r="F22185" s="515" t="s">
        <v>23352</v>
      </c>
      <c r="G22185" s="52">
        <v>184624.41535563799</v>
      </c>
      <c r="H22185" s="56">
        <v>-2.0659878008749317E-2</v>
      </c>
      <c r="I22185" s="224" t="s">
        <v>2</v>
      </c>
    </row>
    <row r="22186" spans="1:9" x14ac:dyDescent="0.25">
      <c r="A22186" s="515">
        <v>43136</v>
      </c>
      <c r="B22186" s="515" t="s">
        <v>345</v>
      </c>
      <c r="C22186" s="52">
        <v>337882.81241102098</v>
      </c>
      <c r="D22186" s="56">
        <v>7.3412922926568744E-2</v>
      </c>
      <c r="E22186" s="224" t="s">
        <v>2</v>
      </c>
      <c r="F22186" s="515" t="s">
        <v>23353</v>
      </c>
      <c r="G22186" s="52">
        <v>81429.780344849307</v>
      </c>
      <c r="H22186" s="56">
        <v>1.3993036566715319E-2</v>
      </c>
      <c r="I22186" s="224" t="s">
        <v>2</v>
      </c>
    </row>
    <row r="22187" spans="1:9" x14ac:dyDescent="0.25">
      <c r="A22187" s="515">
        <v>39561</v>
      </c>
      <c r="B22187" s="515" t="s">
        <v>963</v>
      </c>
      <c r="C22187" s="52">
        <v>183149.23668312101</v>
      </c>
      <c r="D22187" s="56">
        <v>7.3674542820454533E-2</v>
      </c>
      <c r="E22187" s="224" t="s">
        <v>2</v>
      </c>
      <c r="F22187" s="515" t="s">
        <v>23354</v>
      </c>
      <c r="G22187" s="52">
        <v>192944.838398775</v>
      </c>
      <c r="H22187" s="56">
        <v>7.9203135576967426E-2</v>
      </c>
      <c r="I22187" s="224" t="s">
        <v>2</v>
      </c>
    </row>
    <row r="22188" spans="1:9" x14ac:dyDescent="0.25">
      <c r="A22188" s="515">
        <v>13071</v>
      </c>
      <c r="B22188" s="515" t="s">
        <v>986</v>
      </c>
      <c r="C22188" s="52">
        <v>179641.07828812901</v>
      </c>
      <c r="D22188" s="56">
        <v>7.0986951352455585E-2</v>
      </c>
      <c r="E22188" s="224" t="s">
        <v>2</v>
      </c>
      <c r="F22188" s="515" t="s">
        <v>23355</v>
      </c>
      <c r="G22188" s="52">
        <v>192287.42250004201</v>
      </c>
      <c r="H22188" s="56">
        <v>8.7675369435472258E-2</v>
      </c>
      <c r="I22188" s="224" t="s">
        <v>2</v>
      </c>
    </row>
    <row r="22189" spans="1:9" x14ac:dyDescent="0.25">
      <c r="A22189" s="515">
        <v>14753</v>
      </c>
      <c r="B22189" s="515" t="s">
        <v>870</v>
      </c>
      <c r="C22189" s="52">
        <v>94043.880426501797</v>
      </c>
      <c r="D22189" s="56">
        <v>0.13611362816290928</v>
      </c>
      <c r="E22189" s="224" t="s">
        <v>2</v>
      </c>
      <c r="F22189" s="515" t="s">
        <v>23356</v>
      </c>
      <c r="G22189" s="52">
        <v>48250.853819521501</v>
      </c>
      <c r="H22189" s="56">
        <v>8.262723908458873E-2</v>
      </c>
      <c r="I22189" s="224" t="s">
        <v>2</v>
      </c>
    </row>
    <row r="22190" spans="1:9" x14ac:dyDescent="0.25">
      <c r="A22190" s="515">
        <v>83846</v>
      </c>
      <c r="C22190" s="52">
        <v>216132.623800728</v>
      </c>
      <c r="D22190" s="56">
        <v>6.4971011062920137E-2</v>
      </c>
      <c r="E22190" s="224" t="s">
        <v>2</v>
      </c>
      <c r="F22190" s="515" t="s">
        <v>23357</v>
      </c>
      <c r="G22190" s="52">
        <v>52788.272727272699</v>
      </c>
      <c r="H22190" s="56">
        <v>0</v>
      </c>
      <c r="I22190" s="224" t="s">
        <v>2</v>
      </c>
    </row>
    <row r="22191" spans="1:9" x14ac:dyDescent="0.25">
      <c r="A22191" s="515">
        <v>52535</v>
      </c>
      <c r="C22191" s="52">
        <v>125950.628385577</v>
      </c>
      <c r="D22191" s="56">
        <v>0.12562918765132292</v>
      </c>
      <c r="E22191" s="224" t="s">
        <v>2</v>
      </c>
      <c r="F22191" s="515" t="s">
        <v>23358</v>
      </c>
      <c r="G22191" s="52">
        <v>88088.761904761894</v>
      </c>
      <c r="H22191" s="56">
        <v>0</v>
      </c>
      <c r="I22191" s="224" t="s">
        <v>2</v>
      </c>
    </row>
    <row r="22192" spans="1:9" x14ac:dyDescent="0.25">
      <c r="A22192" s="515">
        <v>96008</v>
      </c>
      <c r="B22192" s="515" t="s">
        <v>514</v>
      </c>
      <c r="C22192" s="52">
        <v>427948.91467122198</v>
      </c>
      <c r="D22192" s="56">
        <v>-2.857814488009381E-2</v>
      </c>
      <c r="E22192" s="224" t="s">
        <v>2</v>
      </c>
      <c r="F22192" s="515" t="s">
        <v>23359</v>
      </c>
      <c r="G22192" s="52">
        <v>303496.935961699</v>
      </c>
      <c r="H22192" s="56">
        <v>4.7618860588556487E-2</v>
      </c>
      <c r="I22192" s="224" t="s">
        <v>2</v>
      </c>
    </row>
    <row r="22193" spans="1:9" x14ac:dyDescent="0.25">
      <c r="A22193" s="515">
        <v>54542</v>
      </c>
      <c r="C22193" s="52">
        <v>103977.36627941301</v>
      </c>
      <c r="D22193" s="56">
        <v>7.007474896016784E-2</v>
      </c>
      <c r="E22193" s="224" t="s">
        <v>2</v>
      </c>
      <c r="F22193" s="515" t="s">
        <v>23360</v>
      </c>
      <c r="G22193" s="52">
        <v>365766.51234194898</v>
      </c>
      <c r="H22193" s="56">
        <v>-2.6923390010959521E-3</v>
      </c>
      <c r="I22193" s="224" t="s">
        <v>2</v>
      </c>
    </row>
    <row r="22194" spans="1:9" x14ac:dyDescent="0.25">
      <c r="A22194" s="515">
        <v>56240</v>
      </c>
      <c r="C22194" s="52">
        <v>131255.36623645001</v>
      </c>
      <c r="D22194" s="56">
        <v>0</v>
      </c>
      <c r="E22194" s="224" t="s">
        <v>2</v>
      </c>
      <c r="F22194" s="515" t="s">
        <v>23361</v>
      </c>
      <c r="G22194" s="52">
        <v>194119.74599403699</v>
      </c>
      <c r="H22194" s="56">
        <v>-1.5195385378695558E-2</v>
      </c>
      <c r="I22194" s="224" t="s">
        <v>2</v>
      </c>
    </row>
    <row r="22195" spans="1:9" x14ac:dyDescent="0.25">
      <c r="A22195" s="515">
        <v>31011</v>
      </c>
      <c r="C22195" s="52">
        <v>144099.10018817501</v>
      </c>
      <c r="D22195" s="56">
        <v>0</v>
      </c>
      <c r="E22195" s="224" t="s">
        <v>2</v>
      </c>
      <c r="F22195" s="515" t="s">
        <v>23362</v>
      </c>
      <c r="G22195" s="52">
        <v>411964.74581135297</v>
      </c>
      <c r="H22195" s="56">
        <v>0.16621814335748114</v>
      </c>
      <c r="I22195" s="224" t="s">
        <v>2</v>
      </c>
    </row>
    <row r="22196" spans="1:9" x14ac:dyDescent="0.25">
      <c r="A22196" s="515">
        <v>62445</v>
      </c>
      <c r="C22196" s="52">
        <v>144323.75343591199</v>
      </c>
      <c r="D22196" s="56">
        <v>3.6181405142314438E-2</v>
      </c>
      <c r="E22196" s="224" t="s">
        <v>2</v>
      </c>
      <c r="F22196" s="515" t="s">
        <v>23363</v>
      </c>
      <c r="G22196" s="52">
        <v>246611.811631363</v>
      </c>
      <c r="H22196" s="56">
        <v>9.2267158916191791E-2</v>
      </c>
      <c r="I22196" s="224" t="s">
        <v>2</v>
      </c>
    </row>
    <row r="22197" spans="1:9" x14ac:dyDescent="0.25">
      <c r="A22197" s="515">
        <v>42259</v>
      </c>
      <c r="B22197" s="515" t="s">
        <v>799</v>
      </c>
      <c r="C22197" s="52">
        <v>52033.533103207701</v>
      </c>
      <c r="D22197" s="56">
        <v>3.3161182058892916E-2</v>
      </c>
      <c r="E22197" s="224" t="s">
        <v>2</v>
      </c>
      <c r="F22197" s="515" t="s">
        <v>23364</v>
      </c>
      <c r="G22197" s="52">
        <v>141127.00864469001</v>
      </c>
      <c r="H22197" s="56">
        <v>0.11273408293454906</v>
      </c>
      <c r="I22197" s="224" t="s">
        <v>2</v>
      </c>
    </row>
    <row r="22198" spans="1:9" x14ac:dyDescent="0.25">
      <c r="A22198" s="515">
        <v>66023</v>
      </c>
      <c r="B22198" s="515" t="s">
        <v>682</v>
      </c>
      <c r="C22198" s="52">
        <v>157959.005736419</v>
      </c>
      <c r="D22198" s="56">
        <v>0.19759141956311443</v>
      </c>
      <c r="E22198" s="224" t="s">
        <v>2</v>
      </c>
      <c r="F22198" s="515" t="s">
        <v>23365</v>
      </c>
      <c r="G22198" s="52">
        <v>110533.540007125</v>
      </c>
      <c r="H22198" s="56">
        <v>4.7429804452876208E-2</v>
      </c>
      <c r="I22198" s="224" t="s">
        <v>2</v>
      </c>
    </row>
    <row r="22199" spans="1:9" x14ac:dyDescent="0.25">
      <c r="A22199" s="515">
        <v>48727</v>
      </c>
      <c r="B22199" s="515" t="s">
        <v>685</v>
      </c>
      <c r="C22199" s="52">
        <v>168564.574980593</v>
      </c>
      <c r="D22199" s="56">
        <v>-3.5276293933373191E-2</v>
      </c>
      <c r="E22199" s="224" t="s">
        <v>2</v>
      </c>
      <c r="F22199" s="515" t="s">
        <v>23366</v>
      </c>
      <c r="G22199" s="52">
        <v>468814.17675401299</v>
      </c>
      <c r="H22199" s="56">
        <v>0.21392352740157553</v>
      </c>
      <c r="I22199" s="224" t="s">
        <v>2</v>
      </c>
    </row>
    <row r="22200" spans="1:9" x14ac:dyDescent="0.25">
      <c r="A22200" s="515">
        <v>54137</v>
      </c>
      <c r="B22200" s="515" t="s">
        <v>985</v>
      </c>
      <c r="C22200" s="52">
        <v>244445.034128789</v>
      </c>
      <c r="D22200" s="56">
        <v>3.0987962718533955E-2</v>
      </c>
      <c r="E22200" s="224" t="s">
        <v>2</v>
      </c>
      <c r="F22200" s="515" t="s">
        <v>23367</v>
      </c>
      <c r="G22200" s="52">
        <v>93578.658979674205</v>
      </c>
      <c r="H22200" s="56">
        <v>-7.3961566547567886E-2</v>
      </c>
      <c r="I22200" s="224" t="s">
        <v>2</v>
      </c>
    </row>
    <row r="22201" spans="1:9" x14ac:dyDescent="0.25">
      <c r="A22201" s="515">
        <v>57790</v>
      </c>
      <c r="B22201" s="515" t="s">
        <v>854</v>
      </c>
      <c r="C22201" s="52">
        <v>254875.614482634</v>
      </c>
      <c r="D22201" s="56">
        <v>0.14207563523819386</v>
      </c>
      <c r="E22201" s="224" t="s">
        <v>2</v>
      </c>
      <c r="F22201" s="515" t="s">
        <v>23368</v>
      </c>
      <c r="G22201" s="52">
        <v>216946.68339741</v>
      </c>
      <c r="H22201" s="56">
        <v>0.13661275932413966</v>
      </c>
      <c r="I22201" s="224" t="s">
        <v>2</v>
      </c>
    </row>
    <row r="22202" spans="1:9" x14ac:dyDescent="0.25">
      <c r="A22202" s="515">
        <v>1349</v>
      </c>
      <c r="B22202" s="515" t="s">
        <v>575</v>
      </c>
      <c r="C22202" s="52">
        <v>265113.45243824302</v>
      </c>
      <c r="D22202" s="56">
        <v>0.12122167025872853</v>
      </c>
      <c r="E22202" s="224" t="s">
        <v>2</v>
      </c>
      <c r="F22202" s="515" t="s">
        <v>23369</v>
      </c>
      <c r="G22202" s="52">
        <v>68661.137645311799</v>
      </c>
      <c r="H22202" s="56">
        <v>0</v>
      </c>
      <c r="I22202" s="224" t="s">
        <v>2</v>
      </c>
    </row>
    <row r="22203" spans="1:9" x14ac:dyDescent="0.25">
      <c r="A22203" s="515">
        <v>27917</v>
      </c>
      <c r="B22203" s="515" t="s">
        <v>301</v>
      </c>
      <c r="C22203" s="52">
        <v>294257.12778555503</v>
      </c>
      <c r="D22203" s="56">
        <v>0.12073936592520113</v>
      </c>
      <c r="E22203" s="224" t="s">
        <v>2</v>
      </c>
      <c r="F22203" s="515" t="s">
        <v>23370</v>
      </c>
      <c r="G22203" s="52">
        <v>301653.85245901602</v>
      </c>
      <c r="H22203" s="56">
        <v>0</v>
      </c>
      <c r="I22203" s="224" t="s">
        <v>2</v>
      </c>
    </row>
    <row r="22204" spans="1:9" x14ac:dyDescent="0.25">
      <c r="A22204" s="515">
        <v>26690</v>
      </c>
      <c r="C22204" s="52">
        <v>55797.006632288598</v>
      </c>
      <c r="D22204" s="56">
        <v>0.13566309608724236</v>
      </c>
      <c r="E22204" s="224" t="s">
        <v>2</v>
      </c>
      <c r="F22204" s="515" t="s">
        <v>23371</v>
      </c>
      <c r="G22204" s="52">
        <v>829026.32080962299</v>
      </c>
      <c r="H22204" s="56">
        <v>0.13115022725663242</v>
      </c>
      <c r="I22204" s="224" t="s">
        <v>2</v>
      </c>
    </row>
    <row r="22205" spans="1:9" x14ac:dyDescent="0.25">
      <c r="A22205" s="515">
        <v>41044</v>
      </c>
      <c r="B22205" s="515" t="s">
        <v>344</v>
      </c>
      <c r="C22205" s="52">
        <v>148776.30886979401</v>
      </c>
      <c r="D22205" s="56">
        <v>0.15848087028324287</v>
      </c>
      <c r="E22205" s="224" t="s">
        <v>2</v>
      </c>
      <c r="F22205" s="515" t="s">
        <v>23372</v>
      </c>
      <c r="G22205" s="52">
        <v>300065.84225756401</v>
      </c>
      <c r="H22205" s="56">
        <v>7.5685218267479246E-2</v>
      </c>
      <c r="I22205" s="224" t="s">
        <v>2</v>
      </c>
    </row>
    <row r="22206" spans="1:9" x14ac:dyDescent="0.25">
      <c r="A22206" s="515">
        <v>5353</v>
      </c>
      <c r="C22206" s="52">
        <v>284972.84416837199</v>
      </c>
      <c r="D22206" s="56">
        <v>6.8497701857109017E-2</v>
      </c>
      <c r="E22206" s="224" t="s">
        <v>2</v>
      </c>
      <c r="F22206" s="515" t="s">
        <v>23373</v>
      </c>
      <c r="G22206" s="52">
        <v>146772.98560900299</v>
      </c>
      <c r="H22206" s="56">
        <v>0.1163486604163597</v>
      </c>
      <c r="I22206" s="224" t="s">
        <v>2</v>
      </c>
    </row>
    <row r="22207" spans="1:9" x14ac:dyDescent="0.25">
      <c r="A22207" s="515">
        <v>55962</v>
      </c>
      <c r="B22207" s="515" t="s">
        <v>470</v>
      </c>
      <c r="C22207" s="52">
        <v>283618.59201134503</v>
      </c>
      <c r="D22207" s="56">
        <v>0.15673092406042544</v>
      </c>
      <c r="E22207" s="224" t="s">
        <v>2</v>
      </c>
      <c r="F22207" s="515" t="s">
        <v>23374</v>
      </c>
      <c r="G22207" s="52">
        <v>157349.78303618199</v>
      </c>
      <c r="H22207" s="56">
        <v>8.3424926762581494E-2</v>
      </c>
      <c r="I22207" s="224" t="s">
        <v>2</v>
      </c>
    </row>
    <row r="22208" spans="1:9" x14ac:dyDescent="0.25">
      <c r="A22208" s="515">
        <v>15856</v>
      </c>
      <c r="B22208" s="515" t="s">
        <v>876</v>
      </c>
      <c r="C22208" s="52">
        <v>124500.672413793</v>
      </c>
      <c r="D22208" s="56">
        <v>0</v>
      </c>
      <c r="E22208" s="224" t="s">
        <v>2</v>
      </c>
      <c r="F22208" s="515" t="s">
        <v>23375</v>
      </c>
      <c r="G22208" s="52">
        <v>168245.92823051001</v>
      </c>
      <c r="H22208" s="56">
        <v>3.9726131960151921E-2</v>
      </c>
      <c r="I22208" s="224" t="s">
        <v>2</v>
      </c>
    </row>
    <row r="22209" spans="1:9" x14ac:dyDescent="0.25">
      <c r="A22209" s="515">
        <v>37016</v>
      </c>
      <c r="B22209" s="515" t="s">
        <v>684</v>
      </c>
      <c r="C22209" s="52">
        <v>339825.564988075</v>
      </c>
      <c r="D22209" s="56">
        <v>0.11824693187259179</v>
      </c>
      <c r="E22209" s="224" t="s">
        <v>2</v>
      </c>
      <c r="F22209" s="515" t="s">
        <v>23376</v>
      </c>
      <c r="G22209" s="52">
        <v>190623.40700207601</v>
      </c>
      <c r="H22209" s="56">
        <v>0.11698868339305607</v>
      </c>
      <c r="I22209" s="224" t="s">
        <v>2</v>
      </c>
    </row>
    <row r="22210" spans="1:9" x14ac:dyDescent="0.25">
      <c r="A22210" s="515">
        <v>4978</v>
      </c>
      <c r="C22210" s="52">
        <v>253776.288594132</v>
      </c>
      <c r="D22210" s="56">
        <v>0.11586393481091818</v>
      </c>
      <c r="E22210" s="224" t="s">
        <v>2</v>
      </c>
      <c r="F22210" s="515" t="s">
        <v>23377</v>
      </c>
      <c r="G22210" s="52">
        <v>86864.942538521893</v>
      </c>
      <c r="H22210" s="56">
        <v>0</v>
      </c>
      <c r="I22210" s="224" t="s">
        <v>2</v>
      </c>
    </row>
    <row r="22211" spans="1:9" x14ac:dyDescent="0.25">
      <c r="A22211" s="515">
        <v>49630</v>
      </c>
      <c r="B22211" s="515" t="s">
        <v>366</v>
      </c>
      <c r="C22211" s="52">
        <v>534546.65160197997</v>
      </c>
      <c r="D22211" s="56">
        <v>0.11886605365985314</v>
      </c>
      <c r="E22211" s="224" t="s">
        <v>2</v>
      </c>
      <c r="F22211" s="515" t="s">
        <v>23378</v>
      </c>
      <c r="G22211" s="52">
        <v>198061.16028865401</v>
      </c>
      <c r="H22211" s="56">
        <v>6.758024644120729E-2</v>
      </c>
      <c r="I22211" s="224" t="s">
        <v>2</v>
      </c>
    </row>
    <row r="22212" spans="1:9" x14ac:dyDescent="0.25">
      <c r="A22212" s="515">
        <v>64873</v>
      </c>
      <c r="C22212" s="52">
        <v>204865.16039281501</v>
      </c>
      <c r="D22212" s="56">
        <v>0.19760937556808633</v>
      </c>
      <c r="E22212" s="224" t="s">
        <v>2</v>
      </c>
      <c r="F22212" s="515" t="s">
        <v>23379</v>
      </c>
      <c r="G22212" s="52">
        <v>510104.02016724303</v>
      </c>
      <c r="H22212" s="56">
        <v>0.10373604733759709</v>
      </c>
      <c r="I22212" s="224" t="s">
        <v>2</v>
      </c>
    </row>
    <row r="22213" spans="1:9" x14ac:dyDescent="0.25">
      <c r="A22213" s="515">
        <v>16926</v>
      </c>
      <c r="B22213" s="515" t="s">
        <v>699</v>
      </c>
      <c r="C22213" s="52">
        <v>180853.178947368</v>
      </c>
      <c r="D22213" s="56">
        <v>0</v>
      </c>
      <c r="E22213" s="224" t="s">
        <v>2</v>
      </c>
      <c r="F22213" s="515" t="s">
        <v>23380</v>
      </c>
      <c r="G22213" s="52">
        <v>112873.11396179</v>
      </c>
      <c r="H22213" s="56">
        <v>0</v>
      </c>
      <c r="I22213" s="224" t="s">
        <v>2</v>
      </c>
    </row>
    <row r="22214" spans="1:9" x14ac:dyDescent="0.25">
      <c r="A22214" s="515">
        <v>37819</v>
      </c>
      <c r="B22214" s="515" t="s">
        <v>907</v>
      </c>
      <c r="C22214" s="52">
        <v>108800.162818158</v>
      </c>
      <c r="D22214" s="56">
        <v>0</v>
      </c>
      <c r="E22214" s="224" t="s">
        <v>2</v>
      </c>
      <c r="F22214" s="515" t="s">
        <v>23381</v>
      </c>
      <c r="G22214" s="52">
        <v>59464.802361956303</v>
      </c>
      <c r="H22214" s="56">
        <v>2.6571876152642879E-2</v>
      </c>
      <c r="I22214" s="224" t="s">
        <v>2</v>
      </c>
    </row>
    <row r="22215" spans="1:9" x14ac:dyDescent="0.25">
      <c r="A22215" s="515">
        <v>61772</v>
      </c>
      <c r="B22215" s="515" t="s">
        <v>645</v>
      </c>
      <c r="C22215" s="52">
        <v>196292.11867901901</v>
      </c>
      <c r="D22215" s="56">
        <v>0</v>
      </c>
      <c r="E22215" s="224" t="s">
        <v>2</v>
      </c>
      <c r="F22215" s="515" t="s">
        <v>23382</v>
      </c>
      <c r="G22215" s="52">
        <v>185998.49184913901</v>
      </c>
      <c r="H22215" s="56">
        <v>0</v>
      </c>
      <c r="I22215" s="224" t="s">
        <v>2</v>
      </c>
    </row>
    <row r="22216" spans="1:9" x14ac:dyDescent="0.25">
      <c r="A22216" s="515">
        <v>65790</v>
      </c>
      <c r="B22216" s="515" t="s">
        <v>984</v>
      </c>
      <c r="C22216" s="52">
        <v>198780.930245506</v>
      </c>
      <c r="D22216" s="56">
        <v>0.13738534483878384</v>
      </c>
      <c r="E22216" s="224" t="s">
        <v>2</v>
      </c>
      <c r="F22216" s="515" t="s">
        <v>23383</v>
      </c>
      <c r="G22216" s="52">
        <v>176819.328938133</v>
      </c>
      <c r="H22216" s="56">
        <v>2.4291499344196922E-2</v>
      </c>
      <c r="I22216" s="224" t="s">
        <v>2</v>
      </c>
    </row>
    <row r="22217" spans="1:9" x14ac:dyDescent="0.25">
      <c r="A22217" s="515">
        <v>27946</v>
      </c>
      <c r="B22217" s="515" t="s">
        <v>301</v>
      </c>
      <c r="C22217" s="52">
        <v>197034.77485934499</v>
      </c>
      <c r="D22217" s="56">
        <v>9.0801919250418056E-2</v>
      </c>
      <c r="E22217" s="224" t="s">
        <v>2</v>
      </c>
      <c r="F22217" s="515" t="s">
        <v>23384</v>
      </c>
      <c r="G22217" s="52">
        <v>102228.87701301499</v>
      </c>
      <c r="H22217" s="56">
        <v>0</v>
      </c>
      <c r="I22217" s="224" t="s">
        <v>2</v>
      </c>
    </row>
    <row r="22218" spans="1:9" x14ac:dyDescent="0.25">
      <c r="A22218" s="515">
        <v>45867</v>
      </c>
      <c r="B22218" s="515" t="s">
        <v>448</v>
      </c>
      <c r="C22218" s="52">
        <v>184836.561825574</v>
      </c>
      <c r="D22218" s="56">
        <v>4.5802058955886162E-2</v>
      </c>
      <c r="E22218" s="224" t="s">
        <v>2</v>
      </c>
      <c r="F22218" s="515" t="s">
        <v>23385</v>
      </c>
      <c r="G22218" s="52">
        <v>75575.029157194993</v>
      </c>
      <c r="H22218" s="56">
        <v>0</v>
      </c>
      <c r="I22218" s="224" t="s">
        <v>2</v>
      </c>
    </row>
    <row r="22219" spans="1:9" x14ac:dyDescent="0.25">
      <c r="A22219" s="515">
        <v>64767</v>
      </c>
      <c r="C22219" s="52">
        <v>146226.79951996601</v>
      </c>
      <c r="D22219" s="56">
        <v>-4.3625552585806526E-2</v>
      </c>
      <c r="E22219" s="224" t="s">
        <v>2</v>
      </c>
      <c r="F22219" s="515" t="s">
        <v>23386</v>
      </c>
      <c r="G22219" s="52">
        <v>506632.56748851301</v>
      </c>
      <c r="H22219" s="56">
        <v>8.2706624854902225E-2</v>
      </c>
      <c r="I22219" s="224" t="s">
        <v>2</v>
      </c>
    </row>
    <row r="22220" spans="1:9" x14ac:dyDescent="0.25">
      <c r="A22220" s="515">
        <v>83849</v>
      </c>
      <c r="C22220" s="52">
        <v>279934.42120600498</v>
      </c>
      <c r="D22220" s="56">
        <v>1.6012008452533377E-2</v>
      </c>
      <c r="E22220" s="224" t="s">
        <v>2</v>
      </c>
      <c r="F22220" s="515" t="s">
        <v>23387</v>
      </c>
      <c r="G22220" s="52">
        <v>118960.96153846099</v>
      </c>
      <c r="H22220" s="56">
        <v>0</v>
      </c>
      <c r="I22220" s="224" t="s">
        <v>2</v>
      </c>
    </row>
    <row r="22221" spans="1:9" x14ac:dyDescent="0.25">
      <c r="A22221" s="515">
        <v>80836</v>
      </c>
      <c r="C22221" s="52">
        <v>208431.32672332399</v>
      </c>
      <c r="D22221" s="56">
        <v>0.13201051913908085</v>
      </c>
      <c r="E22221" s="224" t="s">
        <v>2</v>
      </c>
      <c r="F22221" s="515" t="s">
        <v>23388</v>
      </c>
      <c r="G22221" s="52">
        <v>139961.16070296001</v>
      </c>
      <c r="H22221" s="56">
        <v>8.3686151018750404E-2</v>
      </c>
      <c r="I22221" s="224" t="s">
        <v>2</v>
      </c>
    </row>
    <row r="22222" spans="1:9" x14ac:dyDescent="0.25">
      <c r="A22222" s="515">
        <v>21671</v>
      </c>
      <c r="B22222" s="515" t="s">
        <v>519</v>
      </c>
      <c r="C22222" s="52">
        <v>396959.92120535899</v>
      </c>
      <c r="D22222" s="56">
        <v>8.0217702631940849E-2</v>
      </c>
      <c r="E22222" s="224" t="s">
        <v>2</v>
      </c>
      <c r="F22222" s="515" t="s">
        <v>23389</v>
      </c>
      <c r="G22222" s="52">
        <v>174811.965206094</v>
      </c>
      <c r="H22222" s="56">
        <v>0.13297332767360381</v>
      </c>
      <c r="I22222" s="224" t="s">
        <v>2</v>
      </c>
    </row>
    <row r="22223" spans="1:9" x14ac:dyDescent="0.25">
      <c r="A22223" s="515">
        <v>99023</v>
      </c>
      <c r="B22223" s="515" t="s">
        <v>820</v>
      </c>
      <c r="C22223" s="52">
        <v>679786.43801456701</v>
      </c>
      <c r="D22223" s="56">
        <v>7.2046214246470994E-2</v>
      </c>
      <c r="E22223" s="224" t="s">
        <v>2</v>
      </c>
      <c r="F22223" s="515" t="s">
        <v>23390</v>
      </c>
      <c r="G22223" s="52">
        <v>117958.54810006999</v>
      </c>
      <c r="H22223" s="56">
        <v>2.4994085978096894E-2</v>
      </c>
      <c r="I22223" s="224" t="s">
        <v>2</v>
      </c>
    </row>
    <row r="22224" spans="1:9" x14ac:dyDescent="0.25">
      <c r="A22224" s="515">
        <v>77857</v>
      </c>
      <c r="C22224" s="52">
        <v>321481.18224537</v>
      </c>
      <c r="D22224" s="56">
        <v>0</v>
      </c>
      <c r="E22224" s="224" t="s">
        <v>2</v>
      </c>
      <c r="F22224" s="515" t="s">
        <v>23391</v>
      </c>
      <c r="G22224" s="52">
        <v>144599.81744210099</v>
      </c>
      <c r="H22224" s="56">
        <v>0</v>
      </c>
      <c r="I22224" s="224" t="s">
        <v>2</v>
      </c>
    </row>
    <row r="22225" spans="1:9" x14ac:dyDescent="0.25">
      <c r="A22225" s="515">
        <v>26808</v>
      </c>
      <c r="B22225" s="515" t="s">
        <v>629</v>
      </c>
      <c r="C22225" s="52">
        <v>237473.96869714599</v>
      </c>
      <c r="D22225" s="56">
        <v>0.13409025146907519</v>
      </c>
      <c r="E22225" s="224" t="s">
        <v>2</v>
      </c>
      <c r="F22225" s="515" t="s">
        <v>23392</v>
      </c>
      <c r="G22225" s="52">
        <v>295205.666069431</v>
      </c>
      <c r="H22225" s="56">
        <v>5.2924424242052889E-2</v>
      </c>
      <c r="I22225" s="224" t="s">
        <v>2</v>
      </c>
    </row>
    <row r="22226" spans="1:9" x14ac:dyDescent="0.25">
      <c r="A22226" s="515">
        <v>80827</v>
      </c>
      <c r="B22226" s="515" t="s">
        <v>401</v>
      </c>
      <c r="C22226" s="52">
        <v>438627.59434219898</v>
      </c>
      <c r="D22226" s="56">
        <v>8.230435548793387E-2</v>
      </c>
      <c r="E22226" s="224" t="s">
        <v>2</v>
      </c>
      <c r="F22226" s="515" t="s">
        <v>23393</v>
      </c>
      <c r="G22226" s="52">
        <v>88685.392376717398</v>
      </c>
      <c r="H22226" s="56">
        <v>0.1493576387902408</v>
      </c>
      <c r="I22226" s="224" t="s">
        <v>2</v>
      </c>
    </row>
    <row r="22227" spans="1:9" x14ac:dyDescent="0.25">
      <c r="A22227" s="515">
        <v>41636</v>
      </c>
      <c r="C22227" s="52">
        <v>52806.649449886601</v>
      </c>
      <c r="D22227" s="56">
        <v>0.20779418699714935</v>
      </c>
      <c r="E22227" s="224" t="s">
        <v>2</v>
      </c>
      <c r="F22227" s="515" t="s">
        <v>23394</v>
      </c>
      <c r="G22227" s="52">
        <v>68085.146747436898</v>
      </c>
      <c r="H22227" s="56">
        <v>5.8226174830316467E-2</v>
      </c>
      <c r="I22227" s="224" t="s">
        <v>2</v>
      </c>
    </row>
    <row r="22228" spans="1:9" x14ac:dyDescent="0.25">
      <c r="A22228" s="515">
        <v>83523</v>
      </c>
      <c r="C22228" s="52">
        <v>256062.593393143</v>
      </c>
      <c r="D22228" s="56">
        <v>9.2751465901191835E-2</v>
      </c>
      <c r="E22228" s="224" t="s">
        <v>2</v>
      </c>
      <c r="F22228" s="515" t="s">
        <v>23395</v>
      </c>
      <c r="G22228" s="52">
        <v>274832.65299502399</v>
      </c>
      <c r="H22228" s="56">
        <v>8.4143669000326646E-2</v>
      </c>
      <c r="I22228" s="224" t="s">
        <v>2</v>
      </c>
    </row>
    <row r="22229" spans="1:9" x14ac:dyDescent="0.25">
      <c r="A22229" s="515">
        <v>50167</v>
      </c>
      <c r="B22229" s="515" t="s">
        <v>295</v>
      </c>
      <c r="C22229" s="52">
        <v>223814.10286137401</v>
      </c>
      <c r="D22229" s="56">
        <v>0.13105677256340972</v>
      </c>
      <c r="E22229" s="224" t="s">
        <v>2</v>
      </c>
      <c r="F22229" s="515" t="s">
        <v>23396</v>
      </c>
      <c r="G22229" s="52">
        <v>181227.64516129001</v>
      </c>
      <c r="H22229" s="56">
        <v>0</v>
      </c>
      <c r="I22229" s="224" t="s">
        <v>2</v>
      </c>
    </row>
    <row r="22230" spans="1:9" x14ac:dyDescent="0.25">
      <c r="A22230" s="515">
        <v>6750</v>
      </c>
      <c r="B22230" s="515" t="s">
        <v>559</v>
      </c>
      <c r="C22230" s="52">
        <v>340858.10148219898</v>
      </c>
      <c r="D22230" s="56">
        <v>9.3384812023123029E-2</v>
      </c>
      <c r="E22230" s="224" t="s">
        <v>2</v>
      </c>
      <c r="F22230" s="515" t="s">
        <v>23397</v>
      </c>
      <c r="G22230" s="52">
        <v>88337.028269152506</v>
      </c>
      <c r="H22230" s="56">
        <v>0</v>
      </c>
      <c r="I22230" s="224" t="s">
        <v>2</v>
      </c>
    </row>
    <row r="22231" spans="1:9" x14ac:dyDescent="0.25">
      <c r="A22231" s="515">
        <v>79034</v>
      </c>
      <c r="C22231" s="52">
        <v>100782.80462061999</v>
      </c>
      <c r="D22231" s="56">
        <v>0</v>
      </c>
      <c r="E22231" s="224" t="s">
        <v>2</v>
      </c>
      <c r="F22231" s="515" t="s">
        <v>23398</v>
      </c>
      <c r="G22231" s="52">
        <v>74599.326033129197</v>
      </c>
      <c r="H22231" s="56">
        <v>0.10530282604392817</v>
      </c>
      <c r="I22231" s="224" t="s">
        <v>2</v>
      </c>
    </row>
    <row r="22232" spans="1:9" x14ac:dyDescent="0.25">
      <c r="A22232" s="515">
        <v>18425</v>
      </c>
      <c r="B22232" s="515" t="s">
        <v>324</v>
      </c>
      <c r="C22232" s="52">
        <v>255688.63845642601</v>
      </c>
      <c r="D22232" s="56">
        <v>0.1100601720261587</v>
      </c>
      <c r="E22232" s="224" t="s">
        <v>2</v>
      </c>
      <c r="F22232" s="515" t="s">
        <v>23399</v>
      </c>
      <c r="G22232" s="52">
        <v>219491.64850210701</v>
      </c>
      <c r="H22232" s="56">
        <v>0</v>
      </c>
      <c r="I22232" s="224" t="s">
        <v>2</v>
      </c>
    </row>
    <row r="22233" spans="1:9" x14ac:dyDescent="0.25">
      <c r="A22233" s="515">
        <v>64440</v>
      </c>
      <c r="B22233" s="515" t="s">
        <v>371</v>
      </c>
      <c r="C22233" s="52">
        <v>217234.90898092199</v>
      </c>
      <c r="D22233" s="56">
        <v>0</v>
      </c>
      <c r="E22233" s="224" t="s">
        <v>2</v>
      </c>
      <c r="F22233" s="515" t="s">
        <v>23400</v>
      </c>
      <c r="G22233" s="52">
        <v>171567.22917046901</v>
      </c>
      <c r="H22233" s="56">
        <v>7.3762779429759895E-2</v>
      </c>
      <c r="I22233" s="224" t="s">
        <v>2</v>
      </c>
    </row>
    <row r="22234" spans="1:9" x14ac:dyDescent="0.25">
      <c r="A22234" s="515">
        <v>57220</v>
      </c>
      <c r="B22234" s="515" t="s">
        <v>895</v>
      </c>
      <c r="C22234" s="52">
        <v>214194.326757442</v>
      </c>
      <c r="D22234" s="56">
        <v>8.704420776355852E-2</v>
      </c>
      <c r="E22234" s="224" t="s">
        <v>2</v>
      </c>
      <c r="F22234" s="515" t="s">
        <v>23401</v>
      </c>
      <c r="G22234" s="52">
        <v>150253.59681129901</v>
      </c>
      <c r="H22234" s="56">
        <v>3.6911114791239742E-2</v>
      </c>
      <c r="I22234" s="224" t="s">
        <v>2</v>
      </c>
    </row>
    <row r="22235" spans="1:9" x14ac:dyDescent="0.25">
      <c r="A22235" s="515">
        <v>41124</v>
      </c>
      <c r="C22235" s="52">
        <v>126825.10942521501</v>
      </c>
      <c r="D22235" s="56">
        <v>0.14880955037915669</v>
      </c>
      <c r="E22235" s="224" t="s">
        <v>2</v>
      </c>
      <c r="F22235" s="515" t="s">
        <v>23402</v>
      </c>
      <c r="G22235" s="52">
        <v>351178.34628166101</v>
      </c>
      <c r="H22235" s="56">
        <v>0.12106450287065111</v>
      </c>
      <c r="I22235" s="224" t="s">
        <v>2</v>
      </c>
    </row>
    <row r="22236" spans="1:9" x14ac:dyDescent="0.25">
      <c r="A22236" s="515">
        <v>30470</v>
      </c>
      <c r="B22236" s="515" t="s">
        <v>929</v>
      </c>
      <c r="C22236" s="52">
        <v>183413.843972537</v>
      </c>
      <c r="D22236" s="56">
        <v>-2.5876904056599016E-2</v>
      </c>
      <c r="E22236" s="224" t="s">
        <v>2</v>
      </c>
      <c r="F22236" s="515" t="s">
        <v>23403</v>
      </c>
      <c r="G22236" s="52">
        <v>325156.89700996201</v>
      </c>
      <c r="H22236" s="56">
        <v>5.6446764367074083E-2</v>
      </c>
      <c r="I22236" s="224" t="s">
        <v>2</v>
      </c>
    </row>
    <row r="22237" spans="1:9" x14ac:dyDescent="0.25">
      <c r="A22237" s="515">
        <v>82223</v>
      </c>
      <c r="C22237" s="52">
        <v>246331.25577294201</v>
      </c>
      <c r="D22237" s="56">
        <v>6.5428542479458618E-2</v>
      </c>
      <c r="E22237" s="224" t="s">
        <v>2</v>
      </c>
      <c r="F22237" s="515" t="s">
        <v>23404</v>
      </c>
      <c r="G22237" s="52">
        <v>81203.992308022294</v>
      </c>
      <c r="H22237" s="56">
        <v>0.13347948112467639</v>
      </c>
      <c r="I22237" s="224" t="s">
        <v>2</v>
      </c>
    </row>
    <row r="22238" spans="1:9" x14ac:dyDescent="0.25">
      <c r="A22238" s="515">
        <v>64739</v>
      </c>
      <c r="B22238" s="515" t="s">
        <v>455</v>
      </c>
      <c r="C22238" s="52"/>
      <c r="D22238" s="56">
        <v>0</v>
      </c>
      <c r="E22238" s="224" t="s">
        <v>2</v>
      </c>
      <c r="F22238" s="515" t="s">
        <v>23405</v>
      </c>
      <c r="G22238" s="52">
        <v>846076.62927789101</v>
      </c>
      <c r="H22238" s="56">
        <v>8.799667001327395E-2</v>
      </c>
      <c r="I22238" s="224" t="s">
        <v>2</v>
      </c>
    </row>
    <row r="22239" spans="1:9" x14ac:dyDescent="0.25">
      <c r="A22239" s="515">
        <v>21529</v>
      </c>
      <c r="B22239" s="515" t="s">
        <v>362</v>
      </c>
      <c r="C22239" s="52">
        <v>143587.42117377499</v>
      </c>
      <c r="D22239" s="56">
        <v>6.236786787989225E-2</v>
      </c>
      <c r="E22239" s="224" t="s">
        <v>2</v>
      </c>
      <c r="F22239" s="515" t="s">
        <v>23406</v>
      </c>
      <c r="G22239" s="52">
        <v>82114.257142857095</v>
      </c>
      <c r="H22239" s="56">
        <v>0</v>
      </c>
      <c r="I22239" s="224" t="s">
        <v>2</v>
      </c>
    </row>
    <row r="22240" spans="1:9" x14ac:dyDescent="0.25">
      <c r="A22240" s="515">
        <v>98650</v>
      </c>
      <c r="C22240" s="52">
        <v>608156.17479753494</v>
      </c>
      <c r="D22240" s="56">
        <v>4.0681724941544081E-2</v>
      </c>
      <c r="E22240" s="224" t="s">
        <v>2</v>
      </c>
      <c r="F22240" s="515" t="s">
        <v>23407</v>
      </c>
      <c r="G22240" s="52">
        <v>126689.14192008101</v>
      </c>
      <c r="H22240" s="56">
        <v>6.3206555191051408E-2</v>
      </c>
      <c r="I22240" s="224" t="s">
        <v>2</v>
      </c>
    </row>
    <row r="22241" spans="1:9" x14ac:dyDescent="0.25">
      <c r="A22241" s="515">
        <v>4922</v>
      </c>
      <c r="C22241" s="52">
        <v>214794.69098575</v>
      </c>
      <c r="D22241" s="56">
        <v>4.8917119899709184E-2</v>
      </c>
      <c r="E22241" s="224" t="s">
        <v>2</v>
      </c>
      <c r="F22241" s="515" t="s">
        <v>23408</v>
      </c>
      <c r="G22241" s="52">
        <v>289598.75257026998</v>
      </c>
      <c r="H22241" s="56">
        <v>9.5318437308135162E-2</v>
      </c>
      <c r="I22241" s="224" t="s">
        <v>2</v>
      </c>
    </row>
    <row r="22242" spans="1:9" x14ac:dyDescent="0.25">
      <c r="A22242" s="515">
        <v>81154</v>
      </c>
      <c r="C22242" s="52">
        <v>373946.73934355698</v>
      </c>
      <c r="D22242" s="56">
        <v>9.0824239702589404E-2</v>
      </c>
      <c r="E22242" s="224" t="s">
        <v>2</v>
      </c>
      <c r="F22242" s="515" t="s">
        <v>23409</v>
      </c>
      <c r="G22242" s="52">
        <v>215867.32075471699</v>
      </c>
      <c r="H22242" s="56">
        <v>0</v>
      </c>
      <c r="I22242" s="224" t="s">
        <v>2</v>
      </c>
    </row>
    <row r="22243" spans="1:9" x14ac:dyDescent="0.25">
      <c r="A22243" s="515">
        <v>97419</v>
      </c>
      <c r="B22243" s="515" t="s">
        <v>801</v>
      </c>
      <c r="C22243" s="52">
        <v>537636.63904337201</v>
      </c>
      <c r="D22243" s="56">
        <v>3.7562235285786665E-2</v>
      </c>
      <c r="E22243" s="224" t="s">
        <v>2</v>
      </c>
      <c r="F22243" s="515" t="s">
        <v>23410</v>
      </c>
      <c r="G22243" s="52">
        <v>83603.932621246597</v>
      </c>
      <c r="H22243" s="56">
        <v>0</v>
      </c>
      <c r="I22243" s="224" t="s">
        <v>2</v>
      </c>
    </row>
    <row r="22244" spans="1:9" x14ac:dyDescent="0.25">
      <c r="A22244" s="515">
        <v>78850</v>
      </c>
      <c r="B22244" s="515" t="s">
        <v>717</v>
      </c>
      <c r="C22244" s="52">
        <v>284353.45788599103</v>
      </c>
      <c r="D22244" s="56">
        <v>0</v>
      </c>
      <c r="E22244" s="224" t="s">
        <v>2</v>
      </c>
      <c r="F22244" s="515" t="s">
        <v>23411</v>
      </c>
      <c r="G22244" s="52">
        <v>207716.54285714199</v>
      </c>
      <c r="H22244" s="56">
        <v>0</v>
      </c>
      <c r="I22244" s="224" t="s">
        <v>2</v>
      </c>
    </row>
    <row r="22245" spans="1:9" x14ac:dyDescent="0.25">
      <c r="A22245" s="515">
        <v>97344</v>
      </c>
      <c r="B22245" s="515" t="s">
        <v>416</v>
      </c>
      <c r="C22245" s="52">
        <v>323524.80513530399</v>
      </c>
      <c r="D22245" s="56">
        <v>0.1036112579277771</v>
      </c>
      <c r="E22245" s="224" t="s">
        <v>2</v>
      </c>
      <c r="F22245" s="515" t="s">
        <v>23412</v>
      </c>
      <c r="G22245" s="52">
        <v>117187.882352941</v>
      </c>
      <c r="H22245" s="56">
        <v>0</v>
      </c>
      <c r="I22245" s="224" t="s">
        <v>2</v>
      </c>
    </row>
    <row r="22246" spans="1:9" x14ac:dyDescent="0.25">
      <c r="A22246" s="515">
        <v>38929</v>
      </c>
      <c r="B22246" s="515" t="s">
        <v>983</v>
      </c>
      <c r="C22246" s="52">
        <v>94185.136207044707</v>
      </c>
      <c r="D22246" s="56">
        <v>-0.14906221793084246</v>
      </c>
      <c r="E22246" s="224" t="s">
        <v>2</v>
      </c>
      <c r="F22246" s="515" t="s">
        <v>23413</v>
      </c>
      <c r="G22246" s="52">
        <v>93372.892857142797</v>
      </c>
      <c r="H22246" s="56">
        <v>0</v>
      </c>
      <c r="I22246" s="224" t="s">
        <v>2</v>
      </c>
    </row>
    <row r="22247" spans="1:9" x14ac:dyDescent="0.25">
      <c r="A22247" s="515">
        <v>4681</v>
      </c>
      <c r="C22247" s="52">
        <v>349293.26490336802</v>
      </c>
      <c r="D22247" s="56">
        <v>8.1543327742308394E-2</v>
      </c>
      <c r="E22247" s="224" t="s">
        <v>2</v>
      </c>
      <c r="F22247" s="515" t="s">
        <v>23414</v>
      </c>
      <c r="G22247" s="52">
        <v>130636.236486821</v>
      </c>
      <c r="H22247" s="56">
        <v>0.13493141393144695</v>
      </c>
      <c r="I22247" s="224" t="s">
        <v>2</v>
      </c>
    </row>
    <row r="22248" spans="1:9" x14ac:dyDescent="0.25">
      <c r="A22248" s="515">
        <v>70723</v>
      </c>
      <c r="B22248" s="515" t="s">
        <v>777</v>
      </c>
      <c r="C22248" s="52">
        <v>132471.53685981099</v>
      </c>
      <c r="D22248" s="56">
        <v>0.14795403278390226</v>
      </c>
      <c r="E22248" s="224" t="s">
        <v>2</v>
      </c>
      <c r="F22248" s="515" t="s">
        <v>23415</v>
      </c>
      <c r="G22248" s="52">
        <v>151943.85486651299</v>
      </c>
      <c r="H22248" s="56">
        <v>0</v>
      </c>
      <c r="I22248" s="224" t="s">
        <v>2</v>
      </c>
    </row>
    <row r="22249" spans="1:9" x14ac:dyDescent="0.25">
      <c r="A22249" s="515">
        <v>78066</v>
      </c>
      <c r="B22249" s="515" t="s">
        <v>717</v>
      </c>
      <c r="C22249" s="52">
        <v>408121.13809339498</v>
      </c>
      <c r="D22249" s="56">
        <v>0</v>
      </c>
      <c r="E22249" s="224" t="s">
        <v>2</v>
      </c>
      <c r="F22249" s="515" t="s">
        <v>23416</v>
      </c>
      <c r="G22249" s="52">
        <v>117191.513861946</v>
      </c>
      <c r="H22249" s="56">
        <v>2.7411401937655476E-2</v>
      </c>
      <c r="I22249" s="224" t="s">
        <v>2</v>
      </c>
    </row>
    <row r="22250" spans="1:9" x14ac:dyDescent="0.25">
      <c r="A22250" s="515">
        <v>23828</v>
      </c>
      <c r="B22250" s="515" t="s">
        <v>301</v>
      </c>
      <c r="C22250" s="52">
        <v>135688.46172670499</v>
      </c>
      <c r="D22250" s="56">
        <v>6.5843478787359244E-2</v>
      </c>
      <c r="E22250" s="224" t="s">
        <v>2</v>
      </c>
      <c r="F22250" s="515" t="s">
        <v>23417</v>
      </c>
      <c r="G22250" s="52">
        <v>70114.341304898699</v>
      </c>
      <c r="H22250" s="56">
        <v>0.13803656138673037</v>
      </c>
      <c r="I22250" s="224" t="s">
        <v>2</v>
      </c>
    </row>
    <row r="22251" spans="1:9" x14ac:dyDescent="0.25">
      <c r="A22251" s="515">
        <v>85632</v>
      </c>
      <c r="B22251" s="515" t="s">
        <v>374</v>
      </c>
      <c r="C22251" s="52">
        <v>219726.59803921499</v>
      </c>
      <c r="D22251" s="56">
        <v>0</v>
      </c>
      <c r="E22251" s="224" t="s">
        <v>2</v>
      </c>
      <c r="F22251" s="515" t="s">
        <v>23418</v>
      </c>
      <c r="G22251" s="52">
        <v>398160.56041338702</v>
      </c>
      <c r="H22251" s="56">
        <v>3.1372234192739136E-2</v>
      </c>
      <c r="I22251" s="224" t="s">
        <v>2</v>
      </c>
    </row>
    <row r="22252" spans="1:9" x14ac:dyDescent="0.25">
      <c r="A22252" s="515">
        <v>13486</v>
      </c>
      <c r="B22252" s="515" t="s">
        <v>543</v>
      </c>
      <c r="C22252" s="52">
        <v>171863.35224835901</v>
      </c>
      <c r="D22252" s="56">
        <v>0.1249595721855017</v>
      </c>
      <c r="E22252" s="224" t="s">
        <v>2</v>
      </c>
      <c r="F22252" s="515" t="s">
        <v>23419</v>
      </c>
      <c r="G22252" s="52">
        <v>442071.91044201102</v>
      </c>
      <c r="H22252" s="56">
        <v>1.5243786827722461E-2</v>
      </c>
      <c r="I22252" s="224" t="s">
        <v>2</v>
      </c>
    </row>
    <row r="22253" spans="1:9" x14ac:dyDescent="0.25">
      <c r="A22253" s="515">
        <v>65662</v>
      </c>
      <c r="C22253" s="52">
        <v>187978.089130006</v>
      </c>
      <c r="D22253" s="56">
        <v>0.15098600771843576</v>
      </c>
      <c r="E22253" s="224" t="s">
        <v>2</v>
      </c>
      <c r="F22253" s="515" t="s">
        <v>23420</v>
      </c>
      <c r="G22253" s="52">
        <v>174070.42457174399</v>
      </c>
      <c r="H22253" s="56">
        <v>2.2932020725724932E-2</v>
      </c>
      <c r="I22253" s="224" t="s">
        <v>2</v>
      </c>
    </row>
    <row r="22254" spans="1:9" x14ac:dyDescent="0.25">
      <c r="A22254" s="515">
        <v>64643</v>
      </c>
      <c r="C22254" s="52">
        <v>161646.317084854</v>
      </c>
      <c r="D22254" s="56">
        <v>0.13419206153655361</v>
      </c>
      <c r="E22254" s="224" t="s">
        <v>2</v>
      </c>
      <c r="F22254" s="515" t="s">
        <v>23421</v>
      </c>
      <c r="G22254" s="52">
        <v>149108.02190915699</v>
      </c>
      <c r="H22254" s="56">
        <v>1.8699043379764045E-2</v>
      </c>
      <c r="I22254" s="224" t="s">
        <v>2</v>
      </c>
    </row>
    <row r="22255" spans="1:9" x14ac:dyDescent="0.25">
      <c r="A22255" s="515">
        <v>99138</v>
      </c>
      <c r="C22255" s="52">
        <v>278566.415094339</v>
      </c>
      <c r="D22255" s="56">
        <v>0</v>
      </c>
      <c r="E22255" s="224" t="s">
        <v>2</v>
      </c>
      <c r="F22255" s="515" t="s">
        <v>23422</v>
      </c>
      <c r="G22255" s="52">
        <v>272971.86327663402</v>
      </c>
      <c r="H22255" s="56">
        <v>0.18506258201935796</v>
      </c>
      <c r="I22255" s="224" t="s">
        <v>2</v>
      </c>
    </row>
    <row r="22256" spans="1:9" x14ac:dyDescent="0.25">
      <c r="A22256" s="515">
        <v>38725</v>
      </c>
      <c r="B22256" s="515" t="s">
        <v>982</v>
      </c>
      <c r="C22256" s="52">
        <v>147908.371727764</v>
      </c>
      <c r="D22256" s="56">
        <v>-0.14511075702468162</v>
      </c>
      <c r="E22256" s="224" t="s">
        <v>2</v>
      </c>
      <c r="F22256" s="515" t="s">
        <v>23423</v>
      </c>
      <c r="G22256" s="52">
        <v>190627.96063450401</v>
      </c>
      <c r="H22256" s="56">
        <v>6.2383272398054551E-2</v>
      </c>
      <c r="I22256" s="224" t="s">
        <v>2</v>
      </c>
    </row>
    <row r="22257" spans="1:9" x14ac:dyDescent="0.25">
      <c r="A22257" s="515">
        <v>77990</v>
      </c>
      <c r="C22257" s="52">
        <v>109259.02844493699</v>
      </c>
      <c r="D22257" s="56">
        <v>-5.1186410591708989E-2</v>
      </c>
      <c r="E22257" s="224" t="s">
        <v>2</v>
      </c>
      <c r="F22257" s="515" t="s">
        <v>23424</v>
      </c>
      <c r="G22257" s="52">
        <v>44056.976952113801</v>
      </c>
      <c r="H22257" s="56">
        <v>8.4532215148169013E-2</v>
      </c>
      <c r="I22257" s="224" t="s">
        <v>2</v>
      </c>
    </row>
    <row r="22258" spans="1:9" x14ac:dyDescent="0.25">
      <c r="A22258" s="515">
        <v>25638</v>
      </c>
      <c r="B22258" s="515" t="s">
        <v>464</v>
      </c>
      <c r="C22258" s="52">
        <v>53018.934596536499</v>
      </c>
      <c r="D22258" s="56">
        <v>0.15483624584925079</v>
      </c>
      <c r="E22258" s="224" t="s">
        <v>2</v>
      </c>
      <c r="F22258" s="515" t="s">
        <v>23425</v>
      </c>
      <c r="G22258" s="52">
        <v>217553.976013801</v>
      </c>
      <c r="H22258" s="56">
        <v>6.3121283184704932E-2</v>
      </c>
      <c r="I22258" s="224" t="s">
        <v>2</v>
      </c>
    </row>
    <row r="22259" spans="1:9" x14ac:dyDescent="0.25">
      <c r="A22259" s="515">
        <v>84324</v>
      </c>
      <c r="B22259" s="515" t="s">
        <v>628</v>
      </c>
      <c r="C22259" s="52">
        <v>590591.16239316203</v>
      </c>
      <c r="D22259" s="56">
        <v>0</v>
      </c>
      <c r="E22259" s="224" t="s">
        <v>2</v>
      </c>
      <c r="F22259" s="515" t="s">
        <v>23426</v>
      </c>
      <c r="G22259" s="52">
        <v>119112.88686354501</v>
      </c>
      <c r="H22259" s="56">
        <v>7.5111221440326364E-2</v>
      </c>
      <c r="I22259" s="224" t="s">
        <v>2</v>
      </c>
    </row>
    <row r="22260" spans="1:9" x14ac:dyDescent="0.25">
      <c r="A22260" s="515">
        <v>88043</v>
      </c>
      <c r="B22260" s="515" t="s">
        <v>423</v>
      </c>
      <c r="C22260" s="52">
        <v>103453.896935734</v>
      </c>
      <c r="D22260" s="56">
        <v>0.25992776542121609</v>
      </c>
      <c r="E22260" s="224" t="s">
        <v>2</v>
      </c>
      <c r="F22260" s="515" t="s">
        <v>23427</v>
      </c>
      <c r="G22260" s="52">
        <v>465109.57575757499</v>
      </c>
      <c r="H22260" s="56">
        <v>0</v>
      </c>
      <c r="I22260" s="224" t="s">
        <v>2</v>
      </c>
    </row>
    <row r="22261" spans="1:9" x14ac:dyDescent="0.25">
      <c r="A22261" s="515">
        <v>80019</v>
      </c>
      <c r="B22261" s="515" t="s">
        <v>401</v>
      </c>
      <c r="C22261" s="52">
        <v>544476.27808038401</v>
      </c>
      <c r="D22261" s="56">
        <v>3.7659950798511241E-2</v>
      </c>
      <c r="E22261" s="224" t="s">
        <v>2</v>
      </c>
      <c r="F22261" s="515" t="s">
        <v>23428</v>
      </c>
      <c r="G22261" s="52">
        <v>214523.17275891599</v>
      </c>
      <c r="H22261" s="56">
        <v>7.388032972485109E-2</v>
      </c>
      <c r="I22261" s="224" t="s">
        <v>2</v>
      </c>
    </row>
    <row r="22262" spans="1:9" x14ac:dyDescent="0.25">
      <c r="A22262" s="515">
        <v>95962</v>
      </c>
      <c r="B22262" s="515" t="s">
        <v>796</v>
      </c>
      <c r="C22262" s="52">
        <v>412236.16242306499</v>
      </c>
      <c r="D22262" s="56">
        <v>-4.6403899774874774E-2</v>
      </c>
      <c r="E22262" s="224" t="s">
        <v>2</v>
      </c>
      <c r="F22262" s="515" t="s">
        <v>23429</v>
      </c>
      <c r="G22262" s="52">
        <v>75498.611656459194</v>
      </c>
      <c r="H22262" s="56">
        <v>0</v>
      </c>
      <c r="I22262" s="224" t="s">
        <v>2</v>
      </c>
    </row>
    <row r="22263" spans="1:9" x14ac:dyDescent="0.25">
      <c r="A22263" s="515">
        <v>48738</v>
      </c>
      <c r="C22263" s="52">
        <v>147690.40580237299</v>
      </c>
      <c r="D22263" s="56">
        <v>-6.0303361462826213E-3</v>
      </c>
      <c r="E22263" s="224" t="s">
        <v>2</v>
      </c>
      <c r="F22263" s="515" t="s">
        <v>23430</v>
      </c>
      <c r="G22263" s="52">
        <v>113206.33503899199</v>
      </c>
      <c r="H22263" s="56">
        <v>0.1518785239957518</v>
      </c>
      <c r="I22263" s="224" t="s">
        <v>2</v>
      </c>
    </row>
    <row r="22264" spans="1:9" x14ac:dyDescent="0.25">
      <c r="A22264" s="515">
        <v>57273</v>
      </c>
      <c r="C22264" s="52">
        <v>229663.51240673399</v>
      </c>
      <c r="D22264" s="56">
        <v>5.609081110880404E-2</v>
      </c>
      <c r="E22264" s="224" t="s">
        <v>2</v>
      </c>
      <c r="F22264" s="515" t="s">
        <v>23431</v>
      </c>
      <c r="G22264" s="52">
        <v>108971.75612931</v>
      </c>
      <c r="H22264" s="56">
        <v>6.1877639404710097E-2</v>
      </c>
      <c r="I22264" s="224" t="s">
        <v>2</v>
      </c>
    </row>
    <row r="22265" spans="1:9" x14ac:dyDescent="0.25">
      <c r="A22265" s="515">
        <v>62908</v>
      </c>
      <c r="B22265" s="515" t="s">
        <v>846</v>
      </c>
      <c r="C22265" s="52">
        <v>97945.316436815396</v>
      </c>
      <c r="D22265" s="56">
        <v>0</v>
      </c>
      <c r="E22265" s="224" t="s">
        <v>2</v>
      </c>
      <c r="F22265" s="515" t="s">
        <v>23432</v>
      </c>
      <c r="G22265" s="52">
        <v>359442.28699774801</v>
      </c>
      <c r="H22265" s="56">
        <v>7.7179338705517436E-2</v>
      </c>
      <c r="I22265" s="224" t="s">
        <v>2</v>
      </c>
    </row>
    <row r="22266" spans="1:9" x14ac:dyDescent="0.25">
      <c r="A22266" s="515">
        <v>65054</v>
      </c>
      <c r="B22266" s="515" t="s">
        <v>711</v>
      </c>
      <c r="C22266" s="52">
        <v>235818.453488372</v>
      </c>
      <c r="D22266" s="56">
        <v>0</v>
      </c>
      <c r="E22266" s="224" t="s">
        <v>2</v>
      </c>
      <c r="F22266" s="515" t="s">
        <v>23433</v>
      </c>
      <c r="G22266" s="52">
        <v>273399.54676696297</v>
      </c>
      <c r="H22266" s="56">
        <v>0</v>
      </c>
      <c r="I22266" s="224" t="s">
        <v>2</v>
      </c>
    </row>
    <row r="22267" spans="1:9" x14ac:dyDescent="0.25">
      <c r="A22267" s="515">
        <v>34215</v>
      </c>
      <c r="B22267" s="515" t="s">
        <v>466</v>
      </c>
      <c r="C22267" s="52">
        <v>769495.91682380706</v>
      </c>
      <c r="D22267" s="56">
        <v>0.13871853698444481</v>
      </c>
      <c r="E22267" s="224" t="s">
        <v>2</v>
      </c>
      <c r="F22267" s="515" t="s">
        <v>23434</v>
      </c>
      <c r="G22267" s="52">
        <v>171079.55974601899</v>
      </c>
      <c r="H22267" s="56">
        <v>5.0278131995440997E-2</v>
      </c>
      <c r="I22267" s="224" t="s">
        <v>2</v>
      </c>
    </row>
    <row r="22268" spans="1:9" x14ac:dyDescent="0.25">
      <c r="A22268" s="515">
        <v>3450</v>
      </c>
      <c r="B22268" s="515" t="s">
        <v>747</v>
      </c>
      <c r="C22268" s="52">
        <v>411593.52565080801</v>
      </c>
      <c r="D22268" s="56">
        <v>9.7340227761433473E-2</v>
      </c>
      <c r="E22268" s="224" t="s">
        <v>2</v>
      </c>
      <c r="F22268" s="515" t="s">
        <v>23435</v>
      </c>
      <c r="G22268" s="52">
        <v>43711.846153846098</v>
      </c>
      <c r="H22268" s="56">
        <v>0</v>
      </c>
      <c r="I22268" s="224" t="s">
        <v>2</v>
      </c>
    </row>
    <row r="22269" spans="1:9" x14ac:dyDescent="0.25">
      <c r="A22269" s="515">
        <v>81431</v>
      </c>
      <c r="C22269" s="52">
        <v>322959.95537159801</v>
      </c>
      <c r="D22269" s="56">
        <v>0</v>
      </c>
      <c r="E22269" s="224" t="s">
        <v>2</v>
      </c>
      <c r="F22269" s="515" t="s">
        <v>23436</v>
      </c>
      <c r="G22269" s="52">
        <v>26184.218589877299</v>
      </c>
      <c r="H22269" s="56">
        <v>9.6304433495743372E-2</v>
      </c>
      <c r="I22269" s="224" t="s">
        <v>2</v>
      </c>
    </row>
    <row r="22270" spans="1:9" x14ac:dyDescent="0.25">
      <c r="A22270" s="515">
        <v>19009</v>
      </c>
      <c r="B22270" s="515" t="s">
        <v>294</v>
      </c>
      <c r="C22270" s="52">
        <v>581324.73064269195</v>
      </c>
      <c r="D22270" s="56">
        <v>0.12860758253143995</v>
      </c>
      <c r="E22270" s="224" t="s">
        <v>2</v>
      </c>
      <c r="F22270" s="515" t="s">
        <v>23437</v>
      </c>
      <c r="G22270" s="52">
        <v>272116.47367305501</v>
      </c>
      <c r="H22270" s="56">
        <v>0</v>
      </c>
      <c r="I22270" s="224" t="s">
        <v>2</v>
      </c>
    </row>
    <row r="22271" spans="1:9" x14ac:dyDescent="0.25">
      <c r="A22271" s="515">
        <v>99012</v>
      </c>
      <c r="B22271" s="515" t="s">
        <v>820</v>
      </c>
      <c r="C22271" s="52">
        <v>365711.68663419399</v>
      </c>
      <c r="D22271" s="56">
        <v>4.4583462730058546E-2</v>
      </c>
      <c r="E22271" s="224" t="s">
        <v>2</v>
      </c>
      <c r="F22271" s="515" t="s">
        <v>23438</v>
      </c>
      <c r="G22271" s="52">
        <v>132089.447124083</v>
      </c>
      <c r="H22271" s="56">
        <v>0</v>
      </c>
      <c r="I22271" s="224" t="s">
        <v>2</v>
      </c>
    </row>
    <row r="22272" spans="1:9" x14ac:dyDescent="0.25">
      <c r="A22272" s="515">
        <v>96069</v>
      </c>
      <c r="B22272" s="515" t="s">
        <v>514</v>
      </c>
      <c r="C22272" s="52">
        <v>360166.46698469098</v>
      </c>
      <c r="D22272" s="56">
        <v>-5.0948636744120993E-2</v>
      </c>
      <c r="E22272" s="224" t="s">
        <v>2</v>
      </c>
      <c r="F22272" s="515" t="s">
        <v>23439</v>
      </c>
      <c r="G22272" s="52">
        <v>148616.93617021199</v>
      </c>
      <c r="H22272" s="56">
        <v>0</v>
      </c>
      <c r="I22272" s="224" t="s">
        <v>2</v>
      </c>
    </row>
    <row r="22273" spans="1:9" x14ac:dyDescent="0.25">
      <c r="A22273" s="515">
        <v>41238</v>
      </c>
      <c r="C22273" s="52">
        <v>127802.872935894</v>
      </c>
      <c r="D22273" s="56">
        <v>0.14854449120172467</v>
      </c>
      <c r="E22273" s="224" t="s">
        <v>2</v>
      </c>
      <c r="F22273" s="515" t="s">
        <v>23440</v>
      </c>
      <c r="G22273" s="52">
        <v>147354.08841234</v>
      </c>
      <c r="H22273" s="56">
        <v>0</v>
      </c>
      <c r="I22273" s="224" t="s">
        <v>2</v>
      </c>
    </row>
    <row r="22274" spans="1:9" x14ac:dyDescent="0.25">
      <c r="A22274" s="515">
        <v>28439</v>
      </c>
      <c r="C22274" s="52">
        <v>141265.68807339401</v>
      </c>
      <c r="D22274" s="56">
        <v>0</v>
      </c>
      <c r="E22274" s="224" t="s">
        <v>2</v>
      </c>
      <c r="F22274" s="515" t="s">
        <v>23441</v>
      </c>
      <c r="G22274" s="52">
        <v>125897.985723103</v>
      </c>
      <c r="H22274" s="56">
        <v>0.10844441718613443</v>
      </c>
      <c r="I22274" s="224" t="s">
        <v>2</v>
      </c>
    </row>
    <row r="22275" spans="1:9" x14ac:dyDescent="0.25">
      <c r="A22275" s="515">
        <v>64097</v>
      </c>
      <c r="B22275" s="515" t="s">
        <v>455</v>
      </c>
      <c r="C22275" s="52">
        <v>187495.68090706601</v>
      </c>
      <c r="D22275" s="56">
        <v>4.8166123023009932E-2</v>
      </c>
      <c r="E22275" s="224" t="s">
        <v>2</v>
      </c>
      <c r="F22275" s="515" t="s">
        <v>23442</v>
      </c>
      <c r="G22275" s="52">
        <v>154324.25</v>
      </c>
      <c r="H22275" s="56">
        <v>0</v>
      </c>
      <c r="I22275" s="224" t="s">
        <v>2</v>
      </c>
    </row>
    <row r="22276" spans="1:9" x14ac:dyDescent="0.25">
      <c r="A22276" s="515">
        <v>83424</v>
      </c>
      <c r="B22276" s="515" t="s">
        <v>490</v>
      </c>
      <c r="C22276" s="52">
        <v>598346.87637575902</v>
      </c>
      <c r="D22276" s="56">
        <v>0.11363996522924806</v>
      </c>
      <c r="E22276" s="224" t="s">
        <v>2</v>
      </c>
      <c r="F22276" s="515" t="s">
        <v>23443</v>
      </c>
      <c r="G22276" s="52">
        <v>320222.90063039702</v>
      </c>
      <c r="H22276" s="56">
        <v>6.0050006172351886E-2</v>
      </c>
      <c r="I22276" s="224" t="s">
        <v>2</v>
      </c>
    </row>
    <row r="22277" spans="1:9" x14ac:dyDescent="0.25">
      <c r="A22277" s="515">
        <v>54734</v>
      </c>
      <c r="B22277" s="515" t="s">
        <v>731</v>
      </c>
      <c r="C22277" s="52">
        <v>208554.64130434699</v>
      </c>
      <c r="D22277" s="56">
        <v>0</v>
      </c>
      <c r="E22277" s="224" t="s">
        <v>2</v>
      </c>
      <c r="F22277" s="515" t="s">
        <v>23444</v>
      </c>
      <c r="G22277" s="52">
        <v>93546.240014074603</v>
      </c>
      <c r="H22277" s="56">
        <v>4.1688179644219003E-2</v>
      </c>
      <c r="I22277" s="224" t="s">
        <v>2</v>
      </c>
    </row>
    <row r="22278" spans="1:9" x14ac:dyDescent="0.25">
      <c r="A22278" s="515">
        <v>89318</v>
      </c>
      <c r="C22278" s="52">
        <v>94326.363649944004</v>
      </c>
      <c r="D22278" s="56">
        <v>3.6109474857378095E-2</v>
      </c>
      <c r="E22278" s="224" t="s">
        <v>2</v>
      </c>
      <c r="F22278" s="515" t="s">
        <v>23445</v>
      </c>
      <c r="G22278" s="52">
        <v>678524.90476190404</v>
      </c>
      <c r="H22278" s="56">
        <v>0</v>
      </c>
      <c r="I22278" s="224" t="s">
        <v>2</v>
      </c>
    </row>
    <row r="22279" spans="1:9" x14ac:dyDescent="0.25">
      <c r="A22279" s="515">
        <v>54922</v>
      </c>
      <c r="C22279" s="52">
        <v>179008.050794462</v>
      </c>
      <c r="D22279" s="56">
        <v>6.4160387535978691E-2</v>
      </c>
      <c r="E22279" s="224" t="s">
        <v>2</v>
      </c>
      <c r="F22279" s="515" t="s">
        <v>23446</v>
      </c>
      <c r="G22279" s="52">
        <v>115298.66609923</v>
      </c>
      <c r="H22279" s="56">
        <v>4.8840236134772071E-2</v>
      </c>
      <c r="I22279" s="224" t="s">
        <v>2</v>
      </c>
    </row>
    <row r="22280" spans="1:9" x14ac:dyDescent="0.25">
      <c r="A22280" s="515">
        <v>3605</v>
      </c>
      <c r="B22280" s="515" t="s">
        <v>420</v>
      </c>
      <c r="C22280" s="52">
        <v>270548.54154461197</v>
      </c>
      <c r="D22280" s="56">
        <v>8.0194783090400068E-2</v>
      </c>
      <c r="E22280" s="224" t="s">
        <v>2</v>
      </c>
      <c r="F22280" s="515" t="s">
        <v>23447</v>
      </c>
      <c r="G22280" s="52">
        <v>38732.354402926503</v>
      </c>
      <c r="H22280" s="56">
        <v>8.2026991664424093E-2</v>
      </c>
      <c r="I22280" s="224" t="s">
        <v>2</v>
      </c>
    </row>
    <row r="22281" spans="1:9" x14ac:dyDescent="0.25">
      <c r="A22281" s="515">
        <v>58849</v>
      </c>
      <c r="B22281" s="515" t="s">
        <v>960</v>
      </c>
      <c r="C22281" s="52">
        <v>189071.033624629</v>
      </c>
      <c r="D22281" s="56">
        <v>8.4628748097031831E-2</v>
      </c>
      <c r="E22281" s="224" t="s">
        <v>2</v>
      </c>
      <c r="F22281" s="515" t="s">
        <v>23448</v>
      </c>
      <c r="G22281" s="52">
        <v>79214.238818288301</v>
      </c>
      <c r="H22281" s="56">
        <v>0.20875150537164891</v>
      </c>
      <c r="I22281" s="224" t="s">
        <v>2</v>
      </c>
    </row>
    <row r="22282" spans="1:9" x14ac:dyDescent="0.25">
      <c r="A22282" s="515">
        <v>80442</v>
      </c>
      <c r="C22282" s="52">
        <v>769348.54336159199</v>
      </c>
      <c r="D22282" s="56">
        <v>4.8037311599899303E-2</v>
      </c>
      <c r="E22282" s="224" t="s">
        <v>2</v>
      </c>
      <c r="F22282" s="515" t="s">
        <v>23449</v>
      </c>
      <c r="G22282" s="52">
        <v>283521.710595774</v>
      </c>
      <c r="H22282" s="56">
        <v>4.9496759423891652E-2</v>
      </c>
      <c r="I22282" s="224" t="s">
        <v>2</v>
      </c>
    </row>
    <row r="22283" spans="1:9" x14ac:dyDescent="0.25">
      <c r="A22283" s="515">
        <v>93518</v>
      </c>
      <c r="B22283" s="515" t="s">
        <v>419</v>
      </c>
      <c r="C22283" s="52">
        <v>288813.47779711499</v>
      </c>
      <c r="D22283" s="56">
        <v>3.4940664760051587E-2</v>
      </c>
      <c r="E22283" s="224" t="s">
        <v>2</v>
      </c>
      <c r="F22283" s="515" t="s">
        <v>23450</v>
      </c>
      <c r="G22283" s="52">
        <v>196407.177531375</v>
      </c>
      <c r="H22283" s="56">
        <v>4.51583879800566E-2</v>
      </c>
      <c r="I22283" s="224" t="s">
        <v>2</v>
      </c>
    </row>
    <row r="22284" spans="1:9" x14ac:dyDescent="0.25">
      <c r="A22284" s="515">
        <v>93205</v>
      </c>
      <c r="B22284" s="515" t="s">
        <v>419</v>
      </c>
      <c r="C22284" s="52">
        <v>181472.90714172999</v>
      </c>
      <c r="D22284" s="56">
        <v>5.585399547543022E-2</v>
      </c>
      <c r="E22284" s="224" t="s">
        <v>2</v>
      </c>
      <c r="F22284" s="515" t="s">
        <v>23451</v>
      </c>
      <c r="G22284" s="52">
        <v>77039.144008414602</v>
      </c>
      <c r="H22284" s="56">
        <v>0.16745859351573944</v>
      </c>
      <c r="I22284" s="224" t="s">
        <v>2</v>
      </c>
    </row>
    <row r="22285" spans="1:9" x14ac:dyDescent="0.25">
      <c r="A22285" s="515">
        <v>72073</v>
      </c>
      <c r="C22285" s="52">
        <v>74147.088386591699</v>
      </c>
      <c r="D22285" s="56">
        <v>-6.3466175459841109E-2</v>
      </c>
      <c r="E22285" s="224" t="s">
        <v>2</v>
      </c>
      <c r="F22285" s="515" t="s">
        <v>23452</v>
      </c>
      <c r="G22285" s="52">
        <v>108762.110461838</v>
      </c>
      <c r="H22285" s="56">
        <v>0.1058993605066582</v>
      </c>
      <c r="I22285" s="224" t="s">
        <v>2</v>
      </c>
    </row>
    <row r="22286" spans="1:9" x14ac:dyDescent="0.25">
      <c r="A22286" s="515">
        <v>89008</v>
      </c>
      <c r="C22286" s="52">
        <v>159703.87317912199</v>
      </c>
      <c r="D22286" s="56">
        <v>-2.7056439210745242E-2</v>
      </c>
      <c r="E22286" s="224" t="s">
        <v>2</v>
      </c>
      <c r="F22286" s="515" t="s">
        <v>23453</v>
      </c>
      <c r="G22286" s="52">
        <v>109206.49917097299</v>
      </c>
      <c r="H22286" s="56">
        <v>1.037089345112333E-2</v>
      </c>
      <c r="I22286" s="224" t="s">
        <v>2</v>
      </c>
    </row>
    <row r="22287" spans="1:9" x14ac:dyDescent="0.25">
      <c r="A22287" s="515">
        <v>39643</v>
      </c>
      <c r="C22287" s="52">
        <v>132751.28162202999</v>
      </c>
      <c r="D22287" s="56">
        <v>-4.4809519518749195E-2</v>
      </c>
      <c r="E22287" s="224" t="s">
        <v>2</v>
      </c>
      <c r="F22287" s="515" t="s">
        <v>23454</v>
      </c>
      <c r="G22287" s="52">
        <v>139227.260596999</v>
      </c>
      <c r="H22287" s="56">
        <v>7.2034791116328351E-2</v>
      </c>
      <c r="I22287" s="224" t="s">
        <v>2</v>
      </c>
    </row>
    <row r="22288" spans="1:9" x14ac:dyDescent="0.25">
      <c r="A22288" s="515">
        <v>14822</v>
      </c>
      <c r="C22288" s="52">
        <v>89389.043807428796</v>
      </c>
      <c r="D22288" s="56">
        <v>5.1561018765559942E-2</v>
      </c>
      <c r="E22288" s="224" t="s">
        <v>2</v>
      </c>
      <c r="F22288" s="515" t="s">
        <v>23455</v>
      </c>
      <c r="G22288" s="52">
        <v>32048.581150833699</v>
      </c>
      <c r="H22288" s="56">
        <v>-0.12713338530769588</v>
      </c>
      <c r="I22288" s="224" t="s">
        <v>2</v>
      </c>
    </row>
    <row r="22289" spans="1:9" x14ac:dyDescent="0.25">
      <c r="A22289" s="515">
        <v>15677</v>
      </c>
      <c r="B22289" s="515" t="s">
        <v>297</v>
      </c>
      <c r="C22289" s="52">
        <v>176461.57142857101</v>
      </c>
      <c r="D22289" s="56">
        <v>0</v>
      </c>
      <c r="E22289" s="224" t="s">
        <v>2</v>
      </c>
      <c r="F22289" s="515" t="s">
        <v>23456</v>
      </c>
      <c r="G22289" s="52">
        <v>111014.76467962</v>
      </c>
      <c r="H22289" s="56">
        <v>0.16087982408851192</v>
      </c>
      <c r="I22289" s="224" t="s">
        <v>2</v>
      </c>
    </row>
    <row r="22290" spans="1:9" x14ac:dyDescent="0.25">
      <c r="A22290" s="515">
        <v>50258</v>
      </c>
      <c r="C22290" s="52">
        <v>119599.51091251599</v>
      </c>
      <c r="D22290" s="56">
        <v>0</v>
      </c>
      <c r="E22290" s="224" t="s">
        <v>2</v>
      </c>
      <c r="F22290" s="515" t="s">
        <v>23457</v>
      </c>
      <c r="G22290" s="52">
        <v>85904.890696527305</v>
      </c>
      <c r="H22290" s="56">
        <v>0</v>
      </c>
      <c r="I22290" s="224" t="s">
        <v>2</v>
      </c>
    </row>
    <row r="22291" spans="1:9" x14ac:dyDescent="0.25">
      <c r="A22291" s="515">
        <v>3243</v>
      </c>
      <c r="B22291" s="515" t="s">
        <v>981</v>
      </c>
      <c r="C22291" s="52">
        <v>312405.495054411</v>
      </c>
      <c r="D22291" s="56">
        <v>0.1328992550470513</v>
      </c>
      <c r="E22291" s="224" t="s">
        <v>2</v>
      </c>
      <c r="F22291" s="515" t="s">
        <v>23458</v>
      </c>
      <c r="G22291" s="52">
        <v>183021.67647058799</v>
      </c>
      <c r="H22291" s="56">
        <v>0</v>
      </c>
      <c r="I22291" s="224" t="s">
        <v>2</v>
      </c>
    </row>
    <row r="22292" spans="1:9" x14ac:dyDescent="0.25">
      <c r="A22292" s="515">
        <v>41512</v>
      </c>
      <c r="C22292" s="52">
        <v>84553.638037453595</v>
      </c>
      <c r="D22292" s="56">
        <v>0.27551677246502887</v>
      </c>
      <c r="E22292" s="224" t="s">
        <v>2</v>
      </c>
      <c r="F22292" s="515" t="s">
        <v>23459</v>
      </c>
      <c r="G22292" s="52">
        <v>93652.080437829005</v>
      </c>
      <c r="H22292" s="56">
        <v>0</v>
      </c>
      <c r="I22292" s="224" t="s">
        <v>2</v>
      </c>
    </row>
    <row r="22293" spans="1:9" x14ac:dyDescent="0.25">
      <c r="A22293" s="515">
        <v>62628</v>
      </c>
      <c r="B22293" s="515" t="s">
        <v>531</v>
      </c>
      <c r="C22293" s="52">
        <v>90117.275979879501</v>
      </c>
      <c r="D22293" s="56">
        <v>2.7965304316945473E-2</v>
      </c>
      <c r="E22293" s="224" t="s">
        <v>2</v>
      </c>
      <c r="F22293" s="515" t="s">
        <v>23460</v>
      </c>
      <c r="G22293" s="52">
        <v>223137.49288690599</v>
      </c>
      <c r="H22293" s="56">
        <v>5.1090189502994363E-2</v>
      </c>
      <c r="I22293" s="224" t="s">
        <v>2</v>
      </c>
    </row>
    <row r="22294" spans="1:9" x14ac:dyDescent="0.25">
      <c r="A22294" s="515">
        <v>72122</v>
      </c>
      <c r="B22294" s="515" t="s">
        <v>393</v>
      </c>
      <c r="C22294" s="52">
        <v>260780.249596446</v>
      </c>
      <c r="D22294" s="56">
        <v>2.7083266991180518E-2</v>
      </c>
      <c r="E22294" s="224" t="s">
        <v>2</v>
      </c>
      <c r="F22294" s="515" t="s">
        <v>23461</v>
      </c>
      <c r="G22294" s="52">
        <v>313274.72448799002</v>
      </c>
      <c r="H22294" s="56">
        <v>0.13911816023314755</v>
      </c>
      <c r="I22294" s="224" t="s">
        <v>2</v>
      </c>
    </row>
    <row r="22295" spans="1:9" x14ac:dyDescent="0.25">
      <c r="A22295" s="515">
        <v>75420</v>
      </c>
      <c r="B22295" s="515" t="s">
        <v>980</v>
      </c>
      <c r="C22295" s="52">
        <v>249347.15025185299</v>
      </c>
      <c r="D22295" s="56">
        <v>0</v>
      </c>
      <c r="E22295" s="224" t="s">
        <v>2</v>
      </c>
      <c r="F22295" s="515" t="s">
        <v>23462</v>
      </c>
      <c r="G22295" s="52">
        <v>210136.73966381801</v>
      </c>
      <c r="H22295" s="56">
        <v>0.10637860730915512</v>
      </c>
      <c r="I22295" s="224" t="s">
        <v>2</v>
      </c>
    </row>
    <row r="22296" spans="1:9" x14ac:dyDescent="0.25">
      <c r="A22296" s="515">
        <v>96024</v>
      </c>
      <c r="C22296" s="52">
        <v>340995.86920704198</v>
      </c>
      <c r="D22296" s="56">
        <v>-4.0842242113325516E-2</v>
      </c>
      <c r="E22296" s="224" t="s">
        <v>2</v>
      </c>
      <c r="F22296" s="515" t="s">
        <v>23463</v>
      </c>
      <c r="G22296" s="52">
        <v>98383.034112152396</v>
      </c>
      <c r="H22296" s="56">
        <v>0</v>
      </c>
      <c r="I22296" s="224" t="s">
        <v>2</v>
      </c>
    </row>
    <row r="22297" spans="1:9" x14ac:dyDescent="0.25">
      <c r="A22297" s="515">
        <v>1378</v>
      </c>
      <c r="B22297" s="515" t="s">
        <v>575</v>
      </c>
      <c r="C22297" s="52">
        <v>266858.511912691</v>
      </c>
      <c r="D22297" s="56">
        <v>0.11075472033396808</v>
      </c>
      <c r="E22297" s="224" t="s">
        <v>2</v>
      </c>
      <c r="F22297" s="515" t="s">
        <v>23464</v>
      </c>
      <c r="G22297" s="52">
        <v>162372.29196295299</v>
      </c>
      <c r="H22297" s="56">
        <v>5.0691391236020365E-2</v>
      </c>
      <c r="I22297" s="224" t="s">
        <v>2</v>
      </c>
    </row>
    <row r="22298" spans="1:9" x14ac:dyDescent="0.25">
      <c r="A22298" s="515">
        <v>55712</v>
      </c>
      <c r="C22298" s="52">
        <v>214113.129156018</v>
      </c>
      <c r="D22298" s="56">
        <v>0.15334769876220172</v>
      </c>
      <c r="E22298" s="224" t="s">
        <v>2</v>
      </c>
      <c r="F22298" s="515" t="s">
        <v>23465</v>
      </c>
      <c r="G22298" s="52">
        <v>123593.91505943501</v>
      </c>
      <c r="H22298" s="56">
        <v>4.3793443922249341E-2</v>
      </c>
      <c r="I22298" s="224" t="s">
        <v>2</v>
      </c>
    </row>
    <row r="22299" spans="1:9" x14ac:dyDescent="0.25">
      <c r="A22299" s="515">
        <v>54119</v>
      </c>
      <c r="B22299" s="515" t="s">
        <v>923</v>
      </c>
      <c r="C22299" s="52">
        <v>120382.025379741</v>
      </c>
      <c r="D22299" s="56">
        <v>0.1595459409674396</v>
      </c>
      <c r="E22299" s="224" t="s">
        <v>2</v>
      </c>
      <c r="F22299" s="515" t="s">
        <v>23466</v>
      </c>
      <c r="G22299" s="52">
        <v>1210192.06336298</v>
      </c>
      <c r="H22299" s="56">
        <v>0.26261890583729797</v>
      </c>
      <c r="I22299" s="224" t="s">
        <v>2</v>
      </c>
    </row>
    <row r="22300" spans="1:9" x14ac:dyDescent="0.25">
      <c r="A22300" s="515">
        <v>83852</v>
      </c>
      <c r="B22300" s="515" t="s">
        <v>623</v>
      </c>
      <c r="C22300" s="52">
        <v>491924.42132907902</v>
      </c>
      <c r="D22300" s="56">
        <v>-4.9901758874147821E-2</v>
      </c>
      <c r="E22300" s="224" t="s">
        <v>2</v>
      </c>
      <c r="F22300" s="515" t="s">
        <v>23467</v>
      </c>
      <c r="G22300" s="52">
        <v>495611.87018912198</v>
      </c>
      <c r="H22300" s="56">
        <v>5.2996981753288062E-2</v>
      </c>
      <c r="I22300" s="224" t="s">
        <v>2</v>
      </c>
    </row>
    <row r="22301" spans="1:9" x14ac:dyDescent="0.25">
      <c r="A22301" s="515">
        <v>5086</v>
      </c>
      <c r="B22301" s="515" t="s">
        <v>420</v>
      </c>
      <c r="C22301" s="52">
        <v>242305.70093457901</v>
      </c>
      <c r="D22301" s="56">
        <v>0</v>
      </c>
      <c r="E22301" s="224" t="s">
        <v>2</v>
      </c>
      <c r="F22301" s="515" t="s">
        <v>23468</v>
      </c>
      <c r="G22301" s="52">
        <v>265924.08736879902</v>
      </c>
      <c r="H22301" s="56">
        <v>1.5301663684079711E-2</v>
      </c>
      <c r="I22301" s="224" t="s">
        <v>2</v>
      </c>
    </row>
    <row r="22302" spans="1:9" x14ac:dyDescent="0.25">
      <c r="A22302" s="515">
        <v>61490</v>
      </c>
      <c r="B22302" s="515" t="s">
        <v>439</v>
      </c>
      <c r="C22302" s="52">
        <v>123446.01050862399</v>
      </c>
      <c r="D22302" s="56">
        <v>9.5740298889635644E-2</v>
      </c>
      <c r="E22302" s="224" t="s">
        <v>2</v>
      </c>
      <c r="F22302" s="515" t="s">
        <v>23469</v>
      </c>
      <c r="G22302" s="52">
        <v>124912.135777916</v>
      </c>
      <c r="H22302" s="56">
        <v>0.10194664909380624</v>
      </c>
      <c r="I22302" s="224" t="s">
        <v>2</v>
      </c>
    </row>
    <row r="22303" spans="1:9" x14ac:dyDescent="0.25">
      <c r="A22303" s="515">
        <v>10931</v>
      </c>
      <c r="B22303" s="515" t="s">
        <v>324</v>
      </c>
      <c r="C22303" s="52">
        <v>403456.15793304698</v>
      </c>
      <c r="D22303" s="56">
        <v>8.6614219228005232E-2</v>
      </c>
      <c r="E22303" s="224" t="s">
        <v>2</v>
      </c>
      <c r="F22303" s="515" t="s">
        <v>23470</v>
      </c>
      <c r="G22303" s="52">
        <v>125703.029188652</v>
      </c>
      <c r="H22303" s="56">
        <v>0.20551053266821867</v>
      </c>
      <c r="I22303" s="224" t="s">
        <v>2</v>
      </c>
    </row>
    <row r="22304" spans="1:9" x14ac:dyDescent="0.25">
      <c r="A22304" s="515">
        <v>55926</v>
      </c>
      <c r="B22304" s="515" t="s">
        <v>413</v>
      </c>
      <c r="C22304" s="52">
        <v>254438.664566172</v>
      </c>
      <c r="D22304" s="56">
        <v>4.4698087569632852E-2</v>
      </c>
      <c r="E22304" s="224" t="s">
        <v>2</v>
      </c>
      <c r="F22304" s="515" t="s">
        <v>23471</v>
      </c>
      <c r="G22304" s="52">
        <v>184418.19792321901</v>
      </c>
      <c r="H22304" s="56">
        <v>5.5293982501001857E-2</v>
      </c>
      <c r="I22304" s="224" t="s">
        <v>2</v>
      </c>
    </row>
    <row r="22305" spans="1:9" x14ac:dyDescent="0.25">
      <c r="A22305" s="515">
        <v>3284</v>
      </c>
      <c r="B22305" s="515" t="s">
        <v>420</v>
      </c>
      <c r="C22305" s="52">
        <v>404429.66211222298</v>
      </c>
      <c r="D22305" s="56">
        <v>7.2173336757307624E-2</v>
      </c>
      <c r="E22305" s="224" t="s">
        <v>2</v>
      </c>
      <c r="F22305" s="515" t="s">
        <v>23472</v>
      </c>
      <c r="G22305" s="52">
        <v>119571.61772388899</v>
      </c>
      <c r="H22305" s="56">
        <v>3.8849854331584339E-2</v>
      </c>
      <c r="I22305" s="224" t="s">
        <v>2</v>
      </c>
    </row>
    <row r="22306" spans="1:9" x14ac:dyDescent="0.25">
      <c r="A22306" s="515">
        <v>60951</v>
      </c>
      <c r="C22306" s="52">
        <v>135415.414843787</v>
      </c>
      <c r="D22306" s="56">
        <v>6.7691035743414063E-2</v>
      </c>
      <c r="E22306" s="224" t="s">
        <v>2</v>
      </c>
      <c r="F22306" s="515" t="s">
        <v>23473</v>
      </c>
      <c r="G22306" s="52">
        <v>136420.04943020499</v>
      </c>
      <c r="H22306" s="56">
        <v>0.17925730348980531</v>
      </c>
      <c r="I22306" s="224" t="s">
        <v>2</v>
      </c>
    </row>
    <row r="22307" spans="1:9" x14ac:dyDescent="0.25">
      <c r="A22307" s="515">
        <v>35979</v>
      </c>
      <c r="B22307" s="515" t="s">
        <v>979</v>
      </c>
      <c r="C22307" s="52">
        <v>181304.88382454001</v>
      </c>
      <c r="D22307" s="56">
        <v>0.15545877232860913</v>
      </c>
      <c r="E22307" s="224" t="s">
        <v>2</v>
      </c>
      <c r="F22307" s="515" t="s">
        <v>23474</v>
      </c>
      <c r="G22307" s="52">
        <v>124109.45597273301</v>
      </c>
      <c r="H22307" s="56">
        <v>0</v>
      </c>
      <c r="I22307" s="224" t="s">
        <v>2</v>
      </c>
    </row>
    <row r="22308" spans="1:9" x14ac:dyDescent="0.25">
      <c r="A22308" s="515">
        <v>1026</v>
      </c>
      <c r="B22308" s="515" t="s">
        <v>575</v>
      </c>
      <c r="C22308" s="52">
        <v>328987.241696254</v>
      </c>
      <c r="D22308" s="56">
        <v>0.11367076214877485</v>
      </c>
      <c r="E22308" s="224" t="s">
        <v>2</v>
      </c>
      <c r="F22308" s="515" t="s">
        <v>23475</v>
      </c>
      <c r="G22308" s="52">
        <v>172225.68290379399</v>
      </c>
      <c r="H22308" s="56">
        <v>0.15864129660826753</v>
      </c>
      <c r="I22308" s="224" t="s">
        <v>2</v>
      </c>
    </row>
    <row r="22309" spans="1:9" x14ac:dyDescent="0.25">
      <c r="A22309" s="515">
        <v>96713</v>
      </c>
      <c r="B22309" s="515" t="s">
        <v>400</v>
      </c>
      <c r="C22309" s="52">
        <v>841416.17156294605</v>
      </c>
      <c r="D22309" s="56">
        <v>0.2019875807006915</v>
      </c>
      <c r="E22309" s="224" t="s">
        <v>2</v>
      </c>
      <c r="F22309" s="515" t="s">
        <v>23476</v>
      </c>
      <c r="G22309" s="52">
        <v>169004.33117150399</v>
      </c>
      <c r="H22309" s="56">
        <v>0.11353463131832661</v>
      </c>
      <c r="I22309" s="224" t="s">
        <v>2</v>
      </c>
    </row>
    <row r="22310" spans="1:9" x14ac:dyDescent="0.25">
      <c r="A22310" s="515">
        <v>48735</v>
      </c>
      <c r="C22310" s="52">
        <v>102395.831852929</v>
      </c>
      <c r="D22310" s="56">
        <v>1.235695533281383E-2</v>
      </c>
      <c r="E22310" s="224" t="s">
        <v>2</v>
      </c>
      <c r="F22310" s="515" t="s">
        <v>23477</v>
      </c>
      <c r="G22310" s="52">
        <v>427749.64934843202</v>
      </c>
      <c r="H22310" s="56">
        <v>6.9439808391146829E-2</v>
      </c>
      <c r="I22310" s="224" t="s">
        <v>2</v>
      </c>
    </row>
    <row r="22311" spans="1:9" x14ac:dyDescent="0.25">
      <c r="A22311" s="515">
        <v>90742</v>
      </c>
      <c r="B22311" s="515" t="s">
        <v>375</v>
      </c>
      <c r="C22311" s="52">
        <v>1939974.5145646699</v>
      </c>
      <c r="D22311" s="56">
        <v>-2.1641049912223112E-2</v>
      </c>
      <c r="E22311" s="224" t="s">
        <v>2</v>
      </c>
      <c r="F22311" s="515" t="s">
        <v>23478</v>
      </c>
      <c r="G22311" s="52">
        <v>215165.754330269</v>
      </c>
      <c r="H22311" s="56">
        <v>0.1416531490775583</v>
      </c>
      <c r="I22311" s="224" t="s">
        <v>2</v>
      </c>
    </row>
    <row r="22312" spans="1:9" x14ac:dyDescent="0.25">
      <c r="A22312" s="515">
        <v>25564</v>
      </c>
      <c r="B22312" s="515" t="s">
        <v>322</v>
      </c>
      <c r="C22312" s="52">
        <v>120300.837455373</v>
      </c>
      <c r="D22312" s="56">
        <v>0.13361018897766019</v>
      </c>
      <c r="E22312" s="224" t="s">
        <v>2</v>
      </c>
      <c r="F22312" s="515" t="s">
        <v>23479</v>
      </c>
      <c r="G22312" s="52">
        <v>67965.748254764403</v>
      </c>
      <c r="H22312" s="56">
        <v>4.6665478201502276E-2</v>
      </c>
      <c r="I22312" s="224" t="s">
        <v>2</v>
      </c>
    </row>
    <row r="22313" spans="1:9" x14ac:dyDescent="0.25">
      <c r="A22313" s="515">
        <v>12427</v>
      </c>
      <c r="C22313" s="52">
        <v>369441.00009480701</v>
      </c>
      <c r="D22313" s="56">
        <v>0.1750648188657826</v>
      </c>
      <c r="E22313" s="224" t="s">
        <v>2</v>
      </c>
      <c r="F22313" s="515" t="s">
        <v>23480</v>
      </c>
      <c r="G22313" s="52">
        <v>183634.31458542999</v>
      </c>
      <c r="H22313" s="56">
        <v>8.4224910891897306E-2</v>
      </c>
      <c r="I22313" s="224" t="s">
        <v>2</v>
      </c>
    </row>
    <row r="22314" spans="1:9" x14ac:dyDescent="0.25">
      <c r="A22314" s="515">
        <v>35972</v>
      </c>
      <c r="B22314" s="515" t="s">
        <v>978</v>
      </c>
      <c r="C22314" s="52">
        <v>182334.24898601501</v>
      </c>
      <c r="D22314" s="56">
        <v>3.8963921891589585E-2</v>
      </c>
      <c r="E22314" s="224" t="s">
        <v>2</v>
      </c>
      <c r="F22314" s="515" t="s">
        <v>23481</v>
      </c>
      <c r="G22314" s="52">
        <v>155175.034098756</v>
      </c>
      <c r="H22314" s="56">
        <v>8.6034912483115233E-2</v>
      </c>
      <c r="I22314" s="224" t="s">
        <v>2</v>
      </c>
    </row>
    <row r="22315" spans="1:9" x14ac:dyDescent="0.25">
      <c r="A22315" s="515">
        <v>2807</v>
      </c>
      <c r="B22315" s="515" t="s">
        <v>513</v>
      </c>
      <c r="C22315" s="52">
        <v>1451541.4511855801</v>
      </c>
      <c r="D22315" s="56">
        <v>0.14331229788033165</v>
      </c>
      <c r="E22315" s="224" t="s">
        <v>2</v>
      </c>
      <c r="F22315" s="515" t="s">
        <v>23482</v>
      </c>
      <c r="G22315" s="52">
        <v>259951.42309338899</v>
      </c>
      <c r="H22315" s="56">
        <v>6.8214094496098924E-3</v>
      </c>
      <c r="I22315" s="224" t="s">
        <v>2</v>
      </c>
    </row>
    <row r="22316" spans="1:9" x14ac:dyDescent="0.25">
      <c r="A22316" s="515">
        <v>89310</v>
      </c>
      <c r="C22316" s="52">
        <v>83109.248255426704</v>
      </c>
      <c r="D22316" s="56">
        <v>-0.1809779663666039</v>
      </c>
      <c r="E22316" s="224" t="s">
        <v>2</v>
      </c>
      <c r="F22316" s="515" t="s">
        <v>23483</v>
      </c>
      <c r="G22316" s="52">
        <v>108902.27272727199</v>
      </c>
      <c r="H22316" s="56">
        <v>0</v>
      </c>
      <c r="I22316" s="224" t="s">
        <v>2</v>
      </c>
    </row>
    <row r="22317" spans="1:9" x14ac:dyDescent="0.25">
      <c r="A22317" s="515">
        <v>10919</v>
      </c>
      <c r="B22317" s="515" t="s">
        <v>529</v>
      </c>
      <c r="C22317" s="52">
        <v>394644.43646305602</v>
      </c>
      <c r="D22317" s="56">
        <v>8.7985532560092922E-2</v>
      </c>
      <c r="E22317" s="224" t="s">
        <v>2</v>
      </c>
      <c r="F22317" s="515" t="s">
        <v>23484</v>
      </c>
      <c r="G22317" s="52">
        <v>206441.79439087299</v>
      </c>
      <c r="H22317" s="56">
        <v>8.9842539717146938E-2</v>
      </c>
      <c r="I22317" s="224" t="s">
        <v>2</v>
      </c>
    </row>
    <row r="22318" spans="1:9" x14ac:dyDescent="0.25">
      <c r="A22318" s="515">
        <v>97436</v>
      </c>
      <c r="B22318" s="515" t="s">
        <v>449</v>
      </c>
      <c r="C22318" s="52">
        <v>406683.30322558299</v>
      </c>
      <c r="D22318" s="56">
        <v>8.6715131941622198E-2</v>
      </c>
      <c r="E22318" s="224" t="s">
        <v>2</v>
      </c>
      <c r="F22318" s="515" t="s">
        <v>23485</v>
      </c>
      <c r="G22318" s="52">
        <v>62703.277225106598</v>
      </c>
      <c r="H22318" s="56">
        <v>0.16589526231227059</v>
      </c>
      <c r="I22318" s="224" t="s">
        <v>2</v>
      </c>
    </row>
    <row r="22319" spans="1:9" x14ac:dyDescent="0.25">
      <c r="A22319" s="515">
        <v>38342</v>
      </c>
      <c r="C22319" s="52">
        <v>101134.854114175</v>
      </c>
      <c r="D22319" s="56">
        <v>2.4402323171489465E-2</v>
      </c>
      <c r="E22319" s="224" t="s">
        <v>2</v>
      </c>
      <c r="F22319" s="515" t="s">
        <v>23486</v>
      </c>
      <c r="G22319" s="52">
        <v>140336.80261752801</v>
      </c>
      <c r="H22319" s="56">
        <v>4.9324305201434201E-2</v>
      </c>
      <c r="I22319" s="224" t="s">
        <v>2</v>
      </c>
    </row>
    <row r="22320" spans="1:9" x14ac:dyDescent="0.25">
      <c r="A22320" s="515">
        <v>37023</v>
      </c>
      <c r="B22320" s="515" t="s">
        <v>651</v>
      </c>
      <c r="C22320" s="52">
        <v>184630.792993435</v>
      </c>
      <c r="D22320" s="56">
        <v>7.5751961270548599E-3</v>
      </c>
      <c r="E22320" s="224" t="s">
        <v>2</v>
      </c>
      <c r="F22320" s="515" t="s">
        <v>23487</v>
      </c>
      <c r="G22320" s="52">
        <v>93209.460108679501</v>
      </c>
      <c r="H22320" s="56">
        <v>-0.12669799828425865</v>
      </c>
      <c r="I22320" s="224" t="s">
        <v>2</v>
      </c>
    </row>
    <row r="22321" spans="1:9" x14ac:dyDescent="0.25">
      <c r="A22321" s="515">
        <v>23129</v>
      </c>
      <c r="B22321" s="515" t="s">
        <v>667</v>
      </c>
      <c r="C22321" s="52">
        <v>498493.27442527399</v>
      </c>
      <c r="D22321" s="56">
        <v>-7.9488902181737334E-2</v>
      </c>
      <c r="E22321" s="224" t="s">
        <v>2</v>
      </c>
      <c r="F22321" s="515" t="s">
        <v>23488</v>
      </c>
      <c r="G22321" s="52">
        <v>127473.977709924</v>
      </c>
      <c r="H22321" s="56">
        <v>6.4807807925697555E-2</v>
      </c>
      <c r="I22321" s="224" t="s">
        <v>2</v>
      </c>
    </row>
    <row r="22322" spans="1:9" x14ac:dyDescent="0.25">
      <c r="A22322" s="515">
        <v>69044</v>
      </c>
      <c r="C22322" s="52">
        <v>99165.713569345899</v>
      </c>
      <c r="D22322" s="56">
        <v>0.19700175900622907</v>
      </c>
      <c r="E22322" s="224" t="s">
        <v>2</v>
      </c>
      <c r="F22322" s="515" t="s">
        <v>23489</v>
      </c>
      <c r="G22322" s="52">
        <v>223269.67167134301</v>
      </c>
      <c r="H22322" s="56">
        <v>0.16674012456968298</v>
      </c>
      <c r="I22322" s="224" t="s">
        <v>2</v>
      </c>
    </row>
    <row r="22323" spans="1:9" x14ac:dyDescent="0.25">
      <c r="A22323" s="515">
        <v>43323</v>
      </c>
      <c r="C22323" s="52">
        <v>165643.491755164</v>
      </c>
      <c r="D22323" s="56">
        <v>4.8328204842584439E-2</v>
      </c>
      <c r="E22323" s="224" t="s">
        <v>2</v>
      </c>
      <c r="F22323" s="515" t="s">
        <v>23490</v>
      </c>
      <c r="G22323" s="52">
        <v>56893.269014822399</v>
      </c>
      <c r="H22323" s="56">
        <v>0</v>
      </c>
      <c r="I22323" s="224" t="s">
        <v>2</v>
      </c>
    </row>
    <row r="22324" spans="1:9" x14ac:dyDescent="0.25">
      <c r="A22324" s="515">
        <v>74867</v>
      </c>
      <c r="C22324" s="52">
        <v>128926.516183208</v>
      </c>
      <c r="D22324" s="56">
        <v>0.12577677853227928</v>
      </c>
      <c r="E22324" s="224" t="s">
        <v>2</v>
      </c>
      <c r="F22324" s="515" t="s">
        <v>23491</v>
      </c>
      <c r="G22324" s="52">
        <v>142235.33711368899</v>
      </c>
      <c r="H22324" s="56">
        <v>8.2509657978361031E-2</v>
      </c>
      <c r="I22324" s="224" t="s">
        <v>2</v>
      </c>
    </row>
    <row r="22325" spans="1:9" x14ac:dyDescent="0.25">
      <c r="A22325" s="515">
        <v>65333</v>
      </c>
      <c r="B22325" s="515" t="s">
        <v>798</v>
      </c>
      <c r="C22325" s="52">
        <v>186013.841902955</v>
      </c>
      <c r="D22325" s="56">
        <v>7.381293651031369E-2</v>
      </c>
      <c r="E22325" s="224" t="s">
        <v>2</v>
      </c>
      <c r="F22325" s="515" t="s">
        <v>23492</v>
      </c>
      <c r="G22325" s="52">
        <v>179402.12358795101</v>
      </c>
      <c r="H22325" s="56">
        <v>9.3817483433482687E-2</v>
      </c>
      <c r="I22325" s="224" t="s">
        <v>2</v>
      </c>
    </row>
    <row r="22326" spans="1:9" x14ac:dyDescent="0.25">
      <c r="A22326" s="515">
        <v>17812</v>
      </c>
      <c r="B22326" s="515" t="s">
        <v>1084</v>
      </c>
      <c r="C22326" s="52">
        <v>156403.81954887201</v>
      </c>
      <c r="D22326" s="56">
        <v>0</v>
      </c>
      <c r="E22326" s="224" t="s">
        <v>2</v>
      </c>
      <c r="F22326" s="515" t="s">
        <v>23493</v>
      </c>
      <c r="G22326" s="52">
        <v>230492.00659840801</v>
      </c>
      <c r="H22326" s="56">
        <v>6.398244331975031E-2</v>
      </c>
      <c r="I22326" s="224" t="s">
        <v>2</v>
      </c>
    </row>
    <row r="22327" spans="1:9" x14ac:dyDescent="0.25">
      <c r="A22327" s="515">
        <v>25154</v>
      </c>
      <c r="B22327" s="515" t="s">
        <v>322</v>
      </c>
      <c r="C22327" s="52">
        <v>80937.666284757201</v>
      </c>
      <c r="D22327" s="56">
        <v>9.8989009049310517E-2</v>
      </c>
      <c r="E22327" s="224" t="s">
        <v>2</v>
      </c>
      <c r="F22327" s="515" t="s">
        <v>23494</v>
      </c>
      <c r="G22327" s="52">
        <v>122304.43732787399</v>
      </c>
      <c r="H22327" s="56">
        <v>5.8248249443773353E-2</v>
      </c>
      <c r="I22327" s="224" t="s">
        <v>2</v>
      </c>
    </row>
    <row r="22328" spans="1:9" x14ac:dyDescent="0.25">
      <c r="A22328" s="515">
        <v>6778</v>
      </c>
      <c r="B22328" s="515" t="s">
        <v>559</v>
      </c>
      <c r="C22328" s="52">
        <v>342975.87917788001</v>
      </c>
      <c r="D22328" s="56">
        <v>0.11311831996472144</v>
      </c>
      <c r="E22328" s="224" t="s">
        <v>2</v>
      </c>
      <c r="F22328" s="515" t="s">
        <v>23495</v>
      </c>
      <c r="G22328" s="52">
        <v>347792.493392526</v>
      </c>
      <c r="H22328" s="56">
        <v>0.18289954194667618</v>
      </c>
      <c r="I22328" s="224" t="s">
        <v>2</v>
      </c>
    </row>
    <row r="22329" spans="1:9" x14ac:dyDescent="0.25">
      <c r="A22329" s="515">
        <v>47016</v>
      </c>
      <c r="B22329" s="515" t="s">
        <v>344</v>
      </c>
      <c r="C22329" s="52">
        <v>259917.777777777</v>
      </c>
      <c r="D22329" s="56">
        <v>0</v>
      </c>
      <c r="E22329" s="224" t="s">
        <v>2</v>
      </c>
      <c r="F22329" s="515" t="s">
        <v>23496</v>
      </c>
      <c r="G22329" s="52">
        <v>300842.666072505</v>
      </c>
      <c r="H22329" s="56">
        <v>8.3632223854093454E-2</v>
      </c>
      <c r="I22329" s="224" t="s">
        <v>2</v>
      </c>
    </row>
    <row r="22330" spans="1:9" x14ac:dyDescent="0.25">
      <c r="A22330" s="515">
        <v>5649</v>
      </c>
      <c r="B22330" s="515" t="s">
        <v>945</v>
      </c>
      <c r="C22330" s="52">
        <v>249562.76975459699</v>
      </c>
      <c r="D22330" s="56">
        <v>0.11998252574970057</v>
      </c>
      <c r="E22330" s="224" t="s">
        <v>2</v>
      </c>
      <c r="F22330" s="515" t="s">
        <v>23497</v>
      </c>
      <c r="G22330" s="52">
        <v>152187.96698027401</v>
      </c>
      <c r="H22330" s="56">
        <v>0</v>
      </c>
      <c r="I22330" s="224" t="s">
        <v>2</v>
      </c>
    </row>
    <row r="22331" spans="1:9" x14ac:dyDescent="0.25">
      <c r="A22331" s="515">
        <v>62836</v>
      </c>
      <c r="C22331" s="52">
        <v>116125.197192533</v>
      </c>
      <c r="D22331" s="56">
        <v>1.7113242218999219E-2</v>
      </c>
      <c r="E22331" s="224" t="s">
        <v>2</v>
      </c>
      <c r="F22331" s="515" t="s">
        <v>23498</v>
      </c>
      <c r="G22331" s="52">
        <v>61839.083333333299</v>
      </c>
      <c r="H22331" s="56">
        <v>0</v>
      </c>
      <c r="I22331" s="224" t="s">
        <v>2</v>
      </c>
    </row>
    <row r="22332" spans="1:9" x14ac:dyDescent="0.25">
      <c r="A22332" s="515">
        <v>52054</v>
      </c>
      <c r="C22332" s="52">
        <v>272466.981396519</v>
      </c>
      <c r="D22332" s="56">
        <v>0.15170330783494265</v>
      </c>
      <c r="E22332" s="224" t="s">
        <v>2</v>
      </c>
      <c r="F22332" s="515" t="s">
        <v>23499</v>
      </c>
      <c r="G22332" s="52">
        <v>418815.38026902598</v>
      </c>
      <c r="H22332" s="56">
        <v>0.10002304982543035</v>
      </c>
      <c r="I22332" s="224" t="s">
        <v>2</v>
      </c>
    </row>
    <row r="22333" spans="1:9" x14ac:dyDescent="0.25">
      <c r="A22333" s="515">
        <v>50660</v>
      </c>
      <c r="C22333" s="52">
        <v>195863.27576911301</v>
      </c>
      <c r="D22333" s="56">
        <v>6.57130411304373E-2</v>
      </c>
      <c r="E22333" s="224" t="s">
        <v>2</v>
      </c>
      <c r="F22333" s="515" t="s">
        <v>23500</v>
      </c>
      <c r="G22333" s="52">
        <v>158881.42267508499</v>
      </c>
      <c r="H22333" s="56">
        <v>1.2059803735065739E-3</v>
      </c>
      <c r="I22333" s="224" t="s">
        <v>2</v>
      </c>
    </row>
    <row r="22334" spans="1:9" x14ac:dyDescent="0.25">
      <c r="A22334" s="515">
        <v>16233</v>
      </c>
      <c r="C22334" s="52">
        <v>95138.350164679097</v>
      </c>
      <c r="D22334" s="56">
        <v>1.7621286844528607E-2</v>
      </c>
      <c r="E22334" s="224" t="s">
        <v>2</v>
      </c>
      <c r="F22334" s="515" t="s">
        <v>23501</v>
      </c>
      <c r="G22334" s="52">
        <v>207152.38393481501</v>
      </c>
      <c r="H22334" s="56">
        <v>9.3007118661588579E-3</v>
      </c>
      <c r="I22334" s="224" t="s">
        <v>2</v>
      </c>
    </row>
    <row r="22335" spans="1:9" x14ac:dyDescent="0.25">
      <c r="A22335" s="515">
        <v>57363</v>
      </c>
      <c r="B22335" s="515" t="s">
        <v>890</v>
      </c>
      <c r="C22335" s="52">
        <v>242596.948566398</v>
      </c>
      <c r="D22335" s="56">
        <v>7.9391454495300579E-2</v>
      </c>
      <c r="E22335" s="224" t="s">
        <v>2</v>
      </c>
      <c r="F22335" s="515" t="s">
        <v>23502</v>
      </c>
      <c r="G22335" s="52">
        <v>147715.50179035199</v>
      </c>
      <c r="H22335" s="56">
        <v>8.3000455795223305E-2</v>
      </c>
      <c r="I22335" s="224" t="s">
        <v>2</v>
      </c>
    </row>
    <row r="22336" spans="1:9" x14ac:dyDescent="0.25">
      <c r="A22336" s="515">
        <v>28006</v>
      </c>
      <c r="B22336" s="515" t="s">
        <v>360</v>
      </c>
      <c r="C22336" s="52">
        <v>303750.86140499101</v>
      </c>
      <c r="D22336" s="56">
        <v>0.12093725211954744</v>
      </c>
      <c r="E22336" s="224" t="s">
        <v>2</v>
      </c>
      <c r="F22336" s="515" t="s">
        <v>23503</v>
      </c>
      <c r="G22336" s="52">
        <v>156340.817646746</v>
      </c>
      <c r="H22336" s="56">
        <v>4.1944604385696485E-2</v>
      </c>
      <c r="I22336" s="224" t="s">
        <v>2</v>
      </c>
    </row>
    <row r="22337" spans="1:9" x14ac:dyDescent="0.25">
      <c r="A22337" s="515">
        <v>41835</v>
      </c>
      <c r="C22337" s="52">
        <v>53388.021268325399</v>
      </c>
      <c r="D22337" s="56">
        <v>7.9922330393544433E-2</v>
      </c>
      <c r="E22337" s="224" t="s">
        <v>2</v>
      </c>
      <c r="F22337" s="515" t="s">
        <v>23504</v>
      </c>
      <c r="G22337" s="52">
        <v>123009.426484271</v>
      </c>
      <c r="H22337" s="56">
        <v>0.11348982806346644</v>
      </c>
      <c r="I22337" s="224" t="s">
        <v>2</v>
      </c>
    </row>
    <row r="22338" spans="1:9" x14ac:dyDescent="0.25">
      <c r="A22338" s="515">
        <v>61375</v>
      </c>
      <c r="B22338" s="515" t="s">
        <v>303</v>
      </c>
      <c r="C22338" s="52">
        <v>183731.94391473901</v>
      </c>
      <c r="D22338" s="56">
        <v>0.1270424311838094</v>
      </c>
      <c r="E22338" s="224" t="s">
        <v>2</v>
      </c>
      <c r="F22338" s="515" t="s">
        <v>23505</v>
      </c>
      <c r="G22338" s="52">
        <v>313440.01612903201</v>
      </c>
      <c r="H22338" s="56">
        <v>0</v>
      </c>
      <c r="I22338" s="224" t="s">
        <v>2</v>
      </c>
    </row>
    <row r="22339" spans="1:9" x14ac:dyDescent="0.25">
      <c r="A22339" s="515">
        <v>4758</v>
      </c>
      <c r="C22339" s="52">
        <v>146561.444444444</v>
      </c>
      <c r="D22339" s="56">
        <v>0</v>
      </c>
      <c r="E22339" s="224" t="s">
        <v>2</v>
      </c>
      <c r="F22339" s="515" t="s">
        <v>23506</v>
      </c>
      <c r="G22339" s="52">
        <v>89946.477469910693</v>
      </c>
      <c r="H22339" s="56">
        <v>0</v>
      </c>
      <c r="I22339" s="224" t="s">
        <v>2</v>
      </c>
    </row>
    <row r="22340" spans="1:9" x14ac:dyDescent="0.25">
      <c r="A22340" s="515">
        <v>15083</v>
      </c>
      <c r="B22340" s="515" t="s">
        <v>297</v>
      </c>
      <c r="C22340" s="52">
        <v>118855.41931653699</v>
      </c>
      <c r="D22340" s="56">
        <v>4.3327796810191187E-2</v>
      </c>
      <c r="E22340" s="224" t="s">
        <v>2</v>
      </c>
      <c r="F22340" s="515" t="s">
        <v>23507</v>
      </c>
      <c r="G22340" s="52">
        <v>95224.339804045201</v>
      </c>
      <c r="H22340" s="56">
        <v>0.11612425167039123</v>
      </c>
      <c r="I22340" s="224" t="s">
        <v>2</v>
      </c>
    </row>
    <row r="22341" spans="1:9" x14ac:dyDescent="0.25">
      <c r="A22341" s="515">
        <v>66532</v>
      </c>
      <c r="C22341" s="52">
        <v>139483.71337547401</v>
      </c>
      <c r="D22341" s="56">
        <v>0.11303933877845193</v>
      </c>
      <c r="E22341" s="224" t="s">
        <v>2</v>
      </c>
      <c r="F22341" s="515" t="s">
        <v>23508</v>
      </c>
      <c r="G22341" s="52">
        <v>162305.23208949299</v>
      </c>
      <c r="H22341" s="56">
        <v>0</v>
      </c>
      <c r="I22341" s="224" t="s">
        <v>2</v>
      </c>
    </row>
    <row r="22342" spans="1:9" x14ac:dyDescent="0.25">
      <c r="A22342" s="515">
        <v>42035</v>
      </c>
      <c r="C22342" s="52">
        <v>146179.49766823999</v>
      </c>
      <c r="D22342" s="56">
        <v>0.23522521981902961</v>
      </c>
      <c r="E22342" s="224" t="s">
        <v>2</v>
      </c>
      <c r="F22342" s="515" t="s">
        <v>23509</v>
      </c>
      <c r="G22342" s="52">
        <v>314297.58424104197</v>
      </c>
      <c r="H22342" s="56">
        <v>5.7734223492962825E-2</v>
      </c>
      <c r="I22342" s="224" t="s">
        <v>2</v>
      </c>
    </row>
    <row r="22343" spans="1:9" x14ac:dyDescent="0.25">
      <c r="A22343" s="515">
        <v>24565</v>
      </c>
      <c r="B22343" s="515" t="s">
        <v>901</v>
      </c>
      <c r="C22343" s="52">
        <v>106810.201510235</v>
      </c>
      <c r="D22343" s="56">
        <v>0.135206058421287</v>
      </c>
      <c r="E22343" s="224" t="s">
        <v>2</v>
      </c>
      <c r="F22343" s="515" t="s">
        <v>23510</v>
      </c>
      <c r="G22343" s="52">
        <v>179892.20276027999</v>
      </c>
      <c r="H22343" s="56">
        <v>0</v>
      </c>
      <c r="I22343" s="224" t="s">
        <v>2</v>
      </c>
    </row>
    <row r="22344" spans="1:9" x14ac:dyDescent="0.25">
      <c r="A22344" s="515">
        <v>41666</v>
      </c>
      <c r="C22344" s="52">
        <v>46356.951590001801</v>
      </c>
      <c r="D22344" s="56">
        <v>0.25405768410238472</v>
      </c>
      <c r="E22344" s="224" t="s">
        <v>2</v>
      </c>
      <c r="F22344" s="515" t="s">
        <v>23511</v>
      </c>
      <c r="G22344" s="52">
        <v>118341.90571968</v>
      </c>
      <c r="H22344" s="56">
        <v>0.17007873006682617</v>
      </c>
      <c r="I22344" s="224" t="s">
        <v>2</v>
      </c>
    </row>
    <row r="22345" spans="1:9" x14ac:dyDescent="0.25">
      <c r="A22345" s="515">
        <v>47967</v>
      </c>
      <c r="B22345" s="515" t="s">
        <v>408</v>
      </c>
      <c r="C22345" s="52">
        <v>182392.90583181501</v>
      </c>
      <c r="D22345" s="56">
        <v>4.2964858603188077E-2</v>
      </c>
      <c r="E22345" s="224" t="s">
        <v>2</v>
      </c>
      <c r="F22345" s="515" t="s">
        <v>23512</v>
      </c>
      <c r="G22345" s="52">
        <v>364613.18644067697</v>
      </c>
      <c r="H22345" s="56">
        <v>0</v>
      </c>
      <c r="I22345" s="224" t="s">
        <v>2</v>
      </c>
    </row>
    <row r="22346" spans="1:9" x14ac:dyDescent="0.25">
      <c r="A22346" s="515">
        <v>96044</v>
      </c>
      <c r="C22346" s="52">
        <v>209389.21686719701</v>
      </c>
      <c r="D22346" s="56">
        <v>-8.694499580364853E-3</v>
      </c>
      <c r="E22346" s="224" t="s">
        <v>2</v>
      </c>
      <c r="F22346" s="515" t="s">
        <v>23513</v>
      </c>
      <c r="G22346" s="52">
        <v>111558.930247503</v>
      </c>
      <c r="H22346" s="56">
        <v>6.7162749254277856E-2</v>
      </c>
      <c r="I22346" s="224" t="s">
        <v>2</v>
      </c>
    </row>
    <row r="22347" spans="1:9" x14ac:dyDescent="0.25">
      <c r="A22347" s="515">
        <v>98266</v>
      </c>
      <c r="B22347" s="515" t="s">
        <v>412</v>
      </c>
      <c r="C22347" s="52">
        <v>347654.558405141</v>
      </c>
      <c r="D22347" s="56">
        <v>2.438054908713054E-2</v>
      </c>
      <c r="E22347" s="224" t="s">
        <v>2</v>
      </c>
      <c r="F22347" s="515" t="s">
        <v>23514</v>
      </c>
      <c r="G22347" s="52">
        <v>110105.670652307</v>
      </c>
      <c r="H22347" s="56">
        <v>0.13939670209011643</v>
      </c>
      <c r="I22347" s="224" t="s">
        <v>2</v>
      </c>
    </row>
    <row r="22348" spans="1:9" x14ac:dyDescent="0.25">
      <c r="A22348" s="515">
        <v>57564</v>
      </c>
      <c r="C22348" s="52">
        <v>295256.25</v>
      </c>
      <c r="D22348" s="56">
        <v>0</v>
      </c>
      <c r="E22348" s="224" t="s">
        <v>2</v>
      </c>
      <c r="F22348" s="515" t="s">
        <v>23515</v>
      </c>
      <c r="G22348" s="52">
        <v>42272.501802604304</v>
      </c>
      <c r="H22348" s="56">
        <v>0.1443041932569214</v>
      </c>
      <c r="I22348" s="224" t="s">
        <v>2</v>
      </c>
    </row>
    <row r="22349" spans="1:9" x14ac:dyDescent="0.25">
      <c r="A22349" s="515">
        <v>49760</v>
      </c>
      <c r="C22349" s="52">
        <v>163405.88997640499</v>
      </c>
      <c r="D22349" s="56">
        <v>0.15303344304303104</v>
      </c>
      <c r="E22349" s="224" t="s">
        <v>2</v>
      </c>
      <c r="F22349" s="515" t="s">
        <v>23516</v>
      </c>
      <c r="G22349" s="52">
        <v>111739.827968557</v>
      </c>
      <c r="H22349" s="56">
        <v>0.1356323998482723</v>
      </c>
      <c r="I22349" s="224" t="s">
        <v>2</v>
      </c>
    </row>
    <row r="22350" spans="1:9" x14ac:dyDescent="0.25">
      <c r="A22350" s="515">
        <v>74555</v>
      </c>
      <c r="C22350" s="52">
        <v>187829.92793326199</v>
      </c>
      <c r="D22350" s="56">
        <v>0.1266209615154848</v>
      </c>
      <c r="E22350" s="224" t="s">
        <v>2</v>
      </c>
      <c r="F22350" s="515" t="s">
        <v>23517</v>
      </c>
      <c r="G22350" s="52">
        <v>317741.22719042603</v>
      </c>
      <c r="H22350" s="56">
        <v>9.3081444901039326E-2</v>
      </c>
      <c r="I22350" s="224" t="s">
        <v>2</v>
      </c>
    </row>
    <row r="22351" spans="1:9" x14ac:dyDescent="0.25">
      <c r="A22351" s="515">
        <v>50581</v>
      </c>
      <c r="C22351" s="52">
        <v>68806.579822045896</v>
      </c>
      <c r="D22351" s="56">
        <v>0</v>
      </c>
      <c r="E22351" s="224" t="s">
        <v>2</v>
      </c>
      <c r="F22351" s="515" t="s">
        <v>23518</v>
      </c>
      <c r="G22351" s="52">
        <v>24426.366547648398</v>
      </c>
      <c r="H22351" s="56">
        <v>4.1812726741792025E-2</v>
      </c>
      <c r="I22351" s="224" t="s">
        <v>2</v>
      </c>
    </row>
    <row r="22352" spans="1:9" x14ac:dyDescent="0.25">
      <c r="A22352" s="515">
        <v>51462</v>
      </c>
      <c r="C22352" s="52">
        <v>130071.497508309</v>
      </c>
      <c r="D22352" s="56">
        <v>0.25531029391316301</v>
      </c>
      <c r="E22352" s="224" t="s">
        <v>2</v>
      </c>
      <c r="F22352" s="515" t="s">
        <v>23519</v>
      </c>
      <c r="G22352" s="52">
        <v>80138.992764245093</v>
      </c>
      <c r="H22352" s="56">
        <v>0</v>
      </c>
      <c r="I22352" s="224" t="s">
        <v>2</v>
      </c>
    </row>
    <row r="22353" spans="1:9" x14ac:dyDescent="0.25">
      <c r="A22353" s="515">
        <v>38736</v>
      </c>
      <c r="B22353" s="515" t="s">
        <v>976</v>
      </c>
      <c r="C22353" s="52">
        <v>111061.77272727199</v>
      </c>
      <c r="D22353" s="56">
        <v>0</v>
      </c>
      <c r="E22353" s="224" t="s">
        <v>2</v>
      </c>
      <c r="F22353" s="515" t="s">
        <v>23520</v>
      </c>
      <c r="G22353" s="52">
        <v>116983.764220638</v>
      </c>
      <c r="H22353" s="56">
        <v>0.11589422441341485</v>
      </c>
      <c r="I22353" s="224" t="s">
        <v>2</v>
      </c>
    </row>
    <row r="22354" spans="1:9" x14ac:dyDescent="0.25">
      <c r="A22354" s="515">
        <v>56453</v>
      </c>
      <c r="C22354" s="52">
        <v>178549.25045407799</v>
      </c>
      <c r="D22354" s="56">
        <v>4.4121206043609548E-3</v>
      </c>
      <c r="E22354" s="224" t="s">
        <v>2</v>
      </c>
      <c r="F22354" s="515" t="s">
        <v>23521</v>
      </c>
      <c r="G22354" s="52">
        <v>308886.98750236398</v>
      </c>
      <c r="H22354" s="56">
        <v>0</v>
      </c>
      <c r="I22354" s="224" t="s">
        <v>2</v>
      </c>
    </row>
    <row r="22355" spans="1:9" x14ac:dyDescent="0.25">
      <c r="A22355" s="515">
        <v>80447</v>
      </c>
      <c r="C22355" s="52">
        <v>696797.31594752904</v>
      </c>
      <c r="D22355" s="56">
        <v>2.3605079482627522E-2</v>
      </c>
      <c r="E22355" s="224" t="s">
        <v>2</v>
      </c>
      <c r="F22355" s="515" t="s">
        <v>23522</v>
      </c>
      <c r="G22355" s="52">
        <v>259592.62215876899</v>
      </c>
      <c r="H22355" s="56">
        <v>2.8406815939911314E-2</v>
      </c>
      <c r="I22355" s="224" t="s">
        <v>2</v>
      </c>
    </row>
    <row r="22356" spans="1:9" x14ac:dyDescent="0.25">
      <c r="A22356" s="515">
        <v>37359</v>
      </c>
      <c r="B22356" s="515" t="s">
        <v>977</v>
      </c>
      <c r="C22356" s="52">
        <v>274967.913827157</v>
      </c>
      <c r="D22356" s="56">
        <v>0</v>
      </c>
      <c r="E22356" s="224" t="s">
        <v>2</v>
      </c>
      <c r="F22356" s="515" t="s">
        <v>23523</v>
      </c>
      <c r="G22356" s="52">
        <v>129586.333439736</v>
      </c>
      <c r="H22356" s="56">
        <v>-0.16059450352443735</v>
      </c>
      <c r="I22356" s="224" t="s">
        <v>2</v>
      </c>
    </row>
    <row r="22357" spans="1:9" x14ac:dyDescent="0.25">
      <c r="A22357" s="515">
        <v>42565</v>
      </c>
      <c r="C22357" s="52">
        <v>118146.469964797</v>
      </c>
      <c r="D22357" s="56">
        <v>0.16703217266637874</v>
      </c>
      <c r="E22357" s="224" t="s">
        <v>2</v>
      </c>
      <c r="F22357" s="515" t="s">
        <v>23524</v>
      </c>
      <c r="G22357" s="52">
        <v>531784.65798571904</v>
      </c>
      <c r="H22357" s="56">
        <v>3.0220022103385993E-2</v>
      </c>
      <c r="I22357" s="224" t="s">
        <v>2</v>
      </c>
    </row>
    <row r="22358" spans="1:9" x14ac:dyDescent="0.25">
      <c r="A22358" s="515">
        <v>37376</v>
      </c>
      <c r="B22358" s="515" t="s">
        <v>977</v>
      </c>
      <c r="C22358" s="52">
        <v>136237.29331941699</v>
      </c>
      <c r="D22358" s="56">
        <v>0</v>
      </c>
      <c r="E22358" s="224" t="s">
        <v>2</v>
      </c>
      <c r="F22358" s="515" t="s">
        <v>23525</v>
      </c>
      <c r="G22358" s="52">
        <v>168316.984247051</v>
      </c>
      <c r="H22358" s="56">
        <v>6.3042491503844569E-2</v>
      </c>
      <c r="I22358" s="224" t="s">
        <v>2</v>
      </c>
    </row>
    <row r="22359" spans="1:9" x14ac:dyDescent="0.25">
      <c r="A22359" s="515">
        <v>54821</v>
      </c>
      <c r="C22359" s="52">
        <v>321351.15501461702</v>
      </c>
      <c r="D22359" s="56">
        <v>9.3382465986793256E-2</v>
      </c>
      <c r="E22359" s="224" t="s">
        <v>2</v>
      </c>
      <c r="F22359" s="515" t="s">
        <v>23526</v>
      </c>
      <c r="G22359" s="52">
        <v>596659.55590967205</v>
      </c>
      <c r="H22359" s="56">
        <v>0</v>
      </c>
      <c r="I22359" s="224" t="s">
        <v>2</v>
      </c>
    </row>
    <row r="22360" spans="1:9" x14ac:dyDescent="0.25">
      <c r="A22360" s="515">
        <v>50149</v>
      </c>
      <c r="B22360" s="515" t="s">
        <v>295</v>
      </c>
      <c r="C22360" s="52">
        <v>144552.91721201499</v>
      </c>
      <c r="D22360" s="56">
        <v>0</v>
      </c>
      <c r="E22360" s="224" t="s">
        <v>2</v>
      </c>
      <c r="F22360" s="515" t="s">
        <v>23527</v>
      </c>
      <c r="G22360" s="52">
        <v>27546.6875</v>
      </c>
      <c r="H22360" s="56">
        <v>0</v>
      </c>
      <c r="I22360" s="224" t="s">
        <v>2</v>
      </c>
    </row>
    <row r="22361" spans="1:9" x14ac:dyDescent="0.25">
      <c r="A22361" s="515">
        <v>67853</v>
      </c>
      <c r="C22361" s="52">
        <v>209605.353266116</v>
      </c>
      <c r="D22361" s="56">
        <v>0.10931278319079409</v>
      </c>
      <c r="E22361" s="224" t="s">
        <v>2</v>
      </c>
      <c r="F22361" s="515" t="s">
        <v>23528</v>
      </c>
      <c r="G22361" s="52">
        <v>123483.487466021</v>
      </c>
      <c r="H22361" s="56">
        <v>0</v>
      </c>
      <c r="I22361" s="224" t="s">
        <v>2</v>
      </c>
    </row>
    <row r="22362" spans="1:9" x14ac:dyDescent="0.25">
      <c r="A22362" s="515">
        <v>38339</v>
      </c>
      <c r="C22362" s="52">
        <v>152904.887127711</v>
      </c>
      <c r="D22362" s="56">
        <v>0</v>
      </c>
      <c r="E22362" s="224" t="s">
        <v>2</v>
      </c>
      <c r="F22362" s="515" t="s">
        <v>23529</v>
      </c>
      <c r="G22362" s="52">
        <v>114123.03508684</v>
      </c>
      <c r="H22362" s="56">
        <v>0.1366602579165998</v>
      </c>
      <c r="I22362" s="224" t="s">
        <v>2</v>
      </c>
    </row>
    <row r="22363" spans="1:9" x14ac:dyDescent="0.25">
      <c r="A22363" s="515">
        <v>47516</v>
      </c>
      <c r="B22363" s="515" t="s">
        <v>573</v>
      </c>
      <c r="C22363" s="52">
        <v>165186.04840873499</v>
      </c>
      <c r="D22363" s="56">
        <v>3.2592334500780341E-2</v>
      </c>
      <c r="E22363" s="224" t="s">
        <v>2</v>
      </c>
      <c r="F22363" s="515" t="s">
        <v>23530</v>
      </c>
      <c r="G22363" s="52">
        <v>61043.311111111099</v>
      </c>
      <c r="H22363" s="56">
        <v>0</v>
      </c>
      <c r="I22363" s="224" t="s">
        <v>2</v>
      </c>
    </row>
    <row r="22364" spans="1:9" x14ac:dyDescent="0.25">
      <c r="A22364" s="515">
        <v>54761</v>
      </c>
      <c r="B22364" s="515" t="s">
        <v>532</v>
      </c>
      <c r="C22364" s="52">
        <v>204444.10636796299</v>
      </c>
      <c r="D22364" s="56">
        <v>3.0722940815515812E-2</v>
      </c>
      <c r="E22364" s="224" t="s">
        <v>2</v>
      </c>
      <c r="F22364" s="515" t="s">
        <v>23531</v>
      </c>
      <c r="G22364" s="52">
        <v>329749.76190476102</v>
      </c>
      <c r="H22364" s="56">
        <v>0</v>
      </c>
      <c r="I22364" s="224" t="s">
        <v>2</v>
      </c>
    </row>
    <row r="22365" spans="1:9" x14ac:dyDescent="0.25">
      <c r="A22365" s="515">
        <v>12814</v>
      </c>
      <c r="B22365" s="515" t="s">
        <v>422</v>
      </c>
      <c r="C22365" s="52">
        <v>604020.35641293495</v>
      </c>
      <c r="D22365" s="56">
        <v>5.0797182137744014E-2</v>
      </c>
      <c r="E22365" s="224" t="s">
        <v>2</v>
      </c>
      <c r="F22365" s="515" t="s">
        <v>23532</v>
      </c>
      <c r="G22365" s="52">
        <v>121878.062036273</v>
      </c>
      <c r="H22365" s="56">
        <v>-3.2098319658744573E-2</v>
      </c>
      <c r="I22365" s="224" t="s">
        <v>2</v>
      </c>
    </row>
    <row r="22366" spans="1:9" x14ac:dyDescent="0.25">
      <c r="A22366" s="515">
        <v>27826</v>
      </c>
      <c r="C22366" s="52">
        <v>173087.69056536999</v>
      </c>
      <c r="D22366" s="56">
        <v>0.10822313953591825</v>
      </c>
      <c r="E22366" s="224" t="s">
        <v>2</v>
      </c>
      <c r="F22366" s="515" t="s">
        <v>23533</v>
      </c>
      <c r="G22366" s="52">
        <v>58665.232977765801</v>
      </c>
      <c r="H22366" s="56">
        <v>0</v>
      </c>
      <c r="I22366" s="224" t="s">
        <v>2</v>
      </c>
    </row>
    <row r="22367" spans="1:9" x14ac:dyDescent="0.25">
      <c r="A22367" s="515">
        <v>78672</v>
      </c>
      <c r="C22367" s="52">
        <v>254141.04851366</v>
      </c>
      <c r="D22367" s="56">
        <v>0.16762246113712956</v>
      </c>
      <c r="E22367" s="224" t="s">
        <v>2</v>
      </c>
      <c r="F22367" s="515" t="s">
        <v>23534</v>
      </c>
      <c r="G22367" s="52">
        <v>208310.84147011201</v>
      </c>
      <c r="H22367" s="56">
        <v>2.0830967175493448E-2</v>
      </c>
      <c r="I22367" s="224" t="s">
        <v>2</v>
      </c>
    </row>
    <row r="22368" spans="1:9" x14ac:dyDescent="0.25">
      <c r="A22368" s="515">
        <v>7822</v>
      </c>
      <c r="B22368" s="515" t="s">
        <v>324</v>
      </c>
      <c r="C22368" s="52">
        <v>441214.60967640899</v>
      </c>
      <c r="D22368" s="56">
        <v>1.0768938725904112E-2</v>
      </c>
      <c r="E22368" s="224" t="s">
        <v>2</v>
      </c>
      <c r="F22368" s="515" t="s">
        <v>23535</v>
      </c>
      <c r="G22368" s="52">
        <v>152437.13874411199</v>
      </c>
      <c r="H22368" s="56">
        <v>9.0464709788032491E-2</v>
      </c>
      <c r="I22368" s="224" t="s">
        <v>2</v>
      </c>
    </row>
    <row r="22369" spans="1:9" x14ac:dyDescent="0.25">
      <c r="A22369" s="515">
        <v>55929</v>
      </c>
      <c r="B22369" s="515" t="s">
        <v>470</v>
      </c>
      <c r="C22369" s="52">
        <v>308120.56762708601</v>
      </c>
      <c r="D22369" s="56">
        <v>6.8658908880071839E-2</v>
      </c>
      <c r="E22369" s="224" t="s">
        <v>2</v>
      </c>
      <c r="F22369" s="515" t="s">
        <v>23536</v>
      </c>
      <c r="G22369" s="52">
        <v>237238.734750395</v>
      </c>
      <c r="H22369" s="56">
        <v>-0.12376014628423174</v>
      </c>
      <c r="I22369" s="224" t="s">
        <v>2</v>
      </c>
    </row>
    <row r="22370" spans="1:9" x14ac:dyDescent="0.25">
      <c r="A22370" s="515">
        <v>46162</v>
      </c>
      <c r="B22370" s="515" t="s">
        <v>403</v>
      </c>
      <c r="C22370" s="52">
        <v>278791.71549243602</v>
      </c>
      <c r="D22370" s="56">
        <v>6.0255188510632371E-2</v>
      </c>
      <c r="E22370" s="224" t="s">
        <v>2</v>
      </c>
      <c r="F22370" s="515" t="s">
        <v>23537</v>
      </c>
      <c r="G22370" s="52">
        <v>62060.717000826502</v>
      </c>
      <c r="H22370" s="56">
        <v>0.19576452327775587</v>
      </c>
      <c r="I22370" s="224" t="s">
        <v>2</v>
      </c>
    </row>
    <row r="22371" spans="1:9" x14ac:dyDescent="0.25">
      <c r="A22371" s="515">
        <v>18083</v>
      </c>
      <c r="B22371" s="515" t="s">
        <v>327</v>
      </c>
      <c r="C22371" s="52">
        <v>275217.35474165401</v>
      </c>
      <c r="D22371" s="56">
        <v>0.10880938839013372</v>
      </c>
      <c r="E22371" s="224" t="s">
        <v>2</v>
      </c>
      <c r="F22371" s="515" t="s">
        <v>23538</v>
      </c>
      <c r="G22371" s="52">
        <v>225530.03773584901</v>
      </c>
      <c r="H22371" s="56">
        <v>0</v>
      </c>
      <c r="I22371" s="224" t="s">
        <v>2</v>
      </c>
    </row>
    <row r="22372" spans="1:9" x14ac:dyDescent="0.25">
      <c r="A22372" s="515">
        <v>65323</v>
      </c>
      <c r="C22372" s="52">
        <v>171698.067323405</v>
      </c>
      <c r="D22372" s="56">
        <v>0.16897886590984093</v>
      </c>
      <c r="E22372" s="224" t="s">
        <v>2</v>
      </c>
      <c r="F22372" s="515" t="s">
        <v>23539</v>
      </c>
      <c r="G22372" s="52">
        <v>281840.2</v>
      </c>
      <c r="H22372" s="56">
        <v>0</v>
      </c>
      <c r="I22372" s="224" t="s">
        <v>2</v>
      </c>
    </row>
    <row r="22373" spans="1:9" x14ac:dyDescent="0.25">
      <c r="A22373" s="515">
        <v>49950</v>
      </c>
      <c r="B22373" s="515" t="s">
        <v>462</v>
      </c>
      <c r="C22373" s="52">
        <v>178050.50447348299</v>
      </c>
      <c r="D22373" s="56">
        <v>0.14327216500562678</v>
      </c>
      <c r="E22373" s="224" t="s">
        <v>2</v>
      </c>
      <c r="F22373" s="515" t="s">
        <v>23540</v>
      </c>
      <c r="G22373" s="52">
        <v>245720.935417336</v>
      </c>
      <c r="H22373" s="56">
        <v>5.891444482074748E-2</v>
      </c>
      <c r="I22373" s="224" t="s">
        <v>2</v>
      </c>
    </row>
    <row r="22374" spans="1:9" x14ac:dyDescent="0.25">
      <c r="A22374" s="515">
        <v>92549</v>
      </c>
      <c r="B22374" s="515" t="s">
        <v>599</v>
      </c>
      <c r="C22374" s="52">
        <v>482615.45603920001</v>
      </c>
      <c r="D22374" s="56">
        <v>4.646940405492847E-2</v>
      </c>
      <c r="E22374" s="224" t="s">
        <v>2</v>
      </c>
      <c r="F22374" s="515" t="s">
        <v>23541</v>
      </c>
      <c r="G22374" s="52">
        <v>231449.30880723801</v>
      </c>
      <c r="H22374" s="56">
        <v>8.3805603942048418E-2</v>
      </c>
      <c r="I22374" s="224" t="s">
        <v>2</v>
      </c>
    </row>
    <row r="22375" spans="1:9" x14ac:dyDescent="0.25">
      <c r="A22375" s="515">
        <v>55757</v>
      </c>
      <c r="B22375" s="515" t="s">
        <v>350</v>
      </c>
      <c r="C22375" s="52">
        <v>179385.63127348199</v>
      </c>
      <c r="D22375" s="56">
        <v>0</v>
      </c>
      <c r="E22375" s="224" t="s">
        <v>2</v>
      </c>
      <c r="F22375" s="515" t="s">
        <v>23542</v>
      </c>
      <c r="G22375" s="52">
        <v>500849.86748039298</v>
      </c>
      <c r="H22375" s="56">
        <v>0</v>
      </c>
      <c r="I22375" s="224" t="s">
        <v>2</v>
      </c>
    </row>
    <row r="22376" spans="1:9" x14ac:dyDescent="0.25">
      <c r="A22376" s="515">
        <v>80728</v>
      </c>
      <c r="B22376" s="515" t="s">
        <v>721</v>
      </c>
      <c r="C22376" s="52">
        <v>257201.24865615001</v>
      </c>
      <c r="D22376" s="56">
        <v>0.12374178116631948</v>
      </c>
      <c r="E22376" s="224" t="s">
        <v>2</v>
      </c>
      <c r="F22376" s="515" t="s">
        <v>23543</v>
      </c>
      <c r="G22376" s="52">
        <v>136291.36759600701</v>
      </c>
      <c r="H22376" s="56">
        <v>0</v>
      </c>
      <c r="I22376" s="224" t="s">
        <v>2</v>
      </c>
    </row>
    <row r="22377" spans="1:9" x14ac:dyDescent="0.25">
      <c r="A22377" s="515">
        <v>59853</v>
      </c>
      <c r="C22377" s="52">
        <v>469612.35897298</v>
      </c>
      <c r="D22377" s="56">
        <v>0.1309381352244946</v>
      </c>
      <c r="E22377" s="224" t="s">
        <v>2</v>
      </c>
      <c r="F22377" s="515" t="s">
        <v>23544</v>
      </c>
      <c r="G22377" s="52">
        <v>258606.17130326101</v>
      </c>
      <c r="H22377" s="56">
        <v>0.10372917622634074</v>
      </c>
      <c r="I22377" s="224" t="s">
        <v>2</v>
      </c>
    </row>
    <row r="22378" spans="1:9" x14ac:dyDescent="0.25">
      <c r="A22378" s="515">
        <v>13141</v>
      </c>
      <c r="B22378" s="515" t="s">
        <v>507</v>
      </c>
      <c r="C22378" s="52">
        <v>185886.63761735501</v>
      </c>
      <c r="D22378" s="56">
        <v>8.9092857983353604E-2</v>
      </c>
      <c r="E22378" s="224" t="s">
        <v>2</v>
      </c>
      <c r="F22378" s="515" t="s">
        <v>23545</v>
      </c>
      <c r="G22378" s="52">
        <v>103974.71983928399</v>
      </c>
      <c r="H22378" s="56">
        <v>0.16081439397347405</v>
      </c>
      <c r="I22378" s="224" t="s">
        <v>2</v>
      </c>
    </row>
    <row r="22379" spans="1:9" x14ac:dyDescent="0.25">
      <c r="A22379" s="515">
        <v>27862</v>
      </c>
      <c r="B22379" s="515" t="s">
        <v>909</v>
      </c>
      <c r="C22379" s="52">
        <v>126843.13662858101</v>
      </c>
      <c r="D22379" s="56">
        <v>8.4982741651847868E-2</v>
      </c>
      <c r="E22379" s="224" t="s">
        <v>2</v>
      </c>
      <c r="F22379" s="515" t="s">
        <v>23546</v>
      </c>
      <c r="G22379" s="52">
        <v>219268.29151776401</v>
      </c>
      <c r="H22379" s="56">
        <v>0</v>
      </c>
      <c r="I22379" s="224" t="s">
        <v>2</v>
      </c>
    </row>
    <row r="22380" spans="1:9" x14ac:dyDescent="0.25">
      <c r="A22380" s="515">
        <v>15742</v>
      </c>
      <c r="B22380" s="515" t="s">
        <v>343</v>
      </c>
      <c r="C22380" s="52">
        <v>95361.875105167695</v>
      </c>
      <c r="D22380" s="56">
        <v>2.7988139277705607E-2</v>
      </c>
      <c r="E22380" s="224" t="s">
        <v>2</v>
      </c>
      <c r="F22380" s="515" t="s">
        <v>23547</v>
      </c>
      <c r="G22380" s="52">
        <v>510782.58758629003</v>
      </c>
      <c r="H22380" s="56">
        <v>6.3409807940130986E-2</v>
      </c>
      <c r="I22380" s="224" t="s">
        <v>2</v>
      </c>
    </row>
    <row r="22381" spans="1:9" x14ac:dyDescent="0.25">
      <c r="A22381" s="515">
        <v>68029</v>
      </c>
      <c r="B22381" s="515" t="s">
        <v>367</v>
      </c>
      <c r="C22381" s="52">
        <v>329126.64699185302</v>
      </c>
      <c r="D22381" s="56">
        <v>0.14602850038770612</v>
      </c>
      <c r="E22381" s="224" t="s">
        <v>2</v>
      </c>
      <c r="F22381" s="515" t="s">
        <v>23548</v>
      </c>
      <c r="G22381" s="52">
        <v>98202.509588506306</v>
      </c>
      <c r="H22381" s="56">
        <v>0.12307533793208492</v>
      </c>
      <c r="I22381" s="224" t="s">
        <v>2</v>
      </c>
    </row>
    <row r="22382" spans="1:9" x14ac:dyDescent="0.25">
      <c r="A22382" s="515">
        <v>54003</v>
      </c>
      <c r="B22382" s="515" t="s">
        <v>532</v>
      </c>
      <c r="C22382" s="52">
        <v>324190.23598706903</v>
      </c>
      <c r="D22382" s="56">
        <v>1.9540670673792691E-2</v>
      </c>
      <c r="E22382" s="224" t="s">
        <v>2</v>
      </c>
      <c r="F22382" s="515" t="s">
        <v>23549</v>
      </c>
      <c r="G22382" s="52">
        <v>95008.674372711495</v>
      </c>
      <c r="H22382" s="56">
        <v>5.5838238980635294E-2</v>
      </c>
      <c r="I22382" s="224" t="s">
        <v>2</v>
      </c>
    </row>
    <row r="22383" spans="1:9" x14ac:dyDescent="0.25">
      <c r="A22383" s="515">
        <v>12777</v>
      </c>
      <c r="C22383" s="52">
        <v>349375.98373880098</v>
      </c>
      <c r="D22383" s="56">
        <v>0.13605974289286649</v>
      </c>
      <c r="E22383" s="224" t="s">
        <v>2</v>
      </c>
      <c r="F22383" s="515" t="s">
        <v>23550</v>
      </c>
      <c r="G22383" s="52">
        <v>336948.45311520202</v>
      </c>
      <c r="H22383" s="56">
        <v>0</v>
      </c>
      <c r="I22383" s="224" t="s">
        <v>2</v>
      </c>
    </row>
    <row r="22384" spans="1:9" x14ac:dyDescent="0.25">
      <c r="A22384" s="515">
        <v>52619</v>
      </c>
      <c r="B22384" s="515" t="s">
        <v>496</v>
      </c>
      <c r="C22384" s="52">
        <v>147660.719193467</v>
      </c>
      <c r="D22384" s="56">
        <v>0</v>
      </c>
      <c r="E22384" s="224" t="s">
        <v>2</v>
      </c>
      <c r="F22384" s="515" t="s">
        <v>23551</v>
      </c>
      <c r="G22384" s="52">
        <v>48266.864437597498</v>
      </c>
      <c r="H22384" s="56">
        <v>3.5461694620631388E-2</v>
      </c>
      <c r="I22384" s="224" t="s">
        <v>2</v>
      </c>
    </row>
    <row r="22385" spans="1:9" x14ac:dyDescent="0.25">
      <c r="A22385" s="515">
        <v>25259</v>
      </c>
      <c r="C22385" s="52">
        <v>129499.854055448</v>
      </c>
      <c r="D22385" s="56">
        <v>5.7151333072221824E-3</v>
      </c>
      <c r="E22385" s="224" t="s">
        <v>2</v>
      </c>
      <c r="F22385" s="515" t="s">
        <v>23552</v>
      </c>
      <c r="G22385" s="52">
        <v>122025.907087089</v>
      </c>
      <c r="H22385" s="56">
        <v>5.961923393902252E-2</v>
      </c>
      <c r="I22385" s="224" t="s">
        <v>2</v>
      </c>
    </row>
    <row r="22386" spans="1:9" x14ac:dyDescent="0.25">
      <c r="A22386" s="515">
        <v>72125</v>
      </c>
      <c r="B22386" s="515" t="s">
        <v>393</v>
      </c>
      <c r="C22386" s="52">
        <v>108015.69818241399</v>
      </c>
      <c r="D22386" s="56">
        <v>5.3371376254823452E-2</v>
      </c>
      <c r="E22386" s="224" t="s">
        <v>2</v>
      </c>
      <c r="F22386" s="515" t="s">
        <v>23553</v>
      </c>
      <c r="G22386" s="52">
        <v>179914.535003781</v>
      </c>
      <c r="H22386" s="56">
        <v>6.2839550631737767E-2</v>
      </c>
      <c r="I22386" s="224" t="s">
        <v>2</v>
      </c>
    </row>
    <row r="22387" spans="1:9" x14ac:dyDescent="0.25">
      <c r="A22387" s="515">
        <v>87510</v>
      </c>
      <c r="B22387" s="515" t="s">
        <v>313</v>
      </c>
      <c r="C22387" s="52">
        <v>325283.237604308</v>
      </c>
      <c r="D22387" s="56">
        <v>2.2206845777398829E-2</v>
      </c>
      <c r="E22387" s="224" t="s">
        <v>2</v>
      </c>
      <c r="F22387" s="515" t="s">
        <v>23554</v>
      </c>
      <c r="G22387" s="52">
        <v>229593.401556069</v>
      </c>
      <c r="H22387" s="56">
        <v>0.10226921448772804</v>
      </c>
      <c r="I22387" s="224" t="s">
        <v>2</v>
      </c>
    </row>
    <row r="22388" spans="1:9" x14ac:dyDescent="0.25">
      <c r="A22388" s="515">
        <v>73461</v>
      </c>
      <c r="C22388" s="52">
        <v>168618.28689379801</v>
      </c>
      <c r="D22388" s="56">
        <v>0.21180053796629653</v>
      </c>
      <c r="E22388" s="224" t="s">
        <v>2</v>
      </c>
      <c r="F22388" s="515" t="s">
        <v>23555</v>
      </c>
      <c r="G22388" s="52">
        <v>108007.71915890501</v>
      </c>
      <c r="H22388" s="56">
        <v>0</v>
      </c>
      <c r="I22388" s="224" t="s">
        <v>2</v>
      </c>
    </row>
    <row r="22389" spans="1:9" x14ac:dyDescent="0.25">
      <c r="A22389" s="515">
        <v>38753</v>
      </c>
      <c r="B22389" s="515" t="s">
        <v>976</v>
      </c>
      <c r="C22389" s="52">
        <v>115599.992805755</v>
      </c>
      <c r="D22389" s="56">
        <v>0</v>
      </c>
      <c r="E22389" s="224" t="s">
        <v>2</v>
      </c>
      <c r="F22389" s="515" t="s">
        <v>23556</v>
      </c>
      <c r="G22389" s="52">
        <v>89979.603905360593</v>
      </c>
      <c r="H22389" s="56">
        <v>0.10466108484801935</v>
      </c>
      <c r="I22389" s="224" t="s">
        <v>2</v>
      </c>
    </row>
    <row r="22390" spans="1:9" x14ac:dyDescent="0.25">
      <c r="A22390" s="515">
        <v>39745</v>
      </c>
      <c r="C22390" s="52">
        <v>146748.23636298699</v>
      </c>
      <c r="D22390" s="56">
        <v>8.6649503830635952E-2</v>
      </c>
      <c r="E22390" s="224" t="s">
        <v>2</v>
      </c>
      <c r="F22390" s="515" t="s">
        <v>23557</v>
      </c>
      <c r="G22390" s="52">
        <v>103306.839849287</v>
      </c>
      <c r="H22390" s="56">
        <v>-0.1270277623488108</v>
      </c>
      <c r="I22390" s="224" t="s">
        <v>2</v>
      </c>
    </row>
    <row r="22391" spans="1:9" x14ac:dyDescent="0.25">
      <c r="A22391" s="515">
        <v>43442</v>
      </c>
      <c r="B22391" s="515" t="s">
        <v>878</v>
      </c>
      <c r="C22391" s="52">
        <v>148217.46704799999</v>
      </c>
      <c r="D22391" s="56">
        <v>7.0312383823177296E-2</v>
      </c>
      <c r="E22391" s="224" t="s">
        <v>2</v>
      </c>
      <c r="F22391" s="515" t="s">
        <v>23558</v>
      </c>
      <c r="G22391" s="52">
        <v>360780.35714285698</v>
      </c>
      <c r="H22391" s="56">
        <v>0</v>
      </c>
      <c r="I22391" s="224" t="s">
        <v>2</v>
      </c>
    </row>
    <row r="22392" spans="1:9" x14ac:dyDescent="0.25">
      <c r="A22392" s="515">
        <v>39347</v>
      </c>
      <c r="B22392" s="515" t="s">
        <v>970</v>
      </c>
      <c r="C22392" s="52">
        <v>150076.00109013601</v>
      </c>
      <c r="D22392" s="56">
        <v>-5.4974312717171025E-3</v>
      </c>
      <c r="E22392" s="224" t="s">
        <v>2</v>
      </c>
      <c r="G22392" s="52"/>
      <c r="H22392" s="56"/>
      <c r="I22392" s="224"/>
    </row>
    <row r="22393" spans="1:9" x14ac:dyDescent="0.25">
      <c r="A22393" s="515">
        <v>37059</v>
      </c>
      <c r="C22393" s="52">
        <v>215713.31413505599</v>
      </c>
      <c r="D22393" s="56">
        <v>7.5142177171112226E-2</v>
      </c>
      <c r="E22393" s="224" t="s">
        <v>2</v>
      </c>
      <c r="G22393" s="52"/>
      <c r="H22393" s="56"/>
      <c r="I22393" s="224"/>
    </row>
    <row r="22394" spans="1:9" x14ac:dyDescent="0.25">
      <c r="A22394" s="515">
        <v>4616</v>
      </c>
      <c r="C22394" s="52">
        <v>399447.02205473598</v>
      </c>
      <c r="D22394" s="56">
        <v>7.3720220503175601E-2</v>
      </c>
      <c r="E22394" s="224" t="s">
        <v>2</v>
      </c>
      <c r="G22394" s="52"/>
      <c r="H22394" s="56"/>
      <c r="I22394" s="224"/>
    </row>
    <row r="22395" spans="1:9" x14ac:dyDescent="0.25">
      <c r="A22395" s="515">
        <v>16436</v>
      </c>
      <c r="B22395" s="515" t="s">
        <v>584</v>
      </c>
      <c r="C22395" s="52">
        <v>116357.49243035501</v>
      </c>
      <c r="D22395" s="56">
        <v>0.13674950658004348</v>
      </c>
      <c r="E22395" s="224" t="s">
        <v>2</v>
      </c>
      <c r="G22395" s="52"/>
      <c r="H22395" s="56"/>
      <c r="I22395" s="224"/>
    </row>
    <row r="22396" spans="1:9" x14ac:dyDescent="0.25">
      <c r="A22396" s="515">
        <v>52766</v>
      </c>
      <c r="B22396" s="515" t="s">
        <v>755</v>
      </c>
      <c r="C22396" s="52">
        <v>170827.31145375001</v>
      </c>
      <c r="D22396" s="56">
        <v>8.7123050868233715E-2</v>
      </c>
      <c r="E22396" s="224" t="s">
        <v>2</v>
      </c>
      <c r="G22396" s="52"/>
      <c r="H22396" s="56"/>
      <c r="I22396" s="224"/>
    </row>
    <row r="22397" spans="1:9" x14ac:dyDescent="0.25">
      <c r="A22397" s="515">
        <v>13621</v>
      </c>
      <c r="B22397" s="515" t="s">
        <v>511</v>
      </c>
      <c r="C22397" s="52">
        <v>118547.002715493</v>
      </c>
      <c r="D22397" s="56">
        <v>5.9071758455023514E-2</v>
      </c>
      <c r="E22397" s="224" t="s">
        <v>2</v>
      </c>
      <c r="G22397" s="52"/>
      <c r="H22397" s="56"/>
      <c r="I22397" s="224"/>
    </row>
    <row r="22398" spans="1:9" x14ac:dyDescent="0.25">
      <c r="A22398" s="515">
        <v>20609</v>
      </c>
      <c r="B22398" s="515" t="s">
        <v>779</v>
      </c>
      <c r="C22398" s="52">
        <v>372696.75843744201</v>
      </c>
      <c r="D22398" s="56">
        <v>2.0562304906514953E-2</v>
      </c>
      <c r="E22398" s="224" t="s">
        <v>2</v>
      </c>
      <c r="G22398" s="52"/>
      <c r="H22398" s="56"/>
      <c r="I22398" s="224"/>
    </row>
    <row r="22399" spans="1:9" x14ac:dyDescent="0.25">
      <c r="A22399" s="515">
        <v>12470</v>
      </c>
      <c r="C22399" s="52">
        <v>267860.17724943598</v>
      </c>
      <c r="D22399" s="56">
        <v>0.1121365362079724</v>
      </c>
      <c r="E22399" s="224" t="s">
        <v>2</v>
      </c>
      <c r="G22399" s="52"/>
      <c r="H22399" s="56"/>
      <c r="I22399" s="224"/>
    </row>
    <row r="22400" spans="1:9" x14ac:dyDescent="0.25">
      <c r="A22400" s="515">
        <v>99126</v>
      </c>
      <c r="B22400" s="515" t="s">
        <v>820</v>
      </c>
      <c r="C22400" s="52">
        <v>353939.05536700401</v>
      </c>
      <c r="D22400" s="56">
        <v>6.153566314830855E-2</v>
      </c>
      <c r="E22400" s="224" t="s">
        <v>2</v>
      </c>
      <c r="G22400" s="52"/>
      <c r="H22400" s="56"/>
      <c r="I22400" s="224"/>
    </row>
    <row r="22401" spans="1:9" x14ac:dyDescent="0.25">
      <c r="A22401" s="515">
        <v>25501</v>
      </c>
      <c r="B22401" s="515" t="s">
        <v>322</v>
      </c>
      <c r="C22401" s="52">
        <v>101145.263818472</v>
      </c>
      <c r="D22401" s="56">
        <v>0.16544175224054289</v>
      </c>
      <c r="E22401" s="224" t="s">
        <v>2</v>
      </c>
      <c r="G22401" s="52"/>
      <c r="H22401" s="56"/>
      <c r="I22401" s="224"/>
    </row>
    <row r="22402" spans="1:9" x14ac:dyDescent="0.25">
      <c r="A22402" s="515">
        <v>71461</v>
      </c>
      <c r="B22402" s="515" t="s">
        <v>889</v>
      </c>
      <c r="C22402" s="52">
        <v>106965.673738709</v>
      </c>
      <c r="D22402" s="56">
        <v>0.11005153726956401</v>
      </c>
      <c r="E22402" s="224" t="s">
        <v>2</v>
      </c>
      <c r="G22402" s="52"/>
      <c r="H22402" s="56"/>
      <c r="I22402" s="224"/>
    </row>
    <row r="22403" spans="1:9" x14ac:dyDescent="0.25">
      <c r="A22403" s="515">
        <v>65724</v>
      </c>
      <c r="C22403" s="52">
        <v>162622.02399861999</v>
      </c>
      <c r="D22403" s="56">
        <v>0.14857888724426224</v>
      </c>
      <c r="E22403" s="224" t="s">
        <v>2</v>
      </c>
      <c r="G22403" s="52"/>
      <c r="H22403" s="56"/>
      <c r="I22403" s="224"/>
    </row>
    <row r="22404" spans="1:9" x14ac:dyDescent="0.25">
      <c r="A22404" s="515">
        <v>41568</v>
      </c>
      <c r="C22404" s="52">
        <v>48750.758455190502</v>
      </c>
      <c r="D22404" s="56">
        <v>0.22830362858247016</v>
      </c>
      <c r="E22404" s="224" t="s">
        <v>2</v>
      </c>
      <c r="G22404" s="52"/>
      <c r="H22404" s="56"/>
      <c r="I22404" s="224"/>
    </row>
    <row r="22405" spans="1:9" x14ac:dyDescent="0.25">
      <c r="A22405" s="515">
        <v>79529</v>
      </c>
      <c r="C22405" s="52">
        <v>62786.914814646698</v>
      </c>
      <c r="D22405" s="56">
        <v>0</v>
      </c>
      <c r="E22405" s="224" t="s">
        <v>2</v>
      </c>
      <c r="G22405" s="52"/>
      <c r="H22405" s="56"/>
      <c r="I22405" s="224"/>
    </row>
    <row r="22406" spans="1:9" x14ac:dyDescent="0.25">
      <c r="A22406" s="515">
        <v>37313</v>
      </c>
      <c r="C22406" s="52">
        <v>175574.12665966299</v>
      </c>
      <c r="D22406" s="56">
        <v>-1.568809792691259E-3</v>
      </c>
      <c r="E22406" s="224" t="s">
        <v>2</v>
      </c>
      <c r="G22406" s="52"/>
      <c r="H22406" s="56"/>
      <c r="I22406" s="224"/>
    </row>
    <row r="22407" spans="1:9" x14ac:dyDescent="0.25">
      <c r="A22407" s="515">
        <v>4949</v>
      </c>
      <c r="C22407" s="52">
        <v>283041.26847313601</v>
      </c>
      <c r="D22407" s="56">
        <v>8.7028214308114013E-2</v>
      </c>
      <c r="E22407" s="224" t="s">
        <v>2</v>
      </c>
      <c r="G22407" s="52"/>
      <c r="H22407" s="56"/>
      <c r="I22407" s="224"/>
    </row>
    <row r="22408" spans="1:9" x14ac:dyDescent="0.25">
      <c r="A22408" s="515">
        <v>61544</v>
      </c>
      <c r="B22408" s="515" t="s">
        <v>303</v>
      </c>
      <c r="C22408" s="52">
        <v>72436.445225810399</v>
      </c>
      <c r="D22408" s="56">
        <v>7.0457288849625349E-2</v>
      </c>
      <c r="E22408" s="224" t="s">
        <v>2</v>
      </c>
      <c r="G22408" s="52"/>
      <c r="H22408" s="56"/>
      <c r="I22408" s="224"/>
    </row>
    <row r="22409" spans="1:9" x14ac:dyDescent="0.25">
      <c r="A22409" s="515">
        <v>38236</v>
      </c>
      <c r="B22409" s="515" t="s">
        <v>975</v>
      </c>
      <c r="C22409" s="52">
        <v>180182.62235431501</v>
      </c>
      <c r="D22409" s="56">
        <v>0</v>
      </c>
      <c r="E22409" s="224" t="s">
        <v>2</v>
      </c>
      <c r="G22409" s="52"/>
      <c r="H22409" s="56"/>
      <c r="I22409" s="224"/>
    </row>
    <row r="22410" spans="1:9" x14ac:dyDescent="0.25">
      <c r="A22410" s="515">
        <v>57759</v>
      </c>
      <c r="B22410" s="515" t="s">
        <v>934</v>
      </c>
      <c r="C22410" s="52">
        <v>550927.85303269105</v>
      </c>
      <c r="D22410" s="56">
        <v>0.11291141371695415</v>
      </c>
      <c r="E22410" s="224" t="s">
        <v>2</v>
      </c>
      <c r="G22410" s="52"/>
      <c r="H22410" s="56"/>
      <c r="I22410" s="224"/>
    </row>
    <row r="22411" spans="1:9" x14ac:dyDescent="0.25">
      <c r="A22411" s="515">
        <v>8340</v>
      </c>
      <c r="B22411" s="515" t="s">
        <v>800</v>
      </c>
      <c r="C22411" s="52">
        <v>326645.24029446102</v>
      </c>
      <c r="D22411" s="56">
        <v>5.6873169227954372E-2</v>
      </c>
      <c r="E22411" s="224" t="s">
        <v>2</v>
      </c>
      <c r="G22411" s="52"/>
      <c r="H22411" s="56"/>
      <c r="I22411" s="224"/>
    </row>
    <row r="22412" spans="1:9" x14ac:dyDescent="0.25">
      <c r="A22412" s="515">
        <v>66771</v>
      </c>
      <c r="C22412" s="52">
        <v>115560.459154158</v>
      </c>
      <c r="D22412" s="56">
        <v>0.10409264294728192</v>
      </c>
      <c r="E22412" s="224" t="s">
        <v>2</v>
      </c>
      <c r="G22412" s="52"/>
      <c r="H22412" s="56"/>
      <c r="I22412" s="224"/>
    </row>
    <row r="22413" spans="1:9" x14ac:dyDescent="0.25">
      <c r="A22413" s="515">
        <v>38923</v>
      </c>
      <c r="B22413" s="515" t="s">
        <v>293</v>
      </c>
      <c r="C22413" s="52">
        <v>132684.28440366901</v>
      </c>
      <c r="D22413" s="56">
        <v>0</v>
      </c>
      <c r="E22413" s="224" t="s">
        <v>2</v>
      </c>
      <c r="G22413" s="52"/>
      <c r="H22413" s="56"/>
      <c r="I22413" s="224"/>
    </row>
    <row r="22414" spans="1:9" x14ac:dyDescent="0.25">
      <c r="A22414" s="515">
        <v>62311</v>
      </c>
      <c r="B22414" s="515" t="s">
        <v>496</v>
      </c>
      <c r="C22414" s="52">
        <v>71500.074999999997</v>
      </c>
      <c r="D22414" s="56">
        <v>0</v>
      </c>
      <c r="E22414" s="224" t="s">
        <v>2</v>
      </c>
      <c r="G22414" s="52"/>
      <c r="H22414" s="56"/>
      <c r="I22414" s="224"/>
    </row>
    <row r="22415" spans="1:9" x14ac:dyDescent="0.25">
      <c r="A22415" s="515">
        <v>3282</v>
      </c>
      <c r="B22415" s="515" t="s">
        <v>420</v>
      </c>
      <c r="C22415" s="52">
        <v>285780.21870780998</v>
      </c>
      <c r="D22415" s="56">
        <v>0.15804085724030659</v>
      </c>
      <c r="E22415" s="224" t="s">
        <v>2</v>
      </c>
      <c r="G22415" s="52"/>
      <c r="H22415" s="56"/>
      <c r="I22415" s="224"/>
    </row>
    <row r="22416" spans="1:9" x14ac:dyDescent="0.25">
      <c r="A22416" s="515">
        <v>52254</v>
      </c>
      <c r="B22416" s="515" t="s">
        <v>330</v>
      </c>
      <c r="C22416" s="52">
        <v>129207.000011097</v>
      </c>
      <c r="D22416" s="56">
        <v>5.3633396761509078E-2</v>
      </c>
      <c r="E22416" s="224" t="s">
        <v>2</v>
      </c>
      <c r="G22416" s="52"/>
      <c r="H22416" s="56"/>
      <c r="I22416" s="224"/>
    </row>
    <row r="22417" spans="1:9" x14ac:dyDescent="0.25">
      <c r="A22417" s="515">
        <v>59349</v>
      </c>
      <c r="C22417" s="52">
        <v>151875.04192781501</v>
      </c>
      <c r="D22417" s="56">
        <v>-2.4368788991180498E-2</v>
      </c>
      <c r="E22417" s="224" t="s">
        <v>2</v>
      </c>
      <c r="G22417" s="52"/>
      <c r="H22417" s="56"/>
      <c r="I22417" s="224"/>
    </row>
    <row r="22418" spans="1:9" x14ac:dyDescent="0.25">
      <c r="A22418" s="515">
        <v>74839</v>
      </c>
      <c r="C22418" s="52">
        <v>100214.826771309</v>
      </c>
      <c r="D22418" s="56">
        <v>0.13730255206407133</v>
      </c>
      <c r="E22418" s="224" t="s">
        <v>2</v>
      </c>
      <c r="G22418" s="52"/>
      <c r="H22418" s="56"/>
      <c r="I22418" s="224"/>
    </row>
    <row r="22419" spans="1:9" x14ac:dyDescent="0.25">
      <c r="A22419" s="515">
        <v>13731</v>
      </c>
      <c r="C22419" s="52">
        <v>344247.93588224298</v>
      </c>
      <c r="D22419" s="56">
        <v>0.15602682238224064</v>
      </c>
      <c r="E22419" s="224" t="s">
        <v>2</v>
      </c>
      <c r="G22419" s="52"/>
      <c r="H22419" s="56"/>
      <c r="I22419" s="224"/>
    </row>
    <row r="22420" spans="1:9" x14ac:dyDescent="0.25">
      <c r="A22420" s="515">
        <v>36255</v>
      </c>
      <c r="C22420" s="52">
        <v>151235.78160919499</v>
      </c>
      <c r="D22420" s="56">
        <v>0</v>
      </c>
      <c r="E22420" s="224" t="s">
        <v>2</v>
      </c>
      <c r="G22420" s="52"/>
      <c r="H22420" s="56"/>
      <c r="I22420" s="224"/>
    </row>
    <row r="22421" spans="1:9" x14ac:dyDescent="0.25">
      <c r="A22421" s="515">
        <v>78159</v>
      </c>
      <c r="C22421" s="52">
        <v>151669.564983155</v>
      </c>
      <c r="D22421" s="56">
        <v>0</v>
      </c>
      <c r="E22421" s="224" t="s">
        <v>2</v>
      </c>
      <c r="G22421" s="52"/>
      <c r="H22421" s="56"/>
      <c r="I22421" s="224"/>
    </row>
    <row r="22422" spans="1:9" x14ac:dyDescent="0.25">
      <c r="A22422" s="515">
        <v>61884</v>
      </c>
      <c r="B22422" s="515" t="s">
        <v>417</v>
      </c>
      <c r="C22422" s="52">
        <v>280278.62995461898</v>
      </c>
      <c r="D22422" s="56">
        <v>8.4319974546547272E-2</v>
      </c>
      <c r="E22422" s="224" t="s">
        <v>2</v>
      </c>
      <c r="G22422" s="52"/>
      <c r="H22422" s="56"/>
      <c r="I22422" s="224"/>
    </row>
    <row r="22423" spans="1:9" x14ac:dyDescent="0.25">
      <c r="A22423" s="515">
        <v>67004</v>
      </c>
      <c r="B22423" s="515" t="s">
        <v>485</v>
      </c>
      <c r="C22423" s="52">
        <v>118883.608347068</v>
      </c>
      <c r="D22423" s="56">
        <v>4.8356601096175941E-2</v>
      </c>
      <c r="E22423" s="224" t="s">
        <v>2</v>
      </c>
      <c r="G22423" s="52"/>
      <c r="H22423" s="56"/>
      <c r="I22423" s="224"/>
    </row>
    <row r="22424" spans="1:9" x14ac:dyDescent="0.25">
      <c r="A22424" s="515">
        <v>76671</v>
      </c>
      <c r="C22424" s="52">
        <v>188266.26143548201</v>
      </c>
      <c r="D22424" s="56">
        <v>0.17994186994959319</v>
      </c>
      <c r="E22424" s="224" t="s">
        <v>2</v>
      </c>
      <c r="G22424" s="52"/>
      <c r="H22424" s="56"/>
      <c r="I22424" s="224"/>
    </row>
    <row r="22425" spans="1:9" x14ac:dyDescent="0.25">
      <c r="A22425" s="515">
        <v>32190</v>
      </c>
      <c r="B22425" s="515" t="s">
        <v>974</v>
      </c>
      <c r="C22425" s="52">
        <v>244083.887292667</v>
      </c>
      <c r="D22425" s="56">
        <v>0.21593612522676564</v>
      </c>
      <c r="E22425" s="224" t="s">
        <v>2</v>
      </c>
      <c r="G22425" s="52"/>
      <c r="H22425" s="56"/>
      <c r="I22425" s="224"/>
    </row>
    <row r="22426" spans="1:9" x14ac:dyDescent="0.25">
      <c r="A22426" s="515">
        <v>62688</v>
      </c>
      <c r="B22426" s="515" t="s">
        <v>819</v>
      </c>
      <c r="C22426" s="52">
        <v>106894.393598514</v>
      </c>
      <c r="D22426" s="56">
        <v>3.3629395755263916E-4</v>
      </c>
      <c r="E22426" s="224" t="s">
        <v>2</v>
      </c>
      <c r="G22426" s="52"/>
      <c r="H22426" s="56"/>
      <c r="I22426" s="224"/>
    </row>
    <row r="22427" spans="1:9" x14ac:dyDescent="0.25">
      <c r="A22427" s="515">
        <v>50632</v>
      </c>
      <c r="C22427" s="52">
        <v>127325.168204927</v>
      </c>
      <c r="D22427" s="56">
        <v>7.7250354789402717E-2</v>
      </c>
      <c r="E22427" s="224" t="s">
        <v>2</v>
      </c>
      <c r="G22427" s="52"/>
      <c r="H22427" s="56"/>
      <c r="I22427" s="224"/>
    </row>
    <row r="22428" spans="1:9" x14ac:dyDescent="0.25">
      <c r="A22428" s="515">
        <v>51004</v>
      </c>
      <c r="B22428" s="515" t="s">
        <v>649</v>
      </c>
      <c r="C22428" s="52">
        <v>125203.99454830799</v>
      </c>
      <c r="D22428" s="56">
        <v>0</v>
      </c>
      <c r="E22428" s="224" t="s">
        <v>2</v>
      </c>
      <c r="G22428" s="52"/>
      <c r="H22428" s="56"/>
      <c r="I22428" s="224"/>
    </row>
    <row r="22429" spans="1:9" x14ac:dyDescent="0.25">
      <c r="A22429" s="515">
        <v>56260</v>
      </c>
      <c r="C22429" s="52">
        <v>242507.177305221</v>
      </c>
      <c r="D22429" s="56">
        <v>4.5013533333502921E-2</v>
      </c>
      <c r="E22429" s="224" t="s">
        <v>2</v>
      </c>
      <c r="G22429" s="52"/>
      <c r="H22429" s="56"/>
      <c r="I22429" s="224"/>
    </row>
    <row r="22430" spans="1:9" x14ac:dyDescent="0.25">
      <c r="A22430" s="515">
        <v>14836</v>
      </c>
      <c r="B22430" s="515" t="s">
        <v>337</v>
      </c>
      <c r="C22430" s="52">
        <v>125609.964993046</v>
      </c>
      <c r="D22430" s="56">
        <v>8.2531722307912586E-2</v>
      </c>
      <c r="E22430" s="224" t="s">
        <v>2</v>
      </c>
      <c r="G22430" s="52"/>
      <c r="H22430" s="56"/>
      <c r="I22430" s="224"/>
    </row>
    <row r="22431" spans="1:9" x14ac:dyDescent="0.25">
      <c r="A22431" s="515">
        <v>57626</v>
      </c>
      <c r="B22431" s="515" t="s">
        <v>854</v>
      </c>
      <c r="C22431" s="52">
        <v>170739.6883062</v>
      </c>
      <c r="D22431" s="56">
        <v>0</v>
      </c>
      <c r="E22431" s="224" t="s">
        <v>2</v>
      </c>
      <c r="G22431" s="52"/>
      <c r="H22431" s="56"/>
      <c r="I22431" s="224"/>
    </row>
    <row r="22432" spans="1:9" x14ac:dyDescent="0.25">
      <c r="A22432" s="515">
        <v>95968</v>
      </c>
      <c r="B22432" s="515" t="s">
        <v>580</v>
      </c>
      <c r="C22432" s="52">
        <v>237848.541158187</v>
      </c>
      <c r="D22432" s="56">
        <v>3.3163132019884217E-2</v>
      </c>
      <c r="E22432" s="224" t="s">
        <v>2</v>
      </c>
      <c r="G22432" s="52"/>
      <c r="H22432" s="56"/>
      <c r="I22432" s="224"/>
    </row>
    <row r="22433" spans="1:9" x14ac:dyDescent="0.25">
      <c r="A22433" s="515">
        <v>1255</v>
      </c>
      <c r="B22433" s="515" t="s">
        <v>497</v>
      </c>
      <c r="C22433" s="52">
        <v>373078.348510543</v>
      </c>
      <c r="D22433" s="56">
        <v>0.13139754981729521</v>
      </c>
      <c r="E22433" s="224" t="s">
        <v>2</v>
      </c>
      <c r="G22433" s="52"/>
      <c r="H22433" s="56"/>
      <c r="I22433" s="224"/>
    </row>
    <row r="22434" spans="1:9" x14ac:dyDescent="0.25">
      <c r="A22434" s="515">
        <v>55053</v>
      </c>
      <c r="B22434" s="515" t="s">
        <v>504</v>
      </c>
      <c r="C22434" s="52">
        <v>355352.82417757099</v>
      </c>
      <c r="D22434" s="56">
        <v>8.3063439582720208E-2</v>
      </c>
      <c r="E22434" s="224" t="s">
        <v>2</v>
      </c>
      <c r="G22434" s="52"/>
      <c r="H22434" s="56"/>
      <c r="I22434" s="224"/>
    </row>
    <row r="22435" spans="1:9" x14ac:dyDescent="0.25">
      <c r="A22435" s="515">
        <v>68783</v>
      </c>
      <c r="C22435" s="52">
        <v>133596.50708542301</v>
      </c>
      <c r="D22435" s="56">
        <v>6.5235082099611666E-2</v>
      </c>
      <c r="E22435" s="224" t="s">
        <v>2</v>
      </c>
      <c r="G22435" s="52"/>
      <c r="H22435" s="56"/>
      <c r="I22435" s="224"/>
    </row>
    <row r="22436" spans="1:9" x14ac:dyDescent="0.25">
      <c r="A22436" s="515">
        <v>28766</v>
      </c>
      <c r="B22436" s="515" t="s">
        <v>908</v>
      </c>
      <c r="C22436" s="52">
        <v>351557.14762431401</v>
      </c>
      <c r="D22436" s="56">
        <v>0.16544342373175822</v>
      </c>
      <c r="E22436" s="224" t="s">
        <v>2</v>
      </c>
      <c r="G22436" s="52"/>
      <c r="H22436" s="56"/>
      <c r="I22436" s="224"/>
    </row>
    <row r="22437" spans="1:9" x14ac:dyDescent="0.25">
      <c r="A22437" s="515">
        <v>47568</v>
      </c>
      <c r="B22437" s="515" t="s">
        <v>922</v>
      </c>
      <c r="C22437" s="52">
        <v>132744.06225334201</v>
      </c>
      <c r="D22437" s="56">
        <v>5.0736912656587349E-2</v>
      </c>
      <c r="E22437" s="224" t="s">
        <v>2</v>
      </c>
      <c r="G22437" s="52"/>
      <c r="H22437" s="56"/>
      <c r="I22437" s="224"/>
    </row>
    <row r="22438" spans="1:9" x14ac:dyDescent="0.25">
      <c r="A22438" s="515">
        <v>56041</v>
      </c>
      <c r="B22438" s="515" t="s">
        <v>896</v>
      </c>
      <c r="C22438" s="52">
        <v>217644.58145606401</v>
      </c>
      <c r="D22438" s="56">
        <v>0.10294685735805728</v>
      </c>
      <c r="E22438" s="224" t="s">
        <v>2</v>
      </c>
      <c r="G22438" s="52"/>
      <c r="H22438" s="56"/>
      <c r="I22438" s="224"/>
    </row>
    <row r="22439" spans="1:9" x14ac:dyDescent="0.25">
      <c r="A22439" s="515">
        <v>68641</v>
      </c>
      <c r="C22439" s="52">
        <v>186614.48470396301</v>
      </c>
      <c r="D22439" s="56">
        <v>0.11223260501529868</v>
      </c>
      <c r="E22439" s="224" t="s">
        <v>2</v>
      </c>
      <c r="G22439" s="52"/>
      <c r="H22439" s="56"/>
      <c r="I22439" s="224"/>
    </row>
    <row r="22440" spans="1:9" x14ac:dyDescent="0.25">
      <c r="A22440" s="515">
        <v>64790</v>
      </c>
      <c r="C22440" s="52">
        <v>144500.657495975</v>
      </c>
      <c r="D22440" s="56">
        <v>-4.2268106910714059E-2</v>
      </c>
      <c r="E22440" s="224" t="s">
        <v>2</v>
      </c>
      <c r="G22440" s="52"/>
      <c r="H22440" s="56"/>
      <c r="I22440" s="224"/>
    </row>
    <row r="22441" spans="1:9" x14ac:dyDescent="0.25">
      <c r="A22441" s="515">
        <v>24823</v>
      </c>
      <c r="C22441" s="52">
        <v>33150.220331577897</v>
      </c>
      <c r="D22441" s="56">
        <v>1.8560049133708343E-3</v>
      </c>
      <c r="E22441" s="224" t="s">
        <v>2</v>
      </c>
      <c r="G22441" s="52"/>
      <c r="H22441" s="56"/>
      <c r="I22441" s="224"/>
    </row>
    <row r="22442" spans="1:9" x14ac:dyDescent="0.25">
      <c r="A22442" s="515">
        <v>67009</v>
      </c>
      <c r="C22442" s="52">
        <v>73276.779248072606</v>
      </c>
      <c r="D22442" s="56">
        <v>0.10810306737406643</v>
      </c>
      <c r="E22442" s="224" t="s">
        <v>2</v>
      </c>
      <c r="G22442" s="52"/>
      <c r="H22442" s="56"/>
      <c r="I22442" s="224"/>
    </row>
    <row r="22443" spans="1:9" x14ac:dyDescent="0.25">
      <c r="A22443" s="515">
        <v>51653</v>
      </c>
      <c r="C22443" s="52">
        <v>177463.11350539199</v>
      </c>
      <c r="D22443" s="56">
        <v>8.4644891230219649E-2</v>
      </c>
      <c r="E22443" s="224" t="s">
        <v>2</v>
      </c>
      <c r="G22443" s="52"/>
      <c r="H22443" s="56"/>
      <c r="I22443" s="224"/>
    </row>
    <row r="22444" spans="1:9" x14ac:dyDescent="0.25">
      <c r="A22444" s="515">
        <v>54488</v>
      </c>
      <c r="B22444" s="515" t="s">
        <v>940</v>
      </c>
      <c r="C22444" s="52">
        <v>142508.31408188801</v>
      </c>
      <c r="D22444" s="56">
        <v>1.1997831228348334E-2</v>
      </c>
      <c r="E22444" s="224" t="s">
        <v>2</v>
      </c>
      <c r="G22444" s="52"/>
      <c r="H22444" s="56"/>
      <c r="I22444" s="224"/>
    </row>
    <row r="22445" spans="1:9" x14ac:dyDescent="0.25">
      <c r="A22445" s="515">
        <v>29686</v>
      </c>
      <c r="B22445" s="515" t="s">
        <v>804</v>
      </c>
      <c r="C22445" s="52">
        <v>299176.534049535</v>
      </c>
      <c r="D22445" s="56">
        <v>0.17827976390561029</v>
      </c>
      <c r="E22445" s="224" t="s">
        <v>2</v>
      </c>
      <c r="G22445" s="52"/>
      <c r="H22445" s="56"/>
      <c r="I22445" s="224"/>
    </row>
    <row r="22446" spans="1:9" x14ac:dyDescent="0.25">
      <c r="A22446" s="515">
        <v>56021</v>
      </c>
      <c r="B22446" s="515" t="s">
        <v>542</v>
      </c>
      <c r="C22446" s="52">
        <v>294938.63116186397</v>
      </c>
      <c r="D22446" s="56">
        <v>7.0646443084744284E-2</v>
      </c>
      <c r="E22446" s="224" t="s">
        <v>2</v>
      </c>
      <c r="G22446" s="52"/>
      <c r="H22446" s="56"/>
      <c r="I22446" s="224"/>
    </row>
    <row r="22447" spans="1:9" x14ac:dyDescent="0.25">
      <c r="A22447" s="515">
        <v>66554</v>
      </c>
      <c r="B22447" s="515" t="s">
        <v>795</v>
      </c>
      <c r="C22447" s="52">
        <v>206509.280669709</v>
      </c>
      <c r="D22447" s="56">
        <v>0.15574191312854777</v>
      </c>
      <c r="E22447" s="224" t="s">
        <v>2</v>
      </c>
      <c r="G22447" s="52"/>
      <c r="H22447" s="56"/>
      <c r="I22447" s="224"/>
    </row>
    <row r="22448" spans="1:9" x14ac:dyDescent="0.25">
      <c r="A22448" s="515">
        <v>74869</v>
      </c>
      <c r="B22448" s="515" t="s">
        <v>385</v>
      </c>
      <c r="C22448" s="52">
        <v>156091.007863971</v>
      </c>
      <c r="D22448" s="56">
        <v>0.14453220898788149</v>
      </c>
      <c r="E22448" s="224" t="s">
        <v>2</v>
      </c>
      <c r="G22448" s="52"/>
      <c r="H22448" s="56"/>
      <c r="I22448" s="224"/>
    </row>
    <row r="22449" spans="1:9" x14ac:dyDescent="0.25">
      <c r="A22449" s="515">
        <v>76679</v>
      </c>
      <c r="B22449" s="515" t="s">
        <v>655</v>
      </c>
      <c r="C22449" s="52">
        <v>221846.44594594499</v>
      </c>
      <c r="D22449" s="56">
        <v>0</v>
      </c>
      <c r="E22449" s="224" t="s">
        <v>2</v>
      </c>
      <c r="G22449" s="52"/>
      <c r="H22449" s="56"/>
      <c r="I22449" s="224"/>
    </row>
    <row r="22450" spans="1:9" x14ac:dyDescent="0.25">
      <c r="A22450" s="515">
        <v>23915</v>
      </c>
      <c r="C22450" s="52">
        <v>169928.328563811</v>
      </c>
      <c r="D22450" s="56">
        <v>0</v>
      </c>
      <c r="E22450" s="224" t="s">
        <v>2</v>
      </c>
      <c r="G22450" s="52"/>
      <c r="H22450" s="56"/>
      <c r="I22450" s="224"/>
    </row>
    <row r="22451" spans="1:9" x14ac:dyDescent="0.25">
      <c r="A22451" s="515">
        <v>64659</v>
      </c>
      <c r="C22451" s="52">
        <v>145409.96385886701</v>
      </c>
      <c r="D22451" s="56">
        <v>0.1505788922700852</v>
      </c>
      <c r="E22451" s="224" t="s">
        <v>2</v>
      </c>
      <c r="G22451" s="52"/>
      <c r="H22451" s="56"/>
      <c r="I22451" s="224"/>
    </row>
    <row r="22452" spans="1:9" x14ac:dyDescent="0.25">
      <c r="A22452" s="515">
        <v>4739</v>
      </c>
      <c r="C22452" s="52">
        <v>188224.99831026699</v>
      </c>
      <c r="D22452" s="56">
        <v>0.10152039511479333</v>
      </c>
      <c r="E22452" s="224" t="s">
        <v>2</v>
      </c>
      <c r="G22452" s="52"/>
      <c r="H22452" s="56"/>
      <c r="I22452" s="224"/>
    </row>
    <row r="22453" spans="1:9" x14ac:dyDescent="0.25">
      <c r="A22453" s="515">
        <v>99125</v>
      </c>
      <c r="B22453" s="515" t="s">
        <v>450</v>
      </c>
      <c r="C22453" s="52">
        <v>177872.23611266899</v>
      </c>
      <c r="D22453" s="56">
        <v>6.4091970208209711E-2</v>
      </c>
      <c r="E22453" s="224" t="s">
        <v>2</v>
      </c>
      <c r="G22453" s="52"/>
      <c r="H22453" s="56"/>
      <c r="I22453" s="224"/>
    </row>
    <row r="22454" spans="1:9" x14ac:dyDescent="0.25">
      <c r="A22454" s="515">
        <v>58530</v>
      </c>
      <c r="B22454" s="515" t="s">
        <v>930</v>
      </c>
      <c r="C22454" s="52">
        <v>203032.059035782</v>
      </c>
      <c r="D22454" s="56">
        <v>4.338903879487313E-2</v>
      </c>
      <c r="E22454" s="224" t="s">
        <v>2</v>
      </c>
      <c r="G22454" s="52"/>
      <c r="H22454" s="56"/>
      <c r="I22454" s="224"/>
    </row>
    <row r="22455" spans="1:9" x14ac:dyDescent="0.25">
      <c r="A22455" s="515">
        <v>39668</v>
      </c>
      <c r="C22455" s="52">
        <v>150803.038784003</v>
      </c>
      <c r="D22455" s="56">
        <v>-5.8905991865548174E-3</v>
      </c>
      <c r="E22455" s="224" t="s">
        <v>2</v>
      </c>
      <c r="G22455" s="52"/>
      <c r="H22455" s="56"/>
      <c r="I22455" s="224"/>
    </row>
    <row r="22456" spans="1:9" x14ac:dyDescent="0.25">
      <c r="A22456" s="515">
        <v>22743</v>
      </c>
      <c r="B22456" s="515" t="s">
        <v>321</v>
      </c>
      <c r="C22456" s="52">
        <v>297492.46959157998</v>
      </c>
      <c r="D22456" s="56">
        <v>0.12245572291895598</v>
      </c>
      <c r="E22456" s="224" t="s">
        <v>2</v>
      </c>
      <c r="G22456" s="52"/>
      <c r="H22456" s="56"/>
      <c r="I22456" s="224"/>
    </row>
    <row r="22457" spans="1:9" x14ac:dyDescent="0.25">
      <c r="A22457" s="515">
        <v>56042</v>
      </c>
      <c r="B22457" s="515" t="s">
        <v>565</v>
      </c>
      <c r="C22457" s="52">
        <v>211408.12190398501</v>
      </c>
      <c r="D22457" s="56">
        <v>0.10132186832354211</v>
      </c>
      <c r="E22457" s="224" t="s">
        <v>2</v>
      </c>
      <c r="G22457" s="52"/>
      <c r="H22457" s="56"/>
      <c r="I22457" s="224"/>
    </row>
    <row r="22458" spans="1:9" x14ac:dyDescent="0.25">
      <c r="A22458" s="515">
        <v>73570</v>
      </c>
      <c r="C22458" s="52">
        <v>59013.534051430601</v>
      </c>
      <c r="D22458" s="56">
        <v>0.16762544672185006</v>
      </c>
      <c r="E22458" s="224" t="s">
        <v>2</v>
      </c>
      <c r="G22458" s="52"/>
      <c r="H22458" s="56"/>
      <c r="I22458" s="224"/>
    </row>
    <row r="22459" spans="1:9" x14ac:dyDescent="0.25">
      <c r="A22459" s="515">
        <v>14102</v>
      </c>
      <c r="B22459" s="515" t="s">
        <v>336</v>
      </c>
      <c r="C22459" s="52">
        <v>316963.60196407698</v>
      </c>
      <c r="D22459" s="56">
        <v>0.10056254258165773</v>
      </c>
      <c r="E22459" s="224" t="s">
        <v>2</v>
      </c>
      <c r="G22459" s="52"/>
      <c r="H22459" s="56"/>
      <c r="I22459" s="224"/>
    </row>
    <row r="22460" spans="1:9" x14ac:dyDescent="0.25">
      <c r="A22460" s="515">
        <v>4987</v>
      </c>
      <c r="C22460" s="52">
        <v>204496.950712424</v>
      </c>
      <c r="D22460" s="56">
        <v>1.1401047449938988E-2</v>
      </c>
      <c r="E22460" s="224" t="s">
        <v>2</v>
      </c>
      <c r="G22460" s="52"/>
      <c r="H22460" s="56"/>
      <c r="I22460" s="224"/>
    </row>
    <row r="22461" spans="1:9" x14ac:dyDescent="0.25">
      <c r="A22461" s="515">
        <v>63534</v>
      </c>
      <c r="C22461" s="52">
        <v>137582.468085106</v>
      </c>
      <c r="D22461" s="56">
        <v>0</v>
      </c>
      <c r="E22461" s="224" t="s">
        <v>2</v>
      </c>
      <c r="G22461" s="52"/>
      <c r="H22461" s="56"/>
      <c r="I22461" s="224"/>
    </row>
    <row r="22462" spans="1:9" x14ac:dyDescent="0.25">
      <c r="A22462" s="515">
        <v>59844</v>
      </c>
      <c r="C22462" s="52">
        <v>550596.73586508096</v>
      </c>
      <c r="D22462" s="56">
        <v>9.8508606723157158E-2</v>
      </c>
      <c r="E22462" s="224" t="s">
        <v>2</v>
      </c>
      <c r="G22462" s="52"/>
      <c r="H22462" s="56"/>
      <c r="I22462" s="224"/>
    </row>
    <row r="22463" spans="1:9" x14ac:dyDescent="0.25">
      <c r="A22463" s="515">
        <v>58631</v>
      </c>
      <c r="B22463" s="515" t="s">
        <v>930</v>
      </c>
      <c r="C22463" s="52">
        <v>104802.494569759</v>
      </c>
      <c r="D22463" s="56">
        <v>-6.1280755625188137E-2</v>
      </c>
      <c r="E22463" s="224" t="s">
        <v>2</v>
      </c>
      <c r="G22463" s="52"/>
      <c r="H22463" s="56"/>
      <c r="I22463" s="224"/>
    </row>
    <row r="22464" spans="1:9" x14ac:dyDescent="0.25">
      <c r="A22464" s="515">
        <v>55724</v>
      </c>
      <c r="B22464" s="515" t="s">
        <v>350</v>
      </c>
      <c r="C22464" s="52">
        <v>210189.057930068</v>
      </c>
      <c r="D22464" s="56">
        <v>4.5611702954251453E-2</v>
      </c>
      <c r="E22464" s="224" t="s">
        <v>2</v>
      </c>
      <c r="G22464" s="52"/>
      <c r="H22464" s="56"/>
      <c r="I22464" s="224"/>
    </row>
    <row r="22465" spans="1:9" x14ac:dyDescent="0.25">
      <c r="A22465" s="515">
        <v>12406</v>
      </c>
      <c r="B22465" s="515" t="s">
        <v>307</v>
      </c>
      <c r="C22465" s="52">
        <v>230658.44881491701</v>
      </c>
      <c r="D22465" s="56">
        <v>0.12537094797081996</v>
      </c>
      <c r="E22465" s="224" t="s">
        <v>2</v>
      </c>
      <c r="G22465" s="52"/>
      <c r="H22465" s="56"/>
      <c r="I22465" s="224"/>
    </row>
    <row r="22466" spans="1:9" x14ac:dyDescent="0.25">
      <c r="A22466" s="515">
        <v>62893</v>
      </c>
      <c r="B22466" s="515" t="s">
        <v>998</v>
      </c>
      <c r="C22466" s="52">
        <v>153221.59751303701</v>
      </c>
      <c r="D22466" s="56">
        <v>8.9337474540383197E-2</v>
      </c>
      <c r="E22466" s="224" t="s">
        <v>2</v>
      </c>
      <c r="G22466" s="52"/>
      <c r="H22466" s="56"/>
      <c r="I22466" s="224"/>
    </row>
    <row r="22467" spans="1:9" x14ac:dyDescent="0.25">
      <c r="A22467" s="515">
        <v>41332</v>
      </c>
      <c r="C22467" s="52">
        <v>127064.52401868301</v>
      </c>
      <c r="D22467" s="56">
        <v>0.24630727092985041</v>
      </c>
      <c r="E22467" s="224" t="s">
        <v>2</v>
      </c>
      <c r="G22467" s="52"/>
      <c r="H22467" s="56"/>
      <c r="I22467" s="224"/>
    </row>
    <row r="22468" spans="1:9" x14ac:dyDescent="0.25">
      <c r="A22468" s="515">
        <v>77853</v>
      </c>
      <c r="C22468" s="52">
        <v>298440.82010499202</v>
      </c>
      <c r="D22468" s="56">
        <v>0</v>
      </c>
      <c r="E22468" s="224" t="s">
        <v>2</v>
      </c>
      <c r="G22468" s="52"/>
      <c r="H22468" s="56"/>
      <c r="I22468" s="224"/>
    </row>
    <row r="22469" spans="1:9" x14ac:dyDescent="0.25">
      <c r="A22469" s="515">
        <v>67466</v>
      </c>
      <c r="C22469" s="52">
        <v>93971.325684219293</v>
      </c>
      <c r="D22469" s="56">
        <v>2.1081553132320279E-2</v>
      </c>
      <c r="E22469" s="224" t="s">
        <v>2</v>
      </c>
      <c r="G22469" s="52"/>
      <c r="H22469" s="56"/>
      <c r="I22469" s="224"/>
    </row>
    <row r="22470" spans="1:9" x14ac:dyDescent="0.25">
      <c r="A22470" s="515">
        <v>99587</v>
      </c>
      <c r="B22470" s="515" t="s">
        <v>405</v>
      </c>
      <c r="C22470" s="52">
        <v>433823.41315736098</v>
      </c>
      <c r="D22470" s="56">
        <v>4.9215626684759262E-2</v>
      </c>
      <c r="E22470" s="224" t="s">
        <v>2</v>
      </c>
      <c r="G22470" s="52"/>
      <c r="H22470" s="56"/>
      <c r="I22470" s="224"/>
    </row>
    <row r="22471" spans="1:9" x14ac:dyDescent="0.25">
      <c r="A22471" s="515">
        <v>3590</v>
      </c>
      <c r="B22471" s="515" t="s">
        <v>752</v>
      </c>
      <c r="C22471" s="52">
        <v>166952.33378967</v>
      </c>
      <c r="D22471" s="56">
        <v>0.22461315530811937</v>
      </c>
      <c r="E22471" s="224" t="s">
        <v>2</v>
      </c>
      <c r="G22471" s="52"/>
      <c r="H22471" s="56"/>
      <c r="I22471" s="224"/>
    </row>
    <row r="22472" spans="1:9" x14ac:dyDescent="0.25">
      <c r="A22472" s="515">
        <v>64679</v>
      </c>
      <c r="C22472" s="52">
        <v>72432.712416543203</v>
      </c>
      <c r="D22472" s="56">
        <v>0</v>
      </c>
      <c r="E22472" s="224" t="s">
        <v>2</v>
      </c>
      <c r="G22472" s="52"/>
      <c r="H22472" s="56"/>
      <c r="I22472" s="224"/>
    </row>
    <row r="22473" spans="1:9" x14ac:dyDescent="0.25">
      <c r="A22473" s="515">
        <v>13755</v>
      </c>
      <c r="C22473" s="52">
        <v>155811.67924528301</v>
      </c>
      <c r="D22473" s="56">
        <v>0</v>
      </c>
      <c r="E22473" s="224" t="s">
        <v>2</v>
      </c>
      <c r="G22473" s="52"/>
      <c r="H22473" s="56"/>
      <c r="I22473" s="224"/>
    </row>
    <row r="22474" spans="1:9" x14ac:dyDescent="0.25">
      <c r="A22474" s="515">
        <v>52165</v>
      </c>
      <c r="C22474" s="52">
        <v>233948.20895455801</v>
      </c>
      <c r="D22474" s="56">
        <v>0</v>
      </c>
      <c r="E22474" s="224" t="s">
        <v>2</v>
      </c>
      <c r="G22474" s="52"/>
      <c r="H22474" s="56"/>
      <c r="I22474" s="224"/>
    </row>
    <row r="22475" spans="1:9" x14ac:dyDescent="0.25">
      <c r="A22475" s="515">
        <v>98361</v>
      </c>
      <c r="B22475" s="515" t="s">
        <v>468</v>
      </c>
      <c r="C22475" s="52">
        <v>415565.41622417001</v>
      </c>
      <c r="D22475" s="56">
        <v>0.15122802824021142</v>
      </c>
      <c r="E22475" s="224" t="s">
        <v>2</v>
      </c>
      <c r="G22475" s="52"/>
      <c r="H22475" s="56"/>
      <c r="I22475" s="224"/>
    </row>
    <row r="22476" spans="1:9" x14ac:dyDescent="0.25">
      <c r="A22476" s="515">
        <v>57235</v>
      </c>
      <c r="B22476" s="515" t="s">
        <v>941</v>
      </c>
      <c r="C22476" s="52">
        <v>327038.445438497</v>
      </c>
      <c r="D22476" s="56">
        <v>0</v>
      </c>
      <c r="E22476" s="224" t="s">
        <v>2</v>
      </c>
      <c r="G22476" s="52"/>
      <c r="H22476" s="56"/>
      <c r="I22476" s="224"/>
    </row>
    <row r="22477" spans="1:9" x14ac:dyDescent="0.25">
      <c r="A22477" s="515">
        <v>57037</v>
      </c>
      <c r="B22477" s="515" t="s">
        <v>874</v>
      </c>
      <c r="C22477" s="52">
        <v>184198.314352961</v>
      </c>
      <c r="D22477" s="56">
        <v>0.10229999279817598</v>
      </c>
      <c r="E22477" s="224" t="s">
        <v>2</v>
      </c>
      <c r="G22477" s="52"/>
      <c r="H22477" s="56"/>
      <c r="I22477" s="224"/>
    </row>
    <row r="22478" spans="1:9" x14ac:dyDescent="0.25">
      <c r="A22478" s="515">
        <v>66945</v>
      </c>
      <c r="C22478" s="52">
        <v>132140.77942305</v>
      </c>
      <c r="D22478" s="56">
        <v>9.203482683763882E-2</v>
      </c>
      <c r="E22478" s="224" t="s">
        <v>2</v>
      </c>
      <c r="G22478" s="52"/>
      <c r="H22478" s="56"/>
      <c r="I22478" s="224"/>
    </row>
    <row r="22479" spans="1:9" x14ac:dyDescent="0.25">
      <c r="A22479" s="515">
        <v>43333</v>
      </c>
      <c r="B22479" s="515" t="s">
        <v>973</v>
      </c>
      <c r="C22479" s="52">
        <v>211485.65798048201</v>
      </c>
      <c r="D22479" s="56">
        <v>8.0177321414257582E-2</v>
      </c>
      <c r="E22479" s="224" t="s">
        <v>2</v>
      </c>
      <c r="G22479" s="52"/>
      <c r="H22479" s="56"/>
      <c r="I22479" s="224"/>
    </row>
    <row r="22480" spans="1:9" x14ac:dyDescent="0.25">
      <c r="A22480" s="515">
        <v>46731</v>
      </c>
      <c r="B22480" s="515" t="s">
        <v>465</v>
      </c>
      <c r="C22480" s="52">
        <v>241514.49451866301</v>
      </c>
      <c r="D22480" s="56">
        <v>1.9188242154488094E-2</v>
      </c>
      <c r="E22480" s="224" t="s">
        <v>2</v>
      </c>
      <c r="G22480" s="52"/>
      <c r="H22480" s="56"/>
      <c r="I22480" s="224"/>
    </row>
    <row r="22481" spans="1:9" x14ac:dyDescent="0.25">
      <c r="A22481" s="515">
        <v>14729</v>
      </c>
      <c r="B22481" s="515" t="s">
        <v>870</v>
      </c>
      <c r="C22481" s="52">
        <v>163011.14575184</v>
      </c>
      <c r="D22481" s="56">
        <v>0.11515056561658807</v>
      </c>
      <c r="E22481" s="224" t="s">
        <v>2</v>
      </c>
      <c r="G22481" s="52"/>
      <c r="H22481" s="56"/>
      <c r="I22481" s="224"/>
    </row>
    <row r="22482" spans="1:9" x14ac:dyDescent="0.25">
      <c r="A22482" s="515">
        <v>30818</v>
      </c>
      <c r="C22482" s="52">
        <v>97450.659902547603</v>
      </c>
      <c r="D22482" s="56">
        <v>0</v>
      </c>
      <c r="E22482" s="224" t="s">
        <v>2</v>
      </c>
      <c r="G22482" s="52"/>
      <c r="H22482" s="56"/>
      <c r="I22482" s="224"/>
    </row>
    <row r="22483" spans="1:9" x14ac:dyDescent="0.25">
      <c r="A22483" s="515">
        <v>62682</v>
      </c>
      <c r="C22483" s="52">
        <v>88094.477819856795</v>
      </c>
      <c r="D22483" s="56">
        <v>7.4990278656295066E-3</v>
      </c>
      <c r="E22483" s="224" t="s">
        <v>2</v>
      </c>
      <c r="G22483" s="52"/>
      <c r="H22483" s="56"/>
      <c r="I22483" s="224"/>
    </row>
    <row r="22484" spans="1:9" x14ac:dyDescent="0.25">
      <c r="A22484" s="515">
        <v>38943</v>
      </c>
      <c r="B22484" s="515" t="s">
        <v>293</v>
      </c>
      <c r="C22484" s="52">
        <v>190519.338028169</v>
      </c>
      <c r="D22484" s="56">
        <v>0</v>
      </c>
      <c r="E22484" s="224" t="s">
        <v>2</v>
      </c>
      <c r="G22484" s="52"/>
      <c r="H22484" s="56"/>
      <c r="I22484" s="224"/>
    </row>
    <row r="22485" spans="1:9" x14ac:dyDescent="0.25">
      <c r="A22485" s="515">
        <v>24459</v>
      </c>
      <c r="C22485" s="52">
        <v>368665.92159916501</v>
      </c>
      <c r="D22485" s="56">
        <v>0.11583025253367189</v>
      </c>
      <c r="E22485" s="224" t="s">
        <v>2</v>
      </c>
      <c r="G22485" s="52"/>
      <c r="H22485" s="56"/>
      <c r="I22485" s="224"/>
    </row>
    <row r="22486" spans="1:9" x14ac:dyDescent="0.25">
      <c r="A22486" s="515">
        <v>61925</v>
      </c>
      <c r="B22486" s="515" t="s">
        <v>540</v>
      </c>
      <c r="C22486" s="52">
        <v>142186.04823861999</v>
      </c>
      <c r="D22486" s="56">
        <v>4.2274176671831289E-2</v>
      </c>
      <c r="E22486" s="224" t="s">
        <v>2</v>
      </c>
      <c r="G22486" s="52"/>
      <c r="H22486" s="56"/>
      <c r="I22486" s="224"/>
    </row>
    <row r="22487" spans="1:9" x14ac:dyDescent="0.25">
      <c r="A22487" s="515">
        <v>16131</v>
      </c>
      <c r="B22487" s="515" t="s">
        <v>1042</v>
      </c>
      <c r="C22487" s="52">
        <v>146898.36263736201</v>
      </c>
      <c r="D22487" s="56">
        <v>0</v>
      </c>
      <c r="E22487" s="224" t="s">
        <v>2</v>
      </c>
      <c r="G22487" s="52"/>
      <c r="H22487" s="56"/>
      <c r="I22487" s="224"/>
    </row>
    <row r="22488" spans="1:9" x14ac:dyDescent="0.25">
      <c r="A22488" s="515">
        <v>50535</v>
      </c>
      <c r="C22488" s="52">
        <v>121087.593395902</v>
      </c>
      <c r="D22488" s="56">
        <v>0</v>
      </c>
      <c r="E22488" s="224" t="s">
        <v>2</v>
      </c>
      <c r="G22488" s="52"/>
      <c r="H22488" s="56"/>
      <c r="I22488" s="224"/>
    </row>
    <row r="22489" spans="1:9" x14ac:dyDescent="0.25">
      <c r="A22489" s="515">
        <v>12464</v>
      </c>
      <c r="B22489" s="515" t="s">
        <v>307</v>
      </c>
      <c r="C22489" s="52">
        <v>366349.15112491301</v>
      </c>
      <c r="D22489" s="56">
        <v>0.11417466542930481</v>
      </c>
      <c r="E22489" s="224" t="s">
        <v>2</v>
      </c>
      <c r="G22489" s="52"/>
      <c r="H22489" s="56"/>
      <c r="I22489" s="224"/>
    </row>
    <row r="22490" spans="1:9" x14ac:dyDescent="0.25">
      <c r="A22490" s="515">
        <v>47003</v>
      </c>
      <c r="B22490" s="515" t="s">
        <v>344</v>
      </c>
      <c r="C22490" s="52">
        <v>143815.984114052</v>
      </c>
      <c r="D22490" s="56">
        <v>0.12450379703289503</v>
      </c>
      <c r="E22490" s="224" t="s">
        <v>2</v>
      </c>
      <c r="G22490" s="52"/>
      <c r="H22490" s="56"/>
      <c r="I22490" s="224"/>
    </row>
    <row r="22491" spans="1:9" x14ac:dyDescent="0.25">
      <c r="A22491" s="515">
        <v>89018</v>
      </c>
      <c r="B22491" s="515" t="s">
        <v>323</v>
      </c>
      <c r="C22491" s="52">
        <v>325558.67142857099</v>
      </c>
      <c r="D22491" s="56">
        <v>0</v>
      </c>
      <c r="E22491" s="224" t="s">
        <v>2</v>
      </c>
      <c r="G22491" s="52"/>
      <c r="H22491" s="56"/>
      <c r="I22491" s="224"/>
    </row>
    <row r="22492" spans="1:9" x14ac:dyDescent="0.25">
      <c r="A22492" s="515">
        <v>54805</v>
      </c>
      <c r="C22492" s="52">
        <v>177036.79650361501</v>
      </c>
      <c r="D22492" s="56">
        <v>3.7165212704065281E-2</v>
      </c>
      <c r="E22492" s="224" t="s">
        <v>2</v>
      </c>
      <c r="G22492" s="52"/>
      <c r="H22492" s="56"/>
      <c r="I22492" s="224"/>
    </row>
    <row r="22493" spans="1:9" x14ac:dyDescent="0.25">
      <c r="A22493" s="515">
        <v>17099</v>
      </c>
      <c r="B22493" s="515" t="s">
        <v>714</v>
      </c>
      <c r="C22493" s="52">
        <v>114811.719783184</v>
      </c>
      <c r="D22493" s="56">
        <v>9.7434995723273812E-2</v>
      </c>
      <c r="E22493" s="224" t="s">
        <v>2</v>
      </c>
      <c r="G22493" s="52"/>
      <c r="H22493" s="56"/>
      <c r="I22493" s="224"/>
    </row>
    <row r="22494" spans="1:9" x14ac:dyDescent="0.25">
      <c r="A22494" s="515">
        <v>4051</v>
      </c>
      <c r="C22494" s="52">
        <v>375024.57276434801</v>
      </c>
      <c r="D22494" s="56">
        <v>8.044814228034404E-2</v>
      </c>
      <c r="E22494" s="224" t="s">
        <v>2</v>
      </c>
      <c r="G22494" s="52"/>
      <c r="H22494" s="56"/>
      <c r="I22494" s="224"/>
    </row>
    <row r="22495" spans="1:9" x14ac:dyDescent="0.25">
      <c r="A22495" s="515">
        <v>17035</v>
      </c>
      <c r="C22495" s="52">
        <v>208083.00532678899</v>
      </c>
      <c r="D22495" s="56">
        <v>0</v>
      </c>
      <c r="E22495" s="224" t="s">
        <v>2</v>
      </c>
      <c r="G22495" s="52"/>
      <c r="H22495" s="56"/>
      <c r="I22495" s="224"/>
    </row>
    <row r="22496" spans="1:9" x14ac:dyDescent="0.25">
      <c r="A22496" s="515">
        <v>3750</v>
      </c>
      <c r="B22496" s="515" t="s">
        <v>420</v>
      </c>
      <c r="C22496" s="52">
        <v>908994.76169593597</v>
      </c>
      <c r="D22496" s="56">
        <v>0.16794519923806145</v>
      </c>
      <c r="E22496" s="224" t="s">
        <v>2</v>
      </c>
      <c r="G22496" s="52"/>
      <c r="H22496" s="56"/>
      <c r="I22496" s="224"/>
    </row>
    <row r="22497" spans="1:9" x14ac:dyDescent="0.25">
      <c r="A22497" s="515">
        <v>99171</v>
      </c>
      <c r="B22497" s="515" t="s">
        <v>450</v>
      </c>
      <c r="C22497" s="52">
        <v>254079.003782388</v>
      </c>
      <c r="D22497" s="56">
        <v>0.12377348706186814</v>
      </c>
      <c r="E22497" s="224" t="s">
        <v>2</v>
      </c>
      <c r="G22497" s="52"/>
      <c r="H22497" s="56"/>
      <c r="I22497" s="224"/>
    </row>
    <row r="22498" spans="1:9" x14ac:dyDescent="0.25">
      <c r="A22498" s="515">
        <v>97102</v>
      </c>
      <c r="B22498" s="515" t="s">
        <v>742</v>
      </c>
      <c r="C22498" s="52">
        <v>858364.74702177302</v>
      </c>
      <c r="D22498" s="56">
        <v>9.7770929501872342E-2</v>
      </c>
      <c r="E22498" s="224" t="s">
        <v>2</v>
      </c>
      <c r="G22498" s="52"/>
      <c r="H22498" s="56"/>
      <c r="I22498" s="224"/>
    </row>
    <row r="22499" spans="1:9" x14ac:dyDescent="0.25">
      <c r="A22499" s="515">
        <v>42324</v>
      </c>
      <c r="B22499" s="515" t="s">
        <v>686</v>
      </c>
      <c r="C22499" s="52">
        <v>114321.52613607299</v>
      </c>
      <c r="D22499" s="56">
        <v>0.1169437248512878</v>
      </c>
      <c r="E22499" s="224" t="s">
        <v>2</v>
      </c>
      <c r="G22499" s="52"/>
      <c r="H22499" s="56"/>
      <c r="I22499" s="224"/>
    </row>
    <row r="22500" spans="1:9" x14ac:dyDescent="0.25">
      <c r="A22500" s="515">
        <v>13325</v>
      </c>
      <c r="C22500" s="52">
        <v>162151.20876371101</v>
      </c>
      <c r="D22500" s="56">
        <v>0.11226763034924601</v>
      </c>
      <c r="E22500" s="224" t="s">
        <v>2</v>
      </c>
      <c r="G22500" s="52"/>
      <c r="H22500" s="56"/>
      <c r="I22500" s="224"/>
    </row>
    <row r="22501" spans="1:9" x14ac:dyDescent="0.25">
      <c r="A22501" s="515">
        <v>39144</v>
      </c>
      <c r="C22501" s="52">
        <v>98732.206835726596</v>
      </c>
      <c r="D22501" s="56">
        <v>0</v>
      </c>
      <c r="E22501" s="224" t="s">
        <v>2</v>
      </c>
      <c r="G22501" s="52"/>
      <c r="H22501" s="56"/>
      <c r="I22501" s="224"/>
    </row>
    <row r="22502" spans="1:9" x14ac:dyDescent="0.25">
      <c r="A22502" s="515">
        <v>80653</v>
      </c>
      <c r="B22502" s="515" t="s">
        <v>510</v>
      </c>
      <c r="C22502" s="52">
        <v>367711.00232435198</v>
      </c>
      <c r="D22502" s="56">
        <v>9.2176120768860489E-2</v>
      </c>
      <c r="E22502" s="224" t="s">
        <v>2</v>
      </c>
      <c r="G22502" s="52"/>
      <c r="H22502" s="56"/>
      <c r="I22502" s="224"/>
    </row>
    <row r="22503" spans="1:9" x14ac:dyDescent="0.25">
      <c r="A22503" s="515">
        <v>58621</v>
      </c>
      <c r="C22503" s="52">
        <v>162472.358615226</v>
      </c>
      <c r="D22503" s="56">
        <v>0</v>
      </c>
      <c r="E22503" s="224" t="s">
        <v>2</v>
      </c>
      <c r="G22503" s="52"/>
      <c r="H22503" s="56"/>
      <c r="I22503" s="224"/>
    </row>
    <row r="22504" spans="1:9" x14ac:dyDescent="0.25">
      <c r="A22504" s="515">
        <v>68034</v>
      </c>
      <c r="B22504" s="515" t="s">
        <v>367</v>
      </c>
      <c r="C22504" s="52">
        <v>330226.97723558301</v>
      </c>
      <c r="D22504" s="56">
        <v>0.11604196529261478</v>
      </c>
      <c r="E22504" s="224" t="s">
        <v>2</v>
      </c>
      <c r="G22504" s="52"/>
      <c r="H22504" s="56"/>
      <c r="I22504" s="224"/>
    </row>
    <row r="22505" spans="1:9" x14ac:dyDescent="0.25">
      <c r="A22505" s="515">
        <v>55909</v>
      </c>
      <c r="B22505" s="515" t="s">
        <v>413</v>
      </c>
      <c r="C22505" s="52">
        <v>201651.709849921</v>
      </c>
      <c r="D22505" s="56">
        <v>0.11205220575441875</v>
      </c>
      <c r="E22505" s="224" t="s">
        <v>2</v>
      </c>
      <c r="G22505" s="52"/>
      <c r="H22505" s="56"/>
      <c r="I22505" s="224"/>
    </row>
    <row r="22506" spans="1:9" x14ac:dyDescent="0.25">
      <c r="A22506" s="515">
        <v>63945</v>
      </c>
      <c r="B22506" s="515" t="s">
        <v>972</v>
      </c>
      <c r="C22506" s="52">
        <v>156946.63215553001</v>
      </c>
      <c r="D22506" s="56">
        <v>8.9183140042197503E-2</v>
      </c>
      <c r="E22506" s="224" t="s">
        <v>2</v>
      </c>
      <c r="G22506" s="52"/>
      <c r="H22506" s="56"/>
      <c r="I22506" s="224"/>
    </row>
    <row r="22507" spans="1:9" x14ac:dyDescent="0.25">
      <c r="A22507" s="515">
        <v>57373</v>
      </c>
      <c r="C22507" s="52">
        <v>277155.10203015601</v>
      </c>
      <c r="D22507" s="56">
        <v>0.15121621097619656</v>
      </c>
      <c r="E22507" s="224" t="s">
        <v>2</v>
      </c>
      <c r="G22507" s="52"/>
      <c r="H22507" s="56"/>
      <c r="I22507" s="224"/>
    </row>
    <row r="22508" spans="1:9" x14ac:dyDescent="0.25">
      <c r="A22508" s="515">
        <v>49227</v>
      </c>
      <c r="B22508" s="515" t="s">
        <v>971</v>
      </c>
      <c r="C22508" s="52">
        <v>193715.94340283101</v>
      </c>
      <c r="D22508" s="56">
        <v>2.3637688075953088E-2</v>
      </c>
      <c r="E22508" s="224" t="s">
        <v>2</v>
      </c>
      <c r="G22508" s="52"/>
      <c r="H22508" s="56"/>
      <c r="I22508" s="224"/>
    </row>
    <row r="22509" spans="1:9" x14ac:dyDescent="0.25">
      <c r="A22509" s="515">
        <v>13844</v>
      </c>
      <c r="C22509" s="52">
        <v>145144.32202503699</v>
      </c>
      <c r="D22509" s="56">
        <v>0.13929524344403163</v>
      </c>
      <c r="E22509" s="224" t="s">
        <v>2</v>
      </c>
      <c r="G22509" s="52"/>
      <c r="H22509" s="56"/>
      <c r="I22509" s="224"/>
    </row>
    <row r="22510" spans="1:9" x14ac:dyDescent="0.25">
      <c r="A22510" s="515">
        <v>52037</v>
      </c>
      <c r="B22510" s="515" t="s">
        <v>330</v>
      </c>
      <c r="C22510" s="52">
        <v>193217.42526596601</v>
      </c>
      <c r="D22510" s="56">
        <v>9.0657732239785987E-2</v>
      </c>
      <c r="E22510" s="224" t="s">
        <v>2</v>
      </c>
      <c r="G22510" s="52"/>
      <c r="H22510" s="56"/>
      <c r="I22510" s="224"/>
    </row>
    <row r="22511" spans="1:9" x14ac:dyDescent="0.25">
      <c r="A22511" s="515">
        <v>72932</v>
      </c>
      <c r="B22511" s="515" t="s">
        <v>326</v>
      </c>
      <c r="C22511" s="52">
        <v>169725.77342719099</v>
      </c>
      <c r="D22511" s="56">
        <v>1.8668985753501094E-2</v>
      </c>
      <c r="E22511" s="224" t="s">
        <v>2</v>
      </c>
      <c r="G22511" s="52"/>
      <c r="H22511" s="56"/>
      <c r="I22511" s="224"/>
    </row>
    <row r="22512" spans="1:9" x14ac:dyDescent="0.25">
      <c r="A22512" s="515">
        <v>67416</v>
      </c>
      <c r="B22512" s="515" t="s">
        <v>715</v>
      </c>
      <c r="C22512" s="52">
        <v>227334.73903596101</v>
      </c>
      <c r="D22512" s="56">
        <v>3.9245746938517526E-2</v>
      </c>
      <c r="E22512" s="224" t="s">
        <v>2</v>
      </c>
      <c r="G22512" s="52"/>
      <c r="H22512" s="56"/>
      <c r="I22512" s="224"/>
    </row>
    <row r="22513" spans="1:9" x14ac:dyDescent="0.25">
      <c r="A22513" s="515">
        <v>62941</v>
      </c>
      <c r="C22513" s="52">
        <v>100486.905413972</v>
      </c>
      <c r="D22513" s="56">
        <v>3.1036735283327954E-2</v>
      </c>
      <c r="E22513" s="224" t="s">
        <v>2</v>
      </c>
      <c r="G22513" s="52"/>
      <c r="H22513" s="56"/>
      <c r="I22513" s="224"/>
    </row>
    <row r="22514" spans="1:9" x14ac:dyDescent="0.25">
      <c r="A22514" s="515">
        <v>56327</v>
      </c>
      <c r="C22514" s="52">
        <v>337821.59390366299</v>
      </c>
      <c r="D22514" s="56">
        <v>0.10158741561614884</v>
      </c>
      <c r="E22514" s="224" t="s">
        <v>2</v>
      </c>
      <c r="G22514" s="52"/>
      <c r="H22514" s="56"/>
      <c r="I22514" s="224"/>
    </row>
    <row r="22515" spans="1:9" x14ac:dyDescent="0.25">
      <c r="A22515" s="515">
        <v>74748</v>
      </c>
      <c r="C22515" s="52">
        <v>174939.47321372799</v>
      </c>
      <c r="D22515" s="56">
        <v>0.16204867395641254</v>
      </c>
      <c r="E22515" s="224" t="s">
        <v>2</v>
      </c>
      <c r="G22515" s="52"/>
      <c r="H22515" s="56"/>
      <c r="I22515" s="224"/>
    </row>
    <row r="22516" spans="1:9" x14ac:dyDescent="0.25">
      <c r="A22516" s="515">
        <v>97885</v>
      </c>
      <c r="C22516" s="52">
        <v>310795.58735875599</v>
      </c>
      <c r="D22516" s="56">
        <v>8.7531135014360828E-2</v>
      </c>
      <c r="E22516" s="224" t="s">
        <v>2</v>
      </c>
      <c r="G22516" s="52"/>
      <c r="H22516" s="56"/>
      <c r="I22516" s="224"/>
    </row>
    <row r="22517" spans="1:9" x14ac:dyDescent="0.25">
      <c r="A22517" s="515">
        <v>81143</v>
      </c>
      <c r="C22517" s="52">
        <v>217815.89297311299</v>
      </c>
      <c r="D22517" s="56">
        <v>3.3876942524892192E-2</v>
      </c>
      <c r="E22517" s="224" t="s">
        <v>2</v>
      </c>
      <c r="G22517" s="52"/>
      <c r="H22517" s="56"/>
      <c r="I22517" s="224"/>
    </row>
    <row r="22518" spans="1:9" x14ac:dyDescent="0.25">
      <c r="A22518" s="515">
        <v>14060</v>
      </c>
      <c r="C22518" s="52">
        <v>125614.660591925</v>
      </c>
      <c r="D22518" s="56">
        <v>0.12213666955044028</v>
      </c>
      <c r="E22518" s="224" t="s">
        <v>2</v>
      </c>
      <c r="G22518" s="52"/>
      <c r="H22518" s="56"/>
      <c r="I22518" s="224"/>
    </row>
    <row r="22519" spans="1:9" x14ac:dyDescent="0.25">
      <c r="A22519" s="515">
        <v>2833</v>
      </c>
      <c r="B22519" s="515" t="s">
        <v>513</v>
      </c>
      <c r="C22519" s="52">
        <v>379071.76080704399</v>
      </c>
      <c r="D22519" s="56">
        <v>4.7818340400810913E-2</v>
      </c>
      <c r="E22519" s="224" t="s">
        <v>2</v>
      </c>
      <c r="G22519" s="52"/>
      <c r="H22519" s="56"/>
      <c r="I22519" s="224"/>
    </row>
    <row r="22520" spans="1:9" x14ac:dyDescent="0.25">
      <c r="A22520" s="515">
        <v>65685</v>
      </c>
      <c r="B22520" s="515" t="s">
        <v>603</v>
      </c>
      <c r="C22520" s="52">
        <v>178283.953565954</v>
      </c>
      <c r="D22520" s="56">
        <v>0.11818928767915418</v>
      </c>
      <c r="E22520" s="224" t="s">
        <v>2</v>
      </c>
      <c r="G22520" s="52"/>
      <c r="H22520" s="56"/>
      <c r="I22520" s="224"/>
    </row>
    <row r="22521" spans="1:9" x14ac:dyDescent="0.25">
      <c r="A22521" s="515">
        <v>83327</v>
      </c>
      <c r="B22521" s="515" t="s">
        <v>595</v>
      </c>
      <c r="C22521" s="52">
        <v>295252.66099244897</v>
      </c>
      <c r="D22521" s="56">
        <v>-4.487197265475968E-2</v>
      </c>
      <c r="E22521" s="224" t="s">
        <v>2</v>
      </c>
      <c r="G22521" s="52"/>
      <c r="H22521" s="56"/>
      <c r="I22521" s="224"/>
    </row>
    <row r="22522" spans="1:9" x14ac:dyDescent="0.25">
      <c r="A22522" s="515">
        <v>39342</v>
      </c>
      <c r="B22522" s="515" t="s">
        <v>970</v>
      </c>
      <c r="C22522" s="52">
        <v>156805.192456925</v>
      </c>
      <c r="D22522" s="56">
        <v>4.6105943256747753E-3</v>
      </c>
      <c r="E22522" s="224" t="s">
        <v>2</v>
      </c>
      <c r="G22522" s="52"/>
      <c r="H22522" s="56"/>
      <c r="I22522" s="224"/>
    </row>
    <row r="22523" spans="1:9" x14ac:dyDescent="0.25">
      <c r="A22523" s="515">
        <v>64738</v>
      </c>
      <c r="C22523" s="52">
        <v>191268.276749946</v>
      </c>
      <c r="D22523" s="56">
        <v>0.13241342497857875</v>
      </c>
      <c r="E22523" s="224" t="s">
        <v>2</v>
      </c>
      <c r="G22523" s="52"/>
      <c r="H22523" s="56"/>
      <c r="I22523" s="224"/>
    </row>
    <row r="22524" spans="1:9" x14ac:dyDescent="0.25">
      <c r="A22524" s="515">
        <v>83813</v>
      </c>
      <c r="B22524" s="515" t="s">
        <v>623</v>
      </c>
      <c r="C22524" s="52">
        <v>568502.92586720805</v>
      </c>
      <c r="D22524" s="56">
        <v>-2.1631142277769326E-3</v>
      </c>
      <c r="E22524" s="224" t="s">
        <v>2</v>
      </c>
      <c r="G22524" s="52"/>
      <c r="H22524" s="56"/>
      <c r="I22524" s="224"/>
    </row>
    <row r="22525" spans="1:9" x14ac:dyDescent="0.25">
      <c r="A22525" s="515">
        <v>73073</v>
      </c>
      <c r="B22525" s="515" t="s">
        <v>969</v>
      </c>
      <c r="C22525" s="52">
        <v>223052.69116326899</v>
      </c>
      <c r="D22525" s="56">
        <v>0.13625465312094276</v>
      </c>
      <c r="E22525" s="224" t="s">
        <v>2</v>
      </c>
      <c r="G22525" s="52"/>
      <c r="H22525" s="56"/>
      <c r="I22525" s="224"/>
    </row>
    <row r="22526" spans="1:9" x14ac:dyDescent="0.25">
      <c r="A22526" s="515">
        <v>97834</v>
      </c>
      <c r="C22526" s="52">
        <v>314068.00397221302</v>
      </c>
      <c r="D22526" s="56">
        <v>0</v>
      </c>
      <c r="E22526" s="224" t="s">
        <v>2</v>
      </c>
      <c r="G22526" s="52"/>
      <c r="H22526" s="56"/>
      <c r="I22526" s="224"/>
    </row>
    <row r="22527" spans="1:9" x14ac:dyDescent="0.25">
      <c r="A22527" s="515">
        <v>67464</v>
      </c>
      <c r="B22527" s="515" t="s">
        <v>812</v>
      </c>
      <c r="C22527" s="52">
        <v>127215.641609474</v>
      </c>
      <c r="D22527" s="56">
        <v>4.2554812810285891E-2</v>
      </c>
      <c r="E22527" s="224" t="s">
        <v>2</v>
      </c>
      <c r="G22527" s="52"/>
      <c r="H22527" s="56"/>
      <c r="I22527" s="224"/>
    </row>
    <row r="22528" spans="1:9" x14ac:dyDescent="0.25">
      <c r="A22528" s="515">
        <v>3279</v>
      </c>
      <c r="B22528" s="515" t="s">
        <v>420</v>
      </c>
      <c r="C22528" s="52">
        <v>224995.28406465199</v>
      </c>
      <c r="D22528" s="56">
        <v>0.13857519698278978</v>
      </c>
      <c r="E22528" s="224" t="s">
        <v>2</v>
      </c>
      <c r="G22528" s="52"/>
      <c r="H22528" s="56"/>
      <c r="I22528" s="224"/>
    </row>
    <row r="22529" spans="1:9" x14ac:dyDescent="0.25">
      <c r="A22529" s="515">
        <v>91905</v>
      </c>
      <c r="B22529" s="515" t="s">
        <v>396</v>
      </c>
      <c r="C22529" s="52">
        <v>426308.83169205202</v>
      </c>
      <c r="D22529" s="56">
        <v>6.0295184756941657E-2</v>
      </c>
      <c r="E22529" s="224" t="s">
        <v>2</v>
      </c>
      <c r="G22529" s="52"/>
      <c r="H22529" s="56"/>
      <c r="I22529" s="224"/>
    </row>
    <row r="22530" spans="1:9" x14ac:dyDescent="0.25">
      <c r="A22530" s="515">
        <v>62883</v>
      </c>
      <c r="B22530" s="515" t="s">
        <v>998</v>
      </c>
      <c r="C22530" s="52">
        <v>136081.79047841299</v>
      </c>
      <c r="D22530" s="56">
        <v>5.4833325576600832E-2</v>
      </c>
      <c r="E22530" s="224" t="s">
        <v>2</v>
      </c>
      <c r="G22530" s="52"/>
      <c r="H22530" s="56"/>
      <c r="I22530" s="224"/>
    </row>
    <row r="22531" spans="1:9" x14ac:dyDescent="0.25">
      <c r="A22531" s="515">
        <v>50645</v>
      </c>
      <c r="C22531" s="52">
        <v>195476.000351636</v>
      </c>
      <c r="D22531" s="56">
        <v>0</v>
      </c>
      <c r="E22531" s="224" t="s">
        <v>2</v>
      </c>
      <c r="G22531" s="52"/>
      <c r="H22531" s="56"/>
      <c r="I22531" s="224"/>
    </row>
    <row r="22532" spans="1:9" x14ac:dyDescent="0.25">
      <c r="A22532" s="515">
        <v>68628</v>
      </c>
      <c r="B22532" s="515" t="s">
        <v>650</v>
      </c>
      <c r="C22532" s="52">
        <v>224273.080046196</v>
      </c>
      <c r="D22532" s="56">
        <v>9.2921737857189449E-2</v>
      </c>
      <c r="E22532" s="224" t="s">
        <v>2</v>
      </c>
      <c r="G22532" s="52"/>
      <c r="H22532" s="56"/>
      <c r="I22532" s="224"/>
    </row>
    <row r="22533" spans="1:9" x14ac:dyDescent="0.25">
      <c r="A22533" s="515">
        <v>41034</v>
      </c>
      <c r="B22533" s="515" t="s">
        <v>967</v>
      </c>
      <c r="C22533" s="52">
        <v>147050.91072986901</v>
      </c>
      <c r="D22533" s="56">
        <v>9.6494216268591698E-2</v>
      </c>
      <c r="E22533" s="224" t="s">
        <v>2</v>
      </c>
      <c r="G22533" s="52"/>
      <c r="H22533" s="56"/>
      <c r="I22533" s="224"/>
    </row>
    <row r="22534" spans="1:9" x14ac:dyDescent="0.25">
      <c r="A22534" s="515">
        <v>35575</v>
      </c>
      <c r="C22534" s="52">
        <v>116165.636363636</v>
      </c>
      <c r="D22534" s="56">
        <v>0</v>
      </c>
      <c r="E22534" s="224" t="s">
        <v>2</v>
      </c>
      <c r="G22534" s="52"/>
      <c r="H22534" s="56"/>
      <c r="I22534" s="224"/>
    </row>
    <row r="22535" spans="1:9" x14ac:dyDescent="0.25">
      <c r="A22535" s="515">
        <v>84637</v>
      </c>
      <c r="C22535" s="52">
        <v>235885.28809113399</v>
      </c>
      <c r="D22535" s="56">
        <v>-2.063172417597384E-2</v>
      </c>
      <c r="E22535" s="224" t="s">
        <v>2</v>
      </c>
      <c r="G22535" s="52"/>
      <c r="H22535" s="56"/>
      <c r="I22535" s="224"/>
    </row>
    <row r="22536" spans="1:9" x14ac:dyDescent="0.25">
      <c r="A22536" s="515">
        <v>67422</v>
      </c>
      <c r="B22536" s="515" t="s">
        <v>715</v>
      </c>
      <c r="C22536" s="52">
        <v>184997.40531437099</v>
      </c>
      <c r="D22536" s="56">
        <v>0.12213944167811355</v>
      </c>
      <c r="E22536" s="224" t="s">
        <v>2</v>
      </c>
      <c r="G22536" s="52"/>
      <c r="H22536" s="56"/>
      <c r="I22536" s="224"/>
    </row>
    <row r="22537" spans="1:9" x14ac:dyDescent="0.25">
      <c r="A22537" s="515">
        <v>50606</v>
      </c>
      <c r="C22537" s="52">
        <v>142059.71164944299</v>
      </c>
      <c r="D22537" s="56">
        <v>0.1402388998671994</v>
      </c>
      <c r="E22537" s="224" t="s">
        <v>2</v>
      </c>
      <c r="G22537" s="52"/>
      <c r="H22537" s="56"/>
      <c r="I22537" s="224"/>
    </row>
    <row r="22538" spans="1:9" x14ac:dyDescent="0.25">
      <c r="A22538" s="515">
        <v>97345</v>
      </c>
      <c r="B22538" s="515" t="s">
        <v>591</v>
      </c>
      <c r="C22538" s="52">
        <v>442091.10275529203</v>
      </c>
      <c r="D22538" s="56">
        <v>5.6988161846287182E-2</v>
      </c>
      <c r="E22538" s="224" t="s">
        <v>2</v>
      </c>
      <c r="G22538" s="52"/>
      <c r="H22538" s="56"/>
      <c r="I22538" s="224"/>
    </row>
    <row r="22539" spans="1:9" x14ac:dyDescent="0.25">
      <c r="A22539" s="515">
        <v>16695</v>
      </c>
      <c r="C22539" s="52">
        <v>192798.399132675</v>
      </c>
      <c r="D22539" s="56">
        <v>0</v>
      </c>
      <c r="E22539" s="224" t="s">
        <v>2</v>
      </c>
      <c r="G22539" s="52"/>
      <c r="H22539" s="56"/>
      <c r="I22539" s="224"/>
    </row>
    <row r="22540" spans="1:9" x14ac:dyDescent="0.25">
      <c r="A22540" s="515">
        <v>38042</v>
      </c>
      <c r="C22540" s="52">
        <v>155856.80757625101</v>
      </c>
      <c r="D22540" s="56">
        <v>0</v>
      </c>
      <c r="E22540" s="224" t="s">
        <v>2</v>
      </c>
      <c r="G22540" s="52"/>
      <c r="H22540" s="56"/>
      <c r="I22540" s="224"/>
    </row>
    <row r="22541" spans="1:9" x14ac:dyDescent="0.25">
      <c r="A22541" s="515">
        <v>24736</v>
      </c>
      <c r="B22541" s="515" t="s">
        <v>306</v>
      </c>
      <c r="C22541" s="52">
        <v>37816.417907788797</v>
      </c>
      <c r="D22541" s="56">
        <v>0.29834865106574365</v>
      </c>
      <c r="E22541" s="224" t="s">
        <v>2</v>
      </c>
      <c r="G22541" s="52"/>
      <c r="H22541" s="56"/>
      <c r="I22541" s="224"/>
    </row>
    <row r="22542" spans="1:9" x14ac:dyDescent="0.25">
      <c r="A22542" s="515">
        <v>12430</v>
      </c>
      <c r="C22542" s="52">
        <v>311129.11188777199</v>
      </c>
      <c r="D22542" s="56">
        <v>0.13359906174730724</v>
      </c>
      <c r="E22542" s="224" t="s">
        <v>2</v>
      </c>
      <c r="G22542" s="52"/>
      <c r="H22542" s="56"/>
      <c r="I22542" s="224"/>
    </row>
    <row r="22543" spans="1:9" x14ac:dyDescent="0.25">
      <c r="A22543" s="515">
        <v>59716</v>
      </c>
      <c r="C22543" s="52">
        <v>1159558.1529230501</v>
      </c>
      <c r="D22543" s="56">
        <v>0.10034180798372899</v>
      </c>
      <c r="E22543" s="224" t="s">
        <v>2</v>
      </c>
      <c r="G22543" s="52"/>
      <c r="H22543" s="56"/>
      <c r="I22543" s="224"/>
    </row>
    <row r="22544" spans="1:9" x14ac:dyDescent="0.25">
      <c r="A22544" s="515">
        <v>28579</v>
      </c>
      <c r="B22544" s="515" t="s">
        <v>641</v>
      </c>
      <c r="C22544" s="52">
        <v>253141.52608306101</v>
      </c>
      <c r="D22544" s="56">
        <v>0.14467610878415052</v>
      </c>
      <c r="E22544" s="224" t="s">
        <v>2</v>
      </c>
      <c r="G22544" s="52"/>
      <c r="H22544" s="56"/>
      <c r="I22544" s="224"/>
    </row>
    <row r="22545" spans="1:9" x14ac:dyDescent="0.25">
      <c r="A22545" s="515">
        <v>4929</v>
      </c>
      <c r="C22545" s="52">
        <v>193815.13281160401</v>
      </c>
      <c r="D22545" s="56">
        <v>0.14904699471551081</v>
      </c>
      <c r="E22545" s="224" t="s">
        <v>2</v>
      </c>
      <c r="G22545" s="52"/>
      <c r="H22545" s="56"/>
      <c r="I22545" s="224"/>
    </row>
    <row r="22546" spans="1:9" x14ac:dyDescent="0.25">
      <c r="A22546" s="515">
        <v>97388</v>
      </c>
      <c r="B22546" s="515" t="s">
        <v>618</v>
      </c>
      <c r="C22546" s="52">
        <v>565691.722825089</v>
      </c>
      <c r="D22546" s="56">
        <v>5.1609427164055262E-2</v>
      </c>
      <c r="E22546" s="224" t="s">
        <v>2</v>
      </c>
      <c r="G22546" s="52"/>
      <c r="H22546" s="56"/>
      <c r="I22546" s="224"/>
    </row>
    <row r="22547" spans="1:9" x14ac:dyDescent="0.25">
      <c r="A22547" s="515">
        <v>47120</v>
      </c>
      <c r="B22547" s="515" t="s">
        <v>479</v>
      </c>
      <c r="C22547" s="52">
        <v>192792.70334684401</v>
      </c>
      <c r="D22547" s="56">
        <v>5.5015827238058645E-2</v>
      </c>
      <c r="E22547" s="224" t="s">
        <v>2</v>
      </c>
      <c r="G22547" s="52"/>
      <c r="H22547" s="56"/>
      <c r="I22547" s="224"/>
    </row>
    <row r="22548" spans="1:9" x14ac:dyDescent="0.25">
      <c r="A22548" s="515">
        <v>49743</v>
      </c>
      <c r="C22548" s="52">
        <v>157258.71896915199</v>
      </c>
      <c r="D22548" s="56">
        <v>8.3551835007506431E-2</v>
      </c>
      <c r="E22548" s="224" t="s">
        <v>2</v>
      </c>
      <c r="G22548" s="52"/>
      <c r="H22548" s="56"/>
      <c r="I22548" s="224"/>
    </row>
    <row r="22549" spans="1:9" x14ac:dyDescent="0.25">
      <c r="A22549" s="515">
        <v>44802</v>
      </c>
      <c r="B22549" s="515" t="s">
        <v>448</v>
      </c>
      <c r="C22549" s="52">
        <v>222933.632943159</v>
      </c>
      <c r="D22549" s="56">
        <v>0.11682344614834488</v>
      </c>
      <c r="E22549" s="224" t="s">
        <v>2</v>
      </c>
      <c r="G22549" s="52"/>
      <c r="H22549" s="56"/>
      <c r="I22549" s="224"/>
    </row>
    <row r="22550" spans="1:9" x14ac:dyDescent="0.25">
      <c r="A22550" s="515">
        <v>65640</v>
      </c>
      <c r="B22550" s="515" t="s">
        <v>603</v>
      </c>
      <c r="C22550" s="52">
        <v>259301.28261861199</v>
      </c>
      <c r="D22550" s="56">
        <v>0.16763321445318807</v>
      </c>
      <c r="E22550" s="224" t="s">
        <v>2</v>
      </c>
      <c r="G22550" s="52"/>
      <c r="H22550" s="56"/>
      <c r="I22550" s="224"/>
    </row>
    <row r="22551" spans="1:9" x14ac:dyDescent="0.25">
      <c r="A22551" s="515">
        <v>39656</v>
      </c>
      <c r="C22551" s="52">
        <v>97236.282826953102</v>
      </c>
      <c r="D22551" s="56">
        <v>0</v>
      </c>
      <c r="E22551" s="224" t="s">
        <v>2</v>
      </c>
      <c r="G22551" s="52"/>
      <c r="H22551" s="56"/>
      <c r="I22551" s="224"/>
    </row>
    <row r="22552" spans="1:9" x14ac:dyDescent="0.25">
      <c r="A22552" s="515">
        <v>69352</v>
      </c>
      <c r="B22552" s="515" t="s">
        <v>966</v>
      </c>
      <c r="C22552" s="52">
        <v>130116.045177529</v>
      </c>
      <c r="D22552" s="56">
        <v>6.1724281626644041E-2</v>
      </c>
      <c r="E22552" s="224" t="s">
        <v>2</v>
      </c>
      <c r="G22552" s="52"/>
      <c r="H22552" s="56"/>
      <c r="I22552" s="224"/>
    </row>
    <row r="22553" spans="1:9" x14ac:dyDescent="0.25">
      <c r="A22553" s="515">
        <v>99031</v>
      </c>
      <c r="B22553" s="515" t="s">
        <v>820</v>
      </c>
      <c r="C22553" s="52">
        <v>543664.41357664298</v>
      </c>
      <c r="D22553" s="56">
        <v>5.8566720869549005E-2</v>
      </c>
      <c r="E22553" s="224" t="s">
        <v>2</v>
      </c>
      <c r="G22553" s="52"/>
      <c r="H22553" s="56"/>
      <c r="I22553" s="224"/>
    </row>
    <row r="22554" spans="1:9" x14ac:dyDescent="0.25">
      <c r="A22554" s="515">
        <v>17021</v>
      </c>
      <c r="C22554" s="52">
        <v>168022.97818899399</v>
      </c>
      <c r="D22554" s="56">
        <v>0</v>
      </c>
      <c r="E22554" s="224" t="s">
        <v>2</v>
      </c>
      <c r="G22554" s="52"/>
      <c r="H22554" s="56"/>
      <c r="I22554" s="224"/>
    </row>
    <row r="22555" spans="1:9" x14ac:dyDescent="0.25">
      <c r="A22555" s="515">
        <v>79508</v>
      </c>
      <c r="B22555" s="515" t="s">
        <v>704</v>
      </c>
      <c r="C22555" s="52">
        <v>212709.73224428299</v>
      </c>
      <c r="D22555" s="56">
        <v>1.7540493234471596E-2</v>
      </c>
      <c r="E22555" s="224" t="s">
        <v>2</v>
      </c>
      <c r="G22555" s="52"/>
      <c r="H22555" s="56"/>
      <c r="I22555" s="224"/>
    </row>
    <row r="22556" spans="1:9" x14ac:dyDescent="0.25">
      <c r="A22556" s="515">
        <v>50001</v>
      </c>
      <c r="B22556" s="515" t="s">
        <v>295</v>
      </c>
      <c r="C22556" s="52">
        <v>320453.56331005698</v>
      </c>
      <c r="D22556" s="56">
        <v>0.14549303757004364</v>
      </c>
      <c r="E22556" s="224" t="s">
        <v>2</v>
      </c>
      <c r="G22556" s="52"/>
      <c r="H22556" s="56"/>
      <c r="I22556" s="224"/>
    </row>
    <row r="22557" spans="1:9" x14ac:dyDescent="0.25">
      <c r="A22557" s="515">
        <v>50251</v>
      </c>
      <c r="B22557" s="515" t="s">
        <v>295</v>
      </c>
      <c r="C22557" s="52">
        <v>205842.52546710399</v>
      </c>
      <c r="D22557" s="56">
        <v>8.9867083302103218E-2</v>
      </c>
      <c r="E22557" s="224" t="s">
        <v>2</v>
      </c>
      <c r="G22557" s="52"/>
      <c r="H22557" s="56"/>
      <c r="I22557" s="224"/>
    </row>
    <row r="22558" spans="1:9" x14ac:dyDescent="0.25">
      <c r="A22558" s="515">
        <v>64427</v>
      </c>
      <c r="B22558" s="515" t="s">
        <v>371</v>
      </c>
      <c r="C22558" s="52">
        <v>184212.174448237</v>
      </c>
      <c r="D22558" s="56">
        <v>8.4100327340368944E-2</v>
      </c>
      <c r="E22558" s="224" t="s">
        <v>2</v>
      </c>
      <c r="G22558" s="52"/>
      <c r="H22558" s="56"/>
      <c r="I22558" s="224"/>
    </row>
    <row r="22559" spans="1:9" x14ac:dyDescent="0.25">
      <c r="A22559" s="515">
        <v>4947</v>
      </c>
      <c r="C22559" s="52">
        <v>372975.06561095</v>
      </c>
      <c r="D22559" s="56">
        <v>6.6356878648717463E-2</v>
      </c>
      <c r="E22559" s="224" t="s">
        <v>2</v>
      </c>
      <c r="G22559" s="52"/>
      <c r="H22559" s="56"/>
      <c r="I22559" s="224"/>
    </row>
    <row r="22560" spans="1:9" x14ac:dyDescent="0.25">
      <c r="A22560" s="515">
        <v>15060</v>
      </c>
      <c r="B22560" s="515" t="s">
        <v>297</v>
      </c>
      <c r="C22560" s="52">
        <v>144612.94168506001</v>
      </c>
      <c r="D22560" s="56">
        <v>6.4719503651295709E-2</v>
      </c>
      <c r="E22560" s="224" t="s">
        <v>2</v>
      </c>
      <c r="G22560" s="52"/>
      <c r="H22560" s="56"/>
      <c r="I22560" s="224"/>
    </row>
    <row r="22561" spans="1:9" x14ac:dyDescent="0.25">
      <c r="A22561" s="515">
        <v>45778</v>
      </c>
      <c r="B22561" s="515" t="s">
        <v>578</v>
      </c>
      <c r="C22561" s="52">
        <v>109036.175507601</v>
      </c>
      <c r="D22561" s="56">
        <v>7.330647625565935E-2</v>
      </c>
      <c r="E22561" s="224" t="s">
        <v>2</v>
      </c>
      <c r="G22561" s="52"/>
      <c r="H22561" s="56"/>
      <c r="I22561" s="224"/>
    </row>
    <row r="22562" spans="1:9" x14ac:dyDescent="0.25">
      <c r="A22562" s="515">
        <v>72835</v>
      </c>
      <c r="C22562" s="52">
        <v>148804.945884833</v>
      </c>
      <c r="D22562" s="56">
        <v>2.0407761082345982E-3</v>
      </c>
      <c r="E22562" s="224" t="s">
        <v>2</v>
      </c>
      <c r="G22562" s="52"/>
      <c r="H22562" s="56"/>
      <c r="I22562" s="224"/>
    </row>
    <row r="22563" spans="1:9" x14ac:dyDescent="0.25">
      <c r="A22563" s="515">
        <v>58077</v>
      </c>
      <c r="B22563" s="515" t="s">
        <v>548</v>
      </c>
      <c r="C22563" s="52">
        <v>304510.38461538398</v>
      </c>
      <c r="D22563" s="56">
        <v>0</v>
      </c>
      <c r="E22563" s="224" t="s">
        <v>2</v>
      </c>
      <c r="G22563" s="52"/>
      <c r="H22563" s="56"/>
      <c r="I22563" s="224"/>
    </row>
    <row r="22564" spans="1:9" x14ac:dyDescent="0.25">
      <c r="A22564" s="515">
        <v>27981</v>
      </c>
      <c r="B22564" s="515" t="s">
        <v>407</v>
      </c>
      <c r="C22564" s="52">
        <v>316254.16606483603</v>
      </c>
      <c r="D22564" s="56">
        <v>0.17260775053685098</v>
      </c>
      <c r="E22564" s="224" t="s">
        <v>2</v>
      </c>
      <c r="G22564" s="52"/>
      <c r="H22564" s="56"/>
      <c r="I22564" s="224"/>
    </row>
    <row r="22565" spans="1:9" x14ac:dyDescent="0.25">
      <c r="A22565" s="515">
        <v>56039</v>
      </c>
      <c r="B22565" s="515" t="s">
        <v>608</v>
      </c>
      <c r="C22565" s="52">
        <v>251044.972414766</v>
      </c>
      <c r="D22565" s="56">
        <v>0.16513577139623431</v>
      </c>
      <c r="E22565" s="224" t="s">
        <v>2</v>
      </c>
      <c r="G22565" s="52"/>
      <c r="H22565" s="56"/>
      <c r="I22565" s="224"/>
    </row>
    <row r="22566" spans="1:9" x14ac:dyDescent="0.25">
      <c r="A22566" s="515">
        <v>41645</v>
      </c>
      <c r="C22566" s="52">
        <v>67896.8027159513</v>
      </c>
      <c r="D22566" s="56">
        <v>0.20918370666987257</v>
      </c>
      <c r="E22566" s="224" t="s">
        <v>2</v>
      </c>
      <c r="G22566" s="52"/>
      <c r="H22566" s="56"/>
      <c r="I22566" s="224"/>
    </row>
    <row r="22567" spans="1:9" x14ac:dyDescent="0.25">
      <c r="A22567" s="515">
        <v>51338</v>
      </c>
      <c r="B22567" s="515" t="s">
        <v>426</v>
      </c>
      <c r="C22567" s="52">
        <v>124690.037541691</v>
      </c>
      <c r="D22567" s="56">
        <v>7.5286630581819974E-2</v>
      </c>
      <c r="E22567" s="224" t="s">
        <v>2</v>
      </c>
      <c r="G22567" s="52"/>
      <c r="H22567" s="56"/>
      <c r="I22567" s="224"/>
    </row>
    <row r="22568" spans="1:9" x14ac:dyDescent="0.25">
      <c r="A22568" s="515">
        <v>56527</v>
      </c>
      <c r="B22568" s="515" t="s">
        <v>601</v>
      </c>
      <c r="C22568" s="52">
        <v>212477.527867308</v>
      </c>
      <c r="D22568" s="56">
        <v>7.1187162867990747E-2</v>
      </c>
      <c r="E22568" s="224" t="s">
        <v>2</v>
      </c>
      <c r="G22568" s="52"/>
      <c r="H22568" s="56"/>
      <c r="I22568" s="224"/>
    </row>
    <row r="22569" spans="1:9" x14ac:dyDescent="0.25">
      <c r="A22569" s="515">
        <v>17255</v>
      </c>
      <c r="B22569" s="515" t="s">
        <v>539</v>
      </c>
      <c r="C22569" s="52">
        <v>165238.777324433</v>
      </c>
      <c r="D22569" s="56">
        <v>0</v>
      </c>
      <c r="E22569" s="224" t="s">
        <v>2</v>
      </c>
      <c r="G22569" s="52"/>
      <c r="H22569" s="56"/>
      <c r="I22569" s="224"/>
    </row>
    <row r="22570" spans="1:9" x14ac:dyDescent="0.25">
      <c r="A22570" s="515">
        <v>32426</v>
      </c>
      <c r="C22570" s="52">
        <v>128364.607732127</v>
      </c>
      <c r="D22570" s="56">
        <v>0.16894756459338722</v>
      </c>
      <c r="E22570" s="224" t="s">
        <v>2</v>
      </c>
      <c r="G22570" s="52"/>
      <c r="H22570" s="56"/>
      <c r="I22570" s="224"/>
    </row>
    <row r="22571" spans="1:9" x14ac:dyDescent="0.25">
      <c r="A22571" s="515">
        <v>4863</v>
      </c>
      <c r="C22571" s="52">
        <v>363873.74949008803</v>
      </c>
      <c r="D22571" s="56">
        <v>6.3935715440944549E-2</v>
      </c>
      <c r="E22571" s="224" t="s">
        <v>2</v>
      </c>
      <c r="G22571" s="52"/>
      <c r="H22571" s="56"/>
      <c r="I22571" s="224"/>
    </row>
    <row r="22572" spans="1:9" x14ac:dyDescent="0.25">
      <c r="A22572" s="515">
        <v>15049</v>
      </c>
      <c r="B22572" s="515" t="s">
        <v>297</v>
      </c>
      <c r="C22572" s="52">
        <v>159943.50825321299</v>
      </c>
      <c r="D22572" s="56">
        <v>9.3276246804342378E-2</v>
      </c>
      <c r="E22572" s="224" t="s">
        <v>2</v>
      </c>
      <c r="G22572" s="52"/>
      <c r="H22572" s="56"/>
      <c r="I22572" s="224"/>
    </row>
    <row r="22573" spans="1:9" x14ac:dyDescent="0.25">
      <c r="A22573" s="515">
        <v>54835</v>
      </c>
      <c r="C22573" s="52">
        <v>175151.85356570999</v>
      </c>
      <c r="D22573" s="56">
        <v>0.15889221036628462</v>
      </c>
      <c r="E22573" s="224" t="s">
        <v>2</v>
      </c>
      <c r="G22573" s="52"/>
      <c r="H22573" s="56"/>
      <c r="I22573" s="224"/>
    </row>
    <row r="22574" spans="1:9" x14ac:dyDescent="0.25">
      <c r="A22574" s="515">
        <v>12759</v>
      </c>
      <c r="C22574" s="52">
        <v>232650.08749964199</v>
      </c>
      <c r="D22574" s="56">
        <v>0.1689160747817926</v>
      </c>
      <c r="E22574" s="224" t="s">
        <v>2</v>
      </c>
      <c r="G22574" s="52"/>
      <c r="H22574" s="56"/>
      <c r="I22574" s="224"/>
    </row>
    <row r="22575" spans="1:9" x14ac:dyDescent="0.25">
      <c r="A22575" s="515">
        <v>8887</v>
      </c>
      <c r="B22575" s="515" t="s">
        <v>324</v>
      </c>
      <c r="C22575" s="52">
        <v>255760.93457919799</v>
      </c>
      <c r="D22575" s="56">
        <v>7.8858851913318886E-2</v>
      </c>
      <c r="E22575" s="224" t="s">
        <v>2</v>
      </c>
      <c r="G22575" s="52"/>
      <c r="H22575" s="56"/>
      <c r="I22575" s="224"/>
    </row>
    <row r="22576" spans="1:9" x14ac:dyDescent="0.25">
      <c r="A22576" s="515">
        <v>56354</v>
      </c>
      <c r="B22576" s="515" t="s">
        <v>965</v>
      </c>
      <c r="C22576" s="52">
        <v>298457.99147892499</v>
      </c>
      <c r="D22576" s="56">
        <v>0.11920163638562156</v>
      </c>
      <c r="E22576" s="224" t="s">
        <v>2</v>
      </c>
      <c r="G22576" s="52"/>
      <c r="H22576" s="56"/>
      <c r="I22576" s="224"/>
    </row>
    <row r="22577" spans="1:9" x14ac:dyDescent="0.25">
      <c r="A22577" s="515">
        <v>18923</v>
      </c>
      <c r="B22577" s="515" t="s">
        <v>294</v>
      </c>
      <c r="C22577" s="52">
        <v>552046.361248945</v>
      </c>
      <c r="D22577" s="56">
        <v>5.7971804195100132E-2</v>
      </c>
      <c r="E22577" s="224" t="s">
        <v>2</v>
      </c>
      <c r="G22577" s="52"/>
      <c r="H22577" s="56"/>
      <c r="I22577" s="224"/>
    </row>
    <row r="22578" spans="1:9" x14ac:dyDescent="0.25">
      <c r="A22578" s="515">
        <v>29929</v>
      </c>
      <c r="C22578" s="52">
        <v>148868.48601244099</v>
      </c>
      <c r="D22578" s="56">
        <v>8.7032687553191809E-2</v>
      </c>
      <c r="E22578" s="224" t="s">
        <v>2</v>
      </c>
      <c r="G22578" s="52"/>
      <c r="H22578" s="56"/>
      <c r="I22578" s="224"/>
    </row>
    <row r="22579" spans="1:9" x14ac:dyDescent="0.25">
      <c r="A22579" s="515">
        <v>45317</v>
      </c>
      <c r="B22579" s="515" t="s">
        <v>340</v>
      </c>
      <c r="C22579" s="52">
        <v>175341.28996180301</v>
      </c>
      <c r="D22579" s="56">
        <v>0.10954448516324222</v>
      </c>
      <c r="E22579" s="224" t="s">
        <v>2</v>
      </c>
      <c r="G22579" s="52"/>
      <c r="H22579" s="56"/>
      <c r="I22579" s="224"/>
    </row>
    <row r="22580" spans="1:9" x14ac:dyDescent="0.25">
      <c r="A22580" s="515">
        <v>5839</v>
      </c>
      <c r="C22580" s="52">
        <v>246492.37069362099</v>
      </c>
      <c r="D22580" s="56">
        <v>0.10766869260487666</v>
      </c>
      <c r="E22580" s="224" t="s">
        <v>2</v>
      </c>
      <c r="G22580" s="52"/>
      <c r="H22580" s="56"/>
      <c r="I22580" s="224"/>
    </row>
    <row r="22581" spans="1:9" x14ac:dyDescent="0.25">
      <c r="A22581" s="515">
        <v>30426</v>
      </c>
      <c r="B22581" s="515" t="s">
        <v>888</v>
      </c>
      <c r="C22581" s="52">
        <v>113739.405207009</v>
      </c>
      <c r="D22581" s="56">
        <v>0.10703612431936879</v>
      </c>
      <c r="E22581" s="224" t="s">
        <v>2</v>
      </c>
      <c r="G22581" s="52"/>
      <c r="H22581" s="56"/>
      <c r="I22581" s="224"/>
    </row>
    <row r="22582" spans="1:9" x14ac:dyDescent="0.25">
      <c r="A22582" s="515">
        <v>30285</v>
      </c>
      <c r="B22582" s="515" t="s">
        <v>964</v>
      </c>
      <c r="C22582" s="52">
        <v>227650.156884158</v>
      </c>
      <c r="D22582" s="56">
        <v>0.10109942656309855</v>
      </c>
      <c r="E22582" s="224" t="s">
        <v>2</v>
      </c>
      <c r="G22582" s="52"/>
      <c r="H22582" s="56"/>
      <c r="I22582" s="224"/>
    </row>
    <row r="22583" spans="1:9" x14ac:dyDescent="0.25">
      <c r="A22583" s="515">
        <v>65773</v>
      </c>
      <c r="C22583" s="52">
        <v>199001.28688071499</v>
      </c>
      <c r="D22583" s="56">
        <v>0.10074209538935096</v>
      </c>
      <c r="E22583" s="224" t="s">
        <v>2</v>
      </c>
      <c r="G22583" s="52"/>
      <c r="H22583" s="56"/>
      <c r="I22583" s="224"/>
    </row>
    <row r="22584" spans="1:9" x14ac:dyDescent="0.25">
      <c r="A22584" s="515">
        <v>42040</v>
      </c>
      <c r="B22584" s="515" t="s">
        <v>933</v>
      </c>
      <c r="C22584" s="52">
        <v>154006.03038158501</v>
      </c>
      <c r="D22584" s="56">
        <v>0.14123723674388808</v>
      </c>
      <c r="E22584" s="224" t="s">
        <v>2</v>
      </c>
      <c r="G22584" s="52"/>
      <c r="H22584" s="56"/>
      <c r="I22584" s="224"/>
    </row>
    <row r="22585" spans="1:9" x14ac:dyDescent="0.25">
      <c r="A22585" s="515">
        <v>51533</v>
      </c>
      <c r="B22585" s="515" t="s">
        <v>367</v>
      </c>
      <c r="C22585" s="52">
        <v>169472.14497629099</v>
      </c>
      <c r="D22585" s="56">
        <v>5.8931006794909729E-2</v>
      </c>
      <c r="E22585" s="224" t="s">
        <v>2</v>
      </c>
      <c r="G22585" s="52"/>
      <c r="H22585" s="56"/>
      <c r="I22585" s="224"/>
    </row>
    <row r="22586" spans="1:9" x14ac:dyDescent="0.25">
      <c r="A22586" s="515">
        <v>11960</v>
      </c>
      <c r="B22586" s="515" t="s">
        <v>324</v>
      </c>
      <c r="C22586" s="52">
        <v>1525353.5585348499</v>
      </c>
      <c r="D22586" s="56">
        <v>0.10333412265464403</v>
      </c>
      <c r="E22586" s="224" t="s">
        <v>2</v>
      </c>
      <c r="G22586" s="52"/>
      <c r="H22586" s="56"/>
      <c r="I22586" s="224"/>
    </row>
    <row r="22587" spans="1:9" x14ac:dyDescent="0.25">
      <c r="A22587" s="515">
        <v>73434</v>
      </c>
      <c r="B22587" s="515" t="s">
        <v>474</v>
      </c>
      <c r="C22587" s="52">
        <v>201993.19349967799</v>
      </c>
      <c r="D22587" s="56">
        <v>0.11496583518949331</v>
      </c>
      <c r="E22587" s="224" t="s">
        <v>2</v>
      </c>
      <c r="G22587" s="52"/>
      <c r="H22587" s="56"/>
      <c r="I22587" s="224"/>
    </row>
    <row r="22588" spans="1:9" x14ac:dyDescent="0.25">
      <c r="A22588" s="515">
        <v>98581</v>
      </c>
      <c r="B22588" s="515" t="s">
        <v>807</v>
      </c>
      <c r="C22588" s="52">
        <v>242287.37209746701</v>
      </c>
      <c r="D22588" s="56">
        <v>5.8642145309023681E-2</v>
      </c>
      <c r="E22588" s="224" t="s">
        <v>2</v>
      </c>
      <c r="G22588" s="52"/>
      <c r="H22588" s="56"/>
      <c r="I22588" s="224"/>
    </row>
    <row r="22589" spans="1:9" x14ac:dyDescent="0.25">
      <c r="A22589" s="515">
        <v>41425</v>
      </c>
      <c r="C22589" s="52">
        <v>110679.68922463999</v>
      </c>
      <c r="D22589" s="56">
        <v>0.26236709262122954</v>
      </c>
      <c r="E22589" s="224" t="s">
        <v>2</v>
      </c>
      <c r="G22589" s="52"/>
      <c r="H22589" s="56"/>
      <c r="I22589" s="224"/>
    </row>
    <row r="22590" spans="1:9" x14ac:dyDescent="0.25">
      <c r="A22590" s="515">
        <v>93621</v>
      </c>
      <c r="B22590" s="515" t="s">
        <v>541</v>
      </c>
      <c r="C22590" s="52">
        <v>340089.26331091899</v>
      </c>
      <c r="D22590" s="56">
        <v>3.2727085089242297E-2</v>
      </c>
      <c r="E22590" s="224" t="s">
        <v>2</v>
      </c>
      <c r="G22590" s="52"/>
      <c r="H22590" s="56"/>
      <c r="I22590" s="224"/>
    </row>
    <row r="22591" spans="1:9" x14ac:dyDescent="0.25">
      <c r="A22591" s="515">
        <v>26717</v>
      </c>
      <c r="B22591" s="515" t="s">
        <v>362</v>
      </c>
      <c r="C22591" s="52">
        <v>100729.28773912899</v>
      </c>
      <c r="D22591" s="56">
        <v>5.865123206744987E-2</v>
      </c>
      <c r="E22591" s="224" t="s">
        <v>2</v>
      </c>
      <c r="G22591" s="52"/>
      <c r="H22591" s="56"/>
      <c r="I22591" s="224"/>
    </row>
    <row r="22592" spans="1:9" x14ac:dyDescent="0.25">
      <c r="A22592" s="515">
        <v>45821</v>
      </c>
      <c r="C22592" s="52">
        <v>145710.69141987999</v>
      </c>
      <c r="D22592" s="56">
        <v>9.6619085912478794E-2</v>
      </c>
      <c r="E22592" s="224" t="s">
        <v>2</v>
      </c>
      <c r="G22592" s="52"/>
      <c r="H22592" s="56"/>
      <c r="I22592" s="224"/>
    </row>
    <row r="22593" spans="1:9" x14ac:dyDescent="0.25">
      <c r="A22593" s="515">
        <v>51557</v>
      </c>
      <c r="B22593" s="515" t="s">
        <v>367</v>
      </c>
      <c r="C22593" s="52">
        <v>177086.89012798699</v>
      </c>
      <c r="D22593" s="56">
        <v>8.2485937526764655E-2</v>
      </c>
      <c r="E22593" s="224" t="s">
        <v>2</v>
      </c>
      <c r="G22593" s="52"/>
      <c r="H22593" s="56"/>
      <c r="I22593" s="224"/>
    </row>
    <row r="22594" spans="1:9" x14ac:dyDescent="0.25">
      <c r="A22594" s="515">
        <v>24603</v>
      </c>
      <c r="C22594" s="52">
        <v>64501.3892725716</v>
      </c>
      <c r="D22594" s="56">
        <v>-2.4729201805216159E-3</v>
      </c>
      <c r="E22594" s="224" t="s">
        <v>2</v>
      </c>
      <c r="G22594" s="52"/>
      <c r="H22594" s="56"/>
      <c r="I22594" s="224"/>
    </row>
    <row r="22595" spans="1:9" x14ac:dyDescent="0.25">
      <c r="A22595" s="515">
        <v>5043</v>
      </c>
      <c r="B22595" s="515" t="s">
        <v>420</v>
      </c>
      <c r="C22595" s="52">
        <v>408808.42528735602</v>
      </c>
      <c r="D22595" s="56">
        <v>0</v>
      </c>
      <c r="E22595" s="224" t="s">
        <v>2</v>
      </c>
      <c r="G22595" s="52"/>
      <c r="H22595" s="56"/>
      <c r="I22595" s="224"/>
    </row>
    <row r="22596" spans="1:9" x14ac:dyDescent="0.25">
      <c r="A22596" s="515">
        <v>24892</v>
      </c>
      <c r="C22596" s="52">
        <v>28239.794363155001</v>
      </c>
      <c r="D22596" s="56">
        <v>0.11145392699717738</v>
      </c>
      <c r="E22596" s="224" t="s">
        <v>2</v>
      </c>
      <c r="G22596" s="52"/>
      <c r="H22596" s="56"/>
      <c r="I22596" s="224"/>
    </row>
    <row r="22597" spans="1:9" x14ac:dyDescent="0.25">
      <c r="A22597" s="515">
        <v>25503</v>
      </c>
      <c r="B22597" s="515" t="s">
        <v>445</v>
      </c>
      <c r="C22597" s="52">
        <v>131094.233997815</v>
      </c>
      <c r="D22597" s="56">
        <v>7.6017840762667516E-2</v>
      </c>
      <c r="E22597" s="224" t="s">
        <v>2</v>
      </c>
      <c r="G22597" s="52"/>
      <c r="H22597" s="56"/>
      <c r="I22597" s="224"/>
    </row>
    <row r="22598" spans="1:9" x14ac:dyDescent="0.25">
      <c r="A22598" s="515">
        <v>84757</v>
      </c>
      <c r="B22598" s="515" t="s">
        <v>522</v>
      </c>
      <c r="C22598" s="52">
        <v>679601.17970057402</v>
      </c>
      <c r="D22598" s="56">
        <v>-1.5358460843942481E-2</v>
      </c>
      <c r="E22598" s="224" t="s">
        <v>2</v>
      </c>
      <c r="G22598" s="52"/>
      <c r="H22598" s="56"/>
      <c r="I22598" s="224"/>
    </row>
    <row r="22599" spans="1:9" x14ac:dyDescent="0.25">
      <c r="A22599" s="515">
        <v>97536</v>
      </c>
      <c r="B22599" s="515" t="s">
        <v>775</v>
      </c>
      <c r="C22599" s="52">
        <v>320387.51869399298</v>
      </c>
      <c r="D22599" s="56">
        <v>5.0910813486701574E-2</v>
      </c>
      <c r="E22599" s="224" t="s">
        <v>2</v>
      </c>
      <c r="G22599" s="52"/>
      <c r="H22599" s="56"/>
      <c r="I22599" s="224"/>
    </row>
    <row r="22600" spans="1:9" x14ac:dyDescent="0.25">
      <c r="A22600" s="515">
        <v>62343</v>
      </c>
      <c r="C22600" s="52">
        <v>69596.368421052597</v>
      </c>
      <c r="D22600" s="56">
        <v>0</v>
      </c>
      <c r="E22600" s="224" t="s">
        <v>2</v>
      </c>
      <c r="G22600" s="52"/>
      <c r="H22600" s="56"/>
      <c r="I22600" s="224"/>
    </row>
    <row r="22601" spans="1:9" x14ac:dyDescent="0.25">
      <c r="A22601" s="515">
        <v>5778</v>
      </c>
      <c r="C22601" s="52">
        <v>341408.545454545</v>
      </c>
      <c r="D22601" s="56">
        <v>0</v>
      </c>
      <c r="E22601" s="224" t="s">
        <v>2</v>
      </c>
      <c r="G22601" s="52"/>
      <c r="H22601" s="56"/>
      <c r="I22601" s="224"/>
    </row>
    <row r="22602" spans="1:9" x14ac:dyDescent="0.25">
      <c r="A22602" s="515">
        <v>13361</v>
      </c>
      <c r="B22602" s="515" t="s">
        <v>543</v>
      </c>
      <c r="C22602" s="52">
        <v>183506.80969435899</v>
      </c>
      <c r="D22602" s="56">
        <v>0.15497905796933084</v>
      </c>
      <c r="E22602" s="224" t="s">
        <v>2</v>
      </c>
      <c r="G22602" s="52"/>
      <c r="H22602" s="56"/>
      <c r="I22602" s="224"/>
    </row>
    <row r="22603" spans="1:9" x14ac:dyDescent="0.25">
      <c r="A22603" s="515">
        <v>62019</v>
      </c>
      <c r="B22603" s="515" t="s">
        <v>498</v>
      </c>
      <c r="C22603" s="52">
        <v>83496.790763077297</v>
      </c>
      <c r="D22603" s="56">
        <v>-1.7708209008579878E-3</v>
      </c>
      <c r="E22603" s="224" t="s">
        <v>2</v>
      </c>
      <c r="G22603" s="52"/>
      <c r="H22603" s="56"/>
      <c r="I22603" s="224"/>
    </row>
    <row r="22604" spans="1:9" x14ac:dyDescent="0.25">
      <c r="A22604" s="515">
        <v>63544</v>
      </c>
      <c r="B22604" s="515" t="s">
        <v>949</v>
      </c>
      <c r="C22604" s="52">
        <v>136913.546850165</v>
      </c>
      <c r="D22604" s="56">
        <v>5.0377002556590028E-2</v>
      </c>
      <c r="E22604" s="224" t="s">
        <v>2</v>
      </c>
      <c r="G22604" s="52"/>
      <c r="H22604" s="56"/>
      <c r="I22604" s="224"/>
    </row>
    <row r="22605" spans="1:9" x14ac:dyDescent="0.25">
      <c r="A22605" s="515">
        <v>4979</v>
      </c>
      <c r="C22605" s="52">
        <v>191986.77679337299</v>
      </c>
      <c r="D22605" s="56">
        <v>7.5985729869981755E-2</v>
      </c>
      <c r="E22605" s="224" t="s">
        <v>2</v>
      </c>
      <c r="G22605" s="52"/>
      <c r="H22605" s="56"/>
      <c r="I22605" s="224"/>
    </row>
    <row r="22606" spans="1:9" x14ac:dyDescent="0.25">
      <c r="A22606" s="515">
        <v>64861</v>
      </c>
      <c r="C22606" s="52">
        <v>168576.903448275</v>
      </c>
      <c r="D22606" s="56">
        <v>0</v>
      </c>
      <c r="E22606" s="224" t="s">
        <v>2</v>
      </c>
      <c r="G22606" s="52"/>
      <c r="H22606" s="56"/>
      <c r="I22606" s="224"/>
    </row>
    <row r="22607" spans="1:9" x14ac:dyDescent="0.25">
      <c r="A22607" s="515">
        <v>50590</v>
      </c>
      <c r="C22607" s="52">
        <v>63721.937299888203</v>
      </c>
      <c r="D22607" s="56">
        <v>0</v>
      </c>
      <c r="E22607" s="224" t="s">
        <v>2</v>
      </c>
      <c r="G22607" s="52"/>
      <c r="H22607" s="56"/>
      <c r="I22607" s="224"/>
    </row>
    <row r="22608" spans="1:9" x14ac:dyDescent="0.25">
      <c r="A22608" s="515">
        <v>43779</v>
      </c>
      <c r="C22608" s="52">
        <v>188019.637408518</v>
      </c>
      <c r="D22608" s="56">
        <v>4.1443871899651881E-2</v>
      </c>
      <c r="E22608" s="224" t="s">
        <v>2</v>
      </c>
      <c r="G22608" s="52"/>
      <c r="H22608" s="56"/>
      <c r="I22608" s="224"/>
    </row>
    <row r="22609" spans="1:9" x14ac:dyDescent="0.25">
      <c r="A22609" s="515">
        <v>48754</v>
      </c>
      <c r="C22609" s="52">
        <v>127081.15587573301</v>
      </c>
      <c r="D22609" s="56">
        <v>0</v>
      </c>
      <c r="E22609" s="224" t="s">
        <v>2</v>
      </c>
      <c r="G22609" s="52"/>
      <c r="H22609" s="56"/>
      <c r="I22609" s="224"/>
    </row>
    <row r="22610" spans="1:9" x14ac:dyDescent="0.25">
      <c r="A22610" s="515">
        <v>94129</v>
      </c>
      <c r="B22610" s="515" t="s">
        <v>593</v>
      </c>
      <c r="C22610" s="52">
        <v>1879178.7951706201</v>
      </c>
      <c r="D22610" s="56">
        <v>4.8051789134666338E-2</v>
      </c>
      <c r="E22610" s="224" t="s">
        <v>2</v>
      </c>
      <c r="G22610" s="52"/>
      <c r="H22610" s="56"/>
      <c r="I22610" s="224"/>
    </row>
    <row r="22611" spans="1:9" x14ac:dyDescent="0.25">
      <c r="A22611" s="515">
        <v>59410</v>
      </c>
      <c r="B22611" s="515" t="s">
        <v>750</v>
      </c>
      <c r="C22611" s="52">
        <v>298251.64731548901</v>
      </c>
      <c r="D22611" s="56">
        <v>5.8347544092239835E-2</v>
      </c>
      <c r="E22611" s="224" t="s">
        <v>2</v>
      </c>
      <c r="G22611" s="52"/>
      <c r="H22611" s="56"/>
      <c r="I22611" s="224"/>
    </row>
    <row r="22612" spans="1:9" x14ac:dyDescent="0.25">
      <c r="A22612" s="515">
        <v>52570</v>
      </c>
      <c r="C22612" s="52">
        <v>124874.03464108599</v>
      </c>
      <c r="D22612" s="56">
        <v>0.141158131692389</v>
      </c>
      <c r="E22612" s="224" t="s">
        <v>2</v>
      </c>
      <c r="G22612" s="52"/>
      <c r="H22612" s="56"/>
      <c r="I22612" s="224"/>
    </row>
    <row r="22613" spans="1:9" x14ac:dyDescent="0.25">
      <c r="A22613" s="515">
        <v>5872</v>
      </c>
      <c r="C22613" s="52">
        <v>240483.76649086899</v>
      </c>
      <c r="D22613" s="56">
        <v>9.2018266535213042E-2</v>
      </c>
      <c r="E22613" s="224" t="s">
        <v>2</v>
      </c>
      <c r="G22613" s="52"/>
      <c r="H22613" s="56"/>
      <c r="I22613" s="224"/>
    </row>
    <row r="22614" spans="1:9" x14ac:dyDescent="0.25">
      <c r="A22614" s="515">
        <v>76525</v>
      </c>
      <c r="C22614" s="52">
        <v>234606.34926141801</v>
      </c>
      <c r="D22614" s="56">
        <v>-4.6184384787416759E-2</v>
      </c>
      <c r="E22614" s="224" t="s">
        <v>2</v>
      </c>
      <c r="G22614" s="52"/>
      <c r="H22614" s="56"/>
      <c r="I22614" s="224"/>
    </row>
    <row r="22615" spans="1:9" x14ac:dyDescent="0.25">
      <c r="A22615" s="515">
        <v>62827</v>
      </c>
      <c r="C22615" s="52">
        <v>64371.9924626586</v>
      </c>
      <c r="D22615" s="56">
        <v>-7.5565200874518953E-3</v>
      </c>
      <c r="E22615" s="224" t="s">
        <v>2</v>
      </c>
      <c r="G22615" s="52"/>
      <c r="H22615" s="56"/>
      <c r="I22615" s="224"/>
    </row>
    <row r="22616" spans="1:9" x14ac:dyDescent="0.25">
      <c r="A22616" s="515">
        <v>95410</v>
      </c>
      <c r="B22616" s="515" t="s">
        <v>644</v>
      </c>
      <c r="C22616" s="52">
        <v>570767.84932311205</v>
      </c>
      <c r="D22616" s="56">
        <v>-9.3149265598950592E-2</v>
      </c>
      <c r="E22616" s="224" t="s">
        <v>2</v>
      </c>
      <c r="G22616" s="52"/>
      <c r="H22616" s="56"/>
      <c r="I22616" s="224"/>
    </row>
    <row r="22617" spans="1:9" x14ac:dyDescent="0.25">
      <c r="A22617" s="515">
        <v>80482</v>
      </c>
      <c r="C22617" s="52">
        <v>753447.96422767197</v>
      </c>
      <c r="D22617" s="56">
        <v>8.3681045840712565E-2</v>
      </c>
      <c r="E22617" s="224" t="s">
        <v>2</v>
      </c>
      <c r="G22617" s="52"/>
      <c r="H22617" s="56"/>
      <c r="I22617" s="224"/>
    </row>
    <row r="22618" spans="1:9" x14ac:dyDescent="0.25">
      <c r="A22618" s="515">
        <v>62214</v>
      </c>
      <c r="C22618" s="52">
        <v>142242.820154393</v>
      </c>
      <c r="D22618" s="56">
        <v>6.1147370155807977E-2</v>
      </c>
      <c r="E22618" s="224" t="s">
        <v>2</v>
      </c>
      <c r="G22618" s="52"/>
      <c r="H22618" s="56"/>
      <c r="I22618" s="224"/>
    </row>
    <row r="22619" spans="1:9" x14ac:dyDescent="0.25">
      <c r="A22619" s="515">
        <v>73481</v>
      </c>
      <c r="B22619" s="515" t="s">
        <v>710</v>
      </c>
      <c r="C22619" s="52">
        <v>112901.795566507</v>
      </c>
      <c r="D22619" s="56">
        <v>0.25977850033894562</v>
      </c>
      <c r="E22619" s="224" t="s">
        <v>2</v>
      </c>
      <c r="G22619" s="52"/>
      <c r="H22619" s="56"/>
      <c r="I22619" s="224"/>
    </row>
    <row r="22620" spans="1:9" x14ac:dyDescent="0.25">
      <c r="A22620" s="515">
        <v>68313</v>
      </c>
      <c r="B22620" s="515" t="s">
        <v>486</v>
      </c>
      <c r="C22620" s="52">
        <v>219829.007911511</v>
      </c>
      <c r="D22620" s="56">
        <v>0.10936288960224758</v>
      </c>
      <c r="E22620" s="224" t="s">
        <v>2</v>
      </c>
      <c r="G22620" s="52"/>
      <c r="H22620" s="56"/>
      <c r="I22620" s="224"/>
    </row>
    <row r="22621" spans="1:9" x14ac:dyDescent="0.25">
      <c r="A22621" s="515">
        <v>57472</v>
      </c>
      <c r="C22621" s="52">
        <v>155799.921569492</v>
      </c>
      <c r="D22621" s="56">
        <v>0.12010979905003348</v>
      </c>
      <c r="E22621" s="224" t="s">
        <v>2</v>
      </c>
      <c r="G22621" s="52"/>
      <c r="H22621" s="56"/>
      <c r="I22621" s="224"/>
    </row>
    <row r="22622" spans="1:9" x14ac:dyDescent="0.25">
      <c r="A22622" s="515">
        <v>42069</v>
      </c>
      <c r="B22622" s="515" t="s">
        <v>933</v>
      </c>
      <c r="C22622" s="52">
        <v>172933.950972041</v>
      </c>
      <c r="D22622" s="56">
        <v>0.17651156366646778</v>
      </c>
      <c r="E22622" s="224" t="s">
        <v>2</v>
      </c>
      <c r="G22622" s="52"/>
      <c r="H22622" s="56"/>
      <c r="I22622" s="224"/>
    </row>
    <row r="22623" spans="1:9" x14ac:dyDescent="0.25">
      <c r="A22623" s="515">
        <v>62540</v>
      </c>
      <c r="B22623" s="515" t="s">
        <v>386</v>
      </c>
      <c r="C22623" s="52">
        <v>71948.083694759203</v>
      </c>
      <c r="D22623" s="56">
        <v>4.4560172997060041E-2</v>
      </c>
      <c r="E22623" s="224" t="s">
        <v>2</v>
      </c>
      <c r="G22623" s="52"/>
      <c r="H22623" s="56"/>
      <c r="I22623" s="224"/>
    </row>
    <row r="22624" spans="1:9" x14ac:dyDescent="0.25">
      <c r="A22624" s="515">
        <v>14855</v>
      </c>
      <c r="B22624" s="515" t="s">
        <v>585</v>
      </c>
      <c r="C22624" s="52">
        <v>133552.46675818399</v>
      </c>
      <c r="D22624" s="56">
        <v>0.12571914122224093</v>
      </c>
      <c r="E22624" s="224" t="s">
        <v>2</v>
      </c>
      <c r="G22624" s="52"/>
      <c r="H22624" s="56"/>
      <c r="I22624" s="224"/>
    </row>
    <row r="22625" spans="1:9" x14ac:dyDescent="0.25">
      <c r="A22625" s="515">
        <v>46340</v>
      </c>
      <c r="B22625" s="515" t="s">
        <v>944</v>
      </c>
      <c r="C22625" s="52">
        <v>233398.083418981</v>
      </c>
      <c r="D22625" s="56">
        <v>9.047587118763685E-2</v>
      </c>
      <c r="E22625" s="224" t="s">
        <v>2</v>
      </c>
      <c r="G22625" s="52"/>
      <c r="H22625" s="56"/>
      <c r="I22625" s="224"/>
    </row>
    <row r="22626" spans="1:9" x14ac:dyDescent="0.25">
      <c r="A22626" s="515">
        <v>39886</v>
      </c>
      <c r="C22626" s="52">
        <v>99162.146818683599</v>
      </c>
      <c r="D22626" s="56">
        <v>5.0682643444917241E-2</v>
      </c>
      <c r="E22626" s="224" t="s">
        <v>2</v>
      </c>
      <c r="G22626" s="52"/>
      <c r="H22626" s="56"/>
      <c r="I22626" s="224"/>
    </row>
    <row r="22627" spans="1:9" x14ac:dyDescent="0.25">
      <c r="A22627" s="515">
        <v>25039</v>
      </c>
      <c r="B22627" s="515" t="s">
        <v>322</v>
      </c>
      <c r="C22627" s="52">
        <v>86846.281272513297</v>
      </c>
      <c r="D22627" s="56">
        <v>0.12853951268061958</v>
      </c>
      <c r="E22627" s="224" t="s">
        <v>2</v>
      </c>
      <c r="G22627" s="52"/>
      <c r="H22627" s="56"/>
      <c r="I22627" s="224"/>
    </row>
    <row r="22628" spans="1:9" x14ac:dyDescent="0.25">
      <c r="A22628" s="515">
        <v>56385</v>
      </c>
      <c r="C22628" s="52">
        <v>248983.847031104</v>
      </c>
      <c r="D22628" s="56">
        <v>7.9095058390176817E-2</v>
      </c>
      <c r="E22628" s="224" t="s">
        <v>2</v>
      </c>
      <c r="G22628" s="52"/>
      <c r="H22628" s="56"/>
      <c r="I22628" s="224"/>
    </row>
    <row r="22629" spans="1:9" x14ac:dyDescent="0.25">
      <c r="A22629" s="515">
        <v>56136</v>
      </c>
      <c r="C22629" s="52">
        <v>143032.70151580399</v>
      </c>
      <c r="D22629" s="56">
        <v>3.6310998149975175E-2</v>
      </c>
      <c r="E22629" s="224" t="s">
        <v>2</v>
      </c>
      <c r="G22629" s="52"/>
      <c r="H22629" s="56"/>
      <c r="I22629" s="224"/>
    </row>
    <row r="22630" spans="1:9" x14ac:dyDescent="0.25">
      <c r="A22630" s="515">
        <v>84305</v>
      </c>
      <c r="B22630" s="515" t="s">
        <v>632</v>
      </c>
      <c r="C22630" s="52">
        <v>365558.21918232698</v>
      </c>
      <c r="D22630" s="56">
        <v>0</v>
      </c>
      <c r="E22630" s="224" t="s">
        <v>2</v>
      </c>
      <c r="G22630" s="52"/>
      <c r="H22630" s="56"/>
      <c r="I22630" s="224"/>
    </row>
    <row r="22631" spans="1:9" x14ac:dyDescent="0.25">
      <c r="A22631" s="515">
        <v>62376</v>
      </c>
      <c r="B22631" s="515" t="s">
        <v>697</v>
      </c>
      <c r="C22631" s="52">
        <v>137106.129462246</v>
      </c>
      <c r="D22631" s="56">
        <v>7.3235530114736588E-2</v>
      </c>
      <c r="E22631" s="224" t="s">
        <v>2</v>
      </c>
      <c r="G22631" s="52"/>
      <c r="H22631" s="56"/>
      <c r="I22631" s="224"/>
    </row>
    <row r="22632" spans="1:9" x14ac:dyDescent="0.25">
      <c r="A22632" s="515">
        <v>61774</v>
      </c>
      <c r="B22632" s="515" t="s">
        <v>645</v>
      </c>
      <c r="C22632" s="52">
        <v>133850.481998384</v>
      </c>
      <c r="D22632" s="56">
        <v>9.5924623467452313E-2</v>
      </c>
      <c r="E22632" s="224" t="s">
        <v>2</v>
      </c>
      <c r="G22632" s="52"/>
      <c r="H22632" s="56"/>
      <c r="I22632" s="224"/>
    </row>
    <row r="22633" spans="1:9" x14ac:dyDescent="0.25">
      <c r="A22633" s="515">
        <v>51467</v>
      </c>
      <c r="C22633" s="52">
        <v>180095.840724398</v>
      </c>
      <c r="D22633" s="56">
        <v>0.20367606712195344</v>
      </c>
      <c r="E22633" s="224" t="s">
        <v>2</v>
      </c>
      <c r="G22633" s="52"/>
      <c r="H22633" s="56"/>
      <c r="I22633" s="224"/>
    </row>
    <row r="22634" spans="1:9" x14ac:dyDescent="0.25">
      <c r="A22634" s="515">
        <v>61560</v>
      </c>
      <c r="B22634" s="515" t="s">
        <v>556</v>
      </c>
      <c r="C22634" s="52">
        <v>192002.485004388</v>
      </c>
      <c r="D22634" s="56">
        <v>9.9834578453152453E-2</v>
      </c>
      <c r="E22634" s="224" t="s">
        <v>2</v>
      </c>
      <c r="G22634" s="52"/>
      <c r="H22634" s="56"/>
      <c r="I22634" s="224"/>
    </row>
    <row r="22635" spans="1:9" x14ac:dyDescent="0.25">
      <c r="A22635" s="515">
        <v>47866</v>
      </c>
      <c r="B22635" s="515" t="s">
        <v>318</v>
      </c>
      <c r="C22635" s="52">
        <v>137713.521092713</v>
      </c>
      <c r="D22635" s="56">
        <v>2.411164288774854E-2</v>
      </c>
      <c r="E22635" s="224" t="s">
        <v>2</v>
      </c>
      <c r="G22635" s="52"/>
      <c r="H22635" s="56"/>
      <c r="I22635" s="224"/>
    </row>
    <row r="22636" spans="1:9" x14ac:dyDescent="0.25">
      <c r="A22636" s="515">
        <v>66755</v>
      </c>
      <c r="C22636" s="52">
        <v>107844.12593270199</v>
      </c>
      <c r="D22636" s="56">
        <v>0.11777344793564257</v>
      </c>
      <c r="E22636" s="224" t="s">
        <v>2</v>
      </c>
      <c r="G22636" s="52"/>
      <c r="H22636" s="56"/>
      <c r="I22636" s="224"/>
    </row>
    <row r="22637" spans="1:9" x14ac:dyDescent="0.25">
      <c r="A22637" s="515">
        <v>87745</v>
      </c>
      <c r="B22637" s="515" t="s">
        <v>767</v>
      </c>
      <c r="C22637" s="52">
        <v>286202.61900771601</v>
      </c>
      <c r="D22637" s="56">
        <v>0</v>
      </c>
      <c r="E22637" s="224" t="s">
        <v>2</v>
      </c>
      <c r="G22637" s="52"/>
      <c r="H22637" s="56"/>
      <c r="I22637" s="224"/>
    </row>
    <row r="22638" spans="1:9" x14ac:dyDescent="0.25">
      <c r="A22638" s="515">
        <v>13659</v>
      </c>
      <c r="B22638" s="515" t="s">
        <v>431</v>
      </c>
      <c r="C22638" s="52">
        <v>154276.78755279101</v>
      </c>
      <c r="D22638" s="56">
        <v>0.10752587339083297</v>
      </c>
      <c r="E22638" s="224" t="s">
        <v>2</v>
      </c>
      <c r="G22638" s="52"/>
      <c r="H22638" s="56"/>
      <c r="I22638" s="224"/>
    </row>
    <row r="22639" spans="1:9" x14ac:dyDescent="0.25">
      <c r="A22639" s="515">
        <v>76239</v>
      </c>
      <c r="C22639" s="52">
        <v>372917.69774337701</v>
      </c>
      <c r="D22639" s="56">
        <v>6.1846586356350937E-2</v>
      </c>
      <c r="E22639" s="224" t="s">
        <v>2</v>
      </c>
      <c r="G22639" s="52"/>
      <c r="H22639" s="56"/>
      <c r="I22639" s="224"/>
    </row>
    <row r="22640" spans="1:9" x14ac:dyDescent="0.25">
      <c r="A22640" s="515">
        <v>78935</v>
      </c>
      <c r="C22640" s="52">
        <v>339208.50531208602</v>
      </c>
      <c r="D22640" s="56">
        <v>1.2062006494226115E-2</v>
      </c>
      <c r="E22640" s="224" t="s">
        <v>2</v>
      </c>
      <c r="G22640" s="52"/>
      <c r="H22640" s="56"/>
      <c r="I22640" s="224"/>
    </row>
    <row r="22641" spans="1:9" x14ac:dyDescent="0.25">
      <c r="A22641" s="515">
        <v>64018</v>
      </c>
      <c r="B22641" s="515" t="s">
        <v>455</v>
      </c>
      <c r="C22641" s="52">
        <v>286131.03495466203</v>
      </c>
      <c r="D22641" s="56">
        <v>6.3929438768002347E-2</v>
      </c>
      <c r="E22641" s="224" t="s">
        <v>2</v>
      </c>
      <c r="G22641" s="52"/>
      <c r="H22641" s="56"/>
      <c r="I22641" s="224"/>
    </row>
    <row r="22642" spans="1:9" x14ac:dyDescent="0.25">
      <c r="A22642" s="515">
        <v>4406</v>
      </c>
      <c r="C22642" s="52">
        <v>204447.33672196601</v>
      </c>
      <c r="D22642" s="56">
        <v>9.1189385135617376E-2</v>
      </c>
      <c r="E22642" s="224" t="s">
        <v>2</v>
      </c>
      <c r="G22642" s="52"/>
      <c r="H22642" s="56"/>
      <c r="I22642" s="224"/>
    </row>
    <row r="22643" spans="1:9" x14ac:dyDescent="0.25">
      <c r="A22643" s="515">
        <v>78597</v>
      </c>
      <c r="B22643" s="515" t="s">
        <v>444</v>
      </c>
      <c r="C22643" s="52">
        <v>401909.33486777102</v>
      </c>
      <c r="D22643" s="56">
        <v>9.2728033507713373E-2</v>
      </c>
      <c r="E22643" s="224" t="s">
        <v>2</v>
      </c>
      <c r="G22643" s="52"/>
      <c r="H22643" s="56"/>
      <c r="I22643" s="224"/>
    </row>
    <row r="22644" spans="1:9" x14ac:dyDescent="0.25">
      <c r="A22644" s="515">
        <v>62933</v>
      </c>
      <c r="B22644" s="515" t="s">
        <v>471</v>
      </c>
      <c r="C22644" s="52">
        <v>132539.63762318101</v>
      </c>
      <c r="D22644" s="56">
        <v>3.3657224136321655E-2</v>
      </c>
      <c r="E22644" s="224" t="s">
        <v>2</v>
      </c>
      <c r="G22644" s="52"/>
      <c r="H22644" s="56"/>
      <c r="I22644" s="224"/>
    </row>
    <row r="22645" spans="1:9" x14ac:dyDescent="0.25">
      <c r="A22645" s="515">
        <v>54756</v>
      </c>
      <c r="C22645" s="52">
        <v>187277.86296625101</v>
      </c>
      <c r="D22645" s="56">
        <v>6.5839383261798182E-2</v>
      </c>
      <c r="E22645" s="224" t="s">
        <v>2</v>
      </c>
      <c r="G22645" s="52"/>
      <c r="H22645" s="56"/>
      <c r="I22645" s="224"/>
    </row>
    <row r="22646" spans="1:9" x14ac:dyDescent="0.25">
      <c r="A22646" s="515">
        <v>1258</v>
      </c>
      <c r="B22646" s="515" t="s">
        <v>497</v>
      </c>
      <c r="C22646" s="52">
        <v>587400.76014198805</v>
      </c>
      <c r="D22646" s="56">
        <v>0.14164215134094479</v>
      </c>
      <c r="E22646" s="224" t="s">
        <v>2</v>
      </c>
      <c r="G22646" s="52"/>
      <c r="H22646" s="56"/>
      <c r="I22646" s="224"/>
    </row>
    <row r="22647" spans="1:9" x14ac:dyDescent="0.25">
      <c r="A22647" s="515">
        <v>12989</v>
      </c>
      <c r="B22647" s="515" t="s">
        <v>706</v>
      </c>
      <c r="C22647" s="52">
        <v>251514.55918617701</v>
      </c>
      <c r="D22647" s="56">
        <v>0.17657947950581707</v>
      </c>
      <c r="E22647" s="224" t="s">
        <v>2</v>
      </c>
      <c r="G22647" s="52"/>
      <c r="H22647" s="56"/>
      <c r="I22647" s="224"/>
    </row>
    <row r="22648" spans="1:9" x14ac:dyDescent="0.25">
      <c r="A22648" s="515">
        <v>47921</v>
      </c>
      <c r="B22648" s="515" t="s">
        <v>433</v>
      </c>
      <c r="C22648" s="52">
        <v>120611.499478488</v>
      </c>
      <c r="D22648" s="56">
        <v>5.3112640278718266E-2</v>
      </c>
      <c r="E22648" s="224" t="s">
        <v>2</v>
      </c>
      <c r="G22648" s="52"/>
      <c r="H22648" s="56"/>
      <c r="I22648" s="224"/>
    </row>
    <row r="22649" spans="1:9" x14ac:dyDescent="0.25">
      <c r="A22649" s="515">
        <v>83622</v>
      </c>
      <c r="B22649" s="515" t="s">
        <v>500</v>
      </c>
      <c r="C22649" s="52">
        <v>479861.65834982198</v>
      </c>
      <c r="D22649" s="56">
        <v>2.452553186420974E-4</v>
      </c>
      <c r="E22649" s="224" t="s">
        <v>2</v>
      </c>
      <c r="G22649" s="52"/>
      <c r="H22649" s="56"/>
      <c r="I22649" s="224"/>
    </row>
    <row r="22650" spans="1:9" x14ac:dyDescent="0.25">
      <c r="A22650" s="515">
        <v>96050</v>
      </c>
      <c r="C22650" s="52">
        <v>236330.68065623799</v>
      </c>
      <c r="D22650" s="56">
        <v>-1.7063016171281451E-2</v>
      </c>
      <c r="E22650" s="224" t="s">
        <v>2</v>
      </c>
      <c r="G22650" s="52"/>
      <c r="H22650" s="56"/>
      <c r="I22650" s="224"/>
    </row>
    <row r="22651" spans="1:9" x14ac:dyDescent="0.25">
      <c r="A22651" s="515">
        <v>39572</v>
      </c>
      <c r="B22651" s="515" t="s">
        <v>963</v>
      </c>
      <c r="C22651" s="52">
        <v>178325.72470684999</v>
      </c>
      <c r="D22651" s="56">
        <v>-1.5606013474752803E-2</v>
      </c>
      <c r="E22651" s="224" t="s">
        <v>2</v>
      </c>
      <c r="G22651" s="52"/>
      <c r="H22651" s="56"/>
      <c r="I22651" s="224"/>
    </row>
    <row r="22652" spans="1:9" x14ac:dyDescent="0.25">
      <c r="A22652" s="515">
        <v>74939</v>
      </c>
      <c r="C22652" s="52">
        <v>148500.334920319</v>
      </c>
      <c r="D22652" s="56">
        <v>0.16586094907079166</v>
      </c>
      <c r="E22652" s="224" t="s">
        <v>2</v>
      </c>
      <c r="G22652" s="52"/>
      <c r="H22652" s="56"/>
      <c r="I22652" s="224"/>
    </row>
    <row r="22653" spans="1:9" x14ac:dyDescent="0.25">
      <c r="A22653" s="515">
        <v>61428</v>
      </c>
      <c r="B22653" s="515" t="s">
        <v>339</v>
      </c>
      <c r="C22653" s="52">
        <v>288553.97439120902</v>
      </c>
      <c r="D22653" s="56">
        <v>7.6773051925840316E-2</v>
      </c>
      <c r="E22653" s="224" t="s">
        <v>2</v>
      </c>
      <c r="G22653" s="52"/>
      <c r="H22653" s="56"/>
      <c r="I22653" s="224"/>
    </row>
    <row r="22654" spans="1:9" x14ac:dyDescent="0.25">
      <c r="A22654" s="515">
        <v>78932</v>
      </c>
      <c r="B22654" s="515" t="s">
        <v>962</v>
      </c>
      <c r="C22654" s="52">
        <v>560554.69364050997</v>
      </c>
      <c r="D22654" s="56">
        <v>0.18901977684989327</v>
      </c>
      <c r="E22654" s="224" t="s">
        <v>2</v>
      </c>
      <c r="G22654" s="52"/>
      <c r="H22654" s="56"/>
      <c r="I22654" s="224"/>
    </row>
    <row r="22655" spans="1:9" x14ac:dyDescent="0.25">
      <c r="A22655" s="515">
        <v>20862</v>
      </c>
      <c r="B22655" s="515" t="s">
        <v>321</v>
      </c>
      <c r="C22655" s="52">
        <v>813754.28611173795</v>
      </c>
      <c r="D22655" s="56">
        <v>0</v>
      </c>
      <c r="E22655" s="224" t="s">
        <v>2</v>
      </c>
      <c r="G22655" s="52"/>
      <c r="H22655" s="56"/>
      <c r="I22655" s="224"/>
    </row>
    <row r="22656" spans="1:9" x14ac:dyDescent="0.25">
      <c r="A22656" s="515">
        <v>54772</v>
      </c>
      <c r="B22656" s="515" t="s">
        <v>731</v>
      </c>
      <c r="C22656" s="52">
        <v>225505.20735215701</v>
      </c>
      <c r="D22656" s="56">
        <v>5.2768073498799153E-2</v>
      </c>
      <c r="E22656" s="224" t="s">
        <v>2</v>
      </c>
      <c r="G22656" s="52"/>
      <c r="H22656" s="56"/>
      <c r="I22656" s="224"/>
    </row>
    <row r="22657" spans="1:9" x14ac:dyDescent="0.25">
      <c r="A22657" s="515">
        <v>47116</v>
      </c>
      <c r="C22657" s="52">
        <v>152504.37645288499</v>
      </c>
      <c r="D22657" s="56">
        <v>0.1317979006076504</v>
      </c>
      <c r="E22657" s="224" t="s">
        <v>2</v>
      </c>
      <c r="G22657" s="52"/>
      <c r="H22657" s="56"/>
      <c r="I22657" s="224"/>
    </row>
    <row r="22658" spans="1:9" x14ac:dyDescent="0.25">
      <c r="A22658" s="515">
        <v>85646</v>
      </c>
      <c r="B22658" s="515" t="s">
        <v>720</v>
      </c>
      <c r="C22658" s="52">
        <v>464851.557722756</v>
      </c>
      <c r="D22658" s="56">
        <v>3.7656734602635494E-2</v>
      </c>
      <c r="E22658" s="224" t="s">
        <v>2</v>
      </c>
      <c r="G22658" s="52"/>
      <c r="H22658" s="56"/>
      <c r="I22658" s="224"/>
    </row>
    <row r="22659" spans="1:9" x14ac:dyDescent="0.25">
      <c r="A22659" s="515">
        <v>80741</v>
      </c>
      <c r="B22659" s="515" t="s">
        <v>721</v>
      </c>
      <c r="C22659" s="52">
        <v>281697.05096023303</v>
      </c>
      <c r="D22659" s="56">
        <v>6.7126894541056775E-2</v>
      </c>
      <c r="E22659" s="224" t="s">
        <v>2</v>
      </c>
      <c r="G22659" s="52"/>
      <c r="H22659" s="56"/>
      <c r="I22659" s="224"/>
    </row>
    <row r="22660" spans="1:9" x14ac:dyDescent="0.25">
      <c r="A22660" s="515">
        <v>5757</v>
      </c>
      <c r="B22660" s="515" t="s">
        <v>791</v>
      </c>
      <c r="C22660" s="52">
        <v>294534.497196735</v>
      </c>
      <c r="D22660" s="56">
        <v>9.8660137973250905E-2</v>
      </c>
      <c r="E22660" s="224" t="s">
        <v>2</v>
      </c>
      <c r="G22660" s="52"/>
      <c r="H22660" s="56"/>
      <c r="I22660" s="224"/>
    </row>
    <row r="22661" spans="1:9" x14ac:dyDescent="0.25">
      <c r="A22661" s="515">
        <v>26562</v>
      </c>
      <c r="C22661" s="52">
        <v>100118.198984651</v>
      </c>
      <c r="D22661" s="56">
        <v>2.640764484011103E-2</v>
      </c>
      <c r="E22661" s="224" t="s">
        <v>2</v>
      </c>
      <c r="G22661" s="52"/>
      <c r="H22661" s="56"/>
      <c r="I22661" s="224"/>
    </row>
    <row r="22662" spans="1:9" x14ac:dyDescent="0.25">
      <c r="A22662" s="515">
        <v>67622</v>
      </c>
      <c r="C22662" s="52">
        <v>77062.774667635196</v>
      </c>
      <c r="D22662" s="56">
        <v>7.201750047714095E-2</v>
      </c>
      <c r="E22662" s="224" t="s">
        <v>2</v>
      </c>
      <c r="G22662" s="52"/>
      <c r="H22662" s="56"/>
      <c r="I22662" s="224"/>
    </row>
    <row r="22663" spans="1:9" x14ac:dyDescent="0.25">
      <c r="A22663" s="515">
        <v>5142</v>
      </c>
      <c r="B22663" s="515" t="s">
        <v>420</v>
      </c>
      <c r="C22663" s="52">
        <v>316321.61679144501</v>
      </c>
      <c r="D22663" s="56">
        <v>0.15627167026461325</v>
      </c>
      <c r="E22663" s="224" t="s">
        <v>2</v>
      </c>
      <c r="G22663" s="52"/>
      <c r="H22663" s="56"/>
      <c r="I22663" s="224"/>
    </row>
    <row r="22664" spans="1:9" x14ac:dyDescent="0.25">
      <c r="A22664" s="515">
        <v>45849</v>
      </c>
      <c r="C22664" s="52">
        <v>121175.781839558</v>
      </c>
      <c r="D22664" s="56">
        <v>6.886362380906226E-2</v>
      </c>
      <c r="E22664" s="224" t="s">
        <v>2</v>
      </c>
      <c r="G22664" s="52"/>
      <c r="H22664" s="56"/>
      <c r="I22664" s="224"/>
    </row>
    <row r="22665" spans="1:9" x14ac:dyDescent="0.25">
      <c r="A22665" s="515">
        <v>73011</v>
      </c>
      <c r="B22665" s="515" t="s">
        <v>385</v>
      </c>
      <c r="C22665" s="52">
        <v>166449.018855161</v>
      </c>
      <c r="D22665" s="56">
        <v>0.1191103962402812</v>
      </c>
      <c r="E22665" s="224" t="s">
        <v>2</v>
      </c>
      <c r="G22665" s="52"/>
      <c r="H22665" s="56"/>
      <c r="I22665" s="224"/>
    </row>
    <row r="22666" spans="1:9" x14ac:dyDescent="0.25">
      <c r="A22666" s="515">
        <v>26581</v>
      </c>
      <c r="C22666" s="52">
        <v>77964.204931209693</v>
      </c>
      <c r="D22666" s="56">
        <v>-6.0519612469457598E-2</v>
      </c>
      <c r="E22666" s="224" t="s">
        <v>2</v>
      </c>
      <c r="G22666" s="52"/>
      <c r="H22666" s="56"/>
      <c r="I22666" s="224"/>
    </row>
    <row r="22667" spans="1:9" x14ac:dyDescent="0.25">
      <c r="A22667" s="515">
        <v>80649</v>
      </c>
      <c r="B22667" s="515" t="s">
        <v>382</v>
      </c>
      <c r="C22667" s="52">
        <v>443483.077801459</v>
      </c>
      <c r="D22667" s="56">
        <v>0</v>
      </c>
      <c r="E22667" s="224" t="s">
        <v>2</v>
      </c>
      <c r="G22667" s="52"/>
      <c r="H22667" s="56"/>
      <c r="I22667" s="224"/>
    </row>
    <row r="22668" spans="1:9" x14ac:dyDescent="0.25">
      <c r="A22668" s="515">
        <v>71003</v>
      </c>
      <c r="C22668" s="52">
        <v>66600.288888888797</v>
      </c>
      <c r="D22668" s="56">
        <v>0</v>
      </c>
      <c r="E22668" s="224" t="s">
        <v>2</v>
      </c>
      <c r="G22668" s="52"/>
      <c r="H22668" s="56"/>
      <c r="I22668" s="224"/>
    </row>
    <row r="22669" spans="1:9" x14ac:dyDescent="0.25">
      <c r="A22669" s="515">
        <v>32430</v>
      </c>
      <c r="C22669" s="52">
        <v>187841.53089766201</v>
      </c>
      <c r="D22669" s="56">
        <v>0.22932035383898869</v>
      </c>
      <c r="E22669" s="224" t="s">
        <v>2</v>
      </c>
      <c r="G22669" s="52"/>
      <c r="H22669" s="56"/>
      <c r="I22669" s="224"/>
    </row>
    <row r="22670" spans="1:9" x14ac:dyDescent="0.25">
      <c r="A22670" s="515">
        <v>73564</v>
      </c>
      <c r="C22670" s="52">
        <v>72823.793071685999</v>
      </c>
      <c r="D22670" s="56">
        <v>0.17228333221556566</v>
      </c>
      <c r="E22670" s="224" t="s">
        <v>2</v>
      </c>
      <c r="G22670" s="52"/>
      <c r="H22670" s="56"/>
      <c r="I22670" s="224"/>
    </row>
    <row r="22671" spans="1:9" x14ac:dyDescent="0.25">
      <c r="A22671" s="515">
        <v>96120</v>
      </c>
      <c r="C22671" s="52">
        <v>476864.11253757798</v>
      </c>
      <c r="D22671" s="56">
        <v>1.7887691423135222E-3</v>
      </c>
      <c r="E22671" s="224" t="s">
        <v>2</v>
      </c>
      <c r="G22671" s="52"/>
      <c r="H22671" s="56"/>
      <c r="I22671" s="224"/>
    </row>
    <row r="22672" spans="1:9" x14ac:dyDescent="0.25">
      <c r="A22672" s="515">
        <v>50044</v>
      </c>
      <c r="B22672" s="515" t="s">
        <v>625</v>
      </c>
      <c r="C22672" s="52">
        <v>132497.319220846</v>
      </c>
      <c r="D22672" s="56">
        <v>0.10151900391127046</v>
      </c>
      <c r="E22672" s="224" t="s">
        <v>2</v>
      </c>
      <c r="G22672" s="52"/>
      <c r="H22672" s="56"/>
      <c r="I22672" s="224"/>
    </row>
    <row r="22673" spans="1:9" x14ac:dyDescent="0.25">
      <c r="A22673" s="515">
        <v>83217</v>
      </c>
      <c r="C22673" s="52">
        <v>257614.76344086</v>
      </c>
      <c r="D22673" s="56">
        <v>0</v>
      </c>
      <c r="E22673" s="224" t="s">
        <v>2</v>
      </c>
      <c r="G22673" s="52"/>
      <c r="H22673" s="56"/>
      <c r="I22673" s="224"/>
    </row>
    <row r="22674" spans="1:9" x14ac:dyDescent="0.25">
      <c r="A22674" s="515">
        <v>12842</v>
      </c>
      <c r="C22674" s="52">
        <v>258923.15015774299</v>
      </c>
      <c r="D22674" s="56">
        <v>0.1107434580225836</v>
      </c>
      <c r="E22674" s="224" t="s">
        <v>2</v>
      </c>
      <c r="G22674" s="52"/>
      <c r="H22674" s="56"/>
      <c r="I22674" s="224"/>
    </row>
    <row r="22675" spans="1:9" x14ac:dyDescent="0.25">
      <c r="A22675" s="515">
        <v>85924</v>
      </c>
      <c r="C22675" s="52">
        <v>217678.53063730701</v>
      </c>
      <c r="D22675" s="56">
        <v>8.7697363277008236E-2</v>
      </c>
      <c r="E22675" s="224" t="s">
        <v>2</v>
      </c>
      <c r="G22675" s="52"/>
      <c r="H22675" s="56"/>
      <c r="I22675" s="224"/>
    </row>
    <row r="22676" spans="1:9" x14ac:dyDescent="0.25">
      <c r="A22676" s="515">
        <v>38924</v>
      </c>
      <c r="B22676" s="515" t="s">
        <v>851</v>
      </c>
      <c r="C22676" s="52">
        <v>82383.776886142499</v>
      </c>
      <c r="D22676" s="56">
        <v>-0.12130841351322125</v>
      </c>
      <c r="E22676" s="224" t="s">
        <v>2</v>
      </c>
      <c r="G22676" s="52"/>
      <c r="H22676" s="56"/>
      <c r="I22676" s="224"/>
    </row>
    <row r="22677" spans="1:9" x14ac:dyDescent="0.25">
      <c r="A22677" s="515">
        <v>52323</v>
      </c>
      <c r="B22677" s="515" t="s">
        <v>404</v>
      </c>
      <c r="C22677" s="52">
        <v>91751.396539565205</v>
      </c>
      <c r="D22677" s="56">
        <v>8.0124473540786695E-2</v>
      </c>
      <c r="E22677" s="224" t="s">
        <v>2</v>
      </c>
      <c r="G22677" s="52"/>
      <c r="H22677" s="56"/>
      <c r="I22677" s="224"/>
    </row>
    <row r="22678" spans="1:9" x14ac:dyDescent="0.25">
      <c r="A22678" s="515">
        <v>58640</v>
      </c>
      <c r="C22678" s="52">
        <v>265323.14392403298</v>
      </c>
      <c r="D22678" s="56">
        <v>6.0406239294853399E-2</v>
      </c>
      <c r="E22678" s="224" t="s">
        <v>2</v>
      </c>
      <c r="G22678" s="52"/>
      <c r="H22678" s="56"/>
      <c r="I22678" s="224"/>
    </row>
    <row r="22679" spans="1:9" x14ac:dyDescent="0.25">
      <c r="A22679" s="515">
        <v>81130</v>
      </c>
      <c r="C22679" s="52">
        <v>379016.161607054</v>
      </c>
      <c r="D22679" s="56">
        <v>6.0017833922507771E-2</v>
      </c>
      <c r="E22679" s="224" t="s">
        <v>2</v>
      </c>
      <c r="G22679" s="52"/>
      <c r="H22679" s="56"/>
      <c r="I22679" s="224"/>
    </row>
    <row r="22680" spans="1:9" x14ac:dyDescent="0.25">
      <c r="A22680" s="515">
        <v>46941</v>
      </c>
      <c r="B22680" s="515" t="s">
        <v>435</v>
      </c>
      <c r="C22680" s="52">
        <v>163013.07163262001</v>
      </c>
      <c r="D22680" s="56">
        <v>6.2336054400984144E-2</v>
      </c>
      <c r="E22680" s="224" t="s">
        <v>2</v>
      </c>
      <c r="G22680" s="52"/>
      <c r="H22680" s="56"/>
      <c r="I22680" s="224"/>
    </row>
    <row r="22681" spans="1:9" x14ac:dyDescent="0.25">
      <c r="A22681" s="515">
        <v>29543</v>
      </c>
      <c r="C22681" s="52">
        <v>104538.3</v>
      </c>
      <c r="D22681" s="56">
        <v>0</v>
      </c>
      <c r="E22681" s="224" t="s">
        <v>2</v>
      </c>
      <c r="G22681" s="52"/>
      <c r="H22681" s="56"/>
      <c r="I22681" s="224"/>
    </row>
    <row r="22682" spans="1:9" x14ac:dyDescent="0.25">
      <c r="A22682" s="515">
        <v>47616</v>
      </c>
      <c r="C22682" s="52">
        <v>107124.038533635</v>
      </c>
      <c r="D22682" s="56">
        <v>7.8150587369491958E-2</v>
      </c>
      <c r="E22682" s="224" t="s">
        <v>2</v>
      </c>
      <c r="G22682" s="52"/>
      <c r="H22682" s="56"/>
      <c r="I22682" s="224"/>
    </row>
    <row r="22683" spans="1:9" x14ac:dyDescent="0.25">
      <c r="A22683" s="515">
        <v>4424</v>
      </c>
      <c r="C22683" s="52">
        <v>181974.97388608701</v>
      </c>
      <c r="D22683" s="56">
        <v>0.12576228457606303</v>
      </c>
      <c r="E22683" s="224" t="s">
        <v>2</v>
      </c>
      <c r="G22683" s="52"/>
      <c r="H22683" s="56"/>
      <c r="I22683" s="224"/>
    </row>
    <row r="22684" spans="1:9" x14ac:dyDescent="0.25">
      <c r="A22684" s="515">
        <v>97147</v>
      </c>
      <c r="C22684" s="52">
        <v>442709.90379845398</v>
      </c>
      <c r="D22684" s="56">
        <v>3.0018591206043055E-2</v>
      </c>
      <c r="E22684" s="224" t="s">
        <v>2</v>
      </c>
      <c r="G22684" s="52"/>
      <c r="H22684" s="56"/>
      <c r="I22684" s="224"/>
    </row>
    <row r="22685" spans="1:9" x14ac:dyDescent="0.25">
      <c r="A22685" s="515">
        <v>14894</v>
      </c>
      <c r="B22685" s="515" t="s">
        <v>724</v>
      </c>
      <c r="C22685" s="52">
        <v>141347.59845991599</v>
      </c>
      <c r="D22685" s="56">
        <v>4.4033999198589968E-2</v>
      </c>
      <c r="E22685" s="224" t="s">
        <v>2</v>
      </c>
      <c r="G22685" s="52"/>
      <c r="H22685" s="56"/>
      <c r="I22685" s="224"/>
    </row>
    <row r="22686" spans="1:9" x14ac:dyDescent="0.25">
      <c r="A22686" s="515">
        <v>73718</v>
      </c>
      <c r="C22686" s="52">
        <v>125955.799384338</v>
      </c>
      <c r="D22686" s="56">
        <v>9.764870795822865E-2</v>
      </c>
      <c r="E22686" s="224" t="s">
        <v>2</v>
      </c>
      <c r="G22686" s="52"/>
      <c r="H22686" s="56"/>
      <c r="I22686" s="224"/>
    </row>
    <row r="22687" spans="1:9" x14ac:dyDescent="0.25">
      <c r="A22687" s="515">
        <v>24139</v>
      </c>
      <c r="B22687" s="515" t="s">
        <v>901</v>
      </c>
      <c r="C22687" s="52">
        <v>168851.408737441</v>
      </c>
      <c r="D22687" s="56">
        <v>0.14782596744038359</v>
      </c>
      <c r="E22687" s="224" t="s">
        <v>2</v>
      </c>
      <c r="G22687" s="52"/>
      <c r="H22687" s="56"/>
      <c r="I22687" s="224"/>
    </row>
    <row r="22688" spans="1:9" x14ac:dyDescent="0.25">
      <c r="A22688" s="515">
        <v>72685</v>
      </c>
      <c r="B22688" s="515" t="s">
        <v>647</v>
      </c>
      <c r="C22688" s="52">
        <v>161137.05545780199</v>
      </c>
      <c r="D22688" s="56">
        <v>4.2617175574848218E-2</v>
      </c>
      <c r="E22688" s="224" t="s">
        <v>2</v>
      </c>
      <c r="G22688" s="52"/>
      <c r="H22688" s="56"/>
      <c r="I22688" s="224"/>
    </row>
    <row r="22689" spans="1:9" x14ac:dyDescent="0.25">
      <c r="A22689" s="515">
        <v>97867</v>
      </c>
      <c r="B22689" s="515" t="s">
        <v>606</v>
      </c>
      <c r="C22689" s="52">
        <v>223783.90080222001</v>
      </c>
      <c r="D22689" s="56">
        <v>1.8310410977982552E-2</v>
      </c>
      <c r="E22689" s="224" t="s">
        <v>2</v>
      </c>
      <c r="G22689" s="52"/>
      <c r="H22689" s="56"/>
      <c r="I22689" s="224"/>
    </row>
    <row r="22690" spans="1:9" x14ac:dyDescent="0.25">
      <c r="A22690" s="515">
        <v>62919</v>
      </c>
      <c r="C22690" s="52">
        <v>78435.551158410002</v>
      </c>
      <c r="D22690" s="56">
        <v>8.8273359433987661E-2</v>
      </c>
      <c r="E22690" s="224" t="s">
        <v>2</v>
      </c>
      <c r="G22690" s="52"/>
      <c r="H22690" s="56"/>
      <c r="I22690" s="224"/>
    </row>
    <row r="22691" spans="1:9" x14ac:dyDescent="0.25">
      <c r="A22691" s="515">
        <v>64783</v>
      </c>
      <c r="C22691" s="52">
        <v>115974.188291035</v>
      </c>
      <c r="D22691" s="56">
        <v>-0.19711725048877113</v>
      </c>
      <c r="E22691" s="224" t="s">
        <v>2</v>
      </c>
      <c r="G22691" s="52"/>
      <c r="H22691" s="56"/>
      <c r="I22691" s="224"/>
    </row>
    <row r="22692" spans="1:9" x14ac:dyDescent="0.25">
      <c r="A22692" s="515">
        <v>47352</v>
      </c>
      <c r="B22692" s="515" t="s">
        <v>421</v>
      </c>
      <c r="C22692" s="52">
        <v>166287.02828068601</v>
      </c>
      <c r="D22692" s="56">
        <v>6.6480623500307826E-2</v>
      </c>
      <c r="E22692" s="224" t="s">
        <v>2</v>
      </c>
      <c r="G22692" s="52"/>
      <c r="H22692" s="56"/>
      <c r="I22692" s="224"/>
    </row>
    <row r="22693" spans="1:9" x14ac:dyDescent="0.25">
      <c r="A22693" s="515">
        <v>80478</v>
      </c>
      <c r="C22693" s="52">
        <v>865022.22005035204</v>
      </c>
      <c r="D22693" s="56">
        <v>-6.0401782095671923E-2</v>
      </c>
      <c r="E22693" s="224" t="s">
        <v>2</v>
      </c>
      <c r="G22693" s="52"/>
      <c r="H22693" s="56"/>
      <c r="I22693" s="224"/>
    </row>
    <row r="22694" spans="1:9" x14ac:dyDescent="0.25">
      <c r="A22694" s="515">
        <v>61089</v>
      </c>
      <c r="B22694" s="515" t="s">
        <v>411</v>
      </c>
      <c r="C22694" s="52">
        <v>152786.69235701501</v>
      </c>
      <c r="D22694" s="56">
        <v>0.11208127421124842</v>
      </c>
      <c r="E22694" s="224" t="s">
        <v>2</v>
      </c>
      <c r="G22694" s="52"/>
      <c r="H22694" s="56"/>
      <c r="I22694" s="224"/>
    </row>
    <row r="22695" spans="1:9" x14ac:dyDescent="0.25">
      <c r="A22695" s="515">
        <v>12863</v>
      </c>
      <c r="B22695" s="515" t="s">
        <v>609</v>
      </c>
      <c r="C22695" s="52">
        <v>332923.31901921699</v>
      </c>
      <c r="D22695" s="56">
        <v>4.2613412782246431E-2</v>
      </c>
      <c r="E22695" s="224" t="s">
        <v>2</v>
      </c>
      <c r="G22695" s="52"/>
      <c r="H22695" s="56"/>
      <c r="I22695" s="224"/>
    </row>
    <row r="22696" spans="1:9" x14ac:dyDescent="0.25">
      <c r="A22696" s="515">
        <v>73664</v>
      </c>
      <c r="C22696" s="52">
        <v>66953.502458236297</v>
      </c>
      <c r="D22696" s="56">
        <v>0.16836600032301136</v>
      </c>
      <c r="E22696" s="224" t="s">
        <v>2</v>
      </c>
      <c r="G22696" s="52"/>
      <c r="H22696" s="56"/>
      <c r="I22696" s="224"/>
    </row>
    <row r="22697" spans="1:9" x14ac:dyDescent="0.25">
      <c r="A22697" s="515">
        <v>23846</v>
      </c>
      <c r="C22697" s="52">
        <v>228985.93999698199</v>
      </c>
      <c r="D22697" s="56">
        <v>6.8783146773349693E-2</v>
      </c>
      <c r="E22697" s="224" t="s">
        <v>2</v>
      </c>
      <c r="G22697" s="52"/>
      <c r="H22697" s="56"/>
      <c r="I22697" s="224"/>
    </row>
    <row r="22698" spans="1:9" x14ac:dyDescent="0.25">
      <c r="A22698" s="515">
        <v>38579</v>
      </c>
      <c r="C22698" s="52">
        <v>239204.64080237999</v>
      </c>
      <c r="D22698" s="56">
        <v>0</v>
      </c>
      <c r="E22698" s="224" t="s">
        <v>2</v>
      </c>
      <c r="G22698" s="52"/>
      <c r="H22698" s="56"/>
      <c r="I22698" s="224"/>
    </row>
    <row r="22699" spans="1:9" x14ac:dyDescent="0.25">
      <c r="A22699" s="515">
        <v>14842</v>
      </c>
      <c r="B22699" s="515" t="s">
        <v>337</v>
      </c>
      <c r="C22699" s="52">
        <v>340083.293972518</v>
      </c>
      <c r="D22699" s="56">
        <v>0.14515969964067255</v>
      </c>
      <c r="E22699" s="224" t="s">
        <v>2</v>
      </c>
      <c r="G22699" s="52"/>
      <c r="H22699" s="56"/>
      <c r="I22699" s="224"/>
    </row>
    <row r="22700" spans="1:9" x14ac:dyDescent="0.25">
      <c r="A22700" s="515">
        <v>25507</v>
      </c>
      <c r="B22700" s="515" t="s">
        <v>602</v>
      </c>
      <c r="C22700" s="52">
        <v>111256.26491513599</v>
      </c>
      <c r="D22700" s="56">
        <v>5.581303450995824E-2</v>
      </c>
      <c r="E22700" s="224" t="s">
        <v>2</v>
      </c>
      <c r="G22700" s="52"/>
      <c r="H22700" s="56"/>
      <c r="I22700" s="224"/>
    </row>
    <row r="22701" spans="1:9" x14ac:dyDescent="0.25">
      <c r="A22701" s="515">
        <v>67514</v>
      </c>
      <c r="B22701" s="515" t="s">
        <v>700</v>
      </c>
      <c r="C22701" s="52">
        <v>106260.436373383</v>
      </c>
      <c r="D22701" s="56">
        <v>8.9538665114736599E-2</v>
      </c>
      <c r="E22701" s="224" t="s">
        <v>2</v>
      </c>
      <c r="G22701" s="52"/>
      <c r="H22701" s="56"/>
      <c r="I22701" s="224"/>
    </row>
    <row r="22702" spans="1:9" x14ac:dyDescent="0.25">
      <c r="A22702" s="515">
        <v>96052</v>
      </c>
      <c r="C22702" s="52">
        <v>292018.58477570699</v>
      </c>
      <c r="D22702" s="56">
        <v>-5.7314454369236642E-2</v>
      </c>
      <c r="E22702" s="224" t="s">
        <v>2</v>
      </c>
      <c r="G22702" s="52"/>
      <c r="H22702" s="56"/>
      <c r="I22702" s="224"/>
    </row>
    <row r="22703" spans="1:9" x14ac:dyDescent="0.25">
      <c r="A22703" s="515">
        <v>84633</v>
      </c>
      <c r="B22703" s="515" t="s">
        <v>726</v>
      </c>
      <c r="C22703" s="52">
        <v>393064.050833944</v>
      </c>
      <c r="D22703" s="56">
        <v>0</v>
      </c>
      <c r="E22703" s="224" t="s">
        <v>2</v>
      </c>
      <c r="G22703" s="52"/>
      <c r="H22703" s="56"/>
      <c r="I22703" s="224"/>
    </row>
    <row r="22704" spans="1:9" x14ac:dyDescent="0.25">
      <c r="A22704" s="515">
        <v>58843</v>
      </c>
      <c r="B22704" s="515" t="s">
        <v>960</v>
      </c>
      <c r="C22704" s="52">
        <v>243628.72271658899</v>
      </c>
      <c r="D22704" s="56">
        <v>0.18701354578924248</v>
      </c>
      <c r="E22704" s="224" t="s">
        <v>2</v>
      </c>
      <c r="G22704" s="52"/>
      <c r="H22704" s="56"/>
      <c r="I22704" s="224"/>
    </row>
    <row r="22705" spans="1:9" x14ac:dyDescent="0.25">
      <c r="A22705" s="515">
        <v>38961</v>
      </c>
      <c r="C22705" s="52">
        <v>117237.575</v>
      </c>
      <c r="D22705" s="56">
        <v>0</v>
      </c>
      <c r="E22705" s="224" t="s">
        <v>2</v>
      </c>
      <c r="G22705" s="52"/>
      <c r="H22705" s="56"/>
      <c r="I22705" s="224"/>
    </row>
    <row r="22706" spans="1:9" x14ac:dyDescent="0.25">
      <c r="A22706" s="515">
        <v>53801</v>
      </c>
      <c r="B22706" s="515" t="s">
        <v>664</v>
      </c>
      <c r="C22706" s="52">
        <v>97256.709171662893</v>
      </c>
      <c r="D22706" s="56">
        <v>0.12463095238488604</v>
      </c>
      <c r="E22706" s="224" t="s">
        <v>2</v>
      </c>
      <c r="G22706" s="52"/>
      <c r="H22706" s="56"/>
      <c r="I22706" s="224"/>
    </row>
    <row r="22707" spans="1:9" x14ac:dyDescent="0.25">
      <c r="A22707" s="515">
        <v>12187</v>
      </c>
      <c r="B22707" s="515" t="s">
        <v>609</v>
      </c>
      <c r="C22707" s="52">
        <v>228719.953945355</v>
      </c>
      <c r="D22707" s="56">
        <v>0.11733355849611234</v>
      </c>
      <c r="E22707" s="224" t="s">
        <v>2</v>
      </c>
      <c r="G22707" s="52"/>
      <c r="H22707" s="56"/>
      <c r="I22707" s="224"/>
    </row>
    <row r="22708" spans="1:9" x14ac:dyDescent="0.25">
      <c r="A22708" s="515">
        <v>3812</v>
      </c>
      <c r="C22708" s="52">
        <v>382095.86478931399</v>
      </c>
      <c r="D22708" s="56">
        <v>0.13083643449339136</v>
      </c>
      <c r="E22708" s="224" t="s">
        <v>2</v>
      </c>
      <c r="G22708" s="52"/>
      <c r="H22708" s="56"/>
      <c r="I22708" s="224"/>
    </row>
    <row r="22709" spans="1:9" x14ac:dyDescent="0.25">
      <c r="A22709" s="515">
        <v>64481</v>
      </c>
      <c r="C22709" s="52">
        <v>94629.359861177494</v>
      </c>
      <c r="D22709" s="56">
        <v>-5.7749380275476485E-2</v>
      </c>
      <c r="E22709" s="224" t="s">
        <v>2</v>
      </c>
      <c r="G22709" s="52"/>
      <c r="H22709" s="56"/>
      <c r="I22709" s="224"/>
    </row>
    <row r="22710" spans="1:9" x14ac:dyDescent="0.25">
      <c r="A22710" s="515">
        <v>3448</v>
      </c>
      <c r="B22710" s="515" t="s">
        <v>747</v>
      </c>
      <c r="C22710" s="52">
        <v>276945.152165943</v>
      </c>
      <c r="D22710" s="56">
        <v>0.13490484587207616</v>
      </c>
      <c r="E22710" s="224" t="s">
        <v>2</v>
      </c>
      <c r="G22710" s="52"/>
      <c r="H22710" s="56"/>
      <c r="I22710" s="224"/>
    </row>
    <row r="22711" spans="1:9" x14ac:dyDescent="0.25">
      <c r="A22711" s="515">
        <v>63621</v>
      </c>
      <c r="C22711" s="52">
        <v>158796.11977970201</v>
      </c>
      <c r="D22711" s="56">
        <v>0.12507225722960877</v>
      </c>
      <c r="E22711" s="224" t="s">
        <v>2</v>
      </c>
      <c r="G22711" s="52"/>
      <c r="H22711" s="56"/>
      <c r="I22711" s="224"/>
    </row>
    <row r="22712" spans="1:9" x14ac:dyDescent="0.25">
      <c r="A22712" s="515">
        <v>93424</v>
      </c>
      <c r="B22712" s="515" t="s">
        <v>959</v>
      </c>
      <c r="C22712" s="52">
        <v>1227202.474893</v>
      </c>
      <c r="D22712" s="56">
        <v>8.2288649480789677E-2</v>
      </c>
      <c r="E22712" s="224" t="s">
        <v>2</v>
      </c>
      <c r="G22712" s="52"/>
      <c r="H22712" s="56"/>
      <c r="I22712" s="224"/>
    </row>
    <row r="22713" spans="1:9" x14ac:dyDescent="0.25">
      <c r="A22713" s="515">
        <v>54493</v>
      </c>
      <c r="C22713" s="52">
        <v>173388.1496918</v>
      </c>
      <c r="D22713" s="56">
        <v>4.7162134303510253E-2</v>
      </c>
      <c r="E22713" s="224" t="s">
        <v>2</v>
      </c>
      <c r="G22713" s="52"/>
      <c r="H22713" s="56"/>
      <c r="I22713" s="224"/>
    </row>
    <row r="22714" spans="1:9" x14ac:dyDescent="0.25">
      <c r="A22714" s="515">
        <v>49276</v>
      </c>
      <c r="B22714" s="515" t="s">
        <v>958</v>
      </c>
      <c r="C22714" s="52">
        <v>220677.14937532699</v>
      </c>
      <c r="D22714" s="56">
        <v>9.2176088053925451E-2</v>
      </c>
      <c r="E22714" s="224" t="s">
        <v>2</v>
      </c>
      <c r="G22714" s="52"/>
      <c r="H22714" s="56"/>
      <c r="I22714" s="224"/>
    </row>
    <row r="22715" spans="1:9" x14ac:dyDescent="0.25">
      <c r="A22715" s="515">
        <v>3854</v>
      </c>
      <c r="B22715" s="515" t="s">
        <v>534</v>
      </c>
      <c r="C22715" s="52">
        <v>1785914.3996466401</v>
      </c>
      <c r="D22715" s="56">
        <v>0.13774846572610308</v>
      </c>
      <c r="E22715" s="224" t="s">
        <v>2</v>
      </c>
      <c r="G22715" s="52"/>
      <c r="H22715" s="56"/>
      <c r="I22715" s="224"/>
    </row>
    <row r="22716" spans="1:9" x14ac:dyDescent="0.25">
      <c r="A22716" s="515">
        <v>65262</v>
      </c>
      <c r="B22716" s="515" t="s">
        <v>711</v>
      </c>
      <c r="C22716" s="52">
        <v>221040.371911653</v>
      </c>
      <c r="D22716" s="56">
        <v>0.23398124582289107</v>
      </c>
      <c r="E22716" s="224" t="s">
        <v>2</v>
      </c>
      <c r="G22716" s="52"/>
      <c r="H22716" s="56"/>
      <c r="I22716" s="224"/>
    </row>
    <row r="22717" spans="1:9" x14ac:dyDescent="0.25">
      <c r="A22717" s="515">
        <v>73532</v>
      </c>
      <c r="B22717" s="515" t="s">
        <v>805</v>
      </c>
      <c r="C22717" s="52">
        <v>111960.623457372</v>
      </c>
      <c r="D22717" s="56">
        <v>6.5797386632880747E-2</v>
      </c>
      <c r="E22717" s="224" t="s">
        <v>2</v>
      </c>
      <c r="G22717" s="52"/>
      <c r="H22717" s="56"/>
      <c r="I22717" s="224"/>
    </row>
    <row r="22718" spans="1:9" x14ac:dyDescent="0.25">
      <c r="A22718" s="515">
        <v>67583</v>
      </c>
      <c r="B22718" s="515" t="s">
        <v>700</v>
      </c>
      <c r="C22718" s="52">
        <v>89365.000812992002</v>
      </c>
      <c r="D22718" s="56">
        <v>2.8883102150132851E-2</v>
      </c>
      <c r="E22718" s="224" t="s">
        <v>2</v>
      </c>
      <c r="G22718" s="52"/>
      <c r="H22718" s="56"/>
      <c r="I22718" s="224"/>
    </row>
    <row r="22719" spans="1:9" x14ac:dyDescent="0.25">
      <c r="A22719" s="515">
        <v>41615</v>
      </c>
      <c r="C22719" s="52">
        <v>99498.249054361193</v>
      </c>
      <c r="D22719" s="56">
        <v>0.22846356814683325</v>
      </c>
      <c r="E22719" s="224" t="s">
        <v>2</v>
      </c>
      <c r="G22719" s="52"/>
      <c r="H22719" s="56"/>
      <c r="I22719" s="224"/>
    </row>
    <row r="22720" spans="1:9" x14ac:dyDescent="0.25">
      <c r="A22720" s="515">
        <v>8319</v>
      </c>
      <c r="B22720" s="515" t="s">
        <v>800</v>
      </c>
      <c r="C22720" s="52">
        <v>292209.178860627</v>
      </c>
      <c r="D22720" s="56">
        <v>3.1342217270730478E-2</v>
      </c>
      <c r="E22720" s="224" t="s">
        <v>2</v>
      </c>
      <c r="G22720" s="52"/>
      <c r="H22720" s="56"/>
      <c r="I22720" s="224"/>
    </row>
    <row r="22721" spans="1:9" x14ac:dyDescent="0.25">
      <c r="A22721" s="515">
        <v>47929</v>
      </c>
      <c r="C22721" s="52">
        <v>182004.365383411</v>
      </c>
      <c r="D22721" s="56">
        <v>0.12493800191025876</v>
      </c>
      <c r="E22721" s="224" t="s">
        <v>2</v>
      </c>
      <c r="G22721" s="52"/>
      <c r="H22721" s="56"/>
      <c r="I22721" s="224"/>
    </row>
    <row r="22722" spans="1:9" x14ac:dyDescent="0.25">
      <c r="A22722" s="515">
        <v>10976</v>
      </c>
      <c r="B22722" s="515" t="s">
        <v>324</v>
      </c>
      <c r="C22722" s="52">
        <v>583804.56562200398</v>
      </c>
      <c r="D22722" s="56">
        <v>6.7516790951756139E-2</v>
      </c>
      <c r="E22722" s="224" t="s">
        <v>2</v>
      </c>
      <c r="G22722" s="52"/>
      <c r="H22722" s="56"/>
      <c r="I22722" s="224"/>
    </row>
    <row r="22723" spans="1:9" x14ac:dyDescent="0.25">
      <c r="A22723" s="515">
        <v>16402</v>
      </c>
      <c r="B22723" s="515" t="s">
        <v>584</v>
      </c>
      <c r="C22723" s="52">
        <v>132628.167888219</v>
      </c>
      <c r="D22723" s="56">
        <v>6.1106830495024543E-2</v>
      </c>
      <c r="E22723" s="224" t="s">
        <v>2</v>
      </c>
      <c r="G22723" s="52"/>
      <c r="H22723" s="56"/>
      <c r="I22723" s="224"/>
    </row>
    <row r="22724" spans="1:9" x14ac:dyDescent="0.25">
      <c r="A22724" s="515">
        <v>30148</v>
      </c>
      <c r="B22724" s="515" t="s">
        <v>957</v>
      </c>
      <c r="C22724" s="52">
        <v>297087.90227648598</v>
      </c>
      <c r="D22724" s="56">
        <v>7.4806440570815827E-2</v>
      </c>
      <c r="E22724" s="224" t="s">
        <v>2</v>
      </c>
      <c r="G22724" s="52"/>
      <c r="H22724" s="56"/>
      <c r="I22724" s="224"/>
    </row>
    <row r="22725" spans="1:9" x14ac:dyDescent="0.25">
      <c r="A22725" s="515">
        <v>97108</v>
      </c>
      <c r="C22725" s="52">
        <v>454375.11429961299</v>
      </c>
      <c r="D22725" s="56">
        <v>4.1730535857427697E-3</v>
      </c>
      <c r="E22725" s="224" t="s">
        <v>2</v>
      </c>
      <c r="G22725" s="52"/>
      <c r="H22725" s="56"/>
      <c r="I22725" s="224"/>
    </row>
    <row r="22726" spans="1:9" x14ac:dyDescent="0.25">
      <c r="A22726" s="515">
        <v>56723</v>
      </c>
      <c r="B22726" s="515" t="s">
        <v>624</v>
      </c>
      <c r="C22726" s="52">
        <v>233992.18054597799</v>
      </c>
      <c r="D22726" s="56">
        <v>7.0055720836484342E-2</v>
      </c>
      <c r="E22726" s="224" t="s">
        <v>2</v>
      </c>
      <c r="G22726" s="52"/>
      <c r="H22726" s="56"/>
      <c r="I22726" s="224"/>
    </row>
    <row r="22727" spans="1:9" x14ac:dyDescent="0.25">
      <c r="A22727" s="515">
        <v>68423</v>
      </c>
      <c r="B22727" s="515" t="s">
        <v>486</v>
      </c>
      <c r="C22727" s="52">
        <v>428082.67148625897</v>
      </c>
      <c r="D22727" s="56">
        <v>0.16704665171005811</v>
      </c>
      <c r="E22727" s="224" t="s">
        <v>2</v>
      </c>
      <c r="G22727" s="52"/>
      <c r="H22727" s="56"/>
      <c r="I22727" s="224"/>
    </row>
    <row r="22728" spans="1:9" x14ac:dyDescent="0.25">
      <c r="A22728" s="515">
        <v>64017</v>
      </c>
      <c r="B22728" s="515" t="s">
        <v>455</v>
      </c>
      <c r="C22728" s="52">
        <v>181622.435156494</v>
      </c>
      <c r="D22728" s="56">
        <v>2.482111971919438E-2</v>
      </c>
      <c r="E22728" s="224" t="s">
        <v>2</v>
      </c>
      <c r="G22728" s="52"/>
      <c r="H22728" s="56"/>
      <c r="I22728" s="224"/>
    </row>
    <row r="22729" spans="1:9" x14ac:dyDescent="0.25">
      <c r="A22729" s="515">
        <v>73063</v>
      </c>
      <c r="B22729" s="515" t="s">
        <v>385</v>
      </c>
      <c r="C22729" s="52">
        <v>207906.606949957</v>
      </c>
      <c r="D22729" s="56">
        <v>0.12126231041074259</v>
      </c>
      <c r="E22729" s="224" t="s">
        <v>2</v>
      </c>
      <c r="G22729" s="52"/>
      <c r="H22729" s="56"/>
      <c r="I22729" s="224"/>
    </row>
    <row r="22730" spans="1:9" x14ac:dyDescent="0.25">
      <c r="A22730" s="515">
        <v>67140</v>
      </c>
      <c r="B22730" s="515" t="s">
        <v>485</v>
      </c>
      <c r="C22730" s="52">
        <v>129503.38568672699</v>
      </c>
      <c r="D22730" s="56">
        <v>7.9012070592690539E-2</v>
      </c>
      <c r="E22730" s="224" t="s">
        <v>2</v>
      </c>
      <c r="G22730" s="52"/>
      <c r="H22730" s="56"/>
      <c r="I22730" s="224"/>
    </row>
    <row r="22731" spans="1:9" x14ac:dyDescent="0.25">
      <c r="A22731" s="515">
        <v>51354</v>
      </c>
      <c r="C22731" s="52">
        <v>117983.58916192901</v>
      </c>
      <c r="D22731" s="56">
        <v>0</v>
      </c>
      <c r="E22731" s="224" t="s">
        <v>2</v>
      </c>
      <c r="G22731" s="52"/>
      <c r="H22731" s="56"/>
      <c r="I22731" s="224"/>
    </row>
    <row r="22732" spans="1:9" x14ac:dyDescent="0.25">
      <c r="A22732" s="515">
        <v>97434</v>
      </c>
      <c r="B22732" s="515" t="s">
        <v>801</v>
      </c>
      <c r="C22732" s="52">
        <v>383642.19030263199</v>
      </c>
      <c r="D22732" s="56">
        <v>4.8472359742857338E-2</v>
      </c>
      <c r="E22732" s="224" t="s">
        <v>2</v>
      </c>
      <c r="G22732" s="52"/>
      <c r="H22732" s="56"/>
      <c r="I22732" s="224"/>
    </row>
    <row r="22733" spans="1:9" x14ac:dyDescent="0.25">
      <c r="A22733" s="515">
        <v>4003</v>
      </c>
      <c r="B22733" s="515" t="s">
        <v>570</v>
      </c>
      <c r="C22733" s="52">
        <v>644455.71448297706</v>
      </c>
      <c r="D22733" s="56">
        <v>6.9087847322682819E-2</v>
      </c>
      <c r="E22733" s="224" t="s">
        <v>2</v>
      </c>
      <c r="G22733" s="52"/>
      <c r="H22733" s="56"/>
      <c r="I22733" s="224"/>
    </row>
    <row r="22734" spans="1:9" x14ac:dyDescent="0.25">
      <c r="A22734" s="515">
        <v>55338</v>
      </c>
      <c r="C22734" s="52">
        <v>268041.15375306999</v>
      </c>
      <c r="D22734" s="56">
        <v>1.8838293889886219E-2</v>
      </c>
      <c r="E22734" s="224" t="s">
        <v>2</v>
      </c>
      <c r="G22734" s="52"/>
      <c r="H22734" s="56"/>
      <c r="I22734" s="224"/>
    </row>
    <row r="22735" spans="1:9" x14ac:dyDescent="0.25">
      <c r="A22735" s="515">
        <v>66015</v>
      </c>
      <c r="C22735" s="52">
        <v>132718.01421216401</v>
      </c>
      <c r="D22735" s="56">
        <v>0.14918183594422396</v>
      </c>
      <c r="E22735" s="224" t="s">
        <v>2</v>
      </c>
      <c r="G22735" s="52"/>
      <c r="H22735" s="56"/>
      <c r="I22735" s="224"/>
    </row>
    <row r="22736" spans="1:9" x14ac:dyDescent="0.25">
      <c r="A22736" s="515">
        <v>50478</v>
      </c>
      <c r="C22736" s="52">
        <v>84351.409133712295</v>
      </c>
      <c r="D22736" s="56">
        <v>0</v>
      </c>
      <c r="E22736" s="224" t="s">
        <v>2</v>
      </c>
      <c r="G22736" s="52"/>
      <c r="H22736" s="56"/>
      <c r="I22736" s="224"/>
    </row>
    <row r="22737" spans="1:9" x14ac:dyDescent="0.25">
      <c r="A22737" s="515">
        <v>55935</v>
      </c>
      <c r="B22737" s="515" t="s">
        <v>470</v>
      </c>
      <c r="C22737" s="52">
        <v>296519.60152485699</v>
      </c>
      <c r="D22737" s="56">
        <v>0.11543822271156359</v>
      </c>
      <c r="E22737" s="224" t="s">
        <v>2</v>
      </c>
      <c r="G22737" s="52"/>
      <c r="H22737" s="56"/>
      <c r="I22737" s="224"/>
    </row>
    <row r="22738" spans="1:9" x14ac:dyDescent="0.25">
      <c r="A22738" s="515">
        <v>43337</v>
      </c>
      <c r="B22738" s="515" t="s">
        <v>530</v>
      </c>
      <c r="C22738" s="52">
        <v>179858.964285322</v>
      </c>
      <c r="D22738" s="56">
        <v>4.6580403033489967E-2</v>
      </c>
      <c r="E22738" s="224" t="s">
        <v>2</v>
      </c>
      <c r="G22738" s="52"/>
      <c r="H22738" s="56"/>
      <c r="I22738" s="224"/>
    </row>
    <row r="22739" spans="1:9" x14ac:dyDescent="0.25">
      <c r="A22739" s="515">
        <v>66854</v>
      </c>
      <c r="C22739" s="52">
        <v>140072.56098360001</v>
      </c>
      <c r="D22739" s="56">
        <v>8.3763048358654141E-2</v>
      </c>
      <c r="E22739" s="224" t="s">
        <v>2</v>
      </c>
      <c r="G22739" s="52"/>
      <c r="H22739" s="56"/>
      <c r="I22739" s="224"/>
    </row>
    <row r="22740" spans="1:9" x14ac:dyDescent="0.25">
      <c r="A22740" s="515">
        <v>16210</v>
      </c>
      <c r="B22740" s="515" t="s">
        <v>297</v>
      </c>
      <c r="C22740" s="52">
        <v>128299.803568192</v>
      </c>
      <c r="D22740" s="56">
        <v>0.20504668630560896</v>
      </c>
      <c r="E22740" s="224" t="s">
        <v>2</v>
      </c>
      <c r="G22740" s="52"/>
      <c r="H22740" s="56"/>
      <c r="I22740" s="224"/>
    </row>
    <row r="22741" spans="1:9" x14ac:dyDescent="0.25">
      <c r="A22741" s="515">
        <v>20758</v>
      </c>
      <c r="B22741" s="515" t="s">
        <v>582</v>
      </c>
      <c r="C22741" s="52">
        <v>532444.38432180695</v>
      </c>
      <c r="D22741" s="56">
        <v>4.5987212328612054E-2</v>
      </c>
      <c r="E22741" s="224" t="s">
        <v>2</v>
      </c>
      <c r="G22741" s="52"/>
      <c r="H22741" s="56"/>
      <c r="I22741" s="224"/>
    </row>
    <row r="22742" spans="1:9" x14ac:dyDescent="0.25">
      <c r="A22742" s="515">
        <v>26169</v>
      </c>
      <c r="B22742" s="515" t="s">
        <v>956</v>
      </c>
      <c r="C22742" s="52">
        <v>160414.27394924499</v>
      </c>
      <c r="D22742" s="56">
        <v>6.4163898463062252E-2</v>
      </c>
      <c r="E22742" s="224" t="s">
        <v>2</v>
      </c>
      <c r="G22742" s="52"/>
      <c r="H22742" s="56"/>
      <c r="I22742" s="224"/>
    </row>
    <row r="22743" spans="1:9" x14ac:dyDescent="0.25">
      <c r="A22743" s="515">
        <v>55918</v>
      </c>
      <c r="B22743" s="515" t="s">
        <v>413</v>
      </c>
      <c r="C22743" s="52">
        <v>173576.36864305299</v>
      </c>
      <c r="D22743" s="56">
        <v>3.9855093532977157E-2</v>
      </c>
      <c r="E22743" s="224" t="s">
        <v>2</v>
      </c>
      <c r="G22743" s="52"/>
      <c r="H22743" s="56"/>
      <c r="I22743" s="224"/>
    </row>
    <row r="22744" spans="1:9" x14ac:dyDescent="0.25">
      <c r="A22744" s="515">
        <v>68813</v>
      </c>
      <c r="C22744" s="52">
        <v>268174.74329024099</v>
      </c>
      <c r="D22744" s="56">
        <v>0</v>
      </c>
      <c r="E22744" s="224" t="s">
        <v>2</v>
      </c>
      <c r="G22744" s="52"/>
      <c r="H22744" s="56"/>
      <c r="I22744" s="224"/>
    </row>
    <row r="22745" spans="1:9" x14ac:dyDescent="0.25">
      <c r="A22745" s="515">
        <v>18370</v>
      </c>
      <c r="B22745" s="515" t="s">
        <v>338</v>
      </c>
      <c r="C22745" s="52">
        <v>302494.47891315201</v>
      </c>
      <c r="D22745" s="56">
        <v>8.8412378345192208E-2</v>
      </c>
      <c r="E22745" s="224" t="s">
        <v>2</v>
      </c>
      <c r="G22745" s="52"/>
      <c r="H22745" s="56"/>
      <c r="I22745" s="224"/>
    </row>
    <row r="22746" spans="1:9" x14ac:dyDescent="0.25">
      <c r="A22746" s="515">
        <v>62284</v>
      </c>
      <c r="B22746" s="515" t="s">
        <v>498</v>
      </c>
      <c r="C22746" s="52">
        <v>112891.007365823</v>
      </c>
      <c r="D22746" s="56">
        <v>0.18048854162345876</v>
      </c>
      <c r="E22746" s="224" t="s">
        <v>2</v>
      </c>
      <c r="G22746" s="52"/>
      <c r="H22746" s="56"/>
      <c r="I22746" s="224"/>
    </row>
    <row r="22747" spans="1:9" x14ac:dyDescent="0.25">
      <c r="A22747" s="515">
        <v>49873</v>
      </c>
      <c r="B22747" s="515" t="s">
        <v>923</v>
      </c>
      <c r="C22747" s="52">
        <v>119244.487738353</v>
      </c>
      <c r="D22747" s="56">
        <v>0</v>
      </c>
      <c r="E22747" s="224" t="s">
        <v>2</v>
      </c>
      <c r="G22747" s="52"/>
      <c r="H22747" s="56"/>
      <c r="I22747" s="224"/>
    </row>
    <row r="22748" spans="1:9" x14ac:dyDescent="0.25">
      <c r="A22748" s="515">
        <v>59003</v>
      </c>
      <c r="C22748" s="52">
        <v>204059.01815345799</v>
      </c>
      <c r="D22748" s="56">
        <v>0.15480778240961723</v>
      </c>
      <c r="E22748" s="224" t="s">
        <v>2</v>
      </c>
      <c r="G22748" s="52"/>
      <c r="H22748" s="56"/>
      <c r="I22748" s="224"/>
    </row>
    <row r="22749" spans="1:9" x14ac:dyDescent="0.25">
      <c r="A22749" s="515">
        <v>64074</v>
      </c>
      <c r="B22749" s="515" t="s">
        <v>455</v>
      </c>
      <c r="C22749" s="52">
        <v>280007.02745191997</v>
      </c>
      <c r="D22749" s="56">
        <v>8.8752022381509865E-2</v>
      </c>
      <c r="E22749" s="224" t="s">
        <v>2</v>
      </c>
      <c r="G22749" s="52"/>
      <c r="H22749" s="56"/>
      <c r="I22749" s="224"/>
    </row>
    <row r="22750" spans="1:9" x14ac:dyDescent="0.25">
      <c r="A22750" s="515">
        <v>74533</v>
      </c>
      <c r="C22750" s="52">
        <v>184661.32334955601</v>
      </c>
      <c r="D22750" s="56">
        <v>0.1286999377341391</v>
      </c>
      <c r="E22750" s="224" t="s">
        <v>2</v>
      </c>
      <c r="G22750" s="52"/>
      <c r="H22750" s="56"/>
      <c r="I22750" s="224"/>
    </row>
    <row r="22751" spans="1:9" x14ac:dyDescent="0.25">
      <c r="A22751" s="515">
        <v>57319</v>
      </c>
      <c r="B22751" s="515" t="s">
        <v>579</v>
      </c>
      <c r="C22751" s="52">
        <v>196300.45202549099</v>
      </c>
      <c r="D22751" s="56">
        <v>7.3146978598246537E-2</v>
      </c>
      <c r="E22751" s="224" t="s">
        <v>2</v>
      </c>
      <c r="G22751" s="52"/>
      <c r="H22751" s="56"/>
      <c r="I22751" s="224"/>
    </row>
    <row r="22752" spans="1:9" x14ac:dyDescent="0.25">
      <c r="A22752" s="515">
        <v>56027</v>
      </c>
      <c r="C22752" s="52">
        <v>59088.525053265999</v>
      </c>
      <c r="D22752" s="56">
        <v>0</v>
      </c>
      <c r="E22752" s="224" t="s">
        <v>2</v>
      </c>
      <c r="G22752" s="52"/>
      <c r="H22752" s="56"/>
      <c r="I22752" s="224"/>
    </row>
    <row r="22753" spans="1:9" x14ac:dyDescent="0.25">
      <c r="A22753" s="515">
        <v>53034</v>
      </c>
      <c r="B22753" s="515" t="s">
        <v>955</v>
      </c>
      <c r="C22753" s="52">
        <v>241339.86590120301</v>
      </c>
      <c r="D22753" s="56">
        <v>7.9576600635963862E-2</v>
      </c>
      <c r="E22753" s="224" t="s">
        <v>2</v>
      </c>
      <c r="G22753" s="52"/>
      <c r="H22753" s="56"/>
      <c r="I22753" s="224"/>
    </row>
    <row r="22754" spans="1:9" x14ac:dyDescent="0.25">
      <c r="A22754" s="515">
        <v>26419</v>
      </c>
      <c r="C22754" s="52">
        <v>79155.326025839298</v>
      </c>
      <c r="D22754" s="56">
        <v>5.7346218128363387E-2</v>
      </c>
      <c r="E22754" s="224" t="s">
        <v>2</v>
      </c>
      <c r="G22754" s="52"/>
      <c r="H22754" s="56"/>
      <c r="I22754" s="224"/>
    </row>
    <row r="22755" spans="1:9" x14ac:dyDescent="0.25">
      <c r="A22755" s="515">
        <v>81133</v>
      </c>
      <c r="C22755" s="52">
        <v>246316.68721058601</v>
      </c>
      <c r="D22755" s="56">
        <v>2.7861067855121598E-2</v>
      </c>
      <c r="E22755" s="224" t="s">
        <v>2</v>
      </c>
      <c r="G22755" s="52"/>
      <c r="H22755" s="56"/>
      <c r="I22755" s="224"/>
    </row>
    <row r="22756" spans="1:9" x14ac:dyDescent="0.25">
      <c r="A22756" s="515">
        <v>45620</v>
      </c>
      <c r="B22756" s="515" t="s">
        <v>445</v>
      </c>
      <c r="C22756" s="52">
        <v>100177.59634582201</v>
      </c>
      <c r="D22756" s="56">
        <v>0.150353920948855</v>
      </c>
      <c r="E22756" s="224" t="s">
        <v>2</v>
      </c>
      <c r="G22756" s="52"/>
      <c r="H22756" s="56"/>
      <c r="I22756" s="224"/>
    </row>
    <row r="22757" spans="1:9" x14ac:dyDescent="0.25">
      <c r="A22757" s="515">
        <v>42462</v>
      </c>
      <c r="C22757" s="52">
        <v>143583.71410990501</v>
      </c>
      <c r="D22757" s="56">
        <v>9.4182302201566204E-2</v>
      </c>
      <c r="E22757" s="224" t="s">
        <v>2</v>
      </c>
      <c r="G22757" s="52"/>
      <c r="H22757" s="56"/>
      <c r="I22757" s="224"/>
    </row>
    <row r="22758" spans="1:9" x14ac:dyDescent="0.25">
      <c r="A22758" s="515">
        <v>95659</v>
      </c>
      <c r="B22758" s="515" t="s">
        <v>796</v>
      </c>
      <c r="C22758" s="52">
        <v>503887.17957862798</v>
      </c>
      <c r="D22758" s="56">
        <v>2.222996101737048E-2</v>
      </c>
      <c r="E22758" s="224" t="s">
        <v>2</v>
      </c>
      <c r="G22758" s="52"/>
      <c r="H22758" s="56"/>
      <c r="I22758" s="224"/>
    </row>
    <row r="22759" spans="1:9" x14ac:dyDescent="0.25">
      <c r="A22759" s="515">
        <v>76649</v>
      </c>
      <c r="C22759" s="52">
        <v>254969.31707317001</v>
      </c>
      <c r="D22759" s="56">
        <v>0</v>
      </c>
      <c r="E22759" s="224" t="s">
        <v>2</v>
      </c>
      <c r="G22759" s="52"/>
      <c r="H22759" s="56"/>
      <c r="I22759" s="224"/>
    </row>
    <row r="22760" spans="1:9" x14ac:dyDescent="0.25">
      <c r="A22760" s="515">
        <v>15142</v>
      </c>
      <c r="B22760" s="515" t="s">
        <v>297</v>
      </c>
      <c r="C22760" s="52">
        <v>587327.66181455902</v>
      </c>
      <c r="D22760" s="56">
        <v>2.792801142351051E-2</v>
      </c>
      <c r="E22760" s="224" t="s">
        <v>2</v>
      </c>
      <c r="G22760" s="52"/>
      <c r="H22760" s="56"/>
      <c r="I22760" s="224"/>
    </row>
    <row r="22761" spans="1:9" x14ac:dyDescent="0.25">
      <c r="A22761" s="515">
        <v>41132</v>
      </c>
      <c r="B22761" s="515" t="s">
        <v>602</v>
      </c>
      <c r="C22761" s="52">
        <v>110502.46423398799</v>
      </c>
      <c r="D22761" s="56">
        <v>0.23517140115780258</v>
      </c>
      <c r="E22761" s="224" t="s">
        <v>2</v>
      </c>
      <c r="G22761" s="52"/>
      <c r="H22761" s="56"/>
      <c r="I22761" s="224"/>
    </row>
    <row r="22762" spans="1:9" x14ac:dyDescent="0.25">
      <c r="A22762" s="515">
        <v>47837</v>
      </c>
      <c r="B22762" s="515" t="s">
        <v>318</v>
      </c>
      <c r="C22762" s="52">
        <v>159167.68218625299</v>
      </c>
      <c r="D22762" s="56">
        <v>7.6608503653589136E-2</v>
      </c>
      <c r="E22762" s="224" t="s">
        <v>2</v>
      </c>
      <c r="G22762" s="52"/>
      <c r="H22762" s="56"/>
      <c r="I22762" s="224"/>
    </row>
    <row r="22763" spans="1:9" x14ac:dyDescent="0.25">
      <c r="A22763" s="515">
        <v>98351</v>
      </c>
      <c r="B22763" s="515" t="s">
        <v>384</v>
      </c>
      <c r="C22763" s="52">
        <v>540321.73692232405</v>
      </c>
      <c r="D22763" s="56">
        <v>5.6766698292217699E-2</v>
      </c>
      <c r="E22763" s="224" t="s">
        <v>2</v>
      </c>
      <c r="G22763" s="52"/>
      <c r="H22763" s="56"/>
      <c r="I22763" s="224"/>
    </row>
    <row r="22764" spans="1:9" x14ac:dyDescent="0.25">
      <c r="A22764" s="515">
        <v>68967</v>
      </c>
      <c r="C22764" s="52">
        <v>105271.55895418199</v>
      </c>
      <c r="D22764" s="56">
        <v>9.3472056785772306E-2</v>
      </c>
      <c r="E22764" s="224" t="s">
        <v>2</v>
      </c>
      <c r="G22764" s="52"/>
      <c r="H22764" s="56"/>
      <c r="I22764" s="224"/>
    </row>
    <row r="22765" spans="1:9" x14ac:dyDescent="0.25">
      <c r="A22765" s="515">
        <v>47612</v>
      </c>
      <c r="B22765" s="515" t="s">
        <v>911</v>
      </c>
      <c r="C22765" s="52">
        <v>139063.96466728899</v>
      </c>
      <c r="D22765" s="56">
        <v>1.9699838023642505E-2</v>
      </c>
      <c r="E22765" s="224" t="s">
        <v>2</v>
      </c>
      <c r="G22765" s="52"/>
      <c r="H22765" s="56"/>
      <c r="I22765" s="224"/>
    </row>
    <row r="22766" spans="1:9" x14ac:dyDescent="0.25">
      <c r="A22766" s="515">
        <v>53069</v>
      </c>
      <c r="B22766" s="515" t="s">
        <v>950</v>
      </c>
      <c r="C22766" s="52">
        <v>556117.50916404696</v>
      </c>
      <c r="D22766" s="56">
        <v>7.1345793574037572E-2</v>
      </c>
      <c r="E22766" s="224" t="s">
        <v>2</v>
      </c>
      <c r="G22766" s="52"/>
      <c r="H22766" s="56"/>
      <c r="I22766" s="224"/>
    </row>
    <row r="22767" spans="1:9" x14ac:dyDescent="0.25">
      <c r="A22767" s="515">
        <v>12934</v>
      </c>
      <c r="B22767" s="515" t="s">
        <v>395</v>
      </c>
      <c r="C22767" s="52">
        <v>139964.66295957501</v>
      </c>
      <c r="D22767" s="56">
        <v>0.18851249615953614</v>
      </c>
      <c r="E22767" s="224" t="s">
        <v>2</v>
      </c>
      <c r="G22767" s="52"/>
      <c r="H22767" s="56"/>
      <c r="I22767" s="224"/>
    </row>
    <row r="22768" spans="1:9" x14ac:dyDescent="0.25">
      <c r="A22768" s="515">
        <v>43084</v>
      </c>
      <c r="B22768" s="515" t="s">
        <v>430</v>
      </c>
      <c r="C22768" s="52">
        <v>195787.986216341</v>
      </c>
      <c r="D22768" s="56">
        <v>0.13432263537231617</v>
      </c>
      <c r="E22768" s="224" t="s">
        <v>2</v>
      </c>
      <c r="G22768" s="52"/>
      <c r="H22768" s="56"/>
      <c r="I22768" s="224"/>
    </row>
    <row r="22769" spans="1:9" x14ac:dyDescent="0.25">
      <c r="A22769" s="515">
        <v>66072</v>
      </c>
      <c r="B22769" s="515" t="s">
        <v>455</v>
      </c>
      <c r="C22769" s="52">
        <v>247451.87602175001</v>
      </c>
      <c r="D22769" s="56">
        <v>0.23480458890854322</v>
      </c>
      <c r="E22769" s="224" t="s">
        <v>2</v>
      </c>
      <c r="G22769" s="52"/>
      <c r="H22769" s="56"/>
      <c r="I22769" s="224"/>
    </row>
    <row r="22770" spans="1:9" x14ac:dyDescent="0.25">
      <c r="A22770" s="515">
        <v>59453</v>
      </c>
      <c r="C22770" s="52">
        <v>279870.78560608602</v>
      </c>
      <c r="D22770" s="56">
        <v>0.10445506073024634</v>
      </c>
      <c r="E22770" s="224" t="s">
        <v>2</v>
      </c>
      <c r="G22770" s="52"/>
      <c r="H22770" s="56"/>
      <c r="I22770" s="224"/>
    </row>
    <row r="22771" spans="1:9" x14ac:dyDescent="0.25">
      <c r="A22771" s="515">
        <v>3780</v>
      </c>
      <c r="B22771" s="515" t="s">
        <v>420</v>
      </c>
      <c r="C22771" s="52">
        <v>257942.55974831301</v>
      </c>
      <c r="D22771" s="56">
        <v>0.18876385943501517</v>
      </c>
      <c r="E22771" s="224" t="s">
        <v>2</v>
      </c>
      <c r="G22771" s="52"/>
      <c r="H22771" s="56"/>
      <c r="I22771" s="224"/>
    </row>
    <row r="22772" spans="1:9" x14ac:dyDescent="0.25">
      <c r="A22772" s="515">
        <v>58768</v>
      </c>
      <c r="B22772" s="515" t="s">
        <v>849</v>
      </c>
      <c r="C22772" s="52">
        <v>152094.021274892</v>
      </c>
      <c r="D22772" s="56">
        <v>0</v>
      </c>
      <c r="E22772" s="224" t="s">
        <v>2</v>
      </c>
      <c r="G22772" s="52"/>
      <c r="H22772" s="56"/>
      <c r="I22772" s="224"/>
    </row>
    <row r="22773" spans="1:9" x14ac:dyDescent="0.25">
      <c r="A22773" s="515">
        <v>15870</v>
      </c>
      <c r="B22773" s="515" t="s">
        <v>954</v>
      </c>
      <c r="C22773" s="52">
        <v>94543.721619033706</v>
      </c>
      <c r="D22773" s="56">
        <v>1.0082071360121764E-2</v>
      </c>
      <c r="E22773" s="224" t="s">
        <v>2</v>
      </c>
      <c r="G22773" s="52"/>
      <c r="H22773" s="56"/>
      <c r="I22773" s="224"/>
    </row>
    <row r="22774" spans="1:9" x14ac:dyDescent="0.25">
      <c r="A22774" s="515">
        <v>56054</v>
      </c>
      <c r="B22774" s="515" t="s">
        <v>542</v>
      </c>
      <c r="C22774" s="52">
        <v>207507.22922326199</v>
      </c>
      <c r="D22774" s="56">
        <v>5.2813414782355746E-2</v>
      </c>
      <c r="E22774" s="224" t="s">
        <v>2</v>
      </c>
      <c r="G22774" s="52"/>
      <c r="H22774" s="56"/>
      <c r="I22774" s="224"/>
    </row>
    <row r="22775" spans="1:9" x14ac:dyDescent="0.25">
      <c r="A22775" s="515">
        <v>68790</v>
      </c>
      <c r="C22775" s="52">
        <v>172449.60396565299</v>
      </c>
      <c r="D22775" s="56">
        <v>0.11004416097569845</v>
      </c>
      <c r="E22775" s="224" t="s">
        <v>2</v>
      </c>
      <c r="G22775" s="52"/>
      <c r="H22775" s="56"/>
      <c r="I22775" s="224"/>
    </row>
    <row r="22776" spans="1:9" x14ac:dyDescent="0.25">
      <c r="A22776" s="515">
        <v>84006</v>
      </c>
      <c r="B22776" s="515" t="s">
        <v>617</v>
      </c>
      <c r="C22776" s="52">
        <v>386159.463660529</v>
      </c>
      <c r="D22776" s="56">
        <v>1.9438504735322531E-2</v>
      </c>
      <c r="E22776" s="224" t="s">
        <v>2</v>
      </c>
      <c r="G22776" s="52"/>
      <c r="H22776" s="56"/>
      <c r="I22776" s="224"/>
    </row>
    <row r="22777" spans="1:9" x14ac:dyDescent="0.25">
      <c r="A22777" s="515">
        <v>50026</v>
      </c>
      <c r="B22777" s="515" t="s">
        <v>295</v>
      </c>
      <c r="C22777" s="52">
        <v>131388.19436239899</v>
      </c>
      <c r="D22777" s="56">
        <v>0</v>
      </c>
      <c r="E22777" s="224" t="s">
        <v>2</v>
      </c>
      <c r="G22777" s="52"/>
      <c r="H22777" s="56"/>
      <c r="I22777" s="224"/>
    </row>
    <row r="22778" spans="1:9" x14ac:dyDescent="0.25">
      <c r="A22778" s="515">
        <v>21856</v>
      </c>
      <c r="B22778" s="515" t="s">
        <v>552</v>
      </c>
      <c r="C22778" s="52">
        <v>216284.04894276601</v>
      </c>
      <c r="D22778" s="56">
        <v>5.1416583115470857E-2</v>
      </c>
      <c r="E22778" s="224" t="s">
        <v>2</v>
      </c>
      <c r="G22778" s="52"/>
      <c r="H22778" s="56"/>
      <c r="I22778" s="224"/>
    </row>
    <row r="22779" spans="1:9" x14ac:dyDescent="0.25">
      <c r="A22779" s="515">
        <v>57015</v>
      </c>
      <c r="B22779" s="515" t="s">
        <v>579</v>
      </c>
      <c r="C22779" s="52">
        <v>395466.09467427898</v>
      </c>
      <c r="D22779" s="56">
        <v>0.12069419928147536</v>
      </c>
      <c r="E22779" s="224" t="s">
        <v>2</v>
      </c>
      <c r="G22779" s="52"/>
      <c r="H22779" s="56"/>
      <c r="I22779" s="224"/>
    </row>
    <row r="22780" spans="1:9" x14ac:dyDescent="0.25">
      <c r="A22780" s="515">
        <v>23878</v>
      </c>
      <c r="B22780" s="515" t="s">
        <v>301</v>
      </c>
      <c r="C22780" s="52">
        <v>217620.766071903</v>
      </c>
      <c r="D22780" s="56">
        <v>0.10320438172370634</v>
      </c>
      <c r="E22780" s="224" t="s">
        <v>2</v>
      </c>
      <c r="G22780" s="52"/>
      <c r="H22780" s="56"/>
      <c r="I22780" s="224"/>
    </row>
    <row r="22781" spans="1:9" x14ac:dyDescent="0.25">
      <c r="A22781" s="515">
        <v>45388</v>
      </c>
      <c r="B22781" s="515" t="s">
        <v>316</v>
      </c>
      <c r="C22781" s="52">
        <v>315031.125741633</v>
      </c>
      <c r="D22781" s="56">
        <v>0.13212659931147025</v>
      </c>
      <c r="E22781" s="224" t="s">
        <v>2</v>
      </c>
      <c r="G22781" s="52"/>
      <c r="H22781" s="56"/>
      <c r="I22781" s="224"/>
    </row>
    <row r="22782" spans="1:9" x14ac:dyDescent="0.25">
      <c r="A22782" s="515">
        <v>5158</v>
      </c>
      <c r="C22782" s="52">
        <v>262032.34693877501</v>
      </c>
      <c r="D22782" s="56">
        <v>0</v>
      </c>
      <c r="E22782" s="224" t="s">
        <v>2</v>
      </c>
      <c r="G22782" s="52"/>
      <c r="H22782" s="56"/>
      <c r="I22782" s="224"/>
    </row>
    <row r="22783" spans="1:9" x14ac:dyDescent="0.25">
      <c r="A22783" s="515">
        <v>40176</v>
      </c>
      <c r="C22783" s="52">
        <v>179778.527890622</v>
      </c>
      <c r="D22783" s="56">
        <v>0.11166917855715677</v>
      </c>
      <c r="E22783" s="224" t="s">
        <v>2</v>
      </c>
      <c r="G22783" s="52"/>
      <c r="H22783" s="56"/>
      <c r="I22783" s="224"/>
    </row>
    <row r="22784" spans="1:9" x14ac:dyDescent="0.25">
      <c r="A22784" s="515">
        <v>3457</v>
      </c>
      <c r="B22784" s="515" t="s">
        <v>747</v>
      </c>
      <c r="C22784" s="52">
        <v>399666.230446423</v>
      </c>
      <c r="D22784" s="56">
        <v>0.15065775429493833</v>
      </c>
      <c r="E22784" s="224" t="s">
        <v>2</v>
      </c>
      <c r="G22784" s="52"/>
      <c r="H22784" s="56"/>
      <c r="I22784" s="224"/>
    </row>
    <row r="22785" spans="1:9" x14ac:dyDescent="0.25">
      <c r="A22785" s="515">
        <v>63558</v>
      </c>
      <c r="C22785" s="52">
        <v>163297.08626688999</v>
      </c>
      <c r="D22785" s="56">
        <v>0.17715911203481285</v>
      </c>
      <c r="E22785" s="224" t="s">
        <v>2</v>
      </c>
      <c r="G22785" s="52"/>
      <c r="H22785" s="56"/>
      <c r="I22785" s="224"/>
    </row>
    <row r="22786" spans="1:9" x14ac:dyDescent="0.25">
      <c r="A22786" s="515">
        <v>31743</v>
      </c>
      <c r="B22786" s="515" t="s">
        <v>746</v>
      </c>
      <c r="C22786" s="52">
        <v>58508.184139358702</v>
      </c>
      <c r="D22786" s="56">
        <v>5.1382207983333367E-3</v>
      </c>
      <c r="E22786" s="224" t="s">
        <v>2</v>
      </c>
      <c r="G22786" s="52"/>
      <c r="H22786" s="56"/>
      <c r="I22786" s="224"/>
    </row>
    <row r="22787" spans="1:9" x14ac:dyDescent="0.25">
      <c r="A22787" s="515">
        <v>57270</v>
      </c>
      <c r="C22787" s="52">
        <v>172448.767857142</v>
      </c>
      <c r="D22787" s="56">
        <v>0</v>
      </c>
      <c r="E22787" s="224" t="s">
        <v>2</v>
      </c>
      <c r="G22787" s="52"/>
      <c r="H22787" s="56"/>
      <c r="I22787" s="224"/>
    </row>
    <row r="22788" spans="1:9" x14ac:dyDescent="0.25">
      <c r="A22788" s="515">
        <v>61414</v>
      </c>
      <c r="B22788" s="515" t="s">
        <v>339</v>
      </c>
      <c r="C22788" s="52">
        <v>91332.012148992901</v>
      </c>
      <c r="D22788" s="56">
        <v>5.6417445637042131E-2</v>
      </c>
      <c r="E22788" s="224" t="s">
        <v>2</v>
      </c>
      <c r="G22788" s="52"/>
      <c r="H22788" s="56"/>
      <c r="I22788" s="224"/>
    </row>
    <row r="22789" spans="1:9" x14ac:dyDescent="0.25">
      <c r="A22789" s="515">
        <v>62625</v>
      </c>
      <c r="B22789" s="515" t="s">
        <v>819</v>
      </c>
      <c r="C22789" s="52">
        <v>248410.24703574699</v>
      </c>
      <c r="D22789" s="56">
        <v>7.387979185313015E-2</v>
      </c>
      <c r="E22789" s="224" t="s">
        <v>2</v>
      </c>
      <c r="G22789" s="52"/>
      <c r="H22789" s="56"/>
      <c r="I22789" s="224"/>
    </row>
    <row r="22790" spans="1:9" x14ac:dyDescent="0.25">
      <c r="A22790" s="515">
        <v>65075</v>
      </c>
      <c r="C22790" s="52">
        <v>247518.44271347299</v>
      </c>
      <c r="D22790" s="56">
        <v>0.10665256165465022</v>
      </c>
      <c r="E22790" s="224" t="s">
        <v>2</v>
      </c>
      <c r="G22790" s="52"/>
      <c r="H22790" s="56"/>
      <c r="I22790" s="224"/>
    </row>
    <row r="22791" spans="1:9" x14ac:dyDescent="0.25">
      <c r="A22791" s="515">
        <v>67484</v>
      </c>
      <c r="B22791" s="515" t="s">
        <v>715</v>
      </c>
      <c r="C22791" s="52">
        <v>152600.969715296</v>
      </c>
      <c r="D22791" s="56">
        <v>6.721608577998725E-2</v>
      </c>
      <c r="E22791" s="224" t="s">
        <v>2</v>
      </c>
      <c r="G22791" s="52"/>
      <c r="H22791" s="56"/>
      <c r="I22791" s="224"/>
    </row>
    <row r="22792" spans="1:9" x14ac:dyDescent="0.25">
      <c r="A22792" s="515">
        <v>2543</v>
      </c>
      <c r="B22792" s="515" t="s">
        <v>427</v>
      </c>
      <c r="C22792" s="52">
        <v>1130291.8839133501</v>
      </c>
      <c r="D22792" s="56">
        <v>0.13521098748018121</v>
      </c>
      <c r="E22792" s="224" t="s">
        <v>2</v>
      </c>
      <c r="G22792" s="52"/>
      <c r="H22792" s="56"/>
      <c r="I22792" s="224"/>
    </row>
    <row r="22793" spans="1:9" x14ac:dyDescent="0.25">
      <c r="A22793" s="515">
        <v>38457</v>
      </c>
      <c r="B22793" s="515" t="s">
        <v>873</v>
      </c>
      <c r="C22793" s="52">
        <v>185501.584531047</v>
      </c>
      <c r="D22793" s="56">
        <v>0</v>
      </c>
      <c r="E22793" s="224" t="s">
        <v>2</v>
      </c>
      <c r="G22793" s="52"/>
      <c r="H22793" s="56"/>
      <c r="I22793" s="224"/>
    </row>
    <row r="22794" spans="1:9" x14ac:dyDescent="0.25">
      <c r="A22794" s="515">
        <v>56667</v>
      </c>
      <c r="B22794" s="515" t="s">
        <v>690</v>
      </c>
      <c r="C22794" s="52">
        <v>191207.46334660501</v>
      </c>
      <c r="D22794" s="56">
        <v>9.9092788061064752E-2</v>
      </c>
      <c r="E22794" s="224" t="s">
        <v>2</v>
      </c>
      <c r="G22794" s="52"/>
      <c r="H22794" s="56"/>
      <c r="I22794" s="224"/>
    </row>
    <row r="22795" spans="1:9" x14ac:dyDescent="0.25">
      <c r="A22795" s="515">
        <v>62431</v>
      </c>
      <c r="C22795" s="52">
        <v>90240.104915223594</v>
      </c>
      <c r="D22795" s="56">
        <v>8.523396041428323E-2</v>
      </c>
      <c r="E22795" s="224" t="s">
        <v>2</v>
      </c>
      <c r="G22795" s="52"/>
      <c r="H22795" s="56"/>
      <c r="I22795" s="224"/>
    </row>
    <row r="22796" spans="1:9" x14ac:dyDescent="0.25">
      <c r="A22796" s="515">
        <v>41667</v>
      </c>
      <c r="C22796" s="52">
        <v>40725.228363269598</v>
      </c>
      <c r="D22796" s="56">
        <v>0.19989564144962474</v>
      </c>
      <c r="E22796" s="224" t="s">
        <v>2</v>
      </c>
      <c r="G22796" s="52"/>
      <c r="H22796" s="56"/>
      <c r="I22796" s="224"/>
    </row>
    <row r="22797" spans="1:9" x14ac:dyDescent="0.25">
      <c r="A22797" s="515">
        <v>52329</v>
      </c>
      <c r="C22797" s="52">
        <v>193745.94143030501</v>
      </c>
      <c r="D22797" s="56">
        <v>0.17262649849955636</v>
      </c>
      <c r="E22797" s="224" t="s">
        <v>2</v>
      </c>
      <c r="G22797" s="52"/>
      <c r="H22797" s="56"/>
      <c r="I22797" s="224"/>
    </row>
    <row r="22798" spans="1:9" x14ac:dyDescent="0.25">
      <c r="A22798" s="515">
        <v>56014</v>
      </c>
      <c r="C22798" s="52">
        <v>118798.873416672</v>
      </c>
      <c r="D22798" s="56">
        <v>0</v>
      </c>
      <c r="E22798" s="224" t="s">
        <v>2</v>
      </c>
      <c r="G22798" s="52"/>
      <c r="H22798" s="56"/>
      <c r="I22798" s="224"/>
    </row>
    <row r="22799" spans="1:9" x14ac:dyDescent="0.25">
      <c r="A22799" s="515">
        <v>74651</v>
      </c>
      <c r="C22799" s="52">
        <v>102333.167081828</v>
      </c>
      <c r="D22799" s="56">
        <v>7.010055055773308E-2</v>
      </c>
      <c r="E22799" s="224" t="s">
        <v>2</v>
      </c>
      <c r="G22799" s="52"/>
      <c r="H22799" s="56"/>
      <c r="I22799" s="224"/>
    </row>
    <row r="22800" spans="1:9" x14ac:dyDescent="0.25">
      <c r="A22800" s="515">
        <v>62473</v>
      </c>
      <c r="B22800" s="515" t="s">
        <v>952</v>
      </c>
      <c r="C22800" s="52">
        <v>134258.03463435799</v>
      </c>
      <c r="D22800" s="56">
        <v>6.193560075927998E-2</v>
      </c>
      <c r="E22800" s="224" t="s">
        <v>2</v>
      </c>
      <c r="G22800" s="52"/>
      <c r="H22800" s="56"/>
      <c r="I22800" s="224"/>
    </row>
    <row r="22801" spans="1:9" x14ac:dyDescent="0.25">
      <c r="A22801" s="515">
        <v>41566</v>
      </c>
      <c r="C22801" s="52">
        <v>69724.238035234594</v>
      </c>
      <c r="D22801" s="56">
        <v>0.22605633769870961</v>
      </c>
      <c r="E22801" s="224" t="s">
        <v>2</v>
      </c>
      <c r="G22801" s="52"/>
      <c r="H22801" s="56"/>
      <c r="I22801" s="224"/>
    </row>
    <row r="22802" spans="1:9" x14ac:dyDescent="0.25">
      <c r="A22802" s="515">
        <v>16942</v>
      </c>
      <c r="C22802" s="52">
        <v>146513.98980976699</v>
      </c>
      <c r="D22802" s="56">
        <v>0.13473756503046322</v>
      </c>
      <c r="E22802" s="224" t="s">
        <v>2</v>
      </c>
      <c r="G22802" s="52"/>
      <c r="H22802" s="56"/>
      <c r="I22802" s="224"/>
    </row>
    <row r="22803" spans="1:9" x14ac:dyDescent="0.25">
      <c r="A22803" s="515">
        <v>52215</v>
      </c>
      <c r="C22803" s="52">
        <v>170040.669362783</v>
      </c>
      <c r="D22803" s="56">
        <v>0.19276578002339118</v>
      </c>
      <c r="E22803" s="224" t="s">
        <v>2</v>
      </c>
      <c r="G22803" s="52"/>
      <c r="H22803" s="56"/>
      <c r="I22803" s="224"/>
    </row>
    <row r="22804" spans="1:9" x14ac:dyDescent="0.25">
      <c r="A22804" s="515">
        <v>83535</v>
      </c>
      <c r="B22804" s="515" t="s">
        <v>857</v>
      </c>
      <c r="C22804" s="52">
        <v>329713.21554968902</v>
      </c>
      <c r="D22804" s="56">
        <v>-9.9425811112425991E-3</v>
      </c>
      <c r="E22804" s="224" t="s">
        <v>2</v>
      </c>
      <c r="G22804" s="52"/>
      <c r="H22804" s="56"/>
      <c r="I22804" s="224"/>
    </row>
    <row r="22805" spans="1:9" x14ac:dyDescent="0.25">
      <c r="A22805" s="515">
        <v>68765</v>
      </c>
      <c r="B22805" s="515" t="s">
        <v>615</v>
      </c>
      <c r="C22805" s="52">
        <v>178913.15886763899</v>
      </c>
      <c r="D22805" s="56">
        <v>6.8225586679208222E-2</v>
      </c>
      <c r="E22805" s="224" t="s">
        <v>2</v>
      </c>
      <c r="G22805" s="52"/>
      <c r="H22805" s="56"/>
      <c r="I22805" s="224"/>
    </row>
    <row r="22806" spans="1:9" x14ac:dyDescent="0.25">
      <c r="A22806" s="515">
        <v>97011</v>
      </c>
      <c r="B22806" s="515" t="s">
        <v>659</v>
      </c>
      <c r="C22806" s="52">
        <v>455550.80073021399</v>
      </c>
      <c r="D22806" s="56">
        <v>4.101887198683124E-2</v>
      </c>
      <c r="E22806" s="224" t="s">
        <v>2</v>
      </c>
      <c r="G22806" s="52"/>
      <c r="H22806" s="56"/>
      <c r="I22806" s="224"/>
    </row>
    <row r="22807" spans="1:9" x14ac:dyDescent="0.25">
      <c r="A22807" s="515">
        <v>97876</v>
      </c>
      <c r="B22807" s="515" t="s">
        <v>606</v>
      </c>
      <c r="C22807" s="52">
        <v>467174.78873239399</v>
      </c>
      <c r="D22807" s="56">
        <v>0</v>
      </c>
      <c r="E22807" s="224" t="s">
        <v>2</v>
      </c>
      <c r="G22807" s="52"/>
      <c r="H22807" s="56"/>
      <c r="I22807" s="224"/>
    </row>
    <row r="22808" spans="1:9" x14ac:dyDescent="0.25">
      <c r="A22808" s="515">
        <v>13437</v>
      </c>
      <c r="B22808" s="515" t="s">
        <v>361</v>
      </c>
      <c r="C22808" s="52">
        <v>133751.38542938299</v>
      </c>
      <c r="D22808" s="56">
        <v>0.12601191647112525</v>
      </c>
      <c r="E22808" s="224" t="s">
        <v>2</v>
      </c>
      <c r="G22808" s="52"/>
      <c r="H22808" s="56"/>
      <c r="I22808" s="224"/>
    </row>
    <row r="22809" spans="1:9" x14ac:dyDescent="0.25">
      <c r="A22809" s="515">
        <v>1259</v>
      </c>
      <c r="B22809" s="515" t="s">
        <v>497</v>
      </c>
      <c r="C22809" s="52">
        <v>467952.43818830198</v>
      </c>
      <c r="D22809" s="56">
        <v>9.0955937719313137E-2</v>
      </c>
      <c r="E22809" s="224" t="s">
        <v>2</v>
      </c>
      <c r="G22809" s="52"/>
      <c r="H22809" s="56"/>
      <c r="I22809" s="224"/>
    </row>
    <row r="22810" spans="1:9" x14ac:dyDescent="0.25">
      <c r="A22810" s="515">
        <v>76070</v>
      </c>
      <c r="C22810" s="52">
        <v>483731.90006154298</v>
      </c>
      <c r="D22810" s="56">
        <v>0.1295744985624416</v>
      </c>
      <c r="E22810" s="224" t="s">
        <v>2</v>
      </c>
      <c r="G22810" s="52"/>
      <c r="H22810" s="56"/>
      <c r="I22810" s="224"/>
    </row>
    <row r="22811" spans="1:9" x14ac:dyDescent="0.25">
      <c r="A22811" s="515">
        <v>5081</v>
      </c>
      <c r="B22811" s="515" t="s">
        <v>420</v>
      </c>
      <c r="C22811" s="52">
        <v>226701.653061224</v>
      </c>
      <c r="D22811" s="56">
        <v>0</v>
      </c>
      <c r="E22811" s="224" t="s">
        <v>2</v>
      </c>
      <c r="G22811" s="52"/>
      <c r="H22811" s="56"/>
      <c r="I22811" s="224"/>
    </row>
    <row r="22812" spans="1:9" x14ac:dyDescent="0.25">
      <c r="A22812" s="515">
        <v>4487</v>
      </c>
      <c r="B22812" s="515" t="s">
        <v>792</v>
      </c>
      <c r="C22812" s="52">
        <v>215648.388888888</v>
      </c>
      <c r="D22812" s="56">
        <v>0</v>
      </c>
      <c r="E22812" s="224" t="s">
        <v>2</v>
      </c>
      <c r="G22812" s="52"/>
      <c r="H22812" s="56"/>
      <c r="I22812" s="224"/>
    </row>
    <row r="22813" spans="1:9" x14ac:dyDescent="0.25">
      <c r="A22813" s="515">
        <v>21077</v>
      </c>
      <c r="B22813" s="515" t="s">
        <v>582</v>
      </c>
      <c r="C22813" s="52">
        <v>421863.70104277</v>
      </c>
      <c r="D22813" s="56">
        <v>0</v>
      </c>
      <c r="E22813" s="224" t="s">
        <v>2</v>
      </c>
      <c r="G22813" s="52"/>
      <c r="H22813" s="56"/>
      <c r="I22813" s="224"/>
    </row>
    <row r="22814" spans="1:9" x14ac:dyDescent="0.25">
      <c r="A22814" s="515">
        <v>38076</v>
      </c>
      <c r="B22814" s="515" t="s">
        <v>951</v>
      </c>
      <c r="C22814" s="52">
        <v>297218.94600060099</v>
      </c>
      <c r="D22814" s="56">
        <v>0</v>
      </c>
      <c r="E22814" s="224" t="s">
        <v>2</v>
      </c>
      <c r="G22814" s="52"/>
      <c r="H22814" s="56"/>
      <c r="I22814" s="224"/>
    </row>
    <row r="22815" spans="1:9" x14ac:dyDescent="0.25">
      <c r="A22815" s="515">
        <v>80454</v>
      </c>
      <c r="B22815" s="515" t="s">
        <v>401</v>
      </c>
      <c r="C22815" s="52">
        <v>659127.99554767995</v>
      </c>
      <c r="D22815" s="56">
        <v>1.1467234348485982E-3</v>
      </c>
      <c r="E22815" s="224" t="s">
        <v>2</v>
      </c>
      <c r="G22815" s="52"/>
      <c r="H22815" s="56"/>
      <c r="I22815" s="224"/>
    </row>
    <row r="22816" spans="1:9" x14ac:dyDescent="0.25">
      <c r="A22816" s="515">
        <v>73430</v>
      </c>
      <c r="B22816" s="515" t="s">
        <v>710</v>
      </c>
      <c r="C22816" s="52">
        <v>166173.09861959601</v>
      </c>
      <c r="D22816" s="56">
        <v>0.17090966195375534</v>
      </c>
      <c r="E22816" s="224" t="s">
        <v>2</v>
      </c>
      <c r="G22816" s="52"/>
      <c r="H22816" s="56"/>
      <c r="I22816" s="224"/>
    </row>
    <row r="22817" spans="1:9" x14ac:dyDescent="0.25">
      <c r="A22817" s="515">
        <v>56644</v>
      </c>
      <c r="C22817" s="52">
        <v>153719.08965734899</v>
      </c>
      <c r="D22817" s="56">
        <v>9.3921475555062348E-2</v>
      </c>
      <c r="E22817" s="224" t="s">
        <v>2</v>
      </c>
      <c r="G22817" s="52"/>
      <c r="H22817" s="56"/>
      <c r="I22817" s="224"/>
    </row>
    <row r="22818" spans="1:9" x14ac:dyDescent="0.25">
      <c r="A22818" s="515">
        <v>56016</v>
      </c>
      <c r="B22818" s="515" t="s">
        <v>565</v>
      </c>
      <c r="C22818" s="52">
        <v>174837.82079538601</v>
      </c>
      <c r="D22818" s="56">
        <v>6.9336362463800913E-2</v>
      </c>
      <c r="E22818" s="224" t="s">
        <v>2</v>
      </c>
      <c r="G22818" s="52"/>
      <c r="H22818" s="56"/>
      <c r="I22818" s="224"/>
    </row>
    <row r="22819" spans="1:9" x14ac:dyDescent="0.25">
      <c r="A22819" s="515">
        <v>27042</v>
      </c>
      <c r="B22819" s="515" t="s">
        <v>735</v>
      </c>
      <c r="C22819" s="52">
        <v>153035.09058333101</v>
      </c>
      <c r="D22819" s="56">
        <v>0.14632162187958633</v>
      </c>
      <c r="E22819" s="224" t="s">
        <v>2</v>
      </c>
      <c r="G22819" s="52"/>
      <c r="H22819" s="56"/>
      <c r="I22819" s="224"/>
    </row>
    <row r="22820" spans="1:9" x14ac:dyDescent="0.25">
      <c r="A22820" s="515">
        <v>54540</v>
      </c>
      <c r="C22820" s="52">
        <v>284737.57951240498</v>
      </c>
      <c r="D22820" s="56">
        <v>7.529274459044169E-2</v>
      </c>
      <c r="E22820" s="224" t="s">
        <v>2</v>
      </c>
      <c r="G22820" s="52"/>
      <c r="H22820" s="56"/>
      <c r="I22820" s="224"/>
    </row>
    <row r="22821" spans="1:9" x14ac:dyDescent="0.25">
      <c r="A22821" s="515">
        <v>68422</v>
      </c>
      <c r="B22821" s="515" t="s">
        <v>745</v>
      </c>
      <c r="C22821" s="52">
        <v>280909.96194456599</v>
      </c>
      <c r="D22821" s="56">
        <v>0.11281371130165067</v>
      </c>
      <c r="E22821" s="224" t="s">
        <v>2</v>
      </c>
      <c r="G22821" s="52"/>
      <c r="H22821" s="56"/>
      <c r="I22821" s="224"/>
    </row>
    <row r="22822" spans="1:9" x14ac:dyDescent="0.25">
      <c r="A22822" s="515">
        <v>53541</v>
      </c>
      <c r="C22822" s="52">
        <v>157199.369151822</v>
      </c>
      <c r="D22822" s="56">
        <v>1.1898537033550042E-2</v>
      </c>
      <c r="E22822" s="224" t="s">
        <v>2</v>
      </c>
      <c r="G22822" s="52"/>
      <c r="H22822" s="56"/>
      <c r="I22822" s="224"/>
    </row>
    <row r="22823" spans="1:9" x14ac:dyDescent="0.25">
      <c r="A22823" s="515">
        <v>67008</v>
      </c>
      <c r="B22823" s="515" t="s">
        <v>789</v>
      </c>
      <c r="C22823" s="52">
        <v>150389.90348829099</v>
      </c>
      <c r="D22823" s="56">
        <v>0.23284024161843411</v>
      </c>
      <c r="E22823" s="224" t="s">
        <v>2</v>
      </c>
      <c r="G22823" s="52"/>
      <c r="H22823" s="56"/>
      <c r="I22823" s="224"/>
    </row>
    <row r="22824" spans="1:9" x14ac:dyDescent="0.25">
      <c r="A22824" s="515">
        <v>67451</v>
      </c>
      <c r="C22824" s="52">
        <v>154838.303852538</v>
      </c>
      <c r="D22824" s="56">
        <v>0.15093793690947346</v>
      </c>
      <c r="E22824" s="224" t="s">
        <v>2</v>
      </c>
      <c r="G22824" s="52"/>
      <c r="H22824" s="56"/>
      <c r="I22824" s="224"/>
    </row>
    <row r="22825" spans="1:9" x14ac:dyDescent="0.25">
      <c r="A22825" s="515">
        <v>84314</v>
      </c>
      <c r="B22825" s="515" t="s">
        <v>628</v>
      </c>
      <c r="C22825" s="52">
        <v>450786.21637426899</v>
      </c>
      <c r="D22825" s="56">
        <v>0</v>
      </c>
      <c r="E22825" s="224" t="s">
        <v>2</v>
      </c>
      <c r="G22825" s="52"/>
      <c r="H22825" s="56"/>
      <c r="I22825" s="224"/>
    </row>
    <row r="22826" spans="1:9" x14ac:dyDescent="0.25">
      <c r="A22826" s="515">
        <v>25854</v>
      </c>
      <c r="B22826" s="515" t="s">
        <v>566</v>
      </c>
      <c r="C22826" s="52">
        <v>133828.82738583599</v>
      </c>
      <c r="D22826" s="56">
        <v>0.11546473086897571</v>
      </c>
      <c r="E22826" s="224" t="s">
        <v>2</v>
      </c>
      <c r="G22826" s="52"/>
      <c r="H22826" s="56"/>
      <c r="I22826" s="224"/>
    </row>
    <row r="22827" spans="1:9" x14ac:dyDescent="0.25">
      <c r="A22827" s="515">
        <v>49805</v>
      </c>
      <c r="B22827" s="515" t="s">
        <v>462</v>
      </c>
      <c r="C22827" s="52">
        <v>137277.263326632</v>
      </c>
      <c r="D22827" s="56">
        <v>0.13781846549412347</v>
      </c>
      <c r="E22827" s="224" t="s">
        <v>2</v>
      </c>
      <c r="G22827" s="52"/>
      <c r="H22827" s="56"/>
      <c r="I22827" s="224"/>
    </row>
    <row r="22828" spans="1:9" x14ac:dyDescent="0.25">
      <c r="A22828" s="515">
        <v>83427</v>
      </c>
      <c r="B22828" s="515" t="s">
        <v>409</v>
      </c>
      <c r="C22828" s="52">
        <v>402635.97298159898</v>
      </c>
      <c r="D22828" s="56">
        <v>3.5674145559814949E-3</v>
      </c>
      <c r="E22828" s="224" t="s">
        <v>2</v>
      </c>
      <c r="G22828" s="52"/>
      <c r="H22828" s="56"/>
      <c r="I22828" s="224"/>
    </row>
    <row r="22829" spans="1:9" x14ac:dyDescent="0.25">
      <c r="A22829" s="515">
        <v>58384</v>
      </c>
      <c r="C22829" s="52">
        <v>73577.449694301395</v>
      </c>
      <c r="D22829" s="56">
        <v>0</v>
      </c>
      <c r="E22829" s="224" t="s">
        <v>2</v>
      </c>
      <c r="G22829" s="52"/>
      <c r="H22829" s="56"/>
      <c r="I22829" s="224"/>
    </row>
    <row r="22830" spans="1:9" x14ac:dyDescent="0.25">
      <c r="A22830" s="515">
        <v>52574</v>
      </c>
      <c r="C22830" s="52">
        <v>83020.796037905806</v>
      </c>
      <c r="D22830" s="56">
        <v>0</v>
      </c>
      <c r="E22830" s="224" t="s">
        <v>2</v>
      </c>
      <c r="G22830" s="52"/>
      <c r="H22830" s="56"/>
      <c r="I22830" s="224"/>
    </row>
    <row r="22831" spans="1:9" x14ac:dyDescent="0.25">
      <c r="A22831" s="515">
        <v>94970</v>
      </c>
      <c r="B22831" s="515" t="s">
        <v>593</v>
      </c>
      <c r="C22831" s="52">
        <v>3070919.1132614198</v>
      </c>
      <c r="D22831" s="56">
        <v>-1.9213308563942422E-2</v>
      </c>
      <c r="E22831" s="224" t="s">
        <v>2</v>
      </c>
      <c r="G22831" s="52"/>
      <c r="H22831" s="56"/>
      <c r="I22831" s="224"/>
    </row>
    <row r="22832" spans="1:9" x14ac:dyDescent="0.25">
      <c r="A22832" s="515">
        <v>53046</v>
      </c>
      <c r="B22832" s="515" t="s">
        <v>950</v>
      </c>
      <c r="C22832" s="52">
        <v>342945.84952004801</v>
      </c>
      <c r="D22832" s="56">
        <v>0.10483292394821485</v>
      </c>
      <c r="E22832" s="224" t="s">
        <v>2</v>
      </c>
      <c r="G22832" s="52"/>
      <c r="H22832" s="56"/>
      <c r="I22832" s="224"/>
    </row>
    <row r="22833" spans="1:9" x14ac:dyDescent="0.25">
      <c r="A22833" s="515">
        <v>15629</v>
      </c>
      <c r="B22833" s="515" t="s">
        <v>297</v>
      </c>
      <c r="C22833" s="52">
        <v>59869.071428571398</v>
      </c>
      <c r="D22833" s="56">
        <v>0</v>
      </c>
      <c r="E22833" s="224" t="s">
        <v>2</v>
      </c>
      <c r="G22833" s="52"/>
      <c r="H22833" s="56"/>
      <c r="I22833" s="224"/>
    </row>
    <row r="22834" spans="1:9" x14ac:dyDescent="0.25">
      <c r="A22834" s="515">
        <v>63533</v>
      </c>
      <c r="B22834" s="515" t="s">
        <v>949</v>
      </c>
      <c r="C22834" s="52">
        <v>152477.96570319499</v>
      </c>
      <c r="D22834" s="56">
        <v>-6.1338729497000997E-2</v>
      </c>
      <c r="E22834" s="224" t="s">
        <v>2</v>
      </c>
      <c r="G22834" s="52"/>
      <c r="H22834" s="56"/>
      <c r="I22834" s="224"/>
    </row>
    <row r="22835" spans="1:9" x14ac:dyDescent="0.25">
      <c r="A22835" s="515">
        <v>57243</v>
      </c>
      <c r="B22835" s="515" t="s">
        <v>941</v>
      </c>
      <c r="C22835" s="52">
        <v>356493.37011303601</v>
      </c>
      <c r="D22835" s="56">
        <v>0</v>
      </c>
      <c r="E22835" s="224" t="s">
        <v>2</v>
      </c>
      <c r="G22835" s="52"/>
      <c r="H22835" s="56"/>
      <c r="I22835" s="224"/>
    </row>
    <row r="22836" spans="1:9" x14ac:dyDescent="0.25">
      <c r="A22836" s="515">
        <v>98933</v>
      </c>
      <c r="B22836" s="515" t="s">
        <v>948</v>
      </c>
      <c r="C22836" s="52">
        <v>261180.58393004799</v>
      </c>
      <c r="D22836" s="56">
        <v>3.9403063052708916E-2</v>
      </c>
      <c r="E22836" s="224" t="s">
        <v>2</v>
      </c>
      <c r="G22836" s="52"/>
      <c r="H22836" s="56"/>
      <c r="I22836" s="224"/>
    </row>
    <row r="22837" spans="1:9" x14ac:dyDescent="0.25">
      <c r="A22837" s="515">
        <v>36052</v>
      </c>
      <c r="B22837" s="515" t="s">
        <v>806</v>
      </c>
      <c r="C22837" s="52">
        <v>428607.60180707101</v>
      </c>
      <c r="D22837" s="56">
        <v>0.11531389416568183</v>
      </c>
      <c r="E22837" s="224" t="s">
        <v>2</v>
      </c>
      <c r="G22837" s="52"/>
      <c r="H22837" s="56"/>
      <c r="I22837" s="224"/>
    </row>
    <row r="22838" spans="1:9" x14ac:dyDescent="0.25">
      <c r="A22838" s="515">
        <v>4414</v>
      </c>
      <c r="C22838" s="52">
        <v>164994.99748600001</v>
      </c>
      <c r="D22838" s="56">
        <v>0.17764584614936982</v>
      </c>
      <c r="E22838" s="224" t="s">
        <v>2</v>
      </c>
      <c r="G22838" s="52"/>
      <c r="H22838" s="56"/>
      <c r="I22838" s="224"/>
    </row>
    <row r="22839" spans="1:9" x14ac:dyDescent="0.25">
      <c r="A22839" s="515">
        <v>35552</v>
      </c>
      <c r="C22839" s="52">
        <v>124046.390224118</v>
      </c>
      <c r="D22839" s="56">
        <v>0.10033675947103736</v>
      </c>
      <c r="E22839" s="224" t="s">
        <v>2</v>
      </c>
      <c r="G22839" s="52"/>
      <c r="H22839" s="56"/>
      <c r="I22839" s="224"/>
    </row>
    <row r="22840" spans="1:9" x14ac:dyDescent="0.25">
      <c r="A22840" s="515">
        <v>42275</v>
      </c>
      <c r="B22840" s="515" t="s">
        <v>799</v>
      </c>
      <c r="C22840" s="52">
        <v>154674.998949642</v>
      </c>
      <c r="D22840" s="56">
        <v>0.19377129386402039</v>
      </c>
      <c r="E22840" s="224" t="s">
        <v>2</v>
      </c>
      <c r="G22840" s="52"/>
      <c r="H22840" s="56"/>
      <c r="I22840" s="224"/>
    </row>
    <row r="22841" spans="1:9" x14ac:dyDescent="0.25">
      <c r="A22841" s="515">
        <v>50575</v>
      </c>
      <c r="C22841" s="52">
        <v>72820.871080364697</v>
      </c>
      <c r="D22841" s="56">
        <v>5.0308822181075019E-2</v>
      </c>
      <c r="E22841" s="224" t="s">
        <v>2</v>
      </c>
      <c r="G22841" s="52"/>
      <c r="H22841" s="56"/>
      <c r="I22841" s="224"/>
    </row>
    <row r="22842" spans="1:9" x14ac:dyDescent="0.25">
      <c r="A22842" s="515">
        <v>41519</v>
      </c>
      <c r="C22842" s="52">
        <v>81038.997723221706</v>
      </c>
      <c r="D22842" s="56">
        <v>0.21669211759698312</v>
      </c>
      <c r="E22842" s="224" t="s">
        <v>2</v>
      </c>
      <c r="G22842" s="52"/>
      <c r="H22842" s="56"/>
      <c r="I22842" s="224"/>
    </row>
    <row r="22843" spans="1:9" x14ac:dyDescent="0.25">
      <c r="A22843" s="515">
        <v>2826</v>
      </c>
      <c r="B22843" s="515" t="s">
        <v>513</v>
      </c>
      <c r="C22843" s="52">
        <v>364623.99886719801</v>
      </c>
      <c r="D22843" s="56">
        <v>7.4172984464023137E-2</v>
      </c>
      <c r="E22843" s="224" t="s">
        <v>2</v>
      </c>
      <c r="G22843" s="52"/>
      <c r="H22843" s="56"/>
      <c r="I22843" s="224"/>
    </row>
    <row r="22844" spans="1:9" x14ac:dyDescent="0.25">
      <c r="A22844" s="515">
        <v>62916</v>
      </c>
      <c r="C22844" s="52">
        <v>109664.313898514</v>
      </c>
      <c r="D22844" s="56">
        <v>5.5356606920517568E-2</v>
      </c>
      <c r="E22844" s="224" t="s">
        <v>2</v>
      </c>
      <c r="G22844" s="52"/>
      <c r="H22844" s="56"/>
      <c r="I22844" s="224"/>
    </row>
    <row r="22845" spans="1:9" x14ac:dyDescent="0.25">
      <c r="A22845" s="515">
        <v>42782</v>
      </c>
      <c r="B22845" s="515" t="s">
        <v>761</v>
      </c>
      <c r="C22845" s="52">
        <v>154350.57431453301</v>
      </c>
      <c r="D22845" s="56">
        <v>0.28180317526650522</v>
      </c>
      <c r="E22845" s="224" t="s">
        <v>2</v>
      </c>
      <c r="G22845" s="52"/>
      <c r="H22845" s="56"/>
      <c r="I22845" s="224"/>
    </row>
    <row r="22846" spans="1:9" x14ac:dyDescent="0.25">
      <c r="A22846" s="515">
        <v>24318</v>
      </c>
      <c r="B22846" s="515" t="s">
        <v>306</v>
      </c>
      <c r="C22846" s="52">
        <v>156208.430890727</v>
      </c>
      <c r="D22846" s="56">
        <v>0.14210570058249841</v>
      </c>
      <c r="E22846" s="224" t="s">
        <v>2</v>
      </c>
      <c r="G22846" s="52"/>
      <c r="H22846" s="56"/>
      <c r="I22846" s="224"/>
    </row>
    <row r="22847" spans="1:9" x14ac:dyDescent="0.25">
      <c r="A22847" s="515">
        <v>13635</v>
      </c>
      <c r="B22847" s="515" t="s">
        <v>511</v>
      </c>
      <c r="C22847" s="52">
        <v>93812.457618846398</v>
      </c>
      <c r="D22847" s="56">
        <v>5.2459553488545488E-2</v>
      </c>
      <c r="E22847" s="224" t="s">
        <v>2</v>
      </c>
      <c r="G22847" s="52"/>
      <c r="H22847" s="56"/>
      <c r="I22847" s="224"/>
    </row>
    <row r="22848" spans="1:9" x14ac:dyDescent="0.25">
      <c r="A22848" s="515">
        <v>97842</v>
      </c>
      <c r="C22848" s="52">
        <v>413301.07646968798</v>
      </c>
      <c r="D22848" s="56">
        <v>8.199850796033531E-2</v>
      </c>
      <c r="E22848" s="224" t="s">
        <v>2</v>
      </c>
      <c r="G22848" s="52"/>
      <c r="H22848" s="56"/>
      <c r="I22848" s="224"/>
    </row>
    <row r="22849" spans="1:9" x14ac:dyDescent="0.25">
      <c r="A22849" s="515">
        <v>12585</v>
      </c>
      <c r="B22849" s="515" t="s">
        <v>529</v>
      </c>
      <c r="C22849" s="52">
        <v>469336.78782475699</v>
      </c>
      <c r="D22849" s="56">
        <v>7.8834438222733907E-2</v>
      </c>
      <c r="E22849" s="224" t="s">
        <v>2</v>
      </c>
      <c r="G22849" s="52"/>
      <c r="H22849" s="56"/>
      <c r="I22849" s="224"/>
    </row>
    <row r="22850" spans="1:9" x14ac:dyDescent="0.25">
      <c r="A22850" s="515">
        <v>41862</v>
      </c>
      <c r="C22850" s="52">
        <v>86158.971064362006</v>
      </c>
      <c r="D22850" s="56">
        <v>0.27658280454296597</v>
      </c>
      <c r="E22850" s="224" t="s">
        <v>2</v>
      </c>
      <c r="G22850" s="52"/>
      <c r="H22850" s="56"/>
      <c r="I22850" s="224"/>
    </row>
    <row r="22851" spans="1:9" x14ac:dyDescent="0.25">
      <c r="A22851" s="515">
        <v>23839</v>
      </c>
      <c r="C22851" s="52">
        <v>176410.0158847</v>
      </c>
      <c r="D22851" s="56">
        <v>0</v>
      </c>
      <c r="E22851" s="224" t="s">
        <v>2</v>
      </c>
      <c r="G22851" s="52"/>
      <c r="H22851" s="56"/>
      <c r="I22851" s="224"/>
    </row>
    <row r="22852" spans="1:9" x14ac:dyDescent="0.25">
      <c r="A22852" s="515">
        <v>76827</v>
      </c>
      <c r="B22852" s="515" t="s">
        <v>947</v>
      </c>
      <c r="C22852" s="52">
        <v>345886.65974775999</v>
      </c>
      <c r="D22852" s="56">
        <v>0</v>
      </c>
      <c r="E22852" s="224" t="s">
        <v>2</v>
      </c>
      <c r="G22852" s="52"/>
      <c r="H22852" s="56"/>
      <c r="I22852" s="224"/>
    </row>
    <row r="22853" spans="1:9" x14ac:dyDescent="0.25">
      <c r="A22853" s="515">
        <v>51430</v>
      </c>
      <c r="B22853" s="515" t="s">
        <v>436</v>
      </c>
      <c r="C22853" s="52">
        <v>174172.034731842</v>
      </c>
      <c r="D22853" s="56">
        <v>0.10433700109645697</v>
      </c>
      <c r="E22853" s="224" t="s">
        <v>2</v>
      </c>
      <c r="G22853" s="52"/>
      <c r="H22853" s="56"/>
      <c r="I22853" s="224"/>
    </row>
    <row r="22854" spans="1:9" x14ac:dyDescent="0.25">
      <c r="A22854" s="515">
        <v>25243</v>
      </c>
      <c r="C22854" s="52">
        <v>117268.75335719599</v>
      </c>
      <c r="D22854" s="56">
        <v>2.4454498231088861E-2</v>
      </c>
      <c r="E22854" s="224" t="s">
        <v>2</v>
      </c>
      <c r="G22854" s="52"/>
      <c r="H22854" s="56"/>
      <c r="I22854" s="224"/>
    </row>
    <row r="22855" spans="1:9" x14ac:dyDescent="0.25">
      <c r="A22855" s="515">
        <v>31568</v>
      </c>
      <c r="B22855" s="515" t="s">
        <v>946</v>
      </c>
      <c r="C22855" s="52">
        <v>212417.09440472399</v>
      </c>
      <c r="D22855" s="56">
        <v>0.11808267516227834</v>
      </c>
      <c r="E22855" s="224" t="s">
        <v>2</v>
      </c>
      <c r="G22855" s="52"/>
      <c r="H22855" s="56"/>
      <c r="I22855" s="224"/>
    </row>
    <row r="22856" spans="1:9" x14ac:dyDescent="0.25">
      <c r="A22856" s="515">
        <v>69214</v>
      </c>
      <c r="C22856" s="52">
        <v>297202.629675904</v>
      </c>
      <c r="D22856" s="56">
        <v>0.30059814216140285</v>
      </c>
      <c r="E22856" s="224" t="s">
        <v>2</v>
      </c>
      <c r="G22856" s="52"/>
      <c r="H22856" s="56"/>
      <c r="I22856" s="224"/>
    </row>
    <row r="22857" spans="1:9" x14ac:dyDescent="0.25">
      <c r="A22857" s="515">
        <v>54855</v>
      </c>
      <c r="C22857" s="52">
        <v>147051.024793388</v>
      </c>
      <c r="D22857" s="56">
        <v>0</v>
      </c>
      <c r="E22857" s="224" t="s">
        <v>2</v>
      </c>
      <c r="G22857" s="52"/>
      <c r="H22857" s="56"/>
      <c r="I22857" s="224"/>
    </row>
    <row r="22858" spans="1:9" x14ac:dyDescent="0.25">
      <c r="A22858" s="515">
        <v>20868</v>
      </c>
      <c r="B22858" s="515" t="s">
        <v>321</v>
      </c>
      <c r="C22858" s="52">
        <v>680465.46649933106</v>
      </c>
      <c r="D22858" s="56">
        <v>4.033959064109717E-2</v>
      </c>
      <c r="E22858" s="224" t="s">
        <v>2</v>
      </c>
      <c r="G22858" s="52"/>
      <c r="H22858" s="56"/>
      <c r="I22858" s="224"/>
    </row>
    <row r="22859" spans="1:9" x14ac:dyDescent="0.25">
      <c r="A22859" s="515">
        <v>49879</v>
      </c>
      <c r="B22859" s="515" t="s">
        <v>440</v>
      </c>
      <c r="C22859" s="52">
        <v>129505.301213613</v>
      </c>
      <c r="D22859" s="56">
        <v>0.1175506144050457</v>
      </c>
      <c r="E22859" s="224" t="s">
        <v>2</v>
      </c>
      <c r="G22859" s="52"/>
      <c r="H22859" s="56"/>
      <c r="I22859" s="224"/>
    </row>
    <row r="22860" spans="1:9" x14ac:dyDescent="0.25">
      <c r="A22860" s="515">
        <v>36374</v>
      </c>
      <c r="B22860" s="515" t="s">
        <v>369</v>
      </c>
      <c r="C22860" s="52">
        <v>157856.02108248801</v>
      </c>
      <c r="D22860" s="56">
        <v>0.16051432006038521</v>
      </c>
      <c r="E22860" s="224" t="s">
        <v>2</v>
      </c>
      <c r="G22860" s="52"/>
      <c r="H22860" s="56"/>
      <c r="I22860" s="224"/>
    </row>
    <row r="22861" spans="1:9" x14ac:dyDescent="0.25">
      <c r="A22861" s="515">
        <v>59433</v>
      </c>
      <c r="C22861" s="52">
        <v>221857.25627201301</v>
      </c>
      <c r="D22861" s="56">
        <v>2.6694259152016994E-2</v>
      </c>
      <c r="E22861" s="224" t="s">
        <v>2</v>
      </c>
      <c r="G22861" s="52"/>
      <c r="H22861" s="56"/>
      <c r="I22861" s="224"/>
    </row>
    <row r="22862" spans="1:9" x14ac:dyDescent="0.25">
      <c r="A22862" s="515">
        <v>26238</v>
      </c>
      <c r="C22862" s="52">
        <v>118995.309116548</v>
      </c>
      <c r="D22862" s="56">
        <v>0.17723016101003358</v>
      </c>
      <c r="E22862" s="224" t="s">
        <v>2</v>
      </c>
      <c r="G22862" s="52"/>
      <c r="H22862" s="56"/>
      <c r="I22862" s="224"/>
    </row>
    <row r="22863" spans="1:9" x14ac:dyDescent="0.25">
      <c r="A22863" s="515">
        <v>56386</v>
      </c>
      <c r="B22863" s="515" t="s">
        <v>532</v>
      </c>
      <c r="C22863" s="52">
        <v>262071.12486096899</v>
      </c>
      <c r="D22863" s="56">
        <v>7.0529497995481069E-2</v>
      </c>
      <c r="E22863" s="224" t="s">
        <v>2</v>
      </c>
      <c r="G22863" s="52"/>
      <c r="H22863" s="56"/>
      <c r="I22863" s="224"/>
    </row>
    <row r="22864" spans="1:9" x14ac:dyDescent="0.25">
      <c r="A22864" s="515">
        <v>40157</v>
      </c>
      <c r="B22864" s="515" t="s">
        <v>671</v>
      </c>
      <c r="C22864" s="52">
        <v>199151.38856102401</v>
      </c>
      <c r="D22864" s="56">
        <v>0.10959908065143625</v>
      </c>
      <c r="E22864" s="224" t="s">
        <v>2</v>
      </c>
      <c r="G22864" s="52"/>
      <c r="H22864" s="56"/>
      <c r="I22864" s="224"/>
    </row>
    <row r="22865" spans="1:9" x14ac:dyDescent="0.25">
      <c r="A22865" s="515">
        <v>56183</v>
      </c>
      <c r="C22865" s="52">
        <v>114048.907189969</v>
      </c>
      <c r="D22865" s="56">
        <v>0.12023300254100781</v>
      </c>
      <c r="E22865" s="224" t="s">
        <v>2</v>
      </c>
      <c r="G22865" s="52"/>
      <c r="H22865" s="56"/>
      <c r="I22865" s="224"/>
    </row>
    <row r="22866" spans="1:9" x14ac:dyDescent="0.25">
      <c r="A22866" s="515">
        <v>5832</v>
      </c>
      <c r="C22866" s="52">
        <v>359176.53681950102</v>
      </c>
      <c r="D22866" s="56">
        <v>9.3090676747405773E-2</v>
      </c>
      <c r="E22866" s="224" t="s">
        <v>2</v>
      </c>
      <c r="G22866" s="52"/>
      <c r="H22866" s="56"/>
      <c r="I22866" s="224"/>
    </row>
    <row r="22867" spans="1:9" x14ac:dyDescent="0.25">
      <c r="A22867" s="515">
        <v>5650</v>
      </c>
      <c r="B22867" s="515" t="s">
        <v>945</v>
      </c>
      <c r="C22867" s="52">
        <v>320491.18062054802</v>
      </c>
      <c r="D22867" s="56">
        <v>4.3996039798829129E-2</v>
      </c>
      <c r="E22867" s="224" t="s">
        <v>2</v>
      </c>
      <c r="G22867" s="52"/>
      <c r="H22867" s="56"/>
      <c r="I22867" s="224"/>
    </row>
    <row r="22868" spans="1:9" x14ac:dyDescent="0.25">
      <c r="A22868" s="515">
        <v>17237</v>
      </c>
      <c r="B22868" s="515" t="s">
        <v>372</v>
      </c>
      <c r="C22868" s="52">
        <v>196502.887335245</v>
      </c>
      <c r="D22868" s="56">
        <v>7.3705434978771814E-2</v>
      </c>
      <c r="E22868" s="224" t="s">
        <v>2</v>
      </c>
      <c r="G22868" s="52"/>
      <c r="H22868" s="56"/>
      <c r="I22868" s="224"/>
    </row>
    <row r="22869" spans="1:9" x14ac:dyDescent="0.25">
      <c r="A22869" s="515">
        <v>49847</v>
      </c>
      <c r="B22869" s="515" t="s">
        <v>923</v>
      </c>
      <c r="C22869" s="52">
        <v>128529.948617562</v>
      </c>
      <c r="D22869" s="56">
        <v>0</v>
      </c>
      <c r="E22869" s="224" t="s">
        <v>2</v>
      </c>
      <c r="G22869" s="52"/>
      <c r="H22869" s="56"/>
      <c r="I22869" s="224"/>
    </row>
    <row r="22870" spans="1:9" x14ac:dyDescent="0.25">
      <c r="A22870" s="515">
        <v>68647</v>
      </c>
      <c r="B22870" s="515" t="s">
        <v>567</v>
      </c>
      <c r="C22870" s="52">
        <v>217786.68334417199</v>
      </c>
      <c r="D22870" s="56">
        <v>0.10621054047324043</v>
      </c>
      <c r="E22870" s="224" t="s">
        <v>2</v>
      </c>
      <c r="G22870" s="52"/>
      <c r="H22870" s="56"/>
      <c r="I22870" s="224"/>
    </row>
    <row r="22871" spans="1:9" x14ac:dyDescent="0.25">
      <c r="A22871" s="515">
        <v>52160</v>
      </c>
      <c r="C22871" s="52">
        <v>161038.59819099499</v>
      </c>
      <c r="D22871" s="56">
        <v>6.8321165304573578E-2</v>
      </c>
      <c r="E22871" s="224" t="s">
        <v>2</v>
      </c>
      <c r="G22871" s="52"/>
      <c r="H22871" s="56"/>
      <c r="I22871" s="224"/>
    </row>
    <row r="22872" spans="1:9" x14ac:dyDescent="0.25">
      <c r="A22872" s="515">
        <v>1236</v>
      </c>
      <c r="B22872" s="515" t="s">
        <v>497</v>
      </c>
      <c r="C22872" s="52">
        <v>499164.48338488</v>
      </c>
      <c r="D22872" s="56">
        <v>0.10884813257563029</v>
      </c>
      <c r="E22872" s="224" t="s">
        <v>2</v>
      </c>
      <c r="G22872" s="52"/>
      <c r="H22872" s="56"/>
      <c r="I22872" s="224"/>
    </row>
    <row r="22873" spans="1:9" x14ac:dyDescent="0.25">
      <c r="A22873" s="515">
        <v>27866</v>
      </c>
      <c r="B22873" s="515" t="s">
        <v>909</v>
      </c>
      <c r="C22873" s="52">
        <v>108361.69813287701</v>
      </c>
      <c r="D22873" s="56">
        <v>6.1546740899351311E-2</v>
      </c>
      <c r="E22873" s="224" t="s">
        <v>2</v>
      </c>
      <c r="G22873" s="52"/>
      <c r="H22873" s="56"/>
      <c r="I22873" s="224"/>
    </row>
    <row r="22874" spans="1:9" x14ac:dyDescent="0.25">
      <c r="A22874" s="515">
        <v>50257</v>
      </c>
      <c r="B22874" s="515" t="s">
        <v>295</v>
      </c>
      <c r="C22874" s="52">
        <v>236544.83505998799</v>
      </c>
      <c r="D22874" s="56">
        <v>0.14884646365168971</v>
      </c>
      <c r="E22874" s="224" t="s">
        <v>2</v>
      </c>
      <c r="G22874" s="52"/>
      <c r="H22874" s="56"/>
      <c r="I22874" s="224"/>
    </row>
    <row r="22875" spans="1:9" x14ac:dyDescent="0.25">
      <c r="A22875" s="515">
        <v>2671</v>
      </c>
      <c r="B22875" s="515" t="s">
        <v>427</v>
      </c>
      <c r="C22875" s="52">
        <v>690092.81744524895</v>
      </c>
      <c r="D22875" s="56">
        <v>0.13111015702512321</v>
      </c>
      <c r="E22875" s="224" t="s">
        <v>2</v>
      </c>
      <c r="G22875" s="52"/>
      <c r="H22875" s="56"/>
      <c r="I22875" s="224"/>
    </row>
    <row r="22876" spans="1:9" x14ac:dyDescent="0.25">
      <c r="A22876" s="515">
        <v>62378</v>
      </c>
      <c r="C22876" s="52">
        <v>79302.752268518394</v>
      </c>
      <c r="D22876" s="56">
        <v>0.19832864121446425</v>
      </c>
      <c r="E22876" s="224" t="s">
        <v>2</v>
      </c>
      <c r="G22876" s="52"/>
      <c r="H22876" s="56"/>
      <c r="I22876" s="224"/>
    </row>
    <row r="22877" spans="1:9" x14ac:dyDescent="0.25">
      <c r="A22877" s="515">
        <v>63071</v>
      </c>
      <c r="C22877" s="52">
        <v>203066.79406577101</v>
      </c>
      <c r="D22877" s="56">
        <v>8.6637410152557867E-2</v>
      </c>
      <c r="E22877" s="224" t="s">
        <v>2</v>
      </c>
      <c r="G22877" s="52"/>
      <c r="H22877" s="56"/>
      <c r="I22877" s="224"/>
    </row>
    <row r="22878" spans="1:9" x14ac:dyDescent="0.25">
      <c r="A22878" s="515">
        <v>41558</v>
      </c>
      <c r="C22878" s="52">
        <v>70422.909268189105</v>
      </c>
      <c r="D22878" s="56">
        <v>0.24181571651278938</v>
      </c>
      <c r="E22878" s="224" t="s">
        <v>2</v>
      </c>
      <c r="G22878" s="52"/>
      <c r="H22878" s="56"/>
      <c r="I22878" s="224"/>
    </row>
    <row r="22879" spans="1:9" x14ac:dyDescent="0.25">
      <c r="A22879" s="515">
        <v>67566</v>
      </c>
      <c r="B22879" s="515" t="s">
        <v>700</v>
      </c>
      <c r="C22879" s="52">
        <v>144979.26460244699</v>
      </c>
      <c r="D22879" s="56">
        <v>9.9841964526418969E-2</v>
      </c>
      <c r="E22879" s="224" t="s">
        <v>2</v>
      </c>
      <c r="G22879" s="52"/>
      <c r="H22879" s="56"/>
      <c r="I22879" s="224"/>
    </row>
    <row r="22880" spans="1:9" x14ac:dyDescent="0.25">
      <c r="A22880" s="515">
        <v>26141</v>
      </c>
      <c r="C22880" s="52">
        <v>93524.413793103406</v>
      </c>
      <c r="D22880" s="56">
        <v>0</v>
      </c>
      <c r="E22880" s="224" t="s">
        <v>2</v>
      </c>
      <c r="G22880" s="52"/>
      <c r="H22880" s="56"/>
      <c r="I22880" s="224"/>
    </row>
    <row r="22881" spans="1:9" x14ac:dyDescent="0.25">
      <c r="A22881" s="515">
        <v>22511</v>
      </c>
      <c r="C22881" s="52">
        <v>362867.961775326</v>
      </c>
      <c r="D22881" s="56">
        <v>4.2678592104572387E-2</v>
      </c>
      <c r="E22881" s="224" t="s">
        <v>2</v>
      </c>
      <c r="G22881" s="52"/>
      <c r="H22881" s="56"/>
      <c r="I22881" s="224"/>
    </row>
    <row r="22882" spans="1:9" x14ac:dyDescent="0.25">
      <c r="A22882" s="515">
        <v>50071</v>
      </c>
      <c r="C22882" s="52">
        <v>87460.830618429594</v>
      </c>
      <c r="D22882" s="56">
        <v>0.13251159266097204</v>
      </c>
      <c r="E22882" s="224" t="s">
        <v>2</v>
      </c>
      <c r="G22882" s="52"/>
      <c r="H22882" s="56"/>
      <c r="I22882" s="224"/>
    </row>
    <row r="22883" spans="1:9" x14ac:dyDescent="0.25">
      <c r="A22883" s="515">
        <v>45001</v>
      </c>
      <c r="B22883" s="515" t="s">
        <v>344</v>
      </c>
      <c r="C22883" s="52">
        <v>89083.605675267798</v>
      </c>
      <c r="D22883" s="56">
        <v>0.25454209948452439</v>
      </c>
      <c r="E22883" s="224" t="s">
        <v>2</v>
      </c>
      <c r="G22883" s="52"/>
      <c r="H22883" s="56"/>
      <c r="I22883" s="224"/>
    </row>
    <row r="22884" spans="1:9" x14ac:dyDescent="0.25">
      <c r="A22884" s="515">
        <v>41257</v>
      </c>
      <c r="C22884" s="52">
        <v>119882.944441602</v>
      </c>
      <c r="D22884" s="56">
        <v>5.2529876095683999E-2</v>
      </c>
      <c r="E22884" s="224" t="s">
        <v>2</v>
      </c>
      <c r="G22884" s="52"/>
      <c r="H22884" s="56"/>
      <c r="I22884" s="224"/>
    </row>
    <row r="22885" spans="1:9" x14ac:dyDescent="0.25">
      <c r="A22885" s="515">
        <v>23879</v>
      </c>
      <c r="C22885" s="52">
        <v>143471.751727075</v>
      </c>
      <c r="D22885" s="56">
        <v>7.155771738424245E-2</v>
      </c>
      <c r="E22885" s="224" t="s">
        <v>2</v>
      </c>
      <c r="G22885" s="52"/>
      <c r="H22885" s="56"/>
      <c r="I22885" s="224"/>
    </row>
    <row r="22886" spans="1:9" x14ac:dyDescent="0.25">
      <c r="A22886" s="515">
        <v>88039</v>
      </c>
      <c r="C22886" s="52">
        <v>194901.09677419299</v>
      </c>
      <c r="D22886" s="56">
        <v>0</v>
      </c>
      <c r="E22886" s="224" t="s">
        <v>2</v>
      </c>
      <c r="G22886" s="52"/>
      <c r="H22886" s="56"/>
      <c r="I22886" s="224"/>
    </row>
    <row r="22887" spans="1:9" x14ac:dyDescent="0.25">
      <c r="A22887" s="515">
        <v>25244</v>
      </c>
      <c r="B22887" s="515" t="s">
        <v>322</v>
      </c>
      <c r="C22887" s="52">
        <v>147634.59463949699</v>
      </c>
      <c r="D22887" s="56">
        <v>-9.7235275214065785E-3</v>
      </c>
      <c r="E22887" s="224" t="s">
        <v>2</v>
      </c>
      <c r="G22887" s="52"/>
      <c r="H22887" s="56"/>
      <c r="I22887" s="224"/>
    </row>
    <row r="22888" spans="1:9" x14ac:dyDescent="0.25">
      <c r="A22888" s="515">
        <v>98830</v>
      </c>
      <c r="B22888" s="515" t="s">
        <v>521</v>
      </c>
      <c r="C22888" s="52">
        <v>222812.79190913599</v>
      </c>
      <c r="D22888" s="56">
        <v>0.11516907156692371</v>
      </c>
      <c r="E22888" s="224" t="s">
        <v>2</v>
      </c>
      <c r="G22888" s="52"/>
      <c r="H22888" s="56"/>
      <c r="I22888" s="224"/>
    </row>
    <row r="22889" spans="1:9" x14ac:dyDescent="0.25">
      <c r="A22889" s="515">
        <v>68741</v>
      </c>
      <c r="B22889" s="515" t="s">
        <v>649</v>
      </c>
      <c r="C22889" s="52">
        <v>309331.01888693299</v>
      </c>
      <c r="D22889" s="56">
        <v>0.1731209840287633</v>
      </c>
      <c r="E22889" s="224" t="s">
        <v>2</v>
      </c>
      <c r="G22889" s="52"/>
      <c r="H22889" s="56"/>
      <c r="I22889" s="224"/>
    </row>
    <row r="22890" spans="1:9" x14ac:dyDescent="0.25">
      <c r="A22890" s="515">
        <v>38543</v>
      </c>
      <c r="B22890" s="515" t="s">
        <v>833</v>
      </c>
      <c r="C22890" s="52">
        <v>184320.91273276301</v>
      </c>
      <c r="D22890" s="56">
        <v>0</v>
      </c>
      <c r="E22890" s="224" t="s">
        <v>2</v>
      </c>
      <c r="G22890" s="52"/>
      <c r="H22890" s="56"/>
      <c r="I22890" s="224"/>
    </row>
    <row r="22891" spans="1:9" x14ac:dyDescent="0.25">
      <c r="A22891" s="515">
        <v>50542</v>
      </c>
      <c r="C22891" s="52">
        <v>121113.13194005701</v>
      </c>
      <c r="D22891" s="56">
        <v>0</v>
      </c>
      <c r="E22891" s="224" t="s">
        <v>2</v>
      </c>
      <c r="G22891" s="52"/>
      <c r="H22891" s="56"/>
      <c r="I22891" s="224"/>
    </row>
    <row r="22892" spans="1:9" x14ac:dyDescent="0.25">
      <c r="A22892" s="515">
        <v>15623</v>
      </c>
      <c r="B22892" s="515" t="s">
        <v>297</v>
      </c>
      <c r="C22892" s="52">
        <v>136949.45089610599</v>
      </c>
      <c r="D22892" s="56">
        <v>3.5181934651405708E-3</v>
      </c>
      <c r="E22892" s="224" t="s">
        <v>2</v>
      </c>
      <c r="G22892" s="52"/>
      <c r="H22892" s="56"/>
      <c r="I22892" s="224"/>
    </row>
    <row r="22893" spans="1:9" x14ac:dyDescent="0.25">
      <c r="A22893" s="515">
        <v>70631</v>
      </c>
      <c r="B22893" s="515" t="s">
        <v>696</v>
      </c>
      <c r="C22893" s="52">
        <v>184668.13701479801</v>
      </c>
      <c r="D22893" s="56">
        <v>0.13233710936432352</v>
      </c>
      <c r="E22893" s="224" t="s">
        <v>2</v>
      </c>
      <c r="G22893" s="52"/>
      <c r="H22893" s="56"/>
      <c r="I22893" s="224"/>
    </row>
    <row r="22894" spans="1:9" x14ac:dyDescent="0.25">
      <c r="A22894" s="515">
        <v>26346</v>
      </c>
      <c r="C22894" s="52">
        <v>100908.31351941099</v>
      </c>
      <c r="D22894" s="56">
        <v>5.6320665324387259E-2</v>
      </c>
      <c r="E22894" s="224" t="s">
        <v>2</v>
      </c>
      <c r="G22894" s="52"/>
      <c r="H22894" s="56"/>
      <c r="I22894" s="224"/>
    </row>
    <row r="22895" spans="1:9" x14ac:dyDescent="0.25">
      <c r="A22895" s="515">
        <v>73151</v>
      </c>
      <c r="B22895" s="515" t="s">
        <v>385</v>
      </c>
      <c r="C22895" s="52">
        <v>555507.77910480194</v>
      </c>
      <c r="D22895" s="56">
        <v>7.7104133745992925E-2</v>
      </c>
      <c r="E22895" s="224" t="s">
        <v>2</v>
      </c>
      <c r="G22895" s="52"/>
      <c r="H22895" s="56"/>
      <c r="I22895" s="224"/>
    </row>
    <row r="22896" spans="1:9" x14ac:dyDescent="0.25">
      <c r="A22896" s="515">
        <v>63631</v>
      </c>
      <c r="C22896" s="52">
        <v>176184.79980369299</v>
      </c>
      <c r="D22896" s="56">
        <v>7.9254994945675408E-2</v>
      </c>
      <c r="E22896" s="224" t="s">
        <v>2</v>
      </c>
      <c r="G22896" s="52"/>
      <c r="H22896" s="56"/>
      <c r="I22896" s="224"/>
    </row>
    <row r="22897" spans="1:9" x14ac:dyDescent="0.25">
      <c r="A22897" s="515">
        <v>83839</v>
      </c>
      <c r="C22897" s="52">
        <v>385548.191991659</v>
      </c>
      <c r="D22897" s="56">
        <v>2.7059804475363151E-2</v>
      </c>
      <c r="E22897" s="224" t="s">
        <v>2</v>
      </c>
      <c r="G22897" s="52"/>
      <c r="H22897" s="56"/>
      <c r="I22897" s="224"/>
    </row>
    <row r="22898" spans="1:9" x14ac:dyDescent="0.25">
      <c r="A22898" s="515">
        <v>1222</v>
      </c>
      <c r="B22898" s="515" t="s">
        <v>497</v>
      </c>
      <c r="C22898" s="52">
        <v>349990.38273317402</v>
      </c>
      <c r="D22898" s="56">
        <v>8.588305798165756E-2</v>
      </c>
      <c r="E22898" s="224" t="s">
        <v>2</v>
      </c>
      <c r="G22898" s="52"/>
      <c r="H22898" s="56"/>
      <c r="I22898" s="224"/>
    </row>
    <row r="22899" spans="1:9" x14ac:dyDescent="0.25">
      <c r="A22899" s="515">
        <v>68004</v>
      </c>
      <c r="C22899" s="52">
        <v>177456.40788749</v>
      </c>
      <c r="D22899" s="56">
        <v>9.1655900015184366E-2</v>
      </c>
      <c r="E22899" s="224" t="s">
        <v>2</v>
      </c>
      <c r="G22899" s="52"/>
      <c r="H22899" s="56"/>
      <c r="I22899" s="224"/>
    </row>
    <row r="22900" spans="1:9" x14ac:dyDescent="0.25">
      <c r="A22900" s="515">
        <v>67342</v>
      </c>
      <c r="B22900" s="515" t="s">
        <v>656</v>
      </c>
      <c r="C22900" s="52">
        <v>113067.943715987</v>
      </c>
      <c r="D22900" s="56">
        <v>0.1403837214953311</v>
      </c>
      <c r="E22900" s="224" t="s">
        <v>2</v>
      </c>
      <c r="G22900" s="52"/>
      <c r="H22900" s="56"/>
      <c r="I22900" s="224"/>
    </row>
    <row r="22901" spans="1:9" x14ac:dyDescent="0.25">
      <c r="A22901" s="515">
        <v>15451</v>
      </c>
      <c r="B22901" s="515" t="s">
        <v>297</v>
      </c>
      <c r="C22901" s="52">
        <v>99677.868691760101</v>
      </c>
      <c r="D22901" s="56">
        <v>3.2960611815252824E-2</v>
      </c>
      <c r="E22901" s="224" t="s">
        <v>2</v>
      </c>
      <c r="G22901" s="52"/>
      <c r="H22901" s="56"/>
      <c r="I22901" s="224"/>
    </row>
    <row r="22902" spans="1:9" x14ac:dyDescent="0.25">
      <c r="A22902" s="515">
        <v>6023</v>
      </c>
      <c r="B22902" s="515" t="s">
        <v>894</v>
      </c>
      <c r="C22902" s="52">
        <v>328236.20592297497</v>
      </c>
      <c r="D22902" s="56">
        <v>7.329462579274286E-2</v>
      </c>
      <c r="E22902" s="224" t="s">
        <v>2</v>
      </c>
      <c r="G22902" s="52"/>
      <c r="H22902" s="56"/>
      <c r="I22902" s="224"/>
    </row>
    <row r="22903" spans="1:9" x14ac:dyDescent="0.25">
      <c r="A22903" s="515">
        <v>70397</v>
      </c>
      <c r="B22903" s="515" t="s">
        <v>898</v>
      </c>
      <c r="C22903" s="52">
        <v>132611.53033121201</v>
      </c>
      <c r="D22903" s="56">
        <v>-5.417709736665248E-2</v>
      </c>
      <c r="E22903" s="224" t="s">
        <v>2</v>
      </c>
      <c r="G22903" s="52"/>
      <c r="H22903" s="56"/>
      <c r="I22903" s="224"/>
    </row>
    <row r="22904" spans="1:9" x14ac:dyDescent="0.25">
      <c r="A22904" s="515">
        <v>51465</v>
      </c>
      <c r="C22904" s="52">
        <v>138541.35041195701</v>
      </c>
      <c r="D22904" s="56">
        <v>0.22481538422485184</v>
      </c>
      <c r="E22904" s="224" t="s">
        <v>2</v>
      </c>
      <c r="G22904" s="52"/>
      <c r="H22904" s="56"/>
      <c r="I22904" s="224"/>
    </row>
    <row r="22905" spans="1:9" x14ac:dyDescent="0.25">
      <c r="A22905" s="515">
        <v>82523</v>
      </c>
      <c r="B22905" s="515" t="s">
        <v>308</v>
      </c>
      <c r="C22905" s="52">
        <v>308073.034944151</v>
      </c>
      <c r="D22905" s="56">
        <v>0.1875555919932039</v>
      </c>
      <c r="E22905" s="224" t="s">
        <v>2</v>
      </c>
      <c r="G22905" s="52"/>
      <c r="H22905" s="56"/>
      <c r="I22905" s="224"/>
    </row>
    <row r="22906" spans="1:9" x14ac:dyDescent="0.25">
      <c r="A22906" s="515">
        <v>74531</v>
      </c>
      <c r="C22906" s="52">
        <v>114702.393325942</v>
      </c>
      <c r="D22906" s="56">
        <v>8.4191476036387602E-2</v>
      </c>
      <c r="E22906" s="224" t="s">
        <v>2</v>
      </c>
      <c r="G22906" s="52"/>
      <c r="H22906" s="56"/>
      <c r="I22906" s="224"/>
    </row>
    <row r="22907" spans="1:9" x14ac:dyDescent="0.25">
      <c r="A22907" s="515">
        <v>52133</v>
      </c>
      <c r="C22907" s="52">
        <v>200754.78155348799</v>
      </c>
      <c r="D22907" s="56">
        <v>0</v>
      </c>
      <c r="E22907" s="224" t="s">
        <v>2</v>
      </c>
      <c r="G22907" s="52"/>
      <c r="H22907" s="56"/>
      <c r="I22907" s="224"/>
    </row>
    <row r="22908" spans="1:9" x14ac:dyDescent="0.25">
      <c r="A22908" s="515">
        <v>26320</v>
      </c>
      <c r="C22908" s="52">
        <v>106416.079779961</v>
      </c>
      <c r="D22908" s="56">
        <v>0.20893715034008403</v>
      </c>
      <c r="E22908" s="224" t="s">
        <v>2</v>
      </c>
      <c r="G22908" s="52"/>
      <c r="H22908" s="56"/>
      <c r="I22908" s="224"/>
    </row>
    <row r="22909" spans="1:9" x14ac:dyDescent="0.25">
      <c r="A22909" s="515">
        <v>80474</v>
      </c>
      <c r="B22909" s="515" t="s">
        <v>401</v>
      </c>
      <c r="C22909" s="52">
        <v>526265.95707172703</v>
      </c>
      <c r="D22909" s="56">
        <v>8.5252910816053282E-2</v>
      </c>
      <c r="E22909" s="224" t="s">
        <v>2</v>
      </c>
      <c r="G22909" s="52"/>
      <c r="H22909" s="56"/>
      <c r="I22909" s="224"/>
    </row>
    <row r="22910" spans="1:9" x14ac:dyDescent="0.25">
      <c r="A22910" s="515">
        <v>61917</v>
      </c>
      <c r="C22910" s="52">
        <v>50153.244335486597</v>
      </c>
      <c r="D22910" s="56">
        <v>-9.1443723238011337E-2</v>
      </c>
      <c r="E22910" s="224" t="s">
        <v>2</v>
      </c>
      <c r="G22910" s="52"/>
      <c r="H22910" s="56"/>
      <c r="I22910" s="224"/>
    </row>
    <row r="22911" spans="1:9" x14ac:dyDescent="0.25">
      <c r="A22911" s="515">
        <v>59024</v>
      </c>
      <c r="C22911" s="52">
        <v>353709.694243901</v>
      </c>
      <c r="D22911" s="56">
        <v>0.20405813237407414</v>
      </c>
      <c r="E22911" s="224" t="s">
        <v>2</v>
      </c>
      <c r="G22911" s="52"/>
      <c r="H22911" s="56"/>
      <c r="I22911" s="224"/>
    </row>
    <row r="22912" spans="1:9" x14ac:dyDescent="0.25">
      <c r="A22912" s="515">
        <v>65061</v>
      </c>
      <c r="C22912" s="52">
        <v>120145.91374977199</v>
      </c>
      <c r="D22912" s="56">
        <v>0.10300641811233803</v>
      </c>
      <c r="E22912" s="224" t="s">
        <v>2</v>
      </c>
      <c r="G22912" s="52"/>
      <c r="H22912" s="56"/>
      <c r="I22912" s="224"/>
    </row>
    <row r="22913" spans="1:9" x14ac:dyDescent="0.25">
      <c r="A22913" s="515">
        <v>76486</v>
      </c>
      <c r="C22913" s="52">
        <v>277875.52589613898</v>
      </c>
      <c r="D22913" s="56">
        <v>0</v>
      </c>
      <c r="E22913" s="224" t="s">
        <v>2</v>
      </c>
      <c r="G22913" s="52"/>
      <c r="H22913" s="56"/>
      <c r="I22913" s="224"/>
    </row>
    <row r="22914" spans="1:9" x14ac:dyDescent="0.25">
      <c r="A22914" s="515">
        <v>4551</v>
      </c>
      <c r="C22914" s="52">
        <v>422577.09294736403</v>
      </c>
      <c r="D22914" s="56">
        <v>8.216708920786181E-2</v>
      </c>
      <c r="E22914" s="224" t="s">
        <v>2</v>
      </c>
      <c r="G22914" s="52"/>
      <c r="H22914" s="56"/>
      <c r="I22914" s="224"/>
    </row>
    <row r="22915" spans="1:9" x14ac:dyDescent="0.25">
      <c r="A22915" s="515">
        <v>96148</v>
      </c>
      <c r="B22915" s="515" t="s">
        <v>355</v>
      </c>
      <c r="C22915" s="52">
        <v>810167.095110539</v>
      </c>
      <c r="D22915" s="56">
        <v>2.3823114666191702E-2</v>
      </c>
      <c r="E22915" s="224" t="s">
        <v>2</v>
      </c>
      <c r="G22915" s="52"/>
      <c r="H22915" s="56"/>
      <c r="I22915" s="224"/>
    </row>
    <row r="22916" spans="1:9" x14ac:dyDescent="0.25">
      <c r="A22916" s="515">
        <v>80815</v>
      </c>
      <c r="C22916" s="52">
        <v>217256.40161759401</v>
      </c>
      <c r="D22916" s="56">
        <v>8.1183067738931872E-2</v>
      </c>
      <c r="E22916" s="224" t="s">
        <v>2</v>
      </c>
      <c r="G22916" s="52"/>
      <c r="H22916" s="56"/>
      <c r="I22916" s="224"/>
    </row>
    <row r="22917" spans="1:9" x14ac:dyDescent="0.25">
      <c r="A22917" s="515">
        <v>59928</v>
      </c>
      <c r="B22917" s="515" t="s">
        <v>459</v>
      </c>
      <c r="C22917" s="52">
        <v>562189.59696387197</v>
      </c>
      <c r="D22917" s="56">
        <v>0.20700197835071465</v>
      </c>
      <c r="E22917" s="224" t="s">
        <v>2</v>
      </c>
      <c r="G22917" s="52"/>
      <c r="H22917" s="56"/>
      <c r="I22917" s="224"/>
    </row>
    <row r="22918" spans="1:9" x14ac:dyDescent="0.25">
      <c r="A22918" s="515">
        <v>5847</v>
      </c>
      <c r="C22918" s="52">
        <v>197384.74429577999</v>
      </c>
      <c r="D22918" s="56">
        <v>0.11226119790325031</v>
      </c>
      <c r="E22918" s="224" t="s">
        <v>2</v>
      </c>
      <c r="G22918" s="52"/>
      <c r="H22918" s="56"/>
      <c r="I22918" s="224"/>
    </row>
    <row r="22919" spans="1:9" x14ac:dyDescent="0.25">
      <c r="A22919" s="515">
        <v>50055</v>
      </c>
      <c r="B22919" s="515" t="s">
        <v>568</v>
      </c>
      <c r="C22919" s="52">
        <v>206317.94254095099</v>
      </c>
      <c r="D22919" s="56">
        <v>0.1129461664303178</v>
      </c>
      <c r="E22919" s="224" t="s">
        <v>2</v>
      </c>
      <c r="G22919" s="52"/>
      <c r="H22919" s="56"/>
      <c r="I22919" s="224"/>
    </row>
    <row r="22920" spans="1:9" x14ac:dyDescent="0.25">
      <c r="A22920" s="515">
        <v>64436</v>
      </c>
      <c r="B22920" s="515" t="s">
        <v>371</v>
      </c>
      <c r="C22920" s="52">
        <v>200794.792119119</v>
      </c>
      <c r="D22920" s="56">
        <v>4.7776041888206201E-2</v>
      </c>
      <c r="E22920" s="224" t="s">
        <v>2</v>
      </c>
      <c r="G22920" s="52"/>
      <c r="H22920" s="56"/>
      <c r="I22920" s="224"/>
    </row>
    <row r="22921" spans="1:9" x14ac:dyDescent="0.25">
      <c r="A22921" s="515">
        <v>59524</v>
      </c>
      <c r="C22921" s="52">
        <v>244769.14611244801</v>
      </c>
      <c r="D22921" s="56">
        <v>-8.0608227816669736E-2</v>
      </c>
      <c r="E22921" s="224" t="s">
        <v>2</v>
      </c>
      <c r="G22921" s="52"/>
      <c r="H22921" s="56"/>
      <c r="I22921" s="224"/>
    </row>
    <row r="22922" spans="1:9" x14ac:dyDescent="0.25">
      <c r="A22922" s="515">
        <v>12480</v>
      </c>
      <c r="B22922" s="515" t="s">
        <v>307</v>
      </c>
      <c r="C22922" s="52">
        <v>314128.28398655902</v>
      </c>
      <c r="D22922" s="56">
        <v>8.8066683888383526E-2</v>
      </c>
      <c r="E22922" s="224" t="s">
        <v>2</v>
      </c>
      <c r="G22922" s="52"/>
      <c r="H22922" s="56"/>
      <c r="I22922" s="224"/>
    </row>
    <row r="22923" spans="1:9" x14ac:dyDescent="0.25">
      <c r="A22923" s="515">
        <v>52146</v>
      </c>
      <c r="C22923" s="52">
        <v>223078.965074746</v>
      </c>
      <c r="D22923" s="56">
        <v>0.1336156005513261</v>
      </c>
      <c r="E22923" s="224" t="s">
        <v>2</v>
      </c>
      <c r="G22923" s="52"/>
      <c r="H22923" s="56"/>
      <c r="I22923" s="224"/>
    </row>
    <row r="22924" spans="1:9" x14ac:dyDescent="0.25">
      <c r="A22924" s="515">
        <v>36373</v>
      </c>
      <c r="B22924" s="515" t="s">
        <v>816</v>
      </c>
      <c r="C22924" s="52">
        <v>114392.370364991</v>
      </c>
      <c r="D22924" s="56">
        <v>3.7338444074631262E-3</v>
      </c>
      <c r="E22924" s="224" t="s">
        <v>2</v>
      </c>
      <c r="G22924" s="52"/>
      <c r="H22924" s="56"/>
      <c r="I22924" s="224"/>
    </row>
    <row r="22925" spans="1:9" x14ac:dyDescent="0.25">
      <c r="A22925" s="515">
        <v>50557</v>
      </c>
      <c r="B22925" s="515" t="s">
        <v>670</v>
      </c>
      <c r="C22925" s="52">
        <v>110478.734690597</v>
      </c>
      <c r="D22925" s="56">
        <v>0.11771915997248909</v>
      </c>
      <c r="E22925" s="224" t="s">
        <v>2</v>
      </c>
      <c r="G22925" s="52"/>
      <c r="H22925" s="56"/>
      <c r="I22925" s="224"/>
    </row>
    <row r="22926" spans="1:9" x14ac:dyDescent="0.25">
      <c r="A22926" s="515">
        <v>56138</v>
      </c>
      <c r="C22926" s="52">
        <v>192329.27222803899</v>
      </c>
      <c r="D22926" s="56">
        <v>4.1099214433418393E-2</v>
      </c>
      <c r="E22926" s="224" t="s">
        <v>2</v>
      </c>
      <c r="G22926" s="52"/>
      <c r="H22926" s="56"/>
      <c r="I22926" s="224"/>
    </row>
    <row r="22927" spans="1:9" x14ac:dyDescent="0.25">
      <c r="A22927" s="515">
        <v>54027</v>
      </c>
      <c r="B22927" s="515" t="s">
        <v>532</v>
      </c>
      <c r="C22927" s="52">
        <v>282694.55564422603</v>
      </c>
      <c r="D22927" s="56">
        <v>3.3966801477692578E-2</v>
      </c>
      <c r="E22927" s="224" t="s">
        <v>2</v>
      </c>
      <c r="G22927" s="52"/>
      <c r="H22927" s="56"/>
      <c r="I22927" s="224"/>
    </row>
    <row r="22928" spans="1:9" x14ac:dyDescent="0.25">
      <c r="A22928" s="515">
        <v>97812</v>
      </c>
      <c r="C22928" s="52">
        <v>264275.725079539</v>
      </c>
      <c r="D22928" s="56">
        <v>7.0747135606444952E-2</v>
      </c>
      <c r="E22928" s="224" t="s">
        <v>2</v>
      </c>
      <c r="G22928" s="52"/>
      <c r="H22928" s="56"/>
      <c r="I22928" s="224"/>
    </row>
    <row r="22929" spans="1:9" x14ac:dyDescent="0.25">
      <c r="A22929" s="515">
        <v>56447</v>
      </c>
      <c r="B22929" s="515" t="s">
        <v>674</v>
      </c>
      <c r="C22929" s="52">
        <v>294012.95711087802</v>
      </c>
      <c r="D22929" s="56">
        <v>0.15022506700422636</v>
      </c>
      <c r="E22929" s="224" t="s">
        <v>2</v>
      </c>
      <c r="G22929" s="52"/>
      <c r="H22929" s="56"/>
      <c r="I22929" s="224"/>
    </row>
    <row r="22930" spans="1:9" x14ac:dyDescent="0.25">
      <c r="A22930" s="515">
        <v>1270</v>
      </c>
      <c r="B22930" s="515" t="s">
        <v>497</v>
      </c>
      <c r="C22930" s="52">
        <v>315025.45878164301</v>
      </c>
      <c r="D22930" s="56">
        <v>8.9070820342011026E-2</v>
      </c>
      <c r="E22930" s="224" t="s">
        <v>2</v>
      </c>
      <c r="G22930" s="52"/>
      <c r="H22930" s="56"/>
      <c r="I22930" s="224"/>
    </row>
    <row r="22931" spans="1:9" x14ac:dyDescent="0.25">
      <c r="A22931" s="515">
        <v>76519</v>
      </c>
      <c r="B22931" s="515" t="s">
        <v>859</v>
      </c>
      <c r="C22931" s="52">
        <v>294525.018437294</v>
      </c>
      <c r="D22931" s="56">
        <v>0</v>
      </c>
      <c r="E22931" s="224" t="s">
        <v>2</v>
      </c>
      <c r="G22931" s="52"/>
      <c r="H22931" s="56"/>
      <c r="I22931" s="224"/>
    </row>
    <row r="22932" spans="1:9" x14ac:dyDescent="0.25">
      <c r="A22932" s="515">
        <v>62268</v>
      </c>
      <c r="C22932" s="52">
        <v>137267.230692777</v>
      </c>
      <c r="D22932" s="56">
        <v>0.10361416804301303</v>
      </c>
      <c r="E22932" s="224" t="s">
        <v>2</v>
      </c>
      <c r="G22932" s="52"/>
      <c r="H22932" s="56"/>
      <c r="I22932" s="224"/>
    </row>
    <row r="22933" spans="1:9" x14ac:dyDescent="0.25">
      <c r="A22933" s="515">
        <v>80438</v>
      </c>
      <c r="B22933" s="515" t="s">
        <v>401</v>
      </c>
      <c r="C22933" s="52">
        <v>406824.93825323699</v>
      </c>
      <c r="D22933" s="56">
        <v>8.5949579218388653E-2</v>
      </c>
      <c r="E22933" s="224" t="s">
        <v>2</v>
      </c>
      <c r="G22933" s="52"/>
      <c r="H22933" s="56"/>
      <c r="I22933" s="224"/>
    </row>
    <row r="22934" spans="1:9" x14ac:dyDescent="0.25">
      <c r="A22934" s="515">
        <v>46133</v>
      </c>
      <c r="C22934" s="52">
        <v>158066.44463700999</v>
      </c>
      <c r="D22934" s="56">
        <v>8.468280956673889E-2</v>
      </c>
      <c r="E22934" s="224" t="s">
        <v>2</v>
      </c>
      <c r="G22934" s="52"/>
      <c r="H22934" s="56"/>
      <c r="I22934" s="224"/>
    </row>
    <row r="22935" spans="1:9" x14ac:dyDescent="0.25">
      <c r="A22935" s="515">
        <v>75435</v>
      </c>
      <c r="B22935" s="515" t="s">
        <v>921</v>
      </c>
      <c r="C22935" s="52">
        <v>145698.78830772301</v>
      </c>
      <c r="D22935" s="56">
        <v>3.5292163093487559E-2</v>
      </c>
      <c r="E22935" s="224" t="s">
        <v>2</v>
      </c>
      <c r="G22935" s="52"/>
      <c r="H22935" s="56"/>
      <c r="I22935" s="224"/>
    </row>
    <row r="22936" spans="1:9" x14ac:dyDescent="0.25">
      <c r="A22936" s="515">
        <v>98280</v>
      </c>
      <c r="C22936" s="52">
        <v>906212.10813428496</v>
      </c>
      <c r="D22936" s="56">
        <v>5.3541401611488645E-3</v>
      </c>
      <c r="E22936" s="224" t="s">
        <v>2</v>
      </c>
      <c r="G22936" s="52"/>
      <c r="H22936" s="56"/>
      <c r="I22936" s="224"/>
    </row>
    <row r="22937" spans="1:9" x14ac:dyDescent="0.25">
      <c r="A22937" s="515">
        <v>74766</v>
      </c>
      <c r="C22937" s="52">
        <v>122406.95554389599</v>
      </c>
      <c r="D22937" s="56">
        <v>0.14151174032755634</v>
      </c>
      <c r="E22937" s="224" t="s">
        <v>2</v>
      </c>
      <c r="G22937" s="52"/>
      <c r="H22937" s="56"/>
      <c r="I22937" s="224"/>
    </row>
    <row r="22938" spans="1:9" x14ac:dyDescent="0.25">
      <c r="A22938" s="515">
        <v>37219</v>
      </c>
      <c r="B22938" s="515" t="s">
        <v>684</v>
      </c>
      <c r="C22938" s="52">
        <v>467820.70129339199</v>
      </c>
      <c r="D22938" s="56">
        <v>8.1670278938215227E-2</v>
      </c>
      <c r="E22938" s="224">
        <v>1976.94444444444</v>
      </c>
      <c r="G22938" s="52"/>
      <c r="H22938" s="56"/>
      <c r="I22938" s="224"/>
    </row>
    <row r="22939" spans="1:9" x14ac:dyDescent="0.25">
      <c r="A22939" s="515">
        <v>5821</v>
      </c>
      <c r="C22939" s="52">
        <v>280641.25552764599</v>
      </c>
      <c r="D22939" s="56">
        <v>0.10265190041892981</v>
      </c>
      <c r="E22939" s="224" t="s">
        <v>2</v>
      </c>
      <c r="G22939" s="52"/>
      <c r="H22939" s="56"/>
      <c r="I22939" s="224"/>
    </row>
    <row r="22940" spans="1:9" x14ac:dyDescent="0.25">
      <c r="A22940" s="515">
        <v>46346</v>
      </c>
      <c r="B22940" s="515" t="s">
        <v>944</v>
      </c>
      <c r="C22940" s="52">
        <v>112196.732118582</v>
      </c>
      <c r="D22940" s="56">
        <v>0.19061795070700333</v>
      </c>
      <c r="E22940" s="224" t="s">
        <v>2</v>
      </c>
      <c r="G22940" s="52"/>
      <c r="H22940" s="56"/>
      <c r="I22940" s="224"/>
    </row>
    <row r="22941" spans="1:9" x14ac:dyDescent="0.25">
      <c r="A22941" s="515">
        <v>21723</v>
      </c>
      <c r="B22941" s="515" t="s">
        <v>582</v>
      </c>
      <c r="C22941" s="52">
        <v>765462.47339894099</v>
      </c>
      <c r="D22941" s="56">
        <v>2.9473662430138568E-2</v>
      </c>
      <c r="E22941" s="224" t="s">
        <v>2</v>
      </c>
      <c r="G22941" s="52"/>
      <c r="H22941" s="56"/>
      <c r="I22941" s="224"/>
    </row>
    <row r="22942" spans="1:9" x14ac:dyDescent="0.25">
      <c r="A22942" s="515">
        <v>54512</v>
      </c>
      <c r="C22942" s="52">
        <v>354315.96540904703</v>
      </c>
      <c r="D22942" s="56">
        <v>4.8353820434796156E-2</v>
      </c>
      <c r="E22942" s="224" t="s">
        <v>2</v>
      </c>
      <c r="G22942" s="52"/>
      <c r="H22942" s="56"/>
      <c r="I22942" s="224"/>
    </row>
    <row r="22943" spans="1:9" x14ac:dyDescent="0.25">
      <c r="A22943" s="515">
        <v>52651</v>
      </c>
      <c r="C22943" s="52">
        <v>133270.28228049501</v>
      </c>
      <c r="D22943" s="56">
        <v>0.19195900248956616</v>
      </c>
      <c r="E22943" s="224" t="s">
        <v>2</v>
      </c>
      <c r="G22943" s="52"/>
      <c r="H22943" s="56"/>
      <c r="I22943" s="224"/>
    </row>
    <row r="22944" spans="1:9" x14ac:dyDescent="0.25">
      <c r="A22944" s="515">
        <v>24853</v>
      </c>
      <c r="C22944" s="52">
        <v>28809.767949613601</v>
      </c>
      <c r="D22944" s="56">
        <v>0.12972530912331684</v>
      </c>
      <c r="E22944" s="224" t="s">
        <v>2</v>
      </c>
      <c r="G22944" s="52"/>
      <c r="H22944" s="56"/>
      <c r="I22944" s="224"/>
    </row>
    <row r="22945" spans="1:9" x14ac:dyDescent="0.25">
      <c r="A22945" s="515">
        <v>4961</v>
      </c>
      <c r="C22945" s="52">
        <v>185139.756667045</v>
      </c>
      <c r="D22945" s="56">
        <v>0.16840089543456827</v>
      </c>
      <c r="E22945" s="224" t="s">
        <v>2</v>
      </c>
      <c r="G22945" s="52"/>
      <c r="H22945" s="56"/>
      <c r="I22945" s="224"/>
    </row>
    <row r="22946" spans="1:9" x14ac:dyDescent="0.25">
      <c r="A22946" s="515">
        <v>56349</v>
      </c>
      <c r="C22946" s="52">
        <v>231178.37179468901</v>
      </c>
      <c r="D22946" s="56">
        <v>2.6117644883371545E-2</v>
      </c>
      <c r="E22946" s="224" t="s">
        <v>2</v>
      </c>
      <c r="G22946" s="52"/>
      <c r="H22946" s="56"/>
      <c r="I22946" s="224"/>
    </row>
    <row r="22947" spans="1:9" x14ac:dyDescent="0.25">
      <c r="A22947" s="515">
        <v>5252</v>
      </c>
      <c r="B22947" s="515" t="s">
        <v>657</v>
      </c>
      <c r="C22947" s="52">
        <v>307183.69565217302</v>
      </c>
      <c r="D22947" s="56">
        <v>0</v>
      </c>
      <c r="E22947" s="224" t="s">
        <v>2</v>
      </c>
      <c r="G22947" s="52"/>
      <c r="H22947" s="56"/>
      <c r="I22947" s="224"/>
    </row>
    <row r="22948" spans="1:9" x14ac:dyDescent="0.25">
      <c r="A22948" s="515">
        <v>20608</v>
      </c>
      <c r="B22948" s="515" t="s">
        <v>321</v>
      </c>
      <c r="C22948" s="52">
        <v>341238.69575136801</v>
      </c>
      <c r="D22948" s="56">
        <v>-1.685057998636854E-2</v>
      </c>
      <c r="E22948" s="224" t="s">
        <v>2</v>
      </c>
      <c r="G22948" s="52"/>
      <c r="H22948" s="56"/>
      <c r="I22948" s="224"/>
    </row>
    <row r="22949" spans="1:9" x14ac:dyDescent="0.25">
      <c r="A22949" s="515">
        <v>23050</v>
      </c>
      <c r="B22949" s="515" t="s">
        <v>301</v>
      </c>
      <c r="C22949" s="52">
        <v>266507.50183015998</v>
      </c>
      <c r="D22949" s="56">
        <v>3.7196099252892939E-2</v>
      </c>
      <c r="E22949" s="224" t="s">
        <v>2</v>
      </c>
      <c r="G22949" s="52"/>
      <c r="H22949" s="56"/>
      <c r="I22949" s="224"/>
    </row>
    <row r="22950" spans="1:9" x14ac:dyDescent="0.25">
      <c r="A22950" s="515">
        <v>68020</v>
      </c>
      <c r="C22950" s="52">
        <v>100615.439653846</v>
      </c>
      <c r="D22950" s="56">
        <v>0.10660730511547707</v>
      </c>
      <c r="E22950" s="224" t="s">
        <v>2</v>
      </c>
      <c r="G22950" s="52"/>
      <c r="H22950" s="56"/>
      <c r="I22950" s="224"/>
    </row>
    <row r="22951" spans="1:9" x14ac:dyDescent="0.25">
      <c r="A22951" s="515">
        <v>97377</v>
      </c>
      <c r="B22951" s="515" t="s">
        <v>591</v>
      </c>
      <c r="C22951" s="52">
        <v>483113.26594128902</v>
      </c>
      <c r="D22951" s="56">
        <v>3.7617286196237727E-2</v>
      </c>
      <c r="E22951" s="224" t="s">
        <v>2</v>
      </c>
      <c r="G22951" s="52"/>
      <c r="H22951" s="56"/>
      <c r="I22951" s="224"/>
    </row>
    <row r="22952" spans="1:9" x14ac:dyDescent="0.25">
      <c r="A22952" s="515">
        <v>18464</v>
      </c>
      <c r="B22952" s="515" t="s">
        <v>324</v>
      </c>
      <c r="C22952" s="52">
        <v>301304.99502758798</v>
      </c>
      <c r="D22952" s="56">
        <v>6.6450224699361266E-2</v>
      </c>
      <c r="E22952" s="224" t="s">
        <v>2</v>
      </c>
      <c r="G22952" s="52"/>
      <c r="H22952" s="56"/>
      <c r="I22952" s="224"/>
    </row>
    <row r="22953" spans="1:9" x14ac:dyDescent="0.25">
      <c r="A22953" s="515">
        <v>49896</v>
      </c>
      <c r="B22953" s="515" t="s">
        <v>923</v>
      </c>
      <c r="C22953" s="52">
        <v>143076.87236211199</v>
      </c>
      <c r="D22953" s="56">
        <v>0</v>
      </c>
      <c r="E22953" s="224" t="s">
        <v>2</v>
      </c>
      <c r="G22953" s="52"/>
      <c r="H22953" s="56"/>
      <c r="I22953" s="224"/>
    </row>
    <row r="22954" spans="1:9" x14ac:dyDescent="0.25">
      <c r="A22954" s="515">
        <v>50153</v>
      </c>
      <c r="B22954" s="515" t="s">
        <v>295</v>
      </c>
      <c r="C22954" s="52">
        <v>208506.70006159501</v>
      </c>
      <c r="D22954" s="56">
        <v>0.14589813305867858</v>
      </c>
      <c r="E22954" s="224" t="s">
        <v>2</v>
      </c>
      <c r="G22954" s="52"/>
      <c r="H22954" s="56"/>
      <c r="I22954" s="224"/>
    </row>
    <row r="22955" spans="1:9" x14ac:dyDescent="0.25">
      <c r="A22955" s="515">
        <v>20618</v>
      </c>
      <c r="B22955" s="515" t="s">
        <v>779</v>
      </c>
      <c r="C22955" s="52">
        <v>299235.81785668002</v>
      </c>
      <c r="D22955" s="56">
        <v>1.3402704525553743E-2</v>
      </c>
      <c r="E22955" s="224" t="s">
        <v>2</v>
      </c>
      <c r="G22955" s="52"/>
      <c r="H22955" s="56"/>
      <c r="I22955" s="224"/>
    </row>
    <row r="22956" spans="1:9" x14ac:dyDescent="0.25">
      <c r="A22956" s="515">
        <v>83431</v>
      </c>
      <c r="B22956" s="515" t="s">
        <v>409</v>
      </c>
      <c r="C22956" s="52">
        <v>341533.01983759401</v>
      </c>
      <c r="D22956" s="56">
        <v>-9.1067181795841425E-3</v>
      </c>
      <c r="E22956" s="224" t="s">
        <v>2</v>
      </c>
      <c r="G22956" s="52"/>
      <c r="H22956" s="56"/>
      <c r="I22956" s="224"/>
    </row>
    <row r="22957" spans="1:9" x14ac:dyDescent="0.25">
      <c r="A22957" s="515">
        <v>63637</v>
      </c>
      <c r="B22957" s="515" t="s">
        <v>817</v>
      </c>
      <c r="C22957" s="52">
        <v>154973.54596168801</v>
      </c>
      <c r="D22957" s="56">
        <v>6.1432579603960001E-2</v>
      </c>
      <c r="E22957" s="224" t="s">
        <v>2</v>
      </c>
      <c r="G22957" s="52"/>
      <c r="H22957" s="56"/>
      <c r="I22957" s="224"/>
    </row>
    <row r="22958" spans="1:9" x14ac:dyDescent="0.25">
      <c r="A22958" s="515">
        <v>41554</v>
      </c>
      <c r="C22958" s="52">
        <v>69261.188906529598</v>
      </c>
      <c r="D22958" s="56">
        <v>0.36920547920304048</v>
      </c>
      <c r="E22958" s="224" t="s">
        <v>2</v>
      </c>
      <c r="G22958" s="52"/>
      <c r="H22958" s="56"/>
      <c r="I22958" s="224"/>
    </row>
    <row r="22959" spans="1:9" x14ac:dyDescent="0.25">
      <c r="A22959" s="515">
        <v>49303</v>
      </c>
      <c r="B22959" s="515" t="s">
        <v>943</v>
      </c>
      <c r="C22959" s="52">
        <v>225428.74620823099</v>
      </c>
      <c r="D22959" s="56">
        <v>5.4630080238871954E-2</v>
      </c>
      <c r="E22959" s="224" t="s">
        <v>2</v>
      </c>
      <c r="G22959" s="52"/>
      <c r="H22959" s="56"/>
      <c r="I22959" s="224"/>
    </row>
    <row r="22960" spans="1:9" x14ac:dyDescent="0.25">
      <c r="A22960" s="515">
        <v>55922</v>
      </c>
      <c r="B22960" s="515" t="s">
        <v>470</v>
      </c>
      <c r="C22960" s="52">
        <v>175788.396580053</v>
      </c>
      <c r="D22960" s="56">
        <v>8.1530644829538479E-2</v>
      </c>
      <c r="E22960" s="224" t="s">
        <v>2</v>
      </c>
      <c r="G22960" s="52"/>
      <c r="H22960" s="56"/>
      <c r="I22960" s="224"/>
    </row>
    <row r="22961" spans="1:9" x14ac:dyDescent="0.25">
      <c r="A22961" s="515">
        <v>25267</v>
      </c>
      <c r="C22961" s="52">
        <v>107711.719978155</v>
      </c>
      <c r="D22961" s="56">
        <v>6.389090949273725E-2</v>
      </c>
      <c r="E22961" s="224" t="s">
        <v>2</v>
      </c>
      <c r="G22961" s="52"/>
      <c r="H22961" s="56"/>
      <c r="I22961" s="224"/>
    </row>
    <row r="22962" spans="1:9" x14ac:dyDescent="0.25">
      <c r="A22962" s="515">
        <v>93239</v>
      </c>
      <c r="B22962" s="515" t="s">
        <v>942</v>
      </c>
      <c r="C22962" s="52">
        <v>157645.61728348499</v>
      </c>
      <c r="D22962" s="56">
        <v>0.11573802396571152</v>
      </c>
      <c r="E22962" s="224" t="s">
        <v>2</v>
      </c>
      <c r="G22962" s="52"/>
      <c r="H22962" s="56"/>
      <c r="I22962" s="224"/>
    </row>
    <row r="22963" spans="1:9" x14ac:dyDescent="0.25">
      <c r="A22963" s="515">
        <v>15753</v>
      </c>
      <c r="B22963" s="515" t="s">
        <v>876</v>
      </c>
      <c r="C22963" s="52">
        <v>63599.8947368421</v>
      </c>
      <c r="D22963" s="56">
        <v>0</v>
      </c>
      <c r="E22963" s="224" t="s">
        <v>2</v>
      </c>
      <c r="G22963" s="52"/>
      <c r="H22963" s="56"/>
      <c r="I22963" s="224"/>
    </row>
    <row r="22964" spans="1:9" x14ac:dyDescent="0.25">
      <c r="A22964" s="515">
        <v>79244</v>
      </c>
      <c r="C22964" s="52">
        <v>97860.726291064493</v>
      </c>
      <c r="D22964" s="56">
        <v>0</v>
      </c>
      <c r="E22964" s="224" t="s">
        <v>2</v>
      </c>
      <c r="G22964" s="52"/>
      <c r="H22964" s="56"/>
      <c r="I22964" s="224"/>
    </row>
    <row r="22965" spans="1:9" x14ac:dyDescent="0.25">
      <c r="A22965" s="515">
        <v>62947</v>
      </c>
      <c r="C22965" s="52">
        <v>128589.282208875</v>
      </c>
      <c r="D22965" s="56">
        <v>4.4719013610599753E-2</v>
      </c>
      <c r="E22965" s="224" t="s">
        <v>2</v>
      </c>
      <c r="G22965" s="52"/>
      <c r="H22965" s="56"/>
      <c r="I22965" s="224"/>
    </row>
    <row r="22966" spans="1:9" x14ac:dyDescent="0.25">
      <c r="A22966" s="515">
        <v>96107</v>
      </c>
      <c r="C22966" s="52">
        <v>305992.745544306</v>
      </c>
      <c r="D22966" s="56">
        <v>-3.8903048717349953E-2</v>
      </c>
      <c r="E22966" s="224" t="s">
        <v>2</v>
      </c>
      <c r="G22966" s="52"/>
      <c r="H22966" s="56"/>
      <c r="I22966" s="224"/>
    </row>
    <row r="22967" spans="1:9" x14ac:dyDescent="0.25">
      <c r="A22967" s="515">
        <v>50532</v>
      </c>
      <c r="B22967" s="515" t="s">
        <v>670</v>
      </c>
      <c r="C22967" s="52">
        <v>153841.848760911</v>
      </c>
      <c r="D22967" s="56">
        <v>7.4291482596961098E-2</v>
      </c>
      <c r="E22967" s="224" t="s">
        <v>2</v>
      </c>
      <c r="G22967" s="52"/>
      <c r="H22967" s="56"/>
      <c r="I22967" s="224"/>
    </row>
    <row r="22968" spans="1:9" x14ac:dyDescent="0.25">
      <c r="A22968" s="515">
        <v>57234</v>
      </c>
      <c r="B22968" s="515" t="s">
        <v>941</v>
      </c>
      <c r="C22968" s="52">
        <v>205131.54724183801</v>
      </c>
      <c r="D22968" s="56">
        <v>6.2233625427622702E-2</v>
      </c>
      <c r="E22968" s="224" t="s">
        <v>2</v>
      </c>
      <c r="G22968" s="52"/>
      <c r="H22968" s="56"/>
      <c r="I22968" s="224"/>
    </row>
    <row r="22969" spans="1:9" x14ac:dyDescent="0.25">
      <c r="A22969" s="515">
        <v>85325</v>
      </c>
      <c r="C22969" s="52">
        <v>140165.25419395999</v>
      </c>
      <c r="D22969" s="56">
        <v>8.798492382247726E-2</v>
      </c>
      <c r="E22969" s="224" t="s">
        <v>2</v>
      </c>
      <c r="G22969" s="52"/>
      <c r="H22969" s="56"/>
      <c r="I22969" s="224"/>
    </row>
    <row r="22970" spans="1:9" x14ac:dyDescent="0.25">
      <c r="A22970" s="515">
        <v>41721</v>
      </c>
      <c r="C22970" s="52">
        <v>50413.447197985901</v>
      </c>
      <c r="D22970" s="56">
        <v>0.14656213466216034</v>
      </c>
      <c r="E22970" s="224" t="s">
        <v>2</v>
      </c>
      <c r="G22970" s="52"/>
      <c r="H22970" s="56"/>
      <c r="I22970" s="224"/>
    </row>
    <row r="22971" spans="1:9" x14ac:dyDescent="0.25">
      <c r="A22971" s="515">
        <v>56291</v>
      </c>
      <c r="B22971" s="515" t="s">
        <v>708</v>
      </c>
      <c r="C22971" s="52">
        <v>185888.024197188</v>
      </c>
      <c r="D22971" s="56">
        <v>1.6334351059733403E-2</v>
      </c>
      <c r="E22971" s="224" t="s">
        <v>2</v>
      </c>
      <c r="G22971" s="52"/>
      <c r="H22971" s="56"/>
      <c r="I22971" s="224"/>
    </row>
    <row r="22972" spans="1:9" x14ac:dyDescent="0.25">
      <c r="A22972" s="515">
        <v>47579</v>
      </c>
      <c r="C22972" s="52">
        <v>251776.213273901</v>
      </c>
      <c r="D22972" s="56">
        <v>4.3194853993733455E-2</v>
      </c>
      <c r="E22972" s="224" t="s">
        <v>2</v>
      </c>
      <c r="G22972" s="52"/>
      <c r="H22972" s="56"/>
      <c r="I22972" s="224"/>
    </row>
    <row r="22973" spans="1:9" x14ac:dyDescent="0.25">
      <c r="A22973" s="515">
        <v>50278</v>
      </c>
      <c r="B22973" s="515" t="s">
        <v>568</v>
      </c>
      <c r="C22973" s="52">
        <v>174319.12316348401</v>
      </c>
      <c r="D22973" s="56">
        <v>7.4255742178028522E-2</v>
      </c>
      <c r="E22973" s="224" t="s">
        <v>2</v>
      </c>
      <c r="G22973" s="52"/>
      <c r="H22973" s="56"/>
      <c r="I22973" s="224"/>
    </row>
    <row r="22974" spans="1:9" x14ac:dyDescent="0.25">
      <c r="A22974" s="515">
        <v>40902</v>
      </c>
      <c r="B22974" s="515" t="s">
        <v>687</v>
      </c>
      <c r="C22974" s="52">
        <v>59965.242432694104</v>
      </c>
      <c r="D22974" s="56">
        <v>0.46831253925947369</v>
      </c>
      <c r="E22974" s="224" t="s">
        <v>2</v>
      </c>
      <c r="G22974" s="52"/>
      <c r="H22974" s="56"/>
      <c r="I22974" s="224"/>
    </row>
    <row r="22975" spans="1:9" x14ac:dyDescent="0.25">
      <c r="A22975" s="515">
        <v>26410</v>
      </c>
      <c r="B22975" s="515" t="s">
        <v>643</v>
      </c>
      <c r="C22975" s="52">
        <v>95155.334975251797</v>
      </c>
      <c r="D22975" s="56">
        <v>5.3025905933212554E-2</v>
      </c>
      <c r="E22975" s="224" t="s">
        <v>2</v>
      </c>
      <c r="G22975" s="52"/>
      <c r="H22975" s="56"/>
      <c r="I22975" s="224"/>
    </row>
    <row r="22976" spans="1:9" x14ac:dyDescent="0.25">
      <c r="A22976" s="515">
        <v>41183</v>
      </c>
      <c r="B22976" s="515" t="s">
        <v>602</v>
      </c>
      <c r="C22976" s="52">
        <v>111984.14695351</v>
      </c>
      <c r="D22976" s="56">
        <v>0.10688586116858108</v>
      </c>
      <c r="E22976" s="224" t="s">
        <v>2</v>
      </c>
      <c r="G22976" s="52"/>
      <c r="H22976" s="56"/>
      <c r="I22976" s="224"/>
    </row>
    <row r="22977" spans="1:9" x14ac:dyDescent="0.25">
      <c r="A22977" s="515">
        <v>7878</v>
      </c>
      <c r="B22977" s="515" t="s">
        <v>324</v>
      </c>
      <c r="C22977" s="52">
        <v>399766.53195817501</v>
      </c>
      <c r="D22977" s="56">
        <v>4.4988722592202109E-2</v>
      </c>
      <c r="E22977" s="224" t="s">
        <v>2</v>
      </c>
      <c r="G22977" s="52"/>
      <c r="H22977" s="56"/>
      <c r="I22977" s="224"/>
    </row>
    <row r="22978" spans="1:9" x14ac:dyDescent="0.25">
      <c r="A22978" s="515">
        <v>48636</v>
      </c>
      <c r="C22978" s="52">
        <v>85609.002687162705</v>
      </c>
      <c r="D22978" s="56">
        <v>6.4378225783662882E-2</v>
      </c>
      <c r="E22978" s="224" t="s">
        <v>2</v>
      </c>
      <c r="G22978" s="52"/>
      <c r="H22978" s="56"/>
      <c r="I22978" s="224"/>
    </row>
    <row r="22979" spans="1:9" x14ac:dyDescent="0.25">
      <c r="A22979" s="515">
        <v>68663</v>
      </c>
      <c r="B22979" s="515" t="s">
        <v>650</v>
      </c>
      <c r="C22979" s="52">
        <v>154475.92141634299</v>
      </c>
      <c r="D22979" s="56">
        <v>4.8355128085537907E-2</v>
      </c>
      <c r="E22979" s="224" t="s">
        <v>2</v>
      </c>
      <c r="G22979" s="52"/>
      <c r="H22979" s="56"/>
      <c r="I22979" s="224"/>
    </row>
    <row r="22980" spans="1:9" x14ac:dyDescent="0.25">
      <c r="A22980" s="515">
        <v>31518</v>
      </c>
      <c r="C22980" s="52">
        <v>164811.22619802901</v>
      </c>
      <c r="D22980" s="56">
        <v>-3.2771618258876083E-2</v>
      </c>
      <c r="E22980" s="224" t="s">
        <v>2</v>
      </c>
      <c r="G22980" s="52"/>
      <c r="H22980" s="56"/>
      <c r="I22980" s="224"/>
    </row>
    <row r="22981" spans="1:9" x14ac:dyDescent="0.25">
      <c r="A22981" s="515">
        <v>44651</v>
      </c>
      <c r="B22981" s="515" t="s">
        <v>863</v>
      </c>
      <c r="C22981" s="52">
        <v>181373.71174204099</v>
      </c>
      <c r="D22981" s="56">
        <v>4.9173323119138218E-2</v>
      </c>
      <c r="E22981" s="224" t="s">
        <v>2</v>
      </c>
      <c r="G22981" s="52"/>
      <c r="H22981" s="56"/>
      <c r="I22981" s="224"/>
    </row>
    <row r="22982" spans="1:9" x14ac:dyDescent="0.25">
      <c r="A22982" s="515">
        <v>84752</v>
      </c>
      <c r="C22982" s="52">
        <v>267831.940952954</v>
      </c>
      <c r="D22982" s="56">
        <v>0</v>
      </c>
      <c r="E22982" s="224" t="s">
        <v>2</v>
      </c>
      <c r="G22982" s="52"/>
      <c r="H22982" s="56"/>
      <c r="I22982" s="224"/>
    </row>
    <row r="22983" spans="1:9" x14ac:dyDescent="0.25">
      <c r="A22983" s="515">
        <v>50168</v>
      </c>
      <c r="B22983" s="515" t="s">
        <v>295</v>
      </c>
      <c r="C22983" s="52">
        <v>242391.35478819499</v>
      </c>
      <c r="D22983" s="56">
        <v>0.13249904919269889</v>
      </c>
      <c r="E22983" s="224" t="s">
        <v>2</v>
      </c>
      <c r="G22983" s="52"/>
      <c r="H22983" s="56"/>
      <c r="I22983" s="224"/>
    </row>
    <row r="22984" spans="1:9" x14ac:dyDescent="0.25">
      <c r="A22984" s="515">
        <v>57751</v>
      </c>
      <c r="B22984" s="515" t="s">
        <v>854</v>
      </c>
      <c r="C22984" s="52">
        <v>436160.96451717103</v>
      </c>
      <c r="D22984" s="56">
        <v>0.13834145162488931</v>
      </c>
      <c r="E22984" s="224" t="s">
        <v>2</v>
      </c>
      <c r="G22984" s="52"/>
      <c r="H22984" s="56"/>
      <c r="I22984" s="224"/>
    </row>
    <row r="22985" spans="1:9" x14ac:dyDescent="0.25">
      <c r="A22985" s="515">
        <v>43976</v>
      </c>
      <c r="C22985" s="52">
        <v>119375.019771907</v>
      </c>
      <c r="D22985" s="56">
        <v>9.2237015358013763E-3</v>
      </c>
      <c r="E22985" s="224" t="s">
        <v>2</v>
      </c>
      <c r="G22985" s="52"/>
      <c r="H22985" s="56"/>
      <c r="I22985" s="224"/>
    </row>
    <row r="22986" spans="1:9" x14ac:dyDescent="0.25">
      <c r="A22986" s="515">
        <v>68402</v>
      </c>
      <c r="B22986" s="515" t="s">
        <v>486</v>
      </c>
      <c r="C22986" s="52">
        <v>435464.35747178999</v>
      </c>
      <c r="D22986" s="56">
        <v>0.11687698831307493</v>
      </c>
      <c r="E22986" s="224" t="s">
        <v>2</v>
      </c>
      <c r="G22986" s="52"/>
      <c r="H22986" s="56"/>
      <c r="I22986" s="224"/>
    </row>
    <row r="22987" spans="1:9" x14ac:dyDescent="0.25">
      <c r="A22987" s="515">
        <v>1088</v>
      </c>
      <c r="B22987" s="515" t="s">
        <v>575</v>
      </c>
      <c r="C22987" s="52">
        <v>419734.98349888501</v>
      </c>
      <c r="D22987" s="56">
        <v>6.8626983045579723E-2</v>
      </c>
      <c r="E22987" s="224" t="s">
        <v>2</v>
      </c>
      <c r="G22987" s="52"/>
      <c r="H22987" s="56"/>
      <c r="I22987" s="224"/>
    </row>
    <row r="22988" spans="1:9" x14ac:dyDescent="0.25">
      <c r="A22988" s="515">
        <v>41267</v>
      </c>
      <c r="C22988" s="52">
        <v>92753.951426220694</v>
      </c>
      <c r="D22988" s="56">
        <v>0.30133081439038634</v>
      </c>
      <c r="E22988" s="224" t="s">
        <v>2</v>
      </c>
      <c r="G22988" s="52"/>
      <c r="H22988" s="56"/>
      <c r="I22988" s="224"/>
    </row>
    <row r="22989" spans="1:9" x14ac:dyDescent="0.25">
      <c r="A22989" s="515">
        <v>83845</v>
      </c>
      <c r="C22989" s="52">
        <v>421510.90003050299</v>
      </c>
      <c r="D22989" s="56">
        <v>-2.6045743200448265E-2</v>
      </c>
      <c r="E22989" s="224" t="s">
        <v>2</v>
      </c>
      <c r="G22989" s="52"/>
      <c r="H22989" s="56"/>
      <c r="I22989" s="224"/>
    </row>
    <row r="22990" spans="1:9" x14ac:dyDescent="0.25">
      <c r="A22990" s="515">
        <v>54408</v>
      </c>
      <c r="B22990" s="515" t="s">
        <v>940</v>
      </c>
      <c r="C22990" s="52">
        <v>160476.73302792301</v>
      </c>
      <c r="D22990" s="56">
        <v>3.772149547760887E-2</v>
      </c>
      <c r="E22990" s="224" t="s">
        <v>2</v>
      </c>
      <c r="G22990" s="52"/>
      <c r="H22990" s="56"/>
      <c r="I22990" s="224"/>
    </row>
    <row r="22991" spans="1:9" x14ac:dyDescent="0.25">
      <c r="A22991" s="515">
        <v>20690</v>
      </c>
      <c r="B22991" s="515" t="s">
        <v>779</v>
      </c>
      <c r="C22991" s="52">
        <v>479906.53586706001</v>
      </c>
      <c r="D22991" s="56">
        <v>1.9341667854214525E-2</v>
      </c>
      <c r="E22991" s="224" t="s">
        <v>2</v>
      </c>
      <c r="G22991" s="52"/>
      <c r="H22991" s="56"/>
      <c r="I22991" s="224"/>
    </row>
    <row r="22992" spans="1:9" x14ac:dyDescent="0.25">
      <c r="A22992" s="515">
        <v>66418</v>
      </c>
      <c r="B22992" s="515" t="s">
        <v>549</v>
      </c>
      <c r="C22992" s="52">
        <v>220305.02783638201</v>
      </c>
      <c r="D22992" s="56">
        <v>0.22018301204456422</v>
      </c>
      <c r="E22992" s="224" t="s">
        <v>2</v>
      </c>
      <c r="G22992" s="52"/>
      <c r="H22992" s="56"/>
      <c r="I22992" s="224"/>
    </row>
    <row r="22993" spans="1:9" x14ac:dyDescent="0.25">
      <c r="A22993" s="515">
        <v>5826</v>
      </c>
      <c r="C22993" s="52">
        <v>304926.39423076902</v>
      </c>
      <c r="D22993" s="56">
        <v>0</v>
      </c>
      <c r="E22993" s="224" t="s">
        <v>2</v>
      </c>
      <c r="G22993" s="52"/>
      <c r="H22993" s="56"/>
      <c r="I22993" s="224"/>
    </row>
    <row r="22994" spans="1:9" x14ac:dyDescent="0.25">
      <c r="A22994" s="515">
        <v>52585</v>
      </c>
      <c r="C22994" s="52">
        <v>130975.013816323</v>
      </c>
      <c r="D22994" s="56">
        <v>1.9593520785291349E-2</v>
      </c>
      <c r="E22994" s="224" t="s">
        <v>2</v>
      </c>
      <c r="G22994" s="52"/>
      <c r="H22994" s="56"/>
      <c r="I22994" s="224"/>
    </row>
    <row r="22995" spans="1:9" x14ac:dyDescent="0.25">
      <c r="A22995" s="515">
        <v>58381</v>
      </c>
      <c r="C22995" s="52">
        <v>189244.86490725301</v>
      </c>
      <c r="D22995" s="56">
        <v>7.2951909491296027E-2</v>
      </c>
      <c r="E22995" s="224" t="s">
        <v>2</v>
      </c>
      <c r="G22995" s="52"/>
      <c r="H22995" s="56"/>
      <c r="I22995" s="224"/>
    </row>
    <row r="22996" spans="1:9" x14ac:dyDescent="0.25">
      <c r="A22996" s="515">
        <v>43932</v>
      </c>
      <c r="B22996" s="515" t="s">
        <v>389</v>
      </c>
      <c r="C22996" s="52">
        <v>87952.737580905901</v>
      </c>
      <c r="D22996" s="56">
        <v>2.4886857688609272E-2</v>
      </c>
      <c r="E22996" s="224" t="s">
        <v>2</v>
      </c>
      <c r="G22996" s="52"/>
      <c r="H22996" s="56"/>
      <c r="I22996" s="224"/>
    </row>
    <row r="22997" spans="1:9" x14ac:dyDescent="0.25">
      <c r="A22997" s="515">
        <v>25839</v>
      </c>
      <c r="B22997" s="515" t="s">
        <v>566</v>
      </c>
      <c r="C22997" s="52">
        <v>117834.10606060601</v>
      </c>
      <c r="D22997" s="56">
        <v>0</v>
      </c>
      <c r="E22997" s="224" t="s">
        <v>2</v>
      </c>
      <c r="G22997" s="52"/>
      <c r="H22997" s="56"/>
      <c r="I22997" s="224"/>
    </row>
    <row r="22998" spans="1:9" x14ac:dyDescent="0.25">
      <c r="A22998" s="515">
        <v>12815</v>
      </c>
      <c r="B22998" s="515" t="s">
        <v>422</v>
      </c>
      <c r="C22998" s="52">
        <v>359838.158622669</v>
      </c>
      <c r="D22998" s="56">
        <v>9.2086668314969186E-2</v>
      </c>
      <c r="E22998" s="224" t="s">
        <v>2</v>
      </c>
      <c r="G22998" s="52"/>
      <c r="H22998" s="56"/>
      <c r="I22998" s="224"/>
    </row>
    <row r="22999" spans="1:9" x14ac:dyDescent="0.25">
      <c r="A22999" s="515">
        <v>67344</v>
      </c>
      <c r="B22999" s="515" t="s">
        <v>377</v>
      </c>
      <c r="C22999" s="52">
        <v>132851.291970563</v>
      </c>
      <c r="D22999" s="56">
        <v>0.18541728684653797</v>
      </c>
      <c r="E22999" s="224" t="s">
        <v>2</v>
      </c>
      <c r="G22999" s="52"/>
      <c r="H22999" s="56"/>
      <c r="I22999" s="224"/>
    </row>
    <row r="23000" spans="1:9" x14ac:dyDescent="0.25">
      <c r="A23000" s="515">
        <v>63545</v>
      </c>
      <c r="C23000" s="52">
        <v>87363.2626262626</v>
      </c>
      <c r="D23000" s="56">
        <v>0</v>
      </c>
      <c r="E23000" s="224" t="s">
        <v>2</v>
      </c>
      <c r="G23000" s="52"/>
      <c r="H23000" s="56"/>
      <c r="I23000" s="224"/>
    </row>
    <row r="23001" spans="1:9" x14ac:dyDescent="0.25">
      <c r="A23001" s="515">
        <v>17881</v>
      </c>
      <c r="B23001" s="515" t="s">
        <v>939</v>
      </c>
      <c r="C23001" s="52">
        <v>88304.648775909198</v>
      </c>
      <c r="D23001" s="56">
        <v>-2.7361646470679809E-3</v>
      </c>
      <c r="E23001" s="224" t="s">
        <v>2</v>
      </c>
      <c r="G23001" s="52"/>
      <c r="H23001" s="56"/>
      <c r="I23001" s="224"/>
    </row>
    <row r="23002" spans="1:9" x14ac:dyDescent="0.25">
      <c r="A23002" s="515">
        <v>95641</v>
      </c>
      <c r="B23002" s="515" t="s">
        <v>355</v>
      </c>
      <c r="C23002" s="52">
        <v>392839.87111308798</v>
      </c>
      <c r="D23002" s="56">
        <v>-1.2315959660466065E-2</v>
      </c>
      <c r="E23002" s="224" t="s">
        <v>2</v>
      </c>
      <c r="G23002" s="52"/>
      <c r="H23002" s="56"/>
      <c r="I23002" s="224"/>
    </row>
    <row r="23003" spans="1:9" x14ac:dyDescent="0.25">
      <c r="A23003" s="515">
        <v>35097</v>
      </c>
      <c r="B23003" s="515" t="s">
        <v>640</v>
      </c>
      <c r="C23003" s="52">
        <v>204808.735874962</v>
      </c>
      <c r="D23003" s="56">
        <v>8.4694839482033352E-2</v>
      </c>
      <c r="E23003" s="224" t="s">
        <v>2</v>
      </c>
      <c r="G23003" s="52"/>
      <c r="H23003" s="56"/>
      <c r="I23003" s="224"/>
    </row>
    <row r="23004" spans="1:9" x14ac:dyDescent="0.25">
      <c r="A23004" s="515">
        <v>62006</v>
      </c>
      <c r="B23004" s="515" t="s">
        <v>498</v>
      </c>
      <c r="C23004" s="52">
        <v>151433.80727139299</v>
      </c>
      <c r="D23004" s="56">
        <v>0.2852283208987027</v>
      </c>
      <c r="E23004" s="224" t="s">
        <v>2</v>
      </c>
      <c r="G23004" s="52"/>
      <c r="H23004" s="56"/>
      <c r="I23004" s="224"/>
    </row>
    <row r="23005" spans="1:9" x14ac:dyDescent="0.25">
      <c r="A23005" s="515">
        <v>12469</v>
      </c>
      <c r="B23005" s="515" t="s">
        <v>609</v>
      </c>
      <c r="C23005" s="52">
        <v>222930.193099161</v>
      </c>
      <c r="D23005" s="56">
        <v>0.10269622091589366</v>
      </c>
      <c r="E23005" s="224" t="s">
        <v>2</v>
      </c>
      <c r="G23005" s="52"/>
      <c r="H23005" s="56"/>
      <c r="I23005" s="224"/>
    </row>
    <row r="23006" spans="1:9" x14ac:dyDescent="0.25">
      <c r="A23006" s="515">
        <v>77974</v>
      </c>
      <c r="C23006" s="52">
        <v>280006.84651332197</v>
      </c>
      <c r="D23006" s="56">
        <v>2.197119134466937E-2</v>
      </c>
      <c r="E23006" s="224" t="s">
        <v>2</v>
      </c>
      <c r="G23006" s="52"/>
      <c r="H23006" s="56"/>
      <c r="I23006" s="224"/>
    </row>
    <row r="23007" spans="1:9" x14ac:dyDescent="0.25">
      <c r="A23007" s="515">
        <v>13744</v>
      </c>
      <c r="B23007" s="515" t="s">
        <v>840</v>
      </c>
      <c r="C23007" s="52">
        <v>159278.73201431101</v>
      </c>
      <c r="D23007" s="56">
        <v>6.1525171465798396E-2</v>
      </c>
      <c r="E23007" s="224" t="s">
        <v>2</v>
      </c>
      <c r="G23007" s="52"/>
      <c r="H23007" s="56"/>
      <c r="I23007" s="224"/>
    </row>
    <row r="23008" spans="1:9" x14ac:dyDescent="0.25">
      <c r="A23008" s="515">
        <v>12418</v>
      </c>
      <c r="C23008" s="52">
        <v>286726.02716448501</v>
      </c>
      <c r="D23008" s="56">
        <v>9.9453604800279899E-2</v>
      </c>
      <c r="E23008" s="224" t="s">
        <v>2</v>
      </c>
      <c r="G23008" s="52"/>
      <c r="H23008" s="56"/>
      <c r="I23008" s="224"/>
    </row>
    <row r="23009" spans="1:9" x14ac:dyDescent="0.25">
      <c r="A23009" s="515">
        <v>16863</v>
      </c>
      <c r="B23009" s="515" t="s">
        <v>876</v>
      </c>
      <c r="C23009" s="52">
        <v>93935.293478260806</v>
      </c>
      <c r="D23009" s="56">
        <v>0</v>
      </c>
      <c r="E23009" s="224" t="s">
        <v>2</v>
      </c>
      <c r="G23009" s="52"/>
      <c r="H23009" s="56"/>
      <c r="I23009" s="224"/>
    </row>
    <row r="23010" spans="1:9" x14ac:dyDescent="0.25">
      <c r="A23010" s="515">
        <v>80820</v>
      </c>
      <c r="B23010" s="515" t="s">
        <v>401</v>
      </c>
      <c r="C23010" s="52">
        <v>517757.25544983399</v>
      </c>
      <c r="D23010" s="56">
        <v>3.4441722578617488E-2</v>
      </c>
      <c r="E23010" s="224" t="s">
        <v>2</v>
      </c>
      <c r="G23010" s="52"/>
      <c r="H23010" s="56"/>
      <c r="I23010" s="224"/>
    </row>
    <row r="23011" spans="1:9" x14ac:dyDescent="0.25">
      <c r="A23011" s="515">
        <v>37361</v>
      </c>
      <c r="B23011" s="515" t="s">
        <v>918</v>
      </c>
      <c r="C23011" s="52">
        <v>244451.614948328</v>
      </c>
      <c r="D23011" s="56">
        <v>4.6252898855320176E-2</v>
      </c>
      <c r="E23011" s="224" t="s">
        <v>2</v>
      </c>
      <c r="G23011" s="52"/>
      <c r="H23011" s="56"/>
      <c r="I23011" s="224"/>
    </row>
    <row r="23012" spans="1:9" x14ac:dyDescent="0.25">
      <c r="A23012" s="515">
        <v>14839</v>
      </c>
      <c r="B23012" s="515" t="s">
        <v>585</v>
      </c>
      <c r="C23012" s="52">
        <v>125448.675346516</v>
      </c>
      <c r="D23012" s="56">
        <v>0.16947443963589592</v>
      </c>
      <c r="E23012" s="224" t="s">
        <v>2</v>
      </c>
      <c r="G23012" s="52"/>
      <c r="H23012" s="56"/>
      <c r="I23012" s="224"/>
    </row>
    <row r="23013" spans="1:9" x14ac:dyDescent="0.25">
      <c r="A23013" s="515">
        <v>23128</v>
      </c>
      <c r="B23013" s="515" t="s">
        <v>301</v>
      </c>
      <c r="C23013" s="52">
        <v>298204.87600211002</v>
      </c>
      <c r="D23013" s="56">
        <v>0.10568727951395565</v>
      </c>
      <c r="E23013" s="224" t="s">
        <v>2</v>
      </c>
      <c r="G23013" s="52"/>
      <c r="H23013" s="56"/>
      <c r="I23013" s="224"/>
    </row>
    <row r="23014" spans="1:9" x14ac:dyDescent="0.25">
      <c r="A23014" s="515">
        <v>41544</v>
      </c>
      <c r="C23014" s="52">
        <v>64321.925583529897</v>
      </c>
      <c r="D23014" s="56">
        <v>0.26884060837783819</v>
      </c>
      <c r="E23014" s="224" t="s">
        <v>2</v>
      </c>
      <c r="G23014" s="52"/>
      <c r="H23014" s="56"/>
      <c r="I23014" s="224"/>
    </row>
    <row r="23015" spans="1:9" x14ac:dyDescent="0.25">
      <c r="A23015" s="515">
        <v>1366</v>
      </c>
      <c r="B23015" s="515" t="s">
        <v>751</v>
      </c>
      <c r="C23015" s="52">
        <v>396701.24235929898</v>
      </c>
      <c r="D23015" s="56">
        <v>0.11009692267933717</v>
      </c>
      <c r="E23015" s="224" t="s">
        <v>2</v>
      </c>
      <c r="G23015" s="52"/>
      <c r="H23015" s="56"/>
      <c r="I23015" s="224"/>
    </row>
    <row r="23016" spans="1:9" x14ac:dyDescent="0.25">
      <c r="A23016" s="515">
        <v>66780</v>
      </c>
      <c r="B23016" s="515" t="s">
        <v>669</v>
      </c>
      <c r="C23016" s="52">
        <v>126939.550675202</v>
      </c>
      <c r="D23016" s="56">
        <v>0.34165932956970585</v>
      </c>
      <c r="E23016" s="224" t="s">
        <v>2</v>
      </c>
      <c r="G23016" s="52"/>
      <c r="H23016" s="56"/>
      <c r="I23016" s="224"/>
    </row>
    <row r="23017" spans="1:9" x14ac:dyDescent="0.25">
      <c r="A23017" s="515">
        <v>73761</v>
      </c>
      <c r="C23017" s="52">
        <v>105396.120939881</v>
      </c>
      <c r="D23017" s="56">
        <v>7.4149707030544521E-2</v>
      </c>
      <c r="E23017" s="224" t="s">
        <v>2</v>
      </c>
      <c r="G23017" s="52"/>
      <c r="H23017" s="56"/>
      <c r="I23017" s="224"/>
    </row>
    <row r="23018" spans="1:9" x14ac:dyDescent="0.25">
      <c r="A23018" s="515">
        <v>94569</v>
      </c>
      <c r="B23018" s="515" t="s">
        <v>593</v>
      </c>
      <c r="C23018" s="52">
        <v>692890.49581532599</v>
      </c>
      <c r="D23018" s="56">
        <v>8.3414435885798398E-3</v>
      </c>
      <c r="E23018" s="224" t="s">
        <v>2</v>
      </c>
      <c r="G23018" s="52"/>
      <c r="H23018" s="56"/>
      <c r="I23018" s="224"/>
    </row>
    <row r="23019" spans="1:9" x14ac:dyDescent="0.25">
      <c r="A23019" s="515">
        <v>13782</v>
      </c>
      <c r="C23019" s="52">
        <v>229191.96470028901</v>
      </c>
      <c r="D23019" s="56">
        <v>0.11177315101415231</v>
      </c>
      <c r="E23019" s="224" t="s">
        <v>2</v>
      </c>
      <c r="G23019" s="52"/>
      <c r="H23019" s="56"/>
      <c r="I23019" s="224"/>
    </row>
    <row r="23020" spans="1:9" x14ac:dyDescent="0.25">
      <c r="A23020" s="515">
        <v>67876</v>
      </c>
      <c r="B23020" s="515" t="s">
        <v>809</v>
      </c>
      <c r="C23020" s="52">
        <v>175733.171017827</v>
      </c>
      <c r="D23020" s="56">
        <v>0.11780409454604737</v>
      </c>
      <c r="E23020" s="224" t="s">
        <v>2</v>
      </c>
      <c r="G23020" s="52"/>
      <c r="H23020" s="56"/>
      <c r="I23020" s="224"/>
    </row>
    <row r="23021" spans="1:9" x14ac:dyDescent="0.25">
      <c r="A23021" s="515">
        <v>95527</v>
      </c>
      <c r="B23021" s="515" t="s">
        <v>352</v>
      </c>
      <c r="C23021" s="52">
        <v>319002.68642403401</v>
      </c>
      <c r="D23021" s="56">
        <v>-8.5505929172230655E-2</v>
      </c>
      <c r="E23021" s="224" t="s">
        <v>2</v>
      </c>
      <c r="G23021" s="52"/>
      <c r="H23021" s="56"/>
      <c r="I23021" s="224"/>
    </row>
    <row r="23022" spans="1:9" x14ac:dyDescent="0.25">
      <c r="A23022" s="515">
        <v>55990</v>
      </c>
      <c r="B23022" s="515" t="s">
        <v>470</v>
      </c>
      <c r="C23022" s="52">
        <v>231838.619967971</v>
      </c>
      <c r="D23022" s="56">
        <v>0.10545276226773244</v>
      </c>
      <c r="E23022" s="224" t="s">
        <v>2</v>
      </c>
      <c r="G23022" s="52"/>
      <c r="H23022" s="56"/>
      <c r="I23022" s="224"/>
    </row>
    <row r="23023" spans="1:9" x14ac:dyDescent="0.25">
      <c r="A23023" s="515">
        <v>21719</v>
      </c>
      <c r="B23023" s="515" t="s">
        <v>654</v>
      </c>
      <c r="C23023" s="52">
        <v>240499.369458981</v>
      </c>
      <c r="D23023" s="56">
        <v>5.6798565659876142E-2</v>
      </c>
      <c r="E23023" s="224" t="s">
        <v>2</v>
      </c>
      <c r="G23023" s="52"/>
      <c r="H23023" s="56"/>
      <c r="I23023" s="224"/>
    </row>
    <row r="23024" spans="1:9" x14ac:dyDescent="0.25">
      <c r="A23024" s="515">
        <v>70581</v>
      </c>
      <c r="B23024" s="515" t="s">
        <v>1156</v>
      </c>
      <c r="C23024" s="52">
        <v>116232.584415584</v>
      </c>
      <c r="D23024" s="56">
        <v>0</v>
      </c>
      <c r="E23024" s="224" t="s">
        <v>2</v>
      </c>
      <c r="G23024" s="52"/>
      <c r="H23024" s="56"/>
      <c r="I23024" s="224"/>
    </row>
    <row r="23025" spans="1:9" x14ac:dyDescent="0.25">
      <c r="A23025" s="515">
        <v>12456</v>
      </c>
      <c r="B23025" s="515" t="s">
        <v>307</v>
      </c>
      <c r="C23025" s="52">
        <v>215819.377791006</v>
      </c>
      <c r="D23025" s="56">
        <v>0.14853632954504087</v>
      </c>
      <c r="E23025" s="224" t="s">
        <v>2</v>
      </c>
      <c r="G23025" s="52"/>
      <c r="H23025" s="56"/>
      <c r="I23025" s="224"/>
    </row>
    <row r="23026" spans="1:9" x14ac:dyDescent="0.25">
      <c r="A23026" s="515">
        <v>62956</v>
      </c>
      <c r="C23026" s="52">
        <v>60923.172242054403</v>
      </c>
      <c r="D23026" s="56">
        <v>-3.0129267539736959E-3</v>
      </c>
      <c r="E23026" s="224" t="s">
        <v>2</v>
      </c>
      <c r="G23026" s="52"/>
      <c r="H23026" s="56"/>
      <c r="I23026" s="224"/>
    </row>
    <row r="23027" spans="1:9" x14ac:dyDescent="0.25">
      <c r="A23027" s="515">
        <v>65634</v>
      </c>
      <c r="C23027" s="52">
        <v>163025.64516129001</v>
      </c>
      <c r="D23027" s="56">
        <v>0</v>
      </c>
      <c r="E23027" s="224" t="s">
        <v>2</v>
      </c>
      <c r="G23027" s="52"/>
      <c r="H23027" s="56"/>
      <c r="I23027" s="224"/>
    </row>
    <row r="23028" spans="1:9" x14ac:dyDescent="0.25">
      <c r="A23028" s="515">
        <v>55314</v>
      </c>
      <c r="C23028" s="52">
        <v>193826.489707603</v>
      </c>
      <c r="D23028" s="56">
        <v>9.3905648947409881E-2</v>
      </c>
      <c r="E23028" s="224" t="s">
        <v>2</v>
      </c>
      <c r="G23028" s="52"/>
      <c r="H23028" s="56"/>
      <c r="I23028" s="224"/>
    </row>
    <row r="23029" spans="1:9" x14ac:dyDescent="0.25">
      <c r="A23029" s="515">
        <v>12837</v>
      </c>
      <c r="B23029" s="515" t="s">
        <v>422</v>
      </c>
      <c r="C23029" s="52">
        <v>173246.08029119699</v>
      </c>
      <c r="D23029" s="56">
        <v>8.2022679176184374E-2</v>
      </c>
      <c r="E23029" s="224" t="s">
        <v>2</v>
      </c>
      <c r="G23029" s="52"/>
      <c r="H23029" s="56"/>
      <c r="I23029" s="224"/>
    </row>
    <row r="23030" spans="1:9" x14ac:dyDescent="0.25">
      <c r="A23030" s="515">
        <v>25234</v>
      </c>
      <c r="C23030" s="52">
        <v>99239.322601663895</v>
      </c>
      <c r="D23030" s="56">
        <v>8.2804630348877764E-2</v>
      </c>
      <c r="E23030" s="224" t="s">
        <v>2</v>
      </c>
      <c r="G23030" s="52"/>
      <c r="H23030" s="56"/>
      <c r="I23030" s="224"/>
    </row>
    <row r="23031" spans="1:9" x14ac:dyDescent="0.25">
      <c r="A23031" s="515">
        <v>62853</v>
      </c>
      <c r="B23031" s="515" t="s">
        <v>1211</v>
      </c>
      <c r="C23031" s="52">
        <v>112360.358759205</v>
      </c>
      <c r="D23031" s="56">
        <v>6.9411306581908999E-2</v>
      </c>
      <c r="E23031" s="224" t="s">
        <v>2</v>
      </c>
      <c r="G23031" s="52"/>
      <c r="H23031" s="56"/>
      <c r="I23031" s="224"/>
    </row>
    <row r="23032" spans="1:9" x14ac:dyDescent="0.25">
      <c r="A23032" s="515">
        <v>93921</v>
      </c>
      <c r="B23032" s="515" t="s">
        <v>443</v>
      </c>
      <c r="C23032" s="52">
        <v>1767703.5351094599</v>
      </c>
      <c r="D23032" s="56">
        <v>-3.3544571030398804E-2</v>
      </c>
      <c r="E23032" s="224" t="s">
        <v>2</v>
      </c>
      <c r="G23032" s="52"/>
      <c r="H23032" s="56"/>
      <c r="I23032" s="224"/>
    </row>
    <row r="23033" spans="1:9" x14ac:dyDescent="0.25">
      <c r="A23033" s="515">
        <v>46570</v>
      </c>
      <c r="B23033" s="515" t="s">
        <v>342</v>
      </c>
      <c r="C23033" s="52">
        <v>182933.25313682001</v>
      </c>
      <c r="D23033" s="56">
        <v>2.7179474952798193E-2</v>
      </c>
      <c r="E23033" s="224" t="s">
        <v>2</v>
      </c>
      <c r="G23033" s="52"/>
      <c r="H23033" s="56"/>
      <c r="I23033" s="224"/>
    </row>
    <row r="23034" spans="1:9" x14ac:dyDescent="0.25">
      <c r="A23034" s="515">
        <v>58630</v>
      </c>
      <c r="B23034" s="515" t="s">
        <v>771</v>
      </c>
      <c r="C23034" s="52">
        <v>246135.64569576699</v>
      </c>
      <c r="D23034" s="56">
        <v>4.9848551871300308E-2</v>
      </c>
      <c r="E23034" s="224" t="s">
        <v>2</v>
      </c>
      <c r="G23034" s="52"/>
      <c r="H23034" s="56"/>
      <c r="I23034" s="224"/>
    </row>
    <row r="23035" spans="1:9" x14ac:dyDescent="0.25">
      <c r="A23035" s="515">
        <v>52635</v>
      </c>
      <c r="B23035" s="515" t="s">
        <v>810</v>
      </c>
      <c r="C23035" s="52">
        <v>150883.72077471099</v>
      </c>
      <c r="D23035" s="56">
        <v>0.17718146223553075</v>
      </c>
      <c r="E23035" s="224" t="s">
        <v>2</v>
      </c>
      <c r="G23035" s="52"/>
      <c r="H23035" s="56"/>
      <c r="I23035" s="224"/>
    </row>
    <row r="23036" spans="1:9" x14ac:dyDescent="0.25">
      <c r="A23036" s="515">
        <v>38352</v>
      </c>
      <c r="B23036" s="515" t="s">
        <v>691</v>
      </c>
      <c r="C23036" s="52">
        <v>129080.40226707701</v>
      </c>
      <c r="D23036" s="56">
        <v>-7.3456688307236605E-3</v>
      </c>
      <c r="E23036" s="224" t="s">
        <v>2</v>
      </c>
      <c r="G23036" s="52"/>
      <c r="H23036" s="56"/>
      <c r="I23036" s="224"/>
    </row>
    <row r="23037" spans="1:9" x14ac:dyDescent="0.25">
      <c r="A23037" s="515">
        <v>42516</v>
      </c>
      <c r="C23037" s="52">
        <v>112191.90776271799</v>
      </c>
      <c r="D23037" s="56">
        <v>0.20022023555303547</v>
      </c>
      <c r="E23037" s="224" t="s">
        <v>2</v>
      </c>
      <c r="G23037" s="52"/>
      <c r="H23037" s="56"/>
      <c r="I23037" s="224"/>
    </row>
    <row r="23038" spans="1:9" x14ac:dyDescent="0.25">
      <c r="A23038" s="515">
        <v>15477</v>
      </c>
      <c r="B23038" s="515" t="s">
        <v>297</v>
      </c>
      <c r="C23038" s="52">
        <v>92695.721763328998</v>
      </c>
      <c r="D23038" s="56">
        <v>0.11885863537711072</v>
      </c>
      <c r="E23038" s="224" t="s">
        <v>2</v>
      </c>
      <c r="G23038" s="52"/>
      <c r="H23038" s="56"/>
      <c r="I23038" s="224"/>
    </row>
    <row r="23039" spans="1:9" x14ac:dyDescent="0.25">
      <c r="A23039" s="515">
        <v>12930</v>
      </c>
      <c r="B23039" s="515" t="s">
        <v>706</v>
      </c>
      <c r="C23039" s="52">
        <v>127190.574325115</v>
      </c>
      <c r="D23039" s="56">
        <v>0.19404952349505006</v>
      </c>
      <c r="E23039" s="224" t="s">
        <v>2</v>
      </c>
      <c r="G23039" s="52"/>
      <c r="H23039" s="56"/>
      <c r="I23039" s="224"/>
    </row>
    <row r="23040" spans="1:9" x14ac:dyDescent="0.25">
      <c r="A23040" s="515">
        <v>11958</v>
      </c>
      <c r="B23040" s="515" t="s">
        <v>324</v>
      </c>
      <c r="C23040" s="52">
        <v>1011959.2287585801</v>
      </c>
      <c r="D23040" s="56">
        <v>0.11211728995239929</v>
      </c>
      <c r="E23040" s="224" t="s">
        <v>2</v>
      </c>
      <c r="G23040" s="52"/>
      <c r="H23040" s="56"/>
      <c r="I23040" s="224"/>
    </row>
    <row r="23041" spans="1:9" x14ac:dyDescent="0.25">
      <c r="A23041" s="515">
        <v>61516</v>
      </c>
      <c r="B23041" s="515" t="s">
        <v>303</v>
      </c>
      <c r="C23041" s="52">
        <v>122907.12336357799</v>
      </c>
      <c r="D23041" s="56">
        <v>1.3483749357430722E-2</v>
      </c>
      <c r="E23041" s="224" t="s">
        <v>2</v>
      </c>
      <c r="G23041" s="52"/>
      <c r="H23041" s="56"/>
      <c r="I23041" s="224"/>
    </row>
    <row r="23042" spans="1:9" x14ac:dyDescent="0.25">
      <c r="A23042" s="515">
        <v>57073</v>
      </c>
      <c r="B23042" s="515" t="s">
        <v>913</v>
      </c>
      <c r="C23042" s="52">
        <v>157436.56614152101</v>
      </c>
      <c r="D23042" s="56">
        <v>7.8455595549843382E-2</v>
      </c>
      <c r="E23042" s="224" t="s">
        <v>2</v>
      </c>
      <c r="G23042" s="52"/>
      <c r="H23042" s="56"/>
      <c r="I23042" s="224"/>
    </row>
    <row r="23043" spans="1:9" x14ac:dyDescent="0.25">
      <c r="A23043" s="515">
        <v>95935</v>
      </c>
      <c r="B23043" s="515" t="s">
        <v>796</v>
      </c>
      <c r="C23043" s="52">
        <v>364299.06755389401</v>
      </c>
      <c r="D23043" s="56">
        <v>-3.835720784625405E-2</v>
      </c>
      <c r="E23043" s="224" t="s">
        <v>2</v>
      </c>
      <c r="G23043" s="52"/>
      <c r="H23043" s="56"/>
      <c r="I23043" s="224"/>
    </row>
    <row r="23044" spans="1:9" x14ac:dyDescent="0.25">
      <c r="A23044" s="515">
        <v>62054</v>
      </c>
      <c r="C23044" s="52">
        <v>82436.821428571406</v>
      </c>
      <c r="D23044" s="56">
        <v>0</v>
      </c>
      <c r="E23044" s="224" t="s">
        <v>2</v>
      </c>
      <c r="G23044" s="52"/>
      <c r="H23044" s="56"/>
      <c r="I23044" s="224"/>
    </row>
    <row r="23045" spans="1:9" x14ac:dyDescent="0.25">
      <c r="A23045" s="515">
        <v>47551</v>
      </c>
      <c r="C23045" s="52">
        <v>181935.71057241599</v>
      </c>
      <c r="D23045" s="56">
        <v>9.2592922426996849E-2</v>
      </c>
      <c r="E23045" s="224" t="s">
        <v>2</v>
      </c>
      <c r="G23045" s="52"/>
      <c r="H23045" s="56"/>
      <c r="I23045" s="224"/>
    </row>
    <row r="23046" spans="1:9" x14ac:dyDescent="0.25">
      <c r="A23046" s="515">
        <v>54832</v>
      </c>
      <c r="C23046" s="52">
        <v>210748.03737290399</v>
      </c>
      <c r="D23046" s="56">
        <v>0.10271367391031869</v>
      </c>
      <c r="E23046" s="224" t="s">
        <v>2</v>
      </c>
      <c r="G23046" s="52"/>
      <c r="H23046" s="56"/>
      <c r="I23046" s="224"/>
    </row>
    <row r="23047" spans="1:9" x14ac:dyDescent="0.25">
      <c r="A23047" s="515">
        <v>49618</v>
      </c>
      <c r="B23047" s="515" t="s">
        <v>937</v>
      </c>
      <c r="C23047" s="52">
        <v>174215.16901554601</v>
      </c>
      <c r="D23047" s="56">
        <v>8.2160658429165812E-2</v>
      </c>
      <c r="E23047" s="224" t="s">
        <v>2</v>
      </c>
      <c r="G23047" s="52"/>
      <c r="H23047" s="56"/>
      <c r="I23047" s="224"/>
    </row>
    <row r="23048" spans="1:9" x14ac:dyDescent="0.25">
      <c r="A23048" s="515">
        <v>62842</v>
      </c>
      <c r="C23048" s="52">
        <v>84421.469135802399</v>
      </c>
      <c r="D23048" s="56">
        <v>0</v>
      </c>
      <c r="E23048" s="224" t="s">
        <v>2</v>
      </c>
      <c r="G23048" s="52"/>
      <c r="H23048" s="56"/>
      <c r="I23048" s="224"/>
    </row>
    <row r="23049" spans="1:9" x14ac:dyDescent="0.25">
      <c r="A23049" s="515">
        <v>12136</v>
      </c>
      <c r="B23049" s="515" t="s">
        <v>564</v>
      </c>
      <c r="C23049" s="52">
        <v>515820.00796804199</v>
      </c>
      <c r="D23049" s="56">
        <v>0.1411529882838575</v>
      </c>
      <c r="E23049" s="224" t="s">
        <v>2</v>
      </c>
      <c r="G23049" s="52"/>
      <c r="H23049" s="56"/>
      <c r="I23049" s="224"/>
    </row>
    <row r="23050" spans="1:9" x14ac:dyDescent="0.25">
      <c r="A23050" s="515">
        <v>14825</v>
      </c>
      <c r="B23050" s="515" t="s">
        <v>724</v>
      </c>
      <c r="C23050" s="52">
        <v>142448.75503522399</v>
      </c>
      <c r="D23050" s="56">
        <v>9.9716182528824276E-2</v>
      </c>
      <c r="E23050" s="224" t="s">
        <v>2</v>
      </c>
      <c r="G23050" s="52"/>
      <c r="H23050" s="56"/>
      <c r="I23050" s="224"/>
    </row>
    <row r="23051" spans="1:9" x14ac:dyDescent="0.25">
      <c r="A23051" s="515">
        <v>62905</v>
      </c>
      <c r="C23051" s="52">
        <v>107204.439190233</v>
      </c>
      <c r="D23051" s="56">
        <v>0.13432877314016461</v>
      </c>
      <c r="E23051" s="224" t="s">
        <v>2</v>
      </c>
      <c r="G23051" s="52"/>
      <c r="H23051" s="56"/>
      <c r="I23051" s="224"/>
    </row>
    <row r="23052" spans="1:9" x14ac:dyDescent="0.25">
      <c r="A23052" s="515">
        <v>49838</v>
      </c>
      <c r="C23052" s="52">
        <v>146590.43474197699</v>
      </c>
      <c r="D23052" s="56">
        <v>0</v>
      </c>
      <c r="E23052" s="224" t="s">
        <v>2</v>
      </c>
      <c r="G23052" s="52"/>
      <c r="H23052" s="56"/>
      <c r="I23052" s="224"/>
    </row>
    <row r="23053" spans="1:9" x14ac:dyDescent="0.25">
      <c r="A23053" s="515">
        <v>28781</v>
      </c>
      <c r="C23053" s="52">
        <v>327381.93577428599</v>
      </c>
      <c r="D23053" s="56">
        <v>0.11686065107860401</v>
      </c>
      <c r="E23053" s="224" t="s">
        <v>2</v>
      </c>
      <c r="G23053" s="52"/>
      <c r="H23053" s="56"/>
      <c r="I23053" s="224"/>
    </row>
    <row r="23054" spans="1:9" x14ac:dyDescent="0.25">
      <c r="A23054" s="515">
        <v>43345</v>
      </c>
      <c r="C23054" s="52">
        <v>194099.39720598701</v>
      </c>
      <c r="D23054" s="56">
        <v>8.5083116613301271E-2</v>
      </c>
      <c r="E23054" s="224" t="s">
        <v>2</v>
      </c>
      <c r="G23054" s="52"/>
      <c r="H23054" s="56"/>
      <c r="I23054" s="224"/>
    </row>
    <row r="23055" spans="1:9" x14ac:dyDescent="0.25">
      <c r="A23055" s="515">
        <v>45868</v>
      </c>
      <c r="B23055" s="515" t="s">
        <v>448</v>
      </c>
      <c r="C23055" s="52">
        <v>184186.493464286</v>
      </c>
      <c r="D23055" s="56">
        <v>6.6282429404789719E-2</v>
      </c>
      <c r="E23055" s="224" t="s">
        <v>2</v>
      </c>
      <c r="G23055" s="52"/>
      <c r="H23055" s="56"/>
      <c r="I23055" s="224"/>
    </row>
    <row r="23056" spans="1:9" x14ac:dyDescent="0.25">
      <c r="A23056" s="515">
        <v>73442</v>
      </c>
      <c r="B23056" s="515" t="s">
        <v>474</v>
      </c>
      <c r="C23056" s="52">
        <v>110973.164314208</v>
      </c>
      <c r="D23056" s="56">
        <v>0.13221589177853282</v>
      </c>
      <c r="E23056" s="224" t="s">
        <v>2</v>
      </c>
      <c r="G23056" s="52"/>
      <c r="H23056" s="56"/>
      <c r="I23056" s="224"/>
    </row>
    <row r="23057" spans="1:9" x14ac:dyDescent="0.25">
      <c r="A23057" s="515">
        <v>26264</v>
      </c>
      <c r="C23057" s="52">
        <v>99622.952073206397</v>
      </c>
      <c r="D23057" s="56">
        <v>0.11745713556125158</v>
      </c>
      <c r="E23057" s="224" t="s">
        <v>2</v>
      </c>
      <c r="G23057" s="52"/>
      <c r="H23057" s="56"/>
      <c r="I23057" s="224"/>
    </row>
    <row r="23058" spans="1:9" x14ac:dyDescent="0.25">
      <c r="A23058" s="515">
        <v>18846</v>
      </c>
      <c r="B23058" s="515" t="s">
        <v>699</v>
      </c>
      <c r="C23058" s="52">
        <v>201202.877777777</v>
      </c>
      <c r="D23058" s="56">
        <v>0</v>
      </c>
      <c r="E23058" s="224" t="s">
        <v>2</v>
      </c>
      <c r="G23058" s="52"/>
      <c r="H23058" s="56"/>
      <c r="I23058" s="224"/>
    </row>
    <row r="23059" spans="1:9" x14ac:dyDescent="0.25">
      <c r="A23059" s="515">
        <v>71660</v>
      </c>
      <c r="B23059" s="515" t="s">
        <v>872</v>
      </c>
      <c r="C23059" s="52">
        <v>89293.268518518496</v>
      </c>
      <c r="D23059" s="56">
        <v>0</v>
      </c>
      <c r="E23059" s="224" t="s">
        <v>2</v>
      </c>
      <c r="G23059" s="52"/>
      <c r="H23059" s="56"/>
      <c r="I23059" s="224"/>
    </row>
    <row r="23060" spans="1:9" x14ac:dyDescent="0.25">
      <c r="A23060" s="515">
        <v>25669</v>
      </c>
      <c r="B23060" s="515" t="s">
        <v>602</v>
      </c>
      <c r="C23060" s="52">
        <v>80794.575700626505</v>
      </c>
      <c r="D23060" s="56">
        <v>9.9643881423408132E-2</v>
      </c>
      <c r="E23060" s="224" t="s">
        <v>2</v>
      </c>
      <c r="G23060" s="52"/>
      <c r="H23060" s="56"/>
      <c r="I23060" s="224"/>
    </row>
    <row r="23061" spans="1:9" x14ac:dyDescent="0.25">
      <c r="A23061" s="515">
        <v>48456</v>
      </c>
      <c r="C23061" s="52">
        <v>134204.08210649999</v>
      </c>
      <c r="D23061" s="56">
        <v>0</v>
      </c>
      <c r="E23061" s="224" t="s">
        <v>2</v>
      </c>
      <c r="G23061" s="52"/>
      <c r="H23061" s="56"/>
      <c r="I23061" s="224"/>
    </row>
    <row r="23062" spans="1:9" x14ac:dyDescent="0.25">
      <c r="A23062" s="515">
        <v>56297</v>
      </c>
      <c r="C23062" s="52">
        <v>140626.863611159</v>
      </c>
      <c r="D23062" s="56">
        <v>6.739245767890292E-4</v>
      </c>
      <c r="E23062" s="224" t="s">
        <v>2</v>
      </c>
      <c r="G23062" s="52"/>
      <c r="H23062" s="56"/>
      <c r="I23062" s="224"/>
    </row>
    <row r="23063" spans="1:9" x14ac:dyDescent="0.25">
      <c r="A23063" s="515">
        <v>66835</v>
      </c>
      <c r="B23063" s="515" t="s">
        <v>707</v>
      </c>
      <c r="C23063" s="52">
        <v>149788.55965074801</v>
      </c>
      <c r="D23063" s="56">
        <v>6.4915152186653169E-2</v>
      </c>
      <c r="E23063" s="224" t="s">
        <v>2</v>
      </c>
      <c r="G23063" s="52"/>
      <c r="H23063" s="56"/>
      <c r="I23063" s="224"/>
    </row>
    <row r="23064" spans="1:9" x14ac:dyDescent="0.25">
      <c r="A23064" s="515">
        <v>12950</v>
      </c>
      <c r="C23064" s="52">
        <v>172483.907212516</v>
      </c>
      <c r="D23064" s="56">
        <v>0.1888233174235554</v>
      </c>
      <c r="E23064" s="224" t="s">
        <v>2</v>
      </c>
      <c r="G23064" s="52"/>
      <c r="H23064" s="56"/>
      <c r="I23064" s="224"/>
    </row>
    <row r="23065" spans="1:9" x14ac:dyDescent="0.25">
      <c r="A23065" s="515">
        <v>67859</v>
      </c>
      <c r="B23065" s="515" t="s">
        <v>936</v>
      </c>
      <c r="C23065" s="52">
        <v>152668.036178707</v>
      </c>
      <c r="D23065" s="56">
        <v>0.10623906316100851</v>
      </c>
      <c r="E23065" s="224" t="s">
        <v>2</v>
      </c>
      <c r="G23065" s="52"/>
      <c r="H23065" s="56"/>
      <c r="I23065" s="224"/>
    </row>
    <row r="23066" spans="1:9" x14ac:dyDescent="0.25">
      <c r="A23066" s="515">
        <v>50157</v>
      </c>
      <c r="C23066" s="52">
        <v>189589.56156654001</v>
      </c>
      <c r="D23066" s="56">
        <v>0.1380811092632401</v>
      </c>
      <c r="E23066" s="224" t="s">
        <v>2</v>
      </c>
      <c r="G23066" s="52"/>
      <c r="H23066" s="56"/>
      <c r="I23066" s="224"/>
    </row>
    <row r="23067" spans="1:9" x14ac:dyDescent="0.25">
      <c r="A23067" s="515">
        <v>27965</v>
      </c>
      <c r="B23067" s="515" t="s">
        <v>301</v>
      </c>
      <c r="C23067" s="52">
        <v>305687.36784123001</v>
      </c>
      <c r="D23067" s="56">
        <v>0.16712135525988431</v>
      </c>
      <c r="E23067" s="224" t="s">
        <v>2</v>
      </c>
      <c r="G23067" s="52"/>
      <c r="H23067" s="56"/>
      <c r="I23067" s="224"/>
    </row>
    <row r="23068" spans="1:9" x14ac:dyDescent="0.25">
      <c r="A23068" s="515">
        <v>47585</v>
      </c>
      <c r="B23068" s="515" t="s">
        <v>544</v>
      </c>
      <c r="C23068" s="52">
        <v>171298.75048412499</v>
      </c>
      <c r="D23068" s="56">
        <v>7.4804126208239577E-2</v>
      </c>
      <c r="E23068" s="224" t="s">
        <v>2</v>
      </c>
      <c r="G23068" s="52"/>
      <c r="H23068" s="56"/>
      <c r="I23068" s="224"/>
    </row>
    <row r="23069" spans="1:9" x14ac:dyDescent="0.25">
      <c r="A23069" s="515">
        <v>94938</v>
      </c>
      <c r="B23069" s="515" t="s">
        <v>593</v>
      </c>
      <c r="C23069" s="52">
        <v>957423.65663921996</v>
      </c>
      <c r="D23069" s="56">
        <v>1.9752411374903786E-2</v>
      </c>
      <c r="E23069" s="224" t="s">
        <v>2</v>
      </c>
      <c r="G23069" s="52"/>
      <c r="H23069" s="56"/>
      <c r="I23069" s="224"/>
    </row>
    <row r="23070" spans="1:9" x14ac:dyDescent="0.25">
      <c r="A23070" s="515">
        <v>96056</v>
      </c>
      <c r="B23070" s="515" t="s">
        <v>658</v>
      </c>
      <c r="C23070" s="52">
        <v>276558.93169618503</v>
      </c>
      <c r="D23070" s="56">
        <v>-4.3055323881766437E-2</v>
      </c>
      <c r="E23070" s="224" t="s">
        <v>2</v>
      </c>
      <c r="G23070" s="52"/>
      <c r="H23070" s="56"/>
      <c r="I23070" s="224"/>
    </row>
    <row r="23071" spans="1:9" x14ac:dyDescent="0.25">
      <c r="A23071" s="515">
        <v>41740</v>
      </c>
      <c r="C23071" s="52">
        <v>147925.99104122201</v>
      </c>
      <c r="D23071" s="56">
        <v>7.2067305981955682E-2</v>
      </c>
      <c r="E23071" s="224" t="s">
        <v>2</v>
      </c>
      <c r="G23071" s="52"/>
      <c r="H23071" s="56"/>
      <c r="I23071" s="224"/>
    </row>
    <row r="23072" spans="1:9" x14ac:dyDescent="0.25">
      <c r="A23072" s="515">
        <v>74643</v>
      </c>
      <c r="C23072" s="52">
        <v>77341.902210689397</v>
      </c>
      <c r="D23072" s="56">
        <v>0.19650949642708937</v>
      </c>
      <c r="E23072" s="224" t="s">
        <v>2</v>
      </c>
      <c r="G23072" s="52"/>
      <c r="H23072" s="56"/>
      <c r="I23072" s="224"/>
    </row>
    <row r="23073" spans="1:9" x14ac:dyDescent="0.25">
      <c r="A23073" s="515">
        <v>83549</v>
      </c>
      <c r="C23073" s="52">
        <v>322266.61998967</v>
      </c>
      <c r="D23073" s="56">
        <v>2.8394510011339046E-2</v>
      </c>
      <c r="E23073" s="224" t="s">
        <v>2</v>
      </c>
      <c r="G23073" s="52"/>
      <c r="H23073" s="56"/>
      <c r="I23073" s="224"/>
    </row>
    <row r="23074" spans="1:9" x14ac:dyDescent="0.25">
      <c r="A23074" s="515">
        <v>61367</v>
      </c>
      <c r="B23074" s="515" t="s">
        <v>836</v>
      </c>
      <c r="C23074" s="52">
        <v>162880.606417095</v>
      </c>
      <c r="D23074" s="56">
        <v>0</v>
      </c>
      <c r="E23074" s="224" t="s">
        <v>2</v>
      </c>
      <c r="G23074" s="52"/>
      <c r="H23074" s="56"/>
      <c r="I23074" s="224"/>
    </row>
    <row r="23075" spans="1:9" x14ac:dyDescent="0.25">
      <c r="A23075" s="515">
        <v>86018</v>
      </c>
      <c r="B23075" s="515" t="s">
        <v>600</v>
      </c>
      <c r="C23075" s="52">
        <v>556549.57355027704</v>
      </c>
      <c r="D23075" s="56">
        <v>9.9066948100841198E-2</v>
      </c>
      <c r="E23075" s="224" t="s">
        <v>2</v>
      </c>
      <c r="G23075" s="52"/>
      <c r="H23075" s="56"/>
      <c r="I23075" s="224"/>
    </row>
    <row r="23076" spans="1:9" x14ac:dyDescent="0.25">
      <c r="A23076" s="515">
        <v>49840</v>
      </c>
      <c r="C23076" s="52">
        <v>142872.84442723199</v>
      </c>
      <c r="D23076" s="56">
        <v>4.6554770178691217E-2</v>
      </c>
      <c r="E23076" s="224" t="s">
        <v>2</v>
      </c>
      <c r="G23076" s="52"/>
      <c r="H23076" s="56"/>
      <c r="I23076" s="224"/>
    </row>
    <row r="23077" spans="1:9" x14ac:dyDescent="0.25">
      <c r="A23077" s="515">
        <v>55925</v>
      </c>
      <c r="B23077" s="515" t="s">
        <v>875</v>
      </c>
      <c r="C23077" s="52">
        <v>275249.18888420402</v>
      </c>
      <c r="D23077" s="56">
        <v>8.0618056181242376E-2</v>
      </c>
      <c r="E23077" s="224" t="s">
        <v>2</v>
      </c>
      <c r="G23077" s="52"/>
      <c r="H23077" s="56"/>
      <c r="I23077" s="224"/>
    </row>
    <row r="23078" spans="1:9" x14ac:dyDescent="0.25">
      <c r="A23078" s="515">
        <v>14824</v>
      </c>
      <c r="C23078" s="52">
        <v>146433.540377675</v>
      </c>
      <c r="D23078" s="56">
        <v>5.5938594992350731E-2</v>
      </c>
      <c r="E23078" s="224" t="s">
        <v>2</v>
      </c>
      <c r="G23078" s="52"/>
      <c r="H23078" s="56"/>
      <c r="I23078" s="224"/>
    </row>
    <row r="23079" spans="1:9" x14ac:dyDescent="0.25">
      <c r="A23079" s="515">
        <v>55793</v>
      </c>
      <c r="B23079" s="515" t="s">
        <v>590</v>
      </c>
      <c r="C23079" s="52">
        <v>184863.48555289899</v>
      </c>
      <c r="D23079" s="56">
        <v>0</v>
      </c>
      <c r="E23079" s="224" t="s">
        <v>2</v>
      </c>
      <c r="G23079" s="52"/>
      <c r="H23079" s="56"/>
      <c r="I23079" s="224"/>
    </row>
    <row r="23080" spans="1:9" x14ac:dyDescent="0.25">
      <c r="A23080" s="515">
        <v>73540</v>
      </c>
      <c r="B23080" s="515" t="s">
        <v>364</v>
      </c>
      <c r="C23080" s="52">
        <v>166257.85735645299</v>
      </c>
      <c r="D23080" s="56">
        <v>0.1218702098006704</v>
      </c>
      <c r="E23080" s="224" t="s">
        <v>2</v>
      </c>
      <c r="G23080" s="52"/>
      <c r="H23080" s="56"/>
      <c r="I23080" s="224"/>
    </row>
    <row r="23081" spans="1:9" x14ac:dyDescent="0.25">
      <c r="A23081" s="515">
        <v>57522</v>
      </c>
      <c r="B23081" s="515" t="s">
        <v>834</v>
      </c>
      <c r="C23081" s="52">
        <v>134694.60559785899</v>
      </c>
      <c r="D23081" s="56">
        <v>0.10316531987679946</v>
      </c>
      <c r="E23081" s="224" t="s">
        <v>2</v>
      </c>
      <c r="G23081" s="52"/>
      <c r="H23081" s="56"/>
      <c r="I23081" s="224"/>
    </row>
    <row r="23082" spans="1:9" x14ac:dyDescent="0.25">
      <c r="A23082" s="515">
        <v>61279</v>
      </c>
      <c r="B23082" s="515" t="s">
        <v>439</v>
      </c>
      <c r="C23082" s="52">
        <v>154978.888960624</v>
      </c>
      <c r="D23082" s="56">
        <v>3.7172680630399434E-2</v>
      </c>
      <c r="E23082" s="224" t="s">
        <v>2</v>
      </c>
      <c r="G23082" s="52"/>
      <c r="H23082" s="56"/>
      <c r="I23082" s="224"/>
    </row>
    <row r="23083" spans="1:9" x14ac:dyDescent="0.25">
      <c r="A23083" s="515">
        <v>68814</v>
      </c>
      <c r="C23083" s="52">
        <v>120649.98157819601</v>
      </c>
      <c r="D23083" s="56">
        <v>0</v>
      </c>
      <c r="E23083" s="224" t="s">
        <v>2</v>
      </c>
      <c r="G23083" s="52"/>
      <c r="H23083" s="56"/>
      <c r="I23083" s="224"/>
    </row>
    <row r="23084" spans="1:9" x14ac:dyDescent="0.25">
      <c r="A23084" s="515">
        <v>53544</v>
      </c>
      <c r="B23084" s="515" t="s">
        <v>727</v>
      </c>
      <c r="C23084" s="52">
        <v>280686.19057915802</v>
      </c>
      <c r="D23084" s="56">
        <v>0.16982405431843681</v>
      </c>
      <c r="E23084" s="224" t="s">
        <v>2</v>
      </c>
      <c r="G23084" s="52"/>
      <c r="H23084" s="56"/>
      <c r="I23084" s="224"/>
    </row>
    <row r="23085" spans="1:9" x14ac:dyDescent="0.25">
      <c r="A23085" s="515">
        <v>5155</v>
      </c>
      <c r="C23085" s="52">
        <v>386232.87981437898</v>
      </c>
      <c r="D23085" s="56">
        <v>1.3055282305178063E-2</v>
      </c>
      <c r="E23085" s="224" t="s">
        <v>2</v>
      </c>
      <c r="G23085" s="52"/>
      <c r="H23085" s="56"/>
      <c r="I23085" s="224"/>
    </row>
    <row r="23086" spans="1:9" x14ac:dyDescent="0.25">
      <c r="A23086" s="515">
        <v>76484</v>
      </c>
      <c r="B23086" s="515" t="s">
        <v>935</v>
      </c>
      <c r="C23086" s="52">
        <v>293896.37752819102</v>
      </c>
      <c r="D23086" s="56">
        <v>0</v>
      </c>
      <c r="E23086" s="224" t="s">
        <v>2</v>
      </c>
      <c r="G23086" s="52"/>
      <c r="H23086" s="56"/>
      <c r="I23086" s="224"/>
    </row>
    <row r="23087" spans="1:9" x14ac:dyDescent="0.25">
      <c r="A23087" s="515">
        <v>35460</v>
      </c>
      <c r="C23087" s="52">
        <v>87786.866666666596</v>
      </c>
      <c r="D23087" s="56">
        <v>0</v>
      </c>
      <c r="E23087" s="224" t="s">
        <v>2</v>
      </c>
      <c r="G23087" s="52"/>
      <c r="H23087" s="56"/>
      <c r="I23087" s="224"/>
    </row>
    <row r="23088" spans="1:9" x14ac:dyDescent="0.25">
      <c r="A23088" s="515">
        <v>64623</v>
      </c>
      <c r="C23088" s="52">
        <v>105587.276785714</v>
      </c>
      <c r="D23088" s="56">
        <v>0</v>
      </c>
      <c r="E23088" s="224" t="s">
        <v>2</v>
      </c>
      <c r="G23088" s="52"/>
      <c r="H23088" s="56"/>
      <c r="I23088" s="224"/>
    </row>
    <row r="23089" spans="1:9" x14ac:dyDescent="0.25">
      <c r="A23089" s="515">
        <v>95323</v>
      </c>
      <c r="B23089" s="515" t="s">
        <v>797</v>
      </c>
      <c r="C23089" s="52">
        <v>542081.69532634504</v>
      </c>
      <c r="D23089" s="56">
        <v>1.438196619419277E-3</v>
      </c>
      <c r="E23089" s="224" t="s">
        <v>2</v>
      </c>
      <c r="G23089" s="52"/>
      <c r="H23089" s="56"/>
      <c r="I23089" s="224"/>
    </row>
    <row r="23090" spans="1:9" x14ac:dyDescent="0.25">
      <c r="A23090" s="515">
        <v>50654</v>
      </c>
      <c r="C23090" s="52">
        <v>210597.57024939201</v>
      </c>
      <c r="D23090" s="56">
        <v>0</v>
      </c>
      <c r="E23090" s="224" t="s">
        <v>2</v>
      </c>
      <c r="G23090" s="52"/>
      <c r="H23090" s="56"/>
      <c r="I23090" s="224"/>
    </row>
    <row r="23091" spans="1:9" x14ac:dyDescent="0.25">
      <c r="A23091" s="515">
        <v>66540</v>
      </c>
      <c r="B23091" s="515" t="s">
        <v>549</v>
      </c>
      <c r="C23091" s="52">
        <v>229322.61944159601</v>
      </c>
      <c r="D23091" s="56">
        <v>0.2868881487475069</v>
      </c>
      <c r="E23091" s="224" t="s">
        <v>2</v>
      </c>
      <c r="G23091" s="52"/>
      <c r="H23091" s="56"/>
      <c r="I23091" s="224"/>
    </row>
    <row r="23092" spans="1:9" x14ac:dyDescent="0.25">
      <c r="A23092" s="515">
        <v>91963</v>
      </c>
      <c r="B23092" s="515" t="s">
        <v>396</v>
      </c>
      <c r="C23092" s="52">
        <v>500867.61863972602</v>
      </c>
      <c r="D23092" s="56">
        <v>4.8908658926314671E-2</v>
      </c>
      <c r="E23092" s="224" t="s">
        <v>2</v>
      </c>
      <c r="G23092" s="52"/>
      <c r="H23092" s="56"/>
      <c r="I23092" s="224"/>
    </row>
    <row r="23093" spans="1:9" x14ac:dyDescent="0.25">
      <c r="A23093" s="515">
        <v>24935</v>
      </c>
      <c r="C23093" s="52">
        <v>120500.913575695</v>
      </c>
      <c r="D23093" s="56">
        <v>7.1837199673171592E-2</v>
      </c>
      <c r="E23093" s="224" t="s">
        <v>2</v>
      </c>
      <c r="G23093" s="52"/>
      <c r="H23093" s="56"/>
      <c r="I23093" s="224"/>
    </row>
    <row r="23094" spans="1:9" x14ac:dyDescent="0.25">
      <c r="A23094" s="515">
        <v>97466</v>
      </c>
      <c r="B23094" s="515" t="s">
        <v>868</v>
      </c>
      <c r="C23094" s="52">
        <v>188180.66835001801</v>
      </c>
      <c r="D23094" s="56">
        <v>5.6893846241736844E-2</v>
      </c>
      <c r="E23094" s="224" t="s">
        <v>2</v>
      </c>
      <c r="G23094" s="52"/>
      <c r="H23094" s="56"/>
      <c r="I23094" s="224"/>
    </row>
    <row r="23095" spans="1:9" x14ac:dyDescent="0.25">
      <c r="A23095" s="515">
        <v>56142</v>
      </c>
      <c r="C23095" s="52">
        <v>120649.00827673099</v>
      </c>
      <c r="D23095" s="56">
        <v>1.1695647050410039E-2</v>
      </c>
      <c r="E23095" s="224" t="s">
        <v>2</v>
      </c>
      <c r="G23095" s="52"/>
      <c r="H23095" s="56"/>
      <c r="I23095" s="224"/>
    </row>
    <row r="23096" spans="1:9" x14ac:dyDescent="0.25">
      <c r="A23096" s="515">
        <v>97907</v>
      </c>
      <c r="C23096" s="52">
        <v>149510.20270270199</v>
      </c>
      <c r="D23096" s="56">
        <v>0</v>
      </c>
      <c r="E23096" s="224" t="s">
        <v>2</v>
      </c>
      <c r="G23096" s="52"/>
      <c r="H23096" s="56"/>
      <c r="I23096" s="224"/>
    </row>
    <row r="23097" spans="1:9" x14ac:dyDescent="0.25">
      <c r="A23097" s="515">
        <v>51232</v>
      </c>
      <c r="C23097" s="52">
        <v>126674.652628069</v>
      </c>
      <c r="D23097" s="56">
        <v>0</v>
      </c>
      <c r="E23097" s="224" t="s">
        <v>2</v>
      </c>
      <c r="G23097" s="52"/>
      <c r="H23097" s="56"/>
      <c r="I23097" s="224"/>
    </row>
    <row r="23098" spans="1:9" x14ac:dyDescent="0.25">
      <c r="A23098" s="515">
        <v>31812</v>
      </c>
      <c r="B23098" s="515" t="s">
        <v>778</v>
      </c>
      <c r="C23098" s="52">
        <v>102016.510195564</v>
      </c>
      <c r="D23098" s="56">
        <v>3.7784381621575137E-2</v>
      </c>
      <c r="E23098" s="224" t="s">
        <v>2</v>
      </c>
      <c r="G23098" s="52"/>
      <c r="H23098" s="56"/>
      <c r="I23098" s="224"/>
    </row>
    <row r="23099" spans="1:9" x14ac:dyDescent="0.25">
      <c r="A23099" s="515">
        <v>68413</v>
      </c>
      <c r="B23099" s="515" t="s">
        <v>367</v>
      </c>
      <c r="C23099" s="52">
        <v>295456.85364995501</v>
      </c>
      <c r="D23099" s="56">
        <v>0.1423517829604205</v>
      </c>
      <c r="E23099" s="224" t="s">
        <v>2</v>
      </c>
      <c r="G23099" s="52"/>
      <c r="H23099" s="56"/>
      <c r="I23099" s="224"/>
    </row>
    <row r="23100" spans="1:9" x14ac:dyDescent="0.25">
      <c r="A23100" s="515">
        <v>31544</v>
      </c>
      <c r="C23100" s="52">
        <v>102847.34254856101</v>
      </c>
      <c r="D23100" s="56">
        <v>1.0911573394586597E-2</v>
      </c>
      <c r="E23100" s="224" t="s">
        <v>2</v>
      </c>
      <c r="G23100" s="52"/>
      <c r="H23100" s="56"/>
      <c r="I23100" s="224"/>
    </row>
    <row r="23101" spans="1:9" x14ac:dyDescent="0.25">
      <c r="A23101" s="515">
        <v>93608</v>
      </c>
      <c r="B23101" s="515" t="s">
        <v>541</v>
      </c>
      <c r="C23101" s="52">
        <v>204356.24641643499</v>
      </c>
      <c r="D23101" s="56">
        <v>0.11487523307264901</v>
      </c>
      <c r="E23101" s="224" t="s">
        <v>2</v>
      </c>
      <c r="G23101" s="52"/>
      <c r="H23101" s="56"/>
      <c r="I23101" s="224"/>
    </row>
    <row r="23102" spans="1:9" x14ac:dyDescent="0.25">
      <c r="A23102" s="515">
        <v>62994</v>
      </c>
      <c r="B23102" s="515" t="s">
        <v>471</v>
      </c>
      <c r="C23102" s="52">
        <v>98870.030966346196</v>
      </c>
      <c r="D23102" s="56">
        <v>-6.8116470604960289E-2</v>
      </c>
      <c r="E23102" s="224" t="s">
        <v>2</v>
      </c>
      <c r="G23102" s="52"/>
      <c r="H23102" s="56"/>
      <c r="I23102" s="224"/>
    </row>
    <row r="23103" spans="1:9" x14ac:dyDescent="0.25">
      <c r="A23103" s="515">
        <v>20687</v>
      </c>
      <c r="B23103" s="515" t="s">
        <v>779</v>
      </c>
      <c r="C23103" s="52">
        <v>351798.281708839</v>
      </c>
      <c r="D23103" s="56">
        <v>3.0288825530920143E-2</v>
      </c>
      <c r="E23103" s="224" t="s">
        <v>2</v>
      </c>
      <c r="G23103" s="52"/>
      <c r="H23103" s="56"/>
      <c r="I23103" s="224"/>
    </row>
    <row r="23104" spans="1:9" x14ac:dyDescent="0.25">
      <c r="A23104" s="515">
        <v>58572</v>
      </c>
      <c r="B23104" s="515" t="s">
        <v>930</v>
      </c>
      <c r="C23104" s="52">
        <v>209087.87095673199</v>
      </c>
      <c r="D23104" s="56">
        <v>0</v>
      </c>
      <c r="E23104" s="224" t="s">
        <v>2</v>
      </c>
      <c r="G23104" s="52"/>
      <c r="H23104" s="56"/>
      <c r="I23104" s="224"/>
    </row>
    <row r="23105" spans="1:9" x14ac:dyDescent="0.25">
      <c r="A23105" s="515">
        <v>97018</v>
      </c>
      <c r="B23105" s="515" t="s">
        <v>659</v>
      </c>
      <c r="C23105" s="52">
        <v>459501.85691698198</v>
      </c>
      <c r="D23105" s="56">
        <v>3.3165688363577341E-2</v>
      </c>
      <c r="E23105" s="224" t="s">
        <v>2</v>
      </c>
      <c r="G23105" s="52"/>
      <c r="H23105" s="56"/>
      <c r="I23105" s="224"/>
    </row>
    <row r="23106" spans="1:9" x14ac:dyDescent="0.25">
      <c r="A23106" s="515">
        <v>50150</v>
      </c>
      <c r="C23106" s="52">
        <v>125496.33094896701</v>
      </c>
      <c r="D23106" s="56">
        <v>0.17755112524765404</v>
      </c>
      <c r="E23106" s="224" t="s">
        <v>2</v>
      </c>
      <c r="G23106" s="52"/>
      <c r="H23106" s="56"/>
      <c r="I23106" s="224"/>
    </row>
    <row r="23107" spans="1:9" x14ac:dyDescent="0.25">
      <c r="A23107" s="515">
        <v>42024</v>
      </c>
      <c r="B23107" s="515" t="s">
        <v>846</v>
      </c>
      <c r="C23107" s="52">
        <v>92988.336889975195</v>
      </c>
      <c r="D23107" s="56">
        <v>0.1655122372909836</v>
      </c>
      <c r="E23107" s="224" t="s">
        <v>2</v>
      </c>
      <c r="G23107" s="52"/>
      <c r="H23107" s="56"/>
      <c r="I23107" s="224"/>
    </row>
    <row r="23108" spans="1:9" x14ac:dyDescent="0.25">
      <c r="A23108" s="515">
        <v>65762</v>
      </c>
      <c r="C23108" s="52">
        <v>230795.04729632399</v>
      </c>
      <c r="D23108" s="56">
        <v>0.13478251899025487</v>
      </c>
      <c r="E23108" s="224" t="s">
        <v>2</v>
      </c>
      <c r="G23108" s="52"/>
      <c r="H23108" s="56"/>
      <c r="I23108" s="224"/>
    </row>
    <row r="23109" spans="1:9" x14ac:dyDescent="0.25">
      <c r="A23109" s="515">
        <v>73432</v>
      </c>
      <c r="C23109" s="52">
        <v>254707.95168944099</v>
      </c>
      <c r="D23109" s="56">
        <v>0.16953444375108553</v>
      </c>
      <c r="E23109" s="224" t="s">
        <v>2</v>
      </c>
      <c r="G23109" s="52"/>
      <c r="H23109" s="56"/>
      <c r="I23109" s="224"/>
    </row>
    <row r="23110" spans="1:9" x14ac:dyDescent="0.25">
      <c r="A23110" s="515">
        <v>13454</v>
      </c>
      <c r="B23110" s="515" t="s">
        <v>543</v>
      </c>
      <c r="C23110" s="52">
        <v>148000.78110052401</v>
      </c>
      <c r="D23110" s="56">
        <v>0.20472658493159199</v>
      </c>
      <c r="E23110" s="224" t="s">
        <v>2</v>
      </c>
      <c r="G23110" s="52"/>
      <c r="H23110" s="56"/>
      <c r="I23110" s="224"/>
    </row>
    <row r="23111" spans="1:9" x14ac:dyDescent="0.25">
      <c r="A23111" s="515">
        <v>60917</v>
      </c>
      <c r="B23111" s="515" t="s">
        <v>774</v>
      </c>
      <c r="C23111" s="52">
        <v>167579.31393713699</v>
      </c>
      <c r="D23111" s="56">
        <v>4.9367289906678269E-2</v>
      </c>
      <c r="E23111" s="224" t="s">
        <v>2</v>
      </c>
      <c r="G23111" s="52"/>
      <c r="H23111" s="56"/>
      <c r="I23111" s="224"/>
    </row>
    <row r="23112" spans="1:9" x14ac:dyDescent="0.25">
      <c r="A23112" s="515">
        <v>96141</v>
      </c>
      <c r="B23112" s="515" t="s">
        <v>355</v>
      </c>
      <c r="C23112" s="52">
        <v>1172148.20323307</v>
      </c>
      <c r="D23112" s="56">
        <v>4.3771948829022592E-2</v>
      </c>
      <c r="E23112" s="224" t="s">
        <v>2</v>
      </c>
      <c r="G23112" s="52"/>
      <c r="H23112" s="56"/>
      <c r="I23112" s="224"/>
    </row>
    <row r="23113" spans="1:9" x14ac:dyDescent="0.25">
      <c r="A23113" s="515">
        <v>74630</v>
      </c>
      <c r="C23113" s="52">
        <v>60872.234405962801</v>
      </c>
      <c r="D23113" s="56">
        <v>3.9584838607872069E-2</v>
      </c>
      <c r="E23113" s="224" t="s">
        <v>2</v>
      </c>
      <c r="G23113" s="52"/>
      <c r="H23113" s="56"/>
      <c r="I23113" s="224"/>
    </row>
    <row r="23114" spans="1:9" x14ac:dyDescent="0.25">
      <c r="A23114" s="515">
        <v>45776</v>
      </c>
      <c r="C23114" s="52">
        <v>123572.70520310701</v>
      </c>
      <c r="D23114" s="56">
        <v>4.7706982694147991E-2</v>
      </c>
      <c r="E23114" s="224" t="s">
        <v>2</v>
      </c>
      <c r="G23114" s="52"/>
      <c r="H23114" s="56"/>
      <c r="I23114" s="224"/>
    </row>
    <row r="23115" spans="1:9" x14ac:dyDescent="0.25">
      <c r="A23115" s="515">
        <v>50449</v>
      </c>
      <c r="C23115" s="52">
        <v>94151.127811960905</v>
      </c>
      <c r="D23115" s="56">
        <v>0.19295538635652751</v>
      </c>
      <c r="E23115" s="224" t="s">
        <v>2</v>
      </c>
      <c r="G23115" s="52"/>
      <c r="H23115" s="56"/>
      <c r="I23115" s="224"/>
    </row>
    <row r="23116" spans="1:9" x14ac:dyDescent="0.25">
      <c r="A23116" s="515">
        <v>68842</v>
      </c>
      <c r="C23116" s="52">
        <v>114107.18663494699</v>
      </c>
      <c r="D23116" s="56">
        <v>0.10116561466973195</v>
      </c>
      <c r="E23116" s="224" t="s">
        <v>2</v>
      </c>
      <c r="G23116" s="52"/>
      <c r="H23116" s="56"/>
      <c r="I23116" s="224"/>
    </row>
    <row r="23117" spans="1:9" x14ac:dyDescent="0.25">
      <c r="A23117" s="515">
        <v>64728</v>
      </c>
      <c r="C23117" s="52">
        <v>139196.06129102601</v>
      </c>
      <c r="D23117" s="56">
        <v>-8.3819735278312962E-2</v>
      </c>
      <c r="E23117" s="224" t="s">
        <v>2</v>
      </c>
      <c r="G23117" s="52"/>
      <c r="H23117" s="56"/>
      <c r="I23117" s="224"/>
    </row>
    <row r="23118" spans="1:9" x14ac:dyDescent="0.25">
      <c r="A23118" s="515">
        <v>95389</v>
      </c>
      <c r="C23118" s="52">
        <v>733434.43465018098</v>
      </c>
      <c r="D23118" s="56">
        <v>-3.8801183923640385E-3</v>
      </c>
      <c r="E23118" s="224" t="s">
        <v>2</v>
      </c>
      <c r="G23118" s="52"/>
      <c r="H23118" s="56"/>
      <c r="I23118" s="224"/>
    </row>
    <row r="23119" spans="1:9" x14ac:dyDescent="0.25">
      <c r="A23119" s="515">
        <v>12190</v>
      </c>
      <c r="C23119" s="52">
        <v>192717.95591398599</v>
      </c>
      <c r="D23119" s="56">
        <v>9.7208690610377277E-2</v>
      </c>
      <c r="E23119" s="224" t="s">
        <v>2</v>
      </c>
      <c r="G23119" s="52"/>
      <c r="H23119" s="56"/>
      <c r="I23119" s="224"/>
    </row>
    <row r="23120" spans="1:9" x14ac:dyDescent="0.25">
      <c r="A23120" s="515">
        <v>99118</v>
      </c>
      <c r="C23120" s="52">
        <v>244422.09782608601</v>
      </c>
      <c r="D23120" s="56">
        <v>0</v>
      </c>
      <c r="E23120" s="224" t="s">
        <v>2</v>
      </c>
      <c r="G23120" s="52"/>
      <c r="H23120" s="56"/>
      <c r="I23120" s="224"/>
    </row>
    <row r="23121" spans="1:9" x14ac:dyDescent="0.25">
      <c r="A23121" s="515">
        <v>11962</v>
      </c>
      <c r="B23121" s="515" t="s">
        <v>324</v>
      </c>
      <c r="C23121" s="52">
        <v>4748901.2563138101</v>
      </c>
      <c r="D23121" s="56">
        <v>0.10114448269948501</v>
      </c>
      <c r="E23121" s="224" t="s">
        <v>2</v>
      </c>
      <c r="G23121" s="52"/>
      <c r="H23121" s="56"/>
      <c r="I23121" s="224"/>
    </row>
    <row r="23122" spans="1:9" x14ac:dyDescent="0.25">
      <c r="A23122" s="515">
        <v>96062</v>
      </c>
      <c r="B23122" s="515" t="s">
        <v>514</v>
      </c>
      <c r="C23122" s="52">
        <v>502411.671246654</v>
      </c>
      <c r="D23122" s="56">
        <v>-4.2538423678922299E-2</v>
      </c>
      <c r="E23122" s="224" t="s">
        <v>2</v>
      </c>
      <c r="G23122" s="52"/>
      <c r="H23122" s="56"/>
      <c r="I23122" s="224"/>
    </row>
    <row r="23123" spans="1:9" x14ac:dyDescent="0.25">
      <c r="A23123" s="515">
        <v>4221</v>
      </c>
      <c r="C23123" s="52">
        <v>215903.25772813201</v>
      </c>
      <c r="D23123" s="56">
        <v>7.4682031445349767E-2</v>
      </c>
      <c r="E23123" s="224" t="s">
        <v>2</v>
      </c>
      <c r="G23123" s="52"/>
      <c r="H23123" s="56"/>
      <c r="I23123" s="224"/>
    </row>
    <row r="23124" spans="1:9" x14ac:dyDescent="0.25">
      <c r="A23124" s="515">
        <v>62831</v>
      </c>
      <c r="C23124" s="52">
        <v>103169.619026311</v>
      </c>
      <c r="D23124" s="56">
        <v>4.0291769463883374E-2</v>
      </c>
      <c r="E23124" s="224" t="s">
        <v>2</v>
      </c>
      <c r="G23124" s="52"/>
      <c r="H23124" s="56"/>
      <c r="I23124" s="224"/>
    </row>
    <row r="23125" spans="1:9" x14ac:dyDescent="0.25">
      <c r="A23125" s="515">
        <v>55765</v>
      </c>
      <c r="B23125" s="515" t="s">
        <v>350</v>
      </c>
      <c r="C23125" s="52">
        <v>140451.831912775</v>
      </c>
      <c r="D23125" s="56">
        <v>0.12229449447017358</v>
      </c>
      <c r="E23125" s="224" t="s">
        <v>2</v>
      </c>
      <c r="G23125" s="52"/>
      <c r="H23125" s="56"/>
      <c r="I23125" s="224"/>
    </row>
    <row r="23126" spans="1:9" x14ac:dyDescent="0.25">
      <c r="A23126" s="515">
        <v>69020</v>
      </c>
      <c r="C23126" s="52">
        <v>111853.42593365601</v>
      </c>
      <c r="D23126" s="56">
        <v>2.7797656750180103E-2</v>
      </c>
      <c r="E23126" s="224" t="s">
        <v>2</v>
      </c>
      <c r="G23126" s="52"/>
      <c r="H23126" s="56"/>
      <c r="I23126" s="224"/>
    </row>
    <row r="23127" spans="1:9" x14ac:dyDescent="0.25">
      <c r="A23127" s="515">
        <v>79097</v>
      </c>
      <c r="B23127" s="515" t="s">
        <v>869</v>
      </c>
      <c r="C23127" s="52">
        <v>117437.254158882</v>
      </c>
      <c r="D23127" s="56">
        <v>0</v>
      </c>
      <c r="E23127" s="224" t="s">
        <v>2</v>
      </c>
      <c r="G23127" s="52"/>
      <c r="H23127" s="56"/>
      <c r="I23127" s="224"/>
    </row>
    <row r="23128" spans="1:9" x14ac:dyDescent="0.25">
      <c r="A23128" s="515">
        <v>81427</v>
      </c>
      <c r="B23128" s="515" t="s">
        <v>677</v>
      </c>
      <c r="C23128" s="52">
        <v>619702.66014493897</v>
      </c>
      <c r="D23128" s="56">
        <v>0.10114326375599636</v>
      </c>
      <c r="E23128" s="224" t="s">
        <v>2</v>
      </c>
      <c r="G23128" s="52"/>
      <c r="H23128" s="56"/>
      <c r="I23128" s="224"/>
    </row>
    <row r="23129" spans="1:9" x14ac:dyDescent="0.25">
      <c r="A23129" s="515">
        <v>60470</v>
      </c>
      <c r="B23129" s="515" t="s">
        <v>556</v>
      </c>
      <c r="C23129" s="52">
        <v>118378.02096915799</v>
      </c>
      <c r="D23129" s="56">
        <v>1.4632521608381381E-2</v>
      </c>
      <c r="E23129" s="224" t="s">
        <v>2</v>
      </c>
      <c r="G23129" s="52"/>
      <c r="H23129" s="56"/>
      <c r="I23129" s="224"/>
    </row>
    <row r="23130" spans="1:9" x14ac:dyDescent="0.25">
      <c r="A23130" s="515">
        <v>5867</v>
      </c>
      <c r="C23130" s="52">
        <v>289131.21348314598</v>
      </c>
      <c r="D23130" s="56">
        <v>0</v>
      </c>
      <c r="E23130" s="224" t="s">
        <v>2</v>
      </c>
      <c r="G23130" s="52"/>
      <c r="H23130" s="56"/>
      <c r="I23130" s="224"/>
    </row>
    <row r="23131" spans="1:9" x14ac:dyDescent="0.25">
      <c r="A23131" s="515">
        <v>14820</v>
      </c>
      <c r="B23131" s="515" t="s">
        <v>585</v>
      </c>
      <c r="C23131" s="52">
        <v>143514.421058154</v>
      </c>
      <c r="D23131" s="56">
        <v>0.14358767422557397</v>
      </c>
      <c r="E23131" s="224" t="s">
        <v>2</v>
      </c>
      <c r="G23131" s="52"/>
      <c r="H23131" s="56"/>
      <c r="I23131" s="224"/>
    </row>
    <row r="23132" spans="1:9" x14ac:dyDescent="0.25">
      <c r="A23132" s="515">
        <v>5340</v>
      </c>
      <c r="B23132" s="515" t="s">
        <v>657</v>
      </c>
      <c r="C23132" s="52">
        <v>546605.24948677095</v>
      </c>
      <c r="D23132" s="56">
        <v>0.12836991896125918</v>
      </c>
      <c r="E23132" s="224" t="s">
        <v>2</v>
      </c>
      <c r="G23132" s="52"/>
      <c r="H23132" s="56"/>
      <c r="I23132" s="224"/>
    </row>
    <row r="23133" spans="1:9" x14ac:dyDescent="0.25">
      <c r="A23133" s="515">
        <v>40346</v>
      </c>
      <c r="B23133" s="515" t="s">
        <v>900</v>
      </c>
      <c r="C23133" s="52">
        <v>121969.43403647799</v>
      </c>
      <c r="D23133" s="56">
        <v>0.21040484570205728</v>
      </c>
      <c r="E23133" s="224" t="s">
        <v>2</v>
      </c>
      <c r="G23133" s="52"/>
      <c r="H23133" s="56"/>
      <c r="I23133" s="224"/>
    </row>
    <row r="23134" spans="1:9" x14ac:dyDescent="0.25">
      <c r="A23134" s="515">
        <v>62244</v>
      </c>
      <c r="B23134" s="515" t="s">
        <v>498</v>
      </c>
      <c r="C23134" s="52">
        <v>225825.48834311499</v>
      </c>
      <c r="D23134" s="56">
        <v>0</v>
      </c>
      <c r="E23134" s="224" t="s">
        <v>2</v>
      </c>
      <c r="G23134" s="52"/>
      <c r="H23134" s="56"/>
      <c r="I23134" s="224"/>
    </row>
    <row r="23135" spans="1:9" x14ac:dyDescent="0.25">
      <c r="A23135" s="515">
        <v>50541</v>
      </c>
      <c r="C23135" s="52">
        <v>82305.033129436604</v>
      </c>
      <c r="D23135" s="56">
        <v>0</v>
      </c>
      <c r="E23135" s="224" t="s">
        <v>2</v>
      </c>
      <c r="G23135" s="52"/>
      <c r="H23135" s="56"/>
      <c r="I23135" s="224"/>
    </row>
    <row r="23136" spans="1:9" x14ac:dyDescent="0.25">
      <c r="A23136" s="515">
        <v>51062</v>
      </c>
      <c r="C23136" s="52">
        <v>208871.96934935899</v>
      </c>
      <c r="D23136" s="56">
        <v>0.16985265403593011</v>
      </c>
      <c r="E23136" s="224" t="s">
        <v>2</v>
      </c>
      <c r="G23136" s="52"/>
      <c r="H23136" s="56"/>
      <c r="I23136" s="224"/>
    </row>
    <row r="23137" spans="1:9" x14ac:dyDescent="0.25">
      <c r="A23137" s="515">
        <v>68757</v>
      </c>
      <c r="B23137" s="515" t="s">
        <v>649</v>
      </c>
      <c r="C23137" s="52">
        <v>171005.35091753901</v>
      </c>
      <c r="D23137" s="56">
        <v>7.0662967613422875E-2</v>
      </c>
      <c r="E23137" s="224" t="s">
        <v>2</v>
      </c>
      <c r="G23137" s="52"/>
      <c r="H23137" s="56"/>
      <c r="I23137" s="224"/>
    </row>
    <row r="23138" spans="1:9" x14ac:dyDescent="0.25">
      <c r="A23138" s="515">
        <v>76228</v>
      </c>
      <c r="B23138" s="515" t="s">
        <v>328</v>
      </c>
      <c r="C23138" s="52">
        <v>155048.44364901999</v>
      </c>
      <c r="D23138" s="56">
        <v>3.9398666788386182E-2</v>
      </c>
      <c r="E23138" s="224" t="s">
        <v>2</v>
      </c>
      <c r="G23138" s="52"/>
      <c r="H23138" s="56"/>
      <c r="I23138" s="224"/>
    </row>
    <row r="23139" spans="1:9" x14ac:dyDescent="0.25">
      <c r="A23139" s="515">
        <v>68786</v>
      </c>
      <c r="C23139" s="52">
        <v>124953.37292946099</v>
      </c>
      <c r="D23139" s="56">
        <v>0</v>
      </c>
      <c r="E23139" s="224" t="s">
        <v>2</v>
      </c>
      <c r="G23139" s="52"/>
      <c r="H23139" s="56"/>
      <c r="I23139" s="224"/>
    </row>
    <row r="23140" spans="1:9" x14ac:dyDescent="0.25">
      <c r="A23140" s="515">
        <v>55919</v>
      </c>
      <c r="B23140" s="515" t="s">
        <v>635</v>
      </c>
      <c r="C23140" s="52">
        <v>258293.12665489901</v>
      </c>
      <c r="D23140" s="56">
        <v>0.12569371383398351</v>
      </c>
      <c r="E23140" s="224" t="s">
        <v>2</v>
      </c>
      <c r="G23140" s="52"/>
      <c r="H23140" s="56"/>
      <c r="I23140" s="224"/>
    </row>
    <row r="23141" spans="1:9" x14ac:dyDescent="0.25">
      <c r="A23141" s="515">
        <v>68336</v>
      </c>
      <c r="B23141" s="515" t="s">
        <v>486</v>
      </c>
      <c r="C23141" s="52">
        <v>424228.55680344702</v>
      </c>
      <c r="D23141" s="56">
        <v>0.11943686191694936</v>
      </c>
      <c r="E23141" s="224" t="s">
        <v>2</v>
      </c>
      <c r="G23141" s="52"/>
      <c r="H23141" s="56"/>
      <c r="I23141" s="224"/>
    </row>
    <row r="23142" spans="1:9" x14ac:dyDescent="0.25">
      <c r="A23142" s="515">
        <v>52035</v>
      </c>
      <c r="C23142" s="52">
        <v>158484.57468247501</v>
      </c>
      <c r="D23142" s="56">
        <v>6.368847988210978E-2</v>
      </c>
      <c r="E23142" s="224" t="s">
        <v>2</v>
      </c>
      <c r="G23142" s="52"/>
      <c r="H23142" s="56"/>
      <c r="I23142" s="224"/>
    </row>
    <row r="23143" spans="1:9" x14ac:dyDescent="0.25">
      <c r="A23143" s="515">
        <v>43341</v>
      </c>
      <c r="B23143" s="515" t="s">
        <v>530</v>
      </c>
      <c r="C23143" s="52">
        <v>173053.41547882601</v>
      </c>
      <c r="D23143" s="56">
        <v>3.2413252236509288E-2</v>
      </c>
      <c r="E23143" s="224" t="s">
        <v>2</v>
      </c>
      <c r="G23143" s="52"/>
      <c r="H23143" s="56"/>
      <c r="I23143" s="224"/>
    </row>
    <row r="23144" spans="1:9" x14ac:dyDescent="0.25">
      <c r="A23144" s="515">
        <v>6091</v>
      </c>
      <c r="B23144" s="515" t="s">
        <v>894</v>
      </c>
      <c r="C23144" s="52">
        <v>374362.59736223699</v>
      </c>
      <c r="D23144" s="56">
        <v>0.14538303380567247</v>
      </c>
      <c r="E23144" s="224" t="s">
        <v>2</v>
      </c>
      <c r="G23144" s="52"/>
      <c r="H23144" s="56"/>
      <c r="I23144" s="224"/>
    </row>
    <row r="23145" spans="1:9" x14ac:dyDescent="0.25">
      <c r="A23145" s="515">
        <v>95837</v>
      </c>
      <c r="B23145" s="515" t="s">
        <v>355</v>
      </c>
      <c r="C23145" s="52">
        <v>1042869.97229698</v>
      </c>
      <c r="D23145" s="56">
        <v>-1.4228519528869093E-2</v>
      </c>
      <c r="E23145" s="224" t="s">
        <v>2</v>
      </c>
      <c r="G23145" s="52"/>
      <c r="H23145" s="56"/>
      <c r="I23145" s="224"/>
    </row>
    <row r="23146" spans="1:9" x14ac:dyDescent="0.25">
      <c r="A23146" s="515">
        <v>42367</v>
      </c>
      <c r="B23146" s="515" t="s">
        <v>686</v>
      </c>
      <c r="C23146" s="52">
        <v>81939.526267868205</v>
      </c>
      <c r="D23146" s="56">
        <v>6.7281488466058484E-2</v>
      </c>
      <c r="E23146" s="224" t="s">
        <v>2</v>
      </c>
      <c r="G23146" s="52"/>
      <c r="H23146" s="56"/>
      <c r="I23146" s="224"/>
    </row>
    <row r="23147" spans="1:9" x14ac:dyDescent="0.25">
      <c r="A23147" s="515">
        <v>24934</v>
      </c>
      <c r="C23147" s="52">
        <v>120205.356543332</v>
      </c>
      <c r="D23147" s="56">
        <v>8.3839823658758236E-2</v>
      </c>
      <c r="E23147" s="224" t="s">
        <v>2</v>
      </c>
      <c r="G23147" s="52"/>
      <c r="H23147" s="56"/>
      <c r="I23147" s="224"/>
    </row>
    <row r="23148" spans="1:9" x14ac:dyDescent="0.25">
      <c r="A23148" s="515">
        <v>71008</v>
      </c>
      <c r="C23148" s="52">
        <v>79744.485294117607</v>
      </c>
      <c r="D23148" s="56">
        <v>0</v>
      </c>
      <c r="E23148" s="224" t="s">
        <v>2</v>
      </c>
      <c r="G23148" s="52"/>
      <c r="H23148" s="56"/>
      <c r="I23148" s="224"/>
    </row>
    <row r="23149" spans="1:9" x14ac:dyDescent="0.25">
      <c r="A23149" s="515">
        <v>26342</v>
      </c>
      <c r="C23149" s="52">
        <v>111061.296798546</v>
      </c>
      <c r="D23149" s="56">
        <v>6.4494965547516589E-2</v>
      </c>
      <c r="E23149" s="224" t="s">
        <v>2</v>
      </c>
      <c r="G23149" s="52"/>
      <c r="H23149" s="56"/>
      <c r="I23149" s="224"/>
    </row>
    <row r="23150" spans="1:9" x14ac:dyDescent="0.25">
      <c r="A23150" s="515">
        <v>86444</v>
      </c>
      <c r="B23150" s="515" t="s">
        <v>453</v>
      </c>
      <c r="C23150" s="52">
        <v>146047.70709133899</v>
      </c>
      <c r="D23150" s="56">
        <v>7.0599918938672818E-2</v>
      </c>
      <c r="E23150" s="224" t="s">
        <v>2</v>
      </c>
      <c r="G23150" s="52"/>
      <c r="H23150" s="56"/>
      <c r="I23150" s="224"/>
    </row>
    <row r="23151" spans="1:9" x14ac:dyDescent="0.25">
      <c r="A23151" s="515">
        <v>69152</v>
      </c>
      <c r="C23151" s="52">
        <v>98474.400160130797</v>
      </c>
      <c r="D23151" s="56">
        <v>0.2472599696860556</v>
      </c>
      <c r="E23151" s="224" t="s">
        <v>2</v>
      </c>
      <c r="G23151" s="52"/>
      <c r="H23151" s="56"/>
      <c r="I23151" s="224"/>
    </row>
    <row r="23152" spans="1:9" x14ac:dyDescent="0.25">
      <c r="A23152" s="515">
        <v>13420</v>
      </c>
      <c r="B23152" s="515" t="s">
        <v>543</v>
      </c>
      <c r="C23152" s="52">
        <v>457244.15837419301</v>
      </c>
      <c r="D23152" s="56">
        <v>0.10734239513765198</v>
      </c>
      <c r="E23152" s="224" t="s">
        <v>2</v>
      </c>
      <c r="G23152" s="52"/>
      <c r="H23152" s="56"/>
      <c r="I23152" s="224"/>
    </row>
    <row r="23153" spans="1:9" x14ac:dyDescent="0.25">
      <c r="A23153" s="515">
        <v>38390</v>
      </c>
      <c r="C23153" s="52">
        <v>180533.59147799201</v>
      </c>
      <c r="D23153" s="56">
        <v>0</v>
      </c>
      <c r="E23153" s="224" t="s">
        <v>2</v>
      </c>
      <c r="G23153" s="52"/>
      <c r="H23153" s="56"/>
      <c r="I23153" s="224"/>
    </row>
    <row r="23154" spans="1:9" x14ac:dyDescent="0.25">
      <c r="A23154" s="515">
        <v>47244</v>
      </c>
      <c r="B23154" s="515" t="s">
        <v>729</v>
      </c>
      <c r="C23154" s="52">
        <v>219007.03376907</v>
      </c>
      <c r="D23154" s="56">
        <v>0.1120115965234063</v>
      </c>
      <c r="E23154" s="224" t="s">
        <v>2</v>
      </c>
      <c r="G23154" s="52"/>
      <c r="H23154" s="56"/>
      <c r="I23154" s="224"/>
    </row>
    <row r="23155" spans="1:9" x14ac:dyDescent="0.25">
      <c r="A23155" s="515">
        <v>41828</v>
      </c>
      <c r="C23155" s="52">
        <v>92115.602613305397</v>
      </c>
      <c r="D23155" s="56">
        <v>0.29009713294449757</v>
      </c>
      <c r="E23155" s="224" t="s">
        <v>2</v>
      </c>
      <c r="G23155" s="52"/>
      <c r="H23155" s="56"/>
      <c r="I23155" s="224"/>
    </row>
    <row r="23156" spans="1:9" x14ac:dyDescent="0.25">
      <c r="A23156" s="515">
        <v>66033</v>
      </c>
      <c r="C23156" s="52">
        <v>191470.34944381501</v>
      </c>
      <c r="D23156" s="56">
        <v>0.18832236115777365</v>
      </c>
      <c r="E23156" s="224" t="s">
        <v>2</v>
      </c>
      <c r="G23156" s="52"/>
      <c r="H23156" s="56"/>
      <c r="I23156" s="224"/>
    </row>
    <row r="23157" spans="1:9" x14ac:dyDescent="0.25">
      <c r="A23157" s="515">
        <v>21622</v>
      </c>
      <c r="B23157" s="515" t="s">
        <v>388</v>
      </c>
      <c r="C23157" s="52">
        <v>208884.504056865</v>
      </c>
      <c r="D23157" s="56">
        <v>0</v>
      </c>
      <c r="E23157" s="224" t="s">
        <v>2</v>
      </c>
      <c r="G23157" s="52"/>
      <c r="H23157" s="56"/>
      <c r="I23157" s="224"/>
    </row>
    <row r="23158" spans="1:9" x14ac:dyDescent="0.25">
      <c r="A23158" s="515">
        <v>64430</v>
      </c>
      <c r="B23158" s="515" t="s">
        <v>371</v>
      </c>
      <c r="C23158" s="52">
        <v>191897.703243995</v>
      </c>
      <c r="D23158" s="56">
        <v>4.5363951143774913E-3</v>
      </c>
      <c r="E23158" s="224" t="s">
        <v>2</v>
      </c>
      <c r="G23158" s="52"/>
      <c r="H23158" s="56"/>
      <c r="I23158" s="224"/>
    </row>
    <row r="23159" spans="1:9" x14ac:dyDescent="0.25">
      <c r="A23159" s="515">
        <v>62465</v>
      </c>
      <c r="C23159" s="52">
        <v>124595.040983606</v>
      </c>
      <c r="D23159" s="56">
        <v>0</v>
      </c>
      <c r="E23159" s="224" t="s">
        <v>2</v>
      </c>
      <c r="G23159" s="52"/>
      <c r="H23159" s="56"/>
      <c r="I23159" s="224"/>
    </row>
    <row r="23160" spans="1:9" x14ac:dyDescent="0.25">
      <c r="A23160" s="515">
        <v>85553</v>
      </c>
      <c r="B23160" s="515" t="s">
        <v>692</v>
      </c>
      <c r="C23160" s="52">
        <v>284783.06796116498</v>
      </c>
      <c r="D23160" s="56">
        <v>0</v>
      </c>
      <c r="E23160" s="224" t="s">
        <v>2</v>
      </c>
      <c r="G23160" s="52"/>
      <c r="H23160" s="56"/>
      <c r="I23160" s="224"/>
    </row>
    <row r="23161" spans="1:9" x14ac:dyDescent="0.25">
      <c r="A23161" s="515">
        <v>59324</v>
      </c>
      <c r="C23161" s="52">
        <v>196821.449171416</v>
      </c>
      <c r="D23161" s="56">
        <v>0.17323974652502797</v>
      </c>
      <c r="E23161" s="224" t="s">
        <v>2</v>
      </c>
      <c r="G23161" s="52"/>
      <c r="H23161" s="56"/>
      <c r="I23161" s="224"/>
    </row>
    <row r="23162" spans="1:9" x14ac:dyDescent="0.25">
      <c r="A23162" s="515">
        <v>15686</v>
      </c>
      <c r="B23162" s="515" t="s">
        <v>297</v>
      </c>
      <c r="C23162" s="52">
        <v>190086.233666741</v>
      </c>
      <c r="D23162" s="56">
        <v>3.980238665342592E-2</v>
      </c>
      <c r="E23162" s="224" t="s">
        <v>2</v>
      </c>
      <c r="G23162" s="52"/>
      <c r="H23162" s="56"/>
      <c r="I23162" s="224"/>
    </row>
    <row r="23163" spans="1:9" x14ac:dyDescent="0.25">
      <c r="A23163" s="515">
        <v>22736</v>
      </c>
      <c r="B23163" s="515" t="s">
        <v>321</v>
      </c>
      <c r="C23163" s="52">
        <v>375613.99406484998</v>
      </c>
      <c r="D23163" s="56">
        <v>8.7039593193675796E-2</v>
      </c>
      <c r="E23163" s="224" t="s">
        <v>2</v>
      </c>
      <c r="G23163" s="52"/>
      <c r="H23163" s="56"/>
      <c r="I23163" s="224"/>
    </row>
    <row r="23164" spans="1:9" x14ac:dyDescent="0.25">
      <c r="A23164" s="515">
        <v>97641</v>
      </c>
      <c r="C23164" s="52">
        <v>145179.287878787</v>
      </c>
      <c r="D23164" s="56">
        <v>0</v>
      </c>
      <c r="E23164" s="224" t="s">
        <v>2</v>
      </c>
      <c r="G23164" s="52"/>
      <c r="H23164" s="56"/>
      <c r="I23164" s="224"/>
    </row>
    <row r="23165" spans="1:9" x14ac:dyDescent="0.25">
      <c r="A23165" s="515">
        <v>24872</v>
      </c>
      <c r="C23165" s="52">
        <v>31456.050305728801</v>
      </c>
      <c r="D23165" s="56">
        <v>-3.0668015134144456E-2</v>
      </c>
      <c r="E23165" s="224" t="s">
        <v>2</v>
      </c>
      <c r="G23165" s="52"/>
      <c r="H23165" s="56"/>
      <c r="I23165" s="224"/>
    </row>
    <row r="23166" spans="1:9" x14ac:dyDescent="0.25">
      <c r="A23166" s="515">
        <v>55711</v>
      </c>
      <c r="B23166" s="515" t="s">
        <v>350</v>
      </c>
      <c r="C23166" s="52">
        <v>200715.14499566099</v>
      </c>
      <c r="D23166" s="56">
        <v>7.4903890171651347E-2</v>
      </c>
      <c r="E23166" s="224" t="s">
        <v>2</v>
      </c>
      <c r="G23166" s="52"/>
      <c r="H23166" s="56"/>
      <c r="I23166" s="224"/>
    </row>
    <row r="23167" spans="1:9" x14ac:dyDescent="0.25">
      <c r="A23167" s="515">
        <v>68662</v>
      </c>
      <c r="C23167" s="52">
        <v>172323.663853937</v>
      </c>
      <c r="D23167" s="56">
        <v>3.4562050853491504E-3</v>
      </c>
      <c r="E23167" s="224" t="s">
        <v>2</v>
      </c>
      <c r="G23167" s="52"/>
      <c r="H23167" s="56"/>
      <c r="I23167" s="224"/>
    </row>
    <row r="23168" spans="1:9" x14ac:dyDescent="0.25">
      <c r="A23168" s="515">
        <v>68939</v>
      </c>
      <c r="C23168" s="52">
        <v>94497.967456752303</v>
      </c>
      <c r="D23168" s="56">
        <v>2.8999253596723531E-2</v>
      </c>
      <c r="E23168" s="224" t="s">
        <v>2</v>
      </c>
      <c r="G23168" s="52"/>
      <c r="H23168" s="56"/>
      <c r="I23168" s="224"/>
    </row>
    <row r="23169" spans="1:9" x14ac:dyDescent="0.25">
      <c r="A23169" s="515">
        <v>66093</v>
      </c>
      <c r="C23169" s="52">
        <v>181033.12294050099</v>
      </c>
      <c r="D23169" s="56">
        <v>0.24230385973501894</v>
      </c>
      <c r="E23169" s="224" t="s">
        <v>2</v>
      </c>
      <c r="G23169" s="52"/>
      <c r="H23169" s="56"/>
      <c r="I23169" s="224"/>
    </row>
    <row r="23170" spans="1:9" x14ac:dyDescent="0.25">
      <c r="A23170" s="515">
        <v>12856</v>
      </c>
      <c r="B23170" s="515" t="s">
        <v>422</v>
      </c>
      <c r="C23170" s="52">
        <v>293298.24388853199</v>
      </c>
      <c r="D23170" s="56">
        <v>9.6024414572248043E-2</v>
      </c>
      <c r="E23170" s="224" t="s">
        <v>2</v>
      </c>
      <c r="G23170" s="52"/>
      <c r="H23170" s="56"/>
      <c r="I23170" s="224"/>
    </row>
    <row r="23171" spans="1:9" x14ac:dyDescent="0.25">
      <c r="A23171" s="515">
        <v>42085</v>
      </c>
      <c r="B23171" s="515" t="s">
        <v>933</v>
      </c>
      <c r="C23171" s="52">
        <v>114511.281357792</v>
      </c>
      <c r="D23171" s="56">
        <v>0.30762907526715527</v>
      </c>
      <c r="E23171" s="224" t="s">
        <v>2</v>
      </c>
      <c r="G23171" s="52"/>
      <c r="H23171" s="56"/>
      <c r="I23171" s="224"/>
    </row>
    <row r="23172" spans="1:9" x14ac:dyDescent="0.25">
      <c r="A23172" s="515">
        <v>43788</v>
      </c>
      <c r="C23172" s="52">
        <v>145948.96324345499</v>
      </c>
      <c r="D23172" s="56">
        <v>4.3722535187110605E-2</v>
      </c>
      <c r="E23172" s="224" t="s">
        <v>2</v>
      </c>
      <c r="G23172" s="52"/>
      <c r="H23172" s="56"/>
      <c r="I23172" s="224"/>
    </row>
    <row r="23173" spans="1:9" x14ac:dyDescent="0.25">
      <c r="A23173" s="515">
        <v>39097</v>
      </c>
      <c r="C23173" s="52">
        <v>85705.654152168805</v>
      </c>
      <c r="D23173" s="56">
        <v>8.4940387973411399E-2</v>
      </c>
      <c r="E23173" s="224" t="s">
        <v>2</v>
      </c>
      <c r="G23173" s="52"/>
      <c r="H23173" s="56"/>
      <c r="I23173" s="224"/>
    </row>
    <row r="23174" spans="1:9" x14ac:dyDescent="0.25">
      <c r="A23174" s="515">
        <v>36370</v>
      </c>
      <c r="B23174" s="515" t="s">
        <v>816</v>
      </c>
      <c r="C23174" s="52">
        <v>140172.108349385</v>
      </c>
      <c r="D23174" s="56">
        <v>7.1445957961956519E-2</v>
      </c>
      <c r="E23174" s="224" t="s">
        <v>2</v>
      </c>
      <c r="G23174" s="52"/>
      <c r="H23174" s="56"/>
      <c r="I23174" s="224"/>
    </row>
    <row r="23175" spans="1:9" x14ac:dyDescent="0.25">
      <c r="A23175" s="515">
        <v>95636</v>
      </c>
      <c r="B23175" s="515" t="s">
        <v>355</v>
      </c>
      <c r="C23175" s="52">
        <v>327347.22688740602</v>
      </c>
      <c r="D23175" s="56">
        <v>-5.5200421085240169E-2</v>
      </c>
      <c r="E23175" s="224" t="s">
        <v>2</v>
      </c>
      <c r="G23175" s="52"/>
      <c r="H23175" s="56"/>
      <c r="I23175" s="224"/>
    </row>
    <row r="23176" spans="1:9" x14ac:dyDescent="0.25">
      <c r="A23176" s="515">
        <v>18616</v>
      </c>
      <c r="C23176" s="52">
        <v>192745.13347826499</v>
      </c>
      <c r="D23176" s="56">
        <v>9.3652798677145904E-2</v>
      </c>
      <c r="E23176" s="224" t="s">
        <v>2</v>
      </c>
      <c r="G23176" s="52"/>
      <c r="H23176" s="56"/>
      <c r="I23176" s="224"/>
    </row>
    <row r="23177" spans="1:9" x14ac:dyDescent="0.25">
      <c r="A23177" s="515">
        <v>99130</v>
      </c>
      <c r="B23177" s="515" t="s">
        <v>450</v>
      </c>
      <c r="C23177" s="52">
        <v>247087.36099906499</v>
      </c>
      <c r="D23177" s="56">
        <v>6.3893696138564895E-2</v>
      </c>
      <c r="E23177" s="224" t="s">
        <v>2</v>
      </c>
      <c r="G23177" s="52"/>
      <c r="H23177" s="56"/>
      <c r="I23177" s="224"/>
    </row>
    <row r="23178" spans="1:9" x14ac:dyDescent="0.25">
      <c r="A23178" s="515">
        <v>18435</v>
      </c>
      <c r="B23178" s="515" t="s">
        <v>324</v>
      </c>
      <c r="C23178" s="52">
        <v>311632.083773372</v>
      </c>
      <c r="D23178" s="56">
        <v>0.11090629595920516</v>
      </c>
      <c r="E23178" s="224" t="s">
        <v>2</v>
      </c>
      <c r="G23178" s="52"/>
      <c r="H23178" s="56"/>
      <c r="I23178" s="224"/>
    </row>
    <row r="23179" spans="1:9" x14ac:dyDescent="0.25">
      <c r="A23179" s="515">
        <v>59930</v>
      </c>
      <c r="C23179" s="52">
        <v>488925.17011938401</v>
      </c>
      <c r="D23179" s="56">
        <v>8.0441968684906884E-2</v>
      </c>
      <c r="E23179" s="224" t="s">
        <v>2</v>
      </c>
      <c r="G23179" s="52"/>
      <c r="H23179" s="56"/>
      <c r="I23179" s="224"/>
    </row>
    <row r="23180" spans="1:9" x14ac:dyDescent="0.25">
      <c r="A23180" s="515">
        <v>26680</v>
      </c>
      <c r="C23180" s="52">
        <v>117091.705737985</v>
      </c>
      <c r="D23180" s="56">
        <v>0.15959231403614177</v>
      </c>
      <c r="E23180" s="224" t="s">
        <v>2</v>
      </c>
      <c r="G23180" s="52"/>
      <c r="H23180" s="56"/>
      <c r="I23180" s="224"/>
    </row>
    <row r="23181" spans="1:9" x14ac:dyDescent="0.25">
      <c r="A23181" s="515">
        <v>64649</v>
      </c>
      <c r="B23181" s="515" t="s">
        <v>455</v>
      </c>
      <c r="C23181" s="52">
        <v>197263.07255188501</v>
      </c>
      <c r="D23181" s="56">
        <v>8.7340638211547098E-2</v>
      </c>
      <c r="E23181" s="224" t="s">
        <v>2</v>
      </c>
      <c r="G23181" s="52"/>
      <c r="H23181" s="56"/>
      <c r="I23181" s="224"/>
    </row>
    <row r="23182" spans="1:9" x14ac:dyDescent="0.25">
      <c r="A23182" s="515">
        <v>54202</v>
      </c>
      <c r="C23182" s="52">
        <v>383576.09641583398</v>
      </c>
      <c r="D23182" s="56">
        <v>0.13891144034058509</v>
      </c>
      <c r="E23182" s="224" t="s">
        <v>2</v>
      </c>
      <c r="G23182" s="52"/>
      <c r="H23182" s="56"/>
      <c r="I23182" s="224"/>
    </row>
    <row r="23183" spans="1:9" x14ac:dyDescent="0.25">
      <c r="A23183" s="515">
        <v>84724</v>
      </c>
      <c r="C23183" s="52">
        <v>172309.487781679</v>
      </c>
      <c r="D23183" s="56">
        <v>0</v>
      </c>
      <c r="E23183" s="224" t="s">
        <v>2</v>
      </c>
      <c r="G23183" s="52"/>
      <c r="H23183" s="56"/>
      <c r="I23183" s="224"/>
    </row>
    <row r="23184" spans="1:9" x14ac:dyDescent="0.25">
      <c r="A23184" s="515">
        <v>60935</v>
      </c>
      <c r="B23184" s="515" t="s">
        <v>774</v>
      </c>
      <c r="C23184" s="52">
        <v>218421.481963775</v>
      </c>
      <c r="D23184" s="56">
        <v>8.5913000771805997E-2</v>
      </c>
      <c r="E23184" s="224" t="s">
        <v>2</v>
      </c>
      <c r="G23184" s="52"/>
      <c r="H23184" s="56"/>
      <c r="I23184" s="224"/>
    </row>
    <row r="23185" spans="1:9" x14ac:dyDescent="0.25">
      <c r="A23185" s="515">
        <v>24828</v>
      </c>
      <c r="C23185" s="52">
        <v>35637.4259509318</v>
      </c>
      <c r="D23185" s="56">
        <v>-9.2692693125699527E-2</v>
      </c>
      <c r="E23185" s="224" t="s">
        <v>2</v>
      </c>
      <c r="G23185" s="52"/>
      <c r="H23185" s="56"/>
      <c r="I23185" s="224"/>
    </row>
    <row r="23186" spans="1:9" x14ac:dyDescent="0.25">
      <c r="A23186" s="515">
        <v>22709</v>
      </c>
      <c r="B23186" s="515" t="s">
        <v>321</v>
      </c>
      <c r="C23186" s="52">
        <v>334429.10613295098</v>
      </c>
      <c r="D23186" s="56">
        <v>6.9028671088104815E-2</v>
      </c>
      <c r="E23186" s="224" t="s">
        <v>2</v>
      </c>
      <c r="G23186" s="52"/>
      <c r="H23186" s="56"/>
      <c r="I23186" s="224"/>
    </row>
    <row r="23187" spans="1:9" x14ac:dyDescent="0.25">
      <c r="A23187" s="515">
        <v>12873</v>
      </c>
      <c r="B23187" s="515" t="s">
        <v>422</v>
      </c>
      <c r="C23187" s="52">
        <v>220944.378892295</v>
      </c>
      <c r="D23187" s="56">
        <v>3.508519742288848E-2</v>
      </c>
      <c r="E23187" s="224" t="s">
        <v>2</v>
      </c>
      <c r="G23187" s="52"/>
      <c r="H23187" s="56"/>
      <c r="I23187" s="224"/>
    </row>
    <row r="23188" spans="1:9" x14ac:dyDescent="0.25">
      <c r="A23188" s="515">
        <v>73655</v>
      </c>
      <c r="C23188" s="52">
        <v>78872.173227545907</v>
      </c>
      <c r="D23188" s="56">
        <v>0.15892787935165861</v>
      </c>
      <c r="E23188" s="224" t="s">
        <v>2</v>
      </c>
      <c r="G23188" s="52"/>
      <c r="H23188" s="56"/>
      <c r="I23188" s="224"/>
    </row>
    <row r="23189" spans="1:9" x14ac:dyDescent="0.25">
      <c r="A23189" s="515">
        <v>58275</v>
      </c>
      <c r="B23189" s="515" t="s">
        <v>624</v>
      </c>
      <c r="C23189" s="52">
        <v>181284.60487963699</v>
      </c>
      <c r="D23189" s="56">
        <v>6.009216191288881E-3</v>
      </c>
      <c r="E23189" s="224" t="s">
        <v>2</v>
      </c>
      <c r="G23189" s="52"/>
      <c r="H23189" s="56"/>
      <c r="I23189" s="224"/>
    </row>
    <row r="23190" spans="1:9" x14ac:dyDescent="0.25">
      <c r="A23190" s="515">
        <v>58785</v>
      </c>
      <c r="B23190" s="515" t="s">
        <v>849</v>
      </c>
      <c r="C23190" s="52">
        <v>277917.84697020199</v>
      </c>
      <c r="D23190" s="56">
        <v>1.0538018699545813E-2</v>
      </c>
      <c r="E23190" s="224" t="s">
        <v>2</v>
      </c>
      <c r="G23190" s="52"/>
      <c r="H23190" s="56"/>
      <c r="I23190" s="224"/>
    </row>
    <row r="23191" spans="1:9" x14ac:dyDescent="0.25">
      <c r="A23191" s="515">
        <v>60952</v>
      </c>
      <c r="C23191" s="52">
        <v>77529.871733213906</v>
      </c>
      <c r="D23191" s="56">
        <v>-1.0882009284123322E-2</v>
      </c>
      <c r="E23191" s="224" t="s">
        <v>2</v>
      </c>
      <c r="G23191" s="52"/>
      <c r="H23191" s="56"/>
      <c r="I23191" s="224"/>
    </row>
    <row r="23192" spans="1:9" x14ac:dyDescent="0.25">
      <c r="A23192" s="515">
        <v>86436</v>
      </c>
      <c r="B23192" s="515" t="s">
        <v>453</v>
      </c>
      <c r="C23192" s="52">
        <v>217254.945302223</v>
      </c>
      <c r="D23192" s="56">
        <v>8.5661458380559635E-2</v>
      </c>
      <c r="E23192" s="224" t="s">
        <v>2</v>
      </c>
      <c r="G23192" s="52"/>
      <c r="H23192" s="56"/>
      <c r="I23192" s="224"/>
    </row>
    <row r="23193" spans="1:9" x14ac:dyDescent="0.25">
      <c r="A23193" s="515">
        <v>56228</v>
      </c>
      <c r="C23193" s="52">
        <v>140163.50491640001</v>
      </c>
      <c r="D23193" s="56">
        <v>-1.9528914291062162E-2</v>
      </c>
      <c r="E23193" s="224" t="s">
        <v>2</v>
      </c>
      <c r="G23193" s="52"/>
      <c r="H23193" s="56"/>
      <c r="I23193" s="224"/>
    </row>
    <row r="23194" spans="1:9" x14ac:dyDescent="0.25">
      <c r="A23194" s="515">
        <v>12851</v>
      </c>
      <c r="C23194" s="52">
        <v>202000.50905973499</v>
      </c>
      <c r="D23194" s="56">
        <v>0.1301721264079676</v>
      </c>
      <c r="E23194" s="224" t="s">
        <v>2</v>
      </c>
      <c r="G23194" s="52"/>
      <c r="H23194" s="56"/>
      <c r="I23194" s="224"/>
    </row>
    <row r="23195" spans="1:9" x14ac:dyDescent="0.25">
      <c r="A23195" s="515">
        <v>64474</v>
      </c>
      <c r="B23195" s="515" t="s">
        <v>371</v>
      </c>
      <c r="C23195" s="52">
        <v>191005.018755875</v>
      </c>
      <c r="D23195" s="56">
        <v>3.029271793998348E-2</v>
      </c>
      <c r="E23195" s="224" t="s">
        <v>2</v>
      </c>
      <c r="G23195" s="52"/>
      <c r="H23195" s="56"/>
      <c r="I23195" s="224"/>
    </row>
    <row r="23196" spans="1:9" x14ac:dyDescent="0.25">
      <c r="A23196" s="515">
        <v>71044</v>
      </c>
      <c r="B23196" s="515" t="s">
        <v>739</v>
      </c>
      <c r="C23196" s="52">
        <v>83676.725590500006</v>
      </c>
      <c r="D23196" s="56">
        <v>0.11545956935263059</v>
      </c>
      <c r="E23196" s="224" t="s">
        <v>2</v>
      </c>
      <c r="G23196" s="52"/>
      <c r="H23196" s="56"/>
      <c r="I23196" s="224"/>
    </row>
    <row r="23197" spans="1:9" x14ac:dyDescent="0.25">
      <c r="A23197" s="515">
        <v>26137</v>
      </c>
      <c r="C23197" s="52">
        <v>92232.355269535095</v>
      </c>
      <c r="D23197" s="56">
        <v>0.12320148053257118</v>
      </c>
      <c r="E23197" s="224" t="s">
        <v>2</v>
      </c>
      <c r="G23197" s="52"/>
      <c r="H23197" s="56"/>
      <c r="I23197" s="224"/>
    </row>
    <row r="23198" spans="1:9" x14ac:dyDescent="0.25">
      <c r="A23198" s="515">
        <v>55333</v>
      </c>
      <c r="C23198" s="52">
        <v>134610.18712673601</v>
      </c>
      <c r="D23198" s="56">
        <v>4.6641924486147651E-2</v>
      </c>
      <c r="E23198" s="224" t="s">
        <v>2</v>
      </c>
      <c r="G23198" s="52"/>
      <c r="H23198" s="56"/>
      <c r="I23198" s="224"/>
    </row>
    <row r="23199" spans="1:9" x14ac:dyDescent="0.25">
      <c r="A23199" s="515">
        <v>23843</v>
      </c>
      <c r="C23199" s="52">
        <v>112372.631578947</v>
      </c>
      <c r="D23199" s="56">
        <v>0</v>
      </c>
      <c r="E23199" s="224" t="s">
        <v>2</v>
      </c>
      <c r="G23199" s="52"/>
      <c r="H23199" s="56"/>
      <c r="I23199" s="224"/>
    </row>
    <row r="23200" spans="1:9" x14ac:dyDescent="0.25">
      <c r="A23200" s="515">
        <v>47833</v>
      </c>
      <c r="B23200" s="515" t="s">
        <v>318</v>
      </c>
      <c r="C23200" s="52">
        <v>198214.12967426001</v>
      </c>
      <c r="D23200" s="56">
        <v>0.12105081760764888</v>
      </c>
      <c r="E23200" s="224" t="s">
        <v>2</v>
      </c>
      <c r="G23200" s="52"/>
      <c r="H23200" s="56"/>
      <c r="I23200" s="224"/>
    </row>
    <row r="23201" spans="1:9" x14ac:dyDescent="0.25">
      <c r="A23201" s="515">
        <v>55017</v>
      </c>
      <c r="B23201" s="515" t="s">
        <v>532</v>
      </c>
      <c r="C23201" s="52">
        <v>314676.19960254</v>
      </c>
      <c r="D23201" s="56">
        <v>5.9301002957223861E-2</v>
      </c>
      <c r="E23201" s="224" t="s">
        <v>2</v>
      </c>
      <c r="G23201" s="52"/>
      <c r="H23201" s="56"/>
      <c r="I23201" s="224"/>
    </row>
    <row r="23202" spans="1:9" x14ac:dyDescent="0.25">
      <c r="A23202" s="515">
        <v>1367</v>
      </c>
      <c r="B23202" s="515" t="s">
        <v>575</v>
      </c>
      <c r="C23202" s="52">
        <v>281439.67340347997</v>
      </c>
      <c r="D23202" s="56">
        <v>0.10090936616468027</v>
      </c>
      <c r="E23202" s="224" t="s">
        <v>2</v>
      </c>
      <c r="G23202" s="52"/>
      <c r="H23202" s="56"/>
      <c r="I23202" s="224"/>
    </row>
    <row r="23203" spans="1:9" x14ac:dyDescent="0.25">
      <c r="A23203" s="515">
        <v>36749</v>
      </c>
      <c r="B23203" s="515" t="s">
        <v>806</v>
      </c>
      <c r="C23203" s="52">
        <v>120990.87612084</v>
      </c>
      <c r="D23203" s="56">
        <v>5.8628339236459395E-2</v>
      </c>
      <c r="E23203" s="224" t="s">
        <v>2</v>
      </c>
      <c r="G23203" s="52"/>
      <c r="H23203" s="56"/>
      <c r="I23203" s="224"/>
    </row>
    <row r="23204" spans="1:9" x14ac:dyDescent="0.25">
      <c r="A23204" s="515">
        <v>49719</v>
      </c>
      <c r="C23204" s="52">
        <v>210865.51479066201</v>
      </c>
      <c r="D23204" s="56">
        <v>0.11734456853439021</v>
      </c>
      <c r="E23204" s="224" t="s">
        <v>2</v>
      </c>
      <c r="G23204" s="52"/>
      <c r="H23204" s="56"/>
      <c r="I23204" s="224"/>
    </row>
    <row r="23205" spans="1:9" x14ac:dyDescent="0.25">
      <c r="A23205" s="515">
        <v>52720</v>
      </c>
      <c r="B23205" s="515" t="s">
        <v>755</v>
      </c>
      <c r="C23205" s="52">
        <v>169022.92598920799</v>
      </c>
      <c r="D23205" s="56">
        <v>8.2360545499089152E-2</v>
      </c>
      <c r="E23205" s="224" t="s">
        <v>2</v>
      </c>
      <c r="G23205" s="52"/>
      <c r="H23205" s="56"/>
      <c r="I23205" s="224"/>
    </row>
    <row r="23206" spans="1:9" x14ac:dyDescent="0.25">
      <c r="A23206" s="515">
        <v>62477</v>
      </c>
      <c r="C23206" s="52">
        <v>79187.343956644094</v>
      </c>
      <c r="D23206" s="56">
        <v>0.12017330542396554</v>
      </c>
      <c r="E23206" s="224" t="s">
        <v>2</v>
      </c>
      <c r="G23206" s="52"/>
      <c r="H23206" s="56"/>
      <c r="I23206" s="224"/>
    </row>
    <row r="23207" spans="1:9" x14ac:dyDescent="0.25">
      <c r="A23207" s="515">
        <v>47325</v>
      </c>
      <c r="B23207" s="515" t="s">
        <v>344</v>
      </c>
      <c r="C23207" s="52">
        <v>167231.617185471</v>
      </c>
      <c r="D23207" s="56">
        <v>8.1404398769744868E-2</v>
      </c>
      <c r="E23207" s="224" t="s">
        <v>2</v>
      </c>
      <c r="G23207" s="52"/>
      <c r="H23207" s="56"/>
      <c r="I23207" s="224"/>
    </row>
    <row r="23208" spans="1:9" x14ac:dyDescent="0.25">
      <c r="A23208" s="515">
        <v>62217</v>
      </c>
      <c r="C23208" s="52">
        <v>96232.313043478207</v>
      </c>
      <c r="D23208" s="56">
        <v>0</v>
      </c>
      <c r="E23208" s="224" t="s">
        <v>2</v>
      </c>
      <c r="G23208" s="52"/>
      <c r="H23208" s="56"/>
      <c r="I23208" s="224"/>
    </row>
    <row r="23209" spans="1:9" x14ac:dyDescent="0.25">
      <c r="A23209" s="515">
        <v>52549</v>
      </c>
      <c r="C23209" s="52">
        <v>91445.062885215404</v>
      </c>
      <c r="D23209" s="56">
        <v>0</v>
      </c>
      <c r="E23209" s="224" t="s">
        <v>2</v>
      </c>
      <c r="G23209" s="52"/>
      <c r="H23209" s="56"/>
      <c r="I23209" s="224"/>
    </row>
    <row r="23210" spans="1:9" x14ac:dyDescent="0.25">
      <c r="A23210" s="515">
        <v>50480</v>
      </c>
      <c r="C23210" s="52">
        <v>92698.437104616503</v>
      </c>
      <c r="D23210" s="56">
        <v>0</v>
      </c>
      <c r="E23210" s="224" t="s">
        <v>2</v>
      </c>
      <c r="G23210" s="52"/>
      <c r="H23210" s="56"/>
      <c r="I23210" s="224"/>
    </row>
    <row r="23211" spans="1:9" x14ac:dyDescent="0.25">
      <c r="A23211" s="515">
        <v>65614</v>
      </c>
      <c r="B23211" s="515" t="s">
        <v>757</v>
      </c>
      <c r="C23211" s="52">
        <v>197678.55802388501</v>
      </c>
      <c r="D23211" s="56">
        <v>0.15634564334966977</v>
      </c>
      <c r="E23211" s="224" t="s">
        <v>2</v>
      </c>
      <c r="G23211" s="52"/>
      <c r="H23211" s="56"/>
      <c r="I23211" s="224"/>
    </row>
    <row r="23212" spans="1:9" x14ac:dyDescent="0.25">
      <c r="A23212" s="515">
        <v>52721</v>
      </c>
      <c r="C23212" s="52">
        <v>191325.15122888499</v>
      </c>
      <c r="D23212" s="56">
        <v>0.11328892597505336</v>
      </c>
      <c r="E23212" s="224" t="s">
        <v>2</v>
      </c>
      <c r="G23212" s="52"/>
      <c r="H23212" s="56"/>
      <c r="I23212" s="224"/>
    </row>
    <row r="23213" spans="1:9" x14ac:dyDescent="0.25">
      <c r="A23213" s="515">
        <v>46110</v>
      </c>
      <c r="B23213" s="515" t="s">
        <v>403</v>
      </c>
      <c r="C23213" s="52">
        <v>274641.85087670898</v>
      </c>
      <c r="D23213" s="56">
        <v>6.1782174734516533E-2</v>
      </c>
      <c r="E23213" s="224" t="s">
        <v>2</v>
      </c>
      <c r="G23213" s="52"/>
      <c r="H23213" s="56"/>
      <c r="I23213" s="224"/>
    </row>
    <row r="23214" spans="1:9" x14ac:dyDescent="0.25">
      <c r="A23214" s="515">
        <v>66852</v>
      </c>
      <c r="C23214" s="52">
        <v>129259.608713842</v>
      </c>
      <c r="D23214" s="56">
        <v>0.11765098074685333</v>
      </c>
      <c r="E23214" s="224" t="s">
        <v>2</v>
      </c>
      <c r="G23214" s="52"/>
      <c r="H23214" s="56"/>
      <c r="I23214" s="224"/>
    </row>
    <row r="23215" spans="1:9" x14ac:dyDescent="0.25">
      <c r="A23215" s="515">
        <v>13665</v>
      </c>
      <c r="C23215" s="52">
        <v>140664.31356355699</v>
      </c>
      <c r="D23215" s="56">
        <v>0.15445226812467122</v>
      </c>
      <c r="E23215" s="224" t="s">
        <v>2</v>
      </c>
      <c r="G23215" s="52"/>
      <c r="H23215" s="56"/>
      <c r="I23215" s="224"/>
    </row>
    <row r="23216" spans="1:9" x14ac:dyDescent="0.25">
      <c r="A23216" s="515">
        <v>52729</v>
      </c>
      <c r="B23216" s="515" t="s">
        <v>330</v>
      </c>
      <c r="C23216" s="52">
        <v>171308.943258663</v>
      </c>
      <c r="D23216" s="56">
        <v>0.10602634328829287</v>
      </c>
      <c r="E23216" s="224" t="s">
        <v>2</v>
      </c>
      <c r="G23216" s="52"/>
      <c r="H23216" s="56"/>
      <c r="I23216" s="224"/>
    </row>
    <row r="23217" spans="1:9" x14ac:dyDescent="0.25">
      <c r="A23217" s="515">
        <v>47578</v>
      </c>
      <c r="B23217" s="515" t="s">
        <v>573</v>
      </c>
      <c r="C23217" s="52">
        <v>113098.66734896701</v>
      </c>
      <c r="D23217" s="56">
        <v>3.5388230376522223E-2</v>
      </c>
      <c r="E23217" s="224" t="s">
        <v>2</v>
      </c>
      <c r="G23217" s="52"/>
      <c r="H23217" s="56"/>
      <c r="I23217" s="224"/>
    </row>
    <row r="23218" spans="1:9" x14ac:dyDescent="0.25">
      <c r="A23218" s="515">
        <v>52649</v>
      </c>
      <c r="C23218" s="52">
        <v>157377.03005695</v>
      </c>
      <c r="D23218" s="56">
        <v>0</v>
      </c>
      <c r="E23218" s="224" t="s">
        <v>2</v>
      </c>
      <c r="G23218" s="52"/>
      <c r="H23218" s="56"/>
      <c r="I23218" s="224"/>
    </row>
    <row r="23219" spans="1:9" x14ac:dyDescent="0.25">
      <c r="A23219" s="515">
        <v>60029</v>
      </c>
      <c r="B23219" s="515" t="s">
        <v>394</v>
      </c>
      <c r="C23219" s="52">
        <v>914697.06102685898</v>
      </c>
      <c r="D23219" s="56">
        <v>3.1620156759572401E-2</v>
      </c>
      <c r="E23219" s="224" t="s">
        <v>2</v>
      </c>
      <c r="G23219" s="52"/>
      <c r="H23219" s="56"/>
      <c r="I23219" s="224"/>
    </row>
    <row r="23220" spans="1:9" x14ac:dyDescent="0.25">
      <c r="A23220" s="515">
        <v>38044</v>
      </c>
      <c r="C23220" s="52">
        <v>115812.654730583</v>
      </c>
      <c r="D23220" s="56">
        <v>0</v>
      </c>
      <c r="E23220" s="224" t="s">
        <v>2</v>
      </c>
      <c r="G23220" s="52"/>
      <c r="H23220" s="56"/>
      <c r="I23220" s="224"/>
    </row>
    <row r="23221" spans="1:9" x14ac:dyDescent="0.25">
      <c r="A23221" s="515">
        <v>45894</v>
      </c>
      <c r="B23221" s="515" t="s">
        <v>818</v>
      </c>
      <c r="C23221" s="52">
        <v>166658.24394208999</v>
      </c>
      <c r="D23221" s="56">
        <v>0.11976760084791992</v>
      </c>
      <c r="E23221" s="224" t="s">
        <v>2</v>
      </c>
      <c r="G23221" s="52"/>
      <c r="H23221" s="56"/>
      <c r="I23221" s="224"/>
    </row>
    <row r="23222" spans="1:9" x14ac:dyDescent="0.25">
      <c r="A23222" s="515">
        <v>92385</v>
      </c>
      <c r="B23222" s="515" t="s">
        <v>599</v>
      </c>
      <c r="C23222" s="52">
        <v>482489.33692470199</v>
      </c>
      <c r="D23222" s="56">
        <v>8.473425737965945E-2</v>
      </c>
      <c r="E23222" s="224" t="s">
        <v>2</v>
      </c>
      <c r="G23222" s="52"/>
      <c r="H23222" s="56"/>
      <c r="I23222" s="224"/>
    </row>
    <row r="23223" spans="1:9" x14ac:dyDescent="0.25">
      <c r="A23223" s="515">
        <v>61447</v>
      </c>
      <c r="C23223" s="52">
        <v>82909.091281219502</v>
      </c>
      <c r="D23223" s="56">
        <v>0</v>
      </c>
      <c r="E23223" s="224" t="s">
        <v>2</v>
      </c>
      <c r="G23223" s="52"/>
      <c r="H23223" s="56"/>
      <c r="I23223" s="224"/>
    </row>
    <row r="23224" spans="1:9" x14ac:dyDescent="0.25">
      <c r="A23224" s="515">
        <v>16621</v>
      </c>
      <c r="B23224" s="515" t="s">
        <v>539</v>
      </c>
      <c r="C23224" s="52">
        <v>141427.88418754999</v>
      </c>
      <c r="D23224" s="56">
        <v>0</v>
      </c>
      <c r="E23224" s="224" t="s">
        <v>2</v>
      </c>
      <c r="G23224" s="52"/>
      <c r="H23224" s="56"/>
      <c r="I23224" s="224"/>
    </row>
    <row r="23225" spans="1:9" x14ac:dyDescent="0.25">
      <c r="A23225" s="515">
        <v>68367</v>
      </c>
      <c r="C23225" s="52">
        <v>153949.13900695101</v>
      </c>
      <c r="D23225" s="56">
        <v>8.5517255048063776E-2</v>
      </c>
      <c r="E23225" s="224" t="s">
        <v>2</v>
      </c>
      <c r="G23225" s="52"/>
      <c r="H23225" s="56"/>
      <c r="I23225" s="224"/>
    </row>
    <row r="23226" spans="1:9" x14ac:dyDescent="0.25">
      <c r="A23226" s="515">
        <v>48841</v>
      </c>
      <c r="B23226" s="515" t="s">
        <v>528</v>
      </c>
      <c r="C23226" s="52">
        <v>137584.601759332</v>
      </c>
      <c r="D23226" s="56">
        <v>3.7285325751047468E-2</v>
      </c>
      <c r="E23226" s="224" t="s">
        <v>2</v>
      </c>
      <c r="G23226" s="52"/>
      <c r="H23226" s="56"/>
      <c r="I23226" s="224"/>
    </row>
    <row r="23227" spans="1:9" x14ac:dyDescent="0.25">
      <c r="A23227" s="515">
        <v>4763</v>
      </c>
      <c r="C23227" s="52">
        <v>133673.57683688399</v>
      </c>
      <c r="D23227" s="56">
        <v>4.8356985137736896E-2</v>
      </c>
      <c r="E23227" s="224" t="s">
        <v>2</v>
      </c>
      <c r="G23227" s="52"/>
      <c r="H23227" s="56"/>
      <c r="I23227" s="224"/>
    </row>
    <row r="23228" spans="1:9" x14ac:dyDescent="0.25">
      <c r="A23228" s="515">
        <v>66415</v>
      </c>
      <c r="C23228" s="52">
        <v>156649.24370339999</v>
      </c>
      <c r="D23228" s="56">
        <v>0.22952022323000476</v>
      </c>
      <c r="E23228" s="224" t="s">
        <v>2</v>
      </c>
      <c r="G23228" s="52"/>
      <c r="H23228" s="56"/>
      <c r="I23228" s="224"/>
    </row>
    <row r="23229" spans="1:9" x14ac:dyDescent="0.25">
      <c r="A23229" s="515">
        <v>73841</v>
      </c>
      <c r="B23229" s="515" t="s">
        <v>830</v>
      </c>
      <c r="C23229" s="52">
        <v>72601.611826938897</v>
      </c>
      <c r="D23229" s="56">
        <v>-1.6247055839325324E-2</v>
      </c>
      <c r="E23229" s="224" t="s">
        <v>2</v>
      </c>
      <c r="G23229" s="52"/>
      <c r="H23229" s="56"/>
      <c r="I23229" s="224"/>
    </row>
    <row r="23230" spans="1:9" x14ac:dyDescent="0.25">
      <c r="A23230" s="515">
        <v>21662</v>
      </c>
      <c r="B23230" s="515" t="s">
        <v>519</v>
      </c>
      <c r="C23230" s="52">
        <v>912685.73220260697</v>
      </c>
      <c r="D23230" s="56">
        <v>4.2085086749938674E-2</v>
      </c>
      <c r="E23230" s="224" t="s">
        <v>2</v>
      </c>
      <c r="G23230" s="52"/>
      <c r="H23230" s="56"/>
      <c r="I23230" s="224"/>
    </row>
    <row r="23231" spans="1:9" x14ac:dyDescent="0.25">
      <c r="A23231" s="515">
        <v>68980</v>
      </c>
      <c r="C23231" s="52">
        <v>220755.54757677001</v>
      </c>
      <c r="D23231" s="56">
        <v>0.18856873369157284</v>
      </c>
      <c r="E23231" s="224" t="s">
        <v>2</v>
      </c>
      <c r="G23231" s="52"/>
      <c r="H23231" s="56"/>
      <c r="I23231" s="224"/>
    </row>
    <row r="23232" spans="1:9" x14ac:dyDescent="0.25">
      <c r="A23232" s="515">
        <v>76372</v>
      </c>
      <c r="C23232" s="52">
        <v>162921.26915211201</v>
      </c>
      <c r="D23232" s="56">
        <v>0.10167484845597202</v>
      </c>
      <c r="E23232" s="224" t="s">
        <v>2</v>
      </c>
      <c r="G23232" s="52"/>
      <c r="H23232" s="56"/>
      <c r="I23232" s="224"/>
    </row>
    <row r="23233" spans="1:9" x14ac:dyDescent="0.25">
      <c r="A23233" s="515">
        <v>62992</v>
      </c>
      <c r="C23233" s="52">
        <v>59901.472525478399</v>
      </c>
      <c r="D23233" s="56">
        <v>-3.5669922695713105E-2</v>
      </c>
      <c r="E23233" s="224" t="s">
        <v>2</v>
      </c>
      <c r="G23233" s="52"/>
      <c r="H23233" s="56"/>
      <c r="I23233" s="224"/>
    </row>
    <row r="23234" spans="1:9" x14ac:dyDescent="0.25">
      <c r="A23234" s="515">
        <v>1245</v>
      </c>
      <c r="B23234" s="515" t="s">
        <v>497</v>
      </c>
      <c r="C23234" s="52">
        <v>660533.90930785798</v>
      </c>
      <c r="D23234" s="56">
        <v>8.0824490390616968E-2</v>
      </c>
      <c r="E23234" s="224" t="s">
        <v>2</v>
      </c>
      <c r="G23234" s="52"/>
      <c r="H23234" s="56"/>
      <c r="I23234" s="224"/>
    </row>
    <row r="23235" spans="1:9" x14ac:dyDescent="0.25">
      <c r="A23235" s="515">
        <v>18331</v>
      </c>
      <c r="B23235" s="515" t="s">
        <v>338</v>
      </c>
      <c r="C23235" s="52">
        <v>278094.258795231</v>
      </c>
      <c r="D23235" s="56">
        <v>0.11817820882883331</v>
      </c>
      <c r="E23235" s="224" t="s">
        <v>2</v>
      </c>
      <c r="G23235" s="52"/>
      <c r="H23235" s="56"/>
      <c r="I23235" s="224"/>
    </row>
    <row r="23236" spans="1:9" x14ac:dyDescent="0.25">
      <c r="A23236" s="515">
        <v>70762</v>
      </c>
      <c r="B23236" s="515" t="s">
        <v>610</v>
      </c>
      <c r="C23236" s="52">
        <v>275710.08045671397</v>
      </c>
      <c r="D23236" s="56">
        <v>4.7680463201219617E-2</v>
      </c>
      <c r="E23236" s="224" t="s">
        <v>2</v>
      </c>
      <c r="G23236" s="52"/>
      <c r="H23236" s="56"/>
      <c r="I23236" s="224"/>
    </row>
    <row r="23237" spans="1:9" x14ac:dyDescent="0.25">
      <c r="A23237" s="515">
        <v>42458</v>
      </c>
      <c r="B23237" s="515" t="s">
        <v>911</v>
      </c>
      <c r="C23237" s="52">
        <v>132906.92853285201</v>
      </c>
      <c r="D23237" s="56">
        <v>9.6051376989302356E-2</v>
      </c>
      <c r="E23237" s="224" t="s">
        <v>2</v>
      </c>
      <c r="G23237" s="52"/>
      <c r="H23237" s="56"/>
      <c r="I23237" s="224"/>
    </row>
    <row r="23238" spans="1:9" x14ac:dyDescent="0.25">
      <c r="A23238" s="515">
        <v>3443</v>
      </c>
      <c r="B23238" s="515" t="s">
        <v>747</v>
      </c>
      <c r="C23238" s="52">
        <v>379013.03963207098</v>
      </c>
      <c r="D23238" s="56">
        <v>0.17018416520885632</v>
      </c>
      <c r="E23238" s="224" t="s">
        <v>2</v>
      </c>
      <c r="G23238" s="52"/>
      <c r="H23238" s="56"/>
      <c r="I23238" s="224"/>
    </row>
    <row r="23239" spans="1:9" x14ac:dyDescent="0.25">
      <c r="A23239" s="515">
        <v>56575</v>
      </c>
      <c r="C23239" s="52">
        <v>381058.65165027702</v>
      </c>
      <c r="D23239" s="56">
        <v>0.10309134312754155</v>
      </c>
      <c r="E23239" s="224" t="s">
        <v>2</v>
      </c>
      <c r="G23239" s="52"/>
      <c r="H23239" s="56"/>
      <c r="I23239" s="224"/>
    </row>
    <row r="23240" spans="1:9" x14ac:dyDescent="0.25">
      <c r="A23240" s="515">
        <v>25844</v>
      </c>
      <c r="B23240" s="515" t="s">
        <v>566</v>
      </c>
      <c r="C23240" s="52">
        <v>123047.71804172501</v>
      </c>
      <c r="D23240" s="56">
        <v>0.12580622944393952</v>
      </c>
      <c r="E23240" s="224" t="s">
        <v>2</v>
      </c>
      <c r="G23240" s="52"/>
      <c r="H23240" s="56"/>
      <c r="I23240" s="224"/>
    </row>
    <row r="23241" spans="1:9" x14ac:dyDescent="0.25">
      <c r="A23241" s="515">
        <v>25103</v>
      </c>
      <c r="B23241" s="515" t="s">
        <v>322</v>
      </c>
      <c r="C23241" s="52">
        <v>94189.818356228905</v>
      </c>
      <c r="D23241" s="56">
        <v>0.16845075419160913</v>
      </c>
      <c r="E23241" s="224" t="s">
        <v>2</v>
      </c>
      <c r="G23241" s="52"/>
      <c r="H23241" s="56"/>
      <c r="I23241" s="224"/>
    </row>
    <row r="23242" spans="1:9" x14ac:dyDescent="0.25">
      <c r="A23242" s="515">
        <v>82441</v>
      </c>
      <c r="C23242" s="52">
        <v>367074.60720660602</v>
      </c>
      <c r="D23242" s="56">
        <v>0.16883891485828259</v>
      </c>
      <c r="E23242" s="224" t="s">
        <v>2</v>
      </c>
      <c r="G23242" s="52"/>
      <c r="H23242" s="56"/>
      <c r="I23242" s="224"/>
    </row>
    <row r="23243" spans="1:9" x14ac:dyDescent="0.25">
      <c r="A23243" s="515">
        <v>22125</v>
      </c>
      <c r="B23243" s="515" t="s">
        <v>321</v>
      </c>
      <c r="C23243" s="52">
        <v>506777.42801094201</v>
      </c>
      <c r="D23243" s="56">
        <v>1.6665379659496191E-2</v>
      </c>
      <c r="E23243" s="224" t="s">
        <v>2</v>
      </c>
      <c r="G23243" s="52"/>
      <c r="H23243" s="56"/>
      <c r="I23243" s="224"/>
    </row>
    <row r="23244" spans="1:9" x14ac:dyDescent="0.25">
      <c r="A23244" s="515">
        <v>62436</v>
      </c>
      <c r="B23244" s="515" t="s">
        <v>853</v>
      </c>
      <c r="C23244" s="52">
        <v>109423.336975217</v>
      </c>
      <c r="D23244" s="56">
        <v>3.7734120304149014E-2</v>
      </c>
      <c r="E23244" s="224" t="s">
        <v>2</v>
      </c>
      <c r="G23244" s="52"/>
      <c r="H23244" s="56"/>
      <c r="I23244" s="224"/>
    </row>
    <row r="23245" spans="1:9" x14ac:dyDescent="0.25">
      <c r="A23245" s="515">
        <v>65068</v>
      </c>
      <c r="B23245" s="515" t="s">
        <v>785</v>
      </c>
      <c r="C23245" s="52">
        <v>184982.969230769</v>
      </c>
      <c r="D23245" s="56">
        <v>0</v>
      </c>
      <c r="E23245" s="224" t="s">
        <v>2</v>
      </c>
      <c r="G23245" s="52"/>
      <c r="H23245" s="56"/>
      <c r="I23245" s="224"/>
    </row>
    <row r="23246" spans="1:9" x14ac:dyDescent="0.25">
      <c r="A23246" s="515">
        <v>5442</v>
      </c>
      <c r="C23246" s="52">
        <v>266843.5</v>
      </c>
      <c r="D23246" s="56">
        <v>0</v>
      </c>
      <c r="E23246" s="224" t="s">
        <v>2</v>
      </c>
      <c r="G23246" s="52"/>
      <c r="H23246" s="56"/>
      <c r="I23246" s="224"/>
    </row>
    <row r="23247" spans="1:9" x14ac:dyDescent="0.25">
      <c r="A23247" s="515">
        <v>27927</v>
      </c>
      <c r="B23247" s="515" t="s">
        <v>301</v>
      </c>
      <c r="C23247" s="52">
        <v>831498.51246448804</v>
      </c>
      <c r="D23247" s="56">
        <v>8.6892019547780697E-2</v>
      </c>
      <c r="E23247" s="224" t="s">
        <v>2</v>
      </c>
      <c r="G23247" s="52"/>
      <c r="H23247" s="56"/>
      <c r="I23247" s="224"/>
    </row>
    <row r="23248" spans="1:9" x14ac:dyDescent="0.25">
      <c r="A23248" s="515">
        <v>45321</v>
      </c>
      <c r="C23248" s="52">
        <v>141363.32858174</v>
      </c>
      <c r="D23248" s="56">
        <v>6.9982175584316547E-2</v>
      </c>
      <c r="E23248" s="224" t="s">
        <v>2</v>
      </c>
      <c r="G23248" s="52"/>
      <c r="H23248" s="56"/>
      <c r="I23248" s="224"/>
    </row>
    <row r="23249" spans="1:9" x14ac:dyDescent="0.25">
      <c r="A23249" s="515">
        <v>51355</v>
      </c>
      <c r="B23249" s="515" t="s">
        <v>932</v>
      </c>
      <c r="C23249" s="52">
        <v>428681.64618639601</v>
      </c>
      <c r="D23249" s="56">
        <v>0.10083901627376825</v>
      </c>
      <c r="E23249" s="224" t="s">
        <v>2</v>
      </c>
      <c r="G23249" s="52"/>
      <c r="H23249" s="56"/>
      <c r="I23249" s="224"/>
    </row>
    <row r="23250" spans="1:9" x14ac:dyDescent="0.25">
      <c r="A23250" s="515">
        <v>50005</v>
      </c>
      <c r="B23250" s="515" t="s">
        <v>642</v>
      </c>
      <c r="C23250" s="52">
        <v>121278.514379274</v>
      </c>
      <c r="D23250" s="56">
        <v>0</v>
      </c>
      <c r="E23250" s="224" t="s">
        <v>2</v>
      </c>
      <c r="G23250" s="52"/>
      <c r="H23250" s="56"/>
      <c r="I23250" s="224"/>
    </row>
    <row r="23251" spans="1:9" x14ac:dyDescent="0.25">
      <c r="A23251" s="515">
        <v>50435</v>
      </c>
      <c r="C23251" s="52">
        <v>163772.75187915299</v>
      </c>
      <c r="D23251" s="56">
        <v>9.8940137309497606E-2</v>
      </c>
      <c r="E23251" s="224" t="s">
        <v>2</v>
      </c>
      <c r="G23251" s="52"/>
      <c r="H23251" s="56"/>
      <c r="I23251" s="224"/>
    </row>
    <row r="23252" spans="1:9" x14ac:dyDescent="0.25">
      <c r="A23252" s="515">
        <v>52156</v>
      </c>
      <c r="C23252" s="52">
        <v>182471.96213877</v>
      </c>
      <c r="D23252" s="56">
        <v>8.9960505195545271E-2</v>
      </c>
      <c r="E23252" s="224" t="s">
        <v>2</v>
      </c>
      <c r="G23252" s="52"/>
      <c r="H23252" s="56"/>
      <c r="I23252" s="224"/>
    </row>
    <row r="23253" spans="1:9" x14ac:dyDescent="0.25">
      <c r="A23253" s="515">
        <v>83451</v>
      </c>
      <c r="B23253" s="515" t="s">
        <v>843</v>
      </c>
      <c r="C23253" s="52">
        <v>314369.21370229003</v>
      </c>
      <c r="D23253" s="56">
        <v>7.4582160989610721E-3</v>
      </c>
      <c r="E23253" s="224" t="s">
        <v>2</v>
      </c>
      <c r="G23253" s="52"/>
      <c r="H23253" s="56"/>
      <c r="I23253" s="224"/>
    </row>
    <row r="23254" spans="1:9" x14ac:dyDescent="0.25">
      <c r="A23254" s="515">
        <v>52140</v>
      </c>
      <c r="C23254" s="52">
        <v>248081.766942341</v>
      </c>
      <c r="D23254" s="56">
        <v>0.26572904076041665</v>
      </c>
      <c r="E23254" s="224" t="s">
        <v>2</v>
      </c>
      <c r="G23254" s="52"/>
      <c r="H23254" s="56"/>
      <c r="I23254" s="224"/>
    </row>
    <row r="23255" spans="1:9" x14ac:dyDescent="0.25">
      <c r="A23255" s="515">
        <v>40858</v>
      </c>
      <c r="C23255" s="52">
        <v>63844.705524824902</v>
      </c>
      <c r="D23255" s="56">
        <v>0.3814706740720552</v>
      </c>
      <c r="E23255" s="224" t="s">
        <v>2</v>
      </c>
      <c r="G23255" s="52"/>
      <c r="H23255" s="56"/>
      <c r="I23255" s="224"/>
    </row>
    <row r="23256" spans="1:9" x14ac:dyDescent="0.25">
      <c r="A23256" s="515">
        <v>68958</v>
      </c>
      <c r="C23256" s="52">
        <v>194626.01405589699</v>
      </c>
      <c r="D23256" s="56">
        <v>4.8566888585897618E-2</v>
      </c>
      <c r="E23256" s="224" t="s">
        <v>2</v>
      </c>
      <c r="G23256" s="52"/>
      <c r="H23256" s="56"/>
      <c r="I23256" s="224"/>
    </row>
    <row r="23257" spans="1:9" x14ac:dyDescent="0.25">
      <c r="A23257" s="515">
        <v>83466</v>
      </c>
      <c r="C23257" s="52">
        <v>473137.62119631999</v>
      </c>
      <c r="D23257" s="56">
        <v>7.2059518365055461E-2</v>
      </c>
      <c r="E23257" s="224" t="s">
        <v>2</v>
      </c>
      <c r="G23257" s="52"/>
      <c r="H23257" s="56"/>
      <c r="I23257" s="224"/>
    </row>
    <row r="23258" spans="1:9" x14ac:dyDescent="0.25">
      <c r="A23258" s="515">
        <v>69156</v>
      </c>
      <c r="C23258" s="52">
        <v>166679.735554004</v>
      </c>
      <c r="D23258" s="56">
        <v>0.12735216896273627</v>
      </c>
      <c r="E23258" s="224" t="s">
        <v>2</v>
      </c>
      <c r="G23258" s="52"/>
      <c r="H23258" s="56"/>
      <c r="I23258" s="224"/>
    </row>
    <row r="23259" spans="1:9" x14ac:dyDescent="0.25">
      <c r="A23259" s="515">
        <v>67844</v>
      </c>
      <c r="C23259" s="52">
        <v>101011.49530913</v>
      </c>
      <c r="D23259" s="56">
        <v>0.16360663942612882</v>
      </c>
      <c r="E23259" s="224" t="s">
        <v>2</v>
      </c>
      <c r="G23259" s="52"/>
      <c r="H23259" s="56"/>
      <c r="I23259" s="224"/>
    </row>
    <row r="23260" spans="1:9" x14ac:dyDescent="0.25">
      <c r="A23260" s="515">
        <v>98585</v>
      </c>
      <c r="B23260" s="515" t="s">
        <v>468</v>
      </c>
      <c r="C23260" s="52">
        <v>454850.399625858</v>
      </c>
      <c r="D23260" s="56">
        <v>3.6740562971841854E-3</v>
      </c>
      <c r="E23260" s="224" t="s">
        <v>2</v>
      </c>
      <c r="G23260" s="52"/>
      <c r="H23260" s="56"/>
      <c r="I23260" s="224"/>
    </row>
    <row r="23261" spans="1:9" x14ac:dyDescent="0.25">
      <c r="A23261" s="515">
        <v>63471</v>
      </c>
      <c r="B23261" s="515" t="s">
        <v>867</v>
      </c>
      <c r="C23261" s="52">
        <v>221376.995875244</v>
      </c>
      <c r="D23261" s="56">
        <v>8.3170758098585901E-2</v>
      </c>
      <c r="E23261" s="224" t="s">
        <v>2</v>
      </c>
      <c r="G23261" s="52"/>
      <c r="H23261" s="56"/>
      <c r="I23261" s="224"/>
    </row>
    <row r="23262" spans="1:9" x14ac:dyDescent="0.25">
      <c r="A23262" s="515">
        <v>1031</v>
      </c>
      <c r="B23262" s="515" t="s">
        <v>751</v>
      </c>
      <c r="C23262" s="52">
        <v>325528.98997767101</v>
      </c>
      <c r="D23262" s="56">
        <v>0.13884556834873757</v>
      </c>
      <c r="E23262" s="224" t="s">
        <v>2</v>
      </c>
      <c r="G23262" s="52"/>
      <c r="H23262" s="56"/>
      <c r="I23262" s="224"/>
    </row>
    <row r="23263" spans="1:9" x14ac:dyDescent="0.25">
      <c r="A23263" s="515">
        <v>4848</v>
      </c>
      <c r="C23263" s="52">
        <v>385324.34222928702</v>
      </c>
      <c r="D23263" s="56">
        <v>5.7011241139272667E-2</v>
      </c>
      <c r="E23263" s="224" t="s">
        <v>2</v>
      </c>
      <c r="G23263" s="52"/>
      <c r="H23263" s="56"/>
      <c r="I23263" s="224"/>
    </row>
    <row r="23264" spans="1:9" x14ac:dyDescent="0.25">
      <c r="A23264" s="515">
        <v>83449</v>
      </c>
      <c r="B23264" s="515" t="s">
        <v>409</v>
      </c>
      <c r="C23264" s="52">
        <v>465837.03438551101</v>
      </c>
      <c r="D23264" s="56">
        <v>6.4344798405385137E-2</v>
      </c>
      <c r="E23264" s="224" t="s">
        <v>2</v>
      </c>
      <c r="G23264" s="52"/>
      <c r="H23264" s="56"/>
      <c r="I23264" s="224"/>
    </row>
    <row r="23265" spans="1:9" x14ac:dyDescent="0.25">
      <c r="A23265" s="515">
        <v>16114</v>
      </c>
      <c r="B23265" s="515" t="s">
        <v>397</v>
      </c>
      <c r="C23265" s="52">
        <v>160889.29999999999</v>
      </c>
      <c r="D23265" s="56">
        <v>0</v>
      </c>
      <c r="E23265" s="224" t="s">
        <v>2</v>
      </c>
      <c r="G23265" s="52"/>
      <c r="H23265" s="56"/>
      <c r="I23265" s="224"/>
    </row>
    <row r="23266" spans="1:9" x14ac:dyDescent="0.25">
      <c r="A23266" s="515">
        <v>29377</v>
      </c>
      <c r="B23266" s="515" t="s">
        <v>447</v>
      </c>
      <c r="C23266" s="52">
        <v>119105.94821748399</v>
      </c>
      <c r="D23266" s="56">
        <v>0.30041712848144003</v>
      </c>
      <c r="E23266" s="224" t="s">
        <v>2</v>
      </c>
      <c r="G23266" s="52"/>
      <c r="H23266" s="56"/>
      <c r="I23266" s="224"/>
    </row>
    <row r="23267" spans="1:9" x14ac:dyDescent="0.25">
      <c r="A23267" s="515">
        <v>77359</v>
      </c>
      <c r="C23267" s="52">
        <v>169511.393821437</v>
      </c>
      <c r="D23267" s="56">
        <v>-0.13371547173679227</v>
      </c>
      <c r="E23267" s="224" t="s">
        <v>2</v>
      </c>
      <c r="G23267" s="52"/>
      <c r="H23267" s="56"/>
      <c r="I23267" s="224"/>
    </row>
    <row r="23268" spans="1:9" x14ac:dyDescent="0.25">
      <c r="A23268" s="515">
        <v>83811</v>
      </c>
      <c r="B23268" s="515" t="s">
        <v>623</v>
      </c>
      <c r="C23268" s="52">
        <v>421583.717351884</v>
      </c>
      <c r="D23268" s="56">
        <v>2.2729408076689897E-2</v>
      </c>
      <c r="E23268" s="224" t="s">
        <v>2</v>
      </c>
      <c r="G23268" s="52"/>
      <c r="H23268" s="56"/>
      <c r="I23268" s="224"/>
    </row>
    <row r="23269" spans="1:9" x14ac:dyDescent="0.25">
      <c r="A23269" s="515">
        <v>78141</v>
      </c>
      <c r="C23269" s="52">
        <v>149073.710626666</v>
      </c>
      <c r="D23269" s="56">
        <v>0</v>
      </c>
      <c r="E23269" s="224" t="s">
        <v>2</v>
      </c>
      <c r="G23269" s="52"/>
      <c r="H23269" s="56"/>
      <c r="I23269" s="224"/>
    </row>
    <row r="23270" spans="1:9" x14ac:dyDescent="0.25">
      <c r="A23270" s="515">
        <v>25173</v>
      </c>
      <c r="B23270" s="515" t="s">
        <v>566</v>
      </c>
      <c r="C23270" s="52">
        <v>54230.3685982729</v>
      </c>
      <c r="D23270" s="56">
        <v>3.4864891958221129E-2</v>
      </c>
      <c r="E23270" s="224" t="s">
        <v>2</v>
      </c>
      <c r="G23270" s="52"/>
      <c r="H23270" s="56"/>
      <c r="I23270" s="224"/>
    </row>
    <row r="23271" spans="1:9" x14ac:dyDescent="0.25">
      <c r="A23271" s="515">
        <v>28646</v>
      </c>
      <c r="C23271" s="52">
        <v>1111648.4313117501</v>
      </c>
      <c r="D23271" s="56">
        <v>4.1522744650825297E-2</v>
      </c>
      <c r="E23271" s="224" t="s">
        <v>2</v>
      </c>
      <c r="G23271" s="52"/>
      <c r="H23271" s="56"/>
      <c r="I23271" s="224"/>
    </row>
    <row r="23272" spans="1:9" x14ac:dyDescent="0.25">
      <c r="A23272" s="515">
        <v>51528</v>
      </c>
      <c r="C23272" s="52">
        <v>128381.452679525</v>
      </c>
      <c r="D23272" s="56">
        <v>0.19620871151415303</v>
      </c>
      <c r="E23272" s="224" t="s">
        <v>2</v>
      </c>
      <c r="G23272" s="52"/>
      <c r="H23272" s="56"/>
      <c r="I23272" s="224"/>
    </row>
    <row r="23273" spans="1:9" x14ac:dyDescent="0.25">
      <c r="A23273" s="515">
        <v>12765</v>
      </c>
      <c r="C23273" s="52">
        <v>247287.557037513</v>
      </c>
      <c r="D23273" s="56">
        <v>0.18414488576640545</v>
      </c>
      <c r="E23273" s="224" t="s">
        <v>2</v>
      </c>
      <c r="G23273" s="52"/>
      <c r="H23273" s="56"/>
      <c r="I23273" s="224"/>
    </row>
    <row r="23274" spans="1:9" x14ac:dyDescent="0.25">
      <c r="A23274" s="515">
        <v>48720</v>
      </c>
      <c r="C23274" s="52">
        <v>105815.885224511</v>
      </c>
      <c r="D23274" s="56">
        <v>-1.4522829478381471E-2</v>
      </c>
      <c r="E23274" s="224" t="s">
        <v>2</v>
      </c>
      <c r="G23274" s="52"/>
      <c r="H23274" s="56"/>
      <c r="I23274" s="224"/>
    </row>
    <row r="23275" spans="1:9" x14ac:dyDescent="0.25">
      <c r="A23275" s="515">
        <v>22810</v>
      </c>
      <c r="C23275" s="52">
        <v>287680.58978727902</v>
      </c>
      <c r="D23275" s="56">
        <v>0.13728236670047236</v>
      </c>
      <c r="E23275" s="224" t="s">
        <v>2</v>
      </c>
      <c r="G23275" s="52"/>
      <c r="H23275" s="56"/>
      <c r="I23275" s="224"/>
    </row>
    <row r="23276" spans="1:9" x14ac:dyDescent="0.25">
      <c r="A23276" s="515">
        <v>25262</v>
      </c>
      <c r="B23276" s="515" t="s">
        <v>322</v>
      </c>
      <c r="C23276" s="52">
        <v>160341.964664962</v>
      </c>
      <c r="D23276" s="56">
        <v>0.10643635323086086</v>
      </c>
      <c r="E23276" s="224" t="s">
        <v>2</v>
      </c>
      <c r="G23276" s="52"/>
      <c r="H23276" s="56"/>
      <c r="I23276" s="224"/>
    </row>
    <row r="23277" spans="1:9" x14ac:dyDescent="0.25">
      <c r="A23277" s="515">
        <v>46988</v>
      </c>
      <c r="B23277" s="515" t="s">
        <v>391</v>
      </c>
      <c r="C23277" s="52">
        <v>164487.010311091</v>
      </c>
      <c r="D23277" s="56">
        <v>7.2840087089931463E-2</v>
      </c>
      <c r="E23277" s="224" t="s">
        <v>2</v>
      </c>
      <c r="G23277" s="52"/>
      <c r="H23277" s="56"/>
      <c r="I23277" s="224"/>
    </row>
    <row r="23278" spans="1:9" x14ac:dyDescent="0.25">
      <c r="A23278" s="515">
        <v>76866</v>
      </c>
      <c r="C23278" s="52">
        <v>146866.41164828101</v>
      </c>
      <c r="D23278" s="56">
        <v>0</v>
      </c>
      <c r="E23278" s="224" t="s">
        <v>2</v>
      </c>
      <c r="G23278" s="52"/>
      <c r="H23278" s="56"/>
      <c r="I23278" s="224"/>
    </row>
    <row r="23279" spans="1:9" x14ac:dyDescent="0.25">
      <c r="A23279" s="515">
        <v>73844</v>
      </c>
      <c r="C23279" s="52">
        <v>110731.567002087</v>
      </c>
      <c r="D23279" s="56">
        <v>0.1196101241886765</v>
      </c>
      <c r="E23279" s="224" t="s">
        <v>2</v>
      </c>
      <c r="G23279" s="52"/>
      <c r="H23279" s="56"/>
      <c r="I23279" s="224"/>
    </row>
    <row r="23280" spans="1:9" x14ac:dyDescent="0.25">
      <c r="A23280" s="515">
        <v>63041</v>
      </c>
      <c r="B23280" s="515" t="s">
        <v>498</v>
      </c>
      <c r="C23280" s="52">
        <v>212493.15658623801</v>
      </c>
      <c r="D23280" s="56">
        <v>9.7093381602977813E-2</v>
      </c>
      <c r="E23280" s="224" t="s">
        <v>2</v>
      </c>
      <c r="G23280" s="52"/>
      <c r="H23280" s="56"/>
      <c r="I23280" s="224"/>
    </row>
    <row r="23281" spans="1:9" x14ac:dyDescent="0.25">
      <c r="A23281" s="515">
        <v>26804</v>
      </c>
      <c r="C23281" s="52">
        <v>138809.96570167199</v>
      </c>
      <c r="D23281" s="56">
        <v>8.8885388063273035E-2</v>
      </c>
      <c r="E23281" s="224" t="s">
        <v>2</v>
      </c>
      <c r="G23281" s="52"/>
      <c r="H23281" s="56"/>
      <c r="I23281" s="224"/>
    </row>
    <row r="23282" spans="1:9" x14ac:dyDescent="0.25">
      <c r="A23282" s="515">
        <v>40070</v>
      </c>
      <c r="B23282" s="515" t="s">
        <v>479</v>
      </c>
      <c r="C23282" s="52">
        <v>204144.68364482099</v>
      </c>
      <c r="D23282" s="56">
        <v>8.6103889743705364E-2</v>
      </c>
      <c r="E23282" s="224" t="s">
        <v>2</v>
      </c>
      <c r="G23282" s="52"/>
      <c r="H23282" s="56"/>
      <c r="I23282" s="224"/>
    </row>
    <row r="23283" spans="1:9" x14ac:dyDescent="0.25">
      <c r="A23283" s="515">
        <v>61378</v>
      </c>
      <c r="B23283" s="515" t="s">
        <v>836</v>
      </c>
      <c r="C23283" s="52">
        <v>190288.704491009</v>
      </c>
      <c r="D23283" s="56">
        <v>0</v>
      </c>
      <c r="E23283" s="224" t="s">
        <v>2</v>
      </c>
      <c r="G23283" s="52"/>
      <c r="H23283" s="56"/>
      <c r="I23283" s="224"/>
    </row>
    <row r="23284" spans="1:9" x14ac:dyDescent="0.25">
      <c r="A23284" s="515">
        <v>51453</v>
      </c>
      <c r="C23284" s="52">
        <v>91270.608326856993</v>
      </c>
      <c r="D23284" s="56">
        <v>0.13625470872704443</v>
      </c>
      <c r="E23284" s="224" t="s">
        <v>2</v>
      </c>
      <c r="G23284" s="52"/>
      <c r="H23284" s="56"/>
      <c r="I23284" s="224"/>
    </row>
    <row r="23285" spans="1:9" x14ac:dyDescent="0.25">
      <c r="A23285" s="515">
        <v>41725</v>
      </c>
      <c r="C23285" s="52">
        <v>101692.749242394</v>
      </c>
      <c r="D23285" s="56">
        <v>0.17605045418763782</v>
      </c>
      <c r="E23285" s="224" t="s">
        <v>2</v>
      </c>
      <c r="G23285" s="52"/>
      <c r="H23285" s="56"/>
      <c r="I23285" s="224"/>
    </row>
    <row r="23286" spans="1:9" x14ac:dyDescent="0.25">
      <c r="A23286" s="515">
        <v>62533</v>
      </c>
      <c r="C23286" s="52">
        <v>123610.34063094499</v>
      </c>
      <c r="D23286" s="56">
        <v>3.3946157388452421E-2</v>
      </c>
      <c r="E23286" s="224" t="s">
        <v>2</v>
      </c>
      <c r="G23286" s="52"/>
      <c r="H23286" s="56"/>
      <c r="I23286" s="224"/>
    </row>
    <row r="23287" spans="1:9" x14ac:dyDescent="0.25">
      <c r="A23287" s="515">
        <v>50105</v>
      </c>
      <c r="B23287" s="515" t="s">
        <v>568</v>
      </c>
      <c r="C23287" s="52">
        <v>271883.16624211299</v>
      </c>
      <c r="D23287" s="56">
        <v>5.6709671151661631E-2</v>
      </c>
      <c r="E23287" s="224" t="s">
        <v>2</v>
      </c>
      <c r="G23287" s="52"/>
      <c r="H23287" s="56"/>
      <c r="I23287" s="224"/>
    </row>
    <row r="23288" spans="1:9" x14ac:dyDescent="0.25">
      <c r="A23288" s="515">
        <v>22639</v>
      </c>
      <c r="B23288" s="515" t="s">
        <v>321</v>
      </c>
      <c r="C23288" s="52">
        <v>797979.197853975</v>
      </c>
      <c r="D23288" s="56">
        <v>0.11127761120170575</v>
      </c>
      <c r="E23288" s="224" t="s">
        <v>2</v>
      </c>
      <c r="G23288" s="52"/>
      <c r="H23288" s="56"/>
      <c r="I23288" s="224"/>
    </row>
    <row r="23289" spans="1:9" x14ac:dyDescent="0.25">
      <c r="A23289" s="515">
        <v>76463</v>
      </c>
      <c r="B23289" s="515" t="s">
        <v>931</v>
      </c>
      <c r="C23289" s="52">
        <v>206154.371070369</v>
      </c>
      <c r="D23289" s="56">
        <v>0</v>
      </c>
      <c r="E23289" s="224" t="s">
        <v>2</v>
      </c>
      <c r="G23289" s="52"/>
      <c r="H23289" s="56"/>
      <c r="I23289" s="224"/>
    </row>
    <row r="23290" spans="1:9" x14ac:dyDescent="0.25">
      <c r="A23290" s="515">
        <v>14769</v>
      </c>
      <c r="B23290" s="515" t="s">
        <v>560</v>
      </c>
      <c r="C23290" s="52">
        <v>147653.65353240399</v>
      </c>
      <c r="D23290" s="56">
        <v>9.0755104973691006E-2</v>
      </c>
      <c r="E23290" s="224" t="s">
        <v>2</v>
      </c>
      <c r="G23290" s="52"/>
      <c r="H23290" s="56"/>
      <c r="I23290" s="224"/>
    </row>
    <row r="23291" spans="1:9" x14ac:dyDescent="0.25">
      <c r="A23291" s="515">
        <v>99341</v>
      </c>
      <c r="B23291" s="515" t="s">
        <v>716</v>
      </c>
      <c r="C23291" s="52">
        <v>165348.32751258099</v>
      </c>
      <c r="D23291" s="56">
        <v>0.17907283854656156</v>
      </c>
      <c r="E23291" s="224" t="s">
        <v>2</v>
      </c>
      <c r="G23291" s="52"/>
      <c r="H23291" s="56"/>
      <c r="I23291" s="224"/>
    </row>
    <row r="23292" spans="1:9" x14ac:dyDescent="0.25">
      <c r="A23292" s="515">
        <v>24569</v>
      </c>
      <c r="B23292" s="515" t="s">
        <v>901</v>
      </c>
      <c r="C23292" s="52">
        <v>140181.20996019201</v>
      </c>
      <c r="D23292" s="56">
        <v>7.6488289881231672E-2</v>
      </c>
      <c r="E23292" s="224" t="s">
        <v>2</v>
      </c>
      <c r="G23292" s="52"/>
      <c r="H23292" s="56"/>
      <c r="I23292" s="224"/>
    </row>
    <row r="23293" spans="1:9" x14ac:dyDescent="0.25">
      <c r="A23293" s="515">
        <v>61929</v>
      </c>
      <c r="B23293" s="515" t="s">
        <v>417</v>
      </c>
      <c r="C23293" s="52">
        <v>99568.558353947403</v>
      </c>
      <c r="D23293" s="56">
        <v>7.5726000991654704E-2</v>
      </c>
      <c r="E23293" s="224" t="s">
        <v>2</v>
      </c>
      <c r="G23293" s="52"/>
      <c r="H23293" s="56"/>
      <c r="I23293" s="224"/>
    </row>
    <row r="23294" spans="1:9" x14ac:dyDescent="0.25">
      <c r="A23294" s="515">
        <v>32332</v>
      </c>
      <c r="B23294" s="515" t="s">
        <v>335</v>
      </c>
      <c r="C23294" s="52">
        <v>78755.853136710604</v>
      </c>
      <c r="D23294" s="56">
        <v>0.3761105166218679</v>
      </c>
      <c r="E23294" s="224" t="s">
        <v>2</v>
      </c>
      <c r="G23294" s="52"/>
      <c r="H23294" s="56"/>
      <c r="I23294" s="224"/>
    </row>
    <row r="23295" spans="1:9" x14ac:dyDescent="0.25">
      <c r="A23295" s="515">
        <v>16136</v>
      </c>
      <c r="B23295" s="515" t="s">
        <v>297</v>
      </c>
      <c r="C23295" s="52">
        <v>101965.504987614</v>
      </c>
      <c r="D23295" s="56">
        <v>5.2541653759384591E-2</v>
      </c>
      <c r="E23295" s="224" t="s">
        <v>2</v>
      </c>
      <c r="G23295" s="52"/>
      <c r="H23295" s="56"/>
      <c r="I23295" s="224"/>
    </row>
    <row r="23296" spans="1:9" x14ac:dyDescent="0.25">
      <c r="A23296" s="515">
        <v>52236</v>
      </c>
      <c r="C23296" s="52">
        <v>284709.867239071</v>
      </c>
      <c r="D23296" s="56">
        <v>0.14245964763689276</v>
      </c>
      <c r="E23296" s="224" t="s">
        <v>2</v>
      </c>
      <c r="G23296" s="52"/>
      <c r="H23296" s="56"/>
      <c r="I23296" s="224"/>
    </row>
    <row r="23297" spans="1:9" x14ac:dyDescent="0.25">
      <c r="A23297" s="515">
        <v>8326</v>
      </c>
      <c r="B23297" s="515" t="s">
        <v>800</v>
      </c>
      <c r="C23297" s="52">
        <v>241931.822844201</v>
      </c>
      <c r="D23297" s="56">
        <v>7.4543622719823024E-2</v>
      </c>
      <c r="E23297" s="224" t="s">
        <v>2</v>
      </c>
      <c r="G23297" s="52"/>
      <c r="H23297" s="56"/>
      <c r="I23297" s="224"/>
    </row>
    <row r="23298" spans="1:9" x14ac:dyDescent="0.25">
      <c r="A23298" s="515">
        <v>15551</v>
      </c>
      <c r="B23298" s="515" t="s">
        <v>370</v>
      </c>
      <c r="C23298" s="52">
        <v>140054.42709595899</v>
      </c>
      <c r="D23298" s="56">
        <v>9.7718056966854636E-2</v>
      </c>
      <c r="E23298" s="224" t="s">
        <v>2</v>
      </c>
      <c r="G23298" s="52"/>
      <c r="H23298" s="56"/>
      <c r="I23298" s="224"/>
    </row>
    <row r="23299" spans="1:9" x14ac:dyDescent="0.25">
      <c r="A23299" s="515">
        <v>21405</v>
      </c>
      <c r="B23299" s="515" t="s">
        <v>582</v>
      </c>
      <c r="C23299" s="52">
        <v>1164126.51796291</v>
      </c>
      <c r="D23299" s="56">
        <v>4.8240152186240427E-2</v>
      </c>
      <c r="E23299" s="224" t="s">
        <v>2</v>
      </c>
      <c r="G23299" s="52"/>
      <c r="H23299" s="56"/>
      <c r="I23299" s="224"/>
    </row>
    <row r="23300" spans="1:9" x14ac:dyDescent="0.25">
      <c r="A23300" s="515">
        <v>93531</v>
      </c>
      <c r="B23300" s="515" t="s">
        <v>419</v>
      </c>
      <c r="C23300" s="52">
        <v>557005.62816268904</v>
      </c>
      <c r="D23300" s="56">
        <v>8.9669894871745696E-3</v>
      </c>
      <c r="E23300" s="224" t="s">
        <v>2</v>
      </c>
      <c r="G23300" s="52"/>
      <c r="H23300" s="56"/>
      <c r="I23300" s="224"/>
    </row>
    <row r="23301" spans="1:9" x14ac:dyDescent="0.25">
      <c r="A23301" s="515">
        <v>72374</v>
      </c>
      <c r="B23301" s="515" t="s">
        <v>891</v>
      </c>
      <c r="C23301" s="52">
        <v>57362.790697674398</v>
      </c>
      <c r="D23301" s="56">
        <v>0</v>
      </c>
      <c r="E23301" s="224" t="s">
        <v>2</v>
      </c>
      <c r="G23301" s="52"/>
      <c r="H23301" s="56"/>
      <c r="I23301" s="224"/>
    </row>
    <row r="23302" spans="1:9" x14ac:dyDescent="0.25">
      <c r="A23302" s="515">
        <v>43029</v>
      </c>
      <c r="B23302" s="515" t="s">
        <v>345</v>
      </c>
      <c r="C23302" s="52">
        <v>282220.07108680601</v>
      </c>
      <c r="D23302" s="56">
        <v>0.14352178518071029</v>
      </c>
      <c r="E23302" s="224" t="s">
        <v>2</v>
      </c>
      <c r="G23302" s="52"/>
      <c r="H23302" s="56"/>
      <c r="I23302" s="224"/>
    </row>
    <row r="23303" spans="1:9" x14ac:dyDescent="0.25">
      <c r="A23303" s="515">
        <v>61722</v>
      </c>
      <c r="B23303" s="515" t="s">
        <v>645</v>
      </c>
      <c r="C23303" s="52">
        <v>131833.42183141201</v>
      </c>
      <c r="D23303" s="56">
        <v>6.1353356075569403E-2</v>
      </c>
      <c r="E23303" s="224" t="s">
        <v>2</v>
      </c>
      <c r="G23303" s="52"/>
      <c r="H23303" s="56"/>
      <c r="I23303" s="224"/>
    </row>
    <row r="23304" spans="1:9" x14ac:dyDescent="0.25">
      <c r="A23304" s="515">
        <v>24105</v>
      </c>
      <c r="C23304" s="52">
        <v>158395.67326032001</v>
      </c>
      <c r="D23304" s="56">
        <v>0</v>
      </c>
      <c r="E23304" s="224" t="s">
        <v>2</v>
      </c>
      <c r="G23304" s="52"/>
      <c r="H23304" s="56"/>
      <c r="I23304" s="224"/>
    </row>
    <row r="23305" spans="1:9" x14ac:dyDescent="0.25">
      <c r="A23305" s="515">
        <v>12423</v>
      </c>
      <c r="C23305" s="52">
        <v>268960.660455106</v>
      </c>
      <c r="D23305" s="56">
        <v>7.5966053545383966E-2</v>
      </c>
      <c r="E23305" s="224" t="s">
        <v>2</v>
      </c>
      <c r="G23305" s="52"/>
      <c r="H23305" s="56"/>
      <c r="I23305" s="224"/>
    </row>
    <row r="23306" spans="1:9" x14ac:dyDescent="0.25">
      <c r="A23306" s="515">
        <v>65322</v>
      </c>
      <c r="B23306" s="515" t="s">
        <v>785</v>
      </c>
      <c r="C23306" s="52">
        <v>174746.64444444401</v>
      </c>
      <c r="D23306" s="56">
        <v>0</v>
      </c>
      <c r="E23306" s="224" t="s">
        <v>2</v>
      </c>
      <c r="G23306" s="52"/>
      <c r="H23306" s="56"/>
      <c r="I23306" s="224"/>
    </row>
    <row r="23307" spans="1:9" x14ac:dyDescent="0.25">
      <c r="A23307" s="515">
        <v>12843</v>
      </c>
      <c r="B23307" s="515" t="s">
        <v>422</v>
      </c>
      <c r="C23307" s="52">
        <v>226037.71173095101</v>
      </c>
      <c r="D23307" s="56">
        <v>6.1120825726720306E-2</v>
      </c>
      <c r="E23307" s="224" t="s">
        <v>2</v>
      </c>
      <c r="G23307" s="52"/>
      <c r="H23307" s="56"/>
      <c r="I23307" s="224"/>
    </row>
    <row r="23308" spans="1:9" x14ac:dyDescent="0.25">
      <c r="A23308" s="515">
        <v>58558</v>
      </c>
      <c r="B23308" s="515" t="s">
        <v>930</v>
      </c>
      <c r="C23308" s="52">
        <v>326681.96763426397</v>
      </c>
      <c r="D23308" s="56">
        <v>0</v>
      </c>
      <c r="E23308" s="224" t="s">
        <v>2</v>
      </c>
      <c r="G23308" s="52"/>
      <c r="H23308" s="56"/>
      <c r="I23308" s="224"/>
    </row>
    <row r="23309" spans="1:9" x14ac:dyDescent="0.25">
      <c r="A23309" s="515">
        <v>95607</v>
      </c>
      <c r="B23309" s="515" t="s">
        <v>355</v>
      </c>
      <c r="C23309" s="52">
        <v>632292.61799401697</v>
      </c>
      <c r="D23309" s="56">
        <v>0</v>
      </c>
      <c r="E23309" s="224" t="s">
        <v>2</v>
      </c>
      <c r="G23309" s="52"/>
      <c r="H23309" s="56"/>
      <c r="I23309" s="224"/>
    </row>
    <row r="23310" spans="1:9" x14ac:dyDescent="0.25">
      <c r="A23310" s="515">
        <v>30454</v>
      </c>
      <c r="B23310" s="515" t="s">
        <v>929</v>
      </c>
      <c r="C23310" s="52">
        <v>135173.374220939</v>
      </c>
      <c r="D23310" s="56">
        <v>0</v>
      </c>
      <c r="E23310" s="224" t="s">
        <v>2</v>
      </c>
      <c r="G23310" s="52"/>
      <c r="H23310" s="56"/>
      <c r="I23310" s="224"/>
    </row>
    <row r="23311" spans="1:9" x14ac:dyDescent="0.25">
      <c r="A23311" s="515">
        <v>11765</v>
      </c>
      <c r="B23311" s="515" t="s">
        <v>324</v>
      </c>
      <c r="C23311" s="52">
        <v>2286249.9000342502</v>
      </c>
      <c r="D23311" s="56">
        <v>0.12076892343645197</v>
      </c>
      <c r="E23311" s="224" t="s">
        <v>2</v>
      </c>
      <c r="G23311" s="52"/>
      <c r="H23311" s="56"/>
      <c r="I23311" s="224"/>
    </row>
    <row r="23312" spans="1:9" x14ac:dyDescent="0.25">
      <c r="A23312" s="515">
        <v>67444</v>
      </c>
      <c r="C23312" s="52">
        <v>107485.90800445</v>
      </c>
      <c r="D23312" s="56">
        <v>-2.9003138923393457E-2</v>
      </c>
      <c r="E23312" s="224" t="s">
        <v>2</v>
      </c>
      <c r="G23312" s="52"/>
      <c r="H23312" s="56"/>
      <c r="I23312" s="224"/>
    </row>
    <row r="23313" spans="1:9" x14ac:dyDescent="0.25">
      <c r="A23313" s="515">
        <v>42541</v>
      </c>
      <c r="C23313" s="52">
        <v>103727.807457487</v>
      </c>
      <c r="D23313" s="56">
        <v>0.18399886263046553</v>
      </c>
      <c r="E23313" s="224" t="s">
        <v>2</v>
      </c>
      <c r="G23313" s="52"/>
      <c r="H23313" s="56"/>
      <c r="I23313" s="224"/>
    </row>
    <row r="23314" spans="1:9" x14ac:dyDescent="0.25">
      <c r="A23314" s="515">
        <v>68825</v>
      </c>
      <c r="C23314" s="52">
        <v>183910.89202683399</v>
      </c>
      <c r="D23314" s="56">
        <v>0</v>
      </c>
      <c r="E23314" s="224" t="s">
        <v>2</v>
      </c>
      <c r="G23314" s="52"/>
      <c r="H23314" s="56"/>
      <c r="I23314" s="224"/>
    </row>
    <row r="23315" spans="1:9" x14ac:dyDescent="0.25">
      <c r="A23315" s="515">
        <v>15363</v>
      </c>
      <c r="B23315" s="515" t="s">
        <v>297</v>
      </c>
      <c r="C23315" s="52">
        <v>152974.615159604</v>
      </c>
      <c r="D23315" s="56">
        <v>0.10127764308539269</v>
      </c>
      <c r="E23315" s="224" t="s">
        <v>2</v>
      </c>
      <c r="G23315" s="52"/>
      <c r="H23315" s="56"/>
      <c r="I23315" s="224"/>
    </row>
    <row r="23316" spans="1:9" x14ac:dyDescent="0.25">
      <c r="A23316" s="515">
        <v>51436</v>
      </c>
      <c r="B23316" s="515" t="s">
        <v>436</v>
      </c>
      <c r="C23316" s="52">
        <v>189337.13436362799</v>
      </c>
      <c r="D23316" s="56">
        <v>0.13109408448570675</v>
      </c>
      <c r="E23316" s="224" t="s">
        <v>2</v>
      </c>
      <c r="G23316" s="52"/>
      <c r="H23316" s="56"/>
      <c r="I23316" s="224"/>
    </row>
    <row r="23317" spans="1:9" x14ac:dyDescent="0.25">
      <c r="A23317" s="515">
        <v>3752</v>
      </c>
      <c r="B23317" s="515" t="s">
        <v>420</v>
      </c>
      <c r="C23317" s="52">
        <v>293899.07210753101</v>
      </c>
      <c r="D23317" s="56">
        <v>0.14345301112401615</v>
      </c>
      <c r="E23317" s="224" t="s">
        <v>2</v>
      </c>
      <c r="G23317" s="52"/>
      <c r="H23317" s="56"/>
      <c r="I23317" s="224"/>
    </row>
    <row r="23318" spans="1:9" x14ac:dyDescent="0.25">
      <c r="A23318" s="515">
        <v>58052</v>
      </c>
      <c r="B23318" s="515" t="s">
        <v>928</v>
      </c>
      <c r="C23318" s="52">
        <v>188393.42348751801</v>
      </c>
      <c r="D23318" s="56">
        <v>0</v>
      </c>
      <c r="E23318" s="224" t="s">
        <v>2</v>
      </c>
      <c r="G23318" s="52"/>
      <c r="H23318" s="56"/>
      <c r="I23318" s="224"/>
    </row>
    <row r="23319" spans="1:9" x14ac:dyDescent="0.25">
      <c r="A23319" s="515">
        <v>73559</v>
      </c>
      <c r="C23319" s="52">
        <v>54581.867852744603</v>
      </c>
      <c r="D23319" s="56">
        <v>0.24640744211914567</v>
      </c>
      <c r="E23319" s="224" t="s">
        <v>2</v>
      </c>
      <c r="G23319" s="52"/>
      <c r="H23319" s="56"/>
      <c r="I23319" s="224"/>
    </row>
    <row r="23320" spans="1:9" x14ac:dyDescent="0.25">
      <c r="A23320" s="515">
        <v>72544</v>
      </c>
      <c r="B23320" s="515" t="s">
        <v>679</v>
      </c>
      <c r="C23320" s="52">
        <v>158295.30219871199</v>
      </c>
      <c r="D23320" s="56">
        <v>-6.3795292762078099E-2</v>
      </c>
      <c r="E23320" s="224" t="s">
        <v>2</v>
      </c>
      <c r="G23320" s="52"/>
      <c r="H23320" s="56"/>
      <c r="I23320" s="224"/>
    </row>
    <row r="23321" spans="1:9" x14ac:dyDescent="0.25">
      <c r="A23321" s="515">
        <v>58218</v>
      </c>
      <c r="C23321" s="52">
        <v>187608.880903418</v>
      </c>
      <c r="D23321" s="56">
        <v>-2.2851118711663079E-2</v>
      </c>
      <c r="E23321" s="224" t="s">
        <v>2</v>
      </c>
      <c r="G23321" s="52"/>
      <c r="H23321" s="56"/>
      <c r="I23321" s="224"/>
    </row>
    <row r="23322" spans="1:9" x14ac:dyDescent="0.25">
      <c r="A23322" s="515">
        <v>41838</v>
      </c>
      <c r="C23322" s="52">
        <v>71478.661804986099</v>
      </c>
      <c r="D23322" s="56">
        <v>0.17665561002306465</v>
      </c>
      <c r="E23322" s="224" t="s">
        <v>2</v>
      </c>
      <c r="G23322" s="52"/>
      <c r="H23322" s="56"/>
      <c r="I23322" s="224"/>
    </row>
    <row r="23323" spans="1:9" x14ac:dyDescent="0.25">
      <c r="A23323" s="515">
        <v>40052</v>
      </c>
      <c r="B23323" s="515" t="s">
        <v>866</v>
      </c>
      <c r="C23323" s="52">
        <v>182432.61427211299</v>
      </c>
      <c r="D23323" s="56">
        <v>0.12339304733518622</v>
      </c>
      <c r="E23323" s="224" t="s">
        <v>2</v>
      </c>
      <c r="G23323" s="52"/>
      <c r="H23323" s="56"/>
      <c r="I23323" s="224"/>
    </row>
    <row r="23324" spans="1:9" x14ac:dyDescent="0.25">
      <c r="A23324" s="515">
        <v>17213</v>
      </c>
      <c r="B23324" s="515" t="s">
        <v>539</v>
      </c>
      <c r="C23324" s="52">
        <v>183876.20513266599</v>
      </c>
      <c r="D23324" s="56">
        <v>0</v>
      </c>
      <c r="E23324" s="224" t="s">
        <v>2</v>
      </c>
      <c r="G23324" s="52"/>
      <c r="H23324" s="56"/>
      <c r="I23324" s="224"/>
    </row>
    <row r="23325" spans="1:9" x14ac:dyDescent="0.25">
      <c r="A23325" s="515">
        <v>64780</v>
      </c>
      <c r="B23325" s="515" t="s">
        <v>455</v>
      </c>
      <c r="C23325" s="52">
        <v>185965.84642289899</v>
      </c>
      <c r="D23325" s="56">
        <v>8.9896946185399701E-2</v>
      </c>
      <c r="E23325" s="224" t="s">
        <v>2</v>
      </c>
      <c r="G23325" s="52"/>
      <c r="H23325" s="56"/>
      <c r="I23325" s="224"/>
    </row>
    <row r="23326" spans="1:9" x14ac:dyDescent="0.25">
      <c r="A23326" s="515">
        <v>3875</v>
      </c>
      <c r="C23326" s="52">
        <v>447761.01063178299</v>
      </c>
      <c r="D23326" s="56">
        <v>8.4460651637266376E-2</v>
      </c>
      <c r="E23326" s="224" t="s">
        <v>2</v>
      </c>
      <c r="G23326" s="52"/>
      <c r="H23326" s="56"/>
      <c r="I23326" s="224"/>
    </row>
    <row r="23327" spans="1:9" x14ac:dyDescent="0.25">
      <c r="A23327" s="515">
        <v>14897</v>
      </c>
      <c r="C23327" s="52">
        <v>91913.401777469393</v>
      </c>
      <c r="D23327" s="56">
        <v>0.12460153791998844</v>
      </c>
      <c r="E23327" s="224" t="s">
        <v>2</v>
      </c>
      <c r="G23327" s="52"/>
      <c r="H23327" s="56"/>
      <c r="I23327" s="224"/>
    </row>
    <row r="23328" spans="1:9" x14ac:dyDescent="0.25">
      <c r="A23328" s="515">
        <v>51019</v>
      </c>
      <c r="B23328" s="515" t="s">
        <v>649</v>
      </c>
      <c r="C23328" s="52">
        <v>151134.651543438</v>
      </c>
      <c r="D23328" s="56">
        <v>0</v>
      </c>
      <c r="E23328" s="224" t="s">
        <v>2</v>
      </c>
      <c r="G23328" s="52"/>
      <c r="H23328" s="56"/>
      <c r="I23328" s="224"/>
    </row>
    <row r="23329" spans="1:9" x14ac:dyDescent="0.25">
      <c r="A23329" s="515">
        <v>43913</v>
      </c>
      <c r="B23329" s="515" t="s">
        <v>389</v>
      </c>
      <c r="C23329" s="52">
        <v>74795.231452002699</v>
      </c>
      <c r="D23329" s="56">
        <v>7.7764863557573075E-2</v>
      </c>
      <c r="E23329" s="224" t="s">
        <v>2</v>
      </c>
      <c r="G23329" s="52"/>
      <c r="H23329" s="56"/>
      <c r="I23329" s="224"/>
    </row>
    <row r="23330" spans="1:9" x14ac:dyDescent="0.25">
      <c r="A23330" s="515">
        <v>41264</v>
      </c>
      <c r="C23330" s="52">
        <v>159148.69523653001</v>
      </c>
      <c r="D23330" s="56">
        <v>8.632961131192142E-2</v>
      </c>
      <c r="E23330" s="224" t="s">
        <v>2</v>
      </c>
      <c r="G23330" s="52"/>
      <c r="H23330" s="56"/>
      <c r="I23330" s="224"/>
    </row>
    <row r="23331" spans="1:9" x14ac:dyDescent="0.25">
      <c r="A23331" s="515">
        <v>65732</v>
      </c>
      <c r="C23331" s="52">
        <v>179330.340425531</v>
      </c>
      <c r="D23331" s="56">
        <v>0</v>
      </c>
      <c r="E23331" s="224" t="s">
        <v>2</v>
      </c>
      <c r="G23331" s="52"/>
      <c r="H23331" s="56"/>
      <c r="I23331" s="224"/>
    </row>
    <row r="23332" spans="1:9" x14ac:dyDescent="0.25">
      <c r="A23332" s="515">
        <v>12405</v>
      </c>
      <c r="C23332" s="52">
        <v>280388.06461393699</v>
      </c>
      <c r="D23332" s="56">
        <v>0.10886239046147293</v>
      </c>
      <c r="E23332" s="224" t="s">
        <v>2</v>
      </c>
      <c r="G23332" s="52"/>
      <c r="H23332" s="56"/>
      <c r="I23332" s="224"/>
    </row>
    <row r="23333" spans="1:9" x14ac:dyDescent="0.25">
      <c r="A23333" s="515">
        <v>52731</v>
      </c>
      <c r="B23333" s="515" t="s">
        <v>330</v>
      </c>
      <c r="C23333" s="52">
        <v>190378.71905128899</v>
      </c>
      <c r="D23333" s="56">
        <v>0.12798583791066567</v>
      </c>
      <c r="E23333" s="224" t="s">
        <v>2</v>
      </c>
      <c r="G23333" s="52"/>
      <c r="H23333" s="56"/>
      <c r="I23333" s="224"/>
    </row>
    <row r="23334" spans="1:9" x14ac:dyDescent="0.25">
      <c r="A23334" s="515">
        <v>31784</v>
      </c>
      <c r="C23334" s="52">
        <v>119343.28599659599</v>
      </c>
      <c r="D23334" s="56">
        <v>0</v>
      </c>
      <c r="E23334" s="224" t="s">
        <v>2</v>
      </c>
      <c r="G23334" s="52"/>
      <c r="H23334" s="56"/>
      <c r="I23334" s="224"/>
    </row>
    <row r="23335" spans="1:9" x14ac:dyDescent="0.25">
      <c r="A23335" s="515">
        <v>5153</v>
      </c>
      <c r="B23335" s="515" t="s">
        <v>420</v>
      </c>
      <c r="C23335" s="52">
        <v>307880.04616311903</v>
      </c>
      <c r="D23335" s="56">
        <v>8.9270047286628518E-2</v>
      </c>
      <c r="E23335" s="224" t="s">
        <v>2</v>
      </c>
      <c r="G23335" s="52"/>
      <c r="H23335" s="56"/>
      <c r="I23335" s="224"/>
    </row>
    <row r="23336" spans="1:9" x14ac:dyDescent="0.25">
      <c r="A23336" s="515">
        <v>22504</v>
      </c>
      <c r="C23336" s="52">
        <v>261471.12988357199</v>
      </c>
      <c r="D23336" s="56">
        <v>0.23388488702028659</v>
      </c>
      <c r="E23336" s="224" t="s">
        <v>2</v>
      </c>
      <c r="G23336" s="52"/>
      <c r="H23336" s="56"/>
      <c r="I23336" s="224"/>
    </row>
    <row r="23337" spans="1:9" x14ac:dyDescent="0.25">
      <c r="A23337" s="515">
        <v>20896</v>
      </c>
      <c r="B23337" s="515" t="s">
        <v>321</v>
      </c>
      <c r="C23337" s="52">
        <v>966334.49550048704</v>
      </c>
      <c r="D23337" s="56">
        <v>7.8596161295055422E-2</v>
      </c>
      <c r="E23337" s="224" t="s">
        <v>2</v>
      </c>
      <c r="G23337" s="52"/>
      <c r="H23337" s="56"/>
      <c r="I23337" s="224"/>
    </row>
    <row r="23338" spans="1:9" x14ac:dyDescent="0.25">
      <c r="A23338" s="515">
        <v>17832</v>
      </c>
      <c r="B23338" s="515" t="s">
        <v>939</v>
      </c>
      <c r="C23338" s="52">
        <v>55466.558214566103</v>
      </c>
      <c r="D23338" s="56">
        <v>0</v>
      </c>
      <c r="E23338" s="224" t="s">
        <v>2</v>
      </c>
      <c r="G23338" s="52"/>
      <c r="H23338" s="56"/>
      <c r="I23338" s="224"/>
    </row>
    <row r="23339" spans="1:9" x14ac:dyDescent="0.25">
      <c r="A23339" s="515">
        <v>65609</v>
      </c>
      <c r="C23339" s="52">
        <v>200744.21056639901</v>
      </c>
      <c r="D23339" s="56">
        <v>7.9004235739297407E-2</v>
      </c>
      <c r="E23339" s="224" t="s">
        <v>2</v>
      </c>
      <c r="G23339" s="52"/>
      <c r="H23339" s="56"/>
      <c r="I23339" s="224"/>
    </row>
    <row r="23340" spans="1:9" x14ac:dyDescent="0.25">
      <c r="A23340" s="515">
        <v>66079</v>
      </c>
      <c r="B23340" s="515" t="s">
        <v>880</v>
      </c>
      <c r="C23340" s="52">
        <v>261633.12216540999</v>
      </c>
      <c r="D23340" s="56">
        <v>0.17567861824231479</v>
      </c>
      <c r="E23340" s="224" t="s">
        <v>2</v>
      </c>
      <c r="G23340" s="52"/>
      <c r="H23340" s="56"/>
      <c r="I23340" s="224"/>
    </row>
    <row r="23341" spans="1:9" x14ac:dyDescent="0.25">
      <c r="A23341" s="515">
        <v>50569</v>
      </c>
      <c r="B23341" s="515" t="s">
        <v>670</v>
      </c>
      <c r="C23341" s="52">
        <v>105572.16516532699</v>
      </c>
      <c r="D23341" s="56">
        <v>8.6754727571604143E-2</v>
      </c>
      <c r="E23341" s="224" t="s">
        <v>2</v>
      </c>
      <c r="G23341" s="52"/>
      <c r="H23341" s="56"/>
      <c r="I23341" s="224"/>
    </row>
    <row r="23342" spans="1:9" x14ac:dyDescent="0.25">
      <c r="A23342" s="515">
        <v>68331</v>
      </c>
      <c r="B23342" s="515" t="s">
        <v>745</v>
      </c>
      <c r="C23342" s="52">
        <v>279664.49348514201</v>
      </c>
      <c r="D23342" s="56">
        <v>0.10637744153017202</v>
      </c>
      <c r="E23342" s="224" t="s">
        <v>2</v>
      </c>
      <c r="G23342" s="52"/>
      <c r="H23342" s="56"/>
      <c r="I23342" s="224"/>
    </row>
    <row r="23343" spans="1:9" x14ac:dyDescent="0.25">
      <c r="A23343" s="515">
        <v>14841</v>
      </c>
      <c r="C23343" s="52">
        <v>254112.80510917999</v>
      </c>
      <c r="D23343" s="56">
        <v>9.711488415598428E-2</v>
      </c>
      <c r="E23343" s="224" t="s">
        <v>2</v>
      </c>
      <c r="G23343" s="52"/>
      <c r="H23343" s="56"/>
      <c r="I23343" s="224"/>
    </row>
    <row r="23344" spans="1:9" x14ac:dyDescent="0.25">
      <c r="A23344" s="515">
        <v>68455</v>
      </c>
      <c r="B23344" s="515" t="s">
        <v>367</v>
      </c>
      <c r="C23344" s="52">
        <v>310802.38881538098</v>
      </c>
      <c r="D23344" s="56">
        <v>8.6216108272496955E-2</v>
      </c>
      <c r="E23344" s="224" t="s">
        <v>2</v>
      </c>
      <c r="G23344" s="52"/>
      <c r="H23344" s="56"/>
      <c r="I23344" s="224"/>
    </row>
    <row r="23345" spans="1:9" x14ac:dyDescent="0.25">
      <c r="A23345" s="515">
        <v>36205</v>
      </c>
      <c r="B23345" s="515" t="s">
        <v>927</v>
      </c>
      <c r="C23345" s="52">
        <v>249754.03101296601</v>
      </c>
      <c r="D23345" s="56">
        <v>4.1264811902251342E-2</v>
      </c>
      <c r="E23345" s="224" t="s">
        <v>2</v>
      </c>
      <c r="G23345" s="52"/>
      <c r="H23345" s="56"/>
      <c r="I23345" s="224"/>
    </row>
    <row r="23346" spans="1:9" x14ac:dyDescent="0.25">
      <c r="A23346" s="515">
        <v>87567</v>
      </c>
      <c r="B23346" s="515" t="s">
        <v>926</v>
      </c>
      <c r="C23346" s="52">
        <v>319680.25406851398</v>
      </c>
      <c r="D23346" s="56">
        <v>3.9967381458057949E-2</v>
      </c>
      <c r="E23346" s="224" t="s">
        <v>2</v>
      </c>
      <c r="G23346" s="52"/>
      <c r="H23346" s="56"/>
      <c r="I23346" s="224"/>
    </row>
    <row r="23347" spans="1:9" x14ac:dyDescent="0.25">
      <c r="A23347" s="515">
        <v>81233</v>
      </c>
      <c r="B23347" s="515" t="s">
        <v>925</v>
      </c>
      <c r="C23347" s="52">
        <v>460865.08147527801</v>
      </c>
      <c r="D23347" s="56">
        <v>8.5227253451796978E-2</v>
      </c>
      <c r="E23347" s="224" t="s">
        <v>2</v>
      </c>
      <c r="G23347" s="52"/>
      <c r="H23347" s="56"/>
      <c r="I23347" s="224"/>
    </row>
    <row r="23348" spans="1:9" x14ac:dyDescent="0.25">
      <c r="A23348" s="515">
        <v>71959</v>
      </c>
      <c r="C23348" s="52">
        <v>100217.07898634599</v>
      </c>
      <c r="D23348" s="56">
        <v>-8.2568588591004251E-3</v>
      </c>
      <c r="E23348" s="224" t="s">
        <v>2</v>
      </c>
      <c r="G23348" s="52"/>
      <c r="H23348" s="56"/>
      <c r="I23348" s="224"/>
    </row>
    <row r="23349" spans="1:9" x14ac:dyDescent="0.25">
      <c r="A23349" s="515">
        <v>14885</v>
      </c>
      <c r="B23349" s="515" t="s">
        <v>585</v>
      </c>
      <c r="C23349" s="52">
        <v>159602.43299271099</v>
      </c>
      <c r="D23349" s="56">
        <v>0.12334942431808332</v>
      </c>
      <c r="E23349" s="224" t="s">
        <v>2</v>
      </c>
      <c r="G23349" s="52"/>
      <c r="H23349" s="56"/>
      <c r="I23349" s="224"/>
    </row>
    <row r="23350" spans="1:9" x14ac:dyDescent="0.25">
      <c r="A23350" s="515">
        <v>47036</v>
      </c>
      <c r="B23350" s="515" t="s">
        <v>344</v>
      </c>
      <c r="C23350" s="52">
        <v>262045.71551724101</v>
      </c>
      <c r="D23350" s="56">
        <v>0</v>
      </c>
      <c r="E23350" s="224" t="s">
        <v>2</v>
      </c>
      <c r="G23350" s="52"/>
      <c r="H23350" s="56"/>
      <c r="I23350" s="224"/>
    </row>
    <row r="23351" spans="1:9" x14ac:dyDescent="0.25">
      <c r="A23351" s="515">
        <v>5076</v>
      </c>
      <c r="B23351" s="515" t="s">
        <v>420</v>
      </c>
      <c r="C23351" s="52">
        <v>250909.05128205099</v>
      </c>
      <c r="D23351" s="56">
        <v>0</v>
      </c>
      <c r="E23351" s="224" t="s">
        <v>2</v>
      </c>
      <c r="G23351" s="52"/>
      <c r="H23351" s="56"/>
      <c r="I23351" s="224"/>
    </row>
    <row r="23352" spans="1:9" x14ac:dyDescent="0.25">
      <c r="A23352" s="515">
        <v>46150</v>
      </c>
      <c r="C23352" s="52">
        <v>196189.83554369499</v>
      </c>
      <c r="D23352" s="56">
        <v>6.3393800990691293E-2</v>
      </c>
      <c r="E23352" s="224" t="s">
        <v>2</v>
      </c>
      <c r="G23352" s="52"/>
      <c r="H23352" s="56"/>
      <c r="I23352" s="224"/>
    </row>
    <row r="23353" spans="1:9" x14ac:dyDescent="0.25">
      <c r="A23353" s="515">
        <v>52354</v>
      </c>
      <c r="B23353" s="515" t="s">
        <v>404</v>
      </c>
      <c r="C23353" s="52">
        <v>299239.00113756902</v>
      </c>
      <c r="D23353" s="56">
        <v>0.11783088226349253</v>
      </c>
      <c r="E23353" s="224" t="s">
        <v>2</v>
      </c>
      <c r="G23353" s="52"/>
      <c r="H23353" s="56"/>
      <c r="I23353" s="224"/>
    </row>
    <row r="23354" spans="1:9" x14ac:dyDescent="0.25">
      <c r="A23354" s="515">
        <v>25843</v>
      </c>
      <c r="B23354" s="515" t="s">
        <v>566</v>
      </c>
      <c r="C23354" s="52">
        <v>268262.55552520498</v>
      </c>
      <c r="D23354" s="56">
        <v>0.15127537072301142</v>
      </c>
      <c r="E23354" s="224" t="s">
        <v>2</v>
      </c>
      <c r="G23354" s="52"/>
      <c r="H23354" s="56"/>
      <c r="I23354" s="224"/>
    </row>
    <row r="23355" spans="1:9" x14ac:dyDescent="0.25">
      <c r="A23355" s="515">
        <v>95674</v>
      </c>
      <c r="B23355" s="515" t="s">
        <v>796</v>
      </c>
      <c r="C23355" s="52">
        <v>545062.50262812397</v>
      </c>
      <c r="D23355" s="56">
        <v>-3.2973694545439511E-2</v>
      </c>
      <c r="E23355" s="224" t="s">
        <v>2</v>
      </c>
      <c r="G23355" s="52"/>
      <c r="H23355" s="56"/>
      <c r="I23355" s="224"/>
    </row>
    <row r="23356" spans="1:9" x14ac:dyDescent="0.25">
      <c r="A23356" s="515">
        <v>41513</v>
      </c>
      <c r="C23356" s="52">
        <v>74706.147908149796</v>
      </c>
      <c r="D23356" s="56">
        <v>0.22156303734784649</v>
      </c>
      <c r="E23356" s="224" t="s">
        <v>2</v>
      </c>
      <c r="G23356" s="52"/>
      <c r="H23356" s="56"/>
      <c r="I23356" s="224"/>
    </row>
    <row r="23357" spans="1:9" x14ac:dyDescent="0.25">
      <c r="A23357" s="515">
        <v>25812</v>
      </c>
      <c r="B23357" s="515" t="s">
        <v>566</v>
      </c>
      <c r="C23357" s="52">
        <v>93603.068911680399</v>
      </c>
      <c r="D23357" s="56">
        <v>0.21155070434754966</v>
      </c>
      <c r="E23357" s="224" t="s">
        <v>2</v>
      </c>
      <c r="G23357" s="52"/>
      <c r="H23357" s="56"/>
      <c r="I23357" s="224"/>
    </row>
    <row r="23358" spans="1:9" x14ac:dyDescent="0.25">
      <c r="A23358" s="515">
        <v>97621</v>
      </c>
      <c r="B23358" s="515" t="s">
        <v>545</v>
      </c>
      <c r="C23358" s="52">
        <v>229300.152376079</v>
      </c>
      <c r="D23358" s="56">
        <v>0</v>
      </c>
      <c r="E23358" s="224" t="s">
        <v>2</v>
      </c>
      <c r="G23358" s="52"/>
      <c r="H23358" s="56"/>
      <c r="I23358" s="224"/>
    </row>
    <row r="23359" spans="1:9" x14ac:dyDescent="0.25">
      <c r="A23359" s="515">
        <v>62032</v>
      </c>
      <c r="C23359" s="52">
        <v>76362.355462201594</v>
      </c>
      <c r="D23359" s="56">
        <v>1.3878051809749357E-2</v>
      </c>
      <c r="E23359" s="224" t="s">
        <v>2</v>
      </c>
      <c r="G23359" s="52"/>
      <c r="H23359" s="56"/>
      <c r="I23359" s="224"/>
    </row>
    <row r="23360" spans="1:9" x14ac:dyDescent="0.25">
      <c r="A23360" s="515">
        <v>97461</v>
      </c>
      <c r="B23360" s="515" t="s">
        <v>801</v>
      </c>
      <c r="C23360" s="52">
        <v>418898.19354838697</v>
      </c>
      <c r="D23360" s="56">
        <v>0</v>
      </c>
      <c r="E23360" s="224" t="s">
        <v>2</v>
      </c>
      <c r="G23360" s="52"/>
      <c r="H23360" s="56"/>
      <c r="I23360" s="224"/>
    </row>
    <row r="23361" spans="1:9" x14ac:dyDescent="0.25">
      <c r="A23361" s="515">
        <v>54102</v>
      </c>
      <c r="B23361" s="515" t="s">
        <v>923</v>
      </c>
      <c r="C23361" s="52">
        <v>125478.62046155499</v>
      </c>
      <c r="D23361" s="56">
        <v>0.1575394460724007</v>
      </c>
      <c r="E23361" s="224" t="s">
        <v>2</v>
      </c>
      <c r="G23361" s="52"/>
      <c r="H23361" s="56"/>
      <c r="I23361" s="224"/>
    </row>
    <row r="23362" spans="1:9" x14ac:dyDescent="0.25">
      <c r="A23362" s="515">
        <v>75468</v>
      </c>
      <c r="B23362" s="515" t="s">
        <v>921</v>
      </c>
      <c r="C23362" s="52">
        <v>269295.57183126803</v>
      </c>
      <c r="D23362" s="56">
        <v>0</v>
      </c>
      <c r="E23362" s="224" t="s">
        <v>2</v>
      </c>
      <c r="G23362" s="52"/>
      <c r="H23362" s="56"/>
      <c r="I23362" s="224"/>
    </row>
    <row r="23363" spans="1:9" x14ac:dyDescent="0.25">
      <c r="A23363" s="515">
        <v>5343</v>
      </c>
      <c r="C23363" s="52">
        <v>327906.499849446</v>
      </c>
      <c r="D23363" s="56">
        <v>3.8351395999393065E-2</v>
      </c>
      <c r="E23363" s="224" t="s">
        <v>2</v>
      </c>
      <c r="G23363" s="52"/>
      <c r="H23363" s="56"/>
      <c r="I23363" s="224"/>
    </row>
    <row r="23364" spans="1:9" x14ac:dyDescent="0.25">
      <c r="A23364" s="515">
        <v>48465</v>
      </c>
      <c r="C23364" s="52">
        <v>209896.81036560499</v>
      </c>
      <c r="D23364" s="56">
        <v>0</v>
      </c>
      <c r="E23364" s="224" t="s">
        <v>2</v>
      </c>
      <c r="G23364" s="52"/>
      <c r="H23364" s="56"/>
      <c r="I23364" s="224"/>
    </row>
    <row r="23365" spans="1:9" x14ac:dyDescent="0.25">
      <c r="A23365" s="515">
        <v>47519</v>
      </c>
      <c r="B23365" s="515" t="s">
        <v>922</v>
      </c>
      <c r="C23365" s="52">
        <v>229864.53208620599</v>
      </c>
      <c r="D23365" s="56">
        <v>5.1020929190670528E-2</v>
      </c>
      <c r="E23365" s="224" t="s">
        <v>2</v>
      </c>
      <c r="G23365" s="52"/>
      <c r="H23365" s="56"/>
      <c r="I23365" s="224"/>
    </row>
    <row r="23366" spans="1:9" x14ac:dyDescent="0.25">
      <c r="A23366" s="515">
        <v>45003</v>
      </c>
      <c r="C23366" s="52">
        <v>160881.279751569</v>
      </c>
      <c r="D23366" s="56">
        <v>6.1476032191173549E-2</v>
      </c>
      <c r="E23366" s="224" t="s">
        <v>2</v>
      </c>
      <c r="G23366" s="52"/>
      <c r="H23366" s="56"/>
      <c r="I23366" s="224"/>
    </row>
    <row r="23367" spans="1:9" x14ac:dyDescent="0.25">
      <c r="A23367" s="515">
        <v>3771</v>
      </c>
      <c r="B23367" s="515" t="s">
        <v>420</v>
      </c>
      <c r="C23367" s="52">
        <v>305302.95546699502</v>
      </c>
      <c r="D23367" s="56">
        <v>0.16504906602589073</v>
      </c>
      <c r="E23367" s="224" t="s">
        <v>2</v>
      </c>
      <c r="G23367" s="52"/>
      <c r="H23367" s="56"/>
      <c r="I23367" s="224"/>
    </row>
    <row r="23368" spans="1:9" x14ac:dyDescent="0.25">
      <c r="A23368" s="515">
        <v>73766</v>
      </c>
      <c r="C23368" s="52">
        <v>104533.52780090499</v>
      </c>
      <c r="D23368" s="56">
        <v>9.4056574469551721E-2</v>
      </c>
      <c r="E23368" s="224" t="s">
        <v>2</v>
      </c>
      <c r="G23368" s="52"/>
      <c r="H23368" s="56"/>
      <c r="I23368" s="224"/>
    </row>
    <row r="23369" spans="1:9" x14ac:dyDescent="0.25">
      <c r="A23369" s="515">
        <v>59866</v>
      </c>
      <c r="C23369" s="52">
        <v>344543.33353882103</v>
      </c>
      <c r="D23369" s="56">
        <v>0.10819579172529474</v>
      </c>
      <c r="E23369" s="224" t="s">
        <v>2</v>
      </c>
      <c r="G23369" s="52"/>
      <c r="H23369" s="56"/>
      <c r="I23369" s="224"/>
    </row>
    <row r="23370" spans="1:9" x14ac:dyDescent="0.25">
      <c r="A23370" s="515">
        <v>5873</v>
      </c>
      <c r="C23370" s="52">
        <v>288495.92006872798</v>
      </c>
      <c r="D23370" s="56">
        <v>8.7130833899686913E-2</v>
      </c>
      <c r="E23370" s="224" t="s">
        <v>2</v>
      </c>
      <c r="G23370" s="52"/>
      <c r="H23370" s="56"/>
      <c r="I23370" s="224"/>
    </row>
    <row r="23371" spans="1:9" x14ac:dyDescent="0.25">
      <c r="A23371" s="515">
        <v>61863</v>
      </c>
      <c r="B23371" s="515" t="s">
        <v>417</v>
      </c>
      <c r="C23371" s="52">
        <v>166518.15885424701</v>
      </c>
      <c r="D23371" s="56">
        <v>3.5492719820211856E-2</v>
      </c>
      <c r="E23371" s="224" t="s">
        <v>2</v>
      </c>
      <c r="G23371" s="52"/>
      <c r="H23371" s="56"/>
      <c r="I23371" s="224"/>
    </row>
    <row r="23372" spans="1:9" x14ac:dyDescent="0.25">
      <c r="A23372" s="515">
        <v>25608</v>
      </c>
      <c r="C23372" s="52">
        <v>49668.359903819699</v>
      </c>
      <c r="D23372" s="56">
        <v>7.2000657244462682E-2</v>
      </c>
      <c r="E23372" s="224" t="s">
        <v>2</v>
      </c>
      <c r="G23372" s="52"/>
      <c r="H23372" s="56"/>
      <c r="I23372" s="224"/>
    </row>
    <row r="23373" spans="1:9" x14ac:dyDescent="0.25">
      <c r="A23373" s="515">
        <v>88042</v>
      </c>
      <c r="C23373" s="52">
        <v>201149.280724774</v>
      </c>
      <c r="D23373" s="56">
        <v>6.0827588421482517E-2</v>
      </c>
      <c r="E23373" s="224" t="s">
        <v>2</v>
      </c>
      <c r="G23373" s="52"/>
      <c r="H23373" s="56"/>
      <c r="I23373" s="224"/>
    </row>
    <row r="23374" spans="1:9" x14ac:dyDescent="0.25">
      <c r="A23374" s="515">
        <v>68644</v>
      </c>
      <c r="B23374" s="515" t="s">
        <v>567</v>
      </c>
      <c r="C23374" s="52">
        <v>331867.452984309</v>
      </c>
      <c r="D23374" s="56">
        <v>0.13967873831124542</v>
      </c>
      <c r="E23374" s="224" t="s">
        <v>2</v>
      </c>
      <c r="G23374" s="52"/>
      <c r="H23374" s="56"/>
      <c r="I23374" s="224"/>
    </row>
    <row r="23375" spans="1:9" x14ac:dyDescent="0.25">
      <c r="A23375" s="515">
        <v>82411</v>
      </c>
      <c r="C23375" s="52">
        <v>348529.946790758</v>
      </c>
      <c r="D23375" s="56">
        <v>0.12273153422272709</v>
      </c>
      <c r="E23375" s="224" t="s">
        <v>2</v>
      </c>
      <c r="G23375" s="52"/>
      <c r="H23375" s="56"/>
      <c r="I23375" s="224"/>
    </row>
    <row r="23376" spans="1:9" x14ac:dyDescent="0.25">
      <c r="A23376" s="515">
        <v>96770</v>
      </c>
      <c r="B23376" s="515" t="s">
        <v>400</v>
      </c>
      <c r="C23376" s="52">
        <v>393561.47890087799</v>
      </c>
      <c r="D23376" s="56">
        <v>0.24502653440926042</v>
      </c>
      <c r="E23376" s="224" t="s">
        <v>2</v>
      </c>
      <c r="G23376" s="52"/>
      <c r="H23376" s="56"/>
      <c r="I23376" s="224"/>
    </row>
    <row r="23377" spans="1:9" x14ac:dyDescent="0.25">
      <c r="A23377" s="515">
        <v>25049</v>
      </c>
      <c r="B23377" s="515" t="s">
        <v>322</v>
      </c>
      <c r="C23377" s="52">
        <v>84109.750699041993</v>
      </c>
      <c r="D23377" s="56">
        <v>4.2643042827780121E-2</v>
      </c>
      <c r="E23377" s="224" t="s">
        <v>2</v>
      </c>
      <c r="G23377" s="52"/>
      <c r="H23377" s="56"/>
      <c r="I23377" s="224"/>
    </row>
    <row r="23378" spans="1:9" x14ac:dyDescent="0.25">
      <c r="A23378" s="515">
        <v>56639</v>
      </c>
      <c r="B23378" s="515" t="s">
        <v>590</v>
      </c>
      <c r="C23378" s="52">
        <v>179913.35027421301</v>
      </c>
      <c r="D23378" s="56">
        <v>0.10406538437433084</v>
      </c>
      <c r="E23378" s="224" t="s">
        <v>2</v>
      </c>
      <c r="G23378" s="52"/>
      <c r="H23378" s="56"/>
      <c r="I23378" s="224"/>
    </row>
    <row r="23379" spans="1:9" x14ac:dyDescent="0.25">
      <c r="A23379" s="515">
        <v>32193</v>
      </c>
      <c r="B23379" s="515" t="s">
        <v>920</v>
      </c>
      <c r="C23379" s="52">
        <v>252445.00938539201</v>
      </c>
      <c r="D23379" s="56">
        <v>0.16667055095319694</v>
      </c>
      <c r="E23379" s="224" t="s">
        <v>2</v>
      </c>
      <c r="G23379" s="52"/>
      <c r="H23379" s="56"/>
      <c r="I23379" s="224"/>
    </row>
    <row r="23380" spans="1:9" x14ac:dyDescent="0.25">
      <c r="A23380" s="515">
        <v>12824</v>
      </c>
      <c r="B23380" s="515" t="s">
        <v>422</v>
      </c>
      <c r="C23380" s="52">
        <v>585477.26769741799</v>
      </c>
      <c r="D23380" s="56">
        <v>8.2502555766159016E-2</v>
      </c>
      <c r="E23380" s="224" t="s">
        <v>2</v>
      </c>
      <c r="G23380" s="52"/>
      <c r="H23380" s="56"/>
      <c r="I23380" s="224"/>
    </row>
    <row r="23381" spans="1:9" x14ac:dyDescent="0.25">
      <c r="A23381" s="515">
        <v>95943</v>
      </c>
      <c r="C23381" s="52">
        <v>668314.77566977404</v>
      </c>
      <c r="D23381" s="56">
        <v>3.6201944205404228E-2</v>
      </c>
      <c r="E23381" s="224" t="s">
        <v>2</v>
      </c>
      <c r="G23381" s="52"/>
      <c r="H23381" s="56"/>
      <c r="I23381" s="224"/>
    </row>
    <row r="23382" spans="1:9" x14ac:dyDescent="0.25">
      <c r="A23382" s="515">
        <v>67865</v>
      </c>
      <c r="C23382" s="52">
        <v>119110.521727945</v>
      </c>
      <c r="D23382" s="56">
        <v>0.11294512124289466</v>
      </c>
      <c r="E23382" s="224" t="s">
        <v>2</v>
      </c>
      <c r="G23382" s="52"/>
      <c r="H23382" s="56"/>
      <c r="I23382" s="224"/>
    </row>
    <row r="23383" spans="1:9" x14ac:dyDescent="0.25">
      <c r="A23383" s="515">
        <v>42453</v>
      </c>
      <c r="B23383" s="515" t="s">
        <v>598</v>
      </c>
      <c r="C23383" s="52">
        <v>111119.20372988201</v>
      </c>
      <c r="D23383" s="56">
        <v>0.10520742865765843</v>
      </c>
      <c r="E23383" s="224" t="s">
        <v>2</v>
      </c>
      <c r="G23383" s="52"/>
      <c r="H23383" s="56"/>
      <c r="I23383" s="224"/>
    </row>
    <row r="23384" spans="1:9" x14ac:dyDescent="0.25">
      <c r="A23384" s="515">
        <v>19944</v>
      </c>
      <c r="B23384" s="515" t="s">
        <v>552</v>
      </c>
      <c r="C23384" s="52">
        <v>988015.773243326</v>
      </c>
      <c r="D23384" s="56">
        <v>4.0780023647775845E-2</v>
      </c>
      <c r="E23384" s="224" t="s">
        <v>2</v>
      </c>
      <c r="G23384" s="52"/>
      <c r="H23384" s="56"/>
      <c r="I23384" s="224"/>
    </row>
    <row r="23385" spans="1:9" x14ac:dyDescent="0.25">
      <c r="A23385" s="515">
        <v>63339</v>
      </c>
      <c r="C23385" s="52">
        <v>216652.91168403201</v>
      </c>
      <c r="D23385" s="56">
        <v>0.11500086550565765</v>
      </c>
      <c r="E23385" s="224" t="s">
        <v>2</v>
      </c>
      <c r="G23385" s="52"/>
      <c r="H23385" s="56"/>
      <c r="I23385" s="224"/>
    </row>
    <row r="23386" spans="1:9" x14ac:dyDescent="0.25">
      <c r="A23386" s="515">
        <v>18829</v>
      </c>
      <c r="B23386" s="515" t="s">
        <v>699</v>
      </c>
      <c r="C23386" s="52">
        <v>186535.67672299201</v>
      </c>
      <c r="D23386" s="56">
        <v>0.10484656630262801</v>
      </c>
      <c r="E23386" s="224" t="s">
        <v>2</v>
      </c>
      <c r="G23386" s="52"/>
      <c r="H23386" s="56"/>
      <c r="I23386" s="224"/>
    </row>
    <row r="23387" spans="1:9" x14ac:dyDescent="0.25">
      <c r="A23387" s="515">
        <v>81434</v>
      </c>
      <c r="C23387" s="52">
        <v>424167.59183673398</v>
      </c>
      <c r="D23387" s="56">
        <v>0</v>
      </c>
      <c r="E23387" s="224" t="s">
        <v>2</v>
      </c>
      <c r="G23387" s="52"/>
      <c r="H23387" s="56"/>
      <c r="I23387" s="224"/>
    </row>
    <row r="23388" spans="1:9" x14ac:dyDescent="0.25">
      <c r="A23388" s="515">
        <v>80611</v>
      </c>
      <c r="B23388" s="515" t="s">
        <v>382</v>
      </c>
      <c r="C23388" s="52">
        <v>496559.18108033598</v>
      </c>
      <c r="D23388" s="56">
        <v>1.4201133970914078E-2</v>
      </c>
      <c r="E23388" s="224" t="s">
        <v>2</v>
      </c>
      <c r="G23388" s="52"/>
      <c r="H23388" s="56"/>
      <c r="I23388" s="224"/>
    </row>
    <row r="23389" spans="1:9" x14ac:dyDescent="0.25">
      <c r="A23389" s="515">
        <v>50479</v>
      </c>
      <c r="B23389" s="515" t="s">
        <v>634</v>
      </c>
      <c r="C23389" s="52">
        <v>107013.937834261</v>
      </c>
      <c r="D23389" s="56">
        <v>0.17580609873647221</v>
      </c>
      <c r="E23389" s="224" t="s">
        <v>2</v>
      </c>
      <c r="G23389" s="52"/>
      <c r="H23389" s="56"/>
      <c r="I23389" s="224"/>
    </row>
    <row r="23390" spans="1:9" x14ac:dyDescent="0.25">
      <c r="A23390" s="515">
        <v>83349</v>
      </c>
      <c r="C23390" s="52">
        <v>250635.49151433</v>
      </c>
      <c r="D23390" s="56">
        <v>4.6493448277560308E-2</v>
      </c>
      <c r="E23390" s="224" t="s">
        <v>2</v>
      </c>
      <c r="G23390" s="52"/>
      <c r="H23390" s="56"/>
      <c r="I23390" s="224"/>
    </row>
    <row r="23391" spans="1:9" x14ac:dyDescent="0.25">
      <c r="A23391" s="515">
        <v>50603</v>
      </c>
      <c r="C23391" s="52">
        <v>138765.645544283</v>
      </c>
      <c r="D23391" s="56">
        <v>0</v>
      </c>
      <c r="E23391" s="224" t="s">
        <v>2</v>
      </c>
      <c r="G23391" s="52"/>
      <c r="H23391" s="56"/>
      <c r="I23391" s="224"/>
    </row>
    <row r="23392" spans="1:9" x14ac:dyDescent="0.25">
      <c r="A23392" s="515">
        <v>73546</v>
      </c>
      <c r="C23392" s="52">
        <v>50295.2034267813</v>
      </c>
      <c r="D23392" s="56">
        <v>3.8647031869216059E-2</v>
      </c>
      <c r="E23392" s="224" t="s">
        <v>2</v>
      </c>
      <c r="G23392" s="52"/>
      <c r="H23392" s="56"/>
      <c r="I23392" s="224"/>
    </row>
    <row r="23393" spans="1:9" x14ac:dyDescent="0.25">
      <c r="A23393" s="515">
        <v>73853</v>
      </c>
      <c r="B23393" s="515" t="s">
        <v>830</v>
      </c>
      <c r="C23393" s="52">
        <v>197397.862289385</v>
      </c>
      <c r="D23393" s="56">
        <v>0.12530808840797655</v>
      </c>
      <c r="E23393" s="224" t="s">
        <v>2</v>
      </c>
      <c r="G23393" s="52"/>
      <c r="H23393" s="56"/>
      <c r="I23393" s="224"/>
    </row>
    <row r="23394" spans="1:9" x14ac:dyDescent="0.25">
      <c r="A23394" s="515">
        <v>51036</v>
      </c>
      <c r="C23394" s="52">
        <v>253764.24066305399</v>
      </c>
      <c r="D23394" s="56">
        <v>0</v>
      </c>
      <c r="E23394" s="224" t="s">
        <v>2</v>
      </c>
      <c r="G23394" s="52"/>
      <c r="H23394" s="56"/>
      <c r="I23394" s="224"/>
    </row>
    <row r="23395" spans="1:9" x14ac:dyDescent="0.25">
      <c r="A23395" s="515">
        <v>13310</v>
      </c>
      <c r="B23395" s="515" t="s">
        <v>361</v>
      </c>
      <c r="C23395" s="52">
        <v>165142.93874659101</v>
      </c>
      <c r="D23395" s="56">
        <v>0.10930865179742018</v>
      </c>
      <c r="E23395" s="224" t="s">
        <v>2</v>
      </c>
      <c r="G23395" s="52"/>
      <c r="H23395" s="56"/>
      <c r="I23395" s="224"/>
    </row>
    <row r="23396" spans="1:9" x14ac:dyDescent="0.25">
      <c r="A23396" s="515">
        <v>36483</v>
      </c>
      <c r="B23396" s="515" t="s">
        <v>919</v>
      </c>
      <c r="C23396" s="52">
        <v>121642.381290559</v>
      </c>
      <c r="D23396" s="56">
        <v>-3.5935084408151026E-2</v>
      </c>
      <c r="E23396" s="224" t="s">
        <v>2</v>
      </c>
      <c r="G23396" s="52"/>
      <c r="H23396" s="56"/>
      <c r="I23396" s="224"/>
    </row>
    <row r="23397" spans="1:9" x14ac:dyDescent="0.25">
      <c r="A23397" s="515">
        <v>59015</v>
      </c>
      <c r="B23397" s="515" t="s">
        <v>637</v>
      </c>
      <c r="C23397" s="52">
        <v>340853.39483174903</v>
      </c>
      <c r="D23397" s="56">
        <v>8.1171067182207748E-2</v>
      </c>
      <c r="E23397" s="224" t="s">
        <v>2</v>
      </c>
      <c r="G23397" s="52"/>
      <c r="H23397" s="56"/>
      <c r="I23397" s="224"/>
    </row>
    <row r="23398" spans="1:9" x14ac:dyDescent="0.25">
      <c r="A23398" s="515">
        <v>47975</v>
      </c>
      <c r="B23398" s="515" t="s">
        <v>433</v>
      </c>
      <c r="C23398" s="52">
        <v>196733.41060102501</v>
      </c>
      <c r="D23398" s="56">
        <v>4.1128761987888611E-2</v>
      </c>
      <c r="E23398" s="224" t="s">
        <v>2</v>
      </c>
      <c r="G23398" s="52"/>
      <c r="H23398" s="56"/>
      <c r="I23398" s="224"/>
    </row>
    <row r="23399" spans="1:9" x14ac:dyDescent="0.25">
      <c r="A23399" s="515">
        <v>25070</v>
      </c>
      <c r="B23399" s="515" t="s">
        <v>602</v>
      </c>
      <c r="C23399" s="52">
        <v>182160.39218044101</v>
      </c>
      <c r="D23399" s="56">
        <v>6.4647907032822916E-2</v>
      </c>
      <c r="E23399" s="224" t="s">
        <v>2</v>
      </c>
      <c r="G23399" s="52"/>
      <c r="H23399" s="56"/>
      <c r="I23399" s="224"/>
    </row>
    <row r="23400" spans="1:9" x14ac:dyDescent="0.25">
      <c r="A23400" s="515">
        <v>67520</v>
      </c>
      <c r="C23400" s="52">
        <v>80037.856543082104</v>
      </c>
      <c r="D23400" s="56">
        <v>9.9818823620838271E-2</v>
      </c>
      <c r="E23400" s="224" t="s">
        <v>2</v>
      </c>
      <c r="G23400" s="52"/>
      <c r="H23400" s="56"/>
      <c r="I23400" s="224"/>
    </row>
    <row r="23401" spans="1:9" x14ac:dyDescent="0.25">
      <c r="A23401" s="515">
        <v>59832</v>
      </c>
      <c r="C23401" s="52">
        <v>307381.36454854702</v>
      </c>
      <c r="D23401" s="56">
        <v>0.13266513103565558</v>
      </c>
      <c r="E23401" s="224" t="s">
        <v>2</v>
      </c>
      <c r="G23401" s="52"/>
      <c r="H23401" s="56"/>
      <c r="I23401" s="224"/>
    </row>
    <row r="23402" spans="1:9" x14ac:dyDescent="0.25">
      <c r="A23402" s="515">
        <v>93238</v>
      </c>
      <c r="B23402" s="515" t="s">
        <v>419</v>
      </c>
      <c r="C23402" s="52">
        <v>325167.65401684598</v>
      </c>
      <c r="D23402" s="56">
        <v>2.4876397025850233E-2</v>
      </c>
      <c r="E23402" s="224" t="s">
        <v>2</v>
      </c>
      <c r="G23402" s="52"/>
      <c r="H23402" s="56"/>
      <c r="I23402" s="224"/>
    </row>
    <row r="23403" spans="1:9" x14ac:dyDescent="0.25">
      <c r="A23403" s="515">
        <v>3456</v>
      </c>
      <c r="B23403" s="515" t="s">
        <v>747</v>
      </c>
      <c r="C23403" s="52">
        <v>285753.50402073702</v>
      </c>
      <c r="D23403" s="56">
        <v>0.13921054937835575</v>
      </c>
      <c r="E23403" s="224" t="s">
        <v>2</v>
      </c>
      <c r="G23403" s="52"/>
      <c r="H23403" s="56"/>
      <c r="I23403" s="224"/>
    </row>
    <row r="23404" spans="1:9" x14ac:dyDescent="0.25">
      <c r="A23404" s="515">
        <v>56647</v>
      </c>
      <c r="B23404" s="515" t="s">
        <v>690</v>
      </c>
      <c r="C23404" s="52">
        <v>207662.20192896799</v>
      </c>
      <c r="D23404" s="56">
        <v>0.11182973653485827</v>
      </c>
      <c r="E23404" s="224" t="s">
        <v>2</v>
      </c>
      <c r="G23404" s="52"/>
      <c r="H23404" s="56"/>
      <c r="I23404" s="224"/>
    </row>
    <row r="23405" spans="1:9" x14ac:dyDescent="0.25">
      <c r="A23405" s="515">
        <v>18851</v>
      </c>
      <c r="B23405" s="515" t="s">
        <v>699</v>
      </c>
      <c r="C23405" s="52">
        <v>195889.85057471201</v>
      </c>
      <c r="D23405" s="56">
        <v>0</v>
      </c>
      <c r="E23405" s="224" t="s">
        <v>2</v>
      </c>
      <c r="G23405" s="52"/>
      <c r="H23405" s="56"/>
      <c r="I23405" s="224"/>
    </row>
    <row r="23406" spans="1:9" x14ac:dyDescent="0.25">
      <c r="A23406" s="515">
        <v>99128</v>
      </c>
      <c r="B23406" s="515" t="s">
        <v>450</v>
      </c>
      <c r="C23406" s="52">
        <v>281349.47633966699</v>
      </c>
      <c r="D23406" s="56">
        <v>0.1283691996694275</v>
      </c>
      <c r="E23406" s="224" t="s">
        <v>2</v>
      </c>
      <c r="G23406" s="52"/>
      <c r="H23406" s="56"/>
      <c r="I23406" s="224"/>
    </row>
    <row r="23407" spans="1:9" x14ac:dyDescent="0.25">
      <c r="A23407" s="515">
        <v>73842</v>
      </c>
      <c r="C23407" s="52">
        <v>113426.942095946</v>
      </c>
      <c r="D23407" s="56">
        <v>8.8780833396429892E-2</v>
      </c>
      <c r="E23407" s="224" t="s">
        <v>2</v>
      </c>
      <c r="G23407" s="52"/>
      <c r="H23407" s="56"/>
      <c r="I23407" s="224"/>
    </row>
    <row r="23408" spans="1:9" x14ac:dyDescent="0.25">
      <c r="A23408" s="515">
        <v>89025</v>
      </c>
      <c r="B23408" s="515" t="s">
        <v>323</v>
      </c>
      <c r="C23408" s="52">
        <v>324977.15371373302</v>
      </c>
      <c r="D23408" s="56">
        <v>5.5558331707561061E-2</v>
      </c>
      <c r="E23408" s="224" t="s">
        <v>2</v>
      </c>
      <c r="G23408" s="52"/>
      <c r="H23408" s="56"/>
      <c r="I23408" s="224"/>
    </row>
    <row r="23409" spans="1:9" x14ac:dyDescent="0.25">
      <c r="A23409" s="515">
        <v>37333</v>
      </c>
      <c r="B23409" s="515" t="s">
        <v>918</v>
      </c>
      <c r="C23409" s="52">
        <v>110462.496023024</v>
      </c>
      <c r="D23409" s="56">
        <v>0</v>
      </c>
      <c r="E23409" s="224" t="s">
        <v>2</v>
      </c>
      <c r="G23409" s="52"/>
      <c r="H23409" s="56"/>
      <c r="I23409" s="224"/>
    </row>
    <row r="23410" spans="1:9" x14ac:dyDescent="0.25">
      <c r="A23410" s="515">
        <v>24635</v>
      </c>
      <c r="B23410" s="515" t="s">
        <v>306</v>
      </c>
      <c r="C23410" s="52">
        <v>28952.5886499591</v>
      </c>
      <c r="D23410" s="56">
        <v>5.3320209867039961E-2</v>
      </c>
      <c r="E23410" s="224" t="s">
        <v>2</v>
      </c>
      <c r="G23410" s="52"/>
      <c r="H23410" s="56"/>
      <c r="I23410" s="224"/>
    </row>
    <row r="23411" spans="1:9" x14ac:dyDescent="0.25">
      <c r="A23411" s="515">
        <v>18451</v>
      </c>
      <c r="B23411" s="515" t="s">
        <v>324</v>
      </c>
      <c r="C23411" s="52">
        <v>362298.81702222797</v>
      </c>
      <c r="D23411" s="56">
        <v>5.0584012428029991E-2</v>
      </c>
      <c r="E23411" s="224" t="s">
        <v>2</v>
      </c>
      <c r="G23411" s="52"/>
      <c r="H23411" s="56"/>
      <c r="I23411" s="224"/>
    </row>
    <row r="23412" spans="1:9" x14ac:dyDescent="0.25">
      <c r="A23412" s="515">
        <v>31567</v>
      </c>
      <c r="B23412" s="515" t="s">
        <v>917</v>
      </c>
      <c r="C23412" s="52">
        <v>122713.408050217</v>
      </c>
      <c r="D23412" s="56">
        <v>0</v>
      </c>
      <c r="E23412" s="224" t="s">
        <v>2</v>
      </c>
      <c r="G23412" s="52"/>
      <c r="H23412" s="56"/>
      <c r="I23412" s="224"/>
    </row>
    <row r="23413" spans="1:9" x14ac:dyDescent="0.25">
      <c r="A23413" s="515">
        <v>58348</v>
      </c>
      <c r="C23413" s="52">
        <v>99581.509099028699</v>
      </c>
      <c r="D23413" s="56">
        <v>-2.8041839061673873E-2</v>
      </c>
      <c r="E23413" s="224" t="s">
        <v>2</v>
      </c>
      <c r="G23413" s="52"/>
      <c r="H23413" s="56"/>
      <c r="I23413" s="224"/>
    </row>
    <row r="23414" spans="1:9" x14ac:dyDescent="0.25">
      <c r="A23414" s="515">
        <v>68627</v>
      </c>
      <c r="C23414" s="52">
        <v>164977.24521992801</v>
      </c>
      <c r="D23414" s="56">
        <v>0.11034059065836441</v>
      </c>
      <c r="E23414" s="224" t="s">
        <v>2</v>
      </c>
      <c r="G23414" s="52"/>
      <c r="H23414" s="56"/>
      <c r="I23414" s="224"/>
    </row>
    <row r="23415" spans="1:9" x14ac:dyDescent="0.25">
      <c r="A23415" s="515">
        <v>12436</v>
      </c>
      <c r="C23415" s="52">
        <v>294911.81328748999</v>
      </c>
      <c r="D23415" s="56">
        <v>9.6811157711884352E-2</v>
      </c>
      <c r="E23415" s="224" t="s">
        <v>2</v>
      </c>
      <c r="G23415" s="52"/>
      <c r="H23415" s="56"/>
      <c r="I23415" s="224"/>
    </row>
    <row r="23416" spans="1:9" x14ac:dyDescent="0.25">
      <c r="A23416" s="515">
        <v>68866</v>
      </c>
      <c r="B23416" s="515" t="s">
        <v>660</v>
      </c>
      <c r="C23416" s="52">
        <v>303393.06233062799</v>
      </c>
      <c r="D23416" s="56">
        <v>0.11828913619965459</v>
      </c>
      <c r="E23416" s="224" t="s">
        <v>2</v>
      </c>
      <c r="G23416" s="52"/>
      <c r="H23416" s="56"/>
      <c r="I23416" s="224"/>
    </row>
    <row r="23417" spans="1:9" x14ac:dyDescent="0.25">
      <c r="A23417" s="515">
        <v>82410</v>
      </c>
      <c r="C23417" s="52">
        <v>224276.52851960799</v>
      </c>
      <c r="D23417" s="56">
        <v>0.13722837962197984</v>
      </c>
      <c r="E23417" s="224" t="s">
        <v>2</v>
      </c>
      <c r="G23417" s="52"/>
      <c r="H23417" s="56"/>
      <c r="I23417" s="224"/>
    </row>
    <row r="23418" spans="1:9" x14ac:dyDescent="0.25">
      <c r="A23418" s="515">
        <v>18443</v>
      </c>
      <c r="C23418" s="52">
        <v>289024.260968816</v>
      </c>
      <c r="D23418" s="56">
        <v>9.2352188194533655E-2</v>
      </c>
      <c r="E23418" s="224" t="s">
        <v>2</v>
      </c>
      <c r="G23418" s="52"/>
      <c r="H23418" s="56"/>
      <c r="I23418" s="224"/>
    </row>
    <row r="23419" spans="1:9" x14ac:dyDescent="0.25">
      <c r="A23419" s="515">
        <v>61777</v>
      </c>
      <c r="C23419" s="52">
        <v>132227.673901348</v>
      </c>
      <c r="D23419" s="56">
        <v>2.4666299489313946E-2</v>
      </c>
      <c r="E23419" s="224" t="s">
        <v>2</v>
      </c>
      <c r="G23419" s="52"/>
      <c r="H23419" s="56"/>
      <c r="I23419" s="224"/>
    </row>
    <row r="23420" spans="1:9" x14ac:dyDescent="0.25">
      <c r="A23420" s="515">
        <v>64848</v>
      </c>
      <c r="C23420" s="52">
        <v>212723.62576031199</v>
      </c>
      <c r="D23420" s="56">
        <v>0.10456858802132193</v>
      </c>
      <c r="E23420" s="224" t="s">
        <v>2</v>
      </c>
      <c r="G23420" s="52"/>
      <c r="H23420" s="56"/>
      <c r="I23420" s="224"/>
    </row>
    <row r="23421" spans="1:9" x14ac:dyDescent="0.25">
      <c r="A23421" s="515">
        <v>59038</v>
      </c>
      <c r="C23421" s="52">
        <v>186167.394495791</v>
      </c>
      <c r="D23421" s="56">
        <v>-5.8006268845967116E-2</v>
      </c>
      <c r="E23421" s="224" t="s">
        <v>2</v>
      </c>
      <c r="G23421" s="52"/>
      <c r="H23421" s="56"/>
      <c r="I23421" s="224"/>
    </row>
    <row r="23422" spans="1:9" x14ac:dyDescent="0.25">
      <c r="A23422" s="515">
        <v>25820</v>
      </c>
      <c r="B23422" s="515" t="s">
        <v>306</v>
      </c>
      <c r="C23422" s="52">
        <v>156693.82607408601</v>
      </c>
      <c r="D23422" s="56">
        <v>0.16426528587611133</v>
      </c>
      <c r="E23422" s="224" t="s">
        <v>2</v>
      </c>
      <c r="G23422" s="52"/>
      <c r="H23422" s="56"/>
      <c r="I23422" s="224"/>
    </row>
    <row r="23423" spans="1:9" x14ac:dyDescent="0.25">
      <c r="A23423" s="515">
        <v>29639</v>
      </c>
      <c r="C23423" s="52">
        <v>210148.555945019</v>
      </c>
      <c r="D23423" s="56">
        <v>9.0019727318544199E-2</v>
      </c>
      <c r="E23423" s="224" t="s">
        <v>2</v>
      </c>
      <c r="G23423" s="52"/>
      <c r="H23423" s="56"/>
      <c r="I23423" s="224"/>
    </row>
    <row r="23424" spans="1:9" x14ac:dyDescent="0.25">
      <c r="A23424" s="515">
        <v>6481</v>
      </c>
      <c r="B23424" s="515" t="s">
        <v>894</v>
      </c>
      <c r="C23424" s="52">
        <v>323326.45636741101</v>
      </c>
      <c r="D23424" s="56">
        <v>7.7083339492341044E-2</v>
      </c>
      <c r="E23424" s="224" t="s">
        <v>2</v>
      </c>
      <c r="G23424" s="52"/>
      <c r="H23424" s="56"/>
      <c r="I23424" s="224"/>
    </row>
    <row r="23425" spans="1:9" x14ac:dyDescent="0.25">
      <c r="A23425" s="515">
        <v>1256</v>
      </c>
      <c r="B23425" s="515" t="s">
        <v>497</v>
      </c>
      <c r="C23425" s="52">
        <v>260020.50439062799</v>
      </c>
      <c r="D23425" s="56">
        <v>0.11726678009054177</v>
      </c>
      <c r="E23425" s="224" t="s">
        <v>2</v>
      </c>
      <c r="G23425" s="52"/>
      <c r="H23425" s="56"/>
      <c r="I23425" s="224"/>
    </row>
    <row r="23426" spans="1:9" x14ac:dyDescent="0.25">
      <c r="A23426" s="515">
        <v>18471</v>
      </c>
      <c r="B23426" s="515" t="s">
        <v>512</v>
      </c>
      <c r="C23426" s="52">
        <v>351383.23230106197</v>
      </c>
      <c r="D23426" s="56">
        <v>1.5080476289638725E-2</v>
      </c>
      <c r="E23426" s="224" t="s">
        <v>2</v>
      </c>
      <c r="G23426" s="52"/>
      <c r="H23426" s="56"/>
      <c r="I23426" s="224"/>
    </row>
    <row r="23427" spans="1:9" x14ac:dyDescent="0.25">
      <c r="A23427" s="515">
        <v>26815</v>
      </c>
      <c r="C23427" s="52">
        <v>176151.80838867699</v>
      </c>
      <c r="D23427" s="56">
        <v>8.0950177596454287E-2</v>
      </c>
      <c r="E23427" s="224" t="s">
        <v>2</v>
      </c>
      <c r="G23427" s="52"/>
      <c r="H23427" s="56"/>
      <c r="I23427" s="224"/>
    </row>
    <row r="23428" spans="1:9" x14ac:dyDescent="0.25">
      <c r="A23428" s="515">
        <v>53170</v>
      </c>
      <c r="B23428" s="515" t="s">
        <v>394</v>
      </c>
      <c r="C23428" s="52">
        <v>263244.50538588298</v>
      </c>
      <c r="D23428" s="56">
        <v>3.8445275732688453E-2</v>
      </c>
      <c r="E23428" s="224" t="s">
        <v>2</v>
      </c>
      <c r="G23428" s="52"/>
      <c r="H23428" s="56"/>
      <c r="I23428" s="224"/>
    </row>
    <row r="23429" spans="1:9" x14ac:dyDescent="0.25">
      <c r="A23429" s="515">
        <v>88301</v>
      </c>
      <c r="B23429" s="515" t="s">
        <v>616</v>
      </c>
      <c r="C23429" s="52">
        <v>142520.64327485301</v>
      </c>
      <c r="D23429" s="56">
        <v>0</v>
      </c>
      <c r="E23429" s="224" t="s">
        <v>2</v>
      </c>
      <c r="G23429" s="52"/>
      <c r="H23429" s="56"/>
      <c r="I23429" s="224"/>
    </row>
    <row r="23430" spans="1:9" x14ac:dyDescent="0.25">
      <c r="A23430" s="515">
        <v>50524</v>
      </c>
      <c r="B23430" s="515" t="s">
        <v>670</v>
      </c>
      <c r="C23430" s="52">
        <v>186315.49876095401</v>
      </c>
      <c r="D23430" s="56">
        <v>0.12839443204364512</v>
      </c>
      <c r="E23430" s="224" t="s">
        <v>2</v>
      </c>
      <c r="G23430" s="52"/>
      <c r="H23430" s="56"/>
      <c r="I23430" s="224"/>
    </row>
    <row r="23431" spans="1:9" x14ac:dyDescent="0.25">
      <c r="A23431" s="515">
        <v>51006</v>
      </c>
      <c r="C23431" s="52">
        <v>82544.010467531407</v>
      </c>
      <c r="D23431" s="56">
        <v>0</v>
      </c>
      <c r="E23431" s="224" t="s">
        <v>2</v>
      </c>
      <c r="G23431" s="52"/>
      <c r="H23431" s="56"/>
      <c r="I23431" s="224"/>
    </row>
    <row r="23432" spans="1:9" x14ac:dyDescent="0.25">
      <c r="A23432" s="515">
        <v>68735</v>
      </c>
      <c r="C23432" s="52">
        <v>161824.97300564701</v>
      </c>
      <c r="D23432" s="56">
        <v>0.13608976762250238</v>
      </c>
      <c r="E23432" s="224" t="s">
        <v>2</v>
      </c>
      <c r="G23432" s="52"/>
      <c r="H23432" s="56"/>
      <c r="I23432" s="224"/>
    </row>
    <row r="23433" spans="1:9" x14ac:dyDescent="0.25">
      <c r="A23433" s="515">
        <v>62885</v>
      </c>
      <c r="C23433" s="52">
        <v>123673.800185813</v>
      </c>
      <c r="D23433" s="56">
        <v>0</v>
      </c>
      <c r="E23433" s="224" t="s">
        <v>2</v>
      </c>
      <c r="G23433" s="52"/>
      <c r="H23433" s="56"/>
      <c r="I23433" s="224"/>
    </row>
    <row r="23434" spans="1:9" x14ac:dyDescent="0.25">
      <c r="A23434" s="515">
        <v>28101</v>
      </c>
      <c r="B23434" s="515" t="s">
        <v>360</v>
      </c>
      <c r="C23434" s="52">
        <v>450188.40597975702</v>
      </c>
      <c r="D23434" s="56">
        <v>8.8292980191650355E-2</v>
      </c>
      <c r="E23434" s="224" t="s">
        <v>2</v>
      </c>
      <c r="G23434" s="52"/>
      <c r="H23434" s="56"/>
      <c r="I23434" s="224"/>
    </row>
    <row r="23435" spans="1:9" x14ac:dyDescent="0.25">
      <c r="A23435" s="515">
        <v>68710</v>
      </c>
      <c r="B23435" s="515" t="s">
        <v>649</v>
      </c>
      <c r="C23435" s="52">
        <v>172467.088875291</v>
      </c>
      <c r="D23435" s="56">
        <v>5.0305382073023812E-2</v>
      </c>
      <c r="E23435" s="224" t="s">
        <v>2</v>
      </c>
      <c r="G23435" s="52"/>
      <c r="H23435" s="56"/>
      <c r="I23435" s="224"/>
    </row>
    <row r="23436" spans="1:9" x14ac:dyDescent="0.25">
      <c r="A23436" s="515">
        <v>99158</v>
      </c>
      <c r="B23436" s="515" t="s">
        <v>450</v>
      </c>
      <c r="C23436" s="52">
        <v>266368.19225169998</v>
      </c>
      <c r="D23436" s="56">
        <v>0.13293154282809994</v>
      </c>
      <c r="E23436" s="224" t="s">
        <v>2</v>
      </c>
      <c r="G23436" s="52"/>
      <c r="H23436" s="56"/>
      <c r="I23436" s="224"/>
    </row>
    <row r="23437" spans="1:9" x14ac:dyDescent="0.25">
      <c r="A23437" s="515">
        <v>53961</v>
      </c>
      <c r="B23437" s="515" t="s">
        <v>916</v>
      </c>
      <c r="C23437" s="52">
        <v>199929.714020057</v>
      </c>
      <c r="D23437" s="56">
        <v>7.4566852508918022E-2</v>
      </c>
      <c r="E23437" s="224" t="s">
        <v>2</v>
      </c>
      <c r="G23437" s="52"/>
      <c r="H23437" s="56"/>
      <c r="I23437" s="224"/>
    </row>
    <row r="23438" spans="1:9" x14ac:dyDescent="0.25">
      <c r="A23438" s="515">
        <v>5653</v>
      </c>
      <c r="C23438" s="52">
        <v>284058.60344827501</v>
      </c>
      <c r="D23438" s="56">
        <v>0</v>
      </c>
      <c r="E23438" s="224" t="s">
        <v>2</v>
      </c>
      <c r="G23438" s="52"/>
      <c r="H23438" s="56"/>
      <c r="I23438" s="224"/>
    </row>
    <row r="23439" spans="1:9" x14ac:dyDescent="0.25">
      <c r="A23439" s="515">
        <v>5866</v>
      </c>
      <c r="C23439" s="52">
        <v>216363.292307692</v>
      </c>
      <c r="D23439" s="56">
        <v>0</v>
      </c>
      <c r="E23439" s="224" t="s">
        <v>2</v>
      </c>
      <c r="G23439" s="52"/>
      <c r="H23439" s="56"/>
      <c r="I23439" s="224"/>
    </row>
    <row r="23440" spans="1:9" x14ac:dyDescent="0.25">
      <c r="A23440" s="515">
        <v>55703</v>
      </c>
      <c r="B23440" s="515" t="s">
        <v>350</v>
      </c>
      <c r="C23440" s="52">
        <v>171719.17439694999</v>
      </c>
      <c r="D23440" s="56">
        <v>9.6535115864374049E-2</v>
      </c>
      <c r="E23440" s="224" t="s">
        <v>2</v>
      </c>
      <c r="G23440" s="52"/>
      <c r="H23440" s="56"/>
      <c r="I23440" s="224"/>
    </row>
    <row r="23441" spans="1:9" x14ac:dyDescent="0.25">
      <c r="A23441" s="515">
        <v>21056</v>
      </c>
      <c r="B23441" s="515" t="s">
        <v>582</v>
      </c>
      <c r="C23441" s="52">
        <v>2624135.0236510802</v>
      </c>
      <c r="D23441" s="56">
        <v>0.10377517692766372</v>
      </c>
      <c r="E23441" s="224" t="s">
        <v>2</v>
      </c>
      <c r="G23441" s="52"/>
      <c r="H23441" s="56"/>
      <c r="I23441" s="224"/>
    </row>
    <row r="23442" spans="1:9" x14ac:dyDescent="0.25">
      <c r="A23442" s="515">
        <v>52576</v>
      </c>
      <c r="C23442" s="52">
        <v>132264.71641367199</v>
      </c>
      <c r="D23442" s="56">
        <v>0</v>
      </c>
      <c r="E23442" s="224" t="s">
        <v>2</v>
      </c>
      <c r="G23442" s="52"/>
      <c r="H23442" s="56"/>
      <c r="I23442" s="224"/>
    </row>
    <row r="23443" spans="1:9" x14ac:dyDescent="0.25">
      <c r="A23443" s="515">
        <v>94567</v>
      </c>
      <c r="B23443" s="515" t="s">
        <v>914</v>
      </c>
      <c r="C23443" s="52">
        <v>404339.16995809501</v>
      </c>
      <c r="D23443" s="56">
        <v>2.7691880973198496E-2</v>
      </c>
      <c r="E23443" s="224" t="s">
        <v>2</v>
      </c>
      <c r="G23443" s="52"/>
      <c r="H23443" s="56"/>
      <c r="I23443" s="224"/>
    </row>
    <row r="23444" spans="1:9" x14ac:dyDescent="0.25">
      <c r="A23444" s="515">
        <v>68443</v>
      </c>
      <c r="C23444" s="52">
        <v>203211.09517790901</v>
      </c>
      <c r="D23444" s="56">
        <v>8.5852352407243676E-2</v>
      </c>
      <c r="E23444" s="224" t="s">
        <v>2</v>
      </c>
      <c r="G23444" s="52"/>
      <c r="H23444" s="56"/>
      <c r="I23444" s="224"/>
    </row>
    <row r="23445" spans="1:9" x14ac:dyDescent="0.25">
      <c r="A23445" s="515">
        <v>58759</v>
      </c>
      <c r="B23445" s="515" t="s">
        <v>849</v>
      </c>
      <c r="C23445" s="52">
        <v>141218.428963215</v>
      </c>
      <c r="D23445" s="56">
        <v>6.3470753095463989E-2</v>
      </c>
      <c r="E23445" s="224" t="s">
        <v>2</v>
      </c>
      <c r="G23445" s="52"/>
      <c r="H23445" s="56"/>
      <c r="I23445" s="224"/>
    </row>
    <row r="23446" spans="1:9" x14ac:dyDescent="0.25">
      <c r="A23446" s="515">
        <v>14819</v>
      </c>
      <c r="B23446" s="515" t="s">
        <v>585</v>
      </c>
      <c r="C23446" s="52">
        <v>129057.810568154</v>
      </c>
      <c r="D23446" s="56">
        <v>0.12343789389280475</v>
      </c>
      <c r="E23446" s="224" t="s">
        <v>2</v>
      </c>
      <c r="G23446" s="52"/>
      <c r="H23446" s="56"/>
      <c r="I23446" s="224"/>
    </row>
    <row r="23447" spans="1:9" x14ac:dyDescent="0.25">
      <c r="A23447" s="515">
        <v>47524</v>
      </c>
      <c r="B23447" s="515" t="s">
        <v>573</v>
      </c>
      <c r="C23447" s="52">
        <v>91851.962109073007</v>
      </c>
      <c r="D23447" s="56">
        <v>5.4610868719837377E-2</v>
      </c>
      <c r="E23447" s="224" t="s">
        <v>2</v>
      </c>
      <c r="G23447" s="52"/>
      <c r="H23447" s="56"/>
      <c r="I23447" s="224"/>
    </row>
    <row r="23448" spans="1:9" x14ac:dyDescent="0.25">
      <c r="A23448" s="515">
        <v>59631</v>
      </c>
      <c r="B23448" s="515" t="s">
        <v>750</v>
      </c>
      <c r="C23448" s="52">
        <v>311868.69938685099</v>
      </c>
      <c r="D23448" s="56">
        <v>0.13766418192390842</v>
      </c>
      <c r="E23448" s="224" t="s">
        <v>2</v>
      </c>
      <c r="G23448" s="52"/>
      <c r="H23448" s="56"/>
      <c r="I23448" s="224"/>
    </row>
    <row r="23449" spans="1:9" x14ac:dyDescent="0.25">
      <c r="A23449" s="515">
        <v>23055</v>
      </c>
      <c r="B23449" s="515" t="s">
        <v>630</v>
      </c>
      <c r="C23449" s="52">
        <v>282973.254231937</v>
      </c>
      <c r="D23449" s="56">
        <v>0.12000649795998861</v>
      </c>
      <c r="E23449" s="224" t="s">
        <v>2</v>
      </c>
      <c r="G23449" s="52"/>
      <c r="H23449" s="56"/>
      <c r="I23449" s="224"/>
    </row>
    <row r="23450" spans="1:9" x14ac:dyDescent="0.25">
      <c r="A23450" s="515">
        <v>57010</v>
      </c>
      <c r="B23450" s="515" t="s">
        <v>913</v>
      </c>
      <c r="C23450" s="52">
        <v>299317.94272062997</v>
      </c>
      <c r="D23450" s="56">
        <v>0.10484517215325265</v>
      </c>
      <c r="E23450" s="224" t="s">
        <v>2</v>
      </c>
      <c r="G23450" s="52"/>
      <c r="H23450" s="56"/>
      <c r="I23450" s="224"/>
    </row>
    <row r="23451" spans="1:9" x14ac:dyDescent="0.25">
      <c r="A23451" s="515">
        <v>26430</v>
      </c>
      <c r="C23451" s="52">
        <v>88206.103006199395</v>
      </c>
      <c r="D23451" s="56">
        <v>6.4189277414957654E-2</v>
      </c>
      <c r="E23451" s="224" t="s">
        <v>2</v>
      </c>
      <c r="G23451" s="52"/>
      <c r="H23451" s="56"/>
      <c r="I23451" s="224"/>
    </row>
    <row r="23452" spans="1:9" x14ac:dyDescent="0.25">
      <c r="A23452" s="515">
        <v>51026</v>
      </c>
      <c r="B23452" s="515" t="s">
        <v>649</v>
      </c>
      <c r="C23452" s="52">
        <v>195064.87721652901</v>
      </c>
      <c r="D23452" s="56">
        <v>0</v>
      </c>
      <c r="E23452" s="224" t="s">
        <v>2</v>
      </c>
      <c r="G23452" s="52"/>
      <c r="H23452" s="56"/>
      <c r="I23452" s="224"/>
    </row>
    <row r="23453" spans="1:9" x14ac:dyDescent="0.25">
      <c r="A23453" s="515">
        <v>39841</v>
      </c>
      <c r="C23453" s="52">
        <v>80236.771684299994</v>
      </c>
      <c r="D23453" s="56">
        <v>-2.3345212663516492E-2</v>
      </c>
      <c r="E23453" s="224" t="s">
        <v>2</v>
      </c>
      <c r="G23453" s="52"/>
      <c r="H23453" s="56"/>
      <c r="I23453" s="224"/>
    </row>
    <row r="23454" spans="1:9" x14ac:dyDescent="0.25">
      <c r="A23454" s="515">
        <v>68643</v>
      </c>
      <c r="B23454" s="515" t="s">
        <v>567</v>
      </c>
      <c r="C23454" s="52">
        <v>217636.33782938501</v>
      </c>
      <c r="D23454" s="56">
        <v>0.13203109915006089</v>
      </c>
      <c r="E23454" s="224" t="s">
        <v>2</v>
      </c>
      <c r="G23454" s="52"/>
      <c r="H23454" s="56"/>
      <c r="I23454" s="224"/>
    </row>
    <row r="23455" spans="1:9" x14ac:dyDescent="0.25">
      <c r="A23455" s="515">
        <v>37078</v>
      </c>
      <c r="C23455" s="52">
        <v>254988.569791088</v>
      </c>
      <c r="D23455" s="56">
        <v>0</v>
      </c>
      <c r="E23455" s="224" t="s">
        <v>2</v>
      </c>
      <c r="G23455" s="52"/>
      <c r="H23455" s="56"/>
      <c r="I23455" s="224"/>
    </row>
    <row r="23456" spans="1:9" x14ac:dyDescent="0.25">
      <c r="A23456" s="515">
        <v>23418</v>
      </c>
      <c r="C23456" s="52">
        <v>195006.07845890499</v>
      </c>
      <c r="D23456" s="56">
        <v>1.9182659467538596E-2</v>
      </c>
      <c r="E23456" s="224" t="s">
        <v>2</v>
      </c>
      <c r="G23456" s="52"/>
      <c r="H23456" s="56"/>
      <c r="I23456" s="224"/>
    </row>
    <row r="23457" spans="1:9" x14ac:dyDescent="0.25">
      <c r="A23457" s="515">
        <v>5751</v>
      </c>
      <c r="B23457" s="515" t="s">
        <v>791</v>
      </c>
      <c r="C23457" s="52">
        <v>375015.36687208503</v>
      </c>
      <c r="D23457" s="56">
        <v>0.1348906067348748</v>
      </c>
      <c r="E23457" s="224" t="s">
        <v>2</v>
      </c>
      <c r="G23457" s="52"/>
      <c r="H23457" s="56"/>
      <c r="I23457" s="224"/>
    </row>
    <row r="23458" spans="1:9" x14ac:dyDescent="0.25">
      <c r="A23458" s="515">
        <v>59487</v>
      </c>
      <c r="B23458" s="515" t="s">
        <v>373</v>
      </c>
      <c r="C23458" s="52">
        <v>317519.388320386</v>
      </c>
      <c r="D23458" s="56">
        <v>7.2605341716525412E-2</v>
      </c>
      <c r="E23458" s="224" t="s">
        <v>2</v>
      </c>
      <c r="G23458" s="52"/>
      <c r="H23458" s="56"/>
      <c r="I23458" s="224"/>
    </row>
    <row r="23459" spans="1:9" x14ac:dyDescent="0.25">
      <c r="A23459" s="515">
        <v>20684</v>
      </c>
      <c r="B23459" s="515" t="s">
        <v>779</v>
      </c>
      <c r="C23459" s="52">
        <v>408118.42053579103</v>
      </c>
      <c r="D23459" s="56">
        <v>3.3178729620885299E-2</v>
      </c>
      <c r="E23459" s="224" t="s">
        <v>2</v>
      </c>
      <c r="G23459" s="52"/>
      <c r="H23459" s="56"/>
      <c r="I23459" s="224"/>
    </row>
    <row r="23460" spans="1:9" x14ac:dyDescent="0.25">
      <c r="A23460" s="515">
        <v>88020</v>
      </c>
      <c r="C23460" s="52">
        <v>195765.023809523</v>
      </c>
      <c r="D23460" s="56">
        <v>0</v>
      </c>
      <c r="E23460" s="224" t="s">
        <v>2</v>
      </c>
      <c r="G23460" s="52"/>
      <c r="H23460" s="56"/>
      <c r="I23460" s="224"/>
    </row>
    <row r="23461" spans="1:9" x14ac:dyDescent="0.25">
      <c r="A23461" s="515">
        <v>40763</v>
      </c>
      <c r="B23461" s="515" t="s">
        <v>633</v>
      </c>
      <c r="C23461" s="52"/>
      <c r="D23461" s="56">
        <v>0</v>
      </c>
      <c r="E23461" s="224" t="s">
        <v>2</v>
      </c>
      <c r="G23461" s="52"/>
      <c r="H23461" s="56"/>
      <c r="I23461" s="224"/>
    </row>
    <row r="23462" spans="1:9" x14ac:dyDescent="0.25">
      <c r="A23462" s="515">
        <v>97901</v>
      </c>
      <c r="B23462" s="515" t="s">
        <v>825</v>
      </c>
      <c r="C23462" s="52">
        <v>348372.494528018</v>
      </c>
      <c r="D23462" s="56">
        <v>3.0357052131857073E-2</v>
      </c>
      <c r="E23462" s="224" t="s">
        <v>2</v>
      </c>
      <c r="G23462" s="52"/>
      <c r="H23462" s="56"/>
      <c r="I23462" s="224"/>
    </row>
    <row r="23463" spans="1:9" x14ac:dyDescent="0.25">
      <c r="A23463" s="515">
        <v>24646</v>
      </c>
      <c r="C23463" s="52">
        <v>64324.908168724898</v>
      </c>
      <c r="D23463" s="56">
        <v>0.13268293478000703</v>
      </c>
      <c r="E23463" s="224" t="s">
        <v>2</v>
      </c>
      <c r="G23463" s="52"/>
      <c r="H23463" s="56"/>
      <c r="I23463" s="224"/>
    </row>
    <row r="23464" spans="1:9" x14ac:dyDescent="0.25">
      <c r="A23464" s="515">
        <v>41560</v>
      </c>
      <c r="C23464" s="52">
        <v>91969.504820610804</v>
      </c>
      <c r="D23464" s="56">
        <v>0.34671149216587788</v>
      </c>
      <c r="E23464" s="224" t="s">
        <v>2</v>
      </c>
      <c r="G23464" s="52"/>
      <c r="H23464" s="56"/>
      <c r="I23464" s="224"/>
    </row>
    <row r="23465" spans="1:9" x14ac:dyDescent="0.25">
      <c r="A23465" s="515">
        <v>24313</v>
      </c>
      <c r="C23465" s="52">
        <v>124538.620570717</v>
      </c>
      <c r="D23465" s="56">
        <v>0.12252282040332341</v>
      </c>
      <c r="E23465" s="224" t="s">
        <v>2</v>
      </c>
      <c r="G23465" s="52"/>
      <c r="H23465" s="56"/>
      <c r="I23465" s="224"/>
    </row>
    <row r="23466" spans="1:9" x14ac:dyDescent="0.25">
      <c r="A23466" s="515">
        <v>11930</v>
      </c>
      <c r="B23466" s="515" t="s">
        <v>324</v>
      </c>
      <c r="C23466" s="52">
        <v>3006668.6519835698</v>
      </c>
      <c r="D23466" s="56">
        <v>0.21344851918218435</v>
      </c>
      <c r="E23466" s="224">
        <v>63149.625</v>
      </c>
      <c r="G23466" s="52"/>
      <c r="H23466" s="56"/>
      <c r="I23466" s="224"/>
    </row>
    <row r="23467" spans="1:9" x14ac:dyDescent="0.25">
      <c r="A23467" s="515">
        <v>23079</v>
      </c>
      <c r="C23467" s="52">
        <v>392152.40964147297</v>
      </c>
      <c r="D23467" s="56">
        <v>7.2089983322654441E-2</v>
      </c>
      <c r="E23467" s="224" t="s">
        <v>2</v>
      </c>
      <c r="G23467" s="52"/>
      <c r="H23467" s="56"/>
      <c r="I23467" s="224"/>
    </row>
    <row r="23468" spans="1:9" x14ac:dyDescent="0.25">
      <c r="A23468" s="515">
        <v>64494</v>
      </c>
      <c r="B23468" s="515" t="s">
        <v>371</v>
      </c>
      <c r="C23468" s="52">
        <v>158002.71250224</v>
      </c>
      <c r="D23468" s="56">
        <v>-6.2681520802609376E-3</v>
      </c>
      <c r="E23468" s="224" t="s">
        <v>2</v>
      </c>
      <c r="G23468" s="52"/>
      <c r="H23468" s="56"/>
      <c r="I23468" s="224"/>
    </row>
    <row r="23469" spans="1:9" x14ac:dyDescent="0.25">
      <c r="A23469" s="515">
        <v>84023</v>
      </c>
      <c r="C23469" s="52">
        <v>320229.06976744102</v>
      </c>
      <c r="D23469" s="56">
        <v>0</v>
      </c>
      <c r="E23469" s="224" t="s">
        <v>2</v>
      </c>
      <c r="G23469" s="52"/>
      <c r="H23469" s="56"/>
      <c r="I23469" s="224"/>
    </row>
    <row r="23470" spans="1:9" x14ac:dyDescent="0.25">
      <c r="A23470" s="515">
        <v>47708</v>
      </c>
      <c r="B23470" s="515" t="s">
        <v>911</v>
      </c>
      <c r="C23470" s="52">
        <v>258068.78699960801</v>
      </c>
      <c r="D23470" s="56">
        <v>0</v>
      </c>
      <c r="E23470" s="224" t="s">
        <v>2</v>
      </c>
      <c r="G23470" s="52"/>
      <c r="H23470" s="56"/>
      <c r="I23470" s="224"/>
    </row>
    <row r="23471" spans="1:9" x14ac:dyDescent="0.25">
      <c r="A23471" s="515">
        <v>41274</v>
      </c>
      <c r="C23471" s="52">
        <v>110792.90504244401</v>
      </c>
      <c r="D23471" s="56">
        <v>7.8077752066815581E-2</v>
      </c>
      <c r="E23471" s="224" t="s">
        <v>2</v>
      </c>
      <c r="G23471" s="52"/>
      <c r="H23471" s="56"/>
      <c r="I23471" s="224"/>
    </row>
    <row r="23472" spans="1:9" x14ac:dyDescent="0.25">
      <c r="A23472" s="515">
        <v>54746</v>
      </c>
      <c r="C23472" s="52">
        <v>111647.985769065</v>
      </c>
      <c r="D23472" s="56">
        <v>4.5294126949456788E-2</v>
      </c>
      <c r="E23472" s="224" t="s">
        <v>2</v>
      </c>
      <c r="G23472" s="52"/>
      <c r="H23472" s="56"/>
      <c r="I23472" s="224"/>
    </row>
    <row r="23473" spans="1:9" x14ac:dyDescent="0.25">
      <c r="A23473" s="515">
        <v>73549</v>
      </c>
      <c r="B23473" s="515" t="s">
        <v>805</v>
      </c>
      <c r="C23473" s="52">
        <v>111952.812886253</v>
      </c>
      <c r="D23473" s="56">
        <v>0.11358873033295643</v>
      </c>
      <c r="E23473" s="224" t="s">
        <v>2</v>
      </c>
      <c r="G23473" s="52"/>
      <c r="H23473" s="56"/>
      <c r="I23473" s="224"/>
    </row>
    <row r="23474" spans="1:9" x14ac:dyDescent="0.25">
      <c r="A23474" s="515">
        <v>47577</v>
      </c>
      <c r="C23474" s="52">
        <v>176096.55560689399</v>
      </c>
      <c r="D23474" s="56">
        <v>5.2494354202081463E-2</v>
      </c>
      <c r="E23474" s="224" t="s">
        <v>2</v>
      </c>
      <c r="G23474" s="52"/>
      <c r="H23474" s="56"/>
      <c r="I23474" s="224"/>
    </row>
    <row r="23475" spans="1:9" x14ac:dyDescent="0.25">
      <c r="A23475" s="515">
        <v>27824</v>
      </c>
      <c r="C23475" s="52">
        <v>159032.58344305001</v>
      </c>
      <c r="D23475" s="56">
        <v>0.11864587504450558</v>
      </c>
      <c r="E23475" s="224" t="s">
        <v>2</v>
      </c>
      <c r="G23475" s="52"/>
      <c r="H23475" s="56"/>
      <c r="I23475" s="224"/>
    </row>
    <row r="23476" spans="1:9" x14ac:dyDescent="0.25">
      <c r="A23476" s="515">
        <v>43983</v>
      </c>
      <c r="B23476" s="515" t="s">
        <v>442</v>
      </c>
      <c r="C23476" s="52">
        <v>102025.707134232</v>
      </c>
      <c r="D23476" s="56">
        <v>9.9227210857588594E-2</v>
      </c>
      <c r="E23476" s="224" t="s">
        <v>2</v>
      </c>
      <c r="G23476" s="52"/>
      <c r="H23476" s="56"/>
      <c r="I23476" s="224"/>
    </row>
    <row r="23477" spans="1:9" x14ac:dyDescent="0.25">
      <c r="A23477" s="515">
        <v>62877</v>
      </c>
      <c r="C23477" s="52">
        <v>89146.189179354697</v>
      </c>
      <c r="D23477" s="56">
        <v>-3.2744058987774126E-2</v>
      </c>
      <c r="E23477" s="224" t="s">
        <v>2</v>
      </c>
      <c r="G23477" s="52"/>
      <c r="H23477" s="56"/>
      <c r="I23477" s="224"/>
    </row>
    <row r="23478" spans="1:9" x14ac:dyDescent="0.25">
      <c r="A23478" s="515">
        <v>41855</v>
      </c>
      <c r="C23478" s="52">
        <v>74015.457999395294</v>
      </c>
      <c r="D23478" s="56">
        <v>6.1366571174831248E-2</v>
      </c>
      <c r="E23478" s="224" t="s">
        <v>2</v>
      </c>
      <c r="G23478" s="52"/>
      <c r="H23478" s="56"/>
      <c r="I23478" s="224"/>
    </row>
    <row r="23479" spans="1:9" x14ac:dyDescent="0.25">
      <c r="A23479" s="515">
        <v>68743</v>
      </c>
      <c r="B23479" s="515" t="s">
        <v>649</v>
      </c>
      <c r="C23479" s="52">
        <v>289698.88137167902</v>
      </c>
      <c r="D23479" s="56">
        <v>0.12899135377823573</v>
      </c>
      <c r="E23479" s="224" t="s">
        <v>2</v>
      </c>
      <c r="G23479" s="52"/>
      <c r="H23479" s="56"/>
      <c r="I23479" s="224"/>
    </row>
    <row r="23480" spans="1:9" x14ac:dyDescent="0.25">
      <c r="A23480" s="515">
        <v>73453</v>
      </c>
      <c r="B23480" s="515" t="s">
        <v>710</v>
      </c>
      <c r="C23480" s="52">
        <v>249876.32708088501</v>
      </c>
      <c r="D23480" s="56">
        <v>0.12456426527323887</v>
      </c>
      <c r="E23480" s="224" t="s">
        <v>2</v>
      </c>
      <c r="G23480" s="52"/>
      <c r="H23480" s="56"/>
      <c r="I23480" s="224"/>
    </row>
    <row r="23481" spans="1:9" x14ac:dyDescent="0.25">
      <c r="A23481" s="515">
        <v>59275</v>
      </c>
      <c r="C23481" s="52">
        <v>285630.99291689199</v>
      </c>
      <c r="D23481" s="56">
        <v>0.18853122259488322</v>
      </c>
      <c r="E23481" s="224" t="s">
        <v>2</v>
      </c>
      <c r="G23481" s="52"/>
      <c r="H23481" s="56"/>
      <c r="I23481" s="224"/>
    </row>
    <row r="23482" spans="1:9" x14ac:dyDescent="0.25">
      <c r="A23482" s="515">
        <v>12936</v>
      </c>
      <c r="C23482" s="52">
        <v>318683.79221377498</v>
      </c>
      <c r="D23482" s="56">
        <v>0.14518110280633673</v>
      </c>
      <c r="E23482" s="224" t="s">
        <v>2</v>
      </c>
      <c r="G23482" s="52"/>
      <c r="H23482" s="56"/>
      <c r="I23482" s="224"/>
    </row>
    <row r="23483" spans="1:9" x14ac:dyDescent="0.25">
      <c r="A23483" s="515">
        <v>25107</v>
      </c>
      <c r="B23483" s="515" t="s">
        <v>322</v>
      </c>
      <c r="C23483" s="52">
        <v>99440.614677397301</v>
      </c>
      <c r="D23483" s="56">
        <v>0.10725977543134343</v>
      </c>
      <c r="E23483" s="224" t="s">
        <v>2</v>
      </c>
      <c r="G23483" s="52"/>
      <c r="H23483" s="56"/>
      <c r="I23483" s="224"/>
    </row>
    <row r="23484" spans="1:9" x14ac:dyDescent="0.25">
      <c r="A23484" s="515">
        <v>58346</v>
      </c>
      <c r="C23484" s="52">
        <v>119237.509305824</v>
      </c>
      <c r="D23484" s="56">
        <v>2.4543681025161961E-2</v>
      </c>
      <c r="E23484" s="224" t="s">
        <v>2</v>
      </c>
      <c r="G23484" s="52"/>
      <c r="H23484" s="56"/>
      <c r="I23484" s="224"/>
    </row>
    <row r="23485" spans="1:9" x14ac:dyDescent="0.25">
      <c r="A23485" s="515">
        <v>20680</v>
      </c>
      <c r="B23485" s="515" t="s">
        <v>779</v>
      </c>
      <c r="C23485" s="52">
        <v>399500.07252671599</v>
      </c>
      <c r="D23485" s="56">
        <v>3.7488937371475982E-2</v>
      </c>
      <c r="E23485" s="224" t="s">
        <v>2</v>
      </c>
      <c r="G23485" s="52"/>
      <c r="H23485" s="56"/>
      <c r="I23485" s="224"/>
    </row>
    <row r="23486" spans="1:9" x14ac:dyDescent="0.25">
      <c r="A23486" s="515">
        <v>18932</v>
      </c>
      <c r="B23486" s="515" t="s">
        <v>294</v>
      </c>
      <c r="C23486" s="52">
        <v>480058.693258096</v>
      </c>
      <c r="D23486" s="56">
        <v>8.0290557180363695E-2</v>
      </c>
      <c r="E23486" s="224" t="s">
        <v>2</v>
      </c>
      <c r="G23486" s="52"/>
      <c r="H23486" s="56"/>
      <c r="I23486" s="224"/>
    </row>
    <row r="23487" spans="1:9" x14ac:dyDescent="0.25">
      <c r="A23487" s="515">
        <v>67151</v>
      </c>
      <c r="B23487" s="515" t="s">
        <v>485</v>
      </c>
      <c r="C23487" s="52">
        <v>148291.51861288701</v>
      </c>
      <c r="D23487" s="56">
        <v>0.11125863614221988</v>
      </c>
      <c r="E23487" s="224" t="s">
        <v>2</v>
      </c>
      <c r="G23487" s="52"/>
      <c r="H23487" s="56"/>
      <c r="I23487" s="224"/>
    </row>
    <row r="23488" spans="1:9" x14ac:dyDescent="0.25">
      <c r="A23488" s="515">
        <v>99143</v>
      </c>
      <c r="B23488" s="515" t="s">
        <v>450</v>
      </c>
      <c r="C23488" s="52">
        <v>237372.72653817601</v>
      </c>
      <c r="D23488" s="56">
        <v>0.1003492298796307</v>
      </c>
      <c r="E23488" s="224" t="s">
        <v>2</v>
      </c>
      <c r="G23488" s="52"/>
      <c r="H23488" s="56"/>
      <c r="I23488" s="224"/>
    </row>
    <row r="23489" spans="1:9" x14ac:dyDescent="0.25">
      <c r="A23489" s="515">
        <v>59910</v>
      </c>
      <c r="C23489" s="52">
        <v>804807.80446065299</v>
      </c>
      <c r="D23489" s="56">
        <v>0.12215579110834224</v>
      </c>
      <c r="E23489" s="224" t="s">
        <v>2</v>
      </c>
      <c r="G23489" s="52"/>
      <c r="H23489" s="56"/>
      <c r="I23489" s="224"/>
    </row>
    <row r="23490" spans="1:9" x14ac:dyDescent="0.25">
      <c r="A23490" s="515">
        <v>66767</v>
      </c>
      <c r="B23490" s="515" t="s">
        <v>455</v>
      </c>
      <c r="C23490" s="52">
        <v>137227.954250699</v>
      </c>
      <c r="D23490" s="56">
        <v>0.1192740682673564</v>
      </c>
      <c r="E23490" s="224" t="s">
        <v>2</v>
      </c>
      <c r="G23490" s="52"/>
      <c r="H23490" s="56"/>
      <c r="I23490" s="224"/>
    </row>
    <row r="23491" spans="1:9" x14ac:dyDescent="0.25">
      <c r="A23491" s="515">
        <v>64756</v>
      </c>
      <c r="C23491" s="52">
        <v>143353.64857192701</v>
      </c>
      <c r="D23491" s="56">
        <v>0.10416411027852793</v>
      </c>
      <c r="E23491" s="224" t="s">
        <v>2</v>
      </c>
      <c r="G23491" s="52"/>
      <c r="H23491" s="56"/>
      <c r="I23491" s="224"/>
    </row>
    <row r="23492" spans="1:9" x14ac:dyDescent="0.25">
      <c r="A23492" s="515">
        <v>52154</v>
      </c>
      <c r="C23492" s="52">
        <v>177947.32573461501</v>
      </c>
      <c r="D23492" s="56">
        <v>0</v>
      </c>
      <c r="E23492" s="224" t="s">
        <v>2</v>
      </c>
      <c r="G23492" s="52"/>
      <c r="H23492" s="56"/>
      <c r="I23492" s="224"/>
    </row>
    <row r="23493" spans="1:9" x14ac:dyDescent="0.25">
      <c r="A23493" s="515">
        <v>50050</v>
      </c>
      <c r="C23493" s="52">
        <v>122296.913936425</v>
      </c>
      <c r="D23493" s="56">
        <v>0.1739814961828447</v>
      </c>
      <c r="E23493" s="224" t="s">
        <v>2</v>
      </c>
      <c r="G23493" s="52"/>
      <c r="H23493" s="56"/>
      <c r="I23493" s="224"/>
    </row>
    <row r="23494" spans="1:9" x14ac:dyDescent="0.25">
      <c r="A23494" s="515">
        <v>28702</v>
      </c>
      <c r="C23494" s="52">
        <v>247892.779874106</v>
      </c>
      <c r="D23494" s="56">
        <v>0.15172436670235689</v>
      </c>
      <c r="E23494" s="224" t="s">
        <v>2</v>
      </c>
      <c r="G23494" s="52"/>
      <c r="H23494" s="56"/>
      <c r="I23494" s="224"/>
    </row>
    <row r="23495" spans="1:9" x14ac:dyDescent="0.25">
      <c r="A23495" s="515">
        <v>64493</v>
      </c>
      <c r="B23495" s="515" t="s">
        <v>455</v>
      </c>
      <c r="C23495" s="52">
        <v>283481.70982222102</v>
      </c>
      <c r="D23495" s="56">
        <v>0</v>
      </c>
      <c r="E23495" s="224" t="s">
        <v>2</v>
      </c>
      <c r="G23495" s="52"/>
      <c r="H23495" s="56"/>
      <c r="I23495" s="224"/>
    </row>
    <row r="23496" spans="1:9" x14ac:dyDescent="0.25">
      <c r="A23496" s="515">
        <v>25081</v>
      </c>
      <c r="B23496" s="515" t="s">
        <v>322</v>
      </c>
      <c r="C23496" s="52">
        <v>122832.962208506</v>
      </c>
      <c r="D23496" s="56">
        <v>1.1427579180684353E-2</v>
      </c>
      <c r="E23496" s="224" t="s">
        <v>2</v>
      </c>
      <c r="G23496" s="52"/>
      <c r="H23496" s="56"/>
      <c r="I23496" s="224"/>
    </row>
    <row r="23497" spans="1:9" x14ac:dyDescent="0.25">
      <c r="A23497" s="515">
        <v>5471</v>
      </c>
      <c r="B23497" s="515" t="s">
        <v>441</v>
      </c>
      <c r="C23497" s="52">
        <v>273994.91664359102</v>
      </c>
      <c r="D23497" s="56">
        <v>8.3398353709509779E-2</v>
      </c>
      <c r="E23497" s="224" t="s">
        <v>2</v>
      </c>
      <c r="G23497" s="52"/>
      <c r="H23497" s="56"/>
      <c r="I23497" s="224"/>
    </row>
    <row r="23498" spans="1:9" x14ac:dyDescent="0.25">
      <c r="A23498" s="515">
        <v>63821</v>
      </c>
      <c r="B23498" s="515" t="s">
        <v>910</v>
      </c>
      <c r="C23498" s="52">
        <v>48366.873442347904</v>
      </c>
      <c r="D23498" s="56">
        <v>0</v>
      </c>
      <c r="E23498" s="224" t="s">
        <v>2</v>
      </c>
      <c r="G23498" s="52"/>
      <c r="H23498" s="56"/>
      <c r="I23498" s="224"/>
    </row>
    <row r="23499" spans="1:9" x14ac:dyDescent="0.25">
      <c r="A23499" s="515">
        <v>24976</v>
      </c>
      <c r="C23499" s="52">
        <v>165356.52173702599</v>
      </c>
      <c r="D23499" s="56">
        <v>6.6506594497908605E-2</v>
      </c>
      <c r="E23499" s="224" t="s">
        <v>2</v>
      </c>
      <c r="G23499" s="52"/>
      <c r="H23499" s="56"/>
      <c r="I23499" s="224"/>
    </row>
    <row r="23500" spans="1:9" x14ac:dyDescent="0.25">
      <c r="A23500" s="515">
        <v>83271</v>
      </c>
      <c r="B23500" s="515" t="s">
        <v>884</v>
      </c>
      <c r="C23500" s="52">
        <v>251078.528980645</v>
      </c>
      <c r="D23500" s="56">
        <v>3.0249321647033967E-2</v>
      </c>
      <c r="E23500" s="224" t="s">
        <v>2</v>
      </c>
      <c r="G23500" s="52"/>
      <c r="H23500" s="56"/>
      <c r="I23500" s="224"/>
    </row>
    <row r="23501" spans="1:9" x14ac:dyDescent="0.25">
      <c r="A23501" s="515">
        <v>94104</v>
      </c>
      <c r="B23501" s="515" t="s">
        <v>593</v>
      </c>
      <c r="C23501" s="52">
        <v>1288817.69216729</v>
      </c>
      <c r="D23501" s="56">
        <v>-9.1853670178779948E-2</v>
      </c>
      <c r="E23501" s="224" t="s">
        <v>2</v>
      </c>
      <c r="G23501" s="52"/>
      <c r="H23501" s="56"/>
      <c r="I23501" s="224"/>
    </row>
    <row r="23502" spans="1:9" x14ac:dyDescent="0.25">
      <c r="A23502" s="515">
        <v>26716</v>
      </c>
      <c r="B23502" s="515" t="s">
        <v>643</v>
      </c>
      <c r="C23502" s="52">
        <v>131465.69929695199</v>
      </c>
      <c r="D23502" s="56">
        <v>4.2287266317494521E-2</v>
      </c>
      <c r="E23502" s="224" t="s">
        <v>2</v>
      </c>
      <c r="G23502" s="52"/>
      <c r="H23502" s="56"/>
      <c r="I23502" s="224"/>
    </row>
    <row r="23503" spans="1:9" x14ac:dyDescent="0.25">
      <c r="A23503" s="515">
        <v>66840</v>
      </c>
      <c r="B23503" s="515" t="s">
        <v>485</v>
      </c>
      <c r="C23503" s="52">
        <v>159893.46932950901</v>
      </c>
      <c r="D23503" s="56">
        <v>0.13882596586736648</v>
      </c>
      <c r="E23503" s="224" t="s">
        <v>2</v>
      </c>
      <c r="G23503" s="52"/>
      <c r="H23503" s="56"/>
      <c r="I23503" s="224"/>
    </row>
    <row r="23504" spans="1:9" x14ac:dyDescent="0.25">
      <c r="A23504" s="515">
        <v>13321</v>
      </c>
      <c r="B23504" s="515" t="s">
        <v>543</v>
      </c>
      <c r="C23504" s="52">
        <v>181907.78219317601</v>
      </c>
      <c r="D23504" s="56">
        <v>9.8301442743830264E-2</v>
      </c>
      <c r="E23504" s="224" t="s">
        <v>2</v>
      </c>
      <c r="G23504" s="52"/>
      <c r="H23504" s="56"/>
      <c r="I23504" s="224"/>
    </row>
    <row r="23505" spans="1:9" x14ac:dyDescent="0.25">
      <c r="A23505" s="515">
        <v>64625</v>
      </c>
      <c r="B23505" s="515" t="s">
        <v>455</v>
      </c>
      <c r="C23505" s="52">
        <v>138041.73447694999</v>
      </c>
      <c r="D23505" s="56">
        <v>3.9223348125473948E-4</v>
      </c>
      <c r="E23505" s="224" t="s">
        <v>2</v>
      </c>
      <c r="G23505" s="52"/>
      <c r="H23505" s="56"/>
      <c r="I23505" s="224"/>
    </row>
    <row r="23506" spans="1:9" x14ac:dyDescent="0.25">
      <c r="A23506" s="515">
        <v>68381</v>
      </c>
      <c r="B23506" s="515" t="s">
        <v>745</v>
      </c>
      <c r="C23506" s="52">
        <v>205161.47165489299</v>
      </c>
      <c r="D23506" s="56">
        <v>0</v>
      </c>
      <c r="E23506" s="224" t="s">
        <v>2</v>
      </c>
      <c r="G23506" s="52"/>
      <c r="H23506" s="56"/>
      <c r="I23506" s="224"/>
    </row>
    <row r="23507" spans="1:9" x14ac:dyDescent="0.25">
      <c r="A23507" s="515">
        <v>25106</v>
      </c>
      <c r="B23507" s="515" t="s">
        <v>445</v>
      </c>
      <c r="C23507" s="52">
        <v>95330.963753512595</v>
      </c>
      <c r="D23507" s="56">
        <v>0.11021445506300585</v>
      </c>
      <c r="E23507" s="224" t="s">
        <v>2</v>
      </c>
      <c r="G23507" s="52"/>
      <c r="H23507" s="56"/>
      <c r="I23507" s="224"/>
    </row>
    <row r="23508" spans="1:9" x14ac:dyDescent="0.25">
      <c r="A23508" s="515">
        <v>26267</v>
      </c>
      <c r="B23508" s="515" t="s">
        <v>586</v>
      </c>
      <c r="C23508" s="52">
        <v>135949.07407407399</v>
      </c>
      <c r="D23508" s="56">
        <v>0</v>
      </c>
      <c r="E23508" s="224" t="s">
        <v>2</v>
      </c>
      <c r="G23508" s="52"/>
      <c r="H23508" s="56"/>
      <c r="I23508" s="224"/>
    </row>
    <row r="23509" spans="1:9" x14ac:dyDescent="0.25">
      <c r="A23509" s="515">
        <v>3740</v>
      </c>
      <c r="B23509" s="515" t="s">
        <v>420</v>
      </c>
      <c r="C23509" s="52">
        <v>279668.08252532402</v>
      </c>
      <c r="D23509" s="56">
        <v>0.21406510503008369</v>
      </c>
      <c r="E23509" s="224" t="s">
        <v>2</v>
      </c>
      <c r="G23509" s="52"/>
      <c r="H23509" s="56"/>
      <c r="I23509" s="224"/>
    </row>
    <row r="23510" spans="1:9" x14ac:dyDescent="0.25">
      <c r="A23510" s="515">
        <v>62421</v>
      </c>
      <c r="C23510" s="52">
        <v>121370.17543859599</v>
      </c>
      <c r="D23510" s="56">
        <v>0</v>
      </c>
      <c r="E23510" s="224" t="s">
        <v>2</v>
      </c>
      <c r="G23510" s="52"/>
      <c r="H23510" s="56"/>
      <c r="I23510" s="224"/>
    </row>
    <row r="23511" spans="1:9" x14ac:dyDescent="0.25">
      <c r="A23511" s="515">
        <v>79257</v>
      </c>
      <c r="C23511" s="52">
        <v>97267.780218347907</v>
      </c>
      <c r="D23511" s="56">
        <v>0</v>
      </c>
      <c r="E23511" s="224" t="s">
        <v>2</v>
      </c>
      <c r="G23511" s="52"/>
      <c r="H23511" s="56"/>
      <c r="I23511" s="224"/>
    </row>
    <row r="23512" spans="1:9" x14ac:dyDescent="0.25">
      <c r="A23512" s="515">
        <v>43782</v>
      </c>
      <c r="B23512" s="515" t="s">
        <v>345</v>
      </c>
      <c r="C23512" s="52">
        <v>76976.047407488193</v>
      </c>
      <c r="D23512" s="56">
        <v>0.33790884411129757</v>
      </c>
      <c r="E23512" s="224" t="s">
        <v>2</v>
      </c>
      <c r="G23512" s="52"/>
      <c r="H23512" s="56"/>
      <c r="I23512" s="224"/>
    </row>
    <row r="23513" spans="1:9" x14ac:dyDescent="0.25">
      <c r="A23513" s="515">
        <v>59468</v>
      </c>
      <c r="C23513" s="52">
        <v>399624.37129985</v>
      </c>
      <c r="D23513" s="56">
        <v>0.17896470615357288</v>
      </c>
      <c r="E23513" s="224" t="s">
        <v>2</v>
      </c>
      <c r="G23513" s="52"/>
      <c r="H23513" s="56"/>
      <c r="I23513" s="224"/>
    </row>
    <row r="23514" spans="1:9" x14ac:dyDescent="0.25">
      <c r="A23514" s="515">
        <v>68764</v>
      </c>
      <c r="C23514" s="52">
        <v>158191.049518224</v>
      </c>
      <c r="D23514" s="56">
        <v>9.3056672878578703E-2</v>
      </c>
      <c r="E23514" s="224" t="s">
        <v>2</v>
      </c>
      <c r="G23514" s="52"/>
      <c r="H23514" s="56"/>
      <c r="I23514" s="224"/>
    </row>
    <row r="23515" spans="1:9" x14ac:dyDescent="0.25">
      <c r="A23515" s="515">
        <v>4554</v>
      </c>
      <c r="C23515" s="52">
        <v>491033.01009777299</v>
      </c>
      <c r="D23515" s="56">
        <v>8.336593904386054E-2</v>
      </c>
      <c r="E23515" s="224" t="s">
        <v>2</v>
      </c>
      <c r="G23515" s="52"/>
      <c r="H23515" s="56"/>
      <c r="I23515" s="224"/>
    </row>
    <row r="23516" spans="1:9" x14ac:dyDescent="0.25">
      <c r="A23516" s="515">
        <v>4455</v>
      </c>
      <c r="B23516" s="515" t="s">
        <v>792</v>
      </c>
      <c r="C23516" s="52">
        <v>156297.851374983</v>
      </c>
      <c r="D23516" s="56">
        <v>0.13899635789016374</v>
      </c>
      <c r="E23516" s="224" t="s">
        <v>2</v>
      </c>
      <c r="G23516" s="52"/>
      <c r="H23516" s="56"/>
      <c r="I23516" s="224"/>
    </row>
    <row r="23517" spans="1:9" x14ac:dyDescent="0.25">
      <c r="A23517" s="515">
        <v>55957</v>
      </c>
      <c r="B23517" s="515" t="s">
        <v>470</v>
      </c>
      <c r="C23517" s="52">
        <v>328123.79231855099</v>
      </c>
      <c r="D23517" s="56">
        <v>0.14394317071256113</v>
      </c>
      <c r="E23517" s="224" t="s">
        <v>2</v>
      </c>
      <c r="G23517" s="52"/>
      <c r="H23517" s="56"/>
      <c r="I23517" s="224"/>
    </row>
    <row r="23518" spans="1:9" x14ac:dyDescent="0.25">
      <c r="A23518" s="515">
        <v>42280</v>
      </c>
      <c r="C23518" s="52">
        <v>151766.34150169999</v>
      </c>
      <c r="D23518" s="56">
        <v>0.16722919523679444</v>
      </c>
      <c r="E23518" s="224" t="s">
        <v>2</v>
      </c>
      <c r="G23518" s="52"/>
      <c r="H23518" s="56"/>
      <c r="I23518" s="224"/>
    </row>
    <row r="23519" spans="1:9" x14ac:dyDescent="0.25">
      <c r="A23519" s="515">
        <v>69045</v>
      </c>
      <c r="C23519" s="52">
        <v>126920.33171497801</v>
      </c>
      <c r="D23519" s="56">
        <v>5.6556023803494102E-2</v>
      </c>
      <c r="E23519" s="224" t="s">
        <v>2</v>
      </c>
      <c r="G23519" s="52"/>
      <c r="H23519" s="56"/>
      <c r="I23519" s="224"/>
    </row>
    <row r="23520" spans="1:9" x14ac:dyDescent="0.25">
      <c r="A23520" s="515">
        <v>5742</v>
      </c>
      <c r="B23520" s="515" t="s">
        <v>791</v>
      </c>
      <c r="C23520" s="52">
        <v>326567.17646270897</v>
      </c>
      <c r="D23520" s="56">
        <v>7.474205767330229E-2</v>
      </c>
      <c r="E23520" s="224" t="s">
        <v>2</v>
      </c>
      <c r="G23520" s="52"/>
      <c r="H23520" s="56"/>
      <c r="I23520" s="224"/>
    </row>
    <row r="23521" spans="1:9" x14ac:dyDescent="0.25">
      <c r="A23521" s="515">
        <v>6755</v>
      </c>
      <c r="B23521" s="515" t="s">
        <v>559</v>
      </c>
      <c r="C23521" s="52">
        <v>424257.62156327697</v>
      </c>
      <c r="D23521" s="56">
        <v>9.0049051448624823E-2</v>
      </c>
      <c r="E23521" s="224" t="s">
        <v>2</v>
      </c>
      <c r="G23521" s="52"/>
      <c r="H23521" s="56"/>
      <c r="I23521" s="224"/>
    </row>
    <row r="23522" spans="1:9" x14ac:dyDescent="0.25">
      <c r="A23522" s="515">
        <v>56151</v>
      </c>
      <c r="C23522" s="52">
        <v>169702.069915801</v>
      </c>
      <c r="D23522" s="56">
        <v>5.40745670538441E-2</v>
      </c>
      <c r="E23522" s="224" t="s">
        <v>2</v>
      </c>
      <c r="G23522" s="52"/>
      <c r="H23522" s="56"/>
      <c r="I23522" s="224"/>
    </row>
    <row r="23523" spans="1:9" x14ac:dyDescent="0.25">
      <c r="A23523" s="515">
        <v>84746</v>
      </c>
      <c r="B23523" s="515" t="s">
        <v>522</v>
      </c>
      <c r="C23523" s="52">
        <v>555301.68867606705</v>
      </c>
      <c r="D23523" s="56">
        <v>-5.3004364785751296E-3</v>
      </c>
      <c r="E23523" s="224" t="s">
        <v>2</v>
      </c>
      <c r="G23523" s="52"/>
      <c r="H23523" s="56"/>
      <c r="I23523" s="224"/>
    </row>
    <row r="23524" spans="1:9" x14ac:dyDescent="0.25">
      <c r="A23524" s="515">
        <v>65247</v>
      </c>
      <c r="C23524" s="52">
        <v>180407.38356164299</v>
      </c>
      <c r="D23524" s="56">
        <v>0</v>
      </c>
      <c r="E23524" s="224" t="s">
        <v>2</v>
      </c>
      <c r="G23524" s="52"/>
      <c r="H23524" s="56"/>
      <c r="I23524" s="224"/>
    </row>
    <row r="23525" spans="1:9" x14ac:dyDescent="0.25">
      <c r="A23525" s="515">
        <v>25019</v>
      </c>
      <c r="B23525" s="515" t="s">
        <v>322</v>
      </c>
      <c r="C23525" s="52">
        <v>90591.884846550907</v>
      </c>
      <c r="D23525" s="56">
        <v>0.12482353783301335</v>
      </c>
      <c r="E23525" s="224" t="s">
        <v>2</v>
      </c>
      <c r="G23525" s="52"/>
      <c r="H23525" s="56"/>
      <c r="I23525" s="224"/>
    </row>
    <row r="23526" spans="1:9" x14ac:dyDescent="0.25">
      <c r="A23526" s="515">
        <v>5669</v>
      </c>
      <c r="B23526" s="515" t="s">
        <v>945</v>
      </c>
      <c r="C23526" s="52">
        <v>283906.82456140302</v>
      </c>
      <c r="D23526" s="56">
        <v>0</v>
      </c>
      <c r="E23526" s="224" t="s">
        <v>2</v>
      </c>
      <c r="G23526" s="52"/>
      <c r="H23526" s="56"/>
      <c r="I23526" s="224"/>
    </row>
    <row r="23527" spans="1:9" x14ac:dyDescent="0.25">
      <c r="A23527" s="515">
        <v>50446</v>
      </c>
      <c r="B23527" s="515" t="s">
        <v>634</v>
      </c>
      <c r="C23527" s="52">
        <v>157988.12880506899</v>
      </c>
      <c r="D23527" s="56">
        <v>0.12116655195715885</v>
      </c>
      <c r="E23527" s="224" t="s">
        <v>2</v>
      </c>
      <c r="G23527" s="52"/>
      <c r="H23527" s="56"/>
      <c r="I23527" s="224"/>
    </row>
    <row r="23528" spans="1:9" x14ac:dyDescent="0.25">
      <c r="A23528" s="515">
        <v>71472</v>
      </c>
      <c r="B23528" s="515" t="s">
        <v>968</v>
      </c>
      <c r="C23528" s="52">
        <v>124053.75</v>
      </c>
      <c r="D23528" s="56">
        <v>0</v>
      </c>
      <c r="E23528" s="224" t="s">
        <v>2</v>
      </c>
      <c r="G23528" s="52"/>
      <c r="H23528" s="56"/>
      <c r="I23528" s="224"/>
    </row>
    <row r="23529" spans="1:9" x14ac:dyDescent="0.25">
      <c r="A23529" s="515">
        <v>38569</v>
      </c>
      <c r="C23529" s="52">
        <v>378769.922428063</v>
      </c>
      <c r="D23529" s="56">
        <v>9.5534141605835649E-2</v>
      </c>
      <c r="E23529" s="224" t="s">
        <v>2</v>
      </c>
      <c r="G23529" s="52"/>
      <c r="H23529" s="56"/>
      <c r="I23529" s="224"/>
    </row>
    <row r="23530" spans="1:9" x14ac:dyDescent="0.25">
      <c r="A23530" s="515">
        <v>82053</v>
      </c>
      <c r="B23530" s="515" t="s">
        <v>639</v>
      </c>
      <c r="C23530" s="52">
        <v>343486.011184879</v>
      </c>
      <c r="D23530" s="56">
        <v>3.2546000171940126E-3</v>
      </c>
      <c r="E23530" s="224" t="s">
        <v>2</v>
      </c>
      <c r="G23530" s="52"/>
      <c r="H23530" s="56"/>
      <c r="I23530" s="224"/>
    </row>
    <row r="23531" spans="1:9" x14ac:dyDescent="0.25">
      <c r="A23531" s="515">
        <v>72537</v>
      </c>
      <c r="B23531" s="515" t="s">
        <v>679</v>
      </c>
      <c r="C23531" s="52">
        <v>203116.00003877099</v>
      </c>
      <c r="D23531" s="56">
        <v>1.5672315549073838E-2</v>
      </c>
      <c r="E23531" s="224" t="s">
        <v>2</v>
      </c>
      <c r="G23531" s="52"/>
      <c r="H23531" s="56"/>
      <c r="I23531" s="224"/>
    </row>
    <row r="23532" spans="1:9" x14ac:dyDescent="0.25">
      <c r="A23532" s="515">
        <v>1070</v>
      </c>
      <c r="B23532" s="515" t="s">
        <v>575</v>
      </c>
      <c r="C23532" s="52">
        <v>304164.081781791</v>
      </c>
      <c r="D23532" s="56">
        <v>0.1147725530671754</v>
      </c>
      <c r="E23532" s="224" t="s">
        <v>2</v>
      </c>
      <c r="G23532" s="52"/>
      <c r="H23532" s="56"/>
      <c r="I23532" s="224"/>
    </row>
    <row r="23533" spans="1:9" x14ac:dyDescent="0.25">
      <c r="A23533" s="515">
        <v>58081</v>
      </c>
      <c r="B23533" s="515" t="s">
        <v>548</v>
      </c>
      <c r="C23533" s="52">
        <v>146097.10752688101</v>
      </c>
      <c r="D23533" s="56">
        <v>0</v>
      </c>
      <c r="E23533" s="224" t="s">
        <v>2</v>
      </c>
      <c r="G23533" s="52"/>
      <c r="H23533" s="56"/>
      <c r="I23533" s="224"/>
    </row>
    <row r="23534" spans="1:9" x14ac:dyDescent="0.25">
      <c r="A23534" s="515">
        <v>85605</v>
      </c>
      <c r="B23534" s="515" t="s">
        <v>374</v>
      </c>
      <c r="C23534" s="52">
        <v>79852.384615384595</v>
      </c>
      <c r="D23534" s="56">
        <v>0</v>
      </c>
      <c r="E23534" s="224" t="s">
        <v>2</v>
      </c>
      <c r="G23534" s="52"/>
      <c r="H23534" s="56"/>
      <c r="I23534" s="224"/>
    </row>
    <row r="23535" spans="1:9" x14ac:dyDescent="0.25">
      <c r="A23535" s="515">
        <v>25971</v>
      </c>
      <c r="B23535" s="515" t="s">
        <v>306</v>
      </c>
      <c r="C23535" s="52">
        <v>174569.06247688399</v>
      </c>
      <c r="D23535" s="56">
        <v>0.17712233023164908</v>
      </c>
      <c r="E23535" s="224" t="s">
        <v>2</v>
      </c>
      <c r="G23535" s="52"/>
      <c r="H23535" s="56"/>
      <c r="I23535" s="224"/>
    </row>
    <row r="23536" spans="1:9" x14ac:dyDescent="0.25">
      <c r="A23536" s="515">
        <v>69131</v>
      </c>
      <c r="C23536" s="52">
        <v>148225.50123015701</v>
      </c>
      <c r="D23536" s="56">
        <v>8.3234421320759033E-2</v>
      </c>
      <c r="E23536" s="224" t="s">
        <v>2</v>
      </c>
      <c r="G23536" s="52"/>
      <c r="H23536" s="56"/>
      <c r="I23536" s="224"/>
    </row>
    <row r="23537" spans="1:9" x14ac:dyDescent="0.25">
      <c r="A23537" s="515">
        <v>84309</v>
      </c>
      <c r="B23537" s="515" t="s">
        <v>628</v>
      </c>
      <c r="C23537" s="52">
        <v>487513.86075949302</v>
      </c>
      <c r="D23537" s="56">
        <v>0</v>
      </c>
      <c r="E23537" s="224" t="s">
        <v>2</v>
      </c>
      <c r="G23537" s="52"/>
      <c r="H23537" s="56"/>
      <c r="I23537" s="224"/>
    </row>
    <row r="23538" spans="1:9" x14ac:dyDescent="0.25">
      <c r="A23538" s="515">
        <v>82833</v>
      </c>
      <c r="B23538" s="515" t="s">
        <v>648</v>
      </c>
      <c r="C23538" s="52">
        <v>661157.487903281</v>
      </c>
      <c r="D23538" s="56">
        <v>0.14679601210047868</v>
      </c>
      <c r="E23538" s="224" t="s">
        <v>2</v>
      </c>
      <c r="G23538" s="52"/>
      <c r="H23538" s="56"/>
      <c r="I23538" s="224"/>
    </row>
    <row r="23539" spans="1:9" x14ac:dyDescent="0.25">
      <c r="A23539" s="515">
        <v>25030</v>
      </c>
      <c r="B23539" s="515" t="s">
        <v>322</v>
      </c>
      <c r="C23539" s="52">
        <v>96776.924046454602</v>
      </c>
      <c r="D23539" s="56">
        <v>0.18430347945279754</v>
      </c>
      <c r="E23539" s="224" t="s">
        <v>2</v>
      </c>
      <c r="G23539" s="52"/>
      <c r="H23539" s="56"/>
      <c r="I23539" s="224"/>
    </row>
    <row r="23540" spans="1:9" x14ac:dyDescent="0.25">
      <c r="A23540" s="515">
        <v>57263</v>
      </c>
      <c r="B23540" s="515" t="s">
        <v>941</v>
      </c>
      <c r="C23540" s="52">
        <v>312051.76052099298</v>
      </c>
      <c r="D23540" s="56">
        <v>0</v>
      </c>
      <c r="E23540" s="224" t="s">
        <v>2</v>
      </c>
      <c r="G23540" s="52"/>
      <c r="H23540" s="56"/>
      <c r="I23540" s="224"/>
    </row>
    <row r="23541" spans="1:9" x14ac:dyDescent="0.25">
      <c r="A23541" s="515">
        <v>68827</v>
      </c>
      <c r="B23541" s="515" t="s">
        <v>650</v>
      </c>
      <c r="C23541" s="52">
        <v>237671.24485248199</v>
      </c>
      <c r="D23541" s="56">
        <v>7.5377898318675932E-2</v>
      </c>
      <c r="E23541" s="224" t="s">
        <v>2</v>
      </c>
      <c r="G23541" s="52"/>
      <c r="H23541" s="56"/>
      <c r="I23541" s="224"/>
    </row>
    <row r="23542" spans="1:9" x14ac:dyDescent="0.25">
      <c r="A23542" s="515">
        <v>23110</v>
      </c>
      <c r="B23542" s="515" t="s">
        <v>667</v>
      </c>
      <c r="C23542" s="52">
        <v>267012.15740740701</v>
      </c>
      <c r="D23542" s="56">
        <v>0</v>
      </c>
      <c r="E23542" s="224" t="s">
        <v>2</v>
      </c>
      <c r="G23542" s="52"/>
      <c r="H23542" s="56"/>
      <c r="I23542" s="224"/>
    </row>
    <row r="23543" spans="1:9" x14ac:dyDescent="0.25">
      <c r="A23543" s="515">
        <v>48807</v>
      </c>
      <c r="B23543" s="515" t="s">
        <v>904</v>
      </c>
      <c r="C23543" s="52">
        <v>128830.20799939601</v>
      </c>
      <c r="D23543" s="56">
        <v>6.0423690665202229E-2</v>
      </c>
      <c r="E23543" s="224" t="s">
        <v>2</v>
      </c>
      <c r="G23543" s="52"/>
      <c r="H23543" s="56"/>
      <c r="I23543" s="224"/>
    </row>
    <row r="23544" spans="1:9" x14ac:dyDescent="0.25">
      <c r="A23544" s="515">
        <v>80825</v>
      </c>
      <c r="C23544" s="52">
        <v>124116.11997827201</v>
      </c>
      <c r="D23544" s="56">
        <v>0.10008790115226471</v>
      </c>
      <c r="E23544" s="224" t="s">
        <v>2</v>
      </c>
      <c r="G23544" s="52"/>
      <c r="H23544" s="56"/>
      <c r="I23544" s="224"/>
    </row>
    <row r="23545" spans="1:9" x14ac:dyDescent="0.25">
      <c r="A23545" s="515">
        <v>68018</v>
      </c>
      <c r="B23545" s="515" t="s">
        <v>367</v>
      </c>
      <c r="C23545" s="52">
        <v>319938.28544233099</v>
      </c>
      <c r="D23545" s="56">
        <v>9.6048050627987769E-2</v>
      </c>
      <c r="E23545" s="224" t="s">
        <v>2</v>
      </c>
      <c r="G23545" s="52"/>
      <c r="H23545" s="56"/>
      <c r="I23545" s="224"/>
    </row>
    <row r="23546" spans="1:9" x14ac:dyDescent="0.25">
      <c r="A23546" s="515">
        <v>82720</v>
      </c>
      <c r="B23546" s="515" t="s">
        <v>589</v>
      </c>
      <c r="C23546" s="52">
        <v>339879.64449706301</v>
      </c>
      <c r="D23546" s="56">
        <v>0.1771385524742185</v>
      </c>
      <c r="E23546" s="224" t="s">
        <v>2</v>
      </c>
      <c r="G23546" s="52"/>
      <c r="H23546" s="56"/>
      <c r="I23546" s="224"/>
    </row>
    <row r="23547" spans="1:9" x14ac:dyDescent="0.25">
      <c r="A23547" s="515">
        <v>27853</v>
      </c>
      <c r="B23547" s="515" t="s">
        <v>909</v>
      </c>
      <c r="C23547" s="52">
        <v>102574.37935427899</v>
      </c>
      <c r="D23547" s="56">
        <v>0.10335602235022925</v>
      </c>
      <c r="E23547" s="224" t="s">
        <v>2</v>
      </c>
      <c r="G23547" s="52"/>
      <c r="H23547" s="56"/>
      <c r="I23547" s="224"/>
    </row>
    <row r="23548" spans="1:9" x14ac:dyDescent="0.25">
      <c r="A23548" s="515">
        <v>41843</v>
      </c>
      <c r="C23548" s="52">
        <v>99861.537192313597</v>
      </c>
      <c r="D23548" s="56">
        <v>0.2011800238334337</v>
      </c>
      <c r="E23548" s="224" t="s">
        <v>2</v>
      </c>
      <c r="G23548" s="52"/>
      <c r="H23548" s="56"/>
      <c r="I23548" s="224"/>
    </row>
    <row r="23549" spans="1:9" x14ac:dyDescent="0.25">
      <c r="A23549" s="515">
        <v>5072</v>
      </c>
      <c r="B23549" s="515" t="s">
        <v>420</v>
      </c>
      <c r="C23549" s="52">
        <v>465832.36923076899</v>
      </c>
      <c r="D23549" s="56">
        <v>0</v>
      </c>
      <c r="E23549" s="224" t="s">
        <v>2</v>
      </c>
      <c r="G23549" s="52"/>
      <c r="H23549" s="56"/>
      <c r="I23549" s="224"/>
    </row>
    <row r="23550" spans="1:9" x14ac:dyDescent="0.25">
      <c r="A23550" s="515">
        <v>97489</v>
      </c>
      <c r="B23550" s="515" t="s">
        <v>801</v>
      </c>
      <c r="C23550" s="52">
        <v>553003.86554887902</v>
      </c>
      <c r="D23550" s="56">
        <v>6.0251800536428063E-2</v>
      </c>
      <c r="E23550" s="224" t="s">
        <v>2</v>
      </c>
      <c r="G23550" s="52"/>
      <c r="H23550" s="56"/>
      <c r="I23550" s="224"/>
    </row>
    <row r="23551" spans="1:9" x14ac:dyDescent="0.25">
      <c r="A23551" s="515">
        <v>40863</v>
      </c>
      <c r="C23551" s="52">
        <v>60488.030457791501</v>
      </c>
      <c r="D23551" s="56">
        <v>0.26895136289808064</v>
      </c>
      <c r="E23551" s="224" t="s">
        <v>2</v>
      </c>
      <c r="G23551" s="52"/>
      <c r="H23551" s="56"/>
      <c r="I23551" s="224"/>
    </row>
    <row r="23552" spans="1:9" x14ac:dyDescent="0.25">
      <c r="A23552" s="515">
        <v>52650</v>
      </c>
      <c r="B23552" s="515" t="s">
        <v>672</v>
      </c>
      <c r="C23552" s="52">
        <v>251590.070906804</v>
      </c>
      <c r="D23552" s="56">
        <v>8.5982505102780521E-2</v>
      </c>
      <c r="E23552" s="224" t="s">
        <v>2</v>
      </c>
      <c r="G23552" s="52"/>
      <c r="H23552" s="56"/>
      <c r="I23552" s="224"/>
    </row>
    <row r="23553" spans="1:9" x14ac:dyDescent="0.25">
      <c r="A23553" s="515">
        <v>43548</v>
      </c>
      <c r="C23553" s="52">
        <v>143808.26867402799</v>
      </c>
      <c r="D23553" s="56">
        <v>1.9598089490951029E-2</v>
      </c>
      <c r="E23553" s="224" t="s">
        <v>2</v>
      </c>
      <c r="G23553" s="52"/>
      <c r="H23553" s="56"/>
      <c r="I23553" s="224"/>
    </row>
    <row r="23554" spans="1:9" x14ac:dyDescent="0.25">
      <c r="A23554" s="515">
        <v>49836</v>
      </c>
      <c r="C23554" s="52">
        <v>152519.859972904</v>
      </c>
      <c r="D23554" s="56">
        <v>8.687779516617064E-2</v>
      </c>
      <c r="E23554" s="224" t="s">
        <v>2</v>
      </c>
      <c r="G23554" s="52"/>
      <c r="H23554" s="56"/>
      <c r="I23554" s="224"/>
    </row>
    <row r="23555" spans="1:9" x14ac:dyDescent="0.25">
      <c r="A23555" s="515">
        <v>18085</v>
      </c>
      <c r="B23555" s="515" t="s">
        <v>327</v>
      </c>
      <c r="C23555" s="52">
        <v>281057.38496706099</v>
      </c>
      <c r="D23555" s="56">
        <v>0.11408201532579049</v>
      </c>
      <c r="E23555" s="224" t="s">
        <v>2</v>
      </c>
      <c r="G23555" s="52"/>
      <c r="H23555" s="56"/>
      <c r="I23555" s="224"/>
    </row>
    <row r="23556" spans="1:9" x14ac:dyDescent="0.25">
      <c r="A23556" s="515">
        <v>73528</v>
      </c>
      <c r="C23556" s="52">
        <v>118984.244795939</v>
      </c>
      <c r="D23556" s="56">
        <v>9.9504767503015498E-2</v>
      </c>
      <c r="E23556" s="224" t="s">
        <v>2</v>
      </c>
      <c r="G23556" s="52"/>
      <c r="H23556" s="56"/>
      <c r="I23556" s="224"/>
    </row>
    <row r="23557" spans="1:9" x14ac:dyDescent="0.25">
      <c r="A23557" s="515">
        <v>75959</v>
      </c>
      <c r="C23557" s="52">
        <v>168324.620336035</v>
      </c>
      <c r="D23557" s="56">
        <v>0</v>
      </c>
      <c r="E23557" s="224" t="s">
        <v>2</v>
      </c>
      <c r="G23557" s="52"/>
      <c r="H23557" s="56"/>
      <c r="I23557" s="224"/>
    </row>
    <row r="23558" spans="1:9" x14ac:dyDescent="0.25">
      <c r="A23558" s="515">
        <v>80722</v>
      </c>
      <c r="B23558" s="515" t="s">
        <v>721</v>
      </c>
      <c r="C23558" s="52">
        <v>311925.505897631</v>
      </c>
      <c r="D23558" s="56">
        <v>8.4632116032678728E-2</v>
      </c>
      <c r="E23558" s="224" t="s">
        <v>2</v>
      </c>
      <c r="G23558" s="52"/>
      <c r="H23558" s="56"/>
      <c r="I23558" s="224"/>
    </row>
    <row r="23559" spans="1:9" x14ac:dyDescent="0.25">
      <c r="A23559" s="515">
        <v>52330</v>
      </c>
      <c r="C23559" s="52">
        <v>210242.77607333701</v>
      </c>
      <c r="D23559" s="56">
        <v>7.1159040006792851E-2</v>
      </c>
      <c r="E23559" s="224" t="s">
        <v>2</v>
      </c>
      <c r="G23559" s="52"/>
      <c r="H23559" s="56"/>
      <c r="I23559" s="224"/>
    </row>
    <row r="23560" spans="1:9" x14ac:dyDescent="0.25">
      <c r="A23560" s="515">
        <v>66937</v>
      </c>
      <c r="C23560" s="52">
        <v>101611.78133054401</v>
      </c>
      <c r="D23560" s="56">
        <v>7.7361432045305434E-2</v>
      </c>
      <c r="E23560" s="224" t="s">
        <v>2</v>
      </c>
      <c r="G23560" s="52"/>
      <c r="H23560" s="56"/>
      <c r="I23560" s="224"/>
    </row>
    <row r="23561" spans="1:9" x14ac:dyDescent="0.25">
      <c r="A23561" s="515">
        <v>62036</v>
      </c>
      <c r="B23561" s="515" t="s">
        <v>498</v>
      </c>
      <c r="C23561" s="52">
        <v>224843.084744186</v>
      </c>
      <c r="D23561" s="56">
        <v>0.20842788455796016</v>
      </c>
      <c r="E23561" s="224" t="s">
        <v>2</v>
      </c>
      <c r="G23561" s="52"/>
      <c r="H23561" s="56"/>
      <c r="I23561" s="224"/>
    </row>
    <row r="23562" spans="1:9" x14ac:dyDescent="0.25">
      <c r="A23562" s="515">
        <v>64842</v>
      </c>
      <c r="B23562" s="515" t="s">
        <v>784</v>
      </c>
      <c r="C23562" s="52">
        <v>151044.38225361001</v>
      </c>
      <c r="D23562" s="56">
        <v>0.19769129224627796</v>
      </c>
      <c r="E23562" s="224" t="s">
        <v>2</v>
      </c>
      <c r="G23562" s="52"/>
      <c r="H23562" s="56"/>
      <c r="I23562" s="224"/>
    </row>
    <row r="23563" spans="1:9" x14ac:dyDescent="0.25">
      <c r="A23563" s="515">
        <v>26376</v>
      </c>
      <c r="C23563" s="52">
        <v>105829.236223866</v>
      </c>
      <c r="D23563" s="56">
        <v>0.12037263451583773</v>
      </c>
      <c r="E23563" s="224" t="s">
        <v>2</v>
      </c>
      <c r="G23563" s="52"/>
      <c r="H23563" s="56"/>
      <c r="I23563" s="224"/>
    </row>
    <row r="23564" spans="1:9" x14ac:dyDescent="0.25">
      <c r="A23564" s="515">
        <v>25989</v>
      </c>
      <c r="B23564" s="515" t="s">
        <v>566</v>
      </c>
      <c r="C23564" s="52">
        <v>157403.07692307601</v>
      </c>
      <c r="D23564" s="56">
        <v>0</v>
      </c>
      <c r="E23564" s="224" t="s">
        <v>2</v>
      </c>
      <c r="G23564" s="52"/>
      <c r="H23564" s="56"/>
      <c r="I23564" s="224"/>
    </row>
    <row r="23565" spans="1:9" x14ac:dyDescent="0.25">
      <c r="A23565" s="515">
        <v>76631</v>
      </c>
      <c r="C23565" s="52">
        <v>190043.25849317401</v>
      </c>
      <c r="D23565" s="56">
        <v>0</v>
      </c>
      <c r="E23565" s="224" t="s">
        <v>2</v>
      </c>
      <c r="G23565" s="52"/>
      <c r="H23565" s="56"/>
      <c r="I23565" s="224"/>
    </row>
    <row r="23566" spans="1:9" x14ac:dyDescent="0.25">
      <c r="A23566" s="515">
        <v>62999</v>
      </c>
      <c r="C23566" s="52">
        <v>47435.582254891102</v>
      </c>
      <c r="D23566" s="56">
        <v>5.1803727635543216E-2</v>
      </c>
      <c r="E23566" s="224" t="s">
        <v>2</v>
      </c>
      <c r="G23566" s="52"/>
      <c r="H23566" s="56"/>
      <c r="I23566" s="224"/>
    </row>
    <row r="23567" spans="1:9" x14ac:dyDescent="0.25">
      <c r="A23567" s="515">
        <v>43359</v>
      </c>
      <c r="C23567" s="52">
        <v>131994.26257959101</v>
      </c>
      <c r="D23567" s="56">
        <v>5.3267543787331034E-2</v>
      </c>
      <c r="E23567" s="224" t="s">
        <v>2</v>
      </c>
      <c r="G23567" s="52"/>
      <c r="H23567" s="56"/>
      <c r="I23567" s="224"/>
    </row>
    <row r="23568" spans="1:9" x14ac:dyDescent="0.25">
      <c r="A23568" s="515">
        <v>26151</v>
      </c>
      <c r="C23568" s="52">
        <v>86385.969310442306</v>
      </c>
      <c r="D23568" s="56">
        <v>5.8924701760042351E-2</v>
      </c>
      <c r="E23568" s="224" t="s">
        <v>2</v>
      </c>
      <c r="G23568" s="52"/>
      <c r="H23568" s="56"/>
      <c r="I23568" s="224"/>
    </row>
    <row r="23569" spans="1:9" x14ac:dyDescent="0.25">
      <c r="A23569" s="515">
        <v>47525</v>
      </c>
      <c r="C23569" s="52">
        <v>175326.03656559301</v>
      </c>
      <c r="D23569" s="56">
        <v>9.7484037346425245E-2</v>
      </c>
      <c r="E23569" s="224" t="s">
        <v>2</v>
      </c>
      <c r="G23569" s="52"/>
      <c r="H23569" s="56"/>
      <c r="I23569" s="224"/>
    </row>
    <row r="23570" spans="1:9" x14ac:dyDescent="0.25">
      <c r="A23570" s="515">
        <v>41528</v>
      </c>
      <c r="C23570" s="52">
        <v>59252.791878503798</v>
      </c>
      <c r="D23570" s="56">
        <v>0.29406985595034907</v>
      </c>
      <c r="E23570" s="224" t="s">
        <v>2</v>
      </c>
      <c r="G23570" s="52"/>
      <c r="H23570" s="56"/>
      <c r="I23570" s="224"/>
    </row>
    <row r="23571" spans="1:9" x14ac:dyDescent="0.25">
      <c r="A23571" s="515">
        <v>59069</v>
      </c>
      <c r="C23571" s="52">
        <v>427273.45415170002</v>
      </c>
      <c r="D23571" s="56">
        <v>0.1016227120283462</v>
      </c>
      <c r="E23571" s="224" t="s">
        <v>2</v>
      </c>
      <c r="G23571" s="52"/>
      <c r="H23571" s="56"/>
      <c r="I23571" s="224"/>
    </row>
    <row r="23572" spans="1:9" x14ac:dyDescent="0.25">
      <c r="A23572" s="515">
        <v>25121</v>
      </c>
      <c r="B23572" s="515" t="s">
        <v>464</v>
      </c>
      <c r="C23572" s="52">
        <v>107147.081749811</v>
      </c>
      <c r="D23572" s="56">
        <v>0.13877370368915584</v>
      </c>
      <c r="E23572" s="224" t="s">
        <v>2</v>
      </c>
      <c r="G23572" s="52"/>
      <c r="H23572" s="56"/>
      <c r="I23572" s="224"/>
    </row>
    <row r="23573" spans="1:9" x14ac:dyDescent="0.25">
      <c r="A23573" s="515">
        <v>84064</v>
      </c>
      <c r="C23573" s="52">
        <v>288611.55405405402</v>
      </c>
      <c r="D23573" s="56">
        <v>0</v>
      </c>
      <c r="E23573" s="224" t="s">
        <v>2</v>
      </c>
      <c r="G23573" s="52"/>
      <c r="H23573" s="56"/>
      <c r="I23573" s="224"/>
    </row>
    <row r="23574" spans="1:9" x14ac:dyDescent="0.25">
      <c r="A23574" s="515">
        <v>60109</v>
      </c>
      <c r="B23574" s="515" t="s">
        <v>394</v>
      </c>
      <c r="C23574" s="52">
        <v>258477.482318083</v>
      </c>
      <c r="D23574" s="56">
        <v>6.2621911152944257E-2</v>
      </c>
      <c r="E23574" s="224" t="s">
        <v>2</v>
      </c>
      <c r="G23574" s="52"/>
      <c r="H23574" s="56"/>
      <c r="I23574" s="224"/>
    </row>
    <row r="23575" spans="1:9" x14ac:dyDescent="0.25">
      <c r="A23575" s="515">
        <v>40939</v>
      </c>
      <c r="B23575" s="515" t="s">
        <v>687</v>
      </c>
      <c r="C23575" s="52">
        <v>78406.659338268393</v>
      </c>
      <c r="D23575" s="56">
        <v>0.24137475664738856</v>
      </c>
      <c r="E23575" s="224" t="s">
        <v>2</v>
      </c>
      <c r="G23575" s="52"/>
      <c r="H23575" s="56"/>
      <c r="I23575" s="224"/>
    </row>
    <row r="23576" spans="1:9" x14ac:dyDescent="0.25">
      <c r="A23576" s="515">
        <v>69122</v>
      </c>
      <c r="C23576" s="52">
        <v>132415.00431441501</v>
      </c>
      <c r="D23576" s="56">
        <v>0.19106245306707959</v>
      </c>
      <c r="E23576" s="224" t="s">
        <v>2</v>
      </c>
      <c r="G23576" s="52"/>
      <c r="H23576" s="56"/>
      <c r="I23576" s="224"/>
    </row>
    <row r="23577" spans="1:9" x14ac:dyDescent="0.25">
      <c r="A23577" s="515">
        <v>66041</v>
      </c>
      <c r="B23577" s="515" t="s">
        <v>682</v>
      </c>
      <c r="C23577" s="52">
        <v>168430.619990009</v>
      </c>
      <c r="D23577" s="56">
        <v>0.17800528774491234</v>
      </c>
      <c r="E23577" s="224" t="s">
        <v>2</v>
      </c>
      <c r="G23577" s="52"/>
      <c r="H23577" s="56"/>
      <c r="I23577" s="224"/>
    </row>
    <row r="23578" spans="1:9" x14ac:dyDescent="0.25">
      <c r="A23578" s="515">
        <v>14480</v>
      </c>
      <c r="B23578" s="515" t="s">
        <v>337</v>
      </c>
      <c r="C23578" s="52">
        <v>285216.076625321</v>
      </c>
      <c r="D23578" s="56">
        <v>8.331485949280211E-2</v>
      </c>
      <c r="E23578" s="224" t="s">
        <v>2</v>
      </c>
      <c r="G23578" s="52"/>
      <c r="H23578" s="56"/>
      <c r="I23578" s="224"/>
    </row>
    <row r="23579" spans="1:9" x14ac:dyDescent="0.25">
      <c r="A23579" s="515">
        <v>56219</v>
      </c>
      <c r="C23579" s="52">
        <v>85354.516857849405</v>
      </c>
      <c r="D23579" s="56">
        <v>-3.0618208214218467E-2</v>
      </c>
      <c r="E23579" s="224" t="s">
        <v>2</v>
      </c>
      <c r="G23579" s="52"/>
      <c r="H23579" s="56"/>
      <c r="I23579" s="224"/>
    </row>
    <row r="23580" spans="1:9" x14ac:dyDescent="0.25">
      <c r="A23580" s="515">
        <v>99723</v>
      </c>
      <c r="C23580" s="52">
        <v>275713.830619379</v>
      </c>
      <c r="D23580" s="56">
        <v>1.9684760357199051E-2</v>
      </c>
      <c r="E23580" s="224" t="s">
        <v>2</v>
      </c>
      <c r="G23580" s="52"/>
      <c r="H23580" s="56"/>
      <c r="I23580" s="224"/>
    </row>
    <row r="23581" spans="1:9" x14ac:dyDescent="0.25">
      <c r="A23581" s="515">
        <v>89042</v>
      </c>
      <c r="C23581" s="52">
        <v>183059.259582039</v>
      </c>
      <c r="D23581" s="56">
        <v>-2.2394842256641248E-2</v>
      </c>
      <c r="E23581" s="224" t="s">
        <v>2</v>
      </c>
      <c r="G23581" s="52"/>
      <c r="H23581" s="56"/>
      <c r="I23581" s="224"/>
    </row>
    <row r="23582" spans="1:9" x14ac:dyDescent="0.25">
      <c r="A23582" s="515">
        <v>20617</v>
      </c>
      <c r="B23582" s="515" t="s">
        <v>321</v>
      </c>
      <c r="C23582" s="52">
        <v>479143.26513241802</v>
      </c>
      <c r="D23582" s="56">
        <v>4.8964657086650758E-2</v>
      </c>
      <c r="E23582" s="224" t="s">
        <v>2</v>
      </c>
      <c r="G23582" s="52"/>
      <c r="H23582" s="56"/>
      <c r="I23582" s="224"/>
    </row>
    <row r="23583" spans="1:9" x14ac:dyDescent="0.25">
      <c r="A23583" s="515">
        <v>61239</v>
      </c>
      <c r="B23583" s="515" t="s">
        <v>439</v>
      </c>
      <c r="C23583" s="52">
        <v>93521.926375592302</v>
      </c>
      <c r="D23583" s="56">
        <v>1.1913414856103605E-2</v>
      </c>
      <c r="E23583" s="224" t="s">
        <v>2</v>
      </c>
      <c r="G23583" s="52"/>
      <c r="H23583" s="56"/>
      <c r="I23583" s="224"/>
    </row>
    <row r="23584" spans="1:9" x14ac:dyDescent="0.25">
      <c r="A23584" s="515">
        <v>76379</v>
      </c>
      <c r="B23584" s="515" t="s">
        <v>328</v>
      </c>
      <c r="C23584" s="52">
        <v>153612.501903809</v>
      </c>
      <c r="D23584" s="56">
        <v>0</v>
      </c>
      <c r="E23584" s="224" t="s">
        <v>2</v>
      </c>
      <c r="G23584" s="52"/>
      <c r="H23584" s="56"/>
      <c r="I23584" s="224"/>
    </row>
    <row r="23585" spans="1:9" x14ac:dyDescent="0.25">
      <c r="A23585" s="515">
        <v>49736</v>
      </c>
      <c r="B23585" s="515" t="s">
        <v>740</v>
      </c>
      <c r="C23585" s="52">
        <v>135991.92308907601</v>
      </c>
      <c r="D23585" s="56">
        <v>0.10641860111113711</v>
      </c>
      <c r="E23585" s="224" t="s">
        <v>2</v>
      </c>
      <c r="G23585" s="52"/>
      <c r="H23585" s="56"/>
      <c r="I23585" s="224"/>
    </row>
    <row r="23586" spans="1:9" x14ac:dyDescent="0.25">
      <c r="A23586" s="515">
        <v>77519</v>
      </c>
      <c r="B23586" s="515" t="s">
        <v>492</v>
      </c>
      <c r="C23586" s="52">
        <v>156889.10082063999</v>
      </c>
      <c r="D23586" s="56">
        <v>0</v>
      </c>
      <c r="E23586" s="224" t="s">
        <v>2</v>
      </c>
      <c r="G23586" s="52"/>
      <c r="H23586" s="56"/>
      <c r="I23586" s="224"/>
    </row>
    <row r="23587" spans="1:9" x14ac:dyDescent="0.25">
      <c r="A23587" s="515">
        <v>62996</v>
      </c>
      <c r="C23587" s="52">
        <v>90059.301455595894</v>
      </c>
      <c r="D23587" s="56">
        <v>0.16345406591189041</v>
      </c>
      <c r="E23587" s="224" t="s">
        <v>2</v>
      </c>
      <c r="G23587" s="52"/>
      <c r="H23587" s="56"/>
      <c r="I23587" s="224"/>
    </row>
    <row r="23588" spans="1:9" x14ac:dyDescent="0.25">
      <c r="A23588" s="515">
        <v>59721</v>
      </c>
      <c r="C23588" s="52">
        <v>538879.53741463902</v>
      </c>
      <c r="D23588" s="56">
        <v>0.16314994020453533</v>
      </c>
      <c r="E23588" s="224" t="s">
        <v>2</v>
      </c>
      <c r="G23588" s="52"/>
      <c r="H23588" s="56"/>
      <c r="I23588" s="224"/>
    </row>
    <row r="23589" spans="1:9" x14ac:dyDescent="0.25">
      <c r="A23589" s="515">
        <v>42361</v>
      </c>
      <c r="C23589" s="52">
        <v>158108.96756357999</v>
      </c>
      <c r="D23589" s="56">
        <v>0.15820771675458611</v>
      </c>
      <c r="E23589" s="224" t="s">
        <v>2</v>
      </c>
      <c r="G23589" s="52"/>
      <c r="H23589" s="56"/>
      <c r="I23589" s="224"/>
    </row>
    <row r="23590" spans="1:9" x14ac:dyDescent="0.25">
      <c r="A23590" s="515">
        <v>95450</v>
      </c>
      <c r="B23590" s="515" t="s">
        <v>331</v>
      </c>
      <c r="C23590" s="52">
        <v>810463.94239008497</v>
      </c>
      <c r="D23590" s="56">
        <v>-3.6457829998628961E-2</v>
      </c>
      <c r="E23590" s="224" t="s">
        <v>2</v>
      </c>
      <c r="G23590" s="52"/>
      <c r="H23590" s="56"/>
      <c r="I23590" s="224"/>
    </row>
    <row r="23591" spans="1:9" x14ac:dyDescent="0.25">
      <c r="A23591" s="515">
        <v>41826</v>
      </c>
      <c r="C23591" s="52">
        <v>64758.886668996201</v>
      </c>
      <c r="D23591" s="56">
        <v>0.13811492096052866</v>
      </c>
      <c r="E23591" s="224" t="s">
        <v>2</v>
      </c>
      <c r="G23591" s="52"/>
      <c r="H23591" s="56"/>
      <c r="I23591" s="224"/>
    </row>
    <row r="23592" spans="1:9" x14ac:dyDescent="0.25">
      <c r="A23592" s="515">
        <v>28708</v>
      </c>
      <c r="B23592" s="515" t="s">
        <v>908</v>
      </c>
      <c r="C23592" s="52">
        <v>282349.96201403998</v>
      </c>
      <c r="D23592" s="56">
        <v>0.15896885833795593</v>
      </c>
      <c r="E23592" s="224" t="s">
        <v>2</v>
      </c>
      <c r="G23592" s="52"/>
      <c r="H23592" s="56"/>
      <c r="I23592" s="224"/>
    </row>
    <row r="23593" spans="1:9" x14ac:dyDescent="0.25">
      <c r="A23593" s="515">
        <v>38259</v>
      </c>
      <c r="B23593" s="515" t="s">
        <v>906</v>
      </c>
      <c r="C23593" s="52">
        <v>95528.912547022803</v>
      </c>
      <c r="D23593" s="56">
        <v>0</v>
      </c>
      <c r="E23593" s="224" t="s">
        <v>2</v>
      </c>
      <c r="G23593" s="52"/>
      <c r="H23593" s="56"/>
      <c r="I23593" s="224"/>
    </row>
    <row r="23594" spans="1:9" x14ac:dyDescent="0.25">
      <c r="A23594" s="515">
        <v>26294</v>
      </c>
      <c r="B23594" s="515" t="s">
        <v>586</v>
      </c>
      <c r="C23594" s="52">
        <v>80438.126328297105</v>
      </c>
      <c r="D23594" s="56">
        <v>0.16269380073173362</v>
      </c>
      <c r="E23594" s="224" t="s">
        <v>2</v>
      </c>
      <c r="G23594" s="52"/>
      <c r="H23594" s="56"/>
      <c r="I23594" s="224"/>
    </row>
    <row r="23595" spans="1:9" x14ac:dyDescent="0.25">
      <c r="A23595" s="515">
        <v>37878</v>
      </c>
      <c r="B23595" s="515" t="s">
        <v>907</v>
      </c>
      <c r="C23595" s="52">
        <v>194928.142633371</v>
      </c>
      <c r="D23595" s="56">
        <v>9.0548491574263146E-2</v>
      </c>
      <c r="E23595" s="224" t="s">
        <v>2</v>
      </c>
      <c r="G23595" s="52"/>
      <c r="H23595" s="56"/>
      <c r="I23595" s="224"/>
    </row>
    <row r="23596" spans="1:9" x14ac:dyDescent="0.25">
      <c r="A23596" s="515">
        <v>66510</v>
      </c>
      <c r="B23596" s="515" t="s">
        <v>549</v>
      </c>
      <c r="C23596" s="52">
        <v>161763.51336633801</v>
      </c>
      <c r="D23596" s="56">
        <v>4.8405531202441586E-2</v>
      </c>
      <c r="E23596" s="224" t="s">
        <v>2</v>
      </c>
      <c r="G23596" s="52"/>
      <c r="H23596" s="56"/>
      <c r="I23596" s="224"/>
    </row>
    <row r="23597" spans="1:9" x14ac:dyDescent="0.25">
      <c r="A23597" s="515">
        <v>47576</v>
      </c>
      <c r="C23597" s="52">
        <v>175199.42725773001</v>
      </c>
      <c r="D23597" s="56">
        <v>6.6258828094646782E-2</v>
      </c>
      <c r="E23597" s="224" t="s">
        <v>2</v>
      </c>
      <c r="G23597" s="52"/>
      <c r="H23597" s="56"/>
      <c r="I23597" s="224"/>
    </row>
    <row r="23598" spans="1:9" x14ac:dyDescent="0.25">
      <c r="A23598" s="515">
        <v>68456</v>
      </c>
      <c r="B23598" s="515" t="s">
        <v>486</v>
      </c>
      <c r="C23598" s="52">
        <v>197934.42828091799</v>
      </c>
      <c r="D23598" s="56">
        <v>8.1192198531902807E-2</v>
      </c>
      <c r="E23598" s="224" t="s">
        <v>2</v>
      </c>
      <c r="G23598" s="52"/>
      <c r="H23598" s="56"/>
      <c r="I23598" s="224"/>
    </row>
    <row r="23599" spans="1:9" x14ac:dyDescent="0.25">
      <c r="A23599" s="515">
        <v>62316</v>
      </c>
      <c r="B23599" s="515" t="s">
        <v>496</v>
      </c>
      <c r="C23599" s="52">
        <v>74524.179487179397</v>
      </c>
      <c r="D23599" s="56">
        <v>0</v>
      </c>
      <c r="E23599" s="224" t="s">
        <v>2</v>
      </c>
      <c r="G23599" s="52"/>
      <c r="H23599" s="56"/>
      <c r="I23599" s="224"/>
    </row>
    <row r="23600" spans="1:9" x14ac:dyDescent="0.25">
      <c r="A23600" s="515">
        <v>87419</v>
      </c>
      <c r="B23600" s="515" t="s">
        <v>893</v>
      </c>
      <c r="C23600" s="52">
        <v>142273.94752141199</v>
      </c>
      <c r="D23600" s="56">
        <v>3.3811601837260494E-2</v>
      </c>
      <c r="E23600" s="224" t="s">
        <v>2</v>
      </c>
      <c r="G23600" s="52"/>
      <c r="H23600" s="56"/>
      <c r="I23600" s="224"/>
    </row>
    <row r="23601" spans="1:9" x14ac:dyDescent="0.25">
      <c r="A23601" s="515">
        <v>14815</v>
      </c>
      <c r="C23601" s="52">
        <v>222115.95092064899</v>
      </c>
      <c r="D23601" s="56">
        <v>0.11408139297096366</v>
      </c>
      <c r="E23601" s="224" t="s">
        <v>2</v>
      </c>
      <c r="G23601" s="52"/>
      <c r="H23601" s="56"/>
      <c r="I23601" s="224"/>
    </row>
    <row r="23602" spans="1:9" x14ac:dyDescent="0.25">
      <c r="A23602" s="515">
        <v>31823</v>
      </c>
      <c r="B23602" s="515" t="s">
        <v>778</v>
      </c>
      <c r="C23602" s="52">
        <v>193680.02273202199</v>
      </c>
      <c r="D23602" s="56">
        <v>9.5271214904078264E-2</v>
      </c>
      <c r="E23602" s="224" t="s">
        <v>2</v>
      </c>
      <c r="G23602" s="52"/>
      <c r="H23602" s="56"/>
      <c r="I23602" s="224"/>
    </row>
    <row r="23603" spans="1:9" x14ac:dyDescent="0.25">
      <c r="A23603" s="515">
        <v>26884</v>
      </c>
      <c r="C23603" s="52">
        <v>161354.84225424199</v>
      </c>
      <c r="D23603" s="56">
        <v>7.9259891621420206E-2</v>
      </c>
      <c r="E23603" s="224" t="s">
        <v>2</v>
      </c>
      <c r="G23603" s="52"/>
      <c r="H23603" s="56"/>
      <c r="I23603" s="224"/>
    </row>
    <row r="23604" spans="1:9" x14ac:dyDescent="0.25">
      <c r="A23604" s="515">
        <v>68653</v>
      </c>
      <c r="B23604" s="515" t="s">
        <v>567</v>
      </c>
      <c r="C23604" s="52">
        <v>231860.98744259201</v>
      </c>
      <c r="D23604" s="56">
        <v>6.8362477201857424E-2</v>
      </c>
      <c r="E23604" s="224" t="s">
        <v>2</v>
      </c>
      <c r="G23604" s="52"/>
      <c r="H23604" s="56"/>
      <c r="I23604" s="224"/>
    </row>
    <row r="23605" spans="1:9" x14ac:dyDescent="0.25">
      <c r="A23605" s="515">
        <v>20625</v>
      </c>
      <c r="B23605" s="515" t="s">
        <v>321</v>
      </c>
      <c r="C23605" s="52">
        <v>324038.91445861198</v>
      </c>
      <c r="D23605" s="56">
        <v>3.3949725984641028E-2</v>
      </c>
      <c r="E23605" s="224" t="s">
        <v>2</v>
      </c>
      <c r="G23605" s="52"/>
      <c r="H23605" s="56"/>
      <c r="I23605" s="224"/>
    </row>
    <row r="23606" spans="1:9" x14ac:dyDescent="0.25">
      <c r="A23606" s="515">
        <v>99033</v>
      </c>
      <c r="B23606" s="515" t="s">
        <v>450</v>
      </c>
      <c r="C23606" s="52">
        <v>217166.88417908899</v>
      </c>
      <c r="D23606" s="56">
        <v>8.7432791897140164E-2</v>
      </c>
      <c r="E23606" s="224" t="s">
        <v>2</v>
      </c>
      <c r="G23606" s="52"/>
      <c r="H23606" s="56"/>
      <c r="I23606" s="224"/>
    </row>
    <row r="23607" spans="1:9" x14ac:dyDescent="0.25">
      <c r="A23607" s="515">
        <v>60553</v>
      </c>
      <c r="B23607" s="515" t="s">
        <v>836</v>
      </c>
      <c r="C23607" s="52">
        <v>201854.56016642999</v>
      </c>
      <c r="D23607" s="56">
        <v>0</v>
      </c>
      <c r="E23607" s="224" t="s">
        <v>2</v>
      </c>
      <c r="G23607" s="52"/>
      <c r="H23607" s="56"/>
      <c r="I23607" s="224"/>
    </row>
    <row r="23608" spans="1:9" x14ac:dyDescent="0.25">
      <c r="A23608" s="515">
        <v>60549</v>
      </c>
      <c r="B23608" s="515" t="s">
        <v>556</v>
      </c>
      <c r="C23608" s="52">
        <v>242017.372548702</v>
      </c>
      <c r="D23608" s="56">
        <v>3.3061248167839764E-2</v>
      </c>
      <c r="E23608" s="224" t="s">
        <v>2</v>
      </c>
      <c r="G23608" s="52"/>
      <c r="H23608" s="56"/>
      <c r="I23608" s="224"/>
    </row>
    <row r="23609" spans="1:9" x14ac:dyDescent="0.25">
      <c r="A23609" s="515">
        <v>27966</v>
      </c>
      <c r="B23609" s="515" t="s">
        <v>301</v>
      </c>
      <c r="C23609" s="52">
        <v>373650.45996842103</v>
      </c>
      <c r="D23609" s="56">
        <v>0.17095663730518937</v>
      </c>
      <c r="E23609" s="224" t="s">
        <v>2</v>
      </c>
      <c r="G23609" s="52"/>
      <c r="H23609" s="56"/>
      <c r="I23609" s="224"/>
    </row>
    <row r="23610" spans="1:9" x14ac:dyDescent="0.25">
      <c r="A23610" s="515">
        <v>66834</v>
      </c>
      <c r="B23610" s="515" t="s">
        <v>549</v>
      </c>
      <c r="C23610" s="52">
        <v>152518.07137809499</v>
      </c>
      <c r="D23610" s="56">
        <v>0.17891265007784157</v>
      </c>
      <c r="E23610" s="224" t="s">
        <v>2</v>
      </c>
      <c r="G23610" s="52"/>
      <c r="H23610" s="56"/>
      <c r="I23610" s="224"/>
    </row>
    <row r="23611" spans="1:9" x14ac:dyDescent="0.25">
      <c r="A23611" s="515">
        <v>52064</v>
      </c>
      <c r="C23611" s="52">
        <v>156771.932112593</v>
      </c>
      <c r="D23611" s="56">
        <v>4.9635386319391579E-2</v>
      </c>
      <c r="E23611" s="224" t="s">
        <v>2</v>
      </c>
      <c r="G23611" s="52"/>
      <c r="H23611" s="56"/>
      <c r="I23611" s="224"/>
    </row>
    <row r="23612" spans="1:9" x14ac:dyDescent="0.25">
      <c r="A23612" s="515">
        <v>58773</v>
      </c>
      <c r="C23612" s="52">
        <v>167222.51922412001</v>
      </c>
      <c r="D23612" s="56">
        <v>0</v>
      </c>
      <c r="E23612" s="224" t="s">
        <v>2</v>
      </c>
      <c r="G23612" s="52"/>
      <c r="H23612" s="56"/>
      <c r="I23612" s="224"/>
    </row>
    <row r="23613" spans="1:9" x14ac:dyDescent="0.25">
      <c r="A23613" s="515">
        <v>75492</v>
      </c>
      <c r="B23613" s="515" t="s">
        <v>298</v>
      </c>
      <c r="C23613" s="52">
        <v>214475.33634577901</v>
      </c>
      <c r="D23613" s="56">
        <v>0</v>
      </c>
      <c r="E23613" s="224" t="s">
        <v>2</v>
      </c>
      <c r="G23613" s="52"/>
      <c r="H23613" s="56"/>
      <c r="I23613" s="224"/>
    </row>
    <row r="23614" spans="1:9" x14ac:dyDescent="0.25">
      <c r="A23614" s="515">
        <v>52646</v>
      </c>
      <c r="C23614" s="52">
        <v>124010.071681494</v>
      </c>
      <c r="D23614" s="56">
        <v>-3.7305126961295967E-2</v>
      </c>
      <c r="E23614" s="224" t="s">
        <v>2</v>
      </c>
      <c r="G23614" s="52"/>
      <c r="H23614" s="56"/>
      <c r="I23614" s="224"/>
    </row>
    <row r="23615" spans="1:9" x14ac:dyDescent="0.25">
      <c r="A23615" s="515">
        <v>57720</v>
      </c>
      <c r="C23615" s="52">
        <v>145751.71497953101</v>
      </c>
      <c r="D23615" s="56">
        <v>0</v>
      </c>
      <c r="E23615" s="224" t="s">
        <v>2</v>
      </c>
      <c r="G23615" s="52"/>
      <c r="H23615" s="56"/>
      <c r="I23615" s="224"/>
    </row>
    <row r="23616" spans="1:9" x14ac:dyDescent="0.25">
      <c r="A23616" s="515">
        <v>81092</v>
      </c>
      <c r="C23616" s="52">
        <v>161494.10206970701</v>
      </c>
      <c r="D23616" s="56">
        <v>7.6687932050275812E-2</v>
      </c>
      <c r="E23616" s="224" t="s">
        <v>2</v>
      </c>
      <c r="G23616" s="52"/>
      <c r="H23616" s="56"/>
      <c r="I23616" s="224"/>
    </row>
    <row r="23617" spans="1:9" x14ac:dyDescent="0.25">
      <c r="A23617" s="515">
        <v>80744</v>
      </c>
      <c r="C23617" s="52">
        <v>118138.833544038</v>
      </c>
      <c r="D23617" s="56">
        <v>0.28805895043292989</v>
      </c>
      <c r="E23617" s="224" t="s">
        <v>2</v>
      </c>
      <c r="G23617" s="52"/>
      <c r="H23617" s="56"/>
      <c r="I23617" s="224"/>
    </row>
    <row r="23618" spans="1:9" x14ac:dyDescent="0.25">
      <c r="A23618" s="515">
        <v>43811</v>
      </c>
      <c r="B23618" s="515" t="s">
        <v>905</v>
      </c>
      <c r="C23618" s="52">
        <v>113739.401143271</v>
      </c>
      <c r="D23618" s="56">
        <v>7.9052173157001318E-2</v>
      </c>
      <c r="E23618" s="224" t="s">
        <v>2</v>
      </c>
      <c r="G23618" s="52"/>
      <c r="H23618" s="56"/>
      <c r="I23618" s="224"/>
    </row>
    <row r="23619" spans="1:9" x14ac:dyDescent="0.25">
      <c r="A23619" s="515">
        <v>64161</v>
      </c>
      <c r="B23619" s="515" t="s">
        <v>455</v>
      </c>
      <c r="C23619" s="52">
        <v>167799.457521631</v>
      </c>
      <c r="D23619" s="56">
        <v>7.3978838925793336E-2</v>
      </c>
      <c r="E23619" s="224" t="s">
        <v>2</v>
      </c>
      <c r="G23619" s="52"/>
      <c r="H23619" s="56"/>
      <c r="I23619" s="224"/>
    </row>
    <row r="23620" spans="1:9" x14ac:dyDescent="0.25">
      <c r="A23620" s="515">
        <v>40115</v>
      </c>
      <c r="C23620" s="52">
        <v>145546.85423060399</v>
      </c>
      <c r="D23620" s="56">
        <v>0.15044234785219976</v>
      </c>
      <c r="E23620" s="224" t="s">
        <v>2</v>
      </c>
      <c r="G23620" s="52"/>
      <c r="H23620" s="56"/>
      <c r="I23620" s="224"/>
    </row>
    <row r="23621" spans="1:9" x14ac:dyDescent="0.25">
      <c r="A23621" s="515">
        <v>5874</v>
      </c>
      <c r="C23621" s="52">
        <v>244232.084341234</v>
      </c>
      <c r="D23621" s="56">
        <v>8.8265121742362923E-2</v>
      </c>
      <c r="E23621" s="224" t="s">
        <v>2</v>
      </c>
      <c r="G23621" s="52"/>
      <c r="H23621" s="56"/>
      <c r="I23621" s="224"/>
    </row>
    <row r="23622" spans="1:9" x14ac:dyDescent="0.25">
      <c r="A23622" s="515">
        <v>67490</v>
      </c>
      <c r="C23622" s="52">
        <v>97607.327613322195</v>
      </c>
      <c r="D23622" s="56">
        <v>0.12240177166805714</v>
      </c>
      <c r="E23622" s="224" t="s">
        <v>2</v>
      </c>
      <c r="G23622" s="52"/>
      <c r="H23622" s="56"/>
      <c r="I23622" s="224"/>
    </row>
    <row r="23623" spans="1:9" x14ac:dyDescent="0.25">
      <c r="A23623" s="515">
        <v>61261</v>
      </c>
      <c r="B23623" s="515" t="s">
        <v>756</v>
      </c>
      <c r="C23623" s="52">
        <v>105663.641509433</v>
      </c>
      <c r="D23623" s="56">
        <v>0</v>
      </c>
      <c r="E23623" s="224" t="s">
        <v>2</v>
      </c>
      <c r="G23623" s="52"/>
      <c r="H23623" s="56"/>
      <c r="I23623" s="224"/>
    </row>
    <row r="23624" spans="1:9" x14ac:dyDescent="0.25">
      <c r="A23624" s="515">
        <v>73568</v>
      </c>
      <c r="B23624" s="515" t="s">
        <v>364</v>
      </c>
      <c r="C23624" s="52">
        <v>53260.4502772618</v>
      </c>
      <c r="D23624" s="56">
        <v>0.13203036363423939</v>
      </c>
      <c r="E23624" s="224" t="s">
        <v>2</v>
      </c>
      <c r="G23624" s="52"/>
      <c r="H23624" s="56"/>
      <c r="I23624" s="224"/>
    </row>
    <row r="23625" spans="1:9" x14ac:dyDescent="0.25">
      <c r="A23625" s="515">
        <v>52569</v>
      </c>
      <c r="C23625" s="52">
        <v>116628.604059288</v>
      </c>
      <c r="D23625" s="56">
        <v>0.14267145199738704</v>
      </c>
      <c r="E23625" s="224" t="s">
        <v>2</v>
      </c>
      <c r="G23625" s="52"/>
      <c r="H23625" s="56"/>
      <c r="I23625" s="224"/>
    </row>
    <row r="23626" spans="1:9" x14ac:dyDescent="0.25">
      <c r="A23626" s="515">
        <v>25651</v>
      </c>
      <c r="C23626" s="52">
        <v>61349.088393294602</v>
      </c>
      <c r="D23626" s="56">
        <v>0.10333544241265986</v>
      </c>
      <c r="E23626" s="224" t="s">
        <v>2</v>
      </c>
      <c r="G23626" s="52"/>
      <c r="H23626" s="56"/>
      <c r="I23626" s="224"/>
    </row>
    <row r="23627" spans="1:9" x14ac:dyDescent="0.25">
      <c r="A23627" s="515">
        <v>31638</v>
      </c>
      <c r="B23627" s="515" t="s">
        <v>505</v>
      </c>
      <c r="C23627" s="52">
        <v>117561.87076999999</v>
      </c>
      <c r="D23627" s="56">
        <v>0</v>
      </c>
      <c r="E23627" s="224" t="s">
        <v>2</v>
      </c>
      <c r="G23627" s="52"/>
      <c r="H23627" s="56"/>
      <c r="I23627" s="224"/>
    </row>
    <row r="23628" spans="1:9" x14ac:dyDescent="0.25">
      <c r="A23628" s="515">
        <v>4643</v>
      </c>
      <c r="C23628" s="52">
        <v>205783.703860187</v>
      </c>
      <c r="D23628" s="56">
        <v>8.8982726648485763E-2</v>
      </c>
      <c r="E23628" s="224" t="s">
        <v>2</v>
      </c>
      <c r="G23628" s="52"/>
      <c r="H23628" s="56"/>
      <c r="I23628" s="224"/>
    </row>
    <row r="23629" spans="1:9" x14ac:dyDescent="0.25">
      <c r="A23629" s="515">
        <v>48470</v>
      </c>
      <c r="C23629" s="52">
        <v>150596.07701358999</v>
      </c>
      <c r="D23629" s="56">
        <v>0</v>
      </c>
      <c r="E23629" s="224" t="s">
        <v>2</v>
      </c>
      <c r="G23629" s="52"/>
      <c r="H23629" s="56"/>
      <c r="I23629" s="224"/>
    </row>
    <row r="23630" spans="1:9" x14ac:dyDescent="0.25">
      <c r="A23630" s="515">
        <v>48724</v>
      </c>
      <c r="B23630" s="515" t="s">
        <v>904</v>
      </c>
      <c r="C23630" s="52">
        <v>65486.083312492403</v>
      </c>
      <c r="D23630" s="56">
        <v>0.37985934357182516</v>
      </c>
      <c r="E23630" s="224" t="s">
        <v>2</v>
      </c>
      <c r="G23630" s="52"/>
      <c r="H23630" s="56"/>
      <c r="I23630" s="224"/>
    </row>
    <row r="23631" spans="1:9" x14ac:dyDescent="0.25">
      <c r="A23631" s="515">
        <v>55749</v>
      </c>
      <c r="B23631" s="515" t="s">
        <v>350</v>
      </c>
      <c r="C23631" s="52">
        <v>219673.49859303801</v>
      </c>
      <c r="D23631" s="56">
        <v>3.2610379861408807E-2</v>
      </c>
      <c r="E23631" s="224" t="s">
        <v>2</v>
      </c>
      <c r="G23631" s="52"/>
      <c r="H23631" s="56"/>
      <c r="I23631" s="224"/>
    </row>
    <row r="23632" spans="1:9" x14ac:dyDescent="0.25">
      <c r="A23632" s="515">
        <v>40903</v>
      </c>
      <c r="B23632" s="515" t="s">
        <v>633</v>
      </c>
      <c r="C23632" s="52">
        <v>117202.50127334399</v>
      </c>
      <c r="D23632" s="56">
        <v>0.21393142694048237</v>
      </c>
      <c r="E23632" s="224" t="s">
        <v>2</v>
      </c>
      <c r="G23632" s="52"/>
      <c r="H23632" s="56"/>
      <c r="I23632" s="224"/>
    </row>
    <row r="23633" spans="1:9" x14ac:dyDescent="0.25">
      <c r="A23633" s="515">
        <v>22436</v>
      </c>
      <c r="C23633" s="52">
        <v>217710.50850549099</v>
      </c>
      <c r="D23633" s="56">
        <v>0.22196944846532476</v>
      </c>
      <c r="E23633" s="224" t="s">
        <v>2</v>
      </c>
      <c r="G23633" s="52"/>
      <c r="H23633" s="56"/>
      <c r="I23633" s="224"/>
    </row>
    <row r="23634" spans="1:9" x14ac:dyDescent="0.25">
      <c r="A23634" s="515">
        <v>87830</v>
      </c>
      <c r="C23634" s="52">
        <v>169080.09433962201</v>
      </c>
      <c r="D23634" s="56">
        <v>0</v>
      </c>
      <c r="E23634" s="224" t="s">
        <v>2</v>
      </c>
      <c r="G23634" s="52"/>
      <c r="H23634" s="56"/>
      <c r="I23634" s="224"/>
    </row>
    <row r="23635" spans="1:9" x14ac:dyDescent="0.25">
      <c r="A23635" s="515">
        <v>57433</v>
      </c>
      <c r="B23635" s="515" t="s">
        <v>662</v>
      </c>
      <c r="C23635" s="52">
        <v>150989.881306019</v>
      </c>
      <c r="D23635" s="56">
        <v>7.569190240919049E-4</v>
      </c>
      <c r="E23635" s="224" t="s">
        <v>2</v>
      </c>
      <c r="G23635" s="52"/>
      <c r="H23635" s="56"/>
      <c r="I23635" s="224"/>
    </row>
    <row r="23636" spans="1:9" x14ac:dyDescent="0.25">
      <c r="A23636" s="515">
        <v>26714</v>
      </c>
      <c r="B23636" s="515" t="s">
        <v>629</v>
      </c>
      <c r="C23636" s="52">
        <v>174176.166416122</v>
      </c>
      <c r="D23636" s="56">
        <v>0.12690548217806305</v>
      </c>
      <c r="E23636" s="224" t="s">
        <v>2</v>
      </c>
      <c r="G23636" s="52"/>
      <c r="H23636" s="56"/>
      <c r="I23636" s="224"/>
    </row>
    <row r="23637" spans="1:9" x14ac:dyDescent="0.25">
      <c r="A23637" s="515">
        <v>47942</v>
      </c>
      <c r="B23637" s="515" t="s">
        <v>433</v>
      </c>
      <c r="C23637" s="52">
        <v>135221.10783853201</v>
      </c>
      <c r="D23637" s="56">
        <v>2.6143727215089736E-2</v>
      </c>
      <c r="E23637" s="224" t="s">
        <v>2</v>
      </c>
      <c r="G23637" s="52"/>
      <c r="H23637" s="56"/>
      <c r="I23637" s="224"/>
    </row>
    <row r="23638" spans="1:9" x14ac:dyDescent="0.25">
      <c r="A23638" s="515">
        <v>4544</v>
      </c>
      <c r="C23638" s="52">
        <v>599406.80080699001</v>
      </c>
      <c r="D23638" s="56">
        <v>8.9254883876768776E-2</v>
      </c>
      <c r="E23638" s="224" t="s">
        <v>2</v>
      </c>
      <c r="G23638" s="52"/>
      <c r="H23638" s="56"/>
      <c r="I23638" s="224"/>
    </row>
    <row r="23639" spans="1:9" x14ac:dyDescent="0.25">
      <c r="A23639" s="515">
        <v>16161</v>
      </c>
      <c r="B23639" s="515" t="s">
        <v>397</v>
      </c>
      <c r="C23639" s="52">
        <v>58420.561224489698</v>
      </c>
      <c r="D23639" s="56">
        <v>0</v>
      </c>
      <c r="E23639" s="224" t="s">
        <v>2</v>
      </c>
      <c r="G23639" s="52"/>
      <c r="H23639" s="56"/>
      <c r="I23639" s="224"/>
    </row>
    <row r="23640" spans="1:9" x14ac:dyDescent="0.25">
      <c r="A23640" s="515">
        <v>5652</v>
      </c>
      <c r="C23640" s="52">
        <v>268612.42105263099</v>
      </c>
      <c r="D23640" s="56">
        <v>0</v>
      </c>
      <c r="E23640" s="224" t="s">
        <v>2</v>
      </c>
      <c r="G23640" s="52"/>
      <c r="H23640" s="56"/>
      <c r="I23640" s="224"/>
    </row>
    <row r="23641" spans="1:9" x14ac:dyDescent="0.25">
      <c r="A23641" s="515">
        <v>5146</v>
      </c>
      <c r="C23641" s="52">
        <v>387300.71228440898</v>
      </c>
      <c r="D23641" s="56">
        <v>3.4415402229244267E-2</v>
      </c>
      <c r="E23641" s="224" t="s">
        <v>2</v>
      </c>
      <c r="G23641" s="52"/>
      <c r="H23641" s="56"/>
      <c r="I23641" s="224"/>
    </row>
    <row r="23642" spans="1:9" x14ac:dyDescent="0.25">
      <c r="A23642" s="515">
        <v>50277</v>
      </c>
      <c r="B23642" s="515" t="s">
        <v>295</v>
      </c>
      <c r="C23642" s="52">
        <v>160315.56774818301</v>
      </c>
      <c r="D23642" s="56">
        <v>0</v>
      </c>
      <c r="E23642" s="224" t="s">
        <v>2</v>
      </c>
      <c r="G23642" s="52"/>
      <c r="H23642" s="56"/>
      <c r="I23642" s="224"/>
    </row>
    <row r="23643" spans="1:9" x14ac:dyDescent="0.25">
      <c r="A23643" s="515">
        <v>47991</v>
      </c>
      <c r="B23643" s="515" t="s">
        <v>433</v>
      </c>
      <c r="C23643" s="52">
        <v>118893.32869830199</v>
      </c>
      <c r="D23643" s="56">
        <v>7.82706262457602E-2</v>
      </c>
      <c r="E23643" s="224" t="s">
        <v>2</v>
      </c>
      <c r="G23643" s="52"/>
      <c r="H23643" s="56"/>
      <c r="I23643" s="224"/>
    </row>
    <row r="23644" spans="1:9" x14ac:dyDescent="0.25">
      <c r="A23644" s="515">
        <v>22931</v>
      </c>
      <c r="B23644" s="515" t="s">
        <v>630</v>
      </c>
      <c r="C23644" s="52">
        <v>303907.00126524898</v>
      </c>
      <c r="D23644" s="56">
        <v>0.13422784832031792</v>
      </c>
      <c r="E23644" s="224" t="s">
        <v>2</v>
      </c>
      <c r="G23644" s="52"/>
      <c r="H23644" s="56"/>
      <c r="I23644" s="224"/>
    </row>
    <row r="23645" spans="1:9" x14ac:dyDescent="0.25">
      <c r="A23645" s="515">
        <v>4265</v>
      </c>
      <c r="B23645" s="515" t="s">
        <v>848</v>
      </c>
      <c r="C23645" s="52">
        <v>268836.20233642502</v>
      </c>
      <c r="D23645" s="56">
        <v>5.595728297721414E-2</v>
      </c>
      <c r="E23645" s="224" t="s">
        <v>2</v>
      </c>
      <c r="G23645" s="52"/>
      <c r="H23645" s="56"/>
      <c r="I23645" s="224"/>
    </row>
    <row r="23646" spans="1:9" x14ac:dyDescent="0.25">
      <c r="A23646" s="515">
        <v>92327</v>
      </c>
      <c r="B23646" s="515" t="s">
        <v>599</v>
      </c>
      <c r="C23646" s="52">
        <v>134518.07270008401</v>
      </c>
      <c r="D23646" s="56">
        <v>0.23142010063132423</v>
      </c>
      <c r="E23646" s="224" t="s">
        <v>2</v>
      </c>
      <c r="G23646" s="52"/>
      <c r="H23646" s="56"/>
      <c r="I23646" s="224"/>
    </row>
    <row r="23647" spans="1:9" x14ac:dyDescent="0.25">
      <c r="A23647" s="515">
        <v>97750</v>
      </c>
      <c r="C23647" s="52">
        <v>384171.38896300801</v>
      </c>
      <c r="D23647" s="56">
        <v>7.1944105858778584E-2</v>
      </c>
      <c r="E23647" s="224" t="s">
        <v>2</v>
      </c>
      <c r="G23647" s="52"/>
      <c r="H23647" s="56"/>
      <c r="I23647" s="224"/>
    </row>
    <row r="23648" spans="1:9" x14ac:dyDescent="0.25">
      <c r="A23648" s="515">
        <v>64650</v>
      </c>
      <c r="B23648" s="515" t="s">
        <v>455</v>
      </c>
      <c r="C23648" s="52">
        <v>201057.25748335899</v>
      </c>
      <c r="D23648" s="56">
        <v>3.0574598135084226E-2</v>
      </c>
      <c r="E23648" s="224" t="s">
        <v>2</v>
      </c>
      <c r="G23648" s="52"/>
      <c r="H23648" s="56"/>
      <c r="I23648" s="224"/>
    </row>
    <row r="23649" spans="1:9" x14ac:dyDescent="0.25">
      <c r="A23649" s="515">
        <v>47270</v>
      </c>
      <c r="B23649" s="515" t="s">
        <v>526</v>
      </c>
      <c r="C23649" s="52">
        <v>185122.28815999199</v>
      </c>
      <c r="D23649" s="56">
        <v>7.1280418024290707E-2</v>
      </c>
      <c r="E23649" s="224" t="s">
        <v>2</v>
      </c>
      <c r="G23649" s="52"/>
      <c r="H23649" s="56"/>
      <c r="I23649" s="224"/>
    </row>
    <row r="23650" spans="1:9" x14ac:dyDescent="0.25">
      <c r="A23650" s="515">
        <v>81149</v>
      </c>
      <c r="C23650" s="52">
        <v>209589.94742524999</v>
      </c>
      <c r="D23650" s="56">
        <v>2.4645768577405604E-2</v>
      </c>
      <c r="E23650" s="224" t="s">
        <v>2</v>
      </c>
      <c r="G23650" s="52"/>
      <c r="H23650" s="56"/>
      <c r="I23650" s="224"/>
    </row>
    <row r="23651" spans="1:9" x14ac:dyDescent="0.25">
      <c r="A23651" s="515">
        <v>68368</v>
      </c>
      <c r="B23651" s="515" t="s">
        <v>486</v>
      </c>
      <c r="C23651" s="52">
        <v>372192.856925131</v>
      </c>
      <c r="D23651" s="56">
        <v>0.11424100065326311</v>
      </c>
      <c r="E23651" s="224" t="s">
        <v>2</v>
      </c>
      <c r="G23651" s="52"/>
      <c r="H23651" s="56"/>
      <c r="I23651" s="224"/>
    </row>
    <row r="23652" spans="1:9" x14ac:dyDescent="0.25">
      <c r="A23652" s="515">
        <v>5875</v>
      </c>
      <c r="C23652" s="52">
        <v>296720.65333333297</v>
      </c>
      <c r="D23652" s="56">
        <v>0</v>
      </c>
      <c r="E23652" s="224" t="s">
        <v>2</v>
      </c>
      <c r="G23652" s="52"/>
      <c r="H23652" s="56"/>
      <c r="I23652" s="224"/>
    </row>
    <row r="23653" spans="1:9" x14ac:dyDescent="0.25">
      <c r="A23653" s="515">
        <v>50471</v>
      </c>
      <c r="C23653" s="52">
        <v>145352.06677014599</v>
      </c>
      <c r="D23653" s="56">
        <v>0.11432569588169532</v>
      </c>
      <c r="E23653" s="224" t="s">
        <v>2</v>
      </c>
      <c r="G23653" s="52"/>
      <c r="H23653" s="56"/>
      <c r="I23653" s="224"/>
    </row>
    <row r="23654" spans="1:9" x14ac:dyDescent="0.25">
      <c r="A23654" s="515">
        <v>49718</v>
      </c>
      <c r="C23654" s="52">
        <v>162923.869445199</v>
      </c>
      <c r="D23654" s="56">
        <v>1.8996975140656818E-3</v>
      </c>
      <c r="E23654" s="224" t="s">
        <v>2</v>
      </c>
      <c r="G23654" s="52"/>
      <c r="H23654" s="56"/>
      <c r="I23654" s="224"/>
    </row>
    <row r="23655" spans="1:9" x14ac:dyDescent="0.25">
      <c r="A23655" s="515">
        <v>41555</v>
      </c>
      <c r="C23655" s="52">
        <v>64232.441760134199</v>
      </c>
      <c r="D23655" s="56">
        <v>0.22170227191766298</v>
      </c>
      <c r="E23655" s="224" t="s">
        <v>2</v>
      </c>
      <c r="G23655" s="52"/>
      <c r="H23655" s="56"/>
      <c r="I23655" s="224"/>
    </row>
    <row r="23656" spans="1:9" x14ac:dyDescent="0.25">
      <c r="A23656" s="515">
        <v>62535</v>
      </c>
      <c r="B23656" s="515" t="s">
        <v>540</v>
      </c>
      <c r="C23656" s="52">
        <v>260016.21965209299</v>
      </c>
      <c r="D23656" s="56">
        <v>7.2495402557443009E-2</v>
      </c>
      <c r="E23656" s="224" t="s">
        <v>2</v>
      </c>
      <c r="G23656" s="52"/>
      <c r="H23656" s="56"/>
      <c r="I23656" s="224"/>
    </row>
    <row r="23657" spans="1:9" x14ac:dyDescent="0.25">
      <c r="A23657" s="515">
        <v>8553</v>
      </c>
      <c r="B23657" s="515" t="s">
        <v>324</v>
      </c>
      <c r="C23657" s="52">
        <v>584461.11326237896</v>
      </c>
      <c r="D23657" s="56">
        <v>5.8007410125416853E-2</v>
      </c>
      <c r="E23657" s="224" t="s">
        <v>2</v>
      </c>
      <c r="G23657" s="52"/>
      <c r="H23657" s="56"/>
      <c r="I23657" s="224"/>
    </row>
    <row r="23658" spans="1:9" x14ac:dyDescent="0.25">
      <c r="A23658" s="515">
        <v>72668</v>
      </c>
      <c r="C23658" s="52">
        <v>189878.528668566</v>
      </c>
      <c r="D23658" s="56">
        <v>8.0079134349204134E-2</v>
      </c>
      <c r="E23658" s="224" t="s">
        <v>2</v>
      </c>
      <c r="G23658" s="52"/>
      <c r="H23658" s="56"/>
      <c r="I23658" s="224"/>
    </row>
    <row r="23659" spans="1:9" x14ac:dyDescent="0.25">
      <c r="A23659" s="515">
        <v>65076</v>
      </c>
      <c r="B23659" s="515" t="s">
        <v>711</v>
      </c>
      <c r="C23659" s="52">
        <v>267878.47372204001</v>
      </c>
      <c r="D23659" s="56">
        <v>0.19538494567518008</v>
      </c>
      <c r="E23659" s="224" t="s">
        <v>2</v>
      </c>
      <c r="G23659" s="52"/>
      <c r="H23659" s="56"/>
      <c r="I23659" s="224"/>
    </row>
    <row r="23660" spans="1:9" x14ac:dyDescent="0.25">
      <c r="A23660" s="515">
        <v>12760</v>
      </c>
      <c r="C23660" s="52">
        <v>246812.617706435</v>
      </c>
      <c r="D23660" s="56">
        <v>0.14597127991019479</v>
      </c>
      <c r="E23660" s="224" t="s">
        <v>2</v>
      </c>
      <c r="G23660" s="52"/>
      <c r="H23660" s="56"/>
      <c r="I23660" s="224"/>
    </row>
    <row r="23661" spans="1:9" x14ac:dyDescent="0.25">
      <c r="A23661" s="515">
        <v>68041</v>
      </c>
      <c r="B23661" s="515" t="s">
        <v>367</v>
      </c>
      <c r="C23661" s="52">
        <v>229239.55740609899</v>
      </c>
      <c r="D23661" s="56">
        <v>8.136744328165782E-2</v>
      </c>
      <c r="E23661" s="224" t="s">
        <v>2</v>
      </c>
      <c r="G23661" s="52"/>
      <c r="H23661" s="56"/>
      <c r="I23661" s="224"/>
    </row>
    <row r="23662" spans="1:9" x14ac:dyDescent="0.25">
      <c r="A23662" s="515">
        <v>48028</v>
      </c>
      <c r="B23662" s="515" t="s">
        <v>685</v>
      </c>
      <c r="C23662" s="52">
        <v>289762.63526896102</v>
      </c>
      <c r="D23662" s="56">
        <v>3.9249679049075344E-2</v>
      </c>
      <c r="E23662" s="224" t="s">
        <v>2</v>
      </c>
      <c r="G23662" s="52"/>
      <c r="H23662" s="56"/>
      <c r="I23662" s="224"/>
    </row>
    <row r="23663" spans="1:9" x14ac:dyDescent="0.25">
      <c r="A23663" s="515">
        <v>25209</v>
      </c>
      <c r="B23663" s="515" t="s">
        <v>566</v>
      </c>
      <c r="C23663" s="52">
        <v>53355.994036494601</v>
      </c>
      <c r="D23663" s="56">
        <v>0.13491238661357827</v>
      </c>
      <c r="E23663" s="224" t="s">
        <v>2</v>
      </c>
      <c r="G23663" s="52"/>
      <c r="H23663" s="56"/>
      <c r="I23663" s="224"/>
    </row>
    <row r="23664" spans="1:9" x14ac:dyDescent="0.25">
      <c r="A23664" s="515">
        <v>20658</v>
      </c>
      <c r="B23664" s="515" t="s">
        <v>321</v>
      </c>
      <c r="C23664" s="52">
        <v>305686.50777382299</v>
      </c>
      <c r="D23664" s="56">
        <v>2.262154469405437E-4</v>
      </c>
      <c r="E23664" s="224" t="s">
        <v>2</v>
      </c>
      <c r="G23664" s="52"/>
      <c r="H23664" s="56"/>
      <c r="I23664" s="224"/>
    </row>
    <row r="23665" spans="1:9" x14ac:dyDescent="0.25">
      <c r="A23665" s="515">
        <v>75438</v>
      </c>
      <c r="B23665" s="515" t="s">
        <v>298</v>
      </c>
      <c r="C23665" s="52">
        <v>281296.15945246298</v>
      </c>
      <c r="D23665" s="56">
        <v>9.8451147672860409E-2</v>
      </c>
      <c r="E23665" s="224" t="s">
        <v>2</v>
      </c>
      <c r="G23665" s="52"/>
      <c r="H23665" s="56"/>
      <c r="I23665" s="224"/>
    </row>
    <row r="23666" spans="1:9" x14ac:dyDescent="0.25">
      <c r="A23666" s="515">
        <v>24270</v>
      </c>
      <c r="B23666" s="515" t="s">
        <v>902</v>
      </c>
      <c r="C23666" s="52">
        <v>164313.10611625799</v>
      </c>
      <c r="D23666" s="56">
        <v>0.15148030082716507</v>
      </c>
      <c r="E23666" s="224" t="s">
        <v>2</v>
      </c>
      <c r="G23666" s="52"/>
      <c r="H23666" s="56"/>
      <c r="I23666" s="224"/>
    </row>
    <row r="23667" spans="1:9" x14ac:dyDescent="0.25">
      <c r="A23667" s="515">
        <v>59919</v>
      </c>
      <c r="B23667" s="515" t="s">
        <v>459</v>
      </c>
      <c r="C23667" s="52">
        <v>347210.17420272599</v>
      </c>
      <c r="D23667" s="56">
        <v>6.6768752220920144E-2</v>
      </c>
      <c r="E23667" s="224" t="s">
        <v>2</v>
      </c>
      <c r="G23667" s="52"/>
      <c r="H23667" s="56"/>
      <c r="I23667" s="224"/>
    </row>
    <row r="23668" spans="1:9" x14ac:dyDescent="0.25">
      <c r="A23668" s="515">
        <v>6409</v>
      </c>
      <c r="B23668" s="515" t="s">
        <v>894</v>
      </c>
      <c r="C23668" s="52">
        <v>389319.10255958</v>
      </c>
      <c r="D23668" s="56">
        <v>6.5146267029130664E-2</v>
      </c>
      <c r="E23668" s="224" t="s">
        <v>2</v>
      </c>
      <c r="G23668" s="52"/>
      <c r="H23668" s="56"/>
      <c r="I23668" s="224"/>
    </row>
    <row r="23669" spans="1:9" x14ac:dyDescent="0.25">
      <c r="A23669" s="515">
        <v>24161</v>
      </c>
      <c r="B23669" s="515" t="s">
        <v>901</v>
      </c>
      <c r="C23669" s="52">
        <v>139064.55499537301</v>
      </c>
      <c r="D23669" s="56">
        <v>0.11797770624566684</v>
      </c>
      <c r="E23669" s="224" t="s">
        <v>2</v>
      </c>
      <c r="G23669" s="52"/>
      <c r="H23669" s="56"/>
      <c r="I23669" s="224"/>
    </row>
    <row r="23670" spans="1:9" x14ac:dyDescent="0.25">
      <c r="A23670" s="515">
        <v>73537</v>
      </c>
      <c r="B23670" s="515" t="s">
        <v>805</v>
      </c>
      <c r="C23670" s="52">
        <v>52659.780361856298</v>
      </c>
      <c r="D23670" s="56">
        <v>2.4584645235855119E-2</v>
      </c>
      <c r="E23670" s="224" t="s">
        <v>2</v>
      </c>
      <c r="G23670" s="52"/>
      <c r="H23670" s="56"/>
      <c r="I23670" s="224"/>
    </row>
    <row r="23671" spans="1:9" x14ac:dyDescent="0.25">
      <c r="A23671" s="515">
        <v>65025</v>
      </c>
      <c r="B23671" s="515" t="s">
        <v>711</v>
      </c>
      <c r="C23671" s="52">
        <v>143080.55721305599</v>
      </c>
      <c r="D23671" s="56">
        <v>0.15577301157228038</v>
      </c>
      <c r="E23671" s="224" t="s">
        <v>2</v>
      </c>
      <c r="G23671" s="52"/>
      <c r="H23671" s="56"/>
      <c r="I23671" s="224"/>
    </row>
    <row r="23672" spans="1:9" x14ac:dyDescent="0.25">
      <c r="A23672" s="515">
        <v>54175</v>
      </c>
      <c r="B23672" s="515" t="s">
        <v>897</v>
      </c>
      <c r="C23672" s="52">
        <v>236240.95328270301</v>
      </c>
      <c r="D23672" s="56">
        <v>9.0650736490701059E-2</v>
      </c>
      <c r="E23672" s="224" t="s">
        <v>2</v>
      </c>
      <c r="G23672" s="52"/>
      <c r="H23672" s="56"/>
      <c r="I23672" s="224"/>
    </row>
    <row r="23673" spans="1:9" x14ac:dyDescent="0.25">
      <c r="A23673" s="515">
        <v>67646</v>
      </c>
      <c r="C23673" s="52">
        <v>99129.5257889559</v>
      </c>
      <c r="D23673" s="56">
        <v>0.11238247232238145</v>
      </c>
      <c r="E23673" s="224" t="s">
        <v>2</v>
      </c>
      <c r="G23673" s="52"/>
      <c r="H23673" s="56"/>
      <c r="I23673" s="224"/>
    </row>
    <row r="23674" spans="1:9" x14ac:dyDescent="0.25">
      <c r="A23674" s="515">
        <v>8555</v>
      </c>
      <c r="B23674" s="515" t="s">
        <v>324</v>
      </c>
      <c r="C23674" s="52">
        <v>393267.30282677</v>
      </c>
      <c r="D23674" s="56">
        <v>0.10833865821078463</v>
      </c>
      <c r="E23674" s="224" t="s">
        <v>2</v>
      </c>
      <c r="G23674" s="52"/>
      <c r="H23674" s="56"/>
      <c r="I23674" s="224"/>
    </row>
    <row r="23675" spans="1:9" x14ac:dyDescent="0.25">
      <c r="A23675" s="515">
        <v>74045</v>
      </c>
      <c r="B23675" s="515" t="s">
        <v>348</v>
      </c>
      <c r="C23675" s="52">
        <v>181300.723296193</v>
      </c>
      <c r="D23675" s="56">
        <v>0.14397874997739446</v>
      </c>
      <c r="E23675" s="224" t="s">
        <v>2</v>
      </c>
      <c r="G23675" s="52"/>
      <c r="H23675" s="56"/>
      <c r="I23675" s="224"/>
    </row>
    <row r="23676" spans="1:9" x14ac:dyDescent="0.25">
      <c r="A23676" s="515">
        <v>15076</v>
      </c>
      <c r="B23676" s="515" t="s">
        <v>297</v>
      </c>
      <c r="C23676" s="52">
        <v>132043.49661650899</v>
      </c>
      <c r="D23676" s="56">
        <v>7.9998461083063035E-2</v>
      </c>
      <c r="E23676" s="224" t="s">
        <v>2</v>
      </c>
      <c r="G23676" s="52"/>
      <c r="H23676" s="56"/>
      <c r="I23676" s="224"/>
    </row>
    <row r="23677" spans="1:9" x14ac:dyDescent="0.25">
      <c r="A23677" s="515">
        <v>75784</v>
      </c>
      <c r="B23677" s="515" t="s">
        <v>319</v>
      </c>
      <c r="C23677" s="52">
        <v>205809.304876943</v>
      </c>
      <c r="D23677" s="56">
        <v>9.6296361689611212E-2</v>
      </c>
      <c r="E23677" s="224" t="s">
        <v>2</v>
      </c>
      <c r="G23677" s="52"/>
      <c r="H23677" s="56"/>
      <c r="I23677" s="224"/>
    </row>
    <row r="23678" spans="1:9" x14ac:dyDescent="0.25">
      <c r="A23678" s="515">
        <v>49752</v>
      </c>
      <c r="B23678" s="515" t="s">
        <v>740</v>
      </c>
      <c r="C23678" s="52">
        <v>135565.559940103</v>
      </c>
      <c r="D23678" s="56">
        <v>0.12100707493271179</v>
      </c>
      <c r="E23678" s="224" t="s">
        <v>2</v>
      </c>
      <c r="G23678" s="52"/>
      <c r="H23678" s="56"/>
      <c r="I23678" s="224"/>
    </row>
    <row r="23679" spans="1:9" x14ac:dyDescent="0.25">
      <c r="A23679" s="515">
        <v>59464</v>
      </c>
      <c r="C23679" s="52">
        <v>297692.41092869203</v>
      </c>
      <c r="D23679" s="56">
        <v>0.16136953219751776</v>
      </c>
      <c r="E23679" s="224" t="s">
        <v>2</v>
      </c>
      <c r="G23679" s="52"/>
      <c r="H23679" s="56"/>
      <c r="I23679" s="224"/>
    </row>
    <row r="23680" spans="1:9" x14ac:dyDescent="0.25">
      <c r="A23680" s="515">
        <v>17093</v>
      </c>
      <c r="B23680" s="515" t="s">
        <v>428</v>
      </c>
      <c r="C23680" s="52">
        <v>202064.35102408699</v>
      </c>
      <c r="D23680" s="56">
        <v>0.12040058029766744</v>
      </c>
      <c r="E23680" s="224" t="s">
        <v>2</v>
      </c>
      <c r="G23680" s="52"/>
      <c r="H23680" s="56"/>
      <c r="I23680" s="224"/>
    </row>
    <row r="23681" spans="1:9" x14ac:dyDescent="0.25">
      <c r="A23681" s="515">
        <v>14754</v>
      </c>
      <c r="C23681" s="52">
        <v>105825.365443517</v>
      </c>
      <c r="D23681" s="56">
        <v>0.10305297598158478</v>
      </c>
      <c r="E23681" s="224" t="s">
        <v>2</v>
      </c>
      <c r="G23681" s="52"/>
      <c r="H23681" s="56"/>
      <c r="I23681" s="224"/>
    </row>
    <row r="23682" spans="1:9" x14ac:dyDescent="0.25">
      <c r="A23682" s="515">
        <v>46950</v>
      </c>
      <c r="B23682" s="515" t="s">
        <v>391</v>
      </c>
      <c r="C23682" s="52">
        <v>159916.00072579499</v>
      </c>
      <c r="D23682" s="56">
        <v>5.862795440520914E-2</v>
      </c>
      <c r="E23682" s="224" t="s">
        <v>2</v>
      </c>
      <c r="G23682" s="52"/>
      <c r="H23682" s="56"/>
      <c r="I23682" s="224"/>
    </row>
    <row r="23683" spans="1:9" x14ac:dyDescent="0.25">
      <c r="A23683" s="515">
        <v>26372</v>
      </c>
      <c r="C23683" s="52">
        <v>180462.31438348099</v>
      </c>
      <c r="D23683" s="56">
        <v>3.5868874177391451E-2</v>
      </c>
      <c r="E23683" s="224" t="s">
        <v>2</v>
      </c>
      <c r="G23683" s="52"/>
      <c r="H23683" s="56"/>
      <c r="I23683" s="224"/>
    </row>
    <row r="23684" spans="1:9" x14ac:dyDescent="0.25">
      <c r="A23684" s="515">
        <v>73650</v>
      </c>
      <c r="C23684" s="52">
        <v>179891.77132725401</v>
      </c>
      <c r="D23684" s="56">
        <v>0.12105049191798024</v>
      </c>
      <c r="E23684" s="224" t="s">
        <v>2</v>
      </c>
      <c r="G23684" s="52"/>
      <c r="H23684" s="56"/>
      <c r="I23684" s="224"/>
    </row>
    <row r="23685" spans="1:9" x14ac:dyDescent="0.25">
      <c r="A23685" s="515">
        <v>62553</v>
      </c>
      <c r="C23685" s="52">
        <v>110621.56521739101</v>
      </c>
      <c r="D23685" s="56">
        <v>0</v>
      </c>
      <c r="E23685" s="224" t="s">
        <v>2</v>
      </c>
      <c r="G23685" s="52"/>
      <c r="H23685" s="56"/>
      <c r="I23685" s="224"/>
    </row>
    <row r="23686" spans="1:9" x14ac:dyDescent="0.25">
      <c r="A23686" s="515">
        <v>83631</v>
      </c>
      <c r="B23686" s="515" t="s">
        <v>500</v>
      </c>
      <c r="C23686" s="52">
        <v>346021.70335090201</v>
      </c>
      <c r="D23686" s="56">
        <v>1.6885679340323687E-2</v>
      </c>
      <c r="E23686" s="224" t="s">
        <v>2</v>
      </c>
      <c r="G23686" s="52"/>
      <c r="H23686" s="56"/>
      <c r="I23686" s="224"/>
    </row>
    <row r="23687" spans="1:9" x14ac:dyDescent="0.25">
      <c r="A23687" s="515">
        <v>97627</v>
      </c>
      <c r="B23687" s="515" t="s">
        <v>545</v>
      </c>
      <c r="C23687" s="52">
        <v>331111.53028561297</v>
      </c>
      <c r="D23687" s="56">
        <v>7.9376034821751928E-2</v>
      </c>
      <c r="E23687" s="224" t="s">
        <v>2</v>
      </c>
      <c r="G23687" s="52"/>
      <c r="H23687" s="56"/>
      <c r="I23687" s="224"/>
    </row>
    <row r="23688" spans="1:9" x14ac:dyDescent="0.25">
      <c r="A23688" s="515">
        <v>42566</v>
      </c>
      <c r="C23688" s="52">
        <v>101051.798425562</v>
      </c>
      <c r="D23688" s="56">
        <v>0.21440673611518915</v>
      </c>
      <c r="E23688" s="224" t="s">
        <v>2</v>
      </c>
      <c r="G23688" s="52"/>
      <c r="H23688" s="56"/>
      <c r="I23688" s="224"/>
    </row>
    <row r="23689" spans="1:9" x14ac:dyDescent="0.25">
      <c r="A23689" s="515">
        <v>41232</v>
      </c>
      <c r="C23689" s="52">
        <v>125963.429865442</v>
      </c>
      <c r="D23689" s="56">
        <v>8.2918113204155916E-2</v>
      </c>
      <c r="E23689" s="224" t="s">
        <v>2</v>
      </c>
      <c r="G23689" s="52"/>
      <c r="H23689" s="56"/>
      <c r="I23689" s="224"/>
    </row>
    <row r="23690" spans="1:9" x14ac:dyDescent="0.25">
      <c r="A23690" s="515">
        <v>80624</v>
      </c>
      <c r="B23690" s="515" t="s">
        <v>382</v>
      </c>
      <c r="C23690" s="52">
        <v>550923.61953122704</v>
      </c>
      <c r="D23690" s="56">
        <v>5.1983135665577232E-2</v>
      </c>
      <c r="E23690" s="224" t="s">
        <v>2</v>
      </c>
      <c r="G23690" s="52"/>
      <c r="H23690" s="56"/>
      <c r="I23690" s="224"/>
    </row>
    <row r="23691" spans="1:9" x14ac:dyDescent="0.25">
      <c r="A23691" s="515">
        <v>63380</v>
      </c>
      <c r="B23691" s="515" t="s">
        <v>498</v>
      </c>
      <c r="C23691" s="52">
        <v>246142.18720423299</v>
      </c>
      <c r="D23691" s="56">
        <v>5.8039116750103363E-2</v>
      </c>
      <c r="E23691" s="224" t="s">
        <v>2</v>
      </c>
      <c r="G23691" s="52"/>
      <c r="H23691" s="56"/>
      <c r="I23691" s="224"/>
    </row>
    <row r="23692" spans="1:9" x14ac:dyDescent="0.25">
      <c r="A23692" s="515">
        <v>41527</v>
      </c>
      <c r="C23692" s="52">
        <v>155972.44559160501</v>
      </c>
      <c r="D23692" s="56">
        <v>0.11539084510933789</v>
      </c>
      <c r="E23692" s="224" t="s">
        <v>2</v>
      </c>
      <c r="G23692" s="52"/>
      <c r="H23692" s="56"/>
      <c r="I23692" s="224"/>
    </row>
    <row r="23693" spans="1:9" x14ac:dyDescent="0.25">
      <c r="A23693" s="515">
        <v>56650</v>
      </c>
      <c r="B23693" s="515" t="s">
        <v>690</v>
      </c>
      <c r="C23693" s="52">
        <v>151418.938246873</v>
      </c>
      <c r="D23693" s="56">
        <v>0.10874274135760306</v>
      </c>
      <c r="E23693" s="224" t="s">
        <v>2</v>
      </c>
      <c r="G23693" s="52"/>
      <c r="H23693" s="56"/>
      <c r="I23693" s="224"/>
    </row>
    <row r="23694" spans="1:9" x14ac:dyDescent="0.25">
      <c r="A23694" s="515">
        <v>50151</v>
      </c>
      <c r="C23694" s="52">
        <v>197584.52481604801</v>
      </c>
      <c r="D23694" s="56">
        <v>0</v>
      </c>
      <c r="E23694" s="224" t="s">
        <v>2</v>
      </c>
      <c r="G23694" s="52"/>
      <c r="H23694" s="56"/>
      <c r="I23694" s="224"/>
    </row>
    <row r="23695" spans="1:9" x14ac:dyDescent="0.25">
      <c r="A23695" s="515">
        <v>64021</v>
      </c>
      <c r="B23695" s="515" t="s">
        <v>455</v>
      </c>
      <c r="C23695" s="52">
        <v>149557.57409425601</v>
      </c>
      <c r="D23695" s="56">
        <v>1.7361013366306414E-2</v>
      </c>
      <c r="E23695" s="224" t="s">
        <v>2</v>
      </c>
      <c r="G23695" s="52"/>
      <c r="H23695" s="56"/>
      <c r="I23695" s="224"/>
    </row>
    <row r="23696" spans="1:9" x14ac:dyDescent="0.25">
      <c r="A23696" s="515">
        <v>55726</v>
      </c>
      <c r="B23696" s="515" t="s">
        <v>350</v>
      </c>
      <c r="C23696" s="52">
        <v>192748.96758061301</v>
      </c>
      <c r="D23696" s="56">
        <v>3.5798989327955361E-2</v>
      </c>
      <c r="E23696" s="224" t="s">
        <v>2</v>
      </c>
      <c r="G23696" s="52"/>
      <c r="H23696" s="56"/>
      <c r="I23696" s="224"/>
    </row>
    <row r="23697" spans="1:9" x14ac:dyDescent="0.25">
      <c r="A23697" s="515">
        <v>14536</v>
      </c>
      <c r="C23697" s="52">
        <v>110010.926217353</v>
      </c>
      <c r="D23697" s="56">
        <v>9.376090412807675E-2</v>
      </c>
      <c r="E23697" s="224" t="s">
        <v>2</v>
      </c>
      <c r="G23697" s="52"/>
      <c r="H23697" s="56"/>
      <c r="I23697" s="224"/>
    </row>
    <row r="23698" spans="1:9" x14ac:dyDescent="0.25">
      <c r="A23698" s="515">
        <v>92070</v>
      </c>
      <c r="B23698" s="515" t="s">
        <v>396</v>
      </c>
      <c r="C23698" s="52">
        <v>676652.61511811404</v>
      </c>
      <c r="D23698" s="56">
        <v>3.1220295505039141E-2</v>
      </c>
      <c r="E23698" s="224" t="s">
        <v>2</v>
      </c>
      <c r="G23698" s="52"/>
      <c r="H23698" s="56"/>
      <c r="I23698" s="224"/>
    </row>
    <row r="23699" spans="1:9" x14ac:dyDescent="0.25">
      <c r="A23699" s="515">
        <v>51563</v>
      </c>
      <c r="B23699" s="515" t="s">
        <v>367</v>
      </c>
      <c r="C23699" s="52">
        <v>194186.37251319399</v>
      </c>
      <c r="D23699" s="56">
        <v>8.894291963527097E-2</v>
      </c>
      <c r="E23699" s="224" t="s">
        <v>2</v>
      </c>
      <c r="G23699" s="52"/>
      <c r="H23699" s="56"/>
      <c r="I23699" s="224"/>
    </row>
    <row r="23700" spans="1:9" x14ac:dyDescent="0.25">
      <c r="A23700" s="515">
        <v>63625</v>
      </c>
      <c r="C23700" s="52">
        <v>140308.32922704201</v>
      </c>
      <c r="D23700" s="56">
        <v>0</v>
      </c>
      <c r="E23700" s="224" t="s">
        <v>2</v>
      </c>
      <c r="G23700" s="52"/>
      <c r="H23700" s="56"/>
      <c r="I23700" s="224"/>
    </row>
    <row r="23701" spans="1:9" x14ac:dyDescent="0.25">
      <c r="A23701" s="515">
        <v>24879</v>
      </c>
      <c r="C23701" s="52">
        <v>32170.3281503941</v>
      </c>
      <c r="D23701" s="56">
        <v>-1.5205075347478164E-2</v>
      </c>
      <c r="E23701" s="224" t="s">
        <v>2</v>
      </c>
      <c r="G23701" s="52"/>
      <c r="H23701" s="56"/>
      <c r="I23701" s="224"/>
    </row>
    <row r="23702" spans="1:9" x14ac:dyDescent="0.25">
      <c r="A23702" s="515">
        <v>88426</v>
      </c>
      <c r="C23702" s="52">
        <v>141361.584426338</v>
      </c>
      <c r="D23702" s="56">
        <v>5.8846429591899285E-2</v>
      </c>
      <c r="E23702" s="224" t="s">
        <v>2</v>
      </c>
      <c r="G23702" s="52"/>
      <c r="H23702" s="56"/>
      <c r="I23702" s="224"/>
    </row>
    <row r="23703" spans="1:9" x14ac:dyDescent="0.25">
      <c r="A23703" s="515">
        <v>51010</v>
      </c>
      <c r="C23703" s="52">
        <v>152736.52802613599</v>
      </c>
      <c r="D23703" s="56">
        <v>0.17523989081858668</v>
      </c>
      <c r="E23703" s="224" t="s">
        <v>2</v>
      </c>
      <c r="G23703" s="52"/>
      <c r="H23703" s="56"/>
      <c r="I23703" s="224"/>
    </row>
    <row r="23704" spans="1:9" x14ac:dyDescent="0.25">
      <c r="A23704" s="515">
        <v>89001</v>
      </c>
      <c r="C23704" s="52">
        <v>184349.646753571</v>
      </c>
      <c r="D23704" s="56">
        <v>-1.7487442101949455E-2</v>
      </c>
      <c r="E23704" s="224" t="s">
        <v>2</v>
      </c>
      <c r="G23704" s="52"/>
      <c r="H23704" s="56"/>
      <c r="I23704" s="224"/>
    </row>
    <row r="23705" spans="1:9" x14ac:dyDescent="0.25">
      <c r="A23705" s="515">
        <v>22715</v>
      </c>
      <c r="B23705" s="515" t="s">
        <v>321</v>
      </c>
      <c r="C23705" s="52">
        <v>331476.64028038603</v>
      </c>
      <c r="D23705" s="56">
        <v>5.200257165086012E-2</v>
      </c>
      <c r="E23705" s="224" t="s">
        <v>2</v>
      </c>
      <c r="G23705" s="52"/>
      <c r="H23705" s="56"/>
      <c r="I23705" s="224"/>
    </row>
    <row r="23706" spans="1:9" x14ac:dyDescent="0.25">
      <c r="A23706" s="515">
        <v>40358</v>
      </c>
      <c r="B23706" s="515" t="s">
        <v>900</v>
      </c>
      <c r="C23706" s="52">
        <v>162799.294567537</v>
      </c>
      <c r="D23706" s="56">
        <v>0.15523884393940893</v>
      </c>
      <c r="E23706" s="224" t="s">
        <v>2</v>
      </c>
      <c r="G23706" s="52"/>
      <c r="H23706" s="56"/>
      <c r="I23706" s="224"/>
    </row>
    <row r="23707" spans="1:9" x14ac:dyDescent="0.25">
      <c r="A23707" s="515">
        <v>68966</v>
      </c>
      <c r="C23707" s="52">
        <v>112960.457122633</v>
      </c>
      <c r="D23707" s="56">
        <v>-4.7615374138186187E-2</v>
      </c>
      <c r="E23707" s="224" t="s">
        <v>2</v>
      </c>
      <c r="G23707" s="52"/>
      <c r="H23707" s="56"/>
      <c r="I23707" s="224"/>
    </row>
    <row r="23708" spans="1:9" x14ac:dyDescent="0.25">
      <c r="A23708" s="515">
        <v>62807</v>
      </c>
      <c r="B23708" s="515" t="s">
        <v>1211</v>
      </c>
      <c r="C23708" s="52">
        <v>95676.178961570302</v>
      </c>
      <c r="D23708" s="56">
        <v>5.9678505623335182E-2</v>
      </c>
      <c r="E23708" s="224" t="s">
        <v>2</v>
      </c>
      <c r="G23708" s="52"/>
      <c r="H23708" s="56"/>
      <c r="I23708" s="224"/>
    </row>
    <row r="23709" spans="1:9" x14ac:dyDescent="0.25">
      <c r="A23709" s="515">
        <v>67123</v>
      </c>
      <c r="B23709" s="515" t="s">
        <v>485</v>
      </c>
      <c r="C23709" s="52">
        <v>130684.457822721</v>
      </c>
      <c r="D23709" s="56">
        <v>6.9595237906645971E-2</v>
      </c>
      <c r="E23709" s="224" t="s">
        <v>2</v>
      </c>
      <c r="G23709" s="52"/>
      <c r="H23709" s="56"/>
      <c r="I23709" s="224"/>
    </row>
    <row r="23710" spans="1:9" x14ac:dyDescent="0.25">
      <c r="A23710" s="515">
        <v>5342</v>
      </c>
      <c r="C23710" s="52">
        <v>287519.83966167999</v>
      </c>
      <c r="D23710" s="56">
        <v>4.3213899843925749E-2</v>
      </c>
      <c r="E23710" s="224" t="s">
        <v>2</v>
      </c>
      <c r="G23710" s="52"/>
      <c r="H23710" s="56"/>
      <c r="I23710" s="224"/>
    </row>
    <row r="23711" spans="1:9" x14ac:dyDescent="0.25">
      <c r="A23711" s="515">
        <v>22726</v>
      </c>
      <c r="B23711" s="515" t="s">
        <v>321</v>
      </c>
      <c r="C23711" s="52">
        <v>361175.41826027399</v>
      </c>
      <c r="D23711" s="56">
        <v>8.1433964535338507E-2</v>
      </c>
      <c r="E23711" s="224" t="s">
        <v>2</v>
      </c>
      <c r="G23711" s="52"/>
      <c r="H23711" s="56"/>
      <c r="I23711" s="224"/>
    </row>
    <row r="23712" spans="1:9" x14ac:dyDescent="0.25">
      <c r="A23712" s="515">
        <v>25266</v>
      </c>
      <c r="C23712" s="52">
        <v>117319.44850813301</v>
      </c>
      <c r="D23712" s="56">
        <v>4.0725873002558116E-2</v>
      </c>
      <c r="E23712" s="224" t="s">
        <v>2</v>
      </c>
      <c r="G23712" s="52"/>
      <c r="H23712" s="56"/>
      <c r="I23712" s="224"/>
    </row>
    <row r="23713" spans="1:9" x14ac:dyDescent="0.25">
      <c r="A23713" s="515">
        <v>69034</v>
      </c>
      <c r="C23713" s="52">
        <v>141316.49955637401</v>
      </c>
      <c r="D23713" s="56">
        <v>3.9410573111409178E-2</v>
      </c>
      <c r="E23713" s="224" t="s">
        <v>2</v>
      </c>
      <c r="G23713" s="52"/>
      <c r="H23713" s="56"/>
      <c r="I23713" s="224"/>
    </row>
    <row r="23714" spans="1:9" x14ac:dyDescent="0.25">
      <c r="A23714" s="515">
        <v>74452</v>
      </c>
      <c r="B23714" s="515" t="s">
        <v>899</v>
      </c>
      <c r="C23714" s="52">
        <v>175929.327505661</v>
      </c>
      <c r="D23714" s="56">
        <v>8.138521643501917E-2</v>
      </c>
      <c r="E23714" s="224" t="s">
        <v>2</v>
      </c>
      <c r="G23714" s="52"/>
      <c r="H23714" s="56"/>
      <c r="I23714" s="224"/>
    </row>
    <row r="23715" spans="1:9" x14ac:dyDescent="0.25">
      <c r="A23715" s="515">
        <v>69128</v>
      </c>
      <c r="C23715" s="52">
        <v>193489.471370399</v>
      </c>
      <c r="D23715" s="56">
        <v>0.23381848379445436</v>
      </c>
      <c r="E23715" s="224" t="s">
        <v>2</v>
      </c>
      <c r="G23715" s="52"/>
      <c r="H23715" s="56"/>
      <c r="I23715" s="224"/>
    </row>
    <row r="23716" spans="1:9" x14ac:dyDescent="0.25">
      <c r="A23716" s="515">
        <v>22716</v>
      </c>
      <c r="B23716" s="515" t="s">
        <v>321</v>
      </c>
      <c r="C23716" s="52">
        <v>529877.52994835796</v>
      </c>
      <c r="D23716" s="56">
        <v>0.15324944376000735</v>
      </c>
      <c r="E23716" s="224" t="s">
        <v>2</v>
      </c>
      <c r="G23716" s="52"/>
      <c r="H23716" s="56"/>
      <c r="I23716" s="224"/>
    </row>
    <row r="23717" spans="1:9" x14ac:dyDescent="0.25">
      <c r="A23717" s="515">
        <v>68343</v>
      </c>
      <c r="C23717" s="52">
        <v>188057.07340946101</v>
      </c>
      <c r="D23717" s="56">
        <v>0.1310243507050696</v>
      </c>
      <c r="E23717" s="224" t="s">
        <v>2</v>
      </c>
      <c r="G23717" s="52"/>
      <c r="H23717" s="56"/>
      <c r="I23717" s="224"/>
    </row>
    <row r="23718" spans="1:9" x14ac:dyDescent="0.25">
      <c r="A23718" s="515">
        <v>26767</v>
      </c>
      <c r="B23718" s="515" t="s">
        <v>362</v>
      </c>
      <c r="C23718" s="52">
        <v>133654.74049049601</v>
      </c>
      <c r="D23718" s="56">
        <v>7.4721852810400918E-2</v>
      </c>
      <c r="E23718" s="224" t="s">
        <v>2</v>
      </c>
      <c r="G23718" s="52"/>
      <c r="H23718" s="56"/>
      <c r="I23718" s="224"/>
    </row>
    <row r="23719" spans="1:9" x14ac:dyDescent="0.25">
      <c r="A23719" s="515">
        <v>5161</v>
      </c>
      <c r="B23719" s="515" t="s">
        <v>420</v>
      </c>
      <c r="C23719" s="52">
        <v>440543.93903921603</v>
      </c>
      <c r="D23719" s="56">
        <v>0.10549418372970319</v>
      </c>
      <c r="E23719" s="224" t="s">
        <v>2</v>
      </c>
      <c r="G23719" s="52"/>
      <c r="H23719" s="56"/>
      <c r="I23719" s="224"/>
    </row>
    <row r="23720" spans="1:9" x14ac:dyDescent="0.25">
      <c r="A23720" s="515">
        <v>58256</v>
      </c>
      <c r="B23720" s="515" t="s">
        <v>624</v>
      </c>
      <c r="C23720" s="52">
        <v>206922.76311863199</v>
      </c>
      <c r="D23720" s="56">
        <v>1.6031404414254984E-3</v>
      </c>
      <c r="E23720" s="224" t="s">
        <v>2</v>
      </c>
      <c r="G23720" s="52"/>
      <c r="H23720" s="56"/>
      <c r="I23720" s="224"/>
    </row>
    <row r="23721" spans="1:9" x14ac:dyDescent="0.25">
      <c r="A23721" s="515">
        <v>43971</v>
      </c>
      <c r="B23721" s="515" t="s">
        <v>389</v>
      </c>
      <c r="C23721" s="52">
        <v>92868.288960173901</v>
      </c>
      <c r="D23721" s="56">
        <v>0.11890105224505786</v>
      </c>
      <c r="E23721" s="224" t="s">
        <v>2</v>
      </c>
      <c r="G23721" s="52"/>
      <c r="H23721" s="56"/>
      <c r="I23721" s="224"/>
    </row>
    <row r="23722" spans="1:9" x14ac:dyDescent="0.25">
      <c r="A23722" s="515">
        <v>70355</v>
      </c>
      <c r="B23722" s="515" t="s">
        <v>898</v>
      </c>
      <c r="C23722" s="52">
        <v>113876.539473684</v>
      </c>
      <c r="D23722" s="56">
        <v>0</v>
      </c>
      <c r="E23722" s="224" t="s">
        <v>2</v>
      </c>
      <c r="G23722" s="52"/>
      <c r="H23722" s="56"/>
      <c r="I23722" s="224"/>
    </row>
    <row r="23723" spans="1:9" x14ac:dyDescent="0.25">
      <c r="A23723" s="515">
        <v>72347</v>
      </c>
      <c r="C23723" s="52">
        <v>82731.683359005707</v>
      </c>
      <c r="D23723" s="56">
        <v>2.7476504146973956E-2</v>
      </c>
      <c r="E23723" s="224" t="s">
        <v>2</v>
      </c>
      <c r="G23723" s="52"/>
      <c r="H23723" s="56"/>
      <c r="I23723" s="224"/>
    </row>
    <row r="23724" spans="1:9" x14ac:dyDescent="0.25">
      <c r="A23724" s="515">
        <v>28511</v>
      </c>
      <c r="B23724" s="515" t="s">
        <v>641</v>
      </c>
      <c r="C23724" s="52">
        <v>197190.76864257999</v>
      </c>
      <c r="D23724" s="56">
        <v>0.17723035114892849</v>
      </c>
      <c r="E23724" s="224" t="s">
        <v>2</v>
      </c>
      <c r="G23724" s="52"/>
      <c r="H23724" s="56"/>
      <c r="I23724" s="224"/>
    </row>
    <row r="23725" spans="1:9" x14ac:dyDescent="0.25">
      <c r="A23725" s="515">
        <v>54138</v>
      </c>
      <c r="B23725" s="515" t="s">
        <v>897</v>
      </c>
      <c r="C23725" s="52">
        <v>196728.46112522201</v>
      </c>
      <c r="D23725" s="56">
        <v>0.1292759264521843</v>
      </c>
      <c r="E23725" s="224" t="s">
        <v>2</v>
      </c>
      <c r="G23725" s="52"/>
      <c r="H23725" s="56"/>
      <c r="I23725" s="224"/>
    </row>
    <row r="23726" spans="1:9" x14ac:dyDescent="0.25">
      <c r="A23726" s="515">
        <v>72661</v>
      </c>
      <c r="C23726" s="52">
        <v>197102.175605747</v>
      </c>
      <c r="D23726" s="56">
        <v>5.5212703095197331E-2</v>
      </c>
      <c r="E23726" s="224" t="s">
        <v>2</v>
      </c>
      <c r="G23726" s="52"/>
      <c r="H23726" s="56"/>
      <c r="I23726" s="224"/>
    </row>
    <row r="23727" spans="1:9" x14ac:dyDescent="0.25">
      <c r="A23727" s="515">
        <v>24282</v>
      </c>
      <c r="C23727" s="52">
        <v>24674.612203916899</v>
      </c>
      <c r="D23727" s="56">
        <v>-5.9311442078402214E-2</v>
      </c>
      <c r="E23727" s="224" t="s">
        <v>2</v>
      </c>
      <c r="G23727" s="52"/>
      <c r="H23727" s="56"/>
      <c r="I23727" s="224"/>
    </row>
    <row r="23728" spans="1:9" x14ac:dyDescent="0.25">
      <c r="A23728" s="515">
        <v>56248</v>
      </c>
      <c r="C23728" s="52">
        <v>155357.96702526</v>
      </c>
      <c r="D23728" s="56">
        <v>0.12322951593829255</v>
      </c>
      <c r="E23728" s="224" t="s">
        <v>2</v>
      </c>
      <c r="G23728" s="52"/>
      <c r="H23728" s="56"/>
      <c r="I23728" s="224"/>
    </row>
    <row r="23729" spans="1:9" x14ac:dyDescent="0.25">
      <c r="A23729" s="515">
        <v>5035</v>
      </c>
      <c r="B23729" s="515" t="s">
        <v>420</v>
      </c>
      <c r="C23729" s="52">
        <v>331307.30769230699</v>
      </c>
      <c r="D23729" s="56">
        <v>0</v>
      </c>
      <c r="E23729" s="224" t="s">
        <v>2</v>
      </c>
      <c r="G23729" s="52"/>
      <c r="H23729" s="56"/>
      <c r="I23729" s="224"/>
    </row>
    <row r="23730" spans="1:9" x14ac:dyDescent="0.25">
      <c r="A23730" s="515">
        <v>55967</v>
      </c>
      <c r="B23730" s="515" t="s">
        <v>413</v>
      </c>
      <c r="C23730" s="52">
        <v>304115.01949572301</v>
      </c>
      <c r="D23730" s="56">
        <v>5.4519913898249499E-2</v>
      </c>
      <c r="E23730" s="224" t="s">
        <v>2</v>
      </c>
      <c r="G23730" s="52"/>
      <c r="H23730" s="56"/>
      <c r="I23730" s="224"/>
    </row>
    <row r="23731" spans="1:9" x14ac:dyDescent="0.25">
      <c r="A23731" s="515">
        <v>20674</v>
      </c>
      <c r="B23731" s="515" t="s">
        <v>779</v>
      </c>
      <c r="C23731" s="52">
        <v>420391.35129836301</v>
      </c>
      <c r="D23731" s="56">
        <v>2.4194827367576416E-2</v>
      </c>
      <c r="E23731" s="224" t="s">
        <v>2</v>
      </c>
      <c r="G23731" s="52"/>
      <c r="H23731" s="56"/>
      <c r="I23731" s="224"/>
    </row>
    <row r="23732" spans="1:9" x14ac:dyDescent="0.25">
      <c r="A23732" s="515">
        <v>87821</v>
      </c>
      <c r="C23732" s="52">
        <v>175503.28971962599</v>
      </c>
      <c r="D23732" s="56">
        <v>0</v>
      </c>
      <c r="E23732" s="224" t="s">
        <v>2</v>
      </c>
      <c r="G23732" s="52"/>
      <c r="H23732" s="56"/>
      <c r="I23732" s="224"/>
    </row>
    <row r="23733" spans="1:9" x14ac:dyDescent="0.25">
      <c r="A23733" s="515">
        <v>52210</v>
      </c>
      <c r="C23733" s="52">
        <v>167436.849857158</v>
      </c>
      <c r="D23733" s="56">
        <v>0.14321060639271918</v>
      </c>
      <c r="E23733" s="224" t="s">
        <v>2</v>
      </c>
      <c r="G23733" s="52"/>
      <c r="H23733" s="56"/>
      <c r="I23733" s="224"/>
    </row>
    <row r="23734" spans="1:9" x14ac:dyDescent="0.25">
      <c r="A23734" s="515">
        <v>16674</v>
      </c>
      <c r="B23734" s="515" t="s">
        <v>539</v>
      </c>
      <c r="C23734" s="52">
        <v>72129.313847630096</v>
      </c>
      <c r="D23734" s="56">
        <v>0</v>
      </c>
      <c r="E23734" s="224" t="s">
        <v>2</v>
      </c>
      <c r="G23734" s="52"/>
      <c r="H23734" s="56"/>
      <c r="I23734" s="224"/>
    </row>
    <row r="23735" spans="1:9" x14ac:dyDescent="0.25">
      <c r="A23735" s="515">
        <v>68030</v>
      </c>
      <c r="B23735" s="515" t="s">
        <v>649</v>
      </c>
      <c r="C23735" s="52">
        <v>219032.385837101</v>
      </c>
      <c r="D23735" s="56">
        <v>0.13970125570634359</v>
      </c>
      <c r="E23735" s="224" t="s">
        <v>2</v>
      </c>
      <c r="G23735" s="52"/>
      <c r="H23735" s="56"/>
      <c r="I23735" s="224"/>
    </row>
    <row r="23736" spans="1:9" x14ac:dyDescent="0.25">
      <c r="A23736" s="515">
        <v>25161</v>
      </c>
      <c r="B23736" s="515" t="s">
        <v>566</v>
      </c>
      <c r="C23736" s="52">
        <v>60202.969508151902</v>
      </c>
      <c r="D23736" s="56">
        <v>0.14002102581212725</v>
      </c>
      <c r="E23736" s="224" t="s">
        <v>2</v>
      </c>
      <c r="G23736" s="52"/>
      <c r="H23736" s="56"/>
      <c r="I23736" s="224"/>
    </row>
    <row r="23737" spans="1:9" x14ac:dyDescent="0.25">
      <c r="A23737" s="515">
        <v>83272</v>
      </c>
      <c r="C23737" s="52">
        <v>491188.93032982101</v>
      </c>
      <c r="D23737" s="56">
        <v>6.3945442704421929E-2</v>
      </c>
      <c r="E23737" s="224" t="s">
        <v>2</v>
      </c>
      <c r="G23737" s="52"/>
      <c r="H23737" s="56"/>
      <c r="I23737" s="224"/>
    </row>
    <row r="23738" spans="1:9" x14ac:dyDescent="0.25">
      <c r="A23738" s="515">
        <v>2071</v>
      </c>
      <c r="B23738" s="515" t="s">
        <v>534</v>
      </c>
      <c r="C23738" s="52">
        <v>689845.20659975905</v>
      </c>
      <c r="D23738" s="56">
        <v>4.5466568986832732E-2</v>
      </c>
      <c r="E23738" s="224" t="s">
        <v>2</v>
      </c>
      <c r="G23738" s="52"/>
      <c r="H23738" s="56"/>
      <c r="I23738" s="224"/>
    </row>
    <row r="23739" spans="1:9" x14ac:dyDescent="0.25">
      <c r="A23739" s="515">
        <v>68941</v>
      </c>
      <c r="B23739" s="515" t="s">
        <v>754</v>
      </c>
      <c r="C23739" s="52">
        <v>190988.53853329699</v>
      </c>
      <c r="D23739" s="56">
        <v>0.18187469227339667</v>
      </c>
      <c r="E23739" s="224" t="s">
        <v>2</v>
      </c>
      <c r="G23739" s="52"/>
      <c r="H23739" s="56"/>
      <c r="I23739" s="224"/>
    </row>
    <row r="23740" spans="1:9" x14ac:dyDescent="0.25">
      <c r="A23740" s="515">
        <v>66851</v>
      </c>
      <c r="C23740" s="52">
        <v>60266.418939796597</v>
      </c>
      <c r="D23740" s="56">
        <v>0.10695713721108069</v>
      </c>
      <c r="E23740" s="224" t="s">
        <v>2</v>
      </c>
      <c r="G23740" s="52"/>
      <c r="H23740" s="56"/>
      <c r="I23740" s="224"/>
    </row>
    <row r="23741" spans="1:9" x14ac:dyDescent="0.25">
      <c r="A23741" s="515">
        <v>13863</v>
      </c>
      <c r="B23741" s="515" t="s">
        <v>507</v>
      </c>
      <c r="C23741" s="52">
        <v>129665.831735617</v>
      </c>
      <c r="D23741" s="56">
        <v>5.169251331298317E-2</v>
      </c>
      <c r="E23741" s="224" t="s">
        <v>2</v>
      </c>
      <c r="G23741" s="52"/>
      <c r="H23741" s="56"/>
      <c r="I23741" s="224"/>
    </row>
    <row r="23742" spans="1:9" x14ac:dyDescent="0.25">
      <c r="A23742" s="515">
        <v>51047</v>
      </c>
      <c r="B23742" s="515" t="s">
        <v>426</v>
      </c>
      <c r="C23742" s="52">
        <v>114570.27578494399</v>
      </c>
      <c r="D23742" s="56">
        <v>0.12735543191173701</v>
      </c>
      <c r="E23742" s="224" t="s">
        <v>2</v>
      </c>
      <c r="G23742" s="52"/>
      <c r="H23742" s="56"/>
      <c r="I23742" s="224"/>
    </row>
    <row r="23743" spans="1:9" x14ac:dyDescent="0.25">
      <c r="A23743" s="515">
        <v>66869</v>
      </c>
      <c r="B23743" s="515" t="s">
        <v>707</v>
      </c>
      <c r="C23743" s="52">
        <v>111952.011772629</v>
      </c>
      <c r="D23743" s="56">
        <v>3.7415050537613376E-2</v>
      </c>
      <c r="E23743" s="224" t="s">
        <v>2</v>
      </c>
      <c r="G23743" s="52"/>
      <c r="H23743" s="56"/>
      <c r="I23743" s="224"/>
    </row>
    <row r="23744" spans="1:9" x14ac:dyDescent="0.25">
      <c r="A23744" s="515">
        <v>4649</v>
      </c>
      <c r="C23744" s="52">
        <v>196869.04116890501</v>
      </c>
      <c r="D23744" s="56">
        <v>0.14296896878655432</v>
      </c>
      <c r="E23744" s="224" t="s">
        <v>2</v>
      </c>
      <c r="G23744" s="52"/>
      <c r="H23744" s="56"/>
      <c r="I23744" s="224"/>
    </row>
    <row r="23745" spans="1:9" x14ac:dyDescent="0.25">
      <c r="A23745" s="515">
        <v>16834</v>
      </c>
      <c r="B23745" s="515" t="s">
        <v>876</v>
      </c>
      <c r="C23745" s="52">
        <v>99410.074074074</v>
      </c>
      <c r="D23745" s="56">
        <v>0</v>
      </c>
      <c r="E23745" s="224" t="s">
        <v>2</v>
      </c>
      <c r="G23745" s="52"/>
      <c r="H23745" s="56"/>
      <c r="I23745" s="224"/>
    </row>
    <row r="23746" spans="1:9" x14ac:dyDescent="0.25">
      <c r="A23746" s="515">
        <v>38920</v>
      </c>
      <c r="C23746" s="52">
        <v>93996.144408179694</v>
      </c>
      <c r="D23746" s="56">
        <v>-8.067876769084871E-2</v>
      </c>
      <c r="E23746" s="224" t="s">
        <v>2</v>
      </c>
      <c r="G23746" s="52"/>
      <c r="H23746" s="56"/>
      <c r="I23746" s="224"/>
    </row>
    <row r="23747" spans="1:9" x14ac:dyDescent="0.25">
      <c r="A23747" s="515">
        <v>73760</v>
      </c>
      <c r="C23747" s="52">
        <v>142945.60781806501</v>
      </c>
      <c r="D23747" s="56">
        <v>9.6983179526976923E-2</v>
      </c>
      <c r="E23747" s="224" t="s">
        <v>2</v>
      </c>
      <c r="G23747" s="52"/>
      <c r="H23747" s="56"/>
      <c r="I23747" s="224"/>
    </row>
    <row r="23748" spans="1:9" x14ac:dyDescent="0.25">
      <c r="A23748" s="515">
        <v>44844</v>
      </c>
      <c r="C23748" s="52">
        <v>159720.430110713</v>
      </c>
      <c r="D23748" s="56">
        <v>6.6848457692528604E-2</v>
      </c>
      <c r="E23748" s="224" t="s">
        <v>2</v>
      </c>
      <c r="G23748" s="52"/>
      <c r="H23748" s="56"/>
      <c r="I23748" s="224"/>
    </row>
    <row r="23749" spans="1:9" x14ac:dyDescent="0.25">
      <c r="A23749" s="515">
        <v>61232</v>
      </c>
      <c r="B23749" s="515" t="s">
        <v>439</v>
      </c>
      <c r="C23749" s="52">
        <v>162100.34893919699</v>
      </c>
      <c r="D23749" s="56">
        <v>2.9680964168713801E-2</v>
      </c>
      <c r="E23749" s="224" t="s">
        <v>2</v>
      </c>
      <c r="G23749" s="52"/>
      <c r="H23749" s="56"/>
      <c r="I23749" s="224"/>
    </row>
    <row r="23750" spans="1:9" x14ac:dyDescent="0.25">
      <c r="A23750" s="515">
        <v>41548</v>
      </c>
      <c r="C23750" s="52">
        <v>62335.0003036321</v>
      </c>
      <c r="D23750" s="56">
        <v>0.25319125511569979</v>
      </c>
      <c r="E23750" s="224" t="s">
        <v>2</v>
      </c>
      <c r="G23750" s="52"/>
      <c r="H23750" s="56"/>
      <c r="I23750" s="224"/>
    </row>
    <row r="23751" spans="1:9" x14ac:dyDescent="0.25">
      <c r="A23751" s="515">
        <v>74832</v>
      </c>
      <c r="B23751" s="515" t="s">
        <v>385</v>
      </c>
      <c r="C23751" s="52">
        <v>130766.952043546</v>
      </c>
      <c r="D23751" s="56">
        <v>8.5364699914526956E-2</v>
      </c>
      <c r="E23751" s="224" t="s">
        <v>2</v>
      </c>
      <c r="G23751" s="52"/>
      <c r="H23751" s="56"/>
      <c r="I23751" s="224"/>
    </row>
    <row r="23752" spans="1:9" x14ac:dyDescent="0.25">
      <c r="A23752" s="515">
        <v>15470</v>
      </c>
      <c r="B23752" s="515" t="s">
        <v>297</v>
      </c>
      <c r="C23752" s="52">
        <v>196473.69113437401</v>
      </c>
      <c r="D23752" s="56">
        <v>2.3956982805871906E-2</v>
      </c>
      <c r="E23752" s="224" t="s">
        <v>2</v>
      </c>
      <c r="G23752" s="52"/>
      <c r="H23752" s="56"/>
      <c r="I23752" s="224"/>
    </row>
    <row r="23753" spans="1:9" x14ac:dyDescent="0.25">
      <c r="A23753" s="515">
        <v>52305</v>
      </c>
      <c r="B23753" s="515" t="s">
        <v>404</v>
      </c>
      <c r="C23753" s="52">
        <v>223459.87393765099</v>
      </c>
      <c r="D23753" s="56">
        <v>0.10210325628235881</v>
      </c>
      <c r="E23753" s="224" t="s">
        <v>2</v>
      </c>
      <c r="G23753" s="52"/>
      <c r="H23753" s="56"/>
      <c r="I23753" s="224"/>
    </row>
    <row r="23754" spans="1:9" x14ac:dyDescent="0.25">
      <c r="A23754" s="515">
        <v>14720</v>
      </c>
      <c r="B23754" s="515" t="s">
        <v>560</v>
      </c>
      <c r="C23754" s="52">
        <v>73488.166854505005</v>
      </c>
      <c r="D23754" s="56">
        <v>0.17580406816187949</v>
      </c>
      <c r="E23754" s="224" t="s">
        <v>2</v>
      </c>
      <c r="G23754" s="52"/>
      <c r="H23754" s="56"/>
      <c r="I23754" s="224"/>
    </row>
    <row r="23755" spans="1:9" x14ac:dyDescent="0.25">
      <c r="A23755" s="515">
        <v>13832</v>
      </c>
      <c r="C23755" s="52">
        <v>129447.054436583</v>
      </c>
      <c r="D23755" s="56">
        <v>7.6071353116079016E-2</v>
      </c>
      <c r="E23755" s="224" t="s">
        <v>2</v>
      </c>
      <c r="G23755" s="52"/>
      <c r="H23755" s="56"/>
      <c r="I23755" s="224"/>
    </row>
    <row r="23756" spans="1:9" x14ac:dyDescent="0.25">
      <c r="A23756" s="515">
        <v>56673</v>
      </c>
      <c r="C23756" s="52">
        <v>159780.69352227301</v>
      </c>
      <c r="D23756" s="56">
        <v>9.6992136181400734E-2</v>
      </c>
      <c r="E23756" s="224" t="s">
        <v>2</v>
      </c>
      <c r="G23756" s="52"/>
      <c r="H23756" s="56"/>
      <c r="I23756" s="224"/>
    </row>
    <row r="23757" spans="1:9" x14ac:dyDescent="0.25">
      <c r="A23757" s="515">
        <v>41571</v>
      </c>
      <c r="C23757" s="52">
        <v>58868.0695521952</v>
      </c>
      <c r="D23757" s="56">
        <v>0.24051686351273568</v>
      </c>
      <c r="E23757" s="224" t="s">
        <v>2</v>
      </c>
      <c r="G23757" s="52"/>
      <c r="H23757" s="56"/>
      <c r="I23757" s="224"/>
    </row>
    <row r="23758" spans="1:9" x14ac:dyDescent="0.25">
      <c r="A23758" s="515">
        <v>56019</v>
      </c>
      <c r="B23758" s="515" t="s">
        <v>896</v>
      </c>
      <c r="C23758" s="52">
        <v>178422.153199022</v>
      </c>
      <c r="D23758" s="56">
        <v>0.13593690066593986</v>
      </c>
      <c r="E23758" s="224" t="s">
        <v>2</v>
      </c>
      <c r="G23758" s="52"/>
      <c r="H23758" s="56"/>
      <c r="I23758" s="224"/>
    </row>
    <row r="23759" spans="1:9" x14ac:dyDescent="0.25">
      <c r="A23759" s="515">
        <v>37691</v>
      </c>
      <c r="C23759" s="52">
        <v>210740.44594735699</v>
      </c>
      <c r="D23759" s="56">
        <v>8.1213592054682232E-2</v>
      </c>
      <c r="E23759" s="224" t="s">
        <v>2</v>
      </c>
      <c r="G23759" s="52"/>
      <c r="H23759" s="56"/>
      <c r="I23759" s="224"/>
    </row>
    <row r="23760" spans="1:9" x14ac:dyDescent="0.25">
      <c r="A23760" s="515">
        <v>74367</v>
      </c>
      <c r="C23760" s="52">
        <v>172450.59345063099</v>
      </c>
      <c r="D23760" s="56">
        <v>4.4400347556027078E-2</v>
      </c>
      <c r="E23760" s="224" t="s">
        <v>2</v>
      </c>
      <c r="G23760" s="52"/>
      <c r="H23760" s="56"/>
      <c r="I23760" s="224"/>
    </row>
    <row r="23761" spans="1:9" x14ac:dyDescent="0.25">
      <c r="A23761" s="515">
        <v>61882</v>
      </c>
      <c r="C23761" s="52">
        <v>106242.12765957401</v>
      </c>
      <c r="D23761" s="56">
        <v>0</v>
      </c>
      <c r="E23761" s="224" t="s">
        <v>2</v>
      </c>
      <c r="G23761" s="52"/>
      <c r="H23761" s="56"/>
      <c r="I23761" s="224"/>
    </row>
    <row r="23762" spans="1:9" x14ac:dyDescent="0.25">
      <c r="A23762" s="515">
        <v>29351</v>
      </c>
      <c r="B23762" s="515" t="s">
        <v>613</v>
      </c>
      <c r="C23762" s="52">
        <v>73169.322580645094</v>
      </c>
      <c r="D23762" s="56">
        <v>0</v>
      </c>
      <c r="E23762" s="224" t="s">
        <v>2</v>
      </c>
      <c r="G23762" s="52"/>
      <c r="H23762" s="56"/>
      <c r="I23762" s="224"/>
    </row>
    <row r="23763" spans="1:9" x14ac:dyDescent="0.25">
      <c r="A23763" s="515">
        <v>13690</v>
      </c>
      <c r="B23763" s="515" t="s">
        <v>511</v>
      </c>
      <c r="C23763" s="52">
        <v>86358.858117423093</v>
      </c>
      <c r="D23763" s="56">
        <v>4.6834754524339807E-2</v>
      </c>
      <c r="E23763" s="224" t="s">
        <v>2</v>
      </c>
      <c r="G23763" s="52"/>
      <c r="H23763" s="56"/>
      <c r="I23763" s="224"/>
    </row>
    <row r="23764" spans="1:9" x14ac:dyDescent="0.25">
      <c r="A23764" s="515">
        <v>59447</v>
      </c>
      <c r="C23764" s="52">
        <v>341400.98017551302</v>
      </c>
      <c r="D23764" s="56">
        <v>0.10127313061641155</v>
      </c>
      <c r="E23764" s="224" t="s">
        <v>2</v>
      </c>
      <c r="G23764" s="52"/>
      <c r="H23764" s="56"/>
      <c r="I23764" s="224"/>
    </row>
    <row r="23765" spans="1:9" x14ac:dyDescent="0.25">
      <c r="A23765" s="515">
        <v>98326</v>
      </c>
      <c r="B23765" s="515" t="s">
        <v>781</v>
      </c>
      <c r="C23765" s="52">
        <v>251883.47535513001</v>
      </c>
      <c r="D23765" s="56">
        <v>0</v>
      </c>
      <c r="E23765" s="224" t="s">
        <v>2</v>
      </c>
      <c r="G23765" s="52"/>
      <c r="H23765" s="56"/>
      <c r="I23765" s="224"/>
    </row>
    <row r="23766" spans="1:9" x14ac:dyDescent="0.25">
      <c r="A23766" s="515">
        <v>50607</v>
      </c>
      <c r="C23766" s="52">
        <v>180495.27569653199</v>
      </c>
      <c r="D23766" s="56">
        <v>0.2008002066717548</v>
      </c>
      <c r="E23766" s="224" t="s">
        <v>2</v>
      </c>
      <c r="G23766" s="52"/>
      <c r="H23766" s="56"/>
      <c r="I23766" s="224"/>
    </row>
    <row r="23767" spans="1:9" x14ac:dyDescent="0.25">
      <c r="A23767" s="515">
        <v>60931</v>
      </c>
      <c r="C23767" s="52">
        <v>122598.338874722</v>
      </c>
      <c r="D23767" s="56">
        <v>0</v>
      </c>
      <c r="E23767" s="224" t="s">
        <v>2</v>
      </c>
      <c r="G23767" s="52"/>
      <c r="H23767" s="56"/>
      <c r="I23767" s="224"/>
    </row>
    <row r="23768" spans="1:9" x14ac:dyDescent="0.25">
      <c r="A23768" s="515">
        <v>52325</v>
      </c>
      <c r="C23768" s="52">
        <v>260131.47715680901</v>
      </c>
      <c r="D23768" s="56">
        <v>0.14116877411466375</v>
      </c>
      <c r="E23768" s="224" t="s">
        <v>2</v>
      </c>
      <c r="G23768" s="52"/>
      <c r="H23768" s="56"/>
      <c r="I23768" s="224"/>
    </row>
    <row r="23769" spans="1:9" x14ac:dyDescent="0.25">
      <c r="A23769" s="515">
        <v>57002</v>
      </c>
      <c r="B23769" s="515" t="s">
        <v>895</v>
      </c>
      <c r="C23769" s="52">
        <v>247811.980939292</v>
      </c>
      <c r="D23769" s="56">
        <v>9.2846253842112772E-2</v>
      </c>
      <c r="E23769" s="224" t="s">
        <v>2</v>
      </c>
      <c r="G23769" s="52"/>
      <c r="H23769" s="56"/>
      <c r="I23769" s="224"/>
    </row>
    <row r="23770" spans="1:9" x14ac:dyDescent="0.25">
      <c r="A23770" s="515">
        <v>62314</v>
      </c>
      <c r="C23770" s="52">
        <v>80457.289855072406</v>
      </c>
      <c r="D23770" s="56">
        <v>0</v>
      </c>
      <c r="E23770" s="224" t="s">
        <v>2</v>
      </c>
      <c r="G23770" s="52"/>
      <c r="H23770" s="56"/>
      <c r="I23770" s="224"/>
    </row>
    <row r="23771" spans="1:9" x14ac:dyDescent="0.25">
      <c r="A23771" s="515">
        <v>56748</v>
      </c>
      <c r="C23771" s="52">
        <v>180287.237873526</v>
      </c>
      <c r="D23771" s="56">
        <v>2.2337313117594452E-3</v>
      </c>
      <c r="E23771" s="224" t="s">
        <v>2</v>
      </c>
      <c r="G23771" s="52"/>
      <c r="H23771" s="56"/>
      <c r="I23771" s="224"/>
    </row>
    <row r="23772" spans="1:9" x14ac:dyDescent="0.25">
      <c r="A23772" s="515">
        <v>50483</v>
      </c>
      <c r="C23772" s="52">
        <v>137652.26095359901</v>
      </c>
      <c r="D23772" s="56">
        <v>0</v>
      </c>
      <c r="E23772" s="224" t="s">
        <v>2</v>
      </c>
      <c r="G23772" s="52"/>
      <c r="H23772" s="56"/>
      <c r="I23772" s="224"/>
    </row>
    <row r="23773" spans="1:9" x14ac:dyDescent="0.25">
      <c r="A23773" s="515">
        <v>54530</v>
      </c>
      <c r="C23773" s="52">
        <v>106069.79371831</v>
      </c>
      <c r="D23773" s="56">
        <v>7.7846001328401512E-2</v>
      </c>
      <c r="E23773" s="224" t="s">
        <v>2</v>
      </c>
      <c r="G23773" s="52"/>
      <c r="H23773" s="56"/>
      <c r="I23773" s="224"/>
    </row>
    <row r="23774" spans="1:9" x14ac:dyDescent="0.25">
      <c r="A23774" s="515">
        <v>74632</v>
      </c>
      <c r="B23774" s="515" t="s">
        <v>758</v>
      </c>
      <c r="C23774" s="52">
        <v>100650.857532173</v>
      </c>
      <c r="D23774" s="56">
        <v>9.3905317183821446E-2</v>
      </c>
      <c r="E23774" s="224" t="s">
        <v>2</v>
      </c>
      <c r="G23774" s="52"/>
      <c r="H23774" s="56"/>
      <c r="I23774" s="224"/>
    </row>
    <row r="23775" spans="1:9" x14ac:dyDescent="0.25">
      <c r="A23775" s="515">
        <v>69120</v>
      </c>
      <c r="C23775" s="52">
        <v>131705.72718467299</v>
      </c>
      <c r="D23775" s="56">
        <v>0</v>
      </c>
      <c r="E23775" s="224" t="s">
        <v>2</v>
      </c>
      <c r="G23775" s="52"/>
      <c r="H23775" s="56"/>
      <c r="I23775" s="224"/>
    </row>
    <row r="23776" spans="1:9" x14ac:dyDescent="0.25">
      <c r="A23776" s="515">
        <v>62880</v>
      </c>
      <c r="C23776" s="52">
        <v>120374.098285264</v>
      </c>
      <c r="D23776" s="56">
        <v>0</v>
      </c>
      <c r="E23776" s="224" t="s">
        <v>2</v>
      </c>
      <c r="G23776" s="52"/>
      <c r="H23776" s="56"/>
      <c r="I23776" s="224"/>
    </row>
    <row r="23777" spans="1:9" x14ac:dyDescent="0.25">
      <c r="A23777" s="515">
        <v>12473</v>
      </c>
      <c r="C23777" s="52">
        <v>302243.298309003</v>
      </c>
      <c r="D23777" s="56">
        <v>8.5875159884937616E-2</v>
      </c>
      <c r="E23777" s="224" t="s">
        <v>2</v>
      </c>
      <c r="G23777" s="52"/>
      <c r="H23777" s="56"/>
      <c r="I23777" s="224"/>
    </row>
    <row r="23778" spans="1:9" x14ac:dyDescent="0.25">
      <c r="A23778" s="515">
        <v>6065</v>
      </c>
      <c r="B23778" s="515" t="s">
        <v>894</v>
      </c>
      <c r="C23778" s="52">
        <v>345850.14354621503</v>
      </c>
      <c r="D23778" s="56">
        <v>0.11095346201933341</v>
      </c>
      <c r="E23778" s="224" t="s">
        <v>2</v>
      </c>
      <c r="G23778" s="52"/>
      <c r="H23778" s="56"/>
      <c r="I23778" s="224"/>
    </row>
    <row r="23779" spans="1:9" x14ac:dyDescent="0.25">
      <c r="A23779" s="515">
        <v>5350</v>
      </c>
      <c r="B23779" s="515" t="s">
        <v>657</v>
      </c>
      <c r="C23779" s="52">
        <v>228359.416376662</v>
      </c>
      <c r="D23779" s="56">
        <v>0.13210262293010452</v>
      </c>
      <c r="E23779" s="224" t="s">
        <v>2</v>
      </c>
      <c r="G23779" s="52"/>
      <c r="H23779" s="56"/>
      <c r="I23779" s="224"/>
    </row>
    <row r="23780" spans="1:9" x14ac:dyDescent="0.25">
      <c r="A23780" s="515">
        <v>51532</v>
      </c>
      <c r="C23780" s="52">
        <v>109226.76815333399</v>
      </c>
      <c r="D23780" s="56">
        <v>0.10452082583427645</v>
      </c>
      <c r="E23780" s="224" t="s">
        <v>2</v>
      </c>
      <c r="G23780" s="52"/>
      <c r="H23780" s="56"/>
      <c r="I23780" s="224"/>
    </row>
    <row r="23781" spans="1:9" x14ac:dyDescent="0.25">
      <c r="A23781" s="515">
        <v>63446</v>
      </c>
      <c r="C23781" s="52">
        <v>135613.91105593101</v>
      </c>
      <c r="D23781" s="56">
        <v>9.0514991754534785E-2</v>
      </c>
      <c r="E23781" s="224" t="s">
        <v>2</v>
      </c>
      <c r="G23781" s="52"/>
      <c r="H23781" s="56"/>
      <c r="I23781" s="224"/>
    </row>
    <row r="23782" spans="1:9" x14ac:dyDescent="0.25">
      <c r="A23782" s="515">
        <v>26705</v>
      </c>
      <c r="B23782" s="515" t="s">
        <v>643</v>
      </c>
      <c r="C23782" s="52">
        <v>124954.598930887</v>
      </c>
      <c r="D23782" s="56">
        <v>4.1449910440689394E-2</v>
      </c>
      <c r="E23782" s="224" t="s">
        <v>2</v>
      </c>
      <c r="G23782" s="52"/>
      <c r="H23782" s="56"/>
      <c r="I23782" s="224"/>
    </row>
    <row r="23783" spans="1:9" x14ac:dyDescent="0.25">
      <c r="A23783" s="515">
        <v>56350</v>
      </c>
      <c r="C23783" s="52">
        <v>157101.53935993501</v>
      </c>
      <c r="D23783" s="56">
        <v>0.10967838084814915</v>
      </c>
      <c r="E23783" s="224" t="s">
        <v>2</v>
      </c>
      <c r="G23783" s="52"/>
      <c r="H23783" s="56"/>
      <c r="I23783" s="224"/>
    </row>
    <row r="23784" spans="1:9" x14ac:dyDescent="0.25">
      <c r="A23784" s="515">
        <v>41616</v>
      </c>
      <c r="C23784" s="52">
        <v>59592.815899353503</v>
      </c>
      <c r="D23784" s="56">
        <v>0.17849006374289386</v>
      </c>
      <c r="E23784" s="224" t="s">
        <v>2</v>
      </c>
      <c r="G23784" s="52"/>
      <c r="H23784" s="56"/>
      <c r="I23784" s="224"/>
    </row>
    <row r="23785" spans="1:9" x14ac:dyDescent="0.25">
      <c r="A23785" s="515">
        <v>87418</v>
      </c>
      <c r="B23785" s="515" t="s">
        <v>893</v>
      </c>
      <c r="C23785" s="52">
        <v>230225.67299492401</v>
      </c>
      <c r="D23785" s="56">
        <v>9.5191689574178923E-2</v>
      </c>
      <c r="E23785" s="224" t="s">
        <v>2</v>
      </c>
      <c r="G23785" s="52"/>
      <c r="H23785" s="56"/>
      <c r="I23785" s="224"/>
    </row>
    <row r="23786" spans="1:9" x14ac:dyDescent="0.25">
      <c r="A23786" s="515">
        <v>13813</v>
      </c>
      <c r="B23786" s="515" t="s">
        <v>840</v>
      </c>
      <c r="C23786" s="52">
        <v>162145.660885769</v>
      </c>
      <c r="D23786" s="56">
        <v>6.4595211541038658E-2</v>
      </c>
      <c r="E23786" s="224" t="s">
        <v>2</v>
      </c>
      <c r="G23786" s="52"/>
      <c r="H23786" s="56"/>
      <c r="I23786" s="224"/>
    </row>
    <row r="23787" spans="1:9" x14ac:dyDescent="0.25">
      <c r="A23787" s="515">
        <v>23303</v>
      </c>
      <c r="C23787" s="52">
        <v>200670.19298245601</v>
      </c>
      <c r="D23787" s="56">
        <v>0</v>
      </c>
      <c r="E23787" s="224" t="s">
        <v>2</v>
      </c>
      <c r="G23787" s="52"/>
      <c r="H23787" s="56"/>
      <c r="I23787" s="224"/>
    </row>
    <row r="23788" spans="1:9" x14ac:dyDescent="0.25">
      <c r="A23788" s="515">
        <v>48619</v>
      </c>
      <c r="C23788" s="52">
        <v>118904.251963109</v>
      </c>
      <c r="D23788" s="56">
        <v>9.5897844784740213E-2</v>
      </c>
      <c r="E23788" s="224" t="s">
        <v>2</v>
      </c>
      <c r="G23788" s="52"/>
      <c r="H23788" s="56"/>
      <c r="I23788" s="224"/>
    </row>
    <row r="23789" spans="1:9" x14ac:dyDescent="0.25">
      <c r="A23789" s="515">
        <v>56448</v>
      </c>
      <c r="B23789" s="515" t="s">
        <v>674</v>
      </c>
      <c r="C23789" s="52">
        <v>360417.04318526102</v>
      </c>
      <c r="D23789" s="56">
        <v>0.11810492300875283</v>
      </c>
      <c r="E23789" s="224" t="s">
        <v>2</v>
      </c>
      <c r="G23789" s="52"/>
      <c r="H23789" s="56"/>
      <c r="I23789" s="224"/>
    </row>
    <row r="23790" spans="1:9" x14ac:dyDescent="0.25">
      <c r="A23790" s="515">
        <v>56742</v>
      </c>
      <c r="C23790" s="52">
        <v>137715.217202378</v>
      </c>
      <c r="D23790" s="56">
        <v>6.9399063020277485E-2</v>
      </c>
      <c r="E23790" s="224" t="s">
        <v>2</v>
      </c>
      <c r="G23790" s="52"/>
      <c r="H23790" s="56"/>
      <c r="I23790" s="224"/>
    </row>
    <row r="23791" spans="1:9" x14ac:dyDescent="0.25">
      <c r="A23791" s="515">
        <v>16849</v>
      </c>
      <c r="B23791" s="515" t="s">
        <v>876</v>
      </c>
      <c r="C23791" s="52">
        <v>120604.666666666</v>
      </c>
      <c r="D23791" s="56">
        <v>0</v>
      </c>
      <c r="E23791" s="224" t="s">
        <v>2</v>
      </c>
      <c r="G23791" s="52"/>
      <c r="H23791" s="56"/>
      <c r="I23791" s="224"/>
    </row>
    <row r="23792" spans="1:9" x14ac:dyDescent="0.25">
      <c r="A23792" s="515">
        <v>40152</v>
      </c>
      <c r="C23792" s="52">
        <v>138886.87124476899</v>
      </c>
      <c r="D23792" s="56">
        <v>0.13743943000144046</v>
      </c>
      <c r="E23792" s="224" t="s">
        <v>2</v>
      </c>
      <c r="G23792" s="52"/>
      <c r="H23792" s="56"/>
      <c r="I23792" s="224"/>
    </row>
    <row r="23793" spans="1:9" x14ac:dyDescent="0.25">
      <c r="A23793" s="515">
        <v>76666</v>
      </c>
      <c r="C23793" s="52">
        <v>165103.904963712</v>
      </c>
      <c r="D23793" s="56">
        <v>0</v>
      </c>
      <c r="E23793" s="224" t="s">
        <v>2</v>
      </c>
      <c r="G23793" s="52"/>
      <c r="H23793" s="56"/>
      <c r="I23793" s="224"/>
    </row>
    <row r="23794" spans="1:9" x14ac:dyDescent="0.25">
      <c r="A23794" s="515">
        <v>59446</v>
      </c>
      <c r="C23794" s="52">
        <v>221688.98297549499</v>
      </c>
      <c r="D23794" s="56">
        <v>0.13924966659347907</v>
      </c>
      <c r="E23794" s="224" t="s">
        <v>2</v>
      </c>
      <c r="G23794" s="52"/>
      <c r="H23794" s="56"/>
      <c r="I23794" s="224"/>
    </row>
    <row r="23795" spans="1:9" x14ac:dyDescent="0.25">
      <c r="A23795" s="515">
        <v>52745</v>
      </c>
      <c r="B23795" s="515" t="s">
        <v>439</v>
      </c>
      <c r="C23795" s="52">
        <v>207467.97763871701</v>
      </c>
      <c r="D23795" s="56">
        <v>6.7422733531501022E-2</v>
      </c>
      <c r="E23795" s="224" t="s">
        <v>2</v>
      </c>
      <c r="G23795" s="52"/>
      <c r="H23795" s="56"/>
      <c r="I23795" s="224"/>
    </row>
    <row r="23796" spans="1:9" x14ac:dyDescent="0.25">
      <c r="A23796" s="515">
        <v>71473</v>
      </c>
      <c r="C23796" s="52">
        <v>80122.580645161201</v>
      </c>
      <c r="D23796" s="56">
        <v>0</v>
      </c>
      <c r="E23796" s="224" t="s">
        <v>2</v>
      </c>
      <c r="G23796" s="52"/>
      <c r="H23796" s="56"/>
      <c r="I23796" s="224"/>
    </row>
    <row r="23797" spans="1:9" x14ac:dyDescent="0.25">
      <c r="A23797" s="515">
        <v>51022</v>
      </c>
      <c r="C23797" s="52">
        <v>184932.14250503099</v>
      </c>
      <c r="D23797" s="56">
        <v>8.8869382464748112E-2</v>
      </c>
      <c r="E23797" s="224" t="s">
        <v>2</v>
      </c>
      <c r="G23797" s="52"/>
      <c r="H23797" s="56"/>
      <c r="I23797" s="224"/>
    </row>
    <row r="23798" spans="1:9" x14ac:dyDescent="0.25">
      <c r="A23798" s="515">
        <v>61872</v>
      </c>
      <c r="B23798" s="515" t="s">
        <v>417</v>
      </c>
      <c r="C23798" s="52">
        <v>145565.935158576</v>
      </c>
      <c r="D23798" s="56">
        <v>1.8859216006500354E-2</v>
      </c>
      <c r="E23798" s="224" t="s">
        <v>2</v>
      </c>
      <c r="G23798" s="52"/>
      <c r="H23798" s="56"/>
      <c r="I23798" s="224"/>
    </row>
    <row r="23799" spans="1:9" x14ac:dyDescent="0.25">
      <c r="A23799" s="515">
        <v>52207</v>
      </c>
      <c r="C23799" s="52">
        <v>188138.96639365901</v>
      </c>
      <c r="D23799" s="56">
        <v>0</v>
      </c>
      <c r="E23799" s="224" t="s">
        <v>2</v>
      </c>
      <c r="G23799" s="52"/>
      <c r="H23799" s="56"/>
      <c r="I23799" s="224"/>
    </row>
    <row r="23800" spans="1:9" x14ac:dyDescent="0.25">
      <c r="A23800" s="515">
        <v>38953</v>
      </c>
      <c r="C23800" s="52">
        <v>113002.915788014</v>
      </c>
      <c r="D23800" s="56">
        <v>-6.5533731690295055E-2</v>
      </c>
      <c r="E23800" s="224" t="s">
        <v>2</v>
      </c>
      <c r="G23800" s="52"/>
      <c r="H23800" s="56"/>
      <c r="I23800" s="224"/>
    </row>
    <row r="23801" spans="1:9" x14ac:dyDescent="0.25">
      <c r="A23801" s="515">
        <v>67354</v>
      </c>
      <c r="B23801" s="515" t="s">
        <v>656</v>
      </c>
      <c r="C23801" s="52">
        <v>106135.750705317</v>
      </c>
      <c r="D23801" s="56">
        <v>0.11993212978596775</v>
      </c>
      <c r="E23801" s="224" t="s">
        <v>2</v>
      </c>
      <c r="G23801" s="52"/>
      <c r="H23801" s="56"/>
      <c r="I23801" s="224"/>
    </row>
    <row r="23802" spans="1:9" x14ac:dyDescent="0.25">
      <c r="A23802" s="515">
        <v>84747</v>
      </c>
      <c r="C23802" s="52">
        <v>340693.97261637298</v>
      </c>
      <c r="D23802" s="56">
        <v>0</v>
      </c>
      <c r="E23802" s="224" t="s">
        <v>2</v>
      </c>
      <c r="G23802" s="52"/>
      <c r="H23802" s="56"/>
      <c r="I23802" s="224"/>
    </row>
    <row r="23803" spans="1:9" x14ac:dyDescent="0.25">
      <c r="A23803" s="515">
        <v>68810</v>
      </c>
      <c r="B23803" s="515" t="s">
        <v>650</v>
      </c>
      <c r="C23803" s="52">
        <v>156987.514339688</v>
      </c>
      <c r="D23803" s="56">
        <v>8.8205250517914141E-2</v>
      </c>
      <c r="E23803" s="224" t="s">
        <v>2</v>
      </c>
      <c r="G23803" s="52"/>
      <c r="H23803" s="56"/>
      <c r="I23803" s="224"/>
    </row>
    <row r="23804" spans="1:9" x14ac:dyDescent="0.25">
      <c r="A23804" s="515">
        <v>38471</v>
      </c>
      <c r="C23804" s="52">
        <v>171608.30446152401</v>
      </c>
      <c r="D23804" s="56">
        <v>0</v>
      </c>
      <c r="E23804" s="224" t="s">
        <v>2</v>
      </c>
      <c r="G23804" s="52"/>
      <c r="H23804" s="56"/>
      <c r="I23804" s="224"/>
    </row>
    <row r="23805" spans="1:9" x14ac:dyDescent="0.25">
      <c r="A23805" s="515">
        <v>52594</v>
      </c>
      <c r="C23805" s="52">
        <v>151963.05646787799</v>
      </c>
      <c r="D23805" s="56">
        <v>0</v>
      </c>
      <c r="E23805" s="224" t="s">
        <v>2</v>
      </c>
      <c r="G23805" s="52"/>
      <c r="H23805" s="56"/>
      <c r="I23805" s="224"/>
    </row>
    <row r="23806" spans="1:9" x14ac:dyDescent="0.25">
      <c r="A23806" s="515">
        <v>79530</v>
      </c>
      <c r="B23806" s="515" t="s">
        <v>704</v>
      </c>
      <c r="C23806" s="52">
        <v>135706.77295577401</v>
      </c>
      <c r="D23806" s="56">
        <v>5.9310952559069327E-3</v>
      </c>
      <c r="E23806" s="224" t="s">
        <v>2</v>
      </c>
      <c r="G23806" s="52"/>
      <c r="H23806" s="56"/>
      <c r="I23806" s="224"/>
    </row>
    <row r="23807" spans="1:9" x14ac:dyDescent="0.25">
      <c r="A23807" s="515">
        <v>63087</v>
      </c>
      <c r="B23807" s="515" t="s">
        <v>817</v>
      </c>
      <c r="C23807" s="52">
        <v>233013.50755007399</v>
      </c>
      <c r="D23807" s="56">
        <v>9.5534690700826361E-2</v>
      </c>
      <c r="E23807" s="224" t="s">
        <v>2</v>
      </c>
      <c r="G23807" s="52"/>
      <c r="H23807" s="56"/>
      <c r="I23807" s="224"/>
    </row>
    <row r="23808" spans="1:9" x14ac:dyDescent="0.25">
      <c r="A23808" s="515">
        <v>40826</v>
      </c>
      <c r="C23808" s="52">
        <v>58867.976111381402</v>
      </c>
      <c r="D23808" s="56">
        <v>0.19062053386533079</v>
      </c>
      <c r="E23808" s="224" t="s">
        <v>2</v>
      </c>
      <c r="G23808" s="52"/>
      <c r="H23808" s="56"/>
      <c r="I23808" s="224"/>
    </row>
    <row r="23809" spans="1:9" x14ac:dyDescent="0.25">
      <c r="A23809" s="515">
        <v>61778</v>
      </c>
      <c r="C23809" s="52">
        <v>99094.5</v>
      </c>
      <c r="D23809" s="56">
        <v>0</v>
      </c>
      <c r="E23809" s="224" t="s">
        <v>2</v>
      </c>
      <c r="G23809" s="52"/>
      <c r="H23809" s="56"/>
      <c r="I23809" s="224"/>
    </row>
    <row r="23810" spans="1:9" x14ac:dyDescent="0.25">
      <c r="A23810" s="515">
        <v>68517</v>
      </c>
      <c r="B23810" s="515" t="s">
        <v>486</v>
      </c>
      <c r="C23810" s="52">
        <v>487741.15451086301</v>
      </c>
      <c r="D23810" s="56">
        <v>0.10579169855711749</v>
      </c>
      <c r="E23810" s="224" t="s">
        <v>2</v>
      </c>
      <c r="G23810" s="52"/>
      <c r="H23810" s="56"/>
      <c r="I23810" s="224"/>
    </row>
    <row r="23811" spans="1:9" x14ac:dyDescent="0.25">
      <c r="A23811" s="515">
        <v>57020</v>
      </c>
      <c r="B23811" s="515" t="s">
        <v>579</v>
      </c>
      <c r="C23811" s="52">
        <v>328230.880681818</v>
      </c>
      <c r="D23811" s="56">
        <v>0</v>
      </c>
      <c r="E23811" s="224" t="s">
        <v>2</v>
      </c>
      <c r="G23811" s="52"/>
      <c r="H23811" s="56"/>
      <c r="I23811" s="224"/>
    </row>
    <row r="23812" spans="1:9" x14ac:dyDescent="0.25">
      <c r="A23812" s="515">
        <v>46048</v>
      </c>
      <c r="B23812" s="515" t="s">
        <v>403</v>
      </c>
      <c r="C23812" s="52">
        <v>187274.06330238099</v>
      </c>
      <c r="D23812" s="56">
        <v>9.631945679548562E-2</v>
      </c>
      <c r="E23812" s="224" t="s">
        <v>2</v>
      </c>
      <c r="G23812" s="52"/>
      <c r="H23812" s="56"/>
      <c r="I23812" s="224"/>
    </row>
    <row r="23813" spans="1:9" x14ac:dyDescent="0.25">
      <c r="A23813" s="515">
        <v>71725</v>
      </c>
      <c r="C23813" s="52">
        <v>38059.123076923002</v>
      </c>
      <c r="D23813" s="56">
        <v>0</v>
      </c>
      <c r="E23813" s="224" t="s">
        <v>2</v>
      </c>
      <c r="G23813" s="52"/>
      <c r="H23813" s="56"/>
      <c r="I23813" s="224"/>
    </row>
    <row r="23814" spans="1:9" x14ac:dyDescent="0.25">
      <c r="A23814" s="515">
        <v>63388</v>
      </c>
      <c r="B23814" s="515" t="s">
        <v>711</v>
      </c>
      <c r="C23814" s="52">
        <v>159397.42534675699</v>
      </c>
      <c r="D23814" s="56">
        <v>8.1834320732768959E-2</v>
      </c>
      <c r="E23814" s="224" t="s">
        <v>2</v>
      </c>
      <c r="G23814" s="52"/>
      <c r="H23814" s="56"/>
      <c r="I23814" s="224"/>
    </row>
    <row r="23815" spans="1:9" x14ac:dyDescent="0.25">
      <c r="A23815" s="515">
        <v>26237</v>
      </c>
      <c r="C23815" s="52">
        <v>101182.31859126</v>
      </c>
      <c r="D23815" s="56">
        <v>5.1041628668465372E-2</v>
      </c>
      <c r="E23815" s="224" t="s">
        <v>2</v>
      </c>
      <c r="G23815" s="52"/>
      <c r="H23815" s="56"/>
      <c r="I23815" s="224"/>
    </row>
    <row r="23816" spans="1:9" x14ac:dyDescent="0.25">
      <c r="A23816" s="515">
        <v>43535</v>
      </c>
      <c r="C23816" s="52">
        <v>146470.39090006499</v>
      </c>
      <c r="D23816" s="56">
        <v>6.3585594663796999E-2</v>
      </c>
      <c r="E23816" s="224" t="s">
        <v>2</v>
      </c>
      <c r="G23816" s="52"/>
      <c r="H23816" s="56"/>
      <c r="I23816" s="224"/>
    </row>
    <row r="23817" spans="1:9" x14ac:dyDescent="0.25">
      <c r="A23817" s="515">
        <v>1379</v>
      </c>
      <c r="B23817" s="515" t="s">
        <v>575</v>
      </c>
      <c r="C23817" s="52">
        <v>263181.16956148599</v>
      </c>
      <c r="D23817" s="56">
        <v>0.10524183355651462</v>
      </c>
      <c r="E23817" s="224" t="s">
        <v>2</v>
      </c>
      <c r="G23817" s="52"/>
      <c r="H23817" s="56"/>
      <c r="I23817" s="224"/>
    </row>
    <row r="23818" spans="1:9" x14ac:dyDescent="0.25">
      <c r="A23818" s="515">
        <v>65244</v>
      </c>
      <c r="B23818" s="515" t="s">
        <v>790</v>
      </c>
      <c r="C23818" s="52">
        <v>174015.91856116301</v>
      </c>
      <c r="D23818" s="56">
        <v>0.12095317794085211</v>
      </c>
      <c r="E23818" s="224" t="s">
        <v>2</v>
      </c>
      <c r="G23818" s="52"/>
      <c r="H23818" s="56"/>
      <c r="I23818" s="224"/>
    </row>
    <row r="23819" spans="1:9" x14ac:dyDescent="0.25">
      <c r="A23819" s="515">
        <v>68835</v>
      </c>
      <c r="B23819" s="515" t="s">
        <v>650</v>
      </c>
      <c r="C23819" s="52">
        <v>183084.25542320299</v>
      </c>
      <c r="D23819" s="56">
        <v>0.14230954195252118</v>
      </c>
      <c r="E23819" s="224" t="s">
        <v>2</v>
      </c>
      <c r="G23819" s="52"/>
      <c r="H23819" s="56"/>
      <c r="I23819" s="224"/>
    </row>
    <row r="23820" spans="1:9" x14ac:dyDescent="0.25">
      <c r="A23820" s="515">
        <v>97346</v>
      </c>
      <c r="B23820" s="515" t="s">
        <v>591</v>
      </c>
      <c r="C23820" s="52">
        <v>389670.73700717301</v>
      </c>
      <c r="D23820" s="56">
        <v>1.0985083076691549E-2</v>
      </c>
      <c r="E23820" s="224" t="s">
        <v>2</v>
      </c>
      <c r="G23820" s="52"/>
      <c r="H23820" s="56"/>
      <c r="I23820" s="224"/>
    </row>
    <row r="23821" spans="1:9" x14ac:dyDescent="0.25">
      <c r="A23821" s="515">
        <v>12035</v>
      </c>
      <c r="B23821" s="515" t="s">
        <v>609</v>
      </c>
      <c r="C23821" s="52">
        <v>181630.75601531399</v>
      </c>
      <c r="D23821" s="56">
        <v>0.10295461098073724</v>
      </c>
      <c r="E23821" s="224" t="s">
        <v>2</v>
      </c>
      <c r="G23821" s="52"/>
      <c r="H23821" s="56"/>
      <c r="I23821" s="224"/>
    </row>
    <row r="23822" spans="1:9" x14ac:dyDescent="0.25">
      <c r="A23822" s="515">
        <v>49066</v>
      </c>
      <c r="B23822" s="515" t="s">
        <v>892</v>
      </c>
      <c r="C23822" s="52">
        <v>153510.11278729601</v>
      </c>
      <c r="D23822" s="56">
        <v>0.12936725677292468</v>
      </c>
      <c r="E23822" s="224" t="s">
        <v>2</v>
      </c>
      <c r="G23822" s="52"/>
      <c r="H23822" s="56"/>
      <c r="I23822" s="224"/>
    </row>
    <row r="23823" spans="1:9" x14ac:dyDescent="0.25">
      <c r="A23823" s="515">
        <v>61771</v>
      </c>
      <c r="B23823" s="515" t="s">
        <v>303</v>
      </c>
      <c r="C23823" s="52">
        <v>163763.249408153</v>
      </c>
      <c r="D23823" s="56">
        <v>4.9938653070892521E-2</v>
      </c>
      <c r="E23823" s="224" t="s">
        <v>2</v>
      </c>
      <c r="G23823" s="52"/>
      <c r="H23823" s="56"/>
      <c r="I23823" s="224"/>
    </row>
    <row r="23824" spans="1:9" x14ac:dyDescent="0.25">
      <c r="A23824" s="515">
        <v>60968</v>
      </c>
      <c r="C23824" s="52">
        <v>107078.310050742</v>
      </c>
      <c r="D23824" s="56">
        <v>1.8905193355271015E-2</v>
      </c>
      <c r="E23824" s="224" t="s">
        <v>2</v>
      </c>
      <c r="G23824" s="52"/>
      <c r="H23824" s="56"/>
      <c r="I23824" s="224"/>
    </row>
    <row r="23825" spans="1:9" x14ac:dyDescent="0.25">
      <c r="A23825" s="515">
        <v>23092</v>
      </c>
      <c r="C23825" s="52">
        <v>333313.68466983299</v>
      </c>
      <c r="D23825" s="56">
        <v>0.12044949043545013</v>
      </c>
      <c r="E23825" s="224" t="s">
        <v>2</v>
      </c>
      <c r="G23825" s="52"/>
      <c r="H23825" s="56"/>
      <c r="I23825" s="224"/>
    </row>
    <row r="23826" spans="1:9" x14ac:dyDescent="0.25">
      <c r="A23826" s="515">
        <v>36574</v>
      </c>
      <c r="B23826" s="515" t="s">
        <v>488</v>
      </c>
      <c r="C23826" s="52">
        <v>295524.506428205</v>
      </c>
      <c r="D23826" s="56">
        <v>9.2676710632931938E-2</v>
      </c>
      <c r="E23826" s="224" t="s">
        <v>2</v>
      </c>
      <c r="G23826" s="52"/>
      <c r="H23826" s="56"/>
      <c r="I23826" s="224"/>
    </row>
    <row r="23827" spans="1:9" x14ac:dyDescent="0.25">
      <c r="A23827" s="515">
        <v>78614</v>
      </c>
      <c r="C23827" s="52">
        <v>291721.63208463701</v>
      </c>
      <c r="D23827" s="56">
        <v>0</v>
      </c>
      <c r="E23827" s="224" t="s">
        <v>2</v>
      </c>
      <c r="G23827" s="52"/>
      <c r="H23827" s="56"/>
      <c r="I23827" s="224"/>
    </row>
    <row r="23828" spans="1:9" x14ac:dyDescent="0.25">
      <c r="A23828" s="515">
        <v>95919</v>
      </c>
      <c r="B23828" s="515" t="s">
        <v>796</v>
      </c>
      <c r="C23828" s="52">
        <v>321906.71309537999</v>
      </c>
      <c r="D23828" s="56">
        <v>-6.127563335610238E-2</v>
      </c>
      <c r="E23828" s="224" t="s">
        <v>2</v>
      </c>
      <c r="G23828" s="52"/>
      <c r="H23828" s="56"/>
      <c r="I23828" s="224"/>
    </row>
    <row r="23829" spans="1:9" x14ac:dyDescent="0.25">
      <c r="A23829" s="515">
        <v>76455</v>
      </c>
      <c r="C23829" s="52">
        <v>195913.72036626001</v>
      </c>
      <c r="D23829" s="56">
        <v>4.1723843732125399E-2</v>
      </c>
      <c r="E23829" s="224" t="s">
        <v>2</v>
      </c>
      <c r="G23829" s="52"/>
      <c r="H23829" s="56"/>
      <c r="I23829" s="224"/>
    </row>
    <row r="23830" spans="1:9" x14ac:dyDescent="0.25">
      <c r="A23830" s="515">
        <v>79543</v>
      </c>
      <c r="C23830" s="52">
        <v>90809.511241098502</v>
      </c>
      <c r="D23830" s="56">
        <v>0</v>
      </c>
      <c r="E23830" s="224" t="s">
        <v>2</v>
      </c>
      <c r="G23830" s="52"/>
      <c r="H23830" s="56"/>
      <c r="I23830" s="224"/>
    </row>
    <row r="23831" spans="1:9" x14ac:dyDescent="0.25">
      <c r="A23831" s="515">
        <v>82835</v>
      </c>
      <c r="B23831" s="515" t="s">
        <v>648</v>
      </c>
      <c r="C23831" s="52">
        <v>458239.78672419902</v>
      </c>
      <c r="D23831" s="56">
        <v>0.10993967520919894</v>
      </c>
      <c r="E23831" s="224" t="s">
        <v>2</v>
      </c>
      <c r="G23831" s="52"/>
      <c r="H23831" s="56"/>
      <c r="I23831" s="224"/>
    </row>
    <row r="23832" spans="1:9" x14ac:dyDescent="0.25">
      <c r="A23832" s="515">
        <v>40840</v>
      </c>
      <c r="C23832" s="52">
        <v>63547.092970565303</v>
      </c>
      <c r="D23832" s="56">
        <v>0.34124959585944914</v>
      </c>
      <c r="E23832" s="224" t="s">
        <v>2</v>
      </c>
      <c r="G23832" s="52"/>
      <c r="H23832" s="56"/>
      <c r="I23832" s="224"/>
    </row>
    <row r="23833" spans="1:9" x14ac:dyDescent="0.25">
      <c r="A23833" s="515">
        <v>56309</v>
      </c>
      <c r="C23833" s="52">
        <v>279244.58949427097</v>
      </c>
      <c r="D23833" s="56">
        <v>0.10680294401705552</v>
      </c>
      <c r="E23833" s="224" t="s">
        <v>2</v>
      </c>
      <c r="G23833" s="52"/>
      <c r="H23833" s="56"/>
      <c r="I23833" s="224"/>
    </row>
    <row r="23834" spans="1:9" x14ac:dyDescent="0.25">
      <c r="A23834" s="515">
        <v>12022</v>
      </c>
      <c r="B23834" s="515" t="s">
        <v>609</v>
      </c>
      <c r="C23834" s="52">
        <v>196613.54360677701</v>
      </c>
      <c r="D23834" s="56">
        <v>0.10564123847706457</v>
      </c>
      <c r="E23834" s="224" t="s">
        <v>2</v>
      </c>
      <c r="G23834" s="52"/>
      <c r="H23834" s="56"/>
      <c r="I23834" s="224"/>
    </row>
    <row r="23835" spans="1:9" x14ac:dyDescent="0.25">
      <c r="A23835" s="515">
        <v>50843</v>
      </c>
      <c r="C23835" s="52">
        <v>125483.613177662</v>
      </c>
      <c r="D23835" s="56">
        <v>0.16613420696724715</v>
      </c>
      <c r="E23835" s="224" t="s">
        <v>2</v>
      </c>
      <c r="G23835" s="52"/>
      <c r="H23835" s="56"/>
      <c r="I23835" s="224"/>
    </row>
    <row r="23836" spans="1:9" x14ac:dyDescent="0.25">
      <c r="A23836" s="515">
        <v>8323</v>
      </c>
      <c r="B23836" s="515" t="s">
        <v>557</v>
      </c>
      <c r="C23836" s="52">
        <v>236383.80018243901</v>
      </c>
      <c r="D23836" s="56">
        <v>9.7638119122602174E-2</v>
      </c>
      <c r="E23836" s="224" t="s">
        <v>2</v>
      </c>
      <c r="G23836" s="52"/>
      <c r="H23836" s="56"/>
      <c r="I23836" s="224"/>
    </row>
    <row r="23837" spans="1:9" x14ac:dyDescent="0.25">
      <c r="A23837" s="515">
        <v>42123</v>
      </c>
      <c r="B23837" s="515" t="s">
        <v>829</v>
      </c>
      <c r="C23837" s="52">
        <v>169365.27201226601</v>
      </c>
      <c r="D23837" s="56">
        <v>8.739764158655601E-2</v>
      </c>
      <c r="E23837" s="224" t="s">
        <v>2</v>
      </c>
      <c r="G23837" s="52"/>
      <c r="H23837" s="56"/>
      <c r="I23837" s="224"/>
    </row>
    <row r="23838" spans="1:9" x14ac:dyDescent="0.25">
      <c r="A23838" s="515">
        <v>68870</v>
      </c>
      <c r="B23838" s="515" t="s">
        <v>660</v>
      </c>
      <c r="C23838" s="52">
        <v>256081.88301491601</v>
      </c>
      <c r="D23838" s="56">
        <v>7.9528222058195139E-2</v>
      </c>
      <c r="E23838" s="224" t="s">
        <v>2</v>
      </c>
      <c r="G23838" s="52"/>
      <c r="H23838" s="56"/>
      <c r="I23838" s="224"/>
    </row>
    <row r="23839" spans="1:9" x14ac:dyDescent="0.25">
      <c r="A23839" s="515">
        <v>64483</v>
      </c>
      <c r="B23839" s="515" t="s">
        <v>371</v>
      </c>
      <c r="C23839" s="52">
        <v>177334.61015547701</v>
      </c>
      <c r="D23839" s="56">
        <v>5.3524045802072831E-2</v>
      </c>
      <c r="E23839" s="224" t="s">
        <v>2</v>
      </c>
      <c r="G23839" s="52"/>
      <c r="H23839" s="56"/>
      <c r="I23839" s="224"/>
    </row>
    <row r="23840" spans="1:9" x14ac:dyDescent="0.25">
      <c r="A23840" s="515">
        <v>47861</v>
      </c>
      <c r="B23840" s="515" t="s">
        <v>318</v>
      </c>
      <c r="C23840" s="52">
        <v>117934.209404093</v>
      </c>
      <c r="D23840" s="56">
        <v>0.15003249387974615</v>
      </c>
      <c r="E23840" s="224" t="s">
        <v>2</v>
      </c>
      <c r="G23840" s="52"/>
      <c r="H23840" s="56"/>
      <c r="I23840" s="224"/>
    </row>
    <row r="23841" spans="1:9" x14ac:dyDescent="0.25">
      <c r="A23841" s="515">
        <v>41203</v>
      </c>
      <c r="C23841" s="52">
        <v>74410.732395043902</v>
      </c>
      <c r="D23841" s="56">
        <v>0.32481813042764512</v>
      </c>
      <c r="E23841" s="224" t="s">
        <v>2</v>
      </c>
      <c r="G23841" s="52"/>
      <c r="H23841" s="56"/>
      <c r="I23841" s="224"/>
    </row>
    <row r="23842" spans="1:9" x14ac:dyDescent="0.25">
      <c r="A23842" s="515">
        <v>26167</v>
      </c>
      <c r="C23842" s="52">
        <v>95987.674809483404</v>
      </c>
      <c r="D23842" s="56">
        <v>1.981751822965936E-2</v>
      </c>
      <c r="E23842" s="224" t="s">
        <v>2</v>
      </c>
      <c r="G23842" s="52"/>
      <c r="H23842" s="56"/>
      <c r="I23842" s="224"/>
    </row>
    <row r="23843" spans="1:9" x14ac:dyDescent="0.25">
      <c r="A23843" s="515">
        <v>12433</v>
      </c>
      <c r="B23843" s="515" t="s">
        <v>307</v>
      </c>
      <c r="C23843" s="52">
        <v>497315.82888115401</v>
      </c>
      <c r="D23843" s="56">
        <v>0.13307891718376122</v>
      </c>
      <c r="E23843" s="224" t="s">
        <v>2</v>
      </c>
      <c r="G23843" s="52"/>
      <c r="H23843" s="56"/>
      <c r="I23843" s="224"/>
    </row>
    <row r="23844" spans="1:9" x14ac:dyDescent="0.25">
      <c r="A23844" s="515">
        <v>59479</v>
      </c>
      <c r="C23844" s="52">
        <v>221858.72144630001</v>
      </c>
      <c r="D23844" s="56">
        <v>3.5063363241280017E-2</v>
      </c>
      <c r="E23844" s="224" t="s">
        <v>2</v>
      </c>
      <c r="G23844" s="52"/>
      <c r="H23844" s="56"/>
      <c r="I23844" s="224"/>
    </row>
    <row r="23845" spans="1:9" x14ac:dyDescent="0.25">
      <c r="A23845" s="515">
        <v>68407</v>
      </c>
      <c r="B23845" s="515" t="s">
        <v>367</v>
      </c>
      <c r="C23845" s="52">
        <v>322985.05111532402</v>
      </c>
      <c r="D23845" s="56">
        <v>0.1218243546472698</v>
      </c>
      <c r="E23845" s="224" t="s">
        <v>2</v>
      </c>
      <c r="G23845" s="52"/>
      <c r="H23845" s="56"/>
      <c r="I23845" s="224"/>
    </row>
    <row r="23846" spans="1:9" x14ac:dyDescent="0.25">
      <c r="A23846" s="515">
        <v>29320</v>
      </c>
      <c r="B23846" s="515" t="s">
        <v>447</v>
      </c>
      <c r="C23846" s="52">
        <v>90170.152561085401</v>
      </c>
      <c r="D23846" s="56">
        <v>0.29171971392290091</v>
      </c>
      <c r="E23846" s="224" t="s">
        <v>2</v>
      </c>
      <c r="G23846" s="52"/>
      <c r="H23846" s="56"/>
      <c r="I23846" s="224"/>
    </row>
    <row r="23847" spans="1:9" x14ac:dyDescent="0.25">
      <c r="A23847" s="515">
        <v>66779</v>
      </c>
      <c r="C23847" s="52">
        <v>127768.142296958</v>
      </c>
      <c r="D23847" s="56">
        <v>0.26701948189437746</v>
      </c>
      <c r="E23847" s="224" t="s">
        <v>2</v>
      </c>
      <c r="G23847" s="52"/>
      <c r="H23847" s="56"/>
      <c r="I23847" s="224"/>
    </row>
    <row r="23848" spans="1:9" x14ac:dyDescent="0.25">
      <c r="A23848" s="515">
        <v>19979</v>
      </c>
      <c r="B23848" s="515" t="s">
        <v>410</v>
      </c>
      <c r="C23848" s="52">
        <v>295305.08230645902</v>
      </c>
      <c r="D23848" s="56">
        <v>6.945332114884975E-2</v>
      </c>
      <c r="E23848" s="224" t="s">
        <v>2</v>
      </c>
      <c r="G23848" s="52"/>
      <c r="H23848" s="56"/>
      <c r="I23848" s="224"/>
    </row>
    <row r="23849" spans="1:9" x14ac:dyDescent="0.25">
      <c r="A23849" s="515">
        <v>26343</v>
      </c>
      <c r="C23849" s="52">
        <v>106232.88492533901</v>
      </c>
      <c r="D23849" s="56">
        <v>8.6378874597070776E-2</v>
      </c>
      <c r="E23849" s="224" t="s">
        <v>2</v>
      </c>
      <c r="G23849" s="52"/>
      <c r="H23849" s="56"/>
      <c r="I23849" s="224"/>
    </row>
    <row r="23850" spans="1:9" x14ac:dyDescent="0.25">
      <c r="A23850" s="515">
        <v>63463</v>
      </c>
      <c r="B23850" s="515" t="s">
        <v>867</v>
      </c>
      <c r="C23850" s="52">
        <v>193113.925849019</v>
      </c>
      <c r="D23850" s="56">
        <v>6.9474749084401238E-2</v>
      </c>
      <c r="E23850" s="224" t="s">
        <v>2</v>
      </c>
      <c r="G23850" s="52"/>
      <c r="H23850" s="56"/>
      <c r="I23850" s="224"/>
    </row>
    <row r="23851" spans="1:9" x14ac:dyDescent="0.25">
      <c r="A23851" s="515">
        <v>24715</v>
      </c>
      <c r="B23851" s="515" t="s">
        <v>306</v>
      </c>
      <c r="C23851" s="52">
        <v>54120.472004319301</v>
      </c>
      <c r="D23851" s="56">
        <v>0.39913461743217893</v>
      </c>
      <c r="E23851" s="224" t="s">
        <v>2</v>
      </c>
      <c r="G23851" s="52"/>
      <c r="H23851" s="56"/>
      <c r="I23851" s="224"/>
    </row>
    <row r="23852" spans="1:9" x14ac:dyDescent="0.25">
      <c r="A23852" s="515">
        <v>41847</v>
      </c>
      <c r="C23852" s="52">
        <v>93680.350422047399</v>
      </c>
      <c r="D23852" s="56">
        <v>0.2223128427788085</v>
      </c>
      <c r="E23852" s="224" t="s">
        <v>2</v>
      </c>
      <c r="G23852" s="52"/>
      <c r="H23852" s="56"/>
      <c r="I23852" s="224"/>
    </row>
    <row r="23853" spans="1:9" x14ac:dyDescent="0.25">
      <c r="A23853" s="515">
        <v>37028</v>
      </c>
      <c r="B23853" s="515" t="s">
        <v>651</v>
      </c>
      <c r="C23853" s="52">
        <v>162168.33299774601</v>
      </c>
      <c r="D23853" s="56">
        <v>1.6802278801073506E-2</v>
      </c>
      <c r="E23853" s="224" t="s">
        <v>2</v>
      </c>
      <c r="G23853" s="52"/>
      <c r="H23853" s="56"/>
      <c r="I23853" s="224"/>
    </row>
    <row r="23854" spans="1:9" x14ac:dyDescent="0.25">
      <c r="A23854" s="515">
        <v>15490</v>
      </c>
      <c r="B23854" s="515" t="s">
        <v>297</v>
      </c>
      <c r="C23854" s="52">
        <v>166613.69830097401</v>
      </c>
      <c r="D23854" s="56">
        <v>1.9481052389562915E-2</v>
      </c>
      <c r="E23854" s="224" t="s">
        <v>2</v>
      </c>
      <c r="G23854" s="52"/>
      <c r="H23854" s="56"/>
      <c r="I23854" s="224"/>
    </row>
    <row r="23855" spans="1:9" x14ac:dyDescent="0.25">
      <c r="A23855" s="515">
        <v>42533</v>
      </c>
      <c r="B23855" s="515" t="s">
        <v>1145</v>
      </c>
      <c r="C23855" s="52">
        <v>130729.705522007</v>
      </c>
      <c r="D23855" s="56">
        <v>4.8676532352366651E-2</v>
      </c>
      <c r="E23855" s="224" t="s">
        <v>2</v>
      </c>
      <c r="G23855" s="52"/>
      <c r="H23855" s="56"/>
      <c r="I23855" s="224"/>
    </row>
    <row r="23856" spans="1:9" x14ac:dyDescent="0.25">
      <c r="A23856" s="515">
        <v>25573</v>
      </c>
      <c r="B23856" s="515" t="s">
        <v>322</v>
      </c>
      <c r="C23856" s="52">
        <v>115300.478556345</v>
      </c>
      <c r="D23856" s="56">
        <v>8.0202349132173736E-2</v>
      </c>
      <c r="E23856" s="224" t="s">
        <v>2</v>
      </c>
      <c r="G23856" s="52"/>
      <c r="H23856" s="56"/>
      <c r="I23856" s="224"/>
    </row>
    <row r="23857" spans="1:9" x14ac:dyDescent="0.25">
      <c r="A23857" s="515">
        <v>80428</v>
      </c>
      <c r="B23857" s="515" t="s">
        <v>536</v>
      </c>
      <c r="C23857" s="52">
        <v>795058.69912835397</v>
      </c>
      <c r="D23857" s="56">
        <v>0.13707490520769722</v>
      </c>
      <c r="E23857" s="224" t="s">
        <v>2</v>
      </c>
      <c r="G23857" s="52"/>
      <c r="H23857" s="56"/>
      <c r="I23857" s="224"/>
    </row>
    <row r="23858" spans="1:9" x14ac:dyDescent="0.25">
      <c r="A23858" s="515">
        <v>68780</v>
      </c>
      <c r="C23858" s="52">
        <v>188193.31609204199</v>
      </c>
      <c r="D23858" s="56">
        <v>8.8003005032505743E-2</v>
      </c>
      <c r="E23858" s="224" t="s">
        <v>2</v>
      </c>
      <c r="G23858" s="52"/>
      <c r="H23858" s="56"/>
      <c r="I23858" s="224"/>
    </row>
    <row r="23859" spans="1:9" x14ac:dyDescent="0.25">
      <c r="A23859" s="515">
        <v>61438</v>
      </c>
      <c r="B23859" s="515" t="s">
        <v>493</v>
      </c>
      <c r="C23859" s="52">
        <v>101897.489361702</v>
      </c>
      <c r="D23859" s="56">
        <v>0</v>
      </c>
      <c r="E23859" s="224" t="s">
        <v>2</v>
      </c>
      <c r="G23859" s="52"/>
      <c r="H23859" s="56"/>
      <c r="I23859" s="224"/>
    </row>
    <row r="23860" spans="1:9" x14ac:dyDescent="0.25">
      <c r="A23860" s="515">
        <v>42154</v>
      </c>
      <c r="B23860" s="515" t="s">
        <v>829</v>
      </c>
      <c r="C23860" s="52">
        <v>151683.33903137301</v>
      </c>
      <c r="D23860" s="56">
        <v>0.1417925911286633</v>
      </c>
      <c r="E23860" s="224" t="s">
        <v>2</v>
      </c>
      <c r="G23860" s="52"/>
      <c r="H23860" s="56"/>
      <c r="I23860" s="224"/>
    </row>
    <row r="23861" spans="1:9" x14ac:dyDescent="0.25">
      <c r="A23861" s="515">
        <v>62253</v>
      </c>
      <c r="B23861" s="515" t="s">
        <v>498</v>
      </c>
      <c r="C23861" s="52">
        <v>83812.825251528295</v>
      </c>
      <c r="D23861" s="56">
        <v>6.6411631719740877E-2</v>
      </c>
      <c r="E23861" s="224" t="s">
        <v>2</v>
      </c>
      <c r="G23861" s="52"/>
      <c r="H23861" s="56"/>
      <c r="I23861" s="224"/>
    </row>
    <row r="23862" spans="1:9" x14ac:dyDescent="0.25">
      <c r="A23862" s="515">
        <v>52209</v>
      </c>
      <c r="B23862" s="515" t="s">
        <v>404</v>
      </c>
      <c r="C23862" s="52">
        <v>181234.16969122499</v>
      </c>
      <c r="D23862" s="56">
        <v>7.2859978785366722E-2</v>
      </c>
      <c r="E23862" s="224" t="s">
        <v>2</v>
      </c>
      <c r="G23862" s="52"/>
      <c r="H23862" s="56"/>
      <c r="I23862" s="224"/>
    </row>
    <row r="23863" spans="1:9" x14ac:dyDescent="0.25">
      <c r="A23863" s="515">
        <v>46766</v>
      </c>
      <c r="B23863" s="515" t="s">
        <v>465</v>
      </c>
      <c r="C23863" s="52">
        <v>177153.12443999501</v>
      </c>
      <c r="D23863" s="56">
        <v>2.4935747752319302E-2</v>
      </c>
      <c r="E23863" s="224" t="s">
        <v>2</v>
      </c>
      <c r="G23863" s="52"/>
      <c r="H23863" s="56"/>
      <c r="I23863" s="224"/>
    </row>
    <row r="23864" spans="1:9" x14ac:dyDescent="0.25">
      <c r="A23864" s="515">
        <v>68875</v>
      </c>
      <c r="C23864" s="52">
        <v>149592.090876036</v>
      </c>
      <c r="D23864" s="56">
        <v>0.11656748421716158</v>
      </c>
      <c r="E23864" s="224" t="s">
        <v>2</v>
      </c>
      <c r="G23864" s="52"/>
      <c r="H23864" s="56"/>
      <c r="I23864" s="224"/>
    </row>
    <row r="23865" spans="1:9" x14ac:dyDescent="0.25">
      <c r="A23865" s="515">
        <v>26338</v>
      </c>
      <c r="C23865" s="52">
        <v>139078.24188355499</v>
      </c>
      <c r="D23865" s="56">
        <v>0.1204117562875263</v>
      </c>
      <c r="E23865" s="224" t="s">
        <v>2</v>
      </c>
      <c r="G23865" s="52"/>
      <c r="H23865" s="56"/>
      <c r="I23865" s="224"/>
    </row>
    <row r="23866" spans="1:9" x14ac:dyDescent="0.25">
      <c r="A23866" s="515">
        <v>66710</v>
      </c>
      <c r="C23866" s="52">
        <v>86394.327313379894</v>
      </c>
      <c r="D23866" s="56">
        <v>6.2816781080660647E-2</v>
      </c>
      <c r="E23866" s="224" t="s">
        <v>2</v>
      </c>
      <c r="G23866" s="52"/>
      <c r="H23866" s="56"/>
      <c r="I23866" s="224"/>
    </row>
    <row r="23867" spans="1:9" x14ac:dyDescent="0.25">
      <c r="A23867" s="515">
        <v>49701</v>
      </c>
      <c r="C23867" s="52">
        <v>242894.523951938</v>
      </c>
      <c r="D23867" s="56">
        <v>7.6068255525188352E-2</v>
      </c>
      <c r="E23867" s="224" t="s">
        <v>2</v>
      </c>
      <c r="G23867" s="52"/>
      <c r="H23867" s="56"/>
      <c r="I23867" s="224"/>
    </row>
    <row r="23868" spans="1:9" x14ac:dyDescent="0.25">
      <c r="A23868" s="515">
        <v>16420</v>
      </c>
      <c r="B23868" s="515" t="s">
        <v>584</v>
      </c>
      <c r="C23868" s="52">
        <v>110506.704474728</v>
      </c>
      <c r="D23868" s="56">
        <v>0.21272445059358724</v>
      </c>
      <c r="E23868" s="224" t="s">
        <v>2</v>
      </c>
      <c r="G23868" s="52"/>
      <c r="H23868" s="56"/>
      <c r="I23868" s="224"/>
    </row>
    <row r="23869" spans="1:9" x14ac:dyDescent="0.25">
      <c r="A23869" s="515">
        <v>50653</v>
      </c>
      <c r="C23869" s="52">
        <v>140388.60625871699</v>
      </c>
      <c r="D23869" s="56">
        <v>0.12715106734478121</v>
      </c>
      <c r="E23869" s="224" t="s">
        <v>2</v>
      </c>
      <c r="G23869" s="52"/>
      <c r="H23869" s="56"/>
      <c r="I23869" s="224"/>
    </row>
    <row r="23870" spans="1:9" x14ac:dyDescent="0.25">
      <c r="A23870" s="515">
        <v>47175</v>
      </c>
      <c r="C23870" s="52">
        <v>151626.391040268</v>
      </c>
      <c r="D23870" s="56">
        <v>7.693383997943129E-2</v>
      </c>
      <c r="E23870" s="224" t="s">
        <v>2</v>
      </c>
      <c r="G23870" s="52"/>
      <c r="H23870" s="56"/>
      <c r="I23870" s="224"/>
    </row>
    <row r="23871" spans="1:9" x14ac:dyDescent="0.25">
      <c r="A23871" s="515">
        <v>81058</v>
      </c>
      <c r="C23871" s="52">
        <v>152540.57448195</v>
      </c>
      <c r="D23871" s="56">
        <v>0.10041668909438659</v>
      </c>
      <c r="E23871" s="224" t="s">
        <v>2</v>
      </c>
      <c r="G23871" s="52"/>
      <c r="H23871" s="56"/>
      <c r="I23871" s="224"/>
    </row>
    <row r="23872" spans="1:9" x14ac:dyDescent="0.25">
      <c r="A23872" s="515">
        <v>40868</v>
      </c>
      <c r="C23872" s="52">
        <v>81313.032240926696</v>
      </c>
      <c r="D23872" s="56">
        <v>0.25160666121011438</v>
      </c>
      <c r="E23872" s="224" t="s">
        <v>2</v>
      </c>
      <c r="G23872" s="52"/>
      <c r="H23872" s="56"/>
      <c r="I23872" s="224"/>
    </row>
    <row r="23873" spans="1:9" x14ac:dyDescent="0.25">
      <c r="A23873" s="515">
        <v>27978</v>
      </c>
      <c r="B23873" s="515" t="s">
        <v>407</v>
      </c>
      <c r="C23873" s="52">
        <v>293360.56249163201</v>
      </c>
      <c r="D23873" s="56">
        <v>0.13072847024030282</v>
      </c>
      <c r="E23873" s="224" t="s">
        <v>2</v>
      </c>
      <c r="G23873" s="52"/>
      <c r="H23873" s="56"/>
      <c r="I23873" s="224"/>
    </row>
    <row r="23874" spans="1:9" x14ac:dyDescent="0.25">
      <c r="A23874" s="515">
        <v>50123</v>
      </c>
      <c r="C23874" s="52">
        <v>106099.300675461</v>
      </c>
      <c r="D23874" s="56">
        <v>0.12337728824650447</v>
      </c>
      <c r="E23874" s="224" t="s">
        <v>2</v>
      </c>
      <c r="G23874" s="52"/>
      <c r="H23874" s="56"/>
      <c r="I23874" s="224"/>
    </row>
    <row r="23875" spans="1:9" x14ac:dyDescent="0.25">
      <c r="A23875" s="515">
        <v>54428</v>
      </c>
      <c r="C23875" s="52">
        <v>226043.30884927299</v>
      </c>
      <c r="D23875" s="56">
        <v>9.4037092806656966E-2</v>
      </c>
      <c r="E23875" s="224" t="s">
        <v>2</v>
      </c>
      <c r="G23875" s="52"/>
      <c r="H23875" s="56"/>
      <c r="I23875" s="224"/>
    </row>
    <row r="23876" spans="1:9" x14ac:dyDescent="0.25">
      <c r="A23876" s="515">
        <v>4568</v>
      </c>
      <c r="C23876" s="52">
        <v>574263.52229127998</v>
      </c>
      <c r="D23876" s="56">
        <v>2.9883567862170481E-2</v>
      </c>
      <c r="E23876" s="224" t="s">
        <v>2</v>
      </c>
      <c r="G23876" s="52"/>
      <c r="H23876" s="56"/>
      <c r="I23876" s="224"/>
    </row>
    <row r="23877" spans="1:9" x14ac:dyDescent="0.25">
      <c r="A23877" s="515">
        <v>64475</v>
      </c>
      <c r="B23877" s="515" t="s">
        <v>749</v>
      </c>
      <c r="C23877" s="52">
        <v>153210.70951797301</v>
      </c>
      <c r="D23877" s="56">
        <v>8.2248369833736387E-2</v>
      </c>
      <c r="E23877" s="224" t="s">
        <v>2</v>
      </c>
      <c r="G23877" s="52"/>
      <c r="H23877" s="56"/>
      <c r="I23877" s="224"/>
    </row>
    <row r="23878" spans="1:9" x14ac:dyDescent="0.25">
      <c r="A23878" s="515">
        <v>77982</v>
      </c>
      <c r="B23878" s="515" t="s">
        <v>495</v>
      </c>
      <c r="C23878" s="52">
        <v>316811.78414858202</v>
      </c>
      <c r="D23878" s="56">
        <v>0.10906483889683931</v>
      </c>
      <c r="E23878" s="224" t="s">
        <v>2</v>
      </c>
      <c r="G23878" s="52"/>
      <c r="H23878" s="56"/>
      <c r="I23878" s="224"/>
    </row>
    <row r="23879" spans="1:9" x14ac:dyDescent="0.25">
      <c r="A23879" s="515">
        <v>96113</v>
      </c>
      <c r="B23879" s="515" t="s">
        <v>658</v>
      </c>
      <c r="C23879" s="52">
        <v>117716.845208051</v>
      </c>
      <c r="D23879" s="56">
        <v>2.5712537692549473E-2</v>
      </c>
      <c r="E23879" s="224" t="s">
        <v>2</v>
      </c>
      <c r="G23879" s="52"/>
      <c r="H23879" s="56"/>
      <c r="I23879" s="224"/>
    </row>
    <row r="23880" spans="1:9" x14ac:dyDescent="0.25">
      <c r="A23880" s="515">
        <v>68648</v>
      </c>
      <c r="B23880" s="515" t="s">
        <v>367</v>
      </c>
      <c r="C23880" s="52">
        <v>348214.21847386501</v>
      </c>
      <c r="D23880" s="56">
        <v>0.14823979751934785</v>
      </c>
      <c r="E23880" s="224" t="s">
        <v>2</v>
      </c>
      <c r="G23880" s="52"/>
      <c r="H23880" s="56"/>
      <c r="I23880" s="224"/>
    </row>
    <row r="23881" spans="1:9" x14ac:dyDescent="0.25">
      <c r="A23881" s="515">
        <v>42722</v>
      </c>
      <c r="C23881" s="52">
        <v>162287.65019495599</v>
      </c>
      <c r="D23881" s="56">
        <v>0.16278583936387969</v>
      </c>
      <c r="E23881" s="224" t="s">
        <v>2</v>
      </c>
      <c r="G23881" s="52"/>
      <c r="H23881" s="56"/>
      <c r="I23881" s="224"/>
    </row>
    <row r="23882" spans="1:9" x14ac:dyDescent="0.25">
      <c r="A23882" s="515">
        <v>68768</v>
      </c>
      <c r="C23882" s="52">
        <v>235997.347264821</v>
      </c>
      <c r="D23882" s="56">
        <v>5.6034211560132441E-2</v>
      </c>
      <c r="E23882" s="224" t="s">
        <v>2</v>
      </c>
      <c r="G23882" s="52"/>
      <c r="H23882" s="56"/>
      <c r="I23882" s="224"/>
    </row>
    <row r="23883" spans="1:9" x14ac:dyDescent="0.25">
      <c r="A23883" s="515">
        <v>95306</v>
      </c>
      <c r="C23883" s="52">
        <v>433507.67615966802</v>
      </c>
      <c r="D23883" s="56">
        <v>-6.9225083507736845E-2</v>
      </c>
      <c r="E23883" s="224" t="s">
        <v>2</v>
      </c>
      <c r="G23883" s="52"/>
      <c r="H23883" s="56"/>
      <c r="I23883" s="224"/>
    </row>
    <row r="23884" spans="1:9" x14ac:dyDescent="0.25">
      <c r="A23884" s="515">
        <v>50242</v>
      </c>
      <c r="C23884" s="52">
        <v>196315.27729808801</v>
      </c>
      <c r="D23884" s="56">
        <v>0</v>
      </c>
      <c r="E23884" s="224" t="s">
        <v>2</v>
      </c>
      <c r="G23884" s="52"/>
      <c r="H23884" s="56"/>
      <c r="I23884" s="224"/>
    </row>
    <row r="23885" spans="1:9" x14ac:dyDescent="0.25">
      <c r="A23885" s="515">
        <v>72333</v>
      </c>
      <c r="B23885" s="515" t="s">
        <v>891</v>
      </c>
      <c r="C23885" s="52">
        <v>44491.692307692298</v>
      </c>
      <c r="D23885" s="56">
        <v>0</v>
      </c>
      <c r="E23885" s="224" t="s">
        <v>2</v>
      </c>
      <c r="G23885" s="52"/>
      <c r="H23885" s="56"/>
      <c r="I23885" s="224"/>
    </row>
    <row r="23886" spans="1:9" x14ac:dyDescent="0.25">
      <c r="A23886" s="515">
        <v>28663</v>
      </c>
      <c r="C23886" s="52">
        <v>306542.00106334698</v>
      </c>
      <c r="D23886" s="56">
        <v>0.15479475431298215</v>
      </c>
      <c r="E23886" s="224" t="s">
        <v>2</v>
      </c>
      <c r="G23886" s="52"/>
      <c r="H23886" s="56"/>
      <c r="I23886" s="224"/>
    </row>
    <row r="23887" spans="1:9" x14ac:dyDescent="0.25">
      <c r="A23887" s="515">
        <v>68716</v>
      </c>
      <c r="C23887" s="52">
        <v>168215.49809676799</v>
      </c>
      <c r="D23887" s="56">
        <v>6.2462365052205933E-2</v>
      </c>
      <c r="E23887" s="224" t="s">
        <v>2</v>
      </c>
      <c r="G23887" s="52"/>
      <c r="H23887" s="56"/>
      <c r="I23887" s="224"/>
    </row>
    <row r="23888" spans="1:9" x14ac:dyDescent="0.25">
      <c r="A23888" s="515">
        <v>62380</v>
      </c>
      <c r="B23888" s="515" t="s">
        <v>496</v>
      </c>
      <c r="C23888" s="52">
        <v>62776.595744680802</v>
      </c>
      <c r="D23888" s="56">
        <v>0</v>
      </c>
      <c r="E23888" s="224" t="s">
        <v>2</v>
      </c>
      <c r="G23888" s="52"/>
      <c r="H23888" s="56"/>
      <c r="I23888" s="224"/>
    </row>
    <row r="23889" spans="1:9" x14ac:dyDescent="0.25">
      <c r="A23889" s="515">
        <v>66419</v>
      </c>
      <c r="B23889" s="515" t="s">
        <v>549</v>
      </c>
      <c r="C23889" s="52">
        <v>150521.683780658</v>
      </c>
      <c r="D23889" s="56">
        <v>0.20105757464137</v>
      </c>
      <c r="E23889" s="224" t="s">
        <v>2</v>
      </c>
      <c r="G23889" s="52"/>
      <c r="H23889" s="56"/>
      <c r="I23889" s="224"/>
    </row>
    <row r="23890" spans="1:9" x14ac:dyDescent="0.25">
      <c r="A23890" s="515">
        <v>41836</v>
      </c>
      <c r="C23890" s="52">
        <v>106629.99006322199</v>
      </c>
      <c r="D23890" s="56">
        <v>0.19805303890812492</v>
      </c>
      <c r="E23890" s="224" t="s">
        <v>2</v>
      </c>
      <c r="G23890" s="52"/>
      <c r="H23890" s="56"/>
      <c r="I23890" s="224"/>
    </row>
    <row r="23891" spans="1:9" x14ac:dyDescent="0.25">
      <c r="A23891" s="515">
        <v>67019</v>
      </c>
      <c r="B23891" s="515" t="s">
        <v>789</v>
      </c>
      <c r="C23891" s="52">
        <v>126395.21940613601</v>
      </c>
      <c r="D23891" s="56">
        <v>4.1598285130281694E-2</v>
      </c>
      <c r="E23891" s="224" t="s">
        <v>2</v>
      </c>
      <c r="G23891" s="52"/>
      <c r="H23891" s="56"/>
      <c r="I23891" s="224"/>
    </row>
    <row r="23892" spans="1:9" x14ac:dyDescent="0.25">
      <c r="A23892" s="515">
        <v>38380</v>
      </c>
      <c r="C23892" s="52">
        <v>125535.96703192301</v>
      </c>
      <c r="D23892" s="56">
        <v>-1.1679620730494755E-2</v>
      </c>
      <c r="E23892" s="224" t="s">
        <v>2</v>
      </c>
      <c r="G23892" s="52"/>
      <c r="H23892" s="56"/>
      <c r="I23892" s="224"/>
    </row>
    <row r="23893" spans="1:9" x14ac:dyDescent="0.25">
      <c r="A23893" s="515">
        <v>15675</v>
      </c>
      <c r="B23893" s="515" t="s">
        <v>297</v>
      </c>
      <c r="C23893" s="52">
        <v>99877.130576230396</v>
      </c>
      <c r="D23893" s="56">
        <v>-8.1616066567182441E-2</v>
      </c>
      <c r="E23893" s="224" t="s">
        <v>2</v>
      </c>
      <c r="G23893" s="52"/>
      <c r="H23893" s="56"/>
      <c r="I23893" s="224"/>
    </row>
    <row r="23894" spans="1:9" x14ac:dyDescent="0.25">
      <c r="A23894" s="515">
        <v>80810</v>
      </c>
      <c r="C23894" s="52">
        <v>170179.421026889</v>
      </c>
      <c r="D23894" s="56">
        <v>9.7792575559607631E-2</v>
      </c>
      <c r="E23894" s="224" t="s">
        <v>2</v>
      </c>
      <c r="G23894" s="52"/>
      <c r="H23894" s="56"/>
      <c r="I23894" s="224"/>
    </row>
    <row r="23895" spans="1:9" x14ac:dyDescent="0.25">
      <c r="A23895" s="515">
        <v>55941</v>
      </c>
      <c r="B23895" s="515" t="s">
        <v>635</v>
      </c>
      <c r="C23895" s="52">
        <v>228256.86994566099</v>
      </c>
      <c r="D23895" s="56">
        <v>9.2263590317093025E-2</v>
      </c>
      <c r="E23895" s="224" t="s">
        <v>2</v>
      </c>
      <c r="G23895" s="52"/>
      <c r="H23895" s="56"/>
      <c r="I23895" s="224"/>
    </row>
    <row r="23896" spans="1:9" x14ac:dyDescent="0.25">
      <c r="A23896" s="515">
        <v>54563</v>
      </c>
      <c r="C23896" s="52">
        <v>215427.96832295001</v>
      </c>
      <c r="D23896" s="56">
        <v>0.12935119526403926</v>
      </c>
      <c r="E23896" s="224" t="s">
        <v>2</v>
      </c>
      <c r="G23896" s="52"/>
      <c r="H23896" s="56"/>
      <c r="I23896" s="224"/>
    </row>
    <row r="23897" spans="1:9" x14ac:dyDescent="0.25">
      <c r="A23897" s="515">
        <v>12175</v>
      </c>
      <c r="B23897" s="515" t="s">
        <v>609</v>
      </c>
      <c r="C23897" s="52">
        <v>191565.40156717499</v>
      </c>
      <c r="D23897" s="56">
        <v>0.12885062053805993</v>
      </c>
      <c r="E23897" s="224" t="s">
        <v>2</v>
      </c>
      <c r="G23897" s="52"/>
      <c r="H23897" s="56"/>
      <c r="I23897" s="224"/>
    </row>
    <row r="23898" spans="1:9" x14ac:dyDescent="0.25">
      <c r="A23898" s="515">
        <v>96783</v>
      </c>
      <c r="B23898" s="515" t="s">
        <v>399</v>
      </c>
      <c r="C23898" s="52">
        <v>538504.90004163794</v>
      </c>
      <c r="D23898" s="56">
        <v>0.1483249033942057</v>
      </c>
      <c r="E23898" s="224" t="s">
        <v>2</v>
      </c>
      <c r="G23898" s="52"/>
      <c r="H23898" s="56"/>
      <c r="I23898" s="224"/>
    </row>
    <row r="23899" spans="1:9" x14ac:dyDescent="0.25">
      <c r="A23899" s="515">
        <v>50598</v>
      </c>
      <c r="C23899" s="52">
        <v>127891.03402488701</v>
      </c>
      <c r="D23899" s="56">
        <v>0</v>
      </c>
      <c r="E23899" s="224" t="s">
        <v>2</v>
      </c>
      <c r="G23899" s="52"/>
      <c r="H23899" s="56"/>
      <c r="I23899" s="224"/>
    </row>
    <row r="23900" spans="1:9" x14ac:dyDescent="0.25">
      <c r="A23900" s="515">
        <v>43006</v>
      </c>
      <c r="C23900" s="52">
        <v>211670.82262928999</v>
      </c>
      <c r="D23900" s="56">
        <v>0.11905360219715115</v>
      </c>
      <c r="E23900" s="224" t="s">
        <v>2</v>
      </c>
      <c r="G23900" s="52"/>
      <c r="H23900" s="56"/>
      <c r="I23900" s="224"/>
    </row>
    <row r="23901" spans="1:9" x14ac:dyDescent="0.25">
      <c r="A23901" s="515">
        <v>50853</v>
      </c>
      <c r="C23901" s="52">
        <v>119415.77593157301</v>
      </c>
      <c r="D23901" s="56">
        <v>0.12808126771958045</v>
      </c>
      <c r="E23901" s="224" t="s">
        <v>2</v>
      </c>
      <c r="G23901" s="52"/>
      <c r="H23901" s="56"/>
      <c r="I23901" s="224"/>
    </row>
    <row r="23902" spans="1:9" x14ac:dyDescent="0.25">
      <c r="A23902" s="515">
        <v>60919</v>
      </c>
      <c r="C23902" s="52">
        <v>97381.629649995404</v>
      </c>
      <c r="D23902" s="56">
        <v>-4.3730105172150965E-2</v>
      </c>
      <c r="E23902" s="224" t="s">
        <v>2</v>
      </c>
      <c r="G23902" s="52"/>
      <c r="H23902" s="56"/>
      <c r="I23902" s="224"/>
    </row>
    <row r="23903" spans="1:9" x14ac:dyDescent="0.25">
      <c r="A23903" s="515">
        <v>17827</v>
      </c>
      <c r="B23903" s="515" t="s">
        <v>1084</v>
      </c>
      <c r="C23903" s="52">
        <v>177838.17567567501</v>
      </c>
      <c r="D23903" s="56">
        <v>0</v>
      </c>
      <c r="E23903" s="224" t="s">
        <v>2</v>
      </c>
      <c r="G23903" s="52"/>
      <c r="H23903" s="56"/>
      <c r="I23903" s="224"/>
    </row>
    <row r="23904" spans="1:9" x14ac:dyDescent="0.25">
      <c r="A23904" s="515">
        <v>81523</v>
      </c>
      <c r="B23904" s="515" t="s">
        <v>619</v>
      </c>
      <c r="C23904" s="52">
        <v>540448.50750281196</v>
      </c>
      <c r="D23904" s="56">
        <v>5.4924229043157094E-2</v>
      </c>
      <c r="E23904" s="224" t="s">
        <v>2</v>
      </c>
      <c r="G23904" s="52"/>
      <c r="H23904" s="56"/>
      <c r="I23904" s="224"/>
    </row>
    <row r="23905" spans="1:9" x14ac:dyDescent="0.25">
      <c r="A23905" s="515">
        <v>99167</v>
      </c>
      <c r="B23905" s="515" t="s">
        <v>820</v>
      </c>
      <c r="C23905" s="52">
        <v>383929.45978304802</v>
      </c>
      <c r="D23905" s="56">
        <v>2.8170799616517573E-2</v>
      </c>
      <c r="E23905" s="224" t="s">
        <v>2</v>
      </c>
      <c r="G23905" s="52"/>
      <c r="H23905" s="56"/>
      <c r="I23905" s="224"/>
    </row>
    <row r="23906" spans="1:9" x14ac:dyDescent="0.25">
      <c r="A23906" s="515">
        <v>68626</v>
      </c>
      <c r="C23906" s="52">
        <v>222190.454880031</v>
      </c>
      <c r="D23906" s="56">
        <v>7.5300759929084304E-2</v>
      </c>
      <c r="E23906" s="224" t="s">
        <v>2</v>
      </c>
      <c r="G23906" s="52"/>
      <c r="H23906" s="56"/>
      <c r="I23906" s="224"/>
    </row>
    <row r="23907" spans="1:9" x14ac:dyDescent="0.25">
      <c r="A23907" s="515">
        <v>61489</v>
      </c>
      <c r="B23907" s="515" t="s">
        <v>339</v>
      </c>
      <c r="C23907" s="52">
        <v>107775.32911457799</v>
      </c>
      <c r="D23907" s="56">
        <v>6.0337559750611572E-2</v>
      </c>
      <c r="E23907" s="224" t="s">
        <v>2</v>
      </c>
      <c r="G23907" s="52"/>
      <c r="H23907" s="56"/>
      <c r="I23907" s="224"/>
    </row>
    <row r="23908" spans="1:9" x14ac:dyDescent="0.25">
      <c r="A23908" s="515">
        <v>58030</v>
      </c>
      <c r="B23908" s="515" t="s">
        <v>548</v>
      </c>
      <c r="C23908" s="52">
        <v>105010.80882352901</v>
      </c>
      <c r="D23908" s="56">
        <v>0</v>
      </c>
      <c r="E23908" s="224" t="s">
        <v>2</v>
      </c>
      <c r="G23908" s="52"/>
      <c r="H23908" s="56"/>
      <c r="I23908" s="224"/>
    </row>
    <row r="23909" spans="1:9" x14ac:dyDescent="0.25">
      <c r="A23909" s="515">
        <v>51646</v>
      </c>
      <c r="C23909" s="52">
        <v>107052.422225323</v>
      </c>
      <c r="D23909" s="56">
        <v>9.0342212907962807E-2</v>
      </c>
      <c r="E23909" s="224" t="s">
        <v>2</v>
      </c>
      <c r="G23909" s="52"/>
      <c r="H23909" s="56"/>
      <c r="I23909" s="224"/>
    </row>
    <row r="23910" spans="1:9" x14ac:dyDescent="0.25">
      <c r="A23910" s="515">
        <v>47854</v>
      </c>
      <c r="B23910" s="515" t="s">
        <v>318</v>
      </c>
      <c r="C23910" s="52">
        <v>166808.922937147</v>
      </c>
      <c r="D23910" s="56">
        <v>6.6910030846899976E-2</v>
      </c>
      <c r="E23910" s="224" t="s">
        <v>2</v>
      </c>
      <c r="G23910" s="52"/>
      <c r="H23910" s="56"/>
      <c r="I23910" s="224"/>
    </row>
    <row r="23911" spans="1:9" x14ac:dyDescent="0.25">
      <c r="A23911" s="515">
        <v>60930</v>
      </c>
      <c r="C23911" s="52">
        <v>141699.13199340101</v>
      </c>
      <c r="D23911" s="56">
        <v>0</v>
      </c>
      <c r="E23911" s="224" t="s">
        <v>2</v>
      </c>
      <c r="G23911" s="52"/>
      <c r="H23911" s="56"/>
      <c r="I23911" s="224"/>
    </row>
    <row r="23912" spans="1:9" x14ac:dyDescent="0.25">
      <c r="A23912" s="515">
        <v>81131</v>
      </c>
      <c r="C23912" s="52">
        <v>329127.95523861097</v>
      </c>
      <c r="D23912" s="56">
        <v>8.1696171086460739E-2</v>
      </c>
      <c r="E23912" s="224" t="s">
        <v>2</v>
      </c>
      <c r="G23912" s="52"/>
      <c r="H23912" s="56"/>
      <c r="I23912" s="224"/>
    </row>
    <row r="23913" spans="1:9" x14ac:dyDescent="0.25">
      <c r="A23913" s="515">
        <v>52170</v>
      </c>
      <c r="C23913" s="52">
        <v>221180.01330459799</v>
      </c>
      <c r="D23913" s="56">
        <v>0.18759427897254047</v>
      </c>
      <c r="E23913" s="224" t="s">
        <v>2</v>
      </c>
      <c r="G23913" s="52"/>
      <c r="H23913" s="56"/>
      <c r="I23913" s="224"/>
    </row>
    <row r="23914" spans="1:9" x14ac:dyDescent="0.25">
      <c r="A23914" s="515">
        <v>18070</v>
      </c>
      <c r="B23914" s="515" t="s">
        <v>294</v>
      </c>
      <c r="C23914" s="52">
        <v>322332.59593158501</v>
      </c>
      <c r="D23914" s="56">
        <v>9.7599006373697006E-2</v>
      </c>
      <c r="E23914" s="224" t="s">
        <v>2</v>
      </c>
      <c r="G23914" s="52"/>
      <c r="H23914" s="56"/>
      <c r="I23914" s="224"/>
    </row>
    <row r="23915" spans="1:9" x14ac:dyDescent="0.25">
      <c r="A23915" s="515">
        <v>5730</v>
      </c>
      <c r="B23915" s="515" t="s">
        <v>791</v>
      </c>
      <c r="C23915" s="52">
        <v>367868.64285714203</v>
      </c>
      <c r="D23915" s="56">
        <v>0</v>
      </c>
      <c r="E23915" s="224" t="s">
        <v>2</v>
      </c>
      <c r="G23915" s="52"/>
      <c r="H23915" s="56"/>
      <c r="I23915" s="224"/>
    </row>
    <row r="23916" spans="1:9" x14ac:dyDescent="0.25">
      <c r="A23916" s="515">
        <v>49861</v>
      </c>
      <c r="B23916" s="515" t="s">
        <v>440</v>
      </c>
      <c r="C23916" s="52">
        <v>172674.79213704899</v>
      </c>
      <c r="D23916" s="56">
        <v>6.5683235930100878E-2</v>
      </c>
      <c r="E23916" s="224" t="s">
        <v>2</v>
      </c>
      <c r="G23916" s="52"/>
      <c r="H23916" s="56"/>
      <c r="I23916" s="224"/>
    </row>
    <row r="23917" spans="1:9" x14ac:dyDescent="0.25">
      <c r="A23917" s="515">
        <v>17249</v>
      </c>
      <c r="B23917" s="515" t="s">
        <v>539</v>
      </c>
      <c r="C23917" s="52">
        <v>80538.007550713999</v>
      </c>
      <c r="D23917" s="56">
        <v>0</v>
      </c>
      <c r="E23917" s="224" t="s">
        <v>2</v>
      </c>
      <c r="G23917" s="52"/>
      <c r="H23917" s="56"/>
      <c r="I23917" s="224"/>
    </row>
    <row r="23918" spans="1:9" x14ac:dyDescent="0.25">
      <c r="A23918" s="515">
        <v>41231</v>
      </c>
      <c r="C23918" s="52">
        <v>92954.235347514696</v>
      </c>
      <c r="D23918" s="56">
        <v>0.16908634968087885</v>
      </c>
      <c r="E23918" s="224" t="s">
        <v>2</v>
      </c>
      <c r="G23918" s="52"/>
      <c r="H23918" s="56"/>
      <c r="I23918" s="224"/>
    </row>
    <row r="23919" spans="1:9" x14ac:dyDescent="0.25">
      <c r="A23919" s="515">
        <v>64752</v>
      </c>
      <c r="B23919" s="515" t="s">
        <v>455</v>
      </c>
      <c r="C23919" s="52">
        <v>161111.40395593201</v>
      </c>
      <c r="D23919" s="56">
        <v>-1.3459146529570509E-2</v>
      </c>
      <c r="E23919" s="224" t="s">
        <v>2</v>
      </c>
      <c r="G23919" s="52"/>
      <c r="H23919" s="56"/>
      <c r="I23919" s="224"/>
    </row>
    <row r="23920" spans="1:9" x14ac:dyDescent="0.25">
      <c r="A23920" s="515">
        <v>99153</v>
      </c>
      <c r="C23920" s="52">
        <v>223656.738226769</v>
      </c>
      <c r="D23920" s="56">
        <v>2.1510296695900964E-2</v>
      </c>
      <c r="E23920" s="224" t="s">
        <v>2</v>
      </c>
      <c r="G23920" s="52"/>
      <c r="H23920" s="56"/>
      <c r="I23920" s="224"/>
    </row>
    <row r="23921" spans="1:9" x14ac:dyDescent="0.25">
      <c r="A23921" s="515">
        <v>97830</v>
      </c>
      <c r="C23921" s="52">
        <v>189522.02061012201</v>
      </c>
      <c r="D23921" s="56">
        <v>0.16173349879448262</v>
      </c>
      <c r="E23921" s="224" t="s">
        <v>2</v>
      </c>
      <c r="G23921" s="52"/>
      <c r="H23921" s="56"/>
      <c r="I23921" s="224"/>
    </row>
    <row r="23922" spans="1:9" x14ac:dyDescent="0.25">
      <c r="A23922" s="515">
        <v>87829</v>
      </c>
      <c r="C23922" s="52">
        <v>195120.754237288</v>
      </c>
      <c r="D23922" s="56">
        <v>0</v>
      </c>
      <c r="E23922" s="224" t="s">
        <v>2</v>
      </c>
      <c r="G23922" s="52"/>
      <c r="H23922" s="56"/>
      <c r="I23922" s="224"/>
    </row>
    <row r="23923" spans="1:9" x14ac:dyDescent="0.25">
      <c r="A23923" s="515">
        <v>12442</v>
      </c>
      <c r="C23923" s="52">
        <v>382917.910374781</v>
      </c>
      <c r="D23923" s="56">
        <v>7.6514224026850805E-2</v>
      </c>
      <c r="E23923" s="224" t="s">
        <v>2</v>
      </c>
      <c r="G23923" s="52"/>
      <c r="H23923" s="56"/>
      <c r="I23923" s="224"/>
    </row>
    <row r="23924" spans="1:9" x14ac:dyDescent="0.25">
      <c r="A23924" s="515">
        <v>66833</v>
      </c>
      <c r="B23924" s="515" t="s">
        <v>707</v>
      </c>
      <c r="C23924" s="52">
        <v>165486.427787736</v>
      </c>
      <c r="D23924" s="56">
        <v>0.11716473661259552</v>
      </c>
      <c r="E23924" s="224" t="s">
        <v>2</v>
      </c>
      <c r="G23924" s="52"/>
      <c r="H23924" s="56"/>
      <c r="I23924" s="224"/>
    </row>
    <row r="23925" spans="1:9" x14ac:dyDescent="0.25">
      <c r="A23925" s="515">
        <v>27953</v>
      </c>
      <c r="B23925" s="515" t="s">
        <v>407</v>
      </c>
      <c r="C23925" s="52">
        <v>312218.49291164702</v>
      </c>
      <c r="D23925" s="56">
        <v>0.10103803160787299</v>
      </c>
      <c r="E23925" s="224" t="s">
        <v>2</v>
      </c>
      <c r="G23925" s="52"/>
      <c r="H23925" s="56"/>
      <c r="I23925" s="224"/>
    </row>
    <row r="23926" spans="1:9" x14ac:dyDescent="0.25">
      <c r="A23926" s="515">
        <v>51639</v>
      </c>
      <c r="C23926" s="52">
        <v>145928.20870994401</v>
      </c>
      <c r="D23926" s="56">
        <v>0.22393452721175136</v>
      </c>
      <c r="E23926" s="224" t="s">
        <v>2</v>
      </c>
      <c r="G23926" s="52"/>
      <c r="H23926" s="56"/>
      <c r="I23926" s="224"/>
    </row>
    <row r="23927" spans="1:9" x14ac:dyDescent="0.25">
      <c r="A23927" s="515">
        <v>50464</v>
      </c>
      <c r="B23927" s="515" t="s">
        <v>634</v>
      </c>
      <c r="C23927" s="52">
        <v>143993.77513247801</v>
      </c>
      <c r="D23927" s="56">
        <v>7.4247852810789036E-2</v>
      </c>
      <c r="E23927" s="224" t="s">
        <v>2</v>
      </c>
      <c r="G23927" s="52"/>
      <c r="H23927" s="56"/>
      <c r="I23927" s="224"/>
    </row>
    <row r="23928" spans="1:9" x14ac:dyDescent="0.25">
      <c r="A23928" s="515">
        <v>4481</v>
      </c>
      <c r="C23928" s="52">
        <v>268710.115978327</v>
      </c>
      <c r="D23928" s="56">
        <v>7.3219061344837202E-2</v>
      </c>
      <c r="E23928" s="224" t="s">
        <v>2</v>
      </c>
      <c r="G23928" s="52"/>
      <c r="H23928" s="56"/>
      <c r="I23928" s="224"/>
    </row>
    <row r="23929" spans="1:9" x14ac:dyDescent="0.25">
      <c r="A23929" s="515">
        <v>26845</v>
      </c>
      <c r="C23929" s="52">
        <v>206658.07452333899</v>
      </c>
      <c r="D23929" s="56">
        <v>6.8676717000439091E-2</v>
      </c>
      <c r="E23929" s="224" t="s">
        <v>2</v>
      </c>
      <c r="G23929" s="52"/>
      <c r="H23929" s="56"/>
      <c r="I23929" s="224"/>
    </row>
    <row r="23930" spans="1:9" x14ac:dyDescent="0.25">
      <c r="A23930" s="515">
        <v>5355</v>
      </c>
      <c r="C23930" s="52">
        <v>278235.77725473302</v>
      </c>
      <c r="D23930" s="56">
        <v>7.7215835653364706E-2</v>
      </c>
      <c r="E23930" s="224" t="s">
        <v>2</v>
      </c>
      <c r="G23930" s="52"/>
      <c r="H23930" s="56"/>
      <c r="I23930" s="224"/>
    </row>
    <row r="23931" spans="1:9" x14ac:dyDescent="0.25">
      <c r="A23931" s="515">
        <v>51530</v>
      </c>
      <c r="C23931" s="52">
        <v>187272.506470839</v>
      </c>
      <c r="D23931" s="56">
        <v>0.13052784115400079</v>
      </c>
      <c r="E23931" s="224" t="s">
        <v>2</v>
      </c>
      <c r="G23931" s="52"/>
      <c r="H23931" s="56"/>
      <c r="I23931" s="224"/>
    </row>
    <row r="23932" spans="1:9" x14ac:dyDescent="0.25">
      <c r="A23932" s="515">
        <v>83013</v>
      </c>
      <c r="B23932" s="515" t="s">
        <v>490</v>
      </c>
      <c r="C23932" s="52">
        <v>1188479.59685843</v>
      </c>
      <c r="D23932" s="56">
        <v>0.15410116191268752</v>
      </c>
      <c r="E23932" s="224" t="s">
        <v>2</v>
      </c>
      <c r="G23932" s="52"/>
      <c r="H23932" s="56"/>
      <c r="I23932" s="224"/>
    </row>
    <row r="23933" spans="1:9" x14ac:dyDescent="0.25">
      <c r="A23933" s="515">
        <v>84782</v>
      </c>
      <c r="B23933" s="515" t="s">
        <v>522</v>
      </c>
      <c r="C23933" s="52">
        <v>483287.91319487698</v>
      </c>
      <c r="D23933" s="56">
        <v>2.0455646532198109E-2</v>
      </c>
      <c r="E23933" s="224" t="s">
        <v>2</v>
      </c>
      <c r="G23933" s="52"/>
      <c r="H23933" s="56"/>
      <c r="I23933" s="224"/>
    </row>
    <row r="23934" spans="1:9" x14ac:dyDescent="0.25">
      <c r="A23934" s="515">
        <v>98304</v>
      </c>
      <c r="B23934" s="515" t="s">
        <v>468</v>
      </c>
      <c r="C23934" s="52">
        <v>311677.78950128</v>
      </c>
      <c r="D23934" s="56">
        <v>9.0743417206676766E-2</v>
      </c>
      <c r="E23934" s="224" t="s">
        <v>2</v>
      </c>
      <c r="G23934" s="52"/>
      <c r="H23934" s="56"/>
      <c r="I23934" s="224"/>
    </row>
    <row r="23935" spans="1:9" x14ac:dyDescent="0.25">
      <c r="A23935" s="515">
        <v>94946</v>
      </c>
      <c r="B23935" s="515" t="s">
        <v>593</v>
      </c>
      <c r="C23935" s="52">
        <v>1871675.53395153</v>
      </c>
      <c r="D23935" s="56">
        <v>-9.2675454448356079E-3</v>
      </c>
      <c r="E23935" s="224" t="s">
        <v>2</v>
      </c>
      <c r="G23935" s="52"/>
      <c r="H23935" s="56"/>
      <c r="I23935" s="224"/>
    </row>
    <row r="23936" spans="1:9" x14ac:dyDescent="0.25">
      <c r="A23936" s="515">
        <v>29828</v>
      </c>
      <c r="B23936" s="515" t="s">
        <v>888</v>
      </c>
      <c r="C23936" s="52">
        <v>66518.798319327703</v>
      </c>
      <c r="D23936" s="56">
        <v>0</v>
      </c>
      <c r="E23936" s="224" t="s">
        <v>2</v>
      </c>
      <c r="G23936" s="52"/>
      <c r="H23936" s="56"/>
      <c r="I23936" s="224"/>
    </row>
    <row r="23937" spans="1:9" x14ac:dyDescent="0.25">
      <c r="A23937" s="515">
        <v>73729</v>
      </c>
      <c r="C23937" s="52">
        <v>107338.79170553799</v>
      </c>
      <c r="D23937" s="56">
        <v>7.659608289644744E-2</v>
      </c>
      <c r="E23937" s="224" t="s">
        <v>2</v>
      </c>
      <c r="G23937" s="52"/>
      <c r="H23937" s="56"/>
      <c r="I23937" s="224"/>
    </row>
    <row r="23938" spans="1:9" x14ac:dyDescent="0.25">
      <c r="A23938" s="515">
        <v>82933</v>
      </c>
      <c r="B23938" s="515" t="s">
        <v>887</v>
      </c>
      <c r="C23938" s="52">
        <v>347347.674235538</v>
      </c>
      <c r="D23938" s="56">
        <v>0.15248467134747845</v>
      </c>
      <c r="E23938" s="224" t="s">
        <v>2</v>
      </c>
      <c r="G23938" s="52"/>
      <c r="H23938" s="56"/>
      <c r="I23938" s="224"/>
    </row>
    <row r="23939" spans="1:9" x14ac:dyDescent="0.25">
      <c r="A23939" s="515">
        <v>78886</v>
      </c>
      <c r="B23939" s="515" t="s">
        <v>717</v>
      </c>
      <c r="C23939" s="52">
        <v>240483.16347634199</v>
      </c>
      <c r="D23939" s="56">
        <v>0</v>
      </c>
      <c r="E23939" s="224" t="s">
        <v>2</v>
      </c>
      <c r="G23939" s="52"/>
      <c r="H23939" s="56"/>
      <c r="I23939" s="224"/>
    </row>
    <row r="23940" spans="1:9" x14ac:dyDescent="0.25">
      <c r="A23940" s="515">
        <v>59046</v>
      </c>
      <c r="C23940" s="52">
        <v>273668.072923286</v>
      </c>
      <c r="D23940" s="56">
        <v>2.5636202670939315E-2</v>
      </c>
      <c r="E23940" s="224" t="s">
        <v>2</v>
      </c>
      <c r="G23940" s="52"/>
      <c r="H23940" s="56"/>
      <c r="I23940" s="224"/>
    </row>
    <row r="23941" spans="1:9" x14ac:dyDescent="0.25">
      <c r="A23941" s="515">
        <v>82832</v>
      </c>
      <c r="B23941" s="515" t="s">
        <v>648</v>
      </c>
      <c r="C23941" s="52">
        <v>484580.64489409199</v>
      </c>
      <c r="D23941" s="56">
        <v>6.0258959398099193E-2</v>
      </c>
      <c r="E23941" s="224" t="s">
        <v>2</v>
      </c>
      <c r="G23941" s="52"/>
      <c r="H23941" s="56"/>
      <c r="I23941" s="224"/>
    </row>
    <row r="23942" spans="1:9" x14ac:dyDescent="0.25">
      <c r="A23942" s="515">
        <v>26276</v>
      </c>
      <c r="B23942" s="515" t="s">
        <v>586</v>
      </c>
      <c r="C23942" s="52">
        <v>149105.88571428499</v>
      </c>
      <c r="D23942" s="56">
        <v>0</v>
      </c>
      <c r="E23942" s="224" t="s">
        <v>2</v>
      </c>
      <c r="G23942" s="52"/>
      <c r="H23942" s="56"/>
      <c r="I23942" s="224"/>
    </row>
    <row r="23943" spans="1:9" x14ac:dyDescent="0.25">
      <c r="A23943" s="515">
        <v>84537</v>
      </c>
      <c r="C23943" s="52">
        <v>235182.47945205399</v>
      </c>
      <c r="D23943" s="56">
        <v>0</v>
      </c>
      <c r="E23943" s="224" t="s">
        <v>2</v>
      </c>
      <c r="G23943" s="52"/>
      <c r="H23943" s="56"/>
      <c r="I23943" s="224"/>
    </row>
    <row r="23944" spans="1:9" x14ac:dyDescent="0.25">
      <c r="A23944" s="515">
        <v>69123</v>
      </c>
      <c r="B23944" s="515" t="s">
        <v>760</v>
      </c>
      <c r="C23944" s="52">
        <v>276914.86796243698</v>
      </c>
      <c r="D23944" s="56">
        <v>0.18277069145502534</v>
      </c>
      <c r="E23944" s="224" t="s">
        <v>2</v>
      </c>
      <c r="G23944" s="52"/>
      <c r="H23944" s="56"/>
      <c r="I23944" s="224"/>
    </row>
    <row r="23945" spans="1:9" x14ac:dyDescent="0.25">
      <c r="A23945" s="515">
        <v>40771</v>
      </c>
      <c r="B23945" s="515" t="s">
        <v>633</v>
      </c>
      <c r="C23945" s="52">
        <v>111459.65834172101</v>
      </c>
      <c r="D23945" s="56">
        <v>0.1902342582992935</v>
      </c>
      <c r="E23945" s="224" t="s">
        <v>2</v>
      </c>
      <c r="G23945" s="52"/>
      <c r="H23945" s="56"/>
      <c r="I23945" s="224"/>
    </row>
    <row r="23946" spans="1:9" x14ac:dyDescent="0.25">
      <c r="A23946" s="515">
        <v>50048</v>
      </c>
      <c r="C23946" s="52">
        <v>135186.242475609</v>
      </c>
      <c r="D23946" s="56">
        <v>0.20382964463970776</v>
      </c>
      <c r="E23946" s="224" t="s">
        <v>2</v>
      </c>
      <c r="G23946" s="52"/>
      <c r="H23946" s="56"/>
      <c r="I23946" s="224"/>
    </row>
    <row r="23947" spans="1:9" x14ac:dyDescent="0.25">
      <c r="A23947" s="515">
        <v>56157</v>
      </c>
      <c r="B23947" s="515" t="s">
        <v>708</v>
      </c>
      <c r="C23947" s="52">
        <v>227142.47665029101</v>
      </c>
      <c r="D23947" s="56">
        <v>3.3947486936476749E-2</v>
      </c>
      <c r="E23947" s="224" t="s">
        <v>2</v>
      </c>
      <c r="G23947" s="52"/>
      <c r="H23947" s="56"/>
      <c r="I23947" s="224"/>
    </row>
    <row r="23948" spans="1:9" x14ac:dyDescent="0.25">
      <c r="A23948" s="515">
        <v>10578</v>
      </c>
      <c r="B23948" s="515" t="s">
        <v>324</v>
      </c>
      <c r="C23948" s="52">
        <v>542169.64773700899</v>
      </c>
      <c r="D23948" s="56">
        <v>4.9121768295620705E-2</v>
      </c>
      <c r="E23948" s="224" t="s">
        <v>2</v>
      </c>
      <c r="G23948" s="52"/>
      <c r="H23948" s="56"/>
      <c r="I23948" s="224"/>
    </row>
    <row r="23949" spans="1:9" x14ac:dyDescent="0.25">
      <c r="A23949" s="515">
        <v>74425</v>
      </c>
      <c r="B23949" s="515" t="s">
        <v>451</v>
      </c>
      <c r="C23949" s="52">
        <v>145273.94810159801</v>
      </c>
      <c r="D23949" s="56">
        <v>0.17088856279143028</v>
      </c>
      <c r="E23949" s="224" t="s">
        <v>2</v>
      </c>
      <c r="G23949" s="52"/>
      <c r="H23949" s="56"/>
      <c r="I23949" s="224"/>
    </row>
    <row r="23950" spans="1:9" x14ac:dyDescent="0.25">
      <c r="A23950" s="515">
        <v>42603</v>
      </c>
      <c r="C23950" s="52">
        <v>143170.575781636</v>
      </c>
      <c r="D23950" s="56">
        <v>0.19641333673356687</v>
      </c>
      <c r="E23950" s="224" t="s">
        <v>2</v>
      </c>
      <c r="G23950" s="52"/>
      <c r="H23950" s="56"/>
      <c r="I23950" s="224"/>
    </row>
    <row r="23951" spans="1:9" x14ac:dyDescent="0.25">
      <c r="A23951" s="515">
        <v>12956</v>
      </c>
      <c r="C23951" s="52">
        <v>117181.677154841</v>
      </c>
      <c r="D23951" s="56">
        <v>0.13242758477110098</v>
      </c>
      <c r="E23951" s="224" t="s">
        <v>2</v>
      </c>
      <c r="G23951" s="52"/>
      <c r="H23951" s="56"/>
      <c r="I23951" s="224"/>
    </row>
    <row r="23952" spans="1:9" x14ac:dyDescent="0.25">
      <c r="A23952" s="515">
        <v>25214</v>
      </c>
      <c r="B23952" s="515" t="s">
        <v>322</v>
      </c>
      <c r="C23952" s="52">
        <v>90185.327100417097</v>
      </c>
      <c r="D23952" s="56">
        <v>0.11721056091516857</v>
      </c>
      <c r="E23952" s="224" t="s">
        <v>2</v>
      </c>
      <c r="G23952" s="52"/>
      <c r="H23952" s="56"/>
      <c r="I23952" s="224"/>
    </row>
    <row r="23953" spans="1:9" x14ac:dyDescent="0.25">
      <c r="A23953" s="515">
        <v>68872</v>
      </c>
      <c r="B23953" s="515" t="s">
        <v>650</v>
      </c>
      <c r="C23953" s="52">
        <v>308887.90609874099</v>
      </c>
      <c r="D23953" s="56">
        <v>0.14920138913287104</v>
      </c>
      <c r="E23953" s="224" t="s">
        <v>2</v>
      </c>
      <c r="G23953" s="52"/>
      <c r="H23953" s="56"/>
      <c r="I23953" s="224"/>
    </row>
    <row r="23954" spans="1:9" x14ac:dyDescent="0.25">
      <c r="A23954" s="515">
        <v>42232</v>
      </c>
      <c r="B23954" s="515" t="s">
        <v>651</v>
      </c>
      <c r="C23954" s="52">
        <v>174456.02972825299</v>
      </c>
      <c r="D23954" s="56">
        <v>0.18433511537752079</v>
      </c>
      <c r="E23954" s="224" t="s">
        <v>2</v>
      </c>
      <c r="G23954" s="52"/>
      <c r="H23954" s="56"/>
      <c r="I23954" s="224"/>
    </row>
    <row r="23955" spans="1:9" x14ac:dyDescent="0.25">
      <c r="A23955" s="515">
        <v>83633</v>
      </c>
      <c r="B23955" s="515" t="s">
        <v>885</v>
      </c>
      <c r="C23955" s="52">
        <v>344177.66024100099</v>
      </c>
      <c r="D23955" s="56">
        <v>1.3055670301814679E-2</v>
      </c>
      <c r="E23955" s="224" t="s">
        <v>2</v>
      </c>
      <c r="G23955" s="52"/>
      <c r="H23955" s="56"/>
      <c r="I23955" s="224"/>
    </row>
    <row r="23956" spans="1:9" x14ac:dyDescent="0.25">
      <c r="A23956" s="515">
        <v>83214</v>
      </c>
      <c r="B23956" s="515" t="s">
        <v>884</v>
      </c>
      <c r="C23956" s="52">
        <v>299795.27856271702</v>
      </c>
      <c r="D23956" s="56">
        <v>-1.1595849540922579E-2</v>
      </c>
      <c r="E23956" s="224" t="s">
        <v>2</v>
      </c>
      <c r="G23956" s="52"/>
      <c r="H23956" s="56"/>
      <c r="I23956" s="224"/>
    </row>
    <row r="23957" spans="1:9" x14ac:dyDescent="0.25">
      <c r="A23957" s="515">
        <v>20692</v>
      </c>
      <c r="B23957" s="515" t="s">
        <v>779</v>
      </c>
      <c r="C23957" s="52">
        <v>409141.897167171</v>
      </c>
      <c r="D23957" s="56">
        <v>1.6169946024090252E-2</v>
      </c>
      <c r="E23957" s="224" t="s">
        <v>2</v>
      </c>
      <c r="G23957" s="52"/>
      <c r="H23957" s="56"/>
      <c r="I23957" s="224"/>
    </row>
    <row r="23958" spans="1:9" x14ac:dyDescent="0.25">
      <c r="A23958" s="515">
        <v>40077</v>
      </c>
      <c r="B23958" s="515" t="s">
        <v>479</v>
      </c>
      <c r="C23958" s="52">
        <v>274561.82430149202</v>
      </c>
      <c r="D23958" s="56">
        <v>0.10121744244857582</v>
      </c>
      <c r="E23958" s="224" t="s">
        <v>2</v>
      </c>
      <c r="G23958" s="52"/>
      <c r="H23958" s="56"/>
      <c r="I23958" s="224"/>
    </row>
    <row r="23959" spans="1:9" x14ac:dyDescent="0.25">
      <c r="A23959" s="515">
        <v>56270</v>
      </c>
      <c r="C23959" s="52">
        <v>115015.029836291</v>
      </c>
      <c r="D23959" s="56">
        <v>5.5206635068455898E-2</v>
      </c>
      <c r="E23959" s="224" t="s">
        <v>2</v>
      </c>
      <c r="G23959" s="52"/>
      <c r="H23959" s="56"/>
      <c r="I23959" s="224"/>
    </row>
    <row r="23960" spans="1:9" x14ac:dyDescent="0.25">
      <c r="A23960" s="515">
        <v>47339</v>
      </c>
      <c r="B23960" s="515" t="s">
        <v>883</v>
      </c>
      <c r="C23960" s="52">
        <v>168592.22940572101</v>
      </c>
      <c r="D23960" s="56">
        <v>9.1317438749593735E-2</v>
      </c>
      <c r="E23960" s="224" t="s">
        <v>2</v>
      </c>
      <c r="G23960" s="52"/>
      <c r="H23960" s="56"/>
      <c r="I23960" s="224"/>
    </row>
    <row r="23961" spans="1:9" x14ac:dyDescent="0.25">
      <c r="A23961" s="515">
        <v>69151</v>
      </c>
      <c r="B23961" s="515" t="s">
        <v>760</v>
      </c>
      <c r="C23961" s="52">
        <v>193388.10688320399</v>
      </c>
      <c r="D23961" s="56">
        <v>3.6044868651088226E-2</v>
      </c>
      <c r="E23961" s="224" t="s">
        <v>2</v>
      </c>
      <c r="G23961" s="52"/>
      <c r="H23961" s="56"/>
      <c r="I23961" s="224"/>
    </row>
    <row r="23962" spans="1:9" x14ac:dyDescent="0.25">
      <c r="A23962" s="515">
        <v>60530</v>
      </c>
      <c r="B23962" s="515" t="s">
        <v>836</v>
      </c>
      <c r="C23962" s="52">
        <v>186903.91341309701</v>
      </c>
      <c r="D23962" s="56">
        <v>7.1986442438082929E-2</v>
      </c>
      <c r="E23962" s="224" t="s">
        <v>2</v>
      </c>
      <c r="G23962" s="52"/>
      <c r="H23962" s="56"/>
      <c r="I23962" s="224"/>
    </row>
    <row r="23963" spans="1:9" x14ac:dyDescent="0.25">
      <c r="A23963" s="515">
        <v>78379</v>
      </c>
      <c r="B23963" s="515" t="s">
        <v>886</v>
      </c>
      <c r="C23963" s="52">
        <v>236920.96548986799</v>
      </c>
      <c r="D23963" s="56">
        <v>0</v>
      </c>
      <c r="E23963" s="224" t="s">
        <v>2</v>
      </c>
      <c r="G23963" s="52"/>
      <c r="H23963" s="56"/>
      <c r="I23963" s="224"/>
    </row>
    <row r="23964" spans="1:9" x14ac:dyDescent="0.25">
      <c r="A23964" s="515">
        <v>52222</v>
      </c>
      <c r="C23964" s="52">
        <v>172089.88132391401</v>
      </c>
      <c r="D23964" s="56">
        <v>0.14902928811833094</v>
      </c>
      <c r="E23964" s="224" t="s">
        <v>2</v>
      </c>
      <c r="G23964" s="52"/>
      <c r="H23964" s="56"/>
      <c r="I23964" s="224"/>
    </row>
    <row r="23965" spans="1:9" x14ac:dyDescent="0.25">
      <c r="A23965" s="515">
        <v>5356</v>
      </c>
      <c r="C23965" s="52">
        <v>407703.69260057801</v>
      </c>
      <c r="D23965" s="56">
        <v>5.2854051586405937E-2</v>
      </c>
      <c r="E23965" s="224" t="s">
        <v>2</v>
      </c>
      <c r="G23965" s="52"/>
      <c r="H23965" s="56"/>
      <c r="I23965" s="224"/>
    </row>
    <row r="23966" spans="1:9" x14ac:dyDescent="0.25">
      <c r="A23966" s="515">
        <v>98645</v>
      </c>
      <c r="B23966" s="515" t="s">
        <v>807</v>
      </c>
      <c r="C23966" s="52">
        <v>445934.04075621301</v>
      </c>
      <c r="D23966" s="56">
        <v>4.8412335795162895E-2</v>
      </c>
      <c r="E23966" s="224" t="s">
        <v>2</v>
      </c>
      <c r="G23966" s="52"/>
      <c r="H23966" s="56"/>
      <c r="I23966" s="224"/>
    </row>
    <row r="23967" spans="1:9" x14ac:dyDescent="0.25">
      <c r="A23967" s="515">
        <v>95346</v>
      </c>
      <c r="B23967" s="515" t="s">
        <v>555</v>
      </c>
      <c r="C23967" s="52">
        <v>333110.26040450903</v>
      </c>
      <c r="D23967" s="56">
        <v>2.8291391882325934E-2</v>
      </c>
      <c r="E23967" s="224" t="s">
        <v>2</v>
      </c>
      <c r="G23967" s="52"/>
      <c r="H23967" s="56"/>
      <c r="I23967" s="224"/>
    </row>
    <row r="23968" spans="1:9" x14ac:dyDescent="0.25">
      <c r="A23968" s="515">
        <v>64637</v>
      </c>
      <c r="B23968" s="515" t="s">
        <v>455</v>
      </c>
      <c r="C23968" s="52">
        <v>198335.881563979</v>
      </c>
      <c r="D23968" s="56">
        <v>0.11048549566159399</v>
      </c>
      <c r="E23968" s="224" t="s">
        <v>2</v>
      </c>
      <c r="G23968" s="52"/>
      <c r="H23968" s="56"/>
      <c r="I23968" s="224"/>
    </row>
    <row r="23969" spans="1:9" x14ac:dyDescent="0.25">
      <c r="A23969" s="515">
        <v>68882</v>
      </c>
      <c r="C23969" s="52">
        <v>133453.34187554201</v>
      </c>
      <c r="D23969" s="56">
        <v>0.12323522731720433</v>
      </c>
      <c r="E23969" s="224" t="s">
        <v>2</v>
      </c>
      <c r="G23969" s="52"/>
      <c r="H23969" s="56"/>
      <c r="I23969" s="224"/>
    </row>
    <row r="23970" spans="1:9" x14ac:dyDescent="0.25">
      <c r="A23970" s="515">
        <v>96129</v>
      </c>
      <c r="C23970" s="52">
        <v>340674.19189587398</v>
      </c>
      <c r="D23970" s="56">
        <v>2.3385677144887762E-2</v>
      </c>
      <c r="E23970" s="224" t="s">
        <v>2</v>
      </c>
      <c r="G23970" s="52"/>
      <c r="H23970" s="56"/>
      <c r="I23970" s="224"/>
    </row>
    <row r="23971" spans="1:9" x14ac:dyDescent="0.25">
      <c r="A23971" s="515">
        <v>15920</v>
      </c>
      <c r="B23971" s="515" t="s">
        <v>343</v>
      </c>
      <c r="C23971" s="52">
        <v>141514.533942832</v>
      </c>
      <c r="D23971" s="56">
        <v>7.6235150458545453E-2</v>
      </c>
      <c r="E23971" s="224" t="s">
        <v>2</v>
      </c>
      <c r="G23971" s="52"/>
      <c r="H23971" s="56"/>
      <c r="I23971" s="224"/>
    </row>
    <row r="23972" spans="1:9" x14ac:dyDescent="0.25">
      <c r="A23972" s="515">
        <v>41764</v>
      </c>
      <c r="C23972" s="52">
        <v>83450.078526047902</v>
      </c>
      <c r="D23972" s="56">
        <v>0.27140165211188005</v>
      </c>
      <c r="E23972" s="224" t="s">
        <v>2</v>
      </c>
      <c r="G23972" s="52"/>
      <c r="H23972" s="56"/>
      <c r="I23972" s="224"/>
    </row>
    <row r="23973" spans="1:9" x14ac:dyDescent="0.25">
      <c r="A23973" s="515">
        <v>39356</v>
      </c>
      <c r="B23973" s="515" t="s">
        <v>793</v>
      </c>
      <c r="C23973" s="52">
        <v>121189.90710671501</v>
      </c>
      <c r="D23973" s="56">
        <v>0</v>
      </c>
      <c r="E23973" s="224" t="s">
        <v>2</v>
      </c>
      <c r="G23973" s="52"/>
      <c r="H23973" s="56"/>
      <c r="I23973" s="224"/>
    </row>
    <row r="23974" spans="1:9" x14ac:dyDescent="0.25">
      <c r="A23974" s="515">
        <v>56661</v>
      </c>
      <c r="B23974" s="515" t="s">
        <v>590</v>
      </c>
      <c r="C23974" s="52">
        <v>161688.380530583</v>
      </c>
      <c r="D23974" s="56">
        <v>4.87168062370869E-2</v>
      </c>
      <c r="E23974" s="224" t="s">
        <v>2</v>
      </c>
      <c r="G23974" s="52"/>
      <c r="H23974" s="56"/>
      <c r="I23974" s="224"/>
    </row>
    <row r="23975" spans="1:9" x14ac:dyDescent="0.25">
      <c r="A23975" s="515">
        <v>55370</v>
      </c>
      <c r="B23975" s="515" t="s">
        <v>882</v>
      </c>
      <c r="C23975" s="52">
        <v>305654.22686512501</v>
      </c>
      <c r="D23975" s="56">
        <v>6.2198284566459712E-2</v>
      </c>
      <c r="E23975" s="224" t="s">
        <v>2</v>
      </c>
      <c r="G23975" s="52"/>
      <c r="H23975" s="56"/>
      <c r="I23975" s="224"/>
    </row>
    <row r="23976" spans="1:9" x14ac:dyDescent="0.25">
      <c r="A23976" s="515">
        <v>52050</v>
      </c>
      <c r="C23976" s="52">
        <v>159438.08094316901</v>
      </c>
      <c r="D23976" s="56">
        <v>0.14217551904974038</v>
      </c>
      <c r="E23976" s="224" t="s">
        <v>2</v>
      </c>
      <c r="G23976" s="52"/>
      <c r="H23976" s="56"/>
      <c r="I23976" s="224"/>
    </row>
    <row r="23977" spans="1:9" x14ac:dyDescent="0.25">
      <c r="A23977" s="515">
        <v>58835</v>
      </c>
      <c r="C23977" s="52">
        <v>282698.629032258</v>
      </c>
      <c r="D23977" s="56">
        <v>0</v>
      </c>
      <c r="E23977" s="224" t="s">
        <v>2</v>
      </c>
      <c r="G23977" s="52"/>
      <c r="H23977" s="56"/>
      <c r="I23977" s="224"/>
    </row>
    <row r="23978" spans="1:9" x14ac:dyDescent="0.25">
      <c r="A23978" s="515">
        <v>95573</v>
      </c>
      <c r="B23978" s="515" t="s">
        <v>352</v>
      </c>
      <c r="C23978" s="52">
        <v>327643.093628984</v>
      </c>
      <c r="D23978" s="56">
        <v>-4.8554368491630445E-2</v>
      </c>
      <c r="E23978" s="224" t="s">
        <v>2</v>
      </c>
      <c r="G23978" s="52"/>
      <c r="H23978" s="56"/>
      <c r="I23978" s="224"/>
    </row>
    <row r="23979" spans="1:9" x14ac:dyDescent="0.25">
      <c r="A23979" s="515">
        <v>63739</v>
      </c>
      <c r="B23979" s="515" t="s">
        <v>424</v>
      </c>
      <c r="C23979" s="52">
        <v>173732.17927630601</v>
      </c>
      <c r="D23979" s="56">
        <v>5.6642348238830201E-2</v>
      </c>
      <c r="E23979" s="224" t="s">
        <v>2</v>
      </c>
      <c r="G23979" s="52"/>
      <c r="H23979" s="56"/>
      <c r="I23979" s="224"/>
    </row>
    <row r="23980" spans="1:9" x14ac:dyDescent="0.25">
      <c r="A23980" s="515">
        <v>55763</v>
      </c>
      <c r="B23980" s="515" t="s">
        <v>350</v>
      </c>
      <c r="C23980" s="52">
        <v>181944.255555563</v>
      </c>
      <c r="D23980" s="56">
        <v>9.3774045375133605E-2</v>
      </c>
      <c r="E23980" s="224" t="s">
        <v>2</v>
      </c>
      <c r="G23980" s="52"/>
      <c r="H23980" s="56"/>
      <c r="I23980" s="224"/>
    </row>
    <row r="23981" spans="1:9" x14ac:dyDescent="0.25">
      <c r="A23981" s="515">
        <v>71971</v>
      </c>
      <c r="C23981" s="52">
        <v>135359.696969696</v>
      </c>
      <c r="D23981" s="56">
        <v>0</v>
      </c>
      <c r="E23981" s="224" t="s">
        <v>2</v>
      </c>
      <c r="G23981" s="52"/>
      <c r="H23981" s="56"/>
      <c r="I23981" s="224"/>
    </row>
    <row r="23982" spans="1:9" x14ac:dyDescent="0.25">
      <c r="A23982" s="515">
        <v>73840</v>
      </c>
      <c r="B23982" s="515" t="s">
        <v>830</v>
      </c>
      <c r="C23982" s="52">
        <v>113794.257337363</v>
      </c>
      <c r="D23982" s="56">
        <v>0.10946918368951532</v>
      </c>
      <c r="E23982" s="224" t="s">
        <v>2</v>
      </c>
      <c r="G23982" s="52"/>
      <c r="H23982" s="56"/>
      <c r="I23982" s="224"/>
    </row>
    <row r="23983" spans="1:9" x14ac:dyDescent="0.25">
      <c r="A23983" s="515">
        <v>62970</v>
      </c>
      <c r="C23983" s="52">
        <v>68601.374857819697</v>
      </c>
      <c r="D23983" s="56">
        <v>-3.8098327821297587E-2</v>
      </c>
      <c r="E23983" s="224" t="s">
        <v>2</v>
      </c>
      <c r="G23983" s="52"/>
      <c r="H23983" s="56"/>
      <c r="I23983" s="224"/>
    </row>
    <row r="23984" spans="1:9" x14ac:dyDescent="0.25">
      <c r="A23984" s="515">
        <v>61260</v>
      </c>
      <c r="B23984" s="515" t="s">
        <v>439</v>
      </c>
      <c r="C23984" s="52">
        <v>112120.802218394</v>
      </c>
      <c r="D23984" s="56">
        <v>-2.3711040182800486E-2</v>
      </c>
      <c r="E23984" s="224" t="s">
        <v>2</v>
      </c>
      <c r="G23984" s="52"/>
      <c r="H23984" s="56"/>
      <c r="I23984" s="224"/>
    </row>
    <row r="23985" spans="1:9" x14ac:dyDescent="0.25">
      <c r="A23985" s="515">
        <v>5079</v>
      </c>
      <c r="B23985" s="515" t="s">
        <v>420</v>
      </c>
      <c r="C23985" s="52">
        <v>270376.79775280901</v>
      </c>
      <c r="D23985" s="56">
        <v>0</v>
      </c>
      <c r="E23985" s="224" t="s">
        <v>2</v>
      </c>
      <c r="G23985" s="52"/>
      <c r="H23985" s="56"/>
      <c r="I23985" s="224"/>
    </row>
    <row r="23986" spans="1:9" x14ac:dyDescent="0.25">
      <c r="A23986" s="515">
        <v>94956</v>
      </c>
      <c r="B23986" s="515" t="s">
        <v>593</v>
      </c>
      <c r="C23986" s="52">
        <v>1299804.80346466</v>
      </c>
      <c r="D23986" s="56">
        <v>-6.0997617982666242E-3</v>
      </c>
      <c r="E23986" s="224" t="s">
        <v>2</v>
      </c>
      <c r="G23986" s="52"/>
      <c r="H23986" s="56"/>
      <c r="I23986" s="224"/>
    </row>
    <row r="23987" spans="1:9" x14ac:dyDescent="0.25">
      <c r="A23987" s="515">
        <v>56237</v>
      </c>
      <c r="C23987" s="52">
        <v>145526.36806443901</v>
      </c>
      <c r="D23987" s="56">
        <v>-1.2784899930987829E-2</v>
      </c>
      <c r="E23987" s="224" t="s">
        <v>2</v>
      </c>
      <c r="G23987" s="52"/>
      <c r="H23987" s="56"/>
      <c r="I23987" s="224"/>
    </row>
    <row r="23988" spans="1:9" x14ac:dyDescent="0.25">
      <c r="A23988" s="515">
        <v>49762</v>
      </c>
      <c r="C23988" s="52">
        <v>132939.34977690401</v>
      </c>
      <c r="D23988" s="56">
        <v>0</v>
      </c>
      <c r="E23988" s="224" t="s">
        <v>2</v>
      </c>
      <c r="G23988" s="52"/>
      <c r="H23988" s="56"/>
      <c r="I23988" s="224"/>
    </row>
    <row r="23989" spans="1:9" x14ac:dyDescent="0.25">
      <c r="A23989" s="515">
        <v>46759</v>
      </c>
      <c r="B23989" s="515" t="s">
        <v>465</v>
      </c>
      <c r="C23989" s="52">
        <v>201879.32382085401</v>
      </c>
      <c r="D23989" s="56">
        <v>2.4804551666016739E-2</v>
      </c>
      <c r="E23989" s="224" t="s">
        <v>2</v>
      </c>
      <c r="G23989" s="52"/>
      <c r="H23989" s="56"/>
      <c r="I23989" s="224"/>
    </row>
    <row r="23990" spans="1:9" x14ac:dyDescent="0.25">
      <c r="A23990" s="515">
        <v>16932</v>
      </c>
      <c r="C23990" s="52">
        <v>213860.52313000601</v>
      </c>
      <c r="D23990" s="56">
        <v>9.9022840000856691E-2</v>
      </c>
      <c r="E23990" s="224" t="s">
        <v>2</v>
      </c>
      <c r="G23990" s="52"/>
      <c r="H23990" s="56"/>
      <c r="I23990" s="224"/>
    </row>
    <row r="23991" spans="1:9" x14ac:dyDescent="0.25">
      <c r="A23991" s="515">
        <v>50173</v>
      </c>
      <c r="C23991" s="52">
        <v>133087.256761853</v>
      </c>
      <c r="D23991" s="56">
        <v>9.3668161119405055E-2</v>
      </c>
      <c r="E23991" s="224" t="s">
        <v>2</v>
      </c>
      <c r="G23991" s="52"/>
      <c r="H23991" s="56"/>
      <c r="I23991" s="224"/>
    </row>
    <row r="23992" spans="1:9" x14ac:dyDescent="0.25">
      <c r="A23992" s="515">
        <v>47451</v>
      </c>
      <c r="B23992" s="515" t="s">
        <v>881</v>
      </c>
      <c r="C23992" s="52">
        <v>150170.03307030001</v>
      </c>
      <c r="D23992" s="56">
        <v>0.10546864252143347</v>
      </c>
      <c r="E23992" s="224" t="s">
        <v>2</v>
      </c>
      <c r="G23992" s="52"/>
      <c r="H23992" s="56"/>
      <c r="I23992" s="224"/>
    </row>
    <row r="23993" spans="1:9" x14ac:dyDescent="0.25">
      <c r="A23993" s="515">
        <v>56311</v>
      </c>
      <c r="C23993" s="52">
        <v>225180.077422523</v>
      </c>
      <c r="D23993" s="56">
        <v>8.6432915811712585E-2</v>
      </c>
      <c r="E23993" s="224" t="s">
        <v>2</v>
      </c>
      <c r="G23993" s="52"/>
      <c r="H23993" s="56"/>
      <c r="I23993" s="224"/>
    </row>
    <row r="23994" spans="1:9" x14ac:dyDescent="0.25">
      <c r="A23994" s="515">
        <v>66042</v>
      </c>
      <c r="B23994" s="515" t="s">
        <v>880</v>
      </c>
      <c r="C23994" s="52">
        <v>217563.507971696</v>
      </c>
      <c r="D23994" s="56">
        <v>0.13284510484223719</v>
      </c>
      <c r="E23994" s="224" t="s">
        <v>2</v>
      </c>
      <c r="G23994" s="52"/>
      <c r="H23994" s="56"/>
      <c r="I23994" s="224"/>
    </row>
    <row r="23995" spans="1:9" x14ac:dyDescent="0.25">
      <c r="A23995" s="515">
        <v>12955</v>
      </c>
      <c r="B23995" s="515" t="s">
        <v>395</v>
      </c>
      <c r="C23995" s="52">
        <v>166715.74019844999</v>
      </c>
      <c r="D23995" s="56">
        <v>0.1270859067946023</v>
      </c>
      <c r="E23995" s="224" t="s">
        <v>2</v>
      </c>
      <c r="G23995" s="52"/>
      <c r="H23995" s="56"/>
      <c r="I23995" s="224"/>
    </row>
    <row r="23996" spans="1:9" x14ac:dyDescent="0.25">
      <c r="A23996" s="515">
        <v>54209</v>
      </c>
      <c r="C23996" s="52">
        <v>292177.45619958098</v>
      </c>
      <c r="D23996" s="56">
        <v>0.13282839863856807</v>
      </c>
      <c r="E23996" s="224" t="s">
        <v>2</v>
      </c>
      <c r="G23996" s="52"/>
      <c r="H23996" s="56"/>
      <c r="I23996" s="224"/>
    </row>
    <row r="23997" spans="1:9" x14ac:dyDescent="0.25">
      <c r="A23997" s="515">
        <v>43407</v>
      </c>
      <c r="B23997" s="515" t="s">
        <v>878</v>
      </c>
      <c r="C23997" s="52">
        <v>177805.44995243999</v>
      </c>
      <c r="D23997" s="56">
        <v>5.4552748414243117E-2</v>
      </c>
      <c r="E23997" s="224" t="s">
        <v>2</v>
      </c>
      <c r="G23997" s="52"/>
      <c r="H23997" s="56"/>
      <c r="I23997" s="224"/>
    </row>
    <row r="23998" spans="1:9" x14ac:dyDescent="0.25">
      <c r="A23998" s="515">
        <v>73753</v>
      </c>
      <c r="B23998" s="515" t="s">
        <v>730</v>
      </c>
      <c r="C23998" s="52">
        <v>136231.16606865299</v>
      </c>
      <c r="D23998" s="56">
        <v>5.5169673213284344E-2</v>
      </c>
      <c r="E23998" s="224" t="s">
        <v>2</v>
      </c>
      <c r="G23998" s="52"/>
      <c r="H23998" s="56"/>
      <c r="I23998" s="224"/>
    </row>
    <row r="23999" spans="1:9" x14ac:dyDescent="0.25">
      <c r="A23999" s="515">
        <v>99123</v>
      </c>
      <c r="B23999" s="515" t="s">
        <v>666</v>
      </c>
      <c r="C23999" s="52">
        <v>287849.286297257</v>
      </c>
      <c r="D23999" s="56">
        <v>5.3130836859713232E-2</v>
      </c>
      <c r="E23999" s="224" t="s">
        <v>2</v>
      </c>
      <c r="G23999" s="52"/>
      <c r="H23999" s="56"/>
      <c r="I23999" s="224"/>
    </row>
    <row r="24000" spans="1:9" x14ac:dyDescent="0.25">
      <c r="A24000" s="515">
        <v>16854</v>
      </c>
      <c r="B24000" s="515" t="s">
        <v>491</v>
      </c>
      <c r="C24000" s="52">
        <v>205654.41032639699</v>
      </c>
      <c r="D24000" s="56">
        <v>7.3403902996037176E-2</v>
      </c>
      <c r="E24000" s="224" t="s">
        <v>2</v>
      </c>
      <c r="G24000" s="52"/>
      <c r="H24000" s="56"/>
      <c r="I24000" s="224"/>
    </row>
    <row r="24001" spans="1:9" x14ac:dyDescent="0.25">
      <c r="A24001" s="515">
        <v>93261</v>
      </c>
      <c r="B24001" s="515" t="s">
        <v>358</v>
      </c>
      <c r="C24001" s="52">
        <v>228915.54897259999</v>
      </c>
      <c r="D24001" s="56">
        <v>0.17013175407045142</v>
      </c>
      <c r="E24001" s="224" t="s">
        <v>2</v>
      </c>
      <c r="G24001" s="52"/>
      <c r="H24001" s="56"/>
      <c r="I24001" s="224"/>
    </row>
    <row r="24002" spans="1:9" x14ac:dyDescent="0.25">
      <c r="A24002" s="515">
        <v>67446</v>
      </c>
      <c r="C24002" s="52">
        <v>104364.837923731</v>
      </c>
      <c r="D24002" s="56">
        <v>0.14083604598847466</v>
      </c>
      <c r="E24002" s="224" t="s">
        <v>2</v>
      </c>
      <c r="G24002" s="52"/>
      <c r="H24002" s="56"/>
      <c r="I24002" s="224"/>
    </row>
    <row r="24003" spans="1:9" x14ac:dyDescent="0.25">
      <c r="A24003" s="515">
        <v>99139</v>
      </c>
      <c r="C24003" s="52">
        <v>255991.155054879</v>
      </c>
      <c r="D24003" s="56">
        <v>3.8704042546132661E-2</v>
      </c>
      <c r="E24003" s="224" t="s">
        <v>2</v>
      </c>
      <c r="G24003" s="52"/>
      <c r="H24003" s="56"/>
      <c r="I24003" s="224"/>
    </row>
    <row r="24004" spans="1:9" x14ac:dyDescent="0.25">
      <c r="A24004" s="515">
        <v>28520</v>
      </c>
      <c r="B24004" s="515" t="s">
        <v>641</v>
      </c>
      <c r="C24004" s="52">
        <v>235284.72937717399</v>
      </c>
      <c r="D24004" s="56">
        <v>0.19005443872127539</v>
      </c>
      <c r="E24004" s="224" t="s">
        <v>2</v>
      </c>
      <c r="G24004" s="52"/>
      <c r="H24004" s="56"/>
      <c r="I24004" s="224"/>
    </row>
    <row r="24005" spans="1:9" x14ac:dyDescent="0.25">
      <c r="A24005" s="515">
        <v>68461</v>
      </c>
      <c r="B24005" s="515" t="s">
        <v>486</v>
      </c>
      <c r="C24005" s="52">
        <v>628916.71479422902</v>
      </c>
      <c r="D24005" s="56">
        <v>0.15216862648537652</v>
      </c>
      <c r="E24005" s="224" t="s">
        <v>2</v>
      </c>
      <c r="G24005" s="52"/>
      <c r="H24005" s="56"/>
      <c r="I24005" s="224"/>
    </row>
    <row r="24006" spans="1:9" x14ac:dyDescent="0.25">
      <c r="A24006" s="515">
        <v>74756</v>
      </c>
      <c r="C24006" s="52">
        <v>184542.76212998701</v>
      </c>
      <c r="D24006" s="56">
        <v>0.11879497872920343</v>
      </c>
      <c r="E24006" s="224" t="s">
        <v>2</v>
      </c>
      <c r="G24006" s="52"/>
      <c r="H24006" s="56"/>
      <c r="I24006" s="224"/>
    </row>
    <row r="24007" spans="1:9" x14ac:dyDescent="0.25">
      <c r="A24007" s="515">
        <v>12913</v>
      </c>
      <c r="B24007" s="515" t="s">
        <v>706</v>
      </c>
      <c r="C24007" s="52">
        <v>230288.53108986199</v>
      </c>
      <c r="D24007" s="56">
        <v>0.11151067023819891</v>
      </c>
      <c r="E24007" s="224" t="s">
        <v>2</v>
      </c>
      <c r="G24007" s="52"/>
      <c r="H24007" s="56"/>
      <c r="I24007" s="224"/>
    </row>
    <row r="24008" spans="1:9" x14ac:dyDescent="0.25">
      <c r="A24008" s="515">
        <v>88046</v>
      </c>
      <c r="B24008" s="515" t="s">
        <v>317</v>
      </c>
      <c r="C24008" s="52">
        <v>285916.22890456201</v>
      </c>
      <c r="D24008" s="56">
        <v>0.36273757973139531</v>
      </c>
      <c r="E24008" s="224" t="s">
        <v>2</v>
      </c>
      <c r="G24008" s="52"/>
      <c r="H24008" s="56"/>
      <c r="I24008" s="224"/>
    </row>
    <row r="24009" spans="1:9" x14ac:dyDescent="0.25">
      <c r="A24009" s="515">
        <v>47017</v>
      </c>
      <c r="C24009" s="52">
        <v>216000.07092578799</v>
      </c>
      <c r="D24009" s="56">
        <v>8.0964929050235668E-2</v>
      </c>
      <c r="E24009" s="224" t="s">
        <v>2</v>
      </c>
      <c r="G24009" s="52"/>
      <c r="H24009" s="56"/>
      <c r="I24009" s="224"/>
    </row>
    <row r="24010" spans="1:9" x14ac:dyDescent="0.25">
      <c r="A24010" s="515">
        <v>18920</v>
      </c>
      <c r="B24010" s="515" t="s">
        <v>294</v>
      </c>
      <c r="C24010" s="52">
        <v>589779.90443855699</v>
      </c>
      <c r="D24010" s="56">
        <v>8.4358004663968783E-2</v>
      </c>
      <c r="E24010" s="224" t="s">
        <v>2</v>
      </c>
      <c r="G24010" s="52"/>
      <c r="H24010" s="56"/>
      <c r="I24010" s="224"/>
    </row>
    <row r="24011" spans="1:9" x14ac:dyDescent="0.25">
      <c r="A24011" s="515">
        <v>26384</v>
      </c>
      <c r="C24011" s="52">
        <v>103975.63427550301</v>
      </c>
      <c r="D24011" s="56">
        <v>2.6125293420442123E-2</v>
      </c>
      <c r="E24011" s="224" t="s">
        <v>2</v>
      </c>
      <c r="G24011" s="52"/>
      <c r="H24011" s="56"/>
      <c r="I24011" s="224"/>
    </row>
    <row r="24012" spans="1:9" x14ac:dyDescent="0.25">
      <c r="A24012" s="515">
        <v>56289</v>
      </c>
      <c r="B24012" s="515" t="s">
        <v>803</v>
      </c>
      <c r="C24012" s="52">
        <v>273190.65213124797</v>
      </c>
      <c r="D24012" s="56">
        <v>0.10210509890860478</v>
      </c>
      <c r="E24012" s="224" t="s">
        <v>2</v>
      </c>
      <c r="G24012" s="52"/>
      <c r="H24012" s="56"/>
      <c r="I24012" s="224"/>
    </row>
    <row r="24013" spans="1:9" x14ac:dyDescent="0.25">
      <c r="A24013" s="515">
        <v>13670</v>
      </c>
      <c r="B24013" s="515" t="s">
        <v>511</v>
      </c>
      <c r="C24013" s="52">
        <v>108902.69347925999</v>
      </c>
      <c r="D24013" s="56">
        <v>6.9238517710539405E-2</v>
      </c>
      <c r="E24013" s="224" t="s">
        <v>2</v>
      </c>
      <c r="G24013" s="52"/>
      <c r="H24013" s="56"/>
      <c r="I24013" s="224"/>
    </row>
    <row r="24014" spans="1:9" x14ac:dyDescent="0.25">
      <c r="A24014" s="515">
        <v>69127</v>
      </c>
      <c r="C24014" s="52">
        <v>249232.61664915</v>
      </c>
      <c r="D24014" s="56">
        <v>7.757608281303259E-2</v>
      </c>
      <c r="E24014" s="224" t="s">
        <v>2</v>
      </c>
      <c r="G24014" s="52"/>
      <c r="H24014" s="56"/>
      <c r="I24014" s="224"/>
    </row>
    <row r="24015" spans="1:9" x14ac:dyDescent="0.25">
      <c r="A24015" s="515">
        <v>44045</v>
      </c>
      <c r="B24015" s="515" t="s">
        <v>520</v>
      </c>
      <c r="C24015" s="52">
        <v>152546.94585563199</v>
      </c>
      <c r="D24015" s="56">
        <v>7.3143171095390563E-2</v>
      </c>
      <c r="E24015" s="224" t="s">
        <v>2</v>
      </c>
      <c r="G24015" s="52"/>
      <c r="H24015" s="56"/>
      <c r="I24015" s="224"/>
    </row>
    <row r="24016" spans="1:9" x14ac:dyDescent="0.25">
      <c r="A24016" s="515">
        <v>28775</v>
      </c>
      <c r="C24016" s="52">
        <v>375291.13838279899</v>
      </c>
      <c r="D24016" s="56">
        <v>0.12351180425598791</v>
      </c>
      <c r="E24016" s="224" t="s">
        <v>2</v>
      </c>
      <c r="G24016" s="52"/>
      <c r="H24016" s="56"/>
      <c r="I24016" s="224"/>
    </row>
    <row r="24017" spans="1:9" x14ac:dyDescent="0.25">
      <c r="A24017" s="515">
        <v>22438</v>
      </c>
      <c r="C24017" s="52">
        <v>222652.727413674</v>
      </c>
      <c r="D24017" s="56">
        <v>0.2858996116886911</v>
      </c>
      <c r="E24017" s="224" t="s">
        <v>2</v>
      </c>
      <c r="G24017" s="52"/>
      <c r="H24017" s="56"/>
      <c r="I24017" s="224"/>
    </row>
    <row r="24018" spans="1:9" x14ac:dyDescent="0.25">
      <c r="A24018" s="515">
        <v>62572</v>
      </c>
      <c r="B24018" s="515" t="s">
        <v>498</v>
      </c>
      <c r="C24018" s="52">
        <v>90470.501774690507</v>
      </c>
      <c r="D24018" s="56">
        <v>9.8241680858271972E-4</v>
      </c>
      <c r="E24018" s="224" t="s">
        <v>2</v>
      </c>
      <c r="G24018" s="52"/>
      <c r="H24018" s="56"/>
      <c r="I24018" s="224"/>
    </row>
    <row r="24019" spans="1:9" x14ac:dyDescent="0.25">
      <c r="A24019" s="515">
        <v>74827</v>
      </c>
      <c r="C24019" s="52">
        <v>147412.28256492599</v>
      </c>
      <c r="D24019" s="56">
        <v>5.946552849981928E-2</v>
      </c>
      <c r="E24019" s="224" t="s">
        <v>2</v>
      </c>
      <c r="G24019" s="52"/>
      <c r="H24019" s="56"/>
      <c r="I24019" s="224"/>
    </row>
    <row r="24020" spans="1:9" x14ac:dyDescent="0.25">
      <c r="A24020" s="515">
        <v>95922</v>
      </c>
      <c r="B24020" s="515" t="s">
        <v>796</v>
      </c>
      <c r="C24020" s="52">
        <v>347527.37930208701</v>
      </c>
      <c r="D24020" s="56">
        <v>-1.3205168730615554E-2</v>
      </c>
      <c r="E24020" s="224" t="s">
        <v>2</v>
      </c>
      <c r="G24020" s="52"/>
      <c r="H24020" s="56"/>
      <c r="I24020" s="224"/>
    </row>
    <row r="24021" spans="1:9" x14ac:dyDescent="0.25">
      <c r="A24021" s="515">
        <v>67430</v>
      </c>
      <c r="C24021" s="52">
        <v>85590.461079803601</v>
      </c>
      <c r="D24021" s="56">
        <v>0.11715818281170835</v>
      </c>
      <c r="E24021" s="224" t="s">
        <v>2</v>
      </c>
      <c r="G24021" s="52"/>
      <c r="H24021" s="56"/>
      <c r="I24021" s="224"/>
    </row>
    <row r="24022" spans="1:9" x14ac:dyDescent="0.25">
      <c r="A24022" s="515">
        <v>68854</v>
      </c>
      <c r="C24022" s="52">
        <v>315294.03816429101</v>
      </c>
      <c r="D24022" s="56">
        <v>0.10067716962170886</v>
      </c>
      <c r="E24022" s="224" t="s">
        <v>2</v>
      </c>
      <c r="G24022" s="52"/>
      <c r="H24022" s="56"/>
      <c r="I24022" s="224"/>
    </row>
    <row r="24023" spans="1:9" x14ac:dyDescent="0.25">
      <c r="A24023" s="515">
        <v>26292</v>
      </c>
      <c r="C24023" s="52">
        <v>116606.22238509401</v>
      </c>
      <c r="D24023" s="56">
        <v>0.12518499661480165</v>
      </c>
      <c r="E24023" s="224" t="s">
        <v>2</v>
      </c>
      <c r="G24023" s="52"/>
      <c r="H24023" s="56"/>
      <c r="I24023" s="224"/>
    </row>
    <row r="24024" spans="1:9" x14ac:dyDescent="0.25">
      <c r="A24024" s="515">
        <v>56669</v>
      </c>
      <c r="C24024" s="52">
        <v>230560.007610767</v>
      </c>
      <c r="D24024" s="56">
        <v>0.15680280869463245</v>
      </c>
      <c r="E24024" s="224" t="s">
        <v>2</v>
      </c>
      <c r="G24024" s="52"/>
      <c r="H24024" s="56"/>
      <c r="I24024" s="224"/>
    </row>
    <row r="24025" spans="1:9" x14ac:dyDescent="0.25">
      <c r="A24025" s="515">
        <v>12878</v>
      </c>
      <c r="B24025" s="515" t="s">
        <v>422</v>
      </c>
      <c r="C24025" s="52">
        <v>190743.145912382</v>
      </c>
      <c r="D24025" s="56">
        <v>1.3133863246484247E-2</v>
      </c>
      <c r="E24025" s="224" t="s">
        <v>2</v>
      </c>
      <c r="G24025" s="52"/>
      <c r="H24025" s="56"/>
      <c r="I24025" s="224"/>
    </row>
    <row r="24026" spans="1:9" x14ac:dyDescent="0.25">
      <c r="A24026" s="515">
        <v>66026</v>
      </c>
      <c r="B24026" s="515" t="s">
        <v>455</v>
      </c>
      <c r="C24026" s="52">
        <v>269226.61857735401</v>
      </c>
      <c r="D24026" s="56">
        <v>0.17514298684254964</v>
      </c>
      <c r="E24026" s="224" t="s">
        <v>2</v>
      </c>
      <c r="G24026" s="52"/>
      <c r="H24026" s="56"/>
      <c r="I24026" s="224"/>
    </row>
    <row r="24027" spans="1:9" x14ac:dyDescent="0.25">
      <c r="A24027" s="515">
        <v>73667</v>
      </c>
      <c r="C24027" s="52">
        <v>117034.83305228699</v>
      </c>
      <c r="D24027" s="56">
        <v>1.8796492801384859E-2</v>
      </c>
      <c r="E24027" s="224" t="s">
        <v>2</v>
      </c>
      <c r="G24027" s="52"/>
      <c r="H24027" s="56"/>
      <c r="I24027" s="224"/>
    </row>
    <row r="24028" spans="1:9" x14ac:dyDescent="0.25">
      <c r="A24028" s="515">
        <v>98814</v>
      </c>
      <c r="C24028" s="52">
        <v>467117.45419242402</v>
      </c>
      <c r="D24028" s="56">
        <v>5.4445607774044821E-2</v>
      </c>
      <c r="E24028" s="224" t="s">
        <v>2</v>
      </c>
      <c r="G24028" s="52"/>
      <c r="H24028" s="56"/>
      <c r="I24028" s="224"/>
    </row>
    <row r="24029" spans="1:9" x14ac:dyDescent="0.25">
      <c r="A24029" s="515">
        <v>52321</v>
      </c>
      <c r="B24029" s="515" t="s">
        <v>404</v>
      </c>
      <c r="C24029" s="52">
        <v>140074.09732022299</v>
      </c>
      <c r="D24029" s="56">
        <v>0.14269284449583897</v>
      </c>
      <c r="E24029" s="224" t="s">
        <v>2</v>
      </c>
      <c r="G24029" s="52"/>
      <c r="H24029" s="56"/>
      <c r="I24029" s="224"/>
    </row>
    <row r="24030" spans="1:9" x14ac:dyDescent="0.25">
      <c r="A24030" s="515">
        <v>79345</v>
      </c>
      <c r="C24030" s="52">
        <v>126960.89462295501</v>
      </c>
      <c r="D24030" s="56">
        <v>0</v>
      </c>
      <c r="E24030" s="224" t="s">
        <v>2</v>
      </c>
      <c r="G24030" s="52"/>
      <c r="H24030" s="56"/>
      <c r="I24030" s="224"/>
    </row>
    <row r="24031" spans="1:9" x14ac:dyDescent="0.25">
      <c r="A24031" s="515">
        <v>67474</v>
      </c>
      <c r="C24031" s="52">
        <v>69426.970675617107</v>
      </c>
      <c r="D24031" s="56">
        <v>6.2386221201016341E-2</v>
      </c>
      <c r="E24031" s="224" t="s">
        <v>2</v>
      </c>
      <c r="G24031" s="52"/>
      <c r="H24031" s="56"/>
      <c r="I24031" s="224"/>
    </row>
    <row r="24032" spans="1:9" x14ac:dyDescent="0.25">
      <c r="A24032" s="515">
        <v>37019</v>
      </c>
      <c r="B24032" s="515" t="s">
        <v>877</v>
      </c>
      <c r="C24032" s="52">
        <v>271990.86640490999</v>
      </c>
      <c r="D24032" s="56">
        <v>4.9895231268373773E-2</v>
      </c>
      <c r="E24032" s="224" t="s">
        <v>2</v>
      </c>
      <c r="G24032" s="52"/>
      <c r="H24032" s="56"/>
      <c r="I24032" s="224"/>
    </row>
    <row r="24033" spans="1:9" x14ac:dyDescent="0.25">
      <c r="A24033" s="515">
        <v>50275</v>
      </c>
      <c r="C24033" s="52">
        <v>175294.61508525899</v>
      </c>
      <c r="D24033" s="56">
        <v>0.23379857419601105</v>
      </c>
      <c r="E24033" s="224" t="s">
        <v>2</v>
      </c>
      <c r="G24033" s="52"/>
      <c r="H24033" s="56"/>
      <c r="I24033" s="224"/>
    </row>
    <row r="24034" spans="1:9" x14ac:dyDescent="0.25">
      <c r="A24034" s="515">
        <v>62238</v>
      </c>
      <c r="C24034" s="52">
        <v>44901.403072438501</v>
      </c>
      <c r="D24034" s="56">
        <v>1.8672027840015235E-2</v>
      </c>
      <c r="E24034" s="224" t="s">
        <v>2</v>
      </c>
      <c r="G24034" s="52"/>
      <c r="H24034" s="56"/>
      <c r="I24034" s="224"/>
    </row>
    <row r="24035" spans="1:9" x14ac:dyDescent="0.25">
      <c r="A24035" s="515">
        <v>8350</v>
      </c>
      <c r="B24035" s="515" t="s">
        <v>800</v>
      </c>
      <c r="C24035" s="52">
        <v>264357.57417588402</v>
      </c>
      <c r="D24035" s="56">
        <v>-3.8421833246644757E-3</v>
      </c>
      <c r="E24035" s="224" t="s">
        <v>2</v>
      </c>
      <c r="G24035" s="52"/>
      <c r="H24035" s="56"/>
      <c r="I24035" s="224"/>
    </row>
    <row r="24036" spans="1:9" x14ac:dyDescent="0.25">
      <c r="A24036" s="515">
        <v>73548</v>
      </c>
      <c r="C24036" s="52">
        <v>109155.782895778</v>
      </c>
      <c r="D24036" s="56">
        <v>0.10264723945081729</v>
      </c>
      <c r="E24036" s="224" t="s">
        <v>2</v>
      </c>
      <c r="G24036" s="52"/>
      <c r="H24036" s="56"/>
      <c r="I24036" s="224"/>
    </row>
    <row r="24037" spans="1:9" x14ac:dyDescent="0.25">
      <c r="A24037" s="515">
        <v>56045</v>
      </c>
      <c r="B24037" s="515" t="s">
        <v>565</v>
      </c>
      <c r="C24037" s="52">
        <v>153758.32110357401</v>
      </c>
      <c r="D24037" s="56">
        <v>4.1495935609343247E-2</v>
      </c>
      <c r="E24037" s="224" t="s">
        <v>2</v>
      </c>
      <c r="G24037" s="52"/>
      <c r="H24037" s="56"/>
      <c r="I24037" s="224"/>
    </row>
    <row r="24038" spans="1:9" x14ac:dyDescent="0.25">
      <c r="A24038" s="515">
        <v>62027</v>
      </c>
      <c r="C24038" s="52">
        <v>94352.754385964901</v>
      </c>
      <c r="D24038" s="56">
        <v>0</v>
      </c>
      <c r="E24038" s="224" t="s">
        <v>2</v>
      </c>
      <c r="G24038" s="52"/>
      <c r="H24038" s="56"/>
      <c r="I24038" s="224"/>
    </row>
    <row r="24039" spans="1:9" x14ac:dyDescent="0.25">
      <c r="A24039" s="515">
        <v>68843</v>
      </c>
      <c r="C24039" s="52">
        <v>229858.845537174</v>
      </c>
      <c r="D24039" s="56">
        <v>9.7501917977140889E-2</v>
      </c>
      <c r="E24039" s="224" t="s">
        <v>2</v>
      </c>
      <c r="G24039" s="52"/>
      <c r="H24039" s="56"/>
      <c r="I24039" s="224"/>
    </row>
    <row r="24040" spans="1:9" x14ac:dyDescent="0.25">
      <c r="A24040" s="515">
        <v>23176</v>
      </c>
      <c r="C24040" s="52">
        <v>300661.93636531598</v>
      </c>
      <c r="D24040" s="56">
        <v>0.11342471132516961</v>
      </c>
      <c r="E24040" s="224" t="s">
        <v>2</v>
      </c>
      <c r="G24040" s="52"/>
      <c r="H24040" s="56"/>
      <c r="I24040" s="224"/>
    </row>
    <row r="24041" spans="1:9" x14ac:dyDescent="0.25">
      <c r="A24041" s="515">
        <v>96033</v>
      </c>
      <c r="B24041" s="515" t="s">
        <v>514</v>
      </c>
      <c r="C24041" s="52">
        <v>265037.50480641302</v>
      </c>
      <c r="D24041" s="56">
        <v>-7.4890938944736484E-3</v>
      </c>
      <c r="E24041" s="224" t="s">
        <v>2</v>
      </c>
      <c r="G24041" s="52"/>
      <c r="H24041" s="56"/>
      <c r="I24041" s="224"/>
    </row>
    <row r="24042" spans="1:9" x14ac:dyDescent="0.25">
      <c r="A24042" s="515">
        <v>52337</v>
      </c>
      <c r="C24042" s="52">
        <v>149575.82426148499</v>
      </c>
      <c r="D24042" s="56">
        <v>4.2070539322388002E-2</v>
      </c>
      <c r="E24042" s="224" t="s">
        <v>2</v>
      </c>
      <c r="G24042" s="52"/>
      <c r="H24042" s="56"/>
      <c r="I24042" s="224"/>
    </row>
    <row r="24043" spans="1:9" x14ac:dyDescent="0.25">
      <c r="A24043" s="515">
        <v>58575</v>
      </c>
      <c r="C24043" s="52">
        <v>105495.20404178801</v>
      </c>
      <c r="D24043" s="56">
        <v>2.7409774284001615E-2</v>
      </c>
      <c r="E24043" s="224" t="s">
        <v>2</v>
      </c>
      <c r="G24043" s="52"/>
      <c r="H24043" s="56"/>
      <c r="I24043" s="224"/>
    </row>
    <row r="24044" spans="1:9" x14ac:dyDescent="0.25">
      <c r="A24044" s="515">
        <v>16860</v>
      </c>
      <c r="B24044" s="515" t="s">
        <v>876</v>
      </c>
      <c r="C24044" s="52">
        <v>114424.42271290701</v>
      </c>
      <c r="D24044" s="56">
        <v>2.5974011693654445E-3</v>
      </c>
      <c r="E24044" s="224" t="s">
        <v>2</v>
      </c>
      <c r="G24044" s="52"/>
      <c r="H24044" s="56"/>
      <c r="I24044" s="224"/>
    </row>
    <row r="24045" spans="1:9" x14ac:dyDescent="0.25">
      <c r="A24045" s="515">
        <v>55969</v>
      </c>
      <c r="B24045" s="515" t="s">
        <v>875</v>
      </c>
      <c r="C24045" s="52">
        <v>252634.52704495701</v>
      </c>
      <c r="D24045" s="56">
        <v>9.7600210397281006E-2</v>
      </c>
      <c r="E24045" s="224" t="s">
        <v>2</v>
      </c>
      <c r="G24045" s="52"/>
      <c r="H24045" s="56"/>
      <c r="I24045" s="224"/>
    </row>
    <row r="24046" spans="1:9" x14ac:dyDescent="0.25">
      <c r="A24046" s="515">
        <v>66864</v>
      </c>
      <c r="B24046" s="515" t="s">
        <v>707</v>
      </c>
      <c r="C24046" s="52">
        <v>147641.55574516699</v>
      </c>
      <c r="D24046" s="56">
        <v>6.5424952803538328E-2</v>
      </c>
      <c r="E24046" s="224" t="s">
        <v>2</v>
      </c>
      <c r="G24046" s="52"/>
      <c r="H24046" s="56"/>
      <c r="I24046" s="224"/>
    </row>
    <row r="24047" spans="1:9" x14ac:dyDescent="0.25">
      <c r="A24047" s="515">
        <v>11965</v>
      </c>
      <c r="B24047" s="515" t="s">
        <v>324</v>
      </c>
      <c r="C24047" s="52">
        <v>1474920.64072471</v>
      </c>
      <c r="D24047" s="56">
        <v>0.10379376014307048</v>
      </c>
      <c r="E24047" s="224" t="s">
        <v>2</v>
      </c>
      <c r="G24047" s="52"/>
      <c r="H24047" s="56"/>
      <c r="I24047" s="224"/>
    </row>
    <row r="24048" spans="1:9" x14ac:dyDescent="0.25">
      <c r="A24048" s="515">
        <v>56029</v>
      </c>
      <c r="B24048" s="515" t="s">
        <v>565</v>
      </c>
      <c r="C24048" s="52">
        <v>145199.23678107001</v>
      </c>
      <c r="D24048" s="56">
        <v>7.7122681697643899E-2</v>
      </c>
      <c r="E24048" s="224" t="s">
        <v>2</v>
      </c>
      <c r="G24048" s="52"/>
      <c r="H24048" s="56"/>
      <c r="I24048" s="224"/>
    </row>
    <row r="24049" spans="1:9" x14ac:dyDescent="0.25">
      <c r="A24049" s="515">
        <v>51544</v>
      </c>
      <c r="C24049" s="52">
        <v>113357.24338725</v>
      </c>
      <c r="D24049" s="56">
        <v>7.9734225377139242E-2</v>
      </c>
      <c r="E24049" s="224" t="s">
        <v>2</v>
      </c>
      <c r="G24049" s="52"/>
      <c r="H24049" s="56"/>
      <c r="I24049" s="224"/>
    </row>
    <row r="24050" spans="1:9" x14ac:dyDescent="0.25">
      <c r="A24050" s="515">
        <v>12503</v>
      </c>
      <c r="B24050" s="515" t="s">
        <v>564</v>
      </c>
      <c r="C24050" s="52">
        <v>472639.28358665499</v>
      </c>
      <c r="D24050" s="56">
        <v>0.11188713474282029</v>
      </c>
      <c r="E24050" s="224" t="s">
        <v>2</v>
      </c>
      <c r="G24050" s="52"/>
      <c r="H24050" s="56"/>
      <c r="I24050" s="224"/>
    </row>
    <row r="24051" spans="1:9" x14ac:dyDescent="0.25">
      <c r="A24051" s="515">
        <v>25958</v>
      </c>
      <c r="C24051" s="52">
        <v>76870.576259846101</v>
      </c>
      <c r="D24051" s="56">
        <v>0.10877781614111857</v>
      </c>
      <c r="E24051" s="224" t="s">
        <v>2</v>
      </c>
      <c r="G24051" s="52"/>
      <c r="H24051" s="56"/>
      <c r="I24051" s="224"/>
    </row>
    <row r="24052" spans="1:9" x14ac:dyDescent="0.25">
      <c r="A24052" s="515">
        <v>62215</v>
      </c>
      <c r="B24052" s="515" t="s">
        <v>498</v>
      </c>
      <c r="C24052" s="52">
        <v>202994.82066047599</v>
      </c>
      <c r="D24052" s="56">
        <v>7.2711177636396909E-2</v>
      </c>
      <c r="E24052" s="224" t="s">
        <v>2</v>
      </c>
      <c r="G24052" s="52"/>
      <c r="H24052" s="56"/>
      <c r="I24052" s="224"/>
    </row>
    <row r="24053" spans="1:9" x14ac:dyDescent="0.25">
      <c r="A24053" s="515">
        <v>75447</v>
      </c>
      <c r="B24053" s="515" t="s">
        <v>298</v>
      </c>
      <c r="C24053" s="52">
        <v>314143.44362704799</v>
      </c>
      <c r="D24053" s="56">
        <v>7.1317396337689049E-2</v>
      </c>
      <c r="E24053" s="224" t="s">
        <v>2</v>
      </c>
      <c r="G24053" s="52"/>
      <c r="H24053" s="56"/>
      <c r="I24053" s="224"/>
    </row>
    <row r="24054" spans="1:9" x14ac:dyDescent="0.25">
      <c r="A24054" s="515">
        <v>5037</v>
      </c>
      <c r="B24054" s="515" t="s">
        <v>420</v>
      </c>
      <c r="C24054" s="52">
        <v>315270.24483366701</v>
      </c>
      <c r="D24054" s="56">
        <v>0.10088791580380968</v>
      </c>
      <c r="E24054" s="224" t="s">
        <v>2</v>
      </c>
      <c r="G24054" s="52"/>
      <c r="H24054" s="56"/>
      <c r="I24054" s="224"/>
    </row>
    <row r="24055" spans="1:9" x14ac:dyDescent="0.25">
      <c r="A24055" s="515">
        <v>67954</v>
      </c>
      <c r="C24055" s="52">
        <v>87427.658861565098</v>
      </c>
      <c r="D24055" s="56">
        <v>0.17174983786262027</v>
      </c>
      <c r="E24055" s="224" t="s">
        <v>2</v>
      </c>
      <c r="G24055" s="52"/>
      <c r="H24055" s="56"/>
      <c r="I24055" s="224"/>
    </row>
    <row r="24056" spans="1:9" x14ac:dyDescent="0.25">
      <c r="A24056" s="515">
        <v>95589</v>
      </c>
      <c r="B24056" s="515" t="s">
        <v>352</v>
      </c>
      <c r="C24056" s="52">
        <v>388880.76630420599</v>
      </c>
      <c r="D24056" s="56">
        <v>-2.7177142854852607E-2</v>
      </c>
      <c r="E24056" s="224" t="s">
        <v>2</v>
      </c>
      <c r="G24056" s="52"/>
      <c r="H24056" s="56"/>
      <c r="I24056" s="224"/>
    </row>
    <row r="24057" spans="1:9" x14ac:dyDescent="0.25">
      <c r="A24057" s="515">
        <v>59259</v>
      </c>
      <c r="C24057" s="52">
        <v>219943.56448460199</v>
      </c>
      <c r="D24057" s="56">
        <v>0.12457755825865739</v>
      </c>
      <c r="E24057" s="224" t="s">
        <v>2</v>
      </c>
      <c r="G24057" s="52"/>
      <c r="H24057" s="56"/>
      <c r="I24057" s="224"/>
    </row>
    <row r="24058" spans="1:9" x14ac:dyDescent="0.25">
      <c r="A24058" s="515">
        <v>47465</v>
      </c>
      <c r="C24058" s="52">
        <v>169203.56065467899</v>
      </c>
      <c r="D24058" s="56">
        <v>8.9797330385586294E-2</v>
      </c>
      <c r="E24058" s="224" t="s">
        <v>2</v>
      </c>
      <c r="G24058" s="52"/>
      <c r="H24058" s="56"/>
      <c r="I24058" s="224"/>
    </row>
    <row r="24059" spans="1:9" x14ac:dyDescent="0.25">
      <c r="A24059" s="515">
        <v>60929</v>
      </c>
      <c r="B24059" s="515" t="s">
        <v>678</v>
      </c>
      <c r="C24059" s="52">
        <v>105092.436312272</v>
      </c>
      <c r="D24059" s="56">
        <v>8.2792320280757295E-2</v>
      </c>
      <c r="E24059" s="224" t="s">
        <v>2</v>
      </c>
      <c r="G24059" s="52"/>
      <c r="H24059" s="56"/>
      <c r="I24059" s="224"/>
    </row>
    <row r="24060" spans="1:9" x14ac:dyDescent="0.25">
      <c r="A24060" s="515">
        <v>5772</v>
      </c>
      <c r="B24060" s="515" t="s">
        <v>420</v>
      </c>
      <c r="C24060" s="52">
        <v>309051.68752722302</v>
      </c>
      <c r="D24060" s="56">
        <v>7.4366565027670056E-2</v>
      </c>
      <c r="E24060" s="224" t="s">
        <v>2</v>
      </c>
      <c r="G24060" s="52"/>
      <c r="H24060" s="56"/>
      <c r="I24060" s="224"/>
    </row>
    <row r="24061" spans="1:9" x14ac:dyDescent="0.25">
      <c r="A24061" s="515">
        <v>81423</v>
      </c>
      <c r="B24061" s="515" t="s">
        <v>677</v>
      </c>
      <c r="C24061" s="52">
        <v>420101.946413411</v>
      </c>
      <c r="D24061" s="56">
        <v>0.14095364371257391</v>
      </c>
      <c r="E24061" s="224" t="s">
        <v>2</v>
      </c>
      <c r="G24061" s="52"/>
      <c r="H24061" s="56"/>
      <c r="I24061" s="224"/>
    </row>
    <row r="24062" spans="1:9" x14ac:dyDescent="0.25">
      <c r="A24062" s="515">
        <v>13368</v>
      </c>
      <c r="C24062" s="52">
        <v>132702.17634466401</v>
      </c>
      <c r="D24062" s="56">
        <v>0.10537662990217819</v>
      </c>
      <c r="E24062" s="224" t="s">
        <v>2</v>
      </c>
      <c r="G24062" s="52"/>
      <c r="H24062" s="56"/>
      <c r="I24062" s="224"/>
    </row>
    <row r="24063" spans="1:9" x14ac:dyDescent="0.25">
      <c r="A24063" s="515">
        <v>25113</v>
      </c>
      <c r="B24063" s="515" t="s">
        <v>322</v>
      </c>
      <c r="C24063" s="52">
        <v>94924.679594403598</v>
      </c>
      <c r="D24063" s="56">
        <v>0.10714990656442185</v>
      </c>
      <c r="E24063" s="224" t="s">
        <v>2</v>
      </c>
      <c r="G24063" s="52"/>
      <c r="H24063" s="56"/>
      <c r="I24063" s="224"/>
    </row>
    <row r="24064" spans="1:9" x14ac:dyDescent="0.25">
      <c r="A24064" s="515">
        <v>27875</v>
      </c>
      <c r="C24064" s="52">
        <v>203341.76773490899</v>
      </c>
      <c r="D24064" s="56">
        <v>0.15284858873496165</v>
      </c>
      <c r="E24064" s="224" t="s">
        <v>2</v>
      </c>
      <c r="G24064" s="52"/>
      <c r="H24064" s="56"/>
      <c r="I24064" s="224"/>
    </row>
    <row r="24065" spans="1:9" x14ac:dyDescent="0.25">
      <c r="A24065" s="515">
        <v>45890</v>
      </c>
      <c r="B24065" s="515" t="s">
        <v>448</v>
      </c>
      <c r="C24065" s="52">
        <v>146100.92922120099</v>
      </c>
      <c r="D24065" s="56">
        <v>0.10978126695886258</v>
      </c>
      <c r="E24065" s="224" t="s">
        <v>2</v>
      </c>
      <c r="G24065" s="52"/>
      <c r="H24065" s="56"/>
      <c r="I24065" s="224"/>
    </row>
    <row r="24066" spans="1:9" x14ac:dyDescent="0.25">
      <c r="A24066" s="515">
        <v>38481</v>
      </c>
      <c r="B24066" s="515" t="s">
        <v>873</v>
      </c>
      <c r="C24066" s="52">
        <v>143693.50336701999</v>
      </c>
      <c r="D24066" s="56">
        <v>0</v>
      </c>
      <c r="E24066" s="224" t="s">
        <v>2</v>
      </c>
      <c r="G24066" s="52"/>
      <c r="H24066" s="56"/>
      <c r="I24066" s="224"/>
    </row>
    <row r="24067" spans="1:9" x14ac:dyDescent="0.25">
      <c r="A24067" s="515">
        <v>58463</v>
      </c>
      <c r="C24067" s="52">
        <v>67314.398379669699</v>
      </c>
      <c r="D24067" s="56">
        <v>-4.3067398416966274E-2</v>
      </c>
      <c r="E24067" s="224" t="s">
        <v>2</v>
      </c>
      <c r="G24067" s="52"/>
      <c r="H24067" s="56"/>
      <c r="I24067" s="224"/>
    </row>
    <row r="24068" spans="1:9" x14ac:dyDescent="0.25">
      <c r="A24068" s="515">
        <v>57072</v>
      </c>
      <c r="B24068" s="515" t="s">
        <v>874</v>
      </c>
      <c r="C24068" s="52">
        <v>250433.11064307601</v>
      </c>
      <c r="D24068" s="56">
        <v>5.4606942933656179E-2</v>
      </c>
      <c r="E24068" s="224" t="s">
        <v>2</v>
      </c>
      <c r="G24068" s="52"/>
      <c r="H24068" s="56"/>
      <c r="I24068" s="224"/>
    </row>
    <row r="24069" spans="1:9" x14ac:dyDescent="0.25">
      <c r="A24069" s="515">
        <v>68318</v>
      </c>
      <c r="B24069" s="515" t="s">
        <v>745</v>
      </c>
      <c r="C24069" s="52">
        <v>113671.56795143201</v>
      </c>
      <c r="D24069" s="56">
        <v>0.16027286127201809</v>
      </c>
      <c r="E24069" s="224" t="s">
        <v>2</v>
      </c>
      <c r="G24069" s="52"/>
      <c r="H24069" s="56"/>
      <c r="I24069" s="224"/>
    </row>
    <row r="24070" spans="1:9" x14ac:dyDescent="0.25">
      <c r="A24070" s="515">
        <v>20611</v>
      </c>
      <c r="B24070" s="515" t="s">
        <v>321</v>
      </c>
      <c r="C24070" s="52">
        <v>404942.69625809102</v>
      </c>
      <c r="D24070" s="56">
        <v>2.2282632835414769E-2</v>
      </c>
      <c r="E24070" s="224" t="s">
        <v>2</v>
      </c>
      <c r="G24070" s="52"/>
      <c r="H24070" s="56"/>
      <c r="I24070" s="224"/>
    </row>
    <row r="24071" spans="1:9" x14ac:dyDescent="0.25">
      <c r="A24071" s="515">
        <v>56230</v>
      </c>
      <c r="C24071" s="52">
        <v>152884.85022057401</v>
      </c>
      <c r="D24071" s="56">
        <v>6.415496962965718E-2</v>
      </c>
      <c r="E24071" s="224" t="s">
        <v>2</v>
      </c>
      <c r="G24071" s="52"/>
      <c r="H24071" s="56"/>
      <c r="I24071" s="224"/>
    </row>
    <row r="24072" spans="1:9" x14ac:dyDescent="0.25">
      <c r="A24072" s="515">
        <v>12492</v>
      </c>
      <c r="C24072" s="52">
        <v>372138.42535959702</v>
      </c>
      <c r="D24072" s="56">
        <v>0.12289058098657185</v>
      </c>
      <c r="E24072" s="224" t="s">
        <v>2</v>
      </c>
      <c r="G24072" s="52"/>
      <c r="H24072" s="56"/>
      <c r="I24072" s="224"/>
    </row>
    <row r="24073" spans="1:9" x14ac:dyDescent="0.25">
      <c r="A24073" s="515">
        <v>3445</v>
      </c>
      <c r="B24073" s="515" t="s">
        <v>747</v>
      </c>
      <c r="C24073" s="52">
        <v>312509.11892804602</v>
      </c>
      <c r="D24073" s="56">
        <v>0.10008218320143589</v>
      </c>
      <c r="E24073" s="224" t="s">
        <v>2</v>
      </c>
      <c r="G24073" s="52"/>
      <c r="H24073" s="56"/>
      <c r="I24073" s="224"/>
    </row>
    <row r="24074" spans="1:9" x14ac:dyDescent="0.25">
      <c r="A24074" s="515">
        <v>57242</v>
      </c>
      <c r="B24074" s="515" t="s">
        <v>941</v>
      </c>
      <c r="C24074" s="52">
        <v>403487.153846153</v>
      </c>
      <c r="D24074" s="56">
        <v>0</v>
      </c>
      <c r="E24074" s="224" t="s">
        <v>2</v>
      </c>
      <c r="G24074" s="52"/>
      <c r="H24074" s="56"/>
      <c r="I24074" s="224"/>
    </row>
    <row r="24075" spans="1:9" x14ac:dyDescent="0.25">
      <c r="A24075" s="515">
        <v>65635</v>
      </c>
      <c r="C24075" s="52">
        <v>209508.637903283</v>
      </c>
      <c r="D24075" s="56">
        <v>0.12490724845155599</v>
      </c>
      <c r="E24075" s="224" t="s">
        <v>2</v>
      </c>
      <c r="G24075" s="52"/>
      <c r="H24075" s="56"/>
      <c r="I24075" s="224"/>
    </row>
    <row r="24076" spans="1:9" x14ac:dyDescent="0.25">
      <c r="A24076" s="515">
        <v>12457</v>
      </c>
      <c r="B24076" s="515" t="s">
        <v>307</v>
      </c>
      <c r="C24076" s="52">
        <v>570804.28194688598</v>
      </c>
      <c r="D24076" s="56">
        <v>6.3341870516540513E-2</v>
      </c>
      <c r="E24076" s="224" t="s">
        <v>2</v>
      </c>
      <c r="G24076" s="52"/>
      <c r="H24076" s="56"/>
      <c r="I24076" s="224"/>
    </row>
    <row r="24077" spans="1:9" x14ac:dyDescent="0.25">
      <c r="A24077" s="515">
        <v>63531</v>
      </c>
      <c r="C24077" s="52">
        <v>122675.739130434</v>
      </c>
      <c r="D24077" s="56">
        <v>0</v>
      </c>
      <c r="E24077" s="224" t="s">
        <v>2</v>
      </c>
      <c r="G24077" s="52"/>
      <c r="H24077" s="56"/>
      <c r="I24077" s="224"/>
    </row>
    <row r="24078" spans="1:9" x14ac:dyDescent="0.25">
      <c r="A24078" s="515">
        <v>82838</v>
      </c>
      <c r="B24078" s="515" t="s">
        <v>648</v>
      </c>
      <c r="C24078" s="52">
        <v>467871.88001253502</v>
      </c>
      <c r="D24078" s="56">
        <v>0.11684476386698915</v>
      </c>
      <c r="E24078" s="224" t="s">
        <v>2</v>
      </c>
      <c r="G24078" s="52"/>
      <c r="H24078" s="56"/>
      <c r="I24078" s="224"/>
    </row>
    <row r="24079" spans="1:9" x14ac:dyDescent="0.25">
      <c r="A24079" s="515">
        <v>23857</v>
      </c>
      <c r="C24079" s="52">
        <v>261642.88983050801</v>
      </c>
      <c r="D24079" s="56">
        <v>0</v>
      </c>
      <c r="E24079" s="224" t="s">
        <v>2</v>
      </c>
      <c r="G24079" s="52"/>
      <c r="H24079" s="56"/>
      <c r="I24079" s="224"/>
    </row>
    <row r="24080" spans="1:9" x14ac:dyDescent="0.25">
      <c r="A24080" s="515">
        <v>95701</v>
      </c>
      <c r="B24080" s="515" t="s">
        <v>355</v>
      </c>
      <c r="C24080" s="52">
        <v>436579.91650603397</v>
      </c>
      <c r="D24080" s="56">
        <v>-3.2509796145192893E-2</v>
      </c>
      <c r="E24080" s="224" t="s">
        <v>2</v>
      </c>
      <c r="G24080" s="52"/>
      <c r="H24080" s="56"/>
      <c r="I24080" s="224"/>
    </row>
    <row r="24081" spans="1:9" x14ac:dyDescent="0.25">
      <c r="A24081" s="515">
        <v>61876</v>
      </c>
      <c r="B24081" s="515" t="s">
        <v>999</v>
      </c>
      <c r="C24081" s="52">
        <v>76014.805617830905</v>
      </c>
      <c r="D24081" s="56">
        <v>2.8824739229680436E-2</v>
      </c>
      <c r="E24081" s="224" t="s">
        <v>2</v>
      </c>
      <c r="G24081" s="52"/>
      <c r="H24081" s="56"/>
      <c r="I24081" s="224"/>
    </row>
    <row r="24082" spans="1:9" x14ac:dyDescent="0.25">
      <c r="A24082" s="515">
        <v>31527</v>
      </c>
      <c r="B24082" s="515" t="s">
        <v>871</v>
      </c>
      <c r="C24082" s="52">
        <v>657570.89788375399</v>
      </c>
      <c r="D24082" s="56">
        <v>0.1282465137666971</v>
      </c>
      <c r="E24082" s="224" t="s">
        <v>2</v>
      </c>
      <c r="G24082" s="52"/>
      <c r="H24082" s="56"/>
      <c r="I24082" s="224"/>
    </row>
    <row r="24083" spans="1:9" x14ac:dyDescent="0.25">
      <c r="A24083" s="515">
        <v>15055</v>
      </c>
      <c r="B24083" s="515" t="s">
        <v>297</v>
      </c>
      <c r="C24083" s="52">
        <v>244537.740643447</v>
      </c>
      <c r="D24083" s="56">
        <v>5.6535556748928975E-2</v>
      </c>
      <c r="E24083" s="224" t="s">
        <v>2</v>
      </c>
      <c r="G24083" s="52"/>
      <c r="H24083" s="56"/>
      <c r="I24083" s="224"/>
    </row>
    <row r="24084" spans="1:9" x14ac:dyDescent="0.25">
      <c r="A24084" s="515">
        <v>84327</v>
      </c>
      <c r="B24084" s="515" t="s">
        <v>632</v>
      </c>
      <c r="C24084" s="52">
        <v>398130.38970130502</v>
      </c>
      <c r="D24084" s="56">
        <v>0</v>
      </c>
      <c r="E24084" s="224" t="s">
        <v>2</v>
      </c>
      <c r="G24084" s="52"/>
      <c r="H24084" s="56"/>
      <c r="I24084" s="224"/>
    </row>
    <row r="24085" spans="1:9" x14ac:dyDescent="0.25">
      <c r="A24085" s="515">
        <v>94933</v>
      </c>
      <c r="B24085" s="515" t="s">
        <v>593</v>
      </c>
      <c r="C24085" s="52">
        <v>852232.08218333998</v>
      </c>
      <c r="D24085" s="56">
        <v>4.9620240455867687E-2</v>
      </c>
      <c r="E24085" s="224" t="s">
        <v>2</v>
      </c>
      <c r="G24085" s="52"/>
      <c r="H24085" s="56"/>
      <c r="I24085" s="224"/>
    </row>
    <row r="24086" spans="1:9" x14ac:dyDescent="0.25">
      <c r="A24086" s="515">
        <v>47846</v>
      </c>
      <c r="B24086" s="515" t="s">
        <v>318</v>
      </c>
      <c r="C24086" s="52">
        <v>214269.18534404301</v>
      </c>
      <c r="D24086" s="56">
        <v>6.7293661974540397E-2</v>
      </c>
      <c r="E24086" s="224" t="s">
        <v>2</v>
      </c>
      <c r="G24086" s="52"/>
      <c r="H24086" s="56"/>
      <c r="I24086" s="224"/>
    </row>
    <row r="24087" spans="1:9" x14ac:dyDescent="0.25">
      <c r="A24087" s="515">
        <v>46301</v>
      </c>
      <c r="B24087" s="515" t="s">
        <v>394</v>
      </c>
      <c r="C24087" s="52">
        <v>602098.85682033305</v>
      </c>
      <c r="D24087" s="56">
        <v>2.8746364541486816E-3</v>
      </c>
      <c r="E24087" s="224" t="s">
        <v>2</v>
      </c>
      <c r="G24087" s="52"/>
      <c r="H24087" s="56"/>
      <c r="I24087" s="224"/>
    </row>
    <row r="24088" spans="1:9" x14ac:dyDescent="0.25">
      <c r="A24088" s="515">
        <v>41669</v>
      </c>
      <c r="C24088" s="52">
        <v>40535.375361115497</v>
      </c>
      <c r="D24088" s="56">
        <v>0.17851878389824019</v>
      </c>
      <c r="E24088" s="224" t="s">
        <v>2</v>
      </c>
      <c r="G24088" s="52"/>
      <c r="H24088" s="56"/>
      <c r="I24088" s="224"/>
    </row>
    <row r="24089" spans="1:9" x14ac:dyDescent="0.25">
      <c r="A24089" s="515">
        <v>55953</v>
      </c>
      <c r="B24089" s="515" t="s">
        <v>413</v>
      </c>
      <c r="C24089" s="52">
        <v>167744.98060743601</v>
      </c>
      <c r="D24089" s="56">
        <v>6.3340911268524772E-2</v>
      </c>
      <c r="E24089" s="224" t="s">
        <v>2</v>
      </c>
      <c r="G24089" s="52"/>
      <c r="H24089" s="56"/>
      <c r="I24089" s="224"/>
    </row>
    <row r="24090" spans="1:9" x14ac:dyDescent="0.25">
      <c r="A24090" s="515">
        <v>14026</v>
      </c>
      <c r="B24090" s="515" t="s">
        <v>336</v>
      </c>
      <c r="C24090" s="52">
        <v>258297.704728226</v>
      </c>
      <c r="D24090" s="56">
        <v>4.4325986620055609E-2</v>
      </c>
      <c r="E24090" s="224" t="s">
        <v>2</v>
      </c>
      <c r="G24090" s="52"/>
      <c r="H24090" s="56"/>
      <c r="I24090" s="224"/>
    </row>
    <row r="24091" spans="1:9" x14ac:dyDescent="0.25">
      <c r="A24091" s="515">
        <v>69028</v>
      </c>
      <c r="C24091" s="52">
        <v>215427.246367243</v>
      </c>
      <c r="D24091" s="56">
        <v>0.19093083443723005</v>
      </c>
      <c r="E24091" s="224" t="s">
        <v>2</v>
      </c>
      <c r="G24091" s="52"/>
      <c r="H24091" s="56"/>
      <c r="I24091" s="224"/>
    </row>
    <row r="24092" spans="1:9" x14ac:dyDescent="0.25">
      <c r="A24092" s="515">
        <v>2650</v>
      </c>
      <c r="B24092" s="515" t="s">
        <v>427</v>
      </c>
      <c r="C24092" s="52">
        <v>1571218.58849658</v>
      </c>
      <c r="D24092" s="56">
        <v>0.12991147504492648</v>
      </c>
      <c r="E24092" s="224" t="s">
        <v>2</v>
      </c>
      <c r="G24092" s="52"/>
      <c r="H24092" s="56"/>
      <c r="I24092" s="224"/>
    </row>
    <row r="24093" spans="1:9" x14ac:dyDescent="0.25">
      <c r="A24093" s="515">
        <v>14748</v>
      </c>
      <c r="B24093" s="515" t="s">
        <v>870</v>
      </c>
      <c r="C24093" s="52">
        <v>123119.71674478499</v>
      </c>
      <c r="D24093" s="56">
        <v>0.13255076132268717</v>
      </c>
      <c r="E24093" s="224" t="s">
        <v>2</v>
      </c>
      <c r="G24093" s="52"/>
      <c r="H24093" s="56"/>
      <c r="I24093" s="224"/>
    </row>
    <row r="24094" spans="1:9" x14ac:dyDescent="0.25">
      <c r="A24094" s="515">
        <v>52135</v>
      </c>
      <c r="C24094" s="52">
        <v>139434.44390712999</v>
      </c>
      <c r="D24094" s="56">
        <v>0.13377139874843877</v>
      </c>
      <c r="E24094" s="224" t="s">
        <v>2</v>
      </c>
      <c r="G24094" s="52"/>
      <c r="H24094" s="56"/>
      <c r="I24094" s="224"/>
    </row>
    <row r="24095" spans="1:9" x14ac:dyDescent="0.25">
      <c r="A24095" s="515">
        <v>64771</v>
      </c>
      <c r="C24095" s="52">
        <v>148621.52512552901</v>
      </c>
      <c r="D24095" s="56">
        <v>-3.6437486464073E-2</v>
      </c>
      <c r="E24095" s="224" t="s">
        <v>2</v>
      </c>
      <c r="G24095" s="52"/>
      <c r="H24095" s="56"/>
      <c r="I24095" s="224"/>
    </row>
    <row r="24096" spans="1:9" x14ac:dyDescent="0.25">
      <c r="A24096" s="515">
        <v>81210</v>
      </c>
      <c r="C24096" s="52">
        <v>570797.11474476103</v>
      </c>
      <c r="D24096" s="56">
        <v>2.0614558434995416E-2</v>
      </c>
      <c r="E24096" s="224" t="s">
        <v>2</v>
      </c>
      <c r="G24096" s="52"/>
      <c r="H24096" s="56"/>
      <c r="I24096" s="224"/>
    </row>
    <row r="24097" spans="1:9" x14ac:dyDescent="0.25">
      <c r="A24097" s="515">
        <v>47537</v>
      </c>
      <c r="C24097" s="52">
        <v>177854.557920541</v>
      </c>
      <c r="D24097" s="56">
        <v>8.1638358309601811E-2</v>
      </c>
      <c r="E24097" s="224" t="s">
        <v>2</v>
      </c>
      <c r="G24097" s="52"/>
      <c r="H24097" s="56"/>
      <c r="I24097" s="224"/>
    </row>
    <row r="24098" spans="1:9" x14ac:dyDescent="0.25">
      <c r="A24098" s="515">
        <v>41821</v>
      </c>
      <c r="C24098" s="52">
        <v>58715.282222604699</v>
      </c>
      <c r="D24098" s="56">
        <v>0.19965466036406559</v>
      </c>
      <c r="E24098" s="224" t="s">
        <v>2</v>
      </c>
      <c r="G24098" s="52"/>
      <c r="H24098" s="56"/>
      <c r="I24098" s="224"/>
    </row>
    <row r="24099" spans="1:9" x14ac:dyDescent="0.25">
      <c r="A24099" s="515">
        <v>78607</v>
      </c>
      <c r="C24099" s="52">
        <v>463330.08571428503</v>
      </c>
      <c r="D24099" s="56">
        <v>0</v>
      </c>
      <c r="E24099" s="224" t="s">
        <v>2</v>
      </c>
      <c r="G24099" s="52"/>
      <c r="H24099" s="56"/>
      <c r="I24099" s="224"/>
    </row>
    <row r="24100" spans="1:9" x14ac:dyDescent="0.25">
      <c r="A24100" s="515">
        <v>68961</v>
      </c>
      <c r="C24100" s="52">
        <v>87022.445248434902</v>
      </c>
      <c r="D24100" s="56">
        <v>3.6299353282290378E-2</v>
      </c>
      <c r="E24100" s="224" t="s">
        <v>2</v>
      </c>
      <c r="G24100" s="52"/>
      <c r="H24100" s="56"/>
      <c r="I24100" s="224"/>
    </row>
    <row r="24101" spans="1:9" x14ac:dyDescent="0.25">
      <c r="A24101" s="515">
        <v>24991</v>
      </c>
      <c r="C24101" s="52">
        <v>142343.479538085</v>
      </c>
      <c r="D24101" s="56">
        <v>7.8080210319356885E-2</v>
      </c>
      <c r="E24101" s="224" t="s">
        <v>2</v>
      </c>
      <c r="G24101" s="52"/>
      <c r="H24101" s="56"/>
      <c r="I24101" s="224"/>
    </row>
    <row r="24102" spans="1:9" x14ac:dyDescent="0.25">
      <c r="A24102" s="515">
        <v>26817</v>
      </c>
      <c r="B24102" s="515" t="s">
        <v>629</v>
      </c>
      <c r="C24102" s="52">
        <v>263405.07292134903</v>
      </c>
      <c r="D24102" s="56">
        <v>0.13471722505180442</v>
      </c>
      <c r="E24102" s="224" t="s">
        <v>2</v>
      </c>
      <c r="G24102" s="52"/>
      <c r="H24102" s="56"/>
      <c r="I24102" s="224"/>
    </row>
    <row r="24103" spans="1:9" x14ac:dyDescent="0.25">
      <c r="A24103" s="515">
        <v>30455</v>
      </c>
      <c r="C24103" s="52">
        <v>124262.59915368</v>
      </c>
      <c r="D24103" s="56">
        <v>0.11075208435260353</v>
      </c>
      <c r="E24103" s="224" t="s">
        <v>2</v>
      </c>
      <c r="G24103" s="52"/>
      <c r="H24103" s="56"/>
      <c r="I24103" s="224"/>
    </row>
    <row r="24104" spans="1:9" x14ac:dyDescent="0.25">
      <c r="A24104" s="515">
        <v>69149</v>
      </c>
      <c r="C24104" s="52">
        <v>138054.670479675</v>
      </c>
      <c r="D24104" s="56">
        <v>7.8837652573451045E-2</v>
      </c>
      <c r="E24104" s="224" t="s">
        <v>2</v>
      </c>
      <c r="G24104" s="52"/>
      <c r="H24104" s="56"/>
      <c r="I24104" s="224"/>
    </row>
    <row r="24105" spans="1:9" x14ac:dyDescent="0.25">
      <c r="A24105" s="515">
        <v>18933</v>
      </c>
      <c r="B24105" s="515" t="s">
        <v>294</v>
      </c>
      <c r="C24105" s="52">
        <v>829425.60900386202</v>
      </c>
      <c r="D24105" s="56">
        <v>9.6326512614604079E-2</v>
      </c>
      <c r="E24105" s="224" t="s">
        <v>2</v>
      </c>
      <c r="G24105" s="52"/>
      <c r="H24105" s="56"/>
      <c r="I24105" s="224"/>
    </row>
    <row r="24106" spans="1:9" x14ac:dyDescent="0.25">
      <c r="A24106" s="515">
        <v>66403</v>
      </c>
      <c r="C24106" s="52">
        <v>181911.08453388099</v>
      </c>
      <c r="D24106" s="56">
        <v>8.7311769912802525E-2</v>
      </c>
      <c r="E24106" s="224" t="s">
        <v>2</v>
      </c>
      <c r="G24106" s="52"/>
      <c r="H24106" s="56"/>
      <c r="I24106" s="224"/>
    </row>
    <row r="24107" spans="1:9" x14ac:dyDescent="0.25">
      <c r="A24107" s="515">
        <v>56521</v>
      </c>
      <c r="C24107" s="52">
        <v>218115.80567969699</v>
      </c>
      <c r="D24107" s="56">
        <v>0.13726636371027379</v>
      </c>
      <c r="E24107" s="224" t="s">
        <v>2</v>
      </c>
      <c r="G24107" s="52"/>
      <c r="H24107" s="56"/>
      <c r="I24107" s="224"/>
    </row>
    <row r="24108" spans="1:9" x14ac:dyDescent="0.25">
      <c r="A24108" s="515">
        <v>96023</v>
      </c>
      <c r="C24108" s="52">
        <v>123722.947997802</v>
      </c>
      <c r="D24108" s="56">
        <v>5.6466770514049681E-3</v>
      </c>
      <c r="E24108" s="224" t="s">
        <v>2</v>
      </c>
      <c r="G24108" s="52"/>
      <c r="H24108" s="56"/>
      <c r="I24108" s="224"/>
    </row>
    <row r="24109" spans="1:9" x14ac:dyDescent="0.25">
      <c r="A24109" s="515">
        <v>95681</v>
      </c>
      <c r="B24109" s="515" t="s">
        <v>355</v>
      </c>
      <c r="C24109" s="52">
        <v>459475.80080464698</v>
      </c>
      <c r="D24109" s="56">
        <v>-2.1325758131246396E-2</v>
      </c>
      <c r="E24109" s="224" t="s">
        <v>2</v>
      </c>
      <c r="G24109" s="52"/>
      <c r="H24109" s="56"/>
      <c r="I24109" s="224"/>
    </row>
    <row r="24110" spans="1:9" x14ac:dyDescent="0.25">
      <c r="A24110" s="515">
        <v>26208</v>
      </c>
      <c r="C24110" s="52">
        <v>61877.186935578102</v>
      </c>
      <c r="D24110" s="56">
        <v>5.5646885726526756E-2</v>
      </c>
      <c r="E24110" s="224" t="s">
        <v>2</v>
      </c>
      <c r="G24110" s="52"/>
      <c r="H24110" s="56"/>
      <c r="I24110" s="224"/>
    </row>
    <row r="24111" spans="1:9" x14ac:dyDescent="0.25">
      <c r="A24111" s="515">
        <v>24873</v>
      </c>
      <c r="C24111" s="52">
        <v>33874.953385211302</v>
      </c>
      <c r="D24111" s="56">
        <v>4.3468341574552177E-2</v>
      </c>
      <c r="E24111" s="224" t="s">
        <v>2</v>
      </c>
      <c r="G24111" s="52"/>
      <c r="H24111" s="56"/>
      <c r="I24111" s="224"/>
    </row>
    <row r="24112" spans="1:9" x14ac:dyDescent="0.25">
      <c r="A24112" s="515">
        <v>61334</v>
      </c>
      <c r="B24112" s="515" t="s">
        <v>556</v>
      </c>
      <c r="C24112" s="52">
        <v>117554.677292555</v>
      </c>
      <c r="D24112" s="56">
        <v>3.6513887463641218E-2</v>
      </c>
      <c r="E24112" s="224" t="s">
        <v>2</v>
      </c>
      <c r="G24112" s="52"/>
      <c r="H24112" s="56"/>
      <c r="I24112" s="224"/>
    </row>
    <row r="24113" spans="1:9" x14ac:dyDescent="0.25">
      <c r="A24113" s="515">
        <v>66520</v>
      </c>
      <c r="B24113" s="515" t="s">
        <v>795</v>
      </c>
      <c r="C24113" s="52">
        <v>237104.55409295901</v>
      </c>
      <c r="D24113" s="56">
        <v>0.153886689122293</v>
      </c>
      <c r="E24113" s="224" t="s">
        <v>2</v>
      </c>
      <c r="G24113" s="52"/>
      <c r="H24113" s="56"/>
      <c r="I24113" s="224"/>
    </row>
    <row r="24114" spans="1:9" x14ac:dyDescent="0.25">
      <c r="A24114" s="515">
        <v>64497</v>
      </c>
      <c r="B24114" s="515" t="s">
        <v>371</v>
      </c>
      <c r="C24114" s="52">
        <v>205263.65444861801</v>
      </c>
      <c r="D24114" s="56">
        <v>9.0257541327062762E-2</v>
      </c>
      <c r="E24114" s="224" t="s">
        <v>2</v>
      </c>
      <c r="G24114" s="52"/>
      <c r="H24114" s="56"/>
      <c r="I24114" s="224"/>
    </row>
    <row r="24115" spans="1:9" x14ac:dyDescent="0.25">
      <c r="A24115" s="515">
        <v>64651</v>
      </c>
      <c r="C24115" s="52">
        <v>137927.523473662</v>
      </c>
      <c r="D24115" s="56">
        <v>0.12885369808409347</v>
      </c>
      <c r="E24115" s="224" t="s">
        <v>2</v>
      </c>
      <c r="G24115" s="52"/>
      <c r="H24115" s="56"/>
      <c r="I24115" s="224"/>
    </row>
    <row r="24116" spans="1:9" x14ac:dyDescent="0.25">
      <c r="A24116" s="515">
        <v>46781</v>
      </c>
      <c r="B24116" s="515" t="s">
        <v>465</v>
      </c>
      <c r="C24116" s="52">
        <v>182942.47847657299</v>
      </c>
      <c r="D24116" s="56">
        <v>6.3915600654620305E-2</v>
      </c>
      <c r="E24116" s="224" t="s">
        <v>2</v>
      </c>
      <c r="G24116" s="52"/>
      <c r="H24116" s="56"/>
      <c r="I24116" s="224"/>
    </row>
    <row r="24117" spans="1:9" x14ac:dyDescent="0.25">
      <c r="A24117" s="515">
        <v>58831</v>
      </c>
      <c r="C24117" s="52">
        <v>268256.52459016303</v>
      </c>
      <c r="D24117" s="56">
        <v>0</v>
      </c>
      <c r="E24117" s="224" t="s">
        <v>2</v>
      </c>
      <c r="G24117" s="52"/>
      <c r="H24117" s="56"/>
      <c r="I24117" s="224"/>
    </row>
    <row r="24118" spans="1:9" x14ac:dyDescent="0.25">
      <c r="A24118" s="515">
        <v>64630</v>
      </c>
      <c r="C24118" s="52">
        <v>106627.03190391901</v>
      </c>
      <c r="D24118" s="56">
        <v>0</v>
      </c>
      <c r="E24118" s="224" t="s">
        <v>2</v>
      </c>
      <c r="G24118" s="52"/>
      <c r="H24118" s="56"/>
      <c r="I24118" s="224"/>
    </row>
    <row r="24119" spans="1:9" x14ac:dyDescent="0.25">
      <c r="A24119" s="515">
        <v>25139</v>
      </c>
      <c r="B24119" s="515" t="s">
        <v>566</v>
      </c>
      <c r="C24119" s="52">
        <v>115899.357094812</v>
      </c>
      <c r="D24119" s="56">
        <v>0.18661746429676893</v>
      </c>
      <c r="E24119" s="224" t="s">
        <v>2</v>
      </c>
      <c r="G24119" s="52"/>
      <c r="H24119" s="56"/>
      <c r="I24119" s="224"/>
    </row>
    <row r="24120" spans="1:9" x14ac:dyDescent="0.25">
      <c r="A24120" s="515">
        <v>66422</v>
      </c>
      <c r="B24120" s="515" t="s">
        <v>795</v>
      </c>
      <c r="C24120" s="52">
        <v>211614.972395455</v>
      </c>
      <c r="D24120" s="56">
        <v>0.13403680661849812</v>
      </c>
      <c r="E24120" s="224" t="s">
        <v>2</v>
      </c>
      <c r="G24120" s="52"/>
      <c r="H24120" s="56"/>
      <c r="I24120" s="224"/>
    </row>
    <row r="24121" spans="1:9" x14ac:dyDescent="0.25">
      <c r="A24121" s="515">
        <v>71441</v>
      </c>
      <c r="C24121" s="52">
        <v>96832.294117647005</v>
      </c>
      <c r="D24121" s="56">
        <v>0</v>
      </c>
      <c r="E24121" s="224" t="s">
        <v>2</v>
      </c>
      <c r="G24121" s="52"/>
      <c r="H24121" s="56"/>
      <c r="I24121" s="224"/>
    </row>
    <row r="24122" spans="1:9" x14ac:dyDescent="0.25">
      <c r="A24122" s="515">
        <v>68723</v>
      </c>
      <c r="C24122" s="52">
        <v>201080.81847892099</v>
      </c>
      <c r="D24122" s="56">
        <v>0.17605874825162798</v>
      </c>
      <c r="E24122" s="224" t="s">
        <v>2</v>
      </c>
      <c r="G24122" s="52"/>
      <c r="H24122" s="56"/>
      <c r="I24122" s="224"/>
    </row>
    <row r="24123" spans="1:9" x14ac:dyDescent="0.25">
      <c r="A24123" s="515">
        <v>61545</v>
      </c>
      <c r="B24123" s="515" t="s">
        <v>303</v>
      </c>
      <c r="C24123" s="52">
        <v>150891.14423686001</v>
      </c>
      <c r="D24123" s="56">
        <v>-9.9632569397354979E-3</v>
      </c>
      <c r="E24123" s="224" t="s">
        <v>2</v>
      </c>
      <c r="G24123" s="52"/>
      <c r="H24123" s="56"/>
      <c r="I24123" s="224"/>
    </row>
    <row r="24124" spans="1:9" x14ac:dyDescent="0.25">
      <c r="A24124" s="515">
        <v>50559</v>
      </c>
      <c r="C24124" s="52">
        <v>110449.24233648401</v>
      </c>
      <c r="D24124" s="56">
        <v>0</v>
      </c>
      <c r="E24124" s="224" t="s">
        <v>2</v>
      </c>
      <c r="G24124" s="52"/>
      <c r="H24124" s="56"/>
      <c r="I24124" s="224"/>
    </row>
    <row r="24125" spans="1:9" x14ac:dyDescent="0.25">
      <c r="A24125" s="515">
        <v>45332</v>
      </c>
      <c r="B24125" s="515" t="s">
        <v>316</v>
      </c>
      <c r="C24125" s="52">
        <v>129129.506643006</v>
      </c>
      <c r="D24125" s="56">
        <v>0.10754448549116852</v>
      </c>
      <c r="E24125" s="224" t="s">
        <v>2</v>
      </c>
      <c r="G24125" s="52"/>
      <c r="H24125" s="56"/>
      <c r="I24125" s="224"/>
    </row>
    <row r="24126" spans="1:9" x14ac:dyDescent="0.25">
      <c r="A24126" s="515">
        <v>52079</v>
      </c>
      <c r="C24126" s="52">
        <v>282026.30133557098</v>
      </c>
      <c r="D24126" s="56">
        <v>0.13122036263591202</v>
      </c>
      <c r="E24126" s="224" t="s">
        <v>2</v>
      </c>
      <c r="G24126" s="52"/>
      <c r="H24126" s="56"/>
      <c r="I24126" s="224"/>
    </row>
    <row r="24127" spans="1:9" x14ac:dyDescent="0.25">
      <c r="A24127" s="515">
        <v>47387</v>
      </c>
      <c r="B24127" s="515" t="s">
        <v>421</v>
      </c>
      <c r="C24127" s="52">
        <v>157142.47870558701</v>
      </c>
      <c r="D24127" s="56">
        <v>7.140633350047064E-2</v>
      </c>
      <c r="E24127" s="224" t="s">
        <v>2</v>
      </c>
      <c r="G24127" s="52"/>
      <c r="H24127" s="56"/>
      <c r="I24127" s="224"/>
    </row>
    <row r="24128" spans="1:9" x14ac:dyDescent="0.25">
      <c r="A24128" s="515">
        <v>64071</v>
      </c>
      <c r="B24128" s="515" t="s">
        <v>455</v>
      </c>
      <c r="C24128" s="52">
        <v>222170.785635248</v>
      </c>
      <c r="D24128" s="56">
        <v>8.7716996640100242E-2</v>
      </c>
      <c r="E24128" s="224" t="s">
        <v>2</v>
      </c>
      <c r="G24128" s="52"/>
      <c r="H24128" s="56"/>
      <c r="I24128" s="224"/>
    </row>
    <row r="24129" spans="1:9" x14ac:dyDescent="0.25">
      <c r="A24129" s="515">
        <v>68935</v>
      </c>
      <c r="C24129" s="52">
        <v>114117.60740883699</v>
      </c>
      <c r="D24129" s="56">
        <v>0.1546709845339149</v>
      </c>
      <c r="E24129" s="224" t="s">
        <v>2</v>
      </c>
      <c r="G24129" s="52"/>
      <c r="H24129" s="56"/>
      <c r="I24129" s="224"/>
    </row>
    <row r="24130" spans="1:9" x14ac:dyDescent="0.25">
      <c r="A24130" s="515">
        <v>79080</v>
      </c>
      <c r="B24130" s="515" t="s">
        <v>869</v>
      </c>
      <c r="C24130" s="52">
        <v>57466.628365780402</v>
      </c>
      <c r="D24130" s="56">
        <v>0</v>
      </c>
      <c r="E24130" s="224" t="s">
        <v>2</v>
      </c>
      <c r="G24130" s="52"/>
      <c r="H24130" s="56"/>
      <c r="I24130" s="224"/>
    </row>
    <row r="24131" spans="1:9" x14ac:dyDescent="0.25">
      <c r="A24131" s="515">
        <v>12808</v>
      </c>
      <c r="B24131" s="515" t="s">
        <v>422</v>
      </c>
      <c r="C24131" s="52">
        <v>520371.959532607</v>
      </c>
      <c r="D24131" s="56">
        <v>8.5424077423215936E-2</v>
      </c>
      <c r="E24131" s="224" t="s">
        <v>2</v>
      </c>
      <c r="G24131" s="52"/>
      <c r="H24131" s="56"/>
      <c r="I24131" s="224"/>
    </row>
    <row r="24132" spans="1:9" x14ac:dyDescent="0.25">
      <c r="A24132" s="515">
        <v>45727</v>
      </c>
      <c r="C24132" s="52">
        <v>122261.986773704</v>
      </c>
      <c r="D24132" s="56">
        <v>3.1593081833762533E-2</v>
      </c>
      <c r="E24132" s="224" t="s">
        <v>2</v>
      </c>
      <c r="G24132" s="52"/>
      <c r="H24132" s="56"/>
      <c r="I24132" s="224"/>
    </row>
    <row r="24133" spans="1:9" x14ac:dyDescent="0.25">
      <c r="A24133" s="515">
        <v>93634</v>
      </c>
      <c r="B24133" s="515" t="s">
        <v>541</v>
      </c>
      <c r="C24133" s="52">
        <v>410269.23016053397</v>
      </c>
      <c r="D24133" s="56">
        <v>-3.1620449599894393E-2</v>
      </c>
      <c r="E24133" s="224" t="s">
        <v>2</v>
      </c>
      <c r="G24133" s="52"/>
      <c r="H24133" s="56"/>
      <c r="I24133" s="224"/>
    </row>
    <row r="24134" spans="1:9" x14ac:dyDescent="0.25">
      <c r="A24134" s="515">
        <v>78948</v>
      </c>
      <c r="C24134" s="52">
        <v>415652.16010235797</v>
      </c>
      <c r="D24134" s="56">
        <v>0</v>
      </c>
      <c r="E24134" s="224" t="s">
        <v>2</v>
      </c>
      <c r="G24134" s="52"/>
      <c r="H24134" s="56"/>
      <c r="I24134" s="224"/>
    </row>
    <row r="24135" spans="1:9" x14ac:dyDescent="0.25">
      <c r="A24135" s="515">
        <v>73736</v>
      </c>
      <c r="B24135" s="515" t="s">
        <v>730</v>
      </c>
      <c r="C24135" s="52">
        <v>146058.04383579001</v>
      </c>
      <c r="D24135" s="56">
        <v>-4.583054041705819E-2</v>
      </c>
      <c r="E24135" s="224" t="s">
        <v>2</v>
      </c>
      <c r="G24135" s="52"/>
      <c r="H24135" s="56"/>
      <c r="I24135" s="224"/>
    </row>
    <row r="24136" spans="1:9" x14ac:dyDescent="0.25">
      <c r="A24136" s="515">
        <v>80802</v>
      </c>
      <c r="C24136" s="52">
        <v>217565.72706062699</v>
      </c>
      <c r="D24136" s="56">
        <v>0.14740129910102889</v>
      </c>
      <c r="E24136" s="224" t="s">
        <v>2</v>
      </c>
      <c r="G24136" s="52"/>
      <c r="H24136" s="56"/>
      <c r="I24136" s="224"/>
    </row>
    <row r="24137" spans="1:9" x14ac:dyDescent="0.25">
      <c r="A24137" s="515">
        <v>84635</v>
      </c>
      <c r="C24137" s="52">
        <v>228975.51869456001</v>
      </c>
      <c r="D24137" s="56">
        <v>8.469665083792241E-2</v>
      </c>
      <c r="E24137" s="224" t="s">
        <v>2</v>
      </c>
      <c r="G24137" s="52"/>
      <c r="H24137" s="56"/>
      <c r="I24137" s="224"/>
    </row>
    <row r="24138" spans="1:9" x14ac:dyDescent="0.25">
      <c r="A24138" s="515">
        <v>16921</v>
      </c>
      <c r="C24138" s="52">
        <v>163031.28010297901</v>
      </c>
      <c r="D24138" s="56">
        <v>0.11998183253120437</v>
      </c>
      <c r="E24138" s="224" t="s">
        <v>2</v>
      </c>
      <c r="G24138" s="52"/>
      <c r="H24138" s="56"/>
      <c r="I24138" s="224"/>
    </row>
    <row r="24139" spans="1:9" x14ac:dyDescent="0.25">
      <c r="A24139" s="515">
        <v>50256</v>
      </c>
      <c r="B24139" s="515" t="s">
        <v>625</v>
      </c>
      <c r="C24139" s="52">
        <v>141512.224740798</v>
      </c>
      <c r="D24139" s="56">
        <v>0.12402833009770772</v>
      </c>
      <c r="E24139" s="224" t="s">
        <v>2</v>
      </c>
      <c r="G24139" s="52"/>
      <c r="H24139" s="56"/>
      <c r="I24139" s="224"/>
    </row>
    <row r="24140" spans="1:9" x14ac:dyDescent="0.25">
      <c r="A24140" s="515">
        <v>63656</v>
      </c>
      <c r="C24140" s="52">
        <v>118419.56718567399</v>
      </c>
      <c r="D24140" s="56">
        <v>0.14787025441979634</v>
      </c>
      <c r="E24140" s="224" t="s">
        <v>2</v>
      </c>
      <c r="G24140" s="52"/>
      <c r="H24140" s="56"/>
      <c r="I24140" s="224"/>
    </row>
    <row r="24141" spans="1:9" x14ac:dyDescent="0.25">
      <c r="A24141" s="515">
        <v>14872</v>
      </c>
      <c r="B24141" s="515" t="s">
        <v>724</v>
      </c>
      <c r="C24141" s="52">
        <v>145942.070501924</v>
      </c>
      <c r="D24141" s="56">
        <v>7.1996338307233038E-2</v>
      </c>
      <c r="E24141" s="224" t="s">
        <v>2</v>
      </c>
      <c r="G24141" s="52"/>
      <c r="H24141" s="56"/>
      <c r="I24141" s="224"/>
    </row>
    <row r="24142" spans="1:9" x14ac:dyDescent="0.25">
      <c r="A24142" s="515">
        <v>12860</v>
      </c>
      <c r="B24142" s="515" t="s">
        <v>422</v>
      </c>
      <c r="C24142" s="52">
        <v>251506.899129561</v>
      </c>
      <c r="D24142" s="56">
        <v>8.8334116658133413E-2</v>
      </c>
      <c r="E24142" s="224" t="s">
        <v>2</v>
      </c>
      <c r="G24142" s="52"/>
      <c r="H24142" s="56"/>
      <c r="I24142" s="224"/>
    </row>
    <row r="24143" spans="1:9" x14ac:dyDescent="0.25">
      <c r="A24143" s="515">
        <v>12410</v>
      </c>
      <c r="B24143" s="515" t="s">
        <v>307</v>
      </c>
      <c r="C24143" s="52">
        <v>360332.38660728798</v>
      </c>
      <c r="D24143" s="56">
        <v>7.1771391042590033E-2</v>
      </c>
      <c r="E24143" s="224" t="s">
        <v>2</v>
      </c>
      <c r="G24143" s="52"/>
      <c r="H24143" s="56"/>
      <c r="I24143" s="224"/>
    </row>
    <row r="24144" spans="1:9" x14ac:dyDescent="0.25">
      <c r="A24144" s="515">
        <v>23180</v>
      </c>
      <c r="C24144" s="52">
        <v>266949.88462916098</v>
      </c>
      <c r="D24144" s="56">
        <v>9.4693363447234211E-2</v>
      </c>
      <c r="E24144" s="224" t="s">
        <v>2</v>
      </c>
      <c r="G24144" s="52"/>
      <c r="H24144" s="56"/>
      <c r="I24144" s="224"/>
    </row>
    <row r="24145" spans="1:9" x14ac:dyDescent="0.25">
      <c r="A24145" s="515">
        <v>44251</v>
      </c>
      <c r="B24145" s="515" t="s">
        <v>520</v>
      </c>
      <c r="C24145" s="52">
        <v>315385.93634307903</v>
      </c>
      <c r="D24145" s="56">
        <v>5.9526632479414004E-2</v>
      </c>
      <c r="E24145" s="224" t="s">
        <v>2</v>
      </c>
      <c r="G24145" s="52"/>
      <c r="H24145" s="56"/>
      <c r="I24145" s="224"/>
    </row>
    <row r="24146" spans="1:9" x14ac:dyDescent="0.25">
      <c r="A24146" s="515">
        <v>12861</v>
      </c>
      <c r="B24146" s="515" t="s">
        <v>422</v>
      </c>
      <c r="C24146" s="52">
        <v>297939.147170012</v>
      </c>
      <c r="D24146" s="56">
        <v>4.5160944132120212E-2</v>
      </c>
      <c r="E24146" s="224" t="s">
        <v>2</v>
      </c>
      <c r="G24146" s="52"/>
      <c r="H24146" s="56"/>
      <c r="I24146" s="224"/>
    </row>
    <row r="24147" spans="1:9" x14ac:dyDescent="0.25">
      <c r="A24147" s="515">
        <v>79059</v>
      </c>
      <c r="B24147" s="515" t="s">
        <v>1111</v>
      </c>
      <c r="C24147" s="52">
        <v>122536.90540540501</v>
      </c>
      <c r="D24147" s="56">
        <v>0</v>
      </c>
      <c r="E24147" s="224" t="s">
        <v>2</v>
      </c>
      <c r="G24147" s="52"/>
      <c r="H24147" s="56"/>
      <c r="I24147" s="224"/>
    </row>
    <row r="24148" spans="1:9" x14ac:dyDescent="0.25">
      <c r="A24148" s="515">
        <v>23894</v>
      </c>
      <c r="B24148" s="515" t="s">
        <v>667</v>
      </c>
      <c r="C24148" s="52">
        <v>259369.70731707299</v>
      </c>
      <c r="D24148" s="56">
        <v>0</v>
      </c>
      <c r="E24148" s="224" t="s">
        <v>2</v>
      </c>
      <c r="G24148" s="52"/>
      <c r="H24148" s="56"/>
      <c r="I24148" s="224"/>
    </row>
    <row r="24149" spans="1:9" x14ac:dyDescent="0.25">
      <c r="A24149" s="515">
        <v>73735</v>
      </c>
      <c r="B24149" s="515" t="s">
        <v>730</v>
      </c>
      <c r="C24149" s="52">
        <v>136974.23988668001</v>
      </c>
      <c r="D24149" s="56">
        <v>1.6167523267891025E-2</v>
      </c>
      <c r="E24149" s="224" t="s">
        <v>2</v>
      </c>
      <c r="G24149" s="52"/>
      <c r="H24149" s="56"/>
      <c r="I24149" s="224"/>
    </row>
    <row r="24150" spans="1:9" x14ac:dyDescent="0.25">
      <c r="A24150" s="515">
        <v>63454</v>
      </c>
      <c r="B24150" s="515" t="s">
        <v>867</v>
      </c>
      <c r="C24150" s="52">
        <v>195252.27433688301</v>
      </c>
      <c r="D24150" s="56">
        <v>8.5210713984388994E-2</v>
      </c>
      <c r="E24150" s="224" t="s">
        <v>2</v>
      </c>
      <c r="G24150" s="52"/>
      <c r="H24150" s="56"/>
      <c r="I24150" s="224"/>
    </row>
    <row r="24151" spans="1:9" x14ac:dyDescent="0.25">
      <c r="A24151" s="515">
        <v>50246</v>
      </c>
      <c r="C24151" s="52">
        <v>145640.619318971</v>
      </c>
      <c r="D24151" s="56">
        <v>7.998925796962908E-2</v>
      </c>
      <c r="E24151" s="224" t="s">
        <v>2</v>
      </c>
      <c r="G24151" s="52"/>
      <c r="H24151" s="56"/>
      <c r="I24151" s="224"/>
    </row>
    <row r="24152" spans="1:9" x14ac:dyDescent="0.25">
      <c r="A24152" s="515">
        <v>5253</v>
      </c>
      <c r="B24152" s="515" t="s">
        <v>657</v>
      </c>
      <c r="C24152" s="52">
        <v>469836.36806785199</v>
      </c>
      <c r="D24152" s="56">
        <v>6.0893316511402326E-2</v>
      </c>
      <c r="E24152" s="224" t="s">
        <v>2</v>
      </c>
      <c r="G24152" s="52"/>
      <c r="H24152" s="56"/>
      <c r="I24152" s="224"/>
    </row>
    <row r="24153" spans="1:9" x14ac:dyDescent="0.25">
      <c r="A24153" s="515">
        <v>40012</v>
      </c>
      <c r="B24153" s="515" t="s">
        <v>866</v>
      </c>
      <c r="C24153" s="52">
        <v>169206.52509057801</v>
      </c>
      <c r="D24153" s="56">
        <v>0.10956471133066388</v>
      </c>
      <c r="E24153" s="224" t="s">
        <v>2</v>
      </c>
      <c r="G24153" s="52"/>
      <c r="H24153" s="56"/>
      <c r="I24153" s="224"/>
    </row>
    <row r="24154" spans="1:9" x14ac:dyDescent="0.25">
      <c r="A24154" s="515">
        <v>60479</v>
      </c>
      <c r="B24154" s="515" t="s">
        <v>394</v>
      </c>
      <c r="C24154" s="52">
        <v>259587.46917594099</v>
      </c>
      <c r="D24154" s="56">
        <v>3.2871892077939127E-2</v>
      </c>
      <c r="E24154" s="224" t="s">
        <v>2</v>
      </c>
      <c r="G24154" s="52"/>
      <c r="H24154" s="56"/>
      <c r="I24154" s="224"/>
    </row>
    <row r="24155" spans="1:9" x14ac:dyDescent="0.25">
      <c r="A24155" s="515">
        <v>80468</v>
      </c>
      <c r="C24155" s="52">
        <v>639874.47427201096</v>
      </c>
      <c r="D24155" s="56">
        <v>-5.5150448185972535E-3</v>
      </c>
      <c r="E24155" s="224" t="s">
        <v>2</v>
      </c>
      <c r="G24155" s="52"/>
      <c r="H24155" s="56"/>
      <c r="I24155" s="224"/>
    </row>
    <row r="24156" spans="1:9" x14ac:dyDescent="0.25">
      <c r="A24156" s="515">
        <v>97063</v>
      </c>
      <c r="B24156" s="515" t="s">
        <v>864</v>
      </c>
      <c r="C24156" s="52">
        <v>344512.69131697202</v>
      </c>
      <c r="D24156" s="56">
        <v>6.1937379223719134E-2</v>
      </c>
      <c r="E24156" s="224" t="s">
        <v>2</v>
      </c>
      <c r="G24156" s="52"/>
      <c r="H24156" s="56"/>
      <c r="I24156" s="224"/>
    </row>
    <row r="24157" spans="1:9" x14ac:dyDescent="0.25">
      <c r="A24157" s="515">
        <v>47224</v>
      </c>
      <c r="B24157" s="515" t="s">
        <v>865</v>
      </c>
      <c r="C24157" s="52">
        <v>218759.88426969599</v>
      </c>
      <c r="D24157" s="56">
        <v>0.16504202274637209</v>
      </c>
      <c r="E24157" s="224" t="s">
        <v>2</v>
      </c>
      <c r="G24157" s="52"/>
      <c r="H24157" s="56"/>
      <c r="I24157" s="224"/>
    </row>
    <row r="24158" spans="1:9" x14ac:dyDescent="0.25">
      <c r="A24158" s="515">
        <v>61850</v>
      </c>
      <c r="B24158" s="515" t="s">
        <v>999</v>
      </c>
      <c r="C24158" s="52">
        <v>85248.611320085707</v>
      </c>
      <c r="D24158" s="56">
        <v>3.5481058033521522E-2</v>
      </c>
      <c r="E24158" s="224" t="s">
        <v>2</v>
      </c>
      <c r="G24158" s="52"/>
      <c r="H24158" s="56"/>
      <c r="I24158" s="224"/>
    </row>
    <row r="24159" spans="1:9" x14ac:dyDescent="0.25">
      <c r="A24159" s="515">
        <v>97117</v>
      </c>
      <c r="B24159" s="515" t="s">
        <v>659</v>
      </c>
      <c r="C24159" s="52">
        <v>549616.98762961105</v>
      </c>
      <c r="D24159" s="56">
        <v>0</v>
      </c>
      <c r="E24159" s="224" t="s">
        <v>2</v>
      </c>
      <c r="G24159" s="52"/>
      <c r="H24159" s="56"/>
      <c r="I24159" s="224"/>
    </row>
    <row r="24160" spans="1:9" x14ac:dyDescent="0.25">
      <c r="A24160" s="515">
        <v>83314</v>
      </c>
      <c r="C24160" s="52">
        <v>446696.03158602398</v>
      </c>
      <c r="D24160" s="56">
        <v>7.6195249076919491E-2</v>
      </c>
      <c r="E24160" s="224" t="s">
        <v>2</v>
      </c>
      <c r="G24160" s="52"/>
      <c r="H24160" s="56"/>
      <c r="I24160" s="224"/>
    </row>
    <row r="24161" spans="1:9" x14ac:dyDescent="0.25">
      <c r="A24161" s="515">
        <v>92066</v>
      </c>
      <c r="B24161" s="515" t="s">
        <v>396</v>
      </c>
      <c r="C24161" s="52">
        <v>463298.96209617099</v>
      </c>
      <c r="D24161" s="56">
        <v>8.7443028736320594E-2</v>
      </c>
      <c r="E24161" s="224" t="s">
        <v>2</v>
      </c>
      <c r="G24161" s="52"/>
      <c r="H24161" s="56"/>
      <c r="I24161" s="224"/>
    </row>
    <row r="24162" spans="1:9" x14ac:dyDescent="0.25">
      <c r="A24162" s="515">
        <v>36314</v>
      </c>
      <c r="B24162" s="515" t="s">
        <v>816</v>
      </c>
      <c r="C24162" s="52">
        <v>162842.81820864501</v>
      </c>
      <c r="D24162" s="56">
        <v>0</v>
      </c>
      <c r="E24162" s="224" t="s">
        <v>2</v>
      </c>
      <c r="G24162" s="52"/>
      <c r="H24162" s="56"/>
      <c r="I24162" s="224"/>
    </row>
    <row r="24163" spans="1:9" x14ac:dyDescent="0.25">
      <c r="A24163" s="515">
        <v>84725</v>
      </c>
      <c r="B24163" s="515" t="s">
        <v>522</v>
      </c>
      <c r="C24163" s="52">
        <v>372337.974056901</v>
      </c>
      <c r="D24163" s="56">
        <v>1.324513164032433E-2</v>
      </c>
      <c r="E24163" s="224" t="s">
        <v>2</v>
      </c>
      <c r="G24163" s="52"/>
      <c r="H24163" s="56"/>
      <c r="I24163" s="224"/>
    </row>
    <row r="24164" spans="1:9" x14ac:dyDescent="0.25">
      <c r="A24164" s="515">
        <v>48469</v>
      </c>
      <c r="C24164" s="52">
        <v>225231.330169033</v>
      </c>
      <c r="D24164" s="56">
        <v>1.5935049422997508E-2</v>
      </c>
      <c r="E24164" s="224" t="s">
        <v>2</v>
      </c>
      <c r="G24164" s="52"/>
      <c r="H24164" s="56"/>
      <c r="I24164" s="224"/>
    </row>
    <row r="24165" spans="1:9" x14ac:dyDescent="0.25">
      <c r="A24165" s="515">
        <v>56225</v>
      </c>
      <c r="C24165" s="52">
        <v>146538.18822692099</v>
      </c>
      <c r="D24165" s="56">
        <v>0</v>
      </c>
      <c r="E24165" s="224" t="s">
        <v>2</v>
      </c>
      <c r="G24165" s="52"/>
      <c r="H24165" s="56"/>
      <c r="I24165" s="224"/>
    </row>
    <row r="24166" spans="1:9" x14ac:dyDescent="0.25">
      <c r="A24166" s="515">
        <v>51243</v>
      </c>
      <c r="C24166" s="52">
        <v>108514.75951055399</v>
      </c>
      <c r="D24166" s="56">
        <v>0</v>
      </c>
      <c r="E24166" s="224" t="s">
        <v>2</v>
      </c>
      <c r="G24166" s="52"/>
      <c r="H24166" s="56"/>
      <c r="I24166" s="224"/>
    </row>
    <row r="24167" spans="1:9" x14ac:dyDescent="0.25">
      <c r="A24167" s="515">
        <v>42157</v>
      </c>
      <c r="C24167" s="52">
        <v>155750.717852898</v>
      </c>
      <c r="D24167" s="56">
        <v>8.0095197805210072E-2</v>
      </c>
      <c r="E24167" s="224" t="s">
        <v>2</v>
      </c>
      <c r="G24167" s="52"/>
      <c r="H24167" s="56"/>
      <c r="I24167" s="224"/>
    </row>
    <row r="24168" spans="1:9" x14ac:dyDescent="0.25">
      <c r="A24168" s="515">
        <v>47528</v>
      </c>
      <c r="B24168" s="515" t="s">
        <v>573</v>
      </c>
      <c r="C24168" s="52">
        <v>103922.78636320699</v>
      </c>
      <c r="D24168" s="56">
        <v>0.10373245114267403</v>
      </c>
      <c r="E24168" s="224" t="s">
        <v>2</v>
      </c>
      <c r="G24168" s="52"/>
      <c r="H24168" s="56"/>
      <c r="I24168" s="224"/>
    </row>
    <row r="24169" spans="1:9" x14ac:dyDescent="0.25">
      <c r="A24169" s="515">
        <v>28528</v>
      </c>
      <c r="B24169" s="515" t="s">
        <v>641</v>
      </c>
      <c r="C24169" s="52">
        <v>303632.57728316798</v>
      </c>
      <c r="D24169" s="56">
        <v>0.20614914422247183</v>
      </c>
      <c r="E24169" s="224" t="s">
        <v>2</v>
      </c>
      <c r="G24169" s="52"/>
      <c r="H24169" s="56"/>
      <c r="I24169" s="224"/>
    </row>
    <row r="24170" spans="1:9" x14ac:dyDescent="0.25">
      <c r="A24170" s="515">
        <v>15688</v>
      </c>
      <c r="B24170" s="515" t="s">
        <v>297</v>
      </c>
      <c r="C24170" s="52">
        <v>94281.466666666602</v>
      </c>
      <c r="D24170" s="56">
        <v>0</v>
      </c>
      <c r="E24170" s="224" t="s">
        <v>2</v>
      </c>
      <c r="G24170" s="52"/>
      <c r="H24170" s="56"/>
      <c r="I24170" s="224"/>
    </row>
    <row r="24171" spans="1:9" x14ac:dyDescent="0.25">
      <c r="A24171" s="515">
        <v>52313</v>
      </c>
      <c r="B24171" s="515" t="s">
        <v>404</v>
      </c>
      <c r="C24171" s="52">
        <v>157253.266541544</v>
      </c>
      <c r="D24171" s="56">
        <v>0.11301683150295508</v>
      </c>
      <c r="E24171" s="224" t="s">
        <v>2</v>
      </c>
      <c r="G24171" s="52"/>
      <c r="H24171" s="56"/>
      <c r="I24171" s="224"/>
    </row>
    <row r="24172" spans="1:9" x14ac:dyDescent="0.25">
      <c r="A24172" s="515">
        <v>95225</v>
      </c>
      <c r="C24172" s="52">
        <v>526361.11126002402</v>
      </c>
      <c r="D24172" s="56">
        <v>6.1689625004980571E-3</v>
      </c>
      <c r="E24172" s="224" t="s">
        <v>2</v>
      </c>
      <c r="G24172" s="52"/>
      <c r="H24172" s="56"/>
      <c r="I24172" s="224"/>
    </row>
    <row r="24173" spans="1:9" x14ac:dyDescent="0.25">
      <c r="A24173" s="515">
        <v>13756</v>
      </c>
      <c r="C24173" s="52">
        <v>198350.989010989</v>
      </c>
      <c r="D24173" s="56">
        <v>0</v>
      </c>
      <c r="E24173" s="224" t="s">
        <v>2</v>
      </c>
      <c r="G24173" s="52"/>
      <c r="H24173" s="56"/>
      <c r="I24173" s="224"/>
    </row>
    <row r="24174" spans="1:9" x14ac:dyDescent="0.25">
      <c r="A24174" s="515">
        <v>51007</v>
      </c>
      <c r="B24174" s="515" t="s">
        <v>649</v>
      </c>
      <c r="C24174" s="52">
        <v>226139.47141227199</v>
      </c>
      <c r="D24174" s="56">
        <v>0</v>
      </c>
      <c r="E24174" s="224" t="s">
        <v>2</v>
      </c>
      <c r="G24174" s="52"/>
      <c r="H24174" s="56"/>
      <c r="I24174" s="224"/>
    </row>
    <row r="24175" spans="1:9" x14ac:dyDescent="0.25">
      <c r="A24175" s="515">
        <v>58750</v>
      </c>
      <c r="C24175" s="52">
        <v>153873.99550617801</v>
      </c>
      <c r="D24175" s="56">
        <v>0</v>
      </c>
      <c r="E24175" s="224" t="s">
        <v>2</v>
      </c>
      <c r="G24175" s="52"/>
      <c r="H24175" s="56"/>
      <c r="I24175" s="224"/>
    </row>
    <row r="24176" spans="1:9" x14ac:dyDescent="0.25">
      <c r="A24176" s="515">
        <v>50271</v>
      </c>
      <c r="C24176" s="52">
        <v>130314.891337872</v>
      </c>
      <c r="D24176" s="56">
        <v>0.10319381740211989</v>
      </c>
      <c r="E24176" s="224" t="s">
        <v>2</v>
      </c>
      <c r="G24176" s="52"/>
      <c r="H24176" s="56"/>
      <c r="I24176" s="224"/>
    </row>
    <row r="24177" spans="1:9" x14ac:dyDescent="0.25">
      <c r="A24177" s="515">
        <v>13319</v>
      </c>
      <c r="B24177" s="515" t="s">
        <v>543</v>
      </c>
      <c r="C24177" s="52">
        <v>154123.976146603</v>
      </c>
      <c r="D24177" s="56">
        <v>7.3751288485352326E-2</v>
      </c>
      <c r="E24177" s="224" t="s">
        <v>2</v>
      </c>
      <c r="G24177" s="52"/>
      <c r="H24177" s="56"/>
      <c r="I24177" s="224"/>
    </row>
    <row r="24178" spans="1:9" x14ac:dyDescent="0.25">
      <c r="A24178" s="515">
        <v>40827</v>
      </c>
      <c r="C24178" s="52">
        <v>87387.464398806304</v>
      </c>
      <c r="D24178" s="56">
        <v>0.21964179965725003</v>
      </c>
      <c r="E24178" s="224" t="s">
        <v>2</v>
      </c>
      <c r="G24178" s="52"/>
      <c r="H24178" s="56"/>
      <c r="I24178" s="224"/>
    </row>
    <row r="24179" spans="1:9" x14ac:dyDescent="0.25">
      <c r="A24179" s="515">
        <v>58494</v>
      </c>
      <c r="B24179" s="515" t="s">
        <v>930</v>
      </c>
      <c r="C24179" s="52">
        <v>116034.415136136</v>
      </c>
      <c r="D24179" s="56">
        <v>0</v>
      </c>
      <c r="E24179" s="224" t="s">
        <v>2</v>
      </c>
      <c r="G24179" s="52"/>
      <c r="H24179" s="56"/>
      <c r="I24179" s="224"/>
    </row>
    <row r="24180" spans="1:9" x14ac:dyDescent="0.25">
      <c r="A24180" s="515">
        <v>66010</v>
      </c>
      <c r="B24180" s="515" t="s">
        <v>455</v>
      </c>
      <c r="C24180" s="52">
        <v>177413.82304826801</v>
      </c>
      <c r="D24180" s="56">
        <v>0.28253003741222055</v>
      </c>
      <c r="E24180" s="224" t="s">
        <v>2</v>
      </c>
      <c r="G24180" s="52"/>
      <c r="H24180" s="56"/>
      <c r="I24180" s="224"/>
    </row>
    <row r="24181" spans="1:9" x14ac:dyDescent="0.25">
      <c r="A24181" s="515">
        <v>79381</v>
      </c>
      <c r="B24181" s="515" t="s">
        <v>354</v>
      </c>
      <c r="C24181" s="52">
        <v>213746.16785887501</v>
      </c>
      <c r="D24181" s="56">
        <v>8.1784785856035491E-2</v>
      </c>
      <c r="E24181" s="224" t="s">
        <v>2</v>
      </c>
      <c r="G24181" s="52"/>
      <c r="H24181" s="56"/>
      <c r="I24181" s="224"/>
    </row>
    <row r="24182" spans="1:9" x14ac:dyDescent="0.25">
      <c r="A24182" s="515">
        <v>49967</v>
      </c>
      <c r="B24182" s="515" t="s">
        <v>462</v>
      </c>
      <c r="C24182" s="52">
        <v>112732.020846121</v>
      </c>
      <c r="D24182" s="56">
        <v>0.16070586595403979</v>
      </c>
      <c r="E24182" s="224" t="s">
        <v>2</v>
      </c>
      <c r="G24182" s="52"/>
      <c r="H24182" s="56"/>
      <c r="I24182" s="224"/>
    </row>
    <row r="24183" spans="1:9" x14ac:dyDescent="0.25">
      <c r="A24183" s="515">
        <v>68831</v>
      </c>
      <c r="B24183" s="515" t="s">
        <v>650</v>
      </c>
      <c r="C24183" s="52">
        <v>253620.14559472</v>
      </c>
      <c r="D24183" s="56">
        <v>0.17090209267315096</v>
      </c>
      <c r="E24183" s="224" t="s">
        <v>2</v>
      </c>
      <c r="G24183" s="52"/>
      <c r="H24183" s="56"/>
      <c r="I24183" s="224"/>
    </row>
    <row r="24184" spans="1:9" x14ac:dyDescent="0.25">
      <c r="A24184" s="515">
        <v>84767</v>
      </c>
      <c r="B24184" s="515" t="s">
        <v>522</v>
      </c>
      <c r="C24184" s="52">
        <v>660212.92338492</v>
      </c>
      <c r="D24184" s="56">
        <v>2.6393218714622944E-2</v>
      </c>
      <c r="E24184" s="224" t="s">
        <v>2</v>
      </c>
      <c r="G24184" s="52"/>
      <c r="H24184" s="56"/>
      <c r="I24184" s="224"/>
    </row>
    <row r="24185" spans="1:9" x14ac:dyDescent="0.25">
      <c r="A24185" s="515">
        <v>67731</v>
      </c>
      <c r="C24185" s="52">
        <v>117919.732755312</v>
      </c>
      <c r="D24185" s="56">
        <v>0.17854750333713321</v>
      </c>
      <c r="E24185" s="224" t="s">
        <v>2</v>
      </c>
      <c r="G24185" s="52"/>
      <c r="H24185" s="56"/>
      <c r="I24185" s="224"/>
    </row>
    <row r="24186" spans="1:9" x14ac:dyDescent="0.25">
      <c r="A24186" s="515">
        <v>49115</v>
      </c>
      <c r="B24186" s="515" t="s">
        <v>698</v>
      </c>
      <c r="C24186" s="52">
        <v>580814.418604651</v>
      </c>
      <c r="D24186" s="56">
        <v>0</v>
      </c>
      <c r="E24186" s="224" t="s">
        <v>2</v>
      </c>
      <c r="G24186" s="52"/>
      <c r="H24186" s="56"/>
      <c r="I24186" s="224"/>
    </row>
    <row r="24187" spans="1:9" x14ac:dyDescent="0.25">
      <c r="A24187" s="515">
        <v>8248</v>
      </c>
      <c r="B24187" s="515" t="s">
        <v>653</v>
      </c>
      <c r="C24187" s="52">
        <v>1221755.1281103999</v>
      </c>
      <c r="D24187" s="56">
        <v>0.15528520881100294</v>
      </c>
      <c r="E24187" s="224" t="s">
        <v>2</v>
      </c>
      <c r="G24187" s="52"/>
      <c r="H24187" s="56"/>
      <c r="I24187" s="224"/>
    </row>
    <row r="24188" spans="1:9" x14ac:dyDescent="0.25">
      <c r="A24188" s="515">
        <v>22943</v>
      </c>
      <c r="B24188" s="515" t="s">
        <v>630</v>
      </c>
      <c r="C24188" s="52">
        <v>466175.08836490603</v>
      </c>
      <c r="D24188" s="56">
        <v>6.1105248788842784E-2</v>
      </c>
      <c r="E24188" s="224" t="s">
        <v>2</v>
      </c>
      <c r="G24188" s="52"/>
      <c r="H24188" s="56"/>
      <c r="I24188" s="224"/>
    </row>
    <row r="24189" spans="1:9" x14ac:dyDescent="0.25">
      <c r="A24189" s="515">
        <v>83626</v>
      </c>
      <c r="B24189" s="515" t="s">
        <v>500</v>
      </c>
      <c r="C24189" s="52">
        <v>369524.24292982399</v>
      </c>
      <c r="D24189" s="56">
        <v>-1.1837562378946606E-2</v>
      </c>
      <c r="E24189" s="224" t="s">
        <v>2</v>
      </c>
      <c r="G24189" s="52"/>
      <c r="H24189" s="56"/>
      <c r="I24189" s="224"/>
    </row>
    <row r="24190" spans="1:9" x14ac:dyDescent="0.25">
      <c r="A24190" s="515">
        <v>67525</v>
      </c>
      <c r="B24190" s="515" t="s">
        <v>741</v>
      </c>
      <c r="C24190" s="52">
        <v>108176.143559882</v>
      </c>
      <c r="D24190" s="56">
        <v>8.6353098893506217E-2</v>
      </c>
      <c r="E24190" s="224" t="s">
        <v>2</v>
      </c>
      <c r="G24190" s="52"/>
      <c r="H24190" s="56"/>
      <c r="I24190" s="224"/>
    </row>
    <row r="24191" spans="1:9" x14ac:dyDescent="0.25">
      <c r="A24191" s="515">
        <v>15483</v>
      </c>
      <c r="B24191" s="515" t="s">
        <v>297</v>
      </c>
      <c r="C24191" s="52">
        <v>114963.334047361</v>
      </c>
      <c r="D24191" s="56">
        <v>5.5683244144807971E-2</v>
      </c>
      <c r="E24191" s="224" t="s">
        <v>2</v>
      </c>
      <c r="G24191" s="52"/>
      <c r="H24191" s="56"/>
      <c r="I24191" s="224"/>
    </row>
    <row r="24192" spans="1:9" x14ac:dyDescent="0.25">
      <c r="A24192" s="515">
        <v>44613</v>
      </c>
      <c r="B24192" s="515" t="s">
        <v>863</v>
      </c>
      <c r="C24192" s="52">
        <v>141153.076724827</v>
      </c>
      <c r="D24192" s="56">
        <v>7.0120905261887898E-2</v>
      </c>
      <c r="E24192" s="224" t="s">
        <v>2</v>
      </c>
      <c r="G24192" s="52"/>
      <c r="H24192" s="56"/>
      <c r="I24192" s="224"/>
    </row>
    <row r="24193" spans="1:9" x14ac:dyDescent="0.25">
      <c r="A24193" s="515">
        <v>50118</v>
      </c>
      <c r="B24193" s="515" t="s">
        <v>295</v>
      </c>
      <c r="C24193" s="52">
        <v>192183.19240495199</v>
      </c>
      <c r="D24193" s="56">
        <v>7.7438949013652253E-2</v>
      </c>
      <c r="E24193" s="224" t="s">
        <v>2</v>
      </c>
      <c r="G24193" s="52"/>
      <c r="H24193" s="56"/>
      <c r="I24193" s="224"/>
    </row>
    <row r="24194" spans="1:9" x14ac:dyDescent="0.25">
      <c r="A24194" s="515">
        <v>21767</v>
      </c>
      <c r="B24194" s="515" t="s">
        <v>654</v>
      </c>
      <c r="C24194" s="52">
        <v>234062.350140978</v>
      </c>
      <c r="D24194" s="56">
        <v>4.9452987035022218E-2</v>
      </c>
      <c r="E24194" s="224" t="s">
        <v>2</v>
      </c>
      <c r="G24194" s="52"/>
      <c r="H24194" s="56"/>
      <c r="I24194" s="224"/>
    </row>
    <row r="24195" spans="1:9" x14ac:dyDescent="0.25">
      <c r="A24195" s="515">
        <v>68658</v>
      </c>
      <c r="C24195" s="52">
        <v>167862.73734961401</v>
      </c>
      <c r="D24195" s="56">
        <v>7.3669908650083132E-2</v>
      </c>
      <c r="E24195" s="224" t="s">
        <v>2</v>
      </c>
      <c r="G24195" s="52"/>
      <c r="H24195" s="56"/>
      <c r="I24195" s="224"/>
    </row>
    <row r="24196" spans="1:9" x14ac:dyDescent="0.25">
      <c r="A24196" s="515">
        <v>42285</v>
      </c>
      <c r="B24196" s="515" t="s">
        <v>799</v>
      </c>
      <c r="C24196" s="52">
        <v>129117.54860095801</v>
      </c>
      <c r="D24196" s="56">
        <v>0.26332958945875307</v>
      </c>
      <c r="E24196" s="224" t="s">
        <v>2</v>
      </c>
      <c r="G24196" s="52"/>
      <c r="H24196" s="56"/>
      <c r="I24196" s="224"/>
    </row>
    <row r="24197" spans="1:9" x14ac:dyDescent="0.25">
      <c r="A24197" s="515">
        <v>29915</v>
      </c>
      <c r="B24197" s="515" t="s">
        <v>734</v>
      </c>
      <c r="C24197" s="52">
        <v>638892.87063755805</v>
      </c>
      <c r="D24197" s="56">
        <v>0.17112355755510361</v>
      </c>
      <c r="E24197" s="224" t="s">
        <v>2</v>
      </c>
      <c r="G24197" s="52"/>
      <c r="H24197" s="56"/>
      <c r="I24197" s="224"/>
    </row>
    <row r="24198" spans="1:9" x14ac:dyDescent="0.25">
      <c r="A24198" s="515">
        <v>64638</v>
      </c>
      <c r="C24198" s="52">
        <v>154851.082623959</v>
      </c>
      <c r="D24198" s="56">
        <v>9.2238532471883003E-2</v>
      </c>
      <c r="E24198" s="224" t="s">
        <v>2</v>
      </c>
      <c r="G24198" s="52"/>
      <c r="H24198" s="56"/>
      <c r="I24198" s="224"/>
    </row>
    <row r="24199" spans="1:9" x14ac:dyDescent="0.25">
      <c r="A24199" s="515">
        <v>21864</v>
      </c>
      <c r="B24199" s="515" t="s">
        <v>552</v>
      </c>
      <c r="C24199" s="52">
        <v>167940.072503256</v>
      </c>
      <c r="D24199" s="56">
        <v>-5.1966909580629418E-3</v>
      </c>
      <c r="E24199" s="224" t="s">
        <v>2</v>
      </c>
      <c r="G24199" s="52"/>
      <c r="H24199" s="56"/>
      <c r="I24199" s="224"/>
    </row>
    <row r="24200" spans="1:9" x14ac:dyDescent="0.25">
      <c r="A24200" s="515">
        <v>42753</v>
      </c>
      <c r="C24200" s="52">
        <v>96630.585437045607</v>
      </c>
      <c r="D24200" s="56">
        <v>0.16257748283793794</v>
      </c>
      <c r="E24200" s="224" t="s">
        <v>2</v>
      </c>
      <c r="G24200" s="52"/>
      <c r="H24200" s="56"/>
      <c r="I24200" s="224"/>
    </row>
    <row r="24201" spans="1:9" x14ac:dyDescent="0.25">
      <c r="A24201" s="515">
        <v>16853</v>
      </c>
      <c r="B24201" s="515" t="s">
        <v>491</v>
      </c>
      <c r="C24201" s="52">
        <v>177257.73425527001</v>
      </c>
      <c r="D24201" s="56">
        <v>8.6223316039895859E-2</v>
      </c>
      <c r="E24201" s="224" t="s">
        <v>2</v>
      </c>
      <c r="G24201" s="52"/>
      <c r="H24201" s="56"/>
      <c r="I24201" s="224"/>
    </row>
    <row r="24202" spans="1:9" x14ac:dyDescent="0.25">
      <c r="A24202" s="515">
        <v>41159</v>
      </c>
      <c r="C24202" s="52">
        <v>123600.624385274</v>
      </c>
      <c r="D24202" s="56">
        <v>0.20089565639578222</v>
      </c>
      <c r="E24202" s="224" t="s">
        <v>2</v>
      </c>
      <c r="G24202" s="52"/>
      <c r="H24202" s="56"/>
      <c r="I24202" s="224"/>
    </row>
    <row r="24203" spans="1:9" x14ac:dyDescent="0.25">
      <c r="A24203" s="515">
        <v>12952</v>
      </c>
      <c r="B24203" s="515" t="s">
        <v>395</v>
      </c>
      <c r="C24203" s="52">
        <v>54859.525237963899</v>
      </c>
      <c r="D24203" s="56">
        <v>0.14461154225836101</v>
      </c>
      <c r="E24203" s="224" t="s">
        <v>2</v>
      </c>
      <c r="G24203" s="52"/>
      <c r="H24203" s="56"/>
      <c r="I24203" s="224"/>
    </row>
    <row r="24204" spans="1:9" x14ac:dyDescent="0.25">
      <c r="A24204" s="515">
        <v>41642</v>
      </c>
      <c r="C24204" s="52">
        <v>103306.433908708</v>
      </c>
      <c r="D24204" s="56">
        <v>6.0173319367639935E-2</v>
      </c>
      <c r="E24204" s="224" t="s">
        <v>2</v>
      </c>
      <c r="G24204" s="52"/>
      <c r="H24204" s="56"/>
      <c r="I24204" s="224"/>
    </row>
    <row r="24205" spans="1:9" x14ac:dyDescent="0.25">
      <c r="A24205" s="515">
        <v>41204</v>
      </c>
      <c r="C24205" s="52">
        <v>71833.441435662899</v>
      </c>
      <c r="D24205" s="56">
        <v>0.15605680853575088</v>
      </c>
      <c r="E24205" s="224" t="s">
        <v>2</v>
      </c>
      <c r="G24205" s="52"/>
      <c r="H24205" s="56"/>
      <c r="I24205" s="224"/>
    </row>
    <row r="24206" spans="1:9" x14ac:dyDescent="0.25">
      <c r="A24206" s="515">
        <v>49934</v>
      </c>
      <c r="B24206" s="515" t="s">
        <v>462</v>
      </c>
      <c r="C24206" s="52">
        <v>75135.270580882599</v>
      </c>
      <c r="D24206" s="56">
        <v>4.145426339028592E-2</v>
      </c>
      <c r="E24206" s="224" t="s">
        <v>2</v>
      </c>
      <c r="G24206" s="52"/>
      <c r="H24206" s="56"/>
      <c r="I24206" s="224"/>
    </row>
    <row r="24207" spans="1:9" x14ac:dyDescent="0.25">
      <c r="A24207" s="515">
        <v>59934</v>
      </c>
      <c r="C24207" s="52">
        <v>529395.99879441003</v>
      </c>
      <c r="D24207" s="56">
        <v>0.12723301540906712</v>
      </c>
      <c r="E24207" s="224" t="s">
        <v>2</v>
      </c>
      <c r="G24207" s="52"/>
      <c r="H24207" s="56"/>
      <c r="I24207" s="224"/>
    </row>
    <row r="24208" spans="1:9" x14ac:dyDescent="0.25">
      <c r="A24208" s="515">
        <v>24077</v>
      </c>
      <c r="B24208" s="515" t="s">
        <v>861</v>
      </c>
      <c r="C24208" s="52">
        <v>217843.20832640701</v>
      </c>
      <c r="D24208" s="56">
        <v>6.1231188784674692E-2</v>
      </c>
      <c r="E24208" s="224" t="s">
        <v>2</v>
      </c>
      <c r="G24208" s="52"/>
      <c r="H24208" s="56"/>
      <c r="I24208" s="224"/>
    </row>
    <row r="24209" spans="1:9" x14ac:dyDescent="0.25">
      <c r="A24209" s="515">
        <v>52769</v>
      </c>
      <c r="B24209" s="515" t="s">
        <v>755</v>
      </c>
      <c r="C24209" s="52">
        <v>258345.06256456301</v>
      </c>
      <c r="D24209" s="56">
        <v>0.10360728176473161</v>
      </c>
      <c r="E24209" s="224" t="s">
        <v>2</v>
      </c>
      <c r="G24209" s="52"/>
      <c r="H24209" s="56"/>
      <c r="I24209" s="224"/>
    </row>
    <row r="24210" spans="1:9" x14ac:dyDescent="0.25">
      <c r="A24210" s="515">
        <v>65756</v>
      </c>
      <c r="C24210" s="52">
        <v>194691.82878008901</v>
      </c>
      <c r="D24210" s="56">
        <v>0.10828934044416035</v>
      </c>
      <c r="E24210" s="224" t="s">
        <v>2</v>
      </c>
      <c r="G24210" s="52"/>
      <c r="H24210" s="56"/>
      <c r="I24210" s="224"/>
    </row>
    <row r="24211" spans="1:9" x14ac:dyDescent="0.25">
      <c r="A24211" s="515">
        <v>67038</v>
      </c>
      <c r="B24211" s="515" t="s">
        <v>789</v>
      </c>
      <c r="C24211" s="52">
        <v>127700.385222047</v>
      </c>
      <c r="D24211" s="56">
        <v>9.7196836832123684E-2</v>
      </c>
      <c r="E24211" s="224" t="s">
        <v>2</v>
      </c>
      <c r="G24211" s="52"/>
      <c r="H24211" s="56"/>
      <c r="I24211" s="224"/>
    </row>
    <row r="24212" spans="1:9" x14ac:dyDescent="0.25">
      <c r="A24212" s="515">
        <v>62547</v>
      </c>
      <c r="B24212" s="515" t="s">
        <v>386</v>
      </c>
      <c r="C24212" s="52">
        <v>93554.225032734495</v>
      </c>
      <c r="D24212" s="56">
        <v>6.5775039835979945E-2</v>
      </c>
      <c r="E24212" s="224" t="s">
        <v>2</v>
      </c>
      <c r="G24212" s="52"/>
      <c r="H24212" s="56"/>
      <c r="I24212" s="224"/>
    </row>
    <row r="24213" spans="1:9" x14ac:dyDescent="0.25">
      <c r="A24213" s="515">
        <v>65048</v>
      </c>
      <c r="B24213" s="515" t="s">
        <v>711</v>
      </c>
      <c r="C24213" s="52">
        <v>227398.275862068</v>
      </c>
      <c r="D24213" s="56">
        <v>0</v>
      </c>
      <c r="E24213" s="224" t="s">
        <v>2</v>
      </c>
      <c r="G24213" s="52"/>
      <c r="H24213" s="56"/>
      <c r="I24213" s="224"/>
    </row>
    <row r="24214" spans="1:9" x14ac:dyDescent="0.25">
      <c r="A24214" s="515">
        <v>21861</v>
      </c>
      <c r="B24214" s="515" t="s">
        <v>552</v>
      </c>
      <c r="C24214" s="52">
        <v>171565.22312813299</v>
      </c>
      <c r="D24214" s="56">
        <v>8.67423215394479E-2</v>
      </c>
      <c r="E24214" s="224" t="s">
        <v>2</v>
      </c>
      <c r="G24214" s="52"/>
      <c r="H24214" s="56"/>
      <c r="I24214" s="224"/>
    </row>
    <row r="24215" spans="1:9" x14ac:dyDescent="0.25">
      <c r="A24215" s="515">
        <v>26761</v>
      </c>
      <c r="B24215" s="515" t="s">
        <v>629</v>
      </c>
      <c r="C24215" s="52">
        <v>208340.27322677299</v>
      </c>
      <c r="D24215" s="56">
        <v>0.13971765114723267</v>
      </c>
      <c r="E24215" s="224" t="s">
        <v>2</v>
      </c>
      <c r="G24215" s="52"/>
      <c r="H24215" s="56"/>
      <c r="I24215" s="224"/>
    </row>
    <row r="24216" spans="1:9" x14ac:dyDescent="0.25">
      <c r="A24216" s="515">
        <v>46175</v>
      </c>
      <c r="B24216" s="515" t="s">
        <v>403</v>
      </c>
      <c r="C24216" s="52">
        <v>148762.06113853399</v>
      </c>
      <c r="D24216" s="56">
        <v>-2.5099788385052144E-3</v>
      </c>
      <c r="E24216" s="224" t="s">
        <v>2</v>
      </c>
      <c r="G24216" s="52"/>
      <c r="H24216" s="56"/>
      <c r="I24216" s="224"/>
    </row>
    <row r="24217" spans="1:9" x14ac:dyDescent="0.25">
      <c r="A24217" s="515">
        <v>38387</v>
      </c>
      <c r="C24217" s="52">
        <v>198602.93538041</v>
      </c>
      <c r="D24217" s="56">
        <v>0</v>
      </c>
      <c r="E24217" s="224" t="s">
        <v>2</v>
      </c>
      <c r="G24217" s="52"/>
      <c r="H24217" s="56"/>
      <c r="I24217" s="224"/>
    </row>
    <row r="24218" spans="1:9" x14ac:dyDescent="0.25">
      <c r="A24218" s="515">
        <v>25285</v>
      </c>
      <c r="B24218" s="515" t="s">
        <v>322</v>
      </c>
      <c r="C24218" s="52">
        <v>98627.606870818403</v>
      </c>
      <c r="D24218" s="56">
        <v>0.19765271096453718</v>
      </c>
      <c r="E24218" s="224" t="s">
        <v>2</v>
      </c>
      <c r="G24218" s="52"/>
      <c r="H24218" s="56"/>
      <c r="I24218" s="224"/>
    </row>
    <row r="24219" spans="1:9" x14ac:dyDescent="0.25">
      <c r="A24219" s="515">
        <v>65345</v>
      </c>
      <c r="C24219" s="52">
        <v>226321.184974598</v>
      </c>
      <c r="D24219" s="56">
        <v>0.15117772494201137</v>
      </c>
      <c r="E24219" s="224" t="s">
        <v>2</v>
      </c>
      <c r="G24219" s="52"/>
      <c r="H24219" s="56"/>
      <c r="I24219" s="224"/>
    </row>
    <row r="24220" spans="1:9" x14ac:dyDescent="0.25">
      <c r="A24220" s="515">
        <v>23897</v>
      </c>
      <c r="B24220" s="515" t="s">
        <v>667</v>
      </c>
      <c r="C24220" s="52">
        <v>169182.95300135101</v>
      </c>
      <c r="D24220" s="56">
        <v>0.24546117348666244</v>
      </c>
      <c r="E24220" s="224" t="s">
        <v>2</v>
      </c>
      <c r="G24220" s="52"/>
      <c r="H24220" s="56"/>
      <c r="I24220" s="224"/>
    </row>
    <row r="24221" spans="1:9" x14ac:dyDescent="0.25">
      <c r="A24221" s="515">
        <v>83429</v>
      </c>
      <c r="B24221" s="515" t="s">
        <v>843</v>
      </c>
      <c r="C24221" s="52">
        <v>526027.32745826</v>
      </c>
      <c r="D24221" s="56">
        <v>6.8221741521762899E-2</v>
      </c>
      <c r="E24221" s="224" t="s">
        <v>2</v>
      </c>
      <c r="G24221" s="52"/>
      <c r="H24221" s="56"/>
      <c r="I24221" s="224"/>
    </row>
    <row r="24222" spans="1:9" x14ac:dyDescent="0.25">
      <c r="A24222" s="515">
        <v>61839</v>
      </c>
      <c r="B24222" s="515" t="s">
        <v>417</v>
      </c>
      <c r="C24222" s="52">
        <v>114300.818181818</v>
      </c>
      <c r="D24222" s="56">
        <v>0</v>
      </c>
      <c r="E24222" s="224" t="s">
        <v>2</v>
      </c>
      <c r="G24222" s="52"/>
      <c r="H24222" s="56"/>
      <c r="I24222" s="224"/>
    </row>
    <row r="24223" spans="1:9" x14ac:dyDescent="0.25">
      <c r="A24223" s="515">
        <v>67127</v>
      </c>
      <c r="C24223" s="52">
        <v>75686.412452952994</v>
      </c>
      <c r="D24223" s="56">
        <v>0.10992990057309014</v>
      </c>
      <c r="E24223" s="224" t="s">
        <v>2</v>
      </c>
      <c r="G24223" s="52"/>
      <c r="H24223" s="56"/>
      <c r="I24223" s="224"/>
    </row>
    <row r="24224" spans="1:9" x14ac:dyDescent="0.25">
      <c r="A24224" s="515">
        <v>68761</v>
      </c>
      <c r="C24224" s="52">
        <v>67264.305746132202</v>
      </c>
      <c r="D24224" s="56">
        <v>-5.2873980771885334E-2</v>
      </c>
      <c r="E24224" s="224" t="s">
        <v>2</v>
      </c>
      <c r="G24224" s="52"/>
      <c r="H24224" s="56"/>
      <c r="I24224" s="224"/>
    </row>
    <row r="24225" spans="1:9" x14ac:dyDescent="0.25">
      <c r="A24225" s="515">
        <v>80749</v>
      </c>
      <c r="C24225" s="52">
        <v>152181.86165757899</v>
      </c>
      <c r="D24225" s="56">
        <v>0.14497697318994468</v>
      </c>
      <c r="E24225" s="224" t="s">
        <v>2</v>
      </c>
      <c r="G24225" s="52"/>
      <c r="H24225" s="56"/>
      <c r="I24225" s="224"/>
    </row>
    <row r="24226" spans="1:9" x14ac:dyDescent="0.25">
      <c r="A24226" s="515">
        <v>62053</v>
      </c>
      <c r="B24226" s="515" t="s">
        <v>498</v>
      </c>
      <c r="C24226" s="52">
        <v>124856.763389987</v>
      </c>
      <c r="D24226" s="56">
        <v>8.0574484584082881E-2</v>
      </c>
      <c r="E24226" s="224" t="s">
        <v>2</v>
      </c>
      <c r="G24226" s="52"/>
      <c r="H24226" s="56"/>
      <c r="I24226" s="224"/>
    </row>
    <row r="24227" spans="1:9" x14ac:dyDescent="0.25">
      <c r="A24227" s="515">
        <v>52621</v>
      </c>
      <c r="B24227" s="515" t="s">
        <v>587</v>
      </c>
      <c r="C24227" s="52">
        <v>159368.94687519301</v>
      </c>
      <c r="D24227" s="56">
        <v>0.1304840147008326</v>
      </c>
      <c r="E24227" s="224" t="s">
        <v>2</v>
      </c>
      <c r="G24227" s="52"/>
      <c r="H24227" s="56"/>
      <c r="I24227" s="224"/>
    </row>
    <row r="24228" spans="1:9" x14ac:dyDescent="0.25">
      <c r="A24228" s="515">
        <v>36511</v>
      </c>
      <c r="B24228" s="515" t="s">
        <v>488</v>
      </c>
      <c r="C24228" s="52">
        <v>240033.662180343</v>
      </c>
      <c r="D24228" s="56">
        <v>0.12613828579834729</v>
      </c>
      <c r="E24228" s="224" t="s">
        <v>2</v>
      </c>
      <c r="G24228" s="52"/>
      <c r="H24228" s="56"/>
      <c r="I24228" s="224"/>
    </row>
    <row r="24229" spans="1:9" x14ac:dyDescent="0.25">
      <c r="A24229" s="515">
        <v>57436</v>
      </c>
      <c r="C24229" s="52">
        <v>113165.883181564</v>
      </c>
      <c r="D24229" s="56">
        <v>4.679134984379222E-2</v>
      </c>
      <c r="E24229" s="224" t="s">
        <v>2</v>
      </c>
      <c r="G24229" s="52"/>
      <c r="H24229" s="56"/>
      <c r="I24229" s="224"/>
    </row>
    <row r="24230" spans="1:9" x14ac:dyDescent="0.25">
      <c r="A24230" s="515">
        <v>66716</v>
      </c>
      <c r="C24230" s="52">
        <v>79329.037820316793</v>
      </c>
      <c r="D24230" s="56">
        <v>3.4454633610496062E-2</v>
      </c>
      <c r="E24230" s="224" t="s">
        <v>2</v>
      </c>
      <c r="G24230" s="52"/>
      <c r="H24230" s="56"/>
      <c r="I24230" s="224"/>
    </row>
    <row r="24231" spans="1:9" x14ac:dyDescent="0.25">
      <c r="A24231" s="515">
        <v>76251</v>
      </c>
      <c r="C24231" s="52">
        <v>254819.155197432</v>
      </c>
      <c r="D24231" s="56">
        <v>0</v>
      </c>
      <c r="E24231" s="224" t="s">
        <v>2</v>
      </c>
      <c r="G24231" s="52"/>
      <c r="H24231" s="56"/>
      <c r="I24231" s="224"/>
    </row>
    <row r="24232" spans="1:9" x14ac:dyDescent="0.25">
      <c r="A24232" s="515">
        <v>16680</v>
      </c>
      <c r="B24232" s="515" t="s">
        <v>876</v>
      </c>
      <c r="C24232" s="52">
        <v>107660.071428571</v>
      </c>
      <c r="D24232" s="56">
        <v>0</v>
      </c>
      <c r="E24232" s="224" t="s">
        <v>2</v>
      </c>
      <c r="G24232" s="52"/>
      <c r="H24232" s="56"/>
      <c r="I24232" s="224"/>
    </row>
    <row r="24233" spans="1:9" x14ac:dyDescent="0.25">
      <c r="A24233" s="515">
        <v>48728</v>
      </c>
      <c r="C24233" s="52">
        <v>136666.947047758</v>
      </c>
      <c r="D24233" s="56">
        <v>5.2333284474680129E-2</v>
      </c>
      <c r="E24233" s="224" t="s">
        <v>2</v>
      </c>
      <c r="G24233" s="52"/>
      <c r="H24233" s="56"/>
      <c r="I24233" s="224"/>
    </row>
    <row r="24234" spans="1:9" x14ac:dyDescent="0.25">
      <c r="A24234" s="515">
        <v>83278</v>
      </c>
      <c r="C24234" s="52">
        <v>521559.24575274502</v>
      </c>
      <c r="D24234" s="56">
        <v>5.7882782969230787E-2</v>
      </c>
      <c r="E24234" s="224" t="s">
        <v>2</v>
      </c>
      <c r="G24234" s="52"/>
      <c r="H24234" s="56"/>
      <c r="I24234" s="224"/>
    </row>
    <row r="24235" spans="1:9" x14ac:dyDescent="0.25">
      <c r="A24235" s="515">
        <v>56078</v>
      </c>
      <c r="C24235" s="52">
        <v>206971.628605673</v>
      </c>
      <c r="D24235" s="56">
        <v>0.10185671047170015</v>
      </c>
      <c r="E24235" s="224" t="s">
        <v>2</v>
      </c>
      <c r="G24235" s="52"/>
      <c r="H24235" s="56"/>
      <c r="I24235" s="224"/>
    </row>
    <row r="24236" spans="1:9" x14ac:dyDescent="0.25">
      <c r="A24236" s="515">
        <v>59485</v>
      </c>
      <c r="B24236" s="515" t="s">
        <v>373</v>
      </c>
      <c r="C24236" s="52">
        <v>363612.00734073803</v>
      </c>
      <c r="D24236" s="56">
        <v>4.5548799872630288E-2</v>
      </c>
      <c r="E24236" s="224" t="s">
        <v>2</v>
      </c>
      <c r="G24236" s="52"/>
      <c r="H24236" s="56"/>
      <c r="I24236" s="224"/>
    </row>
    <row r="24237" spans="1:9" x14ac:dyDescent="0.25">
      <c r="A24237" s="515">
        <v>67481</v>
      </c>
      <c r="C24237" s="52">
        <v>137318.21984198599</v>
      </c>
      <c r="D24237" s="56">
        <v>0.31585256870522166</v>
      </c>
      <c r="E24237" s="224" t="s">
        <v>2</v>
      </c>
      <c r="G24237" s="52"/>
      <c r="H24237" s="56"/>
      <c r="I24237" s="224"/>
    </row>
    <row r="24238" spans="1:9" x14ac:dyDescent="0.25">
      <c r="A24238" s="515">
        <v>73625</v>
      </c>
      <c r="B24238" s="515" t="s">
        <v>860</v>
      </c>
      <c r="C24238" s="52">
        <v>116074.613987633</v>
      </c>
      <c r="D24238" s="56">
        <v>8.5524950387655591E-2</v>
      </c>
      <c r="E24238" s="224" t="s">
        <v>2</v>
      </c>
      <c r="G24238" s="52"/>
      <c r="H24238" s="56"/>
      <c r="I24238" s="224"/>
    </row>
    <row r="24239" spans="1:9" x14ac:dyDescent="0.25">
      <c r="A24239" s="515">
        <v>68340</v>
      </c>
      <c r="C24239" s="52">
        <v>96126.133396668098</v>
      </c>
      <c r="D24239" s="56">
        <v>0.23473587163132167</v>
      </c>
      <c r="E24239" s="224" t="s">
        <v>2</v>
      </c>
      <c r="G24239" s="52"/>
      <c r="H24239" s="56"/>
      <c r="I24239" s="224"/>
    </row>
    <row r="24240" spans="1:9" x14ac:dyDescent="0.25">
      <c r="A24240" s="515">
        <v>76566</v>
      </c>
      <c r="B24240" s="515" t="s">
        <v>859</v>
      </c>
      <c r="C24240" s="52">
        <v>437704.42627972201</v>
      </c>
      <c r="D24240" s="56">
        <v>0</v>
      </c>
      <c r="E24240" s="224" t="s">
        <v>2</v>
      </c>
      <c r="G24240" s="52"/>
      <c r="H24240" s="56"/>
      <c r="I24240" s="224"/>
    </row>
    <row r="24241" spans="1:9" x14ac:dyDescent="0.25">
      <c r="A24241" s="515">
        <v>50560</v>
      </c>
      <c r="C24241" s="52">
        <v>100517.12174442501</v>
      </c>
      <c r="D24241" s="56">
        <v>0</v>
      </c>
      <c r="E24241" s="224" t="s">
        <v>2</v>
      </c>
      <c r="G24241" s="52"/>
      <c r="H24241" s="56"/>
      <c r="I24241" s="224"/>
    </row>
    <row r="24242" spans="1:9" x14ac:dyDescent="0.25">
      <c r="A24242" s="515">
        <v>97492</v>
      </c>
      <c r="B24242" s="515" t="s">
        <v>801</v>
      </c>
      <c r="C24242" s="52">
        <v>303344.00300352398</v>
      </c>
      <c r="D24242" s="56">
        <v>5.0470596552403241E-2</v>
      </c>
      <c r="E24242" s="224" t="s">
        <v>2</v>
      </c>
      <c r="G24242" s="52"/>
      <c r="H24242" s="56"/>
      <c r="I24242" s="224"/>
    </row>
    <row r="24243" spans="1:9" x14ac:dyDescent="0.25">
      <c r="A24243" s="515">
        <v>16440</v>
      </c>
      <c r="B24243" s="515" t="s">
        <v>1042</v>
      </c>
      <c r="C24243" s="52">
        <v>132465.268041237</v>
      </c>
      <c r="D24243" s="56">
        <v>0</v>
      </c>
      <c r="E24243" s="224" t="s">
        <v>2</v>
      </c>
      <c r="G24243" s="52"/>
      <c r="H24243" s="56"/>
      <c r="I24243" s="224"/>
    </row>
    <row r="24244" spans="1:9" x14ac:dyDescent="0.25">
      <c r="A24244" s="515">
        <v>39166</v>
      </c>
      <c r="C24244" s="52">
        <v>98573.278041285099</v>
      </c>
      <c r="D24244" s="56">
        <v>2.1666076892106895E-2</v>
      </c>
      <c r="E24244" s="224" t="s">
        <v>2</v>
      </c>
      <c r="G24244" s="52"/>
      <c r="H24244" s="56"/>
      <c r="I24244" s="224"/>
    </row>
    <row r="24245" spans="1:9" x14ac:dyDescent="0.25">
      <c r="A24245" s="515">
        <v>79312</v>
      </c>
      <c r="C24245" s="52">
        <v>68062.816209293305</v>
      </c>
      <c r="D24245" s="56">
        <v>0.16827844844924023</v>
      </c>
      <c r="E24245" s="224" t="s">
        <v>2</v>
      </c>
      <c r="G24245" s="52"/>
      <c r="H24245" s="56"/>
      <c r="I24245" s="224"/>
    </row>
    <row r="24246" spans="1:9" x14ac:dyDescent="0.25">
      <c r="A24246" s="515">
        <v>73562</v>
      </c>
      <c r="B24246" s="515" t="s">
        <v>364</v>
      </c>
      <c r="C24246" s="52">
        <v>125760.324121443</v>
      </c>
      <c r="D24246" s="56">
        <v>0.1400810231013061</v>
      </c>
      <c r="E24246" s="224" t="s">
        <v>2</v>
      </c>
      <c r="G24246" s="52"/>
      <c r="H24246" s="56"/>
      <c r="I24246" s="224"/>
    </row>
    <row r="24247" spans="1:9" x14ac:dyDescent="0.25">
      <c r="A24247" s="515">
        <v>50143</v>
      </c>
      <c r="B24247" s="515" t="s">
        <v>477</v>
      </c>
      <c r="C24247" s="52">
        <v>207855.01675644799</v>
      </c>
      <c r="D24247" s="56">
        <v>0</v>
      </c>
      <c r="E24247" s="224" t="s">
        <v>2</v>
      </c>
      <c r="G24247" s="52"/>
      <c r="H24247" s="56"/>
      <c r="I24247" s="224"/>
    </row>
    <row r="24248" spans="1:9" x14ac:dyDescent="0.25">
      <c r="A24248" s="515">
        <v>50069</v>
      </c>
      <c r="B24248" s="515" t="s">
        <v>295</v>
      </c>
      <c r="C24248" s="52">
        <v>244208.93371148701</v>
      </c>
      <c r="D24248" s="56">
        <v>0.12449642843975708</v>
      </c>
      <c r="E24248" s="224" t="s">
        <v>2</v>
      </c>
      <c r="G24248" s="52"/>
      <c r="H24248" s="56"/>
      <c r="I24248" s="224"/>
    </row>
    <row r="24249" spans="1:9" x14ac:dyDescent="0.25">
      <c r="A24249" s="515">
        <v>44689</v>
      </c>
      <c r="C24249" s="52">
        <v>187566.66357154801</v>
      </c>
      <c r="D24249" s="56">
        <v>7.7094260890421748E-2</v>
      </c>
      <c r="E24249" s="224" t="s">
        <v>2</v>
      </c>
      <c r="G24249" s="52"/>
      <c r="H24249" s="56"/>
      <c r="I24249" s="224"/>
    </row>
    <row r="24250" spans="1:9" x14ac:dyDescent="0.25">
      <c r="A24250" s="515">
        <v>68329</v>
      </c>
      <c r="C24250" s="52">
        <v>152803.73446366799</v>
      </c>
      <c r="D24250" s="56">
        <v>0.14244837298088231</v>
      </c>
      <c r="E24250" s="224" t="s">
        <v>2</v>
      </c>
      <c r="G24250" s="52"/>
      <c r="H24250" s="56"/>
      <c r="I24250" s="224"/>
    </row>
    <row r="24251" spans="1:9" x14ac:dyDescent="0.25">
      <c r="A24251" s="515">
        <v>50222</v>
      </c>
      <c r="B24251" s="515" t="s">
        <v>295</v>
      </c>
      <c r="C24251" s="52">
        <v>256859.46919498499</v>
      </c>
      <c r="D24251" s="56">
        <v>0</v>
      </c>
      <c r="E24251" s="224" t="s">
        <v>2</v>
      </c>
      <c r="G24251" s="52"/>
      <c r="H24251" s="56"/>
      <c r="I24251" s="224"/>
    </row>
    <row r="24252" spans="1:9" x14ac:dyDescent="0.25">
      <c r="A24252" s="515">
        <v>12976</v>
      </c>
      <c r="B24252" s="515" t="s">
        <v>706</v>
      </c>
      <c r="C24252" s="52">
        <v>374543.475159364</v>
      </c>
      <c r="D24252" s="56">
        <v>0.17074256982276967</v>
      </c>
      <c r="E24252" s="224" t="s">
        <v>2</v>
      </c>
      <c r="G24252" s="52"/>
      <c r="H24252" s="56"/>
      <c r="I24252" s="224"/>
    </row>
    <row r="24253" spans="1:9" x14ac:dyDescent="0.25">
      <c r="A24253" s="515">
        <v>61437</v>
      </c>
      <c r="B24253" s="515" t="s">
        <v>672</v>
      </c>
      <c r="C24253" s="52">
        <v>115984.005872428</v>
      </c>
      <c r="D24253" s="56">
        <v>1.9492557587347931E-2</v>
      </c>
      <c r="E24253" s="224" t="s">
        <v>2</v>
      </c>
      <c r="G24253" s="52"/>
      <c r="H24253" s="56"/>
      <c r="I24253" s="224"/>
    </row>
    <row r="24254" spans="1:9" x14ac:dyDescent="0.25">
      <c r="A24254" s="515">
        <v>41052</v>
      </c>
      <c r="B24254" s="515" t="s">
        <v>344</v>
      </c>
      <c r="C24254" s="52">
        <v>176383.931034482</v>
      </c>
      <c r="D24254" s="56">
        <v>0</v>
      </c>
      <c r="E24254" s="224" t="s">
        <v>2</v>
      </c>
      <c r="G24254" s="52"/>
      <c r="H24254" s="56"/>
      <c r="I24254" s="224"/>
    </row>
    <row r="24255" spans="1:9" x14ac:dyDescent="0.25">
      <c r="A24255" s="515">
        <v>62469</v>
      </c>
      <c r="B24255" s="515" t="s">
        <v>853</v>
      </c>
      <c r="C24255" s="52">
        <v>113185.958323111</v>
      </c>
      <c r="D24255" s="56">
        <v>9.8749935574412834E-2</v>
      </c>
      <c r="E24255" s="224" t="s">
        <v>2</v>
      </c>
      <c r="G24255" s="52"/>
      <c r="H24255" s="56"/>
      <c r="I24255" s="224"/>
    </row>
    <row r="24256" spans="1:9" x14ac:dyDescent="0.25">
      <c r="A24256" s="515">
        <v>45835</v>
      </c>
      <c r="C24256" s="52">
        <v>161137.94115177199</v>
      </c>
      <c r="D24256" s="56">
        <v>7.9722482401295786E-2</v>
      </c>
      <c r="E24256" s="224" t="s">
        <v>2</v>
      </c>
      <c r="G24256" s="52"/>
      <c r="H24256" s="56"/>
      <c r="I24256" s="224"/>
    </row>
    <row r="24257" spans="1:9" x14ac:dyDescent="0.25">
      <c r="A24257" s="515">
        <v>61928</v>
      </c>
      <c r="C24257" s="52">
        <v>113327.925729355</v>
      </c>
      <c r="D24257" s="56">
        <v>-1.2661119823949218E-2</v>
      </c>
      <c r="E24257" s="224" t="s">
        <v>2</v>
      </c>
      <c r="G24257" s="52"/>
      <c r="H24257" s="56"/>
      <c r="I24257" s="224"/>
    </row>
    <row r="24258" spans="1:9" x14ac:dyDescent="0.25">
      <c r="A24258" s="515">
        <v>23887</v>
      </c>
      <c r="C24258" s="52">
        <v>323029.53548387002</v>
      </c>
      <c r="D24258" s="56">
        <v>0</v>
      </c>
      <c r="E24258" s="224" t="s">
        <v>2</v>
      </c>
      <c r="G24258" s="52"/>
      <c r="H24258" s="56"/>
      <c r="I24258" s="224"/>
    </row>
    <row r="24259" spans="1:9" x14ac:dyDescent="0.25">
      <c r="A24259" s="515">
        <v>83872</v>
      </c>
      <c r="B24259" s="515" t="s">
        <v>857</v>
      </c>
      <c r="C24259" s="52">
        <v>511920.163964912</v>
      </c>
      <c r="D24259" s="56">
        <v>0</v>
      </c>
      <c r="E24259" s="224" t="s">
        <v>2</v>
      </c>
      <c r="G24259" s="52"/>
      <c r="H24259" s="56"/>
      <c r="I24259" s="224"/>
    </row>
    <row r="24260" spans="1:9" x14ac:dyDescent="0.25">
      <c r="A24260" s="515">
        <v>59471</v>
      </c>
      <c r="C24260" s="52">
        <v>269501.33809887001</v>
      </c>
      <c r="D24260" s="56">
        <v>0.29179896143792045</v>
      </c>
      <c r="E24260" s="224" t="s">
        <v>2</v>
      </c>
      <c r="G24260" s="52"/>
      <c r="H24260" s="56"/>
      <c r="I24260" s="224"/>
    </row>
    <row r="24261" spans="1:9" x14ac:dyDescent="0.25">
      <c r="A24261" s="515">
        <v>21607</v>
      </c>
      <c r="B24261" s="515" t="s">
        <v>582</v>
      </c>
      <c r="C24261" s="52">
        <v>277817.26164303097</v>
      </c>
      <c r="D24261" s="56">
        <v>0</v>
      </c>
      <c r="E24261" s="224" t="s">
        <v>2</v>
      </c>
      <c r="G24261" s="52"/>
      <c r="H24261" s="56"/>
      <c r="I24261" s="224"/>
    </row>
    <row r="24262" spans="1:9" x14ac:dyDescent="0.25">
      <c r="A24262" s="515">
        <v>82836</v>
      </c>
      <c r="B24262" s="515" t="s">
        <v>648</v>
      </c>
      <c r="C24262" s="52">
        <v>402409.71223327302</v>
      </c>
      <c r="D24262" s="56">
        <v>6.6316259057736762E-2</v>
      </c>
      <c r="E24262" s="224" t="s">
        <v>2</v>
      </c>
      <c r="G24262" s="52"/>
      <c r="H24262" s="56"/>
      <c r="I24262" s="224"/>
    </row>
    <row r="24263" spans="1:9" x14ac:dyDescent="0.25">
      <c r="A24263" s="515">
        <v>56683</v>
      </c>
      <c r="B24263" s="515" t="s">
        <v>690</v>
      </c>
      <c r="C24263" s="52">
        <v>227342.894196451</v>
      </c>
      <c r="D24263" s="56">
        <v>7.2913901693008931E-2</v>
      </c>
      <c r="E24263" s="224" t="s">
        <v>2</v>
      </c>
      <c r="G24263" s="52"/>
      <c r="H24263" s="56"/>
      <c r="I24263" s="224"/>
    </row>
    <row r="24264" spans="1:9" x14ac:dyDescent="0.25">
      <c r="A24264" s="515">
        <v>26437</v>
      </c>
      <c r="C24264" s="52">
        <v>56768.886792452802</v>
      </c>
      <c r="D24264" s="56">
        <v>0</v>
      </c>
      <c r="E24264" s="224" t="s">
        <v>2</v>
      </c>
      <c r="G24264" s="52"/>
      <c r="H24264" s="56"/>
      <c r="I24264" s="224"/>
    </row>
    <row r="24265" spans="1:9" x14ac:dyDescent="0.25">
      <c r="A24265" s="515">
        <v>4576</v>
      </c>
      <c r="C24265" s="52">
        <v>606309.89344047406</v>
      </c>
      <c r="D24265" s="56">
        <v>0.11592976308804592</v>
      </c>
      <c r="E24265" s="224" t="s">
        <v>2</v>
      </c>
      <c r="G24265" s="52"/>
      <c r="H24265" s="56"/>
      <c r="I24265" s="224"/>
    </row>
    <row r="24266" spans="1:9" x14ac:dyDescent="0.25">
      <c r="A24266" s="515">
        <v>52737</v>
      </c>
      <c r="C24266" s="52">
        <v>93413.824343514803</v>
      </c>
      <c r="D24266" s="56">
        <v>0.13520805287865328</v>
      </c>
      <c r="E24266" s="224" t="s">
        <v>2</v>
      </c>
      <c r="G24266" s="52"/>
      <c r="H24266" s="56"/>
      <c r="I24266" s="224"/>
    </row>
    <row r="24267" spans="1:9" x14ac:dyDescent="0.25">
      <c r="A24267" s="515">
        <v>41804</v>
      </c>
      <c r="C24267" s="52">
        <v>62613.585291722397</v>
      </c>
      <c r="D24267" s="56">
        <v>7.3212254548234726E-2</v>
      </c>
      <c r="E24267" s="224" t="s">
        <v>2</v>
      </c>
      <c r="G24267" s="52"/>
      <c r="H24267" s="56"/>
      <c r="I24267" s="224"/>
    </row>
    <row r="24268" spans="1:9" x14ac:dyDescent="0.25">
      <c r="A24268" s="515">
        <v>67353</v>
      </c>
      <c r="C24268" s="52">
        <v>75468.468266767901</v>
      </c>
      <c r="D24268" s="56">
        <v>0.13863207032077657</v>
      </c>
      <c r="E24268" s="224" t="s">
        <v>2</v>
      </c>
      <c r="G24268" s="52"/>
      <c r="H24268" s="56"/>
      <c r="I24268" s="224"/>
    </row>
    <row r="24269" spans="1:9" x14ac:dyDescent="0.25">
      <c r="A24269" s="515">
        <v>12725</v>
      </c>
      <c r="B24269" s="515" t="s">
        <v>307</v>
      </c>
      <c r="C24269" s="52">
        <v>319243.63512975402</v>
      </c>
      <c r="D24269" s="56">
        <v>0.12130973429325492</v>
      </c>
      <c r="E24269" s="224" t="s">
        <v>2</v>
      </c>
      <c r="G24269" s="52"/>
      <c r="H24269" s="56"/>
      <c r="I24269" s="224"/>
    </row>
    <row r="24270" spans="1:9" x14ac:dyDescent="0.25">
      <c r="A24270" s="515">
        <v>42762</v>
      </c>
      <c r="C24270" s="52">
        <v>143134.44566043199</v>
      </c>
      <c r="D24270" s="56">
        <v>0.17276952646043855</v>
      </c>
      <c r="E24270" s="224" t="s">
        <v>2</v>
      </c>
      <c r="G24270" s="52"/>
      <c r="H24270" s="56"/>
      <c r="I24270" s="224"/>
    </row>
    <row r="24271" spans="1:9" x14ac:dyDescent="0.25">
      <c r="A24271" s="515">
        <v>66449</v>
      </c>
      <c r="B24271" s="515" t="s">
        <v>795</v>
      </c>
      <c r="C24271" s="52">
        <v>164394.86545184199</v>
      </c>
      <c r="D24271" s="56">
        <v>8.6858363057850413E-2</v>
      </c>
      <c r="E24271" s="224" t="s">
        <v>2</v>
      </c>
      <c r="G24271" s="52"/>
      <c r="H24271" s="56"/>
      <c r="I24271" s="224"/>
    </row>
    <row r="24272" spans="1:9" x14ac:dyDescent="0.25">
      <c r="A24272" s="515">
        <v>64165</v>
      </c>
      <c r="B24272" s="515" t="s">
        <v>455</v>
      </c>
      <c r="C24272" s="52">
        <v>394035.05114134197</v>
      </c>
      <c r="D24272" s="56">
        <v>6.1524464175270188E-2</v>
      </c>
      <c r="E24272" s="224" t="s">
        <v>2</v>
      </c>
      <c r="G24272" s="52"/>
      <c r="H24272" s="56"/>
      <c r="I24272" s="224"/>
    </row>
    <row r="24273" spans="1:9" x14ac:dyDescent="0.25">
      <c r="A24273" s="515">
        <v>73938</v>
      </c>
      <c r="C24273" s="52">
        <v>98250.543620072407</v>
      </c>
      <c r="D24273" s="56">
        <v>0.17885477419166754</v>
      </c>
      <c r="E24273" s="224" t="s">
        <v>2</v>
      </c>
      <c r="G24273" s="52"/>
      <c r="H24273" s="56"/>
      <c r="I24273" s="224"/>
    </row>
    <row r="24274" spans="1:9" x14ac:dyDescent="0.25">
      <c r="A24274" s="515">
        <v>40874</v>
      </c>
      <c r="C24274" s="52">
        <v>55728.479103945203</v>
      </c>
      <c r="D24274" s="56">
        <v>0.30288251324806736</v>
      </c>
      <c r="E24274" s="224" t="s">
        <v>2</v>
      </c>
      <c r="G24274" s="52"/>
      <c r="H24274" s="56"/>
      <c r="I24274" s="224"/>
    </row>
    <row r="24275" spans="1:9" x14ac:dyDescent="0.25">
      <c r="A24275" s="515">
        <v>58011</v>
      </c>
      <c r="B24275" s="515" t="s">
        <v>928</v>
      </c>
      <c r="C24275" s="52">
        <v>181094.396686327</v>
      </c>
      <c r="D24275" s="56">
        <v>0</v>
      </c>
      <c r="E24275" s="224" t="s">
        <v>2</v>
      </c>
      <c r="G24275" s="52"/>
      <c r="H24275" s="56"/>
      <c r="I24275" s="224"/>
    </row>
    <row r="24276" spans="1:9" x14ac:dyDescent="0.25">
      <c r="A24276" s="515">
        <v>50612</v>
      </c>
      <c r="C24276" s="52">
        <v>289923.58905733097</v>
      </c>
      <c r="D24276" s="56">
        <v>0.12411192488438032</v>
      </c>
      <c r="E24276" s="224" t="s">
        <v>2</v>
      </c>
      <c r="G24276" s="52"/>
      <c r="H24276" s="56"/>
      <c r="I24276" s="224"/>
    </row>
    <row r="24277" spans="1:9" x14ac:dyDescent="0.25">
      <c r="A24277" s="515">
        <v>51063</v>
      </c>
      <c r="C24277" s="52">
        <v>128883.214965779</v>
      </c>
      <c r="D24277" s="56">
        <v>7.3483128605781683E-2</v>
      </c>
      <c r="E24277" s="224" t="s">
        <v>2</v>
      </c>
      <c r="G24277" s="52"/>
      <c r="H24277" s="56"/>
      <c r="I24277" s="224"/>
    </row>
    <row r="24278" spans="1:9" x14ac:dyDescent="0.25">
      <c r="A24278" s="515">
        <v>50264</v>
      </c>
      <c r="C24278" s="52">
        <v>148628.30162966499</v>
      </c>
      <c r="D24278" s="56">
        <v>0</v>
      </c>
      <c r="E24278" s="224" t="s">
        <v>2</v>
      </c>
      <c r="G24278" s="52"/>
      <c r="H24278" s="56"/>
      <c r="I24278" s="224"/>
    </row>
    <row r="24279" spans="1:9" x14ac:dyDescent="0.25">
      <c r="A24279" s="515">
        <v>68621</v>
      </c>
      <c r="B24279" s="515" t="s">
        <v>334</v>
      </c>
      <c r="C24279" s="52">
        <v>254537.846295116</v>
      </c>
      <c r="D24279" s="56">
        <v>0.12083063205502817</v>
      </c>
      <c r="E24279" s="224" t="s">
        <v>2</v>
      </c>
      <c r="G24279" s="52"/>
      <c r="H24279" s="56"/>
      <c r="I24279" s="224"/>
    </row>
    <row r="24280" spans="1:9" x14ac:dyDescent="0.25">
      <c r="A24280" s="515">
        <v>93452</v>
      </c>
      <c r="B24280" s="515" t="s">
        <v>959</v>
      </c>
      <c r="C24280" s="52">
        <v>571952.30420531996</v>
      </c>
      <c r="D24280" s="56">
        <v>2.8700050965872949E-2</v>
      </c>
      <c r="E24280" s="224" t="s">
        <v>2</v>
      </c>
      <c r="G24280" s="52"/>
      <c r="H24280" s="56"/>
      <c r="I24280" s="224"/>
    </row>
    <row r="24281" spans="1:9" x14ac:dyDescent="0.25">
      <c r="A24281" s="515">
        <v>66711</v>
      </c>
      <c r="B24281" s="515" t="s">
        <v>669</v>
      </c>
      <c r="C24281" s="52">
        <v>73403.446882191798</v>
      </c>
      <c r="D24281" s="56">
        <v>4.3174650181209877E-3</v>
      </c>
      <c r="E24281" s="224" t="s">
        <v>2</v>
      </c>
      <c r="G24281" s="52"/>
      <c r="H24281" s="56"/>
      <c r="I24281" s="224"/>
    </row>
    <row r="24282" spans="1:9" x14ac:dyDescent="0.25">
      <c r="A24282" s="515">
        <v>57452</v>
      </c>
      <c r="C24282" s="52">
        <v>133888.137254901</v>
      </c>
      <c r="D24282" s="56">
        <v>0</v>
      </c>
      <c r="E24282" s="224" t="s">
        <v>2</v>
      </c>
      <c r="G24282" s="52"/>
      <c r="H24282" s="56"/>
      <c r="I24282" s="224"/>
    </row>
    <row r="24283" spans="1:9" x14ac:dyDescent="0.25">
      <c r="A24283" s="515">
        <v>51014</v>
      </c>
      <c r="C24283" s="52">
        <v>163020.763248356</v>
      </c>
      <c r="D24283" s="56">
        <v>0</v>
      </c>
      <c r="E24283" s="224" t="s">
        <v>2</v>
      </c>
      <c r="G24283" s="52"/>
      <c r="H24283" s="56"/>
      <c r="I24283" s="224"/>
    </row>
    <row r="24284" spans="1:9" x14ac:dyDescent="0.25">
      <c r="A24284" s="515">
        <v>18462</v>
      </c>
      <c r="C24284" s="52">
        <v>235974.73853630599</v>
      </c>
      <c r="D24284" s="56">
        <v>6.6886716323947298E-2</v>
      </c>
      <c r="E24284" s="224" t="s">
        <v>2</v>
      </c>
      <c r="G24284" s="52"/>
      <c r="H24284" s="56"/>
      <c r="I24284" s="224"/>
    </row>
    <row r="24285" spans="1:9" x14ac:dyDescent="0.25">
      <c r="A24285" s="515">
        <v>49406</v>
      </c>
      <c r="B24285" s="515" t="s">
        <v>856</v>
      </c>
      <c r="C24285" s="52">
        <v>484995.30914487003</v>
      </c>
      <c r="D24285" s="56">
        <v>7.2857344009903346E-2</v>
      </c>
      <c r="E24285" s="224" t="s">
        <v>2</v>
      </c>
      <c r="G24285" s="52"/>
      <c r="H24285" s="56"/>
      <c r="I24285" s="224"/>
    </row>
    <row r="24286" spans="1:9" x14ac:dyDescent="0.25">
      <c r="A24286" s="515">
        <v>11939</v>
      </c>
      <c r="B24286" s="515" t="s">
        <v>324</v>
      </c>
      <c r="C24286" s="52">
        <v>928076.28448858904</v>
      </c>
      <c r="D24286" s="56">
        <v>0.10042932390917617</v>
      </c>
      <c r="E24286" s="224" t="s">
        <v>2</v>
      </c>
      <c r="G24286" s="52"/>
      <c r="H24286" s="56"/>
      <c r="I24286" s="224"/>
    </row>
    <row r="24287" spans="1:9" x14ac:dyDescent="0.25">
      <c r="A24287" s="515">
        <v>1012</v>
      </c>
      <c r="B24287" s="515" t="s">
        <v>575</v>
      </c>
      <c r="C24287" s="52">
        <v>343683.35567613097</v>
      </c>
      <c r="D24287" s="56">
        <v>7.7846092798265099E-2</v>
      </c>
      <c r="E24287" s="224" t="s">
        <v>2</v>
      </c>
      <c r="G24287" s="52"/>
      <c r="H24287" s="56"/>
      <c r="I24287" s="224"/>
    </row>
    <row r="24288" spans="1:9" x14ac:dyDescent="0.25">
      <c r="A24288" s="515">
        <v>4108</v>
      </c>
      <c r="B24288" s="515" t="s">
        <v>570</v>
      </c>
      <c r="C24288" s="52">
        <v>577256.03911431402</v>
      </c>
      <c r="D24288" s="56">
        <v>5.8543355013388206E-2</v>
      </c>
      <c r="E24288" s="224" t="s">
        <v>2</v>
      </c>
      <c r="G24288" s="52"/>
      <c r="H24288" s="56"/>
      <c r="I24288" s="224"/>
    </row>
    <row r="24289" spans="1:9" x14ac:dyDescent="0.25">
      <c r="A24289" s="515">
        <v>56657</v>
      </c>
      <c r="B24289" s="515" t="s">
        <v>590</v>
      </c>
      <c r="C24289" s="52">
        <v>307948.82886940899</v>
      </c>
      <c r="D24289" s="56">
        <v>0.13486451122221163</v>
      </c>
      <c r="E24289" s="224" t="s">
        <v>2</v>
      </c>
      <c r="G24289" s="52"/>
      <c r="H24289" s="56"/>
      <c r="I24289" s="224"/>
    </row>
    <row r="24290" spans="1:9" x14ac:dyDescent="0.25">
      <c r="A24290" s="515">
        <v>67352</v>
      </c>
      <c r="C24290" s="52">
        <v>92099.437609596804</v>
      </c>
      <c r="D24290" s="56">
        <v>0.10205137011431657</v>
      </c>
      <c r="E24290" s="224" t="s">
        <v>2</v>
      </c>
      <c r="G24290" s="52"/>
      <c r="H24290" s="56"/>
      <c r="I24290" s="224"/>
    </row>
    <row r="24291" spans="1:9" x14ac:dyDescent="0.25">
      <c r="A24291" s="515">
        <v>95552</v>
      </c>
      <c r="C24291" s="52">
        <v>308816.782034959</v>
      </c>
      <c r="D24291" s="56">
        <v>-9.7035387750547472E-2</v>
      </c>
      <c r="E24291" s="224" t="s">
        <v>2</v>
      </c>
      <c r="G24291" s="52"/>
      <c r="H24291" s="56"/>
      <c r="I24291" s="224"/>
    </row>
    <row r="24292" spans="1:9" x14ac:dyDescent="0.25">
      <c r="A24292" s="515">
        <v>26282</v>
      </c>
      <c r="B24292" s="515" t="s">
        <v>586</v>
      </c>
      <c r="C24292" s="52">
        <v>91612.051282051194</v>
      </c>
      <c r="D24292" s="56">
        <v>0</v>
      </c>
      <c r="E24292" s="224" t="s">
        <v>2</v>
      </c>
      <c r="G24292" s="52"/>
      <c r="H24292" s="56"/>
      <c r="I24292" s="224"/>
    </row>
    <row r="24293" spans="1:9" x14ac:dyDescent="0.25">
      <c r="A24293" s="515">
        <v>5758</v>
      </c>
      <c r="B24293" s="515" t="s">
        <v>791</v>
      </c>
      <c r="C24293" s="52">
        <v>326710.23170104797</v>
      </c>
      <c r="D24293" s="56">
        <v>5.394054107763583E-2</v>
      </c>
      <c r="E24293" s="224" t="s">
        <v>2</v>
      </c>
      <c r="G24293" s="52"/>
      <c r="H24293" s="56"/>
      <c r="I24293" s="224"/>
    </row>
    <row r="24294" spans="1:9" x14ac:dyDescent="0.25">
      <c r="A24294" s="515">
        <v>49725</v>
      </c>
      <c r="B24294" s="515" t="s">
        <v>740</v>
      </c>
      <c r="C24294" s="52">
        <v>161700.203073115</v>
      </c>
      <c r="D24294" s="56">
        <v>0.12206772349423721</v>
      </c>
      <c r="E24294" s="224" t="s">
        <v>2</v>
      </c>
      <c r="G24294" s="52"/>
      <c r="H24294" s="56"/>
      <c r="I24294" s="224"/>
    </row>
    <row r="24295" spans="1:9" x14ac:dyDescent="0.25">
      <c r="A24295" s="515">
        <v>36773</v>
      </c>
      <c r="B24295" s="515" t="s">
        <v>483</v>
      </c>
      <c r="C24295" s="52">
        <v>114943.09375</v>
      </c>
      <c r="D24295" s="56">
        <v>0</v>
      </c>
      <c r="E24295" s="224" t="s">
        <v>2</v>
      </c>
      <c r="G24295" s="52"/>
      <c r="H24295" s="56"/>
      <c r="I24295" s="224"/>
    </row>
    <row r="24296" spans="1:9" x14ac:dyDescent="0.25">
      <c r="A24296" s="515">
        <v>58653</v>
      </c>
      <c r="C24296" s="52">
        <v>147449.843431824</v>
      </c>
      <c r="D24296" s="56">
        <v>5.0254716449984527E-2</v>
      </c>
      <c r="E24296" s="224" t="s">
        <v>2</v>
      </c>
      <c r="G24296" s="52"/>
      <c r="H24296" s="56"/>
      <c r="I24296" s="224"/>
    </row>
    <row r="24297" spans="1:9" x14ac:dyDescent="0.25">
      <c r="A24297" s="515">
        <v>67838</v>
      </c>
      <c r="B24297" s="515" t="s">
        <v>855</v>
      </c>
      <c r="C24297" s="52">
        <v>143304.24230072901</v>
      </c>
      <c r="D24297" s="56">
        <v>-2.6548744457519135E-4</v>
      </c>
      <c r="E24297" s="224" t="s">
        <v>2</v>
      </c>
      <c r="G24297" s="52"/>
      <c r="H24297" s="56"/>
      <c r="I24297" s="224"/>
    </row>
    <row r="24298" spans="1:9" x14ac:dyDescent="0.25">
      <c r="A24298" s="515">
        <v>4626</v>
      </c>
      <c r="C24298" s="52">
        <v>207535.929444304</v>
      </c>
      <c r="D24298" s="56">
        <v>4.5058825217368689E-2</v>
      </c>
      <c r="E24298" s="224" t="s">
        <v>2</v>
      </c>
      <c r="G24298" s="52"/>
      <c r="H24298" s="56"/>
      <c r="I24298" s="224"/>
    </row>
    <row r="24299" spans="1:9" x14ac:dyDescent="0.25">
      <c r="A24299" s="515">
        <v>83423</v>
      </c>
      <c r="C24299" s="52">
        <v>235657.65651537199</v>
      </c>
      <c r="D24299" s="56">
        <v>8.3196255203140751E-2</v>
      </c>
      <c r="E24299" s="224" t="s">
        <v>2</v>
      </c>
      <c r="G24299" s="52"/>
      <c r="H24299" s="56"/>
      <c r="I24299" s="224"/>
    </row>
    <row r="24300" spans="1:9" x14ac:dyDescent="0.25">
      <c r="A24300" s="515">
        <v>74845</v>
      </c>
      <c r="C24300" s="52">
        <v>158629.728147491</v>
      </c>
      <c r="D24300" s="56">
        <v>0.12175934677934235</v>
      </c>
      <c r="E24300" s="224" t="s">
        <v>2</v>
      </c>
      <c r="G24300" s="52"/>
      <c r="H24300" s="56"/>
      <c r="I24300" s="224"/>
    </row>
    <row r="24301" spans="1:9" x14ac:dyDescent="0.25">
      <c r="A24301" s="515">
        <v>25876</v>
      </c>
      <c r="C24301" s="52">
        <v>93680.867997300898</v>
      </c>
      <c r="D24301" s="56">
        <v>-1.2832374149605589E-2</v>
      </c>
      <c r="E24301" s="224" t="s">
        <v>2</v>
      </c>
      <c r="G24301" s="52"/>
      <c r="H24301" s="56"/>
      <c r="I24301" s="224"/>
    </row>
    <row r="24302" spans="1:9" x14ac:dyDescent="0.25">
      <c r="A24302" s="515">
        <v>56590</v>
      </c>
      <c r="C24302" s="52">
        <v>181187.581695031</v>
      </c>
      <c r="D24302" s="56">
        <v>0.102654086206383</v>
      </c>
      <c r="E24302" s="224" t="s">
        <v>2</v>
      </c>
      <c r="G24302" s="52"/>
      <c r="H24302" s="56"/>
      <c r="I24302" s="224"/>
    </row>
    <row r="24303" spans="1:9" x14ac:dyDescent="0.25">
      <c r="A24303" s="515">
        <v>54463</v>
      </c>
      <c r="C24303" s="52">
        <v>279617.46239317697</v>
      </c>
      <c r="D24303" s="56">
        <v>6.5847445784701281E-2</v>
      </c>
      <c r="E24303" s="224" t="s">
        <v>2</v>
      </c>
      <c r="G24303" s="52"/>
      <c r="H24303" s="56"/>
      <c r="I24303" s="224"/>
    </row>
    <row r="24304" spans="1:9" x14ac:dyDescent="0.25">
      <c r="A24304" s="515">
        <v>56127</v>
      </c>
      <c r="B24304" s="515" t="s">
        <v>608</v>
      </c>
      <c r="C24304" s="52">
        <v>231816.82148260801</v>
      </c>
      <c r="D24304" s="56">
        <v>0.24313606289206183</v>
      </c>
      <c r="E24304" s="224" t="s">
        <v>2</v>
      </c>
      <c r="G24304" s="52"/>
      <c r="H24304" s="56"/>
      <c r="I24304" s="224"/>
    </row>
    <row r="24305" spans="1:9" x14ac:dyDescent="0.25">
      <c r="A24305" s="515">
        <v>67118</v>
      </c>
      <c r="C24305" s="52">
        <v>138388.79080243199</v>
      </c>
      <c r="D24305" s="56">
        <v>0.12072804399798201</v>
      </c>
      <c r="E24305" s="224" t="s">
        <v>2</v>
      </c>
      <c r="G24305" s="52"/>
      <c r="H24305" s="56"/>
      <c r="I24305" s="224"/>
    </row>
    <row r="24306" spans="1:9" x14ac:dyDescent="0.25">
      <c r="A24306" s="515">
        <v>25111</v>
      </c>
      <c r="B24306" s="515" t="s">
        <v>322</v>
      </c>
      <c r="C24306" s="52">
        <v>77210.379559498906</v>
      </c>
      <c r="D24306" s="56">
        <v>0.12190316125062621</v>
      </c>
      <c r="E24306" s="224" t="s">
        <v>2</v>
      </c>
      <c r="G24306" s="52"/>
      <c r="H24306" s="56"/>
      <c r="I24306" s="224"/>
    </row>
    <row r="24307" spans="1:9" x14ac:dyDescent="0.25">
      <c r="A24307" s="515">
        <v>56517</v>
      </c>
      <c r="B24307" s="515" t="s">
        <v>624</v>
      </c>
      <c r="C24307" s="52">
        <v>183441.86950761901</v>
      </c>
      <c r="D24307" s="56">
        <v>4.7552879452849424E-2</v>
      </c>
      <c r="E24307" s="224" t="s">
        <v>2</v>
      </c>
      <c r="G24307" s="52"/>
      <c r="H24307" s="56"/>
      <c r="I24307" s="224"/>
    </row>
    <row r="24308" spans="1:9" x14ac:dyDescent="0.25">
      <c r="A24308" s="515">
        <v>62425</v>
      </c>
      <c r="C24308" s="52">
        <v>108200.534090909</v>
      </c>
      <c r="D24308" s="56">
        <v>0</v>
      </c>
      <c r="E24308" s="224" t="s">
        <v>2</v>
      </c>
      <c r="G24308" s="52"/>
      <c r="H24308" s="56"/>
      <c r="I24308" s="224"/>
    </row>
    <row r="24309" spans="1:9" x14ac:dyDescent="0.25">
      <c r="A24309" s="515">
        <v>26217</v>
      </c>
      <c r="C24309" s="52">
        <v>66158.926215775704</v>
      </c>
      <c r="D24309" s="56">
        <v>0.15753125432333873</v>
      </c>
      <c r="E24309" s="224" t="s">
        <v>2</v>
      </c>
      <c r="G24309" s="52"/>
      <c r="H24309" s="56"/>
      <c r="I24309" s="224"/>
    </row>
    <row r="24310" spans="1:9" x14ac:dyDescent="0.25">
      <c r="A24310" s="515">
        <v>67142</v>
      </c>
      <c r="C24310" s="52">
        <v>150352.90677463001</v>
      </c>
      <c r="D24310" s="56">
        <v>0.18946560063167958</v>
      </c>
      <c r="E24310" s="224" t="s">
        <v>2</v>
      </c>
      <c r="G24310" s="52"/>
      <c r="H24310" s="56"/>
      <c r="I24310" s="224"/>
    </row>
    <row r="24311" spans="1:9" x14ac:dyDescent="0.25">
      <c r="A24311" s="515">
        <v>66035</v>
      </c>
      <c r="B24311" s="515" t="s">
        <v>371</v>
      </c>
      <c r="C24311" s="52">
        <v>118073.27202086301</v>
      </c>
      <c r="D24311" s="56">
        <v>4.2554457726472948E-2</v>
      </c>
      <c r="E24311" s="224" t="s">
        <v>2</v>
      </c>
      <c r="G24311" s="52"/>
      <c r="H24311" s="56"/>
      <c r="I24311" s="224"/>
    </row>
    <row r="24312" spans="1:9" x14ac:dyDescent="0.25">
      <c r="A24312" s="515">
        <v>51033</v>
      </c>
      <c r="B24312" s="515" t="s">
        <v>723</v>
      </c>
      <c r="C24312" s="52">
        <v>159610.308298547</v>
      </c>
      <c r="D24312" s="56">
        <v>0.1679466090808894</v>
      </c>
      <c r="E24312" s="224" t="s">
        <v>2</v>
      </c>
      <c r="G24312" s="52"/>
      <c r="H24312" s="56"/>
      <c r="I24312" s="224"/>
    </row>
    <row r="24313" spans="1:9" x14ac:dyDescent="0.25">
      <c r="A24313" s="515">
        <v>56245</v>
      </c>
      <c r="C24313" s="52">
        <v>110241.65804638399</v>
      </c>
      <c r="D24313" s="56">
        <v>-2.5314510013642731E-2</v>
      </c>
      <c r="E24313" s="224" t="s">
        <v>2</v>
      </c>
      <c r="G24313" s="52"/>
      <c r="H24313" s="56"/>
      <c r="I24313" s="224"/>
    </row>
    <row r="24314" spans="1:9" x14ac:dyDescent="0.25">
      <c r="A24314" s="515">
        <v>69029</v>
      </c>
      <c r="B24314" s="515" t="s">
        <v>760</v>
      </c>
      <c r="C24314" s="52">
        <v>158068.806353238</v>
      </c>
      <c r="D24314" s="56">
        <v>-2.576663816735127E-2</v>
      </c>
      <c r="E24314" s="224" t="s">
        <v>2</v>
      </c>
      <c r="G24314" s="52"/>
      <c r="H24314" s="56"/>
      <c r="I24314" s="224"/>
    </row>
    <row r="24315" spans="1:9" x14ac:dyDescent="0.25">
      <c r="A24315" s="515">
        <v>41831</v>
      </c>
      <c r="C24315" s="52">
        <v>119177.714564077</v>
      </c>
      <c r="D24315" s="56">
        <v>0.16225464933790393</v>
      </c>
      <c r="E24315" s="224" t="s">
        <v>2</v>
      </c>
      <c r="G24315" s="52"/>
      <c r="H24315" s="56"/>
      <c r="I24315" s="224"/>
    </row>
    <row r="24316" spans="1:9" x14ac:dyDescent="0.25">
      <c r="A24316" s="515">
        <v>15324</v>
      </c>
      <c r="B24316" s="515" t="s">
        <v>297</v>
      </c>
      <c r="C24316" s="52">
        <v>65244.2201653023</v>
      </c>
      <c r="D24316" s="56">
        <v>0.2863198611543592</v>
      </c>
      <c r="E24316" s="224" t="s">
        <v>2</v>
      </c>
      <c r="G24316" s="52"/>
      <c r="H24316" s="56"/>
      <c r="I24316" s="224"/>
    </row>
    <row r="24317" spans="1:9" x14ac:dyDescent="0.25">
      <c r="A24317" s="515">
        <v>23845</v>
      </c>
      <c r="C24317" s="52">
        <v>251130.82407407399</v>
      </c>
      <c r="D24317" s="56">
        <v>0</v>
      </c>
      <c r="E24317" s="224" t="s">
        <v>2</v>
      </c>
      <c r="G24317" s="52"/>
      <c r="H24317" s="56"/>
      <c r="I24317" s="224"/>
    </row>
    <row r="24318" spans="1:9" x14ac:dyDescent="0.25">
      <c r="A24318" s="515">
        <v>62356</v>
      </c>
      <c r="C24318" s="52">
        <v>58451.378787878697</v>
      </c>
      <c r="D24318" s="56">
        <v>0</v>
      </c>
      <c r="E24318" s="224" t="s">
        <v>2</v>
      </c>
      <c r="G24318" s="52"/>
      <c r="H24318" s="56"/>
      <c r="I24318" s="224"/>
    </row>
    <row r="24319" spans="1:9" x14ac:dyDescent="0.25">
      <c r="A24319" s="515">
        <v>68665</v>
      </c>
      <c r="C24319" s="52">
        <v>178440.935221188</v>
      </c>
      <c r="D24319" s="56">
        <v>0.13147828861664487</v>
      </c>
      <c r="E24319" s="224" t="s">
        <v>2</v>
      </c>
      <c r="G24319" s="52"/>
      <c r="H24319" s="56"/>
      <c r="I24319" s="224"/>
    </row>
    <row r="24320" spans="1:9" x14ac:dyDescent="0.25">
      <c r="A24320" s="515">
        <v>55738</v>
      </c>
      <c r="B24320" s="515" t="s">
        <v>350</v>
      </c>
      <c r="C24320" s="52">
        <v>169751.04555832199</v>
      </c>
      <c r="D24320" s="56">
        <v>0.13101614167700887</v>
      </c>
      <c r="E24320" s="224" t="s">
        <v>2</v>
      </c>
      <c r="G24320" s="52"/>
      <c r="H24320" s="56"/>
      <c r="I24320" s="224"/>
    </row>
    <row r="24321" spans="1:9" x14ac:dyDescent="0.25">
      <c r="A24321" s="515">
        <v>76363</v>
      </c>
      <c r="C24321" s="52">
        <v>70880.379369806702</v>
      </c>
      <c r="D24321" s="56">
        <v>0</v>
      </c>
      <c r="E24321" s="224" t="s">
        <v>2</v>
      </c>
      <c r="G24321" s="52"/>
      <c r="H24321" s="56"/>
      <c r="I24321" s="224"/>
    </row>
    <row r="24322" spans="1:9" x14ac:dyDescent="0.25">
      <c r="A24322" s="515">
        <v>40870</v>
      </c>
      <c r="C24322" s="52">
        <v>69901.251781332496</v>
      </c>
      <c r="D24322" s="56">
        <v>0.1864998619411444</v>
      </c>
      <c r="E24322" s="224" t="s">
        <v>2</v>
      </c>
      <c r="G24322" s="52"/>
      <c r="H24322" s="56"/>
      <c r="I24322" s="224"/>
    </row>
    <row r="24323" spans="1:9" x14ac:dyDescent="0.25">
      <c r="A24323" s="515">
        <v>50516</v>
      </c>
      <c r="B24323" s="515" t="s">
        <v>670</v>
      </c>
      <c r="C24323" s="52">
        <v>155761.366089524</v>
      </c>
      <c r="D24323" s="56">
        <v>4.6454155568923121E-2</v>
      </c>
      <c r="E24323" s="224" t="s">
        <v>2</v>
      </c>
      <c r="G24323" s="52"/>
      <c r="H24323" s="56"/>
      <c r="I24323" s="224"/>
    </row>
    <row r="24324" spans="1:9" x14ac:dyDescent="0.25">
      <c r="A24324" s="515">
        <v>59241</v>
      </c>
      <c r="C24324" s="52">
        <v>228086.93104225199</v>
      </c>
      <c r="D24324" s="56">
        <v>2.716693749777814E-2</v>
      </c>
      <c r="E24324" s="224" t="s">
        <v>2</v>
      </c>
      <c r="G24324" s="52"/>
      <c r="H24324" s="56"/>
      <c r="I24324" s="224"/>
    </row>
    <row r="24325" spans="1:9" x14ac:dyDescent="0.25">
      <c r="A24325" s="515">
        <v>61931</v>
      </c>
      <c r="B24325" s="515" t="s">
        <v>853</v>
      </c>
      <c r="C24325" s="52">
        <v>107518.800356944</v>
      </c>
      <c r="D24325" s="56">
        <v>6.1519128671865632E-2</v>
      </c>
      <c r="E24325" s="224" t="s">
        <v>2</v>
      </c>
      <c r="G24325" s="52"/>
      <c r="H24325" s="56"/>
      <c r="I24325" s="224"/>
    </row>
    <row r="24326" spans="1:9" x14ac:dyDescent="0.25">
      <c r="A24326" s="515">
        <v>41234</v>
      </c>
      <c r="C24326" s="52">
        <v>88345.561563458701</v>
      </c>
      <c r="D24326" s="56">
        <v>0.21453555096918067</v>
      </c>
      <c r="E24326" s="224" t="s">
        <v>2</v>
      </c>
      <c r="G24326" s="52"/>
      <c r="H24326" s="56"/>
      <c r="I24326" s="224"/>
    </row>
    <row r="24327" spans="1:9" x14ac:dyDescent="0.25">
      <c r="A24327" s="515">
        <v>11959</v>
      </c>
      <c r="B24327" s="515" t="s">
        <v>324</v>
      </c>
      <c r="C24327" s="52">
        <v>2394749.0243971599</v>
      </c>
      <c r="D24327" s="56">
        <v>0.10007278422710515</v>
      </c>
      <c r="E24327" s="224">
        <v>55000</v>
      </c>
      <c r="G24327" s="52"/>
      <c r="H24327" s="56"/>
      <c r="I24327" s="224"/>
    </row>
    <row r="24328" spans="1:9" x14ac:dyDescent="0.25">
      <c r="A24328" s="515">
        <v>41524</v>
      </c>
      <c r="C24328" s="52">
        <v>57437.449494874898</v>
      </c>
      <c r="D24328" s="56">
        <v>0.13519567433381843</v>
      </c>
      <c r="E24328" s="224" t="s">
        <v>2</v>
      </c>
      <c r="G24328" s="52"/>
      <c r="H24328" s="56"/>
      <c r="I24328" s="224"/>
    </row>
    <row r="24329" spans="1:9" x14ac:dyDescent="0.25">
      <c r="A24329" s="515">
        <v>56524</v>
      </c>
      <c r="B24329" s="515" t="s">
        <v>601</v>
      </c>
      <c r="C24329" s="52">
        <v>394882.27010020299</v>
      </c>
      <c r="D24329" s="56">
        <v>0.14332960622922758</v>
      </c>
      <c r="E24329" s="224" t="s">
        <v>2</v>
      </c>
      <c r="G24329" s="52"/>
      <c r="H24329" s="56"/>
      <c r="I24329" s="224"/>
    </row>
    <row r="24330" spans="1:9" x14ac:dyDescent="0.25">
      <c r="A24330" s="515">
        <v>51048</v>
      </c>
      <c r="B24330" s="515" t="s">
        <v>649</v>
      </c>
      <c r="C24330" s="52">
        <v>132541.59471470199</v>
      </c>
      <c r="D24330" s="56">
        <v>0</v>
      </c>
      <c r="E24330" s="224" t="s">
        <v>2</v>
      </c>
      <c r="G24330" s="52"/>
      <c r="H24330" s="56"/>
      <c r="I24330" s="224"/>
    </row>
    <row r="24331" spans="1:9" x14ac:dyDescent="0.25">
      <c r="A24331" s="515">
        <v>81430</v>
      </c>
      <c r="C24331" s="52">
        <v>1075627.21271289</v>
      </c>
      <c r="D24331" s="56">
        <v>5.5350150067933777E-2</v>
      </c>
      <c r="E24331" s="224" t="s">
        <v>2</v>
      </c>
      <c r="G24331" s="52"/>
      <c r="H24331" s="56"/>
      <c r="I24331" s="224"/>
    </row>
    <row r="24332" spans="1:9" x14ac:dyDescent="0.25">
      <c r="A24332" s="515">
        <v>41825</v>
      </c>
      <c r="C24332" s="52">
        <v>48942.404579634996</v>
      </c>
      <c r="D24332" s="56">
        <v>0.11643987837784259</v>
      </c>
      <c r="E24332" s="224" t="s">
        <v>2</v>
      </c>
      <c r="G24332" s="52"/>
      <c r="H24332" s="56"/>
      <c r="I24332" s="224"/>
    </row>
    <row r="24333" spans="1:9" x14ac:dyDescent="0.25">
      <c r="A24333" s="515">
        <v>37151</v>
      </c>
      <c r="B24333" s="515" t="s">
        <v>684</v>
      </c>
      <c r="C24333" s="52">
        <v>256029.389287481</v>
      </c>
      <c r="D24333" s="56">
        <v>0</v>
      </c>
      <c r="E24333" s="224" t="s">
        <v>2</v>
      </c>
      <c r="G24333" s="52"/>
      <c r="H24333" s="56"/>
      <c r="I24333" s="224"/>
    </row>
    <row r="24334" spans="1:9" x14ac:dyDescent="0.25">
      <c r="A24334" s="515">
        <v>95686</v>
      </c>
      <c r="B24334" s="515" t="s">
        <v>852</v>
      </c>
      <c r="C24334" s="52">
        <v>507879.002568934</v>
      </c>
      <c r="D24334" s="56">
        <v>-1.7178367283030117E-2</v>
      </c>
      <c r="E24334" s="224" t="s">
        <v>2</v>
      </c>
      <c r="G24334" s="52"/>
      <c r="H24334" s="56"/>
      <c r="I24334" s="224"/>
    </row>
    <row r="24335" spans="1:9" x14ac:dyDescent="0.25">
      <c r="A24335" s="515">
        <v>54545</v>
      </c>
      <c r="C24335" s="52">
        <v>544295.94954938802</v>
      </c>
      <c r="D24335" s="56">
        <v>7.7201458569181161E-2</v>
      </c>
      <c r="E24335" s="224" t="s">
        <v>2</v>
      </c>
      <c r="G24335" s="52"/>
      <c r="H24335" s="56"/>
      <c r="I24335" s="224"/>
    </row>
    <row r="24336" spans="1:9" x14ac:dyDescent="0.25">
      <c r="A24336" s="515">
        <v>93641</v>
      </c>
      <c r="B24336" s="515" t="s">
        <v>541</v>
      </c>
      <c r="C24336" s="52">
        <v>252524.268904703</v>
      </c>
      <c r="D24336" s="56">
        <v>-2.1613062128558149E-2</v>
      </c>
      <c r="E24336" s="224" t="s">
        <v>2</v>
      </c>
      <c r="G24336" s="52"/>
      <c r="H24336" s="56"/>
      <c r="I24336" s="224"/>
    </row>
    <row r="24337" spans="1:9" x14ac:dyDescent="0.25">
      <c r="A24337" s="515">
        <v>4617</v>
      </c>
      <c r="C24337" s="52">
        <v>397644.765004705</v>
      </c>
      <c r="D24337" s="56">
        <v>9.4695715993221338E-2</v>
      </c>
      <c r="E24337" s="224" t="s">
        <v>2</v>
      </c>
      <c r="G24337" s="52"/>
      <c r="H24337" s="56"/>
      <c r="I24337" s="224"/>
    </row>
    <row r="24338" spans="1:9" x14ac:dyDescent="0.25">
      <c r="A24338" s="515">
        <v>61423</v>
      </c>
      <c r="C24338" s="52">
        <v>118986.069016098</v>
      </c>
      <c r="D24338" s="56">
        <v>0</v>
      </c>
      <c r="E24338" s="224" t="s">
        <v>2</v>
      </c>
      <c r="G24338" s="52"/>
      <c r="H24338" s="56"/>
      <c r="I24338" s="224"/>
    </row>
    <row r="24339" spans="1:9" x14ac:dyDescent="0.25">
      <c r="A24339" s="515">
        <v>4255</v>
      </c>
      <c r="C24339" s="52">
        <v>261726.615405661</v>
      </c>
      <c r="D24339" s="56">
        <v>9.5907948887189315E-2</v>
      </c>
      <c r="E24339" s="224" t="s">
        <v>2</v>
      </c>
      <c r="G24339" s="52"/>
      <c r="H24339" s="56"/>
      <c r="I24339" s="224"/>
    </row>
    <row r="24340" spans="1:9" x14ac:dyDescent="0.25">
      <c r="A24340" s="515">
        <v>61775</v>
      </c>
      <c r="B24340" s="515" t="s">
        <v>678</v>
      </c>
      <c r="C24340" s="52">
        <v>147326.649591547</v>
      </c>
      <c r="D24340" s="56">
        <v>0</v>
      </c>
      <c r="E24340" s="224" t="s">
        <v>2</v>
      </c>
      <c r="G24340" s="52"/>
      <c r="H24340" s="56"/>
      <c r="I24340" s="224"/>
    </row>
    <row r="24341" spans="1:9" x14ac:dyDescent="0.25">
      <c r="A24341" s="515">
        <v>73749</v>
      </c>
      <c r="C24341" s="52">
        <v>62114.194943210197</v>
      </c>
      <c r="D24341" s="56">
        <v>0.13352541219125666</v>
      </c>
      <c r="E24341" s="224" t="s">
        <v>2</v>
      </c>
      <c r="G24341" s="52"/>
      <c r="H24341" s="56"/>
      <c r="I24341" s="224"/>
    </row>
    <row r="24342" spans="1:9" x14ac:dyDescent="0.25">
      <c r="A24342" s="515">
        <v>51230</v>
      </c>
      <c r="C24342" s="52">
        <v>183151.76960956899</v>
      </c>
      <c r="D24342" s="56">
        <v>0</v>
      </c>
      <c r="E24342" s="224" t="s">
        <v>2</v>
      </c>
      <c r="G24342" s="52"/>
      <c r="H24342" s="56"/>
      <c r="I24342" s="224"/>
    </row>
    <row r="24343" spans="1:9" x14ac:dyDescent="0.25">
      <c r="A24343" s="515">
        <v>12836</v>
      </c>
      <c r="B24343" s="515" t="s">
        <v>422</v>
      </c>
      <c r="C24343" s="52">
        <v>421955.17330447998</v>
      </c>
      <c r="D24343" s="56">
        <v>0.11209200584666223</v>
      </c>
      <c r="E24343" s="224" t="s">
        <v>2</v>
      </c>
      <c r="G24343" s="52"/>
      <c r="H24343" s="56"/>
      <c r="I24343" s="224"/>
    </row>
    <row r="24344" spans="1:9" x14ac:dyDescent="0.25">
      <c r="A24344" s="515">
        <v>64661</v>
      </c>
      <c r="C24344" s="52">
        <v>118606.948542365</v>
      </c>
      <c r="D24344" s="56">
        <v>5.3973031005413466E-2</v>
      </c>
      <c r="E24344" s="224" t="s">
        <v>2</v>
      </c>
      <c r="G24344" s="52"/>
      <c r="H24344" s="56"/>
      <c r="I24344" s="224"/>
    </row>
    <row r="24345" spans="1:9" x14ac:dyDescent="0.25">
      <c r="A24345" s="515">
        <v>23416</v>
      </c>
      <c r="C24345" s="52">
        <v>116690.97777777701</v>
      </c>
      <c r="D24345" s="56">
        <v>0</v>
      </c>
      <c r="E24345" s="224" t="s">
        <v>2</v>
      </c>
      <c r="G24345" s="52"/>
      <c r="H24345" s="56"/>
      <c r="I24345" s="224"/>
    </row>
    <row r="24346" spans="1:9" x14ac:dyDescent="0.25">
      <c r="A24346" s="515">
        <v>51631</v>
      </c>
      <c r="C24346" s="52">
        <v>132702.934654596</v>
      </c>
      <c r="D24346" s="56">
        <v>0</v>
      </c>
      <c r="E24346" s="224" t="s">
        <v>2</v>
      </c>
      <c r="G24346" s="52"/>
      <c r="H24346" s="56"/>
      <c r="I24346" s="224"/>
    </row>
    <row r="24347" spans="1:9" x14ac:dyDescent="0.25">
      <c r="A24347" s="515">
        <v>18087</v>
      </c>
      <c r="B24347" s="515" t="s">
        <v>327</v>
      </c>
      <c r="C24347" s="52">
        <v>286736.58469375002</v>
      </c>
      <c r="D24347" s="56">
        <v>8.1426613306771492E-2</v>
      </c>
      <c r="E24347" s="224" t="s">
        <v>2</v>
      </c>
      <c r="G24347" s="52"/>
      <c r="H24347" s="56"/>
      <c r="I24347" s="224"/>
    </row>
    <row r="24348" spans="1:9" x14ac:dyDescent="0.25">
      <c r="A24348" s="515">
        <v>73716</v>
      </c>
      <c r="C24348" s="52">
        <v>145615.80493996199</v>
      </c>
      <c r="D24348" s="56">
        <v>6.6432255176768679E-2</v>
      </c>
      <c r="E24348" s="224" t="s">
        <v>2</v>
      </c>
      <c r="G24348" s="52"/>
      <c r="H24348" s="56"/>
      <c r="I24348" s="224"/>
    </row>
    <row r="24349" spans="1:9" x14ac:dyDescent="0.25">
      <c r="A24349" s="515">
        <v>62028</v>
      </c>
      <c r="B24349" s="515" t="s">
        <v>498</v>
      </c>
      <c r="C24349" s="52">
        <v>145895.18206006099</v>
      </c>
      <c r="D24349" s="56">
        <v>0.10576428781887579</v>
      </c>
      <c r="E24349" s="224" t="s">
        <v>2</v>
      </c>
      <c r="G24349" s="52"/>
      <c r="H24349" s="56"/>
      <c r="I24349" s="224"/>
    </row>
    <row r="24350" spans="1:9" x14ac:dyDescent="0.25">
      <c r="A24350" s="515">
        <v>49745</v>
      </c>
      <c r="C24350" s="52">
        <v>162822.94976866001</v>
      </c>
      <c r="D24350" s="56">
        <v>0.16043655251059671</v>
      </c>
      <c r="E24350" s="224" t="s">
        <v>2</v>
      </c>
      <c r="G24350" s="52"/>
      <c r="H24350" s="56"/>
      <c r="I24350" s="224"/>
    </row>
    <row r="24351" spans="1:9" x14ac:dyDescent="0.25">
      <c r="A24351" s="515">
        <v>80436</v>
      </c>
      <c r="B24351" s="515" t="s">
        <v>401</v>
      </c>
      <c r="C24351" s="52">
        <v>538526.236755113</v>
      </c>
      <c r="D24351" s="56">
        <v>5.6040182549259236E-2</v>
      </c>
      <c r="E24351" s="224" t="s">
        <v>2</v>
      </c>
      <c r="G24351" s="52"/>
      <c r="H24351" s="56"/>
      <c r="I24351" s="224"/>
    </row>
    <row r="24352" spans="1:9" x14ac:dyDescent="0.25">
      <c r="A24352" s="515">
        <v>5150</v>
      </c>
      <c r="B24352" s="515" t="s">
        <v>420</v>
      </c>
      <c r="C24352" s="52">
        <v>194444.295659572</v>
      </c>
      <c r="D24352" s="56">
        <v>7.3371151637731891E-2</v>
      </c>
      <c r="E24352" s="224" t="s">
        <v>2</v>
      </c>
      <c r="G24352" s="52"/>
      <c r="H24352" s="56"/>
      <c r="I24352" s="224"/>
    </row>
    <row r="24353" spans="1:9" x14ac:dyDescent="0.25">
      <c r="A24353" s="515">
        <v>99157</v>
      </c>
      <c r="B24353" s="515" t="s">
        <v>820</v>
      </c>
      <c r="C24353" s="52">
        <v>237934.318083855</v>
      </c>
      <c r="D24353" s="56">
        <v>4.6134474307769978E-2</v>
      </c>
      <c r="E24353" s="224" t="s">
        <v>2</v>
      </c>
      <c r="G24353" s="52"/>
      <c r="H24353" s="56"/>
      <c r="I24353" s="224"/>
    </row>
    <row r="24354" spans="1:9" x14ac:dyDescent="0.25">
      <c r="A24354" s="515">
        <v>59929</v>
      </c>
      <c r="C24354" s="52">
        <v>592656.823056311</v>
      </c>
      <c r="D24354" s="56">
        <v>7.0648485321330556E-2</v>
      </c>
      <c r="E24354" s="224" t="s">
        <v>2</v>
      </c>
      <c r="G24354" s="52"/>
      <c r="H24354" s="56"/>
      <c r="I24354" s="224"/>
    </row>
    <row r="24355" spans="1:9" x14ac:dyDescent="0.25">
      <c r="A24355" s="515">
        <v>26559</v>
      </c>
      <c r="B24355" s="515" t="s">
        <v>302</v>
      </c>
      <c r="C24355" s="52">
        <v>148714.512633784</v>
      </c>
      <c r="D24355" s="56">
        <v>8.1373528302532291E-2</v>
      </c>
      <c r="E24355" s="224" t="s">
        <v>2</v>
      </c>
      <c r="G24355" s="52"/>
      <c r="H24355" s="56"/>
      <c r="I24355" s="224"/>
    </row>
    <row r="24356" spans="1:9" x14ac:dyDescent="0.25">
      <c r="A24356" s="515">
        <v>41601</v>
      </c>
      <c r="C24356" s="52">
        <v>97939.977268211704</v>
      </c>
      <c r="D24356" s="56">
        <v>0.18436618976215524</v>
      </c>
      <c r="E24356" s="224" t="s">
        <v>2</v>
      </c>
      <c r="G24356" s="52"/>
      <c r="H24356" s="56"/>
      <c r="I24356" s="224"/>
    </row>
    <row r="24357" spans="1:9" x14ac:dyDescent="0.25">
      <c r="A24357" s="515">
        <v>92368</v>
      </c>
      <c r="B24357" s="515" t="s">
        <v>599</v>
      </c>
      <c r="C24357" s="52">
        <v>270569.37803840701</v>
      </c>
      <c r="D24357" s="56">
        <v>4.995958760901547E-2</v>
      </c>
      <c r="E24357" s="224" t="s">
        <v>2</v>
      </c>
      <c r="G24357" s="52"/>
      <c r="H24357" s="56"/>
      <c r="I24357" s="224"/>
    </row>
    <row r="24358" spans="1:9" x14ac:dyDescent="0.25">
      <c r="A24358" s="515">
        <v>17221</v>
      </c>
      <c r="B24358" s="515" t="s">
        <v>372</v>
      </c>
      <c r="C24358" s="52">
        <v>186942.632036478</v>
      </c>
      <c r="D24358" s="56">
        <v>0</v>
      </c>
      <c r="E24358" s="224" t="s">
        <v>2</v>
      </c>
      <c r="G24358" s="52"/>
      <c r="H24358" s="56"/>
      <c r="I24358" s="224"/>
    </row>
    <row r="24359" spans="1:9" x14ac:dyDescent="0.25">
      <c r="A24359" s="515">
        <v>66404</v>
      </c>
      <c r="C24359" s="52">
        <v>285179.203700996</v>
      </c>
      <c r="D24359" s="56">
        <v>0.28830198020238024</v>
      </c>
      <c r="E24359" s="224" t="s">
        <v>2</v>
      </c>
      <c r="G24359" s="52"/>
      <c r="H24359" s="56"/>
      <c r="I24359" s="224"/>
    </row>
    <row r="24360" spans="1:9" x14ac:dyDescent="0.25">
      <c r="A24360" s="515">
        <v>62013</v>
      </c>
      <c r="B24360" s="515" t="s">
        <v>498</v>
      </c>
      <c r="C24360" s="52">
        <v>124224.824879181</v>
      </c>
      <c r="D24360" s="56">
        <v>5.9753458068953942E-2</v>
      </c>
      <c r="E24360" s="224" t="s">
        <v>2</v>
      </c>
      <c r="G24360" s="52"/>
      <c r="H24360" s="56"/>
      <c r="I24360" s="224"/>
    </row>
    <row r="24361" spans="1:9" x14ac:dyDescent="0.25">
      <c r="A24361" s="515">
        <v>20129</v>
      </c>
      <c r="B24361" s="515" t="s">
        <v>321</v>
      </c>
      <c r="C24361" s="52">
        <v>1005223.19885392</v>
      </c>
      <c r="D24361" s="56">
        <v>8.3214135373959622E-2</v>
      </c>
      <c r="E24361" s="224" t="s">
        <v>2</v>
      </c>
      <c r="G24361" s="52"/>
      <c r="H24361" s="56"/>
      <c r="I24361" s="224"/>
    </row>
    <row r="24362" spans="1:9" x14ac:dyDescent="0.25">
      <c r="A24362" s="515">
        <v>52644</v>
      </c>
      <c r="C24362" s="52">
        <v>163795.775208673</v>
      </c>
      <c r="D24362" s="56">
        <v>0</v>
      </c>
      <c r="E24362" s="224" t="s">
        <v>2</v>
      </c>
      <c r="G24362" s="52"/>
      <c r="H24362" s="56"/>
      <c r="I24362" s="224"/>
    </row>
    <row r="24363" spans="1:9" x14ac:dyDescent="0.25">
      <c r="A24363" s="515">
        <v>65690</v>
      </c>
      <c r="C24363" s="52">
        <v>175841.59576089401</v>
      </c>
      <c r="D24363" s="56">
        <v>0.19746762005699234</v>
      </c>
      <c r="E24363" s="224" t="s">
        <v>2</v>
      </c>
      <c r="G24363" s="52"/>
      <c r="H24363" s="56"/>
      <c r="I24363" s="224"/>
    </row>
    <row r="24364" spans="1:9" x14ac:dyDescent="0.25">
      <c r="A24364" s="515">
        <v>69166</v>
      </c>
      <c r="C24364" s="52">
        <v>138545.07462686501</v>
      </c>
      <c r="D24364" s="56">
        <v>0</v>
      </c>
      <c r="E24364" s="224" t="s">
        <v>2</v>
      </c>
      <c r="G24364" s="52"/>
      <c r="H24364" s="56"/>
      <c r="I24364" s="224"/>
    </row>
    <row r="24365" spans="1:9" x14ac:dyDescent="0.25">
      <c r="A24365" s="515">
        <v>66773</v>
      </c>
      <c r="C24365" s="52">
        <v>68592.305441441902</v>
      </c>
      <c r="D24365" s="56">
        <v>8.4616559839162345E-2</v>
      </c>
      <c r="E24365" s="224" t="s">
        <v>2</v>
      </c>
      <c r="G24365" s="52"/>
      <c r="H24365" s="56"/>
      <c r="I24365" s="224"/>
    </row>
    <row r="24366" spans="1:9" x14ac:dyDescent="0.25">
      <c r="A24366" s="515">
        <v>68972</v>
      </c>
      <c r="C24366" s="52">
        <v>102153.50885498</v>
      </c>
      <c r="D24366" s="56">
        <v>-7.22012892586755E-2</v>
      </c>
      <c r="E24366" s="224" t="s">
        <v>2</v>
      </c>
      <c r="G24366" s="52"/>
      <c r="H24366" s="56"/>
      <c r="I24366" s="224"/>
    </row>
    <row r="24367" spans="1:9" x14ac:dyDescent="0.25">
      <c r="A24367" s="515">
        <v>41604</v>
      </c>
      <c r="C24367" s="52">
        <v>49334.947852588601</v>
      </c>
      <c r="D24367" s="56">
        <v>0.20119382973610492</v>
      </c>
      <c r="E24367" s="224" t="s">
        <v>2</v>
      </c>
      <c r="G24367" s="52"/>
      <c r="H24367" s="56"/>
      <c r="I24367" s="224"/>
    </row>
    <row r="24368" spans="1:9" x14ac:dyDescent="0.25">
      <c r="A24368" s="515">
        <v>98593</v>
      </c>
      <c r="B24368" s="515" t="s">
        <v>468</v>
      </c>
      <c r="C24368" s="52">
        <v>346950.31850306003</v>
      </c>
      <c r="D24368" s="56">
        <v>1.048802072369519E-3</v>
      </c>
      <c r="E24368" s="224" t="s">
        <v>2</v>
      </c>
      <c r="G24368" s="52"/>
      <c r="H24368" s="56"/>
      <c r="I24368" s="224"/>
    </row>
    <row r="24369" spans="1:9" x14ac:dyDescent="0.25">
      <c r="A24369" s="515">
        <v>50065</v>
      </c>
      <c r="C24369" s="52">
        <v>117246.963436816</v>
      </c>
      <c r="D24369" s="56">
        <v>0</v>
      </c>
      <c r="E24369" s="224" t="s">
        <v>2</v>
      </c>
      <c r="G24369" s="52"/>
      <c r="H24369" s="56"/>
      <c r="I24369" s="224"/>
    </row>
    <row r="24370" spans="1:9" x14ac:dyDescent="0.25">
      <c r="A24370" s="515">
        <v>3852</v>
      </c>
      <c r="B24370" s="515" t="s">
        <v>534</v>
      </c>
      <c r="C24370" s="52">
        <v>339223.90845100197</v>
      </c>
      <c r="D24370" s="56">
        <v>0.14308893646758267</v>
      </c>
      <c r="E24370" s="224" t="s">
        <v>2</v>
      </c>
      <c r="G24370" s="52"/>
      <c r="H24370" s="56"/>
      <c r="I24370" s="224"/>
    </row>
    <row r="24371" spans="1:9" x14ac:dyDescent="0.25">
      <c r="A24371" s="515">
        <v>5905</v>
      </c>
      <c r="C24371" s="52">
        <v>292166.74614690599</v>
      </c>
      <c r="D24371" s="56">
        <v>0.1014932039674593</v>
      </c>
      <c r="E24371" s="224" t="s">
        <v>2</v>
      </c>
      <c r="G24371" s="52"/>
      <c r="H24371" s="56"/>
      <c r="I24371" s="224"/>
    </row>
    <row r="24372" spans="1:9" x14ac:dyDescent="0.25">
      <c r="A24372" s="515">
        <v>41352</v>
      </c>
      <c r="C24372" s="52">
        <v>111103.853811516</v>
      </c>
      <c r="D24372" s="56">
        <v>0.31421173364782812</v>
      </c>
      <c r="E24372" s="224" t="s">
        <v>2</v>
      </c>
      <c r="G24372" s="52"/>
      <c r="H24372" s="56"/>
      <c r="I24372" s="224"/>
    </row>
    <row r="24373" spans="1:9" x14ac:dyDescent="0.25">
      <c r="A24373" s="515">
        <v>68346</v>
      </c>
      <c r="C24373" s="52">
        <v>224435.83539823999</v>
      </c>
      <c r="D24373" s="56">
        <v>0.10895056767477053</v>
      </c>
      <c r="E24373" s="224" t="s">
        <v>2</v>
      </c>
      <c r="G24373" s="52"/>
      <c r="H24373" s="56"/>
      <c r="I24373" s="224"/>
    </row>
    <row r="24374" spans="1:9" x14ac:dyDescent="0.25">
      <c r="A24374" s="515">
        <v>14486</v>
      </c>
      <c r="B24374" s="515" t="s">
        <v>337</v>
      </c>
      <c r="C24374" s="52">
        <v>181494</v>
      </c>
      <c r="D24374" s="56">
        <v>0</v>
      </c>
      <c r="E24374" s="224" t="s">
        <v>2</v>
      </c>
      <c r="G24374" s="52"/>
      <c r="H24374" s="56"/>
      <c r="I24374" s="224"/>
    </row>
    <row r="24375" spans="1:9" x14ac:dyDescent="0.25">
      <c r="A24375" s="515">
        <v>15088</v>
      </c>
      <c r="B24375" s="515" t="s">
        <v>297</v>
      </c>
      <c r="C24375" s="52">
        <v>92753.292275790998</v>
      </c>
      <c r="D24375" s="56">
        <v>0.17713463808636482</v>
      </c>
      <c r="E24375" s="224" t="s">
        <v>2</v>
      </c>
      <c r="G24375" s="52"/>
      <c r="H24375" s="56"/>
      <c r="I24375" s="224"/>
    </row>
    <row r="24376" spans="1:9" x14ac:dyDescent="0.25">
      <c r="A24376" s="515">
        <v>24634</v>
      </c>
      <c r="C24376" s="52">
        <v>71131.277475456707</v>
      </c>
      <c r="D24376" s="56">
        <v>1.3689358845025128E-3</v>
      </c>
      <c r="E24376" s="224" t="s">
        <v>2</v>
      </c>
      <c r="G24376" s="52"/>
      <c r="H24376" s="56"/>
      <c r="I24376" s="224"/>
    </row>
    <row r="24377" spans="1:9" x14ac:dyDescent="0.25">
      <c r="A24377" s="515">
        <v>62818</v>
      </c>
      <c r="C24377" s="52">
        <v>59219.244749351201</v>
      </c>
      <c r="D24377" s="56">
        <v>3.3467244150408804E-2</v>
      </c>
      <c r="E24377" s="224" t="s">
        <v>2</v>
      </c>
      <c r="G24377" s="52"/>
      <c r="H24377" s="56"/>
      <c r="I24377" s="224"/>
    </row>
    <row r="24378" spans="1:9" x14ac:dyDescent="0.25">
      <c r="A24378" s="515">
        <v>14506</v>
      </c>
      <c r="B24378" s="515" t="s">
        <v>337</v>
      </c>
      <c r="C24378" s="52">
        <v>363934.82573568798</v>
      </c>
      <c r="D24378" s="56">
        <v>8.1425811748756002E-2</v>
      </c>
      <c r="E24378" s="224" t="s">
        <v>2</v>
      </c>
      <c r="G24378" s="52"/>
      <c r="H24378" s="56"/>
      <c r="I24378" s="224"/>
    </row>
    <row r="24379" spans="1:9" x14ac:dyDescent="0.25">
      <c r="A24379" s="515">
        <v>63964</v>
      </c>
      <c r="C24379" s="52">
        <v>156762.034482758</v>
      </c>
      <c r="D24379" s="56">
        <v>0</v>
      </c>
      <c r="E24379" s="224" t="s">
        <v>2</v>
      </c>
      <c r="G24379" s="52"/>
      <c r="H24379" s="56"/>
      <c r="I24379" s="224"/>
    </row>
    <row r="24380" spans="1:9" x14ac:dyDescent="0.25">
      <c r="A24380" s="515">
        <v>41602</v>
      </c>
      <c r="C24380" s="52">
        <v>71307.8057241153</v>
      </c>
      <c r="D24380" s="56">
        <v>0.22016213922171357</v>
      </c>
      <c r="E24380" s="224" t="s">
        <v>2</v>
      </c>
      <c r="G24380" s="52"/>
      <c r="H24380" s="56"/>
      <c r="I24380" s="224"/>
    </row>
    <row r="24381" spans="1:9" x14ac:dyDescent="0.25">
      <c r="A24381" s="515">
        <v>80835</v>
      </c>
      <c r="B24381" s="515" t="s">
        <v>401</v>
      </c>
      <c r="C24381" s="52">
        <v>291519.40513167001</v>
      </c>
      <c r="D24381" s="56">
        <v>7.4550464001529411E-3</v>
      </c>
      <c r="E24381" s="224" t="s">
        <v>2</v>
      </c>
      <c r="G24381" s="52"/>
      <c r="H24381" s="56"/>
      <c r="I24381" s="224"/>
    </row>
    <row r="24382" spans="1:9" x14ac:dyDescent="0.25">
      <c r="A24382" s="515">
        <v>76429</v>
      </c>
      <c r="C24382" s="52">
        <v>384781.75771179498</v>
      </c>
      <c r="D24382" s="56">
        <v>0</v>
      </c>
      <c r="E24382" s="224" t="s">
        <v>2</v>
      </c>
      <c r="G24382" s="52"/>
      <c r="H24382" s="56"/>
      <c r="I24382" s="224"/>
    </row>
    <row r="24383" spans="1:9" x14ac:dyDescent="0.25">
      <c r="A24383" s="515">
        <v>80747</v>
      </c>
      <c r="B24383" s="515" t="s">
        <v>721</v>
      </c>
      <c r="C24383" s="52">
        <v>212044.055216821</v>
      </c>
      <c r="D24383" s="56">
        <v>0.11918800425753333</v>
      </c>
      <c r="E24383" s="224" t="s">
        <v>2</v>
      </c>
      <c r="G24383" s="52"/>
      <c r="H24383" s="56"/>
      <c r="I24383" s="224"/>
    </row>
    <row r="24384" spans="1:9" x14ac:dyDescent="0.25">
      <c r="A24384" s="515">
        <v>56132</v>
      </c>
      <c r="B24384" s="515" t="s">
        <v>708</v>
      </c>
      <c r="C24384" s="52">
        <v>245112.990701709</v>
      </c>
      <c r="D24384" s="56">
        <v>4.9997706008684743E-2</v>
      </c>
      <c r="E24384" s="224" t="s">
        <v>2</v>
      </c>
      <c r="G24384" s="52"/>
      <c r="H24384" s="56"/>
      <c r="I24384" s="224"/>
    </row>
    <row r="24385" spans="1:9" x14ac:dyDescent="0.25">
      <c r="A24385" s="515">
        <v>46117</v>
      </c>
      <c r="B24385" s="515" t="s">
        <v>403</v>
      </c>
      <c r="C24385" s="52">
        <v>240222.67391169001</v>
      </c>
      <c r="D24385" s="56">
        <v>6.5876239236376671E-2</v>
      </c>
      <c r="E24385" s="224" t="s">
        <v>2</v>
      </c>
      <c r="G24385" s="52"/>
      <c r="H24385" s="56"/>
      <c r="I24385" s="224"/>
    </row>
    <row r="24386" spans="1:9" x14ac:dyDescent="0.25">
      <c r="A24386" s="515">
        <v>50460</v>
      </c>
      <c r="C24386" s="52">
        <v>243778.385978465</v>
      </c>
      <c r="D24386" s="56">
        <v>0.2094949060494137</v>
      </c>
      <c r="E24386" s="224" t="s">
        <v>2</v>
      </c>
      <c r="G24386" s="52"/>
      <c r="H24386" s="56"/>
      <c r="I24386" s="224"/>
    </row>
    <row r="24387" spans="1:9" x14ac:dyDescent="0.25">
      <c r="A24387" s="515">
        <v>61453</v>
      </c>
      <c r="C24387" s="52">
        <v>87053.176230725701</v>
      </c>
      <c r="D24387" s="56">
        <v>0</v>
      </c>
      <c r="E24387" s="224" t="s">
        <v>2</v>
      </c>
      <c r="G24387" s="52"/>
      <c r="H24387" s="56"/>
      <c r="I24387" s="224"/>
    </row>
    <row r="24388" spans="1:9" x14ac:dyDescent="0.25">
      <c r="A24388" s="515">
        <v>66952</v>
      </c>
      <c r="C24388" s="52">
        <v>93633.3050798693</v>
      </c>
      <c r="D24388" s="56">
        <v>0.13264869524008882</v>
      </c>
      <c r="E24388" s="224" t="s">
        <v>2</v>
      </c>
      <c r="G24388" s="52"/>
      <c r="H24388" s="56"/>
      <c r="I24388" s="224"/>
    </row>
    <row r="24389" spans="1:9" x14ac:dyDescent="0.25">
      <c r="A24389" s="515">
        <v>42083</v>
      </c>
      <c r="B24389" s="515" t="s">
        <v>846</v>
      </c>
      <c r="C24389" s="52">
        <v>123698.271292777</v>
      </c>
      <c r="D24389" s="56">
        <v>9.3891161465731773E-2</v>
      </c>
      <c r="E24389" s="224" t="s">
        <v>2</v>
      </c>
      <c r="G24389" s="52"/>
      <c r="H24389" s="56"/>
      <c r="I24389" s="224"/>
    </row>
    <row r="24390" spans="1:9" x14ac:dyDescent="0.25">
      <c r="A24390" s="515">
        <v>67457</v>
      </c>
      <c r="C24390" s="52">
        <v>113623.821851503</v>
      </c>
      <c r="D24390" s="56">
        <v>3.4633408318209803E-2</v>
      </c>
      <c r="E24390" s="224" t="s">
        <v>2</v>
      </c>
      <c r="G24390" s="52"/>
      <c r="H24390" s="56"/>
      <c r="I24390" s="224"/>
    </row>
    <row r="24391" spans="1:9" x14ac:dyDescent="0.25">
      <c r="A24391" s="515">
        <v>68812</v>
      </c>
      <c r="B24391" s="515" t="s">
        <v>660</v>
      </c>
      <c r="C24391" s="52">
        <v>325153.86151478998</v>
      </c>
      <c r="D24391" s="56">
        <v>0.13544154721954951</v>
      </c>
      <c r="E24391" s="224" t="s">
        <v>2</v>
      </c>
      <c r="G24391" s="52"/>
      <c r="H24391" s="56"/>
      <c r="I24391" s="224"/>
    </row>
    <row r="24392" spans="1:9" x14ac:dyDescent="0.25">
      <c r="A24392" s="515">
        <v>16689</v>
      </c>
      <c r="C24392" s="52">
        <v>160651.41874879799</v>
      </c>
      <c r="D24392" s="56">
        <v>0</v>
      </c>
      <c r="E24392" s="224" t="s">
        <v>2</v>
      </c>
      <c r="G24392" s="52"/>
      <c r="H24392" s="56"/>
      <c r="I24392" s="224"/>
    </row>
    <row r="24393" spans="1:9" x14ac:dyDescent="0.25">
      <c r="A24393" s="515">
        <v>48705</v>
      </c>
      <c r="C24393" s="52">
        <v>112913.387195526</v>
      </c>
      <c r="D24393" s="56">
        <v>1.8048094492383704E-2</v>
      </c>
      <c r="E24393" s="224" t="s">
        <v>2</v>
      </c>
      <c r="G24393" s="52"/>
      <c r="H24393" s="56"/>
      <c r="I24393" s="224"/>
    </row>
    <row r="24394" spans="1:9" x14ac:dyDescent="0.25">
      <c r="A24394" s="515">
        <v>15612</v>
      </c>
      <c r="B24394" s="515" t="s">
        <v>297</v>
      </c>
      <c r="C24394" s="52">
        <v>114270.152173913</v>
      </c>
      <c r="D24394" s="56">
        <v>0</v>
      </c>
      <c r="E24394" s="224" t="s">
        <v>2</v>
      </c>
      <c r="G24394" s="52"/>
      <c r="H24394" s="56"/>
      <c r="I24394" s="224"/>
    </row>
    <row r="24395" spans="1:9" x14ac:dyDescent="0.25">
      <c r="A24395" s="515">
        <v>50476</v>
      </c>
      <c r="C24395" s="52">
        <v>134747.616278234</v>
      </c>
      <c r="D24395" s="56">
        <v>0.11090994313794052</v>
      </c>
      <c r="E24395" s="224" t="s">
        <v>2</v>
      </c>
      <c r="G24395" s="52"/>
      <c r="H24395" s="56"/>
      <c r="I24395" s="224"/>
    </row>
    <row r="24396" spans="1:9" x14ac:dyDescent="0.25">
      <c r="A24396" s="515">
        <v>63547</v>
      </c>
      <c r="C24396" s="52">
        <v>134451.79999999999</v>
      </c>
      <c r="D24396" s="56">
        <v>0</v>
      </c>
      <c r="E24396" s="224" t="s">
        <v>2</v>
      </c>
      <c r="G24396" s="52"/>
      <c r="H24396" s="56"/>
      <c r="I24396" s="224"/>
    </row>
    <row r="24397" spans="1:9" x14ac:dyDescent="0.25">
      <c r="A24397" s="515">
        <v>21865</v>
      </c>
      <c r="B24397" s="515" t="s">
        <v>552</v>
      </c>
      <c r="C24397" s="52">
        <v>208592.78941473499</v>
      </c>
      <c r="D24397" s="56">
        <v>3.8671894413076661E-2</v>
      </c>
      <c r="E24397" s="224" t="s">
        <v>2</v>
      </c>
      <c r="G24397" s="52"/>
      <c r="H24397" s="56"/>
      <c r="I24397" s="224"/>
    </row>
    <row r="24398" spans="1:9" x14ac:dyDescent="0.25">
      <c r="A24398" s="515">
        <v>96104</v>
      </c>
      <c r="C24398" s="52">
        <v>222692.57930106201</v>
      </c>
      <c r="D24398" s="56">
        <v>7.0737817739273845E-2</v>
      </c>
      <c r="E24398" s="224" t="s">
        <v>2</v>
      </c>
      <c r="G24398" s="52"/>
      <c r="H24398" s="56"/>
      <c r="I24398" s="224"/>
    </row>
    <row r="24399" spans="1:9" x14ac:dyDescent="0.25">
      <c r="A24399" s="515">
        <v>86024</v>
      </c>
      <c r="B24399" s="515" t="s">
        <v>600</v>
      </c>
      <c r="C24399" s="52">
        <v>468421.84321507602</v>
      </c>
      <c r="D24399" s="56">
        <v>6.2652703258584935E-2</v>
      </c>
      <c r="E24399" s="224" t="s">
        <v>2</v>
      </c>
      <c r="G24399" s="52"/>
      <c r="H24399" s="56"/>
      <c r="I24399" s="224"/>
    </row>
    <row r="24400" spans="1:9" x14ac:dyDescent="0.25">
      <c r="A24400" s="515">
        <v>63563</v>
      </c>
      <c r="C24400" s="52">
        <v>167938.636363636</v>
      </c>
      <c r="D24400" s="56">
        <v>0</v>
      </c>
      <c r="E24400" s="224" t="s">
        <v>2</v>
      </c>
      <c r="G24400" s="52"/>
      <c r="H24400" s="56"/>
      <c r="I24400" s="224"/>
    </row>
    <row r="24401" spans="1:9" x14ac:dyDescent="0.25">
      <c r="A24401" s="515">
        <v>15020</v>
      </c>
      <c r="B24401" s="515" t="s">
        <v>297</v>
      </c>
      <c r="C24401" s="52">
        <v>107545.30541929101</v>
      </c>
      <c r="D24401" s="56">
        <v>0.21783171527278908</v>
      </c>
      <c r="E24401" s="224" t="s">
        <v>2</v>
      </c>
      <c r="G24401" s="52"/>
      <c r="H24401" s="56"/>
      <c r="I24401" s="224"/>
    </row>
    <row r="24402" spans="1:9" x14ac:dyDescent="0.25">
      <c r="A24402" s="515">
        <v>24580</v>
      </c>
      <c r="C24402" s="52">
        <v>140214.552957162</v>
      </c>
      <c r="D24402" s="56">
        <v>0</v>
      </c>
      <c r="E24402" s="224" t="s">
        <v>2</v>
      </c>
      <c r="G24402" s="52"/>
      <c r="H24402" s="56"/>
      <c r="I24402" s="224"/>
    </row>
    <row r="24403" spans="1:9" x14ac:dyDescent="0.25">
      <c r="A24403" s="515">
        <v>59243</v>
      </c>
      <c r="C24403" s="52">
        <v>524777.96153846104</v>
      </c>
      <c r="D24403" s="56">
        <v>0</v>
      </c>
      <c r="E24403" s="224" t="s">
        <v>2</v>
      </c>
      <c r="G24403" s="52"/>
      <c r="H24403" s="56"/>
      <c r="I24403" s="224"/>
    </row>
    <row r="24404" spans="1:9" x14ac:dyDescent="0.25">
      <c r="A24404" s="515">
        <v>66039</v>
      </c>
      <c r="C24404" s="52">
        <v>163756.44208726301</v>
      </c>
      <c r="D24404" s="56">
        <v>0.1898260997157809</v>
      </c>
      <c r="E24404" s="224" t="s">
        <v>2</v>
      </c>
      <c r="G24404" s="52"/>
      <c r="H24404" s="56"/>
      <c r="I24404" s="224"/>
    </row>
    <row r="24405" spans="1:9" x14ac:dyDescent="0.25">
      <c r="A24405" s="515">
        <v>68377</v>
      </c>
      <c r="C24405" s="52">
        <v>165403.622948259</v>
      </c>
      <c r="D24405" s="56">
        <v>0.10444599910794757</v>
      </c>
      <c r="E24405" s="224" t="s">
        <v>2</v>
      </c>
      <c r="G24405" s="52"/>
      <c r="H24405" s="56"/>
      <c r="I24405" s="224"/>
    </row>
    <row r="24406" spans="1:9" x14ac:dyDescent="0.25">
      <c r="A24406" s="515">
        <v>68777</v>
      </c>
      <c r="C24406" s="52">
        <v>103441.87464014</v>
      </c>
      <c r="D24406" s="56">
        <v>3.0612842296113404E-3</v>
      </c>
      <c r="E24406" s="224" t="s">
        <v>2</v>
      </c>
      <c r="G24406" s="52"/>
      <c r="H24406" s="56"/>
      <c r="I24406" s="224"/>
    </row>
    <row r="24407" spans="1:9" x14ac:dyDescent="0.25">
      <c r="A24407" s="515">
        <v>25114</v>
      </c>
      <c r="B24407" s="515" t="s">
        <v>322</v>
      </c>
      <c r="C24407" s="52">
        <v>43039.721228809198</v>
      </c>
      <c r="D24407" s="56">
        <v>9.3961807530773864E-2</v>
      </c>
      <c r="E24407" s="224" t="s">
        <v>2</v>
      </c>
      <c r="G24407" s="52"/>
      <c r="H24407" s="56"/>
      <c r="I24407" s="224"/>
    </row>
    <row r="24408" spans="1:9" x14ac:dyDescent="0.25">
      <c r="A24408" s="515">
        <v>68746</v>
      </c>
      <c r="C24408" s="52">
        <v>90131.403508771895</v>
      </c>
      <c r="D24408" s="56">
        <v>0</v>
      </c>
      <c r="E24408" s="224" t="s">
        <v>2</v>
      </c>
      <c r="G24408" s="52"/>
      <c r="H24408" s="56"/>
      <c r="I24408" s="224"/>
    </row>
    <row r="24409" spans="1:9" x14ac:dyDescent="0.25">
      <c r="A24409" s="515">
        <v>89442</v>
      </c>
      <c r="B24409" s="515" t="s">
        <v>581</v>
      </c>
      <c r="C24409" s="52">
        <v>343003.5</v>
      </c>
      <c r="D24409" s="56">
        <v>0</v>
      </c>
      <c r="E24409" s="224" t="s">
        <v>2</v>
      </c>
      <c r="G24409" s="52"/>
      <c r="H24409" s="56"/>
      <c r="I24409" s="224"/>
    </row>
    <row r="24410" spans="1:9" x14ac:dyDescent="0.25">
      <c r="A24410" s="515">
        <v>52038</v>
      </c>
      <c r="C24410" s="52">
        <v>176873.698839577</v>
      </c>
      <c r="D24410" s="56">
        <v>0.12503552498754086</v>
      </c>
      <c r="E24410" s="224" t="s">
        <v>2</v>
      </c>
      <c r="G24410" s="52"/>
      <c r="H24410" s="56"/>
      <c r="I24410" s="224"/>
    </row>
    <row r="24411" spans="1:9" x14ac:dyDescent="0.25">
      <c r="A24411" s="515">
        <v>49874</v>
      </c>
      <c r="B24411" s="515" t="s">
        <v>923</v>
      </c>
      <c r="C24411" s="52">
        <v>134019.34959231401</v>
      </c>
      <c r="D24411" s="56">
        <v>0</v>
      </c>
      <c r="E24411" s="224" t="s">
        <v>2</v>
      </c>
      <c r="G24411" s="52"/>
      <c r="H24411" s="56"/>
      <c r="I24411" s="224"/>
    </row>
    <row r="24412" spans="1:9" x14ac:dyDescent="0.25">
      <c r="A24412" s="515">
        <v>95041</v>
      </c>
      <c r="B24412" s="515" t="s">
        <v>596</v>
      </c>
      <c r="C24412" s="52">
        <v>808209.70721043798</v>
      </c>
      <c r="D24412" s="56">
        <v>5.6622844892638288E-2</v>
      </c>
      <c r="E24412" s="224" t="s">
        <v>2</v>
      </c>
      <c r="G24412" s="52"/>
      <c r="H24412" s="56"/>
      <c r="I24412" s="224"/>
    </row>
    <row r="24413" spans="1:9" x14ac:dyDescent="0.25">
      <c r="A24413" s="515">
        <v>63451</v>
      </c>
      <c r="C24413" s="52">
        <v>194873.33804489899</v>
      </c>
      <c r="D24413" s="56">
        <v>0</v>
      </c>
      <c r="E24413" s="224" t="s">
        <v>2</v>
      </c>
      <c r="G24413" s="52"/>
      <c r="H24413" s="56"/>
      <c r="I24413" s="224"/>
    </row>
    <row r="24414" spans="1:9" x14ac:dyDescent="0.25">
      <c r="A24414" s="515">
        <v>51333</v>
      </c>
      <c r="B24414" s="515" t="s">
        <v>426</v>
      </c>
      <c r="C24414" s="52">
        <v>171223.94704336999</v>
      </c>
      <c r="D24414" s="56">
        <v>0.13736515807418301</v>
      </c>
      <c r="E24414" s="224" t="s">
        <v>2</v>
      </c>
      <c r="G24414" s="52"/>
      <c r="H24414" s="56"/>
      <c r="I24414" s="224"/>
    </row>
    <row r="24415" spans="1:9" x14ac:dyDescent="0.25">
      <c r="A24415" s="515">
        <v>89046</v>
      </c>
      <c r="B24415" s="515" t="s">
        <v>323</v>
      </c>
      <c r="C24415" s="52">
        <v>195248.45</v>
      </c>
      <c r="D24415" s="56">
        <v>0</v>
      </c>
      <c r="E24415" s="224" t="s">
        <v>2</v>
      </c>
      <c r="G24415" s="52"/>
      <c r="H24415" s="56"/>
      <c r="I24415" s="224"/>
    </row>
    <row r="24416" spans="1:9" x14ac:dyDescent="0.25">
      <c r="A24416" s="515">
        <v>71069</v>
      </c>
      <c r="B24416" s="515" t="s">
        <v>739</v>
      </c>
      <c r="C24416" s="52">
        <v>49731.051854822203</v>
      </c>
      <c r="D24416" s="56">
        <v>3.1757087586700573E-2</v>
      </c>
      <c r="E24416" s="224" t="s">
        <v>2</v>
      </c>
      <c r="G24416" s="52"/>
      <c r="H24416" s="56"/>
      <c r="I24416" s="224"/>
    </row>
    <row r="24417" spans="1:9" x14ac:dyDescent="0.25">
      <c r="A24417" s="515">
        <v>21766</v>
      </c>
      <c r="B24417" s="515" t="s">
        <v>362</v>
      </c>
      <c r="C24417" s="52">
        <v>185687.79599648601</v>
      </c>
      <c r="D24417" s="56">
        <v>0</v>
      </c>
      <c r="E24417" s="224" t="s">
        <v>2</v>
      </c>
      <c r="G24417" s="52"/>
      <c r="H24417" s="56"/>
      <c r="I24417" s="224"/>
    </row>
    <row r="24418" spans="1:9" x14ac:dyDescent="0.25">
      <c r="A24418" s="515">
        <v>13155</v>
      </c>
      <c r="C24418" s="52">
        <v>110914.266760852</v>
      </c>
      <c r="D24418" s="56">
        <v>6.182252832431618E-2</v>
      </c>
      <c r="E24418" s="224" t="s">
        <v>2</v>
      </c>
      <c r="G24418" s="52"/>
      <c r="H24418" s="56"/>
      <c r="I24418" s="224"/>
    </row>
    <row r="24419" spans="1:9" x14ac:dyDescent="0.25">
      <c r="A24419" s="515">
        <v>62538</v>
      </c>
      <c r="B24419" s="515" t="s">
        <v>386</v>
      </c>
      <c r="C24419" s="52">
        <v>102548.704499297</v>
      </c>
      <c r="D24419" s="56">
        <v>2.7486811362727993E-2</v>
      </c>
      <c r="E24419" s="224" t="s">
        <v>2</v>
      </c>
      <c r="G24419" s="52"/>
      <c r="H24419" s="56"/>
      <c r="I24419" s="224"/>
    </row>
    <row r="24420" spans="1:9" x14ac:dyDescent="0.25">
      <c r="A24420" s="515">
        <v>17002</v>
      </c>
      <c r="B24420" s="515" t="s">
        <v>714</v>
      </c>
      <c r="C24420" s="52">
        <v>178302.28329602801</v>
      </c>
      <c r="D24420" s="56">
        <v>0</v>
      </c>
      <c r="E24420" s="224" t="s">
        <v>2</v>
      </c>
      <c r="G24420" s="52"/>
      <c r="H24420" s="56"/>
      <c r="I24420" s="224"/>
    </row>
    <row r="24421" spans="1:9" x14ac:dyDescent="0.25">
      <c r="A24421" s="515">
        <v>67138</v>
      </c>
      <c r="C24421" s="52">
        <v>101078.421386844</v>
      </c>
      <c r="D24421" s="56">
        <v>0.16691683239509908</v>
      </c>
      <c r="E24421" s="224" t="s">
        <v>2</v>
      </c>
      <c r="G24421" s="52"/>
      <c r="H24421" s="56"/>
      <c r="I24421" s="224"/>
    </row>
    <row r="24422" spans="1:9" x14ac:dyDescent="0.25">
      <c r="A24422" s="515">
        <v>78608</v>
      </c>
      <c r="C24422" s="52">
        <v>493457.814030446</v>
      </c>
      <c r="D24422" s="56">
        <v>0.1983168973028008</v>
      </c>
      <c r="E24422" s="224" t="s">
        <v>2</v>
      </c>
      <c r="G24422" s="52"/>
      <c r="H24422" s="56"/>
      <c r="I24422" s="224"/>
    </row>
    <row r="24423" spans="1:9" x14ac:dyDescent="0.25">
      <c r="A24423" s="515">
        <v>69346</v>
      </c>
      <c r="B24423" s="515" t="s">
        <v>966</v>
      </c>
      <c r="C24423" s="52">
        <v>142745.18930322499</v>
      </c>
      <c r="D24423" s="56">
        <v>0.18280132436922161</v>
      </c>
      <c r="E24423" s="224" t="s">
        <v>2</v>
      </c>
      <c r="G24423" s="52"/>
      <c r="H24423" s="56"/>
      <c r="I24423" s="224"/>
    </row>
    <row r="24424" spans="1:9" x14ac:dyDescent="0.25">
      <c r="A24424" s="515">
        <v>89316</v>
      </c>
      <c r="B24424" s="515" t="s">
        <v>737</v>
      </c>
      <c r="C24424" s="52">
        <v>208925.29979050299</v>
      </c>
      <c r="D24424" s="56">
        <v>-0.101253420924134</v>
      </c>
      <c r="E24424" s="224" t="s">
        <v>2</v>
      </c>
      <c r="G24424" s="52"/>
      <c r="H24424" s="56"/>
      <c r="I24424" s="224"/>
    </row>
    <row r="24425" spans="1:9" x14ac:dyDescent="0.25">
      <c r="A24425" s="515">
        <v>56051</v>
      </c>
      <c r="C24425" s="52">
        <v>74793.843792040396</v>
      </c>
      <c r="D24425" s="56">
        <v>0.15197427645860392</v>
      </c>
      <c r="E24425" s="224" t="s">
        <v>2</v>
      </c>
      <c r="G24425" s="52"/>
      <c r="H24425" s="56"/>
      <c r="I24425" s="224"/>
    </row>
    <row r="24426" spans="1:9" x14ac:dyDescent="0.25">
      <c r="A24426" s="515">
        <v>26278</v>
      </c>
      <c r="B24426" s="515" t="s">
        <v>586</v>
      </c>
      <c r="C24426" s="52">
        <v>94760.5660377358</v>
      </c>
      <c r="D24426" s="56">
        <v>0</v>
      </c>
      <c r="E24426" s="224" t="s">
        <v>2</v>
      </c>
      <c r="G24426" s="52"/>
      <c r="H24426" s="56"/>
      <c r="I24426" s="224"/>
    </row>
    <row r="24427" spans="1:9" x14ac:dyDescent="0.25">
      <c r="A24427" s="515">
        <v>67732</v>
      </c>
      <c r="C24427" s="52">
        <v>116431.36483014699</v>
      </c>
      <c r="D24427" s="56">
        <v>9.1287780517706266E-2</v>
      </c>
      <c r="E24427" s="224" t="s">
        <v>2</v>
      </c>
      <c r="G24427" s="52"/>
      <c r="H24427" s="56"/>
      <c r="I24427" s="224"/>
    </row>
    <row r="24428" spans="1:9" x14ac:dyDescent="0.25">
      <c r="A24428" s="515">
        <v>26722</v>
      </c>
      <c r="B24428" s="515" t="s">
        <v>629</v>
      </c>
      <c r="C24428" s="52">
        <v>178108.388062351</v>
      </c>
      <c r="D24428" s="56">
        <v>0.19383090186634247</v>
      </c>
      <c r="E24428" s="224" t="s">
        <v>2</v>
      </c>
      <c r="G24428" s="52"/>
      <c r="H24428" s="56"/>
      <c r="I24428" s="224"/>
    </row>
    <row r="24429" spans="1:9" x14ac:dyDescent="0.25">
      <c r="A24429" s="515">
        <v>12945</v>
      </c>
      <c r="B24429" s="515" t="s">
        <v>706</v>
      </c>
      <c r="C24429" s="52">
        <v>294655.45921095402</v>
      </c>
      <c r="D24429" s="56">
        <v>0.18167895299653897</v>
      </c>
      <c r="E24429" s="224" t="s">
        <v>2</v>
      </c>
      <c r="G24429" s="52"/>
      <c r="H24429" s="56"/>
      <c r="I24429" s="224"/>
    </row>
    <row r="24430" spans="1:9" x14ac:dyDescent="0.25">
      <c r="A24430" s="515">
        <v>52217</v>
      </c>
      <c r="C24430" s="52">
        <v>141219.81675636701</v>
      </c>
      <c r="D24430" s="56">
        <v>0.13461629080455992</v>
      </c>
      <c r="E24430" s="224" t="s">
        <v>2</v>
      </c>
      <c r="G24430" s="52"/>
      <c r="H24430" s="56"/>
      <c r="I24430" s="224"/>
    </row>
    <row r="24431" spans="1:9" x14ac:dyDescent="0.25">
      <c r="A24431" s="515">
        <v>69345</v>
      </c>
      <c r="B24431" s="515" t="s">
        <v>966</v>
      </c>
      <c r="C24431" s="52">
        <v>299618.19861320598</v>
      </c>
      <c r="D24431" s="56">
        <v>0.14943008341828837</v>
      </c>
      <c r="E24431" s="224" t="s">
        <v>2</v>
      </c>
      <c r="G24431" s="52"/>
      <c r="H24431" s="56"/>
      <c r="I24431" s="224"/>
    </row>
    <row r="24432" spans="1:9" x14ac:dyDescent="0.25">
      <c r="A24432" s="515">
        <v>95140</v>
      </c>
      <c r="B24432" s="515" t="s">
        <v>850</v>
      </c>
      <c r="C24432" s="52">
        <v>1629747.0367979701</v>
      </c>
      <c r="D24432" s="56">
        <v>-2.5669987126312761E-2</v>
      </c>
      <c r="E24432" s="224" t="s">
        <v>2</v>
      </c>
      <c r="G24432" s="52"/>
      <c r="H24432" s="56"/>
      <c r="I24432" s="224"/>
    </row>
    <row r="24433" spans="1:9" x14ac:dyDescent="0.25">
      <c r="A24433" s="515">
        <v>67567</v>
      </c>
      <c r="B24433" s="515" t="s">
        <v>741</v>
      </c>
      <c r="C24433" s="52">
        <v>88711.088797493401</v>
      </c>
      <c r="D24433" s="56">
        <v>7.7586617089312832E-2</v>
      </c>
      <c r="E24433" s="224" t="s">
        <v>2</v>
      </c>
      <c r="G24433" s="52"/>
      <c r="H24433" s="56"/>
      <c r="I24433" s="224"/>
    </row>
    <row r="24434" spans="1:9" x14ac:dyDescent="0.25">
      <c r="A24434" s="515">
        <v>24920</v>
      </c>
      <c r="C24434" s="52">
        <v>92129.082304328796</v>
      </c>
      <c r="D24434" s="56">
        <v>0.15776620938297833</v>
      </c>
      <c r="E24434" s="224" t="s">
        <v>2</v>
      </c>
      <c r="G24434" s="52"/>
      <c r="H24434" s="56"/>
      <c r="I24434" s="224"/>
    </row>
    <row r="24435" spans="1:9" x14ac:dyDescent="0.25">
      <c r="A24435" s="515">
        <v>66953</v>
      </c>
      <c r="C24435" s="52">
        <v>129529.815473279</v>
      </c>
      <c r="D24435" s="56">
        <v>9.2473646895800732E-2</v>
      </c>
      <c r="E24435" s="224" t="s">
        <v>2</v>
      </c>
      <c r="G24435" s="52"/>
      <c r="H24435" s="56"/>
      <c r="I24435" s="224"/>
    </row>
    <row r="24436" spans="1:9" x14ac:dyDescent="0.25">
      <c r="A24436" s="515">
        <v>66857</v>
      </c>
      <c r="C24436" s="52">
        <v>114750.888791961</v>
      </c>
      <c r="D24436" s="56">
        <v>7.2269506186213889E-2</v>
      </c>
      <c r="E24436" s="224" t="s">
        <v>2</v>
      </c>
      <c r="G24436" s="52"/>
      <c r="H24436" s="56"/>
      <c r="I24436" s="224"/>
    </row>
    <row r="24437" spans="1:9" x14ac:dyDescent="0.25">
      <c r="A24437" s="515">
        <v>82214</v>
      </c>
      <c r="C24437" s="52">
        <v>194239.12148576599</v>
      </c>
      <c r="D24437" s="56">
        <v>6.1968233234637293E-2</v>
      </c>
      <c r="E24437" s="224" t="s">
        <v>2</v>
      </c>
      <c r="G24437" s="52"/>
      <c r="H24437" s="56"/>
      <c r="I24437" s="224"/>
    </row>
    <row r="24438" spans="1:9" x14ac:dyDescent="0.25">
      <c r="A24438" s="515">
        <v>87317</v>
      </c>
      <c r="B24438" s="515" t="s">
        <v>1215</v>
      </c>
      <c r="C24438" s="52">
        <v>136537.55769230699</v>
      </c>
      <c r="D24438" s="56">
        <v>0</v>
      </c>
      <c r="E24438" s="224" t="s">
        <v>2</v>
      </c>
      <c r="G24438" s="52"/>
      <c r="H24438" s="56"/>
      <c r="I24438" s="224"/>
    </row>
    <row r="24439" spans="1:9" x14ac:dyDescent="0.25">
      <c r="A24439" s="515">
        <v>40813</v>
      </c>
      <c r="B24439" s="515" t="s">
        <v>687</v>
      </c>
      <c r="C24439" s="52">
        <v>87111.342330726096</v>
      </c>
      <c r="D24439" s="56">
        <v>7.9718748325671426E-2</v>
      </c>
      <c r="E24439" s="224" t="s">
        <v>2</v>
      </c>
      <c r="G24439" s="52"/>
      <c r="H24439" s="56"/>
      <c r="I24439" s="224"/>
    </row>
    <row r="24440" spans="1:9" x14ac:dyDescent="0.25">
      <c r="A24440" s="515">
        <v>83128</v>
      </c>
      <c r="C24440" s="52">
        <v>683694.56682716298</v>
      </c>
      <c r="D24440" s="56">
        <v>0.18381586753336948</v>
      </c>
      <c r="E24440" s="224" t="s">
        <v>2</v>
      </c>
      <c r="G24440" s="52"/>
      <c r="H24440" s="56"/>
      <c r="I24440" s="224"/>
    </row>
    <row r="24441" spans="1:9" x14ac:dyDescent="0.25">
      <c r="A24441" s="515">
        <v>56034</v>
      </c>
      <c r="B24441" s="515" t="s">
        <v>542</v>
      </c>
      <c r="C24441" s="52">
        <v>258746.40690335701</v>
      </c>
      <c r="D24441" s="56">
        <v>8.7397716958486832E-2</v>
      </c>
      <c r="E24441" s="224" t="s">
        <v>2</v>
      </c>
      <c r="G24441" s="52"/>
      <c r="H24441" s="56"/>
      <c r="I24441" s="224"/>
    </row>
    <row r="24442" spans="1:9" x14ac:dyDescent="0.25">
      <c r="A24442" s="515">
        <v>16820</v>
      </c>
      <c r="B24442" s="515" t="s">
        <v>491</v>
      </c>
      <c r="C24442" s="52">
        <v>226867.594637539</v>
      </c>
      <c r="D24442" s="56">
        <v>8.2961462554709917E-2</v>
      </c>
      <c r="E24442" s="224" t="s">
        <v>2</v>
      </c>
      <c r="G24442" s="52"/>
      <c r="H24442" s="56"/>
      <c r="I24442" s="224"/>
    </row>
    <row r="24443" spans="1:9" x14ac:dyDescent="0.25">
      <c r="A24443" s="515">
        <v>97813</v>
      </c>
      <c r="B24443" s="515" t="s">
        <v>733</v>
      </c>
      <c r="C24443" s="52">
        <v>252366.38248583701</v>
      </c>
      <c r="D24443" s="56">
        <v>7.4418943924563039E-2</v>
      </c>
      <c r="E24443" s="224" t="s">
        <v>2</v>
      </c>
      <c r="G24443" s="52"/>
      <c r="H24443" s="56"/>
      <c r="I24443" s="224"/>
    </row>
    <row r="24444" spans="1:9" x14ac:dyDescent="0.25">
      <c r="A24444" s="515">
        <v>56684</v>
      </c>
      <c r="B24444" s="515" t="s">
        <v>624</v>
      </c>
      <c r="C24444" s="52">
        <v>203093.335507001</v>
      </c>
      <c r="D24444" s="56">
        <v>0.1171715180436847</v>
      </c>
      <c r="E24444" s="224" t="s">
        <v>2</v>
      </c>
      <c r="G24444" s="52"/>
      <c r="H24444" s="56"/>
      <c r="I24444" s="224"/>
    </row>
    <row r="24445" spans="1:9" x14ac:dyDescent="0.25">
      <c r="A24445" s="515">
        <v>49853</v>
      </c>
      <c r="C24445" s="52">
        <v>111975.86584085001</v>
      </c>
      <c r="D24445" s="56">
        <v>7.5898239173385939E-4</v>
      </c>
      <c r="E24445" s="224" t="s">
        <v>2</v>
      </c>
      <c r="G24445" s="52"/>
      <c r="H24445" s="56"/>
      <c r="I24445" s="224"/>
    </row>
    <row r="24446" spans="1:9" x14ac:dyDescent="0.25">
      <c r="A24446" s="515">
        <v>52567</v>
      </c>
      <c r="B24446" s="515" t="s">
        <v>810</v>
      </c>
      <c r="C24446" s="52">
        <v>161218.51486736999</v>
      </c>
      <c r="D24446" s="56">
        <v>0.14251775780106793</v>
      </c>
      <c r="E24446" s="224" t="s">
        <v>2</v>
      </c>
      <c r="G24446" s="52"/>
      <c r="H24446" s="56"/>
      <c r="I24446" s="224"/>
    </row>
    <row r="24447" spans="1:9" x14ac:dyDescent="0.25">
      <c r="A24447" s="515">
        <v>64653</v>
      </c>
      <c r="C24447" s="52">
        <v>142913.57482343199</v>
      </c>
      <c r="D24447" s="56">
        <v>0.21675253307519474</v>
      </c>
      <c r="E24447" s="224" t="s">
        <v>2</v>
      </c>
      <c r="G24447" s="52"/>
      <c r="H24447" s="56"/>
      <c r="I24447" s="224"/>
    </row>
    <row r="24448" spans="1:9" x14ac:dyDescent="0.25">
      <c r="A24448" s="515">
        <v>50672</v>
      </c>
      <c r="C24448" s="52">
        <v>130734.077503475</v>
      </c>
      <c r="D24448" s="56">
        <v>0</v>
      </c>
      <c r="E24448" s="224" t="s">
        <v>2</v>
      </c>
      <c r="G24448" s="52"/>
      <c r="H24448" s="56"/>
      <c r="I24448" s="224"/>
    </row>
    <row r="24449" spans="1:9" x14ac:dyDescent="0.25">
      <c r="A24449" s="515">
        <v>52586</v>
      </c>
      <c r="B24449" s="515" t="s">
        <v>477</v>
      </c>
      <c r="C24449" s="52">
        <v>145548.20455484599</v>
      </c>
      <c r="D24449" s="56">
        <v>0</v>
      </c>
      <c r="E24449" s="224" t="s">
        <v>2</v>
      </c>
      <c r="G24449" s="52"/>
      <c r="H24449" s="56"/>
      <c r="I24449" s="224"/>
    </row>
    <row r="24450" spans="1:9" x14ac:dyDescent="0.25">
      <c r="A24450" s="515">
        <v>28577</v>
      </c>
      <c r="B24450" s="515" t="s">
        <v>641</v>
      </c>
      <c r="C24450" s="52">
        <v>186980.99617078301</v>
      </c>
      <c r="D24450" s="56">
        <v>0.29833134572762066</v>
      </c>
      <c r="E24450" s="224" t="s">
        <v>2</v>
      </c>
      <c r="G24450" s="52"/>
      <c r="H24450" s="56"/>
      <c r="I24450" s="224"/>
    </row>
    <row r="24451" spans="1:9" x14ac:dyDescent="0.25">
      <c r="A24451" s="515">
        <v>41834</v>
      </c>
      <c r="C24451" s="52">
        <v>85316.412915270004</v>
      </c>
      <c r="D24451" s="56">
        <v>0.15342234208088432</v>
      </c>
      <c r="E24451" s="224" t="s">
        <v>2</v>
      </c>
      <c r="G24451" s="52"/>
      <c r="H24451" s="56"/>
      <c r="I24451" s="224"/>
    </row>
    <row r="24452" spans="1:9" x14ac:dyDescent="0.25">
      <c r="A24452" s="515">
        <v>56523</v>
      </c>
      <c r="B24452" s="515" t="s">
        <v>624</v>
      </c>
      <c r="C24452" s="52">
        <v>171770.199306875</v>
      </c>
      <c r="D24452" s="56">
        <v>1.1283565421427782E-2</v>
      </c>
      <c r="E24452" s="224" t="s">
        <v>2</v>
      </c>
      <c r="G24452" s="52"/>
      <c r="H24452" s="56"/>
      <c r="I24452" s="224"/>
    </row>
    <row r="24453" spans="1:9" x14ac:dyDescent="0.25">
      <c r="A24453" s="515">
        <v>20632</v>
      </c>
      <c r="B24453" s="515" t="s">
        <v>321</v>
      </c>
      <c r="C24453" s="52">
        <v>434253.55166948499</v>
      </c>
      <c r="D24453" s="56">
        <v>0</v>
      </c>
      <c r="E24453" s="224" t="s">
        <v>2</v>
      </c>
      <c r="G24453" s="52"/>
      <c r="H24453" s="56"/>
      <c r="I24453" s="224"/>
    </row>
    <row r="24454" spans="1:9" x14ac:dyDescent="0.25">
      <c r="A24454" s="515">
        <v>80510</v>
      </c>
      <c r="B24454" s="515" t="s">
        <v>702</v>
      </c>
      <c r="C24454" s="52">
        <v>478371.37699325499</v>
      </c>
      <c r="D24454" s="56">
        <v>7.9099801954424329E-2</v>
      </c>
      <c r="E24454" s="224" t="s">
        <v>2</v>
      </c>
      <c r="G24454" s="52"/>
      <c r="H24454" s="56"/>
      <c r="I24454" s="224"/>
    </row>
    <row r="24455" spans="1:9" x14ac:dyDescent="0.25">
      <c r="A24455" s="515">
        <v>3241</v>
      </c>
      <c r="B24455" s="515" t="s">
        <v>420</v>
      </c>
      <c r="C24455" s="52">
        <v>438079.03028515901</v>
      </c>
      <c r="D24455" s="56">
        <v>0.15174456851273166</v>
      </c>
      <c r="E24455" s="224" t="s">
        <v>2</v>
      </c>
      <c r="G24455" s="52"/>
      <c r="H24455" s="56"/>
      <c r="I24455" s="224"/>
    </row>
    <row r="24456" spans="1:9" x14ac:dyDescent="0.25">
      <c r="A24456" s="515">
        <v>86017</v>
      </c>
      <c r="B24456" s="515" t="s">
        <v>600</v>
      </c>
      <c r="C24456" s="52">
        <v>557607.41454855003</v>
      </c>
      <c r="D24456" s="56">
        <v>6.0177459458549527E-2</v>
      </c>
      <c r="E24456" s="224" t="s">
        <v>2</v>
      </c>
      <c r="G24456" s="52"/>
      <c r="H24456" s="56"/>
      <c r="I24456" s="224"/>
    </row>
    <row r="24457" spans="1:9" x14ac:dyDescent="0.25">
      <c r="A24457" s="515">
        <v>67524</v>
      </c>
      <c r="C24457" s="52">
        <v>62971.280332226299</v>
      </c>
      <c r="D24457" s="56">
        <v>-1.8717499050200929E-2</v>
      </c>
      <c r="E24457" s="224" t="s">
        <v>2</v>
      </c>
      <c r="G24457" s="52"/>
      <c r="H24457" s="56"/>
      <c r="I24457" s="224"/>
    </row>
    <row r="24458" spans="1:9" x14ac:dyDescent="0.25">
      <c r="A24458" s="515">
        <v>50650</v>
      </c>
      <c r="C24458" s="52">
        <v>122434.75847676701</v>
      </c>
      <c r="D24458" s="56">
        <v>0.13292262504943908</v>
      </c>
      <c r="E24458" s="224" t="s">
        <v>2</v>
      </c>
      <c r="G24458" s="52"/>
      <c r="H24458" s="56"/>
      <c r="I24458" s="224"/>
    </row>
    <row r="24459" spans="1:9" x14ac:dyDescent="0.25">
      <c r="A24459" s="515">
        <v>5766</v>
      </c>
      <c r="C24459" s="52">
        <v>346926.28169014002</v>
      </c>
      <c r="D24459" s="56">
        <v>0</v>
      </c>
      <c r="E24459" s="224" t="s">
        <v>2</v>
      </c>
      <c r="G24459" s="52"/>
      <c r="H24459" s="56"/>
      <c r="I24459" s="224"/>
    </row>
    <row r="24460" spans="1:9" x14ac:dyDescent="0.25">
      <c r="A24460" s="515">
        <v>13687</v>
      </c>
      <c r="B24460" s="515" t="s">
        <v>511</v>
      </c>
      <c r="C24460" s="52">
        <v>162883.09963800901</v>
      </c>
      <c r="D24460" s="56">
        <v>7.423569802840059E-2</v>
      </c>
      <c r="E24460" s="224" t="s">
        <v>2</v>
      </c>
      <c r="G24460" s="52"/>
      <c r="H24460" s="56"/>
      <c r="I24460" s="224"/>
    </row>
    <row r="24461" spans="1:9" x14ac:dyDescent="0.25">
      <c r="A24461" s="515">
        <v>65064</v>
      </c>
      <c r="C24461" s="52">
        <v>185994.33333333299</v>
      </c>
      <c r="D24461" s="56">
        <v>0</v>
      </c>
      <c r="E24461" s="224" t="s">
        <v>2</v>
      </c>
      <c r="G24461" s="52"/>
      <c r="H24461" s="56"/>
      <c r="I24461" s="224"/>
    </row>
    <row r="24462" spans="1:9" x14ac:dyDescent="0.25">
      <c r="A24462" s="515">
        <v>66428</v>
      </c>
      <c r="C24462" s="52">
        <v>158230.97343774501</v>
      </c>
      <c r="D24462" s="56">
        <v>0.35144039574286823</v>
      </c>
      <c r="E24462" s="224" t="s">
        <v>2</v>
      </c>
      <c r="G24462" s="52"/>
      <c r="H24462" s="56"/>
      <c r="I24462" s="224"/>
    </row>
    <row r="24463" spans="1:9" x14ac:dyDescent="0.25">
      <c r="A24463" s="515">
        <v>56211</v>
      </c>
      <c r="C24463" s="52">
        <v>141726.04608132699</v>
      </c>
      <c r="D24463" s="56">
        <v>0</v>
      </c>
      <c r="E24463" s="224" t="s">
        <v>2</v>
      </c>
      <c r="G24463" s="52"/>
      <c r="H24463" s="56"/>
      <c r="I24463" s="224"/>
    </row>
    <row r="24464" spans="1:9" x14ac:dyDescent="0.25">
      <c r="A24464" s="515">
        <v>15412</v>
      </c>
      <c r="B24464" s="515" t="s">
        <v>297</v>
      </c>
      <c r="C24464" s="52">
        <v>96599.776040188503</v>
      </c>
      <c r="D24464" s="56">
        <v>7.4169678811681808E-2</v>
      </c>
      <c r="E24464" s="224" t="s">
        <v>2</v>
      </c>
      <c r="G24464" s="52"/>
      <c r="H24464" s="56"/>
      <c r="I24464" s="224"/>
    </row>
    <row r="24465" spans="1:9" x14ac:dyDescent="0.25">
      <c r="A24465" s="515">
        <v>52229</v>
      </c>
      <c r="B24465" s="515" t="s">
        <v>404</v>
      </c>
      <c r="C24465" s="52">
        <v>135403.71017312599</v>
      </c>
      <c r="D24465" s="56">
        <v>7.7443469177172222E-2</v>
      </c>
      <c r="E24465" s="224" t="s">
        <v>2</v>
      </c>
      <c r="G24465" s="52"/>
      <c r="H24465" s="56"/>
      <c r="I24465" s="224"/>
    </row>
    <row r="24466" spans="1:9" x14ac:dyDescent="0.25">
      <c r="A24466" s="515">
        <v>19492</v>
      </c>
      <c r="B24466" s="515" t="s">
        <v>294</v>
      </c>
      <c r="C24466" s="52">
        <v>370857.96117666899</v>
      </c>
      <c r="D24466" s="56">
        <v>9.277787162879915E-2</v>
      </c>
      <c r="E24466" s="224" t="s">
        <v>2</v>
      </c>
      <c r="G24466" s="52"/>
      <c r="H24466" s="56"/>
      <c r="I24466" s="224"/>
    </row>
    <row r="24467" spans="1:9" x14ac:dyDescent="0.25">
      <c r="A24467" s="515">
        <v>5648</v>
      </c>
      <c r="B24467" s="515" t="s">
        <v>945</v>
      </c>
      <c r="C24467" s="52">
        <v>371840.13559322001</v>
      </c>
      <c r="D24467" s="56">
        <v>0</v>
      </c>
      <c r="E24467" s="224" t="s">
        <v>2</v>
      </c>
      <c r="G24467" s="52"/>
      <c r="H24467" s="56"/>
      <c r="I24467" s="224"/>
    </row>
    <row r="24468" spans="1:9" x14ac:dyDescent="0.25">
      <c r="A24468" s="515">
        <v>55602</v>
      </c>
      <c r="B24468" s="515" t="s">
        <v>350</v>
      </c>
      <c r="C24468" s="52">
        <v>180172.57638481399</v>
      </c>
      <c r="D24468" s="56">
        <v>6.8082734334622225E-2</v>
      </c>
      <c r="E24468" s="224" t="s">
        <v>2</v>
      </c>
      <c r="G24468" s="52"/>
      <c r="H24468" s="56"/>
      <c r="I24468" s="224"/>
    </row>
    <row r="24469" spans="1:9" x14ac:dyDescent="0.25">
      <c r="A24469" s="515">
        <v>2815</v>
      </c>
      <c r="B24469" s="515" t="s">
        <v>513</v>
      </c>
      <c r="C24469" s="52">
        <v>438765.49597800802</v>
      </c>
      <c r="D24469" s="56">
        <v>8.3967067145312865E-2</v>
      </c>
      <c r="E24469" s="224" t="s">
        <v>2</v>
      </c>
      <c r="G24469" s="52"/>
      <c r="H24469" s="56"/>
      <c r="I24469" s="224"/>
    </row>
    <row r="24470" spans="1:9" x14ac:dyDescent="0.25">
      <c r="A24470" s="515">
        <v>15661</v>
      </c>
      <c r="B24470" s="515" t="s">
        <v>297</v>
      </c>
      <c r="C24470" s="52">
        <v>105996.072727272</v>
      </c>
      <c r="D24470" s="56">
        <v>0</v>
      </c>
      <c r="E24470" s="224" t="s">
        <v>2</v>
      </c>
      <c r="G24470" s="52"/>
      <c r="H24470" s="56"/>
      <c r="I24470" s="224"/>
    </row>
    <row r="24471" spans="1:9" x14ac:dyDescent="0.25">
      <c r="A24471" s="515">
        <v>67232</v>
      </c>
      <c r="B24471" s="515" t="s">
        <v>485</v>
      </c>
      <c r="C24471" s="52">
        <v>392916.03967941401</v>
      </c>
      <c r="D24471" s="56">
        <v>8.5659754780200381E-2</v>
      </c>
      <c r="E24471" s="224" t="s">
        <v>2</v>
      </c>
      <c r="G24471" s="52"/>
      <c r="H24471" s="56"/>
      <c r="I24471" s="224"/>
    </row>
    <row r="24472" spans="1:9" x14ac:dyDescent="0.25">
      <c r="A24472" s="515">
        <v>21840</v>
      </c>
      <c r="B24472" s="515" t="s">
        <v>552</v>
      </c>
      <c r="C24472" s="52">
        <v>204388.44573963899</v>
      </c>
      <c r="D24472" s="56">
        <v>6.4755313628498207E-2</v>
      </c>
      <c r="E24472" s="224" t="s">
        <v>2</v>
      </c>
      <c r="G24472" s="52"/>
      <c r="H24472" s="56"/>
      <c r="I24472" s="224"/>
    </row>
    <row r="24473" spans="1:9" x14ac:dyDescent="0.25">
      <c r="A24473" s="515">
        <v>61721</v>
      </c>
      <c r="B24473" s="515" t="s">
        <v>303</v>
      </c>
      <c r="C24473" s="52">
        <v>110479.90359708499</v>
      </c>
      <c r="D24473" s="56">
        <v>6.0172920923840349E-2</v>
      </c>
      <c r="E24473" s="224" t="s">
        <v>2</v>
      </c>
      <c r="G24473" s="52"/>
      <c r="H24473" s="56"/>
      <c r="I24473" s="224"/>
    </row>
    <row r="24474" spans="1:9" x14ac:dyDescent="0.25">
      <c r="A24474" s="515">
        <v>16851</v>
      </c>
      <c r="B24474" s="515" t="s">
        <v>491</v>
      </c>
      <c r="C24474" s="52">
        <v>323874.83218996099</v>
      </c>
      <c r="D24474" s="56">
        <v>6.0718984327515935E-2</v>
      </c>
      <c r="E24474" s="224" t="s">
        <v>2</v>
      </c>
      <c r="G24474" s="52"/>
      <c r="H24474" s="56"/>
      <c r="I24474" s="224"/>
    </row>
    <row r="24475" spans="1:9" x14ac:dyDescent="0.25">
      <c r="A24475" s="515">
        <v>74833</v>
      </c>
      <c r="C24475" s="52">
        <v>132082.70118312899</v>
      </c>
      <c r="D24475" s="56">
        <v>0.15313550935423875</v>
      </c>
      <c r="E24475" s="224" t="s">
        <v>2</v>
      </c>
      <c r="G24475" s="52"/>
      <c r="H24475" s="56"/>
      <c r="I24475" s="224"/>
    </row>
    <row r="24476" spans="1:9" x14ac:dyDescent="0.25">
      <c r="A24476" s="515">
        <v>95939</v>
      </c>
      <c r="C24476" s="52">
        <v>324446.63022196002</v>
      </c>
      <c r="D24476" s="56">
        <v>8.723291903802112E-2</v>
      </c>
      <c r="E24476" s="224" t="s">
        <v>2</v>
      </c>
      <c r="G24476" s="52"/>
      <c r="H24476" s="56"/>
      <c r="I24476" s="224"/>
    </row>
    <row r="24477" spans="1:9" x14ac:dyDescent="0.25">
      <c r="A24477" s="515">
        <v>14877</v>
      </c>
      <c r="B24477" s="515" t="s">
        <v>585</v>
      </c>
      <c r="C24477" s="52">
        <v>152836.811912042</v>
      </c>
      <c r="D24477" s="56">
        <v>0.16083111948580275</v>
      </c>
      <c r="E24477" s="224" t="s">
        <v>2</v>
      </c>
      <c r="G24477" s="52"/>
      <c r="H24477" s="56"/>
      <c r="I24477" s="224"/>
    </row>
    <row r="24478" spans="1:9" x14ac:dyDescent="0.25">
      <c r="A24478" s="515">
        <v>12495</v>
      </c>
      <c r="B24478" s="515" t="s">
        <v>307</v>
      </c>
      <c r="C24478" s="52">
        <v>627534.26750208705</v>
      </c>
      <c r="D24478" s="56">
        <v>0.12045042353952085</v>
      </c>
      <c r="E24478" s="224" t="s">
        <v>2</v>
      </c>
      <c r="G24478" s="52"/>
      <c r="H24478" s="56"/>
      <c r="I24478" s="224"/>
    </row>
    <row r="24479" spans="1:9" x14ac:dyDescent="0.25">
      <c r="A24479" s="515">
        <v>47849</v>
      </c>
      <c r="B24479" s="515" t="s">
        <v>318</v>
      </c>
      <c r="C24479" s="52">
        <v>143163.97016653701</v>
      </c>
      <c r="D24479" s="56">
        <v>4.5408400536115119E-2</v>
      </c>
      <c r="E24479" s="224" t="s">
        <v>2</v>
      </c>
      <c r="G24479" s="52"/>
      <c r="H24479" s="56"/>
      <c r="I24479" s="224"/>
    </row>
    <row r="24480" spans="1:9" x14ac:dyDescent="0.25">
      <c r="A24480" s="515">
        <v>63381</v>
      </c>
      <c r="B24480" s="515" t="s">
        <v>498</v>
      </c>
      <c r="C24480" s="52">
        <v>231555.67947307401</v>
      </c>
      <c r="D24480" s="56">
        <v>7.4116597288316335E-2</v>
      </c>
      <c r="E24480" s="224" t="s">
        <v>2</v>
      </c>
      <c r="G24480" s="52"/>
      <c r="H24480" s="56"/>
      <c r="I24480" s="224"/>
    </row>
    <row r="24481" spans="1:9" x14ac:dyDescent="0.25">
      <c r="A24481" s="515">
        <v>98276</v>
      </c>
      <c r="B24481" s="515" t="s">
        <v>412</v>
      </c>
      <c r="C24481" s="52">
        <v>462513.79530900001</v>
      </c>
      <c r="D24481" s="56">
        <v>9.3815395583801767E-3</v>
      </c>
      <c r="E24481" s="224" t="s">
        <v>2</v>
      </c>
      <c r="G24481" s="52"/>
      <c r="H24481" s="56"/>
      <c r="I24481" s="224"/>
    </row>
    <row r="24482" spans="1:9" x14ac:dyDescent="0.25">
      <c r="A24482" s="515">
        <v>13740</v>
      </c>
      <c r="C24482" s="52">
        <v>396643.85753740103</v>
      </c>
      <c r="D24482" s="56">
        <v>4.1700753968554514E-2</v>
      </c>
      <c r="E24482" s="224" t="s">
        <v>2</v>
      </c>
      <c r="G24482" s="52"/>
      <c r="H24482" s="56"/>
      <c r="I24482" s="224"/>
    </row>
    <row r="24483" spans="1:9" x14ac:dyDescent="0.25">
      <c r="A24483" s="515">
        <v>69023</v>
      </c>
      <c r="C24483" s="52">
        <v>255402.459016393</v>
      </c>
      <c r="D24483" s="56">
        <v>0</v>
      </c>
      <c r="E24483" s="224" t="s">
        <v>2</v>
      </c>
      <c r="G24483" s="52"/>
      <c r="H24483" s="56"/>
      <c r="I24483" s="224"/>
    </row>
    <row r="24484" spans="1:9" x14ac:dyDescent="0.25">
      <c r="A24484" s="515">
        <v>96142</v>
      </c>
      <c r="B24484" s="515" t="s">
        <v>355</v>
      </c>
      <c r="C24484" s="52">
        <v>856081.604241619</v>
      </c>
      <c r="D24484" s="56">
        <v>2.3790866212924033E-2</v>
      </c>
      <c r="E24484" s="224" t="s">
        <v>2</v>
      </c>
      <c r="G24484" s="52"/>
      <c r="H24484" s="56"/>
      <c r="I24484" s="224"/>
    </row>
    <row r="24485" spans="1:9" x14ac:dyDescent="0.25">
      <c r="A24485" s="515">
        <v>73734</v>
      </c>
      <c r="C24485" s="52">
        <v>161422.11457226</v>
      </c>
      <c r="D24485" s="56">
        <v>7.7888603910251916E-2</v>
      </c>
      <c r="E24485" s="224" t="s">
        <v>2</v>
      </c>
      <c r="G24485" s="52"/>
      <c r="H24485" s="56"/>
      <c r="I24485" s="224"/>
    </row>
    <row r="24486" spans="1:9" x14ac:dyDescent="0.25">
      <c r="A24486" s="515">
        <v>81040</v>
      </c>
      <c r="C24486" s="52">
        <v>280054.83870967699</v>
      </c>
      <c r="D24486" s="56">
        <v>0</v>
      </c>
      <c r="E24486" s="224" t="s">
        <v>2</v>
      </c>
      <c r="G24486" s="52"/>
      <c r="H24486" s="56"/>
      <c r="I24486" s="224"/>
    </row>
    <row r="24487" spans="1:9" x14ac:dyDescent="0.25">
      <c r="A24487" s="515">
        <v>40820</v>
      </c>
      <c r="C24487" s="52">
        <v>66317.734184334098</v>
      </c>
      <c r="D24487" s="56">
        <v>0.16962801844810951</v>
      </c>
      <c r="E24487" s="224" t="s">
        <v>2</v>
      </c>
      <c r="G24487" s="52"/>
      <c r="H24487" s="56"/>
      <c r="I24487" s="224"/>
    </row>
    <row r="24488" spans="1:9" x14ac:dyDescent="0.25">
      <c r="A24488" s="515">
        <v>12923</v>
      </c>
      <c r="B24488" s="515" t="s">
        <v>395</v>
      </c>
      <c r="C24488" s="52">
        <v>136433.89098144599</v>
      </c>
      <c r="D24488" s="56">
        <v>0.12307966624825648</v>
      </c>
      <c r="E24488" s="224" t="s">
        <v>2</v>
      </c>
      <c r="G24488" s="52"/>
      <c r="H24488" s="56"/>
      <c r="I24488" s="224"/>
    </row>
    <row r="24489" spans="1:9" x14ac:dyDescent="0.25">
      <c r="A24489" s="515">
        <v>5858</v>
      </c>
      <c r="C24489" s="52">
        <v>221815.39583333299</v>
      </c>
      <c r="D24489" s="56">
        <v>0</v>
      </c>
      <c r="E24489" s="224" t="s">
        <v>2</v>
      </c>
      <c r="G24489" s="52"/>
      <c r="H24489" s="56"/>
      <c r="I24489" s="224"/>
    </row>
    <row r="24490" spans="1:9" x14ac:dyDescent="0.25">
      <c r="A24490" s="515">
        <v>68036</v>
      </c>
      <c r="C24490" s="52">
        <v>289903.468184028</v>
      </c>
      <c r="D24490" s="56">
        <v>0.23690684771582265</v>
      </c>
      <c r="E24490" s="224" t="s">
        <v>2</v>
      </c>
      <c r="G24490" s="52"/>
      <c r="H24490" s="56"/>
      <c r="I24490" s="224"/>
    </row>
    <row r="24491" spans="1:9" x14ac:dyDescent="0.25">
      <c r="A24491" s="515">
        <v>68033</v>
      </c>
      <c r="B24491" s="515" t="s">
        <v>367</v>
      </c>
      <c r="C24491" s="52">
        <v>299148.22281607799</v>
      </c>
      <c r="D24491" s="56">
        <v>0.12569410462809294</v>
      </c>
      <c r="E24491" s="224" t="s">
        <v>2</v>
      </c>
      <c r="G24491" s="52"/>
      <c r="H24491" s="56"/>
      <c r="I24491" s="224"/>
    </row>
    <row r="24492" spans="1:9" x14ac:dyDescent="0.25">
      <c r="A24492" s="515">
        <v>26270</v>
      </c>
      <c r="B24492" s="515" t="s">
        <v>586</v>
      </c>
      <c r="C24492" s="52">
        <v>118313.155148957</v>
      </c>
      <c r="D24492" s="56">
        <v>8.6083406895971298E-2</v>
      </c>
      <c r="E24492" s="224" t="s">
        <v>2</v>
      </c>
      <c r="G24492" s="52"/>
      <c r="H24492" s="56"/>
      <c r="I24492" s="224"/>
    </row>
    <row r="24493" spans="1:9" x14ac:dyDescent="0.25">
      <c r="A24493" s="515">
        <v>50217</v>
      </c>
      <c r="C24493" s="52">
        <v>137098.54366634699</v>
      </c>
      <c r="D24493" s="56">
        <v>0.18458682325118464</v>
      </c>
      <c r="E24493" s="224" t="s">
        <v>2</v>
      </c>
      <c r="G24493" s="52"/>
      <c r="H24493" s="56"/>
      <c r="I24493" s="224"/>
    </row>
    <row r="24494" spans="1:9" x14ac:dyDescent="0.25">
      <c r="A24494" s="515">
        <v>93067</v>
      </c>
      <c r="B24494" s="515" t="s">
        <v>847</v>
      </c>
      <c r="C24494" s="52">
        <v>1961653.36636705</v>
      </c>
      <c r="D24494" s="56">
        <v>2.7360535215953118E-2</v>
      </c>
      <c r="E24494" s="224" t="s">
        <v>2</v>
      </c>
      <c r="G24494" s="52"/>
      <c r="H24494" s="56"/>
      <c r="I24494" s="224"/>
    </row>
    <row r="24495" spans="1:9" x14ac:dyDescent="0.25">
      <c r="A24495" s="515">
        <v>68342</v>
      </c>
      <c r="C24495" s="52">
        <v>179656.201367492</v>
      </c>
      <c r="D24495" s="56">
        <v>0.12133907691606145</v>
      </c>
      <c r="E24495" s="224" t="s">
        <v>2</v>
      </c>
      <c r="G24495" s="52"/>
      <c r="H24495" s="56"/>
      <c r="I24495" s="224"/>
    </row>
    <row r="24496" spans="1:9" x14ac:dyDescent="0.25">
      <c r="A24496" s="515">
        <v>47994</v>
      </c>
      <c r="B24496" s="515" t="s">
        <v>408</v>
      </c>
      <c r="C24496" s="52">
        <v>167367.373736801</v>
      </c>
      <c r="D24496" s="56">
        <v>6.5379128499445174E-2</v>
      </c>
      <c r="E24496" s="224" t="s">
        <v>2</v>
      </c>
      <c r="G24496" s="52"/>
      <c r="H24496" s="56"/>
      <c r="I24496" s="224"/>
    </row>
    <row r="24497" spans="1:9" x14ac:dyDescent="0.25">
      <c r="A24497" s="515">
        <v>52335</v>
      </c>
      <c r="C24497" s="52">
        <v>118608.784991568</v>
      </c>
      <c r="D24497" s="56">
        <v>0</v>
      </c>
      <c r="E24497" s="224" t="s">
        <v>2</v>
      </c>
      <c r="G24497" s="52"/>
      <c r="H24497" s="56"/>
      <c r="I24497" s="224"/>
    </row>
    <row r="24498" spans="1:9" x14ac:dyDescent="0.25">
      <c r="A24498" s="515">
        <v>68755</v>
      </c>
      <c r="C24498" s="52">
        <v>149659.47058823501</v>
      </c>
      <c r="D24498" s="56">
        <v>0</v>
      </c>
      <c r="E24498" s="224" t="s">
        <v>2</v>
      </c>
      <c r="G24498" s="52"/>
      <c r="H24498" s="56"/>
      <c r="I24498" s="224"/>
    </row>
    <row r="24499" spans="1:9" x14ac:dyDescent="0.25">
      <c r="A24499" s="515">
        <v>42028</v>
      </c>
      <c r="B24499" s="515" t="s">
        <v>846</v>
      </c>
      <c r="C24499" s="52">
        <v>86026.560407919998</v>
      </c>
      <c r="D24499" s="56">
        <v>0.19390520329851049</v>
      </c>
      <c r="E24499" s="224" t="s">
        <v>2</v>
      </c>
      <c r="G24499" s="52"/>
      <c r="H24499" s="56"/>
      <c r="I24499" s="224"/>
    </row>
    <row r="24500" spans="1:9" x14ac:dyDescent="0.25">
      <c r="A24500" s="515">
        <v>52530</v>
      </c>
      <c r="B24500" s="515" t="s">
        <v>845</v>
      </c>
      <c r="C24500" s="52">
        <v>145648.64895735501</v>
      </c>
      <c r="D24500" s="56">
        <v>0.11268481970287701</v>
      </c>
      <c r="E24500" s="224" t="s">
        <v>2</v>
      </c>
      <c r="G24500" s="52"/>
      <c r="H24500" s="56"/>
      <c r="I24500" s="224"/>
    </row>
    <row r="24501" spans="1:9" x14ac:dyDescent="0.25">
      <c r="A24501" s="515">
        <v>42741</v>
      </c>
      <c r="C24501" s="52">
        <v>155993.37745409401</v>
      </c>
      <c r="D24501" s="56">
        <v>0.1957527053153687</v>
      </c>
      <c r="E24501" s="224" t="s">
        <v>2</v>
      </c>
      <c r="G24501" s="52"/>
      <c r="H24501" s="56"/>
      <c r="I24501" s="224"/>
    </row>
    <row r="24502" spans="1:9" x14ac:dyDescent="0.25">
      <c r="A24502" s="515">
        <v>54006</v>
      </c>
      <c r="C24502" s="52">
        <v>212498.65324149601</v>
      </c>
      <c r="D24502" s="56">
        <v>2.6201826824308862E-2</v>
      </c>
      <c r="E24502" s="224" t="s">
        <v>2</v>
      </c>
      <c r="G24502" s="52"/>
      <c r="H24502" s="56"/>
      <c r="I24502" s="224"/>
    </row>
    <row r="24503" spans="1:9" x14ac:dyDescent="0.25">
      <c r="A24503" s="515">
        <v>23358</v>
      </c>
      <c r="C24503" s="52">
        <v>263815.88461538398</v>
      </c>
      <c r="D24503" s="56">
        <v>0</v>
      </c>
      <c r="E24503" s="224" t="s">
        <v>2</v>
      </c>
      <c r="G24503" s="52"/>
      <c r="H24503" s="56"/>
      <c r="I24503" s="224"/>
    </row>
    <row r="24504" spans="1:9" x14ac:dyDescent="0.25">
      <c r="A24504" s="515">
        <v>12169</v>
      </c>
      <c r="B24504" s="515" t="s">
        <v>609</v>
      </c>
      <c r="C24504" s="52">
        <v>254943.53991570699</v>
      </c>
      <c r="D24504" s="56">
        <v>7.8865615039032888E-2</v>
      </c>
      <c r="E24504" s="224" t="s">
        <v>2</v>
      </c>
      <c r="G24504" s="52"/>
      <c r="H24504" s="56"/>
      <c r="I24504" s="224"/>
    </row>
    <row r="24505" spans="1:9" x14ac:dyDescent="0.25">
      <c r="A24505" s="515">
        <v>56023</v>
      </c>
      <c r="C24505" s="52">
        <v>156804.69090672501</v>
      </c>
      <c r="D24505" s="56">
        <v>0</v>
      </c>
      <c r="E24505" s="224" t="s">
        <v>2</v>
      </c>
      <c r="G24505" s="52"/>
      <c r="H24505" s="56"/>
      <c r="I24505" s="224"/>
    </row>
    <row r="24506" spans="1:9" x14ac:dyDescent="0.25">
      <c r="A24506" s="515">
        <v>5441</v>
      </c>
      <c r="C24506" s="52">
        <v>296835.59322033898</v>
      </c>
      <c r="D24506" s="56">
        <v>0</v>
      </c>
      <c r="E24506" s="224" t="s">
        <v>2</v>
      </c>
      <c r="G24506" s="52"/>
      <c r="H24506" s="56"/>
      <c r="I24506" s="224"/>
    </row>
    <row r="24507" spans="1:9" x14ac:dyDescent="0.25">
      <c r="A24507" s="515">
        <v>73722</v>
      </c>
      <c r="C24507" s="52">
        <v>169705.198422271</v>
      </c>
      <c r="D24507" s="56">
        <v>0.16104904883548254</v>
      </c>
      <c r="E24507" s="224" t="s">
        <v>2</v>
      </c>
      <c r="G24507" s="52"/>
      <c r="H24507" s="56"/>
      <c r="I24507" s="224"/>
    </row>
    <row r="24508" spans="1:9" x14ac:dyDescent="0.25">
      <c r="A24508" s="515">
        <v>40923</v>
      </c>
      <c r="B24508" s="515" t="s">
        <v>633</v>
      </c>
      <c r="C24508" s="52">
        <v>131960.27455522399</v>
      </c>
      <c r="D24508" s="56">
        <v>0.25829532325242455</v>
      </c>
      <c r="E24508" s="224" t="s">
        <v>2</v>
      </c>
      <c r="G24508" s="52"/>
      <c r="H24508" s="56"/>
      <c r="I24508" s="224"/>
    </row>
    <row r="24509" spans="1:9" x14ac:dyDescent="0.25">
      <c r="A24509" s="515">
        <v>62446</v>
      </c>
      <c r="C24509" s="52">
        <v>109292.74418604599</v>
      </c>
      <c r="D24509" s="56">
        <v>0</v>
      </c>
      <c r="E24509" s="224" t="s">
        <v>2</v>
      </c>
      <c r="G24509" s="52"/>
      <c r="H24509" s="56"/>
      <c r="I24509" s="224"/>
    </row>
    <row r="24510" spans="1:9" x14ac:dyDescent="0.25">
      <c r="A24510" s="515">
        <v>16832</v>
      </c>
      <c r="B24510" s="515" t="s">
        <v>491</v>
      </c>
      <c r="C24510" s="52">
        <v>214033.92018639701</v>
      </c>
      <c r="D24510" s="56">
        <v>6.652693510384057E-2</v>
      </c>
      <c r="E24510" s="224" t="s">
        <v>2</v>
      </c>
      <c r="G24510" s="52"/>
      <c r="H24510" s="56"/>
      <c r="I24510" s="224"/>
    </row>
    <row r="24511" spans="1:9" x14ac:dyDescent="0.25">
      <c r="A24511" s="515">
        <v>23032</v>
      </c>
      <c r="C24511" s="52">
        <v>236468.52172934799</v>
      </c>
      <c r="D24511" s="56">
        <v>0.1188661195225507</v>
      </c>
      <c r="E24511" s="224" t="s">
        <v>2</v>
      </c>
      <c r="G24511" s="52"/>
      <c r="H24511" s="56"/>
      <c r="I24511" s="224"/>
    </row>
    <row r="24512" spans="1:9" x14ac:dyDescent="0.25">
      <c r="A24512" s="515">
        <v>61049</v>
      </c>
      <c r="B24512" s="515" t="s">
        <v>429</v>
      </c>
      <c r="C24512" s="52">
        <v>182125.99386608301</v>
      </c>
      <c r="D24512" s="56">
        <v>6.3553528946986529E-2</v>
      </c>
      <c r="E24512" s="224" t="s">
        <v>2</v>
      </c>
      <c r="G24512" s="52"/>
      <c r="H24512" s="56"/>
      <c r="I24512" s="224"/>
    </row>
    <row r="24513" spans="1:9" x14ac:dyDescent="0.25">
      <c r="A24513" s="515">
        <v>95543</v>
      </c>
      <c r="B24513" s="515" t="s">
        <v>844</v>
      </c>
      <c r="C24513" s="52">
        <v>379834.449521059</v>
      </c>
      <c r="D24513" s="56">
        <v>-6.554300666783161E-2</v>
      </c>
      <c r="E24513" s="224" t="s">
        <v>2</v>
      </c>
      <c r="G24513" s="52"/>
      <c r="H24513" s="56"/>
      <c r="I24513" s="224"/>
    </row>
    <row r="24514" spans="1:9" x14ac:dyDescent="0.25">
      <c r="A24514" s="515">
        <v>17840</v>
      </c>
      <c r="B24514" s="515" t="s">
        <v>939</v>
      </c>
      <c r="C24514" s="52">
        <v>32481.667910631</v>
      </c>
      <c r="D24514" s="56">
        <v>0</v>
      </c>
      <c r="E24514" s="224" t="s">
        <v>2</v>
      </c>
      <c r="G24514" s="52"/>
      <c r="H24514" s="56"/>
      <c r="I24514" s="224"/>
    </row>
    <row r="24515" spans="1:9" x14ac:dyDescent="0.25">
      <c r="A24515" s="515">
        <v>59337</v>
      </c>
      <c r="C24515" s="52">
        <v>205628.41887029901</v>
      </c>
      <c r="D24515" s="56">
        <v>0.10264319748347196</v>
      </c>
      <c r="E24515" s="224" t="s">
        <v>2</v>
      </c>
      <c r="G24515" s="52"/>
      <c r="H24515" s="56"/>
      <c r="I24515" s="224"/>
    </row>
    <row r="24516" spans="1:9" x14ac:dyDescent="0.25">
      <c r="A24516" s="515">
        <v>40807</v>
      </c>
      <c r="C24516" s="52">
        <v>62184.647200268402</v>
      </c>
      <c r="D24516" s="56">
        <v>0.32394940499369007</v>
      </c>
      <c r="E24516" s="224" t="s">
        <v>2</v>
      </c>
      <c r="G24516" s="52"/>
      <c r="H24516" s="56"/>
      <c r="I24516" s="224"/>
    </row>
    <row r="24517" spans="1:9" x14ac:dyDescent="0.25">
      <c r="A24517" s="515">
        <v>55752</v>
      </c>
      <c r="C24517" s="52">
        <v>180995.919306836</v>
      </c>
      <c r="D24517" s="56">
        <v>2.3522032120441079E-2</v>
      </c>
      <c r="E24517" s="224" t="s">
        <v>2</v>
      </c>
      <c r="G24517" s="52"/>
      <c r="H24517" s="56"/>
      <c r="I24517" s="224"/>
    </row>
    <row r="24518" spans="1:9" x14ac:dyDescent="0.25">
      <c r="A24518" s="515">
        <v>74963</v>
      </c>
      <c r="C24518" s="52">
        <v>163313.02774926901</v>
      </c>
      <c r="D24518" s="56">
        <v>0.15785320694269153</v>
      </c>
      <c r="E24518" s="224" t="s">
        <v>2</v>
      </c>
      <c r="G24518" s="52"/>
      <c r="H24518" s="56"/>
      <c r="I24518" s="224"/>
    </row>
    <row r="24519" spans="1:9" x14ac:dyDescent="0.25">
      <c r="A24519" s="515">
        <v>40040</v>
      </c>
      <c r="C24519" s="52">
        <v>154198.853736041</v>
      </c>
      <c r="D24519" s="56">
        <v>0.19479112137410567</v>
      </c>
      <c r="E24519" s="224" t="s">
        <v>2</v>
      </c>
      <c r="G24519" s="52"/>
      <c r="H24519" s="56"/>
      <c r="I24519" s="224"/>
    </row>
    <row r="24520" spans="1:9" x14ac:dyDescent="0.25">
      <c r="A24520" s="515">
        <v>50655</v>
      </c>
      <c r="C24520" s="52">
        <v>129589.773742426</v>
      </c>
      <c r="D24520" s="56">
        <v>-1.4498539082374389E-3</v>
      </c>
      <c r="E24520" s="224" t="s">
        <v>2</v>
      </c>
      <c r="G24520" s="52"/>
      <c r="H24520" s="56"/>
      <c r="I24520" s="224"/>
    </row>
    <row r="24521" spans="1:9" x14ac:dyDescent="0.25">
      <c r="A24521" s="515">
        <v>71827</v>
      </c>
      <c r="C24521" s="52">
        <v>74451.559413265306</v>
      </c>
      <c r="D24521" s="56">
        <v>-1.3428489353728482E-2</v>
      </c>
      <c r="E24521" s="224" t="s">
        <v>2</v>
      </c>
      <c r="G24521" s="52"/>
      <c r="H24521" s="56"/>
      <c r="I24521" s="224"/>
    </row>
    <row r="24522" spans="1:9" x14ac:dyDescent="0.25">
      <c r="A24522" s="515">
        <v>21665</v>
      </c>
      <c r="B24522" s="515" t="s">
        <v>519</v>
      </c>
      <c r="C24522" s="52">
        <v>622117.472069929</v>
      </c>
      <c r="D24522" s="56">
        <v>7.9921313293143365E-2</v>
      </c>
      <c r="E24522" s="224" t="s">
        <v>2</v>
      </c>
      <c r="G24522" s="52"/>
      <c r="H24522" s="56"/>
      <c r="I24522" s="224"/>
    </row>
    <row r="24523" spans="1:9" x14ac:dyDescent="0.25">
      <c r="A24523" s="515">
        <v>64449</v>
      </c>
      <c r="B24523" s="515" t="s">
        <v>371</v>
      </c>
      <c r="C24523" s="52">
        <v>152014.740382919</v>
      </c>
      <c r="D24523" s="56">
        <v>-8.8505330830641465E-2</v>
      </c>
      <c r="E24523" s="224" t="s">
        <v>2</v>
      </c>
      <c r="G24523" s="52"/>
      <c r="H24523" s="56"/>
      <c r="I24523" s="224"/>
    </row>
    <row r="24524" spans="1:9" x14ac:dyDescent="0.25">
      <c r="A24524" s="515">
        <v>64001</v>
      </c>
      <c r="B24524" s="515" t="s">
        <v>455</v>
      </c>
      <c r="C24524" s="52">
        <v>178276.84229771601</v>
      </c>
      <c r="D24524" s="56">
        <v>7.8813340675072729E-2</v>
      </c>
      <c r="E24524" s="224" t="s">
        <v>2</v>
      </c>
      <c r="G24524" s="52"/>
      <c r="H24524" s="56"/>
      <c r="I24524" s="224"/>
    </row>
    <row r="24525" spans="1:9" x14ac:dyDescent="0.25">
      <c r="A24525" s="515">
        <v>16311</v>
      </c>
      <c r="B24525" s="515" t="s">
        <v>397</v>
      </c>
      <c r="C24525" s="52">
        <v>167105.781891033</v>
      </c>
      <c r="D24525" s="56">
        <v>-6.0913318556794382E-2</v>
      </c>
      <c r="E24525" s="224" t="s">
        <v>2</v>
      </c>
      <c r="G24525" s="52"/>
      <c r="H24525" s="56"/>
      <c r="I24525" s="224"/>
    </row>
    <row r="24526" spans="1:9" x14ac:dyDescent="0.25">
      <c r="A24526" s="515">
        <v>58845</v>
      </c>
      <c r="C24526" s="52">
        <v>104827.470033912</v>
      </c>
      <c r="D24526" s="56">
        <v>3.2752780872898846E-2</v>
      </c>
      <c r="E24526" s="224" t="s">
        <v>2</v>
      </c>
      <c r="G24526" s="52"/>
      <c r="H24526" s="56"/>
      <c r="I24526" s="224"/>
    </row>
    <row r="24527" spans="1:9" x14ac:dyDescent="0.25">
      <c r="A24527" s="515">
        <v>51448</v>
      </c>
      <c r="C24527" s="52">
        <v>114657.604532597</v>
      </c>
      <c r="D24527" s="56">
        <v>0.15542569515043927</v>
      </c>
      <c r="E24527" s="224" t="s">
        <v>2</v>
      </c>
      <c r="G24527" s="52"/>
      <c r="H24527" s="56"/>
      <c r="I24527" s="224"/>
    </row>
    <row r="24528" spans="1:9" x14ac:dyDescent="0.25">
      <c r="A24528" s="515">
        <v>71286</v>
      </c>
      <c r="C24528" s="52">
        <v>78977.411764705801</v>
      </c>
      <c r="D24528" s="56">
        <v>0</v>
      </c>
      <c r="E24528" s="224" t="s">
        <v>2</v>
      </c>
      <c r="G24528" s="52"/>
      <c r="H24528" s="56"/>
      <c r="I24528" s="224"/>
    </row>
    <row r="24529" spans="1:9" x14ac:dyDescent="0.25">
      <c r="A24529" s="515">
        <v>58649</v>
      </c>
      <c r="C24529" s="52">
        <v>58062.438080594598</v>
      </c>
      <c r="D24529" s="56">
        <v>-0.12397516383155092</v>
      </c>
      <c r="E24529" s="224" t="s">
        <v>2</v>
      </c>
      <c r="G24529" s="52"/>
      <c r="H24529" s="56"/>
      <c r="I24529" s="224"/>
    </row>
    <row r="24530" spans="1:9" x14ac:dyDescent="0.25">
      <c r="A24530" s="515">
        <v>58031</v>
      </c>
      <c r="C24530" s="52">
        <v>95572.351012027299</v>
      </c>
      <c r="D24530" s="56">
        <v>3.2484531418716683E-2</v>
      </c>
      <c r="E24530" s="224" t="s">
        <v>2</v>
      </c>
      <c r="G24530" s="52"/>
      <c r="H24530" s="56"/>
      <c r="I24530" s="224"/>
    </row>
    <row r="24531" spans="1:9" x14ac:dyDescent="0.25">
      <c r="A24531" s="515">
        <v>80805</v>
      </c>
      <c r="C24531" s="52">
        <v>247999.95841611401</v>
      </c>
      <c r="D24531" s="56">
        <v>0</v>
      </c>
      <c r="E24531" s="224" t="s">
        <v>2</v>
      </c>
      <c r="G24531" s="52"/>
      <c r="H24531" s="56"/>
      <c r="I24531" s="224"/>
    </row>
    <row r="24532" spans="1:9" x14ac:dyDescent="0.25">
      <c r="A24532" s="515">
        <v>41660</v>
      </c>
      <c r="C24532" s="52">
        <v>51756.6301718537</v>
      </c>
      <c r="D24532" s="56">
        <v>0.23515989435265175</v>
      </c>
      <c r="E24532" s="224" t="s">
        <v>2</v>
      </c>
      <c r="G24532" s="52"/>
      <c r="H24532" s="56"/>
      <c r="I24532" s="224"/>
    </row>
    <row r="24533" spans="1:9" x14ac:dyDescent="0.25">
      <c r="A24533" s="515">
        <v>64647</v>
      </c>
      <c r="C24533" s="52">
        <v>154959.139737416</v>
      </c>
      <c r="D24533" s="56">
        <v>0</v>
      </c>
      <c r="E24533" s="224" t="s">
        <v>2</v>
      </c>
      <c r="G24533" s="52"/>
      <c r="H24533" s="56"/>
      <c r="I24533" s="224"/>
    </row>
    <row r="24534" spans="1:9" x14ac:dyDescent="0.25">
      <c r="A24534" s="515">
        <v>50448</v>
      </c>
      <c r="B24534" s="515" t="s">
        <v>634</v>
      </c>
      <c r="C24534" s="52">
        <v>148928.26473276599</v>
      </c>
      <c r="D24534" s="56">
        <v>0.16303950815907459</v>
      </c>
      <c r="E24534" s="224" t="s">
        <v>2</v>
      </c>
      <c r="G24534" s="52"/>
      <c r="H24534" s="56"/>
      <c r="I24534" s="224"/>
    </row>
    <row r="24535" spans="1:9" x14ac:dyDescent="0.25">
      <c r="A24535" s="515">
        <v>74027</v>
      </c>
      <c r="C24535" s="52">
        <v>127293.525506832</v>
      </c>
      <c r="D24535" s="56">
        <v>0.15300309452314292</v>
      </c>
      <c r="E24535" s="224" t="s">
        <v>2</v>
      </c>
      <c r="G24535" s="52"/>
      <c r="H24535" s="56"/>
      <c r="I24535" s="224"/>
    </row>
    <row r="24536" spans="1:9" x14ac:dyDescent="0.25">
      <c r="A24536" s="515">
        <v>52739</v>
      </c>
      <c r="C24536" s="52">
        <v>111764.33244156701</v>
      </c>
      <c r="D24536" s="56">
        <v>4.9416915072406691E-2</v>
      </c>
      <c r="E24536" s="224" t="s">
        <v>2</v>
      </c>
      <c r="G24536" s="52"/>
      <c r="H24536" s="56"/>
      <c r="I24536" s="224"/>
    </row>
    <row r="24537" spans="1:9" x14ac:dyDescent="0.25">
      <c r="A24537" s="515">
        <v>20615</v>
      </c>
      <c r="B24537" s="515" t="s">
        <v>321</v>
      </c>
      <c r="C24537" s="52">
        <v>458329.19572743197</v>
      </c>
      <c r="D24537" s="56">
        <v>0</v>
      </c>
      <c r="E24537" s="224" t="s">
        <v>2</v>
      </c>
      <c r="G24537" s="52"/>
      <c r="H24537" s="56"/>
      <c r="I24537" s="224"/>
    </row>
    <row r="24538" spans="1:9" x14ac:dyDescent="0.25">
      <c r="A24538" s="515">
        <v>61042</v>
      </c>
      <c r="B24538" s="515" t="s">
        <v>836</v>
      </c>
      <c r="C24538" s="52">
        <v>142355.00600453501</v>
      </c>
      <c r="D24538" s="56">
        <v>0</v>
      </c>
      <c r="E24538" s="224" t="s">
        <v>2</v>
      </c>
      <c r="G24538" s="52"/>
      <c r="H24538" s="56"/>
      <c r="I24538" s="224"/>
    </row>
    <row r="24539" spans="1:9" x14ac:dyDescent="0.25">
      <c r="A24539" s="515">
        <v>13337</v>
      </c>
      <c r="B24539" s="515" t="s">
        <v>460</v>
      </c>
      <c r="C24539" s="52">
        <v>309099.796803025</v>
      </c>
      <c r="D24539" s="56">
        <v>0.10339918848259262</v>
      </c>
      <c r="E24539" s="224" t="s">
        <v>2</v>
      </c>
      <c r="G24539" s="52"/>
      <c r="H24539" s="56"/>
      <c r="I24539" s="224"/>
    </row>
    <row r="24540" spans="1:9" x14ac:dyDescent="0.25">
      <c r="A24540" s="515">
        <v>87006</v>
      </c>
      <c r="C24540" s="52">
        <v>211570.80174610301</v>
      </c>
      <c r="D24540" s="56">
        <v>2.0175464178823106E-2</v>
      </c>
      <c r="E24540" s="224" t="s">
        <v>2</v>
      </c>
      <c r="G24540" s="52"/>
      <c r="H24540" s="56"/>
      <c r="I24540" s="224"/>
    </row>
    <row r="24541" spans="1:9" x14ac:dyDescent="0.25">
      <c r="A24541" s="515">
        <v>82932</v>
      </c>
      <c r="B24541" s="515" t="s">
        <v>646</v>
      </c>
      <c r="C24541" s="52">
        <v>283196.88111302198</v>
      </c>
      <c r="D24541" s="56">
        <v>2.4837672485024158E-2</v>
      </c>
      <c r="E24541" s="224" t="s">
        <v>2</v>
      </c>
      <c r="G24541" s="52"/>
      <c r="H24541" s="56"/>
      <c r="I24541" s="224"/>
    </row>
    <row r="24542" spans="1:9" x14ac:dyDescent="0.25">
      <c r="A24542" s="515">
        <v>66552</v>
      </c>
      <c r="B24542" s="515" t="s">
        <v>549</v>
      </c>
      <c r="C24542" s="52">
        <v>171463.975406021</v>
      </c>
      <c r="D24542" s="56">
        <v>0.21301070429056243</v>
      </c>
      <c r="E24542" s="224" t="s">
        <v>2</v>
      </c>
      <c r="G24542" s="52"/>
      <c r="H24542" s="56"/>
      <c r="I24542" s="224"/>
    </row>
    <row r="24543" spans="1:9" x14ac:dyDescent="0.25">
      <c r="A24543" s="515">
        <v>26585</v>
      </c>
      <c r="B24543" s="515" t="s">
        <v>302</v>
      </c>
      <c r="C24543" s="52">
        <v>118533.246677752</v>
      </c>
      <c r="D24543" s="56">
        <v>6.6064418755877222E-2</v>
      </c>
      <c r="E24543" s="224" t="s">
        <v>2</v>
      </c>
      <c r="G24543" s="52"/>
      <c r="H24543" s="56"/>
      <c r="I24543" s="224"/>
    </row>
    <row r="24544" spans="1:9" x14ac:dyDescent="0.25">
      <c r="A24544" s="515">
        <v>26254</v>
      </c>
      <c r="B24544" s="515" t="s">
        <v>586</v>
      </c>
      <c r="C24544" s="52">
        <v>124616.666666666</v>
      </c>
      <c r="D24544" s="56">
        <v>0</v>
      </c>
      <c r="E24544" s="224" t="s">
        <v>2</v>
      </c>
      <c r="G24544" s="52"/>
      <c r="H24544" s="56"/>
      <c r="I24544" s="224"/>
    </row>
    <row r="24545" spans="1:9" x14ac:dyDescent="0.25">
      <c r="A24545" s="515">
        <v>47848</v>
      </c>
      <c r="B24545" s="515" t="s">
        <v>318</v>
      </c>
      <c r="C24545" s="52">
        <v>111184.569619349</v>
      </c>
      <c r="D24545" s="56">
        <v>0.11165254183084143</v>
      </c>
      <c r="E24545" s="224" t="s">
        <v>2</v>
      </c>
      <c r="G24545" s="52"/>
      <c r="H24545" s="56"/>
      <c r="I24545" s="224"/>
    </row>
    <row r="24546" spans="1:9" x14ac:dyDescent="0.25">
      <c r="A24546" s="515">
        <v>41845</v>
      </c>
      <c r="C24546" s="52">
        <v>61350.471114093103</v>
      </c>
      <c r="D24546" s="56">
        <v>0.17239314474667639</v>
      </c>
      <c r="E24546" s="224" t="s">
        <v>2</v>
      </c>
      <c r="G24546" s="52"/>
      <c r="H24546" s="56"/>
      <c r="I24546" s="224"/>
    </row>
    <row r="24547" spans="1:9" x14ac:dyDescent="0.25">
      <c r="A24547" s="515">
        <v>65733</v>
      </c>
      <c r="B24547" s="515" t="s">
        <v>757</v>
      </c>
      <c r="C24547" s="52">
        <v>202145.84130203101</v>
      </c>
      <c r="D24547" s="56">
        <v>0.1419757376596571</v>
      </c>
      <c r="E24547" s="224" t="s">
        <v>2</v>
      </c>
      <c r="G24547" s="52"/>
      <c r="H24547" s="56"/>
      <c r="I24547" s="224"/>
    </row>
    <row r="24548" spans="1:9" x14ac:dyDescent="0.25">
      <c r="A24548" s="515">
        <v>2894</v>
      </c>
      <c r="B24548" s="515" t="s">
        <v>513</v>
      </c>
      <c r="C24548" s="52">
        <v>408733.45182082901</v>
      </c>
      <c r="D24548" s="56">
        <v>6.2363523920813936E-2</v>
      </c>
      <c r="E24548" s="224" t="s">
        <v>2</v>
      </c>
      <c r="G24548" s="52"/>
      <c r="H24548" s="56"/>
      <c r="I24548" s="224"/>
    </row>
    <row r="24549" spans="1:9" x14ac:dyDescent="0.25">
      <c r="A24549" s="515">
        <v>59871</v>
      </c>
      <c r="C24549" s="52">
        <v>429038.27018324402</v>
      </c>
      <c r="D24549" s="56">
        <v>5.5999058795352587E-2</v>
      </c>
      <c r="E24549" s="224" t="s">
        <v>2</v>
      </c>
      <c r="G24549" s="52"/>
      <c r="H24549" s="56"/>
      <c r="I24549" s="224"/>
    </row>
    <row r="24550" spans="1:9" x14ac:dyDescent="0.25">
      <c r="A24550" s="515">
        <v>5062</v>
      </c>
      <c r="B24550" s="515" t="s">
        <v>420</v>
      </c>
      <c r="C24550" s="52">
        <v>390727.24752475199</v>
      </c>
      <c r="D24550" s="56">
        <v>0</v>
      </c>
      <c r="E24550" s="224" t="s">
        <v>2</v>
      </c>
      <c r="G24550" s="52"/>
      <c r="H24550" s="56"/>
      <c r="I24550" s="224"/>
    </row>
    <row r="24551" spans="1:9" x14ac:dyDescent="0.25">
      <c r="A24551" s="515">
        <v>68981</v>
      </c>
      <c r="C24551" s="52">
        <v>138996.17644266901</v>
      </c>
      <c r="D24551" s="56">
        <v>1.4544188732611893E-2</v>
      </c>
      <c r="E24551" s="224" t="s">
        <v>2</v>
      </c>
      <c r="G24551" s="52"/>
      <c r="H24551" s="56"/>
      <c r="I24551" s="224"/>
    </row>
    <row r="24552" spans="1:9" x14ac:dyDescent="0.25">
      <c r="A24552" s="515">
        <v>66948</v>
      </c>
      <c r="C24552" s="52">
        <v>91122.272409908706</v>
      </c>
      <c r="D24552" s="56">
        <v>-5.6158049094551226E-3</v>
      </c>
      <c r="E24552" s="224" t="s">
        <v>2</v>
      </c>
      <c r="G24552" s="52"/>
      <c r="H24552" s="56"/>
      <c r="I24552" s="224"/>
    </row>
    <row r="24553" spans="1:9" x14ac:dyDescent="0.25">
      <c r="A24553" s="515">
        <v>58064</v>
      </c>
      <c r="B24553" s="515" t="s">
        <v>928</v>
      </c>
      <c r="C24553" s="52">
        <v>207065.52139657599</v>
      </c>
      <c r="D24553" s="56">
        <v>0</v>
      </c>
      <c r="E24553" s="224" t="s">
        <v>2</v>
      </c>
      <c r="G24553" s="52"/>
      <c r="H24553" s="56"/>
      <c r="I24553" s="224"/>
    </row>
    <row r="24554" spans="1:9" x14ac:dyDescent="0.25">
      <c r="A24554" s="515">
        <v>24562</v>
      </c>
      <c r="C24554" s="52">
        <v>198416.898693</v>
      </c>
      <c r="D24554" s="56">
        <v>5.8468640187210992E-2</v>
      </c>
      <c r="E24554" s="224" t="s">
        <v>2</v>
      </c>
      <c r="G24554" s="52"/>
      <c r="H24554" s="56"/>
      <c r="I24554" s="224"/>
    </row>
    <row r="24555" spans="1:9" x14ac:dyDescent="0.25">
      <c r="A24555" s="515">
        <v>41840</v>
      </c>
      <c r="C24555" s="52">
        <v>55082.601757588302</v>
      </c>
      <c r="D24555" s="56">
        <v>5.2805695478056511E-2</v>
      </c>
      <c r="E24555" s="224" t="s">
        <v>2</v>
      </c>
      <c r="G24555" s="52"/>
      <c r="H24555" s="56"/>
      <c r="I24555" s="224"/>
    </row>
    <row r="24556" spans="1:9" x14ac:dyDescent="0.25">
      <c r="A24556" s="515">
        <v>58532</v>
      </c>
      <c r="B24556" s="515" t="s">
        <v>930</v>
      </c>
      <c r="C24556" s="52">
        <v>171923.00114267401</v>
      </c>
      <c r="D24556" s="56">
        <v>0</v>
      </c>
      <c r="E24556" s="224" t="s">
        <v>2</v>
      </c>
      <c r="G24556" s="52"/>
      <c r="H24556" s="56"/>
      <c r="I24556" s="224"/>
    </row>
    <row r="24557" spans="1:9" x14ac:dyDescent="0.25">
      <c r="A24557" s="515">
        <v>52550</v>
      </c>
      <c r="C24557" s="52">
        <v>83929.852199998204</v>
      </c>
      <c r="D24557" s="56">
        <v>0</v>
      </c>
      <c r="E24557" s="224" t="s">
        <v>2</v>
      </c>
      <c r="G24557" s="52"/>
      <c r="H24557" s="56"/>
      <c r="I24557" s="224"/>
    </row>
    <row r="24558" spans="1:9" x14ac:dyDescent="0.25">
      <c r="A24558" s="515">
        <v>82943</v>
      </c>
      <c r="B24558" s="515" t="s">
        <v>646</v>
      </c>
      <c r="C24558" s="52">
        <v>120066.91475394199</v>
      </c>
      <c r="D24558" s="56">
        <v>0.10182792978972427</v>
      </c>
      <c r="E24558" s="224" t="s">
        <v>2</v>
      </c>
      <c r="G24558" s="52"/>
      <c r="H24558" s="56"/>
      <c r="I24558" s="224"/>
    </row>
    <row r="24559" spans="1:9" x14ac:dyDescent="0.25">
      <c r="A24559" s="515">
        <v>65752</v>
      </c>
      <c r="C24559" s="52">
        <v>181182.115298313</v>
      </c>
      <c r="D24559" s="56">
        <v>0.12227275255748422</v>
      </c>
      <c r="E24559" s="224" t="s">
        <v>2</v>
      </c>
      <c r="G24559" s="52"/>
      <c r="H24559" s="56"/>
      <c r="I24559" s="224"/>
    </row>
    <row r="24560" spans="1:9" x14ac:dyDescent="0.25">
      <c r="A24560" s="515">
        <v>36436</v>
      </c>
      <c r="C24560" s="52">
        <v>117933.174892019</v>
      </c>
      <c r="D24560" s="56">
        <v>-1.9475409497049168E-2</v>
      </c>
      <c r="E24560" s="224" t="s">
        <v>2</v>
      </c>
      <c r="G24560" s="52"/>
      <c r="H24560" s="56"/>
      <c r="I24560" s="224"/>
    </row>
    <row r="24561" spans="1:9" x14ac:dyDescent="0.25">
      <c r="A24561" s="515">
        <v>31532</v>
      </c>
      <c r="C24561" s="52">
        <v>115802.962247837</v>
      </c>
      <c r="D24561" s="56">
        <v>-1.4302577651208317E-2</v>
      </c>
      <c r="E24561" s="224" t="s">
        <v>2</v>
      </c>
      <c r="G24561" s="52"/>
      <c r="H24561" s="56"/>
      <c r="I24561" s="224"/>
    </row>
    <row r="24562" spans="1:9" x14ac:dyDescent="0.25">
      <c r="A24562" s="515">
        <v>65439</v>
      </c>
      <c r="C24562" s="52">
        <v>133141.51892819101</v>
      </c>
      <c r="D24562" s="56">
        <v>0.13489611419929148</v>
      </c>
      <c r="E24562" s="224" t="s">
        <v>2</v>
      </c>
      <c r="G24562" s="52"/>
      <c r="H24562" s="56"/>
      <c r="I24562" s="224"/>
    </row>
    <row r="24563" spans="1:9" x14ac:dyDescent="0.25">
      <c r="A24563" s="515">
        <v>68778</v>
      </c>
      <c r="C24563" s="52">
        <v>176117.43232675199</v>
      </c>
      <c r="D24563" s="56">
        <v>0.12643021627514539</v>
      </c>
      <c r="E24563" s="224" t="s">
        <v>2</v>
      </c>
      <c r="G24563" s="52"/>
      <c r="H24563" s="56"/>
      <c r="I24563" s="224"/>
    </row>
    <row r="24564" spans="1:9" x14ac:dyDescent="0.25">
      <c r="A24564" s="515">
        <v>25083</v>
      </c>
      <c r="B24564" s="515" t="s">
        <v>566</v>
      </c>
      <c r="C24564" s="52">
        <v>66514.778894885894</v>
      </c>
      <c r="D24564" s="56">
        <v>0.19954611761959565</v>
      </c>
      <c r="E24564" s="224" t="s">
        <v>2</v>
      </c>
      <c r="G24564" s="52"/>
      <c r="H24564" s="56"/>
      <c r="I24564" s="224"/>
    </row>
    <row r="24565" spans="1:9" x14ac:dyDescent="0.25">
      <c r="A24565" s="515">
        <v>23889</v>
      </c>
      <c r="C24565" s="52">
        <v>100130.764705882</v>
      </c>
      <c r="D24565" s="56">
        <v>0</v>
      </c>
      <c r="E24565" s="224" t="s">
        <v>2</v>
      </c>
      <c r="G24565" s="52"/>
      <c r="H24565" s="56"/>
      <c r="I24565" s="224"/>
    </row>
    <row r="24566" spans="1:9" x14ac:dyDescent="0.25">
      <c r="A24566" s="515">
        <v>25845</v>
      </c>
      <c r="C24566" s="52">
        <v>37995.909507773897</v>
      </c>
      <c r="D24566" s="56">
        <v>-1.9570818473065344E-2</v>
      </c>
      <c r="E24566" s="224" t="s">
        <v>2</v>
      </c>
      <c r="G24566" s="52"/>
      <c r="H24566" s="56"/>
      <c r="I24566" s="224"/>
    </row>
    <row r="24567" spans="1:9" x14ac:dyDescent="0.25">
      <c r="A24567" s="515">
        <v>68982</v>
      </c>
      <c r="C24567" s="52">
        <v>190008.33205588299</v>
      </c>
      <c r="D24567" s="56">
        <v>0.11098677850304094</v>
      </c>
      <c r="E24567" s="224" t="s">
        <v>2</v>
      </c>
      <c r="G24567" s="52"/>
      <c r="H24567" s="56"/>
      <c r="I24567" s="224"/>
    </row>
    <row r="24568" spans="1:9" x14ac:dyDescent="0.25">
      <c r="A24568" s="515">
        <v>53505</v>
      </c>
      <c r="B24568" s="515" t="s">
        <v>379</v>
      </c>
      <c r="C24568" s="52">
        <v>284077.43181818101</v>
      </c>
      <c r="D24568" s="56">
        <v>0</v>
      </c>
      <c r="E24568" s="224" t="s">
        <v>2</v>
      </c>
      <c r="G24568" s="52"/>
      <c r="H24568" s="56"/>
      <c r="I24568" s="224"/>
    </row>
    <row r="24569" spans="1:9" x14ac:dyDescent="0.25">
      <c r="A24569" s="515">
        <v>68855</v>
      </c>
      <c r="C24569" s="52">
        <v>205559.20998152799</v>
      </c>
      <c r="D24569" s="56">
        <v>0</v>
      </c>
      <c r="E24569" s="224" t="s">
        <v>2</v>
      </c>
      <c r="G24569" s="52"/>
      <c r="H24569" s="56"/>
      <c r="I24569" s="224"/>
    </row>
    <row r="24570" spans="1:9" x14ac:dyDescent="0.25">
      <c r="A24570" s="515">
        <v>26222</v>
      </c>
      <c r="C24570" s="52">
        <v>69368.472125675107</v>
      </c>
      <c r="D24570" s="56">
        <v>0.1061197151716345</v>
      </c>
      <c r="E24570" s="224" t="s">
        <v>2</v>
      </c>
      <c r="G24570" s="52"/>
      <c r="H24570" s="56"/>
      <c r="I24570" s="224"/>
    </row>
    <row r="24571" spans="1:9" x14ac:dyDescent="0.25">
      <c r="A24571" s="515">
        <v>64622</v>
      </c>
      <c r="C24571" s="52">
        <v>144459.809523809</v>
      </c>
      <c r="D24571" s="56">
        <v>0</v>
      </c>
      <c r="E24571" s="224" t="s">
        <v>2</v>
      </c>
      <c r="G24571" s="52"/>
      <c r="H24571" s="56"/>
      <c r="I24571" s="224"/>
    </row>
    <row r="24572" spans="1:9" x14ac:dyDescent="0.25">
      <c r="A24572" s="515">
        <v>56375</v>
      </c>
      <c r="B24572" s="515" t="s">
        <v>418</v>
      </c>
      <c r="C24572" s="52">
        <v>261096.817398805</v>
      </c>
      <c r="D24572" s="56">
        <v>-8.1829937286751978E-3</v>
      </c>
      <c r="E24572" s="224" t="s">
        <v>2</v>
      </c>
      <c r="G24572" s="52"/>
      <c r="H24572" s="56"/>
      <c r="I24572" s="224"/>
    </row>
    <row r="24573" spans="1:9" x14ac:dyDescent="0.25">
      <c r="A24573" s="515">
        <v>39461</v>
      </c>
      <c r="C24573" s="52">
        <v>142168.59119411299</v>
      </c>
      <c r="D24573" s="56">
        <v>4.1839492405529144E-2</v>
      </c>
      <c r="E24573" s="224" t="s">
        <v>2</v>
      </c>
      <c r="G24573" s="52"/>
      <c r="H24573" s="56"/>
      <c r="I24573" s="224"/>
    </row>
    <row r="24574" spans="1:9" x14ac:dyDescent="0.25">
      <c r="A24574" s="515">
        <v>43116</v>
      </c>
      <c r="B24574" s="515" t="s">
        <v>345</v>
      </c>
      <c r="C24574" s="52">
        <v>362108.926452871</v>
      </c>
      <c r="D24574" s="56">
        <v>5.8635741269674205E-2</v>
      </c>
      <c r="E24574" s="224" t="s">
        <v>2</v>
      </c>
      <c r="G24574" s="52"/>
      <c r="H24574" s="56"/>
      <c r="I24574" s="224"/>
    </row>
    <row r="24575" spans="1:9" x14ac:dyDescent="0.25">
      <c r="A24575" s="515">
        <v>97622</v>
      </c>
      <c r="B24575" s="515" t="s">
        <v>545</v>
      </c>
      <c r="C24575" s="52">
        <v>159922.32934968799</v>
      </c>
      <c r="D24575" s="56">
        <v>0.1662288781327784</v>
      </c>
      <c r="E24575" s="224" t="s">
        <v>2</v>
      </c>
      <c r="G24575" s="52"/>
      <c r="H24575" s="56"/>
      <c r="I24575" s="224"/>
    </row>
    <row r="24576" spans="1:9" x14ac:dyDescent="0.25">
      <c r="A24576" s="515">
        <v>38370</v>
      </c>
      <c r="C24576" s="52">
        <v>101872.867189217</v>
      </c>
      <c r="D24576" s="56">
        <v>0</v>
      </c>
      <c r="E24576" s="224" t="s">
        <v>2</v>
      </c>
      <c r="G24576" s="52"/>
      <c r="H24576" s="56"/>
      <c r="I24576" s="224"/>
    </row>
    <row r="24577" spans="1:9" x14ac:dyDescent="0.25">
      <c r="A24577" s="515">
        <v>1346</v>
      </c>
      <c r="B24577" s="515" t="s">
        <v>575</v>
      </c>
      <c r="C24577" s="52">
        <v>260565.32824389799</v>
      </c>
      <c r="D24577" s="56">
        <v>0.15177232023489021</v>
      </c>
      <c r="E24577" s="224" t="s">
        <v>2</v>
      </c>
      <c r="G24577" s="52"/>
      <c r="H24577" s="56"/>
      <c r="I24577" s="224"/>
    </row>
    <row r="24578" spans="1:9" x14ac:dyDescent="0.25">
      <c r="A24578" s="515">
        <v>25547</v>
      </c>
      <c r="B24578" s="515" t="s">
        <v>464</v>
      </c>
      <c r="C24578" s="52">
        <v>100565.98736183099</v>
      </c>
      <c r="D24578" s="56">
        <v>0.11281399996534174</v>
      </c>
      <c r="E24578" s="224" t="s">
        <v>2</v>
      </c>
      <c r="G24578" s="52"/>
      <c r="H24578" s="56"/>
      <c r="I24578" s="224"/>
    </row>
    <row r="24579" spans="1:9" x14ac:dyDescent="0.25">
      <c r="A24579" s="515">
        <v>63373</v>
      </c>
      <c r="B24579" s="515" t="s">
        <v>498</v>
      </c>
      <c r="C24579" s="52">
        <v>201261.52114228701</v>
      </c>
      <c r="D24579" s="56">
        <v>5.8218677634119649E-2</v>
      </c>
      <c r="E24579" s="224" t="s">
        <v>2</v>
      </c>
      <c r="G24579" s="52"/>
      <c r="H24579" s="56"/>
      <c r="I24579" s="224"/>
    </row>
    <row r="24580" spans="1:9" x14ac:dyDescent="0.25">
      <c r="A24580" s="515">
        <v>16683</v>
      </c>
      <c r="B24580" s="515" t="s">
        <v>539</v>
      </c>
      <c r="C24580" s="52">
        <v>195655.02312427</v>
      </c>
      <c r="D24580" s="56">
        <v>0</v>
      </c>
      <c r="E24580" s="224" t="s">
        <v>2</v>
      </c>
      <c r="G24580" s="52"/>
      <c r="H24580" s="56"/>
      <c r="I24580" s="224"/>
    </row>
    <row r="24581" spans="1:9" x14ac:dyDescent="0.25">
      <c r="A24581" s="515">
        <v>61440</v>
      </c>
      <c r="B24581" s="515" t="s">
        <v>493</v>
      </c>
      <c r="C24581" s="52">
        <v>66795.558823529398</v>
      </c>
      <c r="D24581" s="56">
        <v>0</v>
      </c>
      <c r="E24581" s="224" t="s">
        <v>2</v>
      </c>
      <c r="G24581" s="52"/>
      <c r="H24581" s="56"/>
      <c r="I24581" s="224"/>
    </row>
    <row r="24582" spans="1:9" x14ac:dyDescent="0.25">
      <c r="A24582" s="515">
        <v>51433</v>
      </c>
      <c r="C24582" s="52">
        <v>143764.14731910301</v>
      </c>
      <c r="D24582" s="56">
        <v>7.8706148129077252E-2</v>
      </c>
      <c r="E24582" s="224" t="s">
        <v>2</v>
      </c>
      <c r="G24582" s="52"/>
      <c r="H24582" s="56"/>
      <c r="I24582" s="224"/>
    </row>
    <row r="24583" spans="1:9" x14ac:dyDescent="0.25">
      <c r="A24583" s="515">
        <v>80427</v>
      </c>
      <c r="B24583" s="515" t="s">
        <v>401</v>
      </c>
      <c r="C24583" s="52">
        <v>396925.79445664701</v>
      </c>
      <c r="D24583" s="56">
        <v>5.6833184373563182E-2</v>
      </c>
      <c r="E24583" s="224" t="s">
        <v>2</v>
      </c>
      <c r="G24583" s="52"/>
      <c r="H24583" s="56"/>
      <c r="I24583" s="224"/>
    </row>
    <row r="24584" spans="1:9" x14ac:dyDescent="0.25">
      <c r="A24584" s="515">
        <v>15429</v>
      </c>
      <c r="B24584" s="515" t="s">
        <v>297</v>
      </c>
      <c r="C24584" s="52">
        <v>38618.025116849902</v>
      </c>
      <c r="D24584" s="56">
        <v>0.35200546912474001</v>
      </c>
      <c r="E24584" s="224" t="s">
        <v>2</v>
      </c>
      <c r="G24584" s="52"/>
      <c r="H24584" s="56"/>
      <c r="I24584" s="224"/>
    </row>
    <row r="24585" spans="1:9" x14ac:dyDescent="0.25">
      <c r="A24585" s="515">
        <v>48721</v>
      </c>
      <c r="C24585" s="52">
        <v>143718.42207511101</v>
      </c>
      <c r="D24585" s="56">
        <v>-6.8148494757663009E-3</v>
      </c>
      <c r="E24585" s="224" t="s">
        <v>2</v>
      </c>
      <c r="G24585" s="52"/>
      <c r="H24585" s="56"/>
      <c r="I24585" s="224"/>
    </row>
    <row r="24586" spans="1:9" x14ac:dyDescent="0.25">
      <c r="A24586" s="515">
        <v>66770</v>
      </c>
      <c r="C24586" s="52">
        <v>125022.00014052101</v>
      </c>
      <c r="D24586" s="56">
        <v>9.4615787230937262E-2</v>
      </c>
      <c r="E24586" s="224" t="s">
        <v>2</v>
      </c>
      <c r="G24586" s="52"/>
      <c r="H24586" s="56"/>
      <c r="I24586" s="224"/>
    </row>
    <row r="24587" spans="1:9" x14ac:dyDescent="0.25">
      <c r="A24587" s="515">
        <v>84038</v>
      </c>
      <c r="C24587" s="52">
        <v>663783.27272727201</v>
      </c>
      <c r="D24587" s="56">
        <v>0</v>
      </c>
      <c r="E24587" s="224" t="s">
        <v>2</v>
      </c>
      <c r="G24587" s="52"/>
      <c r="H24587" s="56"/>
      <c r="I24587" s="224"/>
    </row>
    <row r="24588" spans="1:9" x14ac:dyDescent="0.25">
      <c r="A24588" s="515">
        <v>14069</v>
      </c>
      <c r="B24588" s="515" t="s">
        <v>336</v>
      </c>
      <c r="C24588" s="52">
        <v>251208.80065205001</v>
      </c>
      <c r="D24588" s="56">
        <v>3.8221964868233954E-2</v>
      </c>
      <c r="E24588" s="224" t="s">
        <v>2</v>
      </c>
      <c r="G24588" s="52"/>
      <c r="H24588" s="56"/>
      <c r="I24588" s="224"/>
    </row>
    <row r="24589" spans="1:9" x14ac:dyDescent="0.25">
      <c r="A24589" s="515">
        <v>50681</v>
      </c>
      <c r="C24589" s="52">
        <v>147737.01446699101</v>
      </c>
      <c r="D24589" s="56">
        <v>0.16072932994893135</v>
      </c>
      <c r="E24589" s="224" t="s">
        <v>2</v>
      </c>
      <c r="G24589" s="52"/>
      <c r="H24589" s="56"/>
      <c r="I24589" s="224"/>
    </row>
    <row r="24590" spans="1:9" x14ac:dyDescent="0.25">
      <c r="A24590" s="515">
        <v>15047</v>
      </c>
      <c r="B24590" s="515" t="s">
        <v>297</v>
      </c>
      <c r="C24590" s="52">
        <v>136257.120174615</v>
      </c>
      <c r="D24590" s="56">
        <v>0.12859455314375431</v>
      </c>
      <c r="E24590" s="224" t="s">
        <v>2</v>
      </c>
      <c r="G24590" s="52"/>
      <c r="H24590" s="56"/>
      <c r="I24590" s="224"/>
    </row>
    <row r="24591" spans="1:9" x14ac:dyDescent="0.25">
      <c r="A24591" s="515">
        <v>50453</v>
      </c>
      <c r="C24591" s="52">
        <v>150606.34485868301</v>
      </c>
      <c r="D24591" s="56">
        <v>0</v>
      </c>
      <c r="E24591" s="224" t="s">
        <v>2</v>
      </c>
      <c r="G24591" s="52"/>
      <c r="H24591" s="56"/>
      <c r="I24591" s="224"/>
    </row>
    <row r="24592" spans="1:9" x14ac:dyDescent="0.25">
      <c r="A24592" s="515">
        <v>5351</v>
      </c>
      <c r="C24592" s="52">
        <v>327625.30645161198</v>
      </c>
      <c r="D24592" s="56">
        <v>0</v>
      </c>
      <c r="E24592" s="224" t="s">
        <v>2</v>
      </c>
      <c r="G24592" s="52"/>
      <c r="H24592" s="56"/>
      <c r="I24592" s="224"/>
    </row>
    <row r="24593" spans="1:9" x14ac:dyDescent="0.25">
      <c r="A24593" s="515">
        <v>84522</v>
      </c>
      <c r="C24593" s="52">
        <v>162967.31914893599</v>
      </c>
      <c r="D24593" s="56">
        <v>0</v>
      </c>
      <c r="E24593" s="224" t="s">
        <v>2</v>
      </c>
      <c r="G24593" s="52"/>
      <c r="H24593" s="56"/>
      <c r="I24593" s="224"/>
    </row>
    <row r="24594" spans="1:9" x14ac:dyDescent="0.25">
      <c r="A24594" s="515">
        <v>79532</v>
      </c>
      <c r="C24594" s="52">
        <v>80786.091880421998</v>
      </c>
      <c r="D24594" s="56">
        <v>0</v>
      </c>
      <c r="E24594" s="224" t="s">
        <v>2</v>
      </c>
      <c r="G24594" s="52"/>
      <c r="H24594" s="56"/>
      <c r="I24594" s="224"/>
    </row>
    <row r="24595" spans="1:9" x14ac:dyDescent="0.25">
      <c r="A24595" s="515">
        <v>24915</v>
      </c>
      <c r="C24595" s="52">
        <v>120270.708757945</v>
      </c>
      <c r="D24595" s="56">
        <v>0.12528254000989644</v>
      </c>
      <c r="E24595" s="224" t="s">
        <v>2</v>
      </c>
      <c r="G24595" s="52"/>
      <c r="H24595" s="56"/>
      <c r="I24595" s="224"/>
    </row>
    <row r="24596" spans="1:9" x14ac:dyDescent="0.25">
      <c r="A24596" s="515">
        <v>12810</v>
      </c>
      <c r="B24596" s="515" t="s">
        <v>422</v>
      </c>
      <c r="C24596" s="52">
        <v>208712.61709046399</v>
      </c>
      <c r="D24596" s="56">
        <v>0.14723821039805202</v>
      </c>
      <c r="E24596" s="224" t="s">
        <v>2</v>
      </c>
      <c r="G24596" s="52"/>
      <c r="H24596" s="56"/>
      <c r="I24596" s="224"/>
    </row>
    <row r="24597" spans="1:9" x14ac:dyDescent="0.25">
      <c r="A24597" s="515">
        <v>64457</v>
      </c>
      <c r="B24597" s="515" t="s">
        <v>749</v>
      </c>
      <c r="C24597" s="52">
        <v>193811.13104433601</v>
      </c>
      <c r="D24597" s="56">
        <v>0.16260528513933586</v>
      </c>
      <c r="E24597" s="224" t="s">
        <v>2</v>
      </c>
      <c r="G24597" s="52"/>
      <c r="H24597" s="56"/>
      <c r="I24597" s="224"/>
    </row>
    <row r="24598" spans="1:9" x14ac:dyDescent="0.25">
      <c r="A24598" s="515">
        <v>59074</v>
      </c>
      <c r="C24598" s="52">
        <v>231591.73023011701</v>
      </c>
      <c r="D24598" s="56">
        <v>7.0625043846049396E-2</v>
      </c>
      <c r="E24598" s="224" t="s">
        <v>2</v>
      </c>
      <c r="G24598" s="52"/>
      <c r="H24598" s="56"/>
      <c r="I24598" s="224"/>
    </row>
    <row r="24599" spans="1:9" x14ac:dyDescent="0.25">
      <c r="A24599" s="515">
        <v>13777</v>
      </c>
      <c r="B24599" s="515" t="s">
        <v>840</v>
      </c>
      <c r="C24599" s="52">
        <v>174281.88713145701</v>
      </c>
      <c r="D24599" s="56">
        <v>6.1751485661007702E-2</v>
      </c>
      <c r="E24599" s="224" t="s">
        <v>2</v>
      </c>
      <c r="G24599" s="52"/>
      <c r="H24599" s="56"/>
      <c r="I24599" s="224"/>
    </row>
    <row r="24600" spans="1:9" x14ac:dyDescent="0.25">
      <c r="A24600" s="515">
        <v>73755</v>
      </c>
      <c r="C24600" s="52">
        <v>98738.774816798905</v>
      </c>
      <c r="D24600" s="56">
        <v>9.2920503832012391E-2</v>
      </c>
      <c r="E24600" s="224" t="s">
        <v>2</v>
      </c>
      <c r="G24600" s="52"/>
      <c r="H24600" s="56"/>
      <c r="I24600" s="224"/>
    </row>
    <row r="24601" spans="1:9" x14ac:dyDescent="0.25">
      <c r="A24601" s="515">
        <v>68936</v>
      </c>
      <c r="C24601" s="52">
        <v>72551.977335332995</v>
      </c>
      <c r="D24601" s="56">
        <v>7.030035090442853E-2</v>
      </c>
      <c r="E24601" s="224" t="s">
        <v>2</v>
      </c>
      <c r="G24601" s="52"/>
      <c r="H24601" s="56"/>
      <c r="I24601" s="224"/>
    </row>
    <row r="24602" spans="1:9" x14ac:dyDescent="0.25">
      <c r="A24602" s="515">
        <v>23395</v>
      </c>
      <c r="C24602" s="52">
        <v>53321.839541547197</v>
      </c>
      <c r="D24602" s="56">
        <v>0</v>
      </c>
      <c r="E24602" s="224" t="s">
        <v>2</v>
      </c>
      <c r="G24602" s="52"/>
      <c r="H24602" s="56"/>
      <c r="I24602" s="224"/>
    </row>
    <row r="24603" spans="1:9" x14ac:dyDescent="0.25">
      <c r="A24603" s="515">
        <v>56292</v>
      </c>
      <c r="C24603" s="52">
        <v>143699.44676532</v>
      </c>
      <c r="D24603" s="56">
        <v>-6.3325603838371242E-2</v>
      </c>
      <c r="E24603" s="224" t="s">
        <v>2</v>
      </c>
      <c r="G24603" s="52"/>
      <c r="H24603" s="56"/>
      <c r="I24603" s="224"/>
    </row>
    <row r="24604" spans="1:9" x14ac:dyDescent="0.25">
      <c r="A24604" s="515">
        <v>69217</v>
      </c>
      <c r="C24604" s="52">
        <v>140104.829180598</v>
      </c>
      <c r="D24604" s="56">
        <v>0.44935231994684333</v>
      </c>
      <c r="E24604" s="224" t="s">
        <v>2</v>
      </c>
      <c r="G24604" s="52"/>
      <c r="H24604" s="56"/>
      <c r="I24604" s="224"/>
    </row>
    <row r="24605" spans="1:9" x14ac:dyDescent="0.25">
      <c r="A24605" s="515">
        <v>98555</v>
      </c>
      <c r="B24605" s="515" t="s">
        <v>839</v>
      </c>
      <c r="C24605" s="52">
        <v>366163.041939146</v>
      </c>
      <c r="D24605" s="56">
        <v>3.2995441793557727E-2</v>
      </c>
      <c r="E24605" s="224" t="s">
        <v>2</v>
      </c>
      <c r="G24605" s="52"/>
      <c r="H24605" s="56"/>
      <c r="I24605" s="224"/>
    </row>
    <row r="24606" spans="1:9" x14ac:dyDescent="0.25">
      <c r="A24606" s="515">
        <v>49710</v>
      </c>
      <c r="B24606" s="515" t="s">
        <v>740</v>
      </c>
      <c r="C24606" s="52">
        <v>158201.69320786899</v>
      </c>
      <c r="D24606" s="56">
        <v>4.6126600960362925E-2</v>
      </c>
      <c r="E24606" s="224" t="s">
        <v>2</v>
      </c>
      <c r="G24606" s="52"/>
      <c r="H24606" s="56"/>
      <c r="I24606" s="224"/>
    </row>
    <row r="24607" spans="1:9" x14ac:dyDescent="0.25">
      <c r="A24607" s="515">
        <v>57237</v>
      </c>
      <c r="C24607" s="52">
        <v>359179.67586807598</v>
      </c>
      <c r="D24607" s="56">
        <v>0.14461912147202768</v>
      </c>
      <c r="E24607" s="224" t="s">
        <v>2</v>
      </c>
      <c r="G24607" s="52"/>
      <c r="H24607" s="56"/>
      <c r="I24607" s="224"/>
    </row>
    <row r="24608" spans="1:9" x14ac:dyDescent="0.25">
      <c r="A24608" s="515">
        <v>67051</v>
      </c>
      <c r="B24608" s="515" t="s">
        <v>485</v>
      </c>
      <c r="C24608" s="52">
        <v>129060.081511532</v>
      </c>
      <c r="D24608" s="56">
        <v>1.5549392310881937E-2</v>
      </c>
      <c r="E24608" s="224" t="s">
        <v>2</v>
      </c>
      <c r="G24608" s="52"/>
      <c r="H24608" s="56"/>
      <c r="I24608" s="224"/>
    </row>
    <row r="24609" spans="1:9" x14ac:dyDescent="0.25">
      <c r="A24609" s="515">
        <v>69032</v>
      </c>
      <c r="C24609" s="52">
        <v>187233.88441565901</v>
      </c>
      <c r="D24609" s="56">
        <v>0.10246759380318204</v>
      </c>
      <c r="E24609" s="224" t="s">
        <v>2</v>
      </c>
      <c r="G24609" s="52"/>
      <c r="H24609" s="56"/>
      <c r="I24609" s="224"/>
    </row>
    <row r="24610" spans="1:9" x14ac:dyDescent="0.25">
      <c r="A24610" s="515">
        <v>3607</v>
      </c>
      <c r="B24610" s="515" t="s">
        <v>420</v>
      </c>
      <c r="C24610" s="52">
        <v>251340.70304283901</v>
      </c>
      <c r="D24610" s="56">
        <v>0.10098612591655907</v>
      </c>
      <c r="E24610" s="224" t="s">
        <v>2</v>
      </c>
      <c r="G24610" s="52"/>
      <c r="H24610" s="56"/>
      <c r="I24610" s="224"/>
    </row>
    <row r="24611" spans="1:9" x14ac:dyDescent="0.25">
      <c r="A24611" s="515">
        <v>57374</v>
      </c>
      <c r="B24611" s="515" t="s">
        <v>579</v>
      </c>
      <c r="C24611" s="52">
        <v>226450.661551895</v>
      </c>
      <c r="D24611" s="56">
        <v>9.3012993745485884E-2</v>
      </c>
      <c r="E24611" s="224" t="s">
        <v>2</v>
      </c>
      <c r="G24611" s="52"/>
      <c r="H24611" s="56"/>
      <c r="I24611" s="224"/>
    </row>
    <row r="24612" spans="1:9" x14ac:dyDescent="0.25">
      <c r="A24612" s="515">
        <v>68019</v>
      </c>
      <c r="C24612" s="52">
        <v>187550.15496730999</v>
      </c>
      <c r="D24612" s="56">
        <v>0.20646247075903387</v>
      </c>
      <c r="E24612" s="224" t="s">
        <v>2</v>
      </c>
      <c r="G24612" s="52"/>
      <c r="H24612" s="56"/>
      <c r="I24612" s="224"/>
    </row>
    <row r="24613" spans="1:9" x14ac:dyDescent="0.25">
      <c r="A24613" s="515">
        <v>62635</v>
      </c>
      <c r="B24613" s="515" t="s">
        <v>837</v>
      </c>
      <c r="C24613" s="52">
        <v>115651.171496864</v>
      </c>
      <c r="D24613" s="56">
        <v>2.1411921339248404E-2</v>
      </c>
      <c r="E24613" s="224" t="s">
        <v>2</v>
      </c>
      <c r="G24613" s="52"/>
      <c r="H24613" s="56"/>
      <c r="I24613" s="224"/>
    </row>
    <row r="24614" spans="1:9" x14ac:dyDescent="0.25">
      <c r="A24614" s="515">
        <v>51654</v>
      </c>
      <c r="C24614" s="52">
        <v>137699.31693972301</v>
      </c>
      <c r="D24614" s="56">
        <v>0.14512824597303636</v>
      </c>
      <c r="E24614" s="224" t="s">
        <v>2</v>
      </c>
      <c r="G24614" s="52"/>
      <c r="H24614" s="56"/>
      <c r="I24614" s="224"/>
    </row>
    <row r="24615" spans="1:9" x14ac:dyDescent="0.25">
      <c r="A24615" s="515">
        <v>56121</v>
      </c>
      <c r="B24615" s="515" t="s">
        <v>608</v>
      </c>
      <c r="C24615" s="52">
        <v>113913.910103045</v>
      </c>
      <c r="D24615" s="56">
        <v>0.1182261156149696</v>
      </c>
      <c r="E24615" s="224" t="s">
        <v>2</v>
      </c>
      <c r="G24615" s="52"/>
      <c r="H24615" s="56"/>
      <c r="I24615" s="224"/>
    </row>
    <row r="24616" spans="1:9" x14ac:dyDescent="0.25">
      <c r="A24616" s="515">
        <v>61919</v>
      </c>
      <c r="C24616" s="52">
        <v>152887.08424879299</v>
      </c>
      <c r="D24616" s="56">
        <v>5.938338354591844E-2</v>
      </c>
      <c r="E24616" s="224" t="s">
        <v>2</v>
      </c>
      <c r="G24616" s="52"/>
      <c r="H24616" s="56"/>
      <c r="I24616" s="224"/>
    </row>
    <row r="24617" spans="1:9" x14ac:dyDescent="0.25">
      <c r="A24617" s="515">
        <v>14082</v>
      </c>
      <c r="C24617" s="52">
        <v>217563.240882757</v>
      </c>
      <c r="D24617" s="56">
        <v>0.10630172181364198</v>
      </c>
      <c r="E24617" s="224" t="s">
        <v>2</v>
      </c>
      <c r="G24617" s="52"/>
      <c r="H24617" s="56"/>
      <c r="I24617" s="224"/>
    </row>
    <row r="24618" spans="1:9" x14ac:dyDescent="0.25">
      <c r="A24618" s="515">
        <v>73661</v>
      </c>
      <c r="C24618" s="52">
        <v>102060.873427766</v>
      </c>
      <c r="D24618" s="56">
        <v>0.14497863659821283</v>
      </c>
      <c r="E24618" s="224" t="s">
        <v>2</v>
      </c>
      <c r="G24618" s="52"/>
      <c r="H24618" s="56"/>
      <c r="I24618" s="224"/>
    </row>
    <row r="24619" spans="1:9" x14ac:dyDescent="0.25">
      <c r="A24619" s="515">
        <v>61318</v>
      </c>
      <c r="B24619" s="515" t="s">
        <v>836</v>
      </c>
      <c r="C24619" s="52">
        <v>137413.26996340699</v>
      </c>
      <c r="D24619" s="56">
        <v>0</v>
      </c>
      <c r="E24619" s="224" t="s">
        <v>2</v>
      </c>
      <c r="G24619" s="52"/>
      <c r="H24619" s="56"/>
      <c r="I24619" s="224"/>
    </row>
    <row r="24620" spans="1:9" x14ac:dyDescent="0.25">
      <c r="A24620" s="515">
        <v>5775</v>
      </c>
      <c r="B24620" s="515" t="s">
        <v>791</v>
      </c>
      <c r="C24620" s="52">
        <v>266950.13483941997</v>
      </c>
      <c r="D24620" s="56">
        <v>0.11713208295734587</v>
      </c>
      <c r="E24620" s="224" t="s">
        <v>2</v>
      </c>
      <c r="G24620" s="52"/>
      <c r="H24620" s="56"/>
      <c r="I24620" s="224"/>
    </row>
    <row r="24621" spans="1:9" x14ac:dyDescent="0.25">
      <c r="A24621" s="515">
        <v>97343</v>
      </c>
      <c r="B24621" s="515" t="s">
        <v>618</v>
      </c>
      <c r="C24621" s="52">
        <v>444310.74372612202</v>
      </c>
      <c r="D24621" s="56">
        <v>3.8875214678072395E-2</v>
      </c>
      <c r="E24621" s="224" t="s">
        <v>2</v>
      </c>
      <c r="G24621" s="52"/>
      <c r="H24621" s="56"/>
      <c r="I24621" s="224"/>
    </row>
    <row r="24622" spans="1:9" x14ac:dyDescent="0.25">
      <c r="A24622" s="515">
        <v>41824</v>
      </c>
      <c r="C24622" s="52">
        <v>84258.774911870903</v>
      </c>
      <c r="D24622" s="56">
        <v>0.1708309032033801</v>
      </c>
      <c r="E24622" s="224" t="s">
        <v>2</v>
      </c>
      <c r="G24622" s="52"/>
      <c r="H24622" s="56"/>
      <c r="I24622" s="224"/>
    </row>
    <row r="24623" spans="1:9" x14ac:dyDescent="0.25">
      <c r="A24623" s="515">
        <v>22976</v>
      </c>
      <c r="B24623" s="515" t="s">
        <v>630</v>
      </c>
      <c r="C24623" s="52">
        <v>250138.79352747501</v>
      </c>
      <c r="D24623" s="56">
        <v>0.20284910484170129</v>
      </c>
      <c r="E24623" s="224" t="s">
        <v>2</v>
      </c>
      <c r="G24623" s="52"/>
      <c r="H24623" s="56"/>
      <c r="I24623" s="224"/>
    </row>
    <row r="24624" spans="1:9" x14ac:dyDescent="0.25">
      <c r="A24624" s="515">
        <v>80101</v>
      </c>
      <c r="B24624" s="515" t="s">
        <v>401</v>
      </c>
      <c r="C24624" s="52">
        <v>396902.83603737602</v>
      </c>
      <c r="D24624" s="56">
        <v>4.3287502343676683E-2</v>
      </c>
      <c r="E24624" s="224" t="s">
        <v>2</v>
      </c>
      <c r="G24624" s="52"/>
      <c r="H24624" s="56"/>
      <c r="I24624" s="224"/>
    </row>
    <row r="24625" spans="1:9" x14ac:dyDescent="0.25">
      <c r="A24625" s="515">
        <v>12411</v>
      </c>
      <c r="B24625" s="515" t="s">
        <v>307</v>
      </c>
      <c r="C24625" s="52">
        <v>329248.39407804399</v>
      </c>
      <c r="D24625" s="56">
        <v>0.11657292654654242</v>
      </c>
      <c r="E24625" s="224" t="s">
        <v>2</v>
      </c>
      <c r="G24625" s="52"/>
      <c r="H24625" s="56"/>
      <c r="I24625" s="224"/>
    </row>
    <row r="24626" spans="1:9" x14ac:dyDescent="0.25">
      <c r="A24626" s="515">
        <v>63443</v>
      </c>
      <c r="C24626" s="52">
        <v>151123.047101795</v>
      </c>
      <c r="D24626" s="56">
        <v>0.12051128979074956</v>
      </c>
      <c r="E24626" s="224" t="s">
        <v>2</v>
      </c>
      <c r="G24626" s="52"/>
      <c r="H24626" s="56"/>
      <c r="I24626" s="224"/>
    </row>
    <row r="24627" spans="1:9" x14ac:dyDescent="0.25">
      <c r="A24627" s="515">
        <v>61451</v>
      </c>
      <c r="B24627" s="515" t="s">
        <v>303</v>
      </c>
      <c r="C24627" s="52">
        <v>119495.57706117599</v>
      </c>
      <c r="D24627" s="56">
        <v>7.8934612664864845E-2</v>
      </c>
      <c r="E24627" s="224" t="s">
        <v>2</v>
      </c>
      <c r="G24627" s="52"/>
      <c r="H24627" s="56"/>
      <c r="I24627" s="224"/>
    </row>
    <row r="24628" spans="1:9" x14ac:dyDescent="0.25">
      <c r="A24628" s="515">
        <v>25108</v>
      </c>
      <c r="B24628" s="515" t="s">
        <v>322</v>
      </c>
      <c r="C24628" s="52">
        <v>67867.468074890596</v>
      </c>
      <c r="D24628" s="56">
        <v>9.0967454855484894E-2</v>
      </c>
      <c r="E24628" s="224" t="s">
        <v>2</v>
      </c>
      <c r="G24628" s="52"/>
      <c r="H24628" s="56"/>
      <c r="I24628" s="224"/>
    </row>
    <row r="24629" spans="1:9" x14ac:dyDescent="0.25">
      <c r="A24629" s="515">
        <v>83604</v>
      </c>
      <c r="B24629" s="515" t="s">
        <v>500</v>
      </c>
      <c r="C24629" s="52">
        <v>393841.10327956203</v>
      </c>
      <c r="D24629" s="56">
        <v>0.2261099906297861</v>
      </c>
      <c r="E24629" s="224" t="s">
        <v>2</v>
      </c>
      <c r="G24629" s="52"/>
      <c r="H24629" s="56"/>
      <c r="I24629" s="224"/>
    </row>
    <row r="24630" spans="1:9" x14ac:dyDescent="0.25">
      <c r="A24630" s="515">
        <v>50523</v>
      </c>
      <c r="B24630" s="515" t="s">
        <v>670</v>
      </c>
      <c r="C24630" s="52">
        <v>124706.498119792</v>
      </c>
      <c r="D24630" s="56">
        <v>6.112752806961385E-2</v>
      </c>
      <c r="E24630" s="224" t="s">
        <v>2</v>
      </c>
      <c r="G24630" s="52"/>
      <c r="H24630" s="56"/>
      <c r="I24630" s="224"/>
    </row>
    <row r="24631" spans="1:9" x14ac:dyDescent="0.25">
      <c r="A24631" s="515">
        <v>68817</v>
      </c>
      <c r="C24631" s="52">
        <v>135214.568250802</v>
      </c>
      <c r="D24631" s="56">
        <v>0.20973813094493246</v>
      </c>
      <c r="E24631" s="224" t="s">
        <v>2</v>
      </c>
      <c r="G24631" s="52"/>
      <c r="H24631" s="56"/>
      <c r="I24631" s="224"/>
    </row>
    <row r="24632" spans="1:9" x14ac:dyDescent="0.25">
      <c r="A24632" s="515">
        <v>94592</v>
      </c>
      <c r="B24632" s="515" t="s">
        <v>835</v>
      </c>
      <c r="C24632" s="52">
        <v>708666.38760367595</v>
      </c>
      <c r="D24632" s="56">
        <v>-3.6047646062934771E-3</v>
      </c>
      <c r="E24632" s="224" t="s">
        <v>2</v>
      </c>
      <c r="G24632" s="52"/>
      <c r="H24632" s="56"/>
      <c r="I24632" s="224"/>
    </row>
    <row r="24633" spans="1:9" x14ac:dyDescent="0.25">
      <c r="A24633" s="515">
        <v>73002</v>
      </c>
      <c r="B24633" s="515" t="s">
        <v>385</v>
      </c>
      <c r="C24633" s="52">
        <v>142999.91839512001</v>
      </c>
      <c r="D24633" s="56">
        <v>0.12590233578379964</v>
      </c>
      <c r="E24633" s="224" t="s">
        <v>2</v>
      </c>
      <c r="G24633" s="52"/>
      <c r="H24633" s="56"/>
      <c r="I24633" s="224"/>
    </row>
    <row r="24634" spans="1:9" x14ac:dyDescent="0.25">
      <c r="A24634" s="515">
        <v>17220</v>
      </c>
      <c r="B24634" s="515" t="s">
        <v>372</v>
      </c>
      <c r="C24634" s="52">
        <v>220910.407015965</v>
      </c>
      <c r="D24634" s="56">
        <v>0</v>
      </c>
      <c r="E24634" s="224" t="s">
        <v>2</v>
      </c>
      <c r="G24634" s="52"/>
      <c r="H24634" s="56"/>
      <c r="I24634" s="224"/>
    </row>
    <row r="24635" spans="1:9" x14ac:dyDescent="0.25">
      <c r="A24635" s="515">
        <v>57536</v>
      </c>
      <c r="B24635" s="515" t="s">
        <v>834</v>
      </c>
      <c r="C24635" s="52">
        <v>292950.83333333302</v>
      </c>
      <c r="D24635" s="56">
        <v>0</v>
      </c>
      <c r="E24635" s="224" t="s">
        <v>2</v>
      </c>
      <c r="G24635" s="52"/>
      <c r="H24635" s="56"/>
      <c r="I24635" s="224"/>
    </row>
    <row r="24636" spans="1:9" x14ac:dyDescent="0.25">
      <c r="A24636" s="515">
        <v>68307</v>
      </c>
      <c r="B24636" s="515" t="s">
        <v>367</v>
      </c>
      <c r="C24636" s="52">
        <v>245153.16415647999</v>
      </c>
      <c r="D24636" s="56">
        <v>0.13025989906747959</v>
      </c>
      <c r="E24636" s="224" t="s">
        <v>2</v>
      </c>
      <c r="G24636" s="52"/>
      <c r="H24636" s="56"/>
      <c r="I24636" s="224"/>
    </row>
    <row r="24637" spans="1:9" x14ac:dyDescent="0.25">
      <c r="A24637" s="515">
        <v>59416</v>
      </c>
      <c r="C24637" s="52">
        <v>337336.51119655702</v>
      </c>
      <c r="D24637" s="56">
        <v>0.16576856232508475</v>
      </c>
      <c r="E24637" s="224" t="s">
        <v>2</v>
      </c>
      <c r="G24637" s="52"/>
      <c r="H24637" s="56"/>
      <c r="I24637" s="224"/>
    </row>
    <row r="24638" spans="1:9" x14ac:dyDescent="0.25">
      <c r="A24638" s="515">
        <v>69147</v>
      </c>
      <c r="C24638" s="52">
        <v>193593.63275573801</v>
      </c>
      <c r="D24638" s="56">
        <v>4.8948677690224839E-2</v>
      </c>
      <c r="E24638" s="224" t="s">
        <v>2</v>
      </c>
      <c r="G24638" s="52"/>
      <c r="H24638" s="56"/>
      <c r="I24638" s="224"/>
    </row>
    <row r="24639" spans="1:9" x14ac:dyDescent="0.25">
      <c r="A24639" s="515">
        <v>12419</v>
      </c>
      <c r="B24639" s="515" t="s">
        <v>307</v>
      </c>
      <c r="C24639" s="52">
        <v>406164.49303321698</v>
      </c>
      <c r="D24639" s="56">
        <v>0.13069986104625589</v>
      </c>
      <c r="E24639" s="224" t="s">
        <v>2</v>
      </c>
      <c r="G24639" s="52"/>
      <c r="H24639" s="56"/>
      <c r="I24639" s="224"/>
    </row>
    <row r="24640" spans="1:9" x14ac:dyDescent="0.25">
      <c r="A24640" s="515">
        <v>15684</v>
      </c>
      <c r="B24640" s="515" t="s">
        <v>297</v>
      </c>
      <c r="C24640" s="52">
        <v>94819.615384615303</v>
      </c>
      <c r="D24640" s="56">
        <v>0</v>
      </c>
      <c r="E24640" s="224" t="s">
        <v>2</v>
      </c>
      <c r="G24640" s="52"/>
      <c r="H24640" s="56"/>
      <c r="I24640" s="224"/>
    </row>
    <row r="24641" spans="1:9" x14ac:dyDescent="0.25">
      <c r="A24641" s="515">
        <v>78830</v>
      </c>
      <c r="C24641" s="52">
        <v>79821.612245149794</v>
      </c>
      <c r="D24641" s="56">
        <v>0</v>
      </c>
      <c r="E24641" s="224" t="s">
        <v>2</v>
      </c>
      <c r="G24641" s="52"/>
      <c r="H24641" s="56"/>
      <c r="I24641" s="224"/>
    </row>
    <row r="24642" spans="1:9" x14ac:dyDescent="0.25">
      <c r="A24642" s="515">
        <v>5341</v>
      </c>
      <c r="C24642" s="52">
        <v>389938.56140350801</v>
      </c>
      <c r="D24642" s="56">
        <v>0</v>
      </c>
      <c r="E24642" s="224" t="s">
        <v>2</v>
      </c>
      <c r="G24642" s="52"/>
      <c r="H24642" s="56"/>
      <c r="I24642" s="224"/>
    </row>
    <row r="24643" spans="1:9" x14ac:dyDescent="0.25">
      <c r="A24643" s="515">
        <v>38564</v>
      </c>
      <c r="B24643" s="515" t="s">
        <v>833</v>
      </c>
      <c r="C24643" s="52">
        <v>231339.85461586999</v>
      </c>
      <c r="D24643" s="56">
        <v>0.11775729393746844</v>
      </c>
      <c r="E24643" s="224" t="s">
        <v>2</v>
      </c>
      <c r="G24643" s="52"/>
      <c r="H24643" s="56"/>
      <c r="I24643" s="224"/>
    </row>
    <row r="24644" spans="1:9" x14ac:dyDescent="0.25">
      <c r="A24644" s="515">
        <v>98385</v>
      </c>
      <c r="B24644" s="515" t="s">
        <v>384</v>
      </c>
      <c r="C24644" s="52">
        <v>435288.89400201902</v>
      </c>
      <c r="D24644" s="56">
        <v>1.454594939059284E-2</v>
      </c>
      <c r="E24644" s="224" t="s">
        <v>2</v>
      </c>
      <c r="G24644" s="52"/>
      <c r="H24644" s="56"/>
      <c r="I24644" s="224"/>
    </row>
    <row r="24645" spans="1:9" x14ac:dyDescent="0.25">
      <c r="A24645" s="515">
        <v>83325</v>
      </c>
      <c r="B24645" s="515" t="s">
        <v>832</v>
      </c>
      <c r="C24645" s="52">
        <v>350130.15915621701</v>
      </c>
      <c r="D24645" s="56">
        <v>6.3876973999231965E-2</v>
      </c>
      <c r="E24645" s="224" t="s">
        <v>2</v>
      </c>
      <c r="G24645" s="52"/>
      <c r="H24645" s="56"/>
      <c r="I24645" s="224"/>
    </row>
    <row r="24646" spans="1:9" x14ac:dyDescent="0.25">
      <c r="A24646" s="515">
        <v>51649</v>
      </c>
      <c r="C24646" s="52">
        <v>139062.28997874499</v>
      </c>
      <c r="D24646" s="56">
        <v>0.18953032588765983</v>
      </c>
      <c r="E24646" s="224" t="s">
        <v>2</v>
      </c>
      <c r="G24646" s="52"/>
      <c r="H24646" s="56"/>
      <c r="I24646" s="224"/>
    </row>
    <row r="24647" spans="1:9" x14ac:dyDescent="0.25">
      <c r="A24647" s="515">
        <v>33109</v>
      </c>
      <c r="B24647" s="515" t="s">
        <v>831</v>
      </c>
      <c r="C24647" s="52">
        <v>3477539.28720064</v>
      </c>
      <c r="D24647" s="56">
        <v>0.17018908860419499</v>
      </c>
      <c r="E24647" s="224" t="s">
        <v>2</v>
      </c>
      <c r="G24647" s="52"/>
      <c r="H24647" s="56"/>
      <c r="I24647" s="224"/>
    </row>
    <row r="24648" spans="1:9" x14ac:dyDescent="0.25">
      <c r="A24648" s="515">
        <v>58741</v>
      </c>
      <c r="B24648" s="515" t="s">
        <v>849</v>
      </c>
      <c r="C24648" s="52">
        <v>121319.01866408301</v>
      </c>
      <c r="D24648" s="56">
        <v>0</v>
      </c>
      <c r="E24648" s="224" t="s">
        <v>2</v>
      </c>
      <c r="G24648" s="52"/>
      <c r="H24648" s="56"/>
      <c r="I24648" s="224"/>
    </row>
    <row r="24649" spans="1:9" x14ac:dyDescent="0.25">
      <c r="A24649" s="515">
        <v>68942</v>
      </c>
      <c r="C24649" s="52">
        <v>92362.534589870702</v>
      </c>
      <c r="D24649" s="56">
        <v>-3.3646703143638351E-2</v>
      </c>
      <c r="E24649" s="224" t="s">
        <v>2</v>
      </c>
      <c r="G24649" s="52"/>
      <c r="H24649" s="56"/>
      <c r="I24649" s="224"/>
    </row>
    <row r="24650" spans="1:9" x14ac:dyDescent="0.25">
      <c r="A24650" s="515">
        <v>13489</v>
      </c>
      <c r="C24650" s="52">
        <v>168053.32847377501</v>
      </c>
      <c r="D24650" s="56">
        <v>0.14813046133013824</v>
      </c>
      <c r="E24650" s="224" t="s">
        <v>2</v>
      </c>
      <c r="G24650" s="52"/>
      <c r="H24650" s="56"/>
      <c r="I24650" s="224"/>
    </row>
    <row r="24651" spans="1:9" x14ac:dyDescent="0.25">
      <c r="A24651" s="515">
        <v>73857</v>
      </c>
      <c r="B24651" s="515" t="s">
        <v>830</v>
      </c>
      <c r="C24651" s="52">
        <v>154830.21474672199</v>
      </c>
      <c r="D24651" s="56">
        <v>0.11701034984332941</v>
      </c>
      <c r="E24651" s="224" t="s">
        <v>2</v>
      </c>
      <c r="G24651" s="52"/>
      <c r="H24651" s="56"/>
      <c r="I24651" s="224"/>
    </row>
    <row r="24652" spans="1:9" x14ac:dyDescent="0.25">
      <c r="A24652" s="515">
        <v>25868</v>
      </c>
      <c r="B24652" s="515" t="s">
        <v>566</v>
      </c>
      <c r="C24652" s="52">
        <v>99076.828818242997</v>
      </c>
      <c r="D24652" s="56">
        <v>0.12885961462887688</v>
      </c>
      <c r="E24652" s="224" t="s">
        <v>2</v>
      </c>
      <c r="G24652" s="52"/>
      <c r="H24652" s="56"/>
      <c r="I24652" s="224"/>
    </row>
    <row r="24653" spans="1:9" x14ac:dyDescent="0.25">
      <c r="A24653" s="515">
        <v>78369</v>
      </c>
      <c r="B24653" s="515" t="s">
        <v>588</v>
      </c>
      <c r="C24653" s="52">
        <v>96476.892124245904</v>
      </c>
      <c r="D24653" s="56">
        <v>0</v>
      </c>
      <c r="E24653" s="224" t="s">
        <v>2</v>
      </c>
      <c r="G24653" s="52"/>
      <c r="H24653" s="56"/>
      <c r="I24653" s="224"/>
    </row>
    <row r="24654" spans="1:9" x14ac:dyDescent="0.25">
      <c r="A24654" s="515">
        <v>23963</v>
      </c>
      <c r="C24654" s="52">
        <v>160396.43871985</v>
      </c>
      <c r="D24654" s="56">
        <v>0</v>
      </c>
      <c r="E24654" s="224" t="s">
        <v>2</v>
      </c>
      <c r="G24654" s="52"/>
      <c r="H24654" s="56"/>
      <c r="I24654" s="224"/>
    </row>
    <row r="24655" spans="1:9" x14ac:dyDescent="0.25">
      <c r="A24655" s="515">
        <v>68635</v>
      </c>
      <c r="C24655" s="52">
        <v>185235.611646251</v>
      </c>
      <c r="D24655" s="56">
        <v>5.9439636433536426E-2</v>
      </c>
      <c r="E24655" s="224" t="s">
        <v>2</v>
      </c>
      <c r="G24655" s="52"/>
      <c r="H24655" s="56"/>
      <c r="I24655" s="224"/>
    </row>
    <row r="24656" spans="1:9" x14ac:dyDescent="0.25">
      <c r="A24656" s="515">
        <v>64726</v>
      </c>
      <c r="C24656" s="52">
        <v>242177.656983758</v>
      </c>
      <c r="D24656" s="56">
        <v>0</v>
      </c>
      <c r="E24656" s="224" t="s">
        <v>2</v>
      </c>
      <c r="G24656" s="52"/>
      <c r="H24656" s="56"/>
      <c r="I24656" s="224"/>
    </row>
    <row r="24657" spans="1:9" x14ac:dyDescent="0.25">
      <c r="A24657" s="515">
        <v>5827</v>
      </c>
      <c r="C24657" s="52">
        <v>350714.927536231</v>
      </c>
      <c r="D24657" s="56">
        <v>0</v>
      </c>
      <c r="E24657" s="224" t="s">
        <v>2</v>
      </c>
      <c r="G24657" s="52"/>
      <c r="H24657" s="56"/>
      <c r="I24657" s="224"/>
    </row>
    <row r="24658" spans="1:9" x14ac:dyDescent="0.25">
      <c r="A24658" s="515">
        <v>62444</v>
      </c>
      <c r="C24658" s="52">
        <v>119838.873015873</v>
      </c>
      <c r="D24658" s="56">
        <v>0</v>
      </c>
      <c r="E24658" s="224" t="s">
        <v>2</v>
      </c>
      <c r="G24658" s="52"/>
      <c r="H24658" s="56"/>
      <c r="I24658" s="224"/>
    </row>
    <row r="24659" spans="1:9" x14ac:dyDescent="0.25">
      <c r="A24659" s="515">
        <v>95983</v>
      </c>
      <c r="C24659" s="52">
        <v>298635.70564466901</v>
      </c>
      <c r="D24659" s="56">
        <v>4.5678757670028197E-3</v>
      </c>
      <c r="E24659" s="224" t="s">
        <v>2</v>
      </c>
      <c r="G24659" s="52"/>
      <c r="H24659" s="56"/>
      <c r="I24659" s="224"/>
    </row>
    <row r="24660" spans="1:9" x14ac:dyDescent="0.25">
      <c r="A24660" s="515">
        <v>68815</v>
      </c>
      <c r="C24660" s="52">
        <v>217130.45215191101</v>
      </c>
      <c r="D24660" s="56">
        <v>0.1152430529905822</v>
      </c>
      <c r="E24660" s="224" t="s">
        <v>2</v>
      </c>
      <c r="G24660" s="52"/>
      <c r="H24660" s="56"/>
      <c r="I24660" s="224"/>
    </row>
    <row r="24661" spans="1:9" x14ac:dyDescent="0.25">
      <c r="A24661" s="515">
        <v>14462</v>
      </c>
      <c r="B24661" s="515" t="s">
        <v>337</v>
      </c>
      <c r="C24661" s="52">
        <v>196816.85728469599</v>
      </c>
      <c r="D24661" s="56">
        <v>0.12647051373158552</v>
      </c>
      <c r="E24661" s="224" t="s">
        <v>2</v>
      </c>
      <c r="G24661" s="52"/>
      <c r="H24661" s="56"/>
      <c r="I24661" s="224"/>
    </row>
    <row r="24662" spans="1:9" x14ac:dyDescent="0.25">
      <c r="A24662" s="515">
        <v>66407</v>
      </c>
      <c r="B24662" s="515" t="s">
        <v>795</v>
      </c>
      <c r="C24662" s="52">
        <v>228230.63198548899</v>
      </c>
      <c r="D24662" s="56">
        <v>8.2275098312659015E-2</v>
      </c>
      <c r="E24662" s="224" t="s">
        <v>2</v>
      </c>
      <c r="G24662" s="52"/>
      <c r="H24662" s="56"/>
      <c r="I24662" s="224"/>
    </row>
    <row r="24663" spans="1:9" x14ac:dyDescent="0.25">
      <c r="A24663" s="515">
        <v>42156</v>
      </c>
      <c r="B24663" s="515" t="s">
        <v>829</v>
      </c>
      <c r="C24663" s="52">
        <v>145772.39521655501</v>
      </c>
      <c r="D24663" s="56">
        <v>-1.4560073376367107E-2</v>
      </c>
      <c r="E24663" s="224" t="s">
        <v>2</v>
      </c>
      <c r="G24663" s="52"/>
      <c r="H24663" s="56"/>
      <c r="I24663" s="224"/>
    </row>
    <row r="24664" spans="1:9" x14ac:dyDescent="0.25">
      <c r="A24664" s="515">
        <v>16640</v>
      </c>
      <c r="B24664" s="515" t="s">
        <v>828</v>
      </c>
      <c r="C24664" s="52">
        <v>62284.025066538503</v>
      </c>
      <c r="D24664" s="56">
        <v>-5.0066189613293108E-2</v>
      </c>
      <c r="E24664" s="224" t="s">
        <v>2</v>
      </c>
      <c r="G24664" s="52"/>
      <c r="H24664" s="56"/>
      <c r="I24664" s="224"/>
    </row>
    <row r="24665" spans="1:9" x14ac:dyDescent="0.25">
      <c r="A24665" s="515">
        <v>17219</v>
      </c>
      <c r="B24665" s="515" t="s">
        <v>372</v>
      </c>
      <c r="C24665" s="52">
        <v>218048.58319713399</v>
      </c>
      <c r="D24665" s="56">
        <v>0</v>
      </c>
      <c r="E24665" s="224" t="s">
        <v>2</v>
      </c>
      <c r="G24665" s="52"/>
      <c r="H24665" s="56"/>
      <c r="I24665" s="224"/>
    </row>
    <row r="24666" spans="1:9" x14ac:dyDescent="0.25">
      <c r="A24666" s="515">
        <v>12147</v>
      </c>
      <c r="B24666" s="515" t="s">
        <v>609</v>
      </c>
      <c r="C24666" s="52">
        <v>272835.53792734398</v>
      </c>
      <c r="D24666" s="56">
        <v>5.1857537499480258E-2</v>
      </c>
      <c r="E24666" s="224" t="s">
        <v>2</v>
      </c>
      <c r="G24666" s="52"/>
      <c r="H24666" s="56"/>
      <c r="I24666" s="224"/>
    </row>
    <row r="24667" spans="1:9" x14ac:dyDescent="0.25">
      <c r="A24667" s="515">
        <v>78877</v>
      </c>
      <c r="B24667" s="515" t="s">
        <v>827</v>
      </c>
      <c r="C24667" s="52">
        <v>160431.668657537</v>
      </c>
      <c r="D24667" s="56">
        <v>0</v>
      </c>
      <c r="E24667" s="224" t="s">
        <v>2</v>
      </c>
      <c r="G24667" s="52"/>
      <c r="H24667" s="56"/>
      <c r="I24667" s="224"/>
    </row>
    <row r="24668" spans="1:9" x14ac:dyDescent="0.25">
      <c r="A24668" s="515">
        <v>49827</v>
      </c>
      <c r="C24668" s="52">
        <v>121426.801409304</v>
      </c>
      <c r="D24668" s="56">
        <v>0</v>
      </c>
      <c r="E24668" s="224" t="s">
        <v>2</v>
      </c>
      <c r="G24668" s="52"/>
      <c r="H24668" s="56"/>
      <c r="I24668" s="224"/>
    </row>
    <row r="24669" spans="1:9" x14ac:dyDescent="0.25">
      <c r="A24669" s="515">
        <v>58079</v>
      </c>
      <c r="B24669" s="515" t="s">
        <v>928</v>
      </c>
      <c r="C24669" s="52">
        <v>251714.11330260299</v>
      </c>
      <c r="D24669" s="56">
        <v>0</v>
      </c>
      <c r="E24669" s="224" t="s">
        <v>2</v>
      </c>
      <c r="G24669" s="52"/>
      <c r="H24669" s="56"/>
      <c r="I24669" s="224"/>
    </row>
    <row r="24670" spans="1:9" x14ac:dyDescent="0.25">
      <c r="A24670" s="515">
        <v>62977</v>
      </c>
      <c r="C24670" s="52">
        <v>96818.566412336906</v>
      </c>
      <c r="D24670" s="56">
        <v>0.16681438593522072</v>
      </c>
      <c r="E24670" s="224" t="s">
        <v>2</v>
      </c>
      <c r="G24670" s="52"/>
      <c r="H24670" s="56"/>
      <c r="I24670" s="224"/>
    </row>
    <row r="24671" spans="1:9" x14ac:dyDescent="0.25">
      <c r="A24671" s="515">
        <v>2557</v>
      </c>
      <c r="B24671" s="515" t="s">
        <v>325</v>
      </c>
      <c r="C24671" s="52">
        <v>1040001.32637687</v>
      </c>
      <c r="D24671" s="56">
        <v>0.10204406494254582</v>
      </c>
      <c r="E24671" s="224" t="s">
        <v>2</v>
      </c>
      <c r="G24671" s="52"/>
      <c r="H24671" s="56"/>
      <c r="I24671" s="224"/>
    </row>
    <row r="24672" spans="1:9" x14ac:dyDescent="0.25">
      <c r="A24672" s="515">
        <v>21679</v>
      </c>
      <c r="B24672" s="515" t="s">
        <v>519</v>
      </c>
      <c r="C24672" s="52">
        <v>554748.73260767094</v>
      </c>
      <c r="D24672" s="56">
        <v>7.63250851929623E-2</v>
      </c>
      <c r="E24672" s="224" t="s">
        <v>2</v>
      </c>
      <c r="G24672" s="52"/>
      <c r="H24672" s="56"/>
      <c r="I24672" s="224"/>
    </row>
    <row r="24673" spans="1:9" x14ac:dyDescent="0.25">
      <c r="A24673" s="515">
        <v>56588</v>
      </c>
      <c r="B24673" s="515" t="s">
        <v>601</v>
      </c>
      <c r="C24673" s="52">
        <v>317127.54573853698</v>
      </c>
      <c r="D24673" s="56">
        <v>0</v>
      </c>
      <c r="E24673" s="224" t="s">
        <v>2</v>
      </c>
      <c r="G24673" s="52"/>
      <c r="H24673" s="56"/>
      <c r="I24673" s="224"/>
    </row>
    <row r="24674" spans="1:9" x14ac:dyDescent="0.25">
      <c r="A24674" s="515">
        <v>22535</v>
      </c>
      <c r="C24674" s="52">
        <v>302420.611385978</v>
      </c>
      <c r="D24674" s="56">
        <v>9.4861167173979827E-2</v>
      </c>
      <c r="E24674" s="224" t="s">
        <v>2</v>
      </c>
      <c r="G24674" s="52"/>
      <c r="H24674" s="56"/>
      <c r="I24674" s="224"/>
    </row>
    <row r="24675" spans="1:9" x14ac:dyDescent="0.25">
      <c r="A24675" s="515">
        <v>46127</v>
      </c>
      <c r="C24675" s="52">
        <v>199085.01020216299</v>
      </c>
      <c r="D24675" s="56">
        <v>7.9720342571394168E-2</v>
      </c>
      <c r="E24675" s="224" t="s">
        <v>2</v>
      </c>
      <c r="G24675" s="52"/>
      <c r="H24675" s="56"/>
      <c r="I24675" s="224"/>
    </row>
    <row r="24676" spans="1:9" x14ac:dyDescent="0.25">
      <c r="A24676" s="515">
        <v>61470</v>
      </c>
      <c r="B24676" s="515" t="s">
        <v>493</v>
      </c>
      <c r="C24676" s="52">
        <v>42559.338461538398</v>
      </c>
      <c r="D24676" s="56">
        <v>0</v>
      </c>
      <c r="E24676" s="224" t="s">
        <v>2</v>
      </c>
      <c r="G24676" s="52"/>
      <c r="H24676" s="56"/>
      <c r="I24676" s="224"/>
    </row>
    <row r="24677" spans="1:9" x14ac:dyDescent="0.25">
      <c r="A24677" s="515">
        <v>68938</v>
      </c>
      <c r="C24677" s="52">
        <v>130465.800092231</v>
      </c>
      <c r="D24677" s="56">
        <v>0.16418721683517032</v>
      </c>
      <c r="E24677" s="224" t="s">
        <v>2</v>
      </c>
      <c r="G24677" s="52"/>
      <c r="H24677" s="56"/>
      <c r="I24677" s="224"/>
    </row>
    <row r="24678" spans="1:9" x14ac:dyDescent="0.25">
      <c r="A24678" s="515">
        <v>55607</v>
      </c>
      <c r="B24678" s="515" t="s">
        <v>350</v>
      </c>
      <c r="C24678" s="52">
        <v>222904.695131013</v>
      </c>
      <c r="D24678" s="56">
        <v>0</v>
      </c>
      <c r="E24678" s="224" t="s">
        <v>2</v>
      </c>
      <c r="G24678" s="52"/>
      <c r="H24678" s="56"/>
      <c r="I24678" s="224"/>
    </row>
    <row r="24679" spans="1:9" x14ac:dyDescent="0.25">
      <c r="A24679" s="515">
        <v>52048</v>
      </c>
      <c r="C24679" s="52">
        <v>166662.77759761899</v>
      </c>
      <c r="D24679" s="56">
        <v>0.11073748054866835</v>
      </c>
      <c r="E24679" s="224" t="s">
        <v>2</v>
      </c>
      <c r="G24679" s="52"/>
      <c r="H24679" s="56"/>
      <c r="I24679" s="224"/>
    </row>
    <row r="24680" spans="1:9" x14ac:dyDescent="0.25">
      <c r="A24680" s="515">
        <v>14113</v>
      </c>
      <c r="C24680" s="52">
        <v>193292.847714164</v>
      </c>
      <c r="D24680" s="56">
        <v>5.8229244212541179E-2</v>
      </c>
      <c r="E24680" s="224" t="s">
        <v>2</v>
      </c>
      <c r="G24680" s="52"/>
      <c r="H24680" s="56"/>
      <c r="I24680" s="224"/>
    </row>
    <row r="24681" spans="1:9" x14ac:dyDescent="0.25">
      <c r="A24681" s="515">
        <v>96776</v>
      </c>
      <c r="B24681" s="515" t="s">
        <v>399</v>
      </c>
      <c r="C24681" s="52">
        <v>470610.81260799599</v>
      </c>
      <c r="D24681" s="56">
        <v>0.13252608445276151</v>
      </c>
      <c r="E24681" s="224" t="s">
        <v>2</v>
      </c>
      <c r="G24681" s="52"/>
      <c r="H24681" s="56"/>
      <c r="I24681" s="224"/>
    </row>
    <row r="24682" spans="1:9" x14ac:dyDescent="0.25">
      <c r="A24682" s="515">
        <v>97480</v>
      </c>
      <c r="B24682" s="515" t="s">
        <v>801</v>
      </c>
      <c r="C24682" s="52">
        <v>297409.07635410997</v>
      </c>
      <c r="D24682" s="56">
        <v>0.14276042097994854</v>
      </c>
      <c r="E24682" s="224" t="s">
        <v>2</v>
      </c>
      <c r="G24682" s="52"/>
      <c r="H24682" s="56"/>
      <c r="I24682" s="224"/>
    </row>
    <row r="24683" spans="1:9" x14ac:dyDescent="0.25">
      <c r="A24683" s="515">
        <v>74644</v>
      </c>
      <c r="C24683" s="52">
        <v>108151.759449893</v>
      </c>
      <c r="D24683" s="56">
        <v>0.12086813284809604</v>
      </c>
      <c r="E24683" s="224" t="s">
        <v>2</v>
      </c>
      <c r="G24683" s="52"/>
      <c r="H24683" s="56"/>
      <c r="I24683" s="224"/>
    </row>
    <row r="24684" spans="1:9" x14ac:dyDescent="0.25">
      <c r="A24684" s="515">
        <v>12017</v>
      </c>
      <c r="B24684" s="515" t="s">
        <v>564</v>
      </c>
      <c r="C24684" s="52">
        <v>464855.70678756299</v>
      </c>
      <c r="D24684" s="56">
        <v>5.8498078227909187E-2</v>
      </c>
      <c r="E24684" s="224" t="s">
        <v>2</v>
      </c>
      <c r="G24684" s="52"/>
      <c r="H24684" s="56"/>
      <c r="I24684" s="224"/>
    </row>
    <row r="24685" spans="1:9" x14ac:dyDescent="0.25">
      <c r="A24685" s="515">
        <v>68050</v>
      </c>
      <c r="B24685" s="515" t="s">
        <v>367</v>
      </c>
      <c r="C24685" s="52">
        <v>210119.35026333699</v>
      </c>
      <c r="D24685" s="56">
        <v>0.12061541510209738</v>
      </c>
      <c r="E24685" s="224" t="s">
        <v>2</v>
      </c>
      <c r="G24685" s="52"/>
      <c r="H24685" s="56"/>
      <c r="I24685" s="224"/>
    </row>
    <row r="24686" spans="1:9" x14ac:dyDescent="0.25">
      <c r="A24686" s="515">
        <v>78671</v>
      </c>
      <c r="B24686" s="515" t="s">
        <v>826</v>
      </c>
      <c r="C24686" s="52">
        <v>539563.32835820899</v>
      </c>
      <c r="D24686" s="56">
        <v>0</v>
      </c>
      <c r="E24686" s="224" t="s">
        <v>2</v>
      </c>
      <c r="G24686" s="52"/>
      <c r="H24686" s="56"/>
      <c r="I24686" s="224"/>
    </row>
    <row r="24687" spans="1:9" x14ac:dyDescent="0.25">
      <c r="A24687" s="515">
        <v>63039</v>
      </c>
      <c r="B24687" s="515" t="s">
        <v>498</v>
      </c>
      <c r="C24687" s="52">
        <v>186202.75719873401</v>
      </c>
      <c r="D24687" s="56">
        <v>7.7017055705087198E-2</v>
      </c>
      <c r="E24687" s="224" t="s">
        <v>2</v>
      </c>
      <c r="G24687" s="52"/>
      <c r="H24687" s="56"/>
      <c r="I24687" s="224"/>
    </row>
    <row r="24688" spans="1:9" x14ac:dyDescent="0.25">
      <c r="A24688" s="515">
        <v>16692</v>
      </c>
      <c r="B24688" s="515" t="s">
        <v>876</v>
      </c>
      <c r="C24688" s="52">
        <v>79634.041666666599</v>
      </c>
      <c r="D24688" s="56">
        <v>0</v>
      </c>
      <c r="E24688" s="224" t="s">
        <v>2</v>
      </c>
      <c r="G24688" s="52"/>
      <c r="H24688" s="56"/>
      <c r="I24688" s="224"/>
    </row>
    <row r="24689" spans="1:9" x14ac:dyDescent="0.25">
      <c r="A24689" s="515">
        <v>1032</v>
      </c>
      <c r="B24689" s="515" t="s">
        <v>575</v>
      </c>
      <c r="C24689" s="52">
        <v>344932.02390878001</v>
      </c>
      <c r="D24689" s="56">
        <v>9.8812466443537292E-2</v>
      </c>
      <c r="E24689" s="224" t="s">
        <v>2</v>
      </c>
      <c r="G24689" s="52"/>
      <c r="H24689" s="56"/>
      <c r="I24689" s="224"/>
    </row>
    <row r="24690" spans="1:9" x14ac:dyDescent="0.25">
      <c r="A24690" s="515">
        <v>37715</v>
      </c>
      <c r="C24690" s="52">
        <v>59416.020065054501</v>
      </c>
      <c r="D24690" s="56">
        <v>0</v>
      </c>
      <c r="E24690" s="224" t="s">
        <v>2</v>
      </c>
      <c r="G24690" s="52"/>
      <c r="H24690" s="56"/>
      <c r="I24690" s="224"/>
    </row>
    <row r="24691" spans="1:9" x14ac:dyDescent="0.25">
      <c r="A24691" s="515">
        <v>52630</v>
      </c>
      <c r="B24691" s="515" t="s">
        <v>496</v>
      </c>
      <c r="C24691" s="52">
        <v>117014.52316068301</v>
      </c>
      <c r="D24691" s="56">
        <v>0</v>
      </c>
      <c r="E24691" s="224" t="s">
        <v>2</v>
      </c>
      <c r="G24691" s="52"/>
      <c r="H24691" s="56"/>
      <c r="I24691" s="224"/>
    </row>
    <row r="24692" spans="1:9" x14ac:dyDescent="0.25">
      <c r="A24692" s="515">
        <v>62673</v>
      </c>
      <c r="B24692" s="515" t="s">
        <v>819</v>
      </c>
      <c r="C24692" s="52">
        <v>108781.622466417</v>
      </c>
      <c r="D24692" s="56">
        <v>2.7770044741049219E-2</v>
      </c>
      <c r="E24692" s="224" t="s">
        <v>2</v>
      </c>
      <c r="G24692" s="52"/>
      <c r="H24692" s="56"/>
      <c r="I24692" s="224"/>
    </row>
    <row r="24693" spans="1:9" x14ac:dyDescent="0.25">
      <c r="A24693" s="515">
        <v>13469</v>
      </c>
      <c r="B24693" s="515" t="s">
        <v>543</v>
      </c>
      <c r="C24693" s="52">
        <v>196623.067123947</v>
      </c>
      <c r="D24693" s="56">
        <v>7.1301053729563371E-2</v>
      </c>
      <c r="E24693" s="224" t="s">
        <v>2</v>
      </c>
      <c r="G24693" s="52"/>
      <c r="H24693" s="56"/>
      <c r="I24693" s="224"/>
    </row>
    <row r="24694" spans="1:9" x14ac:dyDescent="0.25">
      <c r="A24694" s="515">
        <v>31550</v>
      </c>
      <c r="B24694" s="515" t="s">
        <v>824</v>
      </c>
      <c r="C24694" s="52">
        <v>132058.57345364199</v>
      </c>
      <c r="D24694" s="56">
        <v>9.7352175355853027E-2</v>
      </c>
      <c r="E24694" s="224" t="s">
        <v>2</v>
      </c>
      <c r="G24694" s="52"/>
      <c r="H24694" s="56"/>
      <c r="I24694" s="224"/>
    </row>
    <row r="24695" spans="1:9" x14ac:dyDescent="0.25">
      <c r="A24695" s="515">
        <v>60912</v>
      </c>
      <c r="C24695" s="52">
        <v>77076.473726530297</v>
      </c>
      <c r="D24695" s="56">
        <v>0</v>
      </c>
      <c r="E24695" s="224" t="s">
        <v>2</v>
      </c>
      <c r="G24695" s="52"/>
      <c r="H24695" s="56"/>
      <c r="I24695" s="224"/>
    </row>
    <row r="24696" spans="1:9" x14ac:dyDescent="0.25">
      <c r="A24696" s="515">
        <v>47449</v>
      </c>
      <c r="C24696" s="52">
        <v>134865.604480421</v>
      </c>
      <c r="D24696" s="56">
        <v>4.9532937180400916E-2</v>
      </c>
      <c r="E24696" s="224" t="s">
        <v>2</v>
      </c>
      <c r="G24696" s="52"/>
      <c r="H24696" s="56"/>
      <c r="I24696" s="224"/>
    </row>
    <row r="24697" spans="1:9" x14ac:dyDescent="0.25">
      <c r="A24697" s="515">
        <v>16859</v>
      </c>
      <c r="B24697" s="515" t="s">
        <v>491</v>
      </c>
      <c r="C24697" s="52">
        <v>180456.85994043801</v>
      </c>
      <c r="D24697" s="56">
        <v>0.12241107436338071</v>
      </c>
      <c r="E24697" s="224" t="s">
        <v>2</v>
      </c>
      <c r="G24697" s="52"/>
      <c r="H24697" s="56"/>
      <c r="I24697" s="224"/>
    </row>
    <row r="24698" spans="1:9" x14ac:dyDescent="0.25">
      <c r="A24698" s="515">
        <v>52767</v>
      </c>
      <c r="B24698" s="515" t="s">
        <v>439</v>
      </c>
      <c r="C24698" s="52">
        <v>218716.009952725</v>
      </c>
      <c r="D24698" s="56">
        <v>4.2719114492783546E-2</v>
      </c>
      <c r="E24698" s="224" t="s">
        <v>2</v>
      </c>
      <c r="G24698" s="52"/>
      <c r="H24698" s="56"/>
      <c r="I24698" s="224"/>
    </row>
    <row r="24699" spans="1:9" x14ac:dyDescent="0.25">
      <c r="A24699" s="515">
        <v>19319</v>
      </c>
      <c r="B24699" s="515" t="s">
        <v>294</v>
      </c>
      <c r="C24699" s="52">
        <v>563053.74481218203</v>
      </c>
      <c r="D24699" s="56">
        <v>0.1112291293382056</v>
      </c>
      <c r="E24699" s="224" t="s">
        <v>2</v>
      </c>
      <c r="G24699" s="52"/>
      <c r="H24699" s="56"/>
      <c r="I24699" s="224"/>
    </row>
    <row r="24700" spans="1:9" x14ac:dyDescent="0.25">
      <c r="A24700" s="515">
        <v>57454</v>
      </c>
      <c r="C24700" s="52">
        <v>195477.882352941</v>
      </c>
      <c r="D24700" s="56">
        <v>0</v>
      </c>
      <c r="E24700" s="224" t="s">
        <v>2</v>
      </c>
      <c r="G24700" s="52"/>
      <c r="H24700" s="56"/>
      <c r="I24700" s="224"/>
    </row>
    <row r="24701" spans="1:9" x14ac:dyDescent="0.25">
      <c r="A24701" s="515">
        <v>52542</v>
      </c>
      <c r="C24701" s="52">
        <v>124433.274428795</v>
      </c>
      <c r="D24701" s="56">
        <v>0.15756556826995693</v>
      </c>
      <c r="E24701" s="224" t="s">
        <v>2</v>
      </c>
      <c r="G24701" s="52"/>
      <c r="H24701" s="56"/>
      <c r="I24701" s="224"/>
    </row>
    <row r="24702" spans="1:9" x14ac:dyDescent="0.25">
      <c r="A24702" s="515">
        <v>8345</v>
      </c>
      <c r="B24702" s="515" t="s">
        <v>557</v>
      </c>
      <c r="C24702" s="52">
        <v>187628.553153416</v>
      </c>
      <c r="D24702" s="56">
        <v>0.10486417950163433</v>
      </c>
      <c r="E24702" s="224" t="s">
        <v>2</v>
      </c>
      <c r="G24702" s="52"/>
      <c r="H24702" s="56"/>
      <c r="I24702" s="224"/>
    </row>
    <row r="24703" spans="1:9" x14ac:dyDescent="0.25">
      <c r="A24703" s="515">
        <v>13640</v>
      </c>
      <c r="B24703" s="515" t="s">
        <v>431</v>
      </c>
      <c r="C24703" s="52">
        <v>426413.32105799101</v>
      </c>
      <c r="D24703" s="56">
        <v>0.12375166407719841</v>
      </c>
      <c r="E24703" s="224" t="s">
        <v>2</v>
      </c>
      <c r="G24703" s="52"/>
      <c r="H24703" s="56"/>
      <c r="I24703" s="224"/>
    </row>
    <row r="24704" spans="1:9" x14ac:dyDescent="0.25">
      <c r="A24704" s="515">
        <v>12847</v>
      </c>
      <c r="C24704" s="52">
        <v>319296.02764158801</v>
      </c>
      <c r="D24704" s="56">
        <v>0.12301903128128992</v>
      </c>
      <c r="E24704" s="224" t="s">
        <v>2</v>
      </c>
      <c r="G24704" s="52"/>
      <c r="H24704" s="56"/>
      <c r="I24704" s="224"/>
    </row>
    <row r="24705" spans="1:9" x14ac:dyDescent="0.25">
      <c r="A24705" s="515">
        <v>89411</v>
      </c>
      <c r="B24705" s="515" t="s">
        <v>823</v>
      </c>
      <c r="C24705" s="52">
        <v>997892.981294267</v>
      </c>
      <c r="D24705" s="56">
        <v>1.9911712493470905E-2</v>
      </c>
      <c r="E24705" s="224" t="s">
        <v>2</v>
      </c>
      <c r="G24705" s="52"/>
      <c r="H24705" s="56"/>
      <c r="I24705" s="224"/>
    </row>
    <row r="24706" spans="1:9" x14ac:dyDescent="0.25">
      <c r="A24706" s="515">
        <v>40355</v>
      </c>
      <c r="C24706" s="52">
        <v>182402.659261308</v>
      </c>
      <c r="D24706" s="56">
        <v>0.15969535719088648</v>
      </c>
      <c r="E24706" s="224" t="s">
        <v>2</v>
      </c>
      <c r="G24706" s="52"/>
      <c r="H24706" s="56"/>
      <c r="I24706" s="224"/>
    </row>
    <row r="24707" spans="1:9" x14ac:dyDescent="0.25">
      <c r="A24707" s="515">
        <v>25264</v>
      </c>
      <c r="B24707" s="515" t="s">
        <v>445</v>
      </c>
      <c r="C24707" s="52">
        <v>139610.533488227</v>
      </c>
      <c r="D24707" s="56">
        <v>3.7412949149342317E-2</v>
      </c>
      <c r="E24707" s="224" t="s">
        <v>2</v>
      </c>
      <c r="G24707" s="52"/>
      <c r="H24707" s="56"/>
      <c r="I24707" s="224"/>
    </row>
    <row r="24708" spans="1:9" x14ac:dyDescent="0.25">
      <c r="A24708" s="515">
        <v>68464</v>
      </c>
      <c r="C24708" s="52">
        <v>129930.423786641</v>
      </c>
      <c r="D24708" s="56">
        <v>0.15063031485430919</v>
      </c>
      <c r="E24708" s="224" t="s">
        <v>2</v>
      </c>
      <c r="G24708" s="52"/>
      <c r="H24708" s="56"/>
      <c r="I24708" s="224"/>
    </row>
    <row r="24709" spans="1:9" x14ac:dyDescent="0.25">
      <c r="A24709" s="515">
        <v>51020</v>
      </c>
      <c r="C24709" s="52">
        <v>93389.642231790407</v>
      </c>
      <c r="D24709" s="56">
        <v>0</v>
      </c>
      <c r="E24709" s="224" t="s">
        <v>2</v>
      </c>
      <c r="G24709" s="52"/>
      <c r="H24709" s="56"/>
      <c r="I24709" s="224"/>
    </row>
    <row r="24710" spans="1:9" x14ac:dyDescent="0.25">
      <c r="A24710" s="515">
        <v>68766</v>
      </c>
      <c r="C24710" s="52">
        <v>141960.32913174701</v>
      </c>
      <c r="D24710" s="56">
        <v>0.13470204273561137</v>
      </c>
      <c r="E24710" s="224" t="s">
        <v>2</v>
      </c>
      <c r="G24710" s="52"/>
      <c r="H24710" s="56"/>
      <c r="I24710" s="224"/>
    </row>
    <row r="24711" spans="1:9" x14ac:dyDescent="0.25">
      <c r="A24711" s="515">
        <v>59936</v>
      </c>
      <c r="B24711" s="515" t="s">
        <v>459</v>
      </c>
      <c r="C24711" s="52">
        <v>777876.10071997205</v>
      </c>
      <c r="D24711" s="56">
        <v>0.10656748039911719</v>
      </c>
      <c r="E24711" s="224" t="s">
        <v>2</v>
      </c>
      <c r="G24711" s="52"/>
      <c r="H24711" s="56"/>
      <c r="I24711" s="224"/>
    </row>
    <row r="24712" spans="1:9" x14ac:dyDescent="0.25">
      <c r="A24712" s="515">
        <v>50164</v>
      </c>
      <c r="B24712" s="515" t="s">
        <v>295</v>
      </c>
      <c r="C24712" s="52">
        <v>161637.45384648099</v>
      </c>
      <c r="D24712" s="56">
        <v>0.15413799607833711</v>
      </c>
      <c r="E24712" s="224" t="s">
        <v>2</v>
      </c>
      <c r="G24712" s="52"/>
      <c r="H24712" s="56"/>
      <c r="I24712" s="224"/>
    </row>
    <row r="24713" spans="1:9" x14ac:dyDescent="0.25">
      <c r="A24713" s="515">
        <v>4110</v>
      </c>
      <c r="B24713" s="515" t="s">
        <v>570</v>
      </c>
      <c r="C24713" s="52">
        <v>865990.391276301</v>
      </c>
      <c r="D24713" s="56">
        <v>3.3975304810203888E-2</v>
      </c>
      <c r="E24713" s="224" t="s">
        <v>2</v>
      </c>
      <c r="G24713" s="52"/>
      <c r="H24713" s="56"/>
      <c r="I24713" s="224"/>
    </row>
    <row r="24714" spans="1:9" x14ac:dyDescent="0.25">
      <c r="A24714" s="515">
        <v>58021</v>
      </c>
      <c r="B24714" s="515" t="s">
        <v>928</v>
      </c>
      <c r="C24714" s="52">
        <v>254670.34250044299</v>
      </c>
      <c r="D24714" s="56">
        <v>0</v>
      </c>
      <c r="E24714" s="224" t="s">
        <v>2</v>
      </c>
      <c r="G24714" s="52"/>
      <c r="H24714" s="56"/>
      <c r="I24714" s="224"/>
    </row>
    <row r="24715" spans="1:9" x14ac:dyDescent="0.25">
      <c r="A24715" s="515">
        <v>10914</v>
      </c>
      <c r="B24715" s="515" t="s">
        <v>529</v>
      </c>
      <c r="C24715" s="52">
        <v>540905.349104375</v>
      </c>
      <c r="D24715" s="56">
        <v>0.1346812276408014</v>
      </c>
      <c r="E24715" s="224" t="s">
        <v>2</v>
      </c>
      <c r="G24715" s="52"/>
      <c r="H24715" s="56"/>
      <c r="I24715" s="224"/>
    </row>
    <row r="24716" spans="1:9" x14ac:dyDescent="0.25">
      <c r="A24716" s="515">
        <v>61724</v>
      </c>
      <c r="B24716" s="515" t="s">
        <v>645</v>
      </c>
      <c r="C24716" s="52">
        <v>103399.43077874101</v>
      </c>
      <c r="D24716" s="56">
        <v>0</v>
      </c>
      <c r="E24716" s="224" t="s">
        <v>2</v>
      </c>
      <c r="G24716" s="52"/>
      <c r="H24716" s="56"/>
      <c r="I24716" s="224"/>
    </row>
    <row r="24717" spans="1:9" x14ac:dyDescent="0.25">
      <c r="A24717" s="515">
        <v>61812</v>
      </c>
      <c r="B24717" s="515" t="s">
        <v>999</v>
      </c>
      <c r="C24717" s="52">
        <v>107388.61483175799</v>
      </c>
      <c r="D24717" s="56">
        <v>7.0677032271535434E-2</v>
      </c>
      <c r="E24717" s="224" t="s">
        <v>2</v>
      </c>
      <c r="G24717" s="52"/>
      <c r="H24717" s="56"/>
      <c r="I24717" s="224"/>
    </row>
    <row r="24718" spans="1:9" x14ac:dyDescent="0.25">
      <c r="A24718" s="515">
        <v>58472</v>
      </c>
      <c r="B24718" s="515" t="s">
        <v>732</v>
      </c>
      <c r="C24718" s="52">
        <v>149704.244357355</v>
      </c>
      <c r="D24718" s="56">
        <v>0</v>
      </c>
      <c r="E24718" s="224" t="s">
        <v>2</v>
      </c>
      <c r="G24718" s="52"/>
      <c r="H24718" s="56"/>
      <c r="I24718" s="224"/>
    </row>
    <row r="24719" spans="1:9" x14ac:dyDescent="0.25">
      <c r="A24719" s="515">
        <v>15655</v>
      </c>
      <c r="B24719" s="515" t="s">
        <v>297</v>
      </c>
      <c r="C24719" s="52">
        <v>171655.434210526</v>
      </c>
      <c r="D24719" s="56">
        <v>0</v>
      </c>
      <c r="E24719" s="224" t="s">
        <v>2</v>
      </c>
      <c r="G24719" s="52"/>
      <c r="H24719" s="56"/>
      <c r="I24719" s="224"/>
    </row>
    <row r="24720" spans="1:9" x14ac:dyDescent="0.25">
      <c r="A24720" s="515">
        <v>38720</v>
      </c>
      <c r="B24720" s="515" t="s">
        <v>822</v>
      </c>
      <c r="C24720" s="52">
        <v>77669.411702506695</v>
      </c>
      <c r="D24720" s="56">
        <v>-0.24752392939672541</v>
      </c>
      <c r="E24720" s="224" t="s">
        <v>2</v>
      </c>
      <c r="G24720" s="52"/>
      <c r="H24720" s="56"/>
      <c r="I24720" s="224"/>
    </row>
    <row r="24721" spans="1:9" x14ac:dyDescent="0.25">
      <c r="A24721" s="515">
        <v>15631</v>
      </c>
      <c r="B24721" s="515" t="s">
        <v>297</v>
      </c>
      <c r="C24721" s="52">
        <v>82801.593933033306</v>
      </c>
      <c r="D24721" s="56">
        <v>4.3519545920346799E-2</v>
      </c>
      <c r="E24721" s="224" t="s">
        <v>2</v>
      </c>
      <c r="G24721" s="52"/>
      <c r="H24721" s="56"/>
      <c r="I24721" s="224"/>
    </row>
    <row r="24722" spans="1:9" x14ac:dyDescent="0.25">
      <c r="A24722" s="515">
        <v>57434</v>
      </c>
      <c r="C24722" s="52">
        <v>167186.78096266199</v>
      </c>
      <c r="D24722" s="56">
        <v>4.884713656328532E-2</v>
      </c>
      <c r="E24722" s="224" t="s">
        <v>2</v>
      </c>
      <c r="G24722" s="52"/>
      <c r="H24722" s="56"/>
      <c r="I24722" s="224"/>
    </row>
    <row r="24723" spans="1:9" x14ac:dyDescent="0.25">
      <c r="A24723" s="515">
        <v>52765</v>
      </c>
      <c r="B24723" s="515" t="s">
        <v>439</v>
      </c>
      <c r="C24723" s="52">
        <v>247812.35748327401</v>
      </c>
      <c r="D24723" s="56">
        <v>0.17011308706126402</v>
      </c>
      <c r="E24723" s="224" t="s">
        <v>2</v>
      </c>
      <c r="G24723" s="52"/>
      <c r="H24723" s="56"/>
      <c r="I24723" s="224"/>
    </row>
    <row r="24724" spans="1:9" x14ac:dyDescent="0.25">
      <c r="A24724" s="515">
        <v>56186</v>
      </c>
      <c r="C24724" s="52">
        <v>232064.275862068</v>
      </c>
      <c r="D24724" s="56">
        <v>0</v>
      </c>
      <c r="E24724" s="224" t="s">
        <v>2</v>
      </c>
      <c r="G24724" s="52"/>
      <c r="H24724" s="56"/>
      <c r="I24724" s="224"/>
    </row>
    <row r="24725" spans="1:9" x14ac:dyDescent="0.25">
      <c r="A24725" s="515">
        <v>24862</v>
      </c>
      <c r="C24725" s="52">
        <v>41203.512251622698</v>
      </c>
      <c r="D24725" s="56">
        <v>-3.4371373522406143E-2</v>
      </c>
      <c r="E24725" s="224" t="s">
        <v>2</v>
      </c>
      <c r="G24725" s="52"/>
      <c r="H24725" s="56"/>
      <c r="I24725" s="224"/>
    </row>
    <row r="24726" spans="1:9" x14ac:dyDescent="0.25">
      <c r="A24726" s="515">
        <v>95715</v>
      </c>
      <c r="B24726" s="515" t="s">
        <v>355</v>
      </c>
      <c r="C24726" s="52">
        <v>382352.88198235998</v>
      </c>
      <c r="D24726" s="56">
        <v>-4.9416527807239936E-2</v>
      </c>
      <c r="E24726" s="224" t="s">
        <v>2</v>
      </c>
      <c r="G24726" s="52"/>
      <c r="H24726" s="56"/>
      <c r="I24726" s="224"/>
    </row>
    <row r="24727" spans="1:9" x14ac:dyDescent="0.25">
      <c r="A24727" s="515">
        <v>95224</v>
      </c>
      <c r="C24727" s="52">
        <v>392206.28299560503</v>
      </c>
      <c r="D24727" s="56">
        <v>-3.1481194921245237E-2</v>
      </c>
      <c r="E24727" s="224" t="s">
        <v>2</v>
      </c>
      <c r="G24727" s="52"/>
      <c r="H24727" s="56"/>
      <c r="I24727" s="224"/>
    </row>
    <row r="24728" spans="1:9" x14ac:dyDescent="0.25">
      <c r="A24728" s="515">
        <v>68925</v>
      </c>
      <c r="B24728" s="515" t="s">
        <v>754</v>
      </c>
      <c r="C24728" s="52">
        <v>359400.701041247</v>
      </c>
      <c r="D24728" s="56">
        <v>0.13397542641653412</v>
      </c>
      <c r="E24728" s="224" t="s">
        <v>2</v>
      </c>
      <c r="G24728" s="52"/>
      <c r="H24728" s="56"/>
      <c r="I24728" s="224"/>
    </row>
    <row r="24729" spans="1:9" x14ac:dyDescent="0.25">
      <c r="A24729" s="515">
        <v>15051</v>
      </c>
      <c r="B24729" s="515" t="s">
        <v>297</v>
      </c>
      <c r="C24729" s="52">
        <v>120667.550988299</v>
      </c>
      <c r="D24729" s="56">
        <v>0.19434529928011268</v>
      </c>
      <c r="E24729" s="224" t="s">
        <v>2</v>
      </c>
      <c r="G24729" s="52"/>
      <c r="H24729" s="56"/>
      <c r="I24729" s="224"/>
    </row>
    <row r="24730" spans="1:9" x14ac:dyDescent="0.25">
      <c r="A24730" s="515">
        <v>99179</v>
      </c>
      <c r="B24730" s="515" t="s">
        <v>450</v>
      </c>
      <c r="C24730" s="52">
        <v>339745.08921749197</v>
      </c>
      <c r="D24730" s="56">
        <v>9.7387179285508163E-2</v>
      </c>
      <c r="E24730" s="224" t="s">
        <v>2</v>
      </c>
      <c r="G24730" s="52"/>
      <c r="H24730" s="56"/>
      <c r="I24730" s="224"/>
    </row>
    <row r="24731" spans="1:9" x14ac:dyDescent="0.25">
      <c r="A24731" s="515">
        <v>81433</v>
      </c>
      <c r="C24731" s="52">
        <v>460329.752252971</v>
      </c>
      <c r="D24731" s="56">
        <v>0.11369219508194715</v>
      </c>
      <c r="E24731" s="224" t="s">
        <v>2</v>
      </c>
      <c r="G24731" s="52"/>
      <c r="H24731" s="56"/>
      <c r="I24731" s="224"/>
    </row>
    <row r="24732" spans="1:9" x14ac:dyDescent="0.25">
      <c r="A24732" s="515">
        <v>21612</v>
      </c>
      <c r="B24732" s="515" t="s">
        <v>519</v>
      </c>
      <c r="C24732" s="52">
        <v>835724.42930529197</v>
      </c>
      <c r="D24732" s="56">
        <v>1.6995839039346056E-2</v>
      </c>
      <c r="E24732" s="224" t="s">
        <v>2</v>
      </c>
      <c r="G24732" s="52"/>
      <c r="H24732" s="56"/>
      <c r="I24732" s="224"/>
    </row>
    <row r="24733" spans="1:9" x14ac:dyDescent="0.25">
      <c r="A24733" s="515">
        <v>61769</v>
      </c>
      <c r="B24733" s="515" t="s">
        <v>678</v>
      </c>
      <c r="C24733" s="52">
        <v>108036.82452428</v>
      </c>
      <c r="D24733" s="56">
        <v>0</v>
      </c>
      <c r="E24733" s="224" t="s">
        <v>2</v>
      </c>
      <c r="G24733" s="52"/>
      <c r="H24733" s="56"/>
      <c r="I24733" s="224"/>
    </row>
    <row r="24734" spans="1:9" x14ac:dyDescent="0.25">
      <c r="A24734" s="515">
        <v>5056</v>
      </c>
      <c r="B24734" s="515" t="s">
        <v>420</v>
      </c>
      <c r="C24734" s="52">
        <v>404150.13495633198</v>
      </c>
      <c r="D24734" s="56">
        <v>0.14586457643589057</v>
      </c>
      <c r="E24734" s="224" t="s">
        <v>2</v>
      </c>
      <c r="G24734" s="52"/>
      <c r="H24734" s="56"/>
      <c r="I24734" s="224"/>
    </row>
    <row r="24735" spans="1:9" x14ac:dyDescent="0.25">
      <c r="A24735" s="515">
        <v>51366</v>
      </c>
      <c r="B24735" s="515" t="s">
        <v>426</v>
      </c>
      <c r="C24735" s="52">
        <v>130981.32769174701</v>
      </c>
      <c r="D24735" s="56">
        <v>0</v>
      </c>
      <c r="E24735" s="224" t="s">
        <v>2</v>
      </c>
      <c r="G24735" s="52"/>
      <c r="H24735" s="56"/>
      <c r="I24735" s="224"/>
    </row>
    <row r="24736" spans="1:9" x14ac:dyDescent="0.25">
      <c r="A24736" s="515">
        <v>59221</v>
      </c>
      <c r="C24736" s="52">
        <v>381118.71940827201</v>
      </c>
      <c r="D24736" s="56">
        <v>1.6994125565155629E-2</v>
      </c>
      <c r="E24736" s="224" t="s">
        <v>2</v>
      </c>
      <c r="G24736" s="52"/>
      <c r="H24736" s="56"/>
      <c r="I24736" s="224"/>
    </row>
    <row r="24737" spans="1:9" x14ac:dyDescent="0.25">
      <c r="A24737" s="515">
        <v>83546</v>
      </c>
      <c r="C24737" s="52">
        <v>177884.14864905999</v>
      </c>
      <c r="D24737" s="56">
        <v>0.14884587247671852</v>
      </c>
      <c r="E24737" s="224" t="s">
        <v>2</v>
      </c>
      <c r="G24737" s="52"/>
      <c r="H24737" s="56"/>
      <c r="I24737" s="224"/>
    </row>
    <row r="24738" spans="1:9" x14ac:dyDescent="0.25">
      <c r="A24738" s="515">
        <v>39877</v>
      </c>
      <c r="C24738" s="52">
        <v>111661.752544363</v>
      </c>
      <c r="D24738" s="56">
        <v>0.13726372916554289</v>
      </c>
      <c r="E24738" s="224" t="s">
        <v>2</v>
      </c>
      <c r="G24738" s="52"/>
      <c r="H24738" s="56"/>
      <c r="I24738" s="224"/>
    </row>
    <row r="24739" spans="1:9" x14ac:dyDescent="0.25">
      <c r="A24739" s="515">
        <v>68841</v>
      </c>
      <c r="C24739" s="52">
        <v>213610.62153381799</v>
      </c>
      <c r="D24739" s="56">
        <v>3.483548929266804E-2</v>
      </c>
      <c r="E24739" s="224" t="s">
        <v>2</v>
      </c>
      <c r="G24739" s="52"/>
      <c r="H24739" s="56"/>
      <c r="I24739" s="224"/>
    </row>
    <row r="24740" spans="1:9" x14ac:dyDescent="0.25">
      <c r="A24740" s="515">
        <v>52727</v>
      </c>
      <c r="B24740" s="515" t="s">
        <v>330</v>
      </c>
      <c r="C24740" s="52">
        <v>272971.81478985399</v>
      </c>
      <c r="D24740" s="56">
        <v>0.12217166449430183</v>
      </c>
      <c r="E24740" s="224" t="s">
        <v>2</v>
      </c>
      <c r="G24740" s="52"/>
      <c r="H24740" s="56"/>
      <c r="I24740" s="224"/>
    </row>
    <row r="24741" spans="1:9" x14ac:dyDescent="0.25">
      <c r="A24741" s="515">
        <v>98617</v>
      </c>
      <c r="C24741" s="52">
        <v>394895.66731355502</v>
      </c>
      <c r="D24741" s="56">
        <v>8.940215068901301E-3</v>
      </c>
      <c r="E24741" s="224" t="s">
        <v>2</v>
      </c>
      <c r="G24741" s="52"/>
      <c r="H24741" s="56"/>
      <c r="I24741" s="224"/>
    </row>
    <row r="24742" spans="1:9" x14ac:dyDescent="0.25">
      <c r="A24742" s="515">
        <v>5359</v>
      </c>
      <c r="C24742" s="52">
        <v>298457.57685757801</v>
      </c>
      <c r="D24742" s="56">
        <v>8.568299557746431E-2</v>
      </c>
      <c r="E24742" s="224" t="s">
        <v>2</v>
      </c>
      <c r="G24742" s="52"/>
      <c r="H24742" s="56"/>
      <c r="I24742" s="224"/>
    </row>
    <row r="24743" spans="1:9" x14ac:dyDescent="0.25">
      <c r="A24743" s="515">
        <v>67117</v>
      </c>
      <c r="B24743" s="515" t="s">
        <v>485</v>
      </c>
      <c r="C24743" s="52">
        <v>216800.70038805</v>
      </c>
      <c r="D24743" s="56">
        <v>4.9178636036493903E-2</v>
      </c>
      <c r="E24743" s="224" t="s">
        <v>2</v>
      </c>
      <c r="G24743" s="52"/>
      <c r="H24743" s="56"/>
      <c r="I24743" s="224"/>
    </row>
    <row r="24744" spans="1:9" x14ac:dyDescent="0.25">
      <c r="A24744" s="515">
        <v>68320</v>
      </c>
      <c r="C24744" s="52">
        <v>178554.714285714</v>
      </c>
      <c r="D24744" s="56">
        <v>0</v>
      </c>
      <c r="E24744" s="224" t="s">
        <v>2</v>
      </c>
      <c r="G24744" s="52"/>
      <c r="H24744" s="56"/>
      <c r="I24744" s="224"/>
    </row>
    <row r="24745" spans="1:9" x14ac:dyDescent="0.25">
      <c r="A24745" s="515">
        <v>68424</v>
      </c>
      <c r="C24745" s="52">
        <v>171324.99442898601</v>
      </c>
      <c r="D24745" s="56">
        <v>0.11041773591387739</v>
      </c>
      <c r="E24745" s="224" t="s">
        <v>2</v>
      </c>
      <c r="G24745" s="52"/>
      <c r="H24745" s="56"/>
      <c r="I24745" s="224"/>
    </row>
    <row r="24746" spans="1:9" x14ac:dyDescent="0.25">
      <c r="A24746" s="515">
        <v>4464</v>
      </c>
      <c r="C24746" s="52">
        <v>203248.09634219899</v>
      </c>
      <c r="D24746" s="56">
        <v>2.2359272654258695E-2</v>
      </c>
      <c r="E24746" s="224" t="s">
        <v>2</v>
      </c>
      <c r="G24746" s="52"/>
      <c r="H24746" s="56"/>
      <c r="I24746" s="224"/>
    </row>
    <row r="24747" spans="1:9" x14ac:dyDescent="0.25">
      <c r="A24747" s="515">
        <v>51350</v>
      </c>
      <c r="C24747" s="52">
        <v>99987.061664849694</v>
      </c>
      <c r="D24747" s="56">
        <v>0</v>
      </c>
      <c r="E24747" s="224" t="s">
        <v>2</v>
      </c>
      <c r="G24747" s="52"/>
      <c r="H24747" s="56"/>
      <c r="I24747" s="224"/>
    </row>
    <row r="24748" spans="1:9" x14ac:dyDescent="0.25">
      <c r="A24748" s="515">
        <v>20645</v>
      </c>
      <c r="B24748" s="515" t="s">
        <v>321</v>
      </c>
      <c r="C24748" s="52">
        <v>461288.59600701602</v>
      </c>
      <c r="D24748" s="56">
        <v>2.5462145581992973E-2</v>
      </c>
      <c r="E24748" s="224" t="s">
        <v>2</v>
      </c>
      <c r="G24748" s="52"/>
      <c r="H24748" s="56"/>
      <c r="I24748" s="224"/>
    </row>
    <row r="24749" spans="1:9" x14ac:dyDescent="0.25">
      <c r="A24749" s="515">
        <v>26136</v>
      </c>
      <c r="C24749" s="52">
        <v>71643.010278901696</v>
      </c>
      <c r="D24749" s="56">
        <v>0.16187695984643943</v>
      </c>
      <c r="E24749" s="224" t="s">
        <v>2</v>
      </c>
      <c r="G24749" s="52"/>
      <c r="H24749" s="56"/>
      <c r="I24749" s="224"/>
    </row>
    <row r="24750" spans="1:9" x14ac:dyDescent="0.25">
      <c r="A24750" s="515">
        <v>26810</v>
      </c>
      <c r="C24750" s="52">
        <v>207393.45154439501</v>
      </c>
      <c r="D24750" s="56">
        <v>0.10796268149265405</v>
      </c>
      <c r="E24750" s="224" t="s">
        <v>2</v>
      </c>
      <c r="G24750" s="52"/>
      <c r="H24750" s="56"/>
      <c r="I24750" s="224"/>
    </row>
    <row r="24751" spans="1:9" x14ac:dyDescent="0.25">
      <c r="A24751" s="515">
        <v>41263</v>
      </c>
      <c r="C24751" s="52">
        <v>124480.60328103699</v>
      </c>
      <c r="D24751" s="56">
        <v>0.17677431381263969</v>
      </c>
      <c r="E24751" s="224" t="s">
        <v>2</v>
      </c>
      <c r="G24751" s="52"/>
      <c r="H24751" s="56"/>
      <c r="I24751" s="224"/>
    </row>
    <row r="24752" spans="1:9" x14ac:dyDescent="0.25">
      <c r="A24752" s="515">
        <v>62370</v>
      </c>
      <c r="C24752" s="52">
        <v>73794.886792452802</v>
      </c>
      <c r="D24752" s="56">
        <v>0</v>
      </c>
      <c r="E24752" s="224" t="s">
        <v>2</v>
      </c>
      <c r="G24752" s="52"/>
      <c r="H24752" s="56"/>
      <c r="I24752" s="224"/>
    </row>
    <row r="24753" spans="1:9" x14ac:dyDescent="0.25">
      <c r="A24753" s="515">
        <v>55961</v>
      </c>
      <c r="B24753" s="515" t="s">
        <v>413</v>
      </c>
      <c r="C24753" s="52">
        <v>176299.145916009</v>
      </c>
      <c r="D24753" s="56">
        <v>3.1673724823082332E-2</v>
      </c>
      <c r="E24753" s="224" t="s">
        <v>2</v>
      </c>
      <c r="G24753" s="52"/>
      <c r="H24753" s="56"/>
      <c r="I24753" s="224"/>
    </row>
    <row r="24754" spans="1:9" x14ac:dyDescent="0.25">
      <c r="A24754" s="515">
        <v>99018</v>
      </c>
      <c r="B24754" s="515" t="s">
        <v>820</v>
      </c>
      <c r="C24754" s="52">
        <v>306592.70660073002</v>
      </c>
      <c r="D24754" s="56">
        <v>9.9233665159079415E-2</v>
      </c>
      <c r="E24754" s="224" t="s">
        <v>2</v>
      </c>
      <c r="G24754" s="52"/>
      <c r="H24754" s="56"/>
      <c r="I24754" s="224"/>
    </row>
    <row r="24755" spans="1:9" x14ac:dyDescent="0.25">
      <c r="A24755" s="515">
        <v>58783</v>
      </c>
      <c r="C24755" s="52">
        <v>121301.328155286</v>
      </c>
      <c r="D24755" s="56">
        <v>0</v>
      </c>
      <c r="E24755" s="224" t="s">
        <v>2</v>
      </c>
      <c r="G24755" s="52"/>
      <c r="H24755" s="56"/>
      <c r="I24755" s="224"/>
    </row>
    <row r="24756" spans="1:9" x14ac:dyDescent="0.25">
      <c r="A24756" s="515">
        <v>56651</v>
      </c>
      <c r="C24756" s="52">
        <v>180658.62259263999</v>
      </c>
      <c r="D24756" s="56">
        <v>5.5606165602322011E-2</v>
      </c>
      <c r="E24756" s="224" t="s">
        <v>2</v>
      </c>
      <c r="G24756" s="52"/>
      <c r="H24756" s="56"/>
      <c r="I24756" s="224"/>
    </row>
    <row r="24757" spans="1:9" x14ac:dyDescent="0.25">
      <c r="A24757" s="515">
        <v>47588</v>
      </c>
      <c r="C24757" s="52">
        <v>148199.713939051</v>
      </c>
      <c r="D24757" s="56">
        <v>6.6099615163190822E-2</v>
      </c>
      <c r="E24757" s="224" t="s">
        <v>2</v>
      </c>
      <c r="G24757" s="52"/>
      <c r="H24757" s="56"/>
      <c r="I24757" s="224"/>
    </row>
    <row r="24758" spans="1:9" x14ac:dyDescent="0.25">
      <c r="A24758" s="515">
        <v>51060</v>
      </c>
      <c r="C24758" s="52">
        <v>91867.666111413797</v>
      </c>
      <c r="D24758" s="56">
        <v>4.9856302617739406E-2</v>
      </c>
      <c r="E24758" s="224" t="s">
        <v>2</v>
      </c>
      <c r="G24758" s="52"/>
      <c r="H24758" s="56"/>
      <c r="I24758" s="224"/>
    </row>
    <row r="24759" spans="1:9" x14ac:dyDescent="0.25">
      <c r="A24759" s="515">
        <v>59489</v>
      </c>
      <c r="C24759" s="52">
        <v>278729.16433413199</v>
      </c>
      <c r="D24759" s="56">
        <v>0.23191415424693779</v>
      </c>
      <c r="E24759" s="224" t="s">
        <v>2</v>
      </c>
      <c r="G24759" s="52"/>
      <c r="H24759" s="56"/>
      <c r="I24759" s="224"/>
    </row>
    <row r="24760" spans="1:9" x14ac:dyDescent="0.25">
      <c r="A24760" s="515">
        <v>68415</v>
      </c>
      <c r="B24760" s="515" t="s">
        <v>745</v>
      </c>
      <c r="C24760" s="52">
        <v>189226.31921744</v>
      </c>
      <c r="D24760" s="56">
        <v>7.0993779961759679E-2</v>
      </c>
      <c r="E24760" s="224" t="s">
        <v>2</v>
      </c>
      <c r="G24760" s="52"/>
      <c r="H24760" s="56"/>
      <c r="I24760" s="224"/>
    </row>
    <row r="24761" spans="1:9" x14ac:dyDescent="0.25">
      <c r="A24761" s="515">
        <v>26590</v>
      </c>
      <c r="B24761" s="515" t="s">
        <v>643</v>
      </c>
      <c r="C24761" s="52">
        <v>144175.28190053999</v>
      </c>
      <c r="D24761" s="56">
        <v>3.6533002280440929E-2</v>
      </c>
      <c r="E24761" s="224" t="s">
        <v>2</v>
      </c>
      <c r="G24761" s="52"/>
      <c r="H24761" s="56"/>
      <c r="I24761" s="224"/>
    </row>
    <row r="24762" spans="1:9" x14ac:dyDescent="0.25">
      <c r="A24762" s="515">
        <v>26575</v>
      </c>
      <c r="C24762" s="52">
        <v>78707.0523200225</v>
      </c>
      <c r="D24762" s="56">
        <v>0</v>
      </c>
      <c r="E24762" s="224" t="s">
        <v>2</v>
      </c>
      <c r="G24762" s="52"/>
      <c r="H24762" s="56"/>
      <c r="I24762" s="224"/>
    </row>
    <row r="24763" spans="1:9" x14ac:dyDescent="0.25">
      <c r="A24763" s="515">
        <v>96038</v>
      </c>
      <c r="C24763" s="52">
        <v>229507.50133107099</v>
      </c>
      <c r="D24763" s="56">
        <v>1.1851778129548123E-2</v>
      </c>
      <c r="E24763" s="224" t="s">
        <v>2</v>
      </c>
      <c r="G24763" s="52"/>
      <c r="H24763" s="56"/>
      <c r="I24763" s="224"/>
    </row>
    <row r="24764" spans="1:9" x14ac:dyDescent="0.25">
      <c r="A24764" s="515">
        <v>62536</v>
      </c>
      <c r="B24764" s="515" t="s">
        <v>819</v>
      </c>
      <c r="C24764" s="52">
        <v>224152.86266890701</v>
      </c>
      <c r="D24764" s="56">
        <v>0.10826248033340019</v>
      </c>
      <c r="E24764" s="224" t="s">
        <v>2</v>
      </c>
      <c r="G24764" s="52"/>
      <c r="H24764" s="56"/>
      <c r="I24764" s="224"/>
    </row>
    <row r="24765" spans="1:9" x14ac:dyDescent="0.25">
      <c r="A24765" s="515">
        <v>45886</v>
      </c>
      <c r="B24765" s="515" t="s">
        <v>818</v>
      </c>
      <c r="C24765" s="52">
        <v>102765.600374252</v>
      </c>
      <c r="D24765" s="56">
        <v>3.2091738646158705E-2</v>
      </c>
      <c r="E24765" s="224" t="s">
        <v>2</v>
      </c>
      <c r="G24765" s="52"/>
      <c r="H24765" s="56"/>
      <c r="I24765" s="224"/>
    </row>
    <row r="24766" spans="1:9" x14ac:dyDescent="0.25">
      <c r="A24766" s="515">
        <v>62886</v>
      </c>
      <c r="C24766" s="52">
        <v>75024.352941176403</v>
      </c>
      <c r="D24766" s="56">
        <v>0</v>
      </c>
      <c r="E24766" s="224" t="s">
        <v>2</v>
      </c>
      <c r="G24766" s="52"/>
      <c r="H24766" s="56"/>
      <c r="I24766" s="224"/>
    </row>
    <row r="24767" spans="1:9" x14ac:dyDescent="0.25">
      <c r="A24767" s="515">
        <v>87538</v>
      </c>
      <c r="B24767" s="515" t="s">
        <v>767</v>
      </c>
      <c r="C24767" s="52">
        <v>237442.90853798401</v>
      </c>
      <c r="D24767" s="56">
        <v>0</v>
      </c>
      <c r="E24767" s="224" t="s">
        <v>2</v>
      </c>
      <c r="G24767" s="52"/>
      <c r="H24767" s="56"/>
      <c r="I24767" s="224"/>
    </row>
    <row r="24768" spans="1:9" x14ac:dyDescent="0.25">
      <c r="A24768" s="515">
        <v>41650</v>
      </c>
      <c r="C24768" s="52">
        <v>43827.280639907804</v>
      </c>
      <c r="D24768" s="56">
        <v>0.15498586861445196</v>
      </c>
      <c r="E24768" s="224" t="s">
        <v>2</v>
      </c>
      <c r="G24768" s="52"/>
      <c r="H24768" s="56"/>
      <c r="I24768" s="224"/>
    </row>
    <row r="24769" spans="1:9" x14ac:dyDescent="0.25">
      <c r="A24769" s="515">
        <v>15347</v>
      </c>
      <c r="B24769" s="515" t="s">
        <v>297</v>
      </c>
      <c r="C24769" s="52">
        <v>150106.10965676099</v>
      </c>
      <c r="D24769" s="56">
        <v>4.6785944621524626E-2</v>
      </c>
      <c r="E24769" s="224" t="s">
        <v>2</v>
      </c>
      <c r="G24769" s="52"/>
      <c r="H24769" s="56"/>
      <c r="I24769" s="224"/>
    </row>
    <row r="24770" spans="1:9" x14ac:dyDescent="0.25">
      <c r="A24770" s="515">
        <v>62976</v>
      </c>
      <c r="C24770" s="52">
        <v>58347.664776494901</v>
      </c>
      <c r="D24770" s="56">
        <v>3.2180760028761073E-2</v>
      </c>
      <c r="E24770" s="224" t="s">
        <v>2</v>
      </c>
      <c r="G24770" s="52"/>
      <c r="H24770" s="56"/>
      <c r="I24770" s="224"/>
    </row>
    <row r="24771" spans="1:9" x14ac:dyDescent="0.25">
      <c r="A24771" s="515">
        <v>22650</v>
      </c>
      <c r="C24771" s="52">
        <v>301849.06303384801</v>
      </c>
      <c r="D24771" s="56">
        <v>0.11363926023747184</v>
      </c>
      <c r="E24771" s="224" t="s">
        <v>2</v>
      </c>
      <c r="G24771" s="52"/>
      <c r="H24771" s="56"/>
      <c r="I24771" s="224"/>
    </row>
    <row r="24772" spans="1:9" x14ac:dyDescent="0.25">
      <c r="A24772" s="515">
        <v>52750</v>
      </c>
      <c r="B24772" s="515" t="s">
        <v>330</v>
      </c>
      <c r="C24772" s="52">
        <v>220333.70465961</v>
      </c>
      <c r="D24772" s="56">
        <v>9.7716502426826238E-2</v>
      </c>
      <c r="E24772" s="224" t="s">
        <v>2</v>
      </c>
      <c r="G24772" s="52"/>
      <c r="H24772" s="56"/>
      <c r="I24772" s="224"/>
    </row>
    <row r="24773" spans="1:9" x14ac:dyDescent="0.25">
      <c r="A24773" s="515">
        <v>63557</v>
      </c>
      <c r="C24773" s="52">
        <v>168580.86881997099</v>
      </c>
      <c r="D24773" s="56">
        <v>0.21694409600566258</v>
      </c>
      <c r="E24773" s="224" t="s">
        <v>2</v>
      </c>
      <c r="G24773" s="52"/>
      <c r="H24773" s="56"/>
      <c r="I24773" s="224"/>
    </row>
    <row r="24774" spans="1:9" x14ac:dyDescent="0.25">
      <c r="A24774" s="515">
        <v>68316</v>
      </c>
      <c r="C24774" s="52">
        <v>169466.104066614</v>
      </c>
      <c r="D24774" s="56">
        <v>7.4468916141862115E-2</v>
      </c>
      <c r="E24774" s="224" t="s">
        <v>2</v>
      </c>
      <c r="G24774" s="52"/>
      <c r="H24774" s="56"/>
      <c r="I24774" s="224"/>
    </row>
    <row r="24775" spans="1:9" x14ac:dyDescent="0.25">
      <c r="A24775" s="515">
        <v>66517</v>
      </c>
      <c r="B24775" s="515" t="s">
        <v>795</v>
      </c>
      <c r="C24775" s="52">
        <v>138128.686382249</v>
      </c>
      <c r="D24775" s="56">
        <v>5.5432332583361763E-2</v>
      </c>
      <c r="E24775" s="224">
        <v>1133.3333333333301</v>
      </c>
      <c r="G24775" s="52"/>
      <c r="H24775" s="56"/>
      <c r="I24775" s="224"/>
    </row>
    <row r="24776" spans="1:9" x14ac:dyDescent="0.25">
      <c r="A24776" s="515">
        <v>56450</v>
      </c>
      <c r="B24776" s="515" t="s">
        <v>674</v>
      </c>
      <c r="C24776" s="52">
        <v>254379.12580717399</v>
      </c>
      <c r="D24776" s="56">
        <v>0.18179725988712941</v>
      </c>
      <c r="E24776" s="224" t="s">
        <v>2</v>
      </c>
      <c r="G24776" s="52"/>
      <c r="H24776" s="56"/>
      <c r="I24776" s="224"/>
    </row>
    <row r="24777" spans="1:9" x14ac:dyDescent="0.25">
      <c r="A24777" s="515">
        <v>50108</v>
      </c>
      <c r="C24777" s="52">
        <v>108990.818576716</v>
      </c>
      <c r="D24777" s="56">
        <v>0</v>
      </c>
      <c r="E24777" s="224" t="s">
        <v>2</v>
      </c>
      <c r="G24777" s="52"/>
      <c r="H24777" s="56"/>
      <c r="I24777" s="224"/>
    </row>
    <row r="24778" spans="1:9" x14ac:dyDescent="0.25">
      <c r="A24778" s="515">
        <v>69134</v>
      </c>
      <c r="C24778" s="52">
        <v>245693.65986514001</v>
      </c>
      <c r="D24778" s="56">
        <v>0.20287427850324588</v>
      </c>
      <c r="E24778" s="224" t="s">
        <v>2</v>
      </c>
      <c r="G24778" s="52"/>
      <c r="H24778" s="56"/>
      <c r="I24778" s="224"/>
    </row>
    <row r="24779" spans="1:9" x14ac:dyDescent="0.25">
      <c r="A24779" s="515">
        <v>50206</v>
      </c>
      <c r="C24779" s="52">
        <v>128934.008686029</v>
      </c>
      <c r="D24779" s="56">
        <v>0</v>
      </c>
      <c r="E24779" s="224" t="s">
        <v>2</v>
      </c>
      <c r="G24779" s="52"/>
      <c r="H24779" s="56"/>
      <c r="I24779" s="224"/>
    </row>
    <row r="24780" spans="1:9" x14ac:dyDescent="0.25">
      <c r="A24780" s="515">
        <v>59740</v>
      </c>
      <c r="C24780" s="52">
        <v>637829.81867669395</v>
      </c>
      <c r="D24780" s="56">
        <v>2.1430773984836889E-2</v>
      </c>
      <c r="E24780" s="224" t="s">
        <v>2</v>
      </c>
      <c r="G24780" s="52"/>
      <c r="H24780" s="56"/>
      <c r="I24780" s="224"/>
    </row>
    <row r="24781" spans="1:9" x14ac:dyDescent="0.25">
      <c r="A24781" s="515">
        <v>62361</v>
      </c>
      <c r="C24781" s="52">
        <v>68390.438596491207</v>
      </c>
      <c r="D24781" s="56">
        <v>0</v>
      </c>
      <c r="E24781" s="224" t="s">
        <v>2</v>
      </c>
      <c r="G24781" s="52"/>
      <c r="H24781" s="56"/>
      <c r="I24781" s="224"/>
    </row>
    <row r="24782" spans="1:9" x14ac:dyDescent="0.25">
      <c r="A24782" s="515">
        <v>91934</v>
      </c>
      <c r="B24782" s="515" t="s">
        <v>396</v>
      </c>
      <c r="C24782" s="52">
        <v>295932.90777785098</v>
      </c>
      <c r="D24782" s="56">
        <v>7.6849872607125586E-2</v>
      </c>
      <c r="E24782" s="224" t="s">
        <v>2</v>
      </c>
      <c r="G24782" s="52"/>
      <c r="H24782" s="56"/>
      <c r="I24782" s="224"/>
    </row>
    <row r="24783" spans="1:9" x14ac:dyDescent="0.25">
      <c r="A24783" s="515">
        <v>83115</v>
      </c>
      <c r="C24783" s="52">
        <v>415436.20191428799</v>
      </c>
      <c r="D24783" s="56">
        <v>0.12261133348264437</v>
      </c>
      <c r="E24783" s="224" t="s">
        <v>2</v>
      </c>
      <c r="G24783" s="52"/>
      <c r="H24783" s="56"/>
      <c r="I24783" s="224"/>
    </row>
    <row r="24784" spans="1:9" x14ac:dyDescent="0.25">
      <c r="A24784" s="515">
        <v>52334</v>
      </c>
      <c r="C24784" s="52">
        <v>249683.99228612901</v>
      </c>
      <c r="D24784" s="56">
        <v>0.12593154807737802</v>
      </c>
      <c r="E24784" s="224" t="s">
        <v>2</v>
      </c>
      <c r="G24784" s="52"/>
      <c r="H24784" s="56"/>
      <c r="I24784" s="224"/>
    </row>
    <row r="24785" spans="1:9" x14ac:dyDescent="0.25">
      <c r="A24785" s="515">
        <v>50452</v>
      </c>
      <c r="C24785" s="52">
        <v>110350.038275461</v>
      </c>
      <c r="D24785" s="56">
        <v>9.2554584219954175E-2</v>
      </c>
      <c r="E24785" s="224" t="s">
        <v>2</v>
      </c>
      <c r="G24785" s="52"/>
      <c r="H24785" s="56"/>
      <c r="I24785" s="224"/>
    </row>
    <row r="24786" spans="1:9" x14ac:dyDescent="0.25">
      <c r="A24786" s="515">
        <v>69043</v>
      </c>
      <c r="C24786" s="52">
        <v>107024.246160749</v>
      </c>
      <c r="D24786" s="56">
        <v>4.7850558078123662E-2</v>
      </c>
      <c r="E24786" s="224" t="s">
        <v>2</v>
      </c>
      <c r="G24786" s="52"/>
      <c r="H24786" s="56"/>
      <c r="I24786" s="224"/>
    </row>
    <row r="24787" spans="1:9" x14ac:dyDescent="0.25">
      <c r="A24787" s="515">
        <v>12942</v>
      </c>
      <c r="C24787" s="52">
        <v>435873.59699763701</v>
      </c>
      <c r="D24787" s="56">
        <v>0.12950177822794989</v>
      </c>
      <c r="E24787" s="224" t="s">
        <v>2</v>
      </c>
      <c r="G24787" s="52"/>
      <c r="H24787" s="56"/>
      <c r="I24787" s="224"/>
    </row>
    <row r="24788" spans="1:9" x14ac:dyDescent="0.25">
      <c r="A24788" s="515">
        <v>13693</v>
      </c>
      <c r="B24788" s="515" t="s">
        <v>431</v>
      </c>
      <c r="C24788" s="52">
        <v>223124.443760553</v>
      </c>
      <c r="D24788" s="56">
        <v>8.1386612674947331E-2</v>
      </c>
      <c r="E24788" s="224" t="s">
        <v>2</v>
      </c>
      <c r="G24788" s="52"/>
      <c r="H24788" s="56"/>
      <c r="I24788" s="224"/>
    </row>
    <row r="24789" spans="1:9" x14ac:dyDescent="0.25">
      <c r="A24789" s="515">
        <v>84525</v>
      </c>
      <c r="C24789" s="52">
        <v>185896</v>
      </c>
      <c r="D24789" s="56">
        <v>0</v>
      </c>
      <c r="E24789" s="224" t="s">
        <v>2</v>
      </c>
      <c r="G24789" s="52"/>
      <c r="H24789" s="56"/>
      <c r="I24789" s="224"/>
    </row>
    <row r="24790" spans="1:9" x14ac:dyDescent="0.25">
      <c r="A24790" s="515">
        <v>71004</v>
      </c>
      <c r="B24790" s="515" t="s">
        <v>739</v>
      </c>
      <c r="C24790" s="52">
        <v>102402.90732743101</v>
      </c>
      <c r="D24790" s="56">
        <v>9.4619089192427841E-2</v>
      </c>
      <c r="E24790" s="224" t="s">
        <v>2</v>
      </c>
      <c r="G24790" s="52"/>
      <c r="H24790" s="56"/>
      <c r="I24790" s="224"/>
    </row>
    <row r="24791" spans="1:9" x14ac:dyDescent="0.25">
      <c r="A24791" s="515">
        <v>63653</v>
      </c>
      <c r="B24791" s="515" t="s">
        <v>817</v>
      </c>
      <c r="C24791" s="52">
        <v>67051.950689200297</v>
      </c>
      <c r="D24791" s="56">
        <v>0.15028617975990777</v>
      </c>
      <c r="E24791" s="224" t="s">
        <v>2</v>
      </c>
      <c r="G24791" s="52"/>
      <c r="H24791" s="56"/>
      <c r="I24791" s="224"/>
    </row>
    <row r="24792" spans="1:9" x14ac:dyDescent="0.25">
      <c r="A24792" s="515">
        <v>62942</v>
      </c>
      <c r="B24792" s="515" t="s">
        <v>471</v>
      </c>
      <c r="C24792" s="52">
        <v>30238.915605302798</v>
      </c>
      <c r="D24792" s="56">
        <v>-7.8404505687549739E-2</v>
      </c>
      <c r="E24792" s="224" t="s">
        <v>2</v>
      </c>
      <c r="G24792" s="52"/>
      <c r="H24792" s="56"/>
      <c r="I24792" s="224"/>
    </row>
    <row r="24793" spans="1:9" x14ac:dyDescent="0.25">
      <c r="A24793" s="515">
        <v>58018</v>
      </c>
      <c r="B24793" s="515" t="s">
        <v>548</v>
      </c>
      <c r="C24793" s="52">
        <v>282496.02564102499</v>
      </c>
      <c r="D24793" s="56">
        <v>0</v>
      </c>
      <c r="E24793" s="224" t="s">
        <v>2</v>
      </c>
      <c r="G24793" s="52"/>
      <c r="H24793" s="56"/>
      <c r="I24793" s="224"/>
    </row>
    <row r="24794" spans="1:9" x14ac:dyDescent="0.25">
      <c r="A24794" s="515">
        <v>50141</v>
      </c>
      <c r="B24794" s="515" t="s">
        <v>642</v>
      </c>
      <c r="C24794" s="52">
        <v>159345.96615980499</v>
      </c>
      <c r="D24794" s="56">
        <v>0</v>
      </c>
      <c r="E24794" s="224" t="s">
        <v>2</v>
      </c>
      <c r="G24794" s="52"/>
      <c r="H24794" s="56"/>
      <c r="I24794" s="224"/>
    </row>
    <row r="24795" spans="1:9" x14ac:dyDescent="0.25">
      <c r="A24795" s="515">
        <v>65067</v>
      </c>
      <c r="B24795" s="515" t="s">
        <v>711</v>
      </c>
      <c r="C24795" s="52">
        <v>194104.82646332801</v>
      </c>
      <c r="D24795" s="56">
        <v>0</v>
      </c>
      <c r="E24795" s="224" t="s">
        <v>2</v>
      </c>
      <c r="G24795" s="52"/>
      <c r="H24795" s="56"/>
      <c r="I24795" s="224"/>
    </row>
    <row r="24796" spans="1:9" x14ac:dyDescent="0.25">
      <c r="A24796" s="515">
        <v>51558</v>
      </c>
      <c r="C24796" s="52">
        <v>121264.636528281</v>
      </c>
      <c r="D24796" s="56">
        <v>0.16035954442935954</v>
      </c>
      <c r="E24796" s="224" t="s">
        <v>2</v>
      </c>
      <c r="G24796" s="52"/>
      <c r="H24796" s="56"/>
      <c r="I24796" s="224"/>
    </row>
    <row r="24797" spans="1:9" x14ac:dyDescent="0.25">
      <c r="A24797" s="515">
        <v>99540</v>
      </c>
      <c r="B24797" s="515" t="s">
        <v>405</v>
      </c>
      <c r="C24797" s="52">
        <v>484760.17516253598</v>
      </c>
      <c r="D24797" s="56">
        <v>7.0622774435442306E-2</v>
      </c>
      <c r="E24797" s="224" t="s">
        <v>2</v>
      </c>
      <c r="G24797" s="52"/>
      <c r="H24797" s="56"/>
      <c r="I24797" s="224"/>
    </row>
    <row r="24798" spans="1:9" x14ac:dyDescent="0.25">
      <c r="A24798" s="515">
        <v>52225</v>
      </c>
      <c r="C24798" s="52">
        <v>146008.04644149999</v>
      </c>
      <c r="D24798" s="56">
        <v>0.12118823861623035</v>
      </c>
      <c r="E24798" s="224" t="s">
        <v>2</v>
      </c>
      <c r="G24798" s="52"/>
      <c r="H24798" s="56"/>
      <c r="I24798" s="224"/>
    </row>
    <row r="24799" spans="1:9" x14ac:dyDescent="0.25">
      <c r="A24799" s="515">
        <v>36317</v>
      </c>
      <c r="B24799" s="515" t="s">
        <v>816</v>
      </c>
      <c r="C24799" s="52">
        <v>115849.10670229299</v>
      </c>
      <c r="D24799" s="56">
        <v>3.53602739200303E-2</v>
      </c>
      <c r="E24799" s="224" t="s">
        <v>2</v>
      </c>
      <c r="G24799" s="52"/>
      <c r="H24799" s="56"/>
      <c r="I24799" s="224"/>
    </row>
    <row r="24800" spans="1:9" x14ac:dyDescent="0.25">
      <c r="A24800" s="515">
        <v>80736</v>
      </c>
      <c r="B24800" s="515" t="s">
        <v>721</v>
      </c>
      <c r="C24800" s="52">
        <v>273899.30260009097</v>
      </c>
      <c r="D24800" s="56">
        <v>5.5031785718767439E-3</v>
      </c>
      <c r="E24800" s="224" t="s">
        <v>2</v>
      </c>
      <c r="G24800" s="52"/>
      <c r="H24800" s="56"/>
      <c r="I24800" s="224"/>
    </row>
    <row r="24801" spans="1:9" x14ac:dyDescent="0.25">
      <c r="A24801" s="515">
        <v>66842</v>
      </c>
      <c r="B24801" s="515" t="s">
        <v>485</v>
      </c>
      <c r="C24801" s="52">
        <v>148622.59094582699</v>
      </c>
      <c r="D24801" s="56">
        <v>0.14469028389850197</v>
      </c>
      <c r="E24801" s="224" t="s">
        <v>2</v>
      </c>
      <c r="G24801" s="52"/>
      <c r="H24801" s="56"/>
      <c r="I24801" s="224"/>
    </row>
    <row r="24802" spans="1:9" x14ac:dyDescent="0.25">
      <c r="A24802" s="515">
        <v>96075</v>
      </c>
      <c r="B24802" s="515" t="s">
        <v>525</v>
      </c>
      <c r="C24802" s="52">
        <v>144600.30936404</v>
      </c>
      <c r="D24802" s="56">
        <v>-0.11098421189973888</v>
      </c>
      <c r="E24802" s="224" t="s">
        <v>2</v>
      </c>
      <c r="G24802" s="52"/>
      <c r="H24802" s="56"/>
      <c r="I24802" s="224"/>
    </row>
    <row r="24803" spans="1:9" x14ac:dyDescent="0.25">
      <c r="A24803" s="515">
        <v>5463</v>
      </c>
      <c r="B24803" s="515" t="s">
        <v>441</v>
      </c>
      <c r="C24803" s="52">
        <v>361438.81836669799</v>
      </c>
      <c r="D24803" s="56">
        <v>6.6793626682196572E-2</v>
      </c>
      <c r="E24803" s="224" t="s">
        <v>2</v>
      </c>
      <c r="G24803" s="52"/>
      <c r="H24803" s="56"/>
      <c r="I24803" s="224"/>
    </row>
    <row r="24804" spans="1:9" x14ac:dyDescent="0.25">
      <c r="A24804" s="515">
        <v>58531</v>
      </c>
      <c r="C24804" s="52">
        <v>278540.97789823299</v>
      </c>
      <c r="D24804" s="56">
        <v>5.7136779166413229E-2</v>
      </c>
      <c r="E24804" s="224" t="s">
        <v>2</v>
      </c>
      <c r="G24804" s="52"/>
      <c r="H24804" s="56"/>
      <c r="I24804" s="224"/>
    </row>
    <row r="24805" spans="1:9" x14ac:dyDescent="0.25">
      <c r="A24805" s="515">
        <v>25265</v>
      </c>
      <c r="B24805" s="515" t="s">
        <v>445</v>
      </c>
      <c r="C24805" s="52">
        <v>87601.755475699494</v>
      </c>
      <c r="D24805" s="56">
        <v>0.16812627764734103</v>
      </c>
      <c r="E24805" s="224" t="s">
        <v>2</v>
      </c>
      <c r="G24805" s="52"/>
      <c r="H24805" s="56"/>
      <c r="I24805" s="224"/>
    </row>
    <row r="24806" spans="1:9" x14ac:dyDescent="0.25">
      <c r="A24806" s="515">
        <v>88339</v>
      </c>
      <c r="B24806" s="515" t="s">
        <v>476</v>
      </c>
      <c r="C24806" s="52">
        <v>301981.52847965201</v>
      </c>
      <c r="D24806" s="56">
        <v>0.12965104105465086</v>
      </c>
      <c r="E24806" s="224" t="s">
        <v>2</v>
      </c>
      <c r="G24806" s="52"/>
      <c r="H24806" s="56"/>
      <c r="I24806" s="224"/>
    </row>
    <row r="24807" spans="1:9" x14ac:dyDescent="0.25">
      <c r="A24807" s="515">
        <v>3890</v>
      </c>
      <c r="C24807" s="52">
        <v>321972.30729212001</v>
      </c>
      <c r="D24807" s="56">
        <v>0.11371516843686984</v>
      </c>
      <c r="E24807" s="224" t="s">
        <v>2</v>
      </c>
      <c r="G24807" s="52"/>
      <c r="H24807" s="56"/>
      <c r="I24807" s="224"/>
    </row>
    <row r="24808" spans="1:9" x14ac:dyDescent="0.25">
      <c r="A24808" s="515">
        <v>61007</v>
      </c>
      <c r="B24808" s="515" t="s">
        <v>429</v>
      </c>
      <c r="C24808" s="52">
        <v>167584.82630719399</v>
      </c>
      <c r="D24808" s="56">
        <v>7.2914225539171165E-2</v>
      </c>
      <c r="E24808" s="224" t="s">
        <v>2</v>
      </c>
      <c r="G24808" s="52"/>
      <c r="H24808" s="56"/>
      <c r="I24808" s="224"/>
    </row>
    <row r="24809" spans="1:9" x14ac:dyDescent="0.25">
      <c r="A24809" s="515">
        <v>26691</v>
      </c>
      <c r="C24809" s="52">
        <v>86094.520301662196</v>
      </c>
      <c r="D24809" s="56">
        <v>7.0655003776828484E-2</v>
      </c>
      <c r="E24809" s="224" t="s">
        <v>2</v>
      </c>
      <c r="G24809" s="52"/>
      <c r="H24809" s="56"/>
      <c r="I24809" s="224"/>
    </row>
    <row r="24810" spans="1:9" x14ac:dyDescent="0.25">
      <c r="A24810" s="515">
        <v>49806</v>
      </c>
      <c r="C24810" s="52">
        <v>203783.132530231</v>
      </c>
      <c r="D24810" s="56">
        <v>9.9747879663015987E-2</v>
      </c>
      <c r="E24810" s="224" t="s">
        <v>2</v>
      </c>
      <c r="G24810" s="52"/>
      <c r="H24810" s="56"/>
      <c r="I24810" s="224"/>
    </row>
    <row r="24811" spans="1:9" x14ac:dyDescent="0.25">
      <c r="A24811" s="515">
        <v>51636</v>
      </c>
      <c r="C24811" s="52">
        <v>122481.647584598</v>
      </c>
      <c r="D24811" s="56">
        <v>0</v>
      </c>
      <c r="E24811" s="224" t="s">
        <v>2</v>
      </c>
      <c r="G24811" s="52"/>
      <c r="H24811" s="56"/>
      <c r="I24811" s="224"/>
    </row>
    <row r="24812" spans="1:9" x14ac:dyDescent="0.25">
      <c r="A24812" s="515">
        <v>26178</v>
      </c>
      <c r="C24812" s="52">
        <v>92256.489437668104</v>
      </c>
      <c r="D24812" s="56">
        <v>1.5702946256832774E-3</v>
      </c>
      <c r="E24812" s="224" t="s">
        <v>2</v>
      </c>
      <c r="G24812" s="52"/>
      <c r="H24812" s="56"/>
      <c r="I24812" s="224"/>
    </row>
    <row r="24813" spans="1:9" x14ac:dyDescent="0.25">
      <c r="A24813" s="515">
        <v>66516</v>
      </c>
      <c r="B24813" s="515" t="s">
        <v>549</v>
      </c>
      <c r="C24813" s="52">
        <v>184788.54865510901</v>
      </c>
      <c r="D24813" s="56">
        <v>0.12393663622781721</v>
      </c>
      <c r="E24813" s="224" t="s">
        <v>2</v>
      </c>
      <c r="G24813" s="52"/>
      <c r="H24813" s="56"/>
      <c r="I24813" s="224"/>
    </row>
    <row r="24814" spans="1:9" x14ac:dyDescent="0.25">
      <c r="A24814" s="515">
        <v>98320</v>
      </c>
      <c r="C24814" s="52">
        <v>425456.61805984302</v>
      </c>
      <c r="D24814" s="56">
        <v>4.0265366030056919E-2</v>
      </c>
      <c r="E24814" s="224" t="s">
        <v>2</v>
      </c>
      <c r="G24814" s="52"/>
      <c r="H24814" s="56"/>
      <c r="I24814" s="224"/>
    </row>
    <row r="24815" spans="1:9" x14ac:dyDescent="0.25">
      <c r="A24815" s="515">
        <v>65760</v>
      </c>
      <c r="C24815" s="52">
        <v>200345.85879093301</v>
      </c>
      <c r="D24815" s="56">
        <v>3.5997121783087747E-2</v>
      </c>
      <c r="E24815" s="224" t="s">
        <v>2</v>
      </c>
      <c r="G24815" s="52"/>
      <c r="H24815" s="56"/>
      <c r="I24815" s="224"/>
    </row>
    <row r="24816" spans="1:9" x14ac:dyDescent="0.25">
      <c r="A24816" s="515">
        <v>67552</v>
      </c>
      <c r="C24816" s="52">
        <v>96826.843416061907</v>
      </c>
      <c r="D24816" s="56">
        <v>0.10521719173654813</v>
      </c>
      <c r="E24816" s="224" t="s">
        <v>2</v>
      </c>
      <c r="G24816" s="52"/>
      <c r="H24816" s="56"/>
      <c r="I24816" s="224"/>
    </row>
    <row r="24817" spans="1:9" x14ac:dyDescent="0.25">
      <c r="A24817" s="515">
        <v>4017</v>
      </c>
      <c r="B24817" s="515" t="s">
        <v>570</v>
      </c>
      <c r="C24817" s="52">
        <v>561464.76941921201</v>
      </c>
      <c r="D24817" s="56">
        <v>8.8415283084897836E-3</v>
      </c>
      <c r="E24817" s="224" t="s">
        <v>2</v>
      </c>
      <c r="G24817" s="52"/>
      <c r="H24817" s="56"/>
      <c r="I24817" s="224"/>
    </row>
    <row r="24818" spans="1:9" x14ac:dyDescent="0.25">
      <c r="A24818" s="515">
        <v>67445</v>
      </c>
      <c r="C24818" s="52">
        <v>81768.634905881394</v>
      </c>
      <c r="D24818" s="56">
        <v>8.0106388499965042E-2</v>
      </c>
      <c r="E24818" s="224" t="s">
        <v>2</v>
      </c>
      <c r="G24818" s="52"/>
      <c r="H24818" s="56"/>
      <c r="I24818" s="224"/>
    </row>
    <row r="24819" spans="1:9" x14ac:dyDescent="0.25">
      <c r="A24819" s="515">
        <v>26619</v>
      </c>
      <c r="C24819" s="52">
        <v>141023.01837240101</v>
      </c>
      <c r="D24819" s="56">
        <v>0.11655598201928516</v>
      </c>
      <c r="E24819" s="224" t="s">
        <v>2</v>
      </c>
      <c r="G24819" s="52"/>
      <c r="H24819" s="56"/>
      <c r="I24819" s="224"/>
    </row>
    <row r="24820" spans="1:9" x14ac:dyDescent="0.25">
      <c r="A24820" s="515">
        <v>97149</v>
      </c>
      <c r="C24820" s="52">
        <v>650965.33345297002</v>
      </c>
      <c r="D24820" s="56">
        <v>1.948285587732804E-2</v>
      </c>
      <c r="E24820" s="224" t="s">
        <v>2</v>
      </c>
      <c r="G24820" s="52"/>
      <c r="H24820" s="56"/>
      <c r="I24820" s="224"/>
    </row>
    <row r="24821" spans="1:9" x14ac:dyDescent="0.25">
      <c r="A24821" s="515">
        <v>24366</v>
      </c>
      <c r="B24821" s="515" t="s">
        <v>306</v>
      </c>
      <c r="C24821" s="52">
        <v>154134.91226869301</v>
      </c>
      <c r="D24821" s="56">
        <v>0.12746379988524517</v>
      </c>
      <c r="E24821" s="224" t="s">
        <v>2</v>
      </c>
      <c r="G24821" s="52"/>
      <c r="H24821" s="56"/>
      <c r="I24821" s="224"/>
    </row>
    <row r="24822" spans="1:9" x14ac:dyDescent="0.25">
      <c r="A24822" s="515">
        <v>3853</v>
      </c>
      <c r="C24822" s="52">
        <v>732747.05180871498</v>
      </c>
      <c r="D24822" s="56">
        <v>7.6718609039132871E-2</v>
      </c>
      <c r="E24822" s="224" t="s">
        <v>2</v>
      </c>
      <c r="G24822" s="52"/>
      <c r="H24822" s="56"/>
      <c r="I24822" s="224"/>
    </row>
    <row r="24823" spans="1:9" x14ac:dyDescent="0.25">
      <c r="A24823" s="515">
        <v>41727</v>
      </c>
      <c r="C24823" s="52">
        <v>117504.03066972599</v>
      </c>
      <c r="D24823" s="56">
        <v>0.10818300602998651</v>
      </c>
      <c r="E24823" s="224" t="s">
        <v>2</v>
      </c>
      <c r="G24823" s="52"/>
      <c r="H24823" s="56"/>
      <c r="I24823" s="224"/>
    </row>
    <row r="24824" spans="1:9" x14ac:dyDescent="0.25">
      <c r="A24824" s="515">
        <v>84311</v>
      </c>
      <c r="B24824" s="515" t="s">
        <v>628</v>
      </c>
      <c r="C24824" s="52">
        <v>412219.21176470502</v>
      </c>
      <c r="D24824" s="56">
        <v>0</v>
      </c>
      <c r="E24824" s="224" t="s">
        <v>2</v>
      </c>
      <c r="G24824" s="52"/>
      <c r="H24824" s="56"/>
      <c r="I24824" s="224"/>
    </row>
    <row r="24825" spans="1:9" x14ac:dyDescent="0.25">
      <c r="A24825" s="515">
        <v>23177</v>
      </c>
      <c r="B24825" s="515" t="s">
        <v>667</v>
      </c>
      <c r="C24825" s="52">
        <v>278852.29328799399</v>
      </c>
      <c r="D24825" s="56">
        <v>0.10239566706683598</v>
      </c>
      <c r="E24825" s="224" t="s">
        <v>2</v>
      </c>
      <c r="G24825" s="52"/>
      <c r="H24825" s="56"/>
      <c r="I24825" s="224"/>
    </row>
    <row r="24826" spans="1:9" x14ac:dyDescent="0.25">
      <c r="A24826" s="515">
        <v>31041</v>
      </c>
      <c r="C24826" s="52">
        <v>53594.799904085499</v>
      </c>
      <c r="D24826" s="56">
        <v>8.9275865729692275E-2</v>
      </c>
      <c r="E24826" s="224" t="s">
        <v>2</v>
      </c>
      <c r="G24826" s="52"/>
      <c r="H24826" s="56"/>
      <c r="I24826" s="224"/>
    </row>
    <row r="24827" spans="1:9" x14ac:dyDescent="0.25">
      <c r="A24827" s="515">
        <v>82213</v>
      </c>
      <c r="C24827" s="52">
        <v>297380.19921749801</v>
      </c>
      <c r="D24827" s="56">
        <v>5.9106774218599972E-2</v>
      </c>
      <c r="E24827" s="224" t="s">
        <v>2</v>
      </c>
      <c r="G24827" s="52"/>
      <c r="H24827" s="56"/>
      <c r="I24827" s="224"/>
    </row>
    <row r="24828" spans="1:9" x14ac:dyDescent="0.25">
      <c r="A24828" s="515">
        <v>50561</v>
      </c>
      <c r="C24828" s="52">
        <v>100762.90163306201</v>
      </c>
      <c r="D24828" s="56">
        <v>0</v>
      </c>
      <c r="E24828" s="224" t="s">
        <v>2</v>
      </c>
      <c r="G24828" s="52"/>
      <c r="H24828" s="56"/>
      <c r="I24828" s="224"/>
    </row>
    <row r="24829" spans="1:9" x14ac:dyDescent="0.25">
      <c r="A24829" s="515">
        <v>68319</v>
      </c>
      <c r="C24829" s="52">
        <v>188220.24312759301</v>
      </c>
      <c r="D24829" s="56">
        <v>7.87812721654855E-2</v>
      </c>
      <c r="E24829" s="224" t="s">
        <v>2</v>
      </c>
      <c r="G24829" s="52"/>
      <c r="H24829" s="56"/>
      <c r="I24829" s="224"/>
    </row>
    <row r="24830" spans="1:9" x14ac:dyDescent="0.25">
      <c r="A24830" s="515">
        <v>66425</v>
      </c>
      <c r="C24830" s="52">
        <v>132254.84107326801</v>
      </c>
      <c r="D24830" s="56">
        <v>0.13178340131988034</v>
      </c>
      <c r="E24830" s="224" t="s">
        <v>2</v>
      </c>
      <c r="G24830" s="52"/>
      <c r="H24830" s="56"/>
      <c r="I24830" s="224"/>
    </row>
    <row r="24831" spans="1:9" x14ac:dyDescent="0.25">
      <c r="A24831" s="515">
        <v>5736</v>
      </c>
      <c r="B24831" s="515" t="s">
        <v>791</v>
      </c>
      <c r="C24831" s="52">
        <v>247344.437515884</v>
      </c>
      <c r="D24831" s="56">
        <v>0.11088172141463618</v>
      </c>
      <c r="E24831" s="224" t="s">
        <v>2</v>
      </c>
      <c r="G24831" s="52"/>
      <c r="H24831" s="56"/>
      <c r="I24831" s="224"/>
    </row>
    <row r="24832" spans="1:9" x14ac:dyDescent="0.25">
      <c r="A24832" s="515">
        <v>23876</v>
      </c>
      <c r="C24832" s="52">
        <v>106791.046875</v>
      </c>
      <c r="D24832" s="56">
        <v>0</v>
      </c>
      <c r="E24832" s="224" t="s">
        <v>2</v>
      </c>
      <c r="G24832" s="52"/>
      <c r="H24832" s="56"/>
      <c r="I24832" s="224"/>
    </row>
    <row r="24833" spans="1:9" x14ac:dyDescent="0.25">
      <c r="A24833" s="515">
        <v>4648</v>
      </c>
      <c r="C24833" s="52">
        <v>183603.69398337399</v>
      </c>
      <c r="D24833" s="56">
        <v>0</v>
      </c>
      <c r="E24833" s="224" t="s">
        <v>2</v>
      </c>
      <c r="G24833" s="52"/>
      <c r="H24833" s="56"/>
      <c r="I24833" s="224"/>
    </row>
    <row r="24834" spans="1:9" x14ac:dyDescent="0.25">
      <c r="A24834" s="515">
        <v>41754</v>
      </c>
      <c r="C24834" s="52">
        <v>57964.021422014099</v>
      </c>
      <c r="D24834" s="56">
        <v>0.2232325610978968</v>
      </c>
      <c r="E24834" s="224" t="s">
        <v>2</v>
      </c>
      <c r="G24834" s="52"/>
      <c r="H24834" s="56"/>
      <c r="I24834" s="224"/>
    </row>
    <row r="24835" spans="1:9" x14ac:dyDescent="0.25">
      <c r="A24835" s="515">
        <v>67447</v>
      </c>
      <c r="C24835" s="52">
        <v>141993.55770998701</v>
      </c>
      <c r="D24835" s="56">
        <v>0.12471457188460479</v>
      </c>
      <c r="E24835" s="224" t="s">
        <v>2</v>
      </c>
      <c r="G24835" s="52"/>
      <c r="H24835" s="56"/>
      <c r="I24835" s="224"/>
    </row>
    <row r="24836" spans="1:9" x14ac:dyDescent="0.25">
      <c r="A24836" s="515">
        <v>68622</v>
      </c>
      <c r="C24836" s="52">
        <v>175879.33333333299</v>
      </c>
      <c r="D24836" s="56">
        <v>0</v>
      </c>
      <c r="E24836" s="224" t="s">
        <v>2</v>
      </c>
      <c r="G24836" s="52"/>
      <c r="H24836" s="56"/>
      <c r="I24836" s="224"/>
    </row>
    <row r="24837" spans="1:9" x14ac:dyDescent="0.25">
      <c r="A24837" s="515">
        <v>98940</v>
      </c>
      <c r="B24837" s="515" t="s">
        <v>473</v>
      </c>
      <c r="C24837" s="52">
        <v>596939.70016157802</v>
      </c>
      <c r="D24837" s="56">
        <v>5.7598573504904632E-2</v>
      </c>
      <c r="E24837" s="224" t="s">
        <v>2</v>
      </c>
      <c r="G24837" s="52"/>
      <c r="H24837" s="56"/>
      <c r="I24837" s="224"/>
    </row>
    <row r="24838" spans="1:9" x14ac:dyDescent="0.25">
      <c r="A24838" s="515">
        <v>17760</v>
      </c>
      <c r="B24838" s="515" t="s">
        <v>776</v>
      </c>
      <c r="C24838" s="52">
        <v>89082.161869992502</v>
      </c>
      <c r="D24838" s="56">
        <v>-6.5124805246412204E-3</v>
      </c>
      <c r="E24838" s="224" t="s">
        <v>2</v>
      </c>
      <c r="G24838" s="52"/>
      <c r="H24838" s="56"/>
      <c r="I24838" s="224"/>
    </row>
    <row r="24839" spans="1:9" x14ac:dyDescent="0.25">
      <c r="A24839" s="515">
        <v>99610</v>
      </c>
      <c r="C24839" s="52">
        <v>286170.84951750102</v>
      </c>
      <c r="D24839" s="56">
        <v>1.7097612579077243E-2</v>
      </c>
      <c r="E24839" s="224" t="s">
        <v>2</v>
      </c>
      <c r="G24839" s="52"/>
      <c r="H24839" s="56"/>
      <c r="I24839" s="224"/>
    </row>
    <row r="24840" spans="1:9" x14ac:dyDescent="0.25">
      <c r="A24840" s="515">
        <v>70442</v>
      </c>
      <c r="B24840" s="515" t="s">
        <v>814</v>
      </c>
      <c r="C24840" s="52">
        <v>205018.836734693</v>
      </c>
      <c r="D24840" s="56">
        <v>0</v>
      </c>
      <c r="E24840" s="224" t="s">
        <v>2</v>
      </c>
      <c r="G24840" s="52"/>
      <c r="H24840" s="56"/>
      <c r="I24840" s="224"/>
    </row>
    <row r="24841" spans="1:9" x14ac:dyDescent="0.25">
      <c r="A24841" s="515">
        <v>49817</v>
      </c>
      <c r="C24841" s="52">
        <v>146150.77130989399</v>
      </c>
      <c r="D24841" s="56">
        <v>6.9329743500151517E-2</v>
      </c>
      <c r="E24841" s="224" t="s">
        <v>2</v>
      </c>
      <c r="G24841" s="52"/>
      <c r="H24841" s="56"/>
      <c r="I24841" s="224"/>
    </row>
    <row r="24842" spans="1:9" x14ac:dyDescent="0.25">
      <c r="A24842" s="515">
        <v>59430</v>
      </c>
      <c r="C24842" s="52">
        <v>289151.75122984097</v>
      </c>
      <c r="D24842" s="56">
        <v>0</v>
      </c>
      <c r="E24842" s="224" t="s">
        <v>2</v>
      </c>
      <c r="G24842" s="52"/>
      <c r="H24842" s="56"/>
      <c r="I24842" s="224"/>
    </row>
    <row r="24843" spans="1:9" x14ac:dyDescent="0.25">
      <c r="A24843" s="515">
        <v>50075</v>
      </c>
      <c r="C24843" s="52">
        <v>180486.64582745699</v>
      </c>
      <c r="D24843" s="56">
        <v>7.8944116672638648E-2</v>
      </c>
      <c r="E24843" s="224" t="s">
        <v>2</v>
      </c>
      <c r="G24843" s="52"/>
      <c r="H24843" s="56"/>
      <c r="I24843" s="224"/>
    </row>
    <row r="24844" spans="1:9" x14ac:dyDescent="0.25">
      <c r="A24844" s="515">
        <v>68736</v>
      </c>
      <c r="C24844" s="52">
        <v>280180.63938550802</v>
      </c>
      <c r="D24844" s="56">
        <v>0.14379914834959337</v>
      </c>
      <c r="E24844" s="224" t="s">
        <v>2</v>
      </c>
      <c r="G24844" s="52"/>
      <c r="H24844" s="56"/>
      <c r="I24844" s="224"/>
    </row>
    <row r="24845" spans="1:9" x14ac:dyDescent="0.25">
      <c r="A24845" s="515">
        <v>21777</v>
      </c>
      <c r="B24845" s="515" t="s">
        <v>321</v>
      </c>
      <c r="C24845" s="52">
        <v>452228.88456715801</v>
      </c>
      <c r="D24845" s="56">
        <v>3.407934155414824E-2</v>
      </c>
      <c r="E24845" s="224" t="s">
        <v>2</v>
      </c>
      <c r="G24845" s="52"/>
      <c r="H24845" s="56"/>
      <c r="I24845" s="224"/>
    </row>
    <row r="24846" spans="1:9" x14ac:dyDescent="0.25">
      <c r="A24846" s="515">
        <v>63654</v>
      </c>
      <c r="C24846" s="52">
        <v>129499.875622904</v>
      </c>
      <c r="D24846" s="56">
        <v>0</v>
      </c>
      <c r="E24846" s="224" t="s">
        <v>2</v>
      </c>
      <c r="G24846" s="52"/>
      <c r="H24846" s="56"/>
      <c r="I24846" s="224"/>
    </row>
    <row r="24847" spans="1:9" x14ac:dyDescent="0.25">
      <c r="A24847" s="515">
        <v>69169</v>
      </c>
      <c r="B24847" s="515" t="s">
        <v>760</v>
      </c>
      <c r="C24847" s="52">
        <v>155220.22490119701</v>
      </c>
      <c r="D24847" s="56">
        <v>3.4450442334697608E-2</v>
      </c>
      <c r="E24847" s="224" t="s">
        <v>2</v>
      </c>
      <c r="G24847" s="52"/>
      <c r="H24847" s="56"/>
      <c r="I24847" s="224"/>
    </row>
    <row r="24848" spans="1:9" x14ac:dyDescent="0.25">
      <c r="A24848" s="515">
        <v>98859</v>
      </c>
      <c r="C24848" s="52">
        <v>242559.459920722</v>
      </c>
      <c r="D24848" s="56">
        <v>2.7860171527019841E-2</v>
      </c>
      <c r="E24848" s="224" t="s">
        <v>2</v>
      </c>
      <c r="G24848" s="52"/>
      <c r="H24848" s="56"/>
      <c r="I24848" s="224"/>
    </row>
    <row r="24849" spans="1:9" x14ac:dyDescent="0.25">
      <c r="A24849" s="515">
        <v>92358</v>
      </c>
      <c r="B24849" s="515" t="s">
        <v>599</v>
      </c>
      <c r="C24849" s="52">
        <v>383091.790605983</v>
      </c>
      <c r="D24849" s="56">
        <v>6.0574043025512198E-2</v>
      </c>
      <c r="E24849" s="224" t="s">
        <v>2</v>
      </c>
      <c r="G24849" s="52"/>
      <c r="H24849" s="56"/>
      <c r="I24849" s="224"/>
    </row>
    <row r="24850" spans="1:9" x14ac:dyDescent="0.25">
      <c r="A24850" s="515">
        <v>52047</v>
      </c>
      <c r="C24850" s="52">
        <v>151194.43554287101</v>
      </c>
      <c r="D24850" s="56">
        <v>0.12067070159954985</v>
      </c>
      <c r="E24850" s="224" t="s">
        <v>2</v>
      </c>
      <c r="G24850" s="52"/>
      <c r="H24850" s="56"/>
      <c r="I24850" s="224"/>
    </row>
    <row r="24851" spans="1:9" x14ac:dyDescent="0.25">
      <c r="A24851" s="515">
        <v>71466</v>
      </c>
      <c r="B24851" s="515" t="s">
        <v>968</v>
      </c>
      <c r="C24851" s="52">
        <v>119034.40625</v>
      </c>
      <c r="D24851" s="56">
        <v>0</v>
      </c>
      <c r="E24851" s="224" t="s">
        <v>2</v>
      </c>
      <c r="G24851" s="52"/>
      <c r="H24851" s="56"/>
      <c r="I24851" s="224"/>
    </row>
    <row r="24852" spans="1:9" x14ac:dyDescent="0.25">
      <c r="A24852" s="515">
        <v>55054</v>
      </c>
      <c r="B24852" s="515" t="s">
        <v>532</v>
      </c>
      <c r="C24852" s="52">
        <v>395738.68016564997</v>
      </c>
      <c r="D24852" s="56">
        <v>1.0165925433556622E-2</v>
      </c>
      <c r="E24852" s="224" t="s">
        <v>2</v>
      </c>
      <c r="G24852" s="52"/>
      <c r="H24852" s="56"/>
      <c r="I24852" s="224"/>
    </row>
    <row r="24853" spans="1:9" x14ac:dyDescent="0.25">
      <c r="A24853" s="515">
        <v>5071</v>
      </c>
      <c r="B24853" s="515" t="s">
        <v>420</v>
      </c>
      <c r="C24853" s="52">
        <v>700881.88571428496</v>
      </c>
      <c r="D24853" s="56">
        <v>0</v>
      </c>
      <c r="E24853" s="224" t="s">
        <v>2</v>
      </c>
      <c r="G24853" s="52"/>
      <c r="H24853" s="56"/>
      <c r="I24853" s="224"/>
    </row>
    <row r="24854" spans="1:9" x14ac:dyDescent="0.25">
      <c r="A24854" s="515">
        <v>67837</v>
      </c>
      <c r="C24854" s="52">
        <v>185676.945146752</v>
      </c>
      <c r="D24854" s="56">
        <v>0.18753611044456514</v>
      </c>
      <c r="E24854" s="224" t="s">
        <v>2</v>
      </c>
      <c r="G24854" s="52"/>
      <c r="H24854" s="56"/>
      <c r="I24854" s="224"/>
    </row>
    <row r="24855" spans="1:9" x14ac:dyDescent="0.25">
      <c r="A24855" s="515">
        <v>82643</v>
      </c>
      <c r="B24855" s="515" t="s">
        <v>766</v>
      </c>
      <c r="C24855" s="52">
        <v>70847.996122205004</v>
      </c>
      <c r="D24855" s="56">
        <v>0.21102613273309184</v>
      </c>
      <c r="E24855" s="224" t="s">
        <v>2</v>
      </c>
      <c r="G24855" s="52"/>
      <c r="H24855" s="56"/>
      <c r="I24855" s="224"/>
    </row>
    <row r="24856" spans="1:9" x14ac:dyDescent="0.25">
      <c r="A24856" s="515">
        <v>45688</v>
      </c>
      <c r="B24856" s="515" t="s">
        <v>602</v>
      </c>
      <c r="C24856" s="52">
        <v>97948.105571846696</v>
      </c>
      <c r="D24856" s="56">
        <v>7.210485262014202E-3</v>
      </c>
      <c r="E24856" s="224" t="s">
        <v>2</v>
      </c>
      <c r="G24856" s="52"/>
      <c r="H24856" s="56"/>
      <c r="I24856" s="224"/>
    </row>
    <row r="24857" spans="1:9" x14ac:dyDescent="0.25">
      <c r="A24857" s="515">
        <v>38453</v>
      </c>
      <c r="C24857" s="52">
        <v>285676.88947484503</v>
      </c>
      <c r="D24857" s="56">
        <v>0</v>
      </c>
      <c r="E24857" s="224" t="s">
        <v>2</v>
      </c>
      <c r="G24857" s="52"/>
      <c r="H24857" s="56"/>
      <c r="I24857" s="224"/>
    </row>
    <row r="24858" spans="1:9" x14ac:dyDescent="0.25">
      <c r="A24858" s="515">
        <v>95526</v>
      </c>
      <c r="B24858" s="515" t="s">
        <v>352</v>
      </c>
      <c r="C24858" s="52">
        <v>341193.37248529098</v>
      </c>
      <c r="D24858" s="56">
        <v>-0.12347521416220975</v>
      </c>
      <c r="E24858" s="224" t="s">
        <v>2</v>
      </c>
      <c r="G24858" s="52"/>
      <c r="H24858" s="56"/>
      <c r="I24858" s="224"/>
    </row>
    <row r="24859" spans="1:9" x14ac:dyDescent="0.25">
      <c r="A24859" s="515">
        <v>4677</v>
      </c>
      <c r="C24859" s="52">
        <v>449897.93307888898</v>
      </c>
      <c r="D24859" s="56">
        <v>0.10921208643221914</v>
      </c>
      <c r="E24859" s="224" t="s">
        <v>2</v>
      </c>
      <c r="G24859" s="52"/>
      <c r="H24859" s="56"/>
      <c r="I24859" s="224"/>
    </row>
    <row r="24860" spans="1:9" x14ac:dyDescent="0.25">
      <c r="A24860" s="515">
        <v>12785</v>
      </c>
      <c r="B24860" s="515" t="s">
        <v>529</v>
      </c>
      <c r="C24860" s="52">
        <v>282708.792602528</v>
      </c>
      <c r="D24860" s="56">
        <v>0.1394420721491966</v>
      </c>
      <c r="E24860" s="224" t="s">
        <v>2</v>
      </c>
      <c r="G24860" s="52"/>
      <c r="H24860" s="56"/>
      <c r="I24860" s="224"/>
    </row>
    <row r="24861" spans="1:9" x14ac:dyDescent="0.25">
      <c r="A24861" s="515">
        <v>83462</v>
      </c>
      <c r="C24861" s="52">
        <v>555464.82450717594</v>
      </c>
      <c r="D24861" s="56">
        <v>0.15421485200985871</v>
      </c>
      <c r="E24861" s="224" t="s">
        <v>2</v>
      </c>
      <c r="G24861" s="52"/>
      <c r="H24861" s="56"/>
      <c r="I24861" s="224"/>
    </row>
    <row r="24862" spans="1:9" x14ac:dyDescent="0.25">
      <c r="A24862" s="515">
        <v>12857</v>
      </c>
      <c r="C24862" s="52">
        <v>222073.24279137299</v>
      </c>
      <c r="D24862" s="56">
        <v>0.15056208297886892</v>
      </c>
      <c r="E24862" s="224" t="s">
        <v>2</v>
      </c>
      <c r="G24862" s="52"/>
      <c r="H24862" s="56"/>
      <c r="I24862" s="224"/>
    </row>
    <row r="24863" spans="1:9" x14ac:dyDescent="0.25">
      <c r="A24863" s="515">
        <v>15007</v>
      </c>
      <c r="B24863" s="515" t="s">
        <v>297</v>
      </c>
      <c r="C24863" s="52">
        <v>239269.61267528599</v>
      </c>
      <c r="D24863" s="56">
        <v>7.990106238806631E-2</v>
      </c>
      <c r="E24863" s="224" t="s">
        <v>2</v>
      </c>
      <c r="G24863" s="52"/>
      <c r="H24863" s="56"/>
      <c r="I24863" s="224"/>
    </row>
    <row r="24864" spans="1:9" x14ac:dyDescent="0.25">
      <c r="A24864" s="515">
        <v>56043</v>
      </c>
      <c r="B24864" s="515" t="s">
        <v>565</v>
      </c>
      <c r="C24864" s="52">
        <v>161184.17381003301</v>
      </c>
      <c r="D24864" s="56">
        <v>6.580239781288777E-2</v>
      </c>
      <c r="E24864" s="224" t="s">
        <v>2</v>
      </c>
      <c r="G24864" s="52"/>
      <c r="H24864" s="56"/>
      <c r="I24864" s="224"/>
    </row>
    <row r="24865" spans="1:9" x14ac:dyDescent="0.25">
      <c r="A24865" s="515">
        <v>64667</v>
      </c>
      <c r="C24865" s="52">
        <v>108882.51757117</v>
      </c>
      <c r="D24865" s="56">
        <v>8.2372283059279128E-2</v>
      </c>
      <c r="E24865" s="224" t="s">
        <v>2</v>
      </c>
      <c r="G24865" s="52"/>
      <c r="H24865" s="56"/>
      <c r="I24865" s="224"/>
    </row>
    <row r="24866" spans="1:9" x14ac:dyDescent="0.25">
      <c r="A24866" s="515">
        <v>69367</v>
      </c>
      <c r="C24866" s="52">
        <v>225264.970495349</v>
      </c>
      <c r="D24866" s="56">
        <v>0.15540392988400309</v>
      </c>
      <c r="E24866" s="224" t="s">
        <v>2</v>
      </c>
      <c r="G24866" s="52"/>
      <c r="H24866" s="56"/>
      <c r="I24866" s="224"/>
    </row>
    <row r="24867" spans="1:9" x14ac:dyDescent="0.25">
      <c r="A24867" s="515">
        <v>2873</v>
      </c>
      <c r="B24867" s="515" t="s">
        <v>513</v>
      </c>
      <c r="C24867" s="52">
        <v>420884.00288074702</v>
      </c>
      <c r="D24867" s="56">
        <v>9.557703181562674E-2</v>
      </c>
      <c r="E24867" s="224" t="s">
        <v>2</v>
      </c>
      <c r="G24867" s="52"/>
      <c r="H24867" s="56"/>
      <c r="I24867" s="224"/>
    </row>
    <row r="24868" spans="1:9" x14ac:dyDescent="0.25">
      <c r="A24868" s="515">
        <v>5841</v>
      </c>
      <c r="C24868" s="52">
        <v>529716.14473684202</v>
      </c>
      <c r="D24868" s="56">
        <v>0</v>
      </c>
      <c r="E24868" s="224" t="s">
        <v>2</v>
      </c>
      <c r="G24868" s="52"/>
      <c r="H24868" s="56"/>
      <c r="I24868" s="224"/>
    </row>
    <row r="24869" spans="1:9" x14ac:dyDescent="0.25">
      <c r="A24869" s="515">
        <v>51446</v>
      </c>
      <c r="C24869" s="52">
        <v>108314.274072685</v>
      </c>
      <c r="D24869" s="56">
        <v>3.026296352964299E-2</v>
      </c>
      <c r="E24869" s="224" t="s">
        <v>2</v>
      </c>
      <c r="G24869" s="52"/>
      <c r="H24869" s="56"/>
      <c r="I24869" s="224"/>
    </row>
    <row r="24870" spans="1:9" x14ac:dyDescent="0.25">
      <c r="A24870" s="515">
        <v>66769</v>
      </c>
      <c r="C24870" s="52">
        <v>150189.532639668</v>
      </c>
      <c r="D24870" s="56">
        <v>0.28403022339610695</v>
      </c>
      <c r="E24870" s="224" t="s">
        <v>2</v>
      </c>
      <c r="G24870" s="52"/>
      <c r="H24870" s="56"/>
      <c r="I24870" s="224"/>
    </row>
    <row r="24871" spans="1:9" x14ac:dyDescent="0.25">
      <c r="A24871" s="515">
        <v>50519</v>
      </c>
      <c r="C24871" s="52">
        <v>108892.850333985</v>
      </c>
      <c r="D24871" s="56">
        <v>0</v>
      </c>
      <c r="E24871" s="224" t="s">
        <v>2</v>
      </c>
      <c r="G24871" s="52"/>
      <c r="H24871" s="56"/>
      <c r="I24871" s="224"/>
    </row>
    <row r="24872" spans="1:9" x14ac:dyDescent="0.25">
      <c r="A24872" s="515">
        <v>57016</v>
      </c>
      <c r="C24872" s="52">
        <v>334261.65233773401</v>
      </c>
      <c r="D24872" s="56">
        <v>0.26535541690747022</v>
      </c>
      <c r="E24872" s="224" t="s">
        <v>2</v>
      </c>
      <c r="G24872" s="52"/>
      <c r="H24872" s="56"/>
      <c r="I24872" s="224"/>
    </row>
    <row r="24873" spans="1:9" x14ac:dyDescent="0.25">
      <c r="A24873" s="515">
        <v>41503</v>
      </c>
      <c r="C24873" s="52">
        <v>107443.140026721</v>
      </c>
      <c r="D24873" s="56">
        <v>9.9812520329841767E-2</v>
      </c>
      <c r="E24873" s="224" t="s">
        <v>2</v>
      </c>
      <c r="G24873" s="52"/>
      <c r="H24873" s="56"/>
      <c r="I24873" s="224"/>
    </row>
    <row r="24874" spans="1:9" x14ac:dyDescent="0.25">
      <c r="A24874" s="515">
        <v>93255</v>
      </c>
      <c r="B24874" s="515" t="s">
        <v>419</v>
      </c>
      <c r="C24874" s="52">
        <v>228508.31962461799</v>
      </c>
      <c r="D24874" s="56">
        <v>8.3654966925546165E-2</v>
      </c>
      <c r="E24874" s="224" t="s">
        <v>2</v>
      </c>
      <c r="G24874" s="52"/>
      <c r="H24874" s="56"/>
      <c r="I24874" s="224"/>
    </row>
    <row r="24875" spans="1:9" x14ac:dyDescent="0.25">
      <c r="A24875" s="515">
        <v>99639</v>
      </c>
      <c r="C24875" s="52">
        <v>197034.46471095301</v>
      </c>
      <c r="D24875" s="56">
        <v>5.3303235487528196E-2</v>
      </c>
      <c r="E24875" s="224" t="s">
        <v>2</v>
      </c>
      <c r="G24875" s="52"/>
      <c r="H24875" s="56"/>
      <c r="I24875" s="224"/>
    </row>
    <row r="24876" spans="1:9" x14ac:dyDescent="0.25">
      <c r="A24876" s="515">
        <v>67491</v>
      </c>
      <c r="B24876" s="515" t="s">
        <v>812</v>
      </c>
      <c r="C24876" s="52">
        <v>207039.20679985301</v>
      </c>
      <c r="D24876" s="56">
        <v>0.23096190240698375</v>
      </c>
      <c r="E24876" s="224" t="s">
        <v>2</v>
      </c>
      <c r="G24876" s="52"/>
      <c r="H24876" s="56"/>
      <c r="I24876" s="224"/>
    </row>
    <row r="24877" spans="1:9" x14ac:dyDescent="0.25">
      <c r="A24877" s="515">
        <v>37340</v>
      </c>
      <c r="B24877" s="515" t="s">
        <v>622</v>
      </c>
      <c r="C24877" s="52">
        <v>132360.71978811501</v>
      </c>
      <c r="D24877" s="56">
        <v>0</v>
      </c>
      <c r="E24877" s="224" t="s">
        <v>2</v>
      </c>
      <c r="G24877" s="52"/>
      <c r="H24877" s="56"/>
      <c r="I24877" s="224"/>
    </row>
    <row r="24878" spans="1:9" x14ac:dyDescent="0.25">
      <c r="A24878" s="515">
        <v>18456</v>
      </c>
      <c r="C24878" s="52">
        <v>236366.01997650199</v>
      </c>
      <c r="D24878" s="56">
        <v>4.3791869310614975E-2</v>
      </c>
      <c r="E24878" s="224" t="s">
        <v>2</v>
      </c>
      <c r="G24878" s="52"/>
      <c r="H24878" s="56"/>
      <c r="I24878" s="224"/>
    </row>
    <row r="24879" spans="1:9" x14ac:dyDescent="0.25">
      <c r="A24879" s="515">
        <v>78349</v>
      </c>
      <c r="B24879" s="515" t="s">
        <v>709</v>
      </c>
      <c r="C24879" s="52">
        <v>89124.208035534903</v>
      </c>
      <c r="D24879" s="56">
        <v>0</v>
      </c>
      <c r="E24879" s="224" t="s">
        <v>2</v>
      </c>
      <c r="G24879" s="52"/>
      <c r="H24879" s="56"/>
      <c r="I24879" s="224"/>
    </row>
    <row r="24880" spans="1:9" x14ac:dyDescent="0.25">
      <c r="A24880" s="515">
        <v>1264</v>
      </c>
      <c r="B24880" s="515" t="s">
        <v>497</v>
      </c>
      <c r="C24880" s="52">
        <v>613692.58868977195</v>
      </c>
      <c r="D24880" s="56">
        <v>0.13187750644809448</v>
      </c>
      <c r="E24880" s="224" t="s">
        <v>2</v>
      </c>
      <c r="G24880" s="52"/>
      <c r="H24880" s="56"/>
      <c r="I24880" s="224"/>
    </row>
    <row r="24881" spans="1:9" x14ac:dyDescent="0.25">
      <c r="A24881" s="515">
        <v>58429</v>
      </c>
      <c r="C24881" s="52">
        <v>104075.31616856399</v>
      </c>
      <c r="D24881" s="56">
        <v>3.1841336174829503E-2</v>
      </c>
      <c r="E24881" s="224" t="s">
        <v>2</v>
      </c>
      <c r="G24881" s="52"/>
      <c r="H24881" s="56"/>
      <c r="I24881" s="224"/>
    </row>
    <row r="24882" spans="1:9" x14ac:dyDescent="0.25">
      <c r="A24882" s="515">
        <v>96057</v>
      </c>
      <c r="C24882" s="52">
        <v>296170.43845063797</v>
      </c>
      <c r="D24882" s="56">
        <v>4.7886048365408197E-2</v>
      </c>
      <c r="E24882" s="224" t="s">
        <v>2</v>
      </c>
      <c r="G24882" s="52"/>
      <c r="H24882" s="56"/>
      <c r="I24882" s="224"/>
    </row>
    <row r="24883" spans="1:9" x14ac:dyDescent="0.25">
      <c r="A24883" s="515">
        <v>24860</v>
      </c>
      <c r="C24883" s="52">
        <v>53791.905451573402</v>
      </c>
      <c r="D24883" s="56">
        <v>1.8249373338258715E-2</v>
      </c>
      <c r="E24883" s="224" t="s">
        <v>2</v>
      </c>
      <c r="G24883" s="52"/>
      <c r="H24883" s="56"/>
      <c r="I24883" s="224"/>
    </row>
    <row r="24884" spans="1:9" x14ac:dyDescent="0.25">
      <c r="A24884" s="515">
        <v>56280</v>
      </c>
      <c r="C24884" s="52">
        <v>193999.71883745401</v>
      </c>
      <c r="D24884" s="56">
        <v>2.2709356090524709E-2</v>
      </c>
      <c r="E24884" s="224" t="s">
        <v>2</v>
      </c>
      <c r="G24884" s="52"/>
      <c r="H24884" s="56"/>
      <c r="I24884" s="224"/>
    </row>
    <row r="24885" spans="1:9" x14ac:dyDescent="0.25">
      <c r="A24885" s="515">
        <v>19562</v>
      </c>
      <c r="B24885" s="515" t="s">
        <v>569</v>
      </c>
      <c r="C24885" s="52">
        <v>223194.74403924399</v>
      </c>
      <c r="D24885" s="56">
        <v>0.12105973730365011</v>
      </c>
      <c r="E24885" s="224" t="s">
        <v>2</v>
      </c>
      <c r="G24885" s="52"/>
      <c r="H24885" s="56"/>
      <c r="I24885" s="224"/>
    </row>
    <row r="24886" spans="1:9" x14ac:dyDescent="0.25">
      <c r="A24886" s="515">
        <v>50451</v>
      </c>
      <c r="C24886" s="52">
        <v>77551.938897275802</v>
      </c>
      <c r="D24886" s="56">
        <v>0</v>
      </c>
      <c r="E24886" s="224" t="s">
        <v>2</v>
      </c>
      <c r="G24886" s="52"/>
      <c r="H24886" s="56"/>
      <c r="I24886" s="224"/>
    </row>
    <row r="24887" spans="1:9" x14ac:dyDescent="0.25">
      <c r="A24887" s="515">
        <v>24485</v>
      </c>
      <c r="B24887" s="515" t="s">
        <v>728</v>
      </c>
      <c r="C24887" s="52">
        <v>201835.27302885</v>
      </c>
      <c r="D24887" s="56">
        <v>9.3413479020949125E-2</v>
      </c>
      <c r="E24887" s="224" t="s">
        <v>2</v>
      </c>
      <c r="G24887" s="52"/>
      <c r="H24887" s="56"/>
      <c r="I24887" s="224"/>
    </row>
    <row r="24888" spans="1:9" x14ac:dyDescent="0.25">
      <c r="A24888" s="515">
        <v>18059</v>
      </c>
      <c r="B24888" s="515" t="s">
        <v>327</v>
      </c>
      <c r="C24888" s="52">
        <v>413733.32879788597</v>
      </c>
      <c r="D24888" s="56">
        <v>7.2960303110803745E-2</v>
      </c>
      <c r="E24888" s="224" t="s">
        <v>2</v>
      </c>
      <c r="G24888" s="52"/>
      <c r="H24888" s="56"/>
      <c r="I24888" s="224"/>
    </row>
    <row r="24889" spans="1:9" x14ac:dyDescent="0.25">
      <c r="A24889" s="515">
        <v>12120</v>
      </c>
      <c r="B24889" s="515" t="s">
        <v>609</v>
      </c>
      <c r="C24889" s="52">
        <v>257275.00062866299</v>
      </c>
      <c r="D24889" s="56">
        <v>5.8624322163668689E-2</v>
      </c>
      <c r="E24889" s="224" t="s">
        <v>2</v>
      </c>
      <c r="G24889" s="52"/>
      <c r="H24889" s="56"/>
      <c r="I24889" s="224"/>
    </row>
    <row r="24890" spans="1:9" x14ac:dyDescent="0.25">
      <c r="A24890" s="515">
        <v>64689</v>
      </c>
      <c r="C24890" s="52">
        <v>176518.55452968099</v>
      </c>
      <c r="D24890" s="56">
        <v>0</v>
      </c>
      <c r="E24890" s="224" t="s">
        <v>2</v>
      </c>
      <c r="G24890" s="52"/>
      <c r="H24890" s="56"/>
      <c r="I24890" s="224"/>
    </row>
    <row r="24891" spans="1:9" x14ac:dyDescent="0.25">
      <c r="A24891" s="515">
        <v>67047</v>
      </c>
      <c r="C24891" s="52">
        <v>81450.638002128602</v>
      </c>
      <c r="D24891" s="56">
        <v>4.5855766494058807E-2</v>
      </c>
      <c r="E24891" s="224" t="s">
        <v>2</v>
      </c>
      <c r="G24891" s="52"/>
      <c r="H24891" s="56"/>
      <c r="I24891" s="224"/>
    </row>
    <row r="24892" spans="1:9" x14ac:dyDescent="0.25">
      <c r="A24892" s="515">
        <v>50611</v>
      </c>
      <c r="C24892" s="52">
        <v>120534.83517521599</v>
      </c>
      <c r="D24892" s="56">
        <v>0</v>
      </c>
      <c r="E24892" s="224" t="s">
        <v>2</v>
      </c>
      <c r="G24892" s="52"/>
      <c r="H24892" s="56"/>
      <c r="I24892" s="224"/>
    </row>
    <row r="24893" spans="1:9" x14ac:dyDescent="0.25">
      <c r="A24893" s="515">
        <v>80819</v>
      </c>
      <c r="B24893" s="515" t="s">
        <v>701</v>
      </c>
      <c r="C24893" s="52">
        <v>377961.66839948797</v>
      </c>
      <c r="D24893" s="56">
        <v>5.2180211279697804E-2</v>
      </c>
      <c r="E24893" s="224" t="s">
        <v>2</v>
      </c>
      <c r="G24893" s="52"/>
      <c r="H24893" s="56"/>
      <c r="I24893" s="224"/>
    </row>
    <row r="24894" spans="1:9" x14ac:dyDescent="0.25">
      <c r="A24894" s="515">
        <v>91759</v>
      </c>
      <c r="B24894" s="515" t="s">
        <v>599</v>
      </c>
      <c r="C24894" s="52">
        <v>457237.05875469802</v>
      </c>
      <c r="D24894" s="56">
        <v>9.225076559498202E-2</v>
      </c>
      <c r="E24894" s="224" t="s">
        <v>2</v>
      </c>
      <c r="G24894" s="52"/>
      <c r="H24894" s="56"/>
      <c r="I24894" s="224"/>
    </row>
    <row r="24895" spans="1:9" x14ac:dyDescent="0.25">
      <c r="A24895" s="515">
        <v>67640</v>
      </c>
      <c r="B24895" s="515" t="s">
        <v>811</v>
      </c>
      <c r="C24895" s="52">
        <v>115688.12258429801</v>
      </c>
      <c r="D24895" s="56">
        <v>0.1082259623218524</v>
      </c>
      <c r="E24895" s="224" t="s">
        <v>2</v>
      </c>
      <c r="G24895" s="52"/>
      <c r="H24895" s="56"/>
      <c r="I24895" s="224"/>
    </row>
    <row r="24896" spans="1:9" x14ac:dyDescent="0.25">
      <c r="A24896" s="515">
        <v>56722</v>
      </c>
      <c r="B24896" s="515" t="s">
        <v>624</v>
      </c>
      <c r="C24896" s="52">
        <v>222083.610878654</v>
      </c>
      <c r="D24896" s="56">
        <v>3.5201554421483552E-2</v>
      </c>
      <c r="E24896" s="224" t="s">
        <v>2</v>
      </c>
      <c r="G24896" s="52"/>
      <c r="H24896" s="56"/>
      <c r="I24896" s="224"/>
    </row>
    <row r="24897" spans="1:9" x14ac:dyDescent="0.25">
      <c r="A24897" s="515">
        <v>97869</v>
      </c>
      <c r="C24897" s="52">
        <v>213152.73438076599</v>
      </c>
      <c r="D24897" s="56">
        <v>0</v>
      </c>
      <c r="E24897" s="224" t="s">
        <v>2</v>
      </c>
      <c r="G24897" s="52"/>
      <c r="H24897" s="56"/>
      <c r="I24897" s="224"/>
    </row>
    <row r="24898" spans="1:9" x14ac:dyDescent="0.25">
      <c r="A24898" s="515">
        <v>74572</v>
      </c>
      <c r="C24898" s="52">
        <v>119836.828025368</v>
      </c>
      <c r="D24898" s="56">
        <v>0.10369526435765615</v>
      </c>
      <c r="E24898" s="224" t="s">
        <v>2</v>
      </c>
      <c r="G24898" s="52"/>
      <c r="H24898" s="56"/>
      <c r="I24898" s="224"/>
    </row>
    <row r="24899" spans="1:9" x14ac:dyDescent="0.25">
      <c r="A24899" s="515">
        <v>83857</v>
      </c>
      <c r="B24899" s="515" t="s">
        <v>857</v>
      </c>
      <c r="C24899" s="52">
        <v>409951.242857142</v>
      </c>
      <c r="D24899" s="56">
        <v>0</v>
      </c>
      <c r="E24899" s="224" t="s">
        <v>2</v>
      </c>
      <c r="G24899" s="52"/>
      <c r="H24899" s="56"/>
      <c r="I24899" s="224"/>
    </row>
    <row r="24900" spans="1:9" x14ac:dyDescent="0.25">
      <c r="A24900" s="515">
        <v>68948</v>
      </c>
      <c r="C24900" s="52">
        <v>72600.202966214099</v>
      </c>
      <c r="D24900" s="56">
        <v>4.6270151237307405E-2</v>
      </c>
      <c r="E24900" s="224" t="s">
        <v>2</v>
      </c>
      <c r="G24900" s="52"/>
      <c r="H24900" s="56"/>
      <c r="I24900" s="224"/>
    </row>
    <row r="24901" spans="1:9" x14ac:dyDescent="0.25">
      <c r="A24901" s="515">
        <v>66777</v>
      </c>
      <c r="C24901" s="52">
        <v>88201.7722807549</v>
      </c>
      <c r="D24901" s="56">
        <v>6.3594703785265327E-2</v>
      </c>
      <c r="E24901" s="224" t="s">
        <v>2</v>
      </c>
      <c r="G24901" s="52"/>
      <c r="H24901" s="56"/>
      <c r="I24901" s="224"/>
    </row>
    <row r="24902" spans="1:9" x14ac:dyDescent="0.25">
      <c r="A24902" s="515">
        <v>24351</v>
      </c>
      <c r="C24902" s="52">
        <v>84112.681611228196</v>
      </c>
      <c r="D24902" s="56">
        <v>0</v>
      </c>
      <c r="E24902" s="224" t="s">
        <v>2</v>
      </c>
      <c r="G24902" s="52"/>
      <c r="H24902" s="56"/>
      <c r="I24902" s="224"/>
    </row>
    <row r="24903" spans="1:9" x14ac:dyDescent="0.25">
      <c r="A24903" s="515">
        <v>16110</v>
      </c>
      <c r="B24903" s="515" t="s">
        <v>1042</v>
      </c>
      <c r="C24903" s="52">
        <v>137035.85294117601</v>
      </c>
      <c r="D24903" s="56">
        <v>0</v>
      </c>
      <c r="E24903" s="224" t="s">
        <v>2</v>
      </c>
      <c r="G24903" s="52"/>
      <c r="H24903" s="56"/>
      <c r="I24903" s="224"/>
    </row>
    <row r="24904" spans="1:9" x14ac:dyDescent="0.25">
      <c r="A24904" s="515">
        <v>58048</v>
      </c>
      <c r="B24904" s="515" t="s">
        <v>928</v>
      </c>
      <c r="C24904" s="52">
        <v>172832.39461633001</v>
      </c>
      <c r="D24904" s="56">
        <v>4.1414322912580466E-2</v>
      </c>
      <c r="E24904" s="224" t="s">
        <v>2</v>
      </c>
      <c r="G24904" s="52"/>
      <c r="H24904" s="56"/>
      <c r="I24904" s="224"/>
    </row>
    <row r="24905" spans="1:9" x14ac:dyDescent="0.25">
      <c r="A24905" s="515">
        <v>59463</v>
      </c>
      <c r="B24905" s="515" t="s">
        <v>373</v>
      </c>
      <c r="C24905" s="52">
        <v>270913.09319133102</v>
      </c>
      <c r="D24905" s="56">
        <v>7.4789714023715148E-2</v>
      </c>
      <c r="E24905" s="224" t="s">
        <v>2</v>
      </c>
      <c r="G24905" s="52"/>
      <c r="H24905" s="56"/>
      <c r="I24905" s="224"/>
    </row>
    <row r="24906" spans="1:9" x14ac:dyDescent="0.25">
      <c r="A24906" s="515">
        <v>68792</v>
      </c>
      <c r="C24906" s="52">
        <v>182394.875571624</v>
      </c>
      <c r="D24906" s="56">
        <v>9.4387634311145815E-2</v>
      </c>
      <c r="E24906" s="224" t="s">
        <v>2</v>
      </c>
      <c r="G24906" s="52"/>
      <c r="H24906" s="56"/>
      <c r="I24906" s="224"/>
    </row>
    <row r="24907" spans="1:9" x14ac:dyDescent="0.25">
      <c r="A24907" s="515">
        <v>61313</v>
      </c>
      <c r="B24907" s="515" t="s">
        <v>678</v>
      </c>
      <c r="C24907" s="52">
        <v>202909.81279577201</v>
      </c>
      <c r="D24907" s="56">
        <v>0</v>
      </c>
      <c r="E24907" s="224" t="s">
        <v>2</v>
      </c>
      <c r="G24907" s="52"/>
      <c r="H24907" s="56"/>
      <c r="I24907" s="224"/>
    </row>
    <row r="24908" spans="1:9" x14ac:dyDescent="0.25">
      <c r="A24908" s="515">
        <v>66939</v>
      </c>
      <c r="C24908" s="52">
        <v>120564.596109191</v>
      </c>
      <c r="D24908" s="56">
        <v>0.11141675140846392</v>
      </c>
      <c r="E24908" s="224" t="s">
        <v>2</v>
      </c>
      <c r="G24908" s="52"/>
      <c r="H24908" s="56"/>
      <c r="I24908" s="224"/>
    </row>
    <row r="24909" spans="1:9" x14ac:dyDescent="0.25">
      <c r="A24909" s="515">
        <v>4693</v>
      </c>
      <c r="C24909" s="52">
        <v>272492.52918183798</v>
      </c>
      <c r="D24909" s="56">
        <v>-2.8618055218243316E-4</v>
      </c>
      <c r="E24909" s="224" t="s">
        <v>2</v>
      </c>
      <c r="G24909" s="52"/>
      <c r="H24909" s="56"/>
      <c r="I24909" s="224"/>
    </row>
    <row r="24910" spans="1:9" x14ac:dyDescent="0.25">
      <c r="A24910" s="515">
        <v>51565</v>
      </c>
      <c r="C24910" s="52">
        <v>196498.94056058899</v>
      </c>
      <c r="D24910" s="56">
        <v>0.17643593254389531</v>
      </c>
      <c r="E24910" s="224" t="s">
        <v>2</v>
      </c>
      <c r="G24910" s="52"/>
      <c r="H24910" s="56"/>
      <c r="I24910" s="224"/>
    </row>
    <row r="24911" spans="1:9" x14ac:dyDescent="0.25">
      <c r="A24911" s="515">
        <v>38744</v>
      </c>
      <c r="B24911" s="515" t="s">
        <v>1204</v>
      </c>
      <c r="C24911" s="52">
        <v>153389.023210502</v>
      </c>
      <c r="D24911" s="56">
        <v>0</v>
      </c>
      <c r="E24911" s="224" t="s">
        <v>2</v>
      </c>
      <c r="G24911" s="52"/>
      <c r="H24911" s="56"/>
      <c r="I24911" s="224"/>
    </row>
    <row r="24912" spans="1:9" x14ac:dyDescent="0.25">
      <c r="A24912" s="515">
        <v>55982</v>
      </c>
      <c r="B24912" s="515" t="s">
        <v>413</v>
      </c>
      <c r="C24912" s="52">
        <v>240624.25434834199</v>
      </c>
      <c r="D24912" s="56">
        <v>9.878262328932888E-2</v>
      </c>
      <c r="E24912" s="224" t="s">
        <v>2</v>
      </c>
      <c r="G24912" s="52"/>
      <c r="H24912" s="56"/>
      <c r="I24912" s="224"/>
    </row>
    <row r="24913" spans="1:9" x14ac:dyDescent="0.25">
      <c r="A24913" s="515">
        <v>58461</v>
      </c>
      <c r="C24913" s="52">
        <v>79429.793203212103</v>
      </c>
      <c r="D24913" s="56">
        <v>6.0817621197597829E-2</v>
      </c>
      <c r="E24913" s="224" t="s">
        <v>2</v>
      </c>
      <c r="G24913" s="52"/>
      <c r="H24913" s="56"/>
      <c r="I24913" s="224"/>
    </row>
    <row r="24914" spans="1:9" x14ac:dyDescent="0.25">
      <c r="A24914" s="515">
        <v>52251</v>
      </c>
      <c r="C24914" s="52">
        <v>131295.49063030799</v>
      </c>
      <c r="D24914" s="56">
        <v>0.13395958218633253</v>
      </c>
      <c r="E24914" s="224" t="s">
        <v>2</v>
      </c>
      <c r="G24914" s="52"/>
      <c r="H24914" s="56"/>
      <c r="I24914" s="224"/>
    </row>
    <row r="24915" spans="1:9" x14ac:dyDescent="0.25">
      <c r="A24915" s="515">
        <v>12424</v>
      </c>
      <c r="C24915" s="52">
        <v>366651.84633882402</v>
      </c>
      <c r="D24915" s="56">
        <v>0.10464732422786065</v>
      </c>
      <c r="E24915" s="224" t="s">
        <v>2</v>
      </c>
      <c r="G24915" s="52"/>
      <c r="H24915" s="56"/>
      <c r="I24915" s="224"/>
    </row>
    <row r="24916" spans="1:9" x14ac:dyDescent="0.25">
      <c r="A24916" s="515">
        <v>58071</v>
      </c>
      <c r="C24916" s="52">
        <v>159001.02008328299</v>
      </c>
      <c r="D24916" s="56">
        <v>0</v>
      </c>
      <c r="E24916" s="224" t="s">
        <v>2</v>
      </c>
      <c r="G24916" s="52"/>
      <c r="H24916" s="56"/>
      <c r="I24916" s="224"/>
    </row>
    <row r="24917" spans="1:9" x14ac:dyDescent="0.25">
      <c r="A24917" s="515">
        <v>67111</v>
      </c>
      <c r="C24917" s="52">
        <v>189328.91433179201</v>
      </c>
      <c r="D24917" s="56">
        <v>0.22334343727318207</v>
      </c>
      <c r="E24917" s="224" t="s">
        <v>2</v>
      </c>
      <c r="G24917" s="52"/>
      <c r="H24917" s="56"/>
      <c r="I24917" s="224"/>
    </row>
    <row r="24918" spans="1:9" x14ac:dyDescent="0.25">
      <c r="A24918" s="515">
        <v>62601</v>
      </c>
      <c r="B24918" s="515" t="s">
        <v>531</v>
      </c>
      <c r="C24918" s="52">
        <v>130583.735849056</v>
      </c>
      <c r="D24918" s="56">
        <v>0</v>
      </c>
      <c r="E24918" s="224" t="s">
        <v>2</v>
      </c>
      <c r="G24918" s="52"/>
      <c r="H24918" s="56"/>
      <c r="I24918" s="224"/>
    </row>
    <row r="24919" spans="1:9" x14ac:dyDescent="0.25">
      <c r="A24919" s="515">
        <v>62058</v>
      </c>
      <c r="B24919" s="515" t="s">
        <v>498</v>
      </c>
      <c r="C24919" s="52">
        <v>77935.447269032506</v>
      </c>
      <c r="D24919" s="56">
        <v>0.10895345534740464</v>
      </c>
      <c r="E24919" s="224" t="s">
        <v>2</v>
      </c>
      <c r="G24919" s="52"/>
      <c r="H24919" s="56"/>
      <c r="I24919" s="224"/>
    </row>
    <row r="24920" spans="1:9" x14ac:dyDescent="0.25">
      <c r="A24920" s="515">
        <v>58492</v>
      </c>
      <c r="C24920" s="52">
        <v>120870.44505758</v>
      </c>
      <c r="D24920" s="56">
        <v>5.6117618842819468E-2</v>
      </c>
      <c r="E24920" s="224" t="s">
        <v>2</v>
      </c>
      <c r="G24920" s="52"/>
      <c r="H24920" s="56"/>
      <c r="I24920" s="224"/>
    </row>
    <row r="24921" spans="1:9" x14ac:dyDescent="0.25">
      <c r="A24921" s="515">
        <v>12517</v>
      </c>
      <c r="B24921" s="515" t="s">
        <v>564</v>
      </c>
      <c r="C24921" s="52">
        <v>384546.63324359502</v>
      </c>
      <c r="D24921" s="56">
        <v>9.8392706586502565E-2</v>
      </c>
      <c r="E24921" s="224" t="s">
        <v>2</v>
      </c>
      <c r="G24921" s="52"/>
      <c r="H24921" s="56"/>
      <c r="I24921" s="224"/>
    </row>
    <row r="24922" spans="1:9" x14ac:dyDescent="0.25">
      <c r="A24922" s="515">
        <v>52580</v>
      </c>
      <c r="B24922" s="515" t="s">
        <v>810</v>
      </c>
      <c r="C24922" s="52">
        <v>132825.316747523</v>
      </c>
      <c r="D24922" s="56">
        <v>7.5516887389936962E-2</v>
      </c>
      <c r="E24922" s="224" t="s">
        <v>2</v>
      </c>
      <c r="G24922" s="52"/>
      <c r="H24922" s="56"/>
      <c r="I24922" s="224"/>
    </row>
    <row r="24923" spans="1:9" x14ac:dyDescent="0.25">
      <c r="A24923" s="515">
        <v>67842</v>
      </c>
      <c r="B24923" s="515" t="s">
        <v>809</v>
      </c>
      <c r="C24923" s="52">
        <v>155535.07425062801</v>
      </c>
      <c r="D24923" s="56">
        <v>-1.8759688330655954E-3</v>
      </c>
      <c r="E24923" s="224" t="s">
        <v>2</v>
      </c>
      <c r="G24923" s="52"/>
      <c r="H24923" s="56"/>
      <c r="I24923" s="224"/>
    </row>
    <row r="24924" spans="1:9" x14ac:dyDescent="0.25">
      <c r="A24924" s="515">
        <v>15671</v>
      </c>
      <c r="B24924" s="515" t="s">
        <v>297</v>
      </c>
      <c r="C24924" s="52">
        <v>140408.1875</v>
      </c>
      <c r="D24924" s="56">
        <v>0</v>
      </c>
      <c r="E24924" s="224" t="s">
        <v>2</v>
      </c>
      <c r="G24924" s="52"/>
      <c r="H24924" s="56"/>
      <c r="I24924" s="224"/>
    </row>
    <row r="24925" spans="1:9" x14ac:dyDescent="0.25">
      <c r="A24925" s="515">
        <v>12435</v>
      </c>
      <c r="B24925" s="515" t="s">
        <v>307</v>
      </c>
      <c r="C24925" s="52">
        <v>293755.63353842997</v>
      </c>
      <c r="D24925" s="56">
        <v>0.10513425769070492</v>
      </c>
      <c r="E24925" s="224" t="s">
        <v>2</v>
      </c>
      <c r="G24925" s="52"/>
      <c r="H24925" s="56"/>
      <c r="I24925" s="224"/>
    </row>
    <row r="24926" spans="1:9" x14ac:dyDescent="0.25">
      <c r="A24926" s="515">
        <v>18439</v>
      </c>
      <c r="C24926" s="52">
        <v>285560.40315344301</v>
      </c>
      <c r="D24926" s="56">
        <v>9.6541152041218423E-2</v>
      </c>
      <c r="E24926" s="224" t="s">
        <v>2</v>
      </c>
      <c r="G24926" s="52"/>
      <c r="H24926" s="56"/>
      <c r="I24926" s="224"/>
    </row>
    <row r="24927" spans="1:9" x14ac:dyDescent="0.25">
      <c r="A24927" s="515">
        <v>51527</v>
      </c>
      <c r="C24927" s="52">
        <v>170994.04222088601</v>
      </c>
      <c r="D24927" s="56">
        <v>0.11713444031959253</v>
      </c>
      <c r="E24927" s="224" t="s">
        <v>2</v>
      </c>
      <c r="G24927" s="52"/>
      <c r="H24927" s="56"/>
      <c r="I24927" s="224"/>
    </row>
    <row r="24928" spans="1:9" x14ac:dyDescent="0.25">
      <c r="A24928" s="515">
        <v>36858</v>
      </c>
      <c r="B24928" s="515" t="s">
        <v>778</v>
      </c>
      <c r="C24928" s="52">
        <v>143870.994240142</v>
      </c>
      <c r="D24928" s="56">
        <v>0</v>
      </c>
      <c r="E24928" s="224" t="s">
        <v>2</v>
      </c>
      <c r="G24928" s="52"/>
      <c r="H24928" s="56"/>
      <c r="I24928" s="224"/>
    </row>
    <row r="24929" spans="1:9" x14ac:dyDescent="0.25">
      <c r="A24929" s="515">
        <v>5762</v>
      </c>
      <c r="B24929" s="515" t="s">
        <v>791</v>
      </c>
      <c r="C24929" s="52">
        <v>362544.58095238003</v>
      </c>
      <c r="D24929" s="56">
        <v>0</v>
      </c>
      <c r="E24929" s="224" t="s">
        <v>2</v>
      </c>
      <c r="G24929" s="52"/>
      <c r="H24929" s="56"/>
      <c r="I24929" s="224"/>
    </row>
    <row r="24930" spans="1:9" x14ac:dyDescent="0.25">
      <c r="A24930" s="515">
        <v>64166</v>
      </c>
      <c r="B24930" s="515" t="s">
        <v>455</v>
      </c>
      <c r="C24930" s="52">
        <v>399367.66832603602</v>
      </c>
      <c r="D24930" s="56">
        <v>8.5572804299097346E-2</v>
      </c>
      <c r="E24930" s="224" t="s">
        <v>2</v>
      </c>
      <c r="G24930" s="52"/>
      <c r="H24930" s="56"/>
      <c r="I24930" s="224"/>
    </row>
    <row r="24931" spans="1:9" x14ac:dyDescent="0.25">
      <c r="A24931" s="515">
        <v>98286</v>
      </c>
      <c r="C24931" s="52">
        <v>1055619.1241250699</v>
      </c>
      <c r="D24931" s="56">
        <v>6.178642859259597E-2</v>
      </c>
      <c r="E24931" s="224" t="s">
        <v>2</v>
      </c>
      <c r="G24931" s="52"/>
      <c r="H24931" s="56"/>
      <c r="I24931" s="224"/>
    </row>
    <row r="24932" spans="1:9" x14ac:dyDescent="0.25">
      <c r="A24932" s="515">
        <v>24147</v>
      </c>
      <c r="B24932" s="515" t="s">
        <v>597</v>
      </c>
      <c r="C24932" s="52">
        <v>140914.26941654799</v>
      </c>
      <c r="D24932" s="56">
        <v>6.0206364856681814E-2</v>
      </c>
      <c r="E24932" s="224" t="s">
        <v>2</v>
      </c>
      <c r="G24932" s="52"/>
      <c r="H24932" s="56"/>
      <c r="I24932" s="224"/>
    </row>
    <row r="24933" spans="1:9" x14ac:dyDescent="0.25">
      <c r="A24933" s="515">
        <v>46039</v>
      </c>
      <c r="B24933" s="515" t="s">
        <v>808</v>
      </c>
      <c r="C24933" s="52">
        <v>182001.16382208199</v>
      </c>
      <c r="D24933" s="56">
        <v>5.6868296272504233E-2</v>
      </c>
      <c r="E24933" s="224" t="s">
        <v>2</v>
      </c>
      <c r="G24933" s="52"/>
      <c r="H24933" s="56"/>
      <c r="I24933" s="224"/>
    </row>
    <row r="24934" spans="1:9" x14ac:dyDescent="0.25">
      <c r="A24934" s="515">
        <v>52728</v>
      </c>
      <c r="B24934" s="515" t="s">
        <v>439</v>
      </c>
      <c r="C24934" s="52">
        <v>140597.09018997001</v>
      </c>
      <c r="D24934" s="56">
        <v>3.4132646142351827E-2</v>
      </c>
      <c r="E24934" s="224" t="s">
        <v>2</v>
      </c>
      <c r="G24934" s="52"/>
      <c r="H24934" s="56"/>
      <c r="I24934" s="224"/>
    </row>
    <row r="24935" spans="1:9" x14ac:dyDescent="0.25">
      <c r="A24935" s="515">
        <v>54550</v>
      </c>
      <c r="C24935" s="52">
        <v>85808.991807689905</v>
      </c>
      <c r="D24935" s="56">
        <v>3.1053266580937443E-2</v>
      </c>
      <c r="E24935" s="224" t="s">
        <v>2</v>
      </c>
      <c r="G24935" s="52"/>
      <c r="H24935" s="56"/>
      <c r="I24935" s="224"/>
    </row>
    <row r="24936" spans="1:9" x14ac:dyDescent="0.25">
      <c r="A24936" s="515">
        <v>4853</v>
      </c>
      <c r="C24936" s="52">
        <v>443008.55882352899</v>
      </c>
      <c r="D24936" s="56">
        <v>0</v>
      </c>
      <c r="E24936" s="224" t="s">
        <v>2</v>
      </c>
      <c r="G24936" s="52"/>
      <c r="H24936" s="56"/>
      <c r="I24936" s="224"/>
    </row>
    <row r="24937" spans="1:9" x14ac:dyDescent="0.25">
      <c r="A24937" s="515">
        <v>69141</v>
      </c>
      <c r="C24937" s="52">
        <v>147626.095478884</v>
      </c>
      <c r="D24937" s="56">
        <v>0.13690137636635985</v>
      </c>
      <c r="E24937" s="224" t="s">
        <v>2</v>
      </c>
      <c r="G24937" s="52"/>
      <c r="H24937" s="56"/>
      <c r="I24937" s="224"/>
    </row>
    <row r="24938" spans="1:9" x14ac:dyDescent="0.25">
      <c r="A24938" s="515">
        <v>97412</v>
      </c>
      <c r="B24938" s="515" t="s">
        <v>801</v>
      </c>
      <c r="C24938" s="52">
        <v>358715.42725222098</v>
      </c>
      <c r="D24938" s="56">
        <v>-2.5277437243958886E-3</v>
      </c>
      <c r="E24938" s="224" t="s">
        <v>2</v>
      </c>
      <c r="G24938" s="52"/>
      <c r="H24938" s="56"/>
      <c r="I24938" s="224"/>
    </row>
    <row r="24939" spans="1:9" x14ac:dyDescent="0.25">
      <c r="A24939" s="515">
        <v>98616</v>
      </c>
      <c r="B24939" s="515" t="s">
        <v>807</v>
      </c>
      <c r="C24939" s="52">
        <v>410986.51859742397</v>
      </c>
      <c r="D24939" s="56">
        <v>4.5074793039000652E-2</v>
      </c>
      <c r="E24939" s="224" t="s">
        <v>2</v>
      </c>
      <c r="G24939" s="52"/>
      <c r="H24939" s="56"/>
      <c r="I24939" s="224"/>
    </row>
    <row r="24940" spans="1:9" x14ac:dyDescent="0.25">
      <c r="A24940" s="515">
        <v>22749</v>
      </c>
      <c r="B24940" s="515" t="s">
        <v>321</v>
      </c>
      <c r="C24940" s="52">
        <v>625780.03165956901</v>
      </c>
      <c r="D24940" s="56">
        <v>0.22683638053771346</v>
      </c>
      <c r="E24940" s="224" t="s">
        <v>2</v>
      </c>
      <c r="G24940" s="52"/>
      <c r="H24940" s="56"/>
      <c r="I24940" s="224"/>
    </row>
    <row r="24941" spans="1:9" x14ac:dyDescent="0.25">
      <c r="A24941" s="515">
        <v>80456</v>
      </c>
      <c r="B24941" s="515" t="s">
        <v>401</v>
      </c>
      <c r="C24941" s="52">
        <v>438970.63250980299</v>
      </c>
      <c r="D24941" s="56">
        <v>5.196616056262187E-2</v>
      </c>
      <c r="E24941" s="224" t="s">
        <v>2</v>
      </c>
      <c r="G24941" s="52"/>
      <c r="H24941" s="56"/>
      <c r="I24941" s="224"/>
    </row>
    <row r="24942" spans="1:9" x14ac:dyDescent="0.25">
      <c r="A24942" s="515">
        <v>12998</v>
      </c>
      <c r="C24942" s="52">
        <v>81712.983333783995</v>
      </c>
      <c r="D24942" s="56">
        <v>0.1592553527762911</v>
      </c>
      <c r="E24942" s="224" t="s">
        <v>2</v>
      </c>
      <c r="G24942" s="52"/>
      <c r="H24942" s="56"/>
      <c r="I24942" s="224"/>
    </row>
    <row r="24943" spans="1:9" x14ac:dyDescent="0.25">
      <c r="A24943" s="515">
        <v>68654</v>
      </c>
      <c r="C24943" s="52">
        <v>117206.648570601</v>
      </c>
      <c r="D24943" s="56">
        <v>1.4266287980014157E-2</v>
      </c>
      <c r="E24943" s="224" t="s">
        <v>2</v>
      </c>
      <c r="G24943" s="52"/>
      <c r="H24943" s="56"/>
      <c r="I24943" s="224"/>
    </row>
    <row r="24944" spans="1:9" x14ac:dyDescent="0.25">
      <c r="A24944" s="515">
        <v>68947</v>
      </c>
      <c r="C24944" s="52">
        <v>140505.22557822301</v>
      </c>
      <c r="D24944" s="56">
        <v>0.12634018641774206</v>
      </c>
      <c r="E24944" s="224" t="s">
        <v>2</v>
      </c>
      <c r="G24944" s="52"/>
      <c r="H24944" s="56"/>
      <c r="I24944" s="224"/>
    </row>
    <row r="24945" spans="1:9" x14ac:dyDescent="0.25">
      <c r="A24945" s="515">
        <v>12150</v>
      </c>
      <c r="B24945" s="515" t="s">
        <v>609</v>
      </c>
      <c r="C24945" s="52">
        <v>227382.80131115401</v>
      </c>
      <c r="D24945" s="56">
        <v>4.7766957809482792E-2</v>
      </c>
      <c r="E24945" s="224" t="s">
        <v>2</v>
      </c>
      <c r="G24945" s="52"/>
      <c r="H24945" s="56"/>
      <c r="I24945" s="224"/>
    </row>
    <row r="24946" spans="1:9" x14ac:dyDescent="0.25">
      <c r="A24946" s="515">
        <v>57465</v>
      </c>
      <c r="C24946" s="52">
        <v>170122.311993176</v>
      </c>
      <c r="D24946" s="56">
        <v>4.1773032404467052E-2</v>
      </c>
      <c r="E24946" s="224" t="s">
        <v>2</v>
      </c>
      <c r="G24946" s="52"/>
      <c r="H24946" s="56"/>
      <c r="I24946" s="224"/>
    </row>
    <row r="24947" spans="1:9" x14ac:dyDescent="0.25">
      <c r="A24947" s="515">
        <v>41839</v>
      </c>
      <c r="C24947" s="52">
        <v>96159.761767537595</v>
      </c>
      <c r="D24947" s="56">
        <v>0.28762242846105285</v>
      </c>
      <c r="E24947" s="224" t="s">
        <v>2</v>
      </c>
      <c r="G24947" s="52"/>
      <c r="H24947" s="56"/>
      <c r="I24947" s="224"/>
    </row>
    <row r="24948" spans="1:9" x14ac:dyDescent="0.25">
      <c r="A24948" s="515">
        <v>51645</v>
      </c>
      <c r="C24948" s="52">
        <v>221717.706477778</v>
      </c>
      <c r="D24948" s="56">
        <v>0</v>
      </c>
      <c r="E24948" s="224" t="s">
        <v>2</v>
      </c>
      <c r="G24948" s="52"/>
      <c r="H24948" s="56"/>
      <c r="I24948" s="224"/>
    </row>
    <row r="24949" spans="1:9" x14ac:dyDescent="0.25">
      <c r="A24949" s="515">
        <v>5069</v>
      </c>
      <c r="B24949" s="515" t="s">
        <v>420</v>
      </c>
      <c r="C24949" s="52">
        <v>213168.45924827599</v>
      </c>
      <c r="D24949" s="56">
        <v>9.0984742110218245E-2</v>
      </c>
      <c r="E24949" s="224" t="s">
        <v>2</v>
      </c>
      <c r="G24949" s="52"/>
      <c r="H24949" s="56"/>
      <c r="I24949" s="224"/>
    </row>
    <row r="24950" spans="1:9" x14ac:dyDescent="0.25">
      <c r="A24950" s="515">
        <v>61811</v>
      </c>
      <c r="B24950" s="515" t="s">
        <v>999</v>
      </c>
      <c r="C24950" s="52">
        <v>113061.822033565</v>
      </c>
      <c r="D24950" s="56">
        <v>-1.4387756339197815E-3</v>
      </c>
      <c r="E24950" s="224" t="s">
        <v>2</v>
      </c>
      <c r="G24950" s="52"/>
      <c r="H24950" s="56"/>
      <c r="I24950" s="224"/>
    </row>
    <row r="24951" spans="1:9" x14ac:dyDescent="0.25">
      <c r="A24951" s="515">
        <v>51556</v>
      </c>
      <c r="B24951" s="515" t="s">
        <v>367</v>
      </c>
      <c r="C24951" s="52">
        <v>136654.508481973</v>
      </c>
      <c r="D24951" s="56">
        <v>0</v>
      </c>
      <c r="E24951" s="224" t="s">
        <v>2</v>
      </c>
      <c r="G24951" s="52"/>
      <c r="H24951" s="56"/>
      <c r="I24951" s="224"/>
    </row>
    <row r="24952" spans="1:9" x14ac:dyDescent="0.25">
      <c r="A24952" s="515">
        <v>87935</v>
      </c>
      <c r="C24952" s="52">
        <v>193212.422404813</v>
      </c>
      <c r="D24952" s="56">
        <v>0.10142973756197735</v>
      </c>
      <c r="E24952" s="224" t="s">
        <v>2</v>
      </c>
      <c r="G24952" s="52"/>
      <c r="H24952" s="56"/>
      <c r="I24952" s="224"/>
    </row>
    <row r="24953" spans="1:9" x14ac:dyDescent="0.25">
      <c r="A24953" s="515">
        <v>56592</v>
      </c>
      <c r="B24953" s="515" t="s">
        <v>624</v>
      </c>
      <c r="C24953" s="52">
        <v>140491.46701497899</v>
      </c>
      <c r="D24953" s="56">
        <v>5.7667216774094324E-2</v>
      </c>
      <c r="E24953" s="224" t="s">
        <v>2</v>
      </c>
      <c r="G24953" s="52"/>
      <c r="H24953" s="56"/>
      <c r="I24953" s="224"/>
    </row>
    <row r="24954" spans="1:9" x14ac:dyDescent="0.25">
      <c r="A24954" s="515">
        <v>68727</v>
      </c>
      <c r="C24954" s="52">
        <v>118048.48720345899</v>
      </c>
      <c r="D24954" s="56">
        <v>4.2970586967971666E-2</v>
      </c>
      <c r="E24954" s="224" t="s">
        <v>2</v>
      </c>
      <c r="G24954" s="52"/>
      <c r="H24954" s="56"/>
      <c r="I24954" s="224"/>
    </row>
    <row r="24955" spans="1:9" x14ac:dyDescent="0.25">
      <c r="A24955" s="515">
        <v>36013</v>
      </c>
      <c r="B24955" s="515" t="s">
        <v>806</v>
      </c>
      <c r="C24955" s="52">
        <v>371717.32437974401</v>
      </c>
      <c r="D24955" s="56">
        <v>8.5820721756064297E-2</v>
      </c>
      <c r="E24955" s="224" t="s">
        <v>2</v>
      </c>
      <c r="G24955" s="52"/>
      <c r="H24955" s="56"/>
      <c r="I24955" s="224"/>
    </row>
    <row r="24956" spans="1:9" x14ac:dyDescent="0.25">
      <c r="A24956" s="515">
        <v>73560</v>
      </c>
      <c r="B24956" s="515" t="s">
        <v>805</v>
      </c>
      <c r="C24956" s="52">
        <v>83082.320235328705</v>
      </c>
      <c r="D24956" s="56">
        <v>5.5315808415350762E-2</v>
      </c>
      <c r="E24956" s="224" t="s">
        <v>2</v>
      </c>
      <c r="G24956" s="52"/>
      <c r="H24956" s="56"/>
      <c r="I24956" s="224"/>
    </row>
    <row r="24957" spans="1:9" x14ac:dyDescent="0.25">
      <c r="A24957" s="515">
        <v>66091</v>
      </c>
      <c r="C24957" s="52">
        <v>138179.69177501701</v>
      </c>
      <c r="D24957" s="56">
        <v>0.11069943489712424</v>
      </c>
      <c r="E24957" s="224" t="s">
        <v>2</v>
      </c>
      <c r="G24957" s="52"/>
      <c r="H24957" s="56"/>
      <c r="I24957" s="224"/>
    </row>
    <row r="24958" spans="1:9" x14ac:dyDescent="0.25">
      <c r="A24958" s="515">
        <v>63747</v>
      </c>
      <c r="B24958" s="515" t="s">
        <v>424</v>
      </c>
      <c r="C24958" s="52">
        <v>236728.818949537</v>
      </c>
      <c r="D24958" s="56">
        <v>0.14635783473619268</v>
      </c>
      <c r="E24958" s="224" t="s">
        <v>2</v>
      </c>
      <c r="G24958" s="52"/>
      <c r="H24958" s="56"/>
      <c r="I24958" s="224"/>
    </row>
    <row r="24959" spans="1:9" x14ac:dyDescent="0.25">
      <c r="A24959" s="515">
        <v>58481</v>
      </c>
      <c r="C24959" s="52">
        <v>183639.142857142</v>
      </c>
      <c r="D24959" s="56">
        <v>0</v>
      </c>
      <c r="E24959" s="224" t="s">
        <v>2</v>
      </c>
      <c r="G24959" s="52"/>
      <c r="H24959" s="56"/>
      <c r="I24959" s="224"/>
    </row>
    <row r="24960" spans="1:9" x14ac:dyDescent="0.25">
      <c r="A24960" s="515">
        <v>54125</v>
      </c>
      <c r="B24960" s="515" t="s">
        <v>923</v>
      </c>
      <c r="C24960" s="52">
        <v>98826.178659481404</v>
      </c>
      <c r="D24960" s="56">
        <v>0.13488268960495076</v>
      </c>
      <c r="E24960" s="224" t="s">
        <v>2</v>
      </c>
      <c r="G24960" s="52"/>
      <c r="H24960" s="56"/>
      <c r="I24960" s="224"/>
    </row>
    <row r="24961" spans="1:9" x14ac:dyDescent="0.25">
      <c r="A24961" s="515">
        <v>53803</v>
      </c>
      <c r="C24961" s="52">
        <v>148847.20270240001</v>
      </c>
      <c r="D24961" s="56">
        <v>9.0445202756352538E-2</v>
      </c>
      <c r="E24961" s="224" t="s">
        <v>2</v>
      </c>
      <c r="G24961" s="52"/>
      <c r="H24961" s="56"/>
      <c r="I24961" s="224"/>
    </row>
    <row r="24962" spans="1:9" x14ac:dyDescent="0.25">
      <c r="A24962" s="515">
        <v>42323</v>
      </c>
      <c r="B24962" s="515" t="s">
        <v>686</v>
      </c>
      <c r="C24962" s="52">
        <v>112794.85022326501</v>
      </c>
      <c r="D24962" s="56">
        <v>8.0787894230471932E-2</v>
      </c>
      <c r="E24962" s="224" t="s">
        <v>2</v>
      </c>
      <c r="G24962" s="52"/>
      <c r="H24962" s="56"/>
      <c r="I24962" s="224"/>
    </row>
    <row r="24963" spans="1:9" x14ac:dyDescent="0.25">
      <c r="A24963" s="515">
        <v>95914</v>
      </c>
      <c r="B24963" s="515" t="s">
        <v>580</v>
      </c>
      <c r="C24963" s="52">
        <v>376753.33462403802</v>
      </c>
      <c r="D24963" s="56">
        <v>-2.2910479524438143E-2</v>
      </c>
      <c r="E24963" s="224" t="s">
        <v>2</v>
      </c>
      <c r="G24963" s="52"/>
      <c r="H24963" s="56"/>
      <c r="I24963" s="224"/>
    </row>
    <row r="24964" spans="1:9" x14ac:dyDescent="0.25">
      <c r="A24964" s="515">
        <v>29658</v>
      </c>
      <c r="B24964" s="515" t="s">
        <v>804</v>
      </c>
      <c r="C24964" s="52">
        <v>232976.83333333299</v>
      </c>
      <c r="D24964" s="56">
        <v>0</v>
      </c>
      <c r="E24964" s="224" t="s">
        <v>2</v>
      </c>
      <c r="G24964" s="52"/>
      <c r="H24964" s="56"/>
      <c r="I24964" s="224"/>
    </row>
    <row r="24965" spans="1:9" x14ac:dyDescent="0.25">
      <c r="A24965" s="515">
        <v>27923</v>
      </c>
      <c r="B24965" s="515" t="s">
        <v>301</v>
      </c>
      <c r="C24965" s="52">
        <v>385934.65470220899</v>
      </c>
      <c r="D24965" s="56">
        <v>0.1171547402885442</v>
      </c>
      <c r="E24965" s="224" t="s">
        <v>2</v>
      </c>
      <c r="G24965" s="52"/>
      <c r="H24965" s="56"/>
      <c r="I24965" s="224"/>
    </row>
    <row r="24966" spans="1:9" x14ac:dyDescent="0.25">
      <c r="A24966" s="515">
        <v>66966</v>
      </c>
      <c r="C24966" s="52">
        <v>108242.386784731</v>
      </c>
      <c r="D24966" s="56">
        <v>0.12674272573124301</v>
      </c>
      <c r="E24966" s="224" t="s">
        <v>2</v>
      </c>
      <c r="G24966" s="52"/>
      <c r="H24966" s="56"/>
      <c r="I24966" s="224"/>
    </row>
    <row r="24967" spans="1:9" x14ac:dyDescent="0.25">
      <c r="A24967" s="515">
        <v>72581</v>
      </c>
      <c r="C24967" s="52">
        <v>225932.26970893101</v>
      </c>
      <c r="D24967" s="56">
        <v>6.7510336166871063E-2</v>
      </c>
      <c r="E24967" s="224" t="s">
        <v>2</v>
      </c>
      <c r="G24967" s="52"/>
      <c r="H24967" s="56"/>
      <c r="I24967" s="224"/>
    </row>
    <row r="24968" spans="1:9" x14ac:dyDescent="0.25">
      <c r="A24968" s="515">
        <v>66754</v>
      </c>
      <c r="C24968" s="52">
        <v>93233.390218161701</v>
      </c>
      <c r="D24968" s="56">
        <v>-5.6001459283447623E-2</v>
      </c>
      <c r="E24968" s="224" t="s">
        <v>2</v>
      </c>
      <c r="G24968" s="52"/>
      <c r="H24968" s="56"/>
      <c r="I24968" s="224"/>
    </row>
    <row r="24969" spans="1:9" x14ac:dyDescent="0.25">
      <c r="A24969" s="515">
        <v>66544</v>
      </c>
      <c r="C24969" s="52">
        <v>136647.391701446</v>
      </c>
      <c r="D24969" s="56">
        <v>0.1667066272287035</v>
      </c>
      <c r="E24969" s="224" t="s">
        <v>2</v>
      </c>
      <c r="G24969" s="52"/>
      <c r="H24969" s="56"/>
      <c r="I24969" s="224"/>
    </row>
    <row r="24970" spans="1:9" x14ac:dyDescent="0.25">
      <c r="A24970" s="515">
        <v>73531</v>
      </c>
      <c r="B24970" s="515" t="s">
        <v>364</v>
      </c>
      <c r="C24970" s="52">
        <v>160087.84417294999</v>
      </c>
      <c r="D24970" s="56">
        <v>9.068508328446262E-2</v>
      </c>
      <c r="E24970" s="224" t="s">
        <v>2</v>
      </c>
      <c r="G24970" s="52"/>
      <c r="H24970" s="56"/>
      <c r="I24970" s="224"/>
    </row>
    <row r="24971" spans="1:9" x14ac:dyDescent="0.25">
      <c r="A24971" s="515">
        <v>27956</v>
      </c>
      <c r="B24971" s="515" t="s">
        <v>301</v>
      </c>
      <c r="C24971" s="52">
        <v>345130.69427770103</v>
      </c>
      <c r="D24971" s="56">
        <v>0.14586125320410748</v>
      </c>
      <c r="E24971" s="224" t="s">
        <v>2</v>
      </c>
      <c r="G24971" s="52"/>
      <c r="H24971" s="56"/>
      <c r="I24971" s="224"/>
    </row>
    <row r="24972" spans="1:9" x14ac:dyDescent="0.25">
      <c r="A24972" s="515">
        <v>49915</v>
      </c>
      <c r="C24972" s="52">
        <v>56310.1104394906</v>
      </c>
      <c r="D24972" s="56">
        <v>0.11367663186360423</v>
      </c>
      <c r="E24972" s="224" t="s">
        <v>2</v>
      </c>
      <c r="G24972" s="52"/>
      <c r="H24972" s="56"/>
      <c r="I24972" s="224"/>
    </row>
    <row r="24973" spans="1:9" x14ac:dyDescent="0.25">
      <c r="A24973" s="515">
        <v>56281</v>
      </c>
      <c r="B24973" s="515" t="s">
        <v>803</v>
      </c>
      <c r="C24973" s="52">
        <v>178171.70726519899</v>
      </c>
      <c r="D24973" s="56">
        <v>3.6266702235348947E-2</v>
      </c>
      <c r="E24973" s="224" t="s">
        <v>2</v>
      </c>
      <c r="G24973" s="52"/>
      <c r="H24973" s="56"/>
      <c r="I24973" s="224"/>
    </row>
    <row r="24974" spans="1:9" x14ac:dyDescent="0.25">
      <c r="A24974" s="515">
        <v>66515</v>
      </c>
      <c r="C24974" s="52">
        <v>135519.10119998499</v>
      </c>
      <c r="D24974" s="56">
        <v>0.12184567089763228</v>
      </c>
      <c r="E24974" s="224" t="s">
        <v>2</v>
      </c>
      <c r="G24974" s="52"/>
      <c r="H24974" s="56"/>
      <c r="I24974" s="224"/>
    </row>
    <row r="24975" spans="1:9" x14ac:dyDescent="0.25">
      <c r="A24975" s="515">
        <v>98651</v>
      </c>
      <c r="B24975" s="515" t="s">
        <v>659</v>
      </c>
      <c r="C24975" s="52">
        <v>738854.16277558403</v>
      </c>
      <c r="D24975" s="56">
        <v>6.4838530576407039E-2</v>
      </c>
      <c r="E24975" s="224" t="s">
        <v>2</v>
      </c>
      <c r="G24975" s="52"/>
      <c r="H24975" s="56"/>
      <c r="I24975" s="224"/>
    </row>
    <row r="24976" spans="1:9" x14ac:dyDescent="0.25">
      <c r="A24976" s="515">
        <v>64750</v>
      </c>
      <c r="C24976" s="52">
        <v>147389.90924602101</v>
      </c>
      <c r="D24976" s="56">
        <v>-6.978275470577726E-3</v>
      </c>
      <c r="E24976" s="224" t="s">
        <v>2</v>
      </c>
      <c r="G24976" s="52"/>
      <c r="H24976" s="56"/>
      <c r="I24976" s="224"/>
    </row>
    <row r="24977" spans="1:9" x14ac:dyDescent="0.25">
      <c r="A24977" s="515">
        <v>51545</v>
      </c>
      <c r="B24977" s="515" t="s">
        <v>367</v>
      </c>
      <c r="C24977" s="52">
        <v>82065.572969110799</v>
      </c>
      <c r="D24977" s="56">
        <v>0</v>
      </c>
      <c r="E24977" s="224" t="s">
        <v>2</v>
      </c>
      <c r="G24977" s="52"/>
      <c r="H24977" s="56"/>
      <c r="I24977" s="224"/>
    </row>
    <row r="24978" spans="1:9" x14ac:dyDescent="0.25">
      <c r="A24978" s="515">
        <v>95981</v>
      </c>
      <c r="C24978" s="52">
        <v>305592.79076358699</v>
      </c>
      <c r="D24978" s="56">
        <v>2.145866183634491E-2</v>
      </c>
      <c r="E24978" s="224" t="s">
        <v>2</v>
      </c>
      <c r="G24978" s="52"/>
      <c r="H24978" s="56"/>
      <c r="I24978" s="224"/>
    </row>
    <row r="24979" spans="1:9" x14ac:dyDescent="0.25">
      <c r="A24979" s="515">
        <v>25031</v>
      </c>
      <c r="B24979" s="515" t="s">
        <v>566</v>
      </c>
      <c r="C24979" s="52">
        <v>63933.204497696002</v>
      </c>
      <c r="D24979" s="56">
        <v>0.17696819559472096</v>
      </c>
      <c r="E24979" s="224" t="s">
        <v>2</v>
      </c>
      <c r="G24979" s="52"/>
      <c r="H24979" s="56"/>
      <c r="I24979" s="224"/>
    </row>
    <row r="24980" spans="1:9" x14ac:dyDescent="0.25">
      <c r="A24980" s="515">
        <v>79713</v>
      </c>
      <c r="B24980" s="515" t="s">
        <v>802</v>
      </c>
      <c r="C24980" s="52">
        <v>236615.84080630401</v>
      </c>
      <c r="D24980" s="56">
        <v>0</v>
      </c>
      <c r="E24980" s="224" t="s">
        <v>2</v>
      </c>
      <c r="G24980" s="52"/>
      <c r="H24980" s="56"/>
      <c r="I24980" s="224"/>
    </row>
    <row r="24981" spans="1:9" x14ac:dyDescent="0.25">
      <c r="A24981" s="515">
        <v>50444</v>
      </c>
      <c r="B24981" s="515" t="s">
        <v>634</v>
      </c>
      <c r="C24981" s="52">
        <v>161808.81381962399</v>
      </c>
      <c r="D24981" s="56">
        <v>0.12962740773292603</v>
      </c>
      <c r="E24981" s="224" t="s">
        <v>2</v>
      </c>
      <c r="G24981" s="52"/>
      <c r="H24981" s="56"/>
      <c r="I24981" s="224"/>
    </row>
    <row r="24982" spans="1:9" x14ac:dyDescent="0.25">
      <c r="A24982" s="515">
        <v>73569</v>
      </c>
      <c r="C24982" s="52">
        <v>68828.103415105303</v>
      </c>
      <c r="D24982" s="56">
        <v>0.27082518707130138</v>
      </c>
      <c r="E24982" s="224" t="s">
        <v>2</v>
      </c>
      <c r="G24982" s="52"/>
      <c r="H24982" s="56"/>
      <c r="I24982" s="224"/>
    </row>
    <row r="24983" spans="1:9" x14ac:dyDescent="0.25">
      <c r="A24983" s="515">
        <v>50518</v>
      </c>
      <c r="B24983" s="515" t="s">
        <v>670</v>
      </c>
      <c r="C24983" s="52">
        <v>166002.825378977</v>
      </c>
      <c r="D24983" s="56">
        <v>5.770259142104122E-2</v>
      </c>
      <c r="E24983" s="224" t="s">
        <v>2</v>
      </c>
      <c r="G24983" s="52"/>
      <c r="H24983" s="56"/>
      <c r="I24983" s="224"/>
    </row>
    <row r="24984" spans="1:9" x14ac:dyDescent="0.25">
      <c r="A24984" s="515">
        <v>64664</v>
      </c>
      <c r="C24984" s="52">
        <v>146976.928197134</v>
      </c>
      <c r="D24984" s="56">
        <v>3.4066616118090573E-2</v>
      </c>
      <c r="E24984" s="224" t="s">
        <v>2</v>
      </c>
      <c r="G24984" s="52"/>
      <c r="H24984" s="56"/>
      <c r="I24984" s="224"/>
    </row>
    <row r="24985" spans="1:9" x14ac:dyDescent="0.25">
      <c r="A24985" s="515">
        <v>67106</v>
      </c>
      <c r="B24985" s="515" t="s">
        <v>485</v>
      </c>
      <c r="C24985" s="52">
        <v>200060.763115346</v>
      </c>
      <c r="D24985" s="56">
        <v>9.241662141895747E-2</v>
      </c>
      <c r="E24985" s="224" t="s">
        <v>2</v>
      </c>
      <c r="G24985" s="52"/>
      <c r="H24985" s="56"/>
      <c r="I24985" s="224"/>
    </row>
    <row r="24986" spans="1:9" x14ac:dyDescent="0.25">
      <c r="A24986" s="515">
        <v>98619</v>
      </c>
      <c r="C24986" s="52">
        <v>353470.07176806201</v>
      </c>
      <c r="D24986" s="56">
        <v>2.3640246289625272E-2</v>
      </c>
      <c r="E24986" s="224" t="s">
        <v>2</v>
      </c>
      <c r="G24986" s="52"/>
      <c r="H24986" s="56"/>
      <c r="I24986" s="224"/>
    </row>
    <row r="24987" spans="1:9" x14ac:dyDescent="0.25">
      <c r="A24987" s="515">
        <v>83450</v>
      </c>
      <c r="B24987" s="515" t="s">
        <v>409</v>
      </c>
      <c r="C24987" s="52">
        <v>342024.95755221398</v>
      </c>
      <c r="D24987" s="56">
        <v>1.3027669306472946E-2</v>
      </c>
      <c r="E24987" s="224" t="s">
        <v>2</v>
      </c>
      <c r="G24987" s="52"/>
      <c r="H24987" s="56"/>
      <c r="I24987" s="224"/>
    </row>
    <row r="24988" spans="1:9" x14ac:dyDescent="0.25">
      <c r="A24988" s="515">
        <v>68335</v>
      </c>
      <c r="C24988" s="52">
        <v>116108.564441551</v>
      </c>
      <c r="D24988" s="56">
        <v>0.19569705517522665</v>
      </c>
      <c r="E24988" s="224" t="s">
        <v>2</v>
      </c>
      <c r="G24988" s="52"/>
      <c r="H24988" s="56"/>
      <c r="I24988" s="224"/>
    </row>
    <row r="24989" spans="1:9" x14ac:dyDescent="0.25">
      <c r="A24989" s="515">
        <v>24882</v>
      </c>
      <c r="C24989" s="52">
        <v>30714.134278621401</v>
      </c>
      <c r="D24989" s="56">
        <v>-5.3420793247646758E-2</v>
      </c>
      <c r="E24989" s="224" t="s">
        <v>2</v>
      </c>
      <c r="G24989" s="52"/>
      <c r="H24989" s="56"/>
      <c r="I24989" s="224"/>
    </row>
    <row r="24990" spans="1:9" x14ac:dyDescent="0.25">
      <c r="A24990" s="515">
        <v>50234</v>
      </c>
      <c r="B24990" s="515" t="s">
        <v>642</v>
      </c>
      <c r="C24990" s="52">
        <v>167823.21330106101</v>
      </c>
      <c r="D24990" s="56">
        <v>0</v>
      </c>
      <c r="E24990" s="224" t="s">
        <v>2</v>
      </c>
      <c r="G24990" s="52"/>
      <c r="H24990" s="56"/>
      <c r="I24990" s="224"/>
    </row>
    <row r="24991" spans="1:9" x14ac:dyDescent="0.25">
      <c r="A24991" s="515">
        <v>96009</v>
      </c>
      <c r="B24991" s="515" t="s">
        <v>658</v>
      </c>
      <c r="C24991" s="52">
        <v>189568.10120241801</v>
      </c>
      <c r="D24991" s="56">
        <v>8.6758365333990187E-3</v>
      </c>
      <c r="E24991" s="224" t="s">
        <v>2</v>
      </c>
      <c r="G24991" s="52"/>
      <c r="H24991" s="56"/>
      <c r="I24991" s="224"/>
    </row>
    <row r="24992" spans="1:9" x14ac:dyDescent="0.25">
      <c r="A24992" s="515">
        <v>67753</v>
      </c>
      <c r="C24992" s="52">
        <v>112141.8861448</v>
      </c>
      <c r="D24992" s="56">
        <v>4.2770362512773552E-2</v>
      </c>
      <c r="E24992" s="224" t="s">
        <v>2</v>
      </c>
      <c r="G24992" s="52"/>
      <c r="H24992" s="56"/>
      <c r="I24992" s="224"/>
    </row>
    <row r="24993" spans="1:9" x14ac:dyDescent="0.25">
      <c r="A24993" s="515">
        <v>19732</v>
      </c>
      <c r="B24993" s="515" t="s">
        <v>294</v>
      </c>
      <c r="C24993" s="52">
        <v>668933.76877748303</v>
      </c>
      <c r="D24993" s="56">
        <v>8.6954921332799903E-2</v>
      </c>
      <c r="E24993" s="224" t="s">
        <v>2</v>
      </c>
      <c r="G24993" s="52"/>
      <c r="H24993" s="56"/>
      <c r="I24993" s="224"/>
    </row>
    <row r="24994" spans="1:9" x14ac:dyDescent="0.25">
      <c r="A24994" s="515">
        <v>74640</v>
      </c>
      <c r="B24994" s="515" t="s">
        <v>730</v>
      </c>
      <c r="C24994" s="52">
        <v>110705.33035428201</v>
      </c>
      <c r="D24994" s="56">
        <v>3.597567587792292E-2</v>
      </c>
      <c r="E24994" s="224" t="s">
        <v>2</v>
      </c>
      <c r="G24994" s="52"/>
      <c r="H24994" s="56"/>
      <c r="I24994" s="224"/>
    </row>
    <row r="24995" spans="1:9" x14ac:dyDescent="0.25">
      <c r="A24995" s="515">
        <v>57232</v>
      </c>
      <c r="C24995" s="52">
        <v>202671.71794871701</v>
      </c>
      <c r="D24995" s="56">
        <v>0</v>
      </c>
      <c r="E24995" s="224" t="s">
        <v>2</v>
      </c>
      <c r="G24995" s="52"/>
      <c r="H24995" s="56"/>
      <c r="I24995" s="224"/>
    </row>
    <row r="24996" spans="1:9" x14ac:dyDescent="0.25">
      <c r="A24996" s="515">
        <v>83237</v>
      </c>
      <c r="B24996" s="515" t="s">
        <v>632</v>
      </c>
      <c r="C24996" s="52">
        <v>368929.69922649401</v>
      </c>
      <c r="D24996" s="56">
        <v>2.5339554103906713E-2</v>
      </c>
      <c r="E24996" s="224" t="s">
        <v>2</v>
      </c>
      <c r="G24996" s="52"/>
      <c r="H24996" s="56"/>
      <c r="I24996" s="224"/>
    </row>
    <row r="24997" spans="1:9" x14ac:dyDescent="0.25">
      <c r="A24997" s="515">
        <v>15358</v>
      </c>
      <c r="B24997" s="515" t="s">
        <v>297</v>
      </c>
      <c r="C24997" s="52">
        <v>99915.671198266602</v>
      </c>
      <c r="D24997" s="56">
        <v>0.19659814488899544</v>
      </c>
      <c r="E24997" s="224" t="s">
        <v>2</v>
      </c>
      <c r="G24997" s="52"/>
      <c r="H24997" s="56"/>
      <c r="I24997" s="224"/>
    </row>
    <row r="24998" spans="1:9" x14ac:dyDescent="0.25">
      <c r="A24998" s="515">
        <v>95254</v>
      </c>
      <c r="C24998" s="52">
        <v>555086.62175072404</v>
      </c>
      <c r="D24998" s="56">
        <v>-3.9186526371157099E-3</v>
      </c>
      <c r="E24998" s="224" t="s">
        <v>2</v>
      </c>
      <c r="G24998" s="52"/>
      <c r="H24998" s="56"/>
      <c r="I24998" s="224"/>
    </row>
    <row r="24999" spans="1:9" x14ac:dyDescent="0.25">
      <c r="A24999" s="515">
        <v>8346</v>
      </c>
      <c r="B24999" s="515" t="s">
        <v>800</v>
      </c>
      <c r="C24999" s="52">
        <v>258429.48104560599</v>
      </c>
      <c r="D24999" s="56">
        <v>4.4178883004836834E-2</v>
      </c>
      <c r="E24999" s="224" t="s">
        <v>2</v>
      </c>
      <c r="G24999" s="52"/>
      <c r="H24999" s="56"/>
      <c r="I24999" s="224"/>
    </row>
    <row r="25000" spans="1:9" x14ac:dyDescent="0.25">
      <c r="A25000" s="515">
        <v>51049</v>
      </c>
      <c r="C25000" s="52">
        <v>109917.292619</v>
      </c>
      <c r="D25000" s="56">
        <v>0</v>
      </c>
      <c r="E25000" s="224" t="s">
        <v>2</v>
      </c>
      <c r="G25000" s="52"/>
      <c r="H25000" s="56"/>
      <c r="I25000" s="224"/>
    </row>
    <row r="25001" spans="1:9" x14ac:dyDescent="0.25">
      <c r="A25001" s="515">
        <v>66014</v>
      </c>
      <c r="B25001" s="515" t="s">
        <v>455</v>
      </c>
      <c r="C25001" s="52">
        <v>300439.22766054497</v>
      </c>
      <c r="D25001" s="56">
        <v>0.33671342331938947</v>
      </c>
      <c r="E25001" s="224" t="s">
        <v>2</v>
      </c>
      <c r="G25001" s="52"/>
      <c r="H25001" s="56"/>
      <c r="I25001" s="224"/>
    </row>
    <row r="25002" spans="1:9" x14ac:dyDescent="0.25">
      <c r="A25002" s="515">
        <v>55603</v>
      </c>
      <c r="B25002" s="515" t="s">
        <v>350</v>
      </c>
      <c r="C25002" s="52">
        <v>216872.742925239</v>
      </c>
      <c r="D25002" s="56">
        <v>8.259343542105331E-2</v>
      </c>
      <c r="E25002" s="224" t="s">
        <v>2</v>
      </c>
      <c r="G25002" s="52"/>
      <c r="H25002" s="56"/>
      <c r="I25002" s="224"/>
    </row>
    <row r="25003" spans="1:9" x14ac:dyDescent="0.25">
      <c r="A25003" s="515">
        <v>15692</v>
      </c>
      <c r="B25003" s="515" t="s">
        <v>297</v>
      </c>
      <c r="C25003" s="52">
        <v>134736.40940024701</v>
      </c>
      <c r="D25003" s="56">
        <v>3.8539031737871349E-2</v>
      </c>
      <c r="E25003" s="224" t="s">
        <v>2</v>
      </c>
      <c r="G25003" s="52"/>
      <c r="H25003" s="56"/>
      <c r="I25003" s="224"/>
    </row>
    <row r="25004" spans="1:9" x14ac:dyDescent="0.25">
      <c r="A25004" s="515">
        <v>12844</v>
      </c>
      <c r="B25004" s="515" t="s">
        <v>422</v>
      </c>
      <c r="C25004" s="52">
        <v>1251984.1693964801</v>
      </c>
      <c r="D25004" s="56">
        <v>8.3046919018021373E-2</v>
      </c>
      <c r="E25004" s="224" t="s">
        <v>2</v>
      </c>
      <c r="G25004" s="52"/>
      <c r="H25004" s="56"/>
      <c r="I25004" s="224"/>
    </row>
    <row r="25005" spans="1:9" x14ac:dyDescent="0.25">
      <c r="A25005" s="515">
        <v>62551</v>
      </c>
      <c r="B25005" s="515" t="s">
        <v>540</v>
      </c>
      <c r="C25005" s="52">
        <v>103352.86169621399</v>
      </c>
      <c r="D25005" s="56">
        <v>2.5771953856581379E-2</v>
      </c>
      <c r="E25005" s="224" t="s">
        <v>2</v>
      </c>
      <c r="G25005" s="52"/>
      <c r="H25005" s="56"/>
      <c r="I25005" s="224"/>
    </row>
    <row r="25006" spans="1:9" x14ac:dyDescent="0.25">
      <c r="A25006" s="515">
        <v>41766</v>
      </c>
      <c r="C25006" s="52">
        <v>64935.953100180202</v>
      </c>
      <c r="D25006" s="56">
        <v>0.30573486046500231</v>
      </c>
      <c r="E25006" s="224" t="s">
        <v>2</v>
      </c>
      <c r="G25006" s="52"/>
      <c r="H25006" s="56"/>
      <c r="I25006" s="224"/>
    </row>
    <row r="25007" spans="1:9" x14ac:dyDescent="0.25">
      <c r="A25007" s="515">
        <v>66751</v>
      </c>
      <c r="C25007" s="52">
        <v>71375.292412250303</v>
      </c>
      <c r="D25007" s="56">
        <v>3.2789370153682516E-2</v>
      </c>
      <c r="E25007" s="224" t="s">
        <v>2</v>
      </c>
      <c r="G25007" s="52"/>
      <c r="H25007" s="56"/>
      <c r="I25007" s="224"/>
    </row>
    <row r="25008" spans="1:9" x14ac:dyDescent="0.25">
      <c r="A25008" s="515">
        <v>52355</v>
      </c>
      <c r="C25008" s="52">
        <v>151250.62556126999</v>
      </c>
      <c r="D25008" s="56">
        <v>0</v>
      </c>
      <c r="E25008" s="224" t="s">
        <v>2</v>
      </c>
      <c r="G25008" s="52"/>
      <c r="H25008" s="56"/>
      <c r="I25008" s="224"/>
    </row>
    <row r="25009" spans="1:9" x14ac:dyDescent="0.25">
      <c r="A25009" s="515">
        <v>80475</v>
      </c>
      <c r="B25009" s="515" t="s">
        <v>401</v>
      </c>
      <c r="C25009" s="52">
        <v>529334.92483384802</v>
      </c>
      <c r="D25009" s="56">
        <v>1.4068498564513846E-2</v>
      </c>
      <c r="E25009" s="224" t="s">
        <v>2</v>
      </c>
      <c r="G25009" s="52"/>
      <c r="H25009" s="56"/>
      <c r="I25009" s="224"/>
    </row>
    <row r="25010" spans="1:9" x14ac:dyDescent="0.25">
      <c r="A25010" s="515">
        <v>42273</v>
      </c>
      <c r="B25010" s="515" t="s">
        <v>799</v>
      </c>
      <c r="C25010" s="52">
        <v>113501.424894051</v>
      </c>
      <c r="D25010" s="56">
        <v>0.13715254217077449</v>
      </c>
      <c r="E25010" s="224" t="s">
        <v>2</v>
      </c>
      <c r="G25010" s="52"/>
      <c r="H25010" s="56"/>
      <c r="I25010" s="224"/>
    </row>
    <row r="25011" spans="1:9" x14ac:dyDescent="0.25">
      <c r="A25011" s="515">
        <v>74650</v>
      </c>
      <c r="B25011" s="515" t="s">
        <v>348</v>
      </c>
      <c r="C25011" s="52">
        <v>92729.176084574501</v>
      </c>
      <c r="D25011" s="56">
        <v>-3.7462012256674677E-2</v>
      </c>
      <c r="E25011" s="224" t="s">
        <v>2</v>
      </c>
      <c r="G25011" s="52"/>
      <c r="H25011" s="56"/>
      <c r="I25011" s="224"/>
    </row>
    <row r="25012" spans="1:9" x14ac:dyDescent="0.25">
      <c r="A25012" s="515">
        <v>95319</v>
      </c>
      <c r="B25012" s="515" t="s">
        <v>797</v>
      </c>
      <c r="C25012" s="52">
        <v>317628.83571198001</v>
      </c>
      <c r="D25012" s="56">
        <v>9.8276136975832387E-2</v>
      </c>
      <c r="E25012" s="224" t="s">
        <v>2</v>
      </c>
      <c r="G25012" s="52"/>
      <c r="H25012" s="56"/>
      <c r="I25012" s="224"/>
    </row>
    <row r="25013" spans="1:9" x14ac:dyDescent="0.25">
      <c r="A25013" s="515">
        <v>50455</v>
      </c>
      <c r="C25013" s="52">
        <v>140756.17423428901</v>
      </c>
      <c r="D25013" s="56">
        <v>0.17339707706809393</v>
      </c>
      <c r="E25013" s="224" t="s">
        <v>2</v>
      </c>
      <c r="G25013" s="52"/>
      <c r="H25013" s="56"/>
      <c r="I25013" s="224"/>
    </row>
    <row r="25014" spans="1:9" x14ac:dyDescent="0.25">
      <c r="A25014" s="515">
        <v>56518</v>
      </c>
      <c r="B25014" s="515" t="s">
        <v>601</v>
      </c>
      <c r="C25014" s="52">
        <v>231910.12589315901</v>
      </c>
      <c r="D25014" s="56">
        <v>0</v>
      </c>
      <c r="E25014" s="224" t="s">
        <v>2</v>
      </c>
      <c r="G25014" s="52"/>
      <c r="H25014" s="56"/>
      <c r="I25014" s="224"/>
    </row>
    <row r="25015" spans="1:9" x14ac:dyDescent="0.25">
      <c r="A25015" s="515">
        <v>68950</v>
      </c>
      <c r="B25015" s="515" t="s">
        <v>754</v>
      </c>
      <c r="C25015" s="52">
        <v>143795.59739965299</v>
      </c>
      <c r="D25015" s="56">
        <v>5.9382195026246531E-2</v>
      </c>
      <c r="E25015" s="224" t="s">
        <v>2</v>
      </c>
      <c r="G25015" s="52"/>
      <c r="H25015" s="56"/>
      <c r="I25015" s="224"/>
    </row>
    <row r="25016" spans="1:9" x14ac:dyDescent="0.25">
      <c r="A25016" s="515">
        <v>65083</v>
      </c>
      <c r="C25016" s="52">
        <v>193886.28260869501</v>
      </c>
      <c r="D25016" s="56">
        <v>0</v>
      </c>
      <c r="E25016" s="224" t="s">
        <v>2</v>
      </c>
      <c r="G25016" s="52"/>
      <c r="H25016" s="56"/>
      <c r="I25016" s="224"/>
    </row>
    <row r="25017" spans="1:9" x14ac:dyDescent="0.25">
      <c r="A25017" s="515">
        <v>93669</v>
      </c>
      <c r="B25017" s="515" t="s">
        <v>681</v>
      </c>
      <c r="C25017" s="52">
        <v>344229.12137062399</v>
      </c>
      <c r="D25017" s="56">
        <v>2.1116166318963629E-2</v>
      </c>
      <c r="E25017" s="224" t="s">
        <v>2</v>
      </c>
      <c r="G25017" s="52"/>
      <c r="H25017" s="56"/>
      <c r="I25017" s="224"/>
    </row>
    <row r="25018" spans="1:9" x14ac:dyDescent="0.25">
      <c r="A25018" s="515">
        <v>48432</v>
      </c>
      <c r="C25018" s="52">
        <v>140174.607122235</v>
      </c>
      <c r="D25018" s="56">
        <v>0</v>
      </c>
      <c r="E25018" s="224" t="s">
        <v>2</v>
      </c>
      <c r="G25018" s="52"/>
      <c r="H25018" s="56"/>
      <c r="I25018" s="224"/>
    </row>
    <row r="25019" spans="1:9" x14ac:dyDescent="0.25">
      <c r="A25019" s="515">
        <v>95925</v>
      </c>
      <c r="B25019" s="515" t="s">
        <v>796</v>
      </c>
      <c r="C25019" s="52">
        <v>290381.538951864</v>
      </c>
      <c r="D25019" s="56">
        <v>-7.0543035120845962E-2</v>
      </c>
      <c r="E25019" s="224" t="s">
        <v>2</v>
      </c>
      <c r="G25019" s="52"/>
      <c r="H25019" s="56"/>
      <c r="I25019" s="224"/>
    </row>
    <row r="25020" spans="1:9" x14ac:dyDescent="0.25">
      <c r="A25020" s="515">
        <v>66962</v>
      </c>
      <c r="C25020" s="52">
        <v>196710.24980473399</v>
      </c>
      <c r="D25020" s="56">
        <v>0.17862078770991796</v>
      </c>
      <c r="E25020" s="224" t="s">
        <v>2</v>
      </c>
      <c r="G25020" s="52"/>
      <c r="H25020" s="56"/>
      <c r="I25020" s="224"/>
    </row>
    <row r="25021" spans="1:9" x14ac:dyDescent="0.25">
      <c r="A25021" s="515">
        <v>66424</v>
      </c>
      <c r="C25021" s="52">
        <v>130305.55432927499</v>
      </c>
      <c r="D25021" s="56">
        <v>0.13947258195573214</v>
      </c>
      <c r="E25021" s="224" t="s">
        <v>2</v>
      </c>
      <c r="G25021" s="52"/>
      <c r="H25021" s="56"/>
      <c r="I25021" s="224"/>
    </row>
    <row r="25022" spans="1:9" x14ac:dyDescent="0.25">
      <c r="A25022" s="515">
        <v>66432</v>
      </c>
      <c r="B25022" s="515" t="s">
        <v>795</v>
      </c>
      <c r="C25022" s="52">
        <v>189720.48257571299</v>
      </c>
      <c r="D25022" s="56">
        <v>0.17642599609739107</v>
      </c>
      <c r="E25022" s="224" t="s">
        <v>2</v>
      </c>
      <c r="G25022" s="52"/>
      <c r="H25022" s="56"/>
      <c r="I25022" s="224"/>
    </row>
    <row r="25023" spans="1:9" x14ac:dyDescent="0.25">
      <c r="A25023" s="515">
        <v>12164</v>
      </c>
      <c r="C25023" s="52">
        <v>258994.059005132</v>
      </c>
      <c r="D25023" s="56">
        <v>8.288907715452247E-2</v>
      </c>
      <c r="E25023" s="224" t="s">
        <v>2</v>
      </c>
      <c r="G25023" s="52"/>
      <c r="H25023" s="56"/>
      <c r="I25023" s="224"/>
    </row>
    <row r="25024" spans="1:9" x14ac:dyDescent="0.25">
      <c r="A25024" s="515">
        <v>51531</v>
      </c>
      <c r="C25024" s="52">
        <v>161814.14832437801</v>
      </c>
      <c r="D25024" s="56">
        <v>0.13494962237617383</v>
      </c>
      <c r="E25024" s="224" t="s">
        <v>2</v>
      </c>
      <c r="G25024" s="52"/>
      <c r="H25024" s="56"/>
      <c r="I25024" s="224"/>
    </row>
    <row r="25025" spans="1:9" x14ac:dyDescent="0.25">
      <c r="A25025" s="515">
        <v>5842</v>
      </c>
      <c r="C25025" s="52">
        <v>249845.86363636301</v>
      </c>
      <c r="D25025" s="56">
        <v>0</v>
      </c>
      <c r="E25025" s="224" t="s">
        <v>2</v>
      </c>
      <c r="G25025" s="52"/>
      <c r="H25025" s="56"/>
      <c r="I25025" s="224"/>
    </row>
    <row r="25026" spans="1:9" x14ac:dyDescent="0.25">
      <c r="A25026" s="515">
        <v>15081</v>
      </c>
      <c r="B25026" s="515" t="s">
        <v>297</v>
      </c>
      <c r="C25026" s="52">
        <v>109977.11267692001</v>
      </c>
      <c r="D25026" s="56">
        <v>7.4979106713083846E-2</v>
      </c>
      <c r="E25026" s="224" t="s">
        <v>2</v>
      </c>
      <c r="G25026" s="52"/>
      <c r="H25026" s="56"/>
      <c r="I25026" s="224"/>
    </row>
    <row r="25027" spans="1:9" x14ac:dyDescent="0.25">
      <c r="A25027" s="515">
        <v>68314</v>
      </c>
      <c r="B25027" s="515" t="s">
        <v>486</v>
      </c>
      <c r="C25027" s="52">
        <v>219797.46504571399</v>
      </c>
      <c r="D25027" s="56">
        <v>9.5743742612338076E-2</v>
      </c>
      <c r="E25027" s="224" t="s">
        <v>2</v>
      </c>
      <c r="G25027" s="52"/>
      <c r="H25027" s="56"/>
      <c r="I25027" s="224"/>
    </row>
    <row r="25028" spans="1:9" x14ac:dyDescent="0.25">
      <c r="A25028" s="515">
        <v>56662</v>
      </c>
      <c r="B25028" s="515" t="s">
        <v>674</v>
      </c>
      <c r="C25028" s="52">
        <v>323051.69077067601</v>
      </c>
      <c r="D25028" s="56">
        <v>9.1467651065161207E-2</v>
      </c>
      <c r="E25028" s="224" t="s">
        <v>2</v>
      </c>
      <c r="G25028" s="52"/>
      <c r="H25028" s="56"/>
      <c r="I25028" s="224"/>
    </row>
    <row r="25029" spans="1:9" x14ac:dyDescent="0.25">
      <c r="A25029" s="515">
        <v>63386</v>
      </c>
      <c r="B25029" s="515" t="s">
        <v>498</v>
      </c>
      <c r="C25029" s="52">
        <v>174010.895924254</v>
      </c>
      <c r="D25029" s="56">
        <v>0.1111657033998157</v>
      </c>
      <c r="E25029" s="224" t="s">
        <v>2</v>
      </c>
      <c r="G25029" s="52"/>
      <c r="H25029" s="56"/>
      <c r="I25029" s="224"/>
    </row>
    <row r="25030" spans="1:9" x14ac:dyDescent="0.25">
      <c r="A25030" s="515">
        <v>17886</v>
      </c>
      <c r="B25030" s="515" t="s">
        <v>794</v>
      </c>
      <c r="C25030" s="52">
        <v>169548.69807371899</v>
      </c>
      <c r="D25030" s="56">
        <v>0.10681275734870345</v>
      </c>
      <c r="E25030" s="224" t="s">
        <v>2</v>
      </c>
      <c r="G25030" s="52"/>
      <c r="H25030" s="56"/>
      <c r="I25030" s="224"/>
    </row>
    <row r="25031" spans="1:9" x14ac:dyDescent="0.25">
      <c r="A25031" s="515">
        <v>43734</v>
      </c>
      <c r="B25031" s="515" t="s">
        <v>518</v>
      </c>
      <c r="C25031" s="52">
        <v>174015.36472343799</v>
      </c>
      <c r="D25031" s="56">
        <v>5.7490613153849804E-2</v>
      </c>
      <c r="E25031" s="224" t="s">
        <v>2</v>
      </c>
      <c r="G25031" s="52"/>
      <c r="H25031" s="56"/>
      <c r="I25031" s="224"/>
    </row>
    <row r="25032" spans="1:9" x14ac:dyDescent="0.25">
      <c r="A25032" s="515">
        <v>26627</v>
      </c>
      <c r="C25032" s="52">
        <v>146789.22299888701</v>
      </c>
      <c r="D25032" s="56">
        <v>9.6787986274497459E-2</v>
      </c>
      <c r="E25032" s="224" t="s">
        <v>2</v>
      </c>
      <c r="G25032" s="52"/>
      <c r="H25032" s="56"/>
      <c r="I25032" s="224"/>
    </row>
    <row r="25033" spans="1:9" x14ac:dyDescent="0.25">
      <c r="A25033" s="515">
        <v>29082</v>
      </c>
      <c r="C25033" s="52">
        <v>160721.860701072</v>
      </c>
      <c r="D25033" s="56">
        <v>4.7035837771067825E-2</v>
      </c>
      <c r="E25033" s="224" t="s">
        <v>2</v>
      </c>
      <c r="G25033" s="52"/>
      <c r="H25033" s="56"/>
      <c r="I25033" s="224"/>
    </row>
    <row r="25034" spans="1:9" x14ac:dyDescent="0.25">
      <c r="A25034" s="515">
        <v>40178</v>
      </c>
      <c r="C25034" s="52">
        <v>111833.780122582</v>
      </c>
      <c r="D25034" s="56">
        <v>0.11738995557709238</v>
      </c>
      <c r="E25034" s="224" t="s">
        <v>2</v>
      </c>
      <c r="G25034" s="52"/>
      <c r="H25034" s="56"/>
      <c r="I25034" s="224"/>
    </row>
    <row r="25035" spans="1:9" x14ac:dyDescent="0.25">
      <c r="A25035" s="515">
        <v>52583</v>
      </c>
      <c r="C25035" s="52">
        <v>155145.68951941299</v>
      </c>
      <c r="D25035" s="56">
        <v>0</v>
      </c>
      <c r="E25035" s="224" t="s">
        <v>2</v>
      </c>
      <c r="G25035" s="52"/>
      <c r="H25035" s="56"/>
      <c r="I25035" s="224"/>
    </row>
    <row r="25036" spans="1:9" x14ac:dyDescent="0.25">
      <c r="A25036" s="515">
        <v>50545</v>
      </c>
      <c r="C25036" s="52">
        <v>157860.13266231699</v>
      </c>
      <c r="D25036" s="56">
        <v>0</v>
      </c>
      <c r="E25036" s="224" t="s">
        <v>2</v>
      </c>
      <c r="G25036" s="52"/>
      <c r="H25036" s="56"/>
      <c r="I25036" s="224"/>
    </row>
    <row r="25037" spans="1:9" x14ac:dyDescent="0.25">
      <c r="A25037" s="515">
        <v>55781</v>
      </c>
      <c r="B25037" s="515" t="s">
        <v>350</v>
      </c>
      <c r="C25037" s="52">
        <v>303597.13654287299</v>
      </c>
      <c r="D25037" s="56">
        <v>0.10350572718422106</v>
      </c>
      <c r="E25037" s="224" t="s">
        <v>2</v>
      </c>
      <c r="G25037" s="52"/>
      <c r="H25037" s="56"/>
      <c r="I25037" s="224"/>
    </row>
    <row r="25038" spans="1:9" x14ac:dyDescent="0.25">
      <c r="A25038" s="515">
        <v>88038</v>
      </c>
      <c r="B25038" s="515" t="s">
        <v>423</v>
      </c>
      <c r="C25038" s="52">
        <v>183334.464237562</v>
      </c>
      <c r="D25038" s="56">
        <v>0.15476873360852819</v>
      </c>
      <c r="E25038" s="224" t="s">
        <v>2</v>
      </c>
      <c r="G25038" s="52"/>
      <c r="H25038" s="56"/>
      <c r="I25038" s="224"/>
    </row>
    <row r="25039" spans="1:9" x14ac:dyDescent="0.25">
      <c r="A25039" s="515">
        <v>73727</v>
      </c>
      <c r="B25039" s="515" t="s">
        <v>730</v>
      </c>
      <c r="C25039" s="52">
        <v>198591.984937609</v>
      </c>
      <c r="D25039" s="56">
        <v>-1.7610790765856491E-2</v>
      </c>
      <c r="E25039" s="224" t="s">
        <v>2</v>
      </c>
      <c r="G25039" s="52"/>
      <c r="H25039" s="56"/>
      <c r="I25039" s="224"/>
    </row>
    <row r="25040" spans="1:9" x14ac:dyDescent="0.25">
      <c r="A25040" s="515">
        <v>57440</v>
      </c>
      <c r="C25040" s="52">
        <v>125385.42876620201</v>
      </c>
      <c r="D25040" s="56">
        <v>4.1583804043896597E-2</v>
      </c>
      <c r="E25040" s="224" t="s">
        <v>2</v>
      </c>
      <c r="G25040" s="52"/>
      <c r="H25040" s="56"/>
      <c r="I25040" s="224"/>
    </row>
    <row r="25041" spans="1:9" x14ac:dyDescent="0.25">
      <c r="A25041" s="515">
        <v>68820</v>
      </c>
      <c r="B25041" s="515" t="s">
        <v>650</v>
      </c>
      <c r="C25041" s="52">
        <v>239155.351718608</v>
      </c>
      <c r="D25041" s="56">
        <v>0.16112977300999481</v>
      </c>
      <c r="E25041" s="224" t="s">
        <v>2</v>
      </c>
      <c r="G25041" s="52"/>
      <c r="H25041" s="56"/>
      <c r="I25041" s="224"/>
    </row>
    <row r="25042" spans="1:9" x14ac:dyDescent="0.25">
      <c r="A25042" s="515">
        <v>50146</v>
      </c>
      <c r="B25042" s="515" t="s">
        <v>295</v>
      </c>
      <c r="C25042" s="52">
        <v>233921.83415852601</v>
      </c>
      <c r="D25042" s="56">
        <v>0.11509088920513222</v>
      </c>
      <c r="E25042" s="224" t="s">
        <v>2</v>
      </c>
      <c r="G25042" s="52"/>
      <c r="H25042" s="56"/>
      <c r="I25042" s="224"/>
    </row>
    <row r="25043" spans="1:9" x14ac:dyDescent="0.25">
      <c r="A25043" s="515">
        <v>50578</v>
      </c>
      <c r="C25043" s="52">
        <v>67581.395772135904</v>
      </c>
      <c r="D25043" s="56">
        <v>0</v>
      </c>
      <c r="E25043" s="224" t="s">
        <v>2</v>
      </c>
      <c r="G25043" s="52"/>
      <c r="H25043" s="56"/>
      <c r="I25043" s="224"/>
    </row>
    <row r="25044" spans="1:9" x14ac:dyDescent="0.25">
      <c r="A25044" s="515">
        <v>61737</v>
      </c>
      <c r="B25044" s="515" t="s">
        <v>645</v>
      </c>
      <c r="C25044" s="52">
        <v>173433.89618631999</v>
      </c>
      <c r="D25044" s="56">
        <v>0</v>
      </c>
      <c r="E25044" s="224" t="s">
        <v>2</v>
      </c>
      <c r="G25044" s="52"/>
      <c r="H25044" s="56"/>
      <c r="I25044" s="224"/>
    </row>
    <row r="25045" spans="1:9" x14ac:dyDescent="0.25">
      <c r="A25045" s="515">
        <v>55973</v>
      </c>
      <c r="B25045" s="515" t="s">
        <v>413</v>
      </c>
      <c r="C25045" s="52">
        <v>262055.03256920801</v>
      </c>
      <c r="D25045" s="56">
        <v>8.6924108723485424E-2</v>
      </c>
      <c r="E25045" s="224" t="s">
        <v>2</v>
      </c>
      <c r="G25045" s="52"/>
      <c r="H25045" s="56"/>
      <c r="I25045" s="224"/>
    </row>
    <row r="25046" spans="1:9" x14ac:dyDescent="0.25">
      <c r="A25046" s="515">
        <v>66738</v>
      </c>
      <c r="C25046" s="52">
        <v>117602.51681278201</v>
      </c>
      <c r="D25046" s="56">
        <v>0.25719645973442534</v>
      </c>
      <c r="E25046" s="224" t="s">
        <v>2</v>
      </c>
      <c r="G25046" s="52"/>
      <c r="H25046" s="56"/>
      <c r="I25046" s="224"/>
    </row>
    <row r="25047" spans="1:9" x14ac:dyDescent="0.25">
      <c r="A25047" s="515">
        <v>67648</v>
      </c>
      <c r="C25047" s="52">
        <v>70198.241356728206</v>
      </c>
      <c r="D25047" s="56">
        <v>0.10285497224763135</v>
      </c>
      <c r="E25047" s="224" t="s">
        <v>2</v>
      </c>
      <c r="G25047" s="52"/>
      <c r="H25047" s="56"/>
      <c r="I25047" s="224"/>
    </row>
    <row r="25048" spans="1:9" x14ac:dyDescent="0.25">
      <c r="A25048" s="515">
        <v>12786</v>
      </c>
      <c r="C25048" s="52">
        <v>265769.20321315102</v>
      </c>
      <c r="D25048" s="56">
        <v>0.13824357269276011</v>
      </c>
      <c r="E25048" s="224" t="s">
        <v>2</v>
      </c>
      <c r="G25048" s="52"/>
      <c r="H25048" s="56"/>
      <c r="I25048" s="224"/>
    </row>
    <row r="25049" spans="1:9" x14ac:dyDescent="0.25">
      <c r="A25049" s="515">
        <v>68044</v>
      </c>
      <c r="B25049" s="515" t="s">
        <v>334</v>
      </c>
      <c r="C25049" s="52">
        <v>303569.29038200597</v>
      </c>
      <c r="D25049" s="56">
        <v>0</v>
      </c>
      <c r="E25049" s="224" t="s">
        <v>2</v>
      </c>
      <c r="G25049" s="52"/>
      <c r="H25049" s="56"/>
      <c r="I25049" s="224"/>
    </row>
    <row r="25050" spans="1:9" x14ac:dyDescent="0.25">
      <c r="A25050" s="515">
        <v>51562</v>
      </c>
      <c r="C25050" s="52">
        <v>189187.80165763199</v>
      </c>
      <c r="D25050" s="56">
        <v>0.16777522896507388</v>
      </c>
      <c r="E25050" s="224" t="s">
        <v>2</v>
      </c>
      <c r="G25050" s="52"/>
      <c r="H25050" s="56"/>
      <c r="I25050" s="224"/>
    </row>
    <row r="25051" spans="1:9" x14ac:dyDescent="0.25">
      <c r="A25051" s="515">
        <v>23893</v>
      </c>
      <c r="C25051" s="52">
        <v>92564.014705882306</v>
      </c>
      <c r="D25051" s="56">
        <v>0</v>
      </c>
      <c r="E25051" s="224" t="s">
        <v>2</v>
      </c>
      <c r="G25051" s="52"/>
      <c r="H25051" s="56"/>
      <c r="I25051" s="224"/>
    </row>
    <row r="25052" spans="1:9" x14ac:dyDescent="0.25">
      <c r="A25052" s="515">
        <v>73441</v>
      </c>
      <c r="B25052" s="515" t="s">
        <v>710</v>
      </c>
      <c r="C25052" s="52">
        <v>95948.957450001893</v>
      </c>
      <c r="D25052" s="56">
        <v>0.18949733193730062</v>
      </c>
      <c r="E25052" s="224" t="s">
        <v>2</v>
      </c>
      <c r="G25052" s="52"/>
      <c r="H25052" s="56"/>
      <c r="I25052" s="224"/>
    </row>
    <row r="25053" spans="1:9" x14ac:dyDescent="0.25">
      <c r="A25053" s="515">
        <v>17729</v>
      </c>
      <c r="C25053" s="52">
        <v>106922.75077107199</v>
      </c>
      <c r="D25053" s="56">
        <v>5.9004966194694711E-2</v>
      </c>
      <c r="E25053" s="224" t="s">
        <v>2</v>
      </c>
      <c r="G25053" s="52"/>
      <c r="H25053" s="56"/>
      <c r="I25053" s="224"/>
    </row>
    <row r="25054" spans="1:9" x14ac:dyDescent="0.25">
      <c r="A25054" s="515">
        <v>49971</v>
      </c>
      <c r="C25054" s="52">
        <v>54059.078560752801</v>
      </c>
      <c r="D25054" s="56">
        <v>0.17330102058581948</v>
      </c>
      <c r="E25054" s="224" t="s">
        <v>2</v>
      </c>
      <c r="G25054" s="52"/>
      <c r="H25054" s="56"/>
      <c r="I25054" s="224"/>
    </row>
    <row r="25055" spans="1:9" x14ac:dyDescent="0.25">
      <c r="A25055" s="515">
        <v>55702</v>
      </c>
      <c r="B25055" s="515" t="s">
        <v>350</v>
      </c>
      <c r="C25055" s="52">
        <v>222718.75498823001</v>
      </c>
      <c r="D25055" s="56">
        <v>4.2857817304393218E-2</v>
      </c>
      <c r="E25055" s="224" t="s">
        <v>2</v>
      </c>
      <c r="G25055" s="52"/>
      <c r="H25055" s="56"/>
      <c r="I25055" s="224"/>
    </row>
    <row r="25056" spans="1:9" x14ac:dyDescent="0.25">
      <c r="A25056" s="515">
        <v>50599</v>
      </c>
      <c r="C25056" s="52">
        <v>147773.57948853599</v>
      </c>
      <c r="D25056" s="56">
        <v>0</v>
      </c>
      <c r="E25056" s="224" t="s">
        <v>2</v>
      </c>
      <c r="G25056" s="52"/>
      <c r="H25056" s="56"/>
      <c r="I25056" s="224"/>
    </row>
    <row r="25057" spans="1:9" x14ac:dyDescent="0.25">
      <c r="A25057" s="515">
        <v>79547</v>
      </c>
      <c r="C25057" s="52">
        <v>48293.466690636102</v>
      </c>
      <c r="D25057" s="56">
        <v>0</v>
      </c>
      <c r="E25057" s="224" t="s">
        <v>2</v>
      </c>
      <c r="G25057" s="52"/>
      <c r="H25057" s="56"/>
      <c r="I25057" s="224"/>
    </row>
    <row r="25058" spans="1:9" x14ac:dyDescent="0.25">
      <c r="A25058" s="515">
        <v>32648</v>
      </c>
      <c r="C25058" s="52">
        <v>233711.153434154</v>
      </c>
      <c r="D25058" s="56">
        <v>0.10161467346317439</v>
      </c>
      <c r="E25058" s="224" t="s">
        <v>2</v>
      </c>
      <c r="G25058" s="52"/>
      <c r="H25058" s="56"/>
      <c r="I25058" s="224"/>
    </row>
    <row r="25059" spans="1:9" x14ac:dyDescent="0.25">
      <c r="A25059" s="515">
        <v>73771</v>
      </c>
      <c r="C25059" s="52">
        <v>54320.451359982297</v>
      </c>
      <c r="D25059" s="56">
        <v>0.1928195204986155</v>
      </c>
      <c r="E25059" s="224" t="s">
        <v>2</v>
      </c>
      <c r="G25059" s="52"/>
      <c r="H25059" s="56"/>
      <c r="I25059" s="224"/>
    </row>
    <row r="25060" spans="1:9" x14ac:dyDescent="0.25">
      <c r="A25060" s="515">
        <v>5732</v>
      </c>
      <c r="B25060" s="515" t="s">
        <v>791</v>
      </c>
      <c r="C25060" s="52">
        <v>306966.65100195102</v>
      </c>
      <c r="D25060" s="56">
        <v>8.6096768910260704E-2</v>
      </c>
      <c r="E25060" s="224" t="s">
        <v>2</v>
      </c>
      <c r="G25060" s="52"/>
      <c r="H25060" s="56"/>
      <c r="I25060" s="224"/>
    </row>
    <row r="25061" spans="1:9" x14ac:dyDescent="0.25">
      <c r="A25061" s="515">
        <v>38952</v>
      </c>
      <c r="B25061" s="515" t="s">
        <v>293</v>
      </c>
      <c r="C25061" s="52">
        <v>131760.65853658499</v>
      </c>
      <c r="D25061" s="56">
        <v>0</v>
      </c>
      <c r="E25061" s="224" t="s">
        <v>2</v>
      </c>
      <c r="G25061" s="52"/>
      <c r="H25061" s="56"/>
      <c r="I25061" s="224"/>
    </row>
    <row r="25062" spans="1:9" x14ac:dyDescent="0.25">
      <c r="A25062" s="515">
        <v>50147</v>
      </c>
      <c r="C25062" s="52">
        <v>102616.859350939</v>
      </c>
      <c r="D25062" s="56">
        <v>0</v>
      </c>
      <c r="E25062" s="224" t="s">
        <v>2</v>
      </c>
      <c r="G25062" s="52"/>
      <c r="H25062" s="56"/>
      <c r="I25062" s="224"/>
    </row>
    <row r="25063" spans="1:9" x14ac:dyDescent="0.25">
      <c r="A25063" s="515">
        <v>8014</v>
      </c>
      <c r="B25063" s="515" t="s">
        <v>294</v>
      </c>
      <c r="C25063" s="52">
        <v>221898.58246208701</v>
      </c>
      <c r="D25063" s="56">
        <v>4.736977680098068E-2</v>
      </c>
      <c r="E25063" s="224" t="s">
        <v>2</v>
      </c>
      <c r="G25063" s="52"/>
      <c r="H25063" s="56"/>
      <c r="I25063" s="224"/>
    </row>
    <row r="25064" spans="1:9" x14ac:dyDescent="0.25">
      <c r="A25064" s="515">
        <v>24981</v>
      </c>
      <c r="C25064" s="52">
        <v>89800.983499534996</v>
      </c>
      <c r="D25064" s="56">
        <v>0.10939401363049216</v>
      </c>
      <c r="E25064" s="224" t="s">
        <v>2</v>
      </c>
      <c r="G25064" s="52"/>
      <c r="H25064" s="56"/>
      <c r="I25064" s="224"/>
    </row>
    <row r="25065" spans="1:9" x14ac:dyDescent="0.25">
      <c r="A25065" s="515">
        <v>76660</v>
      </c>
      <c r="C25065" s="52">
        <v>148504.13879969699</v>
      </c>
      <c r="D25065" s="56">
        <v>0</v>
      </c>
      <c r="E25065" s="224" t="s">
        <v>2</v>
      </c>
      <c r="G25065" s="52"/>
      <c r="H25065" s="56"/>
      <c r="I25065" s="224"/>
    </row>
    <row r="25066" spans="1:9" x14ac:dyDescent="0.25">
      <c r="A25066" s="515">
        <v>51648</v>
      </c>
      <c r="C25066" s="52">
        <v>144506.453086586</v>
      </c>
      <c r="D25066" s="56">
        <v>0.18373666723285773</v>
      </c>
      <c r="E25066" s="224" t="s">
        <v>2</v>
      </c>
      <c r="G25066" s="52"/>
      <c r="H25066" s="56"/>
      <c r="I25066" s="224"/>
    </row>
    <row r="25067" spans="1:9" x14ac:dyDescent="0.25">
      <c r="A25067" s="515">
        <v>54653</v>
      </c>
      <c r="C25067" s="52">
        <v>220470.16856759001</v>
      </c>
      <c r="D25067" s="56">
        <v>7.4563182571610334E-2</v>
      </c>
      <c r="E25067" s="224" t="s">
        <v>2</v>
      </c>
      <c r="G25067" s="52"/>
      <c r="H25067" s="56"/>
      <c r="I25067" s="224"/>
    </row>
    <row r="25068" spans="1:9" x14ac:dyDescent="0.25">
      <c r="A25068" s="515">
        <v>54103</v>
      </c>
      <c r="C25068" s="52">
        <v>130177.97809006499</v>
      </c>
      <c r="D25068" s="56">
        <v>5.8235110401440769E-2</v>
      </c>
      <c r="E25068" s="224" t="s">
        <v>2</v>
      </c>
      <c r="G25068" s="52"/>
      <c r="H25068" s="56"/>
      <c r="I25068" s="224"/>
    </row>
    <row r="25069" spans="1:9" x14ac:dyDescent="0.25">
      <c r="A25069" s="515">
        <v>80451</v>
      </c>
      <c r="C25069" s="52">
        <v>443977.55496790598</v>
      </c>
      <c r="D25069" s="56">
        <v>5.190940555500357E-2</v>
      </c>
      <c r="E25069" s="224" t="s">
        <v>2</v>
      </c>
      <c r="G25069" s="52"/>
      <c r="H25069" s="56"/>
      <c r="I25069" s="224"/>
    </row>
    <row r="25070" spans="1:9" x14ac:dyDescent="0.25">
      <c r="A25070" s="515">
        <v>98535</v>
      </c>
      <c r="B25070" s="515" t="s">
        <v>683</v>
      </c>
      <c r="C25070" s="52">
        <v>134581.40853337001</v>
      </c>
      <c r="D25070" s="56">
        <v>-3.3636222476748044E-2</v>
      </c>
      <c r="E25070" s="224" t="s">
        <v>2</v>
      </c>
      <c r="G25070" s="52"/>
      <c r="H25070" s="56"/>
      <c r="I25070" s="224"/>
    </row>
    <row r="25071" spans="1:9" x14ac:dyDescent="0.25">
      <c r="A25071" s="515">
        <v>39836</v>
      </c>
      <c r="C25071" s="52">
        <v>126595.280211882</v>
      </c>
      <c r="D25071" s="56">
        <v>3.8444930059232829E-2</v>
      </c>
      <c r="E25071" s="224" t="s">
        <v>2</v>
      </c>
      <c r="G25071" s="52"/>
      <c r="H25071" s="56"/>
      <c r="I25071" s="224"/>
    </row>
    <row r="25072" spans="1:9" x14ac:dyDescent="0.25">
      <c r="A25072" s="515">
        <v>50544</v>
      </c>
      <c r="B25072" s="515" t="s">
        <v>670</v>
      </c>
      <c r="C25072" s="52">
        <v>122710.46317895201</v>
      </c>
      <c r="D25072" s="56">
        <v>6.6340322562527088E-2</v>
      </c>
      <c r="E25072" s="224" t="s">
        <v>2</v>
      </c>
      <c r="G25072" s="52"/>
      <c r="H25072" s="56"/>
      <c r="I25072" s="224"/>
    </row>
    <row r="25073" spans="1:9" x14ac:dyDescent="0.25">
      <c r="A25073" s="515">
        <v>15615</v>
      </c>
      <c r="B25073" s="515" t="s">
        <v>297</v>
      </c>
      <c r="C25073" s="52">
        <v>146718.909090909</v>
      </c>
      <c r="D25073" s="56">
        <v>0</v>
      </c>
      <c r="E25073" s="224" t="s">
        <v>2</v>
      </c>
      <c r="G25073" s="52"/>
      <c r="H25073" s="56"/>
      <c r="I25073" s="224"/>
    </row>
    <row r="25074" spans="1:9" x14ac:dyDescent="0.25">
      <c r="A25074" s="515">
        <v>83806</v>
      </c>
      <c r="B25074" s="515" t="s">
        <v>857</v>
      </c>
      <c r="C25074" s="52">
        <v>160498.84796215399</v>
      </c>
      <c r="D25074" s="56">
        <v>0</v>
      </c>
      <c r="E25074" s="224" t="s">
        <v>2</v>
      </c>
      <c r="G25074" s="52"/>
      <c r="H25074" s="56"/>
      <c r="I25074" s="224"/>
    </row>
    <row r="25075" spans="1:9" x14ac:dyDescent="0.25">
      <c r="A25075" s="515">
        <v>61830</v>
      </c>
      <c r="B25075" s="515" t="s">
        <v>417</v>
      </c>
      <c r="C25075" s="52">
        <v>130215.5</v>
      </c>
      <c r="D25075" s="56">
        <v>0</v>
      </c>
      <c r="E25075" s="224" t="s">
        <v>2</v>
      </c>
      <c r="G25075" s="52"/>
      <c r="H25075" s="56"/>
      <c r="I25075" s="224"/>
    </row>
    <row r="25076" spans="1:9" x14ac:dyDescent="0.25">
      <c r="A25076" s="515">
        <v>24957</v>
      </c>
      <c r="C25076" s="52">
        <v>233154.77011221301</v>
      </c>
      <c r="D25076" s="56">
        <v>7.4737307795926453E-2</v>
      </c>
      <c r="E25076" s="224" t="s">
        <v>2</v>
      </c>
      <c r="G25076" s="52"/>
      <c r="H25076" s="56"/>
      <c r="I25076" s="224"/>
    </row>
    <row r="25077" spans="1:9" x14ac:dyDescent="0.25">
      <c r="A25077" s="515">
        <v>81643</v>
      </c>
      <c r="B25077" s="515" t="s">
        <v>619</v>
      </c>
      <c r="C25077" s="52">
        <v>441693.46111216</v>
      </c>
      <c r="D25077" s="56">
        <v>5.5065758933516937E-2</v>
      </c>
      <c r="E25077" s="224" t="s">
        <v>2</v>
      </c>
      <c r="G25077" s="52"/>
      <c r="H25077" s="56"/>
      <c r="I25077" s="224"/>
    </row>
    <row r="25078" spans="1:9" x14ac:dyDescent="0.25">
      <c r="A25078" s="515">
        <v>73726</v>
      </c>
      <c r="C25078" s="52">
        <v>70245.836272162996</v>
      </c>
      <c r="D25078" s="56">
        <v>3.8131687274279666E-2</v>
      </c>
      <c r="E25078" s="224" t="s">
        <v>2</v>
      </c>
      <c r="G25078" s="52"/>
      <c r="H25078" s="56"/>
      <c r="I25078" s="224"/>
    </row>
    <row r="25079" spans="1:9" x14ac:dyDescent="0.25">
      <c r="A25079" s="515">
        <v>64682</v>
      </c>
      <c r="C25079" s="52">
        <v>165945.48780487801</v>
      </c>
      <c r="D25079" s="56">
        <v>0</v>
      </c>
      <c r="E25079" s="224" t="s">
        <v>2</v>
      </c>
      <c r="G25079" s="52"/>
      <c r="H25079" s="56"/>
      <c r="I25079" s="224"/>
    </row>
    <row r="25080" spans="1:9" x14ac:dyDescent="0.25">
      <c r="A25080" s="515">
        <v>62297</v>
      </c>
      <c r="C25080" s="52">
        <v>141578.25862068901</v>
      </c>
      <c r="D25080" s="56">
        <v>0</v>
      </c>
      <c r="E25080" s="224" t="s">
        <v>2</v>
      </c>
      <c r="G25080" s="52"/>
      <c r="H25080" s="56"/>
      <c r="I25080" s="224"/>
    </row>
    <row r="25081" spans="1:9" x14ac:dyDescent="0.25">
      <c r="A25081" s="515">
        <v>67738</v>
      </c>
      <c r="C25081" s="52">
        <v>122552.940851844</v>
      </c>
      <c r="D25081" s="56">
        <v>9.1117514683760323E-2</v>
      </c>
      <c r="E25081" s="224" t="s">
        <v>2</v>
      </c>
      <c r="G25081" s="52"/>
      <c r="H25081" s="56"/>
      <c r="I25081" s="224"/>
    </row>
    <row r="25082" spans="1:9" x14ac:dyDescent="0.25">
      <c r="A25082" s="515">
        <v>58789</v>
      </c>
      <c r="B25082" s="515" t="s">
        <v>849</v>
      </c>
      <c r="C25082" s="52">
        <v>65381.368736388002</v>
      </c>
      <c r="D25082" s="56">
        <v>0</v>
      </c>
      <c r="E25082" s="224" t="s">
        <v>2</v>
      </c>
      <c r="G25082" s="52"/>
      <c r="H25082" s="56"/>
      <c r="I25082" s="224"/>
    </row>
    <row r="25083" spans="1:9" x14ac:dyDescent="0.25">
      <c r="A25083" s="515">
        <v>78161</v>
      </c>
      <c r="B25083" s="515" t="s">
        <v>717</v>
      </c>
      <c r="C25083" s="52">
        <v>261507.98025429001</v>
      </c>
      <c r="D25083" s="56">
        <v>5.4506608882790866E-2</v>
      </c>
      <c r="E25083" s="224" t="s">
        <v>2</v>
      </c>
      <c r="G25083" s="52"/>
      <c r="H25083" s="56"/>
      <c r="I25083" s="224"/>
    </row>
    <row r="25084" spans="1:9" x14ac:dyDescent="0.25">
      <c r="A25084" s="515">
        <v>18333</v>
      </c>
      <c r="B25084" s="515" t="s">
        <v>338</v>
      </c>
      <c r="C25084" s="52">
        <v>271161.66570238897</v>
      </c>
      <c r="D25084" s="56">
        <v>0.13960152207720855</v>
      </c>
      <c r="E25084" s="224" t="s">
        <v>2</v>
      </c>
      <c r="G25084" s="52"/>
      <c r="H25084" s="56"/>
      <c r="I25084" s="224"/>
    </row>
    <row r="25085" spans="1:9" x14ac:dyDescent="0.25">
      <c r="A25085" s="515">
        <v>59061</v>
      </c>
      <c r="B25085" s="515" t="s">
        <v>637</v>
      </c>
      <c r="C25085" s="52">
        <v>470913.82294220501</v>
      </c>
      <c r="D25085" s="56">
        <v>7.7803255815683328E-3</v>
      </c>
      <c r="E25085" s="224" t="s">
        <v>2</v>
      </c>
      <c r="G25085" s="52"/>
      <c r="H25085" s="56"/>
      <c r="I25085" s="224"/>
    </row>
    <row r="25086" spans="1:9" x14ac:dyDescent="0.25">
      <c r="A25086" s="515">
        <v>6024</v>
      </c>
      <c r="B25086" s="515" t="s">
        <v>559</v>
      </c>
      <c r="C25086" s="52">
        <v>275605.07322206697</v>
      </c>
      <c r="D25086" s="56">
        <v>0.1650021755749643</v>
      </c>
      <c r="E25086" s="224" t="s">
        <v>2</v>
      </c>
      <c r="G25086" s="52"/>
      <c r="H25086" s="56"/>
      <c r="I25086" s="224"/>
    </row>
    <row r="25087" spans="1:9" x14ac:dyDescent="0.25">
      <c r="A25087" s="515">
        <v>59028</v>
      </c>
      <c r="B25087" s="515" t="s">
        <v>637</v>
      </c>
      <c r="C25087" s="52">
        <v>485073.41876552498</v>
      </c>
      <c r="D25087" s="56">
        <v>4.7275060061400989E-2</v>
      </c>
      <c r="E25087" s="224" t="s">
        <v>2</v>
      </c>
      <c r="G25087" s="52"/>
      <c r="H25087" s="56"/>
      <c r="I25087" s="224"/>
    </row>
    <row r="25088" spans="1:9" x14ac:dyDescent="0.25">
      <c r="A25088" s="515">
        <v>16685</v>
      </c>
      <c r="B25088" s="515" t="s">
        <v>539</v>
      </c>
      <c r="C25088" s="52">
        <v>192380.00396375899</v>
      </c>
      <c r="D25088" s="56">
        <v>0</v>
      </c>
      <c r="E25088" s="224" t="s">
        <v>2</v>
      </c>
      <c r="G25088" s="52"/>
      <c r="H25088" s="56"/>
      <c r="I25088" s="224"/>
    </row>
    <row r="25089" spans="1:9" x14ac:dyDescent="0.25">
      <c r="A25089" s="515">
        <v>50068</v>
      </c>
      <c r="C25089" s="52">
        <v>156204.89415472001</v>
      </c>
      <c r="D25089" s="56">
        <v>0</v>
      </c>
      <c r="E25089" s="224" t="s">
        <v>2</v>
      </c>
      <c r="G25089" s="52"/>
      <c r="H25089" s="56"/>
      <c r="I25089" s="224"/>
    </row>
    <row r="25090" spans="1:9" x14ac:dyDescent="0.25">
      <c r="A25090" s="515">
        <v>67757</v>
      </c>
      <c r="C25090" s="52">
        <v>128116.878752398</v>
      </c>
      <c r="D25090" s="56">
        <v>0.11115995131599439</v>
      </c>
      <c r="E25090" s="224" t="s">
        <v>2</v>
      </c>
      <c r="G25090" s="52"/>
      <c r="H25090" s="56"/>
      <c r="I25090" s="224"/>
    </row>
    <row r="25091" spans="1:9" x14ac:dyDescent="0.25">
      <c r="A25091" s="515">
        <v>50120</v>
      </c>
      <c r="B25091" s="515" t="s">
        <v>642</v>
      </c>
      <c r="C25091" s="52">
        <v>179008.20458359201</v>
      </c>
      <c r="D25091" s="56">
        <v>0</v>
      </c>
      <c r="E25091" s="224" t="s">
        <v>2</v>
      </c>
      <c r="G25091" s="52"/>
      <c r="H25091" s="56"/>
      <c r="I25091" s="224"/>
    </row>
    <row r="25092" spans="1:9" x14ac:dyDescent="0.25">
      <c r="A25092" s="515">
        <v>82244</v>
      </c>
      <c r="C25092" s="52">
        <v>329965.78213283903</v>
      </c>
      <c r="D25092" s="56">
        <v>0.12380827587195967</v>
      </c>
      <c r="E25092" s="224" t="s">
        <v>2</v>
      </c>
      <c r="G25092" s="52"/>
      <c r="H25092" s="56"/>
      <c r="I25092" s="224"/>
    </row>
    <row r="25093" spans="1:9" x14ac:dyDescent="0.25">
      <c r="A25093" s="515">
        <v>50840</v>
      </c>
      <c r="C25093" s="52">
        <v>91203.808224769193</v>
      </c>
      <c r="D25093" s="56">
        <v>7.7295012015522746E-2</v>
      </c>
      <c r="E25093" s="224" t="s">
        <v>2</v>
      </c>
      <c r="G25093" s="52"/>
      <c r="H25093" s="56"/>
      <c r="I25093" s="224"/>
    </row>
    <row r="25094" spans="1:9" x14ac:dyDescent="0.25">
      <c r="A25094" s="515">
        <v>61476</v>
      </c>
      <c r="B25094" s="515" t="s">
        <v>439</v>
      </c>
      <c r="C25094" s="52">
        <v>96861.869424802702</v>
      </c>
      <c r="D25094" s="56">
        <v>5.2031174685107399E-3</v>
      </c>
      <c r="E25094" s="224" t="s">
        <v>2</v>
      </c>
      <c r="G25094" s="52"/>
      <c r="H25094" s="56"/>
      <c r="I25094" s="224"/>
    </row>
    <row r="25095" spans="1:9" x14ac:dyDescent="0.25">
      <c r="A25095" s="515">
        <v>21676</v>
      </c>
      <c r="B25095" s="515" t="s">
        <v>519</v>
      </c>
      <c r="C25095" s="52">
        <v>360559.71971823799</v>
      </c>
      <c r="D25095" s="56">
        <v>4.9440891319899379E-2</v>
      </c>
      <c r="E25095" s="224" t="s">
        <v>2</v>
      </c>
      <c r="G25095" s="52"/>
      <c r="H25095" s="56"/>
      <c r="I25095" s="224"/>
    </row>
    <row r="25096" spans="1:9" x14ac:dyDescent="0.25">
      <c r="A25096" s="515">
        <v>59443</v>
      </c>
      <c r="B25096" s="515" t="s">
        <v>373</v>
      </c>
      <c r="C25096" s="52">
        <v>394078.62360159599</v>
      </c>
      <c r="D25096" s="56">
        <v>0.13782638657419161</v>
      </c>
      <c r="E25096" s="224" t="s">
        <v>2</v>
      </c>
      <c r="G25096" s="52"/>
      <c r="H25096" s="56"/>
      <c r="I25096" s="224"/>
    </row>
    <row r="25097" spans="1:9" x14ac:dyDescent="0.25">
      <c r="A25097" s="515">
        <v>12421</v>
      </c>
      <c r="C25097" s="52">
        <v>269370.053456233</v>
      </c>
      <c r="D25097" s="56">
        <v>0.15173887847134981</v>
      </c>
      <c r="E25097" s="224" t="s">
        <v>2</v>
      </c>
      <c r="G25097" s="52"/>
      <c r="H25097" s="56"/>
      <c r="I25097" s="224"/>
    </row>
    <row r="25098" spans="1:9" x14ac:dyDescent="0.25">
      <c r="A25098" s="515">
        <v>4984</v>
      </c>
      <c r="C25098" s="52">
        <v>202746.75768755699</v>
      </c>
      <c r="D25098" s="56">
        <v>0.11957652859085134</v>
      </c>
      <c r="E25098" s="224" t="s">
        <v>2</v>
      </c>
      <c r="G25098" s="52"/>
      <c r="H25098" s="56"/>
      <c r="I25098" s="224"/>
    </row>
    <row r="25099" spans="1:9" x14ac:dyDescent="0.25">
      <c r="A25099" s="515">
        <v>56170</v>
      </c>
      <c r="C25099" s="52">
        <v>132867.67751639901</v>
      </c>
      <c r="D25099" s="56">
        <v>-5.2295948337772721E-2</v>
      </c>
      <c r="E25099" s="224" t="s">
        <v>2</v>
      </c>
      <c r="G25099" s="52"/>
      <c r="H25099" s="56"/>
      <c r="I25099" s="224"/>
    </row>
    <row r="25100" spans="1:9" x14ac:dyDescent="0.25">
      <c r="A25100" s="515">
        <v>58327</v>
      </c>
      <c r="C25100" s="52">
        <v>125986.02499999999</v>
      </c>
      <c r="D25100" s="56">
        <v>0</v>
      </c>
      <c r="E25100" s="224" t="s">
        <v>2</v>
      </c>
      <c r="G25100" s="52"/>
      <c r="H25100" s="56"/>
      <c r="I25100" s="224"/>
    </row>
    <row r="25101" spans="1:9" x14ac:dyDescent="0.25">
      <c r="A25101" s="515">
        <v>65260</v>
      </c>
      <c r="B25101" s="515" t="s">
        <v>790</v>
      </c>
      <c r="C25101" s="52">
        <v>189403.49018080599</v>
      </c>
      <c r="D25101" s="56">
        <v>0.12936183477282009</v>
      </c>
      <c r="E25101" s="224" t="s">
        <v>2</v>
      </c>
      <c r="G25101" s="52"/>
      <c r="H25101" s="56"/>
      <c r="I25101" s="224"/>
    </row>
    <row r="25102" spans="1:9" x14ac:dyDescent="0.25">
      <c r="A25102" s="515">
        <v>51552</v>
      </c>
      <c r="C25102" s="52">
        <v>142251.80057790401</v>
      </c>
      <c r="D25102" s="56">
        <v>0</v>
      </c>
      <c r="E25102" s="224" t="s">
        <v>2</v>
      </c>
      <c r="G25102" s="52"/>
      <c r="H25102" s="56"/>
      <c r="I25102" s="224"/>
    </row>
    <row r="25103" spans="1:9" x14ac:dyDescent="0.25">
      <c r="A25103" s="515">
        <v>52760</v>
      </c>
      <c r="B25103" s="515" t="s">
        <v>755</v>
      </c>
      <c r="C25103" s="52">
        <v>197219.385331622</v>
      </c>
      <c r="D25103" s="56">
        <v>0.14257243762684932</v>
      </c>
      <c r="E25103" s="224" t="s">
        <v>2</v>
      </c>
      <c r="G25103" s="52"/>
      <c r="H25103" s="56"/>
      <c r="I25103" s="224"/>
    </row>
    <row r="25104" spans="1:9" x14ac:dyDescent="0.25">
      <c r="A25104" s="515">
        <v>66550</v>
      </c>
      <c r="C25104" s="52">
        <v>119972.606342356</v>
      </c>
      <c r="D25104" s="56">
        <v>0.152990033536958</v>
      </c>
      <c r="E25104" s="224" t="s">
        <v>2</v>
      </c>
      <c r="G25104" s="52"/>
      <c r="H25104" s="56"/>
      <c r="I25104" s="224"/>
    </row>
    <row r="25105" spans="1:9" x14ac:dyDescent="0.25">
      <c r="A25105" s="515">
        <v>24712</v>
      </c>
      <c r="B25105" s="515" t="s">
        <v>306</v>
      </c>
      <c r="C25105" s="52">
        <v>151888.11685641701</v>
      </c>
      <c r="D25105" s="56">
        <v>0.13387000005468319</v>
      </c>
      <c r="E25105" s="224" t="s">
        <v>2</v>
      </c>
      <c r="G25105" s="52"/>
      <c r="H25105" s="56"/>
      <c r="I25105" s="224"/>
    </row>
    <row r="25106" spans="1:9" x14ac:dyDescent="0.25">
      <c r="A25106" s="515">
        <v>15832</v>
      </c>
      <c r="C25106" s="52">
        <v>74406.319844164507</v>
      </c>
      <c r="D25106" s="56">
        <v>0</v>
      </c>
      <c r="E25106" s="224" t="s">
        <v>2</v>
      </c>
      <c r="G25106" s="52"/>
      <c r="H25106" s="56"/>
      <c r="I25106" s="224"/>
    </row>
    <row r="25107" spans="1:9" x14ac:dyDescent="0.25">
      <c r="A25107" s="515">
        <v>68856</v>
      </c>
      <c r="C25107" s="52">
        <v>155488.45325846199</v>
      </c>
      <c r="D25107" s="56">
        <v>0</v>
      </c>
      <c r="E25107" s="224" t="s">
        <v>2</v>
      </c>
      <c r="G25107" s="52"/>
      <c r="H25107" s="56"/>
      <c r="I25107" s="224"/>
    </row>
    <row r="25108" spans="1:9" x14ac:dyDescent="0.25">
      <c r="A25108" s="515">
        <v>59262</v>
      </c>
      <c r="C25108" s="52">
        <v>374659.847249949</v>
      </c>
      <c r="D25108" s="56">
        <v>1.9427491303447997E-2</v>
      </c>
      <c r="E25108" s="224" t="s">
        <v>2</v>
      </c>
      <c r="G25108" s="52"/>
      <c r="H25108" s="56"/>
      <c r="I25108" s="224"/>
    </row>
    <row r="25109" spans="1:9" x14ac:dyDescent="0.25">
      <c r="A25109" s="515">
        <v>57632</v>
      </c>
      <c r="C25109" s="52">
        <v>233658.91680622799</v>
      </c>
      <c r="D25109" s="56">
        <v>0</v>
      </c>
      <c r="E25109" s="224" t="s">
        <v>2</v>
      </c>
      <c r="G25109" s="52"/>
      <c r="H25109" s="56"/>
      <c r="I25109" s="224"/>
    </row>
    <row r="25110" spans="1:9" x14ac:dyDescent="0.25">
      <c r="A25110" s="515">
        <v>12422</v>
      </c>
      <c r="C25110" s="52">
        <v>306853.43696332601</v>
      </c>
      <c r="D25110" s="56">
        <v>0.132691733871064</v>
      </c>
      <c r="E25110" s="224" t="s">
        <v>2</v>
      </c>
      <c r="G25110" s="52"/>
      <c r="H25110" s="56"/>
      <c r="I25110" s="224"/>
    </row>
    <row r="25111" spans="1:9" x14ac:dyDescent="0.25">
      <c r="A25111" s="515">
        <v>24280</v>
      </c>
      <c r="C25111" s="52">
        <v>213230.45853803901</v>
      </c>
      <c r="D25111" s="56">
        <v>7.8549916373108014E-2</v>
      </c>
      <c r="E25111" s="224" t="s">
        <v>2</v>
      </c>
      <c r="G25111" s="52"/>
      <c r="H25111" s="56"/>
      <c r="I25111" s="224"/>
    </row>
    <row r="25112" spans="1:9" x14ac:dyDescent="0.25">
      <c r="A25112" s="515">
        <v>67483</v>
      </c>
      <c r="C25112" s="52">
        <v>111268.983352276</v>
      </c>
      <c r="D25112" s="56">
        <v>0.19196554100612676</v>
      </c>
      <c r="E25112" s="224" t="s">
        <v>2</v>
      </c>
      <c r="G25112" s="52"/>
      <c r="H25112" s="56"/>
      <c r="I25112" s="224"/>
    </row>
    <row r="25113" spans="1:9" x14ac:dyDescent="0.25">
      <c r="A25113" s="515">
        <v>98222</v>
      </c>
      <c r="C25113" s="52">
        <v>924711.60836153803</v>
      </c>
      <c r="D25113" s="56">
        <v>0</v>
      </c>
      <c r="E25113" s="224" t="s">
        <v>2</v>
      </c>
      <c r="G25113" s="52"/>
      <c r="H25113" s="56"/>
      <c r="I25113" s="224"/>
    </row>
    <row r="25114" spans="1:9" x14ac:dyDescent="0.25">
      <c r="A25114" s="515">
        <v>83841</v>
      </c>
      <c r="B25114" s="515" t="s">
        <v>623</v>
      </c>
      <c r="C25114" s="52">
        <v>570616.24741642096</v>
      </c>
      <c r="D25114" s="56">
        <v>-5.728631646988918E-2</v>
      </c>
      <c r="E25114" s="224" t="s">
        <v>2</v>
      </c>
      <c r="G25114" s="52"/>
      <c r="H25114" s="56"/>
      <c r="I25114" s="224"/>
    </row>
    <row r="25115" spans="1:9" x14ac:dyDescent="0.25">
      <c r="A25115" s="515">
        <v>95979</v>
      </c>
      <c r="C25115" s="52">
        <v>240093.84560209999</v>
      </c>
      <c r="D25115" s="56">
        <v>3.97705740205576E-2</v>
      </c>
      <c r="E25115" s="224" t="s">
        <v>2</v>
      </c>
      <c r="G25115" s="52"/>
      <c r="H25115" s="56"/>
      <c r="I25115" s="224"/>
    </row>
    <row r="25116" spans="1:9" x14ac:dyDescent="0.25">
      <c r="A25116" s="515">
        <v>68838</v>
      </c>
      <c r="B25116" s="515" t="s">
        <v>650</v>
      </c>
      <c r="C25116" s="52">
        <v>221939.401577996</v>
      </c>
      <c r="D25116" s="56">
        <v>0.18793314879912246</v>
      </c>
      <c r="E25116" s="224" t="s">
        <v>2</v>
      </c>
      <c r="G25116" s="52"/>
      <c r="H25116" s="56"/>
      <c r="I25116" s="224"/>
    </row>
    <row r="25117" spans="1:9" x14ac:dyDescent="0.25">
      <c r="A25117" s="515">
        <v>50039</v>
      </c>
      <c r="B25117" s="515" t="s">
        <v>295</v>
      </c>
      <c r="C25117" s="52">
        <v>241850.79008147999</v>
      </c>
      <c r="D25117" s="56">
        <v>7.809252987827775E-2</v>
      </c>
      <c r="E25117" s="224" t="s">
        <v>2</v>
      </c>
      <c r="G25117" s="52"/>
      <c r="H25117" s="56"/>
      <c r="I25117" s="224"/>
    </row>
    <row r="25118" spans="1:9" x14ac:dyDescent="0.25">
      <c r="A25118" s="515">
        <v>98602</v>
      </c>
      <c r="C25118" s="52">
        <v>364296.82428965898</v>
      </c>
      <c r="D25118" s="56">
        <v>2.8723609359578125E-2</v>
      </c>
      <c r="E25118" s="224" t="s">
        <v>2</v>
      </c>
      <c r="G25118" s="52"/>
      <c r="H25118" s="56"/>
      <c r="I25118" s="224"/>
    </row>
    <row r="25119" spans="1:9" x14ac:dyDescent="0.25">
      <c r="A25119" s="515">
        <v>73530</v>
      </c>
      <c r="C25119" s="52">
        <v>49420.036188288002</v>
      </c>
      <c r="D25119" s="56">
        <v>0.17803323933099441</v>
      </c>
      <c r="E25119" s="224" t="s">
        <v>2</v>
      </c>
      <c r="G25119" s="52"/>
      <c r="H25119" s="56"/>
      <c r="I25119" s="224"/>
    </row>
    <row r="25120" spans="1:9" x14ac:dyDescent="0.25">
      <c r="A25120" s="515">
        <v>15536</v>
      </c>
      <c r="C25120" s="52">
        <v>168021.04230665299</v>
      </c>
      <c r="D25120" s="56">
        <v>0</v>
      </c>
      <c r="E25120" s="224" t="s">
        <v>2</v>
      </c>
      <c r="G25120" s="52"/>
      <c r="H25120" s="56"/>
      <c r="I25120" s="224"/>
    </row>
    <row r="25121" spans="1:9" x14ac:dyDescent="0.25">
      <c r="A25121" s="515">
        <v>58480</v>
      </c>
      <c r="C25121" s="52">
        <v>97225.152187763102</v>
      </c>
      <c r="D25121" s="56">
        <v>5.9639052945964971E-2</v>
      </c>
      <c r="E25121" s="224" t="s">
        <v>2</v>
      </c>
      <c r="G25121" s="52"/>
      <c r="H25121" s="56"/>
      <c r="I25121" s="224"/>
    </row>
    <row r="25122" spans="1:9" x14ac:dyDescent="0.25">
      <c r="A25122" s="515">
        <v>40862</v>
      </c>
      <c r="C25122" s="52">
        <v>71767.026355937895</v>
      </c>
      <c r="D25122" s="56">
        <v>0.25147259570673108</v>
      </c>
      <c r="E25122" s="224" t="s">
        <v>2</v>
      </c>
      <c r="G25122" s="52"/>
      <c r="H25122" s="56"/>
      <c r="I25122" s="224"/>
    </row>
    <row r="25123" spans="1:9" x14ac:dyDescent="0.25">
      <c r="A25123" s="515">
        <v>68652</v>
      </c>
      <c r="C25123" s="52">
        <v>272718.64635613502</v>
      </c>
      <c r="D25123" s="56">
        <v>0.13374415853548402</v>
      </c>
      <c r="E25123" s="224" t="s">
        <v>2</v>
      </c>
      <c r="G25123" s="52"/>
      <c r="H25123" s="56"/>
      <c r="I25123" s="224"/>
    </row>
    <row r="25124" spans="1:9" x14ac:dyDescent="0.25">
      <c r="A25124" s="515">
        <v>66943</v>
      </c>
      <c r="C25124" s="52">
        <v>97371.537366547098</v>
      </c>
      <c r="D25124" s="56">
        <v>7.5947333490942612E-2</v>
      </c>
      <c r="E25124" s="224" t="s">
        <v>2</v>
      </c>
      <c r="G25124" s="52"/>
      <c r="H25124" s="56"/>
      <c r="I25124" s="224"/>
    </row>
    <row r="25125" spans="1:9" x14ac:dyDescent="0.25">
      <c r="A25125" s="515">
        <v>98262</v>
      </c>
      <c r="B25125" s="515" t="s">
        <v>412</v>
      </c>
      <c r="C25125" s="52">
        <v>631975.56884896895</v>
      </c>
      <c r="D25125" s="56">
        <v>6.0267350418269201E-2</v>
      </c>
      <c r="E25125" s="224" t="s">
        <v>2</v>
      </c>
      <c r="G25125" s="52"/>
      <c r="H25125" s="56"/>
      <c r="I25125" s="224"/>
    </row>
    <row r="25126" spans="1:9" x14ac:dyDescent="0.25">
      <c r="A25126" s="515">
        <v>23938</v>
      </c>
      <c r="C25126" s="52">
        <v>108403.52726273501</v>
      </c>
      <c r="D25126" s="56">
        <v>1.6388541121683361E-2</v>
      </c>
      <c r="E25126" s="224" t="s">
        <v>2</v>
      </c>
      <c r="G25126" s="52"/>
      <c r="H25126" s="56"/>
      <c r="I25126" s="224"/>
    </row>
    <row r="25127" spans="1:9" x14ac:dyDescent="0.25">
      <c r="A25127" s="515">
        <v>61742</v>
      </c>
      <c r="B25127" s="515" t="s">
        <v>303</v>
      </c>
      <c r="C25127" s="52">
        <v>238911.560962344</v>
      </c>
      <c r="D25127" s="56">
        <v>9.2190724452089576E-2</v>
      </c>
      <c r="E25127" s="224" t="s">
        <v>2</v>
      </c>
      <c r="G25127" s="52"/>
      <c r="H25127" s="56"/>
      <c r="I25127" s="224"/>
    </row>
    <row r="25128" spans="1:9" x14ac:dyDescent="0.25">
      <c r="A25128" s="515">
        <v>38226</v>
      </c>
      <c r="B25128" s="515" t="s">
        <v>788</v>
      </c>
      <c r="C25128" s="52">
        <v>135514.821840283</v>
      </c>
      <c r="D25128" s="56">
        <v>0</v>
      </c>
      <c r="E25128" s="224" t="s">
        <v>2</v>
      </c>
      <c r="G25128" s="52"/>
      <c r="H25128" s="56"/>
      <c r="I25128" s="224"/>
    </row>
    <row r="25129" spans="1:9" x14ac:dyDescent="0.25">
      <c r="A25129" s="515">
        <v>40036</v>
      </c>
      <c r="B25129" s="515" t="s">
        <v>479</v>
      </c>
      <c r="C25129" s="52">
        <v>143252.09384331101</v>
      </c>
      <c r="D25129" s="56">
        <v>0.22059077408250824</v>
      </c>
      <c r="E25129" s="224" t="s">
        <v>2</v>
      </c>
      <c r="G25129" s="52"/>
      <c r="H25129" s="56"/>
      <c r="I25129" s="224"/>
    </row>
    <row r="25130" spans="1:9" x14ac:dyDescent="0.25">
      <c r="A25130" s="515">
        <v>66951</v>
      </c>
      <c r="C25130" s="52">
        <v>91854.824124055798</v>
      </c>
      <c r="D25130" s="56">
        <v>0.10766657341516495</v>
      </c>
      <c r="E25130" s="224" t="s">
        <v>2</v>
      </c>
      <c r="G25130" s="52"/>
      <c r="H25130" s="56"/>
      <c r="I25130" s="224"/>
    </row>
    <row r="25131" spans="1:9" x14ac:dyDescent="0.25">
      <c r="A25131" s="515">
        <v>50570</v>
      </c>
      <c r="C25131" s="52">
        <v>185771.24532627501</v>
      </c>
      <c r="D25131" s="56">
        <v>0</v>
      </c>
      <c r="E25131" s="224" t="s">
        <v>2</v>
      </c>
      <c r="G25131" s="52"/>
      <c r="H25131" s="56"/>
      <c r="I25131" s="224"/>
    </row>
    <row r="25132" spans="1:9" x14ac:dyDescent="0.25">
      <c r="A25132" s="515">
        <v>68325</v>
      </c>
      <c r="C25132" s="52">
        <v>131106.78046305999</v>
      </c>
      <c r="D25132" s="56">
        <v>0.18049481336656356</v>
      </c>
      <c r="E25132" s="224" t="s">
        <v>2</v>
      </c>
      <c r="G25132" s="52"/>
      <c r="H25132" s="56"/>
      <c r="I25132" s="224"/>
    </row>
    <row r="25133" spans="1:9" x14ac:dyDescent="0.25">
      <c r="A25133" s="515">
        <v>23433</v>
      </c>
      <c r="B25133" s="515" t="s">
        <v>301</v>
      </c>
      <c r="C25133" s="52">
        <v>460642.48529983102</v>
      </c>
      <c r="D25133" s="56">
        <v>7.8685720342158441E-2</v>
      </c>
      <c r="E25133" s="224" t="s">
        <v>2</v>
      </c>
      <c r="G25133" s="52"/>
      <c r="H25133" s="56"/>
      <c r="I25133" s="224"/>
    </row>
    <row r="25134" spans="1:9" x14ac:dyDescent="0.25">
      <c r="A25134" s="515">
        <v>52309</v>
      </c>
      <c r="C25134" s="52">
        <v>184533.89854818501</v>
      </c>
      <c r="D25134" s="56">
        <v>0.13238913559213469</v>
      </c>
      <c r="E25134" s="224" t="s">
        <v>2</v>
      </c>
      <c r="G25134" s="52"/>
      <c r="H25134" s="56"/>
      <c r="I25134" s="224"/>
    </row>
    <row r="25135" spans="1:9" x14ac:dyDescent="0.25">
      <c r="A25135" s="515">
        <v>73931</v>
      </c>
      <c r="C25135" s="52">
        <v>219998.95260076699</v>
      </c>
      <c r="D25135" s="56">
        <v>0.23801677334770197</v>
      </c>
      <c r="E25135" s="224" t="s">
        <v>2</v>
      </c>
      <c r="G25135" s="52"/>
      <c r="H25135" s="56"/>
      <c r="I25135" s="224"/>
    </row>
    <row r="25136" spans="1:9" x14ac:dyDescent="0.25">
      <c r="A25136" s="515">
        <v>24977</v>
      </c>
      <c r="C25136" s="52">
        <v>172702.54785850499</v>
      </c>
      <c r="D25136" s="56">
        <v>8.3925856963502882E-2</v>
      </c>
      <c r="E25136" s="224" t="s">
        <v>2</v>
      </c>
      <c r="G25136" s="52"/>
      <c r="H25136" s="56"/>
      <c r="I25136" s="224"/>
    </row>
    <row r="25137" spans="1:9" x14ac:dyDescent="0.25">
      <c r="A25137" s="515">
        <v>3593</v>
      </c>
      <c r="B25137" s="515" t="s">
        <v>752</v>
      </c>
      <c r="C25137" s="52">
        <v>355643.32709522999</v>
      </c>
      <c r="D25137" s="56">
        <v>0.14168679823468985</v>
      </c>
      <c r="E25137" s="224" t="s">
        <v>2</v>
      </c>
      <c r="G25137" s="52"/>
      <c r="H25137" s="56"/>
      <c r="I25137" s="224"/>
    </row>
    <row r="25138" spans="1:9" x14ac:dyDescent="0.25">
      <c r="A25138" s="515">
        <v>51061</v>
      </c>
      <c r="C25138" s="52">
        <v>92356.434543724201</v>
      </c>
      <c r="D25138" s="56">
        <v>0</v>
      </c>
      <c r="E25138" s="224" t="s">
        <v>2</v>
      </c>
      <c r="G25138" s="52"/>
      <c r="H25138" s="56"/>
      <c r="I25138" s="224"/>
    </row>
    <row r="25139" spans="1:9" x14ac:dyDescent="0.25">
      <c r="A25139" s="515">
        <v>5747</v>
      </c>
      <c r="C25139" s="52">
        <v>239254.16279069701</v>
      </c>
      <c r="D25139" s="56">
        <v>0</v>
      </c>
      <c r="E25139" s="224" t="s">
        <v>2</v>
      </c>
      <c r="G25139" s="52"/>
      <c r="H25139" s="56"/>
      <c r="I25139" s="224"/>
    </row>
    <row r="25140" spans="1:9" x14ac:dyDescent="0.25">
      <c r="A25140" s="515">
        <v>66431</v>
      </c>
      <c r="B25140" s="515" t="s">
        <v>549</v>
      </c>
      <c r="C25140" s="52">
        <v>165007.370922267</v>
      </c>
      <c r="D25140" s="56">
        <v>0.1631678597425851</v>
      </c>
      <c r="E25140" s="224" t="s">
        <v>2</v>
      </c>
      <c r="G25140" s="52"/>
      <c r="H25140" s="56"/>
      <c r="I25140" s="224"/>
    </row>
    <row r="25141" spans="1:9" x14ac:dyDescent="0.25">
      <c r="A25141" s="515">
        <v>50633</v>
      </c>
      <c r="C25141" s="52">
        <v>120494.404679795</v>
      </c>
      <c r="D25141" s="56">
        <v>8.2462093484434867E-2</v>
      </c>
      <c r="E25141" s="224" t="s">
        <v>2</v>
      </c>
      <c r="G25141" s="52"/>
      <c r="H25141" s="56"/>
      <c r="I25141" s="224"/>
    </row>
    <row r="25142" spans="1:9" x14ac:dyDescent="0.25">
      <c r="A25142" s="515">
        <v>67557</v>
      </c>
      <c r="C25142" s="52">
        <v>71415.069937735097</v>
      </c>
      <c r="D25142" s="56">
        <v>0.13789623801787401</v>
      </c>
      <c r="E25142" s="224" t="s">
        <v>2</v>
      </c>
      <c r="G25142" s="52"/>
      <c r="H25142" s="56"/>
      <c r="I25142" s="224"/>
    </row>
    <row r="25143" spans="1:9" x14ac:dyDescent="0.25">
      <c r="A25143" s="515">
        <v>63073</v>
      </c>
      <c r="B25143" s="515" t="s">
        <v>498</v>
      </c>
      <c r="C25143" s="52">
        <v>845915.81340083596</v>
      </c>
      <c r="D25143" s="56">
        <v>3.2317080705177491E-2</v>
      </c>
      <c r="E25143" s="224" t="s">
        <v>2</v>
      </c>
      <c r="G25143" s="52"/>
      <c r="H25143" s="56"/>
      <c r="I25143" s="224"/>
    </row>
    <row r="25144" spans="1:9" x14ac:dyDescent="0.25">
      <c r="A25144" s="515">
        <v>68773</v>
      </c>
      <c r="C25144" s="52">
        <v>155415.808198285</v>
      </c>
      <c r="D25144" s="56">
        <v>0.10872244263089466</v>
      </c>
      <c r="E25144" s="224" t="s">
        <v>2</v>
      </c>
      <c r="G25144" s="52"/>
      <c r="H25144" s="56"/>
      <c r="I25144" s="224"/>
    </row>
    <row r="25145" spans="1:9" x14ac:dyDescent="0.25">
      <c r="A25145" s="515">
        <v>71859</v>
      </c>
      <c r="B25145" s="515" t="s">
        <v>764</v>
      </c>
      <c r="C25145" s="52">
        <v>89266.873339808299</v>
      </c>
      <c r="D25145" s="56">
        <v>2.7811623691823783E-2</v>
      </c>
      <c r="E25145" s="224" t="s">
        <v>2</v>
      </c>
      <c r="G25145" s="52"/>
      <c r="H25145" s="56"/>
      <c r="I25145" s="224"/>
    </row>
    <row r="25146" spans="1:9" x14ac:dyDescent="0.25">
      <c r="A25146" s="515">
        <v>50642</v>
      </c>
      <c r="B25146" s="515" t="s">
        <v>315</v>
      </c>
      <c r="C25146" s="52">
        <v>169173.12788192599</v>
      </c>
      <c r="D25146" s="56">
        <v>9.2559061595178529E-2</v>
      </c>
      <c r="E25146" s="224" t="s">
        <v>2</v>
      </c>
      <c r="G25146" s="52"/>
      <c r="H25146" s="56"/>
      <c r="I25146" s="224"/>
    </row>
    <row r="25147" spans="1:9" x14ac:dyDescent="0.25">
      <c r="A25147" s="515">
        <v>58656</v>
      </c>
      <c r="B25147" s="515" t="s">
        <v>771</v>
      </c>
      <c r="C25147" s="52">
        <v>211053.46031393201</v>
      </c>
      <c r="D25147" s="56">
        <v>2.3158217312317278E-2</v>
      </c>
      <c r="E25147" s="224" t="s">
        <v>2</v>
      </c>
      <c r="G25147" s="52"/>
      <c r="H25147" s="56"/>
      <c r="I25147" s="224"/>
    </row>
    <row r="25148" spans="1:9" x14ac:dyDescent="0.25">
      <c r="A25148" s="515">
        <v>50433</v>
      </c>
      <c r="B25148" s="515" t="s">
        <v>634</v>
      </c>
      <c r="C25148" s="52">
        <v>142474.33905844399</v>
      </c>
      <c r="D25148" s="56">
        <v>0</v>
      </c>
      <c r="E25148" s="224" t="s">
        <v>2</v>
      </c>
      <c r="G25148" s="52"/>
      <c r="H25148" s="56"/>
      <c r="I25148" s="224"/>
    </row>
    <row r="25149" spans="1:9" x14ac:dyDescent="0.25">
      <c r="A25149" s="515">
        <v>50430</v>
      </c>
      <c r="C25149" s="52">
        <v>104794.32183375</v>
      </c>
      <c r="D25149" s="56">
        <v>0.10012073900571704</v>
      </c>
      <c r="E25149" s="224" t="s">
        <v>2</v>
      </c>
      <c r="G25149" s="52"/>
      <c r="H25149" s="56"/>
      <c r="I25149" s="224"/>
    </row>
    <row r="25150" spans="1:9" x14ac:dyDescent="0.25">
      <c r="A25150" s="515">
        <v>66740</v>
      </c>
      <c r="C25150" s="52">
        <v>134773.81922651001</v>
      </c>
      <c r="D25150" s="56">
        <v>0.15724208915700494</v>
      </c>
      <c r="E25150" s="224" t="s">
        <v>2</v>
      </c>
      <c r="G25150" s="52"/>
      <c r="H25150" s="56"/>
      <c r="I25150" s="224"/>
    </row>
    <row r="25151" spans="1:9" x14ac:dyDescent="0.25">
      <c r="A25151" s="515">
        <v>54827</v>
      </c>
      <c r="C25151" s="52">
        <v>217669.97337089901</v>
      </c>
      <c r="D25151" s="56">
        <v>5.9324852351465091E-2</v>
      </c>
      <c r="E25151" s="224" t="s">
        <v>2</v>
      </c>
      <c r="G25151" s="52"/>
      <c r="H25151" s="56"/>
      <c r="I25151" s="224"/>
    </row>
    <row r="25152" spans="1:9" x14ac:dyDescent="0.25">
      <c r="A25152" s="515">
        <v>60946</v>
      </c>
      <c r="C25152" s="52">
        <v>105258.84970527601</v>
      </c>
      <c r="D25152" s="56">
        <v>-4.1676375666512118E-2</v>
      </c>
      <c r="E25152" s="224" t="s">
        <v>2</v>
      </c>
      <c r="G25152" s="52"/>
      <c r="H25152" s="56"/>
      <c r="I25152" s="224"/>
    </row>
    <row r="25153" spans="1:9" x14ac:dyDescent="0.25">
      <c r="A25153" s="515">
        <v>83670</v>
      </c>
      <c r="B25153" s="515" t="s">
        <v>500</v>
      </c>
      <c r="C25153" s="52">
        <v>535707.21668000799</v>
      </c>
      <c r="D25153" s="56">
        <v>6.8504363246111352E-2</v>
      </c>
      <c r="E25153" s="224" t="s">
        <v>2</v>
      </c>
      <c r="G25153" s="52"/>
      <c r="H25153" s="56"/>
      <c r="I25153" s="224"/>
    </row>
    <row r="25154" spans="1:9" x14ac:dyDescent="0.25">
      <c r="A25154" s="515">
        <v>88318</v>
      </c>
      <c r="B25154" s="515" t="s">
        <v>616</v>
      </c>
      <c r="C25154" s="52">
        <v>148056.90243902401</v>
      </c>
      <c r="D25154" s="56">
        <v>0</v>
      </c>
      <c r="E25154" s="224" t="s">
        <v>2</v>
      </c>
      <c r="G25154" s="52"/>
      <c r="H25154" s="56"/>
      <c r="I25154" s="224"/>
    </row>
    <row r="25155" spans="1:9" x14ac:dyDescent="0.25">
      <c r="A25155" s="515">
        <v>37848</v>
      </c>
      <c r="B25155" s="515" t="s">
        <v>786</v>
      </c>
      <c r="C25155" s="52">
        <v>190367.55724852401</v>
      </c>
      <c r="D25155" s="56">
        <v>0</v>
      </c>
      <c r="E25155" s="224" t="s">
        <v>2</v>
      </c>
      <c r="G25155" s="52"/>
      <c r="H25155" s="56"/>
      <c r="I25155" s="224"/>
    </row>
    <row r="25156" spans="1:9" x14ac:dyDescent="0.25">
      <c r="A25156" s="515">
        <v>50142</v>
      </c>
      <c r="B25156" s="515" t="s">
        <v>642</v>
      </c>
      <c r="C25156" s="52">
        <v>147727.557863744</v>
      </c>
      <c r="D25156" s="56">
        <v>0</v>
      </c>
      <c r="E25156" s="224" t="s">
        <v>2</v>
      </c>
      <c r="G25156" s="52"/>
      <c r="H25156" s="56"/>
      <c r="I25156" s="224"/>
    </row>
    <row r="25157" spans="1:9" x14ac:dyDescent="0.25">
      <c r="A25157" s="515">
        <v>50254</v>
      </c>
      <c r="C25157" s="52">
        <v>150266.690377069</v>
      </c>
      <c r="D25157" s="56">
        <v>0</v>
      </c>
      <c r="E25157" s="224" t="s">
        <v>2</v>
      </c>
      <c r="G25157" s="52"/>
      <c r="H25157" s="56"/>
      <c r="I25157" s="224"/>
    </row>
    <row r="25158" spans="1:9" x14ac:dyDescent="0.25">
      <c r="A25158" s="515">
        <v>58036</v>
      </c>
      <c r="B25158" s="515" t="s">
        <v>928</v>
      </c>
      <c r="C25158" s="52">
        <v>271287.71824726101</v>
      </c>
      <c r="D25158" s="56">
        <v>0</v>
      </c>
      <c r="E25158" s="224" t="s">
        <v>2</v>
      </c>
      <c r="G25158" s="52"/>
      <c r="H25158" s="56"/>
      <c r="I25158" s="224"/>
    </row>
    <row r="25159" spans="1:9" x14ac:dyDescent="0.25">
      <c r="A25159" s="515">
        <v>41832</v>
      </c>
      <c r="C25159" s="52">
        <v>67950.695556351493</v>
      </c>
      <c r="D25159" s="56">
        <v>0.1541136098089077</v>
      </c>
      <c r="E25159" s="224" t="s">
        <v>2</v>
      </c>
      <c r="G25159" s="52"/>
      <c r="H25159" s="56"/>
      <c r="I25159" s="224"/>
    </row>
    <row r="25160" spans="1:9" x14ac:dyDescent="0.25">
      <c r="A25160" s="515">
        <v>58793</v>
      </c>
      <c r="C25160" s="52">
        <v>88001.167009590194</v>
      </c>
      <c r="D25160" s="56">
        <v>0</v>
      </c>
      <c r="E25160" s="224" t="s">
        <v>2</v>
      </c>
      <c r="G25160" s="52"/>
      <c r="H25160" s="56"/>
      <c r="I25160" s="224"/>
    </row>
    <row r="25161" spans="1:9" x14ac:dyDescent="0.25">
      <c r="A25161" s="515">
        <v>93224</v>
      </c>
      <c r="B25161" s="515" t="s">
        <v>419</v>
      </c>
      <c r="C25161" s="52">
        <v>132580.08114063099</v>
      </c>
      <c r="D25161" s="56">
        <v>-6.6450821944644606E-2</v>
      </c>
      <c r="E25161" s="224" t="s">
        <v>2</v>
      </c>
      <c r="G25161" s="52"/>
      <c r="H25161" s="56"/>
      <c r="I25161" s="224"/>
    </row>
    <row r="25162" spans="1:9" x14ac:dyDescent="0.25">
      <c r="A25162" s="515">
        <v>95930</v>
      </c>
      <c r="C25162" s="52">
        <v>249021.14644781899</v>
      </c>
      <c r="D25162" s="56">
        <v>-2.9707990683831259E-2</v>
      </c>
      <c r="E25162" s="224" t="s">
        <v>2</v>
      </c>
      <c r="G25162" s="52"/>
      <c r="H25162" s="56"/>
      <c r="I25162" s="224"/>
    </row>
    <row r="25163" spans="1:9" x14ac:dyDescent="0.25">
      <c r="A25163" s="515">
        <v>26814</v>
      </c>
      <c r="C25163" s="52">
        <v>158411.50920683</v>
      </c>
      <c r="D25163" s="56">
        <v>7.29444901705842E-2</v>
      </c>
      <c r="E25163" s="224" t="s">
        <v>2</v>
      </c>
      <c r="G25163" s="52"/>
      <c r="H25163" s="56"/>
      <c r="I25163" s="224"/>
    </row>
    <row r="25164" spans="1:9" x14ac:dyDescent="0.25">
      <c r="A25164" s="515">
        <v>81331</v>
      </c>
      <c r="C25164" s="52">
        <v>358098.50088858698</v>
      </c>
      <c r="D25164" s="56">
        <v>7.5054792265054224E-2</v>
      </c>
      <c r="E25164" s="224" t="s">
        <v>2</v>
      </c>
      <c r="G25164" s="52"/>
      <c r="H25164" s="56"/>
      <c r="I25164" s="224"/>
    </row>
    <row r="25165" spans="1:9" x14ac:dyDescent="0.25">
      <c r="A25165" s="515">
        <v>65330</v>
      </c>
      <c r="B25165" s="515" t="s">
        <v>1142</v>
      </c>
      <c r="C25165" s="52">
        <v>149411.4</v>
      </c>
      <c r="D25165" s="56">
        <v>0</v>
      </c>
      <c r="E25165" s="224" t="s">
        <v>2</v>
      </c>
      <c r="G25165" s="52"/>
      <c r="H25165" s="56"/>
      <c r="I25165" s="224"/>
    </row>
    <row r="25166" spans="1:9" x14ac:dyDescent="0.25">
      <c r="A25166" s="515">
        <v>59531</v>
      </c>
      <c r="C25166" s="52">
        <v>213654.08697060199</v>
      </c>
      <c r="D25166" s="56">
        <v>0.1530041220836503</v>
      </c>
      <c r="E25166" s="224" t="s">
        <v>2</v>
      </c>
      <c r="G25166" s="52"/>
      <c r="H25166" s="56"/>
      <c r="I25166" s="224"/>
    </row>
    <row r="25167" spans="1:9" x14ac:dyDescent="0.25">
      <c r="A25167" s="515">
        <v>65287</v>
      </c>
      <c r="B25167" s="515" t="s">
        <v>785</v>
      </c>
      <c r="C25167" s="52">
        <v>233790.12121212101</v>
      </c>
      <c r="D25167" s="56">
        <v>0</v>
      </c>
      <c r="E25167" s="224" t="s">
        <v>2</v>
      </c>
      <c r="G25167" s="52"/>
      <c r="H25167" s="56"/>
      <c r="I25167" s="224"/>
    </row>
    <row r="25168" spans="1:9" x14ac:dyDescent="0.25">
      <c r="A25168" s="515">
        <v>29074</v>
      </c>
      <c r="B25168" s="515" t="s">
        <v>762</v>
      </c>
      <c r="C25168" s="52">
        <v>409141.52602063998</v>
      </c>
      <c r="D25168" s="56">
        <v>0.1011855465867383</v>
      </c>
      <c r="E25168" s="224" t="s">
        <v>2</v>
      </c>
      <c r="G25168" s="52"/>
      <c r="H25168" s="56"/>
      <c r="I25168" s="224"/>
    </row>
    <row r="25169" spans="1:9" x14ac:dyDescent="0.25">
      <c r="A25169" s="515">
        <v>50440</v>
      </c>
      <c r="B25169" s="515" t="s">
        <v>634</v>
      </c>
      <c r="C25169" s="52">
        <v>137160.62463978</v>
      </c>
      <c r="D25169" s="56">
        <v>9.5686757882792392E-2</v>
      </c>
      <c r="E25169" s="224" t="s">
        <v>2</v>
      </c>
      <c r="G25169" s="52"/>
      <c r="H25169" s="56"/>
      <c r="I25169" s="224"/>
    </row>
    <row r="25170" spans="1:9" x14ac:dyDescent="0.25">
      <c r="A25170" s="515">
        <v>67952</v>
      </c>
      <c r="C25170" s="52">
        <v>122627.49287123801</v>
      </c>
      <c r="D25170" s="56">
        <v>9.1089361139541344E-2</v>
      </c>
      <c r="E25170" s="224" t="s">
        <v>2</v>
      </c>
      <c r="G25170" s="52"/>
      <c r="H25170" s="56"/>
      <c r="I25170" s="224"/>
    </row>
    <row r="25171" spans="1:9" x14ac:dyDescent="0.25">
      <c r="A25171" s="515">
        <v>68725</v>
      </c>
      <c r="C25171" s="52">
        <v>120669.637885153</v>
      </c>
      <c r="D25171" s="56">
        <v>0.27333372770157766</v>
      </c>
      <c r="E25171" s="224" t="s">
        <v>2</v>
      </c>
      <c r="G25171" s="52"/>
      <c r="H25171" s="56"/>
      <c r="I25171" s="224"/>
    </row>
    <row r="25172" spans="1:9" x14ac:dyDescent="0.25">
      <c r="A25172" s="515">
        <v>15611</v>
      </c>
      <c r="B25172" s="515" t="s">
        <v>297</v>
      </c>
      <c r="C25172" s="52">
        <v>128652.162790697</v>
      </c>
      <c r="D25172" s="56">
        <v>0</v>
      </c>
      <c r="E25172" s="224" t="s">
        <v>2</v>
      </c>
      <c r="G25172" s="52"/>
      <c r="H25172" s="56"/>
      <c r="I25172" s="224"/>
    </row>
    <row r="25173" spans="1:9" x14ac:dyDescent="0.25">
      <c r="A25173" s="515">
        <v>11948</v>
      </c>
      <c r="B25173" s="515" t="s">
        <v>324</v>
      </c>
      <c r="C25173" s="52">
        <v>814106.41790010699</v>
      </c>
      <c r="D25173" s="56">
        <v>3.4986340860265287E-2</v>
      </c>
      <c r="E25173" s="224" t="s">
        <v>2</v>
      </c>
      <c r="G25173" s="52"/>
      <c r="H25173" s="56"/>
      <c r="I25173" s="224"/>
    </row>
    <row r="25174" spans="1:9" x14ac:dyDescent="0.25">
      <c r="A25174" s="515">
        <v>54560</v>
      </c>
      <c r="C25174" s="52">
        <v>259412.43486784399</v>
      </c>
      <c r="D25174" s="56">
        <v>8.1281982655051765E-2</v>
      </c>
      <c r="E25174" s="224" t="s">
        <v>2</v>
      </c>
      <c r="G25174" s="52"/>
      <c r="H25174" s="56"/>
      <c r="I25174" s="224"/>
    </row>
    <row r="25175" spans="1:9" x14ac:dyDescent="0.25">
      <c r="A25175" s="515">
        <v>25110</v>
      </c>
      <c r="B25175" s="515" t="s">
        <v>322</v>
      </c>
      <c r="C25175" s="52">
        <v>68114.304636832807</v>
      </c>
      <c r="D25175" s="56">
        <v>0.12252335813322034</v>
      </c>
      <c r="E25175" s="224" t="s">
        <v>2</v>
      </c>
      <c r="G25175" s="52"/>
      <c r="H25175" s="56"/>
      <c r="I25175" s="224"/>
    </row>
    <row r="25176" spans="1:9" x14ac:dyDescent="0.25">
      <c r="A25176" s="515">
        <v>67651</v>
      </c>
      <c r="C25176" s="52">
        <v>62732.237451205299</v>
      </c>
      <c r="D25176" s="56">
        <v>0.12884915571123692</v>
      </c>
      <c r="E25176" s="224" t="s">
        <v>2</v>
      </c>
      <c r="G25176" s="52"/>
      <c r="H25176" s="56"/>
      <c r="I25176" s="224"/>
    </row>
    <row r="25177" spans="1:9" x14ac:dyDescent="0.25">
      <c r="A25177" s="515">
        <v>27915</v>
      </c>
      <c r="B25177" s="515" t="s">
        <v>407</v>
      </c>
      <c r="C25177" s="52">
        <v>497429.00340155797</v>
      </c>
      <c r="D25177" s="56">
        <v>0.1122948908469516</v>
      </c>
      <c r="E25177" s="224" t="s">
        <v>2</v>
      </c>
      <c r="G25177" s="52"/>
      <c r="H25177" s="56"/>
      <c r="I25177" s="224"/>
    </row>
    <row r="25178" spans="1:9" x14ac:dyDescent="0.25">
      <c r="A25178" s="515">
        <v>56167</v>
      </c>
      <c r="C25178" s="52">
        <v>127017.215200305</v>
      </c>
      <c r="D25178" s="56">
        <v>0.11919103558539776</v>
      </c>
      <c r="E25178" s="224" t="s">
        <v>2</v>
      </c>
      <c r="G25178" s="52"/>
      <c r="H25178" s="56"/>
      <c r="I25178" s="224"/>
    </row>
    <row r="25179" spans="1:9" x14ac:dyDescent="0.25">
      <c r="A25179" s="515">
        <v>38565</v>
      </c>
      <c r="C25179" s="52">
        <v>235883.803669802</v>
      </c>
      <c r="D25179" s="56">
        <v>9.4167259811580056E-2</v>
      </c>
      <c r="E25179" s="224" t="s">
        <v>2</v>
      </c>
      <c r="G25179" s="52"/>
      <c r="H25179" s="56"/>
      <c r="I25179" s="224"/>
    </row>
    <row r="25180" spans="1:9" x14ac:dyDescent="0.25">
      <c r="A25180" s="515">
        <v>26285</v>
      </c>
      <c r="B25180" s="515" t="s">
        <v>586</v>
      </c>
      <c r="C25180" s="52">
        <v>50270.2352941176</v>
      </c>
      <c r="D25180" s="56">
        <v>0</v>
      </c>
      <c r="E25180" s="224" t="s">
        <v>2</v>
      </c>
      <c r="G25180" s="52"/>
      <c r="H25180" s="56"/>
      <c r="I25180" s="224"/>
    </row>
    <row r="25181" spans="1:9" x14ac:dyDescent="0.25">
      <c r="A25181" s="515">
        <v>41547</v>
      </c>
      <c r="C25181" s="52">
        <v>67020.090308300103</v>
      </c>
      <c r="D25181" s="56">
        <v>0.35021488267532147</v>
      </c>
      <c r="E25181" s="224" t="s">
        <v>2</v>
      </c>
      <c r="G25181" s="52"/>
      <c r="H25181" s="56"/>
      <c r="I25181" s="224"/>
    </row>
    <row r="25182" spans="1:9" x14ac:dyDescent="0.25">
      <c r="A25182" s="515">
        <v>12130</v>
      </c>
      <c r="B25182" s="515" t="s">
        <v>564</v>
      </c>
      <c r="C25182" s="52">
        <v>268051.49239806301</v>
      </c>
      <c r="D25182" s="56">
        <v>0.11157798415803417</v>
      </c>
      <c r="E25182" s="224" t="s">
        <v>2</v>
      </c>
      <c r="G25182" s="52"/>
      <c r="H25182" s="56"/>
      <c r="I25182" s="224"/>
    </row>
    <row r="25183" spans="1:9" x14ac:dyDescent="0.25">
      <c r="A25183" s="515">
        <v>68457</v>
      </c>
      <c r="C25183" s="52">
        <v>101054.108665344</v>
      </c>
      <c r="D25183" s="56">
        <v>1.9037338802618181E-2</v>
      </c>
      <c r="E25183" s="224" t="s">
        <v>2</v>
      </c>
      <c r="G25183" s="52"/>
      <c r="H25183" s="56"/>
      <c r="I25183" s="224"/>
    </row>
    <row r="25184" spans="1:9" x14ac:dyDescent="0.25">
      <c r="A25184" s="515">
        <v>68442</v>
      </c>
      <c r="C25184" s="52">
        <v>124099.312140792</v>
      </c>
      <c r="D25184" s="56">
        <v>-3.7681948309851727E-2</v>
      </c>
      <c r="E25184" s="224" t="s">
        <v>2</v>
      </c>
      <c r="G25184" s="52"/>
      <c r="H25184" s="56"/>
      <c r="I25184" s="224"/>
    </row>
    <row r="25185" spans="1:9" x14ac:dyDescent="0.25">
      <c r="A25185" s="515">
        <v>56090</v>
      </c>
      <c r="B25185" s="515" t="s">
        <v>542</v>
      </c>
      <c r="C25185" s="52">
        <v>198602.24258908999</v>
      </c>
      <c r="D25185" s="56">
        <v>8.1290676099516831E-2</v>
      </c>
      <c r="E25185" s="224" t="s">
        <v>2</v>
      </c>
      <c r="G25185" s="52"/>
      <c r="H25185" s="56"/>
      <c r="I25185" s="224"/>
    </row>
    <row r="25186" spans="1:9" x14ac:dyDescent="0.25">
      <c r="A25186" s="515">
        <v>64657</v>
      </c>
      <c r="C25186" s="52">
        <v>138957.51702366801</v>
      </c>
      <c r="D25186" s="56">
        <v>-0.15951893439339018</v>
      </c>
      <c r="E25186" s="224" t="s">
        <v>2</v>
      </c>
      <c r="G25186" s="52"/>
      <c r="H25186" s="56"/>
      <c r="I25186" s="224"/>
    </row>
    <row r="25187" spans="1:9" x14ac:dyDescent="0.25">
      <c r="A25187" s="515">
        <v>68852</v>
      </c>
      <c r="C25187" s="52">
        <v>185730.282185741</v>
      </c>
      <c r="D25187" s="56">
        <v>0.31094124044094384</v>
      </c>
      <c r="E25187" s="224" t="s">
        <v>2</v>
      </c>
      <c r="G25187" s="52"/>
      <c r="H25187" s="56"/>
      <c r="I25187" s="224"/>
    </row>
    <row r="25188" spans="1:9" x14ac:dyDescent="0.25">
      <c r="A25188" s="515">
        <v>16943</v>
      </c>
      <c r="C25188" s="52">
        <v>159314.87431250399</v>
      </c>
      <c r="D25188" s="56">
        <v>9.6417566735761379E-2</v>
      </c>
      <c r="E25188" s="224" t="s">
        <v>2</v>
      </c>
      <c r="G25188" s="52"/>
      <c r="H25188" s="56"/>
      <c r="I25188" s="224"/>
    </row>
    <row r="25189" spans="1:9" x14ac:dyDescent="0.25">
      <c r="A25189" s="515">
        <v>73838</v>
      </c>
      <c r="C25189" s="52">
        <v>178390.081935664</v>
      </c>
      <c r="D25189" s="56">
        <v>0.18532026254744452</v>
      </c>
      <c r="E25189" s="224" t="s">
        <v>2</v>
      </c>
      <c r="G25189" s="52"/>
      <c r="H25189" s="56"/>
      <c r="I25189" s="224"/>
    </row>
    <row r="25190" spans="1:9" x14ac:dyDescent="0.25">
      <c r="A25190" s="515">
        <v>92333</v>
      </c>
      <c r="B25190" s="515" t="s">
        <v>599</v>
      </c>
      <c r="C25190" s="52">
        <v>450072.35941114498</v>
      </c>
      <c r="D25190" s="56">
        <v>2.8564717995633246E-2</v>
      </c>
      <c r="E25190" s="224" t="s">
        <v>2</v>
      </c>
      <c r="G25190" s="52"/>
      <c r="H25190" s="56"/>
      <c r="I25190" s="224"/>
    </row>
    <row r="25191" spans="1:9" x14ac:dyDescent="0.25">
      <c r="A25191" s="515">
        <v>24927</v>
      </c>
      <c r="C25191" s="52">
        <v>94182.628084841694</v>
      </c>
      <c r="D25191" s="56">
        <v>0.1894636277157106</v>
      </c>
      <c r="E25191" s="224" t="s">
        <v>2</v>
      </c>
      <c r="G25191" s="52"/>
      <c r="H25191" s="56"/>
      <c r="I25191" s="224"/>
    </row>
    <row r="25192" spans="1:9" x14ac:dyDescent="0.25">
      <c r="A25192" s="515">
        <v>62950</v>
      </c>
      <c r="B25192" s="515" t="s">
        <v>471</v>
      </c>
      <c r="C25192" s="52">
        <v>66337.989328022901</v>
      </c>
      <c r="D25192" s="56">
        <v>-0.15712901032446969</v>
      </c>
      <c r="E25192" s="224" t="s">
        <v>2</v>
      </c>
      <c r="G25192" s="52"/>
      <c r="H25192" s="56"/>
      <c r="I25192" s="224"/>
    </row>
    <row r="25193" spans="1:9" x14ac:dyDescent="0.25">
      <c r="A25193" s="515">
        <v>50538</v>
      </c>
      <c r="C25193" s="52">
        <v>95456.471747861797</v>
      </c>
      <c r="D25193" s="56">
        <v>7.6491762005927083E-2</v>
      </c>
      <c r="E25193" s="224" t="s">
        <v>2</v>
      </c>
      <c r="G25193" s="52"/>
      <c r="H25193" s="56"/>
      <c r="I25193" s="224"/>
    </row>
    <row r="25194" spans="1:9" x14ac:dyDescent="0.25">
      <c r="A25194" s="515">
        <v>51540</v>
      </c>
      <c r="B25194" s="515" t="s">
        <v>367</v>
      </c>
      <c r="C25194" s="52">
        <v>212936.87247540499</v>
      </c>
      <c r="D25194" s="56">
        <v>0</v>
      </c>
      <c r="E25194" s="224" t="s">
        <v>2</v>
      </c>
      <c r="G25194" s="52"/>
      <c r="H25194" s="56"/>
      <c r="I25194" s="224"/>
    </row>
    <row r="25195" spans="1:9" x14ac:dyDescent="0.25">
      <c r="A25195" s="515">
        <v>3586</v>
      </c>
      <c r="B25195" s="515" t="s">
        <v>420</v>
      </c>
      <c r="C25195" s="52">
        <v>541431.09634207794</v>
      </c>
      <c r="D25195" s="56">
        <v>0.16849088562189285</v>
      </c>
      <c r="E25195" s="224" t="s">
        <v>2</v>
      </c>
      <c r="G25195" s="52"/>
      <c r="H25195" s="56"/>
      <c r="I25195" s="224"/>
    </row>
    <row r="25196" spans="1:9" x14ac:dyDescent="0.25">
      <c r="A25196" s="515">
        <v>87580</v>
      </c>
      <c r="B25196" s="515" t="s">
        <v>481</v>
      </c>
      <c r="C25196" s="52">
        <v>447408.01190476102</v>
      </c>
      <c r="D25196" s="56">
        <v>0</v>
      </c>
      <c r="E25196" s="224" t="s">
        <v>2</v>
      </c>
      <c r="G25196" s="52"/>
      <c r="H25196" s="56"/>
      <c r="I25196" s="224"/>
    </row>
    <row r="25197" spans="1:9" x14ac:dyDescent="0.25">
      <c r="A25197" s="515">
        <v>67459</v>
      </c>
      <c r="C25197" s="52">
        <v>103004.74721969001</v>
      </c>
      <c r="D25197" s="56">
        <v>8.0880839391435311E-2</v>
      </c>
      <c r="E25197" s="224" t="s">
        <v>2</v>
      </c>
      <c r="G25197" s="52"/>
      <c r="H25197" s="56"/>
      <c r="I25197" s="224"/>
    </row>
    <row r="25198" spans="1:9" x14ac:dyDescent="0.25">
      <c r="A25198" s="515">
        <v>64674</v>
      </c>
      <c r="C25198" s="52">
        <v>131920.860521408</v>
      </c>
      <c r="D25198" s="56">
        <v>0.17748393981274935</v>
      </c>
      <c r="E25198" s="224" t="s">
        <v>2</v>
      </c>
      <c r="G25198" s="52"/>
      <c r="H25198" s="56"/>
      <c r="I25198" s="224"/>
    </row>
    <row r="25199" spans="1:9" x14ac:dyDescent="0.25">
      <c r="A25199" s="515">
        <v>40943</v>
      </c>
      <c r="B25199" s="515" t="s">
        <v>633</v>
      </c>
      <c r="C25199" s="52">
        <v>139380.09548898999</v>
      </c>
      <c r="D25199" s="56">
        <v>0.19178100855429811</v>
      </c>
      <c r="E25199" s="224" t="s">
        <v>2</v>
      </c>
      <c r="G25199" s="52"/>
      <c r="H25199" s="56"/>
      <c r="I25199" s="224"/>
    </row>
    <row r="25200" spans="1:9" x14ac:dyDescent="0.25">
      <c r="A25200" s="515">
        <v>73646</v>
      </c>
      <c r="C25200" s="52">
        <v>150155.47396282101</v>
      </c>
      <c r="D25200" s="56">
        <v>0.1438338572619686</v>
      </c>
      <c r="E25200" s="224" t="s">
        <v>2</v>
      </c>
      <c r="G25200" s="52"/>
      <c r="H25200" s="56"/>
      <c r="I25200" s="224"/>
    </row>
    <row r="25201" spans="1:9" x14ac:dyDescent="0.25">
      <c r="A25201" s="515">
        <v>78562</v>
      </c>
      <c r="B25201" s="515" t="s">
        <v>550</v>
      </c>
      <c r="C25201" s="52">
        <v>101372.58858163</v>
      </c>
      <c r="D25201" s="56">
        <v>0.21302769501358718</v>
      </c>
      <c r="E25201" s="224" t="s">
        <v>2</v>
      </c>
      <c r="G25201" s="52"/>
      <c r="H25201" s="56"/>
      <c r="I25201" s="224"/>
    </row>
    <row r="25202" spans="1:9" x14ac:dyDescent="0.25">
      <c r="A25202" s="515">
        <v>97639</v>
      </c>
      <c r="B25202" s="515" t="s">
        <v>545</v>
      </c>
      <c r="C25202" s="52">
        <v>222168.76441526401</v>
      </c>
      <c r="D25202" s="56">
        <v>0</v>
      </c>
      <c r="E25202" s="224" t="s">
        <v>2</v>
      </c>
      <c r="G25202" s="52"/>
      <c r="H25202" s="56"/>
      <c r="I25202" s="224"/>
    </row>
    <row r="25203" spans="1:9" x14ac:dyDescent="0.25">
      <c r="A25203" s="515">
        <v>26202</v>
      </c>
      <c r="C25203" s="52">
        <v>87333.416089833496</v>
      </c>
      <c r="D25203" s="56">
        <v>7.5852115949289728E-2</v>
      </c>
      <c r="E25203" s="224" t="s">
        <v>2</v>
      </c>
      <c r="G25203" s="52"/>
      <c r="H25203" s="56"/>
      <c r="I25203" s="224"/>
    </row>
    <row r="25204" spans="1:9" x14ac:dyDescent="0.25">
      <c r="A25204" s="515">
        <v>12064</v>
      </c>
      <c r="B25204" s="515" t="s">
        <v>460</v>
      </c>
      <c r="C25204" s="52">
        <v>122756.754716981</v>
      </c>
      <c r="D25204" s="56">
        <v>0</v>
      </c>
      <c r="E25204" s="224" t="s">
        <v>2</v>
      </c>
      <c r="G25204" s="52"/>
      <c r="H25204" s="56"/>
      <c r="I25204" s="224"/>
    </row>
    <row r="25205" spans="1:9" x14ac:dyDescent="0.25">
      <c r="A25205" s="515">
        <v>40481</v>
      </c>
      <c r="C25205" s="52">
        <v>148918.52720110901</v>
      </c>
      <c r="D25205" s="56">
        <v>0.10681726236100139</v>
      </c>
      <c r="E25205" s="224" t="s">
        <v>2</v>
      </c>
      <c r="G25205" s="52"/>
      <c r="H25205" s="56"/>
      <c r="I25205" s="224"/>
    </row>
    <row r="25206" spans="1:9" x14ac:dyDescent="0.25">
      <c r="A25206" s="515">
        <v>67436</v>
      </c>
      <c r="B25206" s="515" t="s">
        <v>715</v>
      </c>
      <c r="C25206" s="52">
        <v>102778.121021606</v>
      </c>
      <c r="D25206" s="56">
        <v>7.2897060131287744E-2</v>
      </c>
      <c r="E25206" s="224" t="s">
        <v>2</v>
      </c>
      <c r="G25206" s="52"/>
      <c r="H25206" s="56"/>
      <c r="I25206" s="224"/>
    </row>
    <row r="25207" spans="1:9" x14ac:dyDescent="0.25">
      <c r="A25207" s="515">
        <v>50539</v>
      </c>
      <c r="C25207" s="52">
        <v>70974.616034448001</v>
      </c>
      <c r="D25207" s="56">
        <v>0</v>
      </c>
      <c r="E25207" s="224" t="s">
        <v>2</v>
      </c>
      <c r="G25207" s="52"/>
      <c r="H25207" s="56"/>
      <c r="I25207" s="224"/>
    </row>
    <row r="25208" spans="1:9" x14ac:dyDescent="0.25">
      <c r="A25208" s="515">
        <v>4261</v>
      </c>
      <c r="C25208" s="52">
        <v>381279.59473410301</v>
      </c>
      <c r="D25208" s="56">
        <v>8.9587276610270522E-2</v>
      </c>
      <c r="E25208" s="224" t="s">
        <v>2</v>
      </c>
      <c r="G25208" s="52"/>
      <c r="H25208" s="56"/>
      <c r="I25208" s="224"/>
    </row>
    <row r="25209" spans="1:9" x14ac:dyDescent="0.25">
      <c r="A25209" s="515">
        <v>50546</v>
      </c>
      <c r="C25209" s="52">
        <v>108313.088162088</v>
      </c>
      <c r="D25209" s="56">
        <v>0</v>
      </c>
      <c r="E25209" s="224" t="s">
        <v>2</v>
      </c>
      <c r="G25209" s="52"/>
      <c r="H25209" s="56"/>
      <c r="I25209" s="224"/>
    </row>
    <row r="25210" spans="1:9" x14ac:dyDescent="0.25">
      <c r="A25210" s="515">
        <v>4408</v>
      </c>
      <c r="C25210" s="52">
        <v>197273.85404888599</v>
      </c>
      <c r="D25210" s="56">
        <v>0.14298099035454581</v>
      </c>
      <c r="E25210" s="224" t="s">
        <v>2</v>
      </c>
      <c r="G25210" s="52"/>
      <c r="H25210" s="56"/>
      <c r="I25210" s="224"/>
    </row>
    <row r="25211" spans="1:9" x14ac:dyDescent="0.25">
      <c r="A25211" s="515">
        <v>61466</v>
      </c>
      <c r="B25211" s="515" t="s">
        <v>439</v>
      </c>
      <c r="C25211" s="52">
        <v>83573.604478823007</v>
      </c>
      <c r="D25211" s="56">
        <v>-6.6921681439684258E-2</v>
      </c>
      <c r="E25211" s="224" t="s">
        <v>2</v>
      </c>
      <c r="G25211" s="52"/>
      <c r="H25211" s="56"/>
      <c r="I25211" s="224"/>
    </row>
    <row r="25212" spans="1:9" x14ac:dyDescent="0.25">
      <c r="A25212" s="515">
        <v>62963</v>
      </c>
      <c r="C25212" s="52">
        <v>40058.998152702399</v>
      </c>
      <c r="D25212" s="56">
        <v>-8.0791222842957214E-2</v>
      </c>
      <c r="E25212" s="224" t="s">
        <v>2</v>
      </c>
      <c r="G25212" s="52"/>
      <c r="H25212" s="56"/>
      <c r="I25212" s="224"/>
    </row>
    <row r="25213" spans="1:9" x14ac:dyDescent="0.25">
      <c r="A25213" s="515">
        <v>82516</v>
      </c>
      <c r="B25213" s="515" t="s">
        <v>308</v>
      </c>
      <c r="C25213" s="52">
        <v>288665.594438545</v>
      </c>
      <c r="D25213" s="56">
        <v>0.10171133897313343</v>
      </c>
      <c r="E25213" s="224" t="s">
        <v>2</v>
      </c>
      <c r="G25213" s="52"/>
      <c r="H25213" s="56"/>
      <c r="I25213" s="224"/>
    </row>
    <row r="25214" spans="1:9" x14ac:dyDescent="0.25">
      <c r="A25214" s="515">
        <v>58710</v>
      </c>
      <c r="B25214" s="515" t="s">
        <v>849</v>
      </c>
      <c r="C25214" s="52">
        <v>71792.053546163399</v>
      </c>
      <c r="D25214" s="56">
        <v>0</v>
      </c>
      <c r="E25214" s="224" t="s">
        <v>2</v>
      </c>
      <c r="G25214" s="52"/>
      <c r="H25214" s="56"/>
      <c r="I25214" s="224"/>
    </row>
    <row r="25215" spans="1:9" x14ac:dyDescent="0.25">
      <c r="A25215" s="515">
        <v>68040</v>
      </c>
      <c r="B25215" s="515" t="s">
        <v>367</v>
      </c>
      <c r="C25215" s="52">
        <v>367955.53561145603</v>
      </c>
      <c r="D25215" s="56">
        <v>0.20330798939493569</v>
      </c>
      <c r="E25215" s="224" t="s">
        <v>2</v>
      </c>
      <c r="G25215" s="52"/>
      <c r="H25215" s="56"/>
      <c r="I25215" s="224"/>
    </row>
    <row r="25216" spans="1:9" x14ac:dyDescent="0.25">
      <c r="A25216" s="515">
        <v>68720</v>
      </c>
      <c r="C25216" s="52">
        <v>218044.079381246</v>
      </c>
      <c r="D25216" s="56">
        <v>9.8376255027804824E-2</v>
      </c>
      <c r="E25216" s="224" t="s">
        <v>2</v>
      </c>
      <c r="G25216" s="52"/>
      <c r="H25216" s="56"/>
      <c r="I25216" s="224"/>
    </row>
    <row r="25217" spans="1:9" x14ac:dyDescent="0.25">
      <c r="A25217" s="515">
        <v>48190</v>
      </c>
      <c r="B25217" s="515" t="s">
        <v>783</v>
      </c>
      <c r="C25217" s="52">
        <v>233657.13941890901</v>
      </c>
      <c r="D25217" s="56">
        <v>0</v>
      </c>
      <c r="E25217" s="224" t="s">
        <v>2</v>
      </c>
      <c r="G25217" s="52"/>
      <c r="H25217" s="56"/>
      <c r="I25217" s="224"/>
    </row>
    <row r="25218" spans="1:9" x14ac:dyDescent="0.25">
      <c r="A25218" s="515">
        <v>92317</v>
      </c>
      <c r="B25218" s="515" t="s">
        <v>599</v>
      </c>
      <c r="C25218" s="52">
        <v>402445.47589311103</v>
      </c>
      <c r="D25218" s="56">
        <v>7.9455988169330624E-2</v>
      </c>
      <c r="E25218" s="224" t="s">
        <v>2</v>
      </c>
      <c r="G25218" s="52"/>
      <c r="H25218" s="56"/>
      <c r="I25218" s="224"/>
    </row>
    <row r="25219" spans="1:9" x14ac:dyDescent="0.25">
      <c r="A25219" s="515">
        <v>18469</v>
      </c>
      <c r="C25219" s="52">
        <v>282808.35159783601</v>
      </c>
      <c r="D25219" s="56">
        <v>9.6633835222062828E-2</v>
      </c>
      <c r="E25219" s="224" t="s">
        <v>2</v>
      </c>
      <c r="G25219" s="52"/>
      <c r="H25219" s="56"/>
      <c r="I25219" s="224"/>
    </row>
    <row r="25220" spans="1:9" x14ac:dyDescent="0.25">
      <c r="A25220" s="515">
        <v>17215</v>
      </c>
      <c r="C25220" s="52">
        <v>154897.16902182801</v>
      </c>
      <c r="D25220" s="56">
        <v>0</v>
      </c>
      <c r="E25220" s="224" t="s">
        <v>2</v>
      </c>
      <c r="G25220" s="52"/>
      <c r="H25220" s="56"/>
      <c r="I25220" s="224"/>
    </row>
    <row r="25221" spans="1:9" x14ac:dyDescent="0.25">
      <c r="A25221" s="515">
        <v>12513</v>
      </c>
      <c r="B25221" s="515" t="s">
        <v>564</v>
      </c>
      <c r="C25221" s="52">
        <v>354618.58645691298</v>
      </c>
      <c r="D25221" s="56">
        <v>9.313105743991866E-2</v>
      </c>
      <c r="E25221" s="224" t="s">
        <v>2</v>
      </c>
      <c r="G25221" s="52"/>
      <c r="H25221" s="56"/>
      <c r="I25221" s="224"/>
    </row>
    <row r="25222" spans="1:9" x14ac:dyDescent="0.25">
      <c r="A25222" s="515">
        <v>64459</v>
      </c>
      <c r="B25222" s="515" t="s">
        <v>371</v>
      </c>
      <c r="C25222" s="52">
        <v>170515.34383152801</v>
      </c>
      <c r="D25222" s="56">
        <v>-2.0582068567347126E-3</v>
      </c>
      <c r="E25222" s="224" t="s">
        <v>2</v>
      </c>
      <c r="G25222" s="52"/>
      <c r="H25222" s="56"/>
      <c r="I25222" s="224"/>
    </row>
    <row r="25223" spans="1:9" x14ac:dyDescent="0.25">
      <c r="A25223" s="515">
        <v>23357</v>
      </c>
      <c r="C25223" s="52">
        <v>100741.337209302</v>
      </c>
      <c r="D25223" s="56">
        <v>0</v>
      </c>
      <c r="E25223" s="224" t="s">
        <v>2</v>
      </c>
      <c r="G25223" s="52"/>
      <c r="H25223" s="56"/>
      <c r="I25223" s="224"/>
    </row>
    <row r="25224" spans="1:9" x14ac:dyDescent="0.25">
      <c r="A25224" s="515">
        <v>61532</v>
      </c>
      <c r="C25224" s="52">
        <v>64256.244864292799</v>
      </c>
      <c r="D25224" s="56">
        <v>-8.8725465611887207E-3</v>
      </c>
      <c r="E25224" s="224" t="s">
        <v>2</v>
      </c>
      <c r="G25224" s="52"/>
      <c r="H25224" s="56"/>
      <c r="I25224" s="224"/>
    </row>
    <row r="25225" spans="1:9" x14ac:dyDescent="0.25">
      <c r="A25225" s="515">
        <v>66016</v>
      </c>
      <c r="B25225" s="515" t="s">
        <v>682</v>
      </c>
      <c r="C25225" s="52">
        <v>230354.50384374501</v>
      </c>
      <c r="D25225" s="56">
        <v>0.28222173714030879</v>
      </c>
      <c r="E25225" s="224" t="s">
        <v>2</v>
      </c>
      <c r="G25225" s="52"/>
      <c r="H25225" s="56"/>
      <c r="I25225" s="224"/>
    </row>
    <row r="25226" spans="1:9" x14ac:dyDescent="0.25">
      <c r="A25226" s="515">
        <v>42410</v>
      </c>
      <c r="B25226" s="515" t="s">
        <v>598</v>
      </c>
      <c r="C25226" s="52">
        <v>40618.051432911998</v>
      </c>
      <c r="D25226" s="56">
        <v>-4.8287035162235801E-4</v>
      </c>
      <c r="E25226" s="224" t="s">
        <v>2</v>
      </c>
      <c r="G25226" s="52"/>
      <c r="H25226" s="56"/>
      <c r="I25226" s="224"/>
    </row>
    <row r="25227" spans="1:9" x14ac:dyDescent="0.25">
      <c r="A25227" s="515">
        <v>79563</v>
      </c>
      <c r="B25227" s="515" t="s">
        <v>704</v>
      </c>
      <c r="C25227" s="52">
        <v>97630.247033521096</v>
      </c>
      <c r="D25227" s="56">
        <v>8.0065112989324741E-2</v>
      </c>
      <c r="E25227" s="224" t="s">
        <v>2</v>
      </c>
      <c r="G25227" s="52"/>
      <c r="H25227" s="56"/>
      <c r="I25227" s="224"/>
    </row>
    <row r="25228" spans="1:9" x14ac:dyDescent="0.25">
      <c r="A25228" s="515">
        <v>68055</v>
      </c>
      <c r="C25228" s="52">
        <v>70072.918507657596</v>
      </c>
      <c r="D25228" s="56">
        <v>-7.467421636306823E-2</v>
      </c>
      <c r="E25228" s="224" t="s">
        <v>2</v>
      </c>
      <c r="G25228" s="52"/>
      <c r="H25228" s="56"/>
      <c r="I25228" s="224"/>
    </row>
    <row r="25229" spans="1:9" x14ac:dyDescent="0.25">
      <c r="A25229" s="515">
        <v>20606</v>
      </c>
      <c r="B25229" s="515" t="s">
        <v>779</v>
      </c>
      <c r="C25229" s="52">
        <v>398748.39545056497</v>
      </c>
      <c r="D25229" s="56">
        <v>0</v>
      </c>
      <c r="E25229" s="224" t="s">
        <v>2</v>
      </c>
      <c r="G25229" s="52"/>
      <c r="H25229" s="56"/>
      <c r="I25229" s="224"/>
    </row>
    <row r="25230" spans="1:9" x14ac:dyDescent="0.25">
      <c r="A25230" s="515">
        <v>52638</v>
      </c>
      <c r="B25230" s="515" t="s">
        <v>672</v>
      </c>
      <c r="C25230" s="52">
        <v>168943.575348732</v>
      </c>
      <c r="D25230" s="56">
        <v>3.1101884832001492E-2</v>
      </c>
      <c r="E25230" s="224" t="s">
        <v>2</v>
      </c>
      <c r="G25230" s="52"/>
      <c r="H25230" s="56"/>
      <c r="I25230" s="224"/>
    </row>
    <row r="25231" spans="1:9" x14ac:dyDescent="0.25">
      <c r="A25231" s="515">
        <v>26036</v>
      </c>
      <c r="B25231" s="515" t="s">
        <v>442</v>
      </c>
      <c r="C25231" s="52">
        <v>156630.78821673401</v>
      </c>
      <c r="D25231" s="56">
        <v>1.6617402771532303E-2</v>
      </c>
      <c r="E25231" s="224" t="s">
        <v>2</v>
      </c>
      <c r="G25231" s="52"/>
      <c r="H25231" s="56"/>
      <c r="I25231" s="224"/>
    </row>
    <row r="25232" spans="1:9" x14ac:dyDescent="0.25">
      <c r="A25232" s="515">
        <v>12823</v>
      </c>
      <c r="B25232" s="515" t="s">
        <v>422</v>
      </c>
      <c r="C25232" s="52">
        <v>257433.133285669</v>
      </c>
      <c r="D25232" s="56">
        <v>1.3574815731388462E-2</v>
      </c>
      <c r="E25232" s="224" t="s">
        <v>2</v>
      </c>
      <c r="G25232" s="52"/>
      <c r="H25232" s="56"/>
      <c r="I25232" s="224"/>
    </row>
    <row r="25233" spans="1:9" x14ac:dyDescent="0.25">
      <c r="A25233" s="515">
        <v>65778</v>
      </c>
      <c r="C25233" s="52">
        <v>157631.03998867399</v>
      </c>
      <c r="D25233" s="56">
        <v>0.12335377308336855</v>
      </c>
      <c r="E25233" s="224" t="s">
        <v>2</v>
      </c>
      <c r="G25233" s="52"/>
      <c r="H25233" s="56"/>
      <c r="I25233" s="224"/>
    </row>
    <row r="25234" spans="1:9" x14ac:dyDescent="0.25">
      <c r="A25234" s="515">
        <v>66429</v>
      </c>
      <c r="B25234" s="515" t="s">
        <v>549</v>
      </c>
      <c r="C25234" s="52">
        <v>213623.853590079</v>
      </c>
      <c r="D25234" s="56">
        <v>8.6083269312638502E-2</v>
      </c>
      <c r="E25234" s="224" t="s">
        <v>2</v>
      </c>
      <c r="G25234" s="52"/>
      <c r="H25234" s="56"/>
      <c r="I25234" s="224"/>
    </row>
    <row r="25235" spans="1:9" x14ac:dyDescent="0.25">
      <c r="A25235" s="515">
        <v>6266</v>
      </c>
      <c r="B25235" s="515" t="s">
        <v>751</v>
      </c>
      <c r="C25235" s="52">
        <v>253049.05476571599</v>
      </c>
      <c r="D25235" s="56">
        <v>7.0816027486898955E-2</v>
      </c>
      <c r="E25235" s="224" t="s">
        <v>2</v>
      </c>
      <c r="G25235" s="52"/>
      <c r="H25235" s="56"/>
      <c r="I25235" s="224"/>
    </row>
    <row r="25236" spans="1:9" x14ac:dyDescent="0.25">
      <c r="A25236" s="515">
        <v>18624</v>
      </c>
      <c r="B25236" s="515" t="s">
        <v>327</v>
      </c>
      <c r="C25236" s="52">
        <v>372236.12061330897</v>
      </c>
      <c r="D25236" s="56">
        <v>0.19482691362179372</v>
      </c>
      <c r="E25236" s="224" t="s">
        <v>2</v>
      </c>
      <c r="G25236" s="52"/>
      <c r="H25236" s="56"/>
      <c r="I25236" s="224"/>
    </row>
    <row r="25237" spans="1:9" x14ac:dyDescent="0.25">
      <c r="A25237" s="515">
        <v>58736</v>
      </c>
      <c r="B25237" s="515" t="s">
        <v>849</v>
      </c>
      <c r="C25237" s="52">
        <v>58730.615371567001</v>
      </c>
      <c r="D25237" s="56">
        <v>0</v>
      </c>
      <c r="E25237" s="224" t="s">
        <v>2</v>
      </c>
      <c r="G25237" s="52"/>
      <c r="H25237" s="56"/>
      <c r="I25237" s="224"/>
    </row>
    <row r="25238" spans="1:9" x14ac:dyDescent="0.25">
      <c r="A25238" s="515">
        <v>25902</v>
      </c>
      <c r="B25238" s="515" t="s">
        <v>566</v>
      </c>
      <c r="C25238" s="52">
        <v>100590.375</v>
      </c>
      <c r="D25238" s="56">
        <v>0</v>
      </c>
      <c r="E25238" s="224" t="s">
        <v>2</v>
      </c>
      <c r="G25238" s="52"/>
      <c r="H25238" s="56"/>
      <c r="I25238" s="224"/>
    </row>
    <row r="25239" spans="1:9" x14ac:dyDescent="0.25">
      <c r="A25239" s="515">
        <v>24487</v>
      </c>
      <c r="C25239" s="52">
        <v>207164.66799620001</v>
      </c>
      <c r="D25239" s="56">
        <v>6.5986776285807583E-2</v>
      </c>
      <c r="E25239" s="224" t="s">
        <v>2</v>
      </c>
      <c r="G25239" s="52"/>
      <c r="H25239" s="56"/>
      <c r="I25239" s="224"/>
    </row>
    <row r="25240" spans="1:9" x14ac:dyDescent="0.25">
      <c r="A25240" s="515">
        <v>56025</v>
      </c>
      <c r="C25240" s="52">
        <v>184609.25642859301</v>
      </c>
      <c r="D25240" s="56">
        <v>0</v>
      </c>
      <c r="E25240" s="224" t="s">
        <v>2</v>
      </c>
      <c r="G25240" s="52"/>
      <c r="H25240" s="56"/>
      <c r="I25240" s="224"/>
    </row>
    <row r="25241" spans="1:9" x14ac:dyDescent="0.25">
      <c r="A25241" s="515">
        <v>40010</v>
      </c>
      <c r="B25241" s="515" t="s">
        <v>479</v>
      </c>
      <c r="C25241" s="52">
        <v>432509.94976770203</v>
      </c>
      <c r="D25241" s="56">
        <v>5.5830543981076168E-3</v>
      </c>
      <c r="E25241" s="224" t="s">
        <v>2</v>
      </c>
      <c r="G25241" s="52"/>
      <c r="H25241" s="56"/>
      <c r="I25241" s="224"/>
    </row>
    <row r="25242" spans="1:9" x14ac:dyDescent="0.25">
      <c r="A25242" s="515">
        <v>66416</v>
      </c>
      <c r="B25242" s="515" t="s">
        <v>549</v>
      </c>
      <c r="C25242" s="52">
        <v>192607.410077379</v>
      </c>
      <c r="D25242" s="56">
        <v>0.23269262834732035</v>
      </c>
      <c r="E25242" s="224" t="s">
        <v>2</v>
      </c>
      <c r="G25242" s="52"/>
      <c r="H25242" s="56"/>
      <c r="I25242" s="224"/>
    </row>
    <row r="25243" spans="1:9" x14ac:dyDescent="0.25">
      <c r="A25243" s="515">
        <v>98946</v>
      </c>
      <c r="B25243" s="515" t="s">
        <v>473</v>
      </c>
      <c r="C25243" s="52">
        <v>451759.29377340397</v>
      </c>
      <c r="D25243" s="56">
        <v>8.3135487600307909E-2</v>
      </c>
      <c r="E25243" s="224" t="s">
        <v>2</v>
      </c>
      <c r="G25243" s="52"/>
      <c r="H25243" s="56"/>
      <c r="I25243" s="224"/>
    </row>
    <row r="25244" spans="1:9" x14ac:dyDescent="0.25">
      <c r="A25244" s="515">
        <v>27813</v>
      </c>
      <c r="B25244" s="515" t="s">
        <v>780</v>
      </c>
      <c r="C25244" s="52">
        <v>141201.99434680701</v>
      </c>
      <c r="D25244" s="56">
        <v>0.23962346167782103</v>
      </c>
      <c r="E25244" s="224" t="s">
        <v>2</v>
      </c>
      <c r="G25244" s="52"/>
      <c r="H25244" s="56"/>
      <c r="I25244" s="224"/>
    </row>
    <row r="25245" spans="1:9" x14ac:dyDescent="0.25">
      <c r="A25245" s="515">
        <v>66717</v>
      </c>
      <c r="C25245" s="52">
        <v>77231.377247366996</v>
      </c>
      <c r="D25245" s="56">
        <v>-2.6576793670372991E-2</v>
      </c>
      <c r="E25245" s="224" t="s">
        <v>2</v>
      </c>
      <c r="G25245" s="52"/>
      <c r="H25245" s="56"/>
      <c r="I25245" s="224"/>
    </row>
    <row r="25246" spans="1:9" x14ac:dyDescent="0.25">
      <c r="A25246" s="515">
        <v>12751</v>
      </c>
      <c r="C25246" s="52">
        <v>152257.364349424</v>
      </c>
      <c r="D25246" s="56">
        <v>0.1465812299141602</v>
      </c>
      <c r="E25246" s="224" t="s">
        <v>2</v>
      </c>
      <c r="G25246" s="52"/>
      <c r="H25246" s="56"/>
      <c r="I25246" s="224"/>
    </row>
    <row r="25247" spans="1:9" x14ac:dyDescent="0.25">
      <c r="A25247" s="515">
        <v>52551</v>
      </c>
      <c r="C25247" s="52">
        <v>157921.73642300299</v>
      </c>
      <c r="D25247" s="56">
        <v>0.16160604404673781</v>
      </c>
      <c r="E25247" s="224" t="s">
        <v>2</v>
      </c>
      <c r="G25247" s="52"/>
      <c r="H25247" s="56"/>
      <c r="I25247" s="224"/>
    </row>
    <row r="25248" spans="1:9" x14ac:dyDescent="0.25">
      <c r="A25248" s="515">
        <v>97357</v>
      </c>
      <c r="B25248" s="515" t="s">
        <v>618</v>
      </c>
      <c r="C25248" s="52">
        <v>497275.80137010099</v>
      </c>
      <c r="D25248" s="56">
        <v>5.6692552993384424E-2</v>
      </c>
      <c r="E25248" s="224" t="s">
        <v>2</v>
      </c>
      <c r="G25248" s="52"/>
      <c r="H25248" s="56"/>
      <c r="I25248" s="224"/>
    </row>
    <row r="25249" spans="1:9" x14ac:dyDescent="0.25">
      <c r="A25249" s="515">
        <v>4768</v>
      </c>
      <c r="C25249" s="52">
        <v>181309.490196078</v>
      </c>
      <c r="D25249" s="56">
        <v>0</v>
      </c>
      <c r="E25249" s="224" t="s">
        <v>2</v>
      </c>
      <c r="G25249" s="52"/>
      <c r="H25249" s="56"/>
      <c r="I25249" s="224"/>
    </row>
    <row r="25250" spans="1:9" x14ac:dyDescent="0.25">
      <c r="A25250" s="515">
        <v>65321</v>
      </c>
      <c r="B25250" s="515" t="s">
        <v>1142</v>
      </c>
      <c r="C25250" s="52">
        <v>157869.419354838</v>
      </c>
      <c r="D25250" s="56">
        <v>0</v>
      </c>
      <c r="E25250" s="224" t="s">
        <v>2</v>
      </c>
      <c r="G25250" s="52"/>
      <c r="H25250" s="56"/>
      <c r="I25250" s="224"/>
    </row>
    <row r="25251" spans="1:9" x14ac:dyDescent="0.25">
      <c r="A25251" s="515">
        <v>18056</v>
      </c>
      <c r="B25251" s="515" t="s">
        <v>569</v>
      </c>
      <c r="C25251" s="52">
        <v>194987.48398389999</v>
      </c>
      <c r="D25251" s="56">
        <v>0.11115332365186135</v>
      </c>
      <c r="E25251" s="224" t="s">
        <v>2</v>
      </c>
      <c r="G25251" s="52"/>
      <c r="H25251" s="56"/>
      <c r="I25251" s="224"/>
    </row>
    <row r="25252" spans="1:9" x14ac:dyDescent="0.25">
      <c r="A25252" s="515">
        <v>31821</v>
      </c>
      <c r="B25252" s="515" t="s">
        <v>778</v>
      </c>
      <c r="C25252" s="52">
        <v>79568.952614515307</v>
      </c>
      <c r="D25252" s="56">
        <v>2.6722385437803527E-2</v>
      </c>
      <c r="E25252" s="224" t="s">
        <v>2</v>
      </c>
      <c r="G25252" s="52"/>
      <c r="H25252" s="56"/>
      <c r="I25252" s="224"/>
    </row>
    <row r="25253" spans="1:9" x14ac:dyDescent="0.25">
      <c r="A25253" s="515">
        <v>82710</v>
      </c>
      <c r="B25253" s="515" t="s">
        <v>589</v>
      </c>
      <c r="C25253" s="52">
        <v>429518.47281524399</v>
      </c>
      <c r="D25253" s="56">
        <v>0.17185591471115921</v>
      </c>
      <c r="E25253" s="224" t="s">
        <v>2</v>
      </c>
      <c r="G25253" s="52"/>
      <c r="H25253" s="56"/>
      <c r="I25253" s="224"/>
    </row>
    <row r="25254" spans="1:9" x14ac:dyDescent="0.25">
      <c r="A25254" s="515">
        <v>41619</v>
      </c>
      <c r="C25254" s="52">
        <v>64070.555700397897</v>
      </c>
      <c r="D25254" s="56">
        <v>0.29996256406815841</v>
      </c>
      <c r="E25254" s="224" t="s">
        <v>2</v>
      </c>
      <c r="G25254" s="52"/>
      <c r="H25254" s="56"/>
      <c r="I25254" s="224"/>
    </row>
    <row r="25255" spans="1:9" x14ac:dyDescent="0.25">
      <c r="A25255" s="515">
        <v>59006</v>
      </c>
      <c r="B25255" s="515" t="s">
        <v>637</v>
      </c>
      <c r="C25255" s="52">
        <v>339540.74533111602</v>
      </c>
      <c r="D25255" s="56">
        <v>0.13878700077943523</v>
      </c>
      <c r="E25255" s="224" t="s">
        <v>2</v>
      </c>
      <c r="G25255" s="52"/>
      <c r="H25255" s="56"/>
      <c r="I25255" s="224"/>
    </row>
    <row r="25256" spans="1:9" x14ac:dyDescent="0.25">
      <c r="A25256" s="515">
        <v>74633</v>
      </c>
      <c r="B25256" s="515" t="s">
        <v>348</v>
      </c>
      <c r="C25256" s="52">
        <v>150979.97253930301</v>
      </c>
      <c r="D25256" s="56">
        <v>8.0871451446613715E-2</v>
      </c>
      <c r="E25256" s="224" t="s">
        <v>2</v>
      </c>
      <c r="G25256" s="52"/>
      <c r="H25256" s="56"/>
      <c r="I25256" s="224"/>
    </row>
    <row r="25257" spans="1:9" x14ac:dyDescent="0.25">
      <c r="A25257" s="515">
        <v>80432</v>
      </c>
      <c r="B25257" s="515" t="s">
        <v>401</v>
      </c>
      <c r="C25257" s="52">
        <v>443211.65432614001</v>
      </c>
      <c r="D25257" s="56">
        <v>5.1866289272962503E-2</v>
      </c>
      <c r="E25257" s="224" t="s">
        <v>2</v>
      </c>
      <c r="G25257" s="52"/>
      <c r="H25257" s="56"/>
      <c r="I25257" s="224"/>
    </row>
    <row r="25258" spans="1:9" x14ac:dyDescent="0.25">
      <c r="A25258" s="515">
        <v>50116</v>
      </c>
      <c r="B25258" s="515" t="s">
        <v>625</v>
      </c>
      <c r="C25258" s="52">
        <v>139595.019648471</v>
      </c>
      <c r="D25258" s="56">
        <v>0</v>
      </c>
      <c r="E25258" s="224" t="s">
        <v>2</v>
      </c>
      <c r="G25258" s="52"/>
      <c r="H25258" s="56"/>
      <c r="I25258" s="224"/>
    </row>
    <row r="25259" spans="1:9" x14ac:dyDescent="0.25">
      <c r="A25259" s="515">
        <v>20626</v>
      </c>
      <c r="B25259" s="515" t="s">
        <v>779</v>
      </c>
      <c r="C25259" s="52">
        <v>374955.547966816</v>
      </c>
      <c r="D25259" s="56">
        <v>2.5455177810714755E-2</v>
      </c>
      <c r="E25259" s="224" t="s">
        <v>2</v>
      </c>
      <c r="G25259" s="52"/>
      <c r="H25259" s="56"/>
      <c r="I25259" s="224"/>
    </row>
    <row r="25260" spans="1:9" x14ac:dyDescent="0.25">
      <c r="A25260" s="515">
        <v>38950</v>
      </c>
      <c r="C25260" s="52">
        <v>85768.065104204506</v>
      </c>
      <c r="D25260" s="56">
        <v>-0.14149625559762713</v>
      </c>
      <c r="E25260" s="224" t="s">
        <v>2</v>
      </c>
      <c r="G25260" s="52"/>
      <c r="H25260" s="56"/>
      <c r="I25260" s="224"/>
    </row>
    <row r="25261" spans="1:9" x14ac:dyDescent="0.25">
      <c r="A25261" s="515">
        <v>81235</v>
      </c>
      <c r="C25261" s="52">
        <v>431835.67114604497</v>
      </c>
      <c r="D25261" s="56">
        <v>6.8810569752748976E-2</v>
      </c>
      <c r="E25261" s="224" t="s">
        <v>2</v>
      </c>
      <c r="G25261" s="52"/>
      <c r="H25261" s="56"/>
      <c r="I25261" s="224"/>
    </row>
    <row r="25262" spans="1:9" x14ac:dyDescent="0.25">
      <c r="A25262" s="515">
        <v>5492</v>
      </c>
      <c r="C25262" s="52">
        <v>303788.01190476102</v>
      </c>
      <c r="D25262" s="56">
        <v>0</v>
      </c>
      <c r="E25262" s="224" t="s">
        <v>2</v>
      </c>
      <c r="G25262" s="52"/>
      <c r="H25262" s="56"/>
      <c r="I25262" s="224"/>
    </row>
    <row r="25263" spans="1:9" x14ac:dyDescent="0.25">
      <c r="A25263" s="515">
        <v>68932</v>
      </c>
      <c r="C25263" s="52">
        <v>77462.184914447294</v>
      </c>
      <c r="D25263" s="56">
        <v>5.9049934609652927E-3</v>
      </c>
      <c r="E25263" s="224" t="s">
        <v>2</v>
      </c>
      <c r="G25263" s="52"/>
      <c r="H25263" s="56"/>
      <c r="I25263" s="224"/>
    </row>
    <row r="25264" spans="1:9" x14ac:dyDescent="0.25">
      <c r="A25264" s="515">
        <v>63330</v>
      </c>
      <c r="C25264" s="52">
        <v>100397.653418631</v>
      </c>
      <c r="D25264" s="56">
        <v>0.13975722967779336</v>
      </c>
      <c r="E25264" s="224" t="s">
        <v>2</v>
      </c>
      <c r="G25264" s="52"/>
      <c r="H25264" s="56"/>
      <c r="I25264" s="224"/>
    </row>
    <row r="25265" spans="1:9" x14ac:dyDescent="0.25">
      <c r="A25265" s="515">
        <v>50103</v>
      </c>
      <c r="C25265" s="52">
        <v>115483.060843317</v>
      </c>
      <c r="D25265" s="56">
        <v>0</v>
      </c>
      <c r="E25265" s="224" t="s">
        <v>2</v>
      </c>
      <c r="G25265" s="52"/>
      <c r="H25265" s="56"/>
      <c r="I25265" s="224"/>
    </row>
    <row r="25266" spans="1:9" x14ac:dyDescent="0.25">
      <c r="A25266" s="515">
        <v>57476</v>
      </c>
      <c r="C25266" s="52">
        <v>156091.495919751</v>
      </c>
      <c r="D25266" s="56">
        <v>0.12662667876617975</v>
      </c>
      <c r="E25266" s="224" t="s">
        <v>2</v>
      </c>
      <c r="G25266" s="52"/>
      <c r="H25266" s="56"/>
      <c r="I25266" s="224"/>
    </row>
    <row r="25267" spans="1:9" x14ac:dyDescent="0.25">
      <c r="A25267" s="515">
        <v>77560</v>
      </c>
      <c r="B25267" s="515" t="s">
        <v>314</v>
      </c>
      <c r="C25267" s="52">
        <v>218176.44837555301</v>
      </c>
      <c r="D25267" s="56">
        <v>0</v>
      </c>
      <c r="E25267" s="224" t="s">
        <v>2</v>
      </c>
      <c r="G25267" s="52"/>
      <c r="H25267" s="56"/>
      <c r="I25267" s="224"/>
    </row>
    <row r="25268" spans="1:9" x14ac:dyDescent="0.25">
      <c r="A25268" s="515">
        <v>82421</v>
      </c>
      <c r="C25268" s="52">
        <v>260045.79701007699</v>
      </c>
      <c r="D25268" s="56">
        <v>0.11816738238371284</v>
      </c>
      <c r="E25268" s="224" t="s">
        <v>2</v>
      </c>
      <c r="G25268" s="52"/>
      <c r="H25268" s="56"/>
      <c r="I25268" s="224"/>
    </row>
    <row r="25269" spans="1:9" x14ac:dyDescent="0.25">
      <c r="A25269" s="515">
        <v>25978</v>
      </c>
      <c r="C25269" s="52">
        <v>142442.77596902801</v>
      </c>
      <c r="D25269" s="56">
        <v>5.5277498872214739E-2</v>
      </c>
      <c r="E25269" s="224" t="s">
        <v>2</v>
      </c>
      <c r="G25269" s="52"/>
      <c r="H25269" s="56"/>
      <c r="I25269" s="224"/>
    </row>
    <row r="25270" spans="1:9" x14ac:dyDescent="0.25">
      <c r="A25270" s="515">
        <v>52074</v>
      </c>
      <c r="C25270" s="52">
        <v>233627.59352184</v>
      </c>
      <c r="D25270" s="56">
        <v>0</v>
      </c>
      <c r="E25270" s="224" t="s">
        <v>2</v>
      </c>
      <c r="G25270" s="52"/>
      <c r="H25270" s="56"/>
      <c r="I25270" s="224"/>
    </row>
    <row r="25271" spans="1:9" x14ac:dyDescent="0.25">
      <c r="A25271" s="515">
        <v>70358</v>
      </c>
      <c r="B25271" s="515" t="s">
        <v>777</v>
      </c>
      <c r="C25271" s="52">
        <v>136705.09440491899</v>
      </c>
      <c r="D25271" s="56">
        <v>-0.17103718024733239</v>
      </c>
      <c r="E25271" s="224" t="s">
        <v>2</v>
      </c>
      <c r="G25271" s="52"/>
      <c r="H25271" s="56"/>
      <c r="I25271" s="224"/>
    </row>
    <row r="25272" spans="1:9" x14ac:dyDescent="0.25">
      <c r="A25272" s="515">
        <v>17778</v>
      </c>
      <c r="B25272" s="515" t="s">
        <v>776</v>
      </c>
      <c r="C25272" s="52">
        <v>72204.3518515826</v>
      </c>
      <c r="D25272" s="56">
        <v>0</v>
      </c>
      <c r="E25272" s="224" t="s">
        <v>2</v>
      </c>
      <c r="G25272" s="52"/>
      <c r="H25272" s="56"/>
      <c r="I25272" s="224"/>
    </row>
    <row r="25273" spans="1:9" x14ac:dyDescent="0.25">
      <c r="A25273" s="515">
        <v>95937</v>
      </c>
      <c r="B25273" s="515" t="s">
        <v>355</v>
      </c>
      <c r="C25273" s="52">
        <v>437479.94203357701</v>
      </c>
      <c r="D25273" s="56">
        <v>-2.630947278899947E-2</v>
      </c>
      <c r="E25273" s="224" t="s">
        <v>2</v>
      </c>
      <c r="G25273" s="52"/>
      <c r="H25273" s="56"/>
      <c r="I25273" s="224"/>
    </row>
    <row r="25274" spans="1:9" x14ac:dyDescent="0.25">
      <c r="A25274" s="515">
        <v>97522</v>
      </c>
      <c r="B25274" s="515" t="s">
        <v>775</v>
      </c>
      <c r="C25274" s="52">
        <v>277057.29470150103</v>
      </c>
      <c r="D25274" s="56">
        <v>4.1509444293281496E-2</v>
      </c>
      <c r="E25274" s="224" t="s">
        <v>2</v>
      </c>
      <c r="G25274" s="52"/>
      <c r="H25274" s="56"/>
      <c r="I25274" s="224"/>
    </row>
    <row r="25275" spans="1:9" x14ac:dyDescent="0.25">
      <c r="A25275" s="515">
        <v>62478</v>
      </c>
      <c r="C25275" s="52">
        <v>99844.5</v>
      </c>
      <c r="D25275" s="56">
        <v>0</v>
      </c>
      <c r="E25275" s="224" t="s">
        <v>2</v>
      </c>
      <c r="G25275" s="52"/>
      <c r="H25275" s="56"/>
      <c r="I25275" s="224"/>
    </row>
    <row r="25276" spans="1:9" x14ac:dyDescent="0.25">
      <c r="A25276" s="515">
        <v>25048</v>
      </c>
      <c r="B25276" s="515" t="s">
        <v>566</v>
      </c>
      <c r="C25276" s="52">
        <v>59051.892857142797</v>
      </c>
      <c r="D25276" s="56">
        <v>0</v>
      </c>
      <c r="E25276" s="224" t="s">
        <v>2</v>
      </c>
      <c r="G25276" s="52"/>
      <c r="H25276" s="56"/>
      <c r="I25276" s="224"/>
    </row>
    <row r="25277" spans="1:9" x14ac:dyDescent="0.25">
      <c r="A25277" s="515">
        <v>26321</v>
      </c>
      <c r="C25277" s="52">
        <v>120514.437657674</v>
      </c>
      <c r="D25277" s="56">
        <v>4.9245873227462322E-2</v>
      </c>
      <c r="E25277" s="224" t="s">
        <v>2</v>
      </c>
      <c r="G25277" s="52"/>
      <c r="H25277" s="56"/>
      <c r="I25277" s="224"/>
    </row>
    <row r="25278" spans="1:9" x14ac:dyDescent="0.25">
      <c r="A25278" s="515">
        <v>69218</v>
      </c>
      <c r="C25278" s="52">
        <v>57600.561877777698</v>
      </c>
      <c r="D25278" s="56">
        <v>0</v>
      </c>
      <c r="E25278" s="224" t="s">
        <v>2</v>
      </c>
      <c r="G25278" s="52"/>
      <c r="H25278" s="56"/>
      <c r="I25278" s="224"/>
    </row>
    <row r="25279" spans="1:9" x14ac:dyDescent="0.25">
      <c r="A25279" s="515">
        <v>24292</v>
      </c>
      <c r="C25279" s="52">
        <v>153858.53991308899</v>
      </c>
      <c r="D25279" s="56">
        <v>0.21347356065290324</v>
      </c>
      <c r="E25279" s="224" t="s">
        <v>2</v>
      </c>
      <c r="G25279" s="52"/>
      <c r="H25279" s="56"/>
      <c r="I25279" s="224"/>
    </row>
    <row r="25280" spans="1:9" x14ac:dyDescent="0.25">
      <c r="A25280" s="515">
        <v>67736</v>
      </c>
      <c r="C25280" s="52">
        <v>132294.12328502801</v>
      </c>
      <c r="D25280" s="56">
        <v>0.3452075841672842</v>
      </c>
      <c r="E25280" s="224" t="s">
        <v>2</v>
      </c>
      <c r="G25280" s="52"/>
      <c r="H25280" s="56"/>
      <c r="I25280" s="224"/>
    </row>
    <row r="25281" spans="1:9" x14ac:dyDescent="0.25">
      <c r="A25281" s="515">
        <v>68447</v>
      </c>
      <c r="C25281" s="52">
        <v>102930.96778973</v>
      </c>
      <c r="D25281" s="56">
        <v>0.16686056345999534</v>
      </c>
      <c r="E25281" s="224" t="s">
        <v>2</v>
      </c>
      <c r="G25281" s="52"/>
      <c r="H25281" s="56"/>
      <c r="I25281" s="224"/>
    </row>
    <row r="25282" spans="1:9" x14ac:dyDescent="0.25">
      <c r="A25282" s="515">
        <v>60910</v>
      </c>
      <c r="B25282" s="515" t="s">
        <v>774</v>
      </c>
      <c r="C25282" s="52">
        <v>114966.990689684</v>
      </c>
      <c r="D25282" s="56">
        <v>0</v>
      </c>
      <c r="E25282" s="224" t="s">
        <v>2</v>
      </c>
      <c r="G25282" s="52"/>
      <c r="H25282" s="56"/>
      <c r="I25282" s="224"/>
    </row>
    <row r="25283" spans="1:9" x14ac:dyDescent="0.25">
      <c r="A25283" s="515">
        <v>23844</v>
      </c>
      <c r="B25283" s="515" t="s">
        <v>301</v>
      </c>
      <c r="C25283" s="52">
        <v>158694.70138106</v>
      </c>
      <c r="D25283" s="56">
        <v>4.8206071162597397E-2</v>
      </c>
      <c r="E25283" s="224" t="s">
        <v>2</v>
      </c>
      <c r="G25283" s="52"/>
      <c r="H25283" s="56"/>
      <c r="I25283" s="224"/>
    </row>
    <row r="25284" spans="1:9" x14ac:dyDescent="0.25">
      <c r="A25284" s="515">
        <v>95426</v>
      </c>
      <c r="B25284" s="515" t="s">
        <v>363</v>
      </c>
      <c r="C25284" s="52">
        <v>302382.11244394601</v>
      </c>
      <c r="D25284" s="56">
        <v>5.328023637459523E-3</v>
      </c>
      <c r="E25284" s="224" t="s">
        <v>2</v>
      </c>
      <c r="G25284" s="52"/>
      <c r="H25284" s="56"/>
      <c r="I25284" s="224"/>
    </row>
    <row r="25285" spans="1:9" x14ac:dyDescent="0.25">
      <c r="A25285" s="515">
        <v>41260</v>
      </c>
      <c r="C25285" s="52">
        <v>118093.422544758</v>
      </c>
      <c r="D25285" s="56">
        <v>7.4232529970600661E-2</v>
      </c>
      <c r="E25285" s="224" t="s">
        <v>2</v>
      </c>
      <c r="G25285" s="52"/>
      <c r="H25285" s="56"/>
      <c r="I25285" s="224"/>
    </row>
    <row r="25286" spans="1:9" x14ac:dyDescent="0.25">
      <c r="A25286" s="515">
        <v>45671</v>
      </c>
      <c r="B25286" s="515" t="s">
        <v>772</v>
      </c>
      <c r="C25286" s="52">
        <v>74766.901928527397</v>
      </c>
      <c r="D25286" s="56">
        <v>3.22869824467623E-2</v>
      </c>
      <c r="E25286" s="224" t="s">
        <v>2</v>
      </c>
      <c r="G25286" s="52"/>
      <c r="H25286" s="56"/>
      <c r="I25286" s="224"/>
    </row>
    <row r="25287" spans="1:9" x14ac:dyDescent="0.25">
      <c r="A25287" s="515">
        <v>58655</v>
      </c>
      <c r="B25287" s="515" t="s">
        <v>771</v>
      </c>
      <c r="C25287" s="52">
        <v>258253.31462679899</v>
      </c>
      <c r="D25287" s="56">
        <v>4.7176284765488012E-2</v>
      </c>
      <c r="E25287" s="224" t="s">
        <v>2</v>
      </c>
      <c r="G25287" s="52"/>
      <c r="H25287" s="56"/>
      <c r="I25287" s="224"/>
    </row>
    <row r="25288" spans="1:9" x14ac:dyDescent="0.25">
      <c r="A25288" s="515">
        <v>13861</v>
      </c>
      <c r="B25288" s="515" t="s">
        <v>460</v>
      </c>
      <c r="C25288" s="52">
        <v>197455.56428770401</v>
      </c>
      <c r="D25288" s="56">
        <v>0.15054064242092569</v>
      </c>
      <c r="E25288" s="224" t="s">
        <v>2</v>
      </c>
      <c r="G25288" s="52"/>
      <c r="H25288" s="56"/>
      <c r="I25288" s="224"/>
    </row>
    <row r="25289" spans="1:9" x14ac:dyDescent="0.25">
      <c r="A25289" s="515">
        <v>67061</v>
      </c>
      <c r="C25289" s="52">
        <v>78854.381443851002</v>
      </c>
      <c r="D25289" s="56">
        <v>0.16622723916173085</v>
      </c>
      <c r="E25289" s="224" t="s">
        <v>2</v>
      </c>
      <c r="G25289" s="52"/>
      <c r="H25289" s="56"/>
      <c r="I25289" s="224"/>
    </row>
    <row r="25290" spans="1:9" x14ac:dyDescent="0.25">
      <c r="A25290" s="515">
        <v>86438</v>
      </c>
      <c r="B25290" s="515" t="s">
        <v>453</v>
      </c>
      <c r="C25290" s="52">
        <v>217213.90114450001</v>
      </c>
      <c r="D25290" s="56">
        <v>9.5493238327517105E-2</v>
      </c>
      <c r="E25290" s="224" t="s">
        <v>2</v>
      </c>
      <c r="G25290" s="52"/>
      <c r="H25290" s="56"/>
      <c r="I25290" s="224"/>
    </row>
    <row r="25291" spans="1:9" x14ac:dyDescent="0.25">
      <c r="A25291" s="515">
        <v>51357</v>
      </c>
      <c r="B25291" s="515" t="s">
        <v>426</v>
      </c>
      <c r="C25291" s="52">
        <v>103872.348994531</v>
      </c>
      <c r="D25291" s="56">
        <v>5.7174203410963256E-2</v>
      </c>
      <c r="E25291" s="224" t="s">
        <v>2</v>
      </c>
      <c r="G25291" s="52"/>
      <c r="H25291" s="56"/>
      <c r="I25291" s="224"/>
    </row>
    <row r="25292" spans="1:9" x14ac:dyDescent="0.25">
      <c r="A25292" s="515">
        <v>23056</v>
      </c>
      <c r="B25292" s="515" t="s">
        <v>301</v>
      </c>
      <c r="C25292" s="52">
        <v>246016.028517147</v>
      </c>
      <c r="D25292" s="56">
        <v>0</v>
      </c>
      <c r="E25292" s="224" t="s">
        <v>2</v>
      </c>
      <c r="G25292" s="52"/>
      <c r="H25292" s="56"/>
      <c r="I25292" s="224"/>
    </row>
    <row r="25293" spans="1:9" x14ac:dyDescent="0.25">
      <c r="A25293" s="515">
        <v>4657</v>
      </c>
      <c r="C25293" s="52">
        <v>185893.32073646199</v>
      </c>
      <c r="D25293" s="56">
        <v>0.1020057089109775</v>
      </c>
      <c r="E25293" s="224" t="s">
        <v>2</v>
      </c>
      <c r="G25293" s="52"/>
      <c r="H25293" s="56"/>
      <c r="I25293" s="224"/>
    </row>
    <row r="25294" spans="1:9" x14ac:dyDescent="0.25">
      <c r="A25294" s="515">
        <v>58487</v>
      </c>
      <c r="C25294" s="52">
        <v>62405.950284601</v>
      </c>
      <c r="D25294" s="56">
        <v>9.9746300142175059E-2</v>
      </c>
      <c r="E25294" s="224" t="s">
        <v>2</v>
      </c>
      <c r="G25294" s="52"/>
      <c r="H25294" s="56"/>
      <c r="I25294" s="224"/>
    </row>
    <row r="25295" spans="1:9" x14ac:dyDescent="0.25">
      <c r="A25295" s="515">
        <v>49820</v>
      </c>
      <c r="C25295" s="52">
        <v>147745.31231692701</v>
      </c>
      <c r="D25295" s="56">
        <v>0</v>
      </c>
      <c r="E25295" s="224" t="s">
        <v>2</v>
      </c>
      <c r="G25295" s="52"/>
      <c r="H25295" s="56"/>
      <c r="I25295" s="224"/>
    </row>
    <row r="25296" spans="1:9" x14ac:dyDescent="0.25">
      <c r="A25296" s="515">
        <v>13672</v>
      </c>
      <c r="B25296" s="515" t="s">
        <v>511</v>
      </c>
      <c r="C25296" s="52">
        <v>121659.121612059</v>
      </c>
      <c r="D25296" s="56">
        <v>8.0250249990767866E-2</v>
      </c>
      <c r="E25296" s="224" t="s">
        <v>2</v>
      </c>
      <c r="G25296" s="52"/>
      <c r="H25296" s="56"/>
      <c r="I25296" s="224"/>
    </row>
    <row r="25297" spans="1:9" x14ac:dyDescent="0.25">
      <c r="A25297" s="515">
        <v>67556</v>
      </c>
      <c r="C25297" s="52">
        <v>81726.541751021796</v>
      </c>
      <c r="D25297" s="56">
        <v>5.8814472132907143E-2</v>
      </c>
      <c r="E25297" s="224" t="s">
        <v>2</v>
      </c>
      <c r="G25297" s="52"/>
      <c r="H25297" s="56"/>
      <c r="I25297" s="224"/>
    </row>
    <row r="25298" spans="1:9" x14ac:dyDescent="0.25">
      <c r="A25298" s="515">
        <v>95257</v>
      </c>
      <c r="C25298" s="52">
        <v>297943.39587474999</v>
      </c>
      <c r="D25298" s="56">
        <v>-1.714295470579659E-2</v>
      </c>
      <c r="E25298" s="224" t="s">
        <v>2</v>
      </c>
      <c r="G25298" s="52"/>
      <c r="H25298" s="56"/>
      <c r="I25298" s="224"/>
    </row>
    <row r="25299" spans="1:9" x14ac:dyDescent="0.25">
      <c r="A25299" s="515">
        <v>73024</v>
      </c>
      <c r="C25299" s="52">
        <v>105937.67057107401</v>
      </c>
      <c r="D25299" s="56">
        <v>7.3382601476786935E-2</v>
      </c>
      <c r="E25299" s="224" t="s">
        <v>2</v>
      </c>
      <c r="G25299" s="52"/>
      <c r="H25299" s="56"/>
      <c r="I25299" s="224"/>
    </row>
    <row r="25300" spans="1:9" x14ac:dyDescent="0.25">
      <c r="A25300" s="515">
        <v>12819</v>
      </c>
      <c r="B25300" s="515" t="s">
        <v>422</v>
      </c>
      <c r="C25300" s="52">
        <v>218957.26993826599</v>
      </c>
      <c r="D25300" s="56">
        <v>5.3327350098498878E-2</v>
      </c>
      <c r="E25300" s="224" t="s">
        <v>2</v>
      </c>
      <c r="G25300" s="52"/>
      <c r="H25300" s="56"/>
      <c r="I25300" s="224"/>
    </row>
    <row r="25301" spans="1:9" x14ac:dyDescent="0.25">
      <c r="A25301" s="515">
        <v>59087</v>
      </c>
      <c r="C25301" s="52">
        <v>207302.92680022001</v>
      </c>
      <c r="D25301" s="56">
        <v>-6.6437919830158745E-2</v>
      </c>
      <c r="E25301" s="224" t="s">
        <v>2</v>
      </c>
      <c r="G25301" s="52"/>
      <c r="H25301" s="56"/>
      <c r="I25301" s="224"/>
    </row>
    <row r="25302" spans="1:9" x14ac:dyDescent="0.25">
      <c r="A25302" s="515">
        <v>34216</v>
      </c>
      <c r="B25302" s="515" t="s">
        <v>466</v>
      </c>
      <c r="C25302" s="52">
        <v>2290023.7488671499</v>
      </c>
      <c r="D25302" s="56">
        <v>0.20893541961015455</v>
      </c>
      <c r="E25302" s="224" t="s">
        <v>2</v>
      </c>
      <c r="G25302" s="52"/>
      <c r="H25302" s="56"/>
      <c r="I25302" s="224"/>
    </row>
    <row r="25303" spans="1:9" x14ac:dyDescent="0.25">
      <c r="A25303" s="515">
        <v>82327</v>
      </c>
      <c r="C25303" s="52">
        <v>105111.71844700001</v>
      </c>
      <c r="D25303" s="56">
        <v>0.14330551888572549</v>
      </c>
      <c r="E25303" s="224" t="s">
        <v>2</v>
      </c>
      <c r="G25303" s="52"/>
      <c r="H25303" s="56"/>
      <c r="I25303" s="224"/>
    </row>
    <row r="25304" spans="1:9" x14ac:dyDescent="0.25">
      <c r="A25304" s="515">
        <v>76250</v>
      </c>
      <c r="B25304" s="515" t="s">
        <v>770</v>
      </c>
      <c r="C25304" s="52">
        <v>344185.66981391102</v>
      </c>
      <c r="D25304" s="56">
        <v>8.3944108331339515E-2</v>
      </c>
      <c r="E25304" s="224" t="s">
        <v>2</v>
      </c>
      <c r="G25304" s="52"/>
      <c r="H25304" s="56"/>
      <c r="I25304" s="224"/>
    </row>
    <row r="25305" spans="1:9" x14ac:dyDescent="0.25">
      <c r="A25305" s="515">
        <v>34498</v>
      </c>
      <c r="B25305" s="515" t="s">
        <v>577</v>
      </c>
      <c r="C25305" s="52">
        <v>292976.532282923</v>
      </c>
      <c r="D25305" s="56">
        <v>0.11657881466710023</v>
      </c>
      <c r="E25305" s="224" t="s">
        <v>2</v>
      </c>
      <c r="G25305" s="52"/>
      <c r="H25305" s="56"/>
      <c r="I25305" s="224"/>
    </row>
    <row r="25306" spans="1:9" x14ac:dyDescent="0.25">
      <c r="A25306" s="515">
        <v>52584</v>
      </c>
      <c r="C25306" s="52">
        <v>113283.124470543</v>
      </c>
      <c r="D25306" s="56">
        <v>0</v>
      </c>
      <c r="E25306" s="224" t="s">
        <v>2</v>
      </c>
      <c r="G25306" s="52"/>
      <c r="H25306" s="56"/>
      <c r="I25306" s="224"/>
    </row>
    <row r="25307" spans="1:9" x14ac:dyDescent="0.25">
      <c r="A25307" s="515">
        <v>85135</v>
      </c>
      <c r="B25307" s="515" t="s">
        <v>692</v>
      </c>
      <c r="C25307" s="52">
        <v>87001.028571428498</v>
      </c>
      <c r="D25307" s="56">
        <v>0</v>
      </c>
      <c r="E25307" s="224" t="s">
        <v>2</v>
      </c>
      <c r="G25307" s="52"/>
      <c r="H25307" s="56"/>
      <c r="I25307" s="224"/>
    </row>
    <row r="25308" spans="1:9" x14ac:dyDescent="0.25">
      <c r="A25308" s="515">
        <v>50223</v>
      </c>
      <c r="B25308" s="515" t="s">
        <v>568</v>
      </c>
      <c r="C25308" s="52">
        <v>117975.996528092</v>
      </c>
      <c r="D25308" s="56">
        <v>0.16850163649946429</v>
      </c>
      <c r="E25308" s="224" t="s">
        <v>2</v>
      </c>
      <c r="G25308" s="52"/>
      <c r="H25308" s="56"/>
      <c r="I25308" s="224"/>
    </row>
    <row r="25309" spans="1:9" x14ac:dyDescent="0.25">
      <c r="A25309" s="515">
        <v>5853</v>
      </c>
      <c r="C25309" s="52">
        <v>293142.83212637599</v>
      </c>
      <c r="D25309" s="56">
        <v>9.8987485747682652E-2</v>
      </c>
      <c r="E25309" s="224" t="s">
        <v>2</v>
      </c>
      <c r="G25309" s="52"/>
      <c r="H25309" s="56"/>
      <c r="I25309" s="224"/>
    </row>
    <row r="25310" spans="1:9" x14ac:dyDescent="0.25">
      <c r="A25310" s="515">
        <v>16691</v>
      </c>
      <c r="C25310" s="52">
        <v>133224.22420398</v>
      </c>
      <c r="D25310" s="56">
        <v>0</v>
      </c>
      <c r="E25310" s="224" t="s">
        <v>2</v>
      </c>
      <c r="G25310" s="52"/>
      <c r="H25310" s="56"/>
      <c r="I25310" s="224"/>
    </row>
    <row r="25311" spans="1:9" x14ac:dyDescent="0.25">
      <c r="A25311" s="515">
        <v>52581</v>
      </c>
      <c r="C25311" s="52">
        <v>137332.07669931499</v>
      </c>
      <c r="D25311" s="56">
        <v>0</v>
      </c>
      <c r="E25311" s="224" t="s">
        <v>2</v>
      </c>
      <c r="G25311" s="52"/>
      <c r="H25311" s="56"/>
      <c r="I25311" s="224"/>
    </row>
    <row r="25312" spans="1:9" x14ac:dyDescent="0.25">
      <c r="A25312" s="515">
        <v>30708</v>
      </c>
      <c r="B25312" s="515" t="s">
        <v>769</v>
      </c>
      <c r="C25312" s="52">
        <v>121537.046514646</v>
      </c>
      <c r="D25312" s="56">
        <v>0</v>
      </c>
      <c r="E25312" s="224" t="s">
        <v>2</v>
      </c>
      <c r="G25312" s="52"/>
      <c r="H25312" s="56"/>
      <c r="I25312" s="224"/>
    </row>
    <row r="25313" spans="1:9" x14ac:dyDescent="0.25">
      <c r="A25313" s="515">
        <v>41543</v>
      </c>
      <c r="C25313" s="52">
        <v>68952.393407216703</v>
      </c>
      <c r="D25313" s="56">
        <v>0.29178187299523362</v>
      </c>
      <c r="E25313" s="224" t="s">
        <v>2</v>
      </c>
      <c r="G25313" s="52"/>
      <c r="H25313" s="56"/>
      <c r="I25313" s="224"/>
    </row>
    <row r="25314" spans="1:9" x14ac:dyDescent="0.25">
      <c r="A25314" s="515">
        <v>62998</v>
      </c>
      <c r="C25314" s="52">
        <v>78662.824242595903</v>
      </c>
      <c r="D25314" s="56">
        <v>0.19238377464465833</v>
      </c>
      <c r="E25314" s="224" t="s">
        <v>2</v>
      </c>
      <c r="G25314" s="52"/>
      <c r="H25314" s="56"/>
      <c r="I25314" s="224"/>
    </row>
    <row r="25315" spans="1:9" x14ac:dyDescent="0.25">
      <c r="A25315" s="515">
        <v>50136</v>
      </c>
      <c r="C25315" s="52">
        <v>115169.104193753</v>
      </c>
      <c r="D25315" s="56">
        <v>0</v>
      </c>
      <c r="E25315" s="224" t="s">
        <v>2</v>
      </c>
      <c r="G25315" s="52"/>
      <c r="H25315" s="56"/>
      <c r="I25315" s="224"/>
    </row>
    <row r="25316" spans="1:9" x14ac:dyDescent="0.25">
      <c r="A25316" s="515">
        <v>62313</v>
      </c>
      <c r="B25316" s="515" t="s">
        <v>496</v>
      </c>
      <c r="C25316" s="52">
        <v>101792.392156862</v>
      </c>
      <c r="D25316" s="56">
        <v>0</v>
      </c>
      <c r="E25316" s="224" t="s">
        <v>2</v>
      </c>
      <c r="G25316" s="52"/>
      <c r="H25316" s="56"/>
      <c r="I25316" s="224"/>
    </row>
    <row r="25317" spans="1:9" x14ac:dyDescent="0.25">
      <c r="A25317" s="515">
        <v>3609</v>
      </c>
      <c r="B25317" s="515" t="s">
        <v>747</v>
      </c>
      <c r="C25317" s="52">
        <v>214652.62712229401</v>
      </c>
      <c r="D25317" s="56">
        <v>0.12787364274368543</v>
      </c>
      <c r="E25317" s="224" t="s">
        <v>2</v>
      </c>
      <c r="G25317" s="52"/>
      <c r="H25317" s="56"/>
      <c r="I25317" s="224"/>
    </row>
    <row r="25318" spans="1:9" x14ac:dyDescent="0.25">
      <c r="A25318" s="515">
        <v>69350</v>
      </c>
      <c r="C25318" s="52">
        <v>119635.30430034301</v>
      </c>
      <c r="D25318" s="56">
        <v>0.11431164177782974</v>
      </c>
      <c r="E25318" s="224" t="s">
        <v>2</v>
      </c>
      <c r="G25318" s="52"/>
      <c r="H25318" s="56"/>
      <c r="I25318" s="224"/>
    </row>
    <row r="25319" spans="1:9" x14ac:dyDescent="0.25">
      <c r="A25319" s="515">
        <v>58063</v>
      </c>
      <c r="C25319" s="52">
        <v>101854.76666666599</v>
      </c>
      <c r="D25319" s="56">
        <v>0</v>
      </c>
      <c r="E25319" s="224" t="s">
        <v>2</v>
      </c>
      <c r="G25319" s="52"/>
      <c r="H25319" s="56"/>
      <c r="I25319" s="224"/>
    </row>
    <row r="25320" spans="1:9" x14ac:dyDescent="0.25">
      <c r="A25320" s="515">
        <v>21677</v>
      </c>
      <c r="B25320" s="515" t="s">
        <v>388</v>
      </c>
      <c r="C25320" s="52">
        <v>430025.73393859802</v>
      </c>
      <c r="D25320" s="56">
        <v>2.9521441739335436E-2</v>
      </c>
      <c r="E25320" s="224" t="s">
        <v>2</v>
      </c>
      <c r="G25320" s="52"/>
      <c r="H25320" s="56"/>
      <c r="I25320" s="224"/>
    </row>
    <row r="25321" spans="1:9" x14ac:dyDescent="0.25">
      <c r="A25321" s="515">
        <v>50119</v>
      </c>
      <c r="B25321" s="515" t="s">
        <v>625</v>
      </c>
      <c r="C25321" s="52">
        <v>142775.11584948801</v>
      </c>
      <c r="D25321" s="56">
        <v>1.2628109715993732E-2</v>
      </c>
      <c r="E25321" s="224" t="s">
        <v>2</v>
      </c>
      <c r="G25321" s="52"/>
      <c r="H25321" s="56"/>
      <c r="I25321" s="224"/>
    </row>
    <row r="25322" spans="1:9" x14ac:dyDescent="0.25">
      <c r="A25322" s="515">
        <v>13494</v>
      </c>
      <c r="B25322" s="515" t="s">
        <v>543</v>
      </c>
      <c r="C25322" s="52">
        <v>226326.62369493899</v>
      </c>
      <c r="D25322" s="56">
        <v>0.13432380815274247</v>
      </c>
      <c r="E25322" s="224" t="s">
        <v>2</v>
      </c>
      <c r="G25322" s="52"/>
      <c r="H25322" s="56"/>
      <c r="I25322" s="224"/>
    </row>
    <row r="25323" spans="1:9" x14ac:dyDescent="0.25">
      <c r="A25323" s="515">
        <v>40988</v>
      </c>
      <c r="B25323" s="515" t="s">
        <v>687</v>
      </c>
      <c r="C25323" s="52">
        <v>63607.903750959602</v>
      </c>
      <c r="D25323" s="56">
        <v>0.29771478867892709</v>
      </c>
      <c r="E25323" s="224" t="s">
        <v>2</v>
      </c>
      <c r="G25323" s="52"/>
      <c r="H25323" s="56"/>
      <c r="I25323" s="224"/>
    </row>
    <row r="25324" spans="1:9" x14ac:dyDescent="0.25">
      <c r="A25324" s="515">
        <v>62975</v>
      </c>
      <c r="B25324" s="515" t="s">
        <v>471</v>
      </c>
      <c r="C25324" s="52">
        <v>82833.3927101023</v>
      </c>
      <c r="D25324" s="56">
        <v>-2.6110090059005928E-2</v>
      </c>
      <c r="E25324" s="224" t="s">
        <v>2</v>
      </c>
      <c r="G25324" s="52"/>
      <c r="H25324" s="56"/>
      <c r="I25324" s="224"/>
    </row>
    <row r="25325" spans="1:9" x14ac:dyDescent="0.25">
      <c r="A25325" s="515">
        <v>51345</v>
      </c>
      <c r="C25325" s="52">
        <v>148933.57466250399</v>
      </c>
      <c r="D25325" s="56">
        <v>0</v>
      </c>
      <c r="E25325" s="224" t="s">
        <v>2</v>
      </c>
      <c r="G25325" s="52"/>
      <c r="H25325" s="56"/>
      <c r="I25325" s="224"/>
    </row>
    <row r="25326" spans="1:9" x14ac:dyDescent="0.25">
      <c r="A25326" s="515">
        <v>68928</v>
      </c>
      <c r="C25326" s="52">
        <v>126263.400598996</v>
      </c>
      <c r="D25326" s="56">
        <v>0.11348160756421016</v>
      </c>
      <c r="E25326" s="224" t="s">
        <v>2</v>
      </c>
      <c r="G25326" s="52"/>
      <c r="H25326" s="56"/>
      <c r="I25326" s="224"/>
    </row>
    <row r="25327" spans="1:9" x14ac:dyDescent="0.25">
      <c r="A25327" s="515">
        <v>42326</v>
      </c>
      <c r="B25327" s="515" t="s">
        <v>686</v>
      </c>
      <c r="C25327" s="52">
        <v>92819.267487459598</v>
      </c>
      <c r="D25327" s="56">
        <v>0.12091832133893347</v>
      </c>
      <c r="E25327" s="224" t="s">
        <v>2</v>
      </c>
      <c r="G25327" s="52"/>
      <c r="H25327" s="56"/>
      <c r="I25327" s="224"/>
    </row>
    <row r="25328" spans="1:9" x14ac:dyDescent="0.25">
      <c r="A25328" s="515">
        <v>37765</v>
      </c>
      <c r="C25328" s="52">
        <v>133122.943158462</v>
      </c>
      <c r="D25328" s="56">
        <v>0</v>
      </c>
      <c r="E25328" s="224" t="s">
        <v>2</v>
      </c>
      <c r="G25328" s="52"/>
      <c r="H25328" s="56"/>
      <c r="I25328" s="224"/>
    </row>
    <row r="25329" spans="1:9" x14ac:dyDescent="0.25">
      <c r="A25329" s="515">
        <v>84652</v>
      </c>
      <c r="C25329" s="52">
        <v>272462.41210217</v>
      </c>
      <c r="D25329" s="56">
        <v>0</v>
      </c>
      <c r="E25329" s="224" t="s">
        <v>2</v>
      </c>
      <c r="G25329" s="52"/>
      <c r="H25329" s="56"/>
      <c r="I25329" s="224"/>
    </row>
    <row r="25330" spans="1:9" x14ac:dyDescent="0.25">
      <c r="A25330" s="515">
        <v>15620</v>
      </c>
      <c r="B25330" s="515" t="s">
        <v>297</v>
      </c>
      <c r="C25330" s="52">
        <v>109073.98850574699</v>
      </c>
      <c r="D25330" s="56">
        <v>0</v>
      </c>
      <c r="E25330" s="224" t="s">
        <v>2</v>
      </c>
      <c r="G25330" s="52"/>
      <c r="H25330" s="56"/>
      <c r="I25330" s="224"/>
    </row>
    <row r="25331" spans="1:9" x14ac:dyDescent="0.25">
      <c r="A25331" s="515">
        <v>67645</v>
      </c>
      <c r="C25331" s="52">
        <v>66117.042017125306</v>
      </c>
      <c r="D25331" s="56">
        <v>5.7064101369409009E-2</v>
      </c>
      <c r="E25331" s="224" t="s">
        <v>2</v>
      </c>
      <c r="G25331" s="52"/>
      <c r="H25331" s="56"/>
      <c r="I25331" s="224"/>
    </row>
    <row r="25332" spans="1:9" x14ac:dyDescent="0.25">
      <c r="A25332" s="515">
        <v>14714</v>
      </c>
      <c r="C25332" s="52">
        <v>115462.181627044</v>
      </c>
      <c r="D25332" s="56">
        <v>6.4965640171710554E-2</v>
      </c>
      <c r="E25332" s="224" t="s">
        <v>2</v>
      </c>
      <c r="G25332" s="52"/>
      <c r="H25332" s="56"/>
      <c r="I25332" s="224"/>
    </row>
    <row r="25333" spans="1:9" x14ac:dyDescent="0.25">
      <c r="A25333" s="515">
        <v>26662</v>
      </c>
      <c r="C25333" s="52">
        <v>163187.99350821899</v>
      </c>
      <c r="D25333" s="56">
        <v>9.7249135503683151E-2</v>
      </c>
      <c r="E25333" s="224" t="s">
        <v>2</v>
      </c>
      <c r="G25333" s="52"/>
      <c r="H25333" s="56"/>
      <c r="I25333" s="224"/>
    </row>
    <row r="25334" spans="1:9" x14ac:dyDescent="0.25">
      <c r="A25334" s="515">
        <v>54210</v>
      </c>
      <c r="C25334" s="52">
        <v>370121.70549491502</v>
      </c>
      <c r="D25334" s="56">
        <v>0.1064963352163678</v>
      </c>
      <c r="E25334" s="224" t="s">
        <v>2</v>
      </c>
      <c r="G25334" s="52"/>
      <c r="H25334" s="56"/>
      <c r="I25334" s="224"/>
    </row>
    <row r="25335" spans="1:9" x14ac:dyDescent="0.25">
      <c r="A25335" s="515">
        <v>67565</v>
      </c>
      <c r="C25335" s="52">
        <v>81863.677670376594</v>
      </c>
      <c r="D25335" s="56">
        <v>3.1400410322521388E-2</v>
      </c>
      <c r="E25335" s="224" t="s">
        <v>2</v>
      </c>
      <c r="G25335" s="52"/>
      <c r="H25335" s="56"/>
      <c r="I25335" s="224"/>
    </row>
    <row r="25336" spans="1:9" x14ac:dyDescent="0.25">
      <c r="A25336" s="515">
        <v>47941</v>
      </c>
      <c r="B25336" s="515" t="s">
        <v>433</v>
      </c>
      <c r="C25336" s="52">
        <v>194058.57199757901</v>
      </c>
      <c r="D25336" s="56">
        <v>3.8952795092921107E-2</v>
      </c>
      <c r="E25336" s="224" t="s">
        <v>2</v>
      </c>
      <c r="G25336" s="52"/>
      <c r="H25336" s="56"/>
      <c r="I25336" s="224"/>
    </row>
    <row r="25337" spans="1:9" x14ac:dyDescent="0.25">
      <c r="A25337" s="515">
        <v>99150</v>
      </c>
      <c r="C25337" s="52">
        <v>272732.22499999998</v>
      </c>
      <c r="D25337" s="56">
        <v>0</v>
      </c>
      <c r="E25337" s="224" t="s">
        <v>2</v>
      </c>
      <c r="G25337" s="52"/>
      <c r="H25337" s="56"/>
      <c r="I25337" s="224"/>
    </row>
    <row r="25338" spans="1:9" x14ac:dyDescent="0.25">
      <c r="A25338" s="515">
        <v>87742</v>
      </c>
      <c r="B25338" s="515" t="s">
        <v>767</v>
      </c>
      <c r="C25338" s="52">
        <v>284470.88100837002</v>
      </c>
      <c r="D25338" s="56">
        <v>0</v>
      </c>
      <c r="E25338" s="224" t="s">
        <v>2</v>
      </c>
      <c r="G25338" s="52"/>
      <c r="H25338" s="56"/>
      <c r="I25338" s="224"/>
    </row>
    <row r="25339" spans="1:9" x14ac:dyDescent="0.25">
      <c r="A25339" s="515">
        <v>51056</v>
      </c>
      <c r="B25339" s="515" t="s">
        <v>649</v>
      </c>
      <c r="C25339" s="52">
        <v>127056.037007801</v>
      </c>
      <c r="D25339" s="56">
        <v>0</v>
      </c>
      <c r="E25339" s="224" t="s">
        <v>2</v>
      </c>
      <c r="G25339" s="52"/>
      <c r="H25339" s="56"/>
      <c r="I25339" s="224"/>
    </row>
    <row r="25340" spans="1:9" x14ac:dyDescent="0.25">
      <c r="A25340" s="515">
        <v>24432</v>
      </c>
      <c r="C25340" s="52">
        <v>221010.67270981701</v>
      </c>
      <c r="D25340" s="56">
        <v>0.10801976240207195</v>
      </c>
      <c r="E25340" s="224" t="s">
        <v>2</v>
      </c>
      <c r="G25340" s="52"/>
      <c r="H25340" s="56"/>
      <c r="I25340" s="224"/>
    </row>
    <row r="25341" spans="1:9" x14ac:dyDescent="0.25">
      <c r="A25341" s="515">
        <v>68360</v>
      </c>
      <c r="B25341" s="515" t="s">
        <v>486</v>
      </c>
      <c r="C25341" s="52">
        <v>359151.790401512</v>
      </c>
      <c r="D25341" s="56">
        <v>0.192223879205833</v>
      </c>
      <c r="E25341" s="224" t="s">
        <v>2</v>
      </c>
      <c r="G25341" s="52"/>
      <c r="H25341" s="56"/>
      <c r="I25341" s="224"/>
    </row>
    <row r="25342" spans="1:9" x14ac:dyDescent="0.25">
      <c r="A25342" s="515">
        <v>80735</v>
      </c>
      <c r="C25342" s="52">
        <v>239659.82167450999</v>
      </c>
      <c r="D25342" s="56">
        <v>0</v>
      </c>
      <c r="E25342" s="224" t="s">
        <v>2</v>
      </c>
      <c r="G25342" s="52"/>
      <c r="H25342" s="56"/>
      <c r="I25342" s="224"/>
    </row>
    <row r="25343" spans="1:9" x14ac:dyDescent="0.25">
      <c r="A25343" s="515">
        <v>83809</v>
      </c>
      <c r="B25343" s="515" t="s">
        <v>623</v>
      </c>
      <c r="C25343" s="52">
        <v>575365.60012623202</v>
      </c>
      <c r="D25343" s="56">
        <v>4.4551938378195946E-2</v>
      </c>
      <c r="E25343" s="224" t="s">
        <v>2</v>
      </c>
      <c r="G25343" s="52"/>
      <c r="H25343" s="56"/>
      <c r="I25343" s="224"/>
    </row>
    <row r="25344" spans="1:9" x14ac:dyDescent="0.25">
      <c r="A25344" s="515">
        <v>54517</v>
      </c>
      <c r="C25344" s="52">
        <v>225354.251292973</v>
      </c>
      <c r="D25344" s="56">
        <v>0.11283039913477888</v>
      </c>
      <c r="E25344" s="224" t="s">
        <v>2</v>
      </c>
      <c r="G25344" s="52"/>
      <c r="H25344" s="56"/>
      <c r="I25344" s="224"/>
    </row>
    <row r="25345" spans="1:9" x14ac:dyDescent="0.25">
      <c r="A25345" s="515">
        <v>66408</v>
      </c>
      <c r="C25345" s="52">
        <v>179399.09783876501</v>
      </c>
      <c r="D25345" s="56">
        <v>0.20499079815411014</v>
      </c>
      <c r="E25345" s="224" t="s">
        <v>2</v>
      </c>
      <c r="G25345" s="52"/>
      <c r="H25345" s="56"/>
      <c r="I25345" s="224"/>
    </row>
    <row r="25346" spans="1:9" x14ac:dyDescent="0.25">
      <c r="A25346" s="515">
        <v>38459</v>
      </c>
      <c r="C25346" s="52">
        <v>239570.76867207701</v>
      </c>
      <c r="D25346" s="56">
        <v>0</v>
      </c>
      <c r="E25346" s="224" t="s">
        <v>2</v>
      </c>
      <c r="G25346" s="52"/>
      <c r="H25346" s="56"/>
      <c r="I25346" s="224"/>
    </row>
    <row r="25347" spans="1:9" x14ac:dyDescent="0.25">
      <c r="A25347" s="515">
        <v>69150</v>
      </c>
      <c r="C25347" s="52">
        <v>159047.47008987499</v>
      </c>
      <c r="D25347" s="56">
        <v>3.7751637031858763E-2</v>
      </c>
      <c r="E25347" s="224" t="s">
        <v>2</v>
      </c>
      <c r="G25347" s="52"/>
      <c r="H25347" s="56"/>
      <c r="I25347" s="224"/>
    </row>
    <row r="25348" spans="1:9" x14ac:dyDescent="0.25">
      <c r="A25348" s="515">
        <v>66735</v>
      </c>
      <c r="B25348" s="515" t="s">
        <v>669</v>
      </c>
      <c r="C25348" s="52">
        <v>112436.930492518</v>
      </c>
      <c r="D25348" s="56">
        <v>0.12046956547640474</v>
      </c>
      <c r="E25348" s="224" t="s">
        <v>2</v>
      </c>
      <c r="G25348" s="52"/>
      <c r="H25348" s="56"/>
      <c r="I25348" s="224"/>
    </row>
    <row r="25349" spans="1:9" x14ac:dyDescent="0.25">
      <c r="A25349" s="515">
        <v>95412</v>
      </c>
      <c r="B25349" s="515" t="s">
        <v>331</v>
      </c>
      <c r="C25349" s="52">
        <v>728293.63685601403</v>
      </c>
      <c r="D25349" s="56">
        <v>-1.328485822459294E-2</v>
      </c>
      <c r="E25349" s="224" t="s">
        <v>2</v>
      </c>
      <c r="G25349" s="52"/>
      <c r="H25349" s="56"/>
      <c r="I25349" s="224"/>
    </row>
    <row r="25350" spans="1:9" x14ac:dyDescent="0.25">
      <c r="A25350" s="515">
        <v>61730</v>
      </c>
      <c r="B25350" s="515" t="s">
        <v>645</v>
      </c>
      <c r="C25350" s="52">
        <v>151830.413878967</v>
      </c>
      <c r="D25350" s="56">
        <v>0</v>
      </c>
      <c r="E25350" s="224" t="s">
        <v>2</v>
      </c>
      <c r="G25350" s="52"/>
      <c r="H25350" s="56"/>
      <c r="I25350" s="224"/>
    </row>
    <row r="25351" spans="1:9" x14ac:dyDescent="0.25">
      <c r="A25351" s="515">
        <v>40170</v>
      </c>
      <c r="C25351" s="52">
        <v>82611.784133094101</v>
      </c>
      <c r="D25351" s="56">
        <v>0.31230273045354034</v>
      </c>
      <c r="E25351" s="224" t="s">
        <v>2</v>
      </c>
      <c r="G25351" s="52"/>
      <c r="H25351" s="56"/>
      <c r="I25351" s="224"/>
    </row>
    <row r="25352" spans="1:9" x14ac:dyDescent="0.25">
      <c r="A25352" s="515">
        <v>68436</v>
      </c>
      <c r="C25352" s="52">
        <v>164265.98942005</v>
      </c>
      <c r="D25352" s="56">
        <v>0.12366744352461952</v>
      </c>
      <c r="E25352" s="224" t="s">
        <v>2</v>
      </c>
      <c r="G25352" s="52"/>
      <c r="H25352" s="56"/>
      <c r="I25352" s="224"/>
    </row>
    <row r="25353" spans="1:9" x14ac:dyDescent="0.25">
      <c r="A25353" s="515">
        <v>34661</v>
      </c>
      <c r="B25353" s="515" t="s">
        <v>461</v>
      </c>
      <c r="C25353" s="52">
        <v>152626.572772068</v>
      </c>
      <c r="D25353" s="56">
        <v>0.18340645408647824</v>
      </c>
      <c r="E25353" s="224" t="s">
        <v>2</v>
      </c>
      <c r="G25353" s="52"/>
      <c r="H25353" s="56"/>
      <c r="I25353" s="224"/>
    </row>
    <row r="25354" spans="1:9" x14ac:dyDescent="0.25">
      <c r="A25354" s="515">
        <v>62434</v>
      </c>
      <c r="C25354" s="52">
        <v>97649.136619254306</v>
      </c>
      <c r="D25354" s="56">
        <v>-5.2045342329900948E-2</v>
      </c>
      <c r="E25354" s="224" t="s">
        <v>2</v>
      </c>
      <c r="G25354" s="52"/>
      <c r="H25354" s="56"/>
      <c r="I25354" s="224"/>
    </row>
    <row r="25355" spans="1:9" x14ac:dyDescent="0.25">
      <c r="A25355" s="515">
        <v>50667</v>
      </c>
      <c r="B25355" s="515" t="s">
        <v>315</v>
      </c>
      <c r="C25355" s="52">
        <v>210490.12911019701</v>
      </c>
      <c r="D25355" s="56">
        <v>8.453423284953239E-2</v>
      </c>
      <c r="E25355" s="224" t="s">
        <v>2</v>
      </c>
      <c r="G25355" s="52"/>
      <c r="H25355" s="56"/>
      <c r="I25355" s="224"/>
    </row>
    <row r="25356" spans="1:9" x14ac:dyDescent="0.25">
      <c r="A25356" s="515">
        <v>5837</v>
      </c>
      <c r="C25356" s="52">
        <v>195698.931034482</v>
      </c>
      <c r="D25356" s="56">
        <v>0</v>
      </c>
      <c r="E25356" s="224" t="s">
        <v>2</v>
      </c>
      <c r="G25356" s="52"/>
      <c r="H25356" s="56"/>
      <c r="I25356" s="224"/>
    </row>
    <row r="25357" spans="1:9" x14ac:dyDescent="0.25">
      <c r="A25357" s="515">
        <v>61930</v>
      </c>
      <c r="C25357" s="52">
        <v>78299.071728349707</v>
      </c>
      <c r="D25357" s="56">
        <v>-8.1458389686156329E-3</v>
      </c>
      <c r="E25357" s="224" t="s">
        <v>2</v>
      </c>
      <c r="G25357" s="52"/>
      <c r="H25357" s="56"/>
      <c r="I25357" s="224"/>
    </row>
    <row r="25358" spans="1:9" x14ac:dyDescent="0.25">
      <c r="A25358" s="515">
        <v>57424</v>
      </c>
      <c r="C25358" s="52">
        <v>124545.974404472</v>
      </c>
      <c r="D25358" s="56">
        <v>4.1462642370772518E-2</v>
      </c>
      <c r="E25358" s="224" t="s">
        <v>2</v>
      </c>
      <c r="G25358" s="52"/>
      <c r="H25358" s="56"/>
      <c r="I25358" s="224"/>
    </row>
    <row r="25359" spans="1:9" x14ac:dyDescent="0.25">
      <c r="A25359" s="515">
        <v>73744</v>
      </c>
      <c r="C25359" s="52">
        <v>122018.20615765901</v>
      </c>
      <c r="D25359" s="56">
        <v>5.5872290046374909E-2</v>
      </c>
      <c r="E25359" s="224" t="s">
        <v>2</v>
      </c>
      <c r="G25359" s="52"/>
      <c r="H25359" s="56"/>
      <c r="I25359" s="224"/>
    </row>
    <row r="25360" spans="1:9" x14ac:dyDescent="0.25">
      <c r="A25360" s="515">
        <v>17776</v>
      </c>
      <c r="B25360" s="515" t="s">
        <v>296</v>
      </c>
      <c r="C25360" s="52">
        <v>158478.50148331799</v>
      </c>
      <c r="D25360" s="56">
        <v>8.9086969048567347E-2</v>
      </c>
      <c r="E25360" s="224" t="s">
        <v>2</v>
      </c>
      <c r="G25360" s="52"/>
      <c r="H25360" s="56"/>
      <c r="I25360" s="224"/>
    </row>
    <row r="25361" spans="1:9" x14ac:dyDescent="0.25">
      <c r="A25361" s="515">
        <v>28745</v>
      </c>
      <c r="B25361" s="515" t="s">
        <v>668</v>
      </c>
      <c r="C25361" s="52">
        <v>410008.00262614002</v>
      </c>
      <c r="D25361" s="56">
        <v>0.12038717527512934</v>
      </c>
      <c r="E25361" s="224" t="s">
        <v>2</v>
      </c>
      <c r="G25361" s="52"/>
      <c r="H25361" s="56"/>
      <c r="I25361" s="224"/>
    </row>
    <row r="25362" spans="1:9" x14ac:dyDescent="0.25">
      <c r="A25362" s="515">
        <v>68332</v>
      </c>
      <c r="C25362" s="52">
        <v>220729.067107084</v>
      </c>
      <c r="D25362" s="56">
        <v>0.12293710032286424</v>
      </c>
      <c r="E25362" s="224" t="s">
        <v>2</v>
      </c>
      <c r="G25362" s="52"/>
      <c r="H25362" s="56"/>
      <c r="I25362" s="224"/>
    </row>
    <row r="25363" spans="1:9" x14ac:dyDescent="0.25">
      <c r="A25363" s="515">
        <v>68785</v>
      </c>
      <c r="B25363" s="515" t="s">
        <v>649</v>
      </c>
      <c r="C25363" s="52">
        <v>237378.28138071499</v>
      </c>
      <c r="D25363" s="56">
        <v>0.11867981050864748</v>
      </c>
      <c r="E25363" s="224" t="s">
        <v>2</v>
      </c>
      <c r="G25363" s="52"/>
      <c r="H25363" s="56"/>
      <c r="I25363" s="224"/>
    </row>
    <row r="25364" spans="1:9" x14ac:dyDescent="0.25">
      <c r="A25364" s="515">
        <v>67347</v>
      </c>
      <c r="B25364" s="515" t="s">
        <v>377</v>
      </c>
      <c r="C25364" s="52">
        <v>132848.21564304701</v>
      </c>
      <c r="D25364" s="56">
        <v>9.6414955744133488E-2</v>
      </c>
      <c r="E25364" s="224" t="s">
        <v>2</v>
      </c>
      <c r="G25364" s="52"/>
      <c r="H25364" s="56"/>
      <c r="I25364" s="224"/>
    </row>
    <row r="25365" spans="1:9" x14ac:dyDescent="0.25">
      <c r="A25365" s="515">
        <v>55615</v>
      </c>
      <c r="C25365" s="52">
        <v>346903.08026503102</v>
      </c>
      <c r="D25365" s="56">
        <v>-4.9723326910674687E-2</v>
      </c>
      <c r="E25365" s="224" t="s">
        <v>2</v>
      </c>
      <c r="G25365" s="52"/>
      <c r="H25365" s="56"/>
      <c r="I25365" s="224"/>
    </row>
    <row r="25366" spans="1:9" x14ac:dyDescent="0.25">
      <c r="A25366" s="515">
        <v>67028</v>
      </c>
      <c r="C25366" s="52">
        <v>84356.700910811094</v>
      </c>
      <c r="D25366" s="56">
        <v>-1.2051618856042367E-2</v>
      </c>
      <c r="E25366" s="224" t="s">
        <v>2</v>
      </c>
      <c r="G25366" s="52"/>
      <c r="H25366" s="56"/>
      <c r="I25366" s="224"/>
    </row>
    <row r="25367" spans="1:9" x14ac:dyDescent="0.25">
      <c r="A25367" s="515">
        <v>12416</v>
      </c>
      <c r="B25367" s="515" t="s">
        <v>307</v>
      </c>
      <c r="C25367" s="52">
        <v>338758.34768777399</v>
      </c>
      <c r="D25367" s="56">
        <v>9.1521243904974833E-2</v>
      </c>
      <c r="E25367" s="224" t="s">
        <v>2</v>
      </c>
      <c r="G25367" s="52"/>
      <c r="H25367" s="56"/>
      <c r="I25367" s="224"/>
    </row>
    <row r="25368" spans="1:9" x14ac:dyDescent="0.25">
      <c r="A25368" s="515">
        <v>41812</v>
      </c>
      <c r="C25368" s="52">
        <v>69311.696505602595</v>
      </c>
      <c r="D25368" s="56">
        <v>0.17849162666593002</v>
      </c>
      <c r="E25368" s="224" t="s">
        <v>2</v>
      </c>
      <c r="G25368" s="52"/>
      <c r="H25368" s="56"/>
      <c r="I25368" s="224"/>
    </row>
    <row r="25369" spans="1:9" x14ac:dyDescent="0.25">
      <c r="A25369" s="515">
        <v>87940</v>
      </c>
      <c r="B25369" s="515" t="s">
        <v>317</v>
      </c>
      <c r="C25369" s="52">
        <v>179674.47787192601</v>
      </c>
      <c r="D25369" s="56">
        <v>0.13936254291472572</v>
      </c>
      <c r="E25369" s="224" t="s">
        <v>2</v>
      </c>
      <c r="G25369" s="52"/>
      <c r="H25369" s="56"/>
      <c r="I25369" s="224"/>
    </row>
    <row r="25370" spans="1:9" x14ac:dyDescent="0.25">
      <c r="A25370" s="515">
        <v>69146</v>
      </c>
      <c r="C25370" s="52">
        <v>278378.07969184598</v>
      </c>
      <c r="D25370" s="56">
        <v>8.2266547454116268E-2</v>
      </c>
      <c r="E25370" s="224" t="s">
        <v>2</v>
      </c>
      <c r="G25370" s="52"/>
      <c r="H25370" s="56"/>
      <c r="I25370" s="224"/>
    </row>
    <row r="25371" spans="1:9" x14ac:dyDescent="0.25">
      <c r="A25371" s="515">
        <v>79506</v>
      </c>
      <c r="B25371" s="515" t="s">
        <v>765</v>
      </c>
      <c r="C25371" s="52">
        <v>118984.939673742</v>
      </c>
      <c r="D25371" s="56">
        <v>0</v>
      </c>
      <c r="E25371" s="224" t="s">
        <v>2</v>
      </c>
      <c r="G25371" s="52"/>
      <c r="H25371" s="56"/>
      <c r="I25371" s="224"/>
    </row>
    <row r="25372" spans="1:9" x14ac:dyDescent="0.25">
      <c r="A25372" s="515">
        <v>66964</v>
      </c>
      <c r="C25372" s="52">
        <v>114734.742093024</v>
      </c>
      <c r="D25372" s="56">
        <v>0.167991520351984</v>
      </c>
      <c r="E25372" s="224" t="s">
        <v>2</v>
      </c>
      <c r="G25372" s="52"/>
      <c r="H25372" s="56"/>
      <c r="I25372" s="224"/>
    </row>
    <row r="25373" spans="1:9" x14ac:dyDescent="0.25">
      <c r="A25373" s="515">
        <v>40350</v>
      </c>
      <c r="C25373" s="52">
        <v>127647.59021401301</v>
      </c>
      <c r="D25373" s="56">
        <v>0.16139023343791981</v>
      </c>
      <c r="E25373" s="224" t="s">
        <v>2</v>
      </c>
      <c r="G25373" s="52"/>
      <c r="H25373" s="56"/>
      <c r="I25373" s="224"/>
    </row>
    <row r="25374" spans="1:9" x14ac:dyDescent="0.25">
      <c r="A25374" s="515">
        <v>81076</v>
      </c>
      <c r="C25374" s="52">
        <v>137805.642993093</v>
      </c>
      <c r="D25374" s="56">
        <v>0.10052996891071665</v>
      </c>
      <c r="E25374" s="224" t="s">
        <v>2</v>
      </c>
      <c r="G25374" s="52"/>
      <c r="H25374" s="56"/>
      <c r="I25374" s="224"/>
    </row>
    <row r="25375" spans="1:9" x14ac:dyDescent="0.25">
      <c r="A25375" s="515">
        <v>26224</v>
      </c>
      <c r="C25375" s="52">
        <v>87787.2682926829</v>
      </c>
      <c r="D25375" s="56">
        <v>0</v>
      </c>
      <c r="E25375" s="224" t="s">
        <v>2</v>
      </c>
      <c r="G25375" s="52"/>
      <c r="H25375" s="56"/>
      <c r="I25375" s="224"/>
    </row>
    <row r="25376" spans="1:9" x14ac:dyDescent="0.25">
      <c r="A25376" s="515">
        <v>45746</v>
      </c>
      <c r="B25376" s="515" t="s">
        <v>665</v>
      </c>
      <c r="C25376" s="52">
        <v>68363.505578213197</v>
      </c>
      <c r="D25376" s="56">
        <v>9.3439092346202096E-3</v>
      </c>
      <c r="E25376" s="224" t="s">
        <v>2</v>
      </c>
      <c r="G25376" s="52"/>
      <c r="H25376" s="56"/>
      <c r="I25376" s="224"/>
    </row>
    <row r="25377" spans="1:9" x14ac:dyDescent="0.25">
      <c r="A25377" s="515">
        <v>67849</v>
      </c>
      <c r="C25377" s="52">
        <v>99580.553522257003</v>
      </c>
      <c r="D25377" s="56">
        <v>0.14221447114766975</v>
      </c>
      <c r="E25377" s="224" t="s">
        <v>2</v>
      </c>
      <c r="G25377" s="52"/>
      <c r="H25377" s="56"/>
      <c r="I25377" s="224"/>
    </row>
    <row r="25378" spans="1:9" x14ac:dyDescent="0.25">
      <c r="A25378" s="515">
        <v>66732</v>
      </c>
      <c r="C25378" s="52">
        <v>120929.251923448</v>
      </c>
      <c r="D25378" s="56">
        <v>0.31817793388300009</v>
      </c>
      <c r="E25378" s="224" t="s">
        <v>2</v>
      </c>
      <c r="G25378" s="52"/>
      <c r="H25378" s="56"/>
      <c r="I25378" s="224"/>
    </row>
    <row r="25379" spans="1:9" x14ac:dyDescent="0.25">
      <c r="A25379" s="515">
        <v>79046</v>
      </c>
      <c r="C25379" s="52">
        <v>87664.7256288512</v>
      </c>
      <c r="D25379" s="56">
        <v>0</v>
      </c>
      <c r="E25379" s="224" t="s">
        <v>2</v>
      </c>
      <c r="G25379" s="52"/>
      <c r="H25379" s="56"/>
      <c r="I25379" s="224"/>
    </row>
    <row r="25380" spans="1:9" x14ac:dyDescent="0.25">
      <c r="A25380" s="515">
        <v>21821</v>
      </c>
      <c r="B25380" s="515" t="s">
        <v>552</v>
      </c>
      <c r="C25380" s="52">
        <v>170064.26208034399</v>
      </c>
      <c r="D25380" s="56">
        <v>6.12283751261605E-2</v>
      </c>
      <c r="E25380" s="224" t="s">
        <v>2</v>
      </c>
      <c r="G25380" s="52"/>
      <c r="H25380" s="56"/>
      <c r="I25380" s="224"/>
    </row>
    <row r="25381" spans="1:9" x14ac:dyDescent="0.25">
      <c r="A25381" s="515">
        <v>56548</v>
      </c>
      <c r="C25381" s="52">
        <v>141514.839411002</v>
      </c>
      <c r="D25381" s="56">
        <v>4.8320444468658921E-2</v>
      </c>
      <c r="E25381" s="224" t="s">
        <v>2</v>
      </c>
      <c r="G25381" s="52"/>
      <c r="H25381" s="56"/>
      <c r="I25381" s="224"/>
    </row>
    <row r="25382" spans="1:9" x14ac:dyDescent="0.25">
      <c r="A25382" s="515">
        <v>1243</v>
      </c>
      <c r="B25382" s="515" t="s">
        <v>575</v>
      </c>
      <c r="C25382" s="52">
        <v>290555.29966378299</v>
      </c>
      <c r="D25382" s="56">
        <v>9.2650561983579918E-2</v>
      </c>
      <c r="E25382" s="224" t="s">
        <v>2</v>
      </c>
      <c r="G25382" s="52"/>
      <c r="H25382" s="56"/>
      <c r="I25382" s="224"/>
    </row>
    <row r="25383" spans="1:9" x14ac:dyDescent="0.25">
      <c r="A25383" s="515">
        <v>31735</v>
      </c>
      <c r="B25383" s="515" t="s">
        <v>763</v>
      </c>
      <c r="C25383" s="52">
        <v>277623.30357504397</v>
      </c>
      <c r="D25383" s="56">
        <v>6.5004215236545718E-2</v>
      </c>
      <c r="E25383" s="224" t="s">
        <v>2</v>
      </c>
      <c r="G25383" s="52"/>
      <c r="H25383" s="56"/>
      <c r="I25383" s="224"/>
    </row>
    <row r="25384" spans="1:9" x14ac:dyDescent="0.25">
      <c r="A25384" s="515">
        <v>67862</v>
      </c>
      <c r="C25384" s="52">
        <v>65805.251591382999</v>
      </c>
      <c r="D25384" s="56">
        <v>9.2629278910976068E-2</v>
      </c>
      <c r="E25384" s="224" t="s">
        <v>2</v>
      </c>
      <c r="G25384" s="52"/>
      <c r="H25384" s="56"/>
      <c r="I25384" s="224"/>
    </row>
    <row r="25385" spans="1:9" x14ac:dyDescent="0.25">
      <c r="A25385" s="515">
        <v>29065</v>
      </c>
      <c r="B25385" s="515" t="s">
        <v>762</v>
      </c>
      <c r="C25385" s="52">
        <v>102813.32173149999</v>
      </c>
      <c r="D25385" s="56">
        <v>0</v>
      </c>
      <c r="E25385" s="224" t="s">
        <v>2</v>
      </c>
      <c r="G25385" s="52"/>
      <c r="H25385" s="56"/>
      <c r="I25385" s="224"/>
    </row>
    <row r="25386" spans="1:9" x14ac:dyDescent="0.25">
      <c r="A25386" s="515">
        <v>68940</v>
      </c>
      <c r="C25386" s="52">
        <v>241520.538087427</v>
      </c>
      <c r="D25386" s="56">
        <v>8.8069365494917673E-2</v>
      </c>
      <c r="E25386" s="224" t="s">
        <v>2</v>
      </c>
      <c r="G25386" s="52"/>
      <c r="H25386" s="56"/>
      <c r="I25386" s="224"/>
    </row>
    <row r="25387" spans="1:9" x14ac:dyDescent="0.25">
      <c r="A25387" s="515">
        <v>68303</v>
      </c>
      <c r="C25387" s="52">
        <v>83971.2815999054</v>
      </c>
      <c r="D25387" s="56">
        <v>0.14370104672733403</v>
      </c>
      <c r="E25387" s="224" t="s">
        <v>2</v>
      </c>
      <c r="G25387" s="52"/>
      <c r="H25387" s="56"/>
      <c r="I25387" s="224"/>
    </row>
    <row r="25388" spans="1:9" x14ac:dyDescent="0.25">
      <c r="A25388" s="515">
        <v>96121</v>
      </c>
      <c r="B25388" s="515" t="s">
        <v>658</v>
      </c>
      <c r="C25388" s="52">
        <v>283191.90258441202</v>
      </c>
      <c r="D25388" s="56">
        <v>-1.3889759758177651E-2</v>
      </c>
      <c r="E25388" s="224" t="s">
        <v>2</v>
      </c>
      <c r="G25388" s="52"/>
      <c r="H25388" s="56"/>
      <c r="I25388" s="224"/>
    </row>
    <row r="25389" spans="1:9" x14ac:dyDescent="0.25">
      <c r="A25389" s="515">
        <v>79061</v>
      </c>
      <c r="C25389" s="52">
        <v>100360.47554564101</v>
      </c>
      <c r="D25389" s="56">
        <v>0</v>
      </c>
      <c r="E25389" s="224" t="s">
        <v>2</v>
      </c>
      <c r="G25389" s="52"/>
      <c r="H25389" s="56"/>
      <c r="I25389" s="224"/>
    </row>
    <row r="25390" spans="1:9" x14ac:dyDescent="0.25">
      <c r="A25390" s="515">
        <v>62438</v>
      </c>
      <c r="C25390" s="52">
        <v>98460.763636363597</v>
      </c>
      <c r="D25390" s="56">
        <v>0</v>
      </c>
      <c r="E25390" s="224" t="s">
        <v>2</v>
      </c>
      <c r="G25390" s="52"/>
      <c r="H25390" s="56"/>
      <c r="I25390" s="224"/>
    </row>
    <row r="25391" spans="1:9" x14ac:dyDescent="0.25">
      <c r="A25391" s="515">
        <v>58760</v>
      </c>
      <c r="C25391" s="52">
        <v>100487.960750065</v>
      </c>
      <c r="D25391" s="56">
        <v>0</v>
      </c>
      <c r="E25391" s="224" t="s">
        <v>2</v>
      </c>
      <c r="G25391" s="52"/>
      <c r="H25391" s="56"/>
      <c r="I25391" s="224"/>
    </row>
    <row r="25392" spans="1:9" x14ac:dyDescent="0.25">
      <c r="A25392" s="515">
        <v>68669</v>
      </c>
      <c r="C25392" s="52">
        <v>153488.41880815601</v>
      </c>
      <c r="D25392" s="56">
        <v>2.8892969145483324E-2</v>
      </c>
      <c r="E25392" s="224" t="s">
        <v>2</v>
      </c>
      <c r="G25392" s="52"/>
      <c r="H25392" s="56"/>
      <c r="I25392" s="224"/>
    </row>
    <row r="25393" spans="1:9" x14ac:dyDescent="0.25">
      <c r="A25393" s="515">
        <v>5776</v>
      </c>
      <c r="B25393" s="515" t="s">
        <v>657</v>
      </c>
      <c r="C25393" s="52">
        <v>330210.04761904699</v>
      </c>
      <c r="D25393" s="56">
        <v>0</v>
      </c>
      <c r="E25393" s="224" t="s">
        <v>2</v>
      </c>
      <c r="G25393" s="52"/>
      <c r="H25393" s="56"/>
      <c r="I25393" s="224"/>
    </row>
    <row r="25394" spans="1:9" x14ac:dyDescent="0.25">
      <c r="A25394" s="515">
        <v>62345</v>
      </c>
      <c r="C25394" s="52">
        <v>71699.342857142794</v>
      </c>
      <c r="D25394" s="56">
        <v>0</v>
      </c>
      <c r="E25394" s="224" t="s">
        <v>2</v>
      </c>
      <c r="G25394" s="52"/>
      <c r="H25394" s="56"/>
      <c r="I25394" s="224"/>
    </row>
    <row r="25395" spans="1:9" x14ac:dyDescent="0.25">
      <c r="A25395" s="515">
        <v>89440</v>
      </c>
      <c r="B25395" s="515" t="s">
        <v>581</v>
      </c>
      <c r="C25395" s="52">
        <v>368736.70186850702</v>
      </c>
      <c r="D25395" s="56">
        <v>-6.7286445416418024E-3</v>
      </c>
      <c r="E25395" s="224" t="s">
        <v>2</v>
      </c>
      <c r="G25395" s="52"/>
      <c r="H25395" s="56"/>
      <c r="I25395" s="224"/>
    </row>
    <row r="25396" spans="1:9" x14ac:dyDescent="0.25">
      <c r="A25396" s="515">
        <v>66849</v>
      </c>
      <c r="C25396" s="52">
        <v>117417.813534963</v>
      </c>
      <c r="D25396" s="56">
        <v>0.14020473827386765</v>
      </c>
      <c r="E25396" s="224" t="s">
        <v>2</v>
      </c>
      <c r="G25396" s="52"/>
      <c r="H25396" s="56"/>
      <c r="I25396" s="224"/>
    </row>
    <row r="25397" spans="1:9" x14ac:dyDescent="0.25">
      <c r="A25397" s="515">
        <v>67427</v>
      </c>
      <c r="C25397" s="52">
        <v>73340.483785560893</v>
      </c>
      <c r="D25397" s="56">
        <v>1.0328323240071675E-2</v>
      </c>
      <c r="E25397" s="224" t="s">
        <v>2</v>
      </c>
      <c r="G25397" s="52"/>
      <c r="H25397" s="56"/>
      <c r="I25397" s="224"/>
    </row>
    <row r="25398" spans="1:9" x14ac:dyDescent="0.25">
      <c r="A25398" s="515">
        <v>97118</v>
      </c>
      <c r="C25398" s="52">
        <v>356522.78575550101</v>
      </c>
      <c r="D25398" s="56">
        <v>7.1733907819350823E-2</v>
      </c>
      <c r="E25398" s="224" t="s">
        <v>2</v>
      </c>
      <c r="G25398" s="52"/>
      <c r="H25398" s="56"/>
      <c r="I25398" s="224"/>
    </row>
    <row r="25399" spans="1:9" x14ac:dyDescent="0.25">
      <c r="A25399" s="515">
        <v>45650</v>
      </c>
      <c r="C25399" s="52">
        <v>113170.24694752799</v>
      </c>
      <c r="D25399" s="56">
        <v>9.6933663708617626E-2</v>
      </c>
      <c r="E25399" s="224" t="s">
        <v>2</v>
      </c>
      <c r="G25399" s="52"/>
      <c r="H25399" s="56"/>
      <c r="I25399" s="224"/>
    </row>
    <row r="25400" spans="1:9" x14ac:dyDescent="0.25">
      <c r="A25400" s="515">
        <v>28553</v>
      </c>
      <c r="B25400" s="515" t="s">
        <v>641</v>
      </c>
      <c r="C25400" s="52">
        <v>234705.02024286299</v>
      </c>
      <c r="D25400" s="56">
        <v>0.14951580346886947</v>
      </c>
      <c r="E25400" s="224" t="s">
        <v>2</v>
      </c>
      <c r="G25400" s="52"/>
      <c r="H25400" s="56"/>
      <c r="I25400" s="224"/>
    </row>
    <row r="25401" spans="1:9" x14ac:dyDescent="0.25">
      <c r="A25401" s="515">
        <v>56139</v>
      </c>
      <c r="C25401" s="52">
        <v>154074.62162162099</v>
      </c>
      <c r="D25401" s="56">
        <v>0</v>
      </c>
      <c r="E25401" s="224" t="s">
        <v>2</v>
      </c>
      <c r="G25401" s="52"/>
      <c r="H25401" s="56"/>
      <c r="I25401" s="224"/>
    </row>
    <row r="25402" spans="1:9" x14ac:dyDescent="0.25">
      <c r="A25402" s="515">
        <v>67523</v>
      </c>
      <c r="C25402" s="52">
        <v>87625.370577654205</v>
      </c>
      <c r="D25402" s="56">
        <v>0.18482231429601462</v>
      </c>
      <c r="E25402" s="224" t="s">
        <v>2</v>
      </c>
      <c r="G25402" s="52"/>
      <c r="H25402" s="56"/>
      <c r="I25402" s="224"/>
    </row>
    <row r="25403" spans="1:9" x14ac:dyDescent="0.25">
      <c r="A25403" s="515">
        <v>42764</v>
      </c>
      <c r="B25403" s="515" t="s">
        <v>761</v>
      </c>
      <c r="C25403" s="52">
        <v>146119.05091999899</v>
      </c>
      <c r="D25403" s="56">
        <v>0.12745112982468751</v>
      </c>
      <c r="E25403" s="224" t="s">
        <v>2</v>
      </c>
      <c r="G25403" s="52"/>
      <c r="H25403" s="56"/>
      <c r="I25403" s="224"/>
    </row>
    <row r="25404" spans="1:9" x14ac:dyDescent="0.25">
      <c r="A25404" s="515">
        <v>97877</v>
      </c>
      <c r="C25404" s="52">
        <v>260040.015733537</v>
      </c>
      <c r="D25404" s="56">
        <v>8.074514753381698E-2</v>
      </c>
      <c r="E25404" s="224" t="s">
        <v>2</v>
      </c>
      <c r="G25404" s="52"/>
      <c r="H25404" s="56"/>
      <c r="I25404" s="224"/>
    </row>
    <row r="25405" spans="1:9" x14ac:dyDescent="0.25">
      <c r="A25405" s="515">
        <v>97873</v>
      </c>
      <c r="C25405" s="52">
        <v>94533.972006919197</v>
      </c>
      <c r="D25405" s="56">
        <v>0</v>
      </c>
      <c r="E25405" s="224" t="s">
        <v>2</v>
      </c>
      <c r="G25405" s="52"/>
      <c r="H25405" s="56"/>
      <c r="I25405" s="224"/>
    </row>
    <row r="25406" spans="1:9" x14ac:dyDescent="0.25">
      <c r="A25406" s="515">
        <v>68726</v>
      </c>
      <c r="C25406" s="52">
        <v>204312.83645687799</v>
      </c>
      <c r="D25406" s="56">
        <v>0.10089775156240079</v>
      </c>
      <c r="E25406" s="224" t="s">
        <v>2</v>
      </c>
      <c r="G25406" s="52"/>
      <c r="H25406" s="56"/>
      <c r="I25406" s="224"/>
    </row>
    <row r="25407" spans="1:9" x14ac:dyDescent="0.25">
      <c r="A25407" s="515">
        <v>25928</v>
      </c>
      <c r="C25407" s="52">
        <v>42242.919141357001</v>
      </c>
      <c r="D25407" s="56">
        <v>-5.6778875819057099E-2</v>
      </c>
      <c r="E25407" s="224" t="s">
        <v>2</v>
      </c>
      <c r="G25407" s="52"/>
      <c r="H25407" s="56"/>
      <c r="I25407" s="224"/>
    </row>
    <row r="25408" spans="1:9" x14ac:dyDescent="0.25">
      <c r="A25408" s="515">
        <v>57247</v>
      </c>
      <c r="C25408" s="52">
        <v>298198.90526315698</v>
      </c>
      <c r="D25408" s="56">
        <v>0</v>
      </c>
      <c r="E25408" s="224" t="s">
        <v>2</v>
      </c>
      <c r="G25408" s="52"/>
      <c r="H25408" s="56"/>
      <c r="I25408" s="224"/>
    </row>
    <row r="25409" spans="1:9" x14ac:dyDescent="0.25">
      <c r="A25409" s="515">
        <v>5358</v>
      </c>
      <c r="C25409" s="52">
        <v>302275.60655737697</v>
      </c>
      <c r="D25409" s="56">
        <v>0</v>
      </c>
      <c r="E25409" s="224" t="s">
        <v>2</v>
      </c>
      <c r="G25409" s="52"/>
      <c r="H25409" s="56"/>
      <c r="I25409" s="224"/>
    </row>
    <row r="25410" spans="1:9" x14ac:dyDescent="0.25">
      <c r="A25410" s="515">
        <v>67745</v>
      </c>
      <c r="C25410" s="52">
        <v>99405.373378259697</v>
      </c>
      <c r="D25410" s="56">
        <v>0.12645817262904011</v>
      </c>
      <c r="E25410" s="224" t="s">
        <v>2</v>
      </c>
      <c r="G25410" s="52"/>
      <c r="H25410" s="56"/>
      <c r="I25410" s="224"/>
    </row>
    <row r="25411" spans="1:9" x14ac:dyDescent="0.25">
      <c r="A25411" s="515">
        <v>59915</v>
      </c>
      <c r="C25411" s="52">
        <v>796990.19836550497</v>
      </c>
      <c r="D25411" s="56">
        <v>0.10554299725269387</v>
      </c>
      <c r="E25411" s="224" t="s">
        <v>2</v>
      </c>
      <c r="G25411" s="52"/>
      <c r="H25411" s="56"/>
      <c r="I25411" s="224"/>
    </row>
    <row r="25412" spans="1:9" x14ac:dyDescent="0.25">
      <c r="A25412" s="515">
        <v>58049</v>
      </c>
      <c r="C25412" s="52">
        <v>98870.882352941102</v>
      </c>
      <c r="D25412" s="56">
        <v>0</v>
      </c>
      <c r="E25412" s="224" t="s">
        <v>2</v>
      </c>
      <c r="G25412" s="52"/>
      <c r="H25412" s="56"/>
      <c r="I25412" s="224"/>
    </row>
    <row r="25413" spans="1:9" x14ac:dyDescent="0.25">
      <c r="A25413" s="515">
        <v>27968</v>
      </c>
      <c r="B25413" s="515" t="s">
        <v>407</v>
      </c>
      <c r="C25413" s="52">
        <v>506016.04761904699</v>
      </c>
      <c r="D25413" s="56">
        <v>0</v>
      </c>
      <c r="E25413" s="224" t="s">
        <v>2</v>
      </c>
      <c r="G25413" s="52"/>
      <c r="H25413" s="56"/>
      <c r="I25413" s="224"/>
    </row>
    <row r="25414" spans="1:9" x14ac:dyDescent="0.25">
      <c r="A25414" s="515">
        <v>38944</v>
      </c>
      <c r="B25414" s="515" t="s">
        <v>293</v>
      </c>
      <c r="C25414" s="52">
        <v>120731.07894736801</v>
      </c>
      <c r="D25414" s="56">
        <v>0</v>
      </c>
      <c r="E25414" s="224" t="s">
        <v>2</v>
      </c>
      <c r="G25414" s="52"/>
      <c r="H25414" s="56"/>
      <c r="I25414" s="224"/>
    </row>
    <row r="25415" spans="1:9" x14ac:dyDescent="0.25">
      <c r="A25415" s="515">
        <v>61564</v>
      </c>
      <c r="B25415" s="515" t="s">
        <v>303</v>
      </c>
      <c r="C25415" s="52">
        <v>87703.401050889894</v>
      </c>
      <c r="D25415" s="56">
        <v>0.11686475867342193</v>
      </c>
      <c r="E25415" s="224" t="s">
        <v>2</v>
      </c>
      <c r="G25415" s="52"/>
      <c r="H25415" s="56"/>
      <c r="I25415" s="224"/>
    </row>
    <row r="25416" spans="1:9" x14ac:dyDescent="0.25">
      <c r="A25416" s="515">
        <v>23070</v>
      </c>
      <c r="C25416" s="52">
        <v>360924.02433598501</v>
      </c>
      <c r="D25416" s="56">
        <v>7.0313302886281653E-2</v>
      </c>
      <c r="E25416" s="224" t="s">
        <v>2</v>
      </c>
      <c r="G25416" s="52"/>
      <c r="H25416" s="56"/>
      <c r="I25416" s="224"/>
    </row>
    <row r="25417" spans="1:9" x14ac:dyDescent="0.25">
      <c r="A25417" s="515">
        <v>58830</v>
      </c>
      <c r="B25417" s="515" t="s">
        <v>960</v>
      </c>
      <c r="C25417" s="52">
        <v>148978.220112162</v>
      </c>
      <c r="D25417" s="56">
        <v>0.17258553016495312</v>
      </c>
      <c r="E25417" s="224" t="s">
        <v>2</v>
      </c>
      <c r="G25417" s="52"/>
      <c r="H25417" s="56"/>
      <c r="I25417" s="224"/>
    </row>
    <row r="25418" spans="1:9" x14ac:dyDescent="0.25">
      <c r="A25418" s="515">
        <v>50528</v>
      </c>
      <c r="C25418" s="52">
        <v>160653.92020103001</v>
      </c>
      <c r="D25418" s="56">
        <v>0</v>
      </c>
      <c r="E25418" s="224" t="s">
        <v>2</v>
      </c>
      <c r="G25418" s="52"/>
      <c r="H25418" s="56"/>
      <c r="I25418" s="224"/>
    </row>
    <row r="25419" spans="1:9" x14ac:dyDescent="0.25">
      <c r="A25419" s="515">
        <v>51564</v>
      </c>
      <c r="B25419" s="515" t="s">
        <v>367</v>
      </c>
      <c r="C25419" s="52">
        <v>116443.110448798</v>
      </c>
      <c r="D25419" s="56">
        <v>0</v>
      </c>
      <c r="E25419" s="224" t="s">
        <v>2</v>
      </c>
      <c r="G25419" s="52"/>
      <c r="H25419" s="56"/>
      <c r="I25419" s="224"/>
    </row>
    <row r="25420" spans="1:9" x14ac:dyDescent="0.25">
      <c r="A25420" s="515">
        <v>72005</v>
      </c>
      <c r="C25420" s="52">
        <v>80583.307692307601</v>
      </c>
      <c r="D25420" s="56">
        <v>0</v>
      </c>
      <c r="E25420" s="224" t="s">
        <v>2</v>
      </c>
      <c r="G25420" s="52"/>
      <c r="H25420" s="56"/>
      <c r="I25420" s="224"/>
    </row>
    <row r="25421" spans="1:9" x14ac:dyDescent="0.25">
      <c r="A25421" s="515">
        <v>82221</v>
      </c>
      <c r="C25421" s="52">
        <v>219415.13943185299</v>
      </c>
      <c r="D25421" s="56">
        <v>9.7316770182066081E-2</v>
      </c>
      <c r="E25421" s="224" t="s">
        <v>2</v>
      </c>
      <c r="G25421" s="52"/>
      <c r="H25421" s="56"/>
      <c r="I25421" s="224"/>
    </row>
    <row r="25422" spans="1:9" x14ac:dyDescent="0.25">
      <c r="A25422" s="515">
        <v>25985</v>
      </c>
      <c r="C25422" s="52">
        <v>127892.931923735</v>
      </c>
      <c r="D25422" s="56">
        <v>0.20528953240040093</v>
      </c>
      <c r="E25422" s="224" t="s">
        <v>2</v>
      </c>
      <c r="G25422" s="52"/>
      <c r="H25422" s="56"/>
      <c r="I25422" s="224"/>
    </row>
    <row r="25423" spans="1:9" x14ac:dyDescent="0.25">
      <c r="A25423" s="515">
        <v>32449</v>
      </c>
      <c r="C25423" s="52">
        <v>137242.903254451</v>
      </c>
      <c r="D25423" s="56">
        <v>0.13923731802220218</v>
      </c>
      <c r="E25423" s="224" t="s">
        <v>2</v>
      </c>
      <c r="G25423" s="52"/>
      <c r="H25423" s="56"/>
      <c r="I25423" s="224"/>
    </row>
    <row r="25424" spans="1:9" x14ac:dyDescent="0.25">
      <c r="A25424" s="515">
        <v>97122</v>
      </c>
      <c r="C25424" s="52">
        <v>344474.30457615101</v>
      </c>
      <c r="D25424" s="56">
        <v>3.9759372198930498E-2</v>
      </c>
      <c r="E25424" s="224" t="s">
        <v>2</v>
      </c>
      <c r="G25424" s="52"/>
      <c r="H25424" s="56"/>
      <c r="I25424" s="224"/>
    </row>
    <row r="25425" spans="1:9" x14ac:dyDescent="0.25">
      <c r="A25425" s="515">
        <v>67664</v>
      </c>
      <c r="C25425" s="52">
        <v>118808.358089863</v>
      </c>
      <c r="D25425" s="56">
        <v>7.1013520740208724E-2</v>
      </c>
      <c r="E25425" s="224" t="s">
        <v>2</v>
      </c>
      <c r="G25425" s="52"/>
      <c r="H25425" s="56"/>
      <c r="I25425" s="224"/>
    </row>
    <row r="25426" spans="1:9" x14ac:dyDescent="0.25">
      <c r="A25426" s="515">
        <v>47110</v>
      </c>
      <c r="B25426" s="515" t="s">
        <v>479</v>
      </c>
      <c r="C25426" s="52">
        <v>162262.69260946001</v>
      </c>
      <c r="D25426" s="56">
        <v>7.0721545529031815E-2</v>
      </c>
      <c r="E25426" s="224" t="s">
        <v>2</v>
      </c>
      <c r="G25426" s="52"/>
      <c r="H25426" s="56"/>
      <c r="I25426" s="224"/>
    </row>
    <row r="25427" spans="1:9" x14ac:dyDescent="0.25">
      <c r="A25427" s="515">
        <v>69040</v>
      </c>
      <c r="C25427" s="52">
        <v>83503.947025576505</v>
      </c>
      <c r="D25427" s="56">
        <v>6.8760664805816635E-2</v>
      </c>
      <c r="E25427" s="224" t="s">
        <v>2</v>
      </c>
      <c r="G25427" s="52"/>
      <c r="H25427" s="56"/>
      <c r="I25427" s="224"/>
    </row>
    <row r="25428" spans="1:9" x14ac:dyDescent="0.25">
      <c r="A25428" s="515">
        <v>80830</v>
      </c>
      <c r="B25428" s="515" t="s">
        <v>401</v>
      </c>
      <c r="C25428" s="52">
        <v>320396.09178964101</v>
      </c>
      <c r="D25428" s="56">
        <v>4.5895666282313313E-2</v>
      </c>
      <c r="E25428" s="224" t="s">
        <v>2</v>
      </c>
      <c r="G25428" s="52"/>
      <c r="H25428" s="56"/>
      <c r="I25428" s="224"/>
    </row>
    <row r="25429" spans="1:9" x14ac:dyDescent="0.25">
      <c r="A25429" s="515">
        <v>3259</v>
      </c>
      <c r="C25429" s="52">
        <v>424904.945824289</v>
      </c>
      <c r="D25429" s="56">
        <v>0.18742677718312936</v>
      </c>
      <c r="E25429" s="224" t="s">
        <v>2</v>
      </c>
      <c r="G25429" s="52"/>
      <c r="H25429" s="56"/>
      <c r="I25429" s="224"/>
    </row>
    <row r="25430" spans="1:9" x14ac:dyDescent="0.25">
      <c r="A25430" s="515">
        <v>50558</v>
      </c>
      <c r="C25430" s="52">
        <v>102212.663674265</v>
      </c>
      <c r="D25430" s="56">
        <v>0</v>
      </c>
      <c r="E25430" s="224" t="s">
        <v>2</v>
      </c>
      <c r="G25430" s="52"/>
      <c r="H25430" s="56"/>
      <c r="I25430" s="224"/>
    </row>
    <row r="25431" spans="1:9" x14ac:dyDescent="0.25">
      <c r="A25431" s="515">
        <v>66858</v>
      </c>
      <c r="C25431" s="52">
        <v>106496.955388021</v>
      </c>
      <c r="D25431" s="56">
        <v>0.15870922877962065</v>
      </c>
      <c r="E25431" s="224" t="s">
        <v>2</v>
      </c>
      <c r="G25431" s="52"/>
      <c r="H25431" s="56"/>
      <c r="I25431" s="224"/>
    </row>
    <row r="25432" spans="1:9" x14ac:dyDescent="0.25">
      <c r="A25432" s="515">
        <v>50562</v>
      </c>
      <c r="C25432" s="52">
        <v>91996.964355208998</v>
      </c>
      <c r="D25432" s="56">
        <v>0</v>
      </c>
      <c r="E25432" s="224" t="s">
        <v>2</v>
      </c>
      <c r="G25432" s="52"/>
      <c r="H25432" s="56"/>
      <c r="I25432" s="224"/>
    </row>
    <row r="25433" spans="1:9" x14ac:dyDescent="0.25">
      <c r="A25433" s="515">
        <v>36540</v>
      </c>
      <c r="C25433" s="52">
        <v>151601.77847302199</v>
      </c>
      <c r="D25433" s="56">
        <v>6.8463845506239688E-3</v>
      </c>
      <c r="E25433" s="224" t="s">
        <v>2</v>
      </c>
      <c r="G25433" s="52"/>
      <c r="H25433" s="56"/>
      <c r="I25433" s="224"/>
    </row>
    <row r="25434" spans="1:9" x14ac:dyDescent="0.25">
      <c r="A25434" s="515">
        <v>61411</v>
      </c>
      <c r="B25434" s="515" t="s">
        <v>493</v>
      </c>
      <c r="C25434" s="52">
        <v>80613.265306122397</v>
      </c>
      <c r="D25434" s="56">
        <v>0</v>
      </c>
      <c r="E25434" s="224" t="s">
        <v>2</v>
      </c>
      <c r="G25434" s="52"/>
      <c r="H25434" s="56"/>
      <c r="I25434" s="224"/>
    </row>
    <row r="25435" spans="1:9" x14ac:dyDescent="0.25">
      <c r="A25435" s="515">
        <v>48437</v>
      </c>
      <c r="B25435" s="515" t="s">
        <v>759</v>
      </c>
      <c r="C25435" s="52">
        <v>136667.636516731</v>
      </c>
      <c r="D25435" s="56">
        <v>5.5391171890040544E-2</v>
      </c>
      <c r="E25435" s="224" t="s">
        <v>2</v>
      </c>
      <c r="G25435" s="52"/>
      <c r="H25435" s="56"/>
      <c r="I25435" s="224"/>
    </row>
    <row r="25436" spans="1:9" x14ac:dyDescent="0.25">
      <c r="A25436" s="515">
        <v>63434</v>
      </c>
      <c r="C25436" s="52">
        <v>141830.60703875101</v>
      </c>
      <c r="D25436" s="56">
        <v>0</v>
      </c>
      <c r="E25436" s="224" t="s">
        <v>2</v>
      </c>
      <c r="G25436" s="52"/>
      <c r="H25436" s="56"/>
      <c r="I25436" s="224"/>
    </row>
    <row r="25437" spans="1:9" x14ac:dyDescent="0.25">
      <c r="A25437" s="515">
        <v>74641</v>
      </c>
      <c r="B25437" s="515" t="s">
        <v>758</v>
      </c>
      <c r="C25437" s="52">
        <v>128555.24903504099</v>
      </c>
      <c r="D25437" s="56">
        <v>0.17039838186112299</v>
      </c>
      <c r="E25437" s="224" t="s">
        <v>2</v>
      </c>
      <c r="G25437" s="52"/>
      <c r="H25437" s="56"/>
      <c r="I25437" s="224"/>
    </row>
    <row r="25438" spans="1:9" x14ac:dyDescent="0.25">
      <c r="A25438" s="515">
        <v>17768</v>
      </c>
      <c r="C25438" s="52">
        <v>185090.53400165</v>
      </c>
      <c r="D25438" s="56">
        <v>0.15072265425299264</v>
      </c>
      <c r="E25438" s="224" t="s">
        <v>2</v>
      </c>
      <c r="G25438" s="52"/>
      <c r="H25438" s="56"/>
      <c r="I25438" s="224"/>
    </row>
    <row r="25439" spans="1:9" x14ac:dyDescent="0.25">
      <c r="A25439" s="515">
        <v>21667</v>
      </c>
      <c r="C25439" s="52">
        <v>236252.27128242701</v>
      </c>
      <c r="D25439" s="56">
        <v>0</v>
      </c>
      <c r="E25439" s="224" t="s">
        <v>2</v>
      </c>
      <c r="G25439" s="52"/>
      <c r="H25439" s="56"/>
      <c r="I25439" s="224"/>
    </row>
    <row r="25440" spans="1:9" x14ac:dyDescent="0.25">
      <c r="A25440" s="515">
        <v>13842</v>
      </c>
      <c r="C25440" s="52">
        <v>240177.668357388</v>
      </c>
      <c r="D25440" s="56">
        <v>8.9782776624992178E-2</v>
      </c>
      <c r="E25440" s="224" t="s">
        <v>2</v>
      </c>
      <c r="G25440" s="52"/>
      <c r="H25440" s="56"/>
      <c r="I25440" s="224"/>
    </row>
    <row r="25441" spans="1:9" x14ac:dyDescent="0.25">
      <c r="A25441" s="515">
        <v>80476</v>
      </c>
      <c r="B25441" s="515" t="s">
        <v>401</v>
      </c>
      <c r="C25441" s="52">
        <v>377680.64133501099</v>
      </c>
      <c r="D25441" s="56">
        <v>9.9914657457523121E-2</v>
      </c>
      <c r="E25441" s="224" t="s">
        <v>2</v>
      </c>
      <c r="G25441" s="52"/>
      <c r="H25441" s="56"/>
      <c r="I25441" s="224"/>
    </row>
    <row r="25442" spans="1:9" x14ac:dyDescent="0.25">
      <c r="A25442" s="515">
        <v>70632</v>
      </c>
      <c r="B25442" s="515" t="s">
        <v>696</v>
      </c>
      <c r="C25442" s="52">
        <v>125827.086956521</v>
      </c>
      <c r="D25442" s="56">
        <v>0</v>
      </c>
      <c r="E25442" s="224" t="s">
        <v>2</v>
      </c>
      <c r="G25442" s="52"/>
      <c r="H25442" s="56"/>
      <c r="I25442" s="224"/>
    </row>
    <row r="25443" spans="1:9" x14ac:dyDescent="0.25">
      <c r="A25443" s="515">
        <v>83555</v>
      </c>
      <c r="C25443" s="52">
        <v>239341.00350892299</v>
      </c>
      <c r="D25443" s="56">
        <v>3.4360174618798214E-2</v>
      </c>
      <c r="E25443" s="224" t="s">
        <v>2</v>
      </c>
      <c r="G25443" s="52"/>
      <c r="H25443" s="56"/>
      <c r="I25443" s="224"/>
    </row>
    <row r="25444" spans="1:9" x14ac:dyDescent="0.25">
      <c r="A25444" s="515">
        <v>25437</v>
      </c>
      <c r="B25444" s="515" t="s">
        <v>629</v>
      </c>
      <c r="C25444" s="52">
        <v>248736.27553168699</v>
      </c>
      <c r="D25444" s="56">
        <v>0.19572801563225337</v>
      </c>
      <c r="E25444" s="224" t="s">
        <v>2</v>
      </c>
      <c r="G25444" s="52"/>
      <c r="H25444" s="56"/>
      <c r="I25444" s="224"/>
    </row>
    <row r="25445" spans="1:9" x14ac:dyDescent="0.25">
      <c r="A25445" s="515">
        <v>57312</v>
      </c>
      <c r="B25445" s="515" t="s">
        <v>5167</v>
      </c>
      <c r="C25445" s="52">
        <v>111782.892126651</v>
      </c>
      <c r="D25445" s="56">
        <v>-3.5050174611561721E-2</v>
      </c>
      <c r="E25445" s="224" t="s">
        <v>2</v>
      </c>
      <c r="G25445" s="52"/>
      <c r="H25445" s="56"/>
      <c r="I25445" s="224"/>
    </row>
    <row r="25446" spans="1:9" x14ac:dyDescent="0.25">
      <c r="A25446" s="515">
        <v>73730</v>
      </c>
      <c r="B25446" s="515" t="s">
        <v>730</v>
      </c>
      <c r="C25446" s="52">
        <v>69347.849575070199</v>
      </c>
      <c r="D25446" s="56">
        <v>1.4484322054119656E-2</v>
      </c>
      <c r="E25446" s="224" t="s">
        <v>2</v>
      </c>
      <c r="G25446" s="52"/>
      <c r="H25446" s="56"/>
      <c r="I25446" s="224"/>
    </row>
    <row r="25447" spans="1:9" x14ac:dyDescent="0.25">
      <c r="A25447" s="515">
        <v>60934</v>
      </c>
      <c r="B25447" s="515" t="s">
        <v>678</v>
      </c>
      <c r="C25447" s="52">
        <v>148916.34496665199</v>
      </c>
      <c r="D25447" s="56">
        <v>0</v>
      </c>
      <c r="E25447" s="224" t="s">
        <v>2</v>
      </c>
      <c r="G25447" s="52"/>
      <c r="H25447" s="56"/>
      <c r="I25447" s="224"/>
    </row>
    <row r="25448" spans="1:9" x14ac:dyDescent="0.25">
      <c r="A25448" s="515">
        <v>67112</v>
      </c>
      <c r="C25448" s="52">
        <v>134654.964563421</v>
      </c>
      <c r="D25448" s="56">
        <v>0.22577173061919842</v>
      </c>
      <c r="E25448" s="224" t="s">
        <v>2</v>
      </c>
      <c r="G25448" s="52"/>
      <c r="H25448" s="56"/>
      <c r="I25448" s="224"/>
    </row>
    <row r="25449" spans="1:9" x14ac:dyDescent="0.25">
      <c r="A25449" s="515">
        <v>68859</v>
      </c>
      <c r="C25449" s="52">
        <v>141940.41437655</v>
      </c>
      <c r="D25449" s="56">
        <v>8.7485579985252845E-2</v>
      </c>
      <c r="E25449" s="224" t="s">
        <v>2</v>
      </c>
      <c r="G25449" s="52"/>
      <c r="H25449" s="56"/>
      <c r="I25449" s="224"/>
    </row>
    <row r="25450" spans="1:9" x14ac:dyDescent="0.25">
      <c r="A25450" s="515">
        <v>66941</v>
      </c>
      <c r="C25450" s="52">
        <v>110673.284742299</v>
      </c>
      <c r="D25450" s="56">
        <v>0.12891223293968304</v>
      </c>
      <c r="E25450" s="224" t="s">
        <v>2</v>
      </c>
      <c r="G25450" s="52"/>
      <c r="H25450" s="56"/>
      <c r="I25450" s="224"/>
    </row>
    <row r="25451" spans="1:9" x14ac:dyDescent="0.25">
      <c r="A25451" s="515">
        <v>49793</v>
      </c>
      <c r="B25451" s="515" t="s">
        <v>740</v>
      </c>
      <c r="C25451" s="52">
        <v>135199.34028185299</v>
      </c>
      <c r="D25451" s="56">
        <v>9.7821119324814118E-2</v>
      </c>
      <c r="E25451" s="224" t="s">
        <v>2</v>
      </c>
      <c r="G25451" s="52"/>
      <c r="H25451" s="56"/>
      <c r="I25451" s="224"/>
    </row>
    <row r="25452" spans="1:9" x14ac:dyDescent="0.25">
      <c r="A25452" s="515">
        <v>8327</v>
      </c>
      <c r="B25452" s="515" t="s">
        <v>557</v>
      </c>
      <c r="C25452" s="52">
        <v>174834.38553512999</v>
      </c>
      <c r="D25452" s="56">
        <v>0.14250163650137337</v>
      </c>
      <c r="E25452" s="224" t="s">
        <v>2</v>
      </c>
      <c r="G25452" s="52"/>
      <c r="H25452" s="56"/>
      <c r="I25452" s="224"/>
    </row>
    <row r="25453" spans="1:9" x14ac:dyDescent="0.25">
      <c r="A25453" s="515">
        <v>80481</v>
      </c>
      <c r="B25453" s="515" t="s">
        <v>702</v>
      </c>
      <c r="C25453" s="52">
        <v>492931.67237577302</v>
      </c>
      <c r="D25453" s="56">
        <v>7.6847418086240141E-2</v>
      </c>
      <c r="E25453" s="224" t="s">
        <v>2</v>
      </c>
      <c r="G25453" s="52"/>
      <c r="H25453" s="56"/>
      <c r="I25453" s="224"/>
    </row>
    <row r="25454" spans="1:9" x14ac:dyDescent="0.25">
      <c r="A25454" s="515">
        <v>12884</v>
      </c>
      <c r="B25454" s="515" t="s">
        <v>609</v>
      </c>
      <c r="C25454" s="52">
        <v>179932.89861158899</v>
      </c>
      <c r="D25454" s="56">
        <v>5.0330964558090954E-2</v>
      </c>
      <c r="E25454" s="224" t="s">
        <v>2</v>
      </c>
      <c r="G25454" s="52"/>
      <c r="H25454" s="56"/>
      <c r="I25454" s="224"/>
    </row>
    <row r="25455" spans="1:9" x14ac:dyDescent="0.25">
      <c r="A25455" s="515">
        <v>12766</v>
      </c>
      <c r="C25455" s="52">
        <v>314108.00213581498</v>
      </c>
      <c r="D25455" s="56">
        <v>0.16651167369431805</v>
      </c>
      <c r="E25455" s="224" t="s">
        <v>2</v>
      </c>
      <c r="G25455" s="52"/>
      <c r="H25455" s="56"/>
      <c r="I25455" s="224"/>
    </row>
    <row r="25456" spans="1:9" x14ac:dyDescent="0.25">
      <c r="A25456" s="515">
        <v>51431</v>
      </c>
      <c r="C25456" s="52">
        <v>87952.766717675302</v>
      </c>
      <c r="D25456" s="56">
        <v>0</v>
      </c>
      <c r="E25456" s="224" t="s">
        <v>2</v>
      </c>
      <c r="G25456" s="52"/>
      <c r="H25456" s="56"/>
      <c r="I25456" s="224"/>
    </row>
    <row r="25457" spans="1:9" x14ac:dyDescent="0.25">
      <c r="A25457" s="515">
        <v>61251</v>
      </c>
      <c r="B25457" s="515" t="s">
        <v>756</v>
      </c>
      <c r="C25457" s="52">
        <v>176076.04347825999</v>
      </c>
      <c r="D25457" s="56">
        <v>0</v>
      </c>
      <c r="E25457" s="224" t="s">
        <v>2</v>
      </c>
      <c r="G25457" s="52"/>
      <c r="H25457" s="56"/>
      <c r="I25457" s="224"/>
    </row>
    <row r="25458" spans="1:9" x14ac:dyDescent="0.25">
      <c r="A25458" s="515">
        <v>58416</v>
      </c>
      <c r="C25458" s="52">
        <v>97852.122807017498</v>
      </c>
      <c r="D25458" s="56">
        <v>0</v>
      </c>
      <c r="E25458" s="224" t="s">
        <v>2</v>
      </c>
      <c r="G25458" s="52"/>
      <c r="H25458" s="56"/>
      <c r="I25458" s="224"/>
    </row>
    <row r="25459" spans="1:9" x14ac:dyDescent="0.25">
      <c r="A25459" s="515">
        <v>87942</v>
      </c>
      <c r="C25459" s="52">
        <v>139156.73841496799</v>
      </c>
      <c r="D25459" s="56">
        <v>6.8164167030126399E-2</v>
      </c>
      <c r="E25459" s="224" t="s">
        <v>2</v>
      </c>
      <c r="G25459" s="52"/>
      <c r="H25459" s="56"/>
      <c r="I25459" s="224"/>
    </row>
    <row r="25460" spans="1:9" x14ac:dyDescent="0.25">
      <c r="A25460" s="515">
        <v>59032</v>
      </c>
      <c r="C25460" s="52">
        <v>309200.36099931097</v>
      </c>
      <c r="D25460" s="56">
        <v>0.24570490002751233</v>
      </c>
      <c r="E25460" s="224" t="s">
        <v>2</v>
      </c>
      <c r="G25460" s="52"/>
      <c r="H25460" s="56"/>
      <c r="I25460" s="224"/>
    </row>
    <row r="25461" spans="1:9" x14ac:dyDescent="0.25">
      <c r="A25461" s="515">
        <v>50420</v>
      </c>
      <c r="C25461" s="52">
        <v>123196.038742137</v>
      </c>
      <c r="D25461" s="56">
        <v>0</v>
      </c>
      <c r="E25461" s="224" t="s">
        <v>2</v>
      </c>
      <c r="G25461" s="52"/>
      <c r="H25461" s="56"/>
      <c r="I25461" s="224"/>
    </row>
    <row r="25462" spans="1:9" x14ac:dyDescent="0.25">
      <c r="A25462" s="515">
        <v>66853</v>
      </c>
      <c r="C25462" s="52">
        <v>66987.111525828906</v>
      </c>
      <c r="D25462" s="56">
        <v>1.8657049974420376E-2</v>
      </c>
      <c r="E25462" s="224" t="s">
        <v>2</v>
      </c>
      <c r="G25462" s="52"/>
      <c r="H25462" s="56"/>
      <c r="I25462" s="224"/>
    </row>
    <row r="25463" spans="1:9" x14ac:dyDescent="0.25">
      <c r="A25463" s="515">
        <v>67070</v>
      </c>
      <c r="C25463" s="52">
        <v>65911.289354563196</v>
      </c>
      <c r="D25463" s="56">
        <v>5.857257699925212E-2</v>
      </c>
      <c r="E25463" s="224" t="s">
        <v>2</v>
      </c>
      <c r="G25463" s="52"/>
      <c r="H25463" s="56"/>
      <c r="I25463" s="224"/>
    </row>
    <row r="25464" spans="1:9" x14ac:dyDescent="0.25">
      <c r="A25464" s="515">
        <v>52749</v>
      </c>
      <c r="B25464" s="515" t="s">
        <v>755</v>
      </c>
      <c r="C25464" s="52">
        <v>229589.09227843001</v>
      </c>
      <c r="D25464" s="56">
        <v>4.3184191987487526E-2</v>
      </c>
      <c r="E25464" s="224" t="s">
        <v>2</v>
      </c>
      <c r="G25464" s="52"/>
      <c r="H25464" s="56"/>
      <c r="I25464" s="224"/>
    </row>
    <row r="25465" spans="1:9" x14ac:dyDescent="0.25">
      <c r="A25465" s="515">
        <v>50566</v>
      </c>
      <c r="B25465" s="515" t="s">
        <v>670</v>
      </c>
      <c r="C25465" s="52">
        <v>151788.98711714201</v>
      </c>
      <c r="D25465" s="56">
        <v>8.0891246097953146E-2</v>
      </c>
      <c r="E25465" s="224" t="s">
        <v>2</v>
      </c>
      <c r="G25465" s="52"/>
      <c r="H25465" s="56"/>
      <c r="I25465" s="224"/>
    </row>
    <row r="25466" spans="1:9" x14ac:dyDescent="0.25">
      <c r="A25466" s="515">
        <v>68973</v>
      </c>
      <c r="B25466" s="515" t="s">
        <v>754</v>
      </c>
      <c r="C25466" s="52">
        <v>197687.106720713</v>
      </c>
      <c r="D25466" s="56">
        <v>4.2261927745305058E-2</v>
      </c>
      <c r="E25466" s="224" t="s">
        <v>2</v>
      </c>
      <c r="G25466" s="52"/>
      <c r="H25466" s="56"/>
      <c r="I25466" s="224"/>
    </row>
    <row r="25467" spans="1:9" x14ac:dyDescent="0.25">
      <c r="A25467" s="515">
        <v>23356</v>
      </c>
      <c r="C25467" s="52">
        <v>272618.37897316599</v>
      </c>
      <c r="D25467" s="56">
        <v>0.14157270693060131</v>
      </c>
      <c r="E25467" s="224" t="s">
        <v>2</v>
      </c>
      <c r="G25467" s="52"/>
      <c r="H25467" s="56"/>
      <c r="I25467" s="224"/>
    </row>
    <row r="25468" spans="1:9" x14ac:dyDescent="0.25">
      <c r="A25468" s="515">
        <v>67850</v>
      </c>
      <c r="C25468" s="52">
        <v>105226.611754272</v>
      </c>
      <c r="D25468" s="56">
        <v>0.13224234339769461</v>
      </c>
      <c r="E25468" s="224" t="s">
        <v>2</v>
      </c>
      <c r="G25468" s="52"/>
      <c r="H25468" s="56"/>
      <c r="I25468" s="224"/>
    </row>
    <row r="25469" spans="1:9" x14ac:dyDescent="0.25">
      <c r="A25469" s="515">
        <v>84722</v>
      </c>
      <c r="B25469" s="515" t="s">
        <v>522</v>
      </c>
      <c r="C25469" s="52">
        <v>367416.322259637</v>
      </c>
      <c r="D25469" s="56">
        <v>-7.8651750441695763E-3</v>
      </c>
      <c r="E25469" s="224" t="s">
        <v>2</v>
      </c>
      <c r="G25469" s="52"/>
      <c r="H25469" s="56"/>
      <c r="I25469" s="224"/>
    </row>
    <row r="25470" spans="1:9" x14ac:dyDescent="0.25">
      <c r="A25470" s="515">
        <v>51541</v>
      </c>
      <c r="B25470" s="515" t="s">
        <v>367</v>
      </c>
      <c r="C25470" s="52">
        <v>186911.95627549299</v>
      </c>
      <c r="D25470" s="56">
        <v>0</v>
      </c>
      <c r="E25470" s="224" t="s">
        <v>2</v>
      </c>
      <c r="G25470" s="52"/>
      <c r="H25470" s="56"/>
      <c r="I25470" s="224"/>
    </row>
    <row r="25471" spans="1:9" x14ac:dyDescent="0.25">
      <c r="A25471" s="515">
        <v>59633</v>
      </c>
      <c r="B25471" s="515" t="s">
        <v>750</v>
      </c>
      <c r="C25471" s="52">
        <v>456122.57660726702</v>
      </c>
      <c r="D25471" s="56">
        <v>3.625608029923115E-2</v>
      </c>
      <c r="E25471" s="224" t="s">
        <v>2</v>
      </c>
      <c r="G25471" s="52"/>
      <c r="H25471" s="56"/>
      <c r="I25471" s="224"/>
    </row>
    <row r="25472" spans="1:9" x14ac:dyDescent="0.25">
      <c r="A25472" s="515">
        <v>52595</v>
      </c>
      <c r="B25472" s="515" t="s">
        <v>477</v>
      </c>
      <c r="C25472" s="52">
        <v>113493.91291345</v>
      </c>
      <c r="D25472" s="56">
        <v>0</v>
      </c>
      <c r="E25472" s="224" t="s">
        <v>2</v>
      </c>
      <c r="G25472" s="52"/>
      <c r="H25472" s="56"/>
      <c r="I25472" s="224"/>
    </row>
    <row r="25473" spans="1:9" x14ac:dyDescent="0.25">
      <c r="A25473" s="515">
        <v>68417</v>
      </c>
      <c r="C25473" s="52">
        <v>174830.81184871399</v>
      </c>
      <c r="D25473" s="56">
        <v>0.13976795330209926</v>
      </c>
      <c r="E25473" s="224" t="s">
        <v>2</v>
      </c>
      <c r="G25473" s="52"/>
      <c r="H25473" s="56"/>
      <c r="I25473" s="224"/>
    </row>
    <row r="25474" spans="1:9" x14ac:dyDescent="0.25">
      <c r="A25474" s="515">
        <v>59053</v>
      </c>
      <c r="C25474" s="52">
        <v>266745.49064301199</v>
      </c>
      <c r="D25474" s="56">
        <v>0.15604363677879213</v>
      </c>
      <c r="E25474" s="224" t="s">
        <v>2</v>
      </c>
      <c r="G25474" s="52"/>
      <c r="H25474" s="56"/>
      <c r="I25474" s="224"/>
    </row>
    <row r="25475" spans="1:9" x14ac:dyDescent="0.25">
      <c r="A25475" s="515">
        <v>16861</v>
      </c>
      <c r="B25475" s="515" t="s">
        <v>876</v>
      </c>
      <c r="C25475" s="52">
        <v>65447.658536585302</v>
      </c>
      <c r="D25475" s="56">
        <v>0</v>
      </c>
      <c r="E25475" s="224" t="s">
        <v>2</v>
      </c>
      <c r="G25475" s="52"/>
      <c r="H25475" s="56"/>
      <c r="I25475" s="224"/>
    </row>
    <row r="25476" spans="1:9" x14ac:dyDescent="0.25">
      <c r="A25476" s="515">
        <v>47453</v>
      </c>
      <c r="C25476" s="52">
        <v>162230.051659219</v>
      </c>
      <c r="D25476" s="56">
        <v>5.5096343023201898E-2</v>
      </c>
      <c r="E25476" s="224" t="s">
        <v>2</v>
      </c>
      <c r="G25476" s="52"/>
      <c r="H25476" s="56"/>
      <c r="I25476" s="224"/>
    </row>
    <row r="25477" spans="1:9" x14ac:dyDescent="0.25">
      <c r="A25477" s="515">
        <v>61743</v>
      </c>
      <c r="B25477" s="515" t="s">
        <v>678</v>
      </c>
      <c r="C25477" s="52">
        <v>157939.700379496</v>
      </c>
      <c r="D25477" s="56">
        <v>0</v>
      </c>
      <c r="E25477" s="224" t="s">
        <v>2</v>
      </c>
      <c r="G25477" s="52"/>
      <c r="H25477" s="56"/>
      <c r="I25477" s="224"/>
    </row>
    <row r="25478" spans="1:9" x14ac:dyDescent="0.25">
      <c r="A25478" s="515">
        <v>68453</v>
      </c>
      <c r="C25478" s="52">
        <v>169984.243011154</v>
      </c>
      <c r="D25478" s="56">
        <v>-0.15184413378851311</v>
      </c>
      <c r="E25478" s="224" t="s">
        <v>2</v>
      </c>
      <c r="G25478" s="52"/>
      <c r="H25478" s="56"/>
      <c r="I25478" s="224"/>
    </row>
    <row r="25479" spans="1:9" x14ac:dyDescent="0.25">
      <c r="A25479" s="515">
        <v>16430</v>
      </c>
      <c r="B25479" s="515" t="s">
        <v>753</v>
      </c>
      <c r="C25479" s="52">
        <v>168996.18886073399</v>
      </c>
      <c r="D25479" s="56">
        <v>5.4361033167888297E-2</v>
      </c>
      <c r="E25479" s="224" t="s">
        <v>2</v>
      </c>
      <c r="G25479" s="52"/>
      <c r="H25479" s="56"/>
      <c r="I25479" s="224"/>
    </row>
    <row r="25480" spans="1:9" x14ac:dyDescent="0.25">
      <c r="A25480" s="515">
        <v>68378</v>
      </c>
      <c r="C25480" s="52">
        <v>194365.39032190599</v>
      </c>
      <c r="D25480" s="56">
        <v>0.17074635123195017</v>
      </c>
      <c r="E25480" s="224" t="s">
        <v>2</v>
      </c>
      <c r="G25480" s="52"/>
      <c r="H25480" s="56"/>
      <c r="I25480" s="224"/>
    </row>
    <row r="25481" spans="1:9" x14ac:dyDescent="0.25">
      <c r="A25481" s="515">
        <v>95563</v>
      </c>
      <c r="C25481" s="52">
        <v>329511.36967995198</v>
      </c>
      <c r="D25481" s="56">
        <v>-4.2485954252952624E-2</v>
      </c>
      <c r="E25481" s="224" t="s">
        <v>2</v>
      </c>
      <c r="G25481" s="52"/>
      <c r="H25481" s="56"/>
      <c r="I25481" s="224"/>
    </row>
    <row r="25482" spans="1:9" x14ac:dyDescent="0.25">
      <c r="A25482" s="515">
        <v>68326</v>
      </c>
      <c r="C25482" s="52">
        <v>218073.87051674101</v>
      </c>
      <c r="D25482" s="56">
        <v>0.18519322943449523</v>
      </c>
      <c r="E25482" s="224" t="s">
        <v>2</v>
      </c>
      <c r="G25482" s="52"/>
      <c r="H25482" s="56"/>
      <c r="I25482" s="224"/>
    </row>
    <row r="25483" spans="1:9" x14ac:dyDescent="0.25">
      <c r="A25483" s="515">
        <v>16343</v>
      </c>
      <c r="B25483" s="515" t="s">
        <v>349</v>
      </c>
      <c r="C25483" s="52">
        <v>82083.213388556003</v>
      </c>
      <c r="D25483" s="56">
        <v>0.13911537841051366</v>
      </c>
      <c r="E25483" s="224" t="s">
        <v>2</v>
      </c>
      <c r="G25483" s="52"/>
      <c r="H25483" s="56"/>
      <c r="I25483" s="224"/>
    </row>
    <row r="25484" spans="1:9" x14ac:dyDescent="0.25">
      <c r="A25484" s="515">
        <v>59450</v>
      </c>
      <c r="C25484" s="52">
        <v>319717.78153695998</v>
      </c>
      <c r="D25484" s="56">
        <v>0.16563751877714319</v>
      </c>
      <c r="E25484" s="224" t="s">
        <v>2</v>
      </c>
      <c r="G25484" s="52"/>
      <c r="H25484" s="56"/>
      <c r="I25484" s="224"/>
    </row>
    <row r="25485" spans="1:9" x14ac:dyDescent="0.25">
      <c r="A25485" s="515">
        <v>77994</v>
      </c>
      <c r="C25485" s="52">
        <v>204968.291496586</v>
      </c>
      <c r="D25485" s="56">
        <v>0</v>
      </c>
      <c r="E25485" s="224" t="s">
        <v>2</v>
      </c>
      <c r="G25485" s="52"/>
      <c r="H25485" s="56"/>
      <c r="I25485" s="224"/>
    </row>
    <row r="25486" spans="1:9" x14ac:dyDescent="0.25">
      <c r="A25486" s="515">
        <v>67584</v>
      </c>
      <c r="C25486" s="52">
        <v>89003.220368687194</v>
      </c>
      <c r="D25486" s="56">
        <v>6.6726270459014803E-2</v>
      </c>
      <c r="E25486" s="224" t="s">
        <v>2</v>
      </c>
      <c r="G25486" s="52"/>
      <c r="H25486" s="56"/>
      <c r="I25486" s="224"/>
    </row>
    <row r="25487" spans="1:9" x14ac:dyDescent="0.25">
      <c r="A25487" s="515">
        <v>25932</v>
      </c>
      <c r="B25487" s="515" t="s">
        <v>566</v>
      </c>
      <c r="C25487" s="52">
        <v>107930.6</v>
      </c>
      <c r="D25487" s="56">
        <v>0</v>
      </c>
      <c r="E25487" s="224" t="s">
        <v>2</v>
      </c>
      <c r="G25487" s="52"/>
      <c r="H25487" s="56"/>
      <c r="I25487" s="224"/>
    </row>
    <row r="25488" spans="1:9" x14ac:dyDescent="0.25">
      <c r="A25488" s="515">
        <v>3579</v>
      </c>
      <c r="B25488" s="515" t="s">
        <v>752</v>
      </c>
      <c r="C25488" s="52">
        <v>258301.23179384801</v>
      </c>
      <c r="D25488" s="56">
        <v>0.20716935372963316</v>
      </c>
      <c r="E25488" s="224" t="s">
        <v>2</v>
      </c>
      <c r="G25488" s="52"/>
      <c r="H25488" s="56"/>
      <c r="I25488" s="224"/>
    </row>
    <row r="25489" spans="1:9" x14ac:dyDescent="0.25">
      <c r="A25489" s="515">
        <v>62419</v>
      </c>
      <c r="C25489" s="52">
        <v>86320.864406779598</v>
      </c>
      <c r="D25489" s="56">
        <v>0</v>
      </c>
      <c r="E25489" s="224" t="s">
        <v>2</v>
      </c>
      <c r="G25489" s="52"/>
      <c r="H25489" s="56"/>
      <c r="I25489" s="224"/>
    </row>
    <row r="25490" spans="1:9" x14ac:dyDescent="0.25">
      <c r="A25490" s="515">
        <v>96115</v>
      </c>
      <c r="C25490" s="52">
        <v>295132.76077081799</v>
      </c>
      <c r="D25490" s="56">
        <v>3.9135639755764036E-3</v>
      </c>
      <c r="E25490" s="224" t="s">
        <v>2</v>
      </c>
      <c r="G25490" s="52"/>
      <c r="H25490" s="56"/>
      <c r="I25490" s="224"/>
    </row>
    <row r="25491" spans="1:9" x14ac:dyDescent="0.25">
      <c r="A25491" s="515">
        <v>1745</v>
      </c>
      <c r="B25491" s="515" t="s">
        <v>751</v>
      </c>
      <c r="C25491" s="52">
        <v>552615.98731142504</v>
      </c>
      <c r="D25491" s="56">
        <v>8.0008146368173536E-2</v>
      </c>
      <c r="E25491" s="224" t="s">
        <v>2</v>
      </c>
      <c r="G25491" s="52"/>
      <c r="H25491" s="56"/>
      <c r="I25491" s="224"/>
    </row>
    <row r="25492" spans="1:9" x14ac:dyDescent="0.25">
      <c r="A25492" s="515">
        <v>68401</v>
      </c>
      <c r="C25492" s="52">
        <v>209514.03059349599</v>
      </c>
      <c r="D25492" s="56">
        <v>7.1371578185194226E-2</v>
      </c>
      <c r="E25492" s="224" t="s">
        <v>2</v>
      </c>
      <c r="G25492" s="52"/>
      <c r="H25492" s="56"/>
      <c r="I25492" s="224"/>
    </row>
    <row r="25493" spans="1:9" x14ac:dyDescent="0.25">
      <c r="A25493" s="515">
        <v>68357</v>
      </c>
      <c r="B25493" s="515" t="s">
        <v>745</v>
      </c>
      <c r="C25493" s="52">
        <v>283188.019158668</v>
      </c>
      <c r="D25493" s="56">
        <v>0.14837224191696827</v>
      </c>
      <c r="E25493" s="224" t="s">
        <v>2</v>
      </c>
      <c r="G25493" s="52"/>
      <c r="H25493" s="56"/>
      <c r="I25493" s="224"/>
    </row>
    <row r="25494" spans="1:9" x14ac:dyDescent="0.25">
      <c r="A25494" s="515">
        <v>98256</v>
      </c>
      <c r="B25494" s="515" t="s">
        <v>384</v>
      </c>
      <c r="C25494" s="52">
        <v>382943.17923614202</v>
      </c>
      <c r="D25494" s="56">
        <v>1.9088511723223772E-2</v>
      </c>
      <c r="E25494" s="224" t="s">
        <v>2</v>
      </c>
      <c r="G25494" s="52"/>
      <c r="H25494" s="56"/>
      <c r="I25494" s="224"/>
    </row>
    <row r="25495" spans="1:9" x14ac:dyDescent="0.25">
      <c r="A25495" s="515">
        <v>59638</v>
      </c>
      <c r="B25495" s="515" t="s">
        <v>750</v>
      </c>
      <c r="C25495" s="52">
        <v>545251.011345768</v>
      </c>
      <c r="D25495" s="56">
        <v>7.3069061200309357E-2</v>
      </c>
      <c r="E25495" s="224" t="s">
        <v>2</v>
      </c>
      <c r="G25495" s="52"/>
      <c r="H25495" s="56"/>
      <c r="I25495" s="224"/>
    </row>
    <row r="25496" spans="1:9" x14ac:dyDescent="0.25">
      <c r="A25496" s="515">
        <v>59018</v>
      </c>
      <c r="C25496" s="52">
        <v>608278.15176995099</v>
      </c>
      <c r="D25496" s="56">
        <v>0.13084106422041999</v>
      </c>
      <c r="E25496" s="224" t="s">
        <v>2</v>
      </c>
      <c r="G25496" s="52"/>
      <c r="H25496" s="56"/>
      <c r="I25496" s="224"/>
    </row>
    <row r="25497" spans="1:9" x14ac:dyDescent="0.25">
      <c r="A25497" s="515">
        <v>56646</v>
      </c>
      <c r="B25497" s="515" t="s">
        <v>624</v>
      </c>
      <c r="C25497" s="52">
        <v>235427.88155008201</v>
      </c>
      <c r="D25497" s="56">
        <v>0.14000914374916384</v>
      </c>
      <c r="E25497" s="224" t="s">
        <v>2</v>
      </c>
      <c r="G25497" s="52"/>
      <c r="H25497" s="56"/>
      <c r="I25497" s="224"/>
    </row>
    <row r="25498" spans="1:9" x14ac:dyDescent="0.25">
      <c r="A25498" s="515">
        <v>40824</v>
      </c>
      <c r="C25498" s="52">
        <v>59680.424523128597</v>
      </c>
      <c r="D25498" s="56">
        <v>0.20221653332235326</v>
      </c>
      <c r="E25498" s="224" t="s">
        <v>2</v>
      </c>
      <c r="G25498" s="52"/>
      <c r="H25498" s="56"/>
      <c r="I25498" s="224"/>
    </row>
    <row r="25499" spans="1:9" x14ac:dyDescent="0.25">
      <c r="A25499" s="515">
        <v>50586</v>
      </c>
      <c r="C25499" s="52">
        <v>153649.42713106499</v>
      </c>
      <c r="D25499" s="56">
        <v>4.4566511207160479E-2</v>
      </c>
      <c r="E25499" s="224" t="s">
        <v>2</v>
      </c>
      <c r="G25499" s="52"/>
      <c r="H25499" s="56"/>
      <c r="I25499" s="224"/>
    </row>
    <row r="25500" spans="1:9" x14ac:dyDescent="0.25">
      <c r="A25500" s="515">
        <v>62452</v>
      </c>
      <c r="C25500" s="52">
        <v>89571.523076922997</v>
      </c>
      <c r="D25500" s="56">
        <v>0</v>
      </c>
      <c r="E25500" s="224" t="s">
        <v>2</v>
      </c>
      <c r="G25500" s="52"/>
      <c r="H25500" s="56"/>
      <c r="I25500" s="224"/>
    </row>
    <row r="25501" spans="1:9" x14ac:dyDescent="0.25">
      <c r="A25501" s="515">
        <v>16829</v>
      </c>
      <c r="B25501" s="515" t="s">
        <v>491</v>
      </c>
      <c r="C25501" s="52">
        <v>162770.851394798</v>
      </c>
      <c r="D25501" s="56">
        <v>7.305977029167271E-2</v>
      </c>
      <c r="E25501" s="224" t="s">
        <v>2</v>
      </c>
      <c r="G25501" s="52"/>
      <c r="H25501" s="56"/>
      <c r="I25501" s="224"/>
    </row>
    <row r="25502" spans="1:9" x14ac:dyDescent="0.25">
      <c r="A25502" s="515">
        <v>54844</v>
      </c>
      <c r="C25502" s="52">
        <v>197060.73612290499</v>
      </c>
      <c r="D25502" s="56">
        <v>4.9034461797369297E-2</v>
      </c>
      <c r="E25502" s="224" t="s">
        <v>2</v>
      </c>
      <c r="G25502" s="52"/>
      <c r="H25502" s="56"/>
      <c r="I25502" s="224"/>
    </row>
    <row r="25503" spans="1:9" x14ac:dyDescent="0.25">
      <c r="A25503" s="515">
        <v>15064</v>
      </c>
      <c r="B25503" s="515" t="s">
        <v>297</v>
      </c>
      <c r="C25503" s="52">
        <v>122816.365808627</v>
      </c>
      <c r="D25503" s="56">
        <v>7.4694040719109789E-2</v>
      </c>
      <c r="E25503" s="224" t="s">
        <v>2</v>
      </c>
      <c r="G25503" s="52"/>
      <c r="H25503" s="56"/>
      <c r="I25503" s="224"/>
    </row>
    <row r="25504" spans="1:9" x14ac:dyDescent="0.25">
      <c r="A25504" s="515">
        <v>5152</v>
      </c>
      <c r="B25504" s="515" t="s">
        <v>657</v>
      </c>
      <c r="C25504" s="52">
        <v>409911.638613861</v>
      </c>
      <c r="D25504" s="56">
        <v>0</v>
      </c>
      <c r="E25504" s="224" t="s">
        <v>2</v>
      </c>
      <c r="G25504" s="52"/>
      <c r="H25504" s="56"/>
      <c r="I25504" s="224"/>
    </row>
    <row r="25505" spans="1:9" x14ac:dyDescent="0.25">
      <c r="A25505" s="515">
        <v>59071</v>
      </c>
      <c r="B25505" s="515" t="s">
        <v>637</v>
      </c>
      <c r="C25505" s="52">
        <v>408344.90892015101</v>
      </c>
      <c r="D25505" s="56">
        <v>1.6868540594203212E-2</v>
      </c>
      <c r="E25505" s="224" t="s">
        <v>2</v>
      </c>
      <c r="G25505" s="52"/>
      <c r="H25505" s="56"/>
      <c r="I25505" s="224"/>
    </row>
    <row r="25506" spans="1:9" x14ac:dyDescent="0.25">
      <c r="A25506" s="515">
        <v>16623</v>
      </c>
      <c r="B25506" s="515" t="s">
        <v>539</v>
      </c>
      <c r="C25506" s="52">
        <v>163028.72692454001</v>
      </c>
      <c r="D25506" s="56">
        <v>0</v>
      </c>
      <c r="E25506" s="224" t="s">
        <v>2</v>
      </c>
      <c r="G25506" s="52"/>
      <c r="H25506" s="56"/>
      <c r="I25506" s="224"/>
    </row>
    <row r="25507" spans="1:9" x14ac:dyDescent="0.25">
      <c r="A25507" s="515">
        <v>50128</v>
      </c>
      <c r="B25507" s="515" t="s">
        <v>295</v>
      </c>
      <c r="C25507" s="52">
        <v>117193.690739813</v>
      </c>
      <c r="D25507" s="56">
        <v>0</v>
      </c>
      <c r="E25507" s="224" t="s">
        <v>2</v>
      </c>
      <c r="G25507" s="52"/>
      <c r="H25507" s="56"/>
      <c r="I25507" s="224"/>
    </row>
    <row r="25508" spans="1:9" x14ac:dyDescent="0.25">
      <c r="A25508" s="515">
        <v>22719</v>
      </c>
      <c r="B25508" s="515" t="s">
        <v>321</v>
      </c>
      <c r="C25508" s="52">
        <v>427201.90584971901</v>
      </c>
      <c r="D25508" s="56">
        <v>7.7321753472314195E-2</v>
      </c>
      <c r="E25508" s="224" t="s">
        <v>2</v>
      </c>
      <c r="G25508" s="52"/>
      <c r="H25508" s="56"/>
      <c r="I25508" s="224"/>
    </row>
    <row r="25509" spans="1:9" x14ac:dyDescent="0.25">
      <c r="A25509" s="515">
        <v>25085</v>
      </c>
      <c r="B25509" s="515" t="s">
        <v>566</v>
      </c>
      <c r="C25509" s="52">
        <v>75247.224982788102</v>
      </c>
      <c r="D25509" s="56">
        <v>0.20130820136809255</v>
      </c>
      <c r="E25509" s="224" t="s">
        <v>2</v>
      </c>
      <c r="G25509" s="52"/>
      <c r="H25509" s="56"/>
      <c r="I25509" s="224"/>
    </row>
    <row r="25510" spans="1:9" x14ac:dyDescent="0.25">
      <c r="A25510" s="515">
        <v>66936</v>
      </c>
      <c r="C25510" s="52">
        <v>81162.564486922405</v>
      </c>
      <c r="D25510" s="56">
        <v>5.4924306967230954E-2</v>
      </c>
      <c r="E25510" s="224" t="s">
        <v>2</v>
      </c>
      <c r="G25510" s="52"/>
      <c r="H25510" s="56"/>
      <c r="I25510" s="224"/>
    </row>
    <row r="25511" spans="1:9" x14ac:dyDescent="0.25">
      <c r="A25511" s="515">
        <v>93254</v>
      </c>
      <c r="B25511" s="515" t="s">
        <v>959</v>
      </c>
      <c r="C25511" s="52">
        <v>217699.837545349</v>
      </c>
      <c r="D25511" s="56">
        <v>4.927148668656788E-3</v>
      </c>
      <c r="E25511" s="224" t="s">
        <v>2</v>
      </c>
      <c r="G25511" s="52"/>
      <c r="H25511" s="56"/>
      <c r="I25511" s="224"/>
    </row>
    <row r="25512" spans="1:9" x14ac:dyDescent="0.25">
      <c r="A25512" s="515">
        <v>50252</v>
      </c>
      <c r="B25512" s="515" t="s">
        <v>295</v>
      </c>
      <c r="C25512" s="52">
        <v>245447.04154115799</v>
      </c>
      <c r="D25512" s="56">
        <v>0.10379486786114712</v>
      </c>
      <c r="E25512" s="224" t="s">
        <v>2</v>
      </c>
      <c r="G25512" s="52"/>
      <c r="H25512" s="56"/>
      <c r="I25512" s="224"/>
    </row>
    <row r="25513" spans="1:9" x14ac:dyDescent="0.25">
      <c r="A25513" s="515">
        <v>8001</v>
      </c>
      <c r="B25513" s="515" t="s">
        <v>294</v>
      </c>
      <c r="C25513" s="52">
        <v>241472.03209744499</v>
      </c>
      <c r="D25513" s="56">
        <v>5.8651298312265926E-2</v>
      </c>
      <c r="E25513" s="224" t="s">
        <v>2</v>
      </c>
      <c r="G25513" s="52"/>
      <c r="H25513" s="56"/>
      <c r="I25513" s="224"/>
    </row>
    <row r="25514" spans="1:9" x14ac:dyDescent="0.25">
      <c r="A25514" s="515">
        <v>68439</v>
      </c>
      <c r="B25514" s="515" t="s">
        <v>486</v>
      </c>
      <c r="C25514" s="52">
        <v>199285.78349887501</v>
      </c>
      <c r="D25514" s="56">
        <v>6.6404426841594533E-2</v>
      </c>
      <c r="E25514" s="224" t="s">
        <v>2</v>
      </c>
      <c r="G25514" s="52"/>
      <c r="H25514" s="56"/>
      <c r="I25514" s="224"/>
    </row>
    <row r="25515" spans="1:9" x14ac:dyDescent="0.25">
      <c r="A25515" s="515">
        <v>25649</v>
      </c>
      <c r="B25515" s="515" t="s">
        <v>464</v>
      </c>
      <c r="C25515" s="52">
        <v>78357.241379310304</v>
      </c>
      <c r="D25515" s="56">
        <v>0</v>
      </c>
      <c r="E25515" s="224" t="s">
        <v>2</v>
      </c>
      <c r="G25515" s="52"/>
      <c r="H25515" s="56"/>
      <c r="I25515" s="224"/>
    </row>
    <row r="25516" spans="1:9" x14ac:dyDescent="0.25">
      <c r="A25516" s="515">
        <v>97737</v>
      </c>
      <c r="B25516" s="515" t="s">
        <v>545</v>
      </c>
      <c r="C25516" s="52">
        <v>268229.72769015603</v>
      </c>
      <c r="D25516" s="56">
        <v>5.4825932191420262E-2</v>
      </c>
      <c r="E25516" s="224" t="s">
        <v>2</v>
      </c>
      <c r="G25516" s="52"/>
      <c r="H25516" s="56"/>
      <c r="I25516" s="224"/>
    </row>
    <row r="25517" spans="1:9" x14ac:dyDescent="0.25">
      <c r="A25517" s="515">
        <v>50042</v>
      </c>
      <c r="C25517" s="52">
        <v>111529.70532517</v>
      </c>
      <c r="D25517" s="56">
        <v>0</v>
      </c>
      <c r="E25517" s="224" t="s">
        <v>2</v>
      </c>
      <c r="G25517" s="52"/>
      <c r="H25517" s="56"/>
      <c r="I25517" s="224"/>
    </row>
    <row r="25518" spans="1:9" x14ac:dyDescent="0.25">
      <c r="A25518" s="515">
        <v>52231</v>
      </c>
      <c r="C25518" s="52">
        <v>153891.31140289301</v>
      </c>
      <c r="D25518" s="56">
        <v>0</v>
      </c>
      <c r="E25518" s="224" t="s">
        <v>2</v>
      </c>
      <c r="G25518" s="52"/>
      <c r="H25518" s="56"/>
      <c r="I25518" s="224"/>
    </row>
    <row r="25519" spans="1:9" x14ac:dyDescent="0.25">
      <c r="A25519" s="515">
        <v>68879</v>
      </c>
      <c r="C25519" s="52">
        <v>131609.344827586</v>
      </c>
      <c r="D25519" s="56">
        <v>0</v>
      </c>
      <c r="E25519" s="224" t="s">
        <v>2</v>
      </c>
      <c r="G25519" s="52"/>
      <c r="H25519" s="56"/>
      <c r="I25519" s="224"/>
    </row>
    <row r="25520" spans="1:9" x14ac:dyDescent="0.25">
      <c r="A25520" s="515">
        <v>66406</v>
      </c>
      <c r="C25520" s="52">
        <v>122112.75568185101</v>
      </c>
      <c r="D25520" s="56">
        <v>0.1489614007644679</v>
      </c>
      <c r="E25520" s="224" t="s">
        <v>2</v>
      </c>
      <c r="G25520" s="52"/>
      <c r="H25520" s="56"/>
      <c r="I25520" s="224"/>
    </row>
    <row r="25521" spans="1:9" x14ac:dyDescent="0.25">
      <c r="A25521" s="515">
        <v>41819</v>
      </c>
      <c r="C25521" s="52">
        <v>50165.098373786001</v>
      </c>
      <c r="D25521" s="56">
        <v>0.23347019409770423</v>
      </c>
      <c r="E25521" s="224" t="s">
        <v>2</v>
      </c>
      <c r="G25521" s="52"/>
      <c r="H25521" s="56"/>
      <c r="I25521" s="224"/>
    </row>
    <row r="25522" spans="1:9" x14ac:dyDescent="0.25">
      <c r="A25522" s="515">
        <v>66772</v>
      </c>
      <c r="C25522" s="52">
        <v>105704.148024251</v>
      </c>
      <c r="D25522" s="56">
        <v>0.29320772651215493</v>
      </c>
      <c r="E25522" s="224" t="s">
        <v>2</v>
      </c>
      <c r="G25522" s="52"/>
      <c r="H25522" s="56"/>
      <c r="I25522" s="224"/>
    </row>
    <row r="25523" spans="1:9" x14ac:dyDescent="0.25">
      <c r="A25523" s="515">
        <v>85927</v>
      </c>
      <c r="C25523" s="52">
        <v>454882.55555555498</v>
      </c>
      <c r="D25523" s="56">
        <v>0</v>
      </c>
      <c r="E25523" s="224" t="s">
        <v>2</v>
      </c>
      <c r="G25523" s="52"/>
      <c r="H25523" s="56"/>
      <c r="I25523" s="224"/>
    </row>
    <row r="25524" spans="1:9" x14ac:dyDescent="0.25">
      <c r="A25524" s="515">
        <v>50609</v>
      </c>
      <c r="B25524" s="515" t="s">
        <v>315</v>
      </c>
      <c r="C25524" s="52">
        <v>164061.65692718001</v>
      </c>
      <c r="D25524" s="56">
        <v>9.5026027087611598E-2</v>
      </c>
      <c r="E25524" s="224" t="s">
        <v>2</v>
      </c>
      <c r="G25524" s="52"/>
      <c r="H25524" s="56"/>
      <c r="I25524" s="224"/>
    </row>
    <row r="25525" spans="1:9" x14ac:dyDescent="0.25">
      <c r="A25525" s="515">
        <v>15411</v>
      </c>
      <c r="B25525" s="515" t="s">
        <v>370</v>
      </c>
      <c r="C25525" s="52">
        <v>197823.91459582699</v>
      </c>
      <c r="D25525" s="56">
        <v>6.4409441789406482E-2</v>
      </c>
      <c r="E25525" s="224" t="s">
        <v>2</v>
      </c>
      <c r="G25525" s="52"/>
      <c r="H25525" s="56"/>
      <c r="I25525" s="224"/>
    </row>
    <row r="25526" spans="1:9" x14ac:dyDescent="0.25">
      <c r="A25526" s="515">
        <v>62373</v>
      </c>
      <c r="B25526" s="515" t="s">
        <v>496</v>
      </c>
      <c r="C25526" s="52">
        <v>142339.342105263</v>
      </c>
      <c r="D25526" s="56">
        <v>0</v>
      </c>
      <c r="E25526" s="224" t="s">
        <v>2</v>
      </c>
      <c r="G25526" s="52"/>
      <c r="H25526" s="56"/>
      <c r="I25526" s="224"/>
    </row>
    <row r="25527" spans="1:9" x14ac:dyDescent="0.25">
      <c r="A25527" s="515">
        <v>50057</v>
      </c>
      <c r="B25527" s="515" t="s">
        <v>625</v>
      </c>
      <c r="C25527" s="52">
        <v>164278.871887368</v>
      </c>
      <c r="D25527" s="56">
        <v>0</v>
      </c>
      <c r="E25527" s="224" t="s">
        <v>2</v>
      </c>
      <c r="G25527" s="52"/>
      <c r="H25527" s="56"/>
      <c r="I25527" s="224"/>
    </row>
    <row r="25528" spans="1:9" x14ac:dyDescent="0.25">
      <c r="A25528" s="515">
        <v>56276</v>
      </c>
      <c r="C25528" s="52">
        <v>139202.635124327</v>
      </c>
      <c r="D25528" s="56">
        <v>0</v>
      </c>
      <c r="E25528" s="224" t="s">
        <v>2</v>
      </c>
      <c r="G25528" s="52"/>
      <c r="H25528" s="56"/>
      <c r="I25528" s="224"/>
    </row>
    <row r="25529" spans="1:9" x14ac:dyDescent="0.25">
      <c r="A25529" s="515">
        <v>81251</v>
      </c>
      <c r="C25529" s="52">
        <v>538398.04576562101</v>
      </c>
      <c r="D25529" s="56">
        <v>7.9222820009377623E-2</v>
      </c>
      <c r="E25529" s="224" t="s">
        <v>2</v>
      </c>
      <c r="G25529" s="52"/>
      <c r="H25529" s="56"/>
      <c r="I25529" s="224"/>
    </row>
    <row r="25530" spans="1:9" x14ac:dyDescent="0.25">
      <c r="A25530" s="515">
        <v>3441</v>
      </c>
      <c r="B25530" s="515" t="s">
        <v>747</v>
      </c>
      <c r="C25530" s="52">
        <v>229134.04362887901</v>
      </c>
      <c r="D25530" s="56">
        <v>0.10679267842869117</v>
      </c>
      <c r="E25530" s="224" t="s">
        <v>2</v>
      </c>
      <c r="G25530" s="52"/>
      <c r="H25530" s="56"/>
      <c r="I25530" s="224"/>
    </row>
    <row r="25531" spans="1:9" x14ac:dyDescent="0.25">
      <c r="A25531" s="515">
        <v>66944</v>
      </c>
      <c r="C25531" s="52">
        <v>78517.467806074099</v>
      </c>
      <c r="D25531" s="56">
        <v>5.6996117210573245E-2</v>
      </c>
      <c r="E25531" s="224" t="s">
        <v>2</v>
      </c>
      <c r="G25531" s="52"/>
      <c r="H25531" s="56"/>
      <c r="I25531" s="224"/>
    </row>
    <row r="25532" spans="1:9" x14ac:dyDescent="0.25">
      <c r="A25532" s="515">
        <v>50565</v>
      </c>
      <c r="B25532" s="515" t="s">
        <v>723</v>
      </c>
      <c r="C25532" s="52">
        <v>80555.278741635499</v>
      </c>
      <c r="D25532" s="56">
        <v>0.13816969904876439</v>
      </c>
      <c r="E25532" s="224" t="s">
        <v>2</v>
      </c>
      <c r="G25532" s="52"/>
      <c r="H25532" s="56"/>
      <c r="I25532" s="224"/>
    </row>
    <row r="25533" spans="1:9" x14ac:dyDescent="0.25">
      <c r="A25533" s="515">
        <v>39826</v>
      </c>
      <c r="B25533" s="515" t="s">
        <v>746</v>
      </c>
      <c r="C25533" s="52">
        <v>82816.151730549696</v>
      </c>
      <c r="D25533" s="56">
        <v>0.25207534072972998</v>
      </c>
      <c r="E25533" s="224" t="s">
        <v>2</v>
      </c>
      <c r="G25533" s="52"/>
      <c r="H25533" s="56"/>
      <c r="I25533" s="224"/>
    </row>
    <row r="25534" spans="1:9" x14ac:dyDescent="0.25">
      <c r="A25534" s="515">
        <v>60962</v>
      </c>
      <c r="C25534" s="52">
        <v>78536.896420845602</v>
      </c>
      <c r="D25534" s="56">
        <v>5.0261252240606513E-2</v>
      </c>
      <c r="E25534" s="224" t="s">
        <v>2</v>
      </c>
      <c r="G25534" s="52"/>
      <c r="H25534" s="56"/>
      <c r="I25534" s="224"/>
    </row>
    <row r="25535" spans="1:9" x14ac:dyDescent="0.25">
      <c r="A25535" s="515">
        <v>84620</v>
      </c>
      <c r="C25535" s="52">
        <v>314870.362246053</v>
      </c>
      <c r="D25535" s="56">
        <v>0</v>
      </c>
      <c r="E25535" s="224" t="s">
        <v>2</v>
      </c>
      <c r="G25535" s="52"/>
      <c r="H25535" s="56"/>
      <c r="I25535" s="224"/>
    </row>
    <row r="25536" spans="1:9" x14ac:dyDescent="0.25">
      <c r="A25536" s="515">
        <v>65001</v>
      </c>
      <c r="C25536" s="52">
        <v>186248.77272727201</v>
      </c>
      <c r="D25536" s="56">
        <v>0</v>
      </c>
      <c r="E25536" s="224" t="s">
        <v>2</v>
      </c>
      <c r="G25536" s="52"/>
      <c r="H25536" s="56"/>
      <c r="I25536" s="224"/>
    </row>
    <row r="25537" spans="1:9" x14ac:dyDescent="0.25">
      <c r="A25537" s="515">
        <v>24944</v>
      </c>
      <c r="C25537" s="52">
        <v>127619.54775188801</v>
      </c>
      <c r="D25537" s="56">
        <v>0.12065637388261592</v>
      </c>
      <c r="E25537" s="224" t="s">
        <v>2</v>
      </c>
      <c r="G25537" s="52"/>
      <c r="H25537" s="56"/>
      <c r="I25537" s="224"/>
    </row>
    <row r="25538" spans="1:9" x14ac:dyDescent="0.25">
      <c r="A25538" s="515">
        <v>68328</v>
      </c>
      <c r="B25538" s="515" t="s">
        <v>745</v>
      </c>
      <c r="C25538" s="52">
        <v>168645.331970108</v>
      </c>
      <c r="D25538" s="56">
        <v>0</v>
      </c>
      <c r="E25538" s="224" t="s">
        <v>2</v>
      </c>
      <c r="G25538" s="52"/>
      <c r="H25538" s="56"/>
      <c r="I25538" s="224"/>
    </row>
    <row r="25539" spans="1:9" x14ac:dyDescent="0.25">
      <c r="A25539" s="515">
        <v>50154</v>
      </c>
      <c r="B25539" s="515" t="s">
        <v>568</v>
      </c>
      <c r="C25539" s="52">
        <v>188382.71609626801</v>
      </c>
      <c r="D25539" s="56">
        <v>0.10253760753375428</v>
      </c>
      <c r="E25539" s="224" t="s">
        <v>2</v>
      </c>
      <c r="G25539" s="52"/>
      <c r="H25539" s="56"/>
      <c r="I25539" s="224"/>
    </row>
    <row r="25540" spans="1:9" x14ac:dyDescent="0.25">
      <c r="A25540" s="515">
        <v>80727</v>
      </c>
      <c r="C25540" s="52">
        <v>170107.419548543</v>
      </c>
      <c r="D25540" s="56">
        <v>0</v>
      </c>
      <c r="E25540" s="224" t="s">
        <v>2</v>
      </c>
      <c r="G25540" s="52"/>
      <c r="H25540" s="56"/>
      <c r="I25540" s="224"/>
    </row>
    <row r="25541" spans="1:9" x14ac:dyDescent="0.25">
      <c r="A25541" s="515">
        <v>13470</v>
      </c>
      <c r="B25541" s="515" t="s">
        <v>744</v>
      </c>
      <c r="C25541" s="52">
        <v>180613.13724224301</v>
      </c>
      <c r="D25541" s="56">
        <v>0.10124045772709638</v>
      </c>
      <c r="E25541" s="224" t="s">
        <v>2</v>
      </c>
      <c r="G25541" s="52"/>
      <c r="H25541" s="56"/>
      <c r="I25541" s="224"/>
    </row>
    <row r="25542" spans="1:9" x14ac:dyDescent="0.25">
      <c r="A25542" s="515">
        <v>96059</v>
      </c>
      <c r="B25542" s="515" t="s">
        <v>525</v>
      </c>
      <c r="C25542" s="52">
        <v>323013.10784087598</v>
      </c>
      <c r="D25542" s="56">
        <v>-1.3031566978383109E-2</v>
      </c>
      <c r="E25542" s="224" t="s">
        <v>2</v>
      </c>
      <c r="G25542" s="52"/>
      <c r="H25542" s="56"/>
      <c r="I25542" s="224"/>
    </row>
    <row r="25543" spans="1:9" x14ac:dyDescent="0.25">
      <c r="A25543" s="515">
        <v>3871</v>
      </c>
      <c r="B25543" s="515" t="s">
        <v>534</v>
      </c>
      <c r="C25543" s="52">
        <v>2099682.3545702999</v>
      </c>
      <c r="D25543" s="56">
        <v>0</v>
      </c>
      <c r="E25543" s="224" t="s">
        <v>2</v>
      </c>
      <c r="G25543" s="52"/>
      <c r="H25543" s="56"/>
      <c r="I25543" s="224"/>
    </row>
    <row r="25544" spans="1:9" x14ac:dyDescent="0.25">
      <c r="A25544" s="515">
        <v>59837</v>
      </c>
      <c r="C25544" s="52">
        <v>482492.631720456</v>
      </c>
      <c r="D25544" s="56">
        <v>0.1416179067681366</v>
      </c>
      <c r="E25544" s="224" t="s">
        <v>2</v>
      </c>
      <c r="G25544" s="52"/>
      <c r="H25544" s="56"/>
      <c r="I25544" s="224"/>
    </row>
    <row r="25545" spans="1:9" x14ac:dyDescent="0.25">
      <c r="A25545" s="515">
        <v>61449</v>
      </c>
      <c r="B25545" s="515" t="s">
        <v>303</v>
      </c>
      <c r="C25545" s="52">
        <v>68998.923730076902</v>
      </c>
      <c r="D25545" s="56">
        <v>1.5606657131531249E-2</v>
      </c>
      <c r="E25545" s="224" t="s">
        <v>2</v>
      </c>
      <c r="G25545" s="52"/>
      <c r="H25545" s="56"/>
      <c r="I25545" s="224"/>
    </row>
    <row r="25546" spans="1:9" x14ac:dyDescent="0.25">
      <c r="A25546" s="515">
        <v>55717</v>
      </c>
      <c r="B25546" s="515" t="s">
        <v>350</v>
      </c>
      <c r="C25546" s="52">
        <v>278927.03894860699</v>
      </c>
      <c r="D25546" s="56">
        <v>9.7911396583933469E-2</v>
      </c>
      <c r="E25546" s="224" t="s">
        <v>2</v>
      </c>
      <c r="G25546" s="52"/>
      <c r="H25546" s="56"/>
      <c r="I25546" s="224"/>
    </row>
    <row r="25547" spans="1:9" x14ac:dyDescent="0.25">
      <c r="A25547" s="515">
        <v>64022</v>
      </c>
      <c r="B25547" s="515" t="s">
        <v>455</v>
      </c>
      <c r="C25547" s="52">
        <v>169339.71044368399</v>
      </c>
      <c r="D25547" s="56">
        <v>4.9126445281363194E-2</v>
      </c>
      <c r="E25547" s="224" t="s">
        <v>2</v>
      </c>
      <c r="G25547" s="52"/>
      <c r="H25547" s="56"/>
      <c r="I25547" s="224"/>
    </row>
    <row r="25548" spans="1:9" x14ac:dyDescent="0.25">
      <c r="A25548" s="515">
        <v>67341</v>
      </c>
      <c r="B25548" s="515" t="s">
        <v>656</v>
      </c>
      <c r="C25548" s="52">
        <v>132125.92035881599</v>
      </c>
      <c r="D25548" s="56">
        <v>0.34922039920290177</v>
      </c>
      <c r="E25548" s="224" t="s">
        <v>2</v>
      </c>
      <c r="G25548" s="52"/>
      <c r="H25548" s="56"/>
      <c r="I25548" s="224"/>
    </row>
    <row r="25549" spans="1:9" x14ac:dyDescent="0.25">
      <c r="A25549" s="515">
        <v>96105</v>
      </c>
      <c r="B25549" s="515" t="s">
        <v>658</v>
      </c>
      <c r="C25549" s="52">
        <v>310526.12822767597</v>
      </c>
      <c r="D25549" s="56">
        <v>-1.2144269891057482E-2</v>
      </c>
      <c r="E25549" s="224" t="s">
        <v>2</v>
      </c>
      <c r="G25549" s="52"/>
      <c r="H25549" s="56"/>
      <c r="I25549" s="224"/>
    </row>
    <row r="25550" spans="1:9" x14ac:dyDescent="0.25">
      <c r="A25550" s="515">
        <v>68337</v>
      </c>
      <c r="C25550" s="52">
        <v>121034.684325095</v>
      </c>
      <c r="D25550" s="56">
        <v>4.144144638895203E-2</v>
      </c>
      <c r="E25550" s="224" t="s">
        <v>2</v>
      </c>
      <c r="G25550" s="52"/>
      <c r="H25550" s="56"/>
      <c r="I25550" s="224"/>
    </row>
    <row r="25551" spans="1:9" x14ac:dyDescent="0.25">
      <c r="A25551" s="515">
        <v>79527</v>
      </c>
      <c r="B25551" s="515" t="s">
        <v>743</v>
      </c>
      <c r="C25551" s="52">
        <v>128038.54129921</v>
      </c>
      <c r="D25551" s="56">
        <v>-0.10729435777149038</v>
      </c>
      <c r="E25551" s="224" t="s">
        <v>2</v>
      </c>
      <c r="G25551" s="52"/>
      <c r="H25551" s="56"/>
      <c r="I25551" s="224"/>
    </row>
    <row r="25552" spans="1:9" x14ac:dyDescent="0.25">
      <c r="A25552" s="515">
        <v>17064</v>
      </c>
      <c r="B25552" s="515" t="s">
        <v>562</v>
      </c>
      <c r="C25552" s="52">
        <v>330755.52316883497</v>
      </c>
      <c r="D25552" s="56">
        <v>0.1186033693817342</v>
      </c>
      <c r="E25552" s="224" t="s">
        <v>2</v>
      </c>
      <c r="G25552" s="52"/>
      <c r="H25552" s="56"/>
      <c r="I25552" s="224"/>
    </row>
    <row r="25553" spans="1:9" x14ac:dyDescent="0.25">
      <c r="A25553" s="515">
        <v>64480</v>
      </c>
      <c r="B25553" s="515" t="s">
        <v>371</v>
      </c>
      <c r="C25553" s="52">
        <v>193865.01161792499</v>
      </c>
      <c r="D25553" s="56">
        <v>9.6154851021926474E-2</v>
      </c>
      <c r="E25553" s="224" t="s">
        <v>2</v>
      </c>
      <c r="G25553" s="52"/>
      <c r="H25553" s="56"/>
      <c r="I25553" s="224"/>
    </row>
    <row r="25554" spans="1:9" x14ac:dyDescent="0.25">
      <c r="A25554" s="515">
        <v>3601</v>
      </c>
      <c r="B25554" s="515" t="s">
        <v>420</v>
      </c>
      <c r="C25554" s="52">
        <v>297761.39210237103</v>
      </c>
      <c r="D25554" s="56">
        <v>0.15579209771715677</v>
      </c>
      <c r="E25554" s="224" t="s">
        <v>2</v>
      </c>
      <c r="G25554" s="52"/>
      <c r="H25554" s="56"/>
      <c r="I25554" s="224"/>
    </row>
    <row r="25555" spans="1:9" x14ac:dyDescent="0.25">
      <c r="A25555" s="515">
        <v>55090</v>
      </c>
      <c r="B25555" s="515" t="s">
        <v>532</v>
      </c>
      <c r="C25555" s="52">
        <v>275946.30100011401</v>
      </c>
      <c r="D25555" s="56">
        <v>2.6407298666018254E-2</v>
      </c>
      <c r="E25555" s="224" t="s">
        <v>2</v>
      </c>
      <c r="G25555" s="52"/>
      <c r="H25555" s="56"/>
      <c r="I25555" s="224"/>
    </row>
    <row r="25556" spans="1:9" x14ac:dyDescent="0.25">
      <c r="A25556" s="515">
        <v>29175</v>
      </c>
      <c r="B25556" s="515" t="s">
        <v>762</v>
      </c>
      <c r="C25556" s="52">
        <v>132331.40476190401</v>
      </c>
      <c r="D25556" s="56">
        <v>0</v>
      </c>
      <c r="E25556" s="224" t="s">
        <v>2</v>
      </c>
      <c r="G25556" s="52"/>
      <c r="H25556" s="56"/>
      <c r="I25556" s="224"/>
    </row>
    <row r="25557" spans="1:9" x14ac:dyDescent="0.25">
      <c r="A25557" s="515">
        <v>64620</v>
      </c>
      <c r="C25557" s="52">
        <v>272808.43372712901</v>
      </c>
      <c r="D25557" s="56">
        <v>0</v>
      </c>
      <c r="E25557" s="224" t="s">
        <v>2</v>
      </c>
      <c r="G25557" s="52"/>
      <c r="H25557" s="56"/>
      <c r="I25557" s="224"/>
    </row>
    <row r="25558" spans="1:9" x14ac:dyDescent="0.25">
      <c r="A25558" s="515">
        <v>50836</v>
      </c>
      <c r="C25558" s="52">
        <v>100427.111907924</v>
      </c>
      <c r="D25558" s="56">
        <v>3.9528639595875666E-2</v>
      </c>
      <c r="E25558" s="224" t="s">
        <v>2</v>
      </c>
      <c r="G25558" s="52"/>
      <c r="H25558" s="56"/>
      <c r="I25558" s="224"/>
    </row>
    <row r="25559" spans="1:9" x14ac:dyDescent="0.25">
      <c r="A25559" s="515">
        <v>83287</v>
      </c>
      <c r="C25559" s="52">
        <v>587366.83355377195</v>
      </c>
      <c r="D25559" s="56">
        <v>4.7485001935144197E-2</v>
      </c>
      <c r="E25559" s="224" t="s">
        <v>2</v>
      </c>
      <c r="G25559" s="52"/>
      <c r="H25559" s="56"/>
      <c r="I25559" s="224"/>
    </row>
    <row r="25560" spans="1:9" x14ac:dyDescent="0.25">
      <c r="A25560" s="515">
        <v>13841</v>
      </c>
      <c r="C25560" s="52">
        <v>138907.05835055601</v>
      </c>
      <c r="D25560" s="56">
        <v>2.2993562990070941E-2</v>
      </c>
      <c r="E25560" s="224" t="s">
        <v>2</v>
      </c>
      <c r="G25560" s="52"/>
      <c r="H25560" s="56"/>
      <c r="I25560" s="224"/>
    </row>
    <row r="25561" spans="1:9" x14ac:dyDescent="0.25">
      <c r="A25561" s="515">
        <v>41859</v>
      </c>
      <c r="C25561" s="52">
        <v>93183.855795055293</v>
      </c>
      <c r="D25561" s="56">
        <v>0.22628254601297382</v>
      </c>
      <c r="E25561" s="224" t="s">
        <v>2</v>
      </c>
      <c r="G25561" s="52"/>
      <c r="H25561" s="56"/>
      <c r="I25561" s="224"/>
    </row>
    <row r="25562" spans="1:9" x14ac:dyDescent="0.25">
      <c r="A25562" s="515">
        <v>98288</v>
      </c>
      <c r="B25562" s="515" t="s">
        <v>384</v>
      </c>
      <c r="C25562" s="52">
        <v>399584.64370173699</v>
      </c>
      <c r="D25562" s="56">
        <v>8.0042283007288079E-2</v>
      </c>
      <c r="E25562" s="224" t="s">
        <v>2</v>
      </c>
      <c r="G25562" s="52"/>
      <c r="H25562" s="56"/>
      <c r="I25562" s="224"/>
    </row>
    <row r="25563" spans="1:9" x14ac:dyDescent="0.25">
      <c r="A25563" s="515">
        <v>20130</v>
      </c>
      <c r="B25563" s="515" t="s">
        <v>321</v>
      </c>
      <c r="C25563" s="52">
        <v>563308.64686699596</v>
      </c>
      <c r="D25563" s="56">
        <v>4.3482827967996351E-2</v>
      </c>
      <c r="E25563" s="224" t="s">
        <v>2</v>
      </c>
      <c r="G25563" s="52"/>
      <c r="H25563" s="56"/>
      <c r="I25563" s="224"/>
    </row>
    <row r="25564" spans="1:9" x14ac:dyDescent="0.25">
      <c r="A25564" s="515">
        <v>93450</v>
      </c>
      <c r="B25564" s="515" t="s">
        <v>443</v>
      </c>
      <c r="C25564" s="52">
        <v>461228.15655037097</v>
      </c>
      <c r="D25564" s="56">
        <v>1.0022460098898719E-2</v>
      </c>
      <c r="E25564" s="224" t="s">
        <v>2</v>
      </c>
      <c r="G25564" s="52"/>
      <c r="H25564" s="56"/>
      <c r="I25564" s="224"/>
    </row>
    <row r="25565" spans="1:9" x14ac:dyDescent="0.25">
      <c r="A25565" s="515">
        <v>97110</v>
      </c>
      <c r="B25565" s="515" t="s">
        <v>742</v>
      </c>
      <c r="C25565" s="52">
        <v>811389.12448582496</v>
      </c>
      <c r="D25565" s="56">
        <v>8.4892285290228645E-2</v>
      </c>
      <c r="E25565" s="224" t="s">
        <v>2</v>
      </c>
      <c r="G25565" s="52"/>
      <c r="H25565" s="56"/>
      <c r="I25565" s="224"/>
    </row>
    <row r="25566" spans="1:9" x14ac:dyDescent="0.25">
      <c r="A25566" s="515">
        <v>67564</v>
      </c>
      <c r="B25566" s="515" t="s">
        <v>741</v>
      </c>
      <c r="C25566" s="52">
        <v>107488.80164992</v>
      </c>
      <c r="D25566" s="56">
        <v>0.17645775921763174</v>
      </c>
      <c r="E25566" s="224" t="s">
        <v>2</v>
      </c>
      <c r="G25566" s="52"/>
      <c r="H25566" s="56"/>
      <c r="I25566" s="224"/>
    </row>
    <row r="25567" spans="1:9" x14ac:dyDescent="0.25">
      <c r="A25567" s="515">
        <v>17271</v>
      </c>
      <c r="B25567" s="515" t="s">
        <v>372</v>
      </c>
      <c r="C25567" s="52">
        <v>240717.85669191799</v>
      </c>
      <c r="D25567" s="56">
        <v>0</v>
      </c>
      <c r="E25567" s="224" t="s">
        <v>2</v>
      </c>
      <c r="G25567" s="52"/>
      <c r="H25567" s="56"/>
      <c r="I25567" s="224"/>
    </row>
    <row r="25568" spans="1:9" x14ac:dyDescent="0.25">
      <c r="A25568" s="515">
        <v>61773</v>
      </c>
      <c r="C25568" s="52">
        <v>93714.210234616301</v>
      </c>
      <c r="D25568" s="56">
        <v>0.10216976451239831</v>
      </c>
      <c r="E25568" s="224" t="s">
        <v>2</v>
      </c>
      <c r="G25568" s="52"/>
      <c r="H25568" s="56"/>
      <c r="I25568" s="224"/>
    </row>
    <row r="25569" spans="1:9" x14ac:dyDescent="0.25">
      <c r="A25569" s="515">
        <v>56641</v>
      </c>
      <c r="B25569" s="515" t="s">
        <v>674</v>
      </c>
      <c r="C25569" s="52">
        <v>237574.42581511399</v>
      </c>
      <c r="D25569" s="56">
        <v>7.2370821754985701E-2</v>
      </c>
      <c r="E25569" s="224" t="s">
        <v>2</v>
      </c>
      <c r="G25569" s="52"/>
      <c r="H25569" s="56"/>
      <c r="I25569" s="224"/>
    </row>
    <row r="25570" spans="1:9" x14ac:dyDescent="0.25">
      <c r="A25570" s="515">
        <v>24458</v>
      </c>
      <c r="C25570" s="52">
        <v>271365.73312772898</v>
      </c>
      <c r="D25570" s="56">
        <v>0.11187525194298779</v>
      </c>
      <c r="E25570" s="224" t="s">
        <v>2</v>
      </c>
      <c r="G25570" s="52"/>
      <c r="H25570" s="56"/>
      <c r="I25570" s="224"/>
    </row>
    <row r="25571" spans="1:9" x14ac:dyDescent="0.25">
      <c r="A25571" s="515">
        <v>5748</v>
      </c>
      <c r="C25571" s="52">
        <v>209946.52173913</v>
      </c>
      <c r="D25571" s="56">
        <v>0</v>
      </c>
      <c r="E25571" s="224" t="s">
        <v>2</v>
      </c>
      <c r="G25571" s="52"/>
      <c r="H25571" s="56"/>
      <c r="I25571" s="224"/>
    </row>
    <row r="25572" spans="1:9" x14ac:dyDescent="0.25">
      <c r="A25572" s="515">
        <v>12742</v>
      </c>
      <c r="C25572" s="52">
        <v>251116.516299365</v>
      </c>
      <c r="D25572" s="56">
        <v>0.16746310355874705</v>
      </c>
      <c r="E25572" s="224" t="s">
        <v>2</v>
      </c>
      <c r="G25572" s="52"/>
      <c r="H25572" s="56"/>
      <c r="I25572" s="224"/>
    </row>
    <row r="25573" spans="1:9" x14ac:dyDescent="0.25">
      <c r="A25573" s="515">
        <v>15450</v>
      </c>
      <c r="B25573" s="515" t="s">
        <v>297</v>
      </c>
      <c r="C25573" s="52">
        <v>52582.249723212903</v>
      </c>
      <c r="D25573" s="56">
        <v>0.18214443644676498</v>
      </c>
      <c r="E25573" s="224" t="s">
        <v>2</v>
      </c>
      <c r="G25573" s="52"/>
      <c r="H25573" s="56"/>
      <c r="I25573" s="224"/>
    </row>
    <row r="25574" spans="1:9" x14ac:dyDescent="0.25">
      <c r="A25574" s="515">
        <v>54865</v>
      </c>
      <c r="C25574" s="52">
        <v>168253.74889560801</v>
      </c>
      <c r="D25574" s="56">
        <v>6.5086246297055492E-2</v>
      </c>
      <c r="E25574" s="224" t="s">
        <v>2</v>
      </c>
      <c r="G25574" s="52"/>
      <c r="H25574" s="56"/>
      <c r="I25574" s="224"/>
    </row>
    <row r="25575" spans="1:9" x14ac:dyDescent="0.25">
      <c r="A25575" s="515">
        <v>51463</v>
      </c>
      <c r="B25575" s="515" t="s">
        <v>436</v>
      </c>
      <c r="C25575" s="52">
        <v>182974.37711487699</v>
      </c>
      <c r="D25575" s="56">
        <v>9.3306250636798871E-2</v>
      </c>
      <c r="E25575" s="224" t="s">
        <v>2</v>
      </c>
      <c r="G25575" s="52"/>
      <c r="H25575" s="56"/>
      <c r="I25575" s="224"/>
    </row>
    <row r="25576" spans="1:9" x14ac:dyDescent="0.25">
      <c r="A25576" s="515">
        <v>96125</v>
      </c>
      <c r="C25576" s="52">
        <v>346348.752512726</v>
      </c>
      <c r="D25576" s="56">
        <v>5.5666628906530999E-2</v>
      </c>
      <c r="E25576" s="224" t="s">
        <v>2</v>
      </c>
      <c r="G25576" s="52"/>
      <c r="H25576" s="56"/>
      <c r="I25576" s="224"/>
    </row>
    <row r="25577" spans="1:9" x14ac:dyDescent="0.25">
      <c r="A25577" s="515">
        <v>62045</v>
      </c>
      <c r="B25577" s="515" t="s">
        <v>498</v>
      </c>
      <c r="C25577" s="52">
        <v>120571.61627159901</v>
      </c>
      <c r="D25577" s="56">
        <v>0.11492862457575867</v>
      </c>
      <c r="E25577" s="224" t="s">
        <v>2</v>
      </c>
      <c r="G25577" s="52"/>
      <c r="H25577" s="56"/>
      <c r="I25577" s="224"/>
    </row>
    <row r="25578" spans="1:9" x14ac:dyDescent="0.25">
      <c r="A25578" s="515">
        <v>18628</v>
      </c>
      <c r="C25578" s="52">
        <v>95490.143894453693</v>
      </c>
      <c r="D25578" s="56">
        <v>0.16639579135085725</v>
      </c>
      <c r="E25578" s="224" t="s">
        <v>2</v>
      </c>
      <c r="G25578" s="52"/>
      <c r="H25578" s="56"/>
      <c r="I25578" s="224"/>
    </row>
    <row r="25579" spans="1:9" x14ac:dyDescent="0.25">
      <c r="A25579" s="515">
        <v>98220</v>
      </c>
      <c r="B25579" s="515" t="s">
        <v>412</v>
      </c>
      <c r="C25579" s="52">
        <v>474589.46380278602</v>
      </c>
      <c r="D25579" s="56">
        <v>1.5684290427856948E-2</v>
      </c>
      <c r="E25579" s="224" t="s">
        <v>2</v>
      </c>
      <c r="G25579" s="52"/>
      <c r="H25579" s="56"/>
      <c r="I25579" s="224"/>
    </row>
    <row r="25580" spans="1:9" x14ac:dyDescent="0.25">
      <c r="A25580" s="515">
        <v>56323</v>
      </c>
      <c r="C25580" s="52">
        <v>160055.099996912</v>
      </c>
      <c r="D25580" s="56">
        <v>-2.3313415147519327E-3</v>
      </c>
      <c r="E25580" s="224" t="s">
        <v>2</v>
      </c>
      <c r="G25580" s="52"/>
      <c r="H25580" s="56"/>
      <c r="I25580" s="224"/>
    </row>
    <row r="25581" spans="1:9" x14ac:dyDescent="0.25">
      <c r="A25581" s="515">
        <v>67351</v>
      </c>
      <c r="B25581" s="515" t="s">
        <v>377</v>
      </c>
      <c r="C25581" s="52">
        <v>129209.945302112</v>
      </c>
      <c r="D25581" s="56">
        <v>0.16033530865551973</v>
      </c>
      <c r="E25581" s="224" t="s">
        <v>2</v>
      </c>
      <c r="G25581" s="52"/>
      <c r="H25581" s="56"/>
      <c r="I25581" s="224"/>
    </row>
    <row r="25582" spans="1:9" x14ac:dyDescent="0.25">
      <c r="A25582" s="515">
        <v>7976</v>
      </c>
      <c r="B25582" s="515" t="s">
        <v>324</v>
      </c>
      <c r="C25582" s="52">
        <v>1576698.6223208399</v>
      </c>
      <c r="D25582" s="56">
        <v>8.231963781801499E-2</v>
      </c>
      <c r="E25582" s="224" t="s">
        <v>2</v>
      </c>
      <c r="G25582" s="52"/>
      <c r="H25582" s="56"/>
      <c r="I25582" s="224"/>
    </row>
    <row r="25583" spans="1:9" x14ac:dyDescent="0.25">
      <c r="A25583" s="515">
        <v>25247</v>
      </c>
      <c r="B25583" s="515" t="s">
        <v>445</v>
      </c>
      <c r="C25583" s="52">
        <v>73868.208489679106</v>
      </c>
      <c r="D25583" s="56">
        <v>0.12020851456442128</v>
      </c>
      <c r="E25583" s="224" t="s">
        <v>2</v>
      </c>
      <c r="G25583" s="52"/>
      <c r="H25583" s="56"/>
      <c r="I25583" s="224"/>
    </row>
    <row r="25584" spans="1:9" x14ac:dyDescent="0.25">
      <c r="A25584" s="515">
        <v>49768</v>
      </c>
      <c r="B25584" s="515" t="s">
        <v>740</v>
      </c>
      <c r="C25584" s="52">
        <v>153845.236417546</v>
      </c>
      <c r="D25584" s="56">
        <v>9.4642716648756689E-2</v>
      </c>
      <c r="E25584" s="224" t="s">
        <v>2</v>
      </c>
      <c r="G25584" s="52"/>
      <c r="H25584" s="56"/>
      <c r="I25584" s="224"/>
    </row>
    <row r="25585" spans="1:9" x14ac:dyDescent="0.25">
      <c r="A25585" s="515">
        <v>71043</v>
      </c>
      <c r="B25585" s="515" t="s">
        <v>739</v>
      </c>
      <c r="C25585" s="52">
        <v>64676.379202837103</v>
      </c>
      <c r="D25585" s="56">
        <v>8.9734261641059201E-2</v>
      </c>
      <c r="E25585" s="224" t="s">
        <v>2</v>
      </c>
      <c r="G25585" s="52"/>
      <c r="H25585" s="56"/>
      <c r="I25585" s="224"/>
    </row>
    <row r="25586" spans="1:9" x14ac:dyDescent="0.25">
      <c r="A25586" s="515">
        <v>43536</v>
      </c>
      <c r="B25586" s="515" t="s">
        <v>583</v>
      </c>
      <c r="C25586" s="52">
        <v>141278.399298829</v>
      </c>
      <c r="D25586" s="56">
        <v>7.888853427541484E-2</v>
      </c>
      <c r="E25586" s="224" t="s">
        <v>2</v>
      </c>
      <c r="G25586" s="52"/>
      <c r="H25586" s="56"/>
      <c r="I25586" s="224"/>
    </row>
    <row r="25587" spans="1:9" x14ac:dyDescent="0.25">
      <c r="A25587" s="515">
        <v>80532</v>
      </c>
      <c r="B25587" s="515" t="s">
        <v>738</v>
      </c>
      <c r="C25587" s="52">
        <v>524111.38872390601</v>
      </c>
      <c r="D25587" s="56">
        <v>4.7010533664862783E-2</v>
      </c>
      <c r="E25587" s="224" t="s">
        <v>2</v>
      </c>
      <c r="G25587" s="52"/>
      <c r="H25587" s="56"/>
      <c r="I25587" s="224"/>
    </row>
    <row r="25588" spans="1:9" x14ac:dyDescent="0.25">
      <c r="A25588" s="515">
        <v>17223</v>
      </c>
      <c r="C25588" s="52">
        <v>159194.32145494901</v>
      </c>
      <c r="D25588" s="56">
        <v>0</v>
      </c>
      <c r="E25588" s="224" t="s">
        <v>2</v>
      </c>
      <c r="G25588" s="52"/>
      <c r="H25588" s="56"/>
      <c r="I25588" s="224"/>
    </row>
    <row r="25589" spans="1:9" x14ac:dyDescent="0.25">
      <c r="A25589" s="515">
        <v>89428</v>
      </c>
      <c r="B25589" s="515" t="s">
        <v>718</v>
      </c>
      <c r="C25589" s="52">
        <v>263434.73410085001</v>
      </c>
      <c r="D25589" s="56">
        <v>9.2006285795444356E-2</v>
      </c>
      <c r="E25589" s="224" t="s">
        <v>2</v>
      </c>
      <c r="G25589" s="52"/>
      <c r="H25589" s="56"/>
      <c r="I25589" s="224"/>
    </row>
    <row r="25590" spans="1:9" x14ac:dyDescent="0.25">
      <c r="A25590" s="515">
        <v>50262</v>
      </c>
      <c r="C25590" s="52">
        <v>102223.036293367</v>
      </c>
      <c r="D25590" s="56">
        <v>0</v>
      </c>
      <c r="E25590" s="224" t="s">
        <v>2</v>
      </c>
      <c r="G25590" s="52"/>
      <c r="H25590" s="56"/>
      <c r="I25590" s="224"/>
    </row>
    <row r="25591" spans="1:9" x14ac:dyDescent="0.25">
      <c r="A25591" s="515">
        <v>56761</v>
      </c>
      <c r="C25591" s="52">
        <v>199640.75</v>
      </c>
      <c r="D25591" s="56">
        <v>0</v>
      </c>
      <c r="E25591" s="224" t="s">
        <v>2</v>
      </c>
      <c r="G25591" s="52"/>
      <c r="H25591" s="56"/>
      <c r="I25591" s="224"/>
    </row>
    <row r="25592" spans="1:9" x14ac:dyDescent="0.25">
      <c r="A25592" s="515">
        <v>73021</v>
      </c>
      <c r="C25592" s="52">
        <v>139442.960423902</v>
      </c>
      <c r="D25592" s="56">
        <v>8.361775048865748E-2</v>
      </c>
      <c r="E25592" s="224" t="s">
        <v>2</v>
      </c>
      <c r="G25592" s="52"/>
      <c r="H25592" s="56"/>
      <c r="I25592" s="224"/>
    </row>
    <row r="25593" spans="1:9" x14ac:dyDescent="0.25">
      <c r="A25593" s="515">
        <v>21156</v>
      </c>
      <c r="B25593" s="515" t="s">
        <v>582</v>
      </c>
      <c r="C25593" s="52">
        <v>428677.02283059299</v>
      </c>
      <c r="D25593" s="56">
        <v>0</v>
      </c>
      <c r="E25593" s="224" t="s">
        <v>2</v>
      </c>
      <c r="G25593" s="52"/>
      <c r="H25593" s="56"/>
      <c r="I25593" s="224"/>
    </row>
    <row r="25594" spans="1:9" x14ac:dyDescent="0.25">
      <c r="A25594" s="515">
        <v>49927</v>
      </c>
      <c r="C25594" s="52">
        <v>71132.665686679204</v>
      </c>
      <c r="D25594" s="56">
        <v>-8.3346783620028092E-2</v>
      </c>
      <c r="E25594" s="224" t="s">
        <v>2</v>
      </c>
      <c r="G25594" s="52"/>
      <c r="H25594" s="56"/>
      <c r="I25594" s="224"/>
    </row>
    <row r="25595" spans="1:9" x14ac:dyDescent="0.25">
      <c r="A25595" s="515">
        <v>76436</v>
      </c>
      <c r="C25595" s="52">
        <v>274908</v>
      </c>
      <c r="D25595" s="56">
        <v>0</v>
      </c>
      <c r="E25595" s="224" t="s">
        <v>2</v>
      </c>
      <c r="G25595" s="52"/>
      <c r="H25595" s="56"/>
      <c r="I25595" s="224"/>
    </row>
    <row r="25596" spans="1:9" x14ac:dyDescent="0.25">
      <c r="A25596" s="515">
        <v>64656</v>
      </c>
      <c r="C25596" s="52">
        <v>121515.841775391</v>
      </c>
      <c r="D25596" s="56">
        <v>4.7822782171359594E-2</v>
      </c>
      <c r="E25596" s="224" t="s">
        <v>2</v>
      </c>
      <c r="G25596" s="52"/>
      <c r="H25596" s="56"/>
      <c r="I25596" s="224"/>
    </row>
    <row r="25597" spans="1:9" x14ac:dyDescent="0.25">
      <c r="A25597" s="515">
        <v>84338</v>
      </c>
      <c r="B25597" s="515" t="s">
        <v>632</v>
      </c>
      <c r="C25597" s="52">
        <v>394036.694488423</v>
      </c>
      <c r="D25597" s="56">
        <v>0</v>
      </c>
      <c r="E25597" s="224" t="s">
        <v>2</v>
      </c>
      <c r="G25597" s="52"/>
      <c r="H25597" s="56"/>
      <c r="I25597" s="224"/>
    </row>
    <row r="25598" spans="1:9" x14ac:dyDescent="0.25">
      <c r="A25598" s="515">
        <v>68722</v>
      </c>
      <c r="C25598" s="52">
        <v>84369.142857142797</v>
      </c>
      <c r="D25598" s="56">
        <v>0</v>
      </c>
      <c r="E25598" s="224" t="s">
        <v>2</v>
      </c>
      <c r="G25598" s="52"/>
      <c r="H25598" s="56"/>
      <c r="I25598" s="224"/>
    </row>
    <row r="25599" spans="1:9" x14ac:dyDescent="0.25">
      <c r="A25599" s="515">
        <v>25251</v>
      </c>
      <c r="C25599" s="52">
        <v>116658.428571428</v>
      </c>
      <c r="D25599" s="56">
        <v>0</v>
      </c>
      <c r="E25599" s="224" t="s">
        <v>2</v>
      </c>
      <c r="G25599" s="52"/>
      <c r="H25599" s="56"/>
      <c r="I25599" s="224"/>
    </row>
    <row r="25600" spans="1:9" x14ac:dyDescent="0.25">
      <c r="A25600" s="515">
        <v>62892</v>
      </c>
      <c r="B25600" s="515" t="s">
        <v>1211</v>
      </c>
      <c r="C25600" s="52">
        <v>95507.053236017004</v>
      </c>
      <c r="D25600" s="56">
        <v>0.11227517142478646</v>
      </c>
      <c r="E25600" s="224" t="s">
        <v>2</v>
      </c>
      <c r="G25600" s="52"/>
      <c r="H25600" s="56"/>
      <c r="I25600" s="224"/>
    </row>
    <row r="25601" spans="1:9" x14ac:dyDescent="0.25">
      <c r="A25601" s="515">
        <v>63551</v>
      </c>
      <c r="C25601" s="52">
        <v>128039.615445987</v>
      </c>
      <c r="D25601" s="56">
        <v>0.16592123497638345</v>
      </c>
      <c r="E25601" s="224" t="s">
        <v>2</v>
      </c>
      <c r="G25601" s="52"/>
      <c r="H25601" s="56"/>
      <c r="I25601" s="224"/>
    </row>
    <row r="25602" spans="1:9" x14ac:dyDescent="0.25">
      <c r="A25602" s="515">
        <v>80457</v>
      </c>
      <c r="B25602" s="515" t="s">
        <v>401</v>
      </c>
      <c r="C25602" s="52">
        <v>480947.66123409697</v>
      </c>
      <c r="D25602" s="56">
        <v>2.6474149715811631E-2</v>
      </c>
      <c r="E25602" s="224" t="s">
        <v>2</v>
      </c>
      <c r="G25602" s="52"/>
      <c r="H25602" s="56"/>
      <c r="I25602" s="224"/>
    </row>
    <row r="25603" spans="1:9" x14ac:dyDescent="0.25">
      <c r="A25603" s="515">
        <v>50457</v>
      </c>
      <c r="B25603" s="515" t="s">
        <v>634</v>
      </c>
      <c r="C25603" s="52">
        <v>72574.050643700204</v>
      </c>
      <c r="D25603" s="56">
        <v>-4.4434830378558235E-2</v>
      </c>
      <c r="E25603" s="224" t="s">
        <v>2</v>
      </c>
      <c r="G25603" s="52"/>
      <c r="H25603" s="56"/>
      <c r="I25603" s="224"/>
    </row>
    <row r="25604" spans="1:9" x14ac:dyDescent="0.25">
      <c r="A25604" s="515">
        <v>25431</v>
      </c>
      <c r="B25604" s="515" t="s">
        <v>629</v>
      </c>
      <c r="C25604" s="52">
        <v>196809.335879558</v>
      </c>
      <c r="D25604" s="56">
        <v>0.11546961857094207</v>
      </c>
      <c r="E25604" s="224" t="s">
        <v>2</v>
      </c>
      <c r="G25604" s="52"/>
      <c r="H25604" s="56"/>
      <c r="I25604" s="224"/>
    </row>
    <row r="25605" spans="1:9" x14ac:dyDescent="0.25">
      <c r="A25605" s="515">
        <v>41268</v>
      </c>
      <c r="C25605" s="52">
        <v>102139.612334016</v>
      </c>
      <c r="D25605" s="56">
        <v>7.5875916294697671E-2</v>
      </c>
      <c r="E25605" s="224" t="s">
        <v>2</v>
      </c>
      <c r="G25605" s="52"/>
      <c r="H25605" s="56"/>
      <c r="I25605" s="224"/>
    </row>
    <row r="25606" spans="1:9" x14ac:dyDescent="0.25">
      <c r="A25606" s="515">
        <v>50274</v>
      </c>
      <c r="C25606" s="52">
        <v>148198.112232852</v>
      </c>
      <c r="D25606" s="56">
        <v>0.14606134165073775</v>
      </c>
      <c r="E25606" s="224" t="s">
        <v>2</v>
      </c>
      <c r="G25606" s="52"/>
      <c r="H25606" s="56"/>
      <c r="I25606" s="224"/>
    </row>
    <row r="25607" spans="1:9" x14ac:dyDescent="0.25">
      <c r="A25607" s="515">
        <v>50531</v>
      </c>
      <c r="C25607" s="52">
        <v>135400.43562157001</v>
      </c>
      <c r="D25607" s="56">
        <v>0.14629908633395911</v>
      </c>
      <c r="E25607" s="224" t="s">
        <v>2</v>
      </c>
      <c r="G25607" s="52"/>
      <c r="H25607" s="56"/>
      <c r="I25607" s="224"/>
    </row>
    <row r="25608" spans="1:9" x14ac:dyDescent="0.25">
      <c r="A25608" s="515">
        <v>67109</v>
      </c>
      <c r="C25608" s="52">
        <v>96348.288265318406</v>
      </c>
      <c r="D25608" s="56">
        <v>0.13818772077367403</v>
      </c>
      <c r="E25608" s="224" t="s">
        <v>2</v>
      </c>
      <c r="G25608" s="52"/>
      <c r="H25608" s="56"/>
      <c r="I25608" s="224"/>
    </row>
    <row r="25609" spans="1:9" x14ac:dyDescent="0.25">
      <c r="A25609" s="515">
        <v>14722</v>
      </c>
      <c r="B25609" s="515" t="s">
        <v>560</v>
      </c>
      <c r="C25609" s="52">
        <v>492154.92900456197</v>
      </c>
      <c r="D25609" s="56">
        <v>-1.5228794049307732E-2</v>
      </c>
      <c r="E25609" s="224" t="s">
        <v>2</v>
      </c>
      <c r="G25609" s="52"/>
      <c r="H25609" s="56"/>
      <c r="I25609" s="224"/>
    </row>
    <row r="25610" spans="1:9" x14ac:dyDescent="0.25">
      <c r="A25610" s="515">
        <v>40171</v>
      </c>
      <c r="C25610" s="52">
        <v>142078.16366936499</v>
      </c>
      <c r="D25610" s="56">
        <v>0.13673420709905135</v>
      </c>
      <c r="E25610" s="224" t="s">
        <v>2</v>
      </c>
      <c r="G25610" s="52"/>
      <c r="H25610" s="56"/>
      <c r="I25610" s="224"/>
    </row>
    <row r="25611" spans="1:9" x14ac:dyDescent="0.25">
      <c r="A25611" s="515">
        <v>5360</v>
      </c>
      <c r="C25611" s="52">
        <v>410068.18002708699</v>
      </c>
      <c r="D25611" s="56">
        <v>4.260516145675574E-2</v>
      </c>
      <c r="E25611" s="224" t="s">
        <v>2</v>
      </c>
      <c r="G25611" s="52"/>
      <c r="H25611" s="56"/>
      <c r="I25611" s="224"/>
    </row>
    <row r="25612" spans="1:9" x14ac:dyDescent="0.25">
      <c r="A25612" s="515">
        <v>66094</v>
      </c>
      <c r="C25612" s="52">
        <v>123593.060367586</v>
      </c>
      <c r="D25612" s="56">
        <v>1.6570099219216788E-2</v>
      </c>
      <c r="E25612" s="224" t="s">
        <v>2</v>
      </c>
      <c r="G25612" s="52"/>
      <c r="H25612" s="56"/>
      <c r="I25612" s="224"/>
    </row>
    <row r="25613" spans="1:9" x14ac:dyDescent="0.25">
      <c r="A25613" s="515">
        <v>68844</v>
      </c>
      <c r="C25613" s="52">
        <v>298310.589227969</v>
      </c>
      <c r="D25613" s="56">
        <v>0.27253966200527907</v>
      </c>
      <c r="E25613" s="224" t="s">
        <v>2</v>
      </c>
      <c r="G25613" s="52"/>
      <c r="H25613" s="56"/>
      <c r="I25613" s="224"/>
    </row>
    <row r="25614" spans="1:9" x14ac:dyDescent="0.25">
      <c r="A25614" s="515">
        <v>76676</v>
      </c>
      <c r="C25614" s="52">
        <v>155827.28673782901</v>
      </c>
      <c r="D25614" s="56">
        <v>0</v>
      </c>
      <c r="E25614" s="224" t="s">
        <v>2</v>
      </c>
      <c r="G25614" s="52"/>
      <c r="H25614" s="56"/>
      <c r="I25614" s="224"/>
    </row>
    <row r="25615" spans="1:9" x14ac:dyDescent="0.25">
      <c r="A25615" s="515">
        <v>38376</v>
      </c>
      <c r="C25615" s="52">
        <v>124556.791283282</v>
      </c>
      <c r="D25615" s="56">
        <v>0</v>
      </c>
      <c r="E25615" s="224" t="s">
        <v>2</v>
      </c>
      <c r="G25615" s="52"/>
      <c r="H25615" s="56"/>
      <c r="I25615" s="224"/>
    </row>
    <row r="25616" spans="1:9" x14ac:dyDescent="0.25">
      <c r="A25616" s="515">
        <v>50571</v>
      </c>
      <c r="C25616" s="52">
        <v>97380.769807992605</v>
      </c>
      <c r="D25616" s="56">
        <v>0</v>
      </c>
      <c r="E25616" s="224" t="s">
        <v>2</v>
      </c>
      <c r="G25616" s="52"/>
      <c r="H25616" s="56"/>
      <c r="I25616" s="224"/>
    </row>
    <row r="25617" spans="1:9" x14ac:dyDescent="0.25">
      <c r="A25617" s="515">
        <v>82212</v>
      </c>
      <c r="C25617" s="52">
        <v>219852.745262307</v>
      </c>
      <c r="D25617" s="56">
        <v>0.10057973853831345</v>
      </c>
      <c r="E25617" s="224" t="s">
        <v>2</v>
      </c>
      <c r="G25617" s="52"/>
      <c r="H25617" s="56"/>
      <c r="I25617" s="224"/>
    </row>
    <row r="25618" spans="1:9" x14ac:dyDescent="0.25">
      <c r="A25618" s="515">
        <v>59344</v>
      </c>
      <c r="C25618" s="52">
        <v>271841.34409227798</v>
      </c>
      <c r="D25618" s="56">
        <v>7.6545786806491864E-2</v>
      </c>
      <c r="E25618" s="224" t="s">
        <v>2</v>
      </c>
      <c r="G25618" s="52"/>
      <c r="H25618" s="56"/>
      <c r="I25618" s="224"/>
    </row>
    <row r="25619" spans="1:9" x14ac:dyDescent="0.25">
      <c r="A25619" s="515">
        <v>40062</v>
      </c>
      <c r="C25619" s="52">
        <v>188885.546632624</v>
      </c>
      <c r="D25619" s="56">
        <v>0.11980547318485893</v>
      </c>
      <c r="E25619" s="224" t="s">
        <v>2</v>
      </c>
      <c r="G25619" s="52"/>
      <c r="H25619" s="56"/>
      <c r="I25619" s="224"/>
    </row>
    <row r="25620" spans="1:9" x14ac:dyDescent="0.25">
      <c r="A25620" s="515">
        <v>52169</v>
      </c>
      <c r="C25620" s="52">
        <v>132114.70066922301</v>
      </c>
      <c r="D25620" s="56">
        <v>0.23988466747726206</v>
      </c>
      <c r="E25620" s="224" t="s">
        <v>2</v>
      </c>
      <c r="G25620" s="52"/>
      <c r="H25620" s="56"/>
      <c r="I25620" s="224"/>
    </row>
    <row r="25621" spans="1:9" x14ac:dyDescent="0.25">
      <c r="A25621" s="515">
        <v>84739</v>
      </c>
      <c r="C25621" s="52">
        <v>264109.17122068902</v>
      </c>
      <c r="D25621" s="56">
        <v>0</v>
      </c>
      <c r="E25621" s="224" t="s">
        <v>2</v>
      </c>
      <c r="G25621" s="52"/>
      <c r="H25621" s="56"/>
      <c r="I25621" s="224"/>
    </row>
    <row r="25622" spans="1:9" x14ac:dyDescent="0.25">
      <c r="A25622" s="515">
        <v>67458</v>
      </c>
      <c r="C25622" s="52">
        <v>133158.92484773701</v>
      </c>
      <c r="D25622" s="56">
        <v>0.15474996773466387</v>
      </c>
      <c r="E25622" s="224" t="s">
        <v>2</v>
      </c>
      <c r="G25622" s="52"/>
      <c r="H25622" s="56"/>
      <c r="I25622" s="224"/>
    </row>
    <row r="25623" spans="1:9" x14ac:dyDescent="0.25">
      <c r="A25623" s="515">
        <v>68774</v>
      </c>
      <c r="C25623" s="52">
        <v>277273.26037463802</v>
      </c>
      <c r="D25623" s="56">
        <v>0.12790487240324352</v>
      </c>
      <c r="E25623" s="224" t="s">
        <v>2</v>
      </c>
      <c r="G25623" s="52"/>
      <c r="H25623" s="56"/>
      <c r="I25623" s="224"/>
    </row>
    <row r="25624" spans="1:9" x14ac:dyDescent="0.25">
      <c r="A25624" s="515">
        <v>4691</v>
      </c>
      <c r="C25624" s="52">
        <v>245188.514281771</v>
      </c>
      <c r="D25624" s="56">
        <v>1.0800314757712908E-2</v>
      </c>
      <c r="E25624" s="224" t="s">
        <v>2</v>
      </c>
      <c r="G25624" s="52"/>
      <c r="H25624" s="56"/>
      <c r="I25624" s="224"/>
    </row>
    <row r="25625" spans="1:9" x14ac:dyDescent="0.25">
      <c r="A25625" s="515">
        <v>96108</v>
      </c>
      <c r="C25625" s="52">
        <v>219701.72999190699</v>
      </c>
      <c r="D25625" s="56">
        <v>3.4904741838620093E-2</v>
      </c>
      <c r="E25625" s="224" t="s">
        <v>2</v>
      </c>
      <c r="G25625" s="52"/>
      <c r="H25625" s="56"/>
      <c r="I25625" s="224"/>
    </row>
    <row r="25626" spans="1:9" x14ac:dyDescent="0.25">
      <c r="A25626" s="515">
        <v>83545</v>
      </c>
      <c r="B25626" s="515" t="s">
        <v>736</v>
      </c>
      <c r="C25626" s="52">
        <v>325701.81861556001</v>
      </c>
      <c r="D25626" s="56">
        <v>0.11941050828964012</v>
      </c>
      <c r="E25626" s="224" t="s">
        <v>2</v>
      </c>
      <c r="G25626" s="52"/>
      <c r="H25626" s="56"/>
      <c r="I25626" s="224"/>
    </row>
    <row r="25627" spans="1:9" x14ac:dyDescent="0.25">
      <c r="A25627" s="515">
        <v>57461</v>
      </c>
      <c r="C25627" s="52">
        <v>122964.874154233</v>
      </c>
      <c r="D25627" s="56">
        <v>5.0454206686939874E-2</v>
      </c>
      <c r="E25627" s="224" t="s">
        <v>2</v>
      </c>
      <c r="G25627" s="52"/>
      <c r="H25627" s="56"/>
      <c r="I25627" s="224"/>
    </row>
    <row r="25628" spans="1:9" x14ac:dyDescent="0.25">
      <c r="A25628" s="515">
        <v>52072</v>
      </c>
      <c r="C25628" s="52">
        <v>186123.433522743</v>
      </c>
      <c r="D25628" s="56">
        <v>0.13938876088059177</v>
      </c>
      <c r="E25628" s="224" t="s">
        <v>2</v>
      </c>
      <c r="G25628" s="52"/>
      <c r="H25628" s="56"/>
      <c r="I25628" s="224"/>
    </row>
    <row r="25629" spans="1:9" x14ac:dyDescent="0.25">
      <c r="A25629" s="515">
        <v>12852</v>
      </c>
      <c r="C25629" s="52">
        <v>242448.96360138</v>
      </c>
      <c r="D25629" s="56">
        <v>0.13726970294670052</v>
      </c>
      <c r="E25629" s="224" t="s">
        <v>2</v>
      </c>
      <c r="G25629" s="52"/>
      <c r="H25629" s="56"/>
      <c r="I25629" s="224"/>
    </row>
    <row r="25630" spans="1:9" x14ac:dyDescent="0.25">
      <c r="A25630" s="515">
        <v>74472</v>
      </c>
      <c r="C25630" s="52">
        <v>117950.824438222</v>
      </c>
      <c r="D25630" s="56">
        <v>0.1226735233067215</v>
      </c>
      <c r="E25630" s="224" t="s">
        <v>2</v>
      </c>
      <c r="G25630" s="52"/>
      <c r="H25630" s="56"/>
      <c r="I25630" s="224"/>
    </row>
    <row r="25631" spans="1:9" x14ac:dyDescent="0.25">
      <c r="A25631" s="515">
        <v>68304</v>
      </c>
      <c r="B25631" s="515" t="s">
        <v>367</v>
      </c>
      <c r="C25631" s="52">
        <v>290365.57845036301</v>
      </c>
      <c r="D25631" s="56">
        <v>0.11510698011672446</v>
      </c>
      <c r="E25631" s="224" t="s">
        <v>2</v>
      </c>
      <c r="G25631" s="52"/>
      <c r="H25631" s="56"/>
      <c r="I25631" s="224"/>
    </row>
    <row r="25632" spans="1:9" x14ac:dyDescent="0.25">
      <c r="A25632" s="515">
        <v>59750</v>
      </c>
      <c r="B25632" s="515" t="s">
        <v>611</v>
      </c>
      <c r="C25632" s="52">
        <v>467161.01435083302</v>
      </c>
      <c r="D25632" s="56">
        <v>6.2187362546627149E-2</v>
      </c>
      <c r="E25632" s="224" t="s">
        <v>2</v>
      </c>
      <c r="G25632" s="52"/>
      <c r="H25632" s="56"/>
      <c r="I25632" s="224"/>
    </row>
    <row r="25633" spans="1:9" x14ac:dyDescent="0.25">
      <c r="A25633" s="515">
        <v>50591</v>
      </c>
      <c r="C25633" s="52">
        <v>101947.686709922</v>
      </c>
      <c r="D25633" s="56">
        <v>0</v>
      </c>
      <c r="E25633" s="224" t="s">
        <v>2</v>
      </c>
      <c r="G25633" s="52"/>
      <c r="H25633" s="56"/>
      <c r="I25633" s="224"/>
    </row>
    <row r="25634" spans="1:9" x14ac:dyDescent="0.25">
      <c r="A25634" s="515">
        <v>82432</v>
      </c>
      <c r="C25634" s="52">
        <v>347576.35166522901</v>
      </c>
      <c r="D25634" s="56">
        <v>0.15234471860989288</v>
      </c>
      <c r="E25634" s="224" t="s">
        <v>2</v>
      </c>
      <c r="G25634" s="52"/>
      <c r="H25634" s="56"/>
      <c r="I25634" s="224"/>
    </row>
    <row r="25635" spans="1:9" x14ac:dyDescent="0.25">
      <c r="A25635" s="515">
        <v>31081</v>
      </c>
      <c r="C25635" s="52">
        <v>128549.948772748</v>
      </c>
      <c r="D25635" s="56">
        <v>-4.7170701076853158E-2</v>
      </c>
      <c r="E25635" s="224" t="s">
        <v>2</v>
      </c>
      <c r="G25635" s="52"/>
      <c r="H25635" s="56"/>
      <c r="I25635" s="224"/>
    </row>
    <row r="25636" spans="1:9" x14ac:dyDescent="0.25">
      <c r="A25636" s="515">
        <v>52232</v>
      </c>
      <c r="C25636" s="52">
        <v>184284.479546655</v>
      </c>
      <c r="D25636" s="56">
        <v>0</v>
      </c>
      <c r="E25636" s="224" t="s">
        <v>2</v>
      </c>
      <c r="G25636" s="52"/>
      <c r="H25636" s="56"/>
      <c r="I25636" s="224"/>
    </row>
    <row r="25637" spans="1:9" x14ac:dyDescent="0.25">
      <c r="A25637" s="515">
        <v>78579</v>
      </c>
      <c r="B25637" s="515" t="s">
        <v>550</v>
      </c>
      <c r="C25637" s="52">
        <v>103103.59086560299</v>
      </c>
      <c r="D25637" s="56">
        <v>0.18204317384073621</v>
      </c>
      <c r="E25637" s="224" t="s">
        <v>2</v>
      </c>
      <c r="G25637" s="52"/>
      <c r="H25637" s="56"/>
      <c r="I25637" s="224"/>
    </row>
    <row r="25638" spans="1:9" x14ac:dyDescent="0.25">
      <c r="A25638" s="515">
        <v>22732</v>
      </c>
      <c r="B25638" s="515" t="s">
        <v>321</v>
      </c>
      <c r="C25638" s="52">
        <v>315216.308233505</v>
      </c>
      <c r="D25638" s="56">
        <v>6.2311485492927011E-2</v>
      </c>
      <c r="E25638" s="224" t="s">
        <v>2</v>
      </c>
      <c r="G25638" s="52"/>
      <c r="H25638" s="56"/>
      <c r="I25638" s="224"/>
    </row>
    <row r="25639" spans="1:9" x14ac:dyDescent="0.25">
      <c r="A25639" s="515">
        <v>25174</v>
      </c>
      <c r="B25639" s="515" t="s">
        <v>566</v>
      </c>
      <c r="C25639" s="52">
        <v>85617.75</v>
      </c>
      <c r="D25639" s="56">
        <v>0</v>
      </c>
      <c r="E25639" s="224" t="s">
        <v>2</v>
      </c>
      <c r="G25639" s="52"/>
      <c r="H25639" s="56"/>
      <c r="I25639" s="224"/>
    </row>
    <row r="25640" spans="1:9" x14ac:dyDescent="0.25">
      <c r="A25640" s="515">
        <v>23488</v>
      </c>
      <c r="C25640" s="52">
        <v>118686.826086956</v>
      </c>
      <c r="D25640" s="56">
        <v>0</v>
      </c>
      <c r="E25640" s="224" t="s">
        <v>2</v>
      </c>
      <c r="G25640" s="52"/>
      <c r="H25640" s="56"/>
      <c r="I25640" s="224"/>
    </row>
    <row r="25641" spans="1:9" x14ac:dyDescent="0.25">
      <c r="A25641" s="515">
        <v>27014</v>
      </c>
      <c r="B25641" s="515" t="s">
        <v>735</v>
      </c>
      <c r="C25641" s="52">
        <v>106532.405297754</v>
      </c>
      <c r="D25641" s="56">
        <v>0.23230831745580399</v>
      </c>
      <c r="E25641" s="224" t="s">
        <v>2</v>
      </c>
      <c r="G25641" s="52"/>
      <c r="H25641" s="56"/>
      <c r="I25641" s="224"/>
    </row>
    <row r="25642" spans="1:9" x14ac:dyDescent="0.25">
      <c r="A25642" s="515">
        <v>58711</v>
      </c>
      <c r="C25642" s="52">
        <v>80082.517031797193</v>
      </c>
      <c r="D25642" s="56">
        <v>0</v>
      </c>
      <c r="E25642" s="224" t="s">
        <v>2</v>
      </c>
      <c r="G25642" s="52"/>
      <c r="H25642" s="56"/>
      <c r="I25642" s="224"/>
    </row>
    <row r="25643" spans="1:9" x14ac:dyDescent="0.25">
      <c r="A25643" s="515">
        <v>14126</v>
      </c>
      <c r="B25643" s="515" t="s">
        <v>336</v>
      </c>
      <c r="C25643" s="52">
        <v>151255.994464249</v>
      </c>
      <c r="D25643" s="56">
        <v>5.1138949599364894E-2</v>
      </c>
      <c r="E25643" s="224" t="s">
        <v>2</v>
      </c>
      <c r="G25643" s="52"/>
      <c r="H25643" s="56"/>
      <c r="I25643" s="224"/>
    </row>
    <row r="25644" spans="1:9" x14ac:dyDescent="0.25">
      <c r="A25644" s="515">
        <v>29941</v>
      </c>
      <c r="B25644" s="515" t="s">
        <v>734</v>
      </c>
      <c r="C25644" s="52">
        <v>2230767.61382664</v>
      </c>
      <c r="D25644" s="56">
        <v>6.6538551444592531E-2</v>
      </c>
      <c r="E25644" s="224" t="s">
        <v>2</v>
      </c>
      <c r="G25644" s="52"/>
      <c r="H25644" s="56"/>
      <c r="I25644" s="224"/>
    </row>
    <row r="25645" spans="1:9" x14ac:dyDescent="0.25">
      <c r="A25645" s="515">
        <v>3765</v>
      </c>
      <c r="B25645" s="515" t="s">
        <v>420</v>
      </c>
      <c r="C25645" s="52">
        <v>239633.41978294199</v>
      </c>
      <c r="D25645" s="56">
        <v>0.18985338606719782</v>
      </c>
      <c r="E25645" s="224" t="s">
        <v>2</v>
      </c>
      <c r="G25645" s="52"/>
      <c r="H25645" s="56"/>
      <c r="I25645" s="224"/>
    </row>
    <row r="25646" spans="1:9" x14ac:dyDescent="0.25">
      <c r="A25646" s="515">
        <v>80520</v>
      </c>
      <c r="B25646" s="515" t="s">
        <v>382</v>
      </c>
      <c r="C25646" s="52">
        <v>440525.42845327797</v>
      </c>
      <c r="D25646" s="56">
        <v>3.1036707019332893E-2</v>
      </c>
      <c r="E25646" s="224" t="s">
        <v>2</v>
      </c>
      <c r="G25646" s="52"/>
      <c r="H25646" s="56"/>
      <c r="I25646" s="224"/>
    </row>
    <row r="25647" spans="1:9" x14ac:dyDescent="0.25">
      <c r="A25647" s="515">
        <v>73739</v>
      </c>
      <c r="C25647" s="52">
        <v>92035.499189657901</v>
      </c>
      <c r="D25647" s="56">
        <v>7.0385580270141662E-2</v>
      </c>
      <c r="E25647" s="224" t="s">
        <v>2</v>
      </c>
      <c r="G25647" s="52"/>
      <c r="H25647" s="56"/>
      <c r="I25647" s="224"/>
    </row>
    <row r="25648" spans="1:9" x14ac:dyDescent="0.25">
      <c r="A25648" s="515">
        <v>13136</v>
      </c>
      <c r="C25648" s="52">
        <v>112604.235639148</v>
      </c>
      <c r="D25648" s="56">
        <v>0.13915111243245645</v>
      </c>
      <c r="E25648" s="224" t="s">
        <v>2</v>
      </c>
      <c r="G25648" s="52"/>
      <c r="H25648" s="56"/>
      <c r="I25648" s="224"/>
    </row>
    <row r="25649" spans="1:9" x14ac:dyDescent="0.25">
      <c r="A25649" s="515">
        <v>67764</v>
      </c>
      <c r="C25649" s="52">
        <v>104621.413469602</v>
      </c>
      <c r="D25649" s="56">
        <v>0.14656950432206414</v>
      </c>
      <c r="E25649" s="224" t="s">
        <v>2</v>
      </c>
      <c r="G25649" s="52"/>
      <c r="H25649" s="56"/>
      <c r="I25649" s="224"/>
    </row>
    <row r="25650" spans="1:9" x14ac:dyDescent="0.25">
      <c r="A25650" s="515">
        <v>24945</v>
      </c>
      <c r="C25650" s="52">
        <v>138818.271915616</v>
      </c>
      <c r="D25650" s="56">
        <v>4.2846032574349345E-2</v>
      </c>
      <c r="E25650" s="224" t="s">
        <v>2</v>
      </c>
      <c r="G25650" s="52"/>
      <c r="H25650" s="56"/>
      <c r="I25650" s="224"/>
    </row>
    <row r="25651" spans="1:9" x14ac:dyDescent="0.25">
      <c r="A25651" s="515">
        <v>68414</v>
      </c>
      <c r="C25651" s="52">
        <v>134070.07692307601</v>
      </c>
      <c r="D25651" s="56">
        <v>0</v>
      </c>
      <c r="E25651" s="224" t="s">
        <v>2</v>
      </c>
      <c r="G25651" s="52"/>
      <c r="H25651" s="56"/>
      <c r="I25651" s="224"/>
    </row>
    <row r="25652" spans="1:9" x14ac:dyDescent="0.25">
      <c r="A25652" s="515">
        <v>57646</v>
      </c>
      <c r="C25652" s="52">
        <v>246525.36800692699</v>
      </c>
      <c r="D25652" s="56">
        <v>0</v>
      </c>
      <c r="E25652" s="224" t="s">
        <v>2</v>
      </c>
      <c r="G25652" s="52"/>
      <c r="H25652" s="56"/>
      <c r="I25652" s="224"/>
    </row>
    <row r="25653" spans="1:9" x14ac:dyDescent="0.25">
      <c r="A25653" s="515">
        <v>59525</v>
      </c>
      <c r="C25653" s="52">
        <v>252095.29192906999</v>
      </c>
      <c r="D25653" s="56">
        <v>5.9036822396143929E-3</v>
      </c>
      <c r="E25653" s="224" t="s">
        <v>2</v>
      </c>
      <c r="G25653" s="52"/>
      <c r="H25653" s="56"/>
      <c r="I25653" s="224"/>
    </row>
    <row r="25654" spans="1:9" x14ac:dyDescent="0.25">
      <c r="A25654" s="515">
        <v>21734</v>
      </c>
      <c r="B25654" s="515" t="s">
        <v>654</v>
      </c>
      <c r="C25654" s="52">
        <v>220382.06067701799</v>
      </c>
      <c r="D25654" s="56">
        <v>0</v>
      </c>
      <c r="E25654" s="224" t="s">
        <v>2</v>
      </c>
      <c r="G25654" s="52"/>
      <c r="H25654" s="56"/>
      <c r="I25654" s="224"/>
    </row>
    <row r="25655" spans="1:9" x14ac:dyDescent="0.25">
      <c r="A25655" s="515">
        <v>67581</v>
      </c>
      <c r="B25655" s="515" t="s">
        <v>700</v>
      </c>
      <c r="C25655" s="52">
        <v>86336.365655540096</v>
      </c>
      <c r="D25655" s="56">
        <v>0.11133154247379812</v>
      </c>
      <c r="E25655" s="224" t="s">
        <v>2</v>
      </c>
      <c r="G25655" s="52"/>
      <c r="H25655" s="56"/>
      <c r="I25655" s="224"/>
    </row>
    <row r="25656" spans="1:9" x14ac:dyDescent="0.25">
      <c r="A25656" s="515">
        <v>27941</v>
      </c>
      <c r="B25656" s="515" t="s">
        <v>301</v>
      </c>
      <c r="C25656" s="52">
        <v>433022.633846729</v>
      </c>
      <c r="D25656" s="56">
        <v>0.21078983083714944</v>
      </c>
      <c r="E25656" s="224" t="s">
        <v>2</v>
      </c>
      <c r="G25656" s="52"/>
      <c r="H25656" s="56"/>
      <c r="I25656" s="224"/>
    </row>
    <row r="25657" spans="1:9" x14ac:dyDescent="0.25">
      <c r="A25657" s="515">
        <v>22432</v>
      </c>
      <c r="C25657" s="52">
        <v>249964.917505541</v>
      </c>
      <c r="D25657" s="56">
        <v>0</v>
      </c>
      <c r="E25657" s="224" t="s">
        <v>2</v>
      </c>
      <c r="G25657" s="52"/>
      <c r="H25657" s="56"/>
      <c r="I25657" s="224"/>
    </row>
    <row r="25658" spans="1:9" x14ac:dyDescent="0.25">
      <c r="A25658" s="515">
        <v>49654</v>
      </c>
      <c r="B25658" s="515" t="s">
        <v>366</v>
      </c>
      <c r="C25658" s="52">
        <v>1051898.32043665</v>
      </c>
      <c r="D25658" s="56">
        <v>0.12046445096024055</v>
      </c>
      <c r="E25658" s="224" t="s">
        <v>2</v>
      </c>
      <c r="G25658" s="52"/>
      <c r="H25658" s="56"/>
      <c r="I25658" s="224"/>
    </row>
    <row r="25659" spans="1:9" x14ac:dyDescent="0.25">
      <c r="A25659" s="515">
        <v>61478</v>
      </c>
      <c r="C25659" s="52">
        <v>111179.125138674</v>
      </c>
      <c r="D25659" s="56">
        <v>0</v>
      </c>
      <c r="E25659" s="224" t="s">
        <v>2</v>
      </c>
      <c r="G25659" s="52"/>
      <c r="H25659" s="56"/>
      <c r="I25659" s="224"/>
    </row>
    <row r="25660" spans="1:9" x14ac:dyDescent="0.25">
      <c r="A25660" s="515">
        <v>55708</v>
      </c>
      <c r="B25660" s="515" t="s">
        <v>350</v>
      </c>
      <c r="C25660" s="52">
        <v>104176.47008044401</v>
      </c>
      <c r="D25660" s="56">
        <v>4.5204563475032634E-2</v>
      </c>
      <c r="E25660" s="224" t="s">
        <v>2</v>
      </c>
      <c r="G25660" s="52"/>
      <c r="H25660" s="56"/>
      <c r="I25660" s="224"/>
    </row>
    <row r="25661" spans="1:9" x14ac:dyDescent="0.25">
      <c r="A25661" s="515">
        <v>58731</v>
      </c>
      <c r="B25661" s="515" t="s">
        <v>849</v>
      </c>
      <c r="C25661" s="52">
        <v>125162.298629204</v>
      </c>
      <c r="D25661" s="56">
        <v>0</v>
      </c>
      <c r="E25661" s="224" t="s">
        <v>2</v>
      </c>
      <c r="G25661" s="52"/>
      <c r="H25661" s="56"/>
      <c r="I25661" s="224"/>
    </row>
    <row r="25662" spans="1:9" x14ac:dyDescent="0.25">
      <c r="A25662" s="515">
        <v>25028</v>
      </c>
      <c r="B25662" s="515" t="s">
        <v>322</v>
      </c>
      <c r="C25662" s="52">
        <v>55766.979781372604</v>
      </c>
      <c r="D25662" s="56">
        <v>3.9894321005058036E-3</v>
      </c>
      <c r="E25662" s="224" t="s">
        <v>2</v>
      </c>
      <c r="G25662" s="52"/>
      <c r="H25662" s="56"/>
      <c r="I25662" s="224"/>
    </row>
    <row r="25663" spans="1:9" x14ac:dyDescent="0.25">
      <c r="A25663" s="515">
        <v>68345</v>
      </c>
      <c r="C25663" s="52">
        <v>125380.642716464</v>
      </c>
      <c r="D25663" s="56">
        <v>7.0446394316077326E-2</v>
      </c>
      <c r="E25663" s="224" t="s">
        <v>2</v>
      </c>
      <c r="G25663" s="52"/>
      <c r="H25663" s="56"/>
      <c r="I25663" s="224"/>
    </row>
    <row r="25664" spans="1:9" x14ac:dyDescent="0.25">
      <c r="A25664" s="515">
        <v>74054</v>
      </c>
      <c r="B25664" s="515" t="s">
        <v>348</v>
      </c>
      <c r="C25664" s="52">
        <v>112311.224721174</v>
      </c>
      <c r="D25664" s="56">
        <v>-5.0677829145964796E-2</v>
      </c>
      <c r="E25664" s="224" t="s">
        <v>2</v>
      </c>
      <c r="G25664" s="52"/>
      <c r="H25664" s="56"/>
      <c r="I25664" s="224"/>
    </row>
    <row r="25665" spans="1:9" x14ac:dyDescent="0.25">
      <c r="A25665" s="515">
        <v>82210</v>
      </c>
      <c r="C25665" s="52">
        <v>234241.94179361899</v>
      </c>
      <c r="D25665" s="56">
        <v>8.446107469177816E-2</v>
      </c>
      <c r="E25665" s="224" t="s">
        <v>2</v>
      </c>
      <c r="G25665" s="52"/>
      <c r="H25665" s="56"/>
      <c r="I25665" s="224"/>
    </row>
    <row r="25666" spans="1:9" x14ac:dyDescent="0.25">
      <c r="A25666" s="515">
        <v>49129</v>
      </c>
      <c r="B25666" s="515" t="s">
        <v>698</v>
      </c>
      <c r="C25666" s="52">
        <v>601272.48776628496</v>
      </c>
      <c r="D25666" s="56">
        <v>8.4675832336725307E-2</v>
      </c>
      <c r="E25666" s="224" t="s">
        <v>2</v>
      </c>
      <c r="G25666" s="52"/>
      <c r="H25666" s="56"/>
      <c r="I25666" s="224"/>
    </row>
    <row r="25667" spans="1:9" x14ac:dyDescent="0.25">
      <c r="A25667" s="515">
        <v>67575</v>
      </c>
      <c r="C25667" s="52">
        <v>94223.212769311198</v>
      </c>
      <c r="D25667" s="56">
        <v>0.15526538447071303</v>
      </c>
      <c r="E25667" s="224" t="s">
        <v>2</v>
      </c>
      <c r="G25667" s="52"/>
      <c r="H25667" s="56"/>
      <c r="I25667" s="224"/>
    </row>
    <row r="25668" spans="1:9" x14ac:dyDescent="0.25">
      <c r="A25668" s="515">
        <v>47917</v>
      </c>
      <c r="B25668" s="515" t="s">
        <v>433</v>
      </c>
      <c r="C25668" s="52">
        <v>113321.127598083</v>
      </c>
      <c r="D25668" s="56">
        <v>9.0849836235695633E-2</v>
      </c>
      <c r="E25668" s="224" t="s">
        <v>2</v>
      </c>
      <c r="G25668" s="52"/>
      <c r="H25668" s="56"/>
      <c r="I25668" s="224"/>
    </row>
    <row r="25669" spans="1:9" x14ac:dyDescent="0.25">
      <c r="A25669" s="515">
        <v>50484</v>
      </c>
      <c r="C25669" s="52">
        <v>90140.029961652501</v>
      </c>
      <c r="D25669" s="56">
        <v>6.7573694300794476E-2</v>
      </c>
      <c r="E25669" s="224" t="s">
        <v>2</v>
      </c>
      <c r="G25669" s="52"/>
      <c r="H25669" s="56"/>
      <c r="I25669" s="224"/>
    </row>
    <row r="25670" spans="1:9" x14ac:dyDescent="0.25">
      <c r="A25670" s="515">
        <v>98833</v>
      </c>
      <c r="C25670" s="52">
        <v>608799.22762726096</v>
      </c>
      <c r="D25670" s="56">
        <v>0.10080567230573001</v>
      </c>
      <c r="E25670" s="224" t="s">
        <v>2</v>
      </c>
      <c r="G25670" s="52"/>
      <c r="H25670" s="56"/>
      <c r="I25670" s="224"/>
    </row>
    <row r="25671" spans="1:9" x14ac:dyDescent="0.25">
      <c r="A25671" s="515">
        <v>12108</v>
      </c>
      <c r="C25671" s="52">
        <v>307328.16672759101</v>
      </c>
      <c r="D25671" s="56">
        <v>5.9465680014011771E-2</v>
      </c>
      <c r="E25671" s="224" t="s">
        <v>2</v>
      </c>
      <c r="G25671" s="52"/>
      <c r="H25671" s="56"/>
      <c r="I25671" s="224"/>
    </row>
    <row r="25672" spans="1:9" x14ac:dyDescent="0.25">
      <c r="A25672" s="515">
        <v>63636</v>
      </c>
      <c r="C25672" s="52">
        <v>130444.067332308</v>
      </c>
      <c r="D25672" s="56">
        <v>7.9104378144251225E-2</v>
      </c>
      <c r="E25672" s="224" t="s">
        <v>2</v>
      </c>
      <c r="G25672" s="52"/>
      <c r="H25672" s="56"/>
      <c r="I25672" s="224"/>
    </row>
    <row r="25673" spans="1:9" x14ac:dyDescent="0.25">
      <c r="A25673" s="515">
        <v>68437</v>
      </c>
      <c r="C25673" s="52">
        <v>89269.874551753295</v>
      </c>
      <c r="D25673" s="56">
        <v>6.3039589986023728E-2</v>
      </c>
      <c r="E25673" s="224" t="s">
        <v>2</v>
      </c>
      <c r="G25673" s="52"/>
      <c r="H25673" s="56"/>
      <c r="I25673" s="224"/>
    </row>
    <row r="25674" spans="1:9" x14ac:dyDescent="0.25">
      <c r="A25674" s="515">
        <v>58483</v>
      </c>
      <c r="B25674" s="515" t="s">
        <v>732</v>
      </c>
      <c r="C25674" s="52">
        <v>55536.700639053903</v>
      </c>
      <c r="D25674" s="56">
        <v>-0.1029376158179208</v>
      </c>
      <c r="E25674" s="224" t="s">
        <v>2</v>
      </c>
      <c r="G25674" s="52"/>
      <c r="H25674" s="56"/>
      <c r="I25674" s="224"/>
    </row>
    <row r="25675" spans="1:9" x14ac:dyDescent="0.25">
      <c r="A25675" s="515">
        <v>67511</v>
      </c>
      <c r="C25675" s="52">
        <v>108738.591781287</v>
      </c>
      <c r="D25675" s="56">
        <v>8.3095302202689084E-2</v>
      </c>
      <c r="E25675" s="224" t="s">
        <v>2</v>
      </c>
      <c r="G25675" s="52"/>
      <c r="H25675" s="56"/>
      <c r="I25675" s="224"/>
    </row>
    <row r="25676" spans="1:9" x14ac:dyDescent="0.25">
      <c r="A25676" s="515">
        <v>67737</v>
      </c>
      <c r="C25676" s="52">
        <v>117284.791692999</v>
      </c>
      <c r="D25676" s="56">
        <v>5.281242863832563E-2</v>
      </c>
      <c r="E25676" s="224" t="s">
        <v>2</v>
      </c>
      <c r="G25676" s="52"/>
      <c r="H25676" s="56"/>
      <c r="I25676" s="224"/>
    </row>
    <row r="25677" spans="1:9" x14ac:dyDescent="0.25">
      <c r="A25677" s="515">
        <v>64453</v>
      </c>
      <c r="C25677" s="52">
        <v>146607.39534883699</v>
      </c>
      <c r="D25677" s="56">
        <v>0</v>
      </c>
      <c r="E25677" s="224" t="s">
        <v>2</v>
      </c>
      <c r="G25677" s="52"/>
      <c r="H25677" s="56"/>
      <c r="I25677" s="224"/>
    </row>
    <row r="25678" spans="1:9" x14ac:dyDescent="0.25">
      <c r="A25678" s="515">
        <v>50067</v>
      </c>
      <c r="C25678" s="52">
        <v>109359.93915091699</v>
      </c>
      <c r="D25678" s="56">
        <v>0</v>
      </c>
      <c r="E25678" s="224" t="s">
        <v>2</v>
      </c>
      <c r="G25678" s="52"/>
      <c r="H25678" s="56"/>
      <c r="I25678" s="224"/>
    </row>
    <row r="25679" spans="1:9" x14ac:dyDescent="0.25">
      <c r="A25679" s="515">
        <v>45034</v>
      </c>
      <c r="B25679" s="515" t="s">
        <v>344</v>
      </c>
      <c r="C25679" s="52">
        <v>366897.19988961099</v>
      </c>
      <c r="D25679" s="56">
        <v>7.2742521553719353E-2</v>
      </c>
      <c r="E25679" s="224" t="s">
        <v>2</v>
      </c>
      <c r="G25679" s="52"/>
      <c r="H25679" s="56"/>
      <c r="I25679" s="224"/>
    </row>
    <row r="25680" spans="1:9" x14ac:dyDescent="0.25">
      <c r="A25680" s="515">
        <v>52134</v>
      </c>
      <c r="C25680" s="52">
        <v>117049.40427232</v>
      </c>
      <c r="D25680" s="56">
        <v>0</v>
      </c>
      <c r="E25680" s="224" t="s">
        <v>2</v>
      </c>
      <c r="G25680" s="52"/>
      <c r="H25680" s="56"/>
      <c r="I25680" s="224"/>
    </row>
    <row r="25681" spans="1:9" x14ac:dyDescent="0.25">
      <c r="A25681" s="515">
        <v>26631</v>
      </c>
      <c r="C25681" s="52">
        <v>116537.380423635</v>
      </c>
      <c r="D25681" s="56">
        <v>0.17990325311980065</v>
      </c>
      <c r="E25681" s="224" t="s">
        <v>2</v>
      </c>
      <c r="G25681" s="52"/>
      <c r="H25681" s="56"/>
      <c r="I25681" s="224"/>
    </row>
    <row r="25682" spans="1:9" x14ac:dyDescent="0.25">
      <c r="A25682" s="515">
        <v>68957</v>
      </c>
      <c r="C25682" s="52">
        <v>146321.104448464</v>
      </c>
      <c r="D25682" s="56">
        <v>0.12008066150866387</v>
      </c>
      <c r="E25682" s="224" t="s">
        <v>2</v>
      </c>
      <c r="G25682" s="52"/>
      <c r="H25682" s="56"/>
      <c r="I25682" s="224"/>
    </row>
    <row r="25683" spans="1:9" x14ac:dyDescent="0.25">
      <c r="A25683" s="515">
        <v>54737</v>
      </c>
      <c r="B25683" s="515" t="s">
        <v>731</v>
      </c>
      <c r="C25683" s="52">
        <v>248598.053239525</v>
      </c>
      <c r="D25683" s="56">
        <v>7.3758740391517683E-2</v>
      </c>
      <c r="E25683" s="224" t="s">
        <v>2</v>
      </c>
      <c r="G25683" s="52"/>
      <c r="H25683" s="56"/>
      <c r="I25683" s="224"/>
    </row>
    <row r="25684" spans="1:9" x14ac:dyDescent="0.25">
      <c r="A25684" s="515">
        <v>80483</v>
      </c>
      <c r="B25684" s="515" t="s">
        <v>536</v>
      </c>
      <c r="C25684" s="52">
        <v>408352.74812689598</v>
      </c>
      <c r="D25684" s="56">
        <v>8.0646619316714976E-2</v>
      </c>
      <c r="E25684" s="224" t="s">
        <v>2</v>
      </c>
      <c r="G25684" s="52"/>
      <c r="H25684" s="56"/>
      <c r="I25684" s="224"/>
    </row>
    <row r="25685" spans="1:9" x14ac:dyDescent="0.25">
      <c r="A25685" s="515">
        <v>50235</v>
      </c>
      <c r="C25685" s="52">
        <v>117437.920192818</v>
      </c>
      <c r="D25685" s="56">
        <v>0.15283253842353228</v>
      </c>
      <c r="E25685" s="224" t="s">
        <v>2</v>
      </c>
      <c r="G25685" s="52"/>
      <c r="H25685" s="56"/>
      <c r="I25685" s="224"/>
    </row>
    <row r="25686" spans="1:9" x14ac:dyDescent="0.25">
      <c r="A25686" s="515">
        <v>79544</v>
      </c>
      <c r="C25686" s="52">
        <v>47876.843497649403</v>
      </c>
      <c r="D25686" s="56">
        <v>0</v>
      </c>
      <c r="E25686" s="224" t="s">
        <v>2</v>
      </c>
      <c r="G25686" s="52"/>
      <c r="H25686" s="56"/>
      <c r="I25686" s="224"/>
    </row>
    <row r="25687" spans="1:9" x14ac:dyDescent="0.25">
      <c r="A25687" s="515">
        <v>61475</v>
      </c>
      <c r="B25687" s="515" t="s">
        <v>493</v>
      </c>
      <c r="C25687" s="52">
        <v>100275.038461538</v>
      </c>
      <c r="D25687" s="56">
        <v>0</v>
      </c>
      <c r="E25687" s="224" t="s">
        <v>2</v>
      </c>
      <c r="G25687" s="52"/>
      <c r="H25687" s="56"/>
      <c r="I25687" s="224"/>
    </row>
    <row r="25688" spans="1:9" x14ac:dyDescent="0.25">
      <c r="A25688" s="515">
        <v>25193</v>
      </c>
      <c r="B25688" s="515" t="s">
        <v>322</v>
      </c>
      <c r="C25688" s="52">
        <v>63335.910681399197</v>
      </c>
      <c r="D25688" s="56">
        <v>9.0498903357224464E-2</v>
      </c>
      <c r="E25688" s="224" t="s">
        <v>2</v>
      </c>
      <c r="G25688" s="52"/>
      <c r="H25688" s="56"/>
      <c r="I25688" s="224"/>
    </row>
    <row r="25689" spans="1:9" x14ac:dyDescent="0.25">
      <c r="A25689" s="515">
        <v>41659</v>
      </c>
      <c r="C25689" s="52">
        <v>136670.156222925</v>
      </c>
      <c r="D25689" s="56">
        <v>6.7364852549399779E-2</v>
      </c>
      <c r="E25689" s="224" t="s">
        <v>2</v>
      </c>
      <c r="G25689" s="52"/>
      <c r="H25689" s="56"/>
      <c r="I25689" s="224"/>
    </row>
    <row r="25690" spans="1:9" x14ac:dyDescent="0.25">
      <c r="A25690" s="515">
        <v>12849</v>
      </c>
      <c r="B25690" s="515" t="s">
        <v>422</v>
      </c>
      <c r="C25690" s="52">
        <v>200434.51266838299</v>
      </c>
      <c r="D25690" s="56">
        <v>9.0470802646234749E-2</v>
      </c>
      <c r="E25690" s="224" t="s">
        <v>2</v>
      </c>
      <c r="G25690" s="52"/>
      <c r="H25690" s="56"/>
      <c r="I25690" s="224"/>
    </row>
    <row r="25691" spans="1:9" x14ac:dyDescent="0.25">
      <c r="A25691" s="515">
        <v>57631</v>
      </c>
      <c r="C25691" s="52">
        <v>277440.72499999998</v>
      </c>
      <c r="D25691" s="56">
        <v>0</v>
      </c>
      <c r="E25691" s="224" t="s">
        <v>2</v>
      </c>
      <c r="G25691" s="52"/>
      <c r="H25691" s="56"/>
      <c r="I25691" s="224"/>
    </row>
    <row r="25692" spans="1:9" x14ac:dyDescent="0.25">
      <c r="A25692" s="515">
        <v>62940</v>
      </c>
      <c r="B25692" s="515" t="s">
        <v>471</v>
      </c>
      <c r="C25692" s="52">
        <v>40291.685797942897</v>
      </c>
      <c r="D25692" s="56">
        <v>-0.11524209084933025</v>
      </c>
      <c r="E25692" s="224" t="s">
        <v>2</v>
      </c>
      <c r="G25692" s="52"/>
      <c r="H25692" s="56"/>
      <c r="I25692" s="224"/>
    </row>
    <row r="25693" spans="1:9" x14ac:dyDescent="0.25">
      <c r="A25693" s="515">
        <v>93529</v>
      </c>
      <c r="C25693" s="52">
        <v>633710.82203914504</v>
      </c>
      <c r="D25693" s="56">
        <v>7.4623889949501462E-2</v>
      </c>
      <c r="E25693" s="224" t="s">
        <v>2</v>
      </c>
      <c r="G25693" s="52"/>
      <c r="H25693" s="56"/>
      <c r="I25693" s="224"/>
    </row>
    <row r="25694" spans="1:9" x14ac:dyDescent="0.25">
      <c r="A25694" s="515">
        <v>26291</v>
      </c>
      <c r="C25694" s="52"/>
      <c r="D25694" s="56">
        <v>0</v>
      </c>
      <c r="E25694" s="224" t="s">
        <v>2</v>
      </c>
      <c r="G25694" s="52"/>
      <c r="H25694" s="56"/>
      <c r="I25694" s="224"/>
    </row>
    <row r="25695" spans="1:9" x14ac:dyDescent="0.25">
      <c r="A25695" s="515">
        <v>51037</v>
      </c>
      <c r="C25695" s="52">
        <v>144841.43319298301</v>
      </c>
      <c r="D25695" s="56">
        <v>0</v>
      </c>
      <c r="E25695" s="224" t="s">
        <v>2</v>
      </c>
      <c r="G25695" s="52"/>
      <c r="H25695" s="56"/>
      <c r="I25695" s="224"/>
    </row>
    <row r="25696" spans="1:9" x14ac:dyDescent="0.25">
      <c r="A25696" s="515">
        <v>69148</v>
      </c>
      <c r="C25696" s="52">
        <v>219113.52278357299</v>
      </c>
      <c r="D25696" s="56">
        <v>0.11446079823719764</v>
      </c>
      <c r="E25696" s="224" t="s">
        <v>2</v>
      </c>
      <c r="G25696" s="52"/>
      <c r="H25696" s="56"/>
      <c r="I25696" s="224"/>
    </row>
    <row r="25697" spans="1:9" x14ac:dyDescent="0.25">
      <c r="A25697" s="515">
        <v>97028</v>
      </c>
      <c r="B25697" s="515" t="s">
        <v>659</v>
      </c>
      <c r="C25697" s="52">
        <v>569932.41386985302</v>
      </c>
      <c r="D25697" s="56">
        <v>0.11181263395307765</v>
      </c>
      <c r="E25697" s="224" t="s">
        <v>2</v>
      </c>
      <c r="G25697" s="52"/>
      <c r="H25697" s="56"/>
      <c r="I25697" s="224"/>
    </row>
    <row r="25698" spans="1:9" x14ac:dyDescent="0.25">
      <c r="A25698" s="515">
        <v>68631</v>
      </c>
      <c r="B25698" s="515" t="s">
        <v>567</v>
      </c>
      <c r="C25698" s="52">
        <v>221754.520478978</v>
      </c>
      <c r="D25698" s="56">
        <v>7.2326912093422319E-2</v>
      </c>
      <c r="E25698" s="224" t="s">
        <v>2</v>
      </c>
      <c r="G25698" s="52"/>
      <c r="H25698" s="56"/>
      <c r="I25698" s="224"/>
    </row>
    <row r="25699" spans="1:9" x14ac:dyDescent="0.25">
      <c r="A25699" s="515">
        <v>41271</v>
      </c>
      <c r="C25699" s="52">
        <v>89868.198089348502</v>
      </c>
      <c r="D25699" s="56">
        <v>0.17769959260450985</v>
      </c>
      <c r="E25699" s="224" t="s">
        <v>2</v>
      </c>
      <c r="G25699" s="52"/>
      <c r="H25699" s="56"/>
      <c r="I25699" s="224"/>
    </row>
    <row r="25700" spans="1:9" x14ac:dyDescent="0.25">
      <c r="A25700" s="515">
        <v>67574</v>
      </c>
      <c r="C25700" s="52">
        <v>91520.695004671303</v>
      </c>
      <c r="D25700" s="56">
        <v>0.15421061478506481</v>
      </c>
      <c r="E25700" s="224" t="s">
        <v>2</v>
      </c>
      <c r="G25700" s="52"/>
      <c r="H25700" s="56"/>
      <c r="I25700" s="224"/>
    </row>
    <row r="25701" spans="1:9" x14ac:dyDescent="0.25">
      <c r="A25701" s="515">
        <v>73720</v>
      </c>
      <c r="B25701" s="515" t="s">
        <v>730</v>
      </c>
      <c r="C25701" s="52">
        <v>167717.95068295801</v>
      </c>
      <c r="D25701" s="56">
        <v>-2.051998726271121E-2</v>
      </c>
      <c r="E25701" s="224" t="s">
        <v>2</v>
      </c>
      <c r="G25701" s="52"/>
      <c r="H25701" s="56"/>
      <c r="I25701" s="224"/>
    </row>
    <row r="25702" spans="1:9" x14ac:dyDescent="0.25">
      <c r="A25702" s="515">
        <v>58038</v>
      </c>
      <c r="C25702" s="52">
        <v>196714.47769560301</v>
      </c>
      <c r="D25702" s="56">
        <v>0</v>
      </c>
      <c r="E25702" s="224" t="s">
        <v>2</v>
      </c>
      <c r="G25702" s="52"/>
      <c r="H25702" s="56"/>
      <c r="I25702" s="224"/>
    </row>
    <row r="25703" spans="1:9" x14ac:dyDescent="0.25">
      <c r="A25703" s="515">
        <v>47280</v>
      </c>
      <c r="B25703" s="515" t="s">
        <v>729</v>
      </c>
      <c r="C25703" s="52">
        <v>154727.309804597</v>
      </c>
      <c r="D25703" s="56">
        <v>8.8082728718833991E-2</v>
      </c>
      <c r="E25703" s="224" t="s">
        <v>2</v>
      </c>
      <c r="G25703" s="52"/>
      <c r="H25703" s="56"/>
      <c r="I25703" s="224"/>
    </row>
    <row r="25704" spans="1:9" x14ac:dyDescent="0.25">
      <c r="A25704" s="515">
        <v>12460</v>
      </c>
      <c r="B25704" s="515" t="s">
        <v>609</v>
      </c>
      <c r="C25704" s="52">
        <v>251622.543052333</v>
      </c>
      <c r="D25704" s="56">
        <v>9.603958500607071E-2</v>
      </c>
      <c r="E25704" s="224" t="s">
        <v>2</v>
      </c>
      <c r="G25704" s="52"/>
      <c r="H25704" s="56"/>
      <c r="I25704" s="224"/>
    </row>
    <row r="25705" spans="1:9" x14ac:dyDescent="0.25">
      <c r="A25705" s="515">
        <v>98925</v>
      </c>
      <c r="B25705" s="515" t="s">
        <v>473</v>
      </c>
      <c r="C25705" s="52">
        <v>503935.29957443703</v>
      </c>
      <c r="D25705" s="56">
        <v>5.9513938693214537E-2</v>
      </c>
      <c r="E25705" s="224" t="s">
        <v>2</v>
      </c>
      <c r="G25705" s="52"/>
      <c r="H25705" s="56"/>
      <c r="I25705" s="224"/>
    </row>
    <row r="25706" spans="1:9" x14ac:dyDescent="0.25">
      <c r="A25706" s="515">
        <v>73947</v>
      </c>
      <c r="C25706" s="52">
        <v>61876.095308798402</v>
      </c>
      <c r="D25706" s="56">
        <v>6.740266996037135E-2</v>
      </c>
      <c r="E25706" s="224" t="s">
        <v>2</v>
      </c>
      <c r="G25706" s="52"/>
      <c r="H25706" s="56"/>
      <c r="I25706" s="224"/>
    </row>
    <row r="25707" spans="1:9" x14ac:dyDescent="0.25">
      <c r="A25707" s="515">
        <v>88325</v>
      </c>
      <c r="B25707" s="515" t="s">
        <v>476</v>
      </c>
      <c r="C25707" s="52">
        <v>307737.62103198702</v>
      </c>
      <c r="D25707" s="56">
        <v>0.13300539576100409</v>
      </c>
      <c r="E25707" s="224" t="s">
        <v>2</v>
      </c>
      <c r="G25707" s="52"/>
      <c r="H25707" s="56"/>
      <c r="I25707" s="224"/>
    </row>
    <row r="25708" spans="1:9" x14ac:dyDescent="0.25">
      <c r="A25708" s="515">
        <v>81642</v>
      </c>
      <c r="B25708" s="515" t="s">
        <v>725</v>
      </c>
      <c r="C25708" s="52">
        <v>597771.88517720799</v>
      </c>
      <c r="D25708" s="56">
        <v>0.13714445861653357</v>
      </c>
      <c r="E25708" s="224" t="s">
        <v>2</v>
      </c>
      <c r="G25708" s="52"/>
      <c r="H25708" s="56"/>
      <c r="I25708" s="224"/>
    </row>
    <row r="25709" spans="1:9" x14ac:dyDescent="0.25">
      <c r="A25709" s="515">
        <v>67761</v>
      </c>
      <c r="C25709" s="52">
        <v>166206.33683556001</v>
      </c>
      <c r="D25709" s="56">
        <v>0.41665563129552408</v>
      </c>
      <c r="E25709" s="224" t="s">
        <v>2</v>
      </c>
      <c r="G25709" s="52"/>
      <c r="H25709" s="56"/>
      <c r="I25709" s="224"/>
    </row>
    <row r="25710" spans="1:9" x14ac:dyDescent="0.25">
      <c r="A25710" s="515">
        <v>98834</v>
      </c>
      <c r="C25710" s="52">
        <v>361292.48404858197</v>
      </c>
      <c r="D25710" s="56">
        <v>5.2493176508226325E-2</v>
      </c>
      <c r="E25710" s="224" t="s">
        <v>2</v>
      </c>
      <c r="G25710" s="52"/>
      <c r="H25710" s="56"/>
      <c r="I25710" s="224"/>
    </row>
    <row r="25711" spans="1:9" x14ac:dyDescent="0.25">
      <c r="A25711" s="515">
        <v>15440</v>
      </c>
      <c r="B25711" s="515" t="s">
        <v>297</v>
      </c>
      <c r="C25711" s="52">
        <v>165872.28465227399</v>
      </c>
      <c r="D25711" s="56">
        <v>3.5596949680368029E-2</v>
      </c>
      <c r="E25711" s="224" t="s">
        <v>2</v>
      </c>
      <c r="G25711" s="52"/>
      <c r="H25711" s="56"/>
      <c r="I25711" s="224"/>
    </row>
    <row r="25712" spans="1:9" x14ac:dyDescent="0.25">
      <c r="A25712" s="515">
        <v>21814</v>
      </c>
      <c r="B25712" s="515" t="s">
        <v>552</v>
      </c>
      <c r="C25712" s="52">
        <v>180365.397501878</v>
      </c>
      <c r="D25712" s="56">
        <v>6.3689799135282429E-2</v>
      </c>
      <c r="E25712" s="224" t="s">
        <v>2</v>
      </c>
      <c r="G25712" s="52"/>
      <c r="H25712" s="56"/>
      <c r="I25712" s="224"/>
    </row>
    <row r="25713" spans="1:9" x14ac:dyDescent="0.25">
      <c r="A25713" s="515">
        <v>67159</v>
      </c>
      <c r="C25713" s="52">
        <v>117662.41221722</v>
      </c>
      <c r="D25713" s="56">
        <v>0.26737170945630112</v>
      </c>
      <c r="E25713" s="224" t="s">
        <v>2</v>
      </c>
      <c r="G25713" s="52"/>
      <c r="H25713" s="56"/>
      <c r="I25713" s="224"/>
    </row>
    <row r="25714" spans="1:9" x14ac:dyDescent="0.25">
      <c r="A25714" s="515">
        <v>59452</v>
      </c>
      <c r="C25714" s="52">
        <v>298218.06849315</v>
      </c>
      <c r="D25714" s="56">
        <v>0</v>
      </c>
      <c r="E25714" s="224" t="s">
        <v>2</v>
      </c>
      <c r="G25714" s="52"/>
      <c r="H25714" s="56"/>
      <c r="I25714" s="224"/>
    </row>
    <row r="25715" spans="1:9" x14ac:dyDescent="0.25">
      <c r="A25715" s="515">
        <v>5040</v>
      </c>
      <c r="B25715" s="515" t="s">
        <v>420</v>
      </c>
      <c r="C25715" s="52">
        <v>276078.227272727</v>
      </c>
      <c r="D25715" s="56">
        <v>0</v>
      </c>
      <c r="E25715" s="224" t="s">
        <v>2</v>
      </c>
      <c r="G25715" s="52"/>
      <c r="H25715" s="56"/>
      <c r="I25715" s="224"/>
    </row>
    <row r="25716" spans="1:9" x14ac:dyDescent="0.25">
      <c r="A25716" s="515">
        <v>66949</v>
      </c>
      <c r="C25716" s="52">
        <v>83589.074718705597</v>
      </c>
      <c r="D25716" s="56">
        <v>0.10714311526571109</v>
      </c>
      <c r="E25716" s="224" t="s">
        <v>2</v>
      </c>
      <c r="G25716" s="52"/>
      <c r="H25716" s="56"/>
      <c r="I25716" s="224"/>
    </row>
    <row r="25717" spans="1:9" x14ac:dyDescent="0.25">
      <c r="A25717" s="515">
        <v>96006</v>
      </c>
      <c r="B25717" s="515" t="s">
        <v>658</v>
      </c>
      <c r="C25717" s="52">
        <v>191638.746756195</v>
      </c>
      <c r="D25717" s="56">
        <v>2.8897182566024887E-2</v>
      </c>
      <c r="E25717" s="224" t="s">
        <v>2</v>
      </c>
      <c r="G25717" s="52"/>
      <c r="H25717" s="56"/>
      <c r="I25717" s="224"/>
    </row>
    <row r="25718" spans="1:9" x14ac:dyDescent="0.25">
      <c r="A25718" s="515">
        <v>81044</v>
      </c>
      <c r="C25718" s="52">
        <v>132961.506093426</v>
      </c>
      <c r="D25718" s="56">
        <v>8.9662209469180285E-2</v>
      </c>
      <c r="E25718" s="224" t="s">
        <v>2</v>
      </c>
      <c r="G25718" s="52"/>
      <c r="H25718" s="56"/>
      <c r="I25718" s="224"/>
    </row>
    <row r="25719" spans="1:9" x14ac:dyDescent="0.25">
      <c r="A25719" s="515">
        <v>69038</v>
      </c>
      <c r="C25719" s="52">
        <v>138906.10184983001</v>
      </c>
      <c r="D25719" s="56">
        <v>0.10148491316650535</v>
      </c>
      <c r="E25719" s="224" t="s">
        <v>2</v>
      </c>
      <c r="G25719" s="52"/>
      <c r="H25719" s="56"/>
      <c r="I25719" s="224"/>
    </row>
    <row r="25720" spans="1:9" x14ac:dyDescent="0.25">
      <c r="A25720" s="515">
        <v>68327</v>
      </c>
      <c r="C25720" s="52">
        <v>76233.775188892105</v>
      </c>
      <c r="D25720" s="56">
        <v>6.6006339189999083E-2</v>
      </c>
      <c r="E25720" s="224" t="s">
        <v>2</v>
      </c>
      <c r="G25720" s="52"/>
      <c r="H25720" s="56"/>
      <c r="I25720" s="224"/>
    </row>
    <row r="25721" spans="1:9" x14ac:dyDescent="0.25">
      <c r="A25721" s="515">
        <v>16843</v>
      </c>
      <c r="B25721" s="515" t="s">
        <v>876</v>
      </c>
      <c r="C25721" s="52">
        <v>74696.790697674398</v>
      </c>
      <c r="D25721" s="56">
        <v>0</v>
      </c>
      <c r="E25721" s="224" t="s">
        <v>2</v>
      </c>
      <c r="G25721" s="52"/>
      <c r="H25721" s="56"/>
      <c r="I25721" s="224"/>
    </row>
    <row r="25722" spans="1:9" x14ac:dyDescent="0.25">
      <c r="A25722" s="515">
        <v>14816</v>
      </c>
      <c r="B25722" s="515" t="s">
        <v>724</v>
      </c>
      <c r="C25722" s="52">
        <v>160716.085615202</v>
      </c>
      <c r="D25722" s="56">
        <v>4.3100923447019775E-2</v>
      </c>
      <c r="E25722" s="224" t="s">
        <v>2</v>
      </c>
      <c r="G25722" s="52"/>
      <c r="H25722" s="56"/>
      <c r="I25722" s="224"/>
    </row>
    <row r="25723" spans="1:9" x14ac:dyDescent="0.25">
      <c r="A25723" s="515">
        <v>12743</v>
      </c>
      <c r="C25723" s="52">
        <v>376106.71268369601</v>
      </c>
      <c r="D25723" s="56">
        <v>0.14869864155366161</v>
      </c>
      <c r="E25723" s="224" t="s">
        <v>2</v>
      </c>
      <c r="G25723" s="52"/>
      <c r="H25723" s="56"/>
      <c r="I25723" s="224"/>
    </row>
    <row r="25724" spans="1:9" x14ac:dyDescent="0.25">
      <c r="A25724" s="515">
        <v>15698</v>
      </c>
      <c r="B25724" s="515" t="s">
        <v>297</v>
      </c>
      <c r="C25724" s="52">
        <v>93804.553398058197</v>
      </c>
      <c r="D25724" s="56">
        <v>0</v>
      </c>
      <c r="E25724" s="224" t="s">
        <v>2</v>
      </c>
      <c r="G25724" s="52"/>
      <c r="H25724" s="56"/>
      <c r="I25724" s="224"/>
    </row>
    <row r="25725" spans="1:9" x14ac:dyDescent="0.25">
      <c r="A25725" s="515">
        <v>68322</v>
      </c>
      <c r="C25725" s="52">
        <v>146168.81473196801</v>
      </c>
      <c r="D25725" s="56">
        <v>0.22397774501958859</v>
      </c>
      <c r="E25725" s="224" t="s">
        <v>2</v>
      </c>
      <c r="G25725" s="52"/>
      <c r="H25725" s="56"/>
      <c r="I25725" s="224"/>
    </row>
    <row r="25726" spans="1:9" x14ac:dyDescent="0.25">
      <c r="A25726" s="515">
        <v>41563</v>
      </c>
      <c r="C25726" s="52">
        <v>82167.708760952795</v>
      </c>
      <c r="D25726" s="56">
        <v>0.23348983081921096</v>
      </c>
      <c r="E25726" s="224" t="s">
        <v>2</v>
      </c>
      <c r="G25726" s="52"/>
      <c r="H25726" s="56"/>
      <c r="I25726" s="224"/>
    </row>
    <row r="25727" spans="1:9" x14ac:dyDescent="0.25">
      <c r="A25727" s="515">
        <v>21920</v>
      </c>
      <c r="B25727" s="515" t="s">
        <v>294</v>
      </c>
      <c r="C25727" s="52">
        <v>188304.75386232301</v>
      </c>
      <c r="D25727" s="56">
        <v>0</v>
      </c>
      <c r="E25727" s="224" t="s">
        <v>2</v>
      </c>
      <c r="G25727" s="52"/>
      <c r="H25727" s="56"/>
      <c r="I25727" s="224"/>
    </row>
    <row r="25728" spans="1:9" x14ac:dyDescent="0.25">
      <c r="A25728" s="515">
        <v>20839</v>
      </c>
      <c r="B25728" s="515" t="s">
        <v>321</v>
      </c>
      <c r="C25728" s="52">
        <v>593120.53496459103</v>
      </c>
      <c r="D25728" s="56">
        <v>0</v>
      </c>
      <c r="E25728" s="224" t="s">
        <v>2</v>
      </c>
      <c r="G25728" s="52"/>
      <c r="H25728" s="56"/>
      <c r="I25728" s="224"/>
    </row>
    <row r="25729" spans="1:9" x14ac:dyDescent="0.25">
      <c r="A25729" s="515">
        <v>50576</v>
      </c>
      <c r="B25729" s="515" t="s">
        <v>723</v>
      </c>
      <c r="C25729" s="52">
        <v>133104.22</v>
      </c>
      <c r="D25729" s="56">
        <v>0</v>
      </c>
      <c r="E25729" s="224" t="s">
        <v>2</v>
      </c>
      <c r="G25729" s="52"/>
      <c r="H25729" s="56"/>
      <c r="I25729" s="224"/>
    </row>
    <row r="25730" spans="1:9" x14ac:dyDescent="0.25">
      <c r="A25730" s="515">
        <v>50848</v>
      </c>
      <c r="C25730" s="52">
        <v>72880.824366522793</v>
      </c>
      <c r="D25730" s="56">
        <v>0.11641923365798998</v>
      </c>
      <c r="E25730" s="224" t="s">
        <v>2</v>
      </c>
      <c r="G25730" s="52"/>
      <c r="H25730" s="56"/>
      <c r="I25730" s="224"/>
    </row>
    <row r="25731" spans="1:9" x14ac:dyDescent="0.25">
      <c r="A25731" s="515">
        <v>50577</v>
      </c>
      <c r="C25731" s="52">
        <v>92481.271493636901</v>
      </c>
      <c r="D25731" s="56">
        <v>0</v>
      </c>
      <c r="E25731" s="224" t="s">
        <v>2</v>
      </c>
      <c r="G25731" s="52"/>
      <c r="H25731" s="56"/>
      <c r="I25731" s="224"/>
    </row>
    <row r="25732" spans="1:9" x14ac:dyDescent="0.25">
      <c r="A25732" s="515">
        <v>13406</v>
      </c>
      <c r="B25732" s="515" t="s">
        <v>543</v>
      </c>
      <c r="C25732" s="52">
        <v>147221.39518830599</v>
      </c>
      <c r="D25732" s="56">
        <v>0.15852987027663956</v>
      </c>
      <c r="E25732" s="224" t="s">
        <v>2</v>
      </c>
      <c r="G25732" s="52"/>
      <c r="H25732" s="56"/>
      <c r="I25732" s="224"/>
    </row>
    <row r="25733" spans="1:9" x14ac:dyDescent="0.25">
      <c r="A25733" s="515">
        <v>62219</v>
      </c>
      <c r="B25733" s="515" t="s">
        <v>498</v>
      </c>
      <c r="C25733" s="52">
        <v>99624.298507073996</v>
      </c>
      <c r="D25733" s="56">
        <v>6.4973512319815283E-2</v>
      </c>
      <c r="E25733" s="224" t="s">
        <v>2</v>
      </c>
      <c r="G25733" s="52"/>
      <c r="H25733" s="56"/>
      <c r="I25733" s="224"/>
    </row>
    <row r="25734" spans="1:9" x14ac:dyDescent="0.25">
      <c r="A25734" s="515">
        <v>12987</v>
      </c>
      <c r="C25734" s="52">
        <v>254217.92507363201</v>
      </c>
      <c r="D25734" s="56">
        <v>0.13973100896668647</v>
      </c>
      <c r="E25734" s="224" t="s">
        <v>2</v>
      </c>
      <c r="G25734" s="52"/>
      <c r="H25734" s="56"/>
      <c r="I25734" s="224"/>
    </row>
    <row r="25735" spans="1:9" x14ac:dyDescent="0.25">
      <c r="A25735" s="515">
        <v>45111</v>
      </c>
      <c r="B25735" s="515" t="s">
        <v>344</v>
      </c>
      <c r="C25735" s="52">
        <v>202314.098346988</v>
      </c>
      <c r="D25735" s="56">
        <v>0.10761419305530648</v>
      </c>
      <c r="E25735" s="224" t="s">
        <v>2</v>
      </c>
      <c r="G25735" s="52"/>
      <c r="H25735" s="56"/>
      <c r="I25735" s="224"/>
    </row>
    <row r="25736" spans="1:9" x14ac:dyDescent="0.25">
      <c r="A25736" s="515">
        <v>65570</v>
      </c>
      <c r="C25736" s="52">
        <v>191582.70488817699</v>
      </c>
      <c r="D25736" s="56">
        <v>0</v>
      </c>
      <c r="E25736" s="224" t="s">
        <v>2</v>
      </c>
      <c r="G25736" s="52"/>
      <c r="H25736" s="56"/>
      <c r="I25736" s="224"/>
    </row>
    <row r="25737" spans="1:9" x14ac:dyDescent="0.25">
      <c r="A25737" s="515">
        <v>39737</v>
      </c>
      <c r="B25737" s="515" t="s">
        <v>722</v>
      </c>
      <c r="C25737" s="52">
        <v>156281.064065385</v>
      </c>
      <c r="D25737" s="56">
        <v>1.2645822110132326E-2</v>
      </c>
      <c r="E25737" s="224" t="s">
        <v>2</v>
      </c>
      <c r="G25737" s="52"/>
      <c r="H25737" s="56"/>
      <c r="I25737" s="224"/>
    </row>
    <row r="25738" spans="1:9" x14ac:dyDescent="0.25">
      <c r="A25738" s="515">
        <v>74850</v>
      </c>
      <c r="C25738" s="52">
        <v>147908.00202792001</v>
      </c>
      <c r="D25738" s="56">
        <v>8.1233477099707102E-2</v>
      </c>
      <c r="E25738" s="224" t="s">
        <v>2</v>
      </c>
      <c r="G25738" s="52"/>
      <c r="H25738" s="56"/>
      <c r="I25738" s="224"/>
    </row>
    <row r="25739" spans="1:9" x14ac:dyDescent="0.25">
      <c r="A25739" s="515">
        <v>40316</v>
      </c>
      <c r="B25739" s="515" t="s">
        <v>900</v>
      </c>
      <c r="C25739" s="52">
        <v>97825.600685914207</v>
      </c>
      <c r="D25739" s="56">
        <v>0.2673750416458075</v>
      </c>
      <c r="E25739" s="224" t="s">
        <v>2</v>
      </c>
      <c r="G25739" s="52"/>
      <c r="H25739" s="56"/>
      <c r="I25739" s="224"/>
    </row>
    <row r="25740" spans="1:9" x14ac:dyDescent="0.25">
      <c r="A25740" s="515">
        <v>80726</v>
      </c>
      <c r="B25740" s="515" t="s">
        <v>721</v>
      </c>
      <c r="C25740" s="52">
        <v>274003.64041809703</v>
      </c>
      <c r="D25740" s="56">
        <v>4.2694170329771498E-2</v>
      </c>
      <c r="E25740" s="224" t="s">
        <v>2</v>
      </c>
      <c r="G25740" s="52"/>
      <c r="H25740" s="56"/>
      <c r="I25740" s="224"/>
    </row>
    <row r="25741" spans="1:9" x14ac:dyDescent="0.25">
      <c r="A25741" s="515">
        <v>77951</v>
      </c>
      <c r="B25741" s="515" t="s">
        <v>1174</v>
      </c>
      <c r="C25741" s="52">
        <v>117941.515451853</v>
      </c>
      <c r="D25741" s="56">
        <v>0.11380104189592496</v>
      </c>
      <c r="E25741" s="224" t="s">
        <v>2</v>
      </c>
      <c r="G25741" s="52"/>
      <c r="H25741" s="56"/>
      <c r="I25741" s="224"/>
    </row>
    <row r="25742" spans="1:9" x14ac:dyDescent="0.25">
      <c r="A25742" s="515">
        <v>21829</v>
      </c>
      <c r="B25742" s="515" t="s">
        <v>552</v>
      </c>
      <c r="C25742" s="52">
        <v>182090.056346386</v>
      </c>
      <c r="D25742" s="56">
        <v>0</v>
      </c>
      <c r="E25742" s="224" t="s">
        <v>2</v>
      </c>
      <c r="G25742" s="52"/>
      <c r="H25742" s="56"/>
      <c r="I25742" s="224"/>
    </row>
    <row r="25743" spans="1:9" x14ac:dyDescent="0.25">
      <c r="A25743" s="515">
        <v>53920</v>
      </c>
      <c r="C25743" s="52">
        <v>200609.29012170501</v>
      </c>
      <c r="D25743" s="56">
        <v>7.6038108392423906E-2</v>
      </c>
      <c r="E25743" s="224" t="s">
        <v>2</v>
      </c>
      <c r="G25743" s="52"/>
      <c r="H25743" s="56"/>
      <c r="I25743" s="224"/>
    </row>
    <row r="25744" spans="1:9" x14ac:dyDescent="0.25">
      <c r="A25744" s="515">
        <v>76637</v>
      </c>
      <c r="C25744" s="52">
        <v>247505.50684931499</v>
      </c>
      <c r="D25744" s="56">
        <v>0</v>
      </c>
      <c r="E25744" s="224" t="s">
        <v>2</v>
      </c>
      <c r="G25744" s="52"/>
      <c r="H25744" s="56"/>
      <c r="I25744" s="224"/>
    </row>
    <row r="25745" spans="1:9" x14ac:dyDescent="0.25">
      <c r="A25745" s="515">
        <v>3770</v>
      </c>
      <c r="B25745" s="515" t="s">
        <v>420</v>
      </c>
      <c r="C25745" s="52">
        <v>447563.73073867301</v>
      </c>
      <c r="D25745" s="56">
        <v>9.0050481484401604E-2</v>
      </c>
      <c r="E25745" s="224" t="s">
        <v>2</v>
      </c>
      <c r="G25745" s="52"/>
      <c r="H25745" s="56"/>
      <c r="I25745" s="224"/>
    </row>
    <row r="25746" spans="1:9" x14ac:dyDescent="0.25">
      <c r="A25746" s="515">
        <v>12063</v>
      </c>
      <c r="B25746" s="515" t="s">
        <v>609</v>
      </c>
      <c r="C25746" s="52">
        <v>307260.25789192203</v>
      </c>
      <c r="D25746" s="56">
        <v>6.7566162270513194E-2</v>
      </c>
      <c r="E25746" s="224" t="s">
        <v>2</v>
      </c>
      <c r="G25746" s="52"/>
      <c r="H25746" s="56"/>
      <c r="I25746" s="224"/>
    </row>
    <row r="25747" spans="1:9" x14ac:dyDescent="0.25">
      <c r="A25747" s="515">
        <v>69121</v>
      </c>
      <c r="C25747" s="52">
        <v>155781.625</v>
      </c>
      <c r="D25747" s="56">
        <v>0</v>
      </c>
      <c r="E25747" s="224" t="s">
        <v>2</v>
      </c>
      <c r="G25747" s="52"/>
      <c r="H25747" s="56"/>
      <c r="I25747" s="224"/>
    </row>
    <row r="25748" spans="1:9" x14ac:dyDescent="0.25">
      <c r="A25748" s="515">
        <v>27943</v>
      </c>
      <c r="B25748" s="515" t="s">
        <v>407</v>
      </c>
      <c r="C25748" s="52">
        <v>432909.95777795097</v>
      </c>
      <c r="D25748" s="56">
        <v>0.11595010179437337</v>
      </c>
      <c r="E25748" s="224" t="s">
        <v>2</v>
      </c>
      <c r="G25748" s="52"/>
      <c r="H25748" s="56"/>
      <c r="I25748" s="224"/>
    </row>
    <row r="25749" spans="1:9" x14ac:dyDescent="0.25">
      <c r="A25749" s="515">
        <v>62375</v>
      </c>
      <c r="C25749" s="52">
        <v>105502.253981709</v>
      </c>
      <c r="D25749" s="56">
        <v>0.28961518924510699</v>
      </c>
      <c r="E25749" s="224" t="s">
        <v>2</v>
      </c>
      <c r="G25749" s="52"/>
      <c r="H25749" s="56"/>
      <c r="I25749" s="224"/>
    </row>
    <row r="25750" spans="1:9" x14ac:dyDescent="0.25">
      <c r="A25750" s="515">
        <v>40958</v>
      </c>
      <c r="B25750" s="515" t="s">
        <v>687</v>
      </c>
      <c r="C25750" s="52">
        <v>72702.003353741107</v>
      </c>
      <c r="D25750" s="56">
        <v>0.26160519858987202</v>
      </c>
      <c r="E25750" s="224" t="s">
        <v>2</v>
      </c>
      <c r="G25750" s="52"/>
      <c r="H25750" s="56"/>
      <c r="I25750" s="224"/>
    </row>
    <row r="25751" spans="1:9" x14ac:dyDescent="0.25">
      <c r="A25751" s="515">
        <v>57021</v>
      </c>
      <c r="B25751" s="515" t="s">
        <v>579</v>
      </c>
      <c r="C25751" s="52">
        <v>319981.65625</v>
      </c>
      <c r="D25751" s="56">
        <v>0</v>
      </c>
      <c r="E25751" s="224" t="s">
        <v>2</v>
      </c>
      <c r="G25751" s="52"/>
      <c r="H25751" s="56"/>
      <c r="I25751" s="224"/>
    </row>
    <row r="25752" spans="1:9" x14ac:dyDescent="0.25">
      <c r="A25752" s="515">
        <v>57775</v>
      </c>
      <c r="B25752" s="515" t="s">
        <v>854</v>
      </c>
      <c r="C25752" s="52">
        <v>260499.44</v>
      </c>
      <c r="D25752" s="56">
        <v>0</v>
      </c>
      <c r="E25752" s="224" t="s">
        <v>2</v>
      </c>
      <c r="G25752" s="52"/>
      <c r="H25752" s="56"/>
      <c r="I25752" s="224"/>
    </row>
    <row r="25753" spans="1:9" x14ac:dyDescent="0.25">
      <c r="A25753" s="515">
        <v>96071</v>
      </c>
      <c r="B25753" s="515" t="s">
        <v>514</v>
      </c>
      <c r="C25753" s="52">
        <v>255526.44152008</v>
      </c>
      <c r="D25753" s="56">
        <v>-9.0084704026332837E-5</v>
      </c>
      <c r="E25753" s="224" t="s">
        <v>2</v>
      </c>
      <c r="G25753" s="52"/>
      <c r="H25753" s="56"/>
      <c r="I25753" s="224"/>
    </row>
    <row r="25754" spans="1:9" x14ac:dyDescent="0.25">
      <c r="A25754" s="515">
        <v>79256</v>
      </c>
      <c r="C25754" s="52">
        <v>71424.069451955394</v>
      </c>
      <c r="D25754" s="56">
        <v>0</v>
      </c>
      <c r="E25754" s="224" t="s">
        <v>2</v>
      </c>
      <c r="G25754" s="52"/>
      <c r="H25754" s="56"/>
      <c r="I25754" s="224"/>
    </row>
    <row r="25755" spans="1:9" x14ac:dyDescent="0.25">
      <c r="A25755" s="515">
        <v>52543</v>
      </c>
      <c r="B25755" s="515" t="s">
        <v>477</v>
      </c>
      <c r="C25755" s="52">
        <v>197909.90806556001</v>
      </c>
      <c r="D25755" s="56">
        <v>0</v>
      </c>
      <c r="E25755" s="224" t="s">
        <v>2</v>
      </c>
      <c r="G25755" s="52"/>
      <c r="H25755" s="56"/>
      <c r="I25755" s="224"/>
    </row>
    <row r="25756" spans="1:9" x14ac:dyDescent="0.25">
      <c r="A25756" s="515">
        <v>21914</v>
      </c>
      <c r="B25756" s="515" t="s">
        <v>294</v>
      </c>
      <c r="C25756" s="52">
        <v>271471.10763936199</v>
      </c>
      <c r="D25756" s="56">
        <v>3.8441179915453955E-2</v>
      </c>
      <c r="E25756" s="224" t="s">
        <v>2</v>
      </c>
      <c r="G25756" s="52"/>
      <c r="H25756" s="56"/>
      <c r="I25756" s="224"/>
    </row>
    <row r="25757" spans="1:9" x14ac:dyDescent="0.25">
      <c r="A25757" s="515">
        <v>19435</v>
      </c>
      <c r="B25757" s="515" t="s">
        <v>294</v>
      </c>
      <c r="C25757" s="52">
        <v>342192.11439420399</v>
      </c>
      <c r="D25757" s="56">
        <v>9.1316101693890178E-2</v>
      </c>
      <c r="E25757" s="224" t="s">
        <v>2</v>
      </c>
      <c r="G25757" s="52"/>
      <c r="H25757" s="56"/>
      <c r="I25757" s="224"/>
    </row>
    <row r="25758" spans="1:9" x14ac:dyDescent="0.25">
      <c r="A25758" s="515">
        <v>85640</v>
      </c>
      <c r="B25758" s="515" t="s">
        <v>720</v>
      </c>
      <c r="C25758" s="52">
        <v>511950.88244100002</v>
      </c>
      <c r="D25758" s="56">
        <v>5.5616374396495138E-2</v>
      </c>
      <c r="E25758" s="224" t="s">
        <v>2</v>
      </c>
      <c r="G25758" s="52"/>
      <c r="H25758" s="56"/>
      <c r="I25758" s="224"/>
    </row>
    <row r="25759" spans="1:9" x14ac:dyDescent="0.25">
      <c r="A25759" s="515">
        <v>83311</v>
      </c>
      <c r="B25759" s="515" t="s">
        <v>719</v>
      </c>
      <c r="C25759" s="52">
        <v>352036.047753238</v>
      </c>
      <c r="D25759" s="56">
        <v>9.0200021642184075E-2</v>
      </c>
      <c r="E25759" s="224" t="s">
        <v>2</v>
      </c>
      <c r="G25759" s="52"/>
      <c r="H25759" s="56"/>
      <c r="I25759" s="224"/>
    </row>
    <row r="25760" spans="1:9" x14ac:dyDescent="0.25">
      <c r="A25760" s="515">
        <v>74546</v>
      </c>
      <c r="B25760" s="515" t="s">
        <v>451</v>
      </c>
      <c r="C25760" s="52">
        <v>61056.314977702597</v>
      </c>
      <c r="D25760" s="56">
        <v>0.16173170509568743</v>
      </c>
      <c r="E25760" s="224" t="s">
        <v>2</v>
      </c>
      <c r="G25760" s="52"/>
      <c r="H25760" s="56"/>
      <c r="I25760" s="224"/>
    </row>
    <row r="25761" spans="1:9" x14ac:dyDescent="0.25">
      <c r="A25761" s="515">
        <v>60973</v>
      </c>
      <c r="C25761" s="52">
        <v>72901.184832444997</v>
      </c>
      <c r="D25761" s="56">
        <v>0</v>
      </c>
      <c r="E25761" s="224" t="s">
        <v>2</v>
      </c>
      <c r="G25761" s="52"/>
      <c r="H25761" s="56"/>
      <c r="I25761" s="224"/>
    </row>
    <row r="25762" spans="1:9" x14ac:dyDescent="0.25">
      <c r="A25762" s="515">
        <v>58061</v>
      </c>
      <c r="B25762" s="515" t="s">
        <v>548</v>
      </c>
      <c r="C25762" s="52">
        <v>180727.61111111101</v>
      </c>
      <c r="D25762" s="56">
        <v>0</v>
      </c>
      <c r="E25762" s="224" t="s">
        <v>2</v>
      </c>
      <c r="G25762" s="52"/>
      <c r="H25762" s="56"/>
      <c r="I25762" s="224"/>
    </row>
    <row r="25763" spans="1:9" x14ac:dyDescent="0.25">
      <c r="A25763" s="515">
        <v>99605</v>
      </c>
      <c r="C25763" s="52">
        <v>256080.22467054299</v>
      </c>
      <c r="D25763" s="56">
        <v>5.8674632445743252E-2</v>
      </c>
      <c r="E25763" s="224" t="s">
        <v>2</v>
      </c>
      <c r="G25763" s="52"/>
      <c r="H25763" s="56"/>
      <c r="I25763" s="224"/>
    </row>
    <row r="25764" spans="1:9" x14ac:dyDescent="0.25">
      <c r="A25764" s="515">
        <v>86320</v>
      </c>
      <c r="B25764" s="515" t="s">
        <v>332</v>
      </c>
      <c r="C25764" s="52">
        <v>220504.43772558001</v>
      </c>
      <c r="D25764" s="56">
        <v>7.9194199766423473E-2</v>
      </c>
      <c r="E25764" s="224" t="s">
        <v>2</v>
      </c>
      <c r="G25764" s="52"/>
      <c r="H25764" s="56"/>
      <c r="I25764" s="224"/>
    </row>
    <row r="25765" spans="1:9" x14ac:dyDescent="0.25">
      <c r="A25765" s="515">
        <v>67360</v>
      </c>
      <c r="C25765" s="52">
        <v>123052.80853079099</v>
      </c>
      <c r="D25765" s="56">
        <v>0.17273748873697023</v>
      </c>
      <c r="E25765" s="224" t="s">
        <v>2</v>
      </c>
      <c r="G25765" s="52"/>
      <c r="H25765" s="56"/>
      <c r="I25765" s="224"/>
    </row>
    <row r="25766" spans="1:9" x14ac:dyDescent="0.25">
      <c r="A25766" s="515">
        <v>89430</v>
      </c>
      <c r="B25766" s="515" t="s">
        <v>718</v>
      </c>
      <c r="C25766" s="52">
        <v>515248.28277492401</v>
      </c>
      <c r="D25766" s="56">
        <v>-2.3931873192522854E-3</v>
      </c>
      <c r="E25766" s="224" t="s">
        <v>2</v>
      </c>
      <c r="G25766" s="52"/>
      <c r="H25766" s="56"/>
      <c r="I25766" s="224"/>
    </row>
    <row r="25767" spans="1:9" x14ac:dyDescent="0.25">
      <c r="A25767" s="515">
        <v>12855</v>
      </c>
      <c r="C25767" s="52">
        <v>182650.49097991601</v>
      </c>
      <c r="D25767" s="56">
        <v>0.11065500092084186</v>
      </c>
      <c r="E25767" s="224" t="s">
        <v>2</v>
      </c>
      <c r="G25767" s="52"/>
      <c r="H25767" s="56"/>
      <c r="I25767" s="224"/>
    </row>
    <row r="25768" spans="1:9" x14ac:dyDescent="0.25">
      <c r="A25768" s="515">
        <v>67065</v>
      </c>
      <c r="C25768" s="52">
        <v>98172.121865650901</v>
      </c>
      <c r="D25768" s="56">
        <v>0.23956856286257636</v>
      </c>
      <c r="E25768" s="224" t="s">
        <v>2</v>
      </c>
      <c r="G25768" s="52"/>
      <c r="H25768" s="56"/>
      <c r="I25768" s="224"/>
    </row>
    <row r="25769" spans="1:9" x14ac:dyDescent="0.25">
      <c r="A25769" s="515">
        <v>67103</v>
      </c>
      <c r="B25769" s="515" t="s">
        <v>485</v>
      </c>
      <c r="C25769" s="52">
        <v>173780.24956745</v>
      </c>
      <c r="D25769" s="56">
        <v>0.13355794018986114</v>
      </c>
      <c r="E25769" s="224" t="s">
        <v>2</v>
      </c>
      <c r="G25769" s="52"/>
      <c r="H25769" s="56"/>
      <c r="I25769" s="224"/>
    </row>
    <row r="25770" spans="1:9" x14ac:dyDescent="0.25">
      <c r="A25770" s="515">
        <v>52164</v>
      </c>
      <c r="C25770" s="52">
        <v>163240.904029197</v>
      </c>
      <c r="D25770" s="56">
        <v>0.21329024093695595</v>
      </c>
      <c r="E25770" s="224" t="s">
        <v>2</v>
      </c>
      <c r="G25770" s="52"/>
      <c r="H25770" s="56"/>
      <c r="I25770" s="224"/>
    </row>
    <row r="25771" spans="1:9" x14ac:dyDescent="0.25">
      <c r="A25771" s="515">
        <v>68365</v>
      </c>
      <c r="C25771" s="52">
        <v>137558.606077768</v>
      </c>
      <c r="D25771" s="56">
        <v>0.11702300830621232</v>
      </c>
      <c r="E25771" s="224" t="s">
        <v>2</v>
      </c>
      <c r="G25771" s="52"/>
      <c r="H25771" s="56"/>
      <c r="I25771" s="224"/>
    </row>
    <row r="25772" spans="1:9" x14ac:dyDescent="0.25">
      <c r="A25772" s="515">
        <v>54212</v>
      </c>
      <c r="C25772" s="52">
        <v>413812.96628176799</v>
      </c>
      <c r="D25772" s="56">
        <v>0.16491016797249017</v>
      </c>
      <c r="E25772" s="224" t="s">
        <v>2</v>
      </c>
      <c r="G25772" s="52"/>
      <c r="H25772" s="56"/>
      <c r="I25772" s="224"/>
    </row>
    <row r="25773" spans="1:9" x14ac:dyDescent="0.25">
      <c r="A25773" s="515">
        <v>67653</v>
      </c>
      <c r="C25773" s="52">
        <v>80355.216640999293</v>
      </c>
      <c r="D25773" s="56">
        <v>0.20628113911764542</v>
      </c>
      <c r="E25773" s="224" t="s">
        <v>2</v>
      </c>
      <c r="G25773" s="52"/>
      <c r="H25773" s="56"/>
      <c r="I25773" s="224"/>
    </row>
    <row r="25774" spans="1:9" x14ac:dyDescent="0.25">
      <c r="A25774" s="515">
        <v>17318</v>
      </c>
      <c r="B25774" s="515" t="s">
        <v>509</v>
      </c>
      <c r="C25774" s="52">
        <v>174741.94540488999</v>
      </c>
      <c r="D25774" s="56">
        <v>0.10365614380483287</v>
      </c>
      <c r="E25774" s="224" t="s">
        <v>2</v>
      </c>
      <c r="G25774" s="52"/>
      <c r="H25774" s="56"/>
      <c r="I25774" s="224"/>
    </row>
    <row r="25775" spans="1:9" x14ac:dyDescent="0.25">
      <c r="A25775" s="515">
        <v>17030</v>
      </c>
      <c r="B25775" s="515" t="s">
        <v>428</v>
      </c>
      <c r="C25775" s="52">
        <v>159844.38325486999</v>
      </c>
      <c r="D25775" s="56">
        <v>8.9594221656790762E-2</v>
      </c>
      <c r="E25775" s="224" t="s">
        <v>2</v>
      </c>
      <c r="G25775" s="52"/>
      <c r="H25775" s="56"/>
      <c r="I25775" s="224"/>
    </row>
    <row r="25776" spans="1:9" x14ac:dyDescent="0.25">
      <c r="A25776" s="515">
        <v>52560</v>
      </c>
      <c r="C25776" s="52">
        <v>133268.12945496399</v>
      </c>
      <c r="D25776" s="56">
        <v>0</v>
      </c>
      <c r="E25776" s="224" t="s">
        <v>2</v>
      </c>
      <c r="G25776" s="52"/>
      <c r="H25776" s="56"/>
      <c r="I25776" s="224"/>
    </row>
    <row r="25777" spans="1:9" x14ac:dyDescent="0.25">
      <c r="A25777" s="515">
        <v>21538</v>
      </c>
      <c r="C25777" s="52">
        <v>56450.151518739003</v>
      </c>
      <c r="D25777" s="56">
        <v>0</v>
      </c>
      <c r="E25777" s="224" t="s">
        <v>2</v>
      </c>
      <c r="G25777" s="52"/>
      <c r="H25777" s="56"/>
      <c r="I25777" s="224"/>
    </row>
    <row r="25778" spans="1:9" x14ac:dyDescent="0.25">
      <c r="A25778" s="515">
        <v>98614</v>
      </c>
      <c r="C25778" s="52">
        <v>375025.58393783902</v>
      </c>
      <c r="D25778" s="56">
        <v>5.1674436432077392E-2</v>
      </c>
      <c r="E25778" s="224" t="s">
        <v>2</v>
      </c>
      <c r="G25778" s="52"/>
      <c r="H25778" s="56"/>
      <c r="I25778" s="224"/>
    </row>
    <row r="25779" spans="1:9" x14ac:dyDescent="0.25">
      <c r="A25779" s="515">
        <v>51650</v>
      </c>
      <c r="C25779" s="52">
        <v>91462.554238587298</v>
      </c>
      <c r="D25779" s="56">
        <v>0.20861994175434098</v>
      </c>
      <c r="E25779" s="224" t="s">
        <v>2</v>
      </c>
      <c r="G25779" s="52"/>
      <c r="H25779" s="56"/>
      <c r="I25779" s="224"/>
    </row>
    <row r="25780" spans="1:9" x14ac:dyDescent="0.25">
      <c r="A25780" s="515">
        <v>67227</v>
      </c>
      <c r="B25780" s="515" t="s">
        <v>485</v>
      </c>
      <c r="C25780" s="52">
        <v>410393.619284335</v>
      </c>
      <c r="D25780" s="56">
        <v>0.10368729933092841</v>
      </c>
      <c r="E25780" s="224" t="s">
        <v>2</v>
      </c>
      <c r="G25780" s="52"/>
      <c r="H25780" s="56"/>
      <c r="I25780" s="224"/>
    </row>
    <row r="25781" spans="1:9" x14ac:dyDescent="0.25">
      <c r="A25781" s="515">
        <v>68431</v>
      </c>
      <c r="C25781" s="52">
        <v>119262.36681648099</v>
      </c>
      <c r="D25781" s="56">
        <v>5.2214080971147332E-2</v>
      </c>
      <c r="E25781" s="224" t="s">
        <v>2</v>
      </c>
      <c r="G25781" s="52"/>
      <c r="H25781" s="56"/>
      <c r="I25781" s="224"/>
    </row>
    <row r="25782" spans="1:9" x14ac:dyDescent="0.25">
      <c r="A25782" s="515">
        <v>63460</v>
      </c>
      <c r="C25782" s="52">
        <v>144742.71111111101</v>
      </c>
      <c r="D25782" s="56">
        <v>0</v>
      </c>
      <c r="E25782" s="224" t="s">
        <v>2</v>
      </c>
      <c r="G25782" s="52"/>
      <c r="H25782" s="56"/>
      <c r="I25782" s="224"/>
    </row>
    <row r="25783" spans="1:9" x14ac:dyDescent="0.25">
      <c r="A25783" s="515">
        <v>96015</v>
      </c>
      <c r="C25783" s="52">
        <v>189438.64993359</v>
      </c>
      <c r="D25783" s="56">
        <v>-2.4354331304997361E-2</v>
      </c>
      <c r="E25783" s="224" t="s">
        <v>2</v>
      </c>
      <c r="G25783" s="52"/>
      <c r="H25783" s="56"/>
      <c r="I25783" s="224"/>
    </row>
    <row r="25784" spans="1:9" x14ac:dyDescent="0.25">
      <c r="A25784" s="515">
        <v>56060</v>
      </c>
      <c r="C25784" s="52">
        <v>157354.731409734</v>
      </c>
      <c r="D25784" s="56">
        <v>0.17674807190946962</v>
      </c>
      <c r="E25784" s="224" t="s">
        <v>2</v>
      </c>
      <c r="G25784" s="52"/>
      <c r="H25784" s="56"/>
      <c r="I25784" s="224"/>
    </row>
    <row r="25785" spans="1:9" x14ac:dyDescent="0.25">
      <c r="A25785" s="515">
        <v>51523</v>
      </c>
      <c r="C25785" s="52">
        <v>110922.574217099</v>
      </c>
      <c r="D25785" s="56">
        <v>2.3385363582258442E-2</v>
      </c>
      <c r="E25785" s="224" t="s">
        <v>2</v>
      </c>
      <c r="G25785" s="52"/>
      <c r="H25785" s="56"/>
      <c r="I25785" s="224"/>
    </row>
    <row r="25786" spans="1:9" x14ac:dyDescent="0.25">
      <c r="A25786" s="515">
        <v>54839</v>
      </c>
      <c r="C25786" s="52">
        <v>165410.740474775</v>
      </c>
      <c r="D25786" s="56">
        <v>1.9136412284109429E-2</v>
      </c>
      <c r="E25786" s="224" t="s">
        <v>2</v>
      </c>
      <c r="G25786" s="52"/>
      <c r="H25786" s="56"/>
      <c r="I25786" s="224"/>
    </row>
    <row r="25787" spans="1:9" x14ac:dyDescent="0.25">
      <c r="A25787" s="515">
        <v>51343</v>
      </c>
      <c r="B25787" s="515" t="s">
        <v>426</v>
      </c>
      <c r="C25787" s="52">
        <v>163022.093655345</v>
      </c>
      <c r="D25787" s="56">
        <v>0</v>
      </c>
      <c r="E25787" s="224" t="s">
        <v>2</v>
      </c>
      <c r="G25787" s="52"/>
      <c r="H25787" s="56"/>
      <c r="I25787" s="224"/>
    </row>
    <row r="25788" spans="1:9" x14ac:dyDescent="0.25">
      <c r="A25788" s="515">
        <v>59462</v>
      </c>
      <c r="C25788" s="52">
        <v>317541.96296296298</v>
      </c>
      <c r="D25788" s="56">
        <v>0</v>
      </c>
      <c r="E25788" s="224" t="s">
        <v>2</v>
      </c>
      <c r="G25788" s="52"/>
      <c r="H25788" s="56"/>
      <c r="I25788" s="224"/>
    </row>
    <row r="25789" spans="1:9" x14ac:dyDescent="0.25">
      <c r="A25789" s="515">
        <v>59739</v>
      </c>
      <c r="C25789" s="52">
        <v>225508.143424446</v>
      </c>
      <c r="D25789" s="56">
        <v>6.3608642747600266E-2</v>
      </c>
      <c r="E25789" s="224" t="s">
        <v>2</v>
      </c>
      <c r="G25789" s="52"/>
      <c r="H25789" s="56"/>
      <c r="I25789" s="224"/>
    </row>
    <row r="25790" spans="1:9" x14ac:dyDescent="0.25">
      <c r="A25790" s="515">
        <v>64741</v>
      </c>
      <c r="C25790" s="52">
        <v>145520.01980592401</v>
      </c>
      <c r="D25790" s="56">
        <v>-9.5139956824991462E-2</v>
      </c>
      <c r="E25790" s="224" t="s">
        <v>2</v>
      </c>
      <c r="G25790" s="52"/>
      <c r="H25790" s="56"/>
      <c r="I25790" s="224"/>
    </row>
    <row r="25791" spans="1:9" x14ac:dyDescent="0.25">
      <c r="A25791" s="515">
        <v>42715</v>
      </c>
      <c r="C25791" s="52">
        <v>116493.837775797</v>
      </c>
      <c r="D25791" s="56">
        <v>0.17119461379401454</v>
      </c>
      <c r="E25791" s="224" t="s">
        <v>2</v>
      </c>
      <c r="G25791" s="52"/>
      <c r="H25791" s="56"/>
      <c r="I25791" s="224"/>
    </row>
    <row r="25792" spans="1:9" x14ac:dyDescent="0.25">
      <c r="A25792" s="515">
        <v>52257</v>
      </c>
      <c r="B25792" s="515" t="s">
        <v>404</v>
      </c>
      <c r="C25792" s="52">
        <v>187128.55708296699</v>
      </c>
      <c r="D25792" s="56">
        <v>0.12297935781303609</v>
      </c>
      <c r="E25792" s="224" t="s">
        <v>2</v>
      </c>
      <c r="G25792" s="52"/>
      <c r="H25792" s="56"/>
      <c r="I25792" s="224"/>
    </row>
    <row r="25793" spans="1:9" x14ac:dyDescent="0.25">
      <c r="A25793" s="515">
        <v>61735</v>
      </c>
      <c r="C25793" s="52">
        <v>138920.18</v>
      </c>
      <c r="D25793" s="56">
        <v>0</v>
      </c>
      <c r="E25793" s="224" t="s">
        <v>2</v>
      </c>
      <c r="G25793" s="52"/>
      <c r="H25793" s="56"/>
      <c r="I25793" s="224"/>
    </row>
    <row r="25794" spans="1:9" x14ac:dyDescent="0.25">
      <c r="A25794" s="515">
        <v>68014</v>
      </c>
      <c r="C25794" s="52">
        <v>178806.601670451</v>
      </c>
      <c r="D25794" s="56">
        <v>0.11961641897914777</v>
      </c>
      <c r="E25794" s="224" t="s">
        <v>2</v>
      </c>
      <c r="G25794" s="52"/>
      <c r="H25794" s="56"/>
      <c r="I25794" s="224"/>
    </row>
    <row r="25795" spans="1:9" x14ac:dyDescent="0.25">
      <c r="A25795" s="515">
        <v>12454</v>
      </c>
      <c r="C25795" s="52">
        <v>403757.15826459398</v>
      </c>
      <c r="D25795" s="56">
        <v>0.13813480535805106</v>
      </c>
      <c r="E25795" s="224" t="s">
        <v>2</v>
      </c>
      <c r="G25795" s="52"/>
      <c r="H25795" s="56"/>
      <c r="I25795" s="224"/>
    </row>
    <row r="25796" spans="1:9" x14ac:dyDescent="0.25">
      <c r="A25796" s="515">
        <v>13614</v>
      </c>
      <c r="B25796" s="515" t="s">
        <v>511</v>
      </c>
      <c r="C25796" s="52">
        <v>96782.692593266605</v>
      </c>
      <c r="D25796" s="56">
        <v>4.9861551678198258E-2</v>
      </c>
      <c r="E25796" s="224" t="s">
        <v>2</v>
      </c>
      <c r="G25796" s="52"/>
      <c r="H25796" s="56"/>
      <c r="I25796" s="224"/>
    </row>
    <row r="25797" spans="1:9" x14ac:dyDescent="0.25">
      <c r="A25797" s="515">
        <v>16160</v>
      </c>
      <c r="B25797" s="515" t="s">
        <v>652</v>
      </c>
      <c r="C25797" s="52">
        <v>103186.64906497901</v>
      </c>
      <c r="D25797" s="56">
        <v>7.1433546565942835E-2</v>
      </c>
      <c r="E25797" s="224" t="s">
        <v>2</v>
      </c>
      <c r="G25797" s="52"/>
      <c r="H25797" s="56"/>
      <c r="I25797" s="224"/>
    </row>
    <row r="25798" spans="1:9" x14ac:dyDescent="0.25">
      <c r="A25798" s="515">
        <v>49903</v>
      </c>
      <c r="C25798" s="52">
        <v>95270.160164128596</v>
      </c>
      <c r="D25798" s="56">
        <v>8.0993581395376463E-3</v>
      </c>
      <c r="E25798" s="224" t="s">
        <v>2</v>
      </c>
      <c r="G25798" s="52"/>
      <c r="H25798" s="56"/>
      <c r="I25798" s="224"/>
    </row>
    <row r="25799" spans="1:9" x14ac:dyDescent="0.25">
      <c r="A25799" s="515">
        <v>69211</v>
      </c>
      <c r="C25799" s="52">
        <v>106639.686276678</v>
      </c>
      <c r="D25799" s="56">
        <v>0.13301277396403866</v>
      </c>
      <c r="E25799" s="224" t="s">
        <v>2</v>
      </c>
      <c r="G25799" s="52"/>
      <c r="H25799" s="56"/>
      <c r="I25799" s="224"/>
    </row>
    <row r="25800" spans="1:9" x14ac:dyDescent="0.25">
      <c r="A25800" s="515">
        <v>51572</v>
      </c>
      <c r="C25800" s="52">
        <v>100285.702458156</v>
      </c>
      <c r="D25800" s="56">
        <v>0.10665703665191487</v>
      </c>
      <c r="E25800" s="224" t="s">
        <v>2</v>
      </c>
      <c r="G25800" s="52"/>
      <c r="H25800" s="56"/>
      <c r="I25800" s="224"/>
    </row>
    <row r="25801" spans="1:9" x14ac:dyDescent="0.25">
      <c r="A25801" s="515">
        <v>67468</v>
      </c>
      <c r="C25801" s="52">
        <v>102380.55398380299</v>
      </c>
      <c r="D25801" s="56">
        <v>8.4902576997817614E-2</v>
      </c>
      <c r="E25801" s="224" t="s">
        <v>2</v>
      </c>
      <c r="G25801" s="52"/>
      <c r="H25801" s="56"/>
      <c r="I25801" s="224"/>
    </row>
    <row r="25802" spans="1:9" x14ac:dyDescent="0.25">
      <c r="A25802" s="515">
        <v>78147</v>
      </c>
      <c r="B25802" s="515" t="s">
        <v>717</v>
      </c>
      <c r="C25802" s="52">
        <v>234532.32121061499</v>
      </c>
      <c r="D25802" s="56">
        <v>7.7223110011322732E-2</v>
      </c>
      <c r="E25802" s="224" t="s">
        <v>2</v>
      </c>
      <c r="G25802" s="52"/>
      <c r="H25802" s="56"/>
      <c r="I25802" s="224"/>
    </row>
    <row r="25803" spans="1:9" x14ac:dyDescent="0.25">
      <c r="A25803" s="515">
        <v>67057</v>
      </c>
      <c r="C25803" s="52">
        <v>62714.718269755002</v>
      </c>
      <c r="D25803" s="56">
        <v>0.10089059739919946</v>
      </c>
      <c r="E25803" s="224" t="s">
        <v>2</v>
      </c>
      <c r="G25803" s="52"/>
      <c r="H25803" s="56"/>
      <c r="I25803" s="224"/>
    </row>
    <row r="25804" spans="1:9" x14ac:dyDescent="0.25">
      <c r="A25804" s="515">
        <v>67442</v>
      </c>
      <c r="B25804" s="515" t="s">
        <v>715</v>
      </c>
      <c r="C25804" s="52">
        <v>212558.88943084699</v>
      </c>
      <c r="D25804" s="56">
        <v>-7.7210477869115749E-3</v>
      </c>
      <c r="E25804" s="224" t="s">
        <v>2</v>
      </c>
      <c r="G25804" s="52"/>
      <c r="H25804" s="56"/>
      <c r="I25804" s="224"/>
    </row>
    <row r="25805" spans="1:9" x14ac:dyDescent="0.25">
      <c r="A25805" s="515">
        <v>64438</v>
      </c>
      <c r="C25805" s="52">
        <v>119054.234042553</v>
      </c>
      <c r="D25805" s="56">
        <v>0</v>
      </c>
      <c r="E25805" s="224" t="s">
        <v>2</v>
      </c>
      <c r="G25805" s="52"/>
      <c r="H25805" s="56"/>
      <c r="I25805" s="224"/>
    </row>
    <row r="25806" spans="1:9" x14ac:dyDescent="0.25">
      <c r="A25806" s="515">
        <v>82922</v>
      </c>
      <c r="C25806" s="52">
        <v>561581.97938233695</v>
      </c>
      <c r="D25806" s="56">
        <v>0.14170752519932828</v>
      </c>
      <c r="E25806" s="224" t="s">
        <v>2</v>
      </c>
      <c r="G25806" s="52"/>
      <c r="H25806" s="56"/>
      <c r="I25806" s="224"/>
    </row>
    <row r="25807" spans="1:9" x14ac:dyDescent="0.25">
      <c r="A25807" s="515">
        <v>99371</v>
      </c>
      <c r="B25807" s="515" t="s">
        <v>716</v>
      </c>
      <c r="C25807" s="52">
        <v>155812.25626098301</v>
      </c>
      <c r="D25807" s="56">
        <v>0.20291261554586923</v>
      </c>
      <c r="E25807" s="224" t="s">
        <v>2</v>
      </c>
      <c r="G25807" s="52"/>
      <c r="H25807" s="56"/>
      <c r="I25807" s="224"/>
    </row>
    <row r="25808" spans="1:9" x14ac:dyDescent="0.25">
      <c r="A25808" s="515">
        <v>68321</v>
      </c>
      <c r="C25808" s="52">
        <v>153715.425925925</v>
      </c>
      <c r="D25808" s="56">
        <v>0</v>
      </c>
      <c r="E25808" s="224" t="s">
        <v>2</v>
      </c>
      <c r="G25808" s="52"/>
      <c r="H25808" s="56"/>
      <c r="I25808" s="224"/>
    </row>
    <row r="25809" spans="1:9" x14ac:dyDescent="0.25">
      <c r="A25809" s="515">
        <v>38913</v>
      </c>
      <c r="C25809" s="52">
        <v>120255.64825343501</v>
      </c>
      <c r="D25809" s="56">
        <v>-1.3352000531623149E-2</v>
      </c>
      <c r="E25809" s="224" t="s">
        <v>2</v>
      </c>
      <c r="G25809" s="52"/>
      <c r="H25809" s="56"/>
      <c r="I25809" s="224"/>
    </row>
    <row r="25810" spans="1:9" x14ac:dyDescent="0.25">
      <c r="A25810" s="515">
        <v>66873</v>
      </c>
      <c r="C25810" s="52">
        <v>104735.29972937499</v>
      </c>
      <c r="D25810" s="56">
        <v>0.20591322001484608</v>
      </c>
      <c r="E25810" s="224" t="s">
        <v>2</v>
      </c>
      <c r="G25810" s="52"/>
      <c r="H25810" s="56"/>
      <c r="I25810" s="224"/>
    </row>
    <row r="25811" spans="1:9" x14ac:dyDescent="0.25">
      <c r="A25811" s="515">
        <v>84086</v>
      </c>
      <c r="C25811" s="52">
        <v>288922.28571428498</v>
      </c>
      <c r="D25811" s="56">
        <v>0</v>
      </c>
      <c r="E25811" s="224" t="s">
        <v>2</v>
      </c>
      <c r="G25811" s="52"/>
      <c r="H25811" s="56"/>
      <c r="I25811" s="224"/>
    </row>
    <row r="25812" spans="1:9" x14ac:dyDescent="0.25">
      <c r="A25812" s="515">
        <v>17029</v>
      </c>
      <c r="B25812" s="515" t="s">
        <v>714</v>
      </c>
      <c r="C25812" s="52">
        <v>129619.9161037</v>
      </c>
      <c r="D25812" s="56">
        <v>0</v>
      </c>
      <c r="E25812" s="224" t="s">
        <v>2</v>
      </c>
      <c r="G25812" s="52"/>
      <c r="H25812" s="56"/>
      <c r="I25812" s="224"/>
    </row>
    <row r="25813" spans="1:9" x14ac:dyDescent="0.25">
      <c r="A25813" s="515">
        <v>49835</v>
      </c>
      <c r="B25813" s="515" t="s">
        <v>713</v>
      </c>
      <c r="C25813" s="52">
        <v>144934.014171691</v>
      </c>
      <c r="D25813" s="56">
        <v>8.2462251181758289E-2</v>
      </c>
      <c r="E25813" s="224" t="s">
        <v>2</v>
      </c>
      <c r="G25813" s="52"/>
      <c r="H25813" s="56"/>
      <c r="I25813" s="224"/>
    </row>
    <row r="25814" spans="1:9" x14ac:dyDescent="0.25">
      <c r="A25814" s="515">
        <v>16228</v>
      </c>
      <c r="B25814" s="515" t="s">
        <v>297</v>
      </c>
      <c r="C25814" s="52">
        <v>107832.950189293</v>
      </c>
      <c r="D25814" s="56">
        <v>0.17564791095896526</v>
      </c>
      <c r="E25814" s="224" t="s">
        <v>2</v>
      </c>
      <c r="G25814" s="52"/>
      <c r="H25814" s="56"/>
      <c r="I25814" s="224"/>
    </row>
    <row r="25815" spans="1:9" x14ac:dyDescent="0.25">
      <c r="A25815" s="515">
        <v>68834</v>
      </c>
      <c r="B25815" s="515" t="s">
        <v>680</v>
      </c>
      <c r="C25815" s="52">
        <v>225757.277820919</v>
      </c>
      <c r="D25815" s="56">
        <v>-7.6249671705411748E-2</v>
      </c>
      <c r="E25815" s="224" t="s">
        <v>2</v>
      </c>
      <c r="G25815" s="52"/>
      <c r="H25815" s="56"/>
      <c r="I25815" s="224"/>
    </row>
    <row r="25816" spans="1:9" x14ac:dyDescent="0.25">
      <c r="A25816" s="515">
        <v>68441</v>
      </c>
      <c r="C25816" s="52">
        <v>218617.10776865101</v>
      </c>
      <c r="D25816" s="56">
        <v>0.31658953467784318</v>
      </c>
      <c r="E25816" s="224" t="s">
        <v>2</v>
      </c>
      <c r="G25816" s="52"/>
      <c r="H25816" s="56"/>
      <c r="I25816" s="224"/>
    </row>
    <row r="25817" spans="1:9" x14ac:dyDescent="0.25">
      <c r="A25817" s="515">
        <v>14808</v>
      </c>
      <c r="B25817" s="515" t="s">
        <v>585</v>
      </c>
      <c r="C25817" s="52">
        <v>98046.816469540106</v>
      </c>
      <c r="D25817" s="56">
        <v>0.19297777229000304</v>
      </c>
      <c r="E25817" s="224" t="s">
        <v>2</v>
      </c>
      <c r="G25817" s="52"/>
      <c r="H25817" s="56"/>
      <c r="I25817" s="224"/>
    </row>
    <row r="25818" spans="1:9" x14ac:dyDescent="0.25">
      <c r="A25818" s="515">
        <v>67137</v>
      </c>
      <c r="C25818" s="52">
        <v>102091.094330059</v>
      </c>
      <c r="D25818" s="56">
        <v>0.11008122403216275</v>
      </c>
      <c r="E25818" s="224" t="s">
        <v>2</v>
      </c>
      <c r="G25818" s="52"/>
      <c r="H25818" s="56"/>
      <c r="I25818" s="224"/>
    </row>
    <row r="25819" spans="1:9" x14ac:dyDescent="0.25">
      <c r="A25819" s="515">
        <v>92060</v>
      </c>
      <c r="B25819" s="515" t="s">
        <v>396</v>
      </c>
      <c r="C25819" s="52">
        <v>503457.297664768</v>
      </c>
      <c r="D25819" s="56">
        <v>5.3321374157039312E-3</v>
      </c>
      <c r="E25819" s="224" t="s">
        <v>2</v>
      </c>
      <c r="G25819" s="52"/>
      <c r="H25819" s="56"/>
      <c r="I25819" s="224"/>
    </row>
    <row r="25820" spans="1:9" x14ac:dyDescent="0.25">
      <c r="A25820" s="515">
        <v>5070</v>
      </c>
      <c r="B25820" s="515" t="s">
        <v>420</v>
      </c>
      <c r="C25820" s="52">
        <v>434788.8125</v>
      </c>
      <c r="D25820" s="56">
        <v>0</v>
      </c>
      <c r="E25820" s="224" t="s">
        <v>2</v>
      </c>
      <c r="G25820" s="52"/>
      <c r="H25820" s="56"/>
      <c r="I25820" s="224"/>
    </row>
    <row r="25821" spans="1:9" x14ac:dyDescent="0.25">
      <c r="A25821" s="515">
        <v>50473</v>
      </c>
      <c r="C25821" s="52">
        <v>113536.172817969</v>
      </c>
      <c r="D25821" s="56">
        <v>0</v>
      </c>
      <c r="E25821" s="224" t="s">
        <v>2</v>
      </c>
      <c r="G25821" s="52"/>
      <c r="H25821" s="56"/>
      <c r="I25821" s="224"/>
    </row>
    <row r="25822" spans="1:9" x14ac:dyDescent="0.25">
      <c r="A25822" s="515">
        <v>50029</v>
      </c>
      <c r="B25822" s="515" t="s">
        <v>295</v>
      </c>
      <c r="C25822" s="52">
        <v>87872.968967384993</v>
      </c>
      <c r="D25822" s="56">
        <v>0</v>
      </c>
      <c r="E25822" s="224" t="s">
        <v>2</v>
      </c>
      <c r="G25822" s="52"/>
      <c r="H25822" s="56"/>
      <c r="I25822" s="224"/>
    </row>
    <row r="25823" spans="1:9" x14ac:dyDescent="0.25">
      <c r="A25823" s="515">
        <v>67529</v>
      </c>
      <c r="C25823" s="52">
        <v>90397.049566216694</v>
      </c>
      <c r="D25823" s="56">
        <v>0.10972838451462913</v>
      </c>
      <c r="E25823" s="224" t="s">
        <v>2</v>
      </c>
      <c r="G25823" s="52"/>
      <c r="H25823" s="56"/>
      <c r="I25823" s="224"/>
    </row>
    <row r="25824" spans="1:9" x14ac:dyDescent="0.25">
      <c r="A25824" s="515">
        <v>68732</v>
      </c>
      <c r="B25824" s="515" t="s">
        <v>649</v>
      </c>
      <c r="C25824" s="52">
        <v>252014.66680422</v>
      </c>
      <c r="D25824" s="56">
        <v>9.5315005597680941E-2</v>
      </c>
      <c r="E25824" s="224" t="s">
        <v>2</v>
      </c>
      <c r="G25824" s="52"/>
      <c r="H25824" s="56"/>
      <c r="I25824" s="224"/>
    </row>
    <row r="25825" spans="1:9" x14ac:dyDescent="0.25">
      <c r="A25825" s="515">
        <v>21610</v>
      </c>
      <c r="C25825" s="52">
        <v>274918.96043417999</v>
      </c>
      <c r="D25825" s="56">
        <v>5.3250481385548831E-2</v>
      </c>
      <c r="E25825" s="224" t="s">
        <v>2</v>
      </c>
      <c r="G25825" s="52"/>
      <c r="H25825" s="56"/>
      <c r="I25825" s="224"/>
    </row>
    <row r="25826" spans="1:9" x14ac:dyDescent="0.25">
      <c r="A25826" s="515">
        <v>12838</v>
      </c>
      <c r="B25826" s="515" t="s">
        <v>422</v>
      </c>
      <c r="C25826" s="52">
        <v>193092.60448811</v>
      </c>
      <c r="D25826" s="56">
        <v>0.11703707394387519</v>
      </c>
      <c r="E25826" s="224" t="s">
        <v>2</v>
      </c>
      <c r="G25826" s="52"/>
      <c r="H25826" s="56"/>
      <c r="I25826" s="224"/>
    </row>
    <row r="25827" spans="1:9" x14ac:dyDescent="0.25">
      <c r="A25827" s="515">
        <v>43438</v>
      </c>
      <c r="B25827" s="515" t="s">
        <v>712</v>
      </c>
      <c r="C25827" s="52">
        <v>329248.20808858599</v>
      </c>
      <c r="D25827" s="56">
        <v>1.0970117703266233E-2</v>
      </c>
      <c r="E25827" s="224" t="s">
        <v>2</v>
      </c>
      <c r="G25827" s="52"/>
      <c r="H25827" s="56"/>
      <c r="I25827" s="224"/>
    </row>
    <row r="25828" spans="1:9" x14ac:dyDescent="0.25">
      <c r="A25828" s="515">
        <v>41605</v>
      </c>
      <c r="C25828" s="52">
        <v>96429.983561197005</v>
      </c>
      <c r="D25828" s="56">
        <v>0.12910082555400063</v>
      </c>
      <c r="E25828" s="224" t="s">
        <v>2</v>
      </c>
      <c r="G25828" s="52"/>
      <c r="H25828" s="56"/>
      <c r="I25828" s="224"/>
    </row>
    <row r="25829" spans="1:9" x14ac:dyDescent="0.25">
      <c r="A25829" s="515">
        <v>67510</v>
      </c>
      <c r="B25829" s="515" t="s">
        <v>700</v>
      </c>
      <c r="C25829" s="52">
        <v>137248.429543398</v>
      </c>
      <c r="D25829" s="56">
        <v>0.13992644026668888</v>
      </c>
      <c r="E25829" s="224" t="s">
        <v>2</v>
      </c>
      <c r="G25829" s="52"/>
      <c r="H25829" s="56"/>
      <c r="I25829" s="224"/>
    </row>
    <row r="25830" spans="1:9" x14ac:dyDescent="0.25">
      <c r="A25830" s="515">
        <v>51044</v>
      </c>
      <c r="B25830" s="515" t="s">
        <v>649</v>
      </c>
      <c r="C25830" s="52">
        <v>154894.352819911</v>
      </c>
      <c r="D25830" s="56">
        <v>0</v>
      </c>
      <c r="E25830" s="224" t="s">
        <v>2</v>
      </c>
      <c r="G25830" s="52"/>
      <c r="H25830" s="56"/>
      <c r="I25830" s="224"/>
    </row>
    <row r="25831" spans="1:9" x14ac:dyDescent="0.25">
      <c r="A25831" s="515">
        <v>68637</v>
      </c>
      <c r="C25831" s="52">
        <v>232837.86748091099</v>
      </c>
      <c r="D25831" s="56">
        <v>0.11951235583348217</v>
      </c>
      <c r="E25831" s="224" t="s">
        <v>2</v>
      </c>
      <c r="G25831" s="52"/>
      <c r="H25831" s="56"/>
      <c r="I25831" s="224"/>
    </row>
    <row r="25832" spans="1:9" x14ac:dyDescent="0.25">
      <c r="A25832" s="515">
        <v>50066</v>
      </c>
      <c r="B25832" s="515" t="s">
        <v>295</v>
      </c>
      <c r="C25832" s="52">
        <v>192800.431120116</v>
      </c>
      <c r="D25832" s="56">
        <v>0.11223310430914034</v>
      </c>
      <c r="E25832" s="224" t="s">
        <v>2</v>
      </c>
      <c r="G25832" s="52"/>
      <c r="H25832" s="56"/>
      <c r="I25832" s="224"/>
    </row>
    <row r="25833" spans="1:9" x14ac:dyDescent="0.25">
      <c r="A25833" s="515">
        <v>58448</v>
      </c>
      <c r="C25833" s="52">
        <v>75242.266666666605</v>
      </c>
      <c r="D25833" s="56">
        <v>0</v>
      </c>
      <c r="E25833" s="224" t="s">
        <v>2</v>
      </c>
      <c r="G25833" s="52"/>
      <c r="H25833" s="56"/>
      <c r="I25833" s="224"/>
    </row>
    <row r="25834" spans="1:9" x14ac:dyDescent="0.25">
      <c r="A25834" s="515">
        <v>62357</v>
      </c>
      <c r="C25834" s="52">
        <v>84671.185185185095</v>
      </c>
      <c r="D25834" s="56">
        <v>0</v>
      </c>
      <c r="E25834" s="224" t="s">
        <v>2</v>
      </c>
      <c r="G25834" s="52"/>
      <c r="H25834" s="56"/>
      <c r="I25834" s="224"/>
    </row>
    <row r="25835" spans="1:9" x14ac:dyDescent="0.25">
      <c r="A25835" s="515">
        <v>22641</v>
      </c>
      <c r="C25835" s="52">
        <v>344097.16344789299</v>
      </c>
      <c r="D25835" s="56">
        <v>6.5737037786850847E-2</v>
      </c>
      <c r="E25835" s="224" t="s">
        <v>2</v>
      </c>
      <c r="G25835" s="52"/>
      <c r="H25835" s="56"/>
      <c r="I25835" s="224"/>
    </row>
    <row r="25836" spans="1:9" x14ac:dyDescent="0.25">
      <c r="A25836" s="515">
        <v>12444</v>
      </c>
      <c r="C25836" s="52">
        <v>461032.69500306202</v>
      </c>
      <c r="D25836" s="56">
        <v>0.13760058435383699</v>
      </c>
      <c r="E25836" s="224" t="s">
        <v>2</v>
      </c>
      <c r="G25836" s="52"/>
      <c r="H25836" s="56"/>
      <c r="I25836" s="224"/>
    </row>
    <row r="25837" spans="1:9" x14ac:dyDescent="0.25">
      <c r="A25837" s="515">
        <v>15660</v>
      </c>
      <c r="B25837" s="515" t="s">
        <v>297</v>
      </c>
      <c r="C25837" s="52">
        <v>102763.18181818099</v>
      </c>
      <c r="D25837" s="56">
        <v>0</v>
      </c>
      <c r="E25837" s="224" t="s">
        <v>2</v>
      </c>
      <c r="G25837" s="52"/>
      <c r="H25837" s="56"/>
      <c r="I25837" s="224"/>
    </row>
    <row r="25838" spans="1:9" x14ac:dyDescent="0.25">
      <c r="A25838" s="515">
        <v>84028</v>
      </c>
      <c r="C25838" s="52">
        <v>569785.86679686198</v>
      </c>
      <c r="D25838" s="56">
        <v>0.10386087791882195</v>
      </c>
      <c r="E25838" s="224" t="s">
        <v>2</v>
      </c>
      <c r="G25838" s="52"/>
      <c r="H25838" s="56"/>
      <c r="I25838" s="224"/>
    </row>
    <row r="25839" spans="1:9" x14ac:dyDescent="0.25">
      <c r="A25839" s="515">
        <v>78344</v>
      </c>
      <c r="B25839" s="515" t="s">
        <v>709</v>
      </c>
      <c r="C25839" s="52">
        <v>113929.759971971</v>
      </c>
      <c r="D25839" s="56">
        <v>0</v>
      </c>
      <c r="E25839" s="224" t="s">
        <v>2</v>
      </c>
      <c r="G25839" s="52"/>
      <c r="H25839" s="56"/>
      <c r="I25839" s="224"/>
    </row>
    <row r="25840" spans="1:9" x14ac:dyDescent="0.25">
      <c r="A25840" s="515">
        <v>67743</v>
      </c>
      <c r="C25840" s="52">
        <v>153913.86683318901</v>
      </c>
      <c r="D25840" s="56">
        <v>0.24564557648813806</v>
      </c>
      <c r="E25840" s="224" t="s">
        <v>2</v>
      </c>
      <c r="G25840" s="52"/>
      <c r="H25840" s="56"/>
      <c r="I25840" s="224"/>
    </row>
    <row r="25841" spans="1:9" x14ac:dyDescent="0.25">
      <c r="A25841" s="515">
        <v>17508</v>
      </c>
      <c r="B25841" s="515" t="s">
        <v>537</v>
      </c>
      <c r="C25841" s="52">
        <v>329915.16933440999</v>
      </c>
      <c r="D25841" s="56">
        <v>7.3367531824363272E-2</v>
      </c>
      <c r="E25841" s="224" t="s">
        <v>2</v>
      </c>
      <c r="G25841" s="52"/>
      <c r="H25841" s="56"/>
      <c r="I25841" s="224"/>
    </row>
    <row r="25842" spans="1:9" x14ac:dyDescent="0.25">
      <c r="A25842" s="515">
        <v>64036</v>
      </c>
      <c r="B25842" s="515" t="s">
        <v>455</v>
      </c>
      <c r="C25842" s="52">
        <v>79955.946791409893</v>
      </c>
      <c r="D25842" s="56">
        <v>7.4394980626813476E-2</v>
      </c>
      <c r="E25842" s="224" t="s">
        <v>2</v>
      </c>
      <c r="G25842" s="52"/>
      <c r="H25842" s="56"/>
      <c r="I25842" s="224"/>
    </row>
    <row r="25843" spans="1:9" x14ac:dyDescent="0.25">
      <c r="A25843" s="515">
        <v>12042</v>
      </c>
      <c r="C25843" s="52">
        <v>283719.19774660497</v>
      </c>
      <c r="D25843" s="56">
        <v>0.15856590211878141</v>
      </c>
      <c r="E25843" s="224" t="s">
        <v>2</v>
      </c>
      <c r="G25843" s="52"/>
      <c r="H25843" s="56"/>
      <c r="I25843" s="224"/>
    </row>
    <row r="25844" spans="1:9" x14ac:dyDescent="0.25">
      <c r="A25844" s="515">
        <v>12176</v>
      </c>
      <c r="C25844" s="52">
        <v>295278.52755051601</v>
      </c>
      <c r="D25844" s="56">
        <v>0.14454233782109605</v>
      </c>
      <c r="E25844" s="224" t="s">
        <v>2</v>
      </c>
      <c r="G25844" s="52"/>
      <c r="H25844" s="56"/>
      <c r="I25844" s="224"/>
    </row>
    <row r="25845" spans="1:9" x14ac:dyDescent="0.25">
      <c r="A25845" s="515">
        <v>95444</v>
      </c>
      <c r="B25845" s="515" t="s">
        <v>331</v>
      </c>
      <c r="C25845" s="52">
        <v>778370.68431890802</v>
      </c>
      <c r="D25845" s="56">
        <v>2.7895167307166679E-2</v>
      </c>
      <c r="E25845" s="224" t="s">
        <v>2</v>
      </c>
      <c r="G25845" s="52"/>
      <c r="H25845" s="56"/>
      <c r="I25845" s="224"/>
    </row>
    <row r="25846" spans="1:9" x14ac:dyDescent="0.25">
      <c r="A25846" s="515">
        <v>67644</v>
      </c>
      <c r="C25846" s="52">
        <v>81584.284337625999</v>
      </c>
      <c r="D25846" s="56">
        <v>-7.3941793546652198E-3</v>
      </c>
      <c r="E25846" s="224" t="s">
        <v>2</v>
      </c>
      <c r="G25846" s="52"/>
      <c r="H25846" s="56"/>
      <c r="I25846" s="224"/>
    </row>
    <row r="25847" spans="1:9" x14ac:dyDescent="0.25">
      <c r="A25847" s="515">
        <v>97870</v>
      </c>
      <c r="C25847" s="52">
        <v>325963.85728188499</v>
      </c>
      <c r="D25847" s="56">
        <v>0</v>
      </c>
      <c r="E25847" s="224" t="s">
        <v>2</v>
      </c>
      <c r="G25847" s="52"/>
      <c r="H25847" s="56"/>
      <c r="I25847" s="224"/>
    </row>
    <row r="25848" spans="1:9" x14ac:dyDescent="0.25">
      <c r="A25848" s="515">
        <v>59326</v>
      </c>
      <c r="C25848" s="52">
        <v>183403.904952732</v>
      </c>
      <c r="D25848" s="56">
        <v>-0.20162050300969522</v>
      </c>
      <c r="E25848" s="224" t="s">
        <v>2</v>
      </c>
      <c r="G25848" s="52"/>
      <c r="H25848" s="56"/>
      <c r="I25848" s="224"/>
    </row>
    <row r="25849" spans="1:9" x14ac:dyDescent="0.25">
      <c r="A25849" s="515">
        <v>66830</v>
      </c>
      <c r="B25849" s="515" t="s">
        <v>707</v>
      </c>
      <c r="C25849" s="52">
        <v>172670.080002223</v>
      </c>
      <c r="D25849" s="56">
        <v>0.1729455480305527</v>
      </c>
      <c r="E25849" s="224" t="s">
        <v>2</v>
      </c>
      <c r="G25849" s="52"/>
      <c r="H25849" s="56"/>
      <c r="I25849" s="224"/>
    </row>
    <row r="25850" spans="1:9" x14ac:dyDescent="0.25">
      <c r="A25850" s="515">
        <v>50074</v>
      </c>
      <c r="C25850" s="52">
        <v>219466.24070221299</v>
      </c>
      <c r="D25850" s="56">
        <v>0.28047090694802768</v>
      </c>
      <c r="E25850" s="224" t="s">
        <v>2</v>
      </c>
      <c r="G25850" s="52"/>
      <c r="H25850" s="56"/>
      <c r="I25850" s="224"/>
    </row>
    <row r="25851" spans="1:9" x14ac:dyDescent="0.25">
      <c r="A25851" s="515">
        <v>55725</v>
      </c>
      <c r="B25851" s="515" t="s">
        <v>350</v>
      </c>
      <c r="C25851" s="52">
        <v>317710.01073708897</v>
      </c>
      <c r="D25851" s="56">
        <v>0.11362728293645054</v>
      </c>
      <c r="E25851" s="224" t="s">
        <v>2</v>
      </c>
      <c r="G25851" s="52"/>
      <c r="H25851" s="56"/>
      <c r="I25851" s="224"/>
    </row>
    <row r="25852" spans="1:9" x14ac:dyDescent="0.25">
      <c r="A25852" s="515">
        <v>40953</v>
      </c>
      <c r="B25852" s="515" t="s">
        <v>633</v>
      </c>
      <c r="C25852" s="52">
        <v>132727.85104231001</v>
      </c>
      <c r="D25852" s="56">
        <v>0.28689368934343251</v>
      </c>
      <c r="E25852" s="224" t="s">
        <v>2</v>
      </c>
      <c r="G25852" s="52"/>
      <c r="H25852" s="56"/>
      <c r="I25852" s="224"/>
    </row>
    <row r="25853" spans="1:9" x14ac:dyDescent="0.25">
      <c r="A25853" s="515">
        <v>66958</v>
      </c>
      <c r="C25853" s="52">
        <v>104696.319961692</v>
      </c>
      <c r="D25853" s="56">
        <v>0.21748692972755854</v>
      </c>
      <c r="E25853" s="224" t="s">
        <v>2</v>
      </c>
      <c r="G25853" s="52"/>
      <c r="H25853" s="56"/>
      <c r="I25853" s="224"/>
    </row>
    <row r="25854" spans="1:9" x14ac:dyDescent="0.25">
      <c r="A25854" s="515">
        <v>67649</v>
      </c>
      <c r="C25854" s="52">
        <v>77212.499669510202</v>
      </c>
      <c r="D25854" s="56">
        <v>0.11768946830105384</v>
      </c>
      <c r="E25854" s="224" t="s">
        <v>2</v>
      </c>
      <c r="G25854" s="52"/>
      <c r="H25854" s="56"/>
      <c r="I25854" s="224"/>
    </row>
    <row r="25855" spans="1:9" x14ac:dyDescent="0.25">
      <c r="A25855" s="515">
        <v>57450</v>
      </c>
      <c r="C25855" s="52">
        <v>195308.74683544299</v>
      </c>
      <c r="D25855" s="56">
        <v>0</v>
      </c>
      <c r="E25855" s="224" t="s">
        <v>2</v>
      </c>
      <c r="G25855" s="52"/>
      <c r="H25855" s="56"/>
      <c r="I25855" s="224"/>
    </row>
    <row r="25856" spans="1:9" x14ac:dyDescent="0.25">
      <c r="A25856" s="515">
        <v>41759</v>
      </c>
      <c r="C25856" s="52">
        <v>97256.987653957098</v>
      </c>
      <c r="D25856" s="56">
        <v>0.19213920817370075</v>
      </c>
      <c r="E25856" s="224" t="s">
        <v>2</v>
      </c>
      <c r="G25856" s="52"/>
      <c r="H25856" s="56"/>
      <c r="I25856" s="224"/>
    </row>
    <row r="25857" spans="1:9" x14ac:dyDescent="0.25">
      <c r="A25857" s="515">
        <v>13776</v>
      </c>
      <c r="B25857" s="515" t="s">
        <v>460</v>
      </c>
      <c r="C25857" s="52">
        <v>173264.154929171</v>
      </c>
      <c r="D25857" s="56">
        <v>7.8218377790247443E-2</v>
      </c>
      <c r="E25857" s="224" t="s">
        <v>2</v>
      </c>
      <c r="G25857" s="52"/>
      <c r="H25857" s="56"/>
      <c r="I25857" s="224"/>
    </row>
    <row r="25858" spans="1:9" x14ac:dyDescent="0.25">
      <c r="A25858" s="515">
        <v>50148</v>
      </c>
      <c r="B25858" s="515" t="s">
        <v>642</v>
      </c>
      <c r="C25858" s="52">
        <v>96155.829252437397</v>
      </c>
      <c r="D25858" s="56">
        <v>0</v>
      </c>
      <c r="E25858" s="224" t="s">
        <v>2</v>
      </c>
      <c r="G25858" s="52"/>
      <c r="H25858" s="56"/>
      <c r="I25858" s="224"/>
    </row>
    <row r="25859" spans="1:9" x14ac:dyDescent="0.25">
      <c r="A25859" s="515">
        <v>76681</v>
      </c>
      <c r="B25859" s="515" t="s">
        <v>655</v>
      </c>
      <c r="C25859" s="52">
        <v>181791.359375</v>
      </c>
      <c r="D25859" s="56">
        <v>0</v>
      </c>
      <c r="E25859" s="224" t="s">
        <v>2</v>
      </c>
      <c r="G25859" s="52"/>
      <c r="H25859" s="56"/>
      <c r="I25859" s="224"/>
    </row>
    <row r="25860" spans="1:9" x14ac:dyDescent="0.25">
      <c r="A25860" s="515">
        <v>12969</v>
      </c>
      <c r="B25860" s="515" t="s">
        <v>706</v>
      </c>
      <c r="C25860" s="52">
        <v>142386.860863165</v>
      </c>
      <c r="D25860" s="56">
        <v>0.17221785837071235</v>
      </c>
      <c r="E25860" s="224" t="s">
        <v>2</v>
      </c>
      <c r="G25860" s="52"/>
      <c r="H25860" s="56"/>
      <c r="I25860" s="224"/>
    </row>
    <row r="25861" spans="1:9" x14ac:dyDescent="0.25">
      <c r="A25861" s="515">
        <v>24536</v>
      </c>
      <c r="B25861" s="515" t="s">
        <v>705</v>
      </c>
      <c r="C25861" s="52">
        <v>233467.871794871</v>
      </c>
      <c r="D25861" s="56">
        <v>0</v>
      </c>
      <c r="E25861" s="224" t="s">
        <v>2</v>
      </c>
      <c r="G25861" s="52"/>
      <c r="H25861" s="56"/>
      <c r="I25861" s="224"/>
    </row>
    <row r="25862" spans="1:9" x14ac:dyDescent="0.25">
      <c r="A25862" s="515">
        <v>66940</v>
      </c>
      <c r="C25862" s="52">
        <v>79102.575069654195</v>
      </c>
      <c r="D25862" s="56">
        <v>0.16370941882445314</v>
      </c>
      <c r="E25862" s="224" t="s">
        <v>2</v>
      </c>
      <c r="G25862" s="52"/>
      <c r="H25862" s="56"/>
      <c r="I25862" s="224"/>
    </row>
    <row r="25863" spans="1:9" x14ac:dyDescent="0.25">
      <c r="A25863" s="515">
        <v>14884</v>
      </c>
      <c r="C25863" s="52">
        <v>106624.332463732</v>
      </c>
      <c r="D25863" s="56">
        <v>4.162948231255321E-3</v>
      </c>
      <c r="E25863" s="224" t="s">
        <v>2</v>
      </c>
      <c r="G25863" s="52"/>
      <c r="H25863" s="56"/>
      <c r="I25863" s="224"/>
    </row>
    <row r="25864" spans="1:9" x14ac:dyDescent="0.25">
      <c r="A25864" s="515">
        <v>55612</v>
      </c>
      <c r="C25864" s="52">
        <v>363720.11998237303</v>
      </c>
      <c r="D25864" s="56">
        <v>6.524519614515846E-2</v>
      </c>
      <c r="E25864" s="224" t="s">
        <v>2</v>
      </c>
      <c r="G25864" s="52"/>
      <c r="H25864" s="56"/>
      <c r="I25864" s="224"/>
    </row>
    <row r="25865" spans="1:9" x14ac:dyDescent="0.25">
      <c r="A25865" s="515">
        <v>80455</v>
      </c>
      <c r="B25865" s="515" t="s">
        <v>702</v>
      </c>
      <c r="C25865" s="52">
        <v>563246.643982006</v>
      </c>
      <c r="D25865" s="56">
        <v>6.5305095941209965E-2</v>
      </c>
      <c r="E25865" s="224" t="s">
        <v>2</v>
      </c>
      <c r="G25865" s="52"/>
      <c r="H25865" s="56"/>
      <c r="I25865" s="224"/>
    </row>
    <row r="25866" spans="1:9" x14ac:dyDescent="0.25">
      <c r="A25866" s="515">
        <v>68871</v>
      </c>
      <c r="C25866" s="52">
        <v>199726.82138869</v>
      </c>
      <c r="D25866" s="56">
        <v>0.27261754063270827</v>
      </c>
      <c r="E25866" s="224" t="s">
        <v>2</v>
      </c>
      <c r="G25866" s="52"/>
      <c r="H25866" s="56"/>
      <c r="I25866" s="224"/>
    </row>
    <row r="25867" spans="1:9" x14ac:dyDescent="0.25">
      <c r="A25867" s="515">
        <v>66438</v>
      </c>
      <c r="C25867" s="52">
        <v>164191.262615332</v>
      </c>
      <c r="D25867" s="56">
        <v>0.12119006008896127</v>
      </c>
      <c r="E25867" s="224" t="s">
        <v>2</v>
      </c>
      <c r="G25867" s="52"/>
      <c r="H25867" s="56"/>
      <c r="I25867" s="224"/>
    </row>
    <row r="25868" spans="1:9" x14ac:dyDescent="0.25">
      <c r="A25868" s="515">
        <v>36555</v>
      </c>
      <c r="B25868" s="515" t="s">
        <v>488</v>
      </c>
      <c r="C25868" s="52">
        <v>351655.72573720798</v>
      </c>
      <c r="D25868" s="56">
        <v>0.10752617840943664</v>
      </c>
      <c r="E25868" s="224" t="s">
        <v>2</v>
      </c>
      <c r="G25868" s="52"/>
      <c r="H25868" s="56"/>
      <c r="I25868" s="224"/>
    </row>
    <row r="25869" spans="1:9" x14ac:dyDescent="0.25">
      <c r="A25869" s="515">
        <v>51440</v>
      </c>
      <c r="B25869" s="515" t="s">
        <v>436</v>
      </c>
      <c r="C25869" s="52">
        <v>156826.39550270399</v>
      </c>
      <c r="D25869" s="56">
        <v>0</v>
      </c>
      <c r="E25869" s="224" t="s">
        <v>2</v>
      </c>
      <c r="G25869" s="52"/>
      <c r="H25869" s="56"/>
      <c r="I25869" s="224"/>
    </row>
    <row r="25870" spans="1:9" x14ac:dyDescent="0.25">
      <c r="A25870" s="515">
        <v>58015</v>
      </c>
      <c r="B25870" s="515" t="s">
        <v>548</v>
      </c>
      <c r="C25870" s="52">
        <v>269284.81578947301</v>
      </c>
      <c r="D25870" s="56">
        <v>0</v>
      </c>
      <c r="E25870" s="224" t="s">
        <v>2</v>
      </c>
      <c r="G25870" s="52"/>
      <c r="H25870" s="56"/>
      <c r="I25870" s="224"/>
    </row>
    <row r="25871" spans="1:9" x14ac:dyDescent="0.25">
      <c r="A25871" s="515">
        <v>80860</v>
      </c>
      <c r="B25871" s="515" t="s">
        <v>701</v>
      </c>
      <c r="C25871" s="52">
        <v>212553.43711453499</v>
      </c>
      <c r="D25871" s="56">
        <v>0.12110045694299981</v>
      </c>
      <c r="E25871" s="224" t="s">
        <v>2</v>
      </c>
      <c r="G25871" s="52"/>
      <c r="H25871" s="56"/>
      <c r="I25871" s="224"/>
    </row>
    <row r="25872" spans="1:9" x14ac:dyDescent="0.25">
      <c r="A25872" s="515">
        <v>79255</v>
      </c>
      <c r="C25872" s="52">
        <v>136827.116065615</v>
      </c>
      <c r="D25872" s="56">
        <v>0</v>
      </c>
      <c r="E25872" s="224" t="s">
        <v>2</v>
      </c>
      <c r="G25872" s="52"/>
      <c r="H25872" s="56"/>
      <c r="I25872" s="224"/>
    </row>
    <row r="25873" spans="1:9" x14ac:dyDescent="0.25">
      <c r="A25873" s="515">
        <v>52077</v>
      </c>
      <c r="C25873" s="52">
        <v>114675.23318025599</v>
      </c>
      <c r="D25873" s="56">
        <v>4.7803976804415046E-2</v>
      </c>
      <c r="E25873" s="224" t="s">
        <v>2</v>
      </c>
      <c r="G25873" s="52"/>
      <c r="H25873" s="56"/>
      <c r="I25873" s="224"/>
    </row>
    <row r="25874" spans="1:9" x14ac:dyDescent="0.25">
      <c r="A25874" s="515">
        <v>59731</v>
      </c>
      <c r="C25874" s="52">
        <v>354311.58229476301</v>
      </c>
      <c r="D25874" s="56">
        <v>4.8031041741643493E-2</v>
      </c>
      <c r="E25874" s="224" t="s">
        <v>2</v>
      </c>
      <c r="G25874" s="52"/>
      <c r="H25874" s="56"/>
      <c r="I25874" s="224"/>
    </row>
    <row r="25875" spans="1:9" x14ac:dyDescent="0.25">
      <c r="A25875" s="515">
        <v>68960</v>
      </c>
      <c r="C25875" s="52">
        <v>98812.8631843724</v>
      </c>
      <c r="D25875" s="56">
        <v>6.362838983214486E-2</v>
      </c>
      <c r="E25875" s="224" t="s">
        <v>2</v>
      </c>
      <c r="G25875" s="52"/>
      <c r="H25875" s="56"/>
      <c r="I25875" s="224"/>
    </row>
    <row r="25876" spans="1:9" x14ac:dyDescent="0.25">
      <c r="A25876" s="515">
        <v>68323</v>
      </c>
      <c r="C25876" s="52">
        <v>301108.38036390499</v>
      </c>
      <c r="D25876" s="56">
        <v>0.32601968930879049</v>
      </c>
      <c r="E25876" s="224" t="s">
        <v>2</v>
      </c>
      <c r="G25876" s="52"/>
      <c r="H25876" s="56"/>
      <c r="I25876" s="224"/>
    </row>
    <row r="25877" spans="1:9" x14ac:dyDescent="0.25">
      <c r="A25877" s="515">
        <v>67568</v>
      </c>
      <c r="B25877" s="515" t="s">
        <v>700</v>
      </c>
      <c r="C25877" s="52">
        <v>122710.739386427</v>
      </c>
      <c r="D25877" s="56">
        <v>0.12294380447592461</v>
      </c>
      <c r="E25877" s="224" t="s">
        <v>2</v>
      </c>
      <c r="G25877" s="52"/>
      <c r="H25877" s="56"/>
      <c r="I25877" s="224"/>
    </row>
    <row r="25878" spans="1:9" x14ac:dyDescent="0.25">
      <c r="A25878" s="515">
        <v>40927</v>
      </c>
      <c r="C25878" s="52">
        <v>54633.244891819399</v>
      </c>
      <c r="D25878" s="56">
        <v>0.26791727756939604</v>
      </c>
      <c r="E25878" s="224" t="s">
        <v>2</v>
      </c>
      <c r="G25878" s="52"/>
      <c r="H25878" s="56"/>
      <c r="I25878" s="224"/>
    </row>
    <row r="25879" spans="1:9" x14ac:dyDescent="0.25">
      <c r="A25879" s="515">
        <v>8321</v>
      </c>
      <c r="B25879" s="515" t="s">
        <v>557</v>
      </c>
      <c r="C25879" s="52">
        <v>146512.59857623401</v>
      </c>
      <c r="D25879" s="56">
        <v>0.15880937366516765</v>
      </c>
      <c r="E25879" s="224" t="s">
        <v>2</v>
      </c>
      <c r="G25879" s="52"/>
      <c r="H25879" s="56"/>
      <c r="I25879" s="224"/>
    </row>
    <row r="25880" spans="1:9" x14ac:dyDescent="0.25">
      <c r="A25880" s="515">
        <v>87930</v>
      </c>
      <c r="C25880" s="52">
        <v>103749.87755102001</v>
      </c>
      <c r="D25880" s="56">
        <v>0</v>
      </c>
      <c r="E25880" s="224" t="s">
        <v>2</v>
      </c>
      <c r="G25880" s="52"/>
      <c r="H25880" s="56"/>
      <c r="I25880" s="224"/>
    </row>
    <row r="25881" spans="1:9" x14ac:dyDescent="0.25">
      <c r="A25881" s="515">
        <v>18845</v>
      </c>
      <c r="B25881" s="515" t="s">
        <v>699</v>
      </c>
      <c r="C25881" s="52">
        <v>174794.153846153</v>
      </c>
      <c r="D25881" s="56">
        <v>0</v>
      </c>
      <c r="E25881" s="224" t="s">
        <v>2</v>
      </c>
      <c r="G25881" s="52"/>
      <c r="H25881" s="56"/>
      <c r="I25881" s="224"/>
    </row>
    <row r="25882" spans="1:9" x14ac:dyDescent="0.25">
      <c r="A25882" s="515">
        <v>79565</v>
      </c>
      <c r="C25882" s="52">
        <v>109676.82247690699</v>
      </c>
      <c r="D25882" s="56">
        <v>0</v>
      </c>
      <c r="E25882" s="224" t="s">
        <v>2</v>
      </c>
      <c r="G25882" s="52"/>
      <c r="H25882" s="56"/>
      <c r="I25882" s="224"/>
    </row>
    <row r="25883" spans="1:9" x14ac:dyDescent="0.25">
      <c r="A25883" s="515">
        <v>69030</v>
      </c>
      <c r="C25883" s="52">
        <v>91538.685047363295</v>
      </c>
      <c r="D25883" s="56">
        <v>0</v>
      </c>
      <c r="E25883" s="224" t="s">
        <v>2</v>
      </c>
      <c r="G25883" s="52"/>
      <c r="H25883" s="56"/>
      <c r="I25883" s="224"/>
    </row>
    <row r="25884" spans="1:9" x14ac:dyDescent="0.25">
      <c r="A25884" s="515">
        <v>38327</v>
      </c>
      <c r="C25884" s="52">
        <v>105324.636149447</v>
      </c>
      <c r="D25884" s="56">
        <v>0</v>
      </c>
      <c r="E25884" s="224" t="s">
        <v>2</v>
      </c>
      <c r="G25884" s="52"/>
      <c r="H25884" s="56"/>
      <c r="I25884" s="224"/>
    </row>
    <row r="25885" spans="1:9" x14ac:dyDescent="0.25">
      <c r="A25885" s="515">
        <v>49116</v>
      </c>
      <c r="B25885" s="515" t="s">
        <v>698</v>
      </c>
      <c r="C25885" s="52">
        <v>766453.225182786</v>
      </c>
      <c r="D25885" s="56">
        <v>5.287270863476401E-2</v>
      </c>
      <c r="E25885" s="224" t="s">
        <v>2</v>
      </c>
      <c r="G25885" s="52"/>
      <c r="H25885" s="56"/>
      <c r="I25885" s="224"/>
    </row>
    <row r="25886" spans="1:9" x14ac:dyDescent="0.25">
      <c r="A25886" s="515">
        <v>69125</v>
      </c>
      <c r="C25886" s="52">
        <v>143073.352219614</v>
      </c>
      <c r="D25886" s="56">
        <v>0.14727159104699644</v>
      </c>
      <c r="E25886" s="224" t="s">
        <v>2</v>
      </c>
      <c r="G25886" s="52"/>
      <c r="H25886" s="56"/>
      <c r="I25886" s="224"/>
    </row>
    <row r="25887" spans="1:9" x14ac:dyDescent="0.25">
      <c r="A25887" s="515">
        <v>70643</v>
      </c>
      <c r="B25887" s="515" t="s">
        <v>696</v>
      </c>
      <c r="C25887" s="52">
        <v>148565.148148148</v>
      </c>
      <c r="D25887" s="56">
        <v>0</v>
      </c>
      <c r="E25887" s="224" t="s">
        <v>2</v>
      </c>
      <c r="G25887" s="52"/>
      <c r="H25887" s="56"/>
      <c r="I25887" s="224"/>
    </row>
    <row r="25888" spans="1:9" x14ac:dyDescent="0.25">
      <c r="A25888" s="515">
        <v>68324</v>
      </c>
      <c r="C25888" s="52">
        <v>238702.342897394</v>
      </c>
      <c r="D25888" s="56">
        <v>0</v>
      </c>
      <c r="E25888" s="224" t="s">
        <v>2</v>
      </c>
      <c r="G25888" s="52"/>
      <c r="H25888" s="56"/>
      <c r="I25888" s="224"/>
    </row>
    <row r="25889" spans="1:9" x14ac:dyDescent="0.25">
      <c r="A25889" s="515">
        <v>26293</v>
      </c>
      <c r="B25889" s="515" t="s">
        <v>586</v>
      </c>
      <c r="C25889" s="52">
        <v>135379.39183435301</v>
      </c>
      <c r="D25889" s="56">
        <v>4.383541272099456E-2</v>
      </c>
      <c r="E25889" s="224" t="s">
        <v>2</v>
      </c>
      <c r="G25889" s="52"/>
      <c r="H25889" s="56"/>
      <c r="I25889" s="224"/>
    </row>
    <row r="25890" spans="1:9" x14ac:dyDescent="0.25">
      <c r="A25890" s="515">
        <v>5362</v>
      </c>
      <c r="C25890" s="52">
        <v>311900.78378378297</v>
      </c>
      <c r="D25890" s="56">
        <v>0</v>
      </c>
      <c r="E25890" s="224" t="s">
        <v>2</v>
      </c>
      <c r="G25890" s="52"/>
      <c r="H25890" s="56"/>
      <c r="I25890" s="224"/>
    </row>
    <row r="25891" spans="1:9" x14ac:dyDescent="0.25">
      <c r="A25891" s="515">
        <v>5820</v>
      </c>
      <c r="C25891" s="52">
        <v>242477.30769230699</v>
      </c>
      <c r="D25891" s="56">
        <v>0</v>
      </c>
      <c r="E25891" s="224" t="s">
        <v>2</v>
      </c>
      <c r="G25891" s="52"/>
      <c r="H25891" s="56"/>
      <c r="I25891" s="224"/>
    </row>
    <row r="25892" spans="1:9" x14ac:dyDescent="0.25">
      <c r="A25892" s="515">
        <v>50671</v>
      </c>
      <c r="C25892" s="52">
        <v>203641.90998519101</v>
      </c>
      <c r="D25892" s="56">
        <v>0</v>
      </c>
      <c r="E25892" s="224" t="s">
        <v>2</v>
      </c>
      <c r="G25892" s="52"/>
      <c r="H25892" s="56"/>
      <c r="I25892" s="224"/>
    </row>
    <row r="25893" spans="1:9" x14ac:dyDescent="0.25">
      <c r="A25893" s="515">
        <v>68062</v>
      </c>
      <c r="C25893" s="52">
        <v>153318.85100687199</v>
      </c>
      <c r="D25893" s="56">
        <v>0.11501511989168571</v>
      </c>
      <c r="E25893" s="224" t="s">
        <v>2</v>
      </c>
      <c r="G25893" s="52"/>
      <c r="H25893" s="56"/>
      <c r="I25893" s="224"/>
    </row>
    <row r="25894" spans="1:9" x14ac:dyDescent="0.25">
      <c r="A25894" s="515">
        <v>18035</v>
      </c>
      <c r="B25894" s="515" t="s">
        <v>327</v>
      </c>
      <c r="C25894" s="52">
        <v>362124.33342043601</v>
      </c>
      <c r="D25894" s="56">
        <v>0.10346119430298671</v>
      </c>
      <c r="E25894" s="224" t="s">
        <v>2</v>
      </c>
      <c r="G25894" s="52"/>
      <c r="H25894" s="56"/>
      <c r="I25894" s="224"/>
    </row>
    <row r="25895" spans="1:9" x14ac:dyDescent="0.25">
      <c r="A25895" s="515">
        <v>50117</v>
      </c>
      <c r="C25895" s="52">
        <v>168953.60043248601</v>
      </c>
      <c r="D25895" s="56">
        <v>0</v>
      </c>
      <c r="E25895" s="224" t="s">
        <v>2</v>
      </c>
      <c r="G25895" s="52"/>
      <c r="H25895" s="56"/>
      <c r="I25895" s="224"/>
    </row>
    <row r="25896" spans="1:9" x14ac:dyDescent="0.25">
      <c r="A25896" s="515">
        <v>68344</v>
      </c>
      <c r="C25896" s="52">
        <v>204001.12164826199</v>
      </c>
      <c r="D25896" s="56">
        <v>4.8155048339178198E-2</v>
      </c>
      <c r="E25896" s="224" t="s">
        <v>2</v>
      </c>
      <c r="G25896" s="52"/>
      <c r="H25896" s="56"/>
      <c r="I25896" s="224"/>
    </row>
    <row r="25897" spans="1:9" x14ac:dyDescent="0.25">
      <c r="A25897" s="515">
        <v>71223</v>
      </c>
      <c r="B25897" s="515" t="s">
        <v>695</v>
      </c>
      <c r="C25897" s="52">
        <v>57894.397490855197</v>
      </c>
      <c r="D25897" s="56">
        <v>0.2795105557795492</v>
      </c>
      <c r="E25897" s="224" t="s">
        <v>2</v>
      </c>
      <c r="G25897" s="52"/>
      <c r="H25897" s="56"/>
      <c r="I25897" s="224"/>
    </row>
    <row r="25898" spans="1:9" x14ac:dyDescent="0.25">
      <c r="A25898" s="515">
        <v>64636</v>
      </c>
      <c r="C25898" s="52">
        <v>154410.835314797</v>
      </c>
      <c r="D25898" s="56">
        <v>0</v>
      </c>
      <c r="E25898" s="224" t="s">
        <v>2</v>
      </c>
      <c r="G25898" s="52"/>
      <c r="H25898" s="56"/>
      <c r="I25898" s="224"/>
    </row>
    <row r="25899" spans="1:9" x14ac:dyDescent="0.25">
      <c r="A25899" s="515">
        <v>12841</v>
      </c>
      <c r="B25899" s="515" t="s">
        <v>422</v>
      </c>
      <c r="C25899" s="52">
        <v>696858.04654957203</v>
      </c>
      <c r="D25899" s="56">
        <v>6.9004692761389805E-2</v>
      </c>
      <c r="E25899" s="224" t="s">
        <v>2</v>
      </c>
      <c r="G25899" s="52"/>
      <c r="H25899" s="56"/>
      <c r="I25899" s="224"/>
    </row>
    <row r="25900" spans="1:9" x14ac:dyDescent="0.25">
      <c r="A25900" s="515">
        <v>85532</v>
      </c>
      <c r="B25900" s="515" t="s">
        <v>692</v>
      </c>
      <c r="C25900" s="52">
        <v>88221.313253012006</v>
      </c>
      <c r="D25900" s="56">
        <v>0</v>
      </c>
      <c r="E25900" s="224" t="s">
        <v>2</v>
      </c>
      <c r="G25900" s="52"/>
      <c r="H25900" s="56"/>
      <c r="I25900" s="224"/>
    </row>
    <row r="25901" spans="1:9" x14ac:dyDescent="0.25">
      <c r="A25901" s="515">
        <v>38347</v>
      </c>
      <c r="B25901" s="515" t="s">
        <v>691</v>
      </c>
      <c r="C25901" s="52">
        <v>117107.351851851</v>
      </c>
      <c r="D25901" s="56">
        <v>0</v>
      </c>
      <c r="E25901" s="224" t="s">
        <v>2</v>
      </c>
      <c r="G25901" s="52"/>
      <c r="H25901" s="56"/>
      <c r="I25901" s="224"/>
    </row>
    <row r="25902" spans="1:9" x14ac:dyDescent="0.25">
      <c r="A25902" s="515">
        <v>15937</v>
      </c>
      <c r="B25902" s="515" t="s">
        <v>370</v>
      </c>
      <c r="C25902" s="52">
        <v>66568.152312012695</v>
      </c>
      <c r="D25902" s="56">
        <v>0.14474658141444552</v>
      </c>
      <c r="E25902" s="224" t="s">
        <v>2</v>
      </c>
      <c r="G25902" s="52"/>
      <c r="H25902" s="56"/>
      <c r="I25902" s="224"/>
    </row>
    <row r="25903" spans="1:9" x14ac:dyDescent="0.25">
      <c r="A25903" s="515">
        <v>1093</v>
      </c>
      <c r="B25903" s="515" t="s">
        <v>575</v>
      </c>
      <c r="C25903" s="52">
        <v>410890.98276634997</v>
      </c>
      <c r="D25903" s="56">
        <v>8.1616237196884614E-2</v>
      </c>
      <c r="E25903" s="224" t="s">
        <v>2</v>
      </c>
      <c r="G25903" s="52"/>
      <c r="H25903" s="56"/>
      <c r="I25903" s="224"/>
    </row>
    <row r="25904" spans="1:9" x14ac:dyDescent="0.25">
      <c r="A25904" s="515">
        <v>88032</v>
      </c>
      <c r="B25904" s="515" t="s">
        <v>317</v>
      </c>
      <c r="C25904" s="52">
        <v>167747.957217805</v>
      </c>
      <c r="D25904" s="56">
        <v>0.15497587004488708</v>
      </c>
      <c r="E25904" s="224" t="s">
        <v>2</v>
      </c>
      <c r="G25904" s="52"/>
      <c r="H25904" s="56"/>
      <c r="I25904" s="224"/>
    </row>
    <row r="25905" spans="1:9" x14ac:dyDescent="0.25">
      <c r="A25905" s="515">
        <v>59225</v>
      </c>
      <c r="C25905" s="52">
        <v>384748.027283334</v>
      </c>
      <c r="D25905" s="56">
        <v>6.9731150668991007E-2</v>
      </c>
      <c r="E25905" s="224" t="s">
        <v>2</v>
      </c>
      <c r="G25905" s="52"/>
      <c r="H25905" s="56"/>
      <c r="I25905" s="224"/>
    </row>
    <row r="25906" spans="1:9" x14ac:dyDescent="0.25">
      <c r="A25906" s="515">
        <v>56685</v>
      </c>
      <c r="B25906" s="515" t="s">
        <v>690</v>
      </c>
      <c r="C25906" s="52">
        <v>164679.067386543</v>
      </c>
      <c r="D25906" s="56">
        <v>0</v>
      </c>
      <c r="E25906" s="224" t="s">
        <v>2</v>
      </c>
      <c r="G25906" s="52"/>
      <c r="H25906" s="56"/>
      <c r="I25906" s="224"/>
    </row>
    <row r="25907" spans="1:9" x14ac:dyDescent="0.25">
      <c r="A25907" s="515">
        <v>66933</v>
      </c>
      <c r="C25907" s="52">
        <v>120571.230546238</v>
      </c>
      <c r="D25907" s="56">
        <v>0.16245093304588362</v>
      </c>
      <c r="E25907" s="224" t="s">
        <v>2</v>
      </c>
      <c r="G25907" s="52"/>
      <c r="H25907" s="56"/>
      <c r="I25907" s="224"/>
    </row>
    <row r="25908" spans="1:9" x14ac:dyDescent="0.25">
      <c r="A25908" s="515">
        <v>79229</v>
      </c>
      <c r="C25908" s="52">
        <v>75154.222945677306</v>
      </c>
      <c r="D25908" s="56">
        <v>0</v>
      </c>
      <c r="E25908" s="224" t="s">
        <v>2</v>
      </c>
      <c r="G25908" s="52"/>
      <c r="H25908" s="56"/>
      <c r="I25908" s="224"/>
    </row>
    <row r="25909" spans="1:9" x14ac:dyDescent="0.25">
      <c r="A25909" s="515">
        <v>50582</v>
      </c>
      <c r="C25909" s="52">
        <v>80587.772012332993</v>
      </c>
      <c r="D25909" s="56">
        <v>0</v>
      </c>
      <c r="E25909" s="224" t="s">
        <v>2</v>
      </c>
      <c r="G25909" s="52"/>
      <c r="H25909" s="56"/>
      <c r="I25909" s="224"/>
    </row>
    <row r="25910" spans="1:9" x14ac:dyDescent="0.25">
      <c r="A25910" s="515">
        <v>79261</v>
      </c>
      <c r="C25910" s="52">
        <v>76862.056963073803</v>
      </c>
      <c r="D25910" s="56">
        <v>0</v>
      </c>
      <c r="E25910" s="224" t="s">
        <v>2</v>
      </c>
      <c r="G25910" s="52"/>
      <c r="H25910" s="56"/>
      <c r="I25910" s="224"/>
    </row>
    <row r="25911" spans="1:9" x14ac:dyDescent="0.25">
      <c r="A25911" s="515">
        <v>24916</v>
      </c>
      <c r="C25911" s="52">
        <v>203993.79286101501</v>
      </c>
      <c r="D25911" s="56">
        <v>9.9417563334096834E-2</v>
      </c>
      <c r="E25911" s="224" t="s">
        <v>2</v>
      </c>
      <c r="G25911" s="52"/>
      <c r="H25911" s="56"/>
      <c r="I25911" s="224"/>
    </row>
    <row r="25912" spans="1:9" x14ac:dyDescent="0.25">
      <c r="A25912" s="515">
        <v>83428</v>
      </c>
      <c r="B25912" s="515" t="s">
        <v>409</v>
      </c>
      <c r="C25912" s="52">
        <v>300545.72259803797</v>
      </c>
      <c r="D25912" s="56">
        <v>-9.3424486362270825E-2</v>
      </c>
      <c r="E25912" s="224" t="s">
        <v>2</v>
      </c>
      <c r="G25912" s="52"/>
      <c r="H25912" s="56"/>
      <c r="I25912" s="224"/>
    </row>
    <row r="25913" spans="1:9" x14ac:dyDescent="0.25">
      <c r="A25913" s="515">
        <v>71356</v>
      </c>
      <c r="B25913" s="515" t="s">
        <v>1162</v>
      </c>
      <c r="C25913" s="52">
        <v>90301.107473286</v>
      </c>
      <c r="D25913" s="56">
        <v>4.4700917375389698E-2</v>
      </c>
      <c r="E25913" s="224" t="s">
        <v>2</v>
      </c>
      <c r="G25913" s="52"/>
      <c r="H25913" s="56"/>
      <c r="I25913" s="224"/>
    </row>
    <row r="25914" spans="1:9" x14ac:dyDescent="0.25">
      <c r="A25914" s="515">
        <v>41567</v>
      </c>
      <c r="C25914" s="52">
        <v>70298.186549983599</v>
      </c>
      <c r="D25914" s="56">
        <v>0.20411236880485836</v>
      </c>
      <c r="E25914" s="224" t="s">
        <v>2</v>
      </c>
      <c r="G25914" s="52"/>
      <c r="H25914" s="56"/>
      <c r="I25914" s="224"/>
    </row>
    <row r="25915" spans="1:9" x14ac:dyDescent="0.25">
      <c r="A25915" s="515">
        <v>28524</v>
      </c>
      <c r="B25915" s="515" t="s">
        <v>641</v>
      </c>
      <c r="C25915" s="52">
        <v>210790.08975328799</v>
      </c>
      <c r="D25915" s="56">
        <v>0.1388247039493227</v>
      </c>
      <c r="E25915" s="224" t="s">
        <v>2</v>
      </c>
      <c r="G25915" s="52"/>
      <c r="H25915" s="56"/>
      <c r="I25915" s="224"/>
    </row>
    <row r="25916" spans="1:9" x14ac:dyDescent="0.25">
      <c r="A25916" s="515">
        <v>78838</v>
      </c>
      <c r="B25916" s="515" t="s">
        <v>688</v>
      </c>
      <c r="C25916" s="52">
        <v>415872.19932196301</v>
      </c>
      <c r="D25916" s="56">
        <v>0.1115842843037046</v>
      </c>
      <c r="E25916" s="224" t="s">
        <v>2</v>
      </c>
      <c r="G25916" s="52"/>
      <c r="H25916" s="56"/>
      <c r="I25916" s="224"/>
    </row>
    <row r="25917" spans="1:9" x14ac:dyDescent="0.25">
      <c r="A25917" s="515">
        <v>68532</v>
      </c>
      <c r="B25917" s="515" t="s">
        <v>486</v>
      </c>
      <c r="C25917" s="52">
        <v>505021.75826235302</v>
      </c>
      <c r="D25917" s="56">
        <v>7.7613520791056281E-2</v>
      </c>
      <c r="E25917" s="224" t="s">
        <v>2</v>
      </c>
      <c r="G25917" s="52"/>
      <c r="H25917" s="56"/>
      <c r="I25917" s="224"/>
    </row>
    <row r="25918" spans="1:9" x14ac:dyDescent="0.25">
      <c r="A25918" s="515">
        <v>12036</v>
      </c>
      <c r="B25918" s="515" t="s">
        <v>609</v>
      </c>
      <c r="C25918" s="52">
        <v>158657.63456528401</v>
      </c>
      <c r="D25918" s="56">
        <v>0.11371485756475819</v>
      </c>
      <c r="E25918" s="224" t="s">
        <v>2</v>
      </c>
      <c r="G25918" s="52"/>
      <c r="H25918" s="56"/>
      <c r="I25918" s="224"/>
    </row>
    <row r="25919" spans="1:9" x14ac:dyDescent="0.25">
      <c r="A25919" s="515">
        <v>16852</v>
      </c>
      <c r="B25919" s="515" t="s">
        <v>491</v>
      </c>
      <c r="C25919" s="52">
        <v>221565.72716805199</v>
      </c>
      <c r="D25919" s="56">
        <v>8.8865638339364214E-2</v>
      </c>
      <c r="E25919" s="224" t="s">
        <v>2</v>
      </c>
      <c r="G25919" s="52"/>
      <c r="H25919" s="56"/>
      <c r="I25919" s="224"/>
    </row>
    <row r="25920" spans="1:9" x14ac:dyDescent="0.25">
      <c r="A25920" s="515">
        <v>61333</v>
      </c>
      <c r="B25920" s="515" t="s">
        <v>678</v>
      </c>
      <c r="C25920" s="52">
        <v>102188.29500361699</v>
      </c>
      <c r="D25920" s="56">
        <v>0</v>
      </c>
      <c r="E25920" s="224" t="s">
        <v>2</v>
      </c>
      <c r="G25920" s="52"/>
      <c r="H25920" s="56"/>
      <c r="I25920" s="224"/>
    </row>
    <row r="25921" spans="1:9" x14ac:dyDescent="0.25">
      <c r="A25921" s="515">
        <v>95714</v>
      </c>
      <c r="B25921" s="515" t="s">
        <v>355</v>
      </c>
      <c r="C25921" s="52">
        <v>398320.70066209103</v>
      </c>
      <c r="D25921" s="56">
        <v>1.4579584483917579E-2</v>
      </c>
      <c r="E25921" s="224" t="s">
        <v>2</v>
      </c>
      <c r="G25921" s="52"/>
      <c r="H25921" s="56"/>
      <c r="I25921" s="224"/>
    </row>
    <row r="25922" spans="1:9" x14ac:dyDescent="0.25">
      <c r="A25922" s="515">
        <v>42321</v>
      </c>
      <c r="B25922" s="515" t="s">
        <v>686</v>
      </c>
      <c r="C25922" s="52">
        <v>86073.909049516005</v>
      </c>
      <c r="D25922" s="56">
        <v>8.3961678003538653E-2</v>
      </c>
      <c r="E25922" s="224" t="s">
        <v>2</v>
      </c>
      <c r="G25922" s="52"/>
      <c r="H25922" s="56"/>
      <c r="I25922" s="224"/>
    </row>
    <row r="25923" spans="1:9" x14ac:dyDescent="0.25">
      <c r="A25923" s="515">
        <v>40845</v>
      </c>
      <c r="B25923" s="515" t="s">
        <v>687</v>
      </c>
      <c r="C25923" s="52">
        <v>59162.929573426802</v>
      </c>
      <c r="D25923" s="56">
        <v>0.11364557619978925</v>
      </c>
      <c r="E25923" s="224" t="s">
        <v>2</v>
      </c>
      <c r="G25923" s="52"/>
      <c r="H25923" s="56"/>
      <c r="I25923" s="224"/>
    </row>
    <row r="25924" spans="1:9" x14ac:dyDescent="0.25">
      <c r="A25924" s="515">
        <v>49282</v>
      </c>
      <c r="B25924" s="515" t="s">
        <v>971</v>
      </c>
      <c r="C25924" s="52">
        <v>47408.8467153284</v>
      </c>
      <c r="D25924" s="56">
        <v>0</v>
      </c>
      <c r="E25924" s="224" t="s">
        <v>2</v>
      </c>
      <c r="G25924" s="52"/>
      <c r="H25924" s="56"/>
      <c r="I25924" s="224"/>
    </row>
    <row r="25925" spans="1:9" x14ac:dyDescent="0.25">
      <c r="A25925" s="515">
        <v>48139</v>
      </c>
      <c r="B25925" s="515" t="s">
        <v>685</v>
      </c>
      <c r="C25925" s="52">
        <v>258495.400381596</v>
      </c>
      <c r="D25925" s="56">
        <v>4.6627478958308592E-2</v>
      </c>
      <c r="E25925" s="224" t="s">
        <v>2</v>
      </c>
      <c r="G25925" s="52"/>
      <c r="H25925" s="56"/>
      <c r="I25925" s="224"/>
    </row>
    <row r="25926" spans="1:9" x14ac:dyDescent="0.25">
      <c r="A25926" s="515">
        <v>50155</v>
      </c>
      <c r="B25926" s="515" t="s">
        <v>295</v>
      </c>
      <c r="C25926" s="52">
        <v>173461.03823981501</v>
      </c>
      <c r="D25926" s="56">
        <v>0</v>
      </c>
      <c r="E25926" s="224" t="s">
        <v>2</v>
      </c>
      <c r="G25926" s="52"/>
      <c r="H25926" s="56"/>
      <c r="I25926" s="224"/>
    </row>
    <row r="25927" spans="1:9" x14ac:dyDescent="0.25">
      <c r="A25927" s="515">
        <v>73747</v>
      </c>
      <c r="C25927" s="52">
        <v>162048.97652041001</v>
      </c>
      <c r="D25927" s="56">
        <v>0.13261991390750572</v>
      </c>
      <c r="E25927" s="224" t="s">
        <v>2</v>
      </c>
      <c r="G25927" s="52"/>
      <c r="H25927" s="56"/>
      <c r="I25927" s="224"/>
    </row>
    <row r="25928" spans="1:9" x14ac:dyDescent="0.25">
      <c r="A25928" s="515">
        <v>38552</v>
      </c>
      <c r="B25928" s="515" t="s">
        <v>684</v>
      </c>
      <c r="C25928" s="52">
        <v>223649.160866135</v>
      </c>
      <c r="D25928" s="56">
        <v>0</v>
      </c>
      <c r="E25928" s="224" t="s">
        <v>2</v>
      </c>
      <c r="G25928" s="52"/>
      <c r="H25928" s="56"/>
      <c r="I25928" s="224"/>
    </row>
    <row r="25929" spans="1:9" x14ac:dyDescent="0.25">
      <c r="A25929" s="515">
        <v>77457</v>
      </c>
      <c r="B25929" s="515" t="s">
        <v>333</v>
      </c>
      <c r="C25929" s="52">
        <v>272199.48572318302</v>
      </c>
      <c r="D25929" s="56">
        <v>6.0613116255625196E-2</v>
      </c>
      <c r="E25929" s="224" t="s">
        <v>2</v>
      </c>
      <c r="G25929" s="52"/>
      <c r="H25929" s="56"/>
      <c r="I25929" s="224"/>
    </row>
    <row r="25930" spans="1:9" x14ac:dyDescent="0.25">
      <c r="A25930" s="515">
        <v>98571</v>
      </c>
      <c r="B25930" s="515" t="s">
        <v>683</v>
      </c>
      <c r="C25930" s="52">
        <v>765535.52005897497</v>
      </c>
      <c r="D25930" s="56">
        <v>4.6124851395991394E-2</v>
      </c>
      <c r="E25930" s="224" t="s">
        <v>2</v>
      </c>
      <c r="G25930" s="52"/>
      <c r="H25930" s="56"/>
      <c r="I25930" s="224"/>
    </row>
    <row r="25931" spans="1:9" x14ac:dyDescent="0.25">
      <c r="A25931" s="515">
        <v>50861</v>
      </c>
      <c r="C25931" s="52">
        <v>131582.79929892099</v>
      </c>
      <c r="D25931" s="56">
        <v>0</v>
      </c>
      <c r="E25931" s="224" t="s">
        <v>2</v>
      </c>
      <c r="G25931" s="52"/>
      <c r="H25931" s="56"/>
      <c r="I25931" s="224"/>
    </row>
    <row r="25932" spans="1:9" x14ac:dyDescent="0.25">
      <c r="A25932" s="515">
        <v>18632</v>
      </c>
      <c r="C25932" s="52">
        <v>88416.976202428094</v>
      </c>
      <c r="D25932" s="56">
        <v>3.1843661166588322E-2</v>
      </c>
      <c r="E25932" s="224" t="s">
        <v>2</v>
      </c>
      <c r="G25932" s="52"/>
      <c r="H25932" s="56"/>
      <c r="I25932" s="224"/>
    </row>
    <row r="25933" spans="1:9" x14ac:dyDescent="0.25">
      <c r="A25933" s="515">
        <v>96760</v>
      </c>
      <c r="B25933" s="515" t="s">
        <v>399</v>
      </c>
      <c r="C25933" s="52">
        <v>379698.28744405101</v>
      </c>
      <c r="D25933" s="56">
        <v>0.20540682906026408</v>
      </c>
      <c r="E25933" s="224" t="s">
        <v>2</v>
      </c>
      <c r="G25933" s="52"/>
      <c r="H25933" s="56"/>
      <c r="I25933" s="224"/>
    </row>
    <row r="25934" spans="1:9" x14ac:dyDescent="0.25">
      <c r="A25934" s="515">
        <v>57648</v>
      </c>
      <c r="C25934" s="52">
        <v>131706.21147370501</v>
      </c>
      <c r="D25934" s="56">
        <v>0</v>
      </c>
      <c r="E25934" s="224" t="s">
        <v>2</v>
      </c>
      <c r="G25934" s="52"/>
      <c r="H25934" s="56"/>
      <c r="I25934" s="224"/>
    </row>
    <row r="25935" spans="1:9" x14ac:dyDescent="0.25">
      <c r="A25935" s="515">
        <v>59434</v>
      </c>
      <c r="C25935" s="52">
        <v>232760.14593820399</v>
      </c>
      <c r="D25935" s="56">
        <v>9.7421789406072601E-2</v>
      </c>
      <c r="E25935" s="224" t="s">
        <v>2</v>
      </c>
      <c r="G25935" s="52"/>
      <c r="H25935" s="56"/>
      <c r="I25935" s="224"/>
    </row>
    <row r="25936" spans="1:9" x14ac:dyDescent="0.25">
      <c r="A25936" s="515">
        <v>84330</v>
      </c>
      <c r="B25936" s="515" t="s">
        <v>628</v>
      </c>
      <c r="C25936" s="52">
        <v>334700.65306122397</v>
      </c>
      <c r="D25936" s="56">
        <v>0</v>
      </c>
      <c r="E25936" s="224" t="s">
        <v>2</v>
      </c>
      <c r="G25936" s="52"/>
      <c r="H25936" s="56"/>
      <c r="I25936" s="224"/>
    </row>
    <row r="25937" spans="1:9" x14ac:dyDescent="0.25">
      <c r="A25937" s="515">
        <v>57479</v>
      </c>
      <c r="B25937" s="515" t="s">
        <v>662</v>
      </c>
      <c r="C25937" s="52">
        <v>226439.48103185001</v>
      </c>
      <c r="D25937" s="56">
        <v>5.4695715020263797E-2</v>
      </c>
      <c r="E25937" s="224" t="s">
        <v>2</v>
      </c>
      <c r="G25937" s="52"/>
      <c r="H25937" s="56"/>
      <c r="I25937" s="224"/>
    </row>
    <row r="25938" spans="1:9" x14ac:dyDescent="0.25">
      <c r="A25938" s="515">
        <v>47522</v>
      </c>
      <c r="C25938" s="52">
        <v>53935.565211080801</v>
      </c>
      <c r="D25938" s="56">
        <v>0.295677663978065</v>
      </c>
      <c r="E25938" s="224" t="s">
        <v>2</v>
      </c>
      <c r="G25938" s="52"/>
      <c r="H25938" s="56"/>
      <c r="I25938" s="224"/>
    </row>
    <row r="25939" spans="1:9" x14ac:dyDescent="0.25">
      <c r="A25939" s="515">
        <v>39824</v>
      </c>
      <c r="C25939" s="52">
        <v>120529.947425223</v>
      </c>
      <c r="D25939" s="56">
        <v>0</v>
      </c>
      <c r="E25939" s="224" t="s">
        <v>2</v>
      </c>
      <c r="G25939" s="52"/>
      <c r="H25939" s="56"/>
      <c r="I25939" s="224"/>
    </row>
    <row r="25940" spans="1:9" x14ac:dyDescent="0.25">
      <c r="A25940" s="515">
        <v>66417</v>
      </c>
      <c r="C25940" s="52">
        <v>248105.436354598</v>
      </c>
      <c r="D25940" s="56">
        <v>0.3032495304416496</v>
      </c>
      <c r="E25940" s="224" t="s">
        <v>2</v>
      </c>
      <c r="G25940" s="52"/>
      <c r="H25940" s="56"/>
      <c r="I25940" s="224"/>
    </row>
    <row r="25941" spans="1:9" x14ac:dyDescent="0.25">
      <c r="A25941" s="515">
        <v>95456</v>
      </c>
      <c r="B25941" s="515" t="s">
        <v>644</v>
      </c>
      <c r="C25941" s="52">
        <v>639231.98497684102</v>
      </c>
      <c r="D25941" s="56">
        <v>-0.10167910489255419</v>
      </c>
      <c r="E25941" s="224" t="s">
        <v>2</v>
      </c>
      <c r="G25941" s="52"/>
      <c r="H25941" s="56"/>
      <c r="I25941" s="224"/>
    </row>
    <row r="25942" spans="1:9" x14ac:dyDescent="0.25">
      <c r="A25942" s="515">
        <v>68433</v>
      </c>
      <c r="C25942" s="52">
        <v>118367.428772684</v>
      </c>
      <c r="D25942" s="56">
        <v>3.2625995770043346E-2</v>
      </c>
      <c r="E25942" s="224" t="s">
        <v>2</v>
      </c>
      <c r="G25942" s="52"/>
      <c r="H25942" s="56"/>
      <c r="I25942" s="224"/>
    </row>
    <row r="25943" spans="1:9" x14ac:dyDescent="0.25">
      <c r="A25943" s="515">
        <v>54846</v>
      </c>
      <c r="C25943" s="52">
        <v>137771.57500000001</v>
      </c>
      <c r="D25943" s="56">
        <v>0</v>
      </c>
      <c r="E25943" s="224" t="s">
        <v>2</v>
      </c>
      <c r="G25943" s="52"/>
      <c r="H25943" s="56"/>
      <c r="I25943" s="224"/>
    </row>
    <row r="25944" spans="1:9" x14ac:dyDescent="0.25">
      <c r="A25944" s="515">
        <v>66058</v>
      </c>
      <c r="B25944" s="515" t="s">
        <v>682</v>
      </c>
      <c r="C25944" s="52">
        <v>136328.923609894</v>
      </c>
      <c r="D25944" s="56">
        <v>0.10499675469903787</v>
      </c>
      <c r="E25944" s="224" t="s">
        <v>2</v>
      </c>
      <c r="G25944" s="52"/>
      <c r="H25944" s="56"/>
      <c r="I25944" s="224"/>
    </row>
    <row r="25945" spans="1:9" x14ac:dyDescent="0.25">
      <c r="A25945" s="515">
        <v>56091</v>
      </c>
      <c r="C25945" s="52">
        <v>170601.98023968501</v>
      </c>
      <c r="D25945" s="56">
        <v>3.4605712437842655E-2</v>
      </c>
      <c r="E25945" s="224" t="s">
        <v>2</v>
      </c>
      <c r="G25945" s="52"/>
      <c r="H25945" s="56"/>
      <c r="I25945" s="224"/>
    </row>
    <row r="25946" spans="1:9" x14ac:dyDescent="0.25">
      <c r="A25946" s="515">
        <v>54465</v>
      </c>
      <c r="C25946" s="52">
        <v>234341.31945985599</v>
      </c>
      <c r="D25946" s="56">
        <v>6.671882959719852E-2</v>
      </c>
      <c r="E25946" s="224" t="s">
        <v>2</v>
      </c>
      <c r="G25946" s="52"/>
      <c r="H25946" s="56"/>
      <c r="I25946" s="224"/>
    </row>
    <row r="25947" spans="1:9" x14ac:dyDescent="0.25">
      <c r="A25947" s="515">
        <v>68416</v>
      </c>
      <c r="C25947" s="52">
        <v>127067.656619709</v>
      </c>
      <c r="D25947" s="56">
        <v>0.17745698638322729</v>
      </c>
      <c r="E25947" s="224" t="s">
        <v>2</v>
      </c>
      <c r="G25947" s="52"/>
      <c r="H25947" s="56"/>
      <c r="I25947" s="224"/>
    </row>
    <row r="25948" spans="1:9" x14ac:dyDescent="0.25">
      <c r="A25948" s="515">
        <v>13638</v>
      </c>
      <c r="B25948" s="515" t="s">
        <v>431</v>
      </c>
      <c r="C25948" s="52">
        <v>157780.88402516599</v>
      </c>
      <c r="D25948" s="56">
        <v>4.8410059415007464E-2</v>
      </c>
      <c r="E25948" s="224" t="s">
        <v>2</v>
      </c>
      <c r="G25948" s="52"/>
      <c r="H25948" s="56"/>
      <c r="I25948" s="224"/>
    </row>
    <row r="25949" spans="1:9" x14ac:dyDescent="0.25">
      <c r="A25949" s="515">
        <v>67346</v>
      </c>
      <c r="C25949" s="52">
        <v>119100.996128418</v>
      </c>
      <c r="D25949" s="56">
        <v>0.16566116881460852</v>
      </c>
      <c r="E25949" s="224" t="s">
        <v>2</v>
      </c>
      <c r="G25949" s="52"/>
      <c r="H25949" s="56"/>
      <c r="I25949" s="224"/>
    </row>
    <row r="25950" spans="1:9" x14ac:dyDescent="0.25">
      <c r="A25950" s="515">
        <v>49839</v>
      </c>
      <c r="C25950" s="52">
        <v>171747.941629988</v>
      </c>
      <c r="D25950" s="56">
        <v>0.10887996707009698</v>
      </c>
      <c r="E25950" s="224" t="s">
        <v>2</v>
      </c>
      <c r="G25950" s="52"/>
      <c r="H25950" s="56"/>
      <c r="I25950" s="224"/>
    </row>
    <row r="25951" spans="1:9" x14ac:dyDescent="0.25">
      <c r="A25951" s="515">
        <v>25005</v>
      </c>
      <c r="C25951" s="52">
        <v>120279.749615868</v>
      </c>
      <c r="D25951" s="56">
        <v>7.1706106000609462E-2</v>
      </c>
      <c r="E25951" s="224" t="s">
        <v>2</v>
      </c>
      <c r="G25951" s="52"/>
      <c r="H25951" s="56"/>
      <c r="I25951" s="224"/>
    </row>
    <row r="25952" spans="1:9" x14ac:dyDescent="0.25">
      <c r="A25952" s="515">
        <v>93604</v>
      </c>
      <c r="B25952" s="515" t="s">
        <v>681</v>
      </c>
      <c r="C25952" s="52">
        <v>704233.50882140605</v>
      </c>
      <c r="D25952" s="56">
        <v>4.2716380950439198E-2</v>
      </c>
      <c r="E25952" s="224" t="s">
        <v>2</v>
      </c>
      <c r="G25952" s="52"/>
      <c r="H25952" s="56"/>
      <c r="I25952" s="224"/>
    </row>
    <row r="25953" spans="1:9" x14ac:dyDescent="0.25">
      <c r="A25953" s="515">
        <v>58006</v>
      </c>
      <c r="B25953" s="515" t="s">
        <v>928</v>
      </c>
      <c r="C25953" s="52">
        <v>219612.63024545301</v>
      </c>
      <c r="D25953" s="56">
        <v>0</v>
      </c>
      <c r="E25953" s="224" t="s">
        <v>2</v>
      </c>
      <c r="G25953" s="52"/>
      <c r="H25953" s="56"/>
      <c r="I25953" s="224"/>
    </row>
    <row r="25954" spans="1:9" x14ac:dyDescent="0.25">
      <c r="A25954" s="515">
        <v>68926</v>
      </c>
      <c r="C25954" s="52">
        <v>84786.432487565195</v>
      </c>
      <c r="D25954" s="56">
        <v>0.11334145340806065</v>
      </c>
      <c r="E25954" s="224" t="s">
        <v>2</v>
      </c>
      <c r="G25954" s="52"/>
      <c r="H25954" s="56"/>
      <c r="I25954" s="224"/>
    </row>
    <row r="25955" spans="1:9" x14ac:dyDescent="0.25">
      <c r="A25955" s="515">
        <v>67741</v>
      </c>
      <c r="C25955" s="52">
        <v>107223.81963498901</v>
      </c>
      <c r="D25955" s="56">
        <v>0.18182719756735879</v>
      </c>
      <c r="E25955" s="224" t="s">
        <v>2</v>
      </c>
      <c r="G25955" s="52"/>
      <c r="H25955" s="56"/>
      <c r="I25955" s="224"/>
    </row>
    <row r="25956" spans="1:9" x14ac:dyDescent="0.25">
      <c r="A25956" s="515">
        <v>67516</v>
      </c>
      <c r="C25956" s="52">
        <v>83636.959743898493</v>
      </c>
      <c r="D25956" s="56">
        <v>4.9693166394543242E-2</v>
      </c>
      <c r="E25956" s="224" t="s">
        <v>2</v>
      </c>
      <c r="G25956" s="52"/>
      <c r="H25956" s="56"/>
      <c r="I25956" s="224"/>
    </row>
    <row r="25957" spans="1:9" x14ac:dyDescent="0.25">
      <c r="A25957" s="515">
        <v>18461</v>
      </c>
      <c r="C25957" s="52">
        <v>191586.78323911599</v>
      </c>
      <c r="D25957" s="56">
        <v>6.5880323404327937E-2</v>
      </c>
      <c r="E25957" s="224" t="s">
        <v>2</v>
      </c>
      <c r="G25957" s="52"/>
      <c r="H25957" s="56"/>
      <c r="I25957" s="224"/>
    </row>
    <row r="25958" spans="1:9" x14ac:dyDescent="0.25">
      <c r="A25958" s="515">
        <v>61552</v>
      </c>
      <c r="B25958" s="515" t="s">
        <v>303</v>
      </c>
      <c r="C25958" s="52">
        <v>98527.874252272697</v>
      </c>
      <c r="D25958" s="56">
        <v>6.9586885303466364E-2</v>
      </c>
      <c r="E25958" s="224" t="s">
        <v>2</v>
      </c>
      <c r="G25958" s="52"/>
      <c r="H25958" s="56"/>
      <c r="I25958" s="224"/>
    </row>
    <row r="25959" spans="1:9" x14ac:dyDescent="0.25">
      <c r="A25959" s="515">
        <v>68943</v>
      </c>
      <c r="C25959" s="52">
        <v>126594.393939393</v>
      </c>
      <c r="D25959" s="56">
        <v>0</v>
      </c>
      <c r="E25959" s="224" t="s">
        <v>2</v>
      </c>
      <c r="G25959" s="52"/>
      <c r="H25959" s="56"/>
      <c r="I25959" s="224"/>
    </row>
    <row r="25960" spans="1:9" x14ac:dyDescent="0.25">
      <c r="A25960" s="515">
        <v>67073</v>
      </c>
      <c r="C25960" s="52">
        <v>117543.442740283</v>
      </c>
      <c r="D25960" s="56">
        <v>9.3318009762744653E-2</v>
      </c>
      <c r="E25960" s="224" t="s">
        <v>2</v>
      </c>
      <c r="G25960" s="52"/>
      <c r="H25960" s="56"/>
      <c r="I25960" s="224"/>
    </row>
    <row r="25961" spans="1:9" x14ac:dyDescent="0.25">
      <c r="A25961" s="515">
        <v>50027</v>
      </c>
      <c r="B25961" s="515" t="s">
        <v>477</v>
      </c>
      <c r="C25961" s="52">
        <v>93628.125553987702</v>
      </c>
      <c r="D25961" s="56">
        <v>0</v>
      </c>
      <c r="E25961" s="224" t="s">
        <v>2</v>
      </c>
      <c r="G25961" s="52"/>
      <c r="H25961" s="56"/>
      <c r="I25961" s="224"/>
    </row>
    <row r="25962" spans="1:9" x14ac:dyDescent="0.25">
      <c r="A25962" s="515">
        <v>50051</v>
      </c>
      <c r="B25962" s="515" t="s">
        <v>642</v>
      </c>
      <c r="C25962" s="52">
        <v>135647.96833457999</v>
      </c>
      <c r="D25962" s="56">
        <v>0</v>
      </c>
      <c r="E25962" s="224" t="s">
        <v>2</v>
      </c>
      <c r="G25962" s="52"/>
      <c r="H25962" s="56"/>
      <c r="I25962" s="224"/>
    </row>
    <row r="25963" spans="1:9" x14ac:dyDescent="0.25">
      <c r="A25963" s="515">
        <v>47010</v>
      </c>
      <c r="B25963" s="515" t="s">
        <v>344</v>
      </c>
      <c r="C25963" s="52">
        <v>216305.787878787</v>
      </c>
      <c r="D25963" s="56">
        <v>0</v>
      </c>
      <c r="E25963" s="224" t="s">
        <v>2</v>
      </c>
      <c r="G25963" s="52"/>
      <c r="H25963" s="56"/>
      <c r="I25963" s="224"/>
    </row>
    <row r="25964" spans="1:9" x14ac:dyDescent="0.25">
      <c r="A25964" s="515">
        <v>59454</v>
      </c>
      <c r="C25964" s="52">
        <v>113079.81337132301</v>
      </c>
      <c r="D25964" s="56">
        <v>-5.333664031292442E-2</v>
      </c>
      <c r="E25964" s="224" t="s">
        <v>2</v>
      </c>
      <c r="G25964" s="52"/>
      <c r="H25964" s="56"/>
      <c r="I25964" s="224"/>
    </row>
    <row r="25965" spans="1:9" x14ac:dyDescent="0.25">
      <c r="A25965" s="515">
        <v>68878</v>
      </c>
      <c r="B25965" s="515" t="s">
        <v>680</v>
      </c>
      <c r="C25965" s="52">
        <v>157263.09096599201</v>
      </c>
      <c r="D25965" s="56">
        <v>-0.12498763626715327</v>
      </c>
      <c r="E25965" s="224" t="s">
        <v>2</v>
      </c>
      <c r="G25965" s="52"/>
      <c r="H25965" s="56"/>
      <c r="I25965" s="224"/>
    </row>
    <row r="25966" spans="1:9" x14ac:dyDescent="0.25">
      <c r="A25966" s="515">
        <v>62556</v>
      </c>
      <c r="B25966" s="515" t="s">
        <v>386</v>
      </c>
      <c r="C25966" s="52">
        <v>92805.515764993397</v>
      </c>
      <c r="D25966" s="56">
        <v>0.10335852587395598</v>
      </c>
      <c r="E25966" s="224" t="s">
        <v>2</v>
      </c>
      <c r="G25966" s="52"/>
      <c r="H25966" s="56"/>
      <c r="I25966" s="224"/>
    </row>
    <row r="25967" spans="1:9" x14ac:dyDescent="0.25">
      <c r="A25967" s="515">
        <v>68406</v>
      </c>
      <c r="C25967" s="52">
        <v>127658.51532019601</v>
      </c>
      <c r="D25967" s="56">
        <v>8.699401130331462E-2</v>
      </c>
      <c r="E25967" s="224" t="s">
        <v>2</v>
      </c>
      <c r="G25967" s="52"/>
      <c r="H25967" s="56"/>
      <c r="I25967" s="224"/>
    </row>
    <row r="25968" spans="1:9" x14ac:dyDescent="0.25">
      <c r="A25968" s="515">
        <v>18619</v>
      </c>
      <c r="C25968" s="52">
        <v>156072.94812018401</v>
      </c>
      <c r="D25968" s="56">
        <v>0.10780331905235471</v>
      </c>
      <c r="E25968" s="224" t="s">
        <v>2</v>
      </c>
      <c r="G25968" s="52"/>
      <c r="H25968" s="56"/>
      <c r="I25968" s="224"/>
    </row>
    <row r="25969" spans="1:9" x14ac:dyDescent="0.25">
      <c r="A25969" s="515">
        <v>57620</v>
      </c>
      <c r="C25969" s="52">
        <v>145872.512136876</v>
      </c>
      <c r="D25969" s="56">
        <v>8.5946169806532524E-2</v>
      </c>
      <c r="E25969" s="224" t="s">
        <v>2</v>
      </c>
      <c r="G25969" s="52"/>
      <c r="H25969" s="56"/>
      <c r="I25969" s="224"/>
    </row>
    <row r="25970" spans="1:9" x14ac:dyDescent="0.25">
      <c r="A25970" s="515">
        <v>61311</v>
      </c>
      <c r="B25970" s="515" t="s">
        <v>678</v>
      </c>
      <c r="C25970" s="52">
        <v>134365.370431516</v>
      </c>
      <c r="D25970" s="56">
        <v>0</v>
      </c>
      <c r="E25970" s="224" t="s">
        <v>2</v>
      </c>
      <c r="G25970" s="52"/>
      <c r="H25970" s="56"/>
      <c r="I25970" s="224"/>
    </row>
    <row r="25971" spans="1:9" x14ac:dyDescent="0.25">
      <c r="A25971" s="515">
        <v>81422</v>
      </c>
      <c r="B25971" s="515" t="s">
        <v>677</v>
      </c>
      <c r="C25971" s="52">
        <v>156492.112573077</v>
      </c>
      <c r="D25971" s="56">
        <v>0.19648420609771663</v>
      </c>
      <c r="E25971" s="224" t="s">
        <v>2</v>
      </c>
      <c r="G25971" s="52"/>
      <c r="H25971" s="56"/>
      <c r="I25971" s="224"/>
    </row>
    <row r="25972" spans="1:9" x14ac:dyDescent="0.25">
      <c r="A25972" s="515">
        <v>61320</v>
      </c>
      <c r="B25972" s="515" t="s">
        <v>556</v>
      </c>
      <c r="C25972" s="52">
        <v>119841.96765404299</v>
      </c>
      <c r="D25972" s="56">
        <v>7.4425295179805506E-2</v>
      </c>
      <c r="E25972" s="224" t="s">
        <v>2</v>
      </c>
      <c r="G25972" s="52"/>
      <c r="H25972" s="56"/>
      <c r="I25972" s="224"/>
    </row>
    <row r="25973" spans="1:9" x14ac:dyDescent="0.25">
      <c r="A25973" s="515">
        <v>67450</v>
      </c>
      <c r="C25973" s="52">
        <v>75764.954088889397</v>
      </c>
      <c r="D25973" s="56">
        <v>0.11419311546480804</v>
      </c>
      <c r="E25973" s="224" t="s">
        <v>2</v>
      </c>
      <c r="G25973" s="52"/>
      <c r="H25973" s="56"/>
      <c r="I25973" s="224"/>
    </row>
    <row r="25974" spans="1:9" x14ac:dyDescent="0.25">
      <c r="A25974" s="515">
        <v>21669</v>
      </c>
      <c r="B25974" s="515" t="s">
        <v>388</v>
      </c>
      <c r="C25974" s="52">
        <v>333779.76260274102</v>
      </c>
      <c r="D25974" s="56">
        <v>0</v>
      </c>
      <c r="E25974" s="224" t="s">
        <v>2</v>
      </c>
      <c r="G25974" s="52"/>
      <c r="H25974" s="56"/>
      <c r="I25974" s="224"/>
    </row>
    <row r="25975" spans="1:9" x14ac:dyDescent="0.25">
      <c r="A25975" s="515">
        <v>82083</v>
      </c>
      <c r="C25975" s="52">
        <v>221475.44447182</v>
      </c>
      <c r="D25975" s="56">
        <v>2.5045863839459975E-2</v>
      </c>
      <c r="E25975" s="224" t="s">
        <v>2</v>
      </c>
      <c r="G25975" s="52"/>
      <c r="H25975" s="56"/>
      <c r="I25975" s="224"/>
    </row>
    <row r="25976" spans="1:9" x14ac:dyDescent="0.25">
      <c r="A25976" s="515">
        <v>28552</v>
      </c>
      <c r="B25976" s="515" t="s">
        <v>574</v>
      </c>
      <c r="C25976" s="52">
        <v>103091.80498750199</v>
      </c>
      <c r="D25976" s="56">
        <v>0.30369569217963671</v>
      </c>
      <c r="E25976" s="224" t="s">
        <v>2</v>
      </c>
      <c r="G25976" s="52"/>
      <c r="H25976" s="56"/>
      <c r="I25976" s="224"/>
    </row>
    <row r="25977" spans="1:9" x14ac:dyDescent="0.25">
      <c r="A25977" s="515">
        <v>61329</v>
      </c>
      <c r="B25977" s="515" t="s">
        <v>556</v>
      </c>
      <c r="C25977" s="52">
        <v>108283.18412550801</v>
      </c>
      <c r="D25977" s="56">
        <v>0.11639313171013699</v>
      </c>
      <c r="E25977" s="224" t="s">
        <v>2</v>
      </c>
      <c r="G25977" s="52"/>
      <c r="H25977" s="56"/>
      <c r="I25977" s="224"/>
    </row>
    <row r="25978" spans="1:9" x14ac:dyDescent="0.25">
      <c r="A25978" s="515">
        <v>67643</v>
      </c>
      <c r="C25978" s="52">
        <v>76415.866970898598</v>
      </c>
      <c r="D25978" s="56">
        <v>6.0082814172709692E-2</v>
      </c>
      <c r="E25978" s="224" t="s">
        <v>2</v>
      </c>
      <c r="G25978" s="52"/>
      <c r="H25978" s="56"/>
      <c r="I25978" s="224"/>
    </row>
    <row r="25979" spans="1:9" x14ac:dyDescent="0.25">
      <c r="A25979" s="515">
        <v>67634</v>
      </c>
      <c r="C25979" s="52">
        <v>82414.200911495805</v>
      </c>
      <c r="D25979" s="56">
        <v>0.23417043651580044</v>
      </c>
      <c r="E25979" s="224" t="s">
        <v>2</v>
      </c>
      <c r="G25979" s="52"/>
      <c r="H25979" s="56"/>
      <c r="I25979" s="224"/>
    </row>
    <row r="25980" spans="1:9" x14ac:dyDescent="0.25">
      <c r="A25980" s="515">
        <v>59261</v>
      </c>
      <c r="C25980" s="52">
        <v>254855.87739089999</v>
      </c>
      <c r="D25980" s="56">
        <v>4.3939690063843212E-2</v>
      </c>
      <c r="E25980" s="224" t="s">
        <v>2</v>
      </c>
      <c r="G25980" s="52"/>
      <c r="H25980" s="56"/>
      <c r="I25980" s="224"/>
    </row>
    <row r="25981" spans="1:9" x14ac:dyDescent="0.25">
      <c r="A25981" s="515">
        <v>12874</v>
      </c>
      <c r="B25981" s="515" t="s">
        <v>422</v>
      </c>
      <c r="C25981" s="52">
        <v>932094.48211955605</v>
      </c>
      <c r="D25981" s="56">
        <v>8.4257463357806262E-2</v>
      </c>
      <c r="E25981" s="224" t="s">
        <v>2</v>
      </c>
      <c r="G25981" s="52"/>
      <c r="H25981" s="56"/>
      <c r="I25981" s="224"/>
    </row>
    <row r="25982" spans="1:9" x14ac:dyDescent="0.25">
      <c r="A25982" s="515">
        <v>12194</v>
      </c>
      <c r="B25982" s="515" t="s">
        <v>609</v>
      </c>
      <c r="C25982" s="52">
        <v>195142.677432925</v>
      </c>
      <c r="D25982" s="56">
        <v>0.11482687580279499</v>
      </c>
      <c r="E25982" s="224" t="s">
        <v>2</v>
      </c>
      <c r="G25982" s="52"/>
      <c r="H25982" s="56"/>
      <c r="I25982" s="224"/>
    </row>
    <row r="25983" spans="1:9" x14ac:dyDescent="0.25">
      <c r="A25983" s="515">
        <v>52555</v>
      </c>
      <c r="C25983" s="52">
        <v>130929.205449991</v>
      </c>
      <c r="D25983" s="56">
        <v>0</v>
      </c>
      <c r="E25983" s="224" t="s">
        <v>2</v>
      </c>
      <c r="G25983" s="52"/>
      <c r="H25983" s="56"/>
      <c r="I25983" s="224"/>
    </row>
    <row r="25984" spans="1:9" x14ac:dyDescent="0.25">
      <c r="A25984" s="515">
        <v>68858</v>
      </c>
      <c r="B25984" s="515" t="s">
        <v>660</v>
      </c>
      <c r="C25984" s="52">
        <v>214093.102821059</v>
      </c>
      <c r="D25984" s="56">
        <v>6.8111193504642065E-2</v>
      </c>
      <c r="E25984" s="224" t="s">
        <v>2</v>
      </c>
      <c r="G25984" s="52"/>
      <c r="H25984" s="56"/>
      <c r="I25984" s="224"/>
    </row>
    <row r="25985" spans="1:9" x14ac:dyDescent="0.25">
      <c r="A25985" s="515">
        <v>52660</v>
      </c>
      <c r="B25985" s="515" t="s">
        <v>672</v>
      </c>
      <c r="C25985" s="52">
        <v>200916.77929360801</v>
      </c>
      <c r="D25985" s="56">
        <v>0</v>
      </c>
      <c r="E25985" s="224" t="s">
        <v>2</v>
      </c>
      <c r="G25985" s="52"/>
      <c r="H25985" s="56"/>
      <c r="I25985" s="224"/>
    </row>
    <row r="25986" spans="1:9" x14ac:dyDescent="0.25">
      <c r="A25986" s="515">
        <v>56236</v>
      </c>
      <c r="C25986" s="52">
        <v>134640.998182037</v>
      </c>
      <c r="D25986" s="56">
        <v>-8.7468295426212775E-2</v>
      </c>
      <c r="E25986" s="224" t="s">
        <v>2</v>
      </c>
      <c r="G25986" s="52"/>
      <c r="H25986" s="56"/>
      <c r="I25986" s="224"/>
    </row>
    <row r="25987" spans="1:9" x14ac:dyDescent="0.25">
      <c r="A25987" s="515">
        <v>59540</v>
      </c>
      <c r="C25987" s="52">
        <v>216902.162944268</v>
      </c>
      <c r="D25987" s="56">
        <v>-4.4659427682505255E-2</v>
      </c>
      <c r="E25987" s="224" t="s">
        <v>2</v>
      </c>
      <c r="G25987" s="52"/>
      <c r="H25987" s="56"/>
      <c r="I25987" s="224"/>
    </row>
    <row r="25988" spans="1:9" x14ac:dyDescent="0.25">
      <c r="A25988" s="515">
        <v>95601</v>
      </c>
      <c r="C25988" s="52">
        <v>459296.71868077898</v>
      </c>
      <c r="D25988" s="56">
        <v>1.0776288488463443E-2</v>
      </c>
      <c r="E25988" s="224" t="s">
        <v>2</v>
      </c>
      <c r="G25988" s="52"/>
      <c r="H25988" s="56"/>
      <c r="I25988" s="224"/>
    </row>
    <row r="25989" spans="1:9" x14ac:dyDescent="0.25">
      <c r="A25989" s="515">
        <v>42788</v>
      </c>
      <c r="B25989" s="515" t="s">
        <v>671</v>
      </c>
      <c r="C25989" s="52">
        <v>140637.16171484199</v>
      </c>
      <c r="D25989" s="56">
        <v>0.18367371460802062</v>
      </c>
      <c r="E25989" s="224" t="s">
        <v>2</v>
      </c>
      <c r="G25989" s="52"/>
      <c r="H25989" s="56"/>
      <c r="I25989" s="224"/>
    </row>
    <row r="25990" spans="1:9" x14ac:dyDescent="0.25">
      <c r="A25990" s="515">
        <v>8032</v>
      </c>
      <c r="B25990" s="515" t="s">
        <v>294</v>
      </c>
      <c r="C25990" s="52">
        <v>246414.363599328</v>
      </c>
      <c r="D25990" s="56">
        <v>5.03245914587949E-2</v>
      </c>
      <c r="E25990" s="224" t="s">
        <v>2</v>
      </c>
      <c r="G25990" s="52"/>
      <c r="H25990" s="56"/>
      <c r="I25990" s="224"/>
    </row>
    <row r="25991" spans="1:9" x14ac:dyDescent="0.25">
      <c r="A25991" s="515">
        <v>84521</v>
      </c>
      <c r="C25991" s="52">
        <v>209925.53333333301</v>
      </c>
      <c r="D25991" s="56">
        <v>0</v>
      </c>
      <c r="E25991" s="224" t="s">
        <v>2</v>
      </c>
      <c r="G25991" s="52"/>
      <c r="H25991" s="56"/>
      <c r="I25991" s="224"/>
    </row>
    <row r="25992" spans="1:9" x14ac:dyDescent="0.25">
      <c r="A25992" s="515">
        <v>50594</v>
      </c>
      <c r="B25992" s="515" t="s">
        <v>670</v>
      </c>
      <c r="C25992" s="52">
        <v>135573.71594072599</v>
      </c>
      <c r="D25992" s="56">
        <v>4.6456404812623059E-2</v>
      </c>
      <c r="E25992" s="224" t="s">
        <v>2</v>
      </c>
      <c r="G25992" s="52"/>
      <c r="H25992" s="56"/>
      <c r="I25992" s="224"/>
    </row>
    <row r="25993" spans="1:9" x14ac:dyDescent="0.25">
      <c r="A25993" s="515">
        <v>21650</v>
      </c>
      <c r="C25993" s="52">
        <v>269421.41353294201</v>
      </c>
      <c r="D25993" s="56">
        <v>0</v>
      </c>
      <c r="E25993" s="224" t="s">
        <v>2</v>
      </c>
      <c r="G25993" s="52"/>
      <c r="H25993" s="56"/>
      <c r="I25993" s="224"/>
    </row>
    <row r="25994" spans="1:9" x14ac:dyDescent="0.25">
      <c r="A25994" s="515">
        <v>59472</v>
      </c>
      <c r="B25994" s="515" t="s">
        <v>373</v>
      </c>
      <c r="C25994" s="52">
        <v>206966.35857357399</v>
      </c>
      <c r="D25994" s="56">
        <v>6.3424157769799289E-2</v>
      </c>
      <c r="E25994" s="224" t="s">
        <v>2</v>
      </c>
      <c r="G25994" s="52"/>
      <c r="H25994" s="56"/>
      <c r="I25994" s="224"/>
    </row>
    <row r="25995" spans="1:9" x14ac:dyDescent="0.25">
      <c r="A25995" s="515">
        <v>25118</v>
      </c>
      <c r="B25995" s="515" t="s">
        <v>566</v>
      </c>
      <c r="C25995" s="52">
        <v>65877.854509314406</v>
      </c>
      <c r="D25995" s="56">
        <v>0.20166694738632596</v>
      </c>
      <c r="E25995" s="224" t="s">
        <v>2</v>
      </c>
      <c r="G25995" s="52"/>
      <c r="H25995" s="56"/>
      <c r="I25995" s="224"/>
    </row>
    <row r="25996" spans="1:9" x14ac:dyDescent="0.25">
      <c r="A25996" s="515">
        <v>73041</v>
      </c>
      <c r="C25996" s="52">
        <v>58836.550226104599</v>
      </c>
      <c r="D25996" s="56">
        <v>0.23683280096262813</v>
      </c>
      <c r="E25996" s="224" t="s">
        <v>2</v>
      </c>
      <c r="G25996" s="52"/>
      <c r="H25996" s="56"/>
      <c r="I25996" s="224"/>
    </row>
    <row r="25997" spans="1:9" x14ac:dyDescent="0.25">
      <c r="A25997" s="515">
        <v>16671</v>
      </c>
      <c r="B25997" s="515" t="s">
        <v>876</v>
      </c>
      <c r="C25997" s="52">
        <v>115658.313432835</v>
      </c>
      <c r="D25997" s="56">
        <v>0</v>
      </c>
      <c r="E25997" s="224" t="s">
        <v>2</v>
      </c>
      <c r="G25997" s="52"/>
      <c r="H25997" s="56"/>
      <c r="I25997" s="224"/>
    </row>
    <row r="25998" spans="1:9" x14ac:dyDescent="0.25">
      <c r="A25998" s="515">
        <v>65566</v>
      </c>
      <c r="C25998" s="52">
        <v>119962.09628742401</v>
      </c>
      <c r="D25998" s="56">
        <v>0.16096862237395229</v>
      </c>
      <c r="E25998" s="224" t="s">
        <v>2</v>
      </c>
      <c r="G25998" s="52"/>
      <c r="H25998" s="56"/>
      <c r="I25998" s="224"/>
    </row>
    <row r="25999" spans="1:9" x14ac:dyDescent="0.25">
      <c r="A25999" s="515">
        <v>13313</v>
      </c>
      <c r="B25999" s="515" t="s">
        <v>543</v>
      </c>
      <c r="C25999" s="52">
        <v>135449.95977824199</v>
      </c>
      <c r="D25999" s="56">
        <v>7.4048420421243363E-2</v>
      </c>
      <c r="E25999" s="224" t="s">
        <v>2</v>
      </c>
      <c r="G25999" s="52"/>
      <c r="H25999" s="56"/>
      <c r="I25999" s="224"/>
    </row>
    <row r="26000" spans="1:9" x14ac:dyDescent="0.25">
      <c r="A26000" s="515">
        <v>66734</v>
      </c>
      <c r="B26000" s="515" t="s">
        <v>669</v>
      </c>
      <c r="C26000" s="52">
        <v>146663.76908379199</v>
      </c>
      <c r="D26000" s="56">
        <v>0.1781933780157757</v>
      </c>
      <c r="E26000" s="224" t="s">
        <v>2</v>
      </c>
      <c r="G26000" s="52"/>
      <c r="H26000" s="56"/>
      <c r="I26000" s="224"/>
    </row>
    <row r="26001" spans="1:9" x14ac:dyDescent="0.25">
      <c r="A26001" s="515">
        <v>52212</v>
      </c>
      <c r="B26001" s="515" t="s">
        <v>404</v>
      </c>
      <c r="C26001" s="52">
        <v>143140.928953756</v>
      </c>
      <c r="D26001" s="56">
        <v>0.18206620488473726</v>
      </c>
      <c r="E26001" s="224" t="s">
        <v>2</v>
      </c>
      <c r="G26001" s="52"/>
      <c r="H26001" s="56"/>
      <c r="I26001" s="224"/>
    </row>
    <row r="26002" spans="1:9" x14ac:dyDescent="0.25">
      <c r="A26002" s="515">
        <v>49312</v>
      </c>
      <c r="C26002" s="52">
        <v>111418.192563626</v>
      </c>
      <c r="D26002" s="56">
        <v>0.10710917265170575</v>
      </c>
      <c r="E26002" s="224" t="s">
        <v>2</v>
      </c>
      <c r="G26002" s="52"/>
      <c r="H26002" s="56"/>
      <c r="I26002" s="224"/>
    </row>
    <row r="26003" spans="1:9" x14ac:dyDescent="0.25">
      <c r="A26003" s="515">
        <v>59746</v>
      </c>
      <c r="C26003" s="52">
        <v>357970.74656459299</v>
      </c>
      <c r="D26003" s="56">
        <v>5.5809559617630823E-2</v>
      </c>
      <c r="E26003" s="224" t="s">
        <v>2</v>
      </c>
      <c r="G26003" s="52"/>
      <c r="H26003" s="56"/>
      <c r="I26003" s="224"/>
    </row>
    <row r="26004" spans="1:9" x14ac:dyDescent="0.25">
      <c r="A26004" s="515">
        <v>24464</v>
      </c>
      <c r="B26004" s="515" t="s">
        <v>630</v>
      </c>
      <c r="C26004" s="52">
        <v>310837.714921857</v>
      </c>
      <c r="D26004" s="56">
        <v>0.18296894163992536</v>
      </c>
      <c r="E26004" s="224" t="s">
        <v>2</v>
      </c>
      <c r="G26004" s="52"/>
      <c r="H26004" s="56"/>
      <c r="I26004" s="224"/>
    </row>
    <row r="26005" spans="1:9" x14ac:dyDescent="0.25">
      <c r="A26005" s="515">
        <v>67563</v>
      </c>
      <c r="C26005" s="52">
        <v>104830.098174374</v>
      </c>
      <c r="D26005" s="56">
        <v>4.5747506938303317E-2</v>
      </c>
      <c r="E26005" s="224" t="s">
        <v>2</v>
      </c>
      <c r="G26005" s="52"/>
      <c r="H26005" s="56"/>
      <c r="I26005" s="224"/>
    </row>
    <row r="26006" spans="1:9" x14ac:dyDescent="0.25">
      <c r="A26006" s="515">
        <v>22643</v>
      </c>
      <c r="B26006" s="515" t="s">
        <v>321</v>
      </c>
      <c r="C26006" s="52">
        <v>803144.21918436897</v>
      </c>
      <c r="D26006" s="56">
        <v>5.0706000414241691E-2</v>
      </c>
      <c r="E26006" s="224" t="s">
        <v>2</v>
      </c>
      <c r="G26006" s="52"/>
      <c r="H26006" s="56"/>
      <c r="I26006" s="224"/>
    </row>
    <row r="26007" spans="1:9" x14ac:dyDescent="0.25">
      <c r="A26007" s="515">
        <v>83227</v>
      </c>
      <c r="C26007" s="52">
        <v>298655.946590184</v>
      </c>
      <c r="D26007" s="56">
        <v>8.1374451803222253E-2</v>
      </c>
      <c r="E26007" s="224" t="s">
        <v>2</v>
      </c>
      <c r="G26007" s="52"/>
      <c r="H26007" s="56"/>
      <c r="I26007" s="224"/>
    </row>
    <row r="26008" spans="1:9" x14ac:dyDescent="0.25">
      <c r="A26008" s="515">
        <v>52593</v>
      </c>
      <c r="C26008" s="52">
        <v>131978.92539388701</v>
      </c>
      <c r="D26008" s="56">
        <v>0</v>
      </c>
      <c r="E26008" s="224" t="s">
        <v>2</v>
      </c>
      <c r="G26008" s="52"/>
      <c r="H26008" s="56"/>
      <c r="I26008" s="224"/>
    </row>
    <row r="26009" spans="1:9" x14ac:dyDescent="0.25">
      <c r="A26009" s="515">
        <v>59008</v>
      </c>
      <c r="B26009" s="515" t="s">
        <v>637</v>
      </c>
      <c r="C26009" s="52">
        <v>332742.81989195099</v>
      </c>
      <c r="D26009" s="56">
        <v>7.8670512592946745E-2</v>
      </c>
      <c r="E26009" s="224" t="s">
        <v>2</v>
      </c>
      <c r="G26009" s="52"/>
      <c r="H26009" s="56"/>
      <c r="I26009" s="224"/>
    </row>
    <row r="26010" spans="1:9" x14ac:dyDescent="0.25">
      <c r="A26010" s="515">
        <v>55606</v>
      </c>
      <c r="C26010" s="52">
        <v>309344.41176152602</v>
      </c>
      <c r="D26010" s="56">
        <v>5.5701892860664327E-2</v>
      </c>
      <c r="E26010" s="224" t="s">
        <v>2</v>
      </c>
      <c r="G26010" s="52"/>
      <c r="H26010" s="56"/>
      <c r="I26010" s="224"/>
    </row>
    <row r="26011" spans="1:9" x14ac:dyDescent="0.25">
      <c r="A26011" s="515">
        <v>51029</v>
      </c>
      <c r="C26011" s="52">
        <v>98682.185092930493</v>
      </c>
      <c r="D26011" s="56">
        <v>0</v>
      </c>
      <c r="E26011" s="224" t="s">
        <v>2</v>
      </c>
      <c r="G26011" s="52"/>
      <c r="H26011" s="56"/>
      <c r="I26011" s="224"/>
    </row>
    <row r="26012" spans="1:9" x14ac:dyDescent="0.25">
      <c r="A26012" s="515">
        <v>24714</v>
      </c>
      <c r="B26012" s="515" t="s">
        <v>306</v>
      </c>
      <c r="C26012" s="52">
        <v>117428.416666666</v>
      </c>
      <c r="D26012" s="56">
        <v>0</v>
      </c>
      <c r="E26012" s="224" t="s">
        <v>2</v>
      </c>
      <c r="G26012" s="52"/>
      <c r="H26012" s="56"/>
      <c r="I26012" s="224"/>
    </row>
    <row r="26013" spans="1:9" x14ac:dyDescent="0.25">
      <c r="A26013" s="515">
        <v>68952</v>
      </c>
      <c r="C26013" s="52">
        <v>71771.583333333299</v>
      </c>
      <c r="D26013" s="56">
        <v>0</v>
      </c>
      <c r="E26013" s="224" t="s">
        <v>2</v>
      </c>
      <c r="G26013" s="52"/>
      <c r="H26013" s="56"/>
      <c r="I26013" s="224"/>
    </row>
    <row r="26014" spans="1:9" x14ac:dyDescent="0.25">
      <c r="A26014" s="515">
        <v>67863</v>
      </c>
      <c r="C26014" s="52">
        <v>173975.74716037401</v>
      </c>
      <c r="D26014" s="56">
        <v>0.28977680987316567</v>
      </c>
      <c r="E26014" s="224" t="s">
        <v>2</v>
      </c>
      <c r="G26014" s="52"/>
      <c r="H26014" s="56"/>
      <c r="I26014" s="224"/>
    </row>
    <row r="26015" spans="1:9" x14ac:dyDescent="0.25">
      <c r="A26015" s="515">
        <v>21647</v>
      </c>
      <c r="B26015" s="515" t="s">
        <v>519</v>
      </c>
      <c r="C26015" s="52">
        <v>404703.59254678898</v>
      </c>
      <c r="D26015" s="56">
        <v>5.1941281211810082E-2</v>
      </c>
      <c r="E26015" s="224" t="s">
        <v>2</v>
      </c>
      <c r="G26015" s="52"/>
      <c r="H26015" s="56"/>
      <c r="I26015" s="224"/>
    </row>
    <row r="26016" spans="1:9" x14ac:dyDescent="0.25">
      <c r="A26016" s="515">
        <v>67638</v>
      </c>
      <c r="C26016" s="52">
        <v>76145.633355670405</v>
      </c>
      <c r="D26016" s="56">
        <v>0.14175066086582433</v>
      </c>
      <c r="E26016" s="224" t="s">
        <v>2</v>
      </c>
      <c r="G26016" s="52"/>
      <c r="H26016" s="56"/>
      <c r="I26016" s="224"/>
    </row>
    <row r="26017" spans="1:9" x14ac:dyDescent="0.25">
      <c r="A26017" s="515">
        <v>99135</v>
      </c>
      <c r="B26017" s="515" t="s">
        <v>666</v>
      </c>
      <c r="C26017" s="52">
        <v>254119.42759498299</v>
      </c>
      <c r="D26017" s="56">
        <v>9.4884388886882456E-2</v>
      </c>
      <c r="E26017" s="224" t="s">
        <v>2</v>
      </c>
      <c r="G26017" s="52"/>
      <c r="H26017" s="56"/>
      <c r="I26017" s="224"/>
    </row>
    <row r="26018" spans="1:9" x14ac:dyDescent="0.25">
      <c r="A26018" s="515">
        <v>97450</v>
      </c>
      <c r="B26018" s="515" t="s">
        <v>614</v>
      </c>
      <c r="C26018" s="52">
        <v>423638.19708705001</v>
      </c>
      <c r="D26018" s="56">
        <v>0.13786534283061033</v>
      </c>
      <c r="E26018" s="224" t="s">
        <v>2</v>
      </c>
      <c r="G26018" s="52"/>
      <c r="H26018" s="56"/>
      <c r="I26018" s="224"/>
    </row>
    <row r="26019" spans="1:9" x14ac:dyDescent="0.25">
      <c r="A26019" s="515">
        <v>50556</v>
      </c>
      <c r="C26019" s="52">
        <v>86559.418387080397</v>
      </c>
      <c r="D26019" s="56">
        <v>0</v>
      </c>
      <c r="E26019" s="224" t="s">
        <v>2</v>
      </c>
      <c r="G26019" s="52"/>
      <c r="H26019" s="56"/>
      <c r="I26019" s="224"/>
    </row>
    <row r="26020" spans="1:9" x14ac:dyDescent="0.25">
      <c r="A26020" s="515">
        <v>60111</v>
      </c>
      <c r="B26020" s="515" t="s">
        <v>394</v>
      </c>
      <c r="C26020" s="52">
        <v>319952.98840985802</v>
      </c>
      <c r="D26020" s="56">
        <v>0.10086210904333187</v>
      </c>
      <c r="E26020" s="224" t="s">
        <v>2</v>
      </c>
      <c r="G26020" s="52"/>
      <c r="H26020" s="56"/>
      <c r="I26020" s="224"/>
    </row>
    <row r="26021" spans="1:9" x14ac:dyDescent="0.25">
      <c r="A26021" s="515">
        <v>26611</v>
      </c>
      <c r="C26021" s="52">
        <v>105605.138888888</v>
      </c>
      <c r="D26021" s="56">
        <v>0</v>
      </c>
      <c r="E26021" s="224" t="s">
        <v>2</v>
      </c>
      <c r="G26021" s="52"/>
      <c r="H26021" s="56"/>
      <c r="I26021" s="224"/>
    </row>
    <row r="26022" spans="1:9" x14ac:dyDescent="0.25">
      <c r="A26022" s="515">
        <v>25142</v>
      </c>
      <c r="B26022" s="515" t="s">
        <v>322</v>
      </c>
      <c r="C26022" s="52">
        <v>28209.975514532001</v>
      </c>
      <c r="D26022" s="56">
        <v>0.11502633094813906</v>
      </c>
      <c r="E26022" s="224" t="s">
        <v>2</v>
      </c>
      <c r="G26022" s="52"/>
      <c r="H26022" s="56"/>
      <c r="I26022" s="224"/>
    </row>
    <row r="26023" spans="1:9" x14ac:dyDescent="0.25">
      <c r="A26023" s="515">
        <v>95637</v>
      </c>
      <c r="B26023" s="515" t="s">
        <v>355</v>
      </c>
      <c r="C26023" s="52">
        <v>527072.91492681403</v>
      </c>
      <c r="D26023" s="56">
        <v>-1.6658441903118236E-2</v>
      </c>
      <c r="E26023" s="224" t="s">
        <v>2</v>
      </c>
      <c r="G26023" s="52"/>
      <c r="H26023" s="56"/>
      <c r="I26023" s="224"/>
    </row>
    <row r="26024" spans="1:9" x14ac:dyDescent="0.25">
      <c r="A26024" s="515">
        <v>84758</v>
      </c>
      <c r="C26024" s="52">
        <v>296112.57407407399</v>
      </c>
      <c r="D26024" s="56">
        <v>0</v>
      </c>
      <c r="E26024" s="224" t="s">
        <v>2</v>
      </c>
      <c r="G26024" s="52"/>
      <c r="H26024" s="56"/>
      <c r="I26024" s="224"/>
    </row>
    <row r="26025" spans="1:9" x14ac:dyDescent="0.25">
      <c r="A26025" s="515">
        <v>59761</v>
      </c>
      <c r="C26025" s="52">
        <v>352084.59212470503</v>
      </c>
      <c r="D26025" s="56">
        <v>5.6278170100053544E-2</v>
      </c>
      <c r="E26025" s="224" t="s">
        <v>2</v>
      </c>
      <c r="G26025" s="52"/>
      <c r="H26025" s="56"/>
      <c r="I26025" s="224"/>
    </row>
    <row r="26026" spans="1:9" x14ac:dyDescent="0.25">
      <c r="A26026" s="515">
        <v>55026</v>
      </c>
      <c r="B26026" s="515" t="s">
        <v>663</v>
      </c>
      <c r="C26026" s="52">
        <v>275228.54048407701</v>
      </c>
      <c r="D26026" s="56">
        <v>5.6455437360829155E-2</v>
      </c>
      <c r="E26026" s="224" t="s">
        <v>2</v>
      </c>
      <c r="G26026" s="52"/>
      <c r="H26026" s="56"/>
      <c r="I26026" s="224"/>
    </row>
    <row r="26027" spans="1:9" x14ac:dyDescent="0.25">
      <c r="A26027" s="515">
        <v>67739</v>
      </c>
      <c r="C26027" s="52">
        <v>81251.994727427795</v>
      </c>
      <c r="D26027" s="56">
        <v>8.862053481842852E-2</v>
      </c>
      <c r="E26027" s="224" t="s">
        <v>2</v>
      </c>
      <c r="G26027" s="52"/>
      <c r="H26027" s="56"/>
      <c r="I26027" s="224"/>
    </row>
    <row r="26028" spans="1:9" x14ac:dyDescent="0.25">
      <c r="A26028" s="515">
        <v>12485</v>
      </c>
      <c r="C26028" s="52">
        <v>350034.00060363498</v>
      </c>
      <c r="D26028" s="56">
        <v>0.10104049483150765</v>
      </c>
      <c r="E26028" s="224" t="s">
        <v>2</v>
      </c>
      <c r="G26028" s="52"/>
      <c r="H26028" s="56"/>
      <c r="I26028" s="224"/>
    </row>
    <row r="26029" spans="1:9" x14ac:dyDescent="0.25">
      <c r="A26029" s="515">
        <v>69133</v>
      </c>
      <c r="C26029" s="52">
        <v>114899.861116543</v>
      </c>
      <c r="D26029" s="56">
        <v>0.15251989971454369</v>
      </c>
      <c r="E26029" s="224" t="s">
        <v>2</v>
      </c>
      <c r="G26029" s="52"/>
      <c r="H26029" s="56"/>
      <c r="I26029" s="224"/>
    </row>
    <row r="26030" spans="1:9" x14ac:dyDescent="0.25">
      <c r="A26030" s="515">
        <v>94940</v>
      </c>
      <c r="B26030" s="515" t="s">
        <v>593</v>
      </c>
      <c r="C26030" s="52">
        <v>1305590.23407395</v>
      </c>
      <c r="D26030" s="56">
        <v>-4.2880472884208834E-2</v>
      </c>
      <c r="E26030" s="224" t="s">
        <v>2</v>
      </c>
      <c r="G26030" s="52"/>
      <c r="H26030" s="56"/>
      <c r="I26030" s="224"/>
    </row>
    <row r="26031" spans="1:9" x14ac:dyDescent="0.25">
      <c r="A26031" s="515">
        <v>53808</v>
      </c>
      <c r="B26031" s="515" t="s">
        <v>664</v>
      </c>
      <c r="C26031" s="52">
        <v>199377.56084116999</v>
      </c>
      <c r="D26031" s="56">
        <v>7.0488601255631791E-2</v>
      </c>
      <c r="E26031" s="224" t="s">
        <v>2</v>
      </c>
      <c r="G26031" s="52"/>
      <c r="H26031" s="56"/>
      <c r="I26031" s="224"/>
    </row>
    <row r="26032" spans="1:9" x14ac:dyDescent="0.25">
      <c r="A26032" s="515">
        <v>25060</v>
      </c>
      <c r="B26032" s="515" t="s">
        <v>566</v>
      </c>
      <c r="C26032" s="52">
        <v>55711.199999999997</v>
      </c>
      <c r="D26032" s="56">
        <v>0</v>
      </c>
      <c r="E26032" s="224" t="s">
        <v>2</v>
      </c>
      <c r="G26032" s="52"/>
      <c r="H26032" s="56"/>
      <c r="I26032" s="224"/>
    </row>
    <row r="26033" spans="1:9" x14ac:dyDescent="0.25">
      <c r="A26033" s="515">
        <v>59451</v>
      </c>
      <c r="C26033" s="52">
        <v>353630.07658569101</v>
      </c>
      <c r="D26033" s="56">
        <v>0.39030715609326261</v>
      </c>
      <c r="E26033" s="224" t="s">
        <v>2</v>
      </c>
      <c r="G26033" s="52"/>
      <c r="H26033" s="56"/>
      <c r="I26033" s="224"/>
    </row>
    <row r="26034" spans="1:9" x14ac:dyDescent="0.25">
      <c r="A26034" s="515">
        <v>16029</v>
      </c>
      <c r="B26034" s="515" t="s">
        <v>297</v>
      </c>
      <c r="C26034" s="52">
        <v>152784.524590163</v>
      </c>
      <c r="D26034" s="56">
        <v>0</v>
      </c>
      <c r="E26034" s="224" t="s">
        <v>2</v>
      </c>
      <c r="G26034" s="52"/>
      <c r="H26034" s="56"/>
      <c r="I26034" s="224"/>
    </row>
    <row r="26035" spans="1:9" x14ac:dyDescent="0.25">
      <c r="A26035" s="515">
        <v>85932</v>
      </c>
      <c r="C26035" s="52">
        <v>376132.47945205402</v>
      </c>
      <c r="D26035" s="56">
        <v>0</v>
      </c>
      <c r="E26035" s="224" t="s">
        <v>2</v>
      </c>
      <c r="G26035" s="52"/>
      <c r="H26035" s="56"/>
      <c r="I26035" s="224"/>
    </row>
    <row r="26036" spans="1:9" x14ac:dyDescent="0.25">
      <c r="A26036" s="515">
        <v>99631</v>
      </c>
      <c r="C26036" s="52">
        <v>287419.986526886</v>
      </c>
      <c r="D26036" s="56">
        <v>-2.429152637838845E-2</v>
      </c>
      <c r="E26036" s="224" t="s">
        <v>2</v>
      </c>
      <c r="G26036" s="52"/>
      <c r="H26036" s="56"/>
      <c r="I26036" s="224"/>
    </row>
    <row r="26037" spans="1:9" x14ac:dyDescent="0.25">
      <c r="A26037" s="515">
        <v>11975</v>
      </c>
      <c r="B26037" s="515" t="s">
        <v>324</v>
      </c>
      <c r="C26037" s="52">
        <v>2467917.8318551099</v>
      </c>
      <c r="D26037" s="56">
        <v>0.13594054431163979</v>
      </c>
      <c r="E26037" s="224" t="s">
        <v>2</v>
      </c>
      <c r="G26037" s="52"/>
      <c r="H26037" s="56"/>
      <c r="I26037" s="224"/>
    </row>
    <row r="26038" spans="1:9" x14ac:dyDescent="0.25">
      <c r="A26038" s="515">
        <v>80733</v>
      </c>
      <c r="B26038" s="515" t="s">
        <v>510</v>
      </c>
      <c r="C26038" s="52">
        <v>279820.05576904002</v>
      </c>
      <c r="D26038" s="56">
        <v>5.8736163249741485E-2</v>
      </c>
      <c r="E26038" s="224" t="s">
        <v>2</v>
      </c>
      <c r="G26038" s="52"/>
      <c r="H26038" s="56"/>
      <c r="I26038" s="224"/>
    </row>
    <row r="26039" spans="1:9" x14ac:dyDescent="0.25">
      <c r="A26039" s="515">
        <v>84046</v>
      </c>
      <c r="C26039" s="52">
        <v>284317.41520467802</v>
      </c>
      <c r="D26039" s="56">
        <v>0</v>
      </c>
      <c r="E26039" s="224" t="s">
        <v>2</v>
      </c>
      <c r="G26039" s="52"/>
      <c r="H26039" s="56"/>
      <c r="I26039" s="224"/>
    </row>
    <row r="26040" spans="1:9" x14ac:dyDescent="0.25">
      <c r="A26040" s="515">
        <v>62374</v>
      </c>
      <c r="B26040" s="515" t="s">
        <v>493</v>
      </c>
      <c r="C26040" s="52">
        <v>74643.068181818104</v>
      </c>
      <c r="D26040" s="56">
        <v>0</v>
      </c>
      <c r="E26040" s="224" t="s">
        <v>2</v>
      </c>
      <c r="G26040" s="52"/>
      <c r="H26040" s="56"/>
      <c r="I26040" s="224"/>
    </row>
    <row r="26041" spans="1:9" x14ac:dyDescent="0.25">
      <c r="A26041" s="515">
        <v>3215</v>
      </c>
      <c r="B26041" s="515" t="s">
        <v>420</v>
      </c>
      <c r="C26041" s="52">
        <v>341331.36423657002</v>
      </c>
      <c r="D26041" s="56">
        <v>0.15384606348290489</v>
      </c>
      <c r="E26041" s="224" t="s">
        <v>2</v>
      </c>
      <c r="G26041" s="52"/>
      <c r="H26041" s="56"/>
      <c r="I26041" s="224"/>
    </row>
    <row r="26042" spans="1:9" x14ac:dyDescent="0.25">
      <c r="A26042" s="515">
        <v>68934</v>
      </c>
      <c r="C26042" s="52">
        <v>178074.61019842399</v>
      </c>
      <c r="D26042" s="56">
        <v>0.23696694706875299</v>
      </c>
      <c r="E26042" s="224" t="s">
        <v>2</v>
      </c>
      <c r="G26042" s="52"/>
      <c r="H26042" s="56"/>
      <c r="I26042" s="224"/>
    </row>
    <row r="26043" spans="1:9" x14ac:dyDescent="0.25">
      <c r="A26043" s="515">
        <v>50515</v>
      </c>
      <c r="C26043" s="52">
        <v>90458.230995780497</v>
      </c>
      <c r="D26043" s="56">
        <v>0</v>
      </c>
      <c r="E26043" s="224" t="s">
        <v>2</v>
      </c>
      <c r="G26043" s="52"/>
      <c r="H26043" s="56"/>
      <c r="I26043" s="224"/>
    </row>
    <row r="26044" spans="1:9" x14ac:dyDescent="0.25">
      <c r="A26044" s="515">
        <v>68448</v>
      </c>
      <c r="C26044" s="52">
        <v>142531.43252782</v>
      </c>
      <c r="D26044" s="56">
        <v>7.9923962521516512E-2</v>
      </c>
      <c r="E26044" s="224" t="s">
        <v>2</v>
      </c>
      <c r="G26044" s="52"/>
      <c r="H26044" s="56"/>
      <c r="I26044" s="224"/>
    </row>
    <row r="26045" spans="1:9" x14ac:dyDescent="0.25">
      <c r="A26045" s="515">
        <v>54120</v>
      </c>
      <c r="B26045" s="515" t="s">
        <v>990</v>
      </c>
      <c r="C26045" s="52">
        <v>150245.435620798</v>
      </c>
      <c r="D26045" s="56">
        <v>6.3891785717046456E-2</v>
      </c>
      <c r="E26045" s="224" t="s">
        <v>2</v>
      </c>
      <c r="G26045" s="52"/>
      <c r="H26045" s="56"/>
      <c r="I26045" s="224"/>
    </row>
    <row r="26046" spans="1:9" x14ac:dyDescent="0.25">
      <c r="A26046" s="515">
        <v>12450</v>
      </c>
      <c r="C26046" s="52">
        <v>358411.23804574303</v>
      </c>
      <c r="D26046" s="56">
        <v>0.14845435186769718</v>
      </c>
      <c r="E26046" s="224" t="s">
        <v>2</v>
      </c>
      <c r="G26046" s="52"/>
      <c r="H26046" s="56"/>
      <c r="I26046" s="224"/>
    </row>
    <row r="26047" spans="1:9" x14ac:dyDescent="0.25">
      <c r="A26047" s="515">
        <v>25086</v>
      </c>
      <c r="B26047" s="515" t="s">
        <v>322</v>
      </c>
      <c r="C26047" s="52">
        <v>112526.521820001</v>
      </c>
      <c r="D26047" s="56">
        <v>6.5291176715918511E-2</v>
      </c>
      <c r="E26047" s="224" t="s">
        <v>2</v>
      </c>
      <c r="G26047" s="52"/>
      <c r="H26047" s="56"/>
      <c r="I26047" s="224"/>
    </row>
    <row r="26048" spans="1:9" x14ac:dyDescent="0.25">
      <c r="A26048" s="515">
        <v>26731</v>
      </c>
      <c r="C26048" s="52">
        <v>174577.15445278399</v>
      </c>
      <c r="D26048" s="56">
        <v>5.0992838880976443E-2</v>
      </c>
      <c r="E26048" s="224" t="s">
        <v>2</v>
      </c>
      <c r="G26048" s="52"/>
      <c r="H26048" s="56"/>
      <c r="I26048" s="224"/>
    </row>
    <row r="26049" spans="1:9" x14ac:dyDescent="0.25">
      <c r="A26049" s="515">
        <v>59728</v>
      </c>
      <c r="C26049" s="52">
        <v>367614.71227738302</v>
      </c>
      <c r="D26049" s="56">
        <v>0.13388814364516324</v>
      </c>
      <c r="E26049" s="224" t="s">
        <v>2</v>
      </c>
      <c r="G26049" s="52"/>
      <c r="H26049" s="56"/>
      <c r="I26049" s="224"/>
    </row>
    <row r="26050" spans="1:9" x14ac:dyDescent="0.25">
      <c r="A26050" s="515">
        <v>2791</v>
      </c>
      <c r="B26050" s="515" t="s">
        <v>513</v>
      </c>
      <c r="C26050" s="52">
        <v>912678.05910044</v>
      </c>
      <c r="D26050" s="56">
        <v>3.9946301569089966E-2</v>
      </c>
      <c r="E26050" s="224" t="s">
        <v>2</v>
      </c>
      <c r="G26050" s="52"/>
      <c r="H26050" s="56"/>
      <c r="I26050" s="224"/>
    </row>
    <row r="26051" spans="1:9" x14ac:dyDescent="0.25">
      <c r="A26051" s="515">
        <v>13472</v>
      </c>
      <c r="B26051" s="515" t="s">
        <v>543</v>
      </c>
      <c r="C26051" s="52">
        <v>355473.28577805002</v>
      </c>
      <c r="D26051" s="56">
        <v>9.1516804116305847E-2</v>
      </c>
      <c r="E26051" s="224" t="s">
        <v>2</v>
      </c>
      <c r="G26051" s="52"/>
      <c r="H26051" s="56"/>
      <c r="I26051" s="224"/>
    </row>
    <row r="26052" spans="1:9" x14ac:dyDescent="0.25">
      <c r="A26052" s="515">
        <v>95232</v>
      </c>
      <c r="C26052" s="52">
        <v>336948.267433687</v>
      </c>
      <c r="D26052" s="56">
        <v>-1.4718278808547222E-2</v>
      </c>
      <c r="E26052" s="224" t="s">
        <v>2</v>
      </c>
      <c r="G26052" s="52"/>
      <c r="H26052" s="56"/>
      <c r="I26052" s="224"/>
    </row>
    <row r="26053" spans="1:9" x14ac:dyDescent="0.25">
      <c r="A26053" s="515">
        <v>77419</v>
      </c>
      <c r="B26053" s="515" t="s">
        <v>333</v>
      </c>
      <c r="C26053" s="52">
        <v>170367.958291966</v>
      </c>
      <c r="D26053" s="56">
        <v>0</v>
      </c>
      <c r="E26053" s="224" t="s">
        <v>2</v>
      </c>
      <c r="G26053" s="52"/>
      <c r="H26053" s="56"/>
      <c r="I26053" s="224"/>
    </row>
    <row r="26054" spans="1:9" x14ac:dyDescent="0.25">
      <c r="A26054" s="515">
        <v>68655</v>
      </c>
      <c r="C26054" s="52">
        <v>256228.00011844101</v>
      </c>
      <c r="D26054" s="56">
        <v>0</v>
      </c>
      <c r="E26054" s="224" t="s">
        <v>2</v>
      </c>
      <c r="G26054" s="52"/>
      <c r="H26054" s="56"/>
      <c r="I26054" s="224"/>
    </row>
    <row r="26055" spans="1:9" x14ac:dyDescent="0.25">
      <c r="A26055" s="515">
        <v>67155</v>
      </c>
      <c r="C26055" s="52">
        <v>125548.73486975</v>
      </c>
      <c r="D26055" s="56">
        <v>0.38275593427775645</v>
      </c>
      <c r="E26055" s="224" t="s">
        <v>2</v>
      </c>
      <c r="G26055" s="52"/>
      <c r="H26055" s="56"/>
      <c r="I26055" s="224"/>
    </row>
    <row r="26056" spans="1:9" x14ac:dyDescent="0.25">
      <c r="A26056" s="515">
        <v>67647</v>
      </c>
      <c r="C26056" s="52">
        <v>140605.459641614</v>
      </c>
      <c r="D26056" s="56">
        <v>0.12138190368344369</v>
      </c>
      <c r="E26056" s="224" t="s">
        <v>2</v>
      </c>
      <c r="G26056" s="52"/>
      <c r="H26056" s="56"/>
      <c r="I26056" s="224"/>
    </row>
    <row r="26057" spans="1:9" x14ac:dyDescent="0.25">
      <c r="A26057" s="515">
        <v>47114</v>
      </c>
      <c r="B26057" s="515" t="s">
        <v>479</v>
      </c>
      <c r="C26057" s="52">
        <v>238117.73665828901</v>
      </c>
      <c r="D26057" s="56">
        <v>9.5450013829314354E-2</v>
      </c>
      <c r="E26057" s="224" t="s">
        <v>2</v>
      </c>
      <c r="G26057" s="52"/>
      <c r="H26057" s="56"/>
      <c r="I26057" s="224"/>
    </row>
    <row r="26058" spans="1:9" x14ac:dyDescent="0.25">
      <c r="A26058" s="515">
        <v>61940</v>
      </c>
      <c r="C26058" s="52">
        <v>35951.466110589303</v>
      </c>
      <c r="D26058" s="56">
        <v>-0.1444650517137753</v>
      </c>
      <c r="E26058" s="224" t="s">
        <v>2</v>
      </c>
      <c r="G26058" s="52"/>
      <c r="H26058" s="56"/>
      <c r="I26058" s="224"/>
    </row>
    <row r="26059" spans="1:9" x14ac:dyDescent="0.25">
      <c r="A26059" s="515">
        <v>83825</v>
      </c>
      <c r="B26059" s="515" t="s">
        <v>623</v>
      </c>
      <c r="C26059" s="52">
        <v>583732.05259971099</v>
      </c>
      <c r="D26059" s="56">
        <v>1.3979918394333667E-2</v>
      </c>
      <c r="E26059" s="224" t="s">
        <v>2</v>
      </c>
      <c r="G26059" s="52"/>
      <c r="H26059" s="56"/>
      <c r="I26059" s="224"/>
    </row>
    <row r="26060" spans="1:9" x14ac:dyDescent="0.25">
      <c r="A26060" s="515">
        <v>92321</v>
      </c>
      <c r="B26060" s="515" t="s">
        <v>599</v>
      </c>
      <c r="C26060" s="52">
        <v>374686.398126924</v>
      </c>
      <c r="D26060" s="56">
        <v>8.8426461452955352E-2</v>
      </c>
      <c r="E26060" s="224" t="s">
        <v>2</v>
      </c>
      <c r="G26060" s="52"/>
      <c r="H26060" s="56"/>
      <c r="I26060" s="224"/>
    </row>
    <row r="26061" spans="1:9" x14ac:dyDescent="0.25">
      <c r="A26061" s="515">
        <v>99766</v>
      </c>
      <c r="C26061" s="52">
        <v>180111.062424656</v>
      </c>
      <c r="D26061" s="56">
        <v>-1.4238647662452491E-2</v>
      </c>
      <c r="E26061" s="224" t="s">
        <v>2</v>
      </c>
      <c r="G26061" s="52"/>
      <c r="H26061" s="56"/>
      <c r="I26061" s="224"/>
    </row>
    <row r="26062" spans="1:9" x14ac:dyDescent="0.25">
      <c r="A26062" s="515">
        <v>68350</v>
      </c>
      <c r="C26062" s="52">
        <v>94617.826391739203</v>
      </c>
      <c r="D26062" s="56">
        <v>4.6091341128108268E-2</v>
      </c>
      <c r="E26062" s="224" t="s">
        <v>2</v>
      </c>
      <c r="G26062" s="52"/>
      <c r="H26062" s="56"/>
      <c r="I26062" s="224"/>
    </row>
    <row r="26063" spans="1:9" x14ac:dyDescent="0.25">
      <c r="A26063" s="515">
        <v>33924</v>
      </c>
      <c r="B26063" s="515" t="s">
        <v>661</v>
      </c>
      <c r="C26063" s="52">
        <v>1257753.07946764</v>
      </c>
      <c r="D26063" s="56">
        <v>0.21856701223785421</v>
      </c>
      <c r="E26063" s="224" t="s">
        <v>2</v>
      </c>
      <c r="G26063" s="52"/>
      <c r="H26063" s="56"/>
      <c r="I26063" s="224"/>
    </row>
    <row r="26064" spans="1:9" x14ac:dyDescent="0.25">
      <c r="A26064" s="515">
        <v>68945</v>
      </c>
      <c r="B26064" s="515" t="s">
        <v>660</v>
      </c>
      <c r="C26064" s="52">
        <v>301684.35443866102</v>
      </c>
      <c r="D26064" s="56">
        <v>8.8259437947532951E-2</v>
      </c>
      <c r="E26064" s="224" t="s">
        <v>2</v>
      </c>
      <c r="G26064" s="52"/>
      <c r="H26064" s="56"/>
      <c r="I26064" s="224"/>
    </row>
    <row r="26065" spans="1:9" x14ac:dyDescent="0.25">
      <c r="A26065" s="515">
        <v>84711</v>
      </c>
      <c r="C26065" s="52">
        <v>361640.19659782399</v>
      </c>
      <c r="D26065" s="56">
        <v>0</v>
      </c>
      <c r="E26065" s="224" t="s">
        <v>2</v>
      </c>
      <c r="G26065" s="52"/>
      <c r="H26065" s="56"/>
      <c r="I26065" s="224"/>
    </row>
    <row r="26066" spans="1:9" x14ac:dyDescent="0.25">
      <c r="A26066" s="515">
        <v>67521</v>
      </c>
      <c r="C26066" s="52">
        <v>111422.246432531</v>
      </c>
      <c r="D26066" s="56">
        <v>0.15658422608626252</v>
      </c>
      <c r="E26066" s="224" t="s">
        <v>2</v>
      </c>
      <c r="G26066" s="52"/>
      <c r="H26066" s="56"/>
      <c r="I26066" s="224"/>
    </row>
    <row r="26067" spans="1:9" x14ac:dyDescent="0.25">
      <c r="A26067" s="515">
        <v>81220</v>
      </c>
      <c r="C26067" s="52">
        <v>437151.30839347601</v>
      </c>
      <c r="D26067" s="56">
        <v>3.5138946961285507E-2</v>
      </c>
      <c r="E26067" s="224" t="s">
        <v>2</v>
      </c>
      <c r="G26067" s="52"/>
      <c r="H26067" s="56"/>
      <c r="I26067" s="224"/>
    </row>
    <row r="26068" spans="1:9" x14ac:dyDescent="0.25">
      <c r="A26068" s="515">
        <v>41085</v>
      </c>
      <c r="B26068" s="515" t="s">
        <v>344</v>
      </c>
      <c r="C26068" s="52">
        <v>159766.48613774299</v>
      </c>
      <c r="D26068" s="56">
        <v>0.14638081615107174</v>
      </c>
      <c r="E26068" s="224" t="s">
        <v>2</v>
      </c>
      <c r="G26068" s="52"/>
      <c r="H26068" s="56"/>
      <c r="I26068" s="224"/>
    </row>
    <row r="26069" spans="1:9" x14ac:dyDescent="0.25">
      <c r="A26069" s="515">
        <v>96124</v>
      </c>
      <c r="C26069" s="52">
        <v>383957.86953891697</v>
      </c>
      <c r="D26069" s="56">
        <v>6.2902192632367585E-2</v>
      </c>
      <c r="E26069" s="224" t="s">
        <v>2</v>
      </c>
      <c r="G26069" s="52"/>
      <c r="H26069" s="56"/>
      <c r="I26069" s="224"/>
    </row>
    <row r="26070" spans="1:9" x14ac:dyDescent="0.25">
      <c r="A26070" s="515">
        <v>66843</v>
      </c>
      <c r="B26070" s="515" t="s">
        <v>707</v>
      </c>
      <c r="C26070" s="52">
        <v>160858.17422271101</v>
      </c>
      <c r="D26070" s="56">
        <v>0.29210302911285729</v>
      </c>
      <c r="E26070" s="224" t="s">
        <v>2</v>
      </c>
      <c r="G26070" s="52"/>
      <c r="H26070" s="56"/>
      <c r="I26070" s="224"/>
    </row>
    <row r="26071" spans="1:9" x14ac:dyDescent="0.25">
      <c r="A26071" s="515">
        <v>96764</v>
      </c>
      <c r="B26071" s="515" t="s">
        <v>399</v>
      </c>
      <c r="C26071" s="52">
        <v>545372.32866126299</v>
      </c>
      <c r="D26071" s="56">
        <v>8.6869565941461627E-2</v>
      </c>
      <c r="E26071" s="224" t="s">
        <v>2</v>
      </c>
      <c r="G26071" s="52"/>
      <c r="H26071" s="56"/>
      <c r="I26071" s="224"/>
    </row>
    <row r="26072" spans="1:9" x14ac:dyDescent="0.25">
      <c r="A26072" s="515">
        <v>57272</v>
      </c>
      <c r="B26072" s="515" t="s">
        <v>941</v>
      </c>
      <c r="C26072" s="52">
        <v>330179.64277983399</v>
      </c>
      <c r="D26072" s="56">
        <v>0</v>
      </c>
      <c r="E26072" s="224" t="s">
        <v>2</v>
      </c>
      <c r="G26072" s="52"/>
      <c r="H26072" s="56"/>
      <c r="I26072" s="224"/>
    </row>
    <row r="26073" spans="1:9" x14ac:dyDescent="0.25">
      <c r="A26073" s="515">
        <v>67657</v>
      </c>
      <c r="C26073" s="52">
        <v>92077.277612361897</v>
      </c>
      <c r="D26073" s="56">
        <v>0.14096802704498096</v>
      </c>
      <c r="E26073" s="224" t="s">
        <v>2</v>
      </c>
      <c r="G26073" s="52"/>
      <c r="H26073" s="56"/>
      <c r="I26073" s="224"/>
    </row>
    <row r="26074" spans="1:9" x14ac:dyDescent="0.25">
      <c r="A26074" s="515">
        <v>16876</v>
      </c>
      <c r="B26074" s="515" t="s">
        <v>876</v>
      </c>
      <c r="C26074" s="52">
        <v>86488.771428571403</v>
      </c>
      <c r="D26074" s="56">
        <v>0</v>
      </c>
      <c r="E26074" s="224" t="s">
        <v>2</v>
      </c>
      <c r="G26074" s="52"/>
      <c r="H26074" s="56"/>
      <c r="I26074" s="224"/>
    </row>
    <row r="26075" spans="1:9" x14ac:dyDescent="0.25">
      <c r="A26075" s="515">
        <v>92398</v>
      </c>
      <c r="B26075" s="515" t="s">
        <v>599</v>
      </c>
      <c r="C26075" s="52">
        <v>162392.78784468101</v>
      </c>
      <c r="D26075" s="56">
        <v>7.2819602433961753E-3</v>
      </c>
      <c r="E26075" s="224" t="s">
        <v>2</v>
      </c>
      <c r="G26075" s="52"/>
      <c r="H26075" s="56"/>
      <c r="I26075" s="224"/>
    </row>
    <row r="26076" spans="1:9" x14ac:dyDescent="0.25">
      <c r="A26076" s="515">
        <v>98639</v>
      </c>
      <c r="B26076" s="515" t="s">
        <v>659</v>
      </c>
      <c r="C26076" s="52">
        <v>424529.49602855899</v>
      </c>
      <c r="D26076" s="56">
        <v>3.3642511225854418E-2</v>
      </c>
      <c r="E26076" s="224" t="s">
        <v>2</v>
      </c>
      <c r="G26076" s="52"/>
      <c r="H26076" s="56"/>
      <c r="I26076" s="224"/>
    </row>
    <row r="26077" spans="1:9" x14ac:dyDescent="0.25">
      <c r="A26077" s="515">
        <v>56458</v>
      </c>
      <c r="C26077" s="52">
        <v>224385.90471249499</v>
      </c>
      <c r="D26077" s="56">
        <v>7.7435126081236386E-2</v>
      </c>
      <c r="E26077" s="224" t="s">
        <v>2</v>
      </c>
      <c r="G26077" s="52"/>
      <c r="H26077" s="56"/>
      <c r="I26077" s="224"/>
    </row>
    <row r="26078" spans="1:9" x14ac:dyDescent="0.25">
      <c r="A26078" s="515">
        <v>59916</v>
      </c>
      <c r="B26078" s="515" t="s">
        <v>459</v>
      </c>
      <c r="C26078" s="52">
        <v>410029.94864068599</v>
      </c>
      <c r="D26078" s="56">
        <v>0.11353251689878806</v>
      </c>
      <c r="E26078" s="224" t="s">
        <v>2</v>
      </c>
      <c r="G26078" s="52"/>
      <c r="H26078" s="56"/>
      <c r="I26078" s="224"/>
    </row>
    <row r="26079" spans="1:9" x14ac:dyDescent="0.25">
      <c r="A26079" s="515">
        <v>26855</v>
      </c>
      <c r="C26079" s="52">
        <v>137703.30919653401</v>
      </c>
      <c r="D26079" s="56">
        <v>1.3341285352689058E-2</v>
      </c>
      <c r="E26079" s="224" t="s">
        <v>2</v>
      </c>
      <c r="G26079" s="52"/>
      <c r="H26079" s="56"/>
      <c r="I26079" s="224"/>
    </row>
    <row r="26080" spans="1:9" x14ac:dyDescent="0.25">
      <c r="A26080" s="515">
        <v>96128</v>
      </c>
      <c r="B26080" s="515" t="s">
        <v>658</v>
      </c>
      <c r="C26080" s="52">
        <v>297713.29922395898</v>
      </c>
      <c r="D26080" s="56">
        <v>-1.3320565219364242E-2</v>
      </c>
      <c r="E26080" s="224" t="s">
        <v>2</v>
      </c>
      <c r="G26080" s="52"/>
      <c r="H26080" s="56"/>
      <c r="I26080" s="224"/>
    </row>
    <row r="26081" spans="1:9" x14ac:dyDescent="0.25">
      <c r="A26081" s="515">
        <v>13331</v>
      </c>
      <c r="B26081" s="515" t="s">
        <v>543</v>
      </c>
      <c r="C26081" s="52">
        <v>358348.59392294899</v>
      </c>
      <c r="D26081" s="56">
        <v>9.9756996646649942E-2</v>
      </c>
      <c r="E26081" s="224" t="s">
        <v>2</v>
      </c>
      <c r="G26081" s="52"/>
      <c r="H26081" s="56"/>
      <c r="I26081" s="224"/>
    </row>
    <row r="26082" spans="1:9" x14ac:dyDescent="0.25">
      <c r="A26082" s="515">
        <v>83848</v>
      </c>
      <c r="B26082" s="515" t="s">
        <v>623</v>
      </c>
      <c r="C26082" s="52">
        <v>617736.14738039696</v>
      </c>
      <c r="D26082" s="56">
        <v>3.8287083275449836E-2</v>
      </c>
      <c r="E26082" s="224" t="s">
        <v>2</v>
      </c>
      <c r="G26082" s="52"/>
      <c r="H26082" s="56"/>
      <c r="I26082" s="224"/>
    </row>
    <row r="26083" spans="1:9" x14ac:dyDescent="0.25">
      <c r="A26083" s="515">
        <v>51231</v>
      </c>
      <c r="C26083" s="52">
        <v>146173.361603867</v>
      </c>
      <c r="D26083" s="56">
        <v>0.15220906165336368</v>
      </c>
      <c r="E26083" s="224" t="s">
        <v>2</v>
      </c>
      <c r="G26083" s="52"/>
      <c r="H26083" s="56"/>
      <c r="I26083" s="224"/>
    </row>
    <row r="26084" spans="1:9" x14ac:dyDescent="0.25">
      <c r="A26084" s="515">
        <v>54524</v>
      </c>
      <c r="C26084" s="52">
        <v>155519.66962960499</v>
      </c>
      <c r="D26084" s="56">
        <v>9.0469641834257167E-2</v>
      </c>
      <c r="E26084" s="224" t="s">
        <v>2</v>
      </c>
      <c r="G26084" s="52"/>
      <c r="H26084" s="56"/>
      <c r="I26084" s="224"/>
    </row>
    <row r="26085" spans="1:9" x14ac:dyDescent="0.25">
      <c r="A26085" s="515">
        <v>98358</v>
      </c>
      <c r="C26085" s="52">
        <v>799142.89477293997</v>
      </c>
      <c r="D26085" s="56">
        <v>5.5358794281516417E-2</v>
      </c>
      <c r="E26085" s="224" t="s">
        <v>2</v>
      </c>
      <c r="G26085" s="52"/>
      <c r="H26085" s="56"/>
      <c r="I26085" s="224"/>
    </row>
    <row r="26086" spans="1:9" x14ac:dyDescent="0.25">
      <c r="A26086" s="515">
        <v>67332</v>
      </c>
      <c r="B26086" s="515" t="s">
        <v>656</v>
      </c>
      <c r="C26086" s="52">
        <v>110878.29257994</v>
      </c>
      <c r="D26086" s="56">
        <v>0.2976606687363586</v>
      </c>
      <c r="E26086" s="224" t="s">
        <v>2</v>
      </c>
      <c r="G26086" s="52"/>
      <c r="H26086" s="56"/>
      <c r="I26086" s="224"/>
    </row>
    <row r="26087" spans="1:9" x14ac:dyDescent="0.25">
      <c r="A26087" s="515">
        <v>95970</v>
      </c>
      <c r="C26087" s="52">
        <v>334605.77439685602</v>
      </c>
      <c r="D26087" s="56">
        <v>-1.1365663135357876E-2</v>
      </c>
      <c r="E26087" s="224" t="s">
        <v>2</v>
      </c>
      <c r="G26087" s="52"/>
      <c r="H26087" s="56"/>
      <c r="I26087" s="224"/>
    </row>
    <row r="26088" spans="1:9" x14ac:dyDescent="0.25">
      <c r="A26088" s="515">
        <v>56744</v>
      </c>
      <c r="C26088" s="52">
        <v>145067.35305633</v>
      </c>
      <c r="D26088" s="56">
        <v>-2.3722957349931632E-2</v>
      </c>
      <c r="E26088" s="224" t="s">
        <v>2</v>
      </c>
      <c r="G26088" s="52"/>
      <c r="H26088" s="56"/>
      <c r="I26088" s="224"/>
    </row>
    <row r="26089" spans="1:9" x14ac:dyDescent="0.25">
      <c r="A26089" s="515">
        <v>13804</v>
      </c>
      <c r="C26089" s="52">
        <v>190171.73710440399</v>
      </c>
      <c r="D26089" s="56">
        <v>0.19225744374943368</v>
      </c>
      <c r="E26089" s="224" t="s">
        <v>2</v>
      </c>
      <c r="G26089" s="52"/>
      <c r="H26089" s="56"/>
      <c r="I26089" s="224"/>
    </row>
    <row r="26090" spans="1:9" x14ac:dyDescent="0.25">
      <c r="A26090" s="515">
        <v>75153</v>
      </c>
      <c r="B26090" s="515" t="s">
        <v>655</v>
      </c>
      <c r="C26090" s="52">
        <v>220907.218181818</v>
      </c>
      <c r="D26090" s="56">
        <v>0</v>
      </c>
      <c r="E26090" s="224" t="s">
        <v>2</v>
      </c>
      <c r="G26090" s="52"/>
      <c r="H26090" s="56"/>
      <c r="I26090" s="224"/>
    </row>
    <row r="26091" spans="1:9" x14ac:dyDescent="0.25">
      <c r="A26091" s="515">
        <v>96086</v>
      </c>
      <c r="C26091" s="52">
        <v>221511.81021472599</v>
      </c>
      <c r="D26091" s="56">
        <v>-6.6982752800899669E-3</v>
      </c>
      <c r="E26091" s="224" t="s">
        <v>2</v>
      </c>
      <c r="G26091" s="52"/>
      <c r="H26091" s="56"/>
      <c r="I26091" s="224"/>
    </row>
    <row r="26092" spans="1:9" x14ac:dyDescent="0.25">
      <c r="A26092" s="515">
        <v>49636</v>
      </c>
      <c r="B26092" s="515" t="s">
        <v>366</v>
      </c>
      <c r="C26092" s="52">
        <v>598712.67157283495</v>
      </c>
      <c r="D26092" s="56">
        <v>0.1015560909451118</v>
      </c>
      <c r="E26092" s="224" t="s">
        <v>2</v>
      </c>
      <c r="G26092" s="52"/>
      <c r="H26092" s="56"/>
      <c r="I26092" s="224"/>
    </row>
    <row r="26093" spans="1:9" x14ac:dyDescent="0.25">
      <c r="A26093" s="515">
        <v>26568</v>
      </c>
      <c r="B26093" s="515" t="s">
        <v>347</v>
      </c>
      <c r="C26093" s="52">
        <v>87140.922355805698</v>
      </c>
      <c r="D26093" s="56">
        <v>-2.7986083984791379E-2</v>
      </c>
      <c r="E26093" s="224" t="s">
        <v>2</v>
      </c>
      <c r="G26093" s="52"/>
      <c r="H26093" s="56"/>
      <c r="I26093" s="224"/>
    </row>
    <row r="26094" spans="1:9" x14ac:dyDescent="0.25">
      <c r="A26094" s="515">
        <v>12720</v>
      </c>
      <c r="C26094" s="52">
        <v>262270.45014882903</v>
      </c>
      <c r="D26094" s="56">
        <v>0.12788296898591231</v>
      </c>
      <c r="E26094" s="224" t="s">
        <v>2</v>
      </c>
      <c r="G26094" s="52"/>
      <c r="H26094" s="56"/>
      <c r="I26094" s="224"/>
    </row>
    <row r="26095" spans="1:9" x14ac:dyDescent="0.25">
      <c r="A26095" s="515">
        <v>59931</v>
      </c>
      <c r="C26095" s="52">
        <v>974385.89883044001</v>
      </c>
      <c r="D26095" s="56">
        <v>0.13047271124561954</v>
      </c>
      <c r="E26095" s="224" t="s">
        <v>2</v>
      </c>
      <c r="G26095" s="52"/>
      <c r="H26095" s="56"/>
      <c r="I26095" s="224"/>
    </row>
    <row r="26096" spans="1:9" x14ac:dyDescent="0.25">
      <c r="A26096" s="515">
        <v>8212</v>
      </c>
      <c r="B26096" s="515" t="s">
        <v>653</v>
      </c>
      <c r="C26096" s="52">
        <v>1227119.8565511601</v>
      </c>
      <c r="D26096" s="56">
        <v>4.6420800456109773E-2</v>
      </c>
      <c r="E26096" s="224" t="s">
        <v>2</v>
      </c>
      <c r="G26096" s="52"/>
      <c r="H26096" s="56"/>
      <c r="I26096" s="224"/>
    </row>
    <row r="26097" spans="1:9" x14ac:dyDescent="0.25">
      <c r="A26097" s="515">
        <v>50439</v>
      </c>
      <c r="C26097" s="52">
        <v>96204.731689907101</v>
      </c>
      <c r="D26097" s="56">
        <v>4.6044764190443753E-2</v>
      </c>
      <c r="E26097" s="224" t="s">
        <v>2</v>
      </c>
      <c r="G26097" s="52"/>
      <c r="H26097" s="56"/>
      <c r="I26097" s="224"/>
    </row>
    <row r="26098" spans="1:9" x14ac:dyDescent="0.25">
      <c r="A26098" s="515">
        <v>92341</v>
      </c>
      <c r="B26098" s="515" t="s">
        <v>599</v>
      </c>
      <c r="C26098" s="52">
        <v>342959.243343446</v>
      </c>
      <c r="D26098" s="56">
        <v>5.6442549284619281E-2</v>
      </c>
      <c r="E26098" s="224" t="s">
        <v>2</v>
      </c>
      <c r="G26098" s="52"/>
      <c r="H26098" s="56"/>
      <c r="I26098" s="224"/>
    </row>
    <row r="26099" spans="1:9" x14ac:dyDescent="0.25">
      <c r="A26099" s="515">
        <v>67134</v>
      </c>
      <c r="C26099" s="52">
        <v>109551.299932814</v>
      </c>
      <c r="D26099" s="56">
        <v>0.14742760144854608</v>
      </c>
      <c r="E26099" s="224" t="s">
        <v>2</v>
      </c>
      <c r="G26099" s="52"/>
      <c r="H26099" s="56"/>
      <c r="I26099" s="224"/>
    </row>
    <row r="26100" spans="1:9" x14ac:dyDescent="0.25">
      <c r="A26100" s="515">
        <v>43033</v>
      </c>
      <c r="B26100" s="515" t="s">
        <v>345</v>
      </c>
      <c r="C26100" s="52">
        <v>198024.64426074899</v>
      </c>
      <c r="D26100" s="56">
        <v>8.4776144268746051E-2</v>
      </c>
      <c r="E26100" s="224" t="s">
        <v>2</v>
      </c>
      <c r="G26100" s="52"/>
      <c r="H26100" s="56"/>
      <c r="I26100" s="224"/>
    </row>
    <row r="26101" spans="1:9" x14ac:dyDescent="0.25">
      <c r="A26101" s="515">
        <v>16879</v>
      </c>
      <c r="B26101" s="515" t="s">
        <v>876</v>
      </c>
      <c r="C26101" s="52">
        <v>68911.369565217305</v>
      </c>
      <c r="D26101" s="56">
        <v>0</v>
      </c>
      <c r="E26101" s="224" t="s">
        <v>2</v>
      </c>
      <c r="G26101" s="52"/>
      <c r="H26101" s="56"/>
      <c r="I26101" s="224"/>
    </row>
    <row r="26102" spans="1:9" x14ac:dyDescent="0.25">
      <c r="A26102" s="515">
        <v>67572</v>
      </c>
      <c r="C26102" s="52">
        <v>100029.206153376</v>
      </c>
      <c r="D26102" s="56">
        <v>3.4834918317455159E-2</v>
      </c>
      <c r="E26102" s="224" t="s">
        <v>2</v>
      </c>
      <c r="G26102" s="52"/>
      <c r="H26102" s="56"/>
      <c r="I26102" s="224"/>
    </row>
    <row r="26103" spans="1:9" x14ac:dyDescent="0.25">
      <c r="A26103" s="515">
        <v>95941</v>
      </c>
      <c r="B26103" s="515" t="s">
        <v>580</v>
      </c>
      <c r="C26103" s="52">
        <v>267662.646394449</v>
      </c>
      <c r="D26103" s="56">
        <v>-4.413793086798895E-2</v>
      </c>
      <c r="E26103" s="224" t="s">
        <v>2</v>
      </c>
      <c r="G26103" s="52"/>
      <c r="H26103" s="56"/>
      <c r="I26103" s="224"/>
    </row>
    <row r="26104" spans="1:9" x14ac:dyDescent="0.25">
      <c r="A26104" s="515">
        <v>68846</v>
      </c>
      <c r="C26104" s="52">
        <v>209241.926039307</v>
      </c>
      <c r="D26104" s="56">
        <v>9.1692478458594268E-2</v>
      </c>
      <c r="E26104" s="224" t="s">
        <v>2</v>
      </c>
      <c r="G26104" s="52"/>
      <c r="H26104" s="56"/>
      <c r="I26104" s="224"/>
    </row>
    <row r="26105" spans="1:9" x14ac:dyDescent="0.25">
      <c r="A26105" s="515">
        <v>15641</v>
      </c>
      <c r="B26105" s="515" t="s">
        <v>297</v>
      </c>
      <c r="C26105" s="52">
        <v>119158.720588235</v>
      </c>
      <c r="D26105" s="56">
        <v>0</v>
      </c>
      <c r="E26105" s="224" t="s">
        <v>2</v>
      </c>
      <c r="G26105" s="52"/>
      <c r="H26105" s="56"/>
      <c r="I26105" s="224"/>
    </row>
    <row r="26106" spans="1:9" x14ac:dyDescent="0.25">
      <c r="A26106" s="515">
        <v>95251</v>
      </c>
      <c r="C26106" s="52">
        <v>340628.837209302</v>
      </c>
      <c r="D26106" s="56">
        <v>0</v>
      </c>
      <c r="E26106" s="224" t="s">
        <v>2</v>
      </c>
      <c r="G26106" s="52"/>
      <c r="H26106" s="56"/>
      <c r="I26106" s="224"/>
    </row>
    <row r="26107" spans="1:9" x14ac:dyDescent="0.25">
      <c r="A26107" s="515">
        <v>16132</v>
      </c>
      <c r="B26107" s="515" t="s">
        <v>652</v>
      </c>
      <c r="C26107" s="52">
        <v>98154.332269334394</v>
      </c>
      <c r="D26107" s="56">
        <v>0.26847112924390254</v>
      </c>
      <c r="E26107" s="224" t="s">
        <v>2</v>
      </c>
      <c r="G26107" s="52"/>
      <c r="H26107" s="56"/>
      <c r="I26107" s="224"/>
    </row>
    <row r="26108" spans="1:9" x14ac:dyDescent="0.25">
      <c r="A26108" s="515">
        <v>68728</v>
      </c>
      <c r="B26108" s="515" t="s">
        <v>649</v>
      </c>
      <c r="C26108" s="52">
        <v>142716.702820231</v>
      </c>
      <c r="D26108" s="56">
        <v>6.3569125330419612E-2</v>
      </c>
      <c r="E26108" s="224" t="s">
        <v>2</v>
      </c>
      <c r="G26108" s="52"/>
      <c r="H26108" s="56"/>
      <c r="I26108" s="224"/>
    </row>
    <row r="26109" spans="1:9" x14ac:dyDescent="0.25">
      <c r="A26109" s="515">
        <v>42254</v>
      </c>
      <c r="B26109" s="515" t="s">
        <v>651</v>
      </c>
      <c r="C26109" s="52">
        <v>129462.99213903899</v>
      </c>
      <c r="D26109" s="56">
        <v>0.12478010675297017</v>
      </c>
      <c r="E26109" s="224" t="s">
        <v>2</v>
      </c>
      <c r="G26109" s="52"/>
      <c r="H26109" s="56"/>
      <c r="I26109" s="224"/>
    </row>
    <row r="26110" spans="1:9" x14ac:dyDescent="0.25">
      <c r="A26110" s="515">
        <v>68816</v>
      </c>
      <c r="B26110" s="515" t="s">
        <v>650</v>
      </c>
      <c r="C26110" s="52">
        <v>233685.741745017</v>
      </c>
      <c r="D26110" s="56">
        <v>9.6298982390179533E-2</v>
      </c>
      <c r="E26110" s="224" t="s">
        <v>2</v>
      </c>
      <c r="G26110" s="52"/>
      <c r="H26110" s="56"/>
      <c r="I26110" s="224"/>
    </row>
    <row r="26111" spans="1:9" x14ac:dyDescent="0.25">
      <c r="A26111" s="515">
        <v>46376</v>
      </c>
      <c r="B26111" s="515" t="s">
        <v>394</v>
      </c>
      <c r="C26111" s="52">
        <v>147571.746030863</v>
      </c>
      <c r="D26111" s="56">
        <v>0.10878065908126203</v>
      </c>
      <c r="E26111" s="224" t="s">
        <v>2</v>
      </c>
      <c r="G26111" s="52"/>
      <c r="H26111" s="56"/>
      <c r="I26111" s="224"/>
    </row>
    <row r="26112" spans="1:9" x14ac:dyDescent="0.25">
      <c r="A26112" s="515">
        <v>21052</v>
      </c>
      <c r="B26112" s="515" t="s">
        <v>582</v>
      </c>
      <c r="C26112" s="52">
        <v>297647.97695068002</v>
      </c>
      <c r="D26112" s="56">
        <v>0</v>
      </c>
      <c r="E26112" s="224" t="s">
        <v>2</v>
      </c>
      <c r="G26112" s="52"/>
      <c r="H26112" s="56"/>
      <c r="I26112" s="224"/>
    </row>
    <row r="26113" spans="1:9" x14ac:dyDescent="0.25">
      <c r="A26113" s="515">
        <v>17266</v>
      </c>
      <c r="B26113" s="515" t="s">
        <v>428</v>
      </c>
      <c r="C26113" s="52">
        <v>207710.97060210901</v>
      </c>
      <c r="D26113" s="56">
        <v>7.1005041090874355E-2</v>
      </c>
      <c r="E26113" s="224" t="s">
        <v>2</v>
      </c>
      <c r="G26113" s="52"/>
      <c r="H26113" s="56"/>
      <c r="I26113" s="224"/>
    </row>
    <row r="26114" spans="1:9" x14ac:dyDescent="0.25">
      <c r="A26114" s="515">
        <v>12024</v>
      </c>
      <c r="B26114" s="515" t="s">
        <v>564</v>
      </c>
      <c r="C26114" s="52">
        <v>367146.24397487502</v>
      </c>
      <c r="D26114" s="56">
        <v>0.11586677422525463</v>
      </c>
      <c r="E26114" s="224" t="s">
        <v>2</v>
      </c>
      <c r="G26114" s="52"/>
      <c r="H26114" s="56"/>
      <c r="I26114" s="224"/>
    </row>
    <row r="26115" spans="1:9" x14ac:dyDescent="0.25">
      <c r="A26115" s="515">
        <v>97874</v>
      </c>
      <c r="C26115" s="52">
        <v>330118.09388938901</v>
      </c>
      <c r="D26115" s="56">
        <v>8.9070358865227212E-2</v>
      </c>
      <c r="E26115" s="224" t="s">
        <v>2</v>
      </c>
      <c r="G26115" s="52"/>
      <c r="H26115" s="56"/>
      <c r="I26115" s="224"/>
    </row>
    <row r="26116" spans="1:9" x14ac:dyDescent="0.25">
      <c r="A26116" s="515">
        <v>17550</v>
      </c>
      <c r="B26116" s="515" t="s">
        <v>537</v>
      </c>
      <c r="C26116" s="52">
        <v>259333.46217550401</v>
      </c>
      <c r="D26116" s="56">
        <v>0.10039984480262246</v>
      </c>
      <c r="E26116" s="224" t="s">
        <v>2</v>
      </c>
      <c r="G26116" s="52"/>
      <c r="H26116" s="56"/>
      <c r="I26116" s="224"/>
    </row>
    <row r="26117" spans="1:9" x14ac:dyDescent="0.25">
      <c r="A26117" s="515">
        <v>25102</v>
      </c>
      <c r="B26117" s="515" t="s">
        <v>322</v>
      </c>
      <c r="C26117" s="52">
        <v>53222</v>
      </c>
      <c r="D26117" s="56">
        <v>0</v>
      </c>
      <c r="E26117" s="224" t="s">
        <v>2</v>
      </c>
      <c r="G26117" s="52"/>
      <c r="H26117" s="56"/>
      <c r="I26117" s="224"/>
    </row>
    <row r="26118" spans="1:9" x14ac:dyDescent="0.25">
      <c r="A26118" s="515">
        <v>37305</v>
      </c>
      <c r="C26118" s="52">
        <v>121035.13979944</v>
      </c>
      <c r="D26118" s="56">
        <v>0</v>
      </c>
      <c r="E26118" s="224" t="s">
        <v>2</v>
      </c>
      <c r="G26118" s="52"/>
      <c r="H26118" s="56"/>
      <c r="I26118" s="224"/>
    </row>
    <row r="26119" spans="1:9" x14ac:dyDescent="0.25">
      <c r="A26119" s="515">
        <v>25922</v>
      </c>
      <c r="B26119" s="515" t="s">
        <v>306</v>
      </c>
      <c r="C26119" s="52">
        <v>151291.25413055401</v>
      </c>
      <c r="D26119" s="56">
        <v>0.17693751655623471</v>
      </c>
      <c r="E26119" s="224" t="s">
        <v>2</v>
      </c>
      <c r="G26119" s="52"/>
      <c r="H26119" s="56"/>
      <c r="I26119" s="224"/>
    </row>
    <row r="26120" spans="1:9" x14ac:dyDescent="0.25">
      <c r="A26120" s="515">
        <v>83867</v>
      </c>
      <c r="C26120" s="52">
        <v>277939.57986894698</v>
      </c>
      <c r="D26120" s="56">
        <v>0</v>
      </c>
      <c r="E26120" s="224" t="s">
        <v>2</v>
      </c>
      <c r="G26120" s="52"/>
      <c r="H26120" s="56"/>
      <c r="I26120" s="224"/>
    </row>
    <row r="26121" spans="1:9" x14ac:dyDescent="0.25">
      <c r="A26121" s="515">
        <v>98943</v>
      </c>
      <c r="B26121" s="515" t="s">
        <v>473</v>
      </c>
      <c r="C26121" s="52">
        <v>375528.60331456899</v>
      </c>
      <c r="D26121" s="56">
        <v>6.4990513326130235E-3</v>
      </c>
      <c r="E26121" s="224" t="s">
        <v>2</v>
      </c>
      <c r="G26121" s="52"/>
      <c r="H26121" s="56"/>
      <c r="I26121" s="224"/>
    </row>
    <row r="26122" spans="1:9" x14ac:dyDescent="0.25">
      <c r="A26122" s="515">
        <v>55722</v>
      </c>
      <c r="B26122" s="515" t="s">
        <v>590</v>
      </c>
      <c r="C26122" s="52">
        <v>185367.622958211</v>
      </c>
      <c r="D26122" s="56">
        <v>4.3053307226717602E-2</v>
      </c>
      <c r="E26122" s="224" t="s">
        <v>2</v>
      </c>
      <c r="G26122" s="52"/>
      <c r="H26122" s="56"/>
      <c r="I26122" s="224"/>
    </row>
    <row r="26123" spans="1:9" x14ac:dyDescent="0.25">
      <c r="A26123" s="515">
        <v>82842</v>
      </c>
      <c r="B26123" s="515" t="s">
        <v>648</v>
      </c>
      <c r="C26123" s="52">
        <v>403691.29953749699</v>
      </c>
      <c r="D26123" s="56">
        <v>6.4840344915958706E-2</v>
      </c>
      <c r="E26123" s="224" t="s">
        <v>2</v>
      </c>
      <c r="G26123" s="52"/>
      <c r="H26123" s="56"/>
      <c r="I26123" s="224"/>
    </row>
    <row r="26124" spans="1:9" x14ac:dyDescent="0.25">
      <c r="A26124" s="515">
        <v>80824</v>
      </c>
      <c r="C26124" s="52">
        <v>200495.089285478</v>
      </c>
      <c r="D26124" s="56">
        <v>0</v>
      </c>
      <c r="E26124" s="224" t="s">
        <v>2</v>
      </c>
      <c r="G26124" s="52"/>
      <c r="H26124" s="56"/>
      <c r="I26124" s="224"/>
    </row>
    <row r="26125" spans="1:9" x14ac:dyDescent="0.25">
      <c r="A26125" s="515">
        <v>60928</v>
      </c>
      <c r="C26125" s="52">
        <v>110648.929858199</v>
      </c>
      <c r="D26125" s="56">
        <v>0</v>
      </c>
      <c r="E26125" s="224" t="s">
        <v>2</v>
      </c>
      <c r="G26125" s="52"/>
      <c r="H26125" s="56"/>
      <c r="I26125" s="224"/>
    </row>
    <row r="26126" spans="1:9" x14ac:dyDescent="0.25">
      <c r="A26126" s="515">
        <v>41535</v>
      </c>
      <c r="C26126" s="52">
        <v>85226.155363854195</v>
      </c>
      <c r="D26126" s="56">
        <v>0.16298215764070245</v>
      </c>
      <c r="E26126" s="224" t="s">
        <v>2</v>
      </c>
      <c r="G26126" s="52"/>
      <c r="H26126" s="56"/>
      <c r="I26126" s="224"/>
    </row>
    <row r="26127" spans="1:9" x14ac:dyDescent="0.25">
      <c r="A26127" s="515">
        <v>79852</v>
      </c>
      <c r="C26127" s="52">
        <v>215814.99796622101</v>
      </c>
      <c r="D26127" s="56">
        <v>0</v>
      </c>
      <c r="E26127" s="224" t="s">
        <v>2</v>
      </c>
      <c r="G26127" s="52"/>
      <c r="H26127" s="56"/>
      <c r="I26127" s="224"/>
    </row>
    <row r="26128" spans="1:9" x14ac:dyDescent="0.25">
      <c r="A26128" s="515">
        <v>24413</v>
      </c>
      <c r="C26128" s="52">
        <v>224730.407558368</v>
      </c>
      <c r="D26128" s="56">
        <v>0.11857899320129711</v>
      </c>
      <c r="E26128" s="224" t="s">
        <v>2</v>
      </c>
      <c r="G26128" s="52"/>
      <c r="H26128" s="56"/>
      <c r="I26128" s="224"/>
    </row>
    <row r="26129" spans="1:9" x14ac:dyDescent="0.25">
      <c r="A26129" s="515">
        <v>12812</v>
      </c>
      <c r="C26129" s="52">
        <v>317399.69776429399</v>
      </c>
      <c r="D26129" s="56">
        <v>0.11155338636438258</v>
      </c>
      <c r="E26129" s="224" t="s">
        <v>2</v>
      </c>
      <c r="G26129" s="52"/>
      <c r="H26129" s="56"/>
      <c r="I26129" s="224"/>
    </row>
    <row r="26130" spans="1:9" x14ac:dyDescent="0.25">
      <c r="A26130" s="515">
        <v>80834</v>
      </c>
      <c r="C26130" s="52">
        <v>203577.904287688</v>
      </c>
      <c r="D26130" s="56">
        <v>0</v>
      </c>
      <c r="E26130" s="224" t="s">
        <v>2</v>
      </c>
      <c r="G26130" s="52"/>
      <c r="H26130" s="56"/>
      <c r="I26130" s="224"/>
    </row>
    <row r="26131" spans="1:9" x14ac:dyDescent="0.25">
      <c r="A26131" s="515">
        <v>13846</v>
      </c>
      <c r="C26131" s="52">
        <v>206409.07142857101</v>
      </c>
      <c r="D26131" s="56">
        <v>0</v>
      </c>
      <c r="E26131" s="224" t="s">
        <v>2</v>
      </c>
      <c r="G26131" s="52"/>
      <c r="H26131" s="56"/>
      <c r="I26131" s="224"/>
    </row>
    <row r="26132" spans="1:9" x14ac:dyDescent="0.25">
      <c r="A26132" s="515">
        <v>82945</v>
      </c>
      <c r="B26132" s="515" t="s">
        <v>646</v>
      </c>
      <c r="C26132" s="52">
        <v>80532.830261168303</v>
      </c>
      <c r="D26132" s="56">
        <v>-1.4597923580063907E-2</v>
      </c>
      <c r="E26132" s="224" t="s">
        <v>2</v>
      </c>
      <c r="G26132" s="52"/>
      <c r="H26132" s="56"/>
      <c r="I26132" s="224"/>
    </row>
    <row r="26133" spans="1:9" x14ac:dyDescent="0.25">
      <c r="A26133" s="515">
        <v>4050</v>
      </c>
      <c r="B26133" s="515" t="s">
        <v>570</v>
      </c>
      <c r="C26133" s="52">
        <v>502259.80313353601</v>
      </c>
      <c r="D26133" s="56">
        <v>-3.3904273058245525E-2</v>
      </c>
      <c r="E26133" s="224" t="s">
        <v>2</v>
      </c>
      <c r="G26133" s="52"/>
      <c r="H26133" s="56"/>
      <c r="I26133" s="224"/>
    </row>
    <row r="26134" spans="1:9" x14ac:dyDescent="0.25">
      <c r="A26134" s="515">
        <v>85920</v>
      </c>
      <c r="C26134" s="52">
        <v>369122.42196531699</v>
      </c>
      <c r="D26134" s="56">
        <v>0</v>
      </c>
      <c r="E26134" s="224" t="s">
        <v>2</v>
      </c>
      <c r="G26134" s="52"/>
      <c r="H26134" s="56"/>
      <c r="I26134" s="224"/>
    </row>
    <row r="26135" spans="1:9" x14ac:dyDescent="0.25">
      <c r="A26135" s="515">
        <v>25059</v>
      </c>
      <c r="B26135" s="515" t="s">
        <v>566</v>
      </c>
      <c r="C26135" s="52">
        <v>89513.437484176102</v>
      </c>
      <c r="D26135" s="56">
        <v>0.153033793920965</v>
      </c>
      <c r="E26135" s="224" t="s">
        <v>2</v>
      </c>
      <c r="G26135" s="52"/>
      <c r="H26135" s="56"/>
      <c r="I26135" s="224"/>
    </row>
    <row r="26136" spans="1:9" x14ac:dyDescent="0.25">
      <c r="A26136" s="515">
        <v>97364</v>
      </c>
      <c r="B26136" s="515" t="s">
        <v>618</v>
      </c>
      <c r="C26136" s="52">
        <v>492383.63226037403</v>
      </c>
      <c r="D26136" s="56">
        <v>5.2132432933690451E-2</v>
      </c>
      <c r="E26136" s="224" t="s">
        <v>2</v>
      </c>
      <c r="G26136" s="52"/>
      <c r="H26136" s="56"/>
      <c r="I26136" s="224"/>
    </row>
    <row r="26137" spans="1:9" x14ac:dyDescent="0.25">
      <c r="A26137" s="515">
        <v>67623</v>
      </c>
      <c r="C26137" s="52">
        <v>92596.228986595597</v>
      </c>
      <c r="D26137" s="56">
        <v>0.19682720597331066</v>
      </c>
      <c r="E26137" s="224" t="s">
        <v>2</v>
      </c>
      <c r="G26137" s="52"/>
      <c r="H26137" s="56"/>
      <c r="I26137" s="224"/>
    </row>
    <row r="26138" spans="1:9" x14ac:dyDescent="0.25">
      <c r="A26138" s="515">
        <v>13162</v>
      </c>
      <c r="B26138" s="515" t="s">
        <v>543</v>
      </c>
      <c r="C26138" s="52">
        <v>170077.37526259499</v>
      </c>
      <c r="D26138" s="56">
        <v>8.8121869479644371E-2</v>
      </c>
      <c r="E26138" s="224" t="s">
        <v>2</v>
      </c>
      <c r="G26138" s="52"/>
      <c r="H26138" s="56"/>
      <c r="I26138" s="224"/>
    </row>
    <row r="26139" spans="1:9" x14ac:dyDescent="0.25">
      <c r="A26139" s="515">
        <v>59250</v>
      </c>
      <c r="C26139" s="52">
        <v>254457.231958196</v>
      </c>
      <c r="D26139" s="56">
        <v>1.7662211119696101E-2</v>
      </c>
      <c r="E26139" s="224" t="s">
        <v>2</v>
      </c>
      <c r="G26139" s="52"/>
      <c r="H26139" s="56"/>
      <c r="I26139" s="224"/>
    </row>
    <row r="26140" spans="1:9" x14ac:dyDescent="0.25">
      <c r="A26140" s="515">
        <v>60537</v>
      </c>
      <c r="B26140" s="515" t="s">
        <v>556</v>
      </c>
      <c r="C26140" s="52">
        <v>217009.07000089201</v>
      </c>
      <c r="D26140" s="56">
        <v>6.2004435906812753E-2</v>
      </c>
      <c r="E26140" s="224" t="s">
        <v>2</v>
      </c>
      <c r="G26140" s="52"/>
      <c r="H26140" s="56"/>
      <c r="I26140" s="224"/>
    </row>
    <row r="26141" spans="1:9" x14ac:dyDescent="0.25">
      <c r="A26141" s="515">
        <v>25024</v>
      </c>
      <c r="B26141" s="515" t="s">
        <v>322</v>
      </c>
      <c r="C26141" s="52">
        <v>66645.490103579403</v>
      </c>
      <c r="D26141" s="56">
        <v>7.3589816799309066E-2</v>
      </c>
      <c r="E26141" s="224" t="s">
        <v>2</v>
      </c>
      <c r="G26141" s="52"/>
      <c r="H26141" s="56"/>
      <c r="I26141" s="224"/>
    </row>
    <row r="26142" spans="1:9" x14ac:dyDescent="0.25">
      <c r="A26142" s="515">
        <v>95459</v>
      </c>
      <c r="B26142" s="515" t="s">
        <v>644</v>
      </c>
      <c r="C26142" s="52">
        <v>617653.00365426298</v>
      </c>
      <c r="D26142" s="56">
        <v>-3.3783263370044447E-2</v>
      </c>
      <c r="E26142" s="224" t="s">
        <v>2</v>
      </c>
      <c r="G26142" s="52"/>
      <c r="H26142" s="56"/>
      <c r="I26142" s="224"/>
    </row>
    <row r="26143" spans="1:9" x14ac:dyDescent="0.25">
      <c r="A26143" s="515">
        <v>26521</v>
      </c>
      <c r="B26143" s="515" t="s">
        <v>643</v>
      </c>
      <c r="C26143" s="52">
        <v>136770.560926468</v>
      </c>
      <c r="D26143" s="56">
        <v>8.3116085881907109E-2</v>
      </c>
      <c r="E26143" s="224" t="s">
        <v>2</v>
      </c>
      <c r="G26143" s="52"/>
      <c r="H26143" s="56"/>
      <c r="I26143" s="224"/>
    </row>
    <row r="26144" spans="1:9" x14ac:dyDescent="0.25">
      <c r="A26144" s="515">
        <v>83821</v>
      </c>
      <c r="B26144" s="515" t="s">
        <v>623</v>
      </c>
      <c r="C26144" s="52">
        <v>1004161.19047641</v>
      </c>
      <c r="D26144" s="56">
        <v>3.0879163772921311E-2</v>
      </c>
      <c r="E26144" s="224" t="s">
        <v>2</v>
      </c>
      <c r="G26144" s="52"/>
      <c r="H26144" s="56"/>
      <c r="I26144" s="224"/>
    </row>
    <row r="26145" spans="1:9" x14ac:dyDescent="0.25">
      <c r="A26145" s="515">
        <v>50239</v>
      </c>
      <c r="B26145" s="515" t="s">
        <v>642</v>
      </c>
      <c r="C26145" s="52">
        <v>128469.92255869901</v>
      </c>
      <c r="D26145" s="56">
        <v>0</v>
      </c>
      <c r="E26145" s="224" t="s">
        <v>2</v>
      </c>
      <c r="G26145" s="52"/>
      <c r="H26145" s="56"/>
      <c r="I26145" s="224"/>
    </row>
    <row r="26146" spans="1:9" x14ac:dyDescent="0.25">
      <c r="A26146" s="515">
        <v>55764</v>
      </c>
      <c r="B26146" s="515" t="s">
        <v>590</v>
      </c>
      <c r="C26146" s="52">
        <v>120838.59845268499</v>
      </c>
      <c r="D26146" s="56">
        <v>0</v>
      </c>
      <c r="E26146" s="224" t="s">
        <v>2</v>
      </c>
      <c r="G26146" s="52"/>
      <c r="H26146" s="56"/>
      <c r="I26146" s="224"/>
    </row>
    <row r="26147" spans="1:9" x14ac:dyDescent="0.25">
      <c r="A26147" s="515">
        <v>58744</v>
      </c>
      <c r="B26147" s="515" t="s">
        <v>849</v>
      </c>
      <c r="C26147" s="52">
        <v>55904.3126069754</v>
      </c>
      <c r="D26147" s="56">
        <v>0</v>
      </c>
      <c r="E26147" s="224" t="s">
        <v>2</v>
      </c>
      <c r="G26147" s="52"/>
      <c r="H26147" s="56"/>
      <c r="I26147" s="224"/>
    </row>
    <row r="26148" spans="1:9" x14ac:dyDescent="0.25">
      <c r="A26148" s="515">
        <v>28581</v>
      </c>
      <c r="B26148" s="515" t="s">
        <v>641</v>
      </c>
      <c r="C26148" s="52">
        <v>209602.802598679</v>
      </c>
      <c r="D26148" s="56">
        <v>0.15716929169913429</v>
      </c>
      <c r="E26148" s="224" t="s">
        <v>2</v>
      </c>
      <c r="G26148" s="52"/>
      <c r="H26148" s="56"/>
      <c r="I26148" s="224"/>
    </row>
    <row r="26149" spans="1:9" x14ac:dyDescent="0.25">
      <c r="A26149" s="515">
        <v>47514</v>
      </c>
      <c r="C26149" s="52">
        <v>188414.04220270901</v>
      </c>
      <c r="D26149" s="56">
        <v>5.2270139979196988E-2</v>
      </c>
      <c r="E26149" s="224" t="s">
        <v>2</v>
      </c>
      <c r="G26149" s="52"/>
      <c r="H26149" s="56"/>
      <c r="I26149" s="224"/>
    </row>
    <row r="26150" spans="1:9" x14ac:dyDescent="0.25">
      <c r="A26150" s="515">
        <v>12770</v>
      </c>
      <c r="C26150" s="52">
        <v>304683.43392600701</v>
      </c>
      <c r="D26150" s="56">
        <v>0.18280301014360076</v>
      </c>
      <c r="E26150" s="224" t="s">
        <v>2</v>
      </c>
      <c r="G26150" s="52"/>
      <c r="H26150" s="56"/>
      <c r="I26150" s="224"/>
    </row>
    <row r="26151" spans="1:9" x14ac:dyDescent="0.25">
      <c r="A26151" s="515">
        <v>93244</v>
      </c>
      <c r="B26151" s="515" t="s">
        <v>358</v>
      </c>
      <c r="C26151" s="52">
        <v>322625.640635975</v>
      </c>
      <c r="D26151" s="56">
        <v>-1.81749223352617E-2</v>
      </c>
      <c r="E26151" s="224" t="s">
        <v>2</v>
      </c>
      <c r="G26151" s="52"/>
      <c r="H26151" s="56"/>
      <c r="I26151" s="224"/>
    </row>
    <row r="26152" spans="1:9" x14ac:dyDescent="0.25">
      <c r="A26152" s="515">
        <v>67423</v>
      </c>
      <c r="C26152" s="52">
        <v>114124.14473035101</v>
      </c>
      <c r="D26152" s="56">
        <v>8.5203737756007508E-2</v>
      </c>
      <c r="E26152" s="224" t="s">
        <v>2</v>
      </c>
      <c r="G26152" s="52"/>
      <c r="H26152" s="56"/>
      <c r="I26152" s="224"/>
    </row>
    <row r="26153" spans="1:9" x14ac:dyDescent="0.25">
      <c r="A26153" s="515">
        <v>97135</v>
      </c>
      <c r="C26153" s="52">
        <v>616169.60701095394</v>
      </c>
      <c r="D26153" s="56">
        <v>5.1157566967258254E-2</v>
      </c>
      <c r="E26153" s="224" t="s">
        <v>2</v>
      </c>
      <c r="G26153" s="52"/>
      <c r="H26153" s="56"/>
      <c r="I26153" s="224"/>
    </row>
    <row r="26154" spans="1:9" x14ac:dyDescent="0.25">
      <c r="A26154" s="515">
        <v>8006</v>
      </c>
      <c r="B26154" s="515" t="s">
        <v>324</v>
      </c>
      <c r="C26154" s="52">
        <v>1181625.4216525699</v>
      </c>
      <c r="D26154" s="56">
        <v>5.3178622000914735E-2</v>
      </c>
      <c r="E26154" s="224" t="s">
        <v>2</v>
      </c>
      <c r="G26154" s="52"/>
      <c r="H26154" s="56"/>
      <c r="I26154" s="224"/>
    </row>
    <row r="26155" spans="1:9" x14ac:dyDescent="0.25">
      <c r="A26155" s="515">
        <v>95936</v>
      </c>
      <c r="C26155" s="52">
        <v>331091.61152609298</v>
      </c>
      <c r="D26155" s="56">
        <v>0.12499946529859685</v>
      </c>
      <c r="E26155" s="224" t="s">
        <v>2</v>
      </c>
      <c r="G26155" s="52"/>
      <c r="H26155" s="56"/>
      <c r="I26155" s="224"/>
    </row>
    <row r="26156" spans="1:9" x14ac:dyDescent="0.25">
      <c r="A26156" s="515">
        <v>68623</v>
      </c>
      <c r="C26156" s="52">
        <v>104465.16109402799</v>
      </c>
      <c r="D26156" s="56">
        <v>3.6218315722513154E-2</v>
      </c>
      <c r="E26156" s="224" t="s">
        <v>2</v>
      </c>
      <c r="G26156" s="52"/>
      <c r="H26156" s="56"/>
      <c r="I26156" s="224"/>
    </row>
    <row r="26157" spans="1:9" x14ac:dyDescent="0.25">
      <c r="A26157" s="515">
        <v>51365</v>
      </c>
      <c r="C26157" s="52">
        <v>117247.535311068</v>
      </c>
      <c r="D26157" s="56">
        <v>8.5457803077026273E-2</v>
      </c>
      <c r="E26157" s="224" t="s">
        <v>2</v>
      </c>
      <c r="G26157" s="52"/>
      <c r="H26157" s="56"/>
      <c r="I26157" s="224"/>
    </row>
    <row r="26158" spans="1:9" x14ac:dyDescent="0.25">
      <c r="A26158" s="515">
        <v>15435</v>
      </c>
      <c r="B26158" s="515" t="s">
        <v>297</v>
      </c>
      <c r="C26158" s="52">
        <v>40137.020330217398</v>
      </c>
      <c r="D26158" s="56">
        <v>0.15314170988032155</v>
      </c>
      <c r="E26158" s="224" t="s">
        <v>2</v>
      </c>
      <c r="G26158" s="52"/>
      <c r="H26158" s="56"/>
      <c r="I26158" s="224"/>
    </row>
    <row r="26159" spans="1:9" x14ac:dyDescent="0.25">
      <c r="A26159" s="515">
        <v>59914</v>
      </c>
      <c r="C26159" s="52">
        <v>706098.92611306603</v>
      </c>
      <c r="D26159" s="56">
        <v>0.12322303074940902</v>
      </c>
      <c r="E26159" s="224" t="s">
        <v>2</v>
      </c>
      <c r="G26159" s="52"/>
      <c r="H26159" s="56"/>
      <c r="I26159" s="224"/>
    </row>
    <row r="26160" spans="1:9" x14ac:dyDescent="0.25">
      <c r="A26160" s="515">
        <v>15957</v>
      </c>
      <c r="B26160" s="515" t="s">
        <v>343</v>
      </c>
      <c r="C26160" s="52">
        <v>123714.06834053699</v>
      </c>
      <c r="D26160" s="56">
        <v>3.5399175128212182E-2</v>
      </c>
      <c r="E26160" s="224" t="s">
        <v>2</v>
      </c>
      <c r="G26160" s="52"/>
      <c r="H26160" s="56"/>
      <c r="I26160" s="224"/>
    </row>
    <row r="26161" spans="1:9" x14ac:dyDescent="0.25">
      <c r="A26161" s="515">
        <v>97130</v>
      </c>
      <c r="C26161" s="52">
        <v>757450.45390662597</v>
      </c>
      <c r="D26161" s="56">
        <v>9.0489289038202206E-2</v>
      </c>
      <c r="E26161" s="224" t="s">
        <v>2</v>
      </c>
      <c r="G26161" s="52"/>
      <c r="H26161" s="56"/>
      <c r="I26161" s="224"/>
    </row>
    <row r="26162" spans="1:9" x14ac:dyDescent="0.25">
      <c r="A26162" s="515">
        <v>54625</v>
      </c>
      <c r="C26162" s="52">
        <v>171900.13757082599</v>
      </c>
      <c r="D26162" s="56">
        <v>-1.207868506541559E-2</v>
      </c>
      <c r="E26162" s="224" t="s">
        <v>2</v>
      </c>
      <c r="G26162" s="52"/>
      <c r="H26162" s="56"/>
      <c r="I26162" s="224"/>
    </row>
    <row r="26163" spans="1:9" x14ac:dyDescent="0.25">
      <c r="A26163" s="515">
        <v>57065</v>
      </c>
      <c r="C26163" s="52">
        <v>194453.21649809601</v>
      </c>
      <c r="D26163" s="56">
        <v>0</v>
      </c>
      <c r="E26163" s="224" t="s">
        <v>2</v>
      </c>
      <c r="G26163" s="52"/>
      <c r="H26163" s="56"/>
      <c r="I26163" s="224"/>
    </row>
    <row r="26164" spans="1:9" x14ac:dyDescent="0.25">
      <c r="A26164" s="515">
        <v>66543</v>
      </c>
      <c r="B26164" s="515" t="s">
        <v>549</v>
      </c>
      <c r="C26164" s="52">
        <v>188714.366371421</v>
      </c>
      <c r="D26164" s="56">
        <v>2.8486502853295292E-2</v>
      </c>
      <c r="E26164" s="224" t="s">
        <v>2</v>
      </c>
      <c r="G26164" s="52"/>
      <c r="H26164" s="56"/>
      <c r="I26164" s="224"/>
    </row>
    <row r="26165" spans="1:9" x14ac:dyDescent="0.25">
      <c r="A26165" s="515">
        <v>15430</v>
      </c>
      <c r="B26165" s="515" t="s">
        <v>297</v>
      </c>
      <c r="C26165" s="52">
        <v>99326.678666769498</v>
      </c>
      <c r="D26165" s="56">
        <v>7.3911575671002497E-2</v>
      </c>
      <c r="E26165" s="224" t="s">
        <v>2</v>
      </c>
      <c r="G26165" s="52"/>
      <c r="H26165" s="56"/>
      <c r="I26165" s="224"/>
    </row>
    <row r="26166" spans="1:9" x14ac:dyDescent="0.25">
      <c r="A26166" s="515">
        <v>22476</v>
      </c>
      <c r="C26166" s="52">
        <v>200206.110003354</v>
      </c>
      <c r="D26166" s="56">
        <v>0.18197278610123901</v>
      </c>
      <c r="E26166" s="224" t="s">
        <v>2</v>
      </c>
      <c r="G26166" s="52"/>
      <c r="H26166" s="56"/>
      <c r="I26166" s="224"/>
    </row>
    <row r="26167" spans="1:9" x14ac:dyDescent="0.25">
      <c r="A26167" s="515">
        <v>52345</v>
      </c>
      <c r="B26167" s="515" t="s">
        <v>404</v>
      </c>
      <c r="C26167" s="52">
        <v>218176.20390754601</v>
      </c>
      <c r="D26167" s="56">
        <v>6.3399616822215121E-2</v>
      </c>
      <c r="E26167" s="224" t="s">
        <v>2</v>
      </c>
      <c r="G26167" s="52"/>
      <c r="H26167" s="56"/>
      <c r="I26167" s="224"/>
    </row>
    <row r="26168" spans="1:9" x14ac:dyDescent="0.25">
      <c r="A26168" s="515">
        <v>92339</v>
      </c>
      <c r="B26168" s="515" t="s">
        <v>599</v>
      </c>
      <c r="C26168" s="52">
        <v>350468.244276996</v>
      </c>
      <c r="D26168" s="56">
        <v>6.408996332473671E-2</v>
      </c>
      <c r="E26168" s="224" t="s">
        <v>2</v>
      </c>
      <c r="G26168" s="52"/>
      <c r="H26168" s="56"/>
      <c r="I26168" s="224"/>
    </row>
    <row r="26169" spans="1:9" x14ac:dyDescent="0.25">
      <c r="A26169" s="515">
        <v>80822</v>
      </c>
      <c r="C26169" s="52">
        <v>229380.67164280999</v>
      </c>
      <c r="D26169" s="56">
        <v>0</v>
      </c>
      <c r="E26169" s="224" t="s">
        <v>2</v>
      </c>
      <c r="G26169" s="52"/>
      <c r="H26169" s="56"/>
      <c r="I26169" s="224"/>
    </row>
    <row r="26170" spans="1:9" x14ac:dyDescent="0.25">
      <c r="A26170" s="515">
        <v>82420</v>
      </c>
      <c r="C26170" s="52">
        <v>294415.42637170298</v>
      </c>
      <c r="D26170" s="56">
        <v>7.6702453344775573E-2</v>
      </c>
      <c r="E26170" s="224" t="s">
        <v>2</v>
      </c>
      <c r="G26170" s="52"/>
      <c r="H26170" s="56"/>
      <c r="I26170" s="224"/>
    </row>
    <row r="26171" spans="1:9" x14ac:dyDescent="0.25">
      <c r="A26171" s="515">
        <v>95443</v>
      </c>
      <c r="B26171" s="515" t="s">
        <v>363</v>
      </c>
      <c r="C26171" s="52">
        <v>295318.27509018499</v>
      </c>
      <c r="D26171" s="56">
        <v>-3.0082780652302351E-2</v>
      </c>
      <c r="E26171" s="224" t="s">
        <v>2</v>
      </c>
      <c r="G26171" s="52"/>
      <c r="H26171" s="56"/>
      <c r="I26171" s="224"/>
    </row>
    <row r="26172" spans="1:9" x14ac:dyDescent="0.25">
      <c r="A26172" s="515">
        <v>28668</v>
      </c>
      <c r="C26172" s="52">
        <v>331836.928272177</v>
      </c>
      <c r="D26172" s="56">
        <v>9.2500630890376412E-2</v>
      </c>
      <c r="E26172" s="224" t="s">
        <v>2</v>
      </c>
      <c r="G26172" s="52"/>
      <c r="H26172" s="56"/>
      <c r="I26172" s="224"/>
    </row>
    <row r="26173" spans="1:9" x14ac:dyDescent="0.25">
      <c r="A26173" s="515">
        <v>16868</v>
      </c>
      <c r="B26173" s="515" t="s">
        <v>491</v>
      </c>
      <c r="C26173" s="52">
        <v>271644.27603359602</v>
      </c>
      <c r="D26173" s="56">
        <v>8.6079026671566708E-2</v>
      </c>
      <c r="E26173" s="224" t="s">
        <v>2</v>
      </c>
      <c r="G26173" s="52"/>
      <c r="H26173" s="56"/>
      <c r="I26173" s="224"/>
    </row>
    <row r="26174" spans="1:9" x14ac:dyDescent="0.25">
      <c r="A26174" s="515">
        <v>25837</v>
      </c>
      <c r="B26174" s="515" t="s">
        <v>566</v>
      </c>
      <c r="C26174" s="52">
        <v>128786.61986799299</v>
      </c>
      <c r="D26174" s="56">
        <v>0.16700075331062386</v>
      </c>
      <c r="E26174" s="224" t="s">
        <v>2</v>
      </c>
      <c r="G26174" s="52"/>
      <c r="H26174" s="56"/>
      <c r="I26174" s="224"/>
    </row>
    <row r="26175" spans="1:9" x14ac:dyDescent="0.25">
      <c r="A26175" s="515">
        <v>58795</v>
      </c>
      <c r="C26175" s="52">
        <v>91432.945368135406</v>
      </c>
      <c r="D26175" s="56">
        <v>-0.12799827929731994</v>
      </c>
      <c r="E26175" s="224" t="s">
        <v>2</v>
      </c>
      <c r="G26175" s="52"/>
      <c r="H26175" s="56"/>
      <c r="I26175" s="224"/>
    </row>
    <row r="26176" spans="1:9" x14ac:dyDescent="0.25">
      <c r="A26176" s="515">
        <v>59831</v>
      </c>
      <c r="C26176" s="52">
        <v>294547.063330142</v>
      </c>
      <c r="D26176" s="56">
        <v>7.4620864659785555E-2</v>
      </c>
      <c r="E26176" s="224" t="s">
        <v>2</v>
      </c>
      <c r="G26176" s="52"/>
      <c r="H26176" s="56"/>
      <c r="I26176" s="224"/>
    </row>
    <row r="26177" spans="1:9" x14ac:dyDescent="0.25">
      <c r="A26177" s="515">
        <v>50007</v>
      </c>
      <c r="B26177" s="515" t="s">
        <v>295</v>
      </c>
      <c r="C26177" s="52">
        <v>306943.06896663498</v>
      </c>
      <c r="D26177" s="56">
        <v>6.4007079203756964E-2</v>
      </c>
      <c r="E26177" s="224" t="s">
        <v>2</v>
      </c>
      <c r="G26177" s="52"/>
      <c r="H26177" s="56"/>
      <c r="I26177" s="224"/>
    </row>
    <row r="26178" spans="1:9" x14ac:dyDescent="0.25">
      <c r="A26178" s="515">
        <v>95248</v>
      </c>
      <c r="C26178" s="52">
        <v>322189.87533782201</v>
      </c>
      <c r="D26178" s="56">
        <v>-4.3390769530536151E-3</v>
      </c>
      <c r="E26178" s="224" t="s">
        <v>2</v>
      </c>
      <c r="G26178" s="52"/>
      <c r="H26178" s="56"/>
      <c r="I26178" s="224"/>
    </row>
    <row r="26179" spans="1:9" x14ac:dyDescent="0.25">
      <c r="A26179" s="515">
        <v>69168</v>
      </c>
      <c r="C26179" s="52">
        <v>107639.822245377</v>
      </c>
      <c r="D26179" s="56">
        <v>4.0390035071916498E-2</v>
      </c>
      <c r="E26179" s="224" t="s">
        <v>2</v>
      </c>
      <c r="G26179" s="52"/>
      <c r="H26179" s="56"/>
      <c r="I26179" s="224"/>
    </row>
    <row r="26180" spans="1:9" x14ac:dyDescent="0.25">
      <c r="A26180" s="515">
        <v>15432</v>
      </c>
      <c r="B26180" s="515" t="s">
        <v>297</v>
      </c>
      <c r="C26180" s="52">
        <v>109115.96184098101</v>
      </c>
      <c r="D26180" s="56">
        <v>0.19362455330292941</v>
      </c>
      <c r="E26180" s="224" t="s">
        <v>2</v>
      </c>
      <c r="G26180" s="52"/>
      <c r="H26180" s="56"/>
      <c r="I26180" s="224"/>
    </row>
    <row r="26181" spans="1:9" x14ac:dyDescent="0.25">
      <c r="A26181" s="515">
        <v>59029</v>
      </c>
      <c r="B26181" s="515" t="s">
        <v>637</v>
      </c>
      <c r="C26181" s="52">
        <v>293287.17338043201</v>
      </c>
      <c r="D26181" s="56">
        <v>7.8537390785021269E-2</v>
      </c>
      <c r="E26181" s="224" t="s">
        <v>2</v>
      </c>
      <c r="G26181" s="52"/>
      <c r="H26181" s="56"/>
      <c r="I26181" s="224"/>
    </row>
    <row r="26182" spans="1:9" x14ac:dyDescent="0.25">
      <c r="A26182" s="515">
        <v>67492</v>
      </c>
      <c r="C26182" s="52">
        <v>110674.36423780399</v>
      </c>
      <c r="D26182" s="56">
        <v>7.655026731372179E-2</v>
      </c>
      <c r="E26182" s="224" t="s">
        <v>2</v>
      </c>
      <c r="G26182" s="52"/>
      <c r="H26182" s="56"/>
      <c r="I26182" s="224"/>
    </row>
    <row r="26183" spans="1:9" x14ac:dyDescent="0.25">
      <c r="A26183" s="515">
        <v>23337</v>
      </c>
      <c r="C26183" s="52">
        <v>221518.70149253699</v>
      </c>
      <c r="D26183" s="56">
        <v>0</v>
      </c>
      <c r="E26183" s="224" t="s">
        <v>2</v>
      </c>
      <c r="G26183" s="52"/>
      <c r="H26183" s="56"/>
      <c r="I26183" s="224"/>
    </row>
    <row r="26184" spans="1:9" x14ac:dyDescent="0.25">
      <c r="A26184" s="515">
        <v>5067</v>
      </c>
      <c r="B26184" s="515" t="s">
        <v>420</v>
      </c>
      <c r="C26184" s="52">
        <v>609793.17500000005</v>
      </c>
      <c r="D26184" s="56">
        <v>0</v>
      </c>
      <c r="E26184" s="224" t="s">
        <v>2</v>
      </c>
      <c r="G26184" s="52"/>
      <c r="H26184" s="56"/>
      <c r="I26184" s="224"/>
    </row>
    <row r="26185" spans="1:9" x14ac:dyDescent="0.25">
      <c r="A26185" s="515">
        <v>25915</v>
      </c>
      <c r="B26185" s="515" t="s">
        <v>566</v>
      </c>
      <c r="C26185" s="52">
        <v>73974.7</v>
      </c>
      <c r="D26185" s="56">
        <v>0</v>
      </c>
      <c r="E26185" s="224" t="s">
        <v>2</v>
      </c>
      <c r="G26185" s="52"/>
      <c r="H26185" s="56"/>
      <c r="I26185" s="224"/>
    </row>
    <row r="26186" spans="1:9" x14ac:dyDescent="0.25">
      <c r="A26186" s="515">
        <v>12927</v>
      </c>
      <c r="B26186" s="515" t="s">
        <v>511</v>
      </c>
      <c r="C26186" s="52">
        <v>254676.05312773</v>
      </c>
      <c r="D26186" s="56">
        <v>3.6335612673943841E-2</v>
      </c>
      <c r="E26186" s="224" t="s">
        <v>2</v>
      </c>
      <c r="G26186" s="52"/>
      <c r="H26186" s="56"/>
      <c r="I26186" s="224"/>
    </row>
    <row r="26187" spans="1:9" x14ac:dyDescent="0.25">
      <c r="A26187" s="515">
        <v>67762</v>
      </c>
      <c r="C26187" s="52">
        <v>146778.05096470399</v>
      </c>
      <c r="D26187" s="56">
        <v>0.19760005442905237</v>
      </c>
      <c r="E26187" s="224" t="s">
        <v>2</v>
      </c>
      <c r="G26187" s="52"/>
      <c r="H26187" s="56"/>
      <c r="I26187" s="224"/>
    </row>
    <row r="26188" spans="1:9" x14ac:dyDescent="0.25">
      <c r="A26188" s="515">
        <v>20812</v>
      </c>
      <c r="B26188" s="515" t="s">
        <v>321</v>
      </c>
      <c r="C26188" s="52">
        <v>1120331.1753875101</v>
      </c>
      <c r="D26188" s="56">
        <v>0</v>
      </c>
      <c r="E26188" s="224" t="s">
        <v>2</v>
      </c>
      <c r="G26188" s="52"/>
      <c r="H26188" s="56"/>
      <c r="I26188" s="224"/>
    </row>
    <row r="26189" spans="1:9" x14ac:dyDescent="0.25">
      <c r="A26189" s="515">
        <v>79044</v>
      </c>
      <c r="C26189" s="52">
        <v>207921.771428571</v>
      </c>
      <c r="D26189" s="56">
        <v>0</v>
      </c>
      <c r="E26189" s="224" t="s">
        <v>2</v>
      </c>
      <c r="G26189" s="52"/>
      <c r="H26189" s="56"/>
      <c r="I26189" s="224"/>
    </row>
    <row r="26190" spans="1:9" x14ac:dyDescent="0.25">
      <c r="A26190" s="515">
        <v>55756</v>
      </c>
      <c r="C26190" s="52">
        <v>217204.98760390101</v>
      </c>
      <c r="D26190" s="56">
        <v>0.17814396979203137</v>
      </c>
      <c r="E26190" s="224" t="s">
        <v>2</v>
      </c>
      <c r="G26190" s="52"/>
      <c r="H26190" s="56"/>
      <c r="I26190" s="224"/>
    </row>
    <row r="26191" spans="1:9" x14ac:dyDescent="0.25">
      <c r="A26191" s="515">
        <v>15628</v>
      </c>
      <c r="B26191" s="515" t="s">
        <v>297</v>
      </c>
      <c r="C26191" s="52">
        <v>178928.05882352899</v>
      </c>
      <c r="D26191" s="56">
        <v>0</v>
      </c>
      <c r="E26191" s="224" t="s">
        <v>2</v>
      </c>
      <c r="G26191" s="52"/>
      <c r="H26191" s="56"/>
      <c r="I26191" s="224"/>
    </row>
    <row r="26192" spans="1:9" x14ac:dyDescent="0.25">
      <c r="A26192" s="515">
        <v>38957</v>
      </c>
      <c r="C26192" s="52">
        <v>116061.23309482</v>
      </c>
      <c r="D26192" s="56">
        <v>-6.823879389201068E-2</v>
      </c>
      <c r="E26192" s="224" t="s">
        <v>2</v>
      </c>
      <c r="G26192" s="52"/>
      <c r="H26192" s="56"/>
      <c r="I26192" s="224"/>
    </row>
    <row r="26193" spans="1:9" x14ac:dyDescent="0.25">
      <c r="A26193" s="515">
        <v>64167</v>
      </c>
      <c r="B26193" s="515" t="s">
        <v>455</v>
      </c>
      <c r="C26193" s="52">
        <v>557402.61625517695</v>
      </c>
      <c r="D26193" s="56">
        <v>8.8727668221638162E-2</v>
      </c>
      <c r="E26193" s="224" t="s">
        <v>2</v>
      </c>
      <c r="G26193" s="52"/>
      <c r="H26193" s="56"/>
      <c r="I26193" s="224"/>
    </row>
    <row r="26194" spans="1:9" x14ac:dyDescent="0.25">
      <c r="A26194" s="515">
        <v>59733</v>
      </c>
      <c r="C26194" s="52">
        <v>388119.641157732</v>
      </c>
      <c r="D26194" s="56">
        <v>0.16040139585681759</v>
      </c>
      <c r="E26194" s="224" t="s">
        <v>2</v>
      </c>
      <c r="G26194" s="52"/>
      <c r="H26194" s="56"/>
      <c r="I26194" s="224"/>
    </row>
    <row r="26195" spans="1:9" x14ac:dyDescent="0.25">
      <c r="A26195" s="515">
        <v>93623</v>
      </c>
      <c r="C26195" s="52">
        <v>490006.606214592</v>
      </c>
      <c r="D26195" s="56">
        <v>5.3495582825113908E-2</v>
      </c>
      <c r="E26195" s="224" t="s">
        <v>2</v>
      </c>
      <c r="G26195" s="52"/>
      <c r="H26195" s="56"/>
      <c r="I26195" s="224"/>
    </row>
    <row r="26196" spans="1:9" x14ac:dyDescent="0.25">
      <c r="A26196" s="515">
        <v>66008</v>
      </c>
      <c r="B26196" s="515" t="s">
        <v>371</v>
      </c>
      <c r="C26196" s="52">
        <v>165591.992487671</v>
      </c>
      <c r="D26196" s="56">
        <v>0.10646363015361504</v>
      </c>
      <c r="E26196" s="224" t="s">
        <v>2</v>
      </c>
      <c r="G26196" s="52"/>
      <c r="H26196" s="56"/>
      <c r="I26196" s="224"/>
    </row>
    <row r="26197" spans="1:9" x14ac:dyDescent="0.25">
      <c r="A26197" s="515">
        <v>20612</v>
      </c>
      <c r="B26197" s="515" t="s">
        <v>321</v>
      </c>
      <c r="C26197" s="52">
        <v>309380.83488767699</v>
      </c>
      <c r="D26197" s="56">
        <v>0</v>
      </c>
      <c r="E26197" s="224" t="s">
        <v>2</v>
      </c>
      <c r="G26197" s="52"/>
      <c r="H26197" s="56"/>
      <c r="I26197" s="224"/>
    </row>
    <row r="26198" spans="1:9" x14ac:dyDescent="0.25">
      <c r="A26198" s="515">
        <v>50434</v>
      </c>
      <c r="B26198" s="515" t="s">
        <v>634</v>
      </c>
      <c r="C26198" s="52">
        <v>137422.42028014499</v>
      </c>
      <c r="D26198" s="56">
        <v>9.659854686024083E-2</v>
      </c>
      <c r="E26198" s="224" t="s">
        <v>2</v>
      </c>
      <c r="G26198" s="52"/>
      <c r="H26198" s="56"/>
      <c r="I26198" s="224"/>
    </row>
    <row r="26199" spans="1:9" x14ac:dyDescent="0.25">
      <c r="A26199" s="515">
        <v>16826</v>
      </c>
      <c r="B26199" s="515" t="s">
        <v>491</v>
      </c>
      <c r="C26199" s="52">
        <v>178837.83150346999</v>
      </c>
      <c r="D26199" s="56">
        <v>8.8697088110912051E-2</v>
      </c>
      <c r="E26199" s="224" t="s">
        <v>2</v>
      </c>
      <c r="G26199" s="52"/>
      <c r="H26199" s="56"/>
      <c r="I26199" s="224"/>
    </row>
    <row r="26200" spans="1:9" x14ac:dyDescent="0.25">
      <c r="A26200" s="515">
        <v>81243</v>
      </c>
      <c r="C26200" s="52">
        <v>454416.08196721302</v>
      </c>
      <c r="D26200" s="56">
        <v>0</v>
      </c>
      <c r="E26200" s="224" t="s">
        <v>2</v>
      </c>
      <c r="G26200" s="52"/>
      <c r="H26200" s="56"/>
      <c r="I26200" s="224"/>
    </row>
    <row r="26201" spans="1:9" x14ac:dyDescent="0.25">
      <c r="A26201" s="515">
        <v>45782</v>
      </c>
      <c r="B26201" s="515" t="s">
        <v>578</v>
      </c>
      <c r="C26201" s="52">
        <v>50556.1924457524</v>
      </c>
      <c r="D26201" s="56">
        <v>0.21074004542469499</v>
      </c>
      <c r="E26201" s="224" t="s">
        <v>2</v>
      </c>
      <c r="G26201" s="52"/>
      <c r="H26201" s="56"/>
      <c r="I26201" s="224"/>
    </row>
    <row r="26202" spans="1:9" x14ac:dyDescent="0.25">
      <c r="A26202" s="515">
        <v>59713</v>
      </c>
      <c r="C26202" s="52">
        <v>366085.05412448302</v>
      </c>
      <c r="D26202" s="56">
        <v>0.20420535256936556</v>
      </c>
      <c r="E26202" s="224" t="s">
        <v>2</v>
      </c>
      <c r="G26202" s="52"/>
      <c r="H26202" s="56"/>
      <c r="I26202" s="224"/>
    </row>
    <row r="26203" spans="1:9" x14ac:dyDescent="0.25">
      <c r="A26203" s="515">
        <v>46111</v>
      </c>
      <c r="B26203" s="515" t="s">
        <v>403</v>
      </c>
      <c r="C26203" s="52">
        <v>157206.459064005</v>
      </c>
      <c r="D26203" s="56">
        <v>9.9998820696811402E-2</v>
      </c>
      <c r="E26203" s="224" t="s">
        <v>2</v>
      </c>
      <c r="G26203" s="52"/>
      <c r="H26203" s="56"/>
      <c r="I26203" s="224"/>
    </row>
    <row r="26204" spans="1:9" x14ac:dyDescent="0.25">
      <c r="A26204" s="515">
        <v>37396</v>
      </c>
      <c r="B26204" s="515" t="s">
        <v>622</v>
      </c>
      <c r="C26204" s="52">
        <v>106412.331446843</v>
      </c>
      <c r="D26204" s="56">
        <v>0</v>
      </c>
      <c r="E26204" s="224" t="s">
        <v>2</v>
      </c>
      <c r="G26204" s="52"/>
      <c r="H26204" s="56"/>
      <c r="I26204" s="224"/>
    </row>
    <row r="26205" spans="1:9" x14ac:dyDescent="0.25">
      <c r="A26205" s="515">
        <v>14173</v>
      </c>
      <c r="B26205" s="515" t="s">
        <v>870</v>
      </c>
      <c r="C26205" s="52">
        <v>160189.57142857101</v>
      </c>
      <c r="D26205" s="56">
        <v>0</v>
      </c>
      <c r="E26205" s="224" t="s">
        <v>2</v>
      </c>
      <c r="G26205" s="52"/>
      <c r="H26205" s="56"/>
      <c r="I26205" s="224"/>
    </row>
    <row r="26206" spans="1:9" x14ac:dyDescent="0.25">
      <c r="A26206" s="515">
        <v>50243</v>
      </c>
      <c r="B26206" s="515" t="s">
        <v>295</v>
      </c>
      <c r="C26206" s="52">
        <v>185193.64467010199</v>
      </c>
      <c r="D26206" s="56">
        <v>0.10055020712616065</v>
      </c>
      <c r="E26206" s="224" t="s">
        <v>2</v>
      </c>
      <c r="G26206" s="52"/>
      <c r="H26206" s="56"/>
      <c r="I26206" s="224"/>
    </row>
    <row r="26207" spans="1:9" x14ac:dyDescent="0.25">
      <c r="A26207" s="515">
        <v>81320</v>
      </c>
      <c r="C26207" s="52">
        <v>308688.68402415502</v>
      </c>
      <c r="D26207" s="56">
        <v>0.19043150071867235</v>
      </c>
      <c r="E26207" s="224" t="s">
        <v>2</v>
      </c>
      <c r="G26207" s="52"/>
      <c r="H26207" s="56"/>
      <c r="I26207" s="224"/>
    </row>
    <row r="26208" spans="1:9" x14ac:dyDescent="0.25">
      <c r="A26208" s="515">
        <v>97441</v>
      </c>
      <c r="B26208" s="515" t="s">
        <v>449</v>
      </c>
      <c r="C26208" s="52">
        <v>221158.88451048199</v>
      </c>
      <c r="D26208" s="56">
        <v>2.5259578021651002E-2</v>
      </c>
      <c r="E26208" s="224" t="s">
        <v>2</v>
      </c>
      <c r="G26208" s="52"/>
      <c r="H26208" s="56"/>
      <c r="I26208" s="224"/>
    </row>
    <row r="26209" spans="1:9" x14ac:dyDescent="0.25">
      <c r="A26209" s="515">
        <v>12407</v>
      </c>
      <c r="C26209" s="52">
        <v>289361.29211366799</v>
      </c>
      <c r="D26209" s="56">
        <v>0.11336351636461101</v>
      </c>
      <c r="E26209" s="224" t="s">
        <v>2</v>
      </c>
      <c r="G26209" s="52"/>
      <c r="H26209" s="56"/>
      <c r="I26209" s="224"/>
    </row>
    <row r="26210" spans="1:9" x14ac:dyDescent="0.25">
      <c r="A26210" s="515">
        <v>25920</v>
      </c>
      <c r="B26210" s="515" t="s">
        <v>566</v>
      </c>
      <c r="C26210" s="52">
        <v>73905.287640738898</v>
      </c>
      <c r="D26210" s="56">
        <v>0.2628984555121896</v>
      </c>
      <c r="E26210" s="224" t="s">
        <v>2</v>
      </c>
      <c r="G26210" s="52"/>
      <c r="H26210" s="56"/>
      <c r="I26210" s="224"/>
    </row>
    <row r="26211" spans="1:9" x14ac:dyDescent="0.25">
      <c r="A26211" s="515">
        <v>15444</v>
      </c>
      <c r="B26211" s="515" t="s">
        <v>297</v>
      </c>
      <c r="C26211" s="52">
        <v>60813.784069227899</v>
      </c>
      <c r="D26211" s="56">
        <v>0.12217785500842927</v>
      </c>
      <c r="E26211" s="224" t="s">
        <v>2</v>
      </c>
      <c r="G26211" s="52"/>
      <c r="H26211" s="56"/>
      <c r="I26211" s="224"/>
    </row>
    <row r="26212" spans="1:9" x14ac:dyDescent="0.25">
      <c r="A26212" s="515">
        <v>52359</v>
      </c>
      <c r="B26212" s="515" t="s">
        <v>587</v>
      </c>
      <c r="C26212" s="52">
        <v>123442.745349144</v>
      </c>
      <c r="D26212" s="56">
        <v>0</v>
      </c>
      <c r="E26212" s="224" t="s">
        <v>2</v>
      </c>
      <c r="G26212" s="52"/>
      <c r="H26212" s="56"/>
      <c r="I26212" s="224"/>
    </row>
    <row r="26213" spans="1:9" x14ac:dyDescent="0.25">
      <c r="A26213" s="515">
        <v>95934</v>
      </c>
      <c r="C26213" s="52">
        <v>231870.03181990801</v>
      </c>
      <c r="D26213" s="56">
        <v>7.4458832919199712E-3</v>
      </c>
      <c r="E26213" s="224" t="s">
        <v>2</v>
      </c>
      <c r="G26213" s="52"/>
      <c r="H26213" s="56"/>
      <c r="I26213" s="224"/>
    </row>
    <row r="26214" spans="1:9" x14ac:dyDescent="0.25">
      <c r="A26214" s="515">
        <v>82732</v>
      </c>
      <c r="B26214" s="515" t="s">
        <v>589</v>
      </c>
      <c r="C26214" s="52">
        <v>242022.11399972701</v>
      </c>
      <c r="D26214" s="56">
        <v>6.0081390794439367E-2</v>
      </c>
      <c r="E26214" s="224" t="s">
        <v>2</v>
      </c>
      <c r="G26214" s="52"/>
      <c r="H26214" s="56"/>
      <c r="I26214" s="224"/>
    </row>
    <row r="26215" spans="1:9" x14ac:dyDescent="0.25">
      <c r="A26215" s="515">
        <v>59827</v>
      </c>
      <c r="C26215" s="52">
        <v>497066.318078821</v>
      </c>
      <c r="D26215" s="56">
        <v>6.2113428823254595E-2</v>
      </c>
      <c r="E26215" s="224" t="s">
        <v>2</v>
      </c>
      <c r="G26215" s="52"/>
      <c r="H26215" s="56"/>
      <c r="I26215" s="224"/>
    </row>
    <row r="26216" spans="1:9" x14ac:dyDescent="0.25">
      <c r="A26216" s="515">
        <v>12045</v>
      </c>
      <c r="B26216" s="515" t="s">
        <v>609</v>
      </c>
      <c r="C26216" s="52">
        <v>207399.47279456101</v>
      </c>
      <c r="D26216" s="56">
        <v>5.7923037111430105E-2</v>
      </c>
      <c r="E26216" s="224" t="s">
        <v>2</v>
      </c>
      <c r="G26216" s="52"/>
      <c r="H26216" s="56"/>
      <c r="I26216" s="224"/>
    </row>
    <row r="26217" spans="1:9" x14ac:dyDescent="0.25">
      <c r="A26217" s="515">
        <v>40829</v>
      </c>
      <c r="C26217" s="52">
        <v>61419.2286635766</v>
      </c>
      <c r="D26217" s="56">
        <v>0.25587499908718864</v>
      </c>
      <c r="E26217" s="224" t="s">
        <v>2</v>
      </c>
      <c r="G26217" s="52"/>
      <c r="H26217" s="56"/>
      <c r="I26217" s="224"/>
    </row>
    <row r="26218" spans="1:9" x14ac:dyDescent="0.25">
      <c r="A26218" s="515">
        <v>25132</v>
      </c>
      <c r="B26218" s="515" t="s">
        <v>322</v>
      </c>
      <c r="C26218" s="52">
        <v>47829.264501172998</v>
      </c>
      <c r="D26218" s="56">
        <v>9.9388519801452635E-2</v>
      </c>
      <c r="E26218" s="224" t="s">
        <v>2</v>
      </c>
      <c r="G26218" s="52"/>
      <c r="H26218" s="56"/>
      <c r="I26218" s="224"/>
    </row>
    <row r="26219" spans="1:9" x14ac:dyDescent="0.25">
      <c r="A26219" s="515">
        <v>52221</v>
      </c>
      <c r="C26219" s="52">
        <v>168276.070092184</v>
      </c>
      <c r="D26219" s="56">
        <v>0</v>
      </c>
      <c r="E26219" s="224" t="s">
        <v>2</v>
      </c>
      <c r="G26219" s="52"/>
      <c r="H26219" s="56"/>
      <c r="I26219" s="224"/>
    </row>
    <row r="26220" spans="1:9" x14ac:dyDescent="0.25">
      <c r="A26220" s="515">
        <v>49434</v>
      </c>
      <c r="B26220" s="515" t="s">
        <v>631</v>
      </c>
      <c r="C26220" s="52">
        <v>974517.88849704398</v>
      </c>
      <c r="D26220" s="56">
        <v>0.11068438832035836</v>
      </c>
      <c r="E26220" s="224" t="s">
        <v>2</v>
      </c>
      <c r="G26220" s="52"/>
      <c r="H26220" s="56"/>
      <c r="I26220" s="224"/>
    </row>
    <row r="26221" spans="1:9" x14ac:dyDescent="0.25">
      <c r="A26221" s="515">
        <v>22964</v>
      </c>
      <c r="B26221" s="515" t="s">
        <v>630</v>
      </c>
      <c r="C26221" s="52">
        <v>178802.40782500099</v>
      </c>
      <c r="D26221" s="56">
        <v>0.16077067109306231</v>
      </c>
      <c r="E26221" s="224" t="s">
        <v>2</v>
      </c>
      <c r="G26221" s="52"/>
      <c r="H26221" s="56"/>
      <c r="I26221" s="224"/>
    </row>
    <row r="26222" spans="1:9" x14ac:dyDescent="0.25">
      <c r="A26222" s="515">
        <v>44490</v>
      </c>
      <c r="B26222" s="515" t="s">
        <v>627</v>
      </c>
      <c r="C26222" s="52">
        <v>92407.454169103905</v>
      </c>
      <c r="D26222" s="56">
        <v>3.0676082024557176E-2</v>
      </c>
      <c r="E26222" s="224" t="s">
        <v>2</v>
      </c>
      <c r="G26222" s="52"/>
      <c r="H26222" s="56"/>
      <c r="I26222" s="224"/>
    </row>
    <row r="26223" spans="1:9" x14ac:dyDescent="0.25">
      <c r="A26223" s="515">
        <v>68860</v>
      </c>
      <c r="C26223" s="52">
        <v>168002.35905032299</v>
      </c>
      <c r="D26223" s="56">
        <v>0</v>
      </c>
      <c r="E26223" s="224" t="s">
        <v>2</v>
      </c>
      <c r="G26223" s="52"/>
      <c r="H26223" s="56"/>
      <c r="I26223" s="224"/>
    </row>
    <row r="26224" spans="1:9" x14ac:dyDescent="0.25">
      <c r="A26224" s="515">
        <v>25444</v>
      </c>
      <c r="B26224" s="515" t="s">
        <v>629</v>
      </c>
      <c r="C26224" s="52">
        <v>237499.24101882501</v>
      </c>
      <c r="D26224" s="56">
        <v>0.11299622215791544</v>
      </c>
      <c r="E26224" s="224" t="s">
        <v>2</v>
      </c>
      <c r="G26224" s="52"/>
      <c r="H26224" s="56"/>
      <c r="I26224" s="224"/>
    </row>
    <row r="26225" spans="1:9" x14ac:dyDescent="0.25">
      <c r="A26225" s="515">
        <v>84301</v>
      </c>
      <c r="B26225" s="515" t="s">
        <v>628</v>
      </c>
      <c r="C26225" s="52">
        <v>430077.65957446798</v>
      </c>
      <c r="D26225" s="56">
        <v>0</v>
      </c>
      <c r="E26225" s="224" t="s">
        <v>2</v>
      </c>
      <c r="G26225" s="52"/>
      <c r="H26225" s="56"/>
      <c r="I26225" s="224"/>
    </row>
    <row r="26226" spans="1:9" x14ac:dyDescent="0.25">
      <c r="A26226" s="515">
        <v>25169</v>
      </c>
      <c r="B26226" s="515" t="s">
        <v>322</v>
      </c>
      <c r="C26226" s="52">
        <v>59953.632603359401</v>
      </c>
      <c r="D26226" s="56">
        <v>7.7630155226263819E-2</v>
      </c>
      <c r="E26226" s="224" t="s">
        <v>2</v>
      </c>
      <c r="G26226" s="52"/>
      <c r="H26226" s="56"/>
      <c r="I26226" s="224"/>
    </row>
    <row r="26227" spans="1:9" x14ac:dyDescent="0.25">
      <c r="A26227" s="515">
        <v>83840</v>
      </c>
      <c r="B26227" s="515" t="s">
        <v>623</v>
      </c>
      <c r="C26227" s="52">
        <v>416069.83229021099</v>
      </c>
      <c r="D26227" s="56">
        <v>2.727876019303763E-2</v>
      </c>
      <c r="E26227" s="224" t="s">
        <v>2</v>
      </c>
      <c r="G26227" s="52"/>
      <c r="H26227" s="56"/>
      <c r="I26227" s="224"/>
    </row>
    <row r="26228" spans="1:9" x14ac:dyDescent="0.25">
      <c r="A26228" s="515">
        <v>56162</v>
      </c>
      <c r="B26228" s="515" t="s">
        <v>608</v>
      </c>
      <c r="C26228" s="52">
        <v>205411.739141117</v>
      </c>
      <c r="D26228" s="56">
        <v>0</v>
      </c>
      <c r="E26228" s="224" t="s">
        <v>2</v>
      </c>
      <c r="G26228" s="52"/>
      <c r="H26228" s="56"/>
      <c r="I26228" s="224"/>
    </row>
    <row r="26229" spans="1:9" x14ac:dyDescent="0.25">
      <c r="A26229" s="515">
        <v>49775</v>
      </c>
      <c r="C26229" s="52">
        <v>93099.304643732001</v>
      </c>
      <c r="D26229" s="56">
        <v>0</v>
      </c>
      <c r="E26229" s="224" t="s">
        <v>2</v>
      </c>
      <c r="G26229" s="52"/>
      <c r="H26229" s="56"/>
      <c r="I26229" s="224"/>
    </row>
    <row r="26230" spans="1:9" x14ac:dyDescent="0.25">
      <c r="A26230" s="515">
        <v>50163</v>
      </c>
      <c r="B26230" s="515" t="s">
        <v>625</v>
      </c>
      <c r="C26230" s="52">
        <v>116878.46413830599</v>
      </c>
      <c r="D26230" s="56">
        <v>0.14259825087582498</v>
      </c>
      <c r="E26230" s="224" t="s">
        <v>2</v>
      </c>
      <c r="G26230" s="52"/>
      <c r="H26230" s="56"/>
      <c r="I26230" s="224"/>
    </row>
    <row r="26231" spans="1:9" x14ac:dyDescent="0.25">
      <c r="A26231" s="515">
        <v>13360</v>
      </c>
      <c r="C26231" s="52">
        <v>430547.25846040499</v>
      </c>
      <c r="D26231" s="56">
        <v>9.275274411456727E-2</v>
      </c>
      <c r="E26231" s="224" t="s">
        <v>2</v>
      </c>
      <c r="G26231" s="52"/>
      <c r="H26231" s="56"/>
      <c r="I26231" s="224"/>
    </row>
    <row r="26232" spans="1:9" x14ac:dyDescent="0.25">
      <c r="A26232" s="515">
        <v>21648</v>
      </c>
      <c r="B26232" s="515" t="s">
        <v>388</v>
      </c>
      <c r="C26232" s="52">
        <v>258957.41296693901</v>
      </c>
      <c r="D26232" s="56">
        <v>0</v>
      </c>
      <c r="E26232" s="224" t="s">
        <v>2</v>
      </c>
      <c r="G26232" s="52"/>
      <c r="H26232" s="56"/>
      <c r="I26232" s="224"/>
    </row>
    <row r="26233" spans="1:9" x14ac:dyDescent="0.25">
      <c r="A26233" s="515">
        <v>40855</v>
      </c>
      <c r="C26233" s="52">
        <v>44752.551245335402</v>
      </c>
      <c r="D26233" s="56">
        <v>0.33081369375256897</v>
      </c>
      <c r="E26233" s="224" t="s">
        <v>2</v>
      </c>
      <c r="G26233" s="52"/>
      <c r="H26233" s="56"/>
      <c r="I26233" s="224"/>
    </row>
    <row r="26234" spans="1:9" x14ac:dyDescent="0.25">
      <c r="A26234" s="515">
        <v>67454</v>
      </c>
      <c r="C26234" s="52">
        <v>99649.479828778101</v>
      </c>
      <c r="D26234" s="56">
        <v>9.7072167817289015E-2</v>
      </c>
      <c r="E26234" s="224" t="s">
        <v>2</v>
      </c>
      <c r="G26234" s="52"/>
      <c r="H26234" s="56"/>
      <c r="I26234" s="224"/>
    </row>
    <row r="26235" spans="1:9" x14ac:dyDescent="0.25">
      <c r="A26235" s="515">
        <v>5053</v>
      </c>
      <c r="B26235" s="515" t="s">
        <v>420</v>
      </c>
      <c r="C26235" s="52">
        <v>601842.23809523799</v>
      </c>
      <c r="D26235" s="56">
        <v>0</v>
      </c>
      <c r="E26235" s="224" t="s">
        <v>2</v>
      </c>
      <c r="G26235" s="52"/>
      <c r="H26235" s="56"/>
      <c r="I26235" s="224"/>
    </row>
    <row r="26236" spans="1:9" x14ac:dyDescent="0.25">
      <c r="A26236" s="515">
        <v>47580</v>
      </c>
      <c r="B26236" s="515" t="s">
        <v>544</v>
      </c>
      <c r="C26236" s="52">
        <v>231090.68268209399</v>
      </c>
      <c r="D26236" s="56">
        <v>4.16402758704566E-2</v>
      </c>
      <c r="E26236" s="224" t="s">
        <v>2</v>
      </c>
      <c r="G26236" s="52"/>
      <c r="H26236" s="56"/>
      <c r="I26236" s="224"/>
    </row>
    <row r="26237" spans="1:9" x14ac:dyDescent="0.25">
      <c r="A26237" s="515">
        <v>21634</v>
      </c>
      <c r="B26237" s="515" t="s">
        <v>388</v>
      </c>
      <c r="C26237" s="52">
        <v>270115.72200923698</v>
      </c>
      <c r="D26237" s="56">
        <v>5.7443498350537366E-2</v>
      </c>
      <c r="E26237" s="224" t="s">
        <v>2</v>
      </c>
      <c r="G26237" s="52"/>
      <c r="H26237" s="56"/>
      <c r="I26237" s="224"/>
    </row>
    <row r="26238" spans="1:9" x14ac:dyDescent="0.25">
      <c r="A26238" s="515">
        <v>81155</v>
      </c>
      <c r="C26238" s="52">
        <v>320398.11623565899</v>
      </c>
      <c r="D26238" s="56">
        <v>0</v>
      </c>
      <c r="E26238" s="224" t="s">
        <v>2</v>
      </c>
      <c r="G26238" s="52"/>
      <c r="H26238" s="56"/>
      <c r="I26238" s="224"/>
    </row>
    <row r="26239" spans="1:9" x14ac:dyDescent="0.25">
      <c r="A26239" s="515">
        <v>79719</v>
      </c>
      <c r="C26239" s="52">
        <v>85994.5945945946</v>
      </c>
      <c r="D26239" s="56">
        <v>0</v>
      </c>
      <c r="E26239" s="224" t="s">
        <v>2</v>
      </c>
      <c r="G26239" s="52"/>
      <c r="H26239" s="56"/>
      <c r="I26239" s="224"/>
    </row>
    <row r="26240" spans="1:9" x14ac:dyDescent="0.25">
      <c r="A26240" s="515">
        <v>84518</v>
      </c>
      <c r="C26240" s="52">
        <v>234743.612903225</v>
      </c>
      <c r="D26240" s="56">
        <v>0</v>
      </c>
      <c r="E26240" s="224" t="s">
        <v>2</v>
      </c>
      <c r="G26240" s="52"/>
      <c r="H26240" s="56"/>
      <c r="I26240" s="224"/>
    </row>
    <row r="26241" spans="1:9" x14ac:dyDescent="0.25">
      <c r="A26241" s="515">
        <v>62631</v>
      </c>
      <c r="B26241" s="515" t="s">
        <v>531</v>
      </c>
      <c r="C26241" s="52">
        <v>107635.324324324</v>
      </c>
      <c r="D26241" s="56">
        <v>0</v>
      </c>
      <c r="E26241" s="224" t="s">
        <v>2</v>
      </c>
      <c r="G26241" s="52"/>
      <c r="H26241" s="56"/>
      <c r="I26241" s="224"/>
    </row>
    <row r="26242" spans="1:9" x14ac:dyDescent="0.25">
      <c r="A26242" s="515">
        <v>16871</v>
      </c>
      <c r="B26242" s="515" t="s">
        <v>776</v>
      </c>
      <c r="C26242" s="52">
        <v>60516.333333333299</v>
      </c>
      <c r="D26242" s="56">
        <v>0</v>
      </c>
      <c r="E26242" s="224" t="s">
        <v>2</v>
      </c>
      <c r="G26242" s="52"/>
      <c r="H26242" s="56"/>
      <c r="I26242" s="224"/>
    </row>
    <row r="26243" spans="1:9" x14ac:dyDescent="0.25">
      <c r="A26243" s="515">
        <v>59223</v>
      </c>
      <c r="C26243" s="52">
        <v>374240.39386307501</v>
      </c>
      <c r="D26243" s="56">
        <v>3.8200520650558886E-2</v>
      </c>
      <c r="E26243" s="224" t="s">
        <v>2</v>
      </c>
      <c r="G26243" s="52"/>
      <c r="H26243" s="56"/>
      <c r="I26243" s="224"/>
    </row>
    <row r="26244" spans="1:9" x14ac:dyDescent="0.25">
      <c r="A26244" s="515">
        <v>96106</v>
      </c>
      <c r="C26244" s="52">
        <v>622748.42991498997</v>
      </c>
      <c r="D26244" s="56">
        <v>1.9549812789120543E-2</v>
      </c>
      <c r="E26244" s="224" t="s">
        <v>2</v>
      </c>
      <c r="G26244" s="52"/>
      <c r="H26244" s="56"/>
      <c r="I26244" s="224"/>
    </row>
    <row r="26245" spans="1:9" x14ac:dyDescent="0.25">
      <c r="A26245" s="515">
        <v>37351</v>
      </c>
      <c r="B26245" s="515" t="s">
        <v>622</v>
      </c>
      <c r="C26245" s="52">
        <v>171039.89553275699</v>
      </c>
      <c r="D26245" s="56">
        <v>4.7428717131092799E-2</v>
      </c>
      <c r="E26245" s="224" t="s">
        <v>2</v>
      </c>
      <c r="G26245" s="52"/>
      <c r="H26245" s="56"/>
      <c r="I26245" s="224"/>
    </row>
    <row r="26246" spans="1:9" x14ac:dyDescent="0.25">
      <c r="A26246" s="515">
        <v>59274</v>
      </c>
      <c r="C26246" s="52">
        <v>470685.940680389</v>
      </c>
      <c r="D26246" s="56">
        <v>0.65073625620217468</v>
      </c>
      <c r="E26246" s="224" t="s">
        <v>2</v>
      </c>
      <c r="G26246" s="52"/>
      <c r="H26246" s="56"/>
      <c r="I26246" s="224"/>
    </row>
    <row r="26247" spans="1:9" x14ac:dyDescent="0.25">
      <c r="A26247" s="515">
        <v>13786</v>
      </c>
      <c r="C26247" s="52">
        <v>200533.03954754199</v>
      </c>
      <c r="D26247" s="56">
        <v>9.7143650680226457E-2</v>
      </c>
      <c r="E26247" s="224" t="s">
        <v>2</v>
      </c>
      <c r="G26247" s="52"/>
      <c r="H26247" s="56"/>
      <c r="I26247" s="224"/>
    </row>
    <row r="26248" spans="1:9" x14ac:dyDescent="0.25">
      <c r="A26248" s="515">
        <v>97730</v>
      </c>
      <c r="C26248" s="52">
        <v>636035.82750730205</v>
      </c>
      <c r="D26248" s="56">
        <v>0.11035925860689949</v>
      </c>
      <c r="E26248" s="224" t="s">
        <v>2</v>
      </c>
      <c r="G26248" s="52"/>
      <c r="H26248" s="56"/>
      <c r="I26248" s="224"/>
    </row>
    <row r="26249" spans="1:9" x14ac:dyDescent="0.25">
      <c r="A26249" s="515">
        <v>25165</v>
      </c>
      <c r="B26249" s="515" t="s">
        <v>322</v>
      </c>
      <c r="C26249" s="52">
        <v>76628.980340160197</v>
      </c>
      <c r="D26249" s="56">
        <v>6.194576338915217E-2</v>
      </c>
      <c r="E26249" s="224" t="s">
        <v>2</v>
      </c>
      <c r="G26249" s="52"/>
      <c r="H26249" s="56"/>
      <c r="I26249" s="224"/>
    </row>
    <row r="26250" spans="1:9" x14ac:dyDescent="0.25">
      <c r="A26250" s="515">
        <v>59854</v>
      </c>
      <c r="C26250" s="52">
        <v>512880.18155545898</v>
      </c>
      <c r="D26250" s="56">
        <v>0.17742866417626171</v>
      </c>
      <c r="E26250" s="224" t="s">
        <v>2</v>
      </c>
      <c r="G26250" s="52"/>
      <c r="H26250" s="56"/>
      <c r="I26250" s="224"/>
    </row>
    <row r="26251" spans="1:9" x14ac:dyDescent="0.25">
      <c r="A26251" s="515">
        <v>64847</v>
      </c>
      <c r="C26251" s="52">
        <v>74881.095238095193</v>
      </c>
      <c r="D26251" s="56">
        <v>0</v>
      </c>
      <c r="E26251" s="224" t="s">
        <v>2</v>
      </c>
      <c r="G26251" s="52"/>
      <c r="H26251" s="56"/>
      <c r="I26251" s="224"/>
    </row>
    <row r="26252" spans="1:9" x14ac:dyDescent="0.25">
      <c r="A26252" s="515">
        <v>12041</v>
      </c>
      <c r="B26252" s="515" t="s">
        <v>609</v>
      </c>
      <c r="C26252" s="52">
        <v>245760.11857091001</v>
      </c>
      <c r="D26252" s="56">
        <v>4.0259855092487862E-2</v>
      </c>
      <c r="E26252" s="224" t="s">
        <v>2</v>
      </c>
      <c r="G26252" s="52"/>
      <c r="H26252" s="56"/>
      <c r="I26252" s="224"/>
    </row>
    <row r="26253" spans="1:9" x14ac:dyDescent="0.25">
      <c r="A26253" s="515">
        <v>8353</v>
      </c>
      <c r="B26253" s="515" t="s">
        <v>557</v>
      </c>
      <c r="C26253" s="52">
        <v>206325.86860033101</v>
      </c>
      <c r="D26253" s="56">
        <v>6.3679151829666075E-2</v>
      </c>
      <c r="E26253" s="224" t="s">
        <v>2</v>
      </c>
      <c r="G26253" s="52"/>
      <c r="H26253" s="56"/>
      <c r="I26253" s="224"/>
    </row>
    <row r="26254" spans="1:9" x14ac:dyDescent="0.25">
      <c r="A26254" s="515">
        <v>24442</v>
      </c>
      <c r="C26254" s="52">
        <v>286680.74080198398</v>
      </c>
      <c r="D26254" s="56">
        <v>0.14897075070766402</v>
      </c>
      <c r="E26254" s="224" t="s">
        <v>2</v>
      </c>
      <c r="G26254" s="52"/>
      <c r="H26254" s="56"/>
      <c r="I26254" s="224"/>
    </row>
    <row r="26255" spans="1:9" x14ac:dyDescent="0.25">
      <c r="A26255" s="515">
        <v>88347</v>
      </c>
      <c r="B26255" s="515" t="s">
        <v>476</v>
      </c>
      <c r="C26255" s="52">
        <v>188261.15416327401</v>
      </c>
      <c r="D26255" s="56">
        <v>9.1709677030313172E-2</v>
      </c>
      <c r="E26255" s="224" t="s">
        <v>2</v>
      </c>
      <c r="G26255" s="52"/>
      <c r="H26255" s="56"/>
      <c r="I26255" s="224"/>
    </row>
    <row r="26256" spans="1:9" x14ac:dyDescent="0.25">
      <c r="A26256" s="515">
        <v>4478</v>
      </c>
      <c r="C26256" s="52">
        <v>212537.35703329599</v>
      </c>
      <c r="D26256" s="56">
        <v>-0.27580520134549913</v>
      </c>
      <c r="E26256" s="224" t="s">
        <v>2</v>
      </c>
      <c r="G26256" s="52"/>
      <c r="H26256" s="56"/>
      <c r="I26256" s="224"/>
    </row>
    <row r="26257" spans="1:9" x14ac:dyDescent="0.25">
      <c r="A26257" s="515">
        <v>59222</v>
      </c>
      <c r="C26257" s="52">
        <v>226336.498182348</v>
      </c>
      <c r="D26257" s="56">
        <v>2.4385291037601134E-3</v>
      </c>
      <c r="E26257" s="224" t="s">
        <v>2</v>
      </c>
      <c r="G26257" s="52"/>
      <c r="H26257" s="56"/>
      <c r="I26257" s="224"/>
    </row>
    <row r="26258" spans="1:9" x14ac:dyDescent="0.25">
      <c r="A26258" s="515">
        <v>51441</v>
      </c>
      <c r="C26258" s="52">
        <v>117033.30269141799</v>
      </c>
      <c r="D26258" s="56">
        <v>0</v>
      </c>
      <c r="E26258" s="224" t="s">
        <v>2</v>
      </c>
      <c r="G26258" s="52"/>
      <c r="H26258" s="56"/>
      <c r="I26258" s="224"/>
    </row>
    <row r="26259" spans="1:9" x14ac:dyDescent="0.25">
      <c r="A26259" s="515">
        <v>93541</v>
      </c>
      <c r="C26259" s="52">
        <v>417349.94556955999</v>
      </c>
      <c r="D26259" s="56">
        <v>7.2210974437680764E-2</v>
      </c>
      <c r="E26259" s="224" t="s">
        <v>2</v>
      </c>
      <c r="G26259" s="52"/>
      <c r="H26259" s="56"/>
      <c r="I26259" s="224"/>
    </row>
    <row r="26260" spans="1:9" x14ac:dyDescent="0.25">
      <c r="A26260" s="515">
        <v>39630</v>
      </c>
      <c r="C26260" s="52">
        <v>102774.359684921</v>
      </c>
      <c r="D26260" s="56">
        <v>0</v>
      </c>
      <c r="E26260" s="224" t="s">
        <v>2</v>
      </c>
      <c r="G26260" s="52"/>
      <c r="H26260" s="56"/>
      <c r="I26260" s="224"/>
    </row>
    <row r="26261" spans="1:9" x14ac:dyDescent="0.25">
      <c r="A26261" s="515">
        <v>21624</v>
      </c>
      <c r="B26261" s="515" t="s">
        <v>519</v>
      </c>
      <c r="C26261" s="52">
        <v>381248.48691413802</v>
      </c>
      <c r="D26261" s="56">
        <v>0</v>
      </c>
      <c r="E26261" s="224" t="s">
        <v>2</v>
      </c>
      <c r="G26261" s="52"/>
      <c r="H26261" s="56"/>
      <c r="I26261" s="224"/>
    </row>
    <row r="26262" spans="1:9" x14ac:dyDescent="0.25">
      <c r="A26262" s="515">
        <v>40865</v>
      </c>
      <c r="C26262" s="52">
        <v>84921.008087821596</v>
      </c>
      <c r="D26262" s="56">
        <v>0.14016194597116721</v>
      </c>
      <c r="E26262" s="224" t="s">
        <v>2</v>
      </c>
      <c r="G26262" s="52"/>
      <c r="H26262" s="56"/>
      <c r="I26262" s="224"/>
    </row>
    <row r="26263" spans="1:9" x14ac:dyDescent="0.25">
      <c r="A26263" s="515">
        <v>94971</v>
      </c>
      <c r="B26263" s="515" t="s">
        <v>593</v>
      </c>
      <c r="C26263" s="52">
        <v>889018.47143649601</v>
      </c>
      <c r="D26263" s="56">
        <v>-3.2898212984022145E-2</v>
      </c>
      <c r="E26263" s="224" t="s">
        <v>2</v>
      </c>
      <c r="G26263" s="52"/>
      <c r="H26263" s="56"/>
      <c r="I26263" s="224"/>
    </row>
    <row r="26264" spans="1:9" x14ac:dyDescent="0.25">
      <c r="A26264" s="515">
        <v>41540</v>
      </c>
      <c r="C26264" s="52">
        <v>65406.904454474403</v>
      </c>
      <c r="D26264" s="56">
        <v>0.15827898465905227</v>
      </c>
      <c r="E26264" s="224" t="s">
        <v>2</v>
      </c>
      <c r="G26264" s="52"/>
      <c r="H26264" s="56"/>
      <c r="I26264" s="224"/>
    </row>
    <row r="26265" spans="1:9" x14ac:dyDescent="0.25">
      <c r="A26265" s="515">
        <v>33840</v>
      </c>
      <c r="B26265" s="515" t="s">
        <v>359</v>
      </c>
      <c r="C26265" s="52">
        <v>172937.33333333299</v>
      </c>
      <c r="D26265" s="56">
        <v>0</v>
      </c>
      <c r="E26265" s="224" t="s">
        <v>2</v>
      </c>
      <c r="G26265" s="52"/>
      <c r="H26265" s="56"/>
      <c r="I26265" s="224"/>
    </row>
    <row r="26266" spans="1:9" x14ac:dyDescent="0.25">
      <c r="A26266" s="515">
        <v>68338</v>
      </c>
      <c r="C26266" s="52">
        <v>151190.40745215199</v>
      </c>
      <c r="D26266" s="56">
        <v>5.8138932313083425E-2</v>
      </c>
      <c r="E26266" s="224" t="s">
        <v>2</v>
      </c>
      <c r="G26266" s="52"/>
      <c r="H26266" s="56"/>
      <c r="I26266" s="224"/>
    </row>
    <row r="26267" spans="1:9" x14ac:dyDescent="0.25">
      <c r="A26267" s="515">
        <v>26134</v>
      </c>
      <c r="C26267" s="52">
        <v>139574.122953368</v>
      </c>
      <c r="D26267" s="56">
        <v>6.245780200586476E-2</v>
      </c>
      <c r="E26267" s="224" t="s">
        <v>2</v>
      </c>
      <c r="G26267" s="52"/>
      <c r="H26267" s="56"/>
      <c r="I26267" s="224"/>
    </row>
    <row r="26268" spans="1:9" x14ac:dyDescent="0.25">
      <c r="A26268" s="515">
        <v>15368</v>
      </c>
      <c r="B26268" s="515" t="s">
        <v>297</v>
      </c>
      <c r="C26268" s="52">
        <v>43454.049544536399</v>
      </c>
      <c r="D26268" s="56">
        <v>0.26609779035324843</v>
      </c>
      <c r="E26268" s="224" t="s">
        <v>2</v>
      </c>
      <c r="G26268" s="52"/>
      <c r="H26268" s="56"/>
      <c r="I26268" s="224"/>
    </row>
    <row r="26269" spans="1:9" x14ac:dyDescent="0.25">
      <c r="A26269" s="515">
        <v>63783</v>
      </c>
      <c r="C26269" s="52">
        <v>234931.34782608601</v>
      </c>
      <c r="D26269" s="56">
        <v>0</v>
      </c>
      <c r="E26269" s="224" t="s">
        <v>2</v>
      </c>
      <c r="G26269" s="52"/>
      <c r="H26269" s="56"/>
      <c r="I26269" s="224"/>
    </row>
    <row r="26270" spans="1:9" x14ac:dyDescent="0.25">
      <c r="A26270" s="515">
        <v>59482</v>
      </c>
      <c r="C26270" s="52">
        <v>188277.298940054</v>
      </c>
      <c r="D26270" s="56">
        <v>9.6808714313958627E-2</v>
      </c>
      <c r="E26270" s="224" t="s">
        <v>2</v>
      </c>
      <c r="G26270" s="52"/>
      <c r="H26270" s="56"/>
      <c r="I26270" s="224"/>
    </row>
    <row r="26271" spans="1:9" x14ac:dyDescent="0.25">
      <c r="A26271" s="515">
        <v>98050</v>
      </c>
      <c r="B26271" s="515" t="s">
        <v>384</v>
      </c>
      <c r="C26271" s="52">
        <v>1385931.6467957001</v>
      </c>
      <c r="D26271" s="56">
        <v>2.047418840815618E-2</v>
      </c>
      <c r="E26271" s="224" t="s">
        <v>2</v>
      </c>
      <c r="G26271" s="52"/>
      <c r="H26271" s="56"/>
      <c r="I26271" s="224"/>
    </row>
    <row r="26272" spans="1:9" x14ac:dyDescent="0.25">
      <c r="A26272" s="515">
        <v>5058</v>
      </c>
      <c r="B26272" s="515" t="s">
        <v>420</v>
      </c>
      <c r="C26272" s="52">
        <v>337561.88571428502</v>
      </c>
      <c r="D26272" s="56">
        <v>0</v>
      </c>
      <c r="E26272" s="224" t="s">
        <v>2</v>
      </c>
      <c r="G26272" s="52"/>
      <c r="H26272" s="56"/>
      <c r="I26272" s="224"/>
    </row>
    <row r="26273" spans="1:9" x14ac:dyDescent="0.25">
      <c r="A26273" s="515">
        <v>12071</v>
      </c>
      <c r="B26273" s="515" t="s">
        <v>609</v>
      </c>
      <c r="C26273" s="52">
        <v>169009.594361884</v>
      </c>
      <c r="D26273" s="56">
        <v>0.17120276045139435</v>
      </c>
      <c r="E26273" s="224" t="s">
        <v>2</v>
      </c>
      <c r="G26273" s="52"/>
      <c r="H26273" s="56"/>
      <c r="I26273" s="224"/>
    </row>
    <row r="26274" spans="1:9" x14ac:dyDescent="0.25">
      <c r="A26274" s="515">
        <v>25007</v>
      </c>
      <c r="B26274" s="515" t="s">
        <v>566</v>
      </c>
      <c r="C26274" s="52">
        <v>84077.866666666596</v>
      </c>
      <c r="D26274" s="56">
        <v>0</v>
      </c>
      <c r="E26274" s="224" t="s">
        <v>2</v>
      </c>
      <c r="G26274" s="52"/>
      <c r="H26274" s="56"/>
      <c r="I26274" s="224"/>
    </row>
    <row r="26275" spans="1:9" x14ac:dyDescent="0.25">
      <c r="A26275" s="515">
        <v>3838</v>
      </c>
      <c r="C26275" s="52">
        <v>398092.11941005802</v>
      </c>
      <c r="D26275" s="56">
        <v>0.12110551741678652</v>
      </c>
      <c r="E26275" s="224" t="s">
        <v>2</v>
      </c>
      <c r="G26275" s="52"/>
      <c r="H26275" s="56"/>
      <c r="I26275" s="224"/>
    </row>
    <row r="26276" spans="1:9" x14ac:dyDescent="0.25">
      <c r="A26276" s="515">
        <v>98345</v>
      </c>
      <c r="B26276" s="515" t="s">
        <v>620</v>
      </c>
      <c r="C26276" s="52">
        <v>529380.51100226899</v>
      </c>
      <c r="D26276" s="56">
        <v>3.2375878202549467E-2</v>
      </c>
      <c r="E26276" s="224" t="s">
        <v>2</v>
      </c>
      <c r="G26276" s="52"/>
      <c r="H26276" s="56"/>
      <c r="I26276" s="224"/>
    </row>
    <row r="26277" spans="1:9" x14ac:dyDescent="0.25">
      <c r="A26277" s="515">
        <v>15446</v>
      </c>
      <c r="B26277" s="515" t="s">
        <v>297</v>
      </c>
      <c r="C26277" s="52">
        <v>115968.45345563001</v>
      </c>
      <c r="D26277" s="56">
        <v>3.4995683194479849E-2</v>
      </c>
      <c r="E26277" s="224" t="s">
        <v>2</v>
      </c>
      <c r="G26277" s="52"/>
      <c r="H26277" s="56"/>
      <c r="I26277" s="224"/>
    </row>
    <row r="26278" spans="1:9" x14ac:dyDescent="0.25">
      <c r="A26278" s="515">
        <v>26587</v>
      </c>
      <c r="B26278" s="515" t="s">
        <v>302</v>
      </c>
      <c r="C26278" s="52">
        <v>79566.785394381193</v>
      </c>
      <c r="D26278" s="56">
        <v>9.7338717002261668E-2</v>
      </c>
      <c r="E26278" s="224" t="s">
        <v>2</v>
      </c>
      <c r="G26278" s="52"/>
      <c r="H26278" s="56"/>
      <c r="I26278" s="224"/>
    </row>
    <row r="26279" spans="1:9" x14ac:dyDescent="0.25">
      <c r="A26279" s="515">
        <v>12448</v>
      </c>
      <c r="B26279" s="515" t="s">
        <v>307</v>
      </c>
      <c r="C26279" s="52">
        <v>558625.80820436298</v>
      </c>
      <c r="D26279" s="56">
        <v>0.16200203184876119</v>
      </c>
      <c r="E26279" s="224" t="s">
        <v>2</v>
      </c>
      <c r="G26279" s="52"/>
      <c r="H26279" s="56"/>
      <c r="I26279" s="224"/>
    </row>
    <row r="26280" spans="1:9" x14ac:dyDescent="0.25">
      <c r="A26280" s="515">
        <v>99568</v>
      </c>
      <c r="C26280" s="52">
        <v>266484.31251954002</v>
      </c>
      <c r="D26280" s="56">
        <v>2.1734285933400654E-2</v>
      </c>
      <c r="E26280" s="224" t="s">
        <v>2</v>
      </c>
      <c r="G26280" s="52"/>
      <c r="H26280" s="56"/>
      <c r="I26280" s="224"/>
    </row>
    <row r="26281" spans="1:9" x14ac:dyDescent="0.25">
      <c r="A26281" s="515">
        <v>25606</v>
      </c>
      <c r="B26281" s="515" t="s">
        <v>464</v>
      </c>
      <c r="C26281" s="52">
        <v>71089.689655172406</v>
      </c>
      <c r="D26281" s="56">
        <v>0</v>
      </c>
      <c r="E26281" s="224" t="s">
        <v>2</v>
      </c>
      <c r="G26281" s="52"/>
      <c r="H26281" s="56"/>
      <c r="I26281" s="224"/>
    </row>
    <row r="26282" spans="1:9" x14ac:dyDescent="0.25">
      <c r="A26282" s="515">
        <v>67650</v>
      </c>
      <c r="C26282" s="52">
        <v>99518.635712307805</v>
      </c>
      <c r="D26282" s="56">
        <v>7.9342536936230529E-2</v>
      </c>
      <c r="E26282" s="224" t="s">
        <v>2</v>
      </c>
      <c r="G26282" s="52"/>
      <c r="H26282" s="56"/>
      <c r="I26282" s="224"/>
    </row>
    <row r="26283" spans="1:9" x14ac:dyDescent="0.25">
      <c r="A26283" s="515">
        <v>26074</v>
      </c>
      <c r="B26283" s="515" t="s">
        <v>442</v>
      </c>
      <c r="C26283" s="52">
        <v>102943.780473215</v>
      </c>
      <c r="D26283" s="56">
        <v>0.11310087234849946</v>
      </c>
      <c r="E26283" s="224" t="s">
        <v>2</v>
      </c>
      <c r="G26283" s="52"/>
      <c r="H26283" s="56"/>
      <c r="I26283" s="224"/>
    </row>
    <row r="26284" spans="1:9" x14ac:dyDescent="0.25">
      <c r="A26284" s="515">
        <v>16212</v>
      </c>
      <c r="B26284" s="515" t="s">
        <v>297</v>
      </c>
      <c r="C26284" s="52">
        <v>81417.134251420197</v>
      </c>
      <c r="D26284" s="56">
        <v>0.17694576510138926</v>
      </c>
      <c r="E26284" s="224" t="s">
        <v>2</v>
      </c>
      <c r="G26284" s="52"/>
      <c r="H26284" s="56"/>
      <c r="I26284" s="224"/>
    </row>
    <row r="26285" spans="1:9" x14ac:dyDescent="0.25">
      <c r="A26285" s="515">
        <v>67621</v>
      </c>
      <c r="C26285" s="52">
        <v>92476.964687372005</v>
      </c>
      <c r="D26285" s="56">
        <v>3.9746889708660547E-2</v>
      </c>
      <c r="E26285" s="224" t="s">
        <v>2</v>
      </c>
      <c r="G26285" s="52"/>
      <c r="H26285" s="56"/>
      <c r="I26285" s="224"/>
    </row>
    <row r="26286" spans="1:9" x14ac:dyDescent="0.25">
      <c r="A26286" s="515">
        <v>63061</v>
      </c>
      <c r="B26286" s="515" t="s">
        <v>498</v>
      </c>
      <c r="C26286" s="52">
        <v>215337.26904481801</v>
      </c>
      <c r="D26286" s="56">
        <v>0.11769420694774702</v>
      </c>
      <c r="E26286" s="224" t="s">
        <v>2</v>
      </c>
      <c r="G26286" s="52"/>
      <c r="H26286" s="56"/>
      <c r="I26286" s="224"/>
    </row>
    <row r="26287" spans="1:9" x14ac:dyDescent="0.25">
      <c r="A26287" s="515">
        <v>20838</v>
      </c>
      <c r="B26287" s="515" t="s">
        <v>321</v>
      </c>
      <c r="C26287" s="52">
        <v>624894.52872980502</v>
      </c>
      <c r="D26287" s="56">
        <v>0</v>
      </c>
      <c r="E26287" s="224" t="s">
        <v>2</v>
      </c>
      <c r="G26287" s="52"/>
      <c r="H26287" s="56"/>
      <c r="I26287" s="224"/>
    </row>
    <row r="26288" spans="1:9" x14ac:dyDescent="0.25">
      <c r="A26288" s="515">
        <v>87046</v>
      </c>
      <c r="B26288" s="515" t="s">
        <v>313</v>
      </c>
      <c r="C26288" s="52">
        <v>235254.296296296</v>
      </c>
      <c r="D26288" s="56">
        <v>0</v>
      </c>
      <c r="E26288" s="224" t="s">
        <v>2</v>
      </c>
      <c r="G26288" s="52"/>
      <c r="H26288" s="56"/>
      <c r="I26288" s="224"/>
    </row>
    <row r="26289" spans="1:9" x14ac:dyDescent="0.25">
      <c r="A26289" s="515">
        <v>67545</v>
      </c>
      <c r="C26289" s="52">
        <v>94473.882837153797</v>
      </c>
      <c r="D26289" s="56">
        <v>0.11758235394683483</v>
      </c>
      <c r="E26289" s="224" t="s">
        <v>2</v>
      </c>
      <c r="G26289" s="52"/>
      <c r="H26289" s="56"/>
      <c r="I26289" s="224"/>
    </row>
    <row r="26290" spans="1:9" x14ac:dyDescent="0.25">
      <c r="A26290" s="515">
        <v>97369</v>
      </c>
      <c r="B26290" s="515" t="s">
        <v>618</v>
      </c>
      <c r="C26290" s="52">
        <v>540391.71981641802</v>
      </c>
      <c r="D26290" s="56">
        <v>0.13080529515079609</v>
      </c>
      <c r="E26290" s="224" t="s">
        <v>2</v>
      </c>
      <c r="G26290" s="52"/>
      <c r="H26290" s="56"/>
      <c r="I26290" s="224"/>
    </row>
    <row r="26291" spans="1:9" x14ac:dyDescent="0.25">
      <c r="A26291" s="515">
        <v>26629</v>
      </c>
      <c r="C26291" s="52">
        <v>113144.28159259001</v>
      </c>
      <c r="D26291" s="56">
        <v>0.19565880667003183</v>
      </c>
      <c r="E26291" s="224" t="s">
        <v>2</v>
      </c>
      <c r="G26291" s="52"/>
      <c r="H26291" s="56"/>
      <c r="I26291" s="224"/>
    </row>
    <row r="26292" spans="1:9" x14ac:dyDescent="0.25">
      <c r="A26292" s="515">
        <v>5907</v>
      </c>
      <c r="C26292" s="52">
        <v>205271.28125</v>
      </c>
      <c r="D26292" s="56">
        <v>0</v>
      </c>
      <c r="E26292" s="224" t="s">
        <v>2</v>
      </c>
      <c r="G26292" s="52"/>
      <c r="H26292" s="56"/>
      <c r="I26292" s="224"/>
    </row>
    <row r="26293" spans="1:9" x14ac:dyDescent="0.25">
      <c r="A26293" s="515">
        <v>17727</v>
      </c>
      <c r="B26293" s="515" t="s">
        <v>296</v>
      </c>
      <c r="C26293" s="52">
        <v>201265.97141244201</v>
      </c>
      <c r="D26293" s="56">
        <v>0.19816660147756729</v>
      </c>
      <c r="E26293" s="224" t="s">
        <v>2</v>
      </c>
      <c r="G26293" s="52"/>
      <c r="H26293" s="56"/>
      <c r="I26293" s="224"/>
    </row>
    <row r="26294" spans="1:9" x14ac:dyDescent="0.25">
      <c r="A26294" s="515">
        <v>61932</v>
      </c>
      <c r="C26294" s="52">
        <v>45862.2368555422</v>
      </c>
      <c r="D26294" s="56">
        <v>-7.3776895275028093E-2</v>
      </c>
      <c r="E26294" s="224" t="s">
        <v>2</v>
      </c>
      <c r="G26294" s="52"/>
      <c r="H26294" s="56"/>
      <c r="I26294" s="224"/>
    </row>
    <row r="26295" spans="1:9" x14ac:dyDescent="0.25">
      <c r="A26295" s="515">
        <v>50470</v>
      </c>
      <c r="C26295" s="52">
        <v>72627.835146485697</v>
      </c>
      <c r="D26295" s="56">
        <v>0</v>
      </c>
      <c r="E26295" s="224" t="s">
        <v>2</v>
      </c>
      <c r="G26295" s="52"/>
      <c r="H26295" s="56"/>
      <c r="I26295" s="224"/>
    </row>
    <row r="26296" spans="1:9" x14ac:dyDescent="0.25">
      <c r="A26296" s="515">
        <v>6264</v>
      </c>
      <c r="B26296" s="515" t="s">
        <v>751</v>
      </c>
      <c r="C26296" s="52">
        <v>297581.48160705902</v>
      </c>
      <c r="D26296" s="56">
        <v>8.7498384329946166E-2</v>
      </c>
      <c r="E26296" s="224" t="s">
        <v>2</v>
      </c>
      <c r="G26296" s="52"/>
      <c r="H26296" s="56"/>
      <c r="I26296" s="224"/>
    </row>
    <row r="26297" spans="1:9" x14ac:dyDescent="0.25">
      <c r="A26297" s="515">
        <v>84657</v>
      </c>
      <c r="C26297" s="52">
        <v>268395.65491001197</v>
      </c>
      <c r="D26297" s="56">
        <v>0</v>
      </c>
      <c r="E26297" s="224" t="s">
        <v>2</v>
      </c>
      <c r="G26297" s="52"/>
      <c r="H26297" s="56"/>
      <c r="I26297" s="224"/>
    </row>
    <row r="26298" spans="1:9" x14ac:dyDescent="0.25">
      <c r="A26298" s="515">
        <v>98396</v>
      </c>
      <c r="B26298" s="515" t="s">
        <v>384</v>
      </c>
      <c r="C26298" s="52">
        <v>418615.94027037901</v>
      </c>
      <c r="D26298" s="56">
        <v>5.9574849494554499E-3</v>
      </c>
      <c r="E26298" s="224" t="s">
        <v>2</v>
      </c>
      <c r="G26298" s="52"/>
      <c r="H26298" s="56"/>
      <c r="I26298" s="224"/>
    </row>
    <row r="26299" spans="1:9" x14ac:dyDescent="0.25">
      <c r="A26299" s="515">
        <v>98941</v>
      </c>
      <c r="B26299" s="515" t="s">
        <v>473</v>
      </c>
      <c r="C26299" s="52">
        <v>450179.37824286602</v>
      </c>
      <c r="D26299" s="56">
        <v>2.608308239491363E-2</v>
      </c>
      <c r="E26299" s="224" t="s">
        <v>2</v>
      </c>
      <c r="G26299" s="52"/>
      <c r="H26299" s="56"/>
      <c r="I26299" s="224"/>
    </row>
    <row r="26300" spans="1:9" x14ac:dyDescent="0.25">
      <c r="A26300" s="515">
        <v>15331</v>
      </c>
      <c r="B26300" s="515" t="s">
        <v>297</v>
      </c>
      <c r="C26300" s="52">
        <v>70691.827650107196</v>
      </c>
      <c r="D26300" s="56">
        <v>0.21278021643026226</v>
      </c>
      <c r="E26300" s="224" t="s">
        <v>2</v>
      </c>
      <c r="G26300" s="52"/>
      <c r="H26300" s="56"/>
      <c r="I26300" s="224"/>
    </row>
    <row r="26301" spans="1:9" x14ac:dyDescent="0.25">
      <c r="A26301" s="515">
        <v>68440</v>
      </c>
      <c r="C26301" s="52">
        <v>80206.630100294395</v>
      </c>
      <c r="D26301" s="56">
        <v>9.1958800969397153E-2</v>
      </c>
      <c r="E26301" s="224" t="s">
        <v>2</v>
      </c>
      <c r="G26301" s="52"/>
      <c r="H26301" s="56"/>
      <c r="I26301" s="224"/>
    </row>
    <row r="26302" spans="1:9" x14ac:dyDescent="0.25">
      <c r="A26302" s="515">
        <v>47857</v>
      </c>
      <c r="B26302" s="515" t="s">
        <v>318</v>
      </c>
      <c r="C26302" s="52">
        <v>121483.942218032</v>
      </c>
      <c r="D26302" s="56">
        <v>0.14883434960414516</v>
      </c>
      <c r="E26302" s="224" t="s">
        <v>2</v>
      </c>
      <c r="G26302" s="52"/>
      <c r="H26302" s="56"/>
      <c r="I26302" s="224"/>
    </row>
    <row r="26303" spans="1:9" x14ac:dyDescent="0.25">
      <c r="A26303" s="515">
        <v>24733</v>
      </c>
      <c r="B26303" s="515" t="s">
        <v>306</v>
      </c>
      <c r="C26303" s="52">
        <v>90865.178100390098</v>
      </c>
      <c r="D26303" s="56">
        <v>0.19382818509128033</v>
      </c>
      <c r="E26303" s="224" t="s">
        <v>2</v>
      </c>
      <c r="G26303" s="52"/>
      <c r="H26303" s="56"/>
      <c r="I26303" s="224"/>
    </row>
    <row r="26304" spans="1:9" x14ac:dyDescent="0.25">
      <c r="A26304" s="515">
        <v>61810</v>
      </c>
      <c r="B26304" s="515" t="s">
        <v>999</v>
      </c>
      <c r="C26304" s="52">
        <v>89151.795360790202</v>
      </c>
      <c r="D26304" s="56">
        <v>0.16091913543528358</v>
      </c>
      <c r="E26304" s="224" t="s">
        <v>2</v>
      </c>
      <c r="G26304" s="52"/>
      <c r="H26304" s="56"/>
      <c r="I26304" s="224"/>
    </row>
    <row r="26305" spans="1:9" x14ac:dyDescent="0.25">
      <c r="A26305" s="515">
        <v>50529</v>
      </c>
      <c r="C26305" s="52">
        <v>119863.662063738</v>
      </c>
      <c r="D26305" s="56">
        <v>3.7945920447177352E-2</v>
      </c>
      <c r="E26305" s="224" t="s">
        <v>2</v>
      </c>
      <c r="G26305" s="52"/>
      <c r="H26305" s="56"/>
      <c r="I26305" s="224"/>
    </row>
    <row r="26306" spans="1:9" x14ac:dyDescent="0.25">
      <c r="A26306" s="515">
        <v>14475</v>
      </c>
      <c r="B26306" s="515" t="s">
        <v>337</v>
      </c>
      <c r="C26306" s="52">
        <v>373044.21633977699</v>
      </c>
      <c r="D26306" s="56">
        <v>0.11699978356080844</v>
      </c>
      <c r="E26306" s="224" t="s">
        <v>2</v>
      </c>
      <c r="G26306" s="52"/>
      <c r="H26306" s="56"/>
      <c r="I26306" s="224"/>
    </row>
    <row r="26307" spans="1:9" x14ac:dyDescent="0.25">
      <c r="A26307" s="515">
        <v>15462</v>
      </c>
      <c r="B26307" s="515" t="s">
        <v>297</v>
      </c>
      <c r="C26307" s="52">
        <v>96198.370133507793</v>
      </c>
      <c r="D26307" s="56">
        <v>3.7051978693455903E-2</v>
      </c>
      <c r="E26307" s="224" t="s">
        <v>2</v>
      </c>
      <c r="G26307" s="52"/>
      <c r="H26307" s="56"/>
      <c r="I26307" s="224"/>
    </row>
    <row r="26308" spans="1:9" x14ac:dyDescent="0.25">
      <c r="A26308" s="515">
        <v>26263</v>
      </c>
      <c r="B26308" s="515" t="s">
        <v>586</v>
      </c>
      <c r="C26308" s="52">
        <v>177739.93275136</v>
      </c>
      <c r="D26308" s="56">
        <v>8.7047681837351162E-2</v>
      </c>
      <c r="E26308" s="224" t="s">
        <v>2</v>
      </c>
      <c r="G26308" s="52"/>
      <c r="H26308" s="56"/>
      <c r="I26308" s="224"/>
    </row>
    <row r="26309" spans="1:9" x14ac:dyDescent="0.25">
      <c r="A26309" s="515">
        <v>15482</v>
      </c>
      <c r="B26309" s="515" t="s">
        <v>297</v>
      </c>
      <c r="C26309" s="52">
        <v>49530.104708712301</v>
      </c>
      <c r="D26309" s="56">
        <v>7.8545510496620771E-2</v>
      </c>
      <c r="E26309" s="224" t="s">
        <v>2</v>
      </c>
      <c r="G26309" s="52"/>
      <c r="H26309" s="56"/>
      <c r="I26309" s="224"/>
    </row>
    <row r="26310" spans="1:9" x14ac:dyDescent="0.25">
      <c r="A26310" s="515">
        <v>77376</v>
      </c>
      <c r="B26310" s="515" t="s">
        <v>492</v>
      </c>
      <c r="C26310" s="52">
        <v>132392.99714873001</v>
      </c>
      <c r="D26310" s="56">
        <v>0</v>
      </c>
      <c r="E26310" s="224" t="s">
        <v>2</v>
      </c>
      <c r="G26310" s="52"/>
      <c r="H26310" s="56"/>
      <c r="I26310" s="224"/>
    </row>
    <row r="26311" spans="1:9" x14ac:dyDescent="0.25">
      <c r="A26311" s="515">
        <v>59855</v>
      </c>
      <c r="C26311" s="52">
        <v>262133.01733581099</v>
      </c>
      <c r="D26311" s="56">
        <v>9.6741486730937298E-2</v>
      </c>
      <c r="E26311" s="224" t="s">
        <v>2</v>
      </c>
      <c r="G26311" s="52"/>
      <c r="H26311" s="56"/>
      <c r="I26311" s="224"/>
    </row>
    <row r="26312" spans="1:9" x14ac:dyDescent="0.25">
      <c r="A26312" s="515">
        <v>12439</v>
      </c>
      <c r="C26312" s="52">
        <v>345531.600550881</v>
      </c>
      <c r="D26312" s="56">
        <v>0.10106357189476305</v>
      </c>
      <c r="E26312" s="224" t="s">
        <v>2</v>
      </c>
      <c r="G26312" s="52"/>
      <c r="H26312" s="56"/>
      <c r="I26312" s="224"/>
    </row>
    <row r="26313" spans="1:9" x14ac:dyDescent="0.25">
      <c r="A26313" s="515">
        <v>13468</v>
      </c>
      <c r="B26313" s="515" t="s">
        <v>460</v>
      </c>
      <c r="C26313" s="52">
        <v>183805.30134304299</v>
      </c>
      <c r="D26313" s="56">
        <v>0.14878514824586331</v>
      </c>
      <c r="E26313" s="224" t="s">
        <v>2</v>
      </c>
      <c r="G26313" s="52"/>
      <c r="H26313" s="56"/>
      <c r="I26313" s="224"/>
    </row>
    <row r="26314" spans="1:9" x14ac:dyDescent="0.25">
      <c r="A26314" s="515">
        <v>15054</v>
      </c>
      <c r="B26314" s="515" t="s">
        <v>297</v>
      </c>
      <c r="C26314" s="52">
        <v>82017.200826319793</v>
      </c>
      <c r="D26314" s="56">
        <v>0.19196384340639913</v>
      </c>
      <c r="E26314" s="224" t="s">
        <v>2</v>
      </c>
      <c r="G26314" s="52"/>
      <c r="H26314" s="56"/>
      <c r="I26314" s="224"/>
    </row>
    <row r="26315" spans="1:9" x14ac:dyDescent="0.25">
      <c r="A26315" s="515">
        <v>15547</v>
      </c>
      <c r="B26315" s="515" t="s">
        <v>370</v>
      </c>
      <c r="C26315" s="52">
        <v>151800.396226415</v>
      </c>
      <c r="D26315" s="56">
        <v>0</v>
      </c>
      <c r="E26315" s="224" t="s">
        <v>2</v>
      </c>
      <c r="G26315" s="52"/>
      <c r="H26315" s="56"/>
      <c r="I26315" s="224"/>
    </row>
    <row r="26316" spans="1:9" x14ac:dyDescent="0.25">
      <c r="A26316" s="515">
        <v>88341</v>
      </c>
      <c r="B26316" s="515" t="s">
        <v>616</v>
      </c>
      <c r="C26316" s="52">
        <v>324642.55555555498</v>
      </c>
      <c r="D26316" s="56">
        <v>0</v>
      </c>
      <c r="E26316" s="224" t="s">
        <v>2</v>
      </c>
      <c r="G26316" s="52"/>
      <c r="H26316" s="56"/>
      <c r="I26316" s="224"/>
    </row>
    <row r="26317" spans="1:9" x14ac:dyDescent="0.25">
      <c r="A26317" s="515">
        <v>99721</v>
      </c>
      <c r="C26317" s="52">
        <v>178303.173698756</v>
      </c>
      <c r="D26317" s="56">
        <v>-2.1226153514122149E-2</v>
      </c>
      <c r="E26317" s="224" t="s">
        <v>2</v>
      </c>
      <c r="G26317" s="52"/>
      <c r="H26317" s="56"/>
      <c r="I26317" s="224"/>
    </row>
    <row r="26318" spans="1:9" x14ac:dyDescent="0.25">
      <c r="A26318" s="515">
        <v>48440</v>
      </c>
      <c r="B26318" s="515" t="s">
        <v>685</v>
      </c>
      <c r="C26318" s="52">
        <v>196018.46562254801</v>
      </c>
      <c r="D26318" s="56">
        <v>0</v>
      </c>
      <c r="E26318" s="224" t="s">
        <v>2</v>
      </c>
      <c r="G26318" s="52"/>
      <c r="H26318" s="56"/>
      <c r="I26318" s="224"/>
    </row>
    <row r="26319" spans="1:9" x14ac:dyDescent="0.25">
      <c r="A26319" s="515">
        <v>81057</v>
      </c>
      <c r="C26319" s="52">
        <v>176550.745072966</v>
      </c>
      <c r="D26319" s="56">
        <v>6.8802120841009937E-2</v>
      </c>
      <c r="E26319" s="224" t="s">
        <v>2</v>
      </c>
      <c r="G26319" s="52"/>
      <c r="H26319" s="56"/>
      <c r="I26319" s="224"/>
    </row>
    <row r="26320" spans="1:9" x14ac:dyDescent="0.25">
      <c r="A26320" s="515">
        <v>19456</v>
      </c>
      <c r="B26320" s="515" t="s">
        <v>294</v>
      </c>
      <c r="C26320" s="52">
        <v>367891.99483499798</v>
      </c>
      <c r="D26320" s="56">
        <v>0.12428251096773878</v>
      </c>
      <c r="E26320" s="224" t="s">
        <v>2</v>
      </c>
      <c r="G26320" s="52"/>
      <c r="H26320" s="56"/>
      <c r="I26320" s="224"/>
    </row>
    <row r="26321" spans="1:9" x14ac:dyDescent="0.25">
      <c r="A26321" s="515">
        <v>21628</v>
      </c>
      <c r="B26321" s="515" t="s">
        <v>582</v>
      </c>
      <c r="C26321" s="52">
        <v>264227.44038641098</v>
      </c>
      <c r="D26321" s="56">
        <v>-2.2105304946541168E-3</v>
      </c>
      <c r="E26321" s="224" t="s">
        <v>2</v>
      </c>
      <c r="G26321" s="52"/>
      <c r="H26321" s="56"/>
      <c r="I26321" s="224"/>
    </row>
    <row r="26322" spans="1:9" x14ac:dyDescent="0.25">
      <c r="A26322" s="515">
        <v>29333</v>
      </c>
      <c r="B26322" s="515" t="s">
        <v>447</v>
      </c>
      <c r="C26322" s="52">
        <v>115727.816114278</v>
      </c>
      <c r="D26322" s="56">
        <v>0.26595812821444825</v>
      </c>
      <c r="E26322" s="224" t="s">
        <v>2</v>
      </c>
      <c r="G26322" s="52"/>
      <c r="H26322" s="56"/>
      <c r="I26322" s="224"/>
    </row>
    <row r="26323" spans="1:9" x14ac:dyDescent="0.25">
      <c r="A26323" s="515">
        <v>78549</v>
      </c>
      <c r="B26323" s="515" t="s">
        <v>550</v>
      </c>
      <c r="C26323" s="52">
        <v>94703.706586843706</v>
      </c>
      <c r="D26323" s="56">
        <v>0.24416210258178292</v>
      </c>
      <c r="E26323" s="224" t="s">
        <v>2</v>
      </c>
      <c r="G26323" s="52"/>
      <c r="H26323" s="56"/>
      <c r="I26323" s="224"/>
    </row>
    <row r="26324" spans="1:9" x14ac:dyDescent="0.25">
      <c r="A26324" s="515">
        <v>50605</v>
      </c>
      <c r="C26324" s="52">
        <v>97170.502009729695</v>
      </c>
      <c r="D26324" s="56">
        <v>0</v>
      </c>
      <c r="E26324" s="224" t="s">
        <v>2</v>
      </c>
      <c r="G26324" s="52"/>
      <c r="H26324" s="56"/>
      <c r="I26324" s="224"/>
    </row>
    <row r="26325" spans="1:9" x14ac:dyDescent="0.25">
      <c r="A26325" s="515">
        <v>2858</v>
      </c>
      <c r="B26325" s="515" t="s">
        <v>513</v>
      </c>
      <c r="C26325" s="52">
        <v>383864.84188571002</v>
      </c>
      <c r="D26325" s="56">
        <v>8.5703053367500281E-2</v>
      </c>
      <c r="E26325" s="224" t="s">
        <v>2</v>
      </c>
      <c r="G26325" s="52"/>
      <c r="H26325" s="56"/>
      <c r="I26325" s="224"/>
    </row>
    <row r="26326" spans="1:9" x14ac:dyDescent="0.25">
      <c r="A26326" s="515">
        <v>68747</v>
      </c>
      <c r="B26326" s="515" t="s">
        <v>615</v>
      </c>
      <c r="C26326" s="52">
        <v>347848.58307308197</v>
      </c>
      <c r="D26326" s="56">
        <v>0</v>
      </c>
      <c r="E26326" s="224" t="s">
        <v>2</v>
      </c>
      <c r="G26326" s="52"/>
      <c r="H26326" s="56"/>
      <c r="I26326" s="224"/>
    </row>
    <row r="26327" spans="1:9" x14ac:dyDescent="0.25">
      <c r="A26327" s="515">
        <v>59460</v>
      </c>
      <c r="C26327" s="52">
        <v>297112.84848484799</v>
      </c>
      <c r="D26327" s="56">
        <v>0</v>
      </c>
      <c r="E26327" s="224" t="s">
        <v>2</v>
      </c>
      <c r="G26327" s="52"/>
      <c r="H26327" s="56"/>
      <c r="I26327" s="224"/>
    </row>
    <row r="26328" spans="1:9" x14ac:dyDescent="0.25">
      <c r="A26328" s="515">
        <v>26369</v>
      </c>
      <c r="B26328" s="515" t="s">
        <v>347</v>
      </c>
      <c r="C26328" s="52">
        <v>73175.745643598697</v>
      </c>
      <c r="D26328" s="56">
        <v>-0.13594872828550048</v>
      </c>
      <c r="E26328" s="224" t="s">
        <v>2</v>
      </c>
      <c r="G26328" s="52"/>
      <c r="H26328" s="56"/>
      <c r="I26328" s="224"/>
    </row>
    <row r="26329" spans="1:9" x14ac:dyDescent="0.25">
      <c r="A26329" s="515">
        <v>15678</v>
      </c>
      <c r="B26329" s="515" t="s">
        <v>297</v>
      </c>
      <c r="C26329" s="52">
        <v>140168.640625</v>
      </c>
      <c r="D26329" s="56">
        <v>0</v>
      </c>
      <c r="E26329" s="224" t="s">
        <v>2</v>
      </c>
      <c r="G26329" s="52"/>
      <c r="H26329" s="56"/>
      <c r="I26329" s="224"/>
    </row>
    <row r="26330" spans="1:9" x14ac:dyDescent="0.25">
      <c r="A26330" s="515">
        <v>67751</v>
      </c>
      <c r="C26330" s="52">
        <v>116551.64626213899</v>
      </c>
      <c r="D26330" s="56">
        <v>0.19345986835923507</v>
      </c>
      <c r="E26330" s="224" t="s">
        <v>2</v>
      </c>
      <c r="G26330" s="52"/>
      <c r="H26330" s="56"/>
      <c r="I26330" s="224"/>
    </row>
    <row r="26331" spans="1:9" x14ac:dyDescent="0.25">
      <c r="A26331" s="515">
        <v>97476</v>
      </c>
      <c r="B26331" s="515" t="s">
        <v>614</v>
      </c>
      <c r="C26331" s="52">
        <v>427149.78571428498</v>
      </c>
      <c r="D26331" s="56">
        <v>0</v>
      </c>
      <c r="E26331" s="224" t="s">
        <v>2</v>
      </c>
      <c r="G26331" s="52"/>
      <c r="H26331" s="56"/>
      <c r="I26331" s="224"/>
    </row>
    <row r="26332" spans="1:9" x14ac:dyDescent="0.25">
      <c r="A26332" s="515">
        <v>29667</v>
      </c>
      <c r="B26332" s="515" t="s">
        <v>613</v>
      </c>
      <c r="C26332" s="52">
        <v>190971.23517173799</v>
      </c>
      <c r="D26332" s="56">
        <v>0.2041748391115048</v>
      </c>
      <c r="E26332" s="224" t="s">
        <v>2</v>
      </c>
      <c r="G26332" s="52"/>
      <c r="H26332" s="56"/>
      <c r="I26332" s="224"/>
    </row>
    <row r="26333" spans="1:9" x14ac:dyDescent="0.25">
      <c r="A26333" s="515">
        <v>79842</v>
      </c>
      <c r="C26333" s="52">
        <v>142350.916748182</v>
      </c>
      <c r="D26333" s="56">
        <v>0</v>
      </c>
      <c r="E26333" s="224" t="s">
        <v>2</v>
      </c>
      <c r="G26333" s="52"/>
      <c r="H26333" s="56"/>
      <c r="I26333" s="224"/>
    </row>
    <row r="26334" spans="1:9" x14ac:dyDescent="0.25">
      <c r="A26334" s="515">
        <v>67631</v>
      </c>
      <c r="C26334" s="52">
        <v>104630.700414579</v>
      </c>
      <c r="D26334" s="56">
        <v>0.22317691698993961</v>
      </c>
      <c r="E26334" s="224" t="s">
        <v>2</v>
      </c>
      <c r="G26334" s="52"/>
      <c r="H26334" s="56"/>
      <c r="I26334" s="224"/>
    </row>
    <row r="26335" spans="1:9" x14ac:dyDescent="0.25">
      <c r="A26335" s="515">
        <v>67066</v>
      </c>
      <c r="C26335" s="52">
        <v>135273.67977698299</v>
      </c>
      <c r="D26335" s="56">
        <v>0.10214700139865958</v>
      </c>
      <c r="E26335" s="224" t="s">
        <v>2</v>
      </c>
      <c r="G26335" s="52"/>
      <c r="H26335" s="56"/>
      <c r="I26335" s="224"/>
    </row>
    <row r="26336" spans="1:9" x14ac:dyDescent="0.25">
      <c r="A26336" s="515">
        <v>25119</v>
      </c>
      <c r="B26336" s="515" t="s">
        <v>566</v>
      </c>
      <c r="C26336" s="52">
        <v>67848.100108454397</v>
      </c>
      <c r="D26336" s="56">
        <v>7.9799465893230934E-2</v>
      </c>
      <c r="E26336" s="224" t="s">
        <v>2</v>
      </c>
      <c r="G26336" s="52"/>
      <c r="H26336" s="56"/>
      <c r="I26336" s="224"/>
    </row>
    <row r="26337" spans="1:9" x14ac:dyDescent="0.25">
      <c r="A26337" s="515">
        <v>25862</v>
      </c>
      <c r="B26337" s="515" t="s">
        <v>566</v>
      </c>
      <c r="C26337" s="52">
        <v>95033.257236979902</v>
      </c>
      <c r="D26337" s="56">
        <v>0.18486742882223162</v>
      </c>
      <c r="E26337" s="224" t="s">
        <v>2</v>
      </c>
      <c r="G26337" s="52"/>
      <c r="H26337" s="56"/>
      <c r="I26337" s="224"/>
    </row>
    <row r="26338" spans="1:9" x14ac:dyDescent="0.25">
      <c r="A26338" s="515">
        <v>16022</v>
      </c>
      <c r="B26338" s="515" t="s">
        <v>297</v>
      </c>
      <c r="C26338" s="52">
        <v>112009.886792452</v>
      </c>
      <c r="D26338" s="56">
        <v>0</v>
      </c>
      <c r="E26338" s="224" t="s">
        <v>2</v>
      </c>
      <c r="G26338" s="52"/>
      <c r="H26338" s="56"/>
      <c r="I26338" s="224"/>
    </row>
    <row r="26339" spans="1:9" x14ac:dyDescent="0.25">
      <c r="A26339" s="515">
        <v>67485</v>
      </c>
      <c r="C26339" s="52">
        <v>126834.84195127701</v>
      </c>
      <c r="D26339" s="56">
        <v>0.16700876200428977</v>
      </c>
      <c r="E26339" s="224" t="s">
        <v>2</v>
      </c>
      <c r="G26339" s="52"/>
      <c r="H26339" s="56"/>
      <c r="I26339" s="224"/>
    </row>
    <row r="26340" spans="1:9" x14ac:dyDescent="0.25">
      <c r="A26340" s="515">
        <v>54246</v>
      </c>
      <c r="C26340" s="52">
        <v>302271.73282302101</v>
      </c>
      <c r="D26340" s="56">
        <v>6.6323333565160167E-2</v>
      </c>
      <c r="E26340" s="224" t="s">
        <v>2</v>
      </c>
      <c r="G26340" s="52"/>
      <c r="H26340" s="56"/>
      <c r="I26340" s="224"/>
    </row>
    <row r="26341" spans="1:9" x14ac:dyDescent="0.25">
      <c r="A26341" s="515">
        <v>77468</v>
      </c>
      <c r="B26341" s="515" t="s">
        <v>333</v>
      </c>
      <c r="C26341" s="52">
        <v>153083.60060696601</v>
      </c>
      <c r="D26341" s="56">
        <v>0</v>
      </c>
      <c r="E26341" s="224" t="s">
        <v>2</v>
      </c>
      <c r="G26341" s="52"/>
      <c r="H26341" s="56"/>
      <c r="I26341" s="224"/>
    </row>
    <row r="26342" spans="1:9" x14ac:dyDescent="0.25">
      <c r="A26342" s="515">
        <v>27872</v>
      </c>
      <c r="C26342" s="52">
        <v>32435.623655940599</v>
      </c>
      <c r="D26342" s="56">
        <v>0</v>
      </c>
      <c r="E26342" s="224" t="s">
        <v>2</v>
      </c>
      <c r="G26342" s="52"/>
      <c r="H26342" s="56"/>
      <c r="I26342" s="224"/>
    </row>
    <row r="26343" spans="1:9" x14ac:dyDescent="0.25">
      <c r="A26343" s="515">
        <v>15546</v>
      </c>
      <c r="B26343" s="515" t="s">
        <v>370</v>
      </c>
      <c r="C26343" s="52">
        <v>81813.588346113305</v>
      </c>
      <c r="D26343" s="56">
        <v>0.26943649841347644</v>
      </c>
      <c r="E26343" s="224" t="s">
        <v>2</v>
      </c>
      <c r="G26343" s="52"/>
      <c r="H26343" s="56"/>
      <c r="I26343" s="224"/>
    </row>
    <row r="26344" spans="1:9" x14ac:dyDescent="0.25">
      <c r="A26344" s="515">
        <v>25817</v>
      </c>
      <c r="B26344" s="515" t="s">
        <v>566</v>
      </c>
      <c r="C26344" s="52">
        <v>131160</v>
      </c>
      <c r="D26344" s="56">
        <v>0</v>
      </c>
      <c r="E26344" s="224" t="s">
        <v>2</v>
      </c>
      <c r="G26344" s="52"/>
      <c r="H26344" s="56"/>
      <c r="I26344" s="224"/>
    </row>
    <row r="26345" spans="1:9" x14ac:dyDescent="0.25">
      <c r="A26345" s="515">
        <v>12965</v>
      </c>
      <c r="B26345" s="515" t="s">
        <v>511</v>
      </c>
      <c r="C26345" s="52">
        <v>95006.277372531695</v>
      </c>
      <c r="D26345" s="56">
        <v>4.1821784860467379E-2</v>
      </c>
      <c r="E26345" s="224" t="s">
        <v>2</v>
      </c>
      <c r="G26345" s="52"/>
      <c r="H26345" s="56"/>
      <c r="I26345" s="224"/>
    </row>
    <row r="26346" spans="1:9" x14ac:dyDescent="0.25">
      <c r="A26346" s="515">
        <v>14511</v>
      </c>
      <c r="B26346" s="515" t="s">
        <v>337</v>
      </c>
      <c r="C26346" s="52">
        <v>180538.586319258</v>
      </c>
      <c r="D26346" s="56">
        <v>0.10821014229071066</v>
      </c>
      <c r="E26346" s="224" t="s">
        <v>2</v>
      </c>
      <c r="G26346" s="52"/>
      <c r="H26346" s="56"/>
      <c r="I26346" s="224"/>
    </row>
    <row r="26347" spans="1:9" x14ac:dyDescent="0.25">
      <c r="A26347" s="515">
        <v>95497</v>
      </c>
      <c r="B26347" s="515" t="s">
        <v>331</v>
      </c>
      <c r="C26347" s="52">
        <v>1188609.5396580501</v>
      </c>
      <c r="D26347" s="56">
        <v>9.7543679835872352E-2</v>
      </c>
      <c r="E26347" s="224" t="s">
        <v>2</v>
      </c>
      <c r="G26347" s="52"/>
      <c r="H26347" s="56"/>
      <c r="I26347" s="224"/>
    </row>
    <row r="26348" spans="1:9" x14ac:dyDescent="0.25">
      <c r="A26348" s="515">
        <v>15754</v>
      </c>
      <c r="B26348" s="515" t="s">
        <v>343</v>
      </c>
      <c r="C26348" s="52">
        <v>81117.250747789294</v>
      </c>
      <c r="D26348" s="56">
        <v>0.15548655946175818</v>
      </c>
      <c r="E26348" s="224" t="s">
        <v>2</v>
      </c>
      <c r="G26348" s="52"/>
      <c r="H26348" s="56"/>
      <c r="I26348" s="224"/>
    </row>
    <row r="26349" spans="1:9" x14ac:dyDescent="0.25">
      <c r="A26349" s="515">
        <v>13450</v>
      </c>
      <c r="B26349" s="515" t="s">
        <v>460</v>
      </c>
      <c r="C26349" s="52">
        <v>178197.13093620201</v>
      </c>
      <c r="D26349" s="56">
        <v>0.13262391333559098</v>
      </c>
      <c r="E26349" s="224" t="s">
        <v>2</v>
      </c>
      <c r="G26349" s="52"/>
      <c r="H26349" s="56"/>
      <c r="I26349" s="224"/>
    </row>
    <row r="26350" spans="1:9" x14ac:dyDescent="0.25">
      <c r="A26350" s="515">
        <v>85931</v>
      </c>
      <c r="B26350" s="515" t="s">
        <v>600</v>
      </c>
      <c r="C26350" s="52">
        <v>484699.49401802401</v>
      </c>
      <c r="D26350" s="56">
        <v>5.133834047397761E-2</v>
      </c>
      <c r="E26350" s="224" t="s">
        <v>2</v>
      </c>
      <c r="G26350" s="52"/>
      <c r="H26350" s="56"/>
      <c r="I26350" s="224"/>
    </row>
    <row r="26351" spans="1:9" x14ac:dyDescent="0.25">
      <c r="A26351" s="515">
        <v>13666</v>
      </c>
      <c r="B26351" s="515" t="s">
        <v>511</v>
      </c>
      <c r="C26351" s="52">
        <v>50654.391644866999</v>
      </c>
      <c r="D26351" s="56">
        <v>7.5816530595336886E-3</v>
      </c>
      <c r="E26351" s="224" t="s">
        <v>2</v>
      </c>
      <c r="G26351" s="52"/>
      <c r="H26351" s="56"/>
      <c r="I26351" s="224"/>
    </row>
    <row r="26352" spans="1:9" x14ac:dyDescent="0.25">
      <c r="A26352" s="515">
        <v>59843</v>
      </c>
      <c r="C26352" s="52">
        <v>359366.07476808701</v>
      </c>
      <c r="D26352" s="56">
        <v>0.11254230515370667</v>
      </c>
      <c r="E26352" s="224" t="s">
        <v>2</v>
      </c>
      <c r="G26352" s="52"/>
      <c r="H26352" s="56"/>
      <c r="I26352" s="224"/>
    </row>
    <row r="26353" spans="1:9" x14ac:dyDescent="0.25">
      <c r="A26353" s="515">
        <v>88434</v>
      </c>
      <c r="C26353" s="52">
        <v>108522.64191742599</v>
      </c>
      <c r="D26353" s="56">
        <v>-5.7438963548868951E-3</v>
      </c>
      <c r="E26353" s="224" t="s">
        <v>2</v>
      </c>
      <c r="G26353" s="52"/>
      <c r="H26353" s="56"/>
      <c r="I26353" s="224"/>
    </row>
    <row r="26354" spans="1:9" x14ac:dyDescent="0.25">
      <c r="A26354" s="515">
        <v>95923</v>
      </c>
      <c r="C26354" s="52">
        <v>349322.31628801097</v>
      </c>
      <c r="D26354" s="56">
        <v>0</v>
      </c>
      <c r="E26354" s="224" t="s">
        <v>2</v>
      </c>
      <c r="G26354" s="52"/>
      <c r="H26354" s="56"/>
      <c r="I26354" s="224"/>
    </row>
    <row r="26355" spans="1:9" x14ac:dyDescent="0.25">
      <c r="A26355" s="515">
        <v>56160</v>
      </c>
      <c r="B26355" s="515" t="s">
        <v>608</v>
      </c>
      <c r="C26355" s="52">
        <v>160220.95788252301</v>
      </c>
      <c r="D26355" s="56">
        <v>0</v>
      </c>
      <c r="E26355" s="224" t="s">
        <v>2</v>
      </c>
      <c r="G26355" s="52"/>
      <c r="H26355" s="56"/>
      <c r="I26355" s="224"/>
    </row>
    <row r="26356" spans="1:9" x14ac:dyDescent="0.25">
      <c r="A26356" s="515">
        <v>66959</v>
      </c>
      <c r="C26356" s="52">
        <v>115023.08481340999</v>
      </c>
      <c r="D26356" s="56">
        <v>0.16585512523419596</v>
      </c>
      <c r="E26356" s="224" t="s">
        <v>2</v>
      </c>
      <c r="G26356" s="52"/>
      <c r="H26356" s="56"/>
      <c r="I26356" s="224"/>
    </row>
    <row r="26357" spans="1:9" x14ac:dyDescent="0.25">
      <c r="A26357" s="515">
        <v>12412</v>
      </c>
      <c r="B26357" s="515" t="s">
        <v>307</v>
      </c>
      <c r="C26357" s="52">
        <v>368773.22745475097</v>
      </c>
      <c r="D26357" s="56">
        <v>0.10029714443067154</v>
      </c>
      <c r="E26357" s="224" t="s">
        <v>2</v>
      </c>
      <c r="G26357" s="52"/>
      <c r="H26357" s="56"/>
      <c r="I26357" s="224"/>
    </row>
    <row r="26358" spans="1:9" x14ac:dyDescent="0.25">
      <c r="A26358" s="515">
        <v>51543</v>
      </c>
      <c r="C26358" s="52">
        <v>96598.284265255395</v>
      </c>
      <c r="D26358" s="56">
        <v>0</v>
      </c>
      <c r="E26358" s="224" t="s">
        <v>2</v>
      </c>
      <c r="G26358" s="52"/>
      <c r="H26358" s="56"/>
      <c r="I26358" s="224"/>
    </row>
    <row r="26359" spans="1:9" x14ac:dyDescent="0.25">
      <c r="A26359" s="515">
        <v>49782</v>
      </c>
      <c r="C26359" s="52">
        <v>254405.544347588</v>
      </c>
      <c r="D26359" s="56">
        <v>6.0060815493181346E-2</v>
      </c>
      <c r="E26359" s="224" t="s">
        <v>2</v>
      </c>
      <c r="G26359" s="52"/>
      <c r="H26359" s="56"/>
      <c r="I26359" s="224"/>
    </row>
    <row r="26360" spans="1:9" x14ac:dyDescent="0.25">
      <c r="A26360" s="515">
        <v>54441</v>
      </c>
      <c r="B26360" s="515" t="s">
        <v>607</v>
      </c>
      <c r="C26360" s="52">
        <v>231161.41954492999</v>
      </c>
      <c r="D26360" s="56">
        <v>6.3035792406407304E-2</v>
      </c>
      <c r="E26360" s="224" t="s">
        <v>2</v>
      </c>
      <c r="G26360" s="52"/>
      <c r="H26360" s="56"/>
      <c r="I26360" s="224"/>
    </row>
    <row r="26361" spans="1:9" x14ac:dyDescent="0.25">
      <c r="A26361" s="515">
        <v>98644</v>
      </c>
      <c r="C26361" s="52">
        <v>346901.07833731</v>
      </c>
      <c r="D26361" s="56">
        <v>6.2730556418639186E-2</v>
      </c>
      <c r="E26361" s="224" t="s">
        <v>2</v>
      </c>
      <c r="G26361" s="52"/>
      <c r="H26361" s="56"/>
      <c r="I26361" s="224"/>
    </row>
    <row r="26362" spans="1:9" x14ac:dyDescent="0.25">
      <c r="A26362" s="515">
        <v>41621</v>
      </c>
      <c r="C26362" s="52">
        <v>61050.2189559158</v>
      </c>
      <c r="D26362" s="56">
        <v>0.24354522549564955</v>
      </c>
      <c r="E26362" s="224" t="s">
        <v>2</v>
      </c>
      <c r="G26362" s="52"/>
      <c r="H26362" s="56"/>
      <c r="I26362" s="224"/>
    </row>
    <row r="26363" spans="1:9" x14ac:dyDescent="0.25">
      <c r="A26363" s="515">
        <v>15821</v>
      </c>
      <c r="B26363" s="515" t="s">
        <v>954</v>
      </c>
      <c r="C26363" s="52">
        <v>93857.640755216504</v>
      </c>
      <c r="D26363" s="56">
        <v>0.10116512401824163</v>
      </c>
      <c r="E26363" s="224" t="s">
        <v>2</v>
      </c>
      <c r="G26363" s="52"/>
      <c r="H26363" s="56"/>
      <c r="I26363" s="224"/>
    </row>
    <row r="26364" spans="1:9" x14ac:dyDescent="0.25">
      <c r="A26364" s="515">
        <v>42047</v>
      </c>
      <c r="B26364" s="515" t="s">
        <v>846</v>
      </c>
      <c r="C26364" s="52">
        <v>103931.046525813</v>
      </c>
      <c r="D26364" s="56">
        <v>0.25451225029348967</v>
      </c>
      <c r="E26364" s="224" t="s">
        <v>2</v>
      </c>
      <c r="G26364" s="52"/>
      <c r="H26364" s="56"/>
      <c r="I26364" s="224"/>
    </row>
    <row r="26365" spans="1:9" x14ac:dyDescent="0.25">
      <c r="A26365" s="515">
        <v>75976</v>
      </c>
      <c r="B26365" s="515" t="s">
        <v>605</v>
      </c>
      <c r="C26365" s="52">
        <v>112918.361120506</v>
      </c>
      <c r="D26365" s="56">
        <v>0</v>
      </c>
      <c r="E26365" s="224" t="s">
        <v>2</v>
      </c>
      <c r="G26365" s="52"/>
      <c r="H26365" s="56"/>
      <c r="I26365" s="224"/>
    </row>
    <row r="26366" spans="1:9" x14ac:dyDescent="0.25">
      <c r="A26366" s="515">
        <v>46957</v>
      </c>
      <c r="B26366" s="515" t="s">
        <v>472</v>
      </c>
      <c r="C26366" s="52">
        <v>92998.509086217397</v>
      </c>
      <c r="D26366" s="56">
        <v>7.4915076644926387E-2</v>
      </c>
      <c r="E26366" s="224" t="s">
        <v>2</v>
      </c>
      <c r="G26366" s="52"/>
      <c r="H26366" s="56"/>
      <c r="I26366" s="224"/>
    </row>
    <row r="26367" spans="1:9" x14ac:dyDescent="0.25">
      <c r="A26367" s="515">
        <v>95724</v>
      </c>
      <c r="B26367" s="515" t="s">
        <v>387</v>
      </c>
      <c r="C26367" s="52">
        <v>874818.31586812995</v>
      </c>
      <c r="D26367" s="56">
        <v>3.6926315795688593E-2</v>
      </c>
      <c r="E26367" s="224" t="s">
        <v>2</v>
      </c>
      <c r="G26367" s="52"/>
      <c r="H26367" s="56"/>
      <c r="I26367" s="224"/>
    </row>
    <row r="26368" spans="1:9" x14ac:dyDescent="0.25">
      <c r="A26368" s="515">
        <v>53553</v>
      </c>
      <c r="B26368" s="515" t="s">
        <v>727</v>
      </c>
      <c r="C26368" s="52">
        <v>153993.91359199799</v>
      </c>
      <c r="D26368" s="56">
        <v>7.836592683720682E-2</v>
      </c>
      <c r="E26368" s="224" t="s">
        <v>2</v>
      </c>
      <c r="G26368" s="52"/>
      <c r="H26368" s="56"/>
      <c r="I26368" s="224"/>
    </row>
    <row r="26369" spans="1:9" x14ac:dyDescent="0.25">
      <c r="A26369" s="515">
        <v>27840</v>
      </c>
      <c r="C26369" s="52">
        <v>83122.761933752103</v>
      </c>
      <c r="D26369" s="56">
        <v>0</v>
      </c>
      <c r="E26369" s="224" t="s">
        <v>2</v>
      </c>
      <c r="G26369" s="52"/>
      <c r="H26369" s="56"/>
      <c r="I26369" s="224"/>
    </row>
    <row r="26370" spans="1:9" x14ac:dyDescent="0.25">
      <c r="A26370" s="515">
        <v>14802</v>
      </c>
      <c r="C26370" s="52">
        <v>148320.92751235099</v>
      </c>
      <c r="D26370" s="56">
        <v>7.013943763379725E-2</v>
      </c>
      <c r="E26370" s="224" t="s">
        <v>2</v>
      </c>
      <c r="G26370" s="52"/>
      <c r="H26370" s="56"/>
      <c r="I26370" s="224"/>
    </row>
    <row r="26371" spans="1:9" x14ac:dyDescent="0.25">
      <c r="A26371" s="515">
        <v>18327</v>
      </c>
      <c r="B26371" s="515" t="s">
        <v>338</v>
      </c>
      <c r="C26371" s="52">
        <v>278536.18064819003</v>
      </c>
      <c r="D26371" s="56">
        <v>8.7428037418134971E-2</v>
      </c>
      <c r="E26371" s="224" t="s">
        <v>2</v>
      </c>
      <c r="G26371" s="52"/>
      <c r="H26371" s="56"/>
      <c r="I26371" s="224"/>
    </row>
    <row r="26372" spans="1:9" x14ac:dyDescent="0.25">
      <c r="A26372" s="515">
        <v>21051</v>
      </c>
      <c r="B26372" s="515" t="s">
        <v>582</v>
      </c>
      <c r="C26372" s="52">
        <v>453286.28067491198</v>
      </c>
      <c r="D26372" s="56">
        <v>0</v>
      </c>
      <c r="E26372" s="224" t="s">
        <v>2</v>
      </c>
      <c r="G26372" s="52"/>
      <c r="H26372" s="56"/>
      <c r="I26372" s="224"/>
    </row>
    <row r="26373" spans="1:9" x14ac:dyDescent="0.25">
      <c r="A26373" s="515">
        <v>40363</v>
      </c>
      <c r="C26373" s="52">
        <v>113443.540254362</v>
      </c>
      <c r="D26373" s="56">
        <v>4.1157978328027096E-2</v>
      </c>
      <c r="E26373" s="224" t="s">
        <v>2</v>
      </c>
      <c r="G26373" s="52"/>
      <c r="H26373" s="56"/>
      <c r="I26373" s="224"/>
    </row>
    <row r="26374" spans="1:9" x14ac:dyDescent="0.25">
      <c r="A26374" s="515">
        <v>67625</v>
      </c>
      <c r="C26374" s="52">
        <v>84574.8855163017</v>
      </c>
      <c r="D26374" s="56">
        <v>6.6041508894978451E-2</v>
      </c>
      <c r="E26374" s="224" t="s">
        <v>2</v>
      </c>
      <c r="G26374" s="52"/>
      <c r="H26374" s="56"/>
      <c r="I26374" s="224"/>
    </row>
    <row r="26375" spans="1:9" x14ac:dyDescent="0.25">
      <c r="A26375" s="515">
        <v>16821</v>
      </c>
      <c r="B26375" s="515" t="s">
        <v>876</v>
      </c>
      <c r="C26375" s="52">
        <v>147759.93939393901</v>
      </c>
      <c r="D26375" s="56">
        <v>0</v>
      </c>
      <c r="E26375" s="224" t="s">
        <v>2</v>
      </c>
      <c r="G26375" s="52"/>
      <c r="H26375" s="56"/>
      <c r="I26375" s="224"/>
    </row>
    <row r="26376" spans="1:9" x14ac:dyDescent="0.25">
      <c r="A26376" s="515">
        <v>96016</v>
      </c>
      <c r="B26376" s="515" t="s">
        <v>514</v>
      </c>
      <c r="C26376" s="52">
        <v>304427.15929252701</v>
      </c>
      <c r="D26376" s="56">
        <v>-1.8871887905497261E-2</v>
      </c>
      <c r="E26376" s="224" t="s">
        <v>2</v>
      </c>
      <c r="G26376" s="52"/>
      <c r="H26376" s="56"/>
      <c r="I26376" s="224"/>
    </row>
    <row r="26377" spans="1:9" x14ac:dyDescent="0.25">
      <c r="A26377" s="515">
        <v>48476</v>
      </c>
      <c r="B26377" s="515" t="s">
        <v>528</v>
      </c>
      <c r="C26377" s="52">
        <v>133973.914204106</v>
      </c>
      <c r="D26377" s="56">
        <v>1.8667175760528648E-2</v>
      </c>
      <c r="E26377" s="224" t="s">
        <v>2</v>
      </c>
      <c r="G26377" s="52"/>
      <c r="H26377" s="56"/>
      <c r="I26377" s="224"/>
    </row>
    <row r="26378" spans="1:9" x14ac:dyDescent="0.25">
      <c r="A26378" s="515">
        <v>15420</v>
      </c>
      <c r="B26378" s="515" t="s">
        <v>297</v>
      </c>
      <c r="C26378" s="52">
        <v>49397.621578350903</v>
      </c>
      <c r="D26378" s="56">
        <v>0.25101504097874217</v>
      </c>
      <c r="E26378" s="224" t="s">
        <v>2</v>
      </c>
      <c r="G26378" s="52"/>
      <c r="H26378" s="56"/>
      <c r="I26378" s="224"/>
    </row>
    <row r="26379" spans="1:9" x14ac:dyDescent="0.25">
      <c r="A26379" s="515">
        <v>61276</v>
      </c>
      <c r="B26379" s="515" t="s">
        <v>439</v>
      </c>
      <c r="C26379" s="52">
        <v>148763.49822233201</v>
      </c>
      <c r="D26379" s="56">
        <v>3.5335824827478567E-2</v>
      </c>
      <c r="E26379" s="224" t="s">
        <v>2</v>
      </c>
      <c r="G26379" s="52"/>
      <c r="H26379" s="56"/>
      <c r="I26379" s="224"/>
    </row>
    <row r="26380" spans="1:9" x14ac:dyDescent="0.25">
      <c r="A26380" s="515">
        <v>88028</v>
      </c>
      <c r="B26380" s="515" t="s">
        <v>423</v>
      </c>
      <c r="C26380" s="52">
        <v>233814.07670070001</v>
      </c>
      <c r="D26380" s="56">
        <v>0.17374540203997921</v>
      </c>
      <c r="E26380" s="224" t="s">
        <v>2</v>
      </c>
      <c r="G26380" s="52"/>
      <c r="H26380" s="56"/>
      <c r="I26380" s="224"/>
    </row>
    <row r="26381" spans="1:9" x14ac:dyDescent="0.25">
      <c r="A26381" s="515">
        <v>4066</v>
      </c>
      <c r="B26381" s="515" t="s">
        <v>570</v>
      </c>
      <c r="C26381" s="52">
        <v>603674.70744953398</v>
      </c>
      <c r="D26381" s="56">
        <v>8.5790636937058865E-2</v>
      </c>
      <c r="E26381" s="224" t="s">
        <v>2</v>
      </c>
      <c r="G26381" s="52"/>
      <c r="H26381" s="56"/>
      <c r="I26381" s="224"/>
    </row>
    <row r="26382" spans="1:9" x14ac:dyDescent="0.25">
      <c r="A26382" s="515">
        <v>86015</v>
      </c>
      <c r="B26382" s="515" t="s">
        <v>600</v>
      </c>
      <c r="C26382" s="52">
        <v>500764.31677367602</v>
      </c>
      <c r="D26382" s="56">
        <v>4.7156537977619158E-2</v>
      </c>
      <c r="E26382" s="224" t="s">
        <v>2</v>
      </c>
      <c r="G26382" s="52"/>
      <c r="H26382" s="56"/>
      <c r="I26382" s="224"/>
    </row>
    <row r="26383" spans="1:9" x14ac:dyDescent="0.25">
      <c r="A26383" s="515">
        <v>82412</v>
      </c>
      <c r="C26383" s="52">
        <v>209728.57816637499</v>
      </c>
      <c r="D26383" s="56">
        <v>0.10496110631809498</v>
      </c>
      <c r="E26383" s="224" t="s">
        <v>2</v>
      </c>
      <c r="G26383" s="52"/>
      <c r="H26383" s="56"/>
      <c r="I26383" s="224"/>
    </row>
    <row r="26384" spans="1:9" x14ac:dyDescent="0.25">
      <c r="A26384" s="515">
        <v>59020</v>
      </c>
      <c r="C26384" s="52">
        <v>616494.92449598305</v>
      </c>
      <c r="D26384" s="56">
        <v>0.12164747502473684</v>
      </c>
      <c r="E26384" s="224" t="s">
        <v>2</v>
      </c>
      <c r="G26384" s="52"/>
      <c r="H26384" s="56"/>
      <c r="I26384" s="224"/>
    </row>
    <row r="26385" spans="1:9" x14ac:dyDescent="0.25">
      <c r="A26385" s="515">
        <v>68717</v>
      </c>
      <c r="C26385" s="52">
        <v>92274.715382237904</v>
      </c>
      <c r="D26385" s="56">
        <v>-6.3608581458283785E-3</v>
      </c>
      <c r="E26385" s="224" t="s">
        <v>2</v>
      </c>
      <c r="G26385" s="52"/>
      <c r="H26385" s="56"/>
      <c r="I26385" s="224"/>
    </row>
    <row r="26386" spans="1:9" x14ac:dyDescent="0.25">
      <c r="A26386" s="515">
        <v>67675</v>
      </c>
      <c r="C26386" s="52">
        <v>76216.994439656293</v>
      </c>
      <c r="D26386" s="56">
        <v>-2.1728009914486562E-2</v>
      </c>
      <c r="E26386" s="224" t="s">
        <v>2</v>
      </c>
      <c r="G26386" s="52"/>
      <c r="H26386" s="56"/>
      <c r="I26386" s="224"/>
    </row>
    <row r="26387" spans="1:9" x14ac:dyDescent="0.25">
      <c r="A26387" s="515">
        <v>38359</v>
      </c>
      <c r="C26387" s="52">
        <v>118198.44094932399</v>
      </c>
      <c r="D26387" s="56">
        <v>0</v>
      </c>
      <c r="E26387" s="224" t="s">
        <v>2</v>
      </c>
      <c r="G26387" s="52"/>
      <c r="H26387" s="56"/>
      <c r="I26387" s="224"/>
    </row>
    <row r="26388" spans="1:9" x14ac:dyDescent="0.25">
      <c r="A26388" s="515">
        <v>16113</v>
      </c>
      <c r="B26388" s="515" t="s">
        <v>397</v>
      </c>
      <c r="C26388" s="52">
        <v>195719.739130434</v>
      </c>
      <c r="D26388" s="56">
        <v>0</v>
      </c>
      <c r="E26388" s="224" t="s">
        <v>2</v>
      </c>
      <c r="G26388" s="52"/>
      <c r="H26388" s="56"/>
      <c r="I26388" s="224"/>
    </row>
    <row r="26389" spans="1:9" x14ac:dyDescent="0.25">
      <c r="A26389" s="515">
        <v>41146</v>
      </c>
      <c r="B26389" s="515" t="s">
        <v>602</v>
      </c>
      <c r="C26389" s="52">
        <v>56265.134043284699</v>
      </c>
      <c r="D26389" s="56">
        <v>0.20322532575228847</v>
      </c>
      <c r="E26389" s="224" t="s">
        <v>2</v>
      </c>
      <c r="G26389" s="52"/>
      <c r="H26389" s="56"/>
      <c r="I26389" s="224"/>
    </row>
    <row r="26390" spans="1:9" x14ac:dyDescent="0.25">
      <c r="A26390" s="515">
        <v>87931</v>
      </c>
      <c r="C26390" s="52">
        <v>141366.86480296901</v>
      </c>
      <c r="D26390" s="56">
        <v>7.9934116495668547E-2</v>
      </c>
      <c r="E26390" s="224" t="s">
        <v>2</v>
      </c>
      <c r="G26390" s="52"/>
      <c r="H26390" s="56"/>
      <c r="I26390" s="224"/>
    </row>
    <row r="26391" spans="1:9" x14ac:dyDescent="0.25">
      <c r="A26391" s="515">
        <v>15716</v>
      </c>
      <c r="B26391" s="515" t="s">
        <v>343</v>
      </c>
      <c r="C26391" s="52">
        <v>75194.422677083494</v>
      </c>
      <c r="D26391" s="56">
        <v>8.2502897192362326E-2</v>
      </c>
      <c r="E26391" s="224" t="s">
        <v>2</v>
      </c>
      <c r="G26391" s="52"/>
      <c r="H26391" s="56"/>
      <c r="I26391" s="224"/>
    </row>
    <row r="26392" spans="1:9" x14ac:dyDescent="0.25">
      <c r="A26392" s="515">
        <v>56533</v>
      </c>
      <c r="B26392" s="515" t="s">
        <v>601</v>
      </c>
      <c r="C26392" s="52">
        <v>188417.20219918599</v>
      </c>
      <c r="D26392" s="56">
        <v>0</v>
      </c>
      <c r="E26392" s="224" t="s">
        <v>2</v>
      </c>
      <c r="G26392" s="52"/>
      <c r="H26392" s="56"/>
      <c r="I26392" s="224"/>
    </row>
    <row r="26393" spans="1:9" x14ac:dyDescent="0.25">
      <c r="A26393" s="515">
        <v>3817</v>
      </c>
      <c r="C26393" s="52">
        <v>266805.48286558798</v>
      </c>
      <c r="D26393" s="56">
        <v>0.16822669085713191</v>
      </c>
      <c r="E26393" s="224" t="s">
        <v>2</v>
      </c>
      <c r="G26393" s="52"/>
      <c r="H26393" s="56"/>
      <c r="I26393" s="224"/>
    </row>
    <row r="26394" spans="1:9" x14ac:dyDescent="0.25">
      <c r="A26394" s="515">
        <v>81327</v>
      </c>
      <c r="C26394" s="52">
        <v>368243.01092653099</v>
      </c>
      <c r="D26394" s="56">
        <v>5.9137650931869866E-2</v>
      </c>
      <c r="E26394" s="224" t="s">
        <v>2</v>
      </c>
      <c r="G26394" s="52"/>
      <c r="H26394" s="56"/>
      <c r="I26394" s="224"/>
    </row>
    <row r="26395" spans="1:9" x14ac:dyDescent="0.25">
      <c r="A26395" s="515">
        <v>92378</v>
      </c>
      <c r="B26395" s="515" t="s">
        <v>599</v>
      </c>
      <c r="C26395" s="52">
        <v>341161.52538177097</v>
      </c>
      <c r="D26395" s="56">
        <v>6.9936750509659557E-2</v>
      </c>
      <c r="E26395" s="224" t="s">
        <v>2</v>
      </c>
      <c r="G26395" s="52"/>
      <c r="H26395" s="56"/>
      <c r="I26395" s="224"/>
    </row>
    <row r="26396" spans="1:9" x14ac:dyDescent="0.25">
      <c r="A26396" s="515">
        <v>45779</v>
      </c>
      <c r="C26396" s="52">
        <v>72138.387329649398</v>
      </c>
      <c r="D26396" s="56">
        <v>4.3515449577703466E-2</v>
      </c>
      <c r="E26396" s="224" t="s">
        <v>2</v>
      </c>
      <c r="G26396" s="52"/>
      <c r="H26396" s="56"/>
      <c r="I26396" s="224"/>
    </row>
    <row r="26397" spans="1:9" x14ac:dyDescent="0.25">
      <c r="A26397" s="515">
        <v>86038</v>
      </c>
      <c r="B26397" s="515" t="s">
        <v>600</v>
      </c>
      <c r="C26397" s="52">
        <v>333642.09932355501</v>
      </c>
      <c r="D26397" s="56">
        <v>5.1027285906786603E-2</v>
      </c>
      <c r="E26397" s="224" t="s">
        <v>2</v>
      </c>
      <c r="G26397" s="52"/>
      <c r="H26397" s="56"/>
      <c r="I26397" s="224"/>
    </row>
    <row r="26398" spans="1:9" x14ac:dyDescent="0.25">
      <c r="A26398" s="515">
        <v>40830</v>
      </c>
      <c r="C26398" s="52">
        <v>55946.673134594297</v>
      </c>
      <c r="D26398" s="56">
        <v>0.40833774635407027</v>
      </c>
      <c r="E26398" s="224" t="s">
        <v>2</v>
      </c>
      <c r="G26398" s="52"/>
      <c r="H26398" s="56"/>
      <c r="I26398" s="224"/>
    </row>
    <row r="26399" spans="1:9" x14ac:dyDescent="0.25">
      <c r="A26399" s="515">
        <v>15713</v>
      </c>
      <c r="B26399" s="515" t="s">
        <v>343</v>
      </c>
      <c r="C26399" s="52">
        <v>53407.634812423297</v>
      </c>
      <c r="D26399" s="56">
        <v>6.2559337057517275E-2</v>
      </c>
      <c r="E26399" s="224" t="s">
        <v>2</v>
      </c>
      <c r="G26399" s="52"/>
      <c r="H26399" s="56"/>
      <c r="I26399" s="224"/>
    </row>
    <row r="26400" spans="1:9" x14ac:dyDescent="0.25">
      <c r="A26400" s="515">
        <v>81237</v>
      </c>
      <c r="C26400" s="52">
        <v>460022.70370370301</v>
      </c>
      <c r="D26400" s="56">
        <v>0</v>
      </c>
      <c r="E26400" s="224" t="s">
        <v>2</v>
      </c>
      <c r="G26400" s="52"/>
      <c r="H26400" s="56"/>
      <c r="I26400" s="224"/>
    </row>
    <row r="26401" spans="1:9" x14ac:dyDescent="0.25">
      <c r="A26401" s="515">
        <v>15489</v>
      </c>
      <c r="B26401" s="515" t="s">
        <v>297</v>
      </c>
      <c r="C26401" s="52">
        <v>37963.100883837797</v>
      </c>
      <c r="D26401" s="56">
        <v>4.8026758410343014E-3</v>
      </c>
      <c r="E26401" s="224" t="s">
        <v>2</v>
      </c>
      <c r="G26401" s="52"/>
      <c r="H26401" s="56"/>
      <c r="I26401" s="224"/>
    </row>
    <row r="26402" spans="1:9" x14ac:dyDescent="0.25">
      <c r="A26402" s="515">
        <v>49848</v>
      </c>
      <c r="B26402" s="515" t="s">
        <v>923</v>
      </c>
      <c r="C26402" s="52">
        <v>126761.960489196</v>
      </c>
      <c r="D26402" s="56">
        <v>0</v>
      </c>
      <c r="E26402" s="224" t="s">
        <v>2</v>
      </c>
      <c r="G26402" s="52"/>
      <c r="H26402" s="56"/>
      <c r="I26402" s="224"/>
    </row>
    <row r="26403" spans="1:9" x14ac:dyDescent="0.25">
      <c r="A26403" s="515">
        <v>39054</v>
      </c>
      <c r="C26403" s="52">
        <v>89428.291259011196</v>
      </c>
      <c r="D26403" s="56">
        <v>0</v>
      </c>
      <c r="E26403" s="224" t="s">
        <v>2</v>
      </c>
      <c r="G26403" s="52"/>
      <c r="H26403" s="56"/>
      <c r="I26403" s="224"/>
    </row>
    <row r="26404" spans="1:9" x14ac:dyDescent="0.25">
      <c r="A26404" s="515">
        <v>69046</v>
      </c>
      <c r="C26404" s="52">
        <v>78469.108057377598</v>
      </c>
      <c r="D26404" s="56">
        <v>3.2581611729625898E-2</v>
      </c>
      <c r="E26404" s="224" t="s">
        <v>2</v>
      </c>
      <c r="G26404" s="52"/>
      <c r="H26404" s="56"/>
      <c r="I26404" s="224"/>
    </row>
    <row r="26405" spans="1:9" x14ac:dyDescent="0.25">
      <c r="A26405" s="515">
        <v>45033</v>
      </c>
      <c r="B26405" s="515" t="s">
        <v>344</v>
      </c>
      <c r="C26405" s="52">
        <v>106964.53628594401</v>
      </c>
      <c r="D26405" s="56">
        <v>0.25807115037591044</v>
      </c>
      <c r="E26405" s="224" t="s">
        <v>2</v>
      </c>
      <c r="G26405" s="52"/>
      <c r="H26405" s="56"/>
      <c r="I26405" s="224"/>
    </row>
    <row r="26406" spans="1:9" x14ac:dyDescent="0.25">
      <c r="A26406" s="515">
        <v>15038</v>
      </c>
      <c r="B26406" s="515" t="s">
        <v>297</v>
      </c>
      <c r="C26406" s="52">
        <v>88795.599522498102</v>
      </c>
      <c r="D26406" s="56">
        <v>0.10881364558258269</v>
      </c>
      <c r="E26406" s="224" t="s">
        <v>2</v>
      </c>
      <c r="G26406" s="52"/>
      <c r="H26406" s="56"/>
      <c r="I26406" s="224"/>
    </row>
    <row r="26407" spans="1:9" x14ac:dyDescent="0.25">
      <c r="A26407" s="515">
        <v>12736</v>
      </c>
      <c r="C26407" s="52">
        <v>294804.49066044699</v>
      </c>
      <c r="D26407" s="56">
        <v>0.13242838778561042</v>
      </c>
      <c r="E26407" s="224" t="s">
        <v>2</v>
      </c>
      <c r="G26407" s="52"/>
      <c r="H26407" s="56"/>
      <c r="I26407" s="224"/>
    </row>
    <row r="26408" spans="1:9" x14ac:dyDescent="0.25">
      <c r="A26408" s="515">
        <v>89158</v>
      </c>
      <c r="B26408" s="515" t="s">
        <v>323</v>
      </c>
      <c r="C26408" s="52">
        <v>497894.41661239002</v>
      </c>
      <c r="D26408" s="56">
        <v>-7.6221006525367188E-3</v>
      </c>
      <c r="E26408" s="224">
        <v>3218.4444444444398</v>
      </c>
      <c r="G26408" s="52"/>
      <c r="H26408" s="56"/>
      <c r="I26408" s="224"/>
    </row>
    <row r="26409" spans="1:9" x14ac:dyDescent="0.25">
      <c r="A26409" s="515">
        <v>79848</v>
      </c>
      <c r="C26409" s="52">
        <v>90783.052511327405</v>
      </c>
      <c r="D26409" s="56">
        <v>-9.6487591028530856E-2</v>
      </c>
      <c r="E26409" s="224" t="s">
        <v>2</v>
      </c>
      <c r="G26409" s="52"/>
      <c r="H26409" s="56"/>
      <c r="I26409" s="224"/>
    </row>
    <row r="26410" spans="1:9" x14ac:dyDescent="0.25">
      <c r="A26410" s="515">
        <v>16840</v>
      </c>
      <c r="B26410" s="515" t="s">
        <v>876</v>
      </c>
      <c r="C26410" s="52">
        <v>85945.285714285696</v>
      </c>
      <c r="D26410" s="56">
        <v>0</v>
      </c>
      <c r="E26410" s="224" t="s">
        <v>2</v>
      </c>
      <c r="G26410" s="52"/>
      <c r="H26410" s="56"/>
      <c r="I26410" s="224"/>
    </row>
    <row r="26411" spans="1:9" x14ac:dyDescent="0.25">
      <c r="A26411" s="515">
        <v>61263</v>
      </c>
      <c r="B26411" s="515" t="s">
        <v>439</v>
      </c>
      <c r="C26411" s="52">
        <v>105938.890790901</v>
      </c>
      <c r="D26411" s="56">
        <v>1.437106072145742E-2</v>
      </c>
      <c r="E26411" s="224" t="s">
        <v>2</v>
      </c>
      <c r="G26411" s="52"/>
      <c r="H26411" s="56"/>
      <c r="I26411" s="224"/>
    </row>
    <row r="26412" spans="1:9" x14ac:dyDescent="0.25">
      <c r="A26412" s="515">
        <v>87941</v>
      </c>
      <c r="B26412" s="515" t="s">
        <v>317</v>
      </c>
      <c r="C26412" s="52">
        <v>166258.714064511</v>
      </c>
      <c r="D26412" s="56">
        <v>0.14872563822475765</v>
      </c>
      <c r="E26412" s="224" t="s">
        <v>2</v>
      </c>
      <c r="G26412" s="52"/>
      <c r="H26412" s="56"/>
      <c r="I26412" s="224"/>
    </row>
    <row r="26413" spans="1:9" x14ac:dyDescent="0.25">
      <c r="A26413" s="515">
        <v>92239</v>
      </c>
      <c r="B26413" s="515" t="s">
        <v>599</v>
      </c>
      <c r="C26413" s="52">
        <v>194511.77606862801</v>
      </c>
      <c r="D26413" s="56">
        <v>0.11864454502522447</v>
      </c>
      <c r="E26413" s="224" t="s">
        <v>2</v>
      </c>
      <c r="G26413" s="52"/>
      <c r="H26413" s="56"/>
      <c r="I26413" s="224"/>
    </row>
    <row r="26414" spans="1:9" x14ac:dyDescent="0.25">
      <c r="A26414" s="515">
        <v>12493</v>
      </c>
      <c r="B26414" s="515" t="s">
        <v>307</v>
      </c>
      <c r="C26414" s="52">
        <v>380005.35554538103</v>
      </c>
      <c r="D26414" s="56">
        <v>0.11473807555220103</v>
      </c>
      <c r="E26414" s="224" t="s">
        <v>2</v>
      </c>
      <c r="G26414" s="52"/>
      <c r="H26414" s="56"/>
      <c r="I26414" s="224"/>
    </row>
    <row r="26415" spans="1:9" x14ac:dyDescent="0.25">
      <c r="A26415" s="515">
        <v>13157</v>
      </c>
      <c r="B26415" s="515" t="s">
        <v>543</v>
      </c>
      <c r="C26415" s="52">
        <v>184348.20844335601</v>
      </c>
      <c r="D26415" s="56">
        <v>4.9248839691530863E-2</v>
      </c>
      <c r="E26415" s="224" t="s">
        <v>2</v>
      </c>
      <c r="G26415" s="52"/>
      <c r="H26415" s="56"/>
      <c r="I26415" s="224"/>
    </row>
    <row r="26416" spans="1:9" x14ac:dyDescent="0.25">
      <c r="A26416" s="515">
        <v>45820</v>
      </c>
      <c r="B26416" s="515" t="s">
        <v>299</v>
      </c>
      <c r="C26416" s="52">
        <v>119541.20779230801</v>
      </c>
      <c r="D26416" s="56">
        <v>7.2138691003489228E-2</v>
      </c>
      <c r="E26416" s="224" t="s">
        <v>2</v>
      </c>
      <c r="G26416" s="52"/>
      <c r="H26416" s="56"/>
      <c r="I26416" s="224"/>
    </row>
    <row r="26417" spans="1:9" x14ac:dyDescent="0.25">
      <c r="A26417" s="515">
        <v>17723</v>
      </c>
      <c r="B26417" s="515" t="s">
        <v>296</v>
      </c>
      <c r="C26417" s="52">
        <v>128814.893681306</v>
      </c>
      <c r="D26417" s="56">
        <v>0.14302862984179537</v>
      </c>
      <c r="E26417" s="224" t="s">
        <v>2</v>
      </c>
      <c r="G26417" s="52"/>
      <c r="H26417" s="56"/>
      <c r="I26417" s="224"/>
    </row>
    <row r="26418" spans="1:9" x14ac:dyDescent="0.25">
      <c r="A26418" s="515">
        <v>14736</v>
      </c>
      <c r="B26418" s="515" t="s">
        <v>560</v>
      </c>
      <c r="C26418" s="52">
        <v>293148.85997637</v>
      </c>
      <c r="D26418" s="56">
        <v>0.10569571132167571</v>
      </c>
      <c r="E26418" s="224" t="s">
        <v>2</v>
      </c>
      <c r="G26418" s="52"/>
      <c r="H26418" s="56"/>
      <c r="I26418" s="224"/>
    </row>
    <row r="26419" spans="1:9" x14ac:dyDescent="0.25">
      <c r="A26419" s="515">
        <v>42440</v>
      </c>
      <c r="B26419" s="515" t="s">
        <v>598</v>
      </c>
      <c r="C26419" s="52">
        <v>57358.289157892701</v>
      </c>
      <c r="D26419" s="56">
        <v>-4.6538676613946811E-2</v>
      </c>
      <c r="E26419" s="224" t="s">
        <v>2</v>
      </c>
      <c r="G26419" s="52"/>
      <c r="H26419" s="56"/>
      <c r="I26419" s="224"/>
    </row>
    <row r="26420" spans="1:9" x14ac:dyDescent="0.25">
      <c r="A26420" s="515">
        <v>66970</v>
      </c>
      <c r="C26420" s="52">
        <v>120318.477569179</v>
      </c>
      <c r="D26420" s="56">
        <v>0.19472137131347741</v>
      </c>
      <c r="E26420" s="224" t="s">
        <v>2</v>
      </c>
      <c r="G26420" s="52"/>
      <c r="H26420" s="56"/>
      <c r="I26420" s="224"/>
    </row>
    <row r="26421" spans="1:9" x14ac:dyDescent="0.25">
      <c r="A26421" s="515">
        <v>96054</v>
      </c>
      <c r="C26421" s="52">
        <v>223783.63033166301</v>
      </c>
      <c r="D26421" s="56">
        <v>5.8252992813197981E-3</v>
      </c>
      <c r="E26421" s="224" t="s">
        <v>2</v>
      </c>
      <c r="G26421" s="52"/>
      <c r="H26421" s="56"/>
      <c r="I26421" s="224"/>
    </row>
    <row r="26422" spans="1:9" x14ac:dyDescent="0.25">
      <c r="A26422" s="515">
        <v>12465</v>
      </c>
      <c r="B26422" s="515" t="s">
        <v>307</v>
      </c>
      <c r="C26422" s="52">
        <v>347212.92271203501</v>
      </c>
      <c r="D26422" s="56">
        <v>0.16118889269951059</v>
      </c>
      <c r="E26422" s="224" t="s">
        <v>2</v>
      </c>
      <c r="G26422" s="52"/>
      <c r="H26422" s="56"/>
      <c r="I26422" s="224"/>
    </row>
    <row r="26423" spans="1:9" x14ac:dyDescent="0.25">
      <c r="A26423" s="515">
        <v>43321</v>
      </c>
      <c r="B26423" s="515" t="s">
        <v>345</v>
      </c>
      <c r="C26423" s="52">
        <v>161930.546301372</v>
      </c>
      <c r="D26423" s="56">
        <v>4.9639383599249368E-2</v>
      </c>
      <c r="E26423" s="224" t="s">
        <v>2</v>
      </c>
      <c r="G26423" s="52"/>
      <c r="H26423" s="56"/>
      <c r="I26423" s="224"/>
    </row>
    <row r="26424" spans="1:9" x14ac:dyDescent="0.25">
      <c r="A26424" s="515">
        <v>68974</v>
      </c>
      <c r="C26424" s="52">
        <v>113995.123736605</v>
      </c>
      <c r="D26424" s="56">
        <v>2.3872237889010044E-3</v>
      </c>
      <c r="E26424" s="224" t="s">
        <v>2</v>
      </c>
      <c r="G26424" s="52"/>
      <c r="H26424" s="56"/>
      <c r="I26424" s="224"/>
    </row>
    <row r="26425" spans="1:9" x14ac:dyDescent="0.25">
      <c r="A26425" s="515">
        <v>73544</v>
      </c>
      <c r="C26425" s="52">
        <v>68864.406375991195</v>
      </c>
      <c r="D26425" s="56">
        <v>8.5137702728854972E-2</v>
      </c>
      <c r="E26425" s="224" t="s">
        <v>2</v>
      </c>
      <c r="G26425" s="52"/>
      <c r="H26425" s="56"/>
      <c r="I26425" s="224"/>
    </row>
    <row r="26426" spans="1:9" x14ac:dyDescent="0.25">
      <c r="A26426" s="515">
        <v>45719</v>
      </c>
      <c r="B26426" s="515" t="s">
        <v>578</v>
      </c>
      <c r="C26426" s="52">
        <v>65237.242111773798</v>
      </c>
      <c r="D26426" s="56">
        <v>0.10237020157388486</v>
      </c>
      <c r="E26426" s="224" t="s">
        <v>2</v>
      </c>
      <c r="G26426" s="52"/>
      <c r="H26426" s="56"/>
      <c r="I26426" s="224"/>
    </row>
    <row r="26427" spans="1:9" x14ac:dyDescent="0.25">
      <c r="A26427" s="515">
        <v>24167</v>
      </c>
      <c r="B26427" s="515" t="s">
        <v>597</v>
      </c>
      <c r="C26427" s="52">
        <v>168924.234559743</v>
      </c>
      <c r="D26427" s="56">
        <v>7.5096411280552361E-2</v>
      </c>
      <c r="E26427" s="224" t="s">
        <v>2</v>
      </c>
      <c r="G26427" s="52"/>
      <c r="H26427" s="56"/>
      <c r="I26427" s="224"/>
    </row>
    <row r="26428" spans="1:9" x14ac:dyDescent="0.25">
      <c r="A26428" s="515">
        <v>16250</v>
      </c>
      <c r="B26428" s="515" t="s">
        <v>297</v>
      </c>
      <c r="C26428" s="52">
        <v>60564.003582081001</v>
      </c>
      <c r="D26428" s="56">
        <v>0.30356409505446702</v>
      </c>
      <c r="E26428" s="224" t="s">
        <v>2</v>
      </c>
      <c r="G26428" s="52"/>
      <c r="H26428" s="56"/>
      <c r="I26428" s="224"/>
    </row>
    <row r="26429" spans="1:9" x14ac:dyDescent="0.25">
      <c r="A26429" s="515">
        <v>26720</v>
      </c>
      <c r="C26429" s="52">
        <v>77942.514724379798</v>
      </c>
      <c r="D26429" s="56">
        <v>8.0727718731441484E-3</v>
      </c>
      <c r="E26429" s="224" t="s">
        <v>2</v>
      </c>
      <c r="G26429" s="52"/>
      <c r="H26429" s="56"/>
      <c r="I26429" s="224"/>
    </row>
    <row r="26430" spans="1:9" x14ac:dyDescent="0.25">
      <c r="A26430" s="515">
        <v>96728</v>
      </c>
      <c r="B26430" s="515" t="s">
        <v>399</v>
      </c>
      <c r="C26430" s="52">
        <v>483995.451005376</v>
      </c>
      <c r="D26430" s="56">
        <v>0.11317382498737982</v>
      </c>
      <c r="E26430" s="224" t="s">
        <v>2</v>
      </c>
      <c r="G26430" s="52"/>
      <c r="H26430" s="56"/>
      <c r="I26430" s="224"/>
    </row>
    <row r="26431" spans="1:9" x14ac:dyDescent="0.25">
      <c r="A26431" s="515">
        <v>25811</v>
      </c>
      <c r="B26431" s="515" t="s">
        <v>566</v>
      </c>
      <c r="C26431" s="52">
        <v>30101.85</v>
      </c>
      <c r="D26431" s="56">
        <v>0</v>
      </c>
      <c r="E26431" s="224" t="s">
        <v>2</v>
      </c>
      <c r="G26431" s="52"/>
      <c r="H26431" s="56"/>
      <c r="I26431" s="224"/>
    </row>
    <row r="26432" spans="1:9" x14ac:dyDescent="0.25">
      <c r="A26432" s="515">
        <v>63663</v>
      </c>
      <c r="C26432" s="52">
        <v>121088.594385979</v>
      </c>
      <c r="D26432" s="56">
        <v>0.16831443069037358</v>
      </c>
      <c r="E26432" s="224" t="s">
        <v>2</v>
      </c>
      <c r="G26432" s="52"/>
      <c r="H26432" s="56"/>
      <c r="I26432" s="224"/>
    </row>
    <row r="26433" spans="1:9" x14ac:dyDescent="0.25">
      <c r="A26433" s="515">
        <v>43940</v>
      </c>
      <c r="B26433" s="515" t="s">
        <v>442</v>
      </c>
      <c r="C26433" s="52">
        <v>62769.563775369403</v>
      </c>
      <c r="D26433" s="56">
        <v>0.20932434421895013</v>
      </c>
      <c r="E26433" s="224" t="s">
        <v>2</v>
      </c>
      <c r="G26433" s="52"/>
      <c r="H26433" s="56"/>
      <c r="I26433" s="224"/>
    </row>
    <row r="26434" spans="1:9" x14ac:dyDescent="0.25">
      <c r="A26434" s="515">
        <v>24831</v>
      </c>
      <c r="C26434" s="52">
        <v>32055.893081761002</v>
      </c>
      <c r="D26434" s="56">
        <v>0</v>
      </c>
      <c r="E26434" s="224" t="s">
        <v>2</v>
      </c>
      <c r="G26434" s="52"/>
      <c r="H26434" s="56"/>
      <c r="I26434" s="224"/>
    </row>
    <row r="26435" spans="1:9" x14ac:dyDescent="0.25">
      <c r="A26435" s="515">
        <v>67656</v>
      </c>
      <c r="C26435" s="52">
        <v>135532.05581801699</v>
      </c>
      <c r="D26435" s="56">
        <v>0.14656174165276922</v>
      </c>
      <c r="E26435" s="224" t="s">
        <v>2</v>
      </c>
      <c r="G26435" s="52"/>
      <c r="H26435" s="56"/>
      <c r="I26435" s="224"/>
    </row>
    <row r="26436" spans="1:9" x14ac:dyDescent="0.25">
      <c r="A26436" s="515">
        <v>98673</v>
      </c>
      <c r="C26436" s="52">
        <v>152839.88360012701</v>
      </c>
      <c r="D26436" s="56">
        <v>-3.7701783223196256E-2</v>
      </c>
      <c r="E26436" s="224" t="s">
        <v>2</v>
      </c>
      <c r="G26436" s="52"/>
      <c r="H26436" s="56"/>
      <c r="I26436" s="224"/>
    </row>
    <row r="26437" spans="1:9" x14ac:dyDescent="0.25">
      <c r="A26437" s="515">
        <v>24731</v>
      </c>
      <c r="B26437" s="515" t="s">
        <v>306</v>
      </c>
      <c r="C26437" s="52">
        <v>106008.045454545</v>
      </c>
      <c r="D26437" s="56">
        <v>0</v>
      </c>
      <c r="E26437" s="224" t="s">
        <v>2</v>
      </c>
      <c r="G26437" s="52"/>
      <c r="H26437" s="56"/>
      <c r="I26437" s="224"/>
    </row>
    <row r="26438" spans="1:9" x14ac:dyDescent="0.25">
      <c r="A26438" s="515">
        <v>10988</v>
      </c>
      <c r="B26438" s="515" t="s">
        <v>529</v>
      </c>
      <c r="C26438" s="52">
        <v>292847.76721371798</v>
      </c>
      <c r="D26438" s="56">
        <v>0.11706346469792639</v>
      </c>
      <c r="E26438" s="224" t="s">
        <v>2</v>
      </c>
      <c r="G26438" s="52"/>
      <c r="H26438" s="56"/>
      <c r="I26438" s="224"/>
    </row>
    <row r="26439" spans="1:9" x14ac:dyDescent="0.25">
      <c r="A26439" s="515">
        <v>95007</v>
      </c>
      <c r="B26439" s="515" t="s">
        <v>596</v>
      </c>
      <c r="C26439" s="52">
        <v>778945.87985300401</v>
      </c>
      <c r="D26439" s="56">
        <v>-1.756038663629652E-2</v>
      </c>
      <c r="E26439" s="224" t="s">
        <v>2</v>
      </c>
      <c r="G26439" s="52"/>
      <c r="H26439" s="56"/>
      <c r="I26439" s="224"/>
    </row>
    <row r="26440" spans="1:9" x14ac:dyDescent="0.25">
      <c r="A26440" s="515">
        <v>96087</v>
      </c>
      <c r="B26440" s="515" t="s">
        <v>514</v>
      </c>
      <c r="C26440" s="52">
        <v>323969.37001729797</v>
      </c>
      <c r="D26440" s="56">
        <v>-6.5351624448087273E-2</v>
      </c>
      <c r="E26440" s="224" t="s">
        <v>2</v>
      </c>
      <c r="G26440" s="52"/>
      <c r="H26440" s="56"/>
      <c r="I26440" s="224"/>
    </row>
    <row r="26441" spans="1:9" x14ac:dyDescent="0.25">
      <c r="A26441" s="515">
        <v>18079</v>
      </c>
      <c r="B26441" s="515" t="s">
        <v>327</v>
      </c>
      <c r="C26441" s="52">
        <v>191550.517099041</v>
      </c>
      <c r="D26441" s="56">
        <v>8.9582252144252736E-2</v>
      </c>
      <c r="E26441" s="224" t="s">
        <v>2</v>
      </c>
      <c r="G26441" s="52"/>
      <c r="H26441" s="56"/>
      <c r="I26441" s="224"/>
    </row>
    <row r="26442" spans="1:9" x14ac:dyDescent="0.25">
      <c r="A26442" s="515">
        <v>23426</v>
      </c>
      <c r="C26442" s="52">
        <v>114406.2</v>
      </c>
      <c r="D26442" s="56">
        <v>0</v>
      </c>
      <c r="E26442" s="224" t="s">
        <v>2</v>
      </c>
      <c r="G26442" s="52"/>
      <c r="H26442" s="56"/>
      <c r="I26442" s="224"/>
    </row>
    <row r="26443" spans="1:9" x14ac:dyDescent="0.25">
      <c r="A26443" s="515">
        <v>83353</v>
      </c>
      <c r="B26443" s="515" t="s">
        <v>595</v>
      </c>
      <c r="C26443" s="52">
        <v>1137980.3059912</v>
      </c>
      <c r="D26443" s="56">
        <v>3.8736855529252864E-2</v>
      </c>
      <c r="E26443" s="224" t="s">
        <v>2</v>
      </c>
      <c r="G26443" s="52"/>
      <c r="H26443" s="56"/>
      <c r="I26443" s="224"/>
    </row>
    <row r="26444" spans="1:9" x14ac:dyDescent="0.25">
      <c r="A26444" s="515">
        <v>21071</v>
      </c>
      <c r="B26444" s="515" t="s">
        <v>582</v>
      </c>
      <c r="C26444" s="52">
        <v>455721.76785799098</v>
      </c>
      <c r="D26444" s="56">
        <v>0</v>
      </c>
      <c r="E26444" s="224" t="s">
        <v>2</v>
      </c>
      <c r="G26444" s="52"/>
      <c r="H26444" s="56"/>
      <c r="I26444" s="224"/>
    </row>
    <row r="26445" spans="1:9" x14ac:dyDescent="0.25">
      <c r="A26445" s="515">
        <v>47596</v>
      </c>
      <c r="B26445" s="515" t="s">
        <v>573</v>
      </c>
      <c r="C26445" s="52">
        <v>85208.2553401396</v>
      </c>
      <c r="D26445" s="56">
        <v>2.7957525032184457E-2</v>
      </c>
      <c r="E26445" s="224" t="s">
        <v>2</v>
      </c>
      <c r="G26445" s="52"/>
      <c r="H26445" s="56"/>
      <c r="I26445" s="224"/>
    </row>
    <row r="26446" spans="1:9" x14ac:dyDescent="0.25">
      <c r="A26446" s="515">
        <v>15634</v>
      </c>
      <c r="B26446" s="515" t="s">
        <v>297</v>
      </c>
      <c r="C26446" s="52">
        <v>89665.337499999994</v>
      </c>
      <c r="D26446" s="56">
        <v>0</v>
      </c>
      <c r="E26446" s="224" t="s">
        <v>2</v>
      </c>
      <c r="G26446" s="52"/>
      <c r="H26446" s="56"/>
      <c r="I26446" s="224"/>
    </row>
    <row r="26447" spans="1:9" x14ac:dyDescent="0.25">
      <c r="A26447" s="515">
        <v>41622</v>
      </c>
      <c r="C26447" s="52">
        <v>84102.397351228894</v>
      </c>
      <c r="D26447" s="56">
        <v>9.6137509314151146E-2</v>
      </c>
      <c r="E26447" s="224" t="s">
        <v>2</v>
      </c>
      <c r="G26447" s="52"/>
      <c r="H26447" s="56"/>
      <c r="I26447" s="224"/>
    </row>
    <row r="26448" spans="1:9" x14ac:dyDescent="0.25">
      <c r="A26448" s="515">
        <v>59247</v>
      </c>
      <c r="C26448" s="52">
        <v>223892.174434177</v>
      </c>
      <c r="D26448" s="56">
        <v>0.16041627303673178</v>
      </c>
      <c r="E26448" s="224" t="s">
        <v>2</v>
      </c>
      <c r="G26448" s="52"/>
      <c r="H26448" s="56"/>
      <c r="I26448" s="224"/>
    </row>
    <row r="26449" spans="1:9" x14ac:dyDescent="0.25">
      <c r="A26449" s="515">
        <v>21824</v>
      </c>
      <c r="B26449" s="515" t="s">
        <v>552</v>
      </c>
      <c r="C26449" s="52">
        <v>92094.299694882604</v>
      </c>
      <c r="D26449" s="56">
        <v>0</v>
      </c>
      <c r="E26449" s="224" t="s">
        <v>2</v>
      </c>
      <c r="G26449" s="52"/>
      <c r="H26449" s="56"/>
      <c r="I26449" s="224"/>
    </row>
    <row r="26450" spans="1:9" x14ac:dyDescent="0.25">
      <c r="A26450" s="515">
        <v>93665</v>
      </c>
      <c r="B26450" s="515" t="s">
        <v>594</v>
      </c>
      <c r="C26450" s="52">
        <v>222056.994305445</v>
      </c>
      <c r="D26450" s="56">
        <v>9.6464210735451361E-2</v>
      </c>
      <c r="E26450" s="224" t="s">
        <v>2</v>
      </c>
      <c r="G26450" s="52"/>
      <c r="H26450" s="56"/>
      <c r="I26450" s="224"/>
    </row>
    <row r="26451" spans="1:9" x14ac:dyDescent="0.25">
      <c r="A26451" s="515">
        <v>44068</v>
      </c>
      <c r="B26451" s="515" t="s">
        <v>592</v>
      </c>
      <c r="C26451" s="52">
        <v>164606.03624995399</v>
      </c>
      <c r="D26451" s="56">
        <v>8.3054164541632849E-2</v>
      </c>
      <c r="E26451" s="224" t="s">
        <v>2</v>
      </c>
      <c r="G26451" s="52"/>
      <c r="H26451" s="56"/>
      <c r="I26451" s="224"/>
    </row>
    <row r="26452" spans="1:9" x14ac:dyDescent="0.25">
      <c r="A26452" s="515">
        <v>15727</v>
      </c>
      <c r="B26452" s="515" t="s">
        <v>343</v>
      </c>
      <c r="C26452" s="52">
        <v>41321.117960547199</v>
      </c>
      <c r="D26452" s="56">
        <v>0.27617529312079592</v>
      </c>
      <c r="E26452" s="224" t="s">
        <v>2</v>
      </c>
      <c r="G26452" s="52"/>
      <c r="H26452" s="56"/>
      <c r="I26452" s="224"/>
    </row>
    <row r="26453" spans="1:9" x14ac:dyDescent="0.25">
      <c r="A26453" s="515">
        <v>31318</v>
      </c>
      <c r="B26453" s="515" t="s">
        <v>351</v>
      </c>
      <c r="C26453" s="52">
        <v>156103.12222136999</v>
      </c>
      <c r="D26453" s="56">
        <v>0</v>
      </c>
      <c r="E26453" s="224" t="s">
        <v>2</v>
      </c>
      <c r="G26453" s="52"/>
      <c r="H26453" s="56"/>
      <c r="I26453" s="224"/>
    </row>
    <row r="26454" spans="1:9" x14ac:dyDescent="0.25">
      <c r="A26454" s="515">
        <v>94929</v>
      </c>
      <c r="B26454" s="515" t="s">
        <v>593</v>
      </c>
      <c r="C26454" s="52">
        <v>1028967.72877586</v>
      </c>
      <c r="D26454" s="56">
        <v>-2.5273729473899664E-2</v>
      </c>
      <c r="E26454" s="224" t="s">
        <v>2</v>
      </c>
      <c r="G26454" s="52"/>
      <c r="H26454" s="56"/>
      <c r="I26454" s="224"/>
    </row>
    <row r="26455" spans="1:9" x14ac:dyDescent="0.25">
      <c r="A26455" s="515">
        <v>17088</v>
      </c>
      <c r="B26455" s="515" t="s">
        <v>562</v>
      </c>
      <c r="C26455" s="52">
        <v>231739.55384615299</v>
      </c>
      <c r="D26455" s="56">
        <v>0</v>
      </c>
      <c r="E26455" s="224" t="s">
        <v>2</v>
      </c>
      <c r="G26455" s="52"/>
      <c r="H26455" s="56"/>
      <c r="I26455" s="224"/>
    </row>
    <row r="26456" spans="1:9" x14ac:dyDescent="0.25">
      <c r="A26456" s="515">
        <v>84762</v>
      </c>
      <c r="C26456" s="52">
        <v>442518.43168246502</v>
      </c>
      <c r="D26456" s="56">
        <v>3.2668055505689818E-2</v>
      </c>
      <c r="E26456" s="224" t="s">
        <v>2</v>
      </c>
      <c r="G26456" s="52"/>
      <c r="H26456" s="56"/>
      <c r="I26456" s="224"/>
    </row>
    <row r="26457" spans="1:9" x14ac:dyDescent="0.25">
      <c r="A26457" s="515">
        <v>97342</v>
      </c>
      <c r="B26457" s="515" t="s">
        <v>591</v>
      </c>
      <c r="C26457" s="52">
        <v>324221.07056456897</v>
      </c>
      <c r="D26457" s="56">
        <v>1.6374740555519258E-2</v>
      </c>
      <c r="E26457" s="224" t="s">
        <v>2</v>
      </c>
      <c r="G26457" s="52"/>
      <c r="H26457" s="56"/>
      <c r="I26457" s="224"/>
    </row>
    <row r="26458" spans="1:9" x14ac:dyDescent="0.25">
      <c r="A26458" s="515">
        <v>96771</v>
      </c>
      <c r="B26458" s="515" t="s">
        <v>399</v>
      </c>
      <c r="C26458" s="52">
        <v>308456.01592877897</v>
      </c>
      <c r="D26458" s="56">
        <v>0.16130731593771644</v>
      </c>
      <c r="E26458" s="224" t="s">
        <v>2</v>
      </c>
      <c r="G26458" s="52"/>
      <c r="H26458" s="56"/>
      <c r="I26458" s="224"/>
    </row>
    <row r="26459" spans="1:9" x14ac:dyDescent="0.25">
      <c r="A26459" s="515">
        <v>24924</v>
      </c>
      <c r="C26459" s="52">
        <v>146144.80951440599</v>
      </c>
      <c r="D26459" s="56">
        <v>9.5348093792097216E-2</v>
      </c>
      <c r="E26459" s="224" t="s">
        <v>2</v>
      </c>
      <c r="G26459" s="52"/>
      <c r="H26459" s="56"/>
      <c r="I26459" s="224"/>
    </row>
    <row r="26460" spans="1:9" x14ac:dyDescent="0.25">
      <c r="A26460" s="515">
        <v>82712</v>
      </c>
      <c r="B26460" s="515" t="s">
        <v>589</v>
      </c>
      <c r="C26460" s="52">
        <v>487299.00154915103</v>
      </c>
      <c r="D26460" s="56">
        <v>8.1414934788076682E-2</v>
      </c>
      <c r="E26460" s="224" t="s">
        <v>2</v>
      </c>
      <c r="G26460" s="52"/>
      <c r="H26460" s="56"/>
      <c r="I26460" s="224"/>
    </row>
    <row r="26461" spans="1:9" x14ac:dyDescent="0.25">
      <c r="A26461" s="515">
        <v>84710</v>
      </c>
      <c r="C26461" s="52">
        <v>392421.93716337503</v>
      </c>
      <c r="D26461" s="56">
        <v>0</v>
      </c>
      <c r="E26461" s="224" t="s">
        <v>2</v>
      </c>
      <c r="G26461" s="52"/>
      <c r="H26461" s="56"/>
      <c r="I26461" s="224"/>
    </row>
    <row r="26462" spans="1:9" x14ac:dyDescent="0.25">
      <c r="A26462" s="515">
        <v>78019</v>
      </c>
      <c r="B26462" s="515" t="s">
        <v>588</v>
      </c>
      <c r="C26462" s="52">
        <v>102175.62603001299</v>
      </c>
      <c r="D26462" s="56">
        <v>0</v>
      </c>
      <c r="E26462" s="224" t="s">
        <v>2</v>
      </c>
      <c r="G26462" s="52"/>
      <c r="H26462" s="56"/>
      <c r="I26462" s="224"/>
    </row>
    <row r="26463" spans="1:9" x14ac:dyDescent="0.25">
      <c r="A26463" s="515">
        <v>59465</v>
      </c>
      <c r="B26463" s="515" t="s">
        <v>373</v>
      </c>
      <c r="C26463" s="52">
        <v>225247.24495769001</v>
      </c>
      <c r="D26463" s="56">
        <v>0.11412873757117478</v>
      </c>
      <c r="E26463" s="224" t="s">
        <v>2</v>
      </c>
      <c r="G26463" s="52"/>
      <c r="H26463" s="56"/>
      <c r="I26463" s="224"/>
    </row>
    <row r="26464" spans="1:9" x14ac:dyDescent="0.25">
      <c r="A26464" s="515">
        <v>12124</v>
      </c>
      <c r="C26464" s="52">
        <v>278370.07827393</v>
      </c>
      <c r="D26464" s="56">
        <v>8.0361818157196188E-2</v>
      </c>
      <c r="E26464" s="224" t="s">
        <v>2</v>
      </c>
      <c r="G26464" s="52"/>
      <c r="H26464" s="56"/>
      <c r="I26464" s="224"/>
    </row>
    <row r="26465" spans="1:9" x14ac:dyDescent="0.25">
      <c r="A26465" s="515">
        <v>13615</v>
      </c>
      <c r="B26465" s="515" t="s">
        <v>431</v>
      </c>
      <c r="C26465" s="52">
        <v>190567.370022099</v>
      </c>
      <c r="D26465" s="56">
        <v>6.0247507216731729E-2</v>
      </c>
      <c r="E26465" s="224" t="s">
        <v>2</v>
      </c>
      <c r="G26465" s="52"/>
      <c r="H26465" s="56"/>
      <c r="I26465" s="224"/>
    </row>
    <row r="26466" spans="1:9" x14ac:dyDescent="0.25">
      <c r="A26466" s="515">
        <v>83261</v>
      </c>
      <c r="C26466" s="52">
        <v>323477.800430467</v>
      </c>
      <c r="D26466" s="56">
        <v>0.11345123133361937</v>
      </c>
      <c r="E26466" s="224" t="s">
        <v>2</v>
      </c>
      <c r="G26466" s="52"/>
      <c r="H26466" s="56"/>
      <c r="I26466" s="224"/>
    </row>
    <row r="26467" spans="1:9" x14ac:dyDescent="0.25">
      <c r="A26467" s="515">
        <v>52158</v>
      </c>
      <c r="C26467" s="52">
        <v>125487.548989544</v>
      </c>
      <c r="D26467" s="56">
        <v>4.6460829588146541E-2</v>
      </c>
      <c r="E26467" s="224" t="s">
        <v>2</v>
      </c>
      <c r="G26467" s="52"/>
      <c r="H26467" s="56"/>
      <c r="I26467" s="224"/>
    </row>
    <row r="26468" spans="1:9" x14ac:dyDescent="0.25">
      <c r="A26468" s="515">
        <v>21652</v>
      </c>
      <c r="B26468" s="515" t="s">
        <v>519</v>
      </c>
      <c r="C26468" s="52">
        <v>470519.466259034</v>
      </c>
      <c r="D26468" s="56">
        <v>0</v>
      </c>
      <c r="E26468" s="224" t="s">
        <v>2</v>
      </c>
      <c r="G26468" s="52"/>
      <c r="H26468" s="56"/>
      <c r="I26468" s="224"/>
    </row>
    <row r="26469" spans="1:9" x14ac:dyDescent="0.25">
      <c r="A26469" s="515">
        <v>15031</v>
      </c>
      <c r="B26469" s="515" t="s">
        <v>297</v>
      </c>
      <c r="C26469" s="52">
        <v>135243.45042277101</v>
      </c>
      <c r="D26469" s="56">
        <v>9.1478819627981586E-2</v>
      </c>
      <c r="E26469" s="224" t="s">
        <v>2</v>
      </c>
      <c r="G26469" s="52"/>
      <c r="H26469" s="56"/>
      <c r="I26469" s="224"/>
    </row>
    <row r="26470" spans="1:9" x14ac:dyDescent="0.25">
      <c r="A26470" s="515">
        <v>62292</v>
      </c>
      <c r="C26470" s="52">
        <v>43372.078651685297</v>
      </c>
      <c r="D26470" s="56">
        <v>0</v>
      </c>
      <c r="E26470" s="224" t="s">
        <v>2</v>
      </c>
      <c r="G26470" s="52"/>
      <c r="H26470" s="56"/>
      <c r="I26470" s="224"/>
    </row>
    <row r="26471" spans="1:9" x14ac:dyDescent="0.25">
      <c r="A26471" s="515">
        <v>52235</v>
      </c>
      <c r="B26471" s="515" t="s">
        <v>587</v>
      </c>
      <c r="C26471" s="52">
        <v>213261.138322832</v>
      </c>
      <c r="D26471" s="56">
        <v>0.14084085065624505</v>
      </c>
      <c r="E26471" s="224" t="s">
        <v>2</v>
      </c>
      <c r="G26471" s="52"/>
      <c r="H26471" s="56"/>
      <c r="I26471" s="224"/>
    </row>
    <row r="26472" spans="1:9" x14ac:dyDescent="0.25">
      <c r="A26472" s="515">
        <v>55782</v>
      </c>
      <c r="B26472" s="515" t="s">
        <v>350</v>
      </c>
      <c r="C26472" s="52">
        <v>103987.41149974101</v>
      </c>
      <c r="D26472" s="56">
        <v>4.2549930648610367E-2</v>
      </c>
      <c r="E26472" s="224" t="s">
        <v>2</v>
      </c>
      <c r="G26472" s="52"/>
      <c r="H26472" s="56"/>
      <c r="I26472" s="224"/>
    </row>
    <row r="26473" spans="1:9" x14ac:dyDescent="0.25">
      <c r="A26473" s="515">
        <v>78598</v>
      </c>
      <c r="B26473" s="515" t="s">
        <v>482</v>
      </c>
      <c r="C26473" s="52">
        <v>239787.19535985199</v>
      </c>
      <c r="D26473" s="56">
        <v>-0.11708710332806721</v>
      </c>
      <c r="E26473" s="224" t="s">
        <v>2</v>
      </c>
      <c r="G26473" s="52"/>
      <c r="H26473" s="56"/>
      <c r="I26473" s="224"/>
    </row>
    <row r="26474" spans="1:9" x14ac:dyDescent="0.25">
      <c r="A26474" s="515">
        <v>18241</v>
      </c>
      <c r="B26474" s="515" t="s">
        <v>512</v>
      </c>
      <c r="C26474" s="52">
        <v>94087.977535629499</v>
      </c>
      <c r="D26474" s="56">
        <v>3.3867209509425643E-2</v>
      </c>
      <c r="E26474" s="224" t="s">
        <v>2</v>
      </c>
      <c r="G26474" s="52"/>
      <c r="H26474" s="56"/>
      <c r="I26474" s="224"/>
    </row>
    <row r="26475" spans="1:9" x14ac:dyDescent="0.25">
      <c r="A26475" s="515">
        <v>62517</v>
      </c>
      <c r="B26475" s="515" t="s">
        <v>386</v>
      </c>
      <c r="C26475" s="52">
        <v>48221.444829102402</v>
      </c>
      <c r="D26475" s="56">
        <v>0.10687288004421427</v>
      </c>
      <c r="E26475" s="224" t="s">
        <v>2</v>
      </c>
      <c r="G26475" s="52"/>
      <c r="H26475" s="56"/>
      <c r="I26475" s="224"/>
    </row>
    <row r="26476" spans="1:9" x14ac:dyDescent="0.25">
      <c r="A26476" s="515">
        <v>95335</v>
      </c>
      <c r="B26476" s="515" t="s">
        <v>555</v>
      </c>
      <c r="C26476" s="52">
        <v>318542.29609434301</v>
      </c>
      <c r="D26476" s="56">
        <v>3.5577497990639771E-2</v>
      </c>
      <c r="E26476" s="224" t="s">
        <v>2</v>
      </c>
      <c r="G26476" s="52"/>
      <c r="H26476" s="56"/>
      <c r="I26476" s="224"/>
    </row>
    <row r="26477" spans="1:9" x14ac:dyDescent="0.25">
      <c r="A26477" s="515">
        <v>26268</v>
      </c>
      <c r="B26477" s="515" t="s">
        <v>586</v>
      </c>
      <c r="C26477" s="52">
        <v>76543.326530612205</v>
      </c>
      <c r="D26477" s="56">
        <v>0</v>
      </c>
      <c r="E26477" s="224" t="s">
        <v>2</v>
      </c>
      <c r="G26477" s="52"/>
      <c r="H26477" s="56"/>
      <c r="I26477" s="224"/>
    </row>
    <row r="26478" spans="1:9" x14ac:dyDescent="0.25">
      <c r="A26478" s="515">
        <v>14874</v>
      </c>
      <c r="B26478" s="515" t="s">
        <v>585</v>
      </c>
      <c r="C26478" s="52">
        <v>168521.58233585101</v>
      </c>
      <c r="D26478" s="56">
        <v>0.10822354191955477</v>
      </c>
      <c r="E26478" s="224" t="s">
        <v>2</v>
      </c>
      <c r="G26478" s="52"/>
      <c r="H26478" s="56"/>
      <c r="I26478" s="224"/>
    </row>
    <row r="26479" spans="1:9" x14ac:dyDescent="0.25">
      <c r="A26479" s="515">
        <v>99572</v>
      </c>
      <c r="C26479" s="52">
        <v>456596.20666114299</v>
      </c>
      <c r="D26479" s="56">
        <v>3.4057904064313579E-3</v>
      </c>
      <c r="E26479" s="224" t="s">
        <v>2</v>
      </c>
      <c r="G26479" s="52"/>
      <c r="H26479" s="56"/>
      <c r="I26479" s="224"/>
    </row>
    <row r="26480" spans="1:9" x14ac:dyDescent="0.25">
      <c r="A26480" s="515">
        <v>15949</v>
      </c>
      <c r="B26480" s="515" t="s">
        <v>343</v>
      </c>
      <c r="C26480" s="52">
        <v>71227.517723882003</v>
      </c>
      <c r="D26480" s="56">
        <v>8.533420330378659E-2</v>
      </c>
      <c r="E26480" s="224" t="s">
        <v>2</v>
      </c>
      <c r="G26480" s="52"/>
      <c r="H26480" s="56"/>
      <c r="I26480" s="224"/>
    </row>
    <row r="26481" spans="1:9" x14ac:dyDescent="0.25">
      <c r="A26481" s="515">
        <v>42354</v>
      </c>
      <c r="C26481" s="52">
        <v>86255.463962913607</v>
      </c>
      <c r="D26481" s="56">
        <v>0.1503290683083611</v>
      </c>
      <c r="E26481" s="224" t="s">
        <v>2</v>
      </c>
      <c r="G26481" s="52"/>
      <c r="H26481" s="56"/>
      <c r="I26481" s="224"/>
    </row>
    <row r="26482" spans="1:9" x14ac:dyDescent="0.25">
      <c r="A26482" s="515">
        <v>12453</v>
      </c>
      <c r="B26482" s="515" t="s">
        <v>307</v>
      </c>
      <c r="C26482" s="52">
        <v>310332.050014982</v>
      </c>
      <c r="D26482" s="56">
        <v>0.11946220954237556</v>
      </c>
      <c r="E26482" s="224" t="s">
        <v>2</v>
      </c>
      <c r="G26482" s="52"/>
      <c r="H26482" s="56"/>
      <c r="I26482" s="224"/>
    </row>
    <row r="26483" spans="1:9" x14ac:dyDescent="0.25">
      <c r="A26483" s="515">
        <v>16329</v>
      </c>
      <c r="B26483" s="515" t="s">
        <v>584</v>
      </c>
      <c r="C26483" s="52">
        <v>95479.354810157296</v>
      </c>
      <c r="D26483" s="56">
        <v>0.15617375932691183</v>
      </c>
      <c r="E26483" s="224" t="s">
        <v>2</v>
      </c>
      <c r="G26483" s="52"/>
      <c r="H26483" s="56"/>
      <c r="I26483" s="224"/>
    </row>
    <row r="26484" spans="1:9" x14ac:dyDescent="0.25">
      <c r="A26484" s="515">
        <v>14752</v>
      </c>
      <c r="B26484" s="515" t="s">
        <v>560</v>
      </c>
      <c r="C26484" s="52">
        <v>82603.444707464398</v>
      </c>
      <c r="D26484" s="56">
        <v>0.1158006369206666</v>
      </c>
      <c r="E26484" s="224" t="s">
        <v>2</v>
      </c>
      <c r="G26484" s="52"/>
      <c r="H26484" s="56"/>
      <c r="I26484" s="224"/>
    </row>
    <row r="26485" spans="1:9" x14ac:dyDescent="0.25">
      <c r="A26485" s="515">
        <v>15476</v>
      </c>
      <c r="B26485" s="515" t="s">
        <v>297</v>
      </c>
      <c r="C26485" s="52">
        <v>25152.3970781729</v>
      </c>
      <c r="D26485" s="56">
        <v>0.10250549405774612</v>
      </c>
      <c r="E26485" s="224" t="s">
        <v>2</v>
      </c>
      <c r="G26485" s="52"/>
      <c r="H26485" s="56"/>
      <c r="I26485" s="224"/>
    </row>
    <row r="26486" spans="1:9" x14ac:dyDescent="0.25">
      <c r="A26486" s="515">
        <v>41201</v>
      </c>
      <c r="C26486" s="52">
        <v>148463.04166666599</v>
      </c>
      <c r="D26486" s="56">
        <v>0</v>
      </c>
      <c r="E26486" s="224" t="s">
        <v>2</v>
      </c>
      <c r="G26486" s="52"/>
      <c r="H26486" s="56"/>
      <c r="I26486" s="224"/>
    </row>
    <row r="26487" spans="1:9" x14ac:dyDescent="0.25">
      <c r="A26487" s="515">
        <v>45160</v>
      </c>
      <c r="B26487" s="515" t="s">
        <v>344</v>
      </c>
      <c r="C26487" s="52">
        <v>178457.18808416501</v>
      </c>
      <c r="D26487" s="56">
        <v>0.11265561648530316</v>
      </c>
      <c r="E26487" s="224" t="s">
        <v>2</v>
      </c>
      <c r="G26487" s="52"/>
      <c r="H26487" s="56"/>
      <c r="I26487" s="224"/>
    </row>
    <row r="26488" spans="1:9" x14ac:dyDescent="0.25">
      <c r="A26488" s="515">
        <v>20765</v>
      </c>
      <c r="B26488" s="515" t="s">
        <v>582</v>
      </c>
      <c r="C26488" s="52">
        <v>559232.65185251902</v>
      </c>
      <c r="D26488" s="56">
        <v>4.6184415868594654E-2</v>
      </c>
      <c r="E26488" s="224" t="s">
        <v>2</v>
      </c>
      <c r="G26488" s="52"/>
      <c r="H26488" s="56"/>
      <c r="I26488" s="224"/>
    </row>
    <row r="26489" spans="1:9" x14ac:dyDescent="0.25">
      <c r="A26489" s="515">
        <v>33001</v>
      </c>
      <c r="B26489" s="515" t="s">
        <v>572</v>
      </c>
      <c r="C26489" s="52">
        <v>823896.86305337504</v>
      </c>
      <c r="D26489" s="56">
        <v>0.22439344618281878</v>
      </c>
      <c r="E26489" s="224" t="s">
        <v>2</v>
      </c>
      <c r="G26489" s="52"/>
      <c r="H26489" s="56"/>
      <c r="I26489" s="224"/>
    </row>
    <row r="26490" spans="1:9" x14ac:dyDescent="0.25">
      <c r="A26490" s="515">
        <v>59065</v>
      </c>
      <c r="C26490" s="52">
        <v>805783.48378997401</v>
      </c>
      <c r="D26490" s="56">
        <v>0.10158456336420478</v>
      </c>
      <c r="E26490" s="224" t="s">
        <v>2</v>
      </c>
      <c r="G26490" s="52"/>
      <c r="H26490" s="56"/>
      <c r="I26490" s="224"/>
    </row>
    <row r="26491" spans="1:9" x14ac:dyDescent="0.25">
      <c r="A26491" s="515">
        <v>62046</v>
      </c>
      <c r="B26491" s="515" t="s">
        <v>498</v>
      </c>
      <c r="C26491" s="52">
        <v>237684.36342567101</v>
      </c>
      <c r="D26491" s="56">
        <v>3.9302358162561897E-2</v>
      </c>
      <c r="E26491" s="224" t="s">
        <v>2</v>
      </c>
      <c r="G26491" s="52"/>
      <c r="H26491" s="56"/>
      <c r="I26491" s="224"/>
    </row>
    <row r="26492" spans="1:9" x14ac:dyDescent="0.25">
      <c r="A26492" s="515">
        <v>15640</v>
      </c>
      <c r="B26492" s="515" t="s">
        <v>297</v>
      </c>
      <c r="C26492" s="52">
        <v>116590.447368421</v>
      </c>
      <c r="D26492" s="56">
        <v>0</v>
      </c>
      <c r="E26492" s="224" t="s">
        <v>2</v>
      </c>
      <c r="G26492" s="52"/>
      <c r="H26492" s="56"/>
      <c r="I26492" s="224"/>
    </row>
    <row r="26493" spans="1:9" x14ac:dyDescent="0.25">
      <c r="A26493" s="515">
        <v>25908</v>
      </c>
      <c r="B26493" s="515" t="s">
        <v>566</v>
      </c>
      <c r="C26493" s="52">
        <v>86302.474576271095</v>
      </c>
      <c r="D26493" s="56">
        <v>0</v>
      </c>
      <c r="E26493" s="224" t="s">
        <v>2</v>
      </c>
      <c r="G26493" s="52"/>
      <c r="H26493" s="56"/>
      <c r="I26493" s="224"/>
    </row>
    <row r="26494" spans="1:9" x14ac:dyDescent="0.25">
      <c r="A26494" s="515">
        <v>49963</v>
      </c>
      <c r="B26494" s="515" t="s">
        <v>462</v>
      </c>
      <c r="C26494" s="52">
        <v>95214.343526684504</v>
      </c>
      <c r="D26494" s="56">
        <v>5.6747236775653402E-2</v>
      </c>
      <c r="E26494" s="224" t="s">
        <v>2</v>
      </c>
      <c r="G26494" s="52"/>
      <c r="H26494" s="56"/>
      <c r="I26494" s="224"/>
    </row>
    <row r="26495" spans="1:9" x14ac:dyDescent="0.25">
      <c r="A26495" s="515">
        <v>16837</v>
      </c>
      <c r="B26495" s="515" t="s">
        <v>876</v>
      </c>
      <c r="C26495" s="52">
        <v>54312.833333333299</v>
      </c>
      <c r="D26495" s="56">
        <v>0</v>
      </c>
      <c r="E26495" s="224" t="s">
        <v>2</v>
      </c>
      <c r="G26495" s="52"/>
      <c r="H26495" s="56"/>
      <c r="I26495" s="224"/>
    </row>
    <row r="26496" spans="1:9" x14ac:dyDescent="0.25">
      <c r="A26496" s="515">
        <v>15413</v>
      </c>
      <c r="B26496" s="515" t="s">
        <v>297</v>
      </c>
      <c r="C26496" s="52">
        <v>43607.113728458702</v>
      </c>
      <c r="D26496" s="56">
        <v>-2.1442432402727293E-2</v>
      </c>
      <c r="E26496" s="224" t="s">
        <v>2</v>
      </c>
      <c r="G26496" s="52"/>
      <c r="H26496" s="56"/>
      <c r="I26496" s="224"/>
    </row>
    <row r="26497" spans="1:9" x14ac:dyDescent="0.25">
      <c r="A26497" s="515">
        <v>89402</v>
      </c>
      <c r="B26497" s="515" t="s">
        <v>581</v>
      </c>
      <c r="C26497" s="52">
        <v>2373124.5409551798</v>
      </c>
      <c r="D26497" s="56">
        <v>2.3837732777147089E-3</v>
      </c>
      <c r="E26497" s="224" t="s">
        <v>2</v>
      </c>
      <c r="G26497" s="52"/>
      <c r="H26497" s="56"/>
      <c r="I26497" s="224"/>
    </row>
    <row r="26498" spans="1:9" x14ac:dyDescent="0.25">
      <c r="A26498" s="515">
        <v>16244</v>
      </c>
      <c r="B26498" s="515" t="s">
        <v>297</v>
      </c>
      <c r="C26498" s="52">
        <v>79155.554471352094</v>
      </c>
      <c r="D26498" s="56">
        <v>0.26604785967887179</v>
      </c>
      <c r="E26498" s="224" t="s">
        <v>2</v>
      </c>
      <c r="G26498" s="52"/>
      <c r="H26498" s="56"/>
      <c r="I26498" s="224"/>
    </row>
    <row r="26499" spans="1:9" x14ac:dyDescent="0.25">
      <c r="A26499" s="515">
        <v>15739</v>
      </c>
      <c r="B26499" s="515" t="s">
        <v>343</v>
      </c>
      <c r="C26499" s="52">
        <v>74672.286723387704</v>
      </c>
      <c r="D26499" s="56">
        <v>0.14943437130667589</v>
      </c>
      <c r="E26499" s="224" t="s">
        <v>2</v>
      </c>
      <c r="G26499" s="52"/>
      <c r="H26499" s="56"/>
      <c r="I26499" s="224"/>
    </row>
    <row r="26500" spans="1:9" x14ac:dyDescent="0.25">
      <c r="A26500" s="515">
        <v>81332</v>
      </c>
      <c r="C26500" s="52">
        <v>417287.01414262899</v>
      </c>
      <c r="D26500" s="56">
        <v>9.9152838958507294E-2</v>
      </c>
      <c r="E26500" s="224" t="s">
        <v>2</v>
      </c>
      <c r="G26500" s="52"/>
      <c r="H26500" s="56"/>
      <c r="I26500" s="224"/>
    </row>
    <row r="26501" spans="1:9" x14ac:dyDescent="0.25">
      <c r="A26501" s="515">
        <v>15756</v>
      </c>
      <c r="B26501" s="515" t="s">
        <v>343</v>
      </c>
      <c r="C26501" s="52">
        <v>52164.680367521803</v>
      </c>
      <c r="D26501" s="56">
        <v>0.23462437394233651</v>
      </c>
      <c r="E26501" s="224" t="s">
        <v>2</v>
      </c>
      <c r="G26501" s="52"/>
      <c r="H26501" s="56"/>
      <c r="I26501" s="224"/>
    </row>
    <row r="26502" spans="1:9" x14ac:dyDescent="0.25">
      <c r="A26502" s="515">
        <v>93526</v>
      </c>
      <c r="C26502" s="52">
        <v>294849.03845548199</v>
      </c>
      <c r="D26502" s="56">
        <v>0</v>
      </c>
      <c r="E26502" s="224" t="s">
        <v>2</v>
      </c>
      <c r="G26502" s="52"/>
      <c r="H26502" s="56"/>
      <c r="I26502" s="224"/>
    </row>
    <row r="26503" spans="1:9" x14ac:dyDescent="0.25">
      <c r="A26503" s="515">
        <v>5862</v>
      </c>
      <c r="C26503" s="52">
        <v>352234.76923076902</v>
      </c>
      <c r="D26503" s="56">
        <v>0</v>
      </c>
      <c r="E26503" s="224" t="s">
        <v>2</v>
      </c>
      <c r="G26503" s="52"/>
      <c r="H26503" s="56"/>
      <c r="I26503" s="224"/>
    </row>
    <row r="26504" spans="1:9" x14ac:dyDescent="0.25">
      <c r="A26504" s="515">
        <v>95978</v>
      </c>
      <c r="B26504" s="515" t="s">
        <v>580</v>
      </c>
      <c r="C26504" s="52">
        <v>157843.16104995401</v>
      </c>
      <c r="D26504" s="56">
        <v>-2.29683039109892E-2</v>
      </c>
      <c r="E26504" s="224" t="s">
        <v>2</v>
      </c>
      <c r="G26504" s="52"/>
      <c r="H26504" s="56"/>
      <c r="I26504" s="224"/>
    </row>
    <row r="26505" spans="1:9" x14ac:dyDescent="0.25">
      <c r="A26505" s="515">
        <v>49833</v>
      </c>
      <c r="B26505" s="515" t="s">
        <v>440</v>
      </c>
      <c r="C26505" s="52">
        <v>157760.36363636301</v>
      </c>
      <c r="D26505" s="56">
        <v>0</v>
      </c>
      <c r="E26505" s="224" t="s">
        <v>2</v>
      </c>
      <c r="G26505" s="52"/>
      <c r="H26505" s="56"/>
      <c r="I26505" s="224"/>
    </row>
    <row r="26506" spans="1:9" x14ac:dyDescent="0.25">
      <c r="A26506" s="515">
        <v>5681</v>
      </c>
      <c r="B26506" s="515" t="s">
        <v>945</v>
      </c>
      <c r="C26506" s="52">
        <v>267938.88571428502</v>
      </c>
      <c r="D26506" s="56">
        <v>0</v>
      </c>
      <c r="E26506" s="224" t="s">
        <v>2</v>
      </c>
      <c r="G26506" s="52"/>
      <c r="H26506" s="56"/>
      <c r="I26506" s="224"/>
    </row>
    <row r="26507" spans="1:9" x14ac:dyDescent="0.25">
      <c r="A26507" s="515">
        <v>57047</v>
      </c>
      <c r="B26507" s="515" t="s">
        <v>579</v>
      </c>
      <c r="C26507" s="52">
        <v>133075.3125</v>
      </c>
      <c r="D26507" s="56">
        <v>0</v>
      </c>
      <c r="E26507" s="224" t="s">
        <v>2</v>
      </c>
      <c r="G26507" s="52"/>
      <c r="H26507" s="56"/>
      <c r="I26507" s="224"/>
    </row>
    <row r="26508" spans="1:9" x14ac:dyDescent="0.25">
      <c r="A26508" s="515">
        <v>13436</v>
      </c>
      <c r="C26508" s="52">
        <v>415706.466077035</v>
      </c>
      <c r="D26508" s="56">
        <v>5.8189539365337557E-2</v>
      </c>
      <c r="E26508" s="224" t="s">
        <v>2</v>
      </c>
      <c r="G26508" s="52"/>
      <c r="H26508" s="56"/>
      <c r="I26508" s="224"/>
    </row>
    <row r="26509" spans="1:9" x14ac:dyDescent="0.25">
      <c r="A26509" s="515">
        <v>28009</v>
      </c>
      <c r="B26509" s="515" t="s">
        <v>1168</v>
      </c>
      <c r="C26509" s="52">
        <v>141595.16946659199</v>
      </c>
      <c r="D26509" s="56">
        <v>0.32116656696552132</v>
      </c>
      <c r="E26509" s="224" t="s">
        <v>2</v>
      </c>
      <c r="G26509" s="52"/>
      <c r="H26509" s="56"/>
      <c r="I26509" s="224"/>
    </row>
    <row r="26510" spans="1:9" x14ac:dyDescent="0.25">
      <c r="A26510" s="515">
        <v>98206</v>
      </c>
      <c r="B26510" s="515" t="s">
        <v>384</v>
      </c>
      <c r="C26510" s="52">
        <v>496674.46903495397</v>
      </c>
      <c r="D26510" s="56">
        <v>1.5969117388604296E-2</v>
      </c>
      <c r="E26510" s="224" t="s">
        <v>2</v>
      </c>
      <c r="G26510" s="52"/>
      <c r="H26510" s="56"/>
      <c r="I26510" s="224"/>
    </row>
    <row r="26511" spans="1:9" x14ac:dyDescent="0.25">
      <c r="A26511" s="515">
        <v>45740</v>
      </c>
      <c r="B26511" s="515" t="s">
        <v>578</v>
      </c>
      <c r="C26511" s="52">
        <v>63773.754473970999</v>
      </c>
      <c r="D26511" s="56">
        <v>3.7877783621149248E-2</v>
      </c>
      <c r="E26511" s="224" t="s">
        <v>2</v>
      </c>
      <c r="G26511" s="52"/>
      <c r="H26511" s="56"/>
      <c r="I26511" s="224"/>
    </row>
    <row r="26512" spans="1:9" x14ac:dyDescent="0.25">
      <c r="A26512" s="515">
        <v>32631</v>
      </c>
      <c r="B26512" s="515" t="s">
        <v>577</v>
      </c>
      <c r="C26512" s="52">
        <v>309099.21292855497</v>
      </c>
      <c r="D26512" s="56">
        <v>0.11147139461801264</v>
      </c>
      <c r="E26512" s="224" t="s">
        <v>2</v>
      </c>
      <c r="G26512" s="52"/>
      <c r="H26512" s="56"/>
      <c r="I26512" s="224"/>
    </row>
    <row r="26513" spans="1:9" x14ac:dyDescent="0.25">
      <c r="A26513" s="515">
        <v>14777</v>
      </c>
      <c r="C26513" s="52">
        <v>123279.880977501</v>
      </c>
      <c r="D26513" s="56">
        <v>9.8756612816674777E-2</v>
      </c>
      <c r="E26513" s="224" t="s">
        <v>2</v>
      </c>
      <c r="G26513" s="52"/>
      <c r="H26513" s="56"/>
      <c r="I26513" s="224"/>
    </row>
    <row r="26514" spans="1:9" x14ac:dyDescent="0.25">
      <c r="A26514" s="515">
        <v>96126</v>
      </c>
      <c r="C26514" s="52">
        <v>479973.91137694602</v>
      </c>
      <c r="D26514" s="56">
        <v>0.13993247447206994</v>
      </c>
      <c r="E26514" s="224" t="s">
        <v>2</v>
      </c>
      <c r="G26514" s="52"/>
      <c r="H26514" s="56"/>
      <c r="I26514" s="224"/>
    </row>
    <row r="26515" spans="1:9" x14ac:dyDescent="0.25">
      <c r="A26515" s="515">
        <v>12139</v>
      </c>
      <c r="C26515" s="52">
        <v>442563.64412759099</v>
      </c>
      <c r="D26515" s="56">
        <v>6.1489845955916313E-2</v>
      </c>
      <c r="E26515" s="224" t="s">
        <v>2</v>
      </c>
      <c r="G26515" s="52"/>
      <c r="H26515" s="56"/>
      <c r="I26515" s="224"/>
    </row>
    <row r="26516" spans="1:9" x14ac:dyDescent="0.25">
      <c r="A26516" s="515">
        <v>1338</v>
      </c>
      <c r="B26516" s="515" t="s">
        <v>575</v>
      </c>
      <c r="C26516" s="52">
        <v>321534.41977987898</v>
      </c>
      <c r="D26516" s="56">
        <v>0.10193789891431573</v>
      </c>
      <c r="E26516" s="224" t="s">
        <v>2</v>
      </c>
      <c r="G26516" s="52"/>
      <c r="H26516" s="56"/>
      <c r="I26516" s="224"/>
    </row>
    <row r="26517" spans="1:9" x14ac:dyDescent="0.25">
      <c r="A26517" s="515">
        <v>78385</v>
      </c>
      <c r="B26517" s="515" t="s">
        <v>886</v>
      </c>
      <c r="C26517" s="52">
        <v>165450.25806451601</v>
      </c>
      <c r="D26517" s="56">
        <v>0</v>
      </c>
      <c r="E26517" s="224" t="s">
        <v>2</v>
      </c>
      <c r="G26517" s="52"/>
      <c r="H26517" s="56"/>
      <c r="I26517" s="224"/>
    </row>
    <row r="26518" spans="1:9" x14ac:dyDescent="0.25">
      <c r="A26518" s="515">
        <v>21672</v>
      </c>
      <c r="B26518" s="515" t="s">
        <v>388</v>
      </c>
      <c r="C26518" s="52">
        <v>87950.455052490695</v>
      </c>
      <c r="D26518" s="56">
        <v>0</v>
      </c>
      <c r="E26518" s="224" t="s">
        <v>2</v>
      </c>
      <c r="G26518" s="52"/>
      <c r="H26518" s="56"/>
      <c r="I26518" s="224"/>
    </row>
    <row r="26519" spans="1:9" x14ac:dyDescent="0.25">
      <c r="A26519" s="515">
        <v>2713</v>
      </c>
      <c r="B26519" s="515" t="s">
        <v>325</v>
      </c>
      <c r="C26519" s="52">
        <v>1223412.0263575299</v>
      </c>
      <c r="D26519" s="56">
        <v>0.17857113381386128</v>
      </c>
      <c r="E26519" s="224" t="s">
        <v>2</v>
      </c>
      <c r="G26519" s="52"/>
      <c r="H26519" s="56"/>
      <c r="I26519" s="224"/>
    </row>
    <row r="26520" spans="1:9" x14ac:dyDescent="0.25">
      <c r="A26520" s="515">
        <v>18437</v>
      </c>
      <c r="C26520" s="52">
        <v>237014.47463354099</v>
      </c>
      <c r="D26520" s="56">
        <v>5.5245005492009537E-2</v>
      </c>
      <c r="E26520" s="224" t="s">
        <v>2</v>
      </c>
      <c r="G26520" s="52"/>
      <c r="H26520" s="56"/>
      <c r="I26520" s="224"/>
    </row>
    <row r="26521" spans="1:9" x14ac:dyDescent="0.25">
      <c r="A26521" s="515">
        <v>95735</v>
      </c>
      <c r="B26521" s="515" t="s">
        <v>355</v>
      </c>
      <c r="C26521" s="52">
        <v>441134.33696964098</v>
      </c>
      <c r="D26521" s="56">
        <v>-5.0518460735992981E-4</v>
      </c>
      <c r="E26521" s="224" t="s">
        <v>2</v>
      </c>
      <c r="G26521" s="52"/>
      <c r="H26521" s="56"/>
      <c r="I26521" s="224"/>
    </row>
    <row r="26522" spans="1:9" x14ac:dyDescent="0.25">
      <c r="A26522" s="515">
        <v>13664</v>
      </c>
      <c r="B26522" s="515" t="s">
        <v>511</v>
      </c>
      <c r="C26522" s="52">
        <v>135279.79437662999</v>
      </c>
      <c r="D26522" s="56">
        <v>5.1699881448441419E-2</v>
      </c>
      <c r="E26522" s="224" t="s">
        <v>2</v>
      </c>
      <c r="G26522" s="52"/>
      <c r="H26522" s="56"/>
      <c r="I26522" s="224"/>
    </row>
    <row r="26523" spans="1:9" x14ac:dyDescent="0.25">
      <c r="A26523" s="515">
        <v>12165</v>
      </c>
      <c r="B26523" s="515" t="s">
        <v>564</v>
      </c>
      <c r="C26523" s="52">
        <v>416704.41627193597</v>
      </c>
      <c r="D26523" s="56">
        <v>5.0363339859046771E-2</v>
      </c>
      <c r="E26523" s="224" t="s">
        <v>2</v>
      </c>
      <c r="G26523" s="52"/>
      <c r="H26523" s="56"/>
      <c r="I26523" s="224"/>
    </row>
    <row r="26524" spans="1:9" x14ac:dyDescent="0.25">
      <c r="A26524" s="515">
        <v>28587</v>
      </c>
      <c r="B26524" s="515" t="s">
        <v>574</v>
      </c>
      <c r="C26524" s="52">
        <v>136226.65412506199</v>
      </c>
      <c r="D26524" s="56">
        <v>0.13387006970698015</v>
      </c>
      <c r="E26524" s="224" t="s">
        <v>2</v>
      </c>
      <c r="G26524" s="52"/>
      <c r="H26524" s="56"/>
      <c r="I26524" s="224"/>
    </row>
    <row r="26525" spans="1:9" x14ac:dyDescent="0.25">
      <c r="A26525" s="515">
        <v>47535</v>
      </c>
      <c r="B26525" s="515" t="s">
        <v>573</v>
      </c>
      <c r="C26525" s="52">
        <v>85933.087948666405</v>
      </c>
      <c r="D26525" s="56">
        <v>0.12717050251273962</v>
      </c>
      <c r="E26525" s="224" t="s">
        <v>2</v>
      </c>
      <c r="G26525" s="52"/>
      <c r="H26525" s="56"/>
      <c r="I26525" s="224"/>
    </row>
    <row r="26526" spans="1:9" x14ac:dyDescent="0.25">
      <c r="A26526" s="515">
        <v>81241</v>
      </c>
      <c r="C26526" s="52">
        <v>364533.12525429903</v>
      </c>
      <c r="D26526" s="56">
        <v>7.0086392490442614E-2</v>
      </c>
      <c r="E26526" s="224" t="s">
        <v>2</v>
      </c>
      <c r="G26526" s="52"/>
      <c r="H26526" s="56"/>
      <c r="I26526" s="224"/>
    </row>
    <row r="26527" spans="1:9" x14ac:dyDescent="0.25">
      <c r="A26527" s="515">
        <v>88416</v>
      </c>
      <c r="B26527" s="515" t="s">
        <v>767</v>
      </c>
      <c r="C26527" s="52">
        <v>141483.43164997801</v>
      </c>
      <c r="D26527" s="56">
        <v>0</v>
      </c>
      <c r="E26527" s="224" t="s">
        <v>2</v>
      </c>
      <c r="G26527" s="52"/>
      <c r="H26527" s="56"/>
      <c r="I26527" s="224"/>
    </row>
    <row r="26528" spans="1:9" x14ac:dyDescent="0.25">
      <c r="A26528" s="515">
        <v>25126</v>
      </c>
      <c r="B26528" s="515" t="s">
        <v>322</v>
      </c>
      <c r="C26528" s="52">
        <v>69140.551724137898</v>
      </c>
      <c r="D26528" s="56">
        <v>0</v>
      </c>
      <c r="E26528" s="224" t="s">
        <v>2</v>
      </c>
      <c r="G26528" s="52"/>
      <c r="H26528" s="56"/>
      <c r="I26528" s="224"/>
    </row>
    <row r="26529" spans="1:9" x14ac:dyDescent="0.25">
      <c r="A26529" s="515">
        <v>12177</v>
      </c>
      <c r="B26529" s="515" t="s">
        <v>378</v>
      </c>
      <c r="C26529" s="52">
        <v>168094.47321968299</v>
      </c>
      <c r="D26529" s="56">
        <v>8.5571421441129836E-2</v>
      </c>
      <c r="E26529" s="224" t="s">
        <v>2</v>
      </c>
      <c r="G26529" s="52"/>
      <c r="H26529" s="56"/>
      <c r="I26529" s="224"/>
    </row>
    <row r="26530" spans="1:9" x14ac:dyDescent="0.25">
      <c r="A26530" s="515">
        <v>67632</v>
      </c>
      <c r="C26530" s="52">
        <v>94166.942824110403</v>
      </c>
      <c r="D26530" s="56">
        <v>0.21022157713032361</v>
      </c>
      <c r="E26530" s="224" t="s">
        <v>2</v>
      </c>
      <c r="G26530" s="52"/>
      <c r="H26530" s="56"/>
      <c r="I26530" s="224"/>
    </row>
    <row r="26531" spans="1:9" x14ac:dyDescent="0.25">
      <c r="A26531" s="515">
        <v>26707</v>
      </c>
      <c r="C26531" s="52">
        <v>54798.227690487402</v>
      </c>
      <c r="D26531" s="56">
        <v>0.16291190605048272</v>
      </c>
      <c r="E26531" s="224" t="s">
        <v>2</v>
      </c>
      <c r="G26531" s="52"/>
      <c r="H26531" s="56"/>
      <c r="I26531" s="224"/>
    </row>
    <row r="26532" spans="1:9" x14ac:dyDescent="0.25">
      <c r="A26532" s="515">
        <v>78402</v>
      </c>
      <c r="B26532" s="515" t="s">
        <v>415</v>
      </c>
      <c r="C26532" s="52">
        <v>127925.912445674</v>
      </c>
      <c r="D26532" s="56">
        <v>0.10471836153043457</v>
      </c>
      <c r="E26532" s="224" t="s">
        <v>2</v>
      </c>
      <c r="G26532" s="52"/>
      <c r="H26532" s="56"/>
      <c r="I26532" s="224"/>
    </row>
    <row r="26533" spans="1:9" x14ac:dyDescent="0.25">
      <c r="A26533" s="515">
        <v>93226</v>
      </c>
      <c r="B26533" s="515" t="s">
        <v>419</v>
      </c>
      <c r="C26533" s="52">
        <v>326432.400865487</v>
      </c>
      <c r="D26533" s="56">
        <v>1.1960946271269307E-2</v>
      </c>
      <c r="E26533" s="224" t="s">
        <v>2</v>
      </c>
      <c r="G26533" s="52"/>
      <c r="H26533" s="56"/>
      <c r="I26533" s="224"/>
    </row>
    <row r="26534" spans="1:9" x14ac:dyDescent="0.25">
      <c r="A26534" s="515">
        <v>96714</v>
      </c>
      <c r="B26534" s="515" t="s">
        <v>452</v>
      </c>
      <c r="C26534" s="52">
        <v>1924541.5765599699</v>
      </c>
      <c r="D26534" s="56">
        <v>0.13934334083794339</v>
      </c>
      <c r="E26534" s="224" t="s">
        <v>2</v>
      </c>
      <c r="G26534" s="52"/>
      <c r="H26534" s="56"/>
      <c r="I26534" s="224"/>
    </row>
    <row r="26535" spans="1:9" x14ac:dyDescent="0.25">
      <c r="A26535" s="515">
        <v>33051</v>
      </c>
      <c r="B26535" s="515" t="s">
        <v>572</v>
      </c>
      <c r="C26535" s="52">
        <v>876955.72614012205</v>
      </c>
      <c r="D26535" s="56">
        <v>0.14652155057467015</v>
      </c>
      <c r="E26535" s="224" t="s">
        <v>2</v>
      </c>
      <c r="G26535" s="52"/>
      <c r="H26535" s="56"/>
      <c r="I26535" s="224"/>
    </row>
    <row r="26536" spans="1:9" x14ac:dyDescent="0.25">
      <c r="A26536" s="515">
        <v>38722</v>
      </c>
      <c r="B26536" s="515" t="s">
        <v>1204</v>
      </c>
      <c r="C26536" s="52">
        <v>72301.401877634897</v>
      </c>
      <c r="D26536" s="56">
        <v>0</v>
      </c>
      <c r="E26536" s="224" t="s">
        <v>2</v>
      </c>
      <c r="G26536" s="52"/>
      <c r="H26536" s="56"/>
      <c r="I26536" s="224"/>
    </row>
    <row r="26537" spans="1:9" x14ac:dyDescent="0.25">
      <c r="A26537" s="515">
        <v>51242</v>
      </c>
      <c r="C26537" s="52">
        <v>181190.97145116699</v>
      </c>
      <c r="D26537" s="56">
        <v>0</v>
      </c>
      <c r="E26537" s="224" t="s">
        <v>2</v>
      </c>
      <c r="G26537" s="52"/>
      <c r="H26537" s="56"/>
      <c r="I26537" s="224"/>
    </row>
    <row r="26538" spans="1:9" x14ac:dyDescent="0.25">
      <c r="A26538" s="515">
        <v>98281</v>
      </c>
      <c r="B26538" s="515" t="s">
        <v>412</v>
      </c>
      <c r="C26538" s="52">
        <v>361248.52150860702</v>
      </c>
      <c r="D26538" s="56">
        <v>1.7607397606828296E-2</v>
      </c>
      <c r="E26538" s="224" t="s">
        <v>2</v>
      </c>
      <c r="G26538" s="52"/>
      <c r="H26538" s="56"/>
      <c r="I26538" s="224"/>
    </row>
    <row r="26539" spans="1:9" x14ac:dyDescent="0.25">
      <c r="A26539" s="515">
        <v>54850</v>
      </c>
      <c r="C26539" s="52">
        <v>329603.88361730397</v>
      </c>
      <c r="D26539" s="56">
        <v>5.5664508388341354E-2</v>
      </c>
      <c r="E26539" s="224" t="s">
        <v>2</v>
      </c>
      <c r="G26539" s="52"/>
      <c r="H26539" s="56"/>
      <c r="I26539" s="224"/>
    </row>
    <row r="26540" spans="1:9" x14ac:dyDescent="0.25">
      <c r="A26540" s="515">
        <v>84719</v>
      </c>
      <c r="B26540" s="515" t="s">
        <v>571</v>
      </c>
      <c r="C26540" s="52">
        <v>283847.87461924099</v>
      </c>
      <c r="D26540" s="56">
        <v>9.1878060949794782E-2</v>
      </c>
      <c r="E26540" s="224" t="s">
        <v>2</v>
      </c>
      <c r="G26540" s="52"/>
      <c r="H26540" s="56"/>
      <c r="I26540" s="224"/>
    </row>
    <row r="26541" spans="1:9" x14ac:dyDescent="0.25">
      <c r="A26541" s="515">
        <v>11770</v>
      </c>
      <c r="B26541" s="515" t="s">
        <v>324</v>
      </c>
      <c r="C26541" s="52">
        <v>1039863.2740209301</v>
      </c>
      <c r="D26541" s="56">
        <v>0.14180990458663531</v>
      </c>
      <c r="E26541" s="224" t="s">
        <v>2</v>
      </c>
      <c r="G26541" s="52"/>
      <c r="H26541" s="56"/>
      <c r="I26541" s="224"/>
    </row>
    <row r="26542" spans="1:9" x14ac:dyDescent="0.25">
      <c r="A26542" s="515">
        <v>93628</v>
      </c>
      <c r="B26542" s="515" t="s">
        <v>541</v>
      </c>
      <c r="C26542" s="52">
        <v>342601.12867051997</v>
      </c>
      <c r="D26542" s="56">
        <v>6.7144421761159895E-2</v>
      </c>
      <c r="E26542" s="224" t="s">
        <v>2</v>
      </c>
      <c r="G26542" s="52"/>
      <c r="H26542" s="56"/>
      <c r="I26542" s="224"/>
    </row>
    <row r="26543" spans="1:9" x14ac:dyDescent="0.25">
      <c r="A26543" s="515">
        <v>4109</v>
      </c>
      <c r="B26543" s="515" t="s">
        <v>570</v>
      </c>
      <c r="C26543" s="52">
        <v>710673.41176579404</v>
      </c>
      <c r="D26543" s="56">
        <v>3.1934144311092458E-3</v>
      </c>
      <c r="E26543" s="224" t="s">
        <v>2</v>
      </c>
      <c r="G26543" s="52"/>
      <c r="H26543" s="56"/>
      <c r="I26543" s="224"/>
    </row>
    <row r="26544" spans="1:9" x14ac:dyDescent="0.25">
      <c r="A26544" s="515">
        <v>56335</v>
      </c>
      <c r="B26544" s="515" t="s">
        <v>418</v>
      </c>
      <c r="C26544" s="52">
        <v>162773.712124318</v>
      </c>
      <c r="D26544" s="56">
        <v>8.2848678902129783E-2</v>
      </c>
      <c r="E26544" s="224" t="s">
        <v>2</v>
      </c>
      <c r="G26544" s="52"/>
      <c r="H26544" s="56"/>
      <c r="I26544" s="224"/>
    </row>
    <row r="26545" spans="1:9" x14ac:dyDescent="0.25">
      <c r="A26545" s="515">
        <v>49918</v>
      </c>
      <c r="B26545" s="515" t="s">
        <v>462</v>
      </c>
      <c r="C26545" s="52">
        <v>202987.07328425301</v>
      </c>
      <c r="D26545" s="56">
        <v>0</v>
      </c>
      <c r="E26545" s="224" t="s">
        <v>2</v>
      </c>
      <c r="G26545" s="52"/>
      <c r="H26545" s="56"/>
      <c r="I26545" s="224"/>
    </row>
    <row r="26546" spans="1:9" x14ac:dyDescent="0.25">
      <c r="A26546" s="515">
        <v>34681</v>
      </c>
      <c r="B26546" s="515" t="s">
        <v>461</v>
      </c>
      <c r="C26546" s="52">
        <v>645506.69707956095</v>
      </c>
      <c r="D26546" s="56">
        <v>0.13266750073108718</v>
      </c>
      <c r="E26546" s="224" t="s">
        <v>2</v>
      </c>
      <c r="G26546" s="52"/>
      <c r="H26546" s="56"/>
      <c r="I26546" s="224"/>
    </row>
    <row r="26547" spans="1:9" x14ac:dyDescent="0.25">
      <c r="A26547" s="515">
        <v>26075</v>
      </c>
      <c r="B26547" s="515" t="s">
        <v>389</v>
      </c>
      <c r="C26547" s="52">
        <v>65799.2992173206</v>
      </c>
      <c r="D26547" s="56">
        <v>0.24907378904651992</v>
      </c>
      <c r="E26547" s="224" t="s">
        <v>2</v>
      </c>
      <c r="G26547" s="52"/>
      <c r="H26547" s="56"/>
      <c r="I26547" s="224"/>
    </row>
    <row r="26548" spans="1:9" x14ac:dyDescent="0.25">
      <c r="A26548" s="515">
        <v>59913</v>
      </c>
      <c r="B26548" s="515" t="s">
        <v>459</v>
      </c>
      <c r="C26548" s="52">
        <v>521693.87454547902</v>
      </c>
      <c r="D26548" s="56">
        <v>0.13206650518880922</v>
      </c>
      <c r="E26548" s="224" t="s">
        <v>2</v>
      </c>
      <c r="G26548" s="52"/>
      <c r="H26548" s="56"/>
      <c r="I26548" s="224"/>
    </row>
    <row r="26549" spans="1:9" x14ac:dyDescent="0.25">
      <c r="A26549" s="515">
        <v>17306</v>
      </c>
      <c r="B26549" s="515" t="s">
        <v>457</v>
      </c>
      <c r="C26549" s="52">
        <v>206762.241803021</v>
      </c>
      <c r="D26549" s="56">
        <v>8.0608124237160961E-2</v>
      </c>
      <c r="E26549" s="224" t="s">
        <v>2</v>
      </c>
      <c r="G26549" s="52"/>
      <c r="H26549" s="56"/>
      <c r="I26549" s="224"/>
    </row>
    <row r="26550" spans="1:9" x14ac:dyDescent="0.25">
      <c r="A26550" s="515">
        <v>13488</v>
      </c>
      <c r="B26550" s="515" t="s">
        <v>460</v>
      </c>
      <c r="C26550" s="52">
        <v>156838.349814199</v>
      </c>
      <c r="D26550" s="56">
        <v>0.13620873511576984</v>
      </c>
      <c r="E26550" s="224" t="s">
        <v>2</v>
      </c>
      <c r="G26550" s="52"/>
      <c r="H26550" s="56"/>
      <c r="I26550" s="224"/>
    </row>
    <row r="26551" spans="1:9" x14ac:dyDescent="0.25">
      <c r="A26551" s="515">
        <v>14537</v>
      </c>
      <c r="B26551" s="515" t="s">
        <v>337</v>
      </c>
      <c r="C26551" s="52">
        <v>147737.97492987401</v>
      </c>
      <c r="D26551" s="56">
        <v>5.8714511892536216E-2</v>
      </c>
      <c r="E26551" s="224" t="s">
        <v>2</v>
      </c>
      <c r="G26551" s="52"/>
      <c r="H26551" s="56"/>
      <c r="I26551" s="224"/>
    </row>
    <row r="26552" spans="1:9" x14ac:dyDescent="0.25">
      <c r="A26552" s="515">
        <v>13636</v>
      </c>
      <c r="B26552" s="515" t="s">
        <v>431</v>
      </c>
      <c r="C26552" s="52">
        <v>146270.25081125801</v>
      </c>
      <c r="D26552" s="56">
        <v>8.474403428628996E-2</v>
      </c>
      <c r="E26552" s="224" t="s">
        <v>2</v>
      </c>
      <c r="G26552" s="52"/>
      <c r="H26552" s="56"/>
      <c r="I26552" s="224"/>
    </row>
    <row r="26553" spans="1:9" x14ac:dyDescent="0.25">
      <c r="A26553" s="515">
        <v>78358</v>
      </c>
      <c r="B26553" s="515" t="s">
        <v>456</v>
      </c>
      <c r="C26553" s="52">
        <v>252946.18858685199</v>
      </c>
      <c r="D26553" s="56">
        <v>6.1187662528865407E-2</v>
      </c>
      <c r="E26553" s="224" t="s">
        <v>2</v>
      </c>
      <c r="G26553" s="52"/>
      <c r="H26553" s="56"/>
      <c r="I26553" s="224"/>
    </row>
    <row r="26554" spans="1:9" x14ac:dyDescent="0.25">
      <c r="A26554" s="515">
        <v>16344</v>
      </c>
      <c r="B26554" s="515" t="s">
        <v>349</v>
      </c>
      <c r="C26554" s="52">
        <v>56179.704395250301</v>
      </c>
      <c r="D26554" s="56">
        <v>0.17975912877479266</v>
      </c>
      <c r="E26554" s="224" t="s">
        <v>2</v>
      </c>
      <c r="G26554" s="52"/>
      <c r="H26554" s="56"/>
      <c r="I26554" s="224"/>
    </row>
    <row r="26555" spans="1:9" x14ac:dyDescent="0.25">
      <c r="A26555" s="515">
        <v>33851</v>
      </c>
      <c r="B26555" s="515" t="s">
        <v>359</v>
      </c>
      <c r="C26555" s="52">
        <v>265178.88667589898</v>
      </c>
      <c r="D26555" s="56">
        <v>0.13448756518905366</v>
      </c>
      <c r="E26555" s="224" t="s">
        <v>2</v>
      </c>
      <c r="G26555" s="52"/>
      <c r="H26555" s="56"/>
      <c r="I26555" s="224"/>
    </row>
    <row r="26556" spans="1:9" x14ac:dyDescent="0.25">
      <c r="A26556" s="515">
        <v>64743</v>
      </c>
      <c r="B26556" s="515" t="s">
        <v>455</v>
      </c>
      <c r="C26556" s="52">
        <v>179561.076585223</v>
      </c>
      <c r="D26556" s="56">
        <v>8.6626208242143191E-2</v>
      </c>
      <c r="E26556" s="224" t="s">
        <v>2</v>
      </c>
      <c r="G26556" s="52"/>
      <c r="H26556" s="56"/>
      <c r="I26556" s="224"/>
    </row>
    <row r="26557" spans="1:9" x14ac:dyDescent="0.25">
      <c r="A26557" s="515">
        <v>52326</v>
      </c>
      <c r="C26557" s="52">
        <v>121158.673356814</v>
      </c>
      <c r="D26557" s="56">
        <v>0.1201034082691244</v>
      </c>
      <c r="E26557" s="224" t="s">
        <v>2</v>
      </c>
      <c r="G26557" s="52"/>
      <c r="H26557" s="56"/>
      <c r="I26557" s="224"/>
    </row>
    <row r="26558" spans="1:9" x14ac:dyDescent="0.25">
      <c r="A26558" s="515">
        <v>38966</v>
      </c>
      <c r="C26558" s="52">
        <v>96499.097432874099</v>
      </c>
      <c r="D26558" s="56">
        <v>-0.10296300464321335</v>
      </c>
      <c r="E26558" s="224" t="s">
        <v>2</v>
      </c>
      <c r="G26558" s="52"/>
      <c r="H26558" s="56"/>
      <c r="I26558" s="224"/>
    </row>
    <row r="26559" spans="1:9" x14ac:dyDescent="0.25">
      <c r="A26559" s="515">
        <v>40847</v>
      </c>
      <c r="C26559" s="52">
        <v>49392.532648257999</v>
      </c>
      <c r="D26559" s="56">
        <v>0.21972374744691717</v>
      </c>
      <c r="E26559" s="224" t="s">
        <v>2</v>
      </c>
      <c r="G26559" s="52"/>
      <c r="H26559" s="56"/>
      <c r="I26559" s="224"/>
    </row>
    <row r="26560" spans="1:9" x14ac:dyDescent="0.25">
      <c r="A26560" s="515">
        <v>77443</v>
      </c>
      <c r="B26560" s="515" t="s">
        <v>320</v>
      </c>
      <c r="C26560" s="52">
        <v>162569.53333333301</v>
      </c>
      <c r="D26560" s="56">
        <v>0</v>
      </c>
      <c r="E26560" s="224" t="s">
        <v>2</v>
      </c>
      <c r="G26560" s="52"/>
      <c r="H26560" s="56"/>
      <c r="I26560" s="224"/>
    </row>
    <row r="26561" spans="1:9" x14ac:dyDescent="0.25">
      <c r="A26561" s="515">
        <v>74430</v>
      </c>
      <c r="B26561" s="515" t="s">
        <v>451</v>
      </c>
      <c r="C26561" s="52">
        <v>130932.561528989</v>
      </c>
      <c r="D26561" s="56">
        <v>5.4513516675933703E-2</v>
      </c>
      <c r="E26561" s="224" t="s">
        <v>2</v>
      </c>
      <c r="G26561" s="52"/>
      <c r="H26561" s="56"/>
      <c r="I26561" s="224"/>
    </row>
    <row r="26562" spans="1:9" x14ac:dyDescent="0.25">
      <c r="A26562" s="515">
        <v>77374</v>
      </c>
      <c r="B26562" s="515" t="s">
        <v>492</v>
      </c>
      <c r="C26562" s="52">
        <v>154388.42997648401</v>
      </c>
      <c r="D26562" s="56">
        <v>0</v>
      </c>
      <c r="E26562" s="224" t="s">
        <v>2</v>
      </c>
      <c r="G26562" s="52"/>
      <c r="H26562" s="56"/>
      <c r="I26562" s="224"/>
    </row>
    <row r="26563" spans="1:9" x14ac:dyDescent="0.25">
      <c r="A26563" s="515">
        <v>25134</v>
      </c>
      <c r="B26563" s="515" t="s">
        <v>322</v>
      </c>
      <c r="C26563" s="52">
        <v>61868.210213784601</v>
      </c>
      <c r="D26563" s="56">
        <v>0.1046651871762206</v>
      </c>
      <c r="E26563" s="224" t="s">
        <v>2</v>
      </c>
      <c r="G26563" s="52"/>
      <c r="H26563" s="56"/>
      <c r="I26563" s="224"/>
    </row>
    <row r="26564" spans="1:9" x14ac:dyDescent="0.25">
      <c r="A26564" s="515">
        <v>29683</v>
      </c>
      <c r="B26564" s="515" t="s">
        <v>613</v>
      </c>
      <c r="C26564" s="52">
        <v>145165.88117650201</v>
      </c>
      <c r="D26564" s="56">
        <v>0.28784619968808117</v>
      </c>
      <c r="E26564" s="224" t="s">
        <v>2</v>
      </c>
      <c r="G26564" s="52"/>
      <c r="H26564" s="56"/>
      <c r="I26564" s="224"/>
    </row>
    <row r="26565" spans="1:9" x14ac:dyDescent="0.25">
      <c r="A26565" s="515">
        <v>77464</v>
      </c>
      <c r="B26565" s="515" t="s">
        <v>314</v>
      </c>
      <c r="C26565" s="52">
        <v>256348.05087274101</v>
      </c>
      <c r="D26565" s="56">
        <v>9.1441908838305164E-2</v>
      </c>
      <c r="E26565" s="224" t="s">
        <v>2</v>
      </c>
      <c r="G26565" s="52"/>
      <c r="H26565" s="56"/>
      <c r="I26565" s="224"/>
    </row>
    <row r="26566" spans="1:9" x14ac:dyDescent="0.25">
      <c r="A26566" s="515">
        <v>50040</v>
      </c>
      <c r="B26566" s="515" t="s">
        <v>568</v>
      </c>
      <c r="C26566" s="52">
        <v>93574.719084106298</v>
      </c>
      <c r="D26566" s="56">
        <v>1.4695844926812661E-2</v>
      </c>
      <c r="E26566" s="224" t="s">
        <v>2</v>
      </c>
      <c r="G26566" s="52"/>
      <c r="H26566" s="56"/>
      <c r="I26566" s="224"/>
    </row>
    <row r="26567" spans="1:9" x14ac:dyDescent="0.25">
      <c r="A26567" s="515">
        <v>55601</v>
      </c>
      <c r="B26567" s="515" t="s">
        <v>350</v>
      </c>
      <c r="C26567" s="52">
        <v>247661.539489085</v>
      </c>
      <c r="D26567" s="56">
        <v>0</v>
      </c>
      <c r="E26567" s="224" t="s">
        <v>2</v>
      </c>
      <c r="G26567" s="52"/>
      <c r="H26567" s="56"/>
      <c r="I26567" s="224"/>
    </row>
    <row r="26568" spans="1:9" x14ac:dyDescent="0.25">
      <c r="A26568" s="515">
        <v>68634</v>
      </c>
      <c r="B26568" s="515" t="s">
        <v>567</v>
      </c>
      <c r="C26568" s="52">
        <v>186912.37961575601</v>
      </c>
      <c r="D26568" s="56">
        <v>8.3670831467832663E-2</v>
      </c>
      <c r="E26568" s="224" t="s">
        <v>2</v>
      </c>
      <c r="G26568" s="52"/>
      <c r="H26568" s="56"/>
      <c r="I26568" s="224"/>
    </row>
    <row r="26569" spans="1:9" x14ac:dyDescent="0.25">
      <c r="A26569" s="515">
        <v>55758</v>
      </c>
      <c r="B26569" s="515" t="s">
        <v>350</v>
      </c>
      <c r="C26569" s="52">
        <v>75775.360000000001</v>
      </c>
      <c r="D26569" s="56">
        <v>0</v>
      </c>
      <c r="E26569" s="224" t="s">
        <v>2</v>
      </c>
      <c r="G26569" s="52"/>
      <c r="H26569" s="56"/>
      <c r="I26569" s="224"/>
    </row>
    <row r="26570" spans="1:9" x14ac:dyDescent="0.25">
      <c r="A26570" s="515">
        <v>68364</v>
      </c>
      <c r="B26570" s="515" t="s">
        <v>486</v>
      </c>
      <c r="C26570" s="52">
        <v>172188.627915775</v>
      </c>
      <c r="D26570" s="56">
        <v>0</v>
      </c>
      <c r="E26570" s="224" t="s">
        <v>2</v>
      </c>
      <c r="G26570" s="52"/>
      <c r="H26570" s="56"/>
      <c r="I26570" s="224"/>
    </row>
    <row r="26571" spans="1:9" x14ac:dyDescent="0.25">
      <c r="A26571" s="515">
        <v>47361</v>
      </c>
      <c r="B26571" s="515" t="s">
        <v>421</v>
      </c>
      <c r="C26571" s="52">
        <v>129286.1867071</v>
      </c>
      <c r="D26571" s="56">
        <v>0.10591336595332439</v>
      </c>
      <c r="E26571" s="224" t="s">
        <v>2</v>
      </c>
      <c r="G26571" s="52"/>
      <c r="H26571" s="56"/>
      <c r="I26571" s="224"/>
    </row>
    <row r="26572" spans="1:9" x14ac:dyDescent="0.25">
      <c r="A26572" s="515">
        <v>25849</v>
      </c>
      <c r="B26572" s="515" t="s">
        <v>566</v>
      </c>
      <c r="C26572" s="52">
        <v>63981.967741935397</v>
      </c>
      <c r="D26572" s="56">
        <v>0</v>
      </c>
      <c r="E26572" s="224" t="s">
        <v>2</v>
      </c>
      <c r="G26572" s="52"/>
      <c r="H26572" s="56"/>
      <c r="I26572" s="224"/>
    </row>
    <row r="26573" spans="1:9" x14ac:dyDescent="0.25">
      <c r="A26573" s="515">
        <v>35060</v>
      </c>
      <c r="B26573" s="515" t="s">
        <v>640</v>
      </c>
      <c r="C26573" s="52">
        <v>34389.159928357403</v>
      </c>
      <c r="D26573" s="56">
        <v>0.25051616565537033</v>
      </c>
      <c r="E26573" s="224" t="s">
        <v>2</v>
      </c>
      <c r="G26573" s="52"/>
      <c r="H26573" s="56"/>
      <c r="I26573" s="224"/>
    </row>
    <row r="26574" spans="1:9" x14ac:dyDescent="0.25">
      <c r="A26574" s="515">
        <v>19474</v>
      </c>
      <c r="B26574" s="515" t="s">
        <v>294</v>
      </c>
      <c r="C26574" s="52">
        <v>329377.76477590599</v>
      </c>
      <c r="D26574" s="56">
        <v>8.7644142644494591E-2</v>
      </c>
      <c r="E26574" s="224" t="s">
        <v>2</v>
      </c>
      <c r="G26574" s="52"/>
      <c r="H26574" s="56"/>
      <c r="I26574" s="224"/>
    </row>
    <row r="26575" spans="1:9" x14ac:dyDescent="0.25">
      <c r="A26575" s="515">
        <v>15466</v>
      </c>
      <c r="B26575" s="515" t="s">
        <v>297</v>
      </c>
      <c r="C26575" s="52">
        <v>72692.471378969902</v>
      </c>
      <c r="D26575" s="56">
        <v>7.7630038270825555E-2</v>
      </c>
      <c r="E26575" s="224" t="s">
        <v>2</v>
      </c>
      <c r="G26575" s="52"/>
      <c r="H26575" s="56"/>
      <c r="I26575" s="224"/>
    </row>
    <row r="26576" spans="1:9" x14ac:dyDescent="0.25">
      <c r="A26576" s="515">
        <v>17005</v>
      </c>
      <c r="B26576" s="515" t="s">
        <v>428</v>
      </c>
      <c r="C26576" s="52">
        <v>113549.090888719</v>
      </c>
      <c r="D26576" s="56">
        <v>0.25916931526143006</v>
      </c>
      <c r="E26576" s="224" t="s">
        <v>2</v>
      </c>
      <c r="G26576" s="52"/>
      <c r="H26576" s="56"/>
      <c r="I26576" s="224"/>
    </row>
    <row r="26577" spans="1:9" x14ac:dyDescent="0.25">
      <c r="A26577" s="515">
        <v>74554</v>
      </c>
      <c r="B26577" s="515" t="s">
        <v>451</v>
      </c>
      <c r="C26577" s="52">
        <v>95325.444142209599</v>
      </c>
      <c r="D26577" s="56">
        <v>0.11987033767643837</v>
      </c>
      <c r="E26577" s="224" t="s">
        <v>2</v>
      </c>
      <c r="G26577" s="52"/>
      <c r="H26577" s="56"/>
      <c r="I26577" s="224"/>
    </row>
    <row r="26578" spans="1:9" x14ac:dyDescent="0.25">
      <c r="A26578" s="515">
        <v>96765</v>
      </c>
      <c r="B26578" s="515" t="s">
        <v>452</v>
      </c>
      <c r="C26578" s="52">
        <v>811884.98059124802</v>
      </c>
      <c r="D26578" s="56">
        <v>0.10740184091727982</v>
      </c>
      <c r="E26578" s="224" t="s">
        <v>2</v>
      </c>
      <c r="G26578" s="52"/>
      <c r="H26578" s="56"/>
      <c r="I26578" s="224"/>
    </row>
    <row r="26579" spans="1:9" x14ac:dyDescent="0.25">
      <c r="A26579" s="515">
        <v>99149</v>
      </c>
      <c r="B26579" s="515" t="s">
        <v>450</v>
      </c>
      <c r="C26579" s="52">
        <v>125745.62962962899</v>
      </c>
      <c r="D26579" s="56">
        <v>0</v>
      </c>
      <c r="E26579" s="224" t="s">
        <v>2</v>
      </c>
      <c r="G26579" s="52"/>
      <c r="H26579" s="56"/>
      <c r="I26579" s="224"/>
    </row>
    <row r="26580" spans="1:9" x14ac:dyDescent="0.25">
      <c r="A26580" s="515">
        <v>97432</v>
      </c>
      <c r="B26580" s="515" t="s">
        <v>449</v>
      </c>
      <c r="C26580" s="52">
        <v>196238.01681251399</v>
      </c>
      <c r="D26580" s="56">
        <v>0.15975270160515004</v>
      </c>
      <c r="E26580" s="224" t="s">
        <v>2</v>
      </c>
      <c r="G26580" s="52"/>
      <c r="H26580" s="56"/>
      <c r="I26580" s="224"/>
    </row>
    <row r="26581" spans="1:9" x14ac:dyDescent="0.25">
      <c r="A26581" s="515">
        <v>62334</v>
      </c>
      <c r="B26581" s="515" t="s">
        <v>496</v>
      </c>
      <c r="C26581" s="52">
        <v>58005</v>
      </c>
      <c r="D26581" s="56">
        <v>0</v>
      </c>
      <c r="E26581" s="224" t="s">
        <v>2</v>
      </c>
      <c r="G26581" s="52"/>
      <c r="H26581" s="56"/>
      <c r="I26581" s="224"/>
    </row>
    <row r="26582" spans="1:9" x14ac:dyDescent="0.25">
      <c r="A26582" s="515">
        <v>49863</v>
      </c>
      <c r="B26582" s="515" t="s">
        <v>923</v>
      </c>
      <c r="C26582" s="52">
        <v>103891.407752614</v>
      </c>
      <c r="D26582" s="56">
        <v>0</v>
      </c>
      <c r="E26582" s="224" t="s">
        <v>2</v>
      </c>
      <c r="G26582" s="52"/>
      <c r="H26582" s="56"/>
      <c r="I26582" s="224"/>
    </row>
    <row r="26583" spans="1:9" x14ac:dyDescent="0.25">
      <c r="A26583" s="515">
        <v>29368</v>
      </c>
      <c r="B26583" s="515" t="s">
        <v>447</v>
      </c>
      <c r="C26583" s="52">
        <v>146076.86997246899</v>
      </c>
      <c r="D26583" s="56">
        <v>0.16044718287053725</v>
      </c>
      <c r="E26583" s="224" t="s">
        <v>2</v>
      </c>
      <c r="G26583" s="52"/>
      <c r="H26583" s="56"/>
      <c r="I26583" s="224"/>
    </row>
    <row r="26584" spans="1:9" x14ac:dyDescent="0.25">
      <c r="A26584" s="515">
        <v>43036</v>
      </c>
      <c r="B26584" s="515" t="s">
        <v>345</v>
      </c>
      <c r="C26584" s="52">
        <v>139302.74306473101</v>
      </c>
      <c r="D26584" s="56">
        <v>3.511611869467051E-2</v>
      </c>
      <c r="E26584" s="224" t="s">
        <v>2</v>
      </c>
      <c r="G26584" s="52"/>
      <c r="H26584" s="56"/>
      <c r="I26584" s="224"/>
    </row>
    <row r="26585" spans="1:9" x14ac:dyDescent="0.25">
      <c r="A26585" s="515">
        <v>32330</v>
      </c>
      <c r="B26585" s="515" t="s">
        <v>335</v>
      </c>
      <c r="C26585" s="52">
        <v>100242.237246693</v>
      </c>
      <c r="D26585" s="56">
        <v>0.449720254753606</v>
      </c>
      <c r="E26585" s="224" t="s">
        <v>2</v>
      </c>
      <c r="G26585" s="52"/>
      <c r="H26585" s="56"/>
      <c r="I26585" s="224"/>
    </row>
    <row r="26586" spans="1:9" x14ac:dyDescent="0.25">
      <c r="A26586" s="515">
        <v>46377</v>
      </c>
      <c r="B26586" s="515" t="s">
        <v>394</v>
      </c>
      <c r="C26586" s="52">
        <v>144107.38345321699</v>
      </c>
      <c r="D26586" s="56">
        <v>7.9768155439716507E-2</v>
      </c>
      <c r="E26586" s="224" t="s">
        <v>2</v>
      </c>
      <c r="G26586" s="52"/>
      <c r="H26586" s="56"/>
      <c r="I26586" s="224"/>
    </row>
    <row r="26587" spans="1:9" x14ac:dyDescent="0.25">
      <c r="A26587" s="515">
        <v>45853</v>
      </c>
      <c r="C26587" s="52">
        <v>206469.76159026299</v>
      </c>
      <c r="D26587" s="56">
        <v>2.7783881580876958E-2</v>
      </c>
      <c r="E26587" s="224" t="s">
        <v>2</v>
      </c>
      <c r="G26587" s="52"/>
      <c r="H26587" s="56"/>
      <c r="I26587" s="224"/>
    </row>
    <row r="26588" spans="1:9" x14ac:dyDescent="0.25">
      <c r="A26588" s="515">
        <v>45674</v>
      </c>
      <c r="B26588" s="515" t="s">
        <v>445</v>
      </c>
      <c r="C26588" s="52">
        <v>135975.67169005499</v>
      </c>
      <c r="D26588" s="56">
        <v>5.9061100507757439E-2</v>
      </c>
      <c r="E26588" s="224" t="s">
        <v>2</v>
      </c>
      <c r="G26588" s="52"/>
      <c r="H26588" s="56"/>
      <c r="I26588" s="224"/>
    </row>
    <row r="26589" spans="1:9" x14ac:dyDescent="0.25">
      <c r="A26589" s="515">
        <v>62927</v>
      </c>
      <c r="B26589" s="515" t="s">
        <v>471</v>
      </c>
      <c r="C26589" s="52">
        <v>37089.143538049997</v>
      </c>
      <c r="D26589" s="56">
        <v>5.0301756000523279E-2</v>
      </c>
      <c r="E26589" s="224" t="s">
        <v>2</v>
      </c>
      <c r="G26589" s="52"/>
      <c r="H26589" s="56"/>
      <c r="I26589" s="224"/>
    </row>
    <row r="26590" spans="1:9" x14ac:dyDescent="0.25">
      <c r="A26590" s="515">
        <v>46063</v>
      </c>
      <c r="B26590" s="515" t="s">
        <v>403</v>
      </c>
      <c r="C26590" s="52">
        <v>106643.92105263101</v>
      </c>
      <c r="D26590" s="56">
        <v>0</v>
      </c>
      <c r="E26590" s="224" t="s">
        <v>2</v>
      </c>
      <c r="G26590" s="52"/>
      <c r="H26590" s="56"/>
      <c r="I26590" s="224"/>
    </row>
    <row r="26591" spans="1:9" x14ac:dyDescent="0.25">
      <c r="A26591" s="515">
        <v>56035</v>
      </c>
      <c r="B26591" s="515" t="s">
        <v>565</v>
      </c>
      <c r="C26591" s="52">
        <v>185660.547034888</v>
      </c>
      <c r="D26591" s="56">
        <v>0.10244825281363358</v>
      </c>
      <c r="E26591" s="224" t="s">
        <v>2</v>
      </c>
      <c r="G26591" s="52"/>
      <c r="H26591" s="56"/>
      <c r="I26591" s="224"/>
    </row>
    <row r="26592" spans="1:9" x14ac:dyDescent="0.25">
      <c r="A26592" s="515">
        <v>62250</v>
      </c>
      <c r="B26592" s="515" t="s">
        <v>498</v>
      </c>
      <c r="C26592" s="52">
        <v>116450.048459168</v>
      </c>
      <c r="D26592" s="56">
        <v>3.2117626862920634E-2</v>
      </c>
      <c r="E26592" s="224" t="s">
        <v>2</v>
      </c>
      <c r="G26592" s="52"/>
      <c r="H26592" s="56"/>
      <c r="I26592" s="224"/>
    </row>
    <row r="26593" spans="1:9" x14ac:dyDescent="0.25">
      <c r="A26593" s="515">
        <v>96785</v>
      </c>
      <c r="B26593" s="515" t="s">
        <v>399</v>
      </c>
      <c r="C26593" s="52">
        <v>360737.56384669198</v>
      </c>
      <c r="D26593" s="56">
        <v>0.15046746636759811</v>
      </c>
      <c r="E26593" s="224" t="s">
        <v>2</v>
      </c>
      <c r="G26593" s="52"/>
      <c r="H26593" s="56"/>
      <c r="I26593" s="224"/>
    </row>
    <row r="26594" spans="1:9" x14ac:dyDescent="0.25">
      <c r="A26594" s="515">
        <v>93227</v>
      </c>
      <c r="B26594" s="515" t="s">
        <v>358</v>
      </c>
      <c r="C26594" s="52">
        <v>228831.711827858</v>
      </c>
      <c r="D26594" s="56">
        <v>0.13187019098593569</v>
      </c>
      <c r="E26594" s="224" t="s">
        <v>2</v>
      </c>
      <c r="G26594" s="52"/>
      <c r="H26594" s="56"/>
      <c r="I26594" s="224"/>
    </row>
    <row r="26595" spans="1:9" x14ac:dyDescent="0.25">
      <c r="A26595" s="515">
        <v>47160</v>
      </c>
      <c r="B26595" s="515" t="s">
        <v>479</v>
      </c>
      <c r="C26595" s="52">
        <v>156956.25</v>
      </c>
      <c r="D26595" s="56">
        <v>0</v>
      </c>
      <c r="E26595" s="224" t="s">
        <v>2</v>
      </c>
      <c r="G26595" s="52"/>
      <c r="H26595" s="56"/>
      <c r="I26595" s="224"/>
    </row>
    <row r="26596" spans="1:9" x14ac:dyDescent="0.25">
      <c r="A26596" s="515">
        <v>75413</v>
      </c>
      <c r="B26596" s="515" t="s">
        <v>298</v>
      </c>
      <c r="C26596" s="52">
        <v>141037.85209151701</v>
      </c>
      <c r="D26596" s="56">
        <v>0</v>
      </c>
      <c r="E26596" s="224" t="s">
        <v>2</v>
      </c>
      <c r="G26596" s="52"/>
      <c r="H26596" s="56"/>
      <c r="I26596" s="224"/>
    </row>
    <row r="26597" spans="1:9" x14ac:dyDescent="0.25">
      <c r="A26597" s="515">
        <v>56032</v>
      </c>
      <c r="B26597" s="515" t="s">
        <v>565</v>
      </c>
      <c r="C26597" s="52">
        <v>111347.849284992</v>
      </c>
      <c r="D26597" s="56">
        <v>0.10122246355860078</v>
      </c>
      <c r="E26597" s="224" t="s">
        <v>2</v>
      </c>
      <c r="G26597" s="52"/>
      <c r="H26597" s="56"/>
      <c r="I26597" s="224"/>
    </row>
    <row r="26598" spans="1:9" x14ac:dyDescent="0.25">
      <c r="A26598" s="515">
        <v>45330</v>
      </c>
      <c r="C26598" s="52">
        <v>128488.951658035</v>
      </c>
      <c r="D26598" s="56">
        <v>4.9976050364897467E-2</v>
      </c>
      <c r="E26598" s="224" t="s">
        <v>2</v>
      </c>
      <c r="G26598" s="52"/>
      <c r="H26598" s="56"/>
      <c r="I26598" s="224"/>
    </row>
    <row r="26599" spans="1:9" x14ac:dyDescent="0.25">
      <c r="A26599" s="515">
        <v>97134</v>
      </c>
      <c r="C26599" s="52">
        <v>595480.77906313504</v>
      </c>
      <c r="D26599" s="56">
        <v>-1.9874997880840444E-2</v>
      </c>
      <c r="E26599" s="224" t="s">
        <v>2</v>
      </c>
      <c r="G26599" s="52"/>
      <c r="H26599" s="56"/>
      <c r="I26599" s="224"/>
    </row>
    <row r="26600" spans="1:9" x14ac:dyDescent="0.25">
      <c r="A26600" s="515">
        <v>24857</v>
      </c>
      <c r="C26600" s="52">
        <v>48037.285714285703</v>
      </c>
      <c r="D26600" s="56">
        <v>0</v>
      </c>
      <c r="E26600" s="224" t="s">
        <v>2</v>
      </c>
      <c r="G26600" s="52"/>
      <c r="H26600" s="56"/>
      <c r="I26600" s="224"/>
    </row>
    <row r="26601" spans="1:9" x14ac:dyDescent="0.25">
      <c r="A26601" s="515">
        <v>51554</v>
      </c>
      <c r="B26601" s="515" t="s">
        <v>367</v>
      </c>
      <c r="C26601" s="52">
        <v>198680.625</v>
      </c>
      <c r="D26601" s="56">
        <v>0</v>
      </c>
      <c r="E26601" s="224" t="s">
        <v>2</v>
      </c>
      <c r="G26601" s="52"/>
      <c r="H26601" s="56"/>
      <c r="I26601" s="224"/>
    </row>
    <row r="26602" spans="1:9" x14ac:dyDescent="0.25">
      <c r="A26602" s="515">
        <v>12820</v>
      </c>
      <c r="B26602" s="515" t="s">
        <v>422</v>
      </c>
      <c r="C26602" s="52">
        <v>1506079.7734769301</v>
      </c>
      <c r="D26602" s="56">
        <v>0.10749796588445006</v>
      </c>
      <c r="E26602" s="224" t="s">
        <v>2</v>
      </c>
      <c r="G26602" s="52"/>
      <c r="H26602" s="56"/>
      <c r="I26602" s="224"/>
    </row>
    <row r="26603" spans="1:9" x14ac:dyDescent="0.25">
      <c r="A26603" s="515">
        <v>43759</v>
      </c>
      <c r="B26603" s="515" t="s">
        <v>442</v>
      </c>
      <c r="C26603" s="52">
        <v>104518.22290228101</v>
      </c>
      <c r="D26603" s="56">
        <v>9.9942837478085286E-2</v>
      </c>
      <c r="E26603" s="224" t="s">
        <v>2</v>
      </c>
      <c r="G26603" s="52"/>
      <c r="H26603" s="56"/>
      <c r="I26603" s="224"/>
    </row>
    <row r="26604" spans="1:9" x14ac:dyDescent="0.25">
      <c r="A26604" s="515">
        <v>93962</v>
      </c>
      <c r="B26604" s="515" t="s">
        <v>443</v>
      </c>
      <c r="C26604" s="52">
        <v>783451.75084273797</v>
      </c>
      <c r="D26604" s="56">
        <v>2.2163443417667423E-2</v>
      </c>
      <c r="E26604" s="224" t="s">
        <v>2</v>
      </c>
      <c r="G26604" s="52"/>
      <c r="H26604" s="56"/>
      <c r="I26604" s="224"/>
    </row>
    <row r="26605" spans="1:9" x14ac:dyDescent="0.25">
      <c r="A26605" s="515">
        <v>50634</v>
      </c>
      <c r="B26605" s="515" t="s">
        <v>315</v>
      </c>
      <c r="C26605" s="52">
        <v>177200.684316069</v>
      </c>
      <c r="D26605" s="56">
        <v>7.7464697535913271E-2</v>
      </c>
      <c r="E26605" s="224" t="s">
        <v>2</v>
      </c>
      <c r="G26605" s="52"/>
      <c r="H26605" s="56"/>
      <c r="I26605" s="224"/>
    </row>
    <row r="26606" spans="1:9" x14ac:dyDescent="0.25">
      <c r="A26606" s="515">
        <v>52758</v>
      </c>
      <c r="B26606" s="515" t="s">
        <v>439</v>
      </c>
      <c r="C26606" s="52">
        <v>172998.57755303799</v>
      </c>
      <c r="D26606" s="56">
        <v>5.0982778775021005E-2</v>
      </c>
      <c r="E26606" s="224" t="s">
        <v>2</v>
      </c>
      <c r="G26606" s="52"/>
      <c r="H26606" s="56"/>
      <c r="I26606" s="224"/>
    </row>
    <row r="26607" spans="1:9" x14ac:dyDescent="0.25">
      <c r="A26607" s="515">
        <v>50032</v>
      </c>
      <c r="B26607" s="515" t="s">
        <v>295</v>
      </c>
      <c r="C26607" s="52">
        <v>156312.30428745999</v>
      </c>
      <c r="D26607" s="56">
        <v>0</v>
      </c>
      <c r="E26607" s="224" t="s">
        <v>2</v>
      </c>
      <c r="G26607" s="52"/>
      <c r="H26607" s="56"/>
      <c r="I26607" s="224"/>
    </row>
    <row r="26608" spans="1:9" x14ac:dyDescent="0.25">
      <c r="A26608" s="515">
        <v>15734</v>
      </c>
      <c r="B26608" s="515" t="s">
        <v>343</v>
      </c>
      <c r="C26608" s="52">
        <v>55793.663275418898</v>
      </c>
      <c r="D26608" s="56">
        <v>0.17987134837524907</v>
      </c>
      <c r="E26608" s="224" t="s">
        <v>2</v>
      </c>
      <c r="G26608" s="52"/>
      <c r="H26608" s="56"/>
      <c r="I26608" s="224"/>
    </row>
    <row r="26609" spans="1:9" x14ac:dyDescent="0.25">
      <c r="A26609" s="515">
        <v>43446</v>
      </c>
      <c r="B26609" s="515" t="s">
        <v>300</v>
      </c>
      <c r="C26609" s="52">
        <v>231097.29482397001</v>
      </c>
      <c r="D26609" s="56">
        <v>0.14148638720121809</v>
      </c>
      <c r="E26609" s="224" t="s">
        <v>2</v>
      </c>
      <c r="G26609" s="52"/>
      <c r="H26609" s="56"/>
      <c r="I26609" s="224"/>
    </row>
    <row r="26610" spans="1:9" x14ac:dyDescent="0.25">
      <c r="A26610" s="515">
        <v>87827</v>
      </c>
      <c r="C26610" s="52">
        <v>212476.142857142</v>
      </c>
      <c r="D26610" s="56">
        <v>0</v>
      </c>
      <c r="E26610" s="224" t="s">
        <v>2</v>
      </c>
      <c r="G26610" s="52"/>
      <c r="H26610" s="56"/>
      <c r="I26610" s="224"/>
    </row>
    <row r="26611" spans="1:9" x14ac:dyDescent="0.25">
      <c r="A26611" s="515">
        <v>98590</v>
      </c>
      <c r="C26611" s="52">
        <v>258486.44358098099</v>
      </c>
      <c r="D26611" s="56">
        <v>2.3450399557832489E-2</v>
      </c>
      <c r="E26611" s="224" t="s">
        <v>2</v>
      </c>
      <c r="G26611" s="52"/>
      <c r="H26611" s="56"/>
      <c r="I26611" s="224"/>
    </row>
    <row r="26612" spans="1:9" x14ac:dyDescent="0.25">
      <c r="A26612" s="515">
        <v>51444</v>
      </c>
      <c r="B26612" s="515" t="s">
        <v>436</v>
      </c>
      <c r="C26612" s="52">
        <v>132704.02619546599</v>
      </c>
      <c r="D26612" s="56">
        <v>9.4953394830898125E-2</v>
      </c>
      <c r="E26612" s="224" t="s">
        <v>2</v>
      </c>
      <c r="G26612" s="52"/>
      <c r="H26612" s="56"/>
      <c r="I26612" s="224"/>
    </row>
    <row r="26613" spans="1:9" x14ac:dyDescent="0.25">
      <c r="A26613" s="515">
        <v>15619</v>
      </c>
      <c r="B26613" s="515" t="s">
        <v>297</v>
      </c>
      <c r="C26613" s="52">
        <v>95490.365853658499</v>
      </c>
      <c r="D26613" s="56">
        <v>0</v>
      </c>
      <c r="E26613" s="224" t="s">
        <v>2</v>
      </c>
      <c r="G26613" s="52"/>
      <c r="H26613" s="56"/>
      <c r="I26613" s="224"/>
    </row>
    <row r="26614" spans="1:9" x14ac:dyDescent="0.25">
      <c r="A26614" s="515">
        <v>75687</v>
      </c>
      <c r="B26614" s="515" t="s">
        <v>319</v>
      </c>
      <c r="C26614" s="52">
        <v>123412.43781182601</v>
      </c>
      <c r="D26614" s="56">
        <v>0</v>
      </c>
      <c r="E26614" s="224" t="s">
        <v>2</v>
      </c>
      <c r="G26614" s="52"/>
      <c r="H26614" s="56"/>
      <c r="I26614" s="224"/>
    </row>
    <row r="26615" spans="1:9" x14ac:dyDescent="0.25">
      <c r="A26615" s="515">
        <v>12565</v>
      </c>
      <c r="B26615" s="515" t="s">
        <v>564</v>
      </c>
      <c r="C26615" s="52">
        <v>253405.754022651</v>
      </c>
      <c r="D26615" s="56">
        <v>9.417943509938792E-2</v>
      </c>
      <c r="E26615" s="224" t="s">
        <v>2</v>
      </c>
      <c r="G26615" s="52"/>
      <c r="H26615" s="56"/>
      <c r="I26615" s="224"/>
    </row>
    <row r="26616" spans="1:9" x14ac:dyDescent="0.25">
      <c r="A26616" s="515">
        <v>85145</v>
      </c>
      <c r="B26616" s="515" t="s">
        <v>563</v>
      </c>
      <c r="C26616" s="52">
        <v>295512.64284052397</v>
      </c>
      <c r="D26616" s="56">
        <v>2.8804240898195426E-2</v>
      </c>
      <c r="E26616" s="224" t="s">
        <v>2</v>
      </c>
      <c r="G26616" s="52"/>
      <c r="H26616" s="56"/>
      <c r="I26616" s="224"/>
    </row>
    <row r="26617" spans="1:9" x14ac:dyDescent="0.25">
      <c r="A26617" s="515">
        <v>78622</v>
      </c>
      <c r="B26617" s="515" t="s">
        <v>380</v>
      </c>
      <c r="C26617" s="52">
        <v>247752.76021890499</v>
      </c>
      <c r="D26617" s="56">
        <v>0</v>
      </c>
      <c r="E26617" s="224" t="s">
        <v>2</v>
      </c>
      <c r="G26617" s="52"/>
      <c r="H26617" s="56"/>
      <c r="I26617" s="224"/>
    </row>
    <row r="26618" spans="1:9" x14ac:dyDescent="0.25">
      <c r="A26618" s="515">
        <v>59760</v>
      </c>
      <c r="B26618" s="515" t="s">
        <v>561</v>
      </c>
      <c r="C26618" s="52">
        <v>444477.87831161899</v>
      </c>
      <c r="D26618" s="56">
        <v>0.15842117187666863</v>
      </c>
      <c r="E26618" s="224" t="s">
        <v>2</v>
      </c>
      <c r="G26618" s="52"/>
      <c r="H26618" s="56"/>
      <c r="I26618" s="224"/>
    </row>
    <row r="26619" spans="1:9" x14ac:dyDescent="0.25">
      <c r="A26619" s="515">
        <v>14742</v>
      </c>
      <c r="B26619" s="515" t="s">
        <v>560</v>
      </c>
      <c r="C26619" s="52">
        <v>165642.199037802</v>
      </c>
      <c r="D26619" s="56">
        <v>-1.7402222379642927E-2</v>
      </c>
      <c r="E26619" s="224" t="s">
        <v>2</v>
      </c>
      <c r="G26619" s="52"/>
      <c r="H26619" s="56"/>
      <c r="I26619" s="224"/>
    </row>
    <row r="26620" spans="1:9" x14ac:dyDescent="0.25">
      <c r="A26620" s="515">
        <v>45866</v>
      </c>
      <c r="B26620" s="515" t="s">
        <v>432</v>
      </c>
      <c r="C26620" s="52">
        <v>127712.89475932</v>
      </c>
      <c r="D26620" s="56">
        <v>0.13297480662282865</v>
      </c>
      <c r="E26620" s="224" t="s">
        <v>2</v>
      </c>
      <c r="G26620" s="52"/>
      <c r="H26620" s="56"/>
      <c r="I26620" s="224"/>
    </row>
    <row r="26621" spans="1:9" x14ac:dyDescent="0.25">
      <c r="A26621" s="515">
        <v>43842</v>
      </c>
      <c r="B26621" s="515" t="s">
        <v>518</v>
      </c>
      <c r="C26621" s="52">
        <v>112360.508756824</v>
      </c>
      <c r="D26621" s="56">
        <v>0.24401895912497801</v>
      </c>
      <c r="E26621" s="224" t="s">
        <v>2</v>
      </c>
      <c r="G26621" s="52"/>
      <c r="H26621" s="56"/>
      <c r="I26621" s="224"/>
    </row>
    <row r="26622" spans="1:9" x14ac:dyDescent="0.25">
      <c r="A26622" s="515">
        <v>6753</v>
      </c>
      <c r="B26622" s="515" t="s">
        <v>559</v>
      </c>
      <c r="C26622" s="52">
        <v>543590.45238242205</v>
      </c>
      <c r="D26622" s="56">
        <v>0.14960883943071429</v>
      </c>
      <c r="E26622" s="224" t="s">
        <v>2</v>
      </c>
      <c r="G26622" s="52"/>
      <c r="H26622" s="56"/>
      <c r="I26622" s="224"/>
    </row>
    <row r="26623" spans="1:9" x14ac:dyDescent="0.25">
      <c r="A26623" s="515">
        <v>49922</v>
      </c>
      <c r="B26623" s="515" t="s">
        <v>462</v>
      </c>
      <c r="C26623" s="52">
        <v>133971.22772939599</v>
      </c>
      <c r="D26623" s="56">
        <v>6.5770903782735729E-2</v>
      </c>
      <c r="E26623" s="224" t="s">
        <v>2</v>
      </c>
      <c r="G26623" s="52"/>
      <c r="H26623" s="56"/>
      <c r="I26623" s="224"/>
    </row>
    <row r="26624" spans="1:9" x14ac:dyDescent="0.25">
      <c r="A26624" s="515">
        <v>56369</v>
      </c>
      <c r="B26624" s="515" t="s">
        <v>418</v>
      </c>
      <c r="C26624" s="52">
        <v>220774.54748783901</v>
      </c>
      <c r="D26624" s="56">
        <v>5.9498483481153122E-2</v>
      </c>
      <c r="E26624" s="224" t="s">
        <v>2</v>
      </c>
      <c r="G26624" s="52"/>
      <c r="H26624" s="56"/>
      <c r="I26624" s="224"/>
    </row>
    <row r="26625" spans="1:9" x14ac:dyDescent="0.25">
      <c r="A26625" s="515">
        <v>81242</v>
      </c>
      <c r="C26625" s="52">
        <v>503187.442525714</v>
      </c>
      <c r="D26625" s="56">
        <v>5.6663165826937145E-2</v>
      </c>
      <c r="E26625" s="224" t="s">
        <v>2</v>
      </c>
      <c r="G26625" s="52"/>
      <c r="H26625" s="56"/>
      <c r="I26625" s="224"/>
    </row>
    <row r="26626" spans="1:9" x14ac:dyDescent="0.25">
      <c r="A26626" s="515">
        <v>46943</v>
      </c>
      <c r="B26626" s="515" t="s">
        <v>435</v>
      </c>
      <c r="C26626" s="52">
        <v>96843.979250830394</v>
      </c>
      <c r="D26626" s="56">
        <v>2.6328180867568954E-2</v>
      </c>
      <c r="E26626" s="224" t="s">
        <v>2</v>
      </c>
      <c r="G26626" s="52"/>
      <c r="H26626" s="56"/>
      <c r="I26626" s="224"/>
    </row>
    <row r="26627" spans="1:9" x14ac:dyDescent="0.25">
      <c r="A26627" s="515">
        <v>96780</v>
      </c>
      <c r="B26627" s="515" t="s">
        <v>399</v>
      </c>
      <c r="C26627" s="52">
        <v>821217.85432758403</v>
      </c>
      <c r="D26627" s="56">
        <v>8.4422506912125911E-2</v>
      </c>
      <c r="E26627" s="224" t="s">
        <v>2</v>
      </c>
      <c r="G26627" s="52"/>
      <c r="H26627" s="56"/>
      <c r="I26627" s="224"/>
    </row>
    <row r="26628" spans="1:9" x14ac:dyDescent="0.25">
      <c r="A26628" s="515">
        <v>79372</v>
      </c>
      <c r="B26628" s="515" t="s">
        <v>434</v>
      </c>
      <c r="C26628" s="52">
        <v>124821.076017158</v>
      </c>
      <c r="D26628" s="56">
        <v>0</v>
      </c>
      <c r="E26628" s="224" t="s">
        <v>2</v>
      </c>
      <c r="G26628" s="52"/>
      <c r="H26628" s="56"/>
      <c r="I26628" s="224"/>
    </row>
    <row r="26629" spans="1:9" x14ac:dyDescent="0.25">
      <c r="A26629" s="515">
        <v>47351</v>
      </c>
      <c r="B26629" s="515" t="s">
        <v>421</v>
      </c>
      <c r="C26629" s="52">
        <v>126135.84195223601</v>
      </c>
      <c r="D26629" s="56">
        <v>0.12255621264290066</v>
      </c>
      <c r="E26629" s="224" t="s">
        <v>2</v>
      </c>
      <c r="G26629" s="52"/>
      <c r="H26629" s="56"/>
      <c r="I26629" s="224"/>
    </row>
    <row r="26630" spans="1:9" x14ac:dyDescent="0.25">
      <c r="A26630" s="515">
        <v>45310</v>
      </c>
      <c r="B26630" s="515" t="s">
        <v>432</v>
      </c>
      <c r="C26630" s="52">
        <v>157362.31149322001</v>
      </c>
      <c r="D26630" s="56">
        <v>7.8038001715084751E-2</v>
      </c>
      <c r="E26630" s="224" t="s">
        <v>2</v>
      </c>
      <c r="G26630" s="52"/>
      <c r="H26630" s="56"/>
      <c r="I26630" s="224"/>
    </row>
    <row r="26631" spans="1:9" x14ac:dyDescent="0.25">
      <c r="A26631" s="515">
        <v>45859</v>
      </c>
      <c r="C26631" s="52">
        <v>66211.843945739602</v>
      </c>
      <c r="D26631" s="56">
        <v>0.14642721561715918</v>
      </c>
      <c r="E26631" s="224" t="s">
        <v>2</v>
      </c>
      <c r="G26631" s="52"/>
      <c r="H26631" s="56"/>
      <c r="I26631" s="224"/>
    </row>
    <row r="26632" spans="1:9" x14ac:dyDescent="0.25">
      <c r="A26632" s="515">
        <v>32323</v>
      </c>
      <c r="C26632" s="52">
        <v>150311.70810910201</v>
      </c>
      <c r="D26632" s="56">
        <v>8.4523506452090474E-2</v>
      </c>
      <c r="E26632" s="224" t="s">
        <v>2</v>
      </c>
      <c r="G26632" s="52"/>
      <c r="H26632" s="56"/>
      <c r="I26632" s="224"/>
    </row>
    <row r="26633" spans="1:9" x14ac:dyDescent="0.25">
      <c r="A26633" s="515">
        <v>54211</v>
      </c>
      <c r="C26633" s="52">
        <v>439345.25906992698</v>
      </c>
      <c r="D26633" s="56">
        <v>0.11661608105745747</v>
      </c>
      <c r="E26633" s="224" t="s">
        <v>2</v>
      </c>
      <c r="G26633" s="52"/>
      <c r="H26633" s="56"/>
      <c r="I26633" s="224"/>
    </row>
    <row r="26634" spans="1:9" x14ac:dyDescent="0.25">
      <c r="A26634" s="515">
        <v>79742</v>
      </c>
      <c r="C26634" s="52">
        <v>107115.733333333</v>
      </c>
      <c r="D26634" s="56">
        <v>0</v>
      </c>
      <c r="E26634" s="224" t="s">
        <v>2</v>
      </c>
      <c r="G26634" s="52"/>
      <c r="H26634" s="56"/>
      <c r="I26634" s="224"/>
    </row>
    <row r="26635" spans="1:9" x14ac:dyDescent="0.25">
      <c r="A26635" s="515">
        <v>5154</v>
      </c>
      <c r="C26635" s="52">
        <v>277251.57777777698</v>
      </c>
      <c r="D26635" s="56">
        <v>0</v>
      </c>
      <c r="E26635" s="224" t="s">
        <v>2</v>
      </c>
      <c r="G26635" s="52"/>
      <c r="H26635" s="56"/>
      <c r="I26635" s="224"/>
    </row>
    <row r="26636" spans="1:9" x14ac:dyDescent="0.25">
      <c r="A26636" s="515">
        <v>47464</v>
      </c>
      <c r="B26636" s="515" t="s">
        <v>554</v>
      </c>
      <c r="C26636" s="52">
        <v>135744.20325870099</v>
      </c>
      <c r="D26636" s="56">
        <v>8.9303785628376292E-2</v>
      </c>
      <c r="E26636" s="224" t="s">
        <v>2</v>
      </c>
      <c r="G26636" s="52"/>
      <c r="H26636" s="56"/>
      <c r="I26636" s="224"/>
    </row>
    <row r="26637" spans="1:9" x14ac:dyDescent="0.25">
      <c r="A26637" s="515">
        <v>95375</v>
      </c>
      <c r="B26637" s="515" t="s">
        <v>555</v>
      </c>
      <c r="C26637" s="52">
        <v>408615.99335988902</v>
      </c>
      <c r="D26637" s="56">
        <v>4.251799931318713E-2</v>
      </c>
      <c r="E26637" s="224" t="s">
        <v>2</v>
      </c>
      <c r="G26637" s="52"/>
      <c r="H26637" s="56"/>
      <c r="I26637" s="224"/>
    </row>
    <row r="26638" spans="1:9" x14ac:dyDescent="0.25">
      <c r="A26638" s="515">
        <v>21664</v>
      </c>
      <c r="B26638" s="515" t="s">
        <v>388</v>
      </c>
      <c r="C26638" s="52">
        <v>195733.18701683299</v>
      </c>
      <c r="D26638" s="56">
        <v>0</v>
      </c>
      <c r="E26638" s="224" t="s">
        <v>2</v>
      </c>
      <c r="G26638" s="52"/>
      <c r="H26638" s="56"/>
      <c r="I26638" s="224"/>
    </row>
    <row r="26639" spans="1:9" x14ac:dyDescent="0.25">
      <c r="A26639" s="515">
        <v>17235</v>
      </c>
      <c r="B26639" s="515" t="s">
        <v>372</v>
      </c>
      <c r="C26639" s="52">
        <v>212775.17648903799</v>
      </c>
      <c r="D26639" s="56">
        <v>0</v>
      </c>
      <c r="E26639" s="224" t="s">
        <v>2</v>
      </c>
      <c r="G26639" s="52"/>
      <c r="H26639" s="56"/>
      <c r="I26639" s="224"/>
    </row>
    <row r="26640" spans="1:9" x14ac:dyDescent="0.25">
      <c r="A26640" s="515">
        <v>19931</v>
      </c>
      <c r="B26640" s="515" t="s">
        <v>552</v>
      </c>
      <c r="C26640" s="52">
        <v>267401.390766269</v>
      </c>
      <c r="D26640" s="56">
        <v>2.3590342452364035E-2</v>
      </c>
      <c r="E26640" s="224" t="s">
        <v>2</v>
      </c>
      <c r="G26640" s="52"/>
      <c r="H26640" s="56"/>
      <c r="I26640" s="224"/>
    </row>
    <row r="26641" spans="1:9" x14ac:dyDescent="0.25">
      <c r="A26641" s="515">
        <v>59927</v>
      </c>
      <c r="B26641" s="515" t="s">
        <v>459</v>
      </c>
      <c r="C26641" s="52">
        <v>582532.84794309596</v>
      </c>
      <c r="D26641" s="56">
        <v>0.10677346347464127</v>
      </c>
      <c r="E26641" s="224" t="s">
        <v>2</v>
      </c>
      <c r="G26641" s="52"/>
      <c r="H26641" s="56"/>
      <c r="I26641" s="224"/>
    </row>
    <row r="26642" spans="1:9" x14ac:dyDescent="0.25">
      <c r="A26642" s="515">
        <v>77483</v>
      </c>
      <c r="B26642" s="515" t="s">
        <v>333</v>
      </c>
      <c r="C26642" s="52">
        <v>153822.44141326801</v>
      </c>
      <c r="D26642" s="56">
        <v>0</v>
      </c>
      <c r="E26642" s="224" t="s">
        <v>2</v>
      </c>
      <c r="G26642" s="52"/>
      <c r="H26642" s="56"/>
      <c r="I26642" s="224"/>
    </row>
    <row r="26643" spans="1:9" x14ac:dyDescent="0.25">
      <c r="A26643" s="515">
        <v>54931</v>
      </c>
      <c r="B26643" s="515" t="s">
        <v>821</v>
      </c>
      <c r="C26643" s="52">
        <v>207672.66666666599</v>
      </c>
      <c r="D26643" s="56">
        <v>0</v>
      </c>
      <c r="E26643" s="224" t="s">
        <v>2</v>
      </c>
      <c r="G26643" s="52"/>
      <c r="H26643" s="56"/>
      <c r="I26643" s="224"/>
    </row>
    <row r="26644" spans="1:9" x14ac:dyDescent="0.25">
      <c r="A26644" s="515">
        <v>45389</v>
      </c>
      <c r="B26644" s="515" t="s">
        <v>430</v>
      </c>
      <c r="C26644" s="52">
        <v>130571.015635687</v>
      </c>
      <c r="D26644" s="56">
        <v>0.21531869434811168</v>
      </c>
      <c r="E26644" s="224" t="s">
        <v>2</v>
      </c>
      <c r="G26644" s="52"/>
      <c r="H26644" s="56"/>
      <c r="I26644" s="224"/>
    </row>
    <row r="26645" spans="1:9" x14ac:dyDescent="0.25">
      <c r="A26645" s="515">
        <v>43456</v>
      </c>
      <c r="B26645" s="515" t="s">
        <v>300</v>
      </c>
      <c r="C26645" s="52">
        <v>368712.057734342</v>
      </c>
      <c r="D26645" s="56">
        <v>7.730906704968088E-2</v>
      </c>
      <c r="E26645" s="224" t="s">
        <v>2</v>
      </c>
      <c r="G26645" s="52"/>
      <c r="H26645" s="56"/>
      <c r="I26645" s="224"/>
    </row>
    <row r="26646" spans="1:9" x14ac:dyDescent="0.25">
      <c r="A26646" s="515">
        <v>60113</v>
      </c>
      <c r="B26646" s="515" t="s">
        <v>429</v>
      </c>
      <c r="C26646" s="52">
        <v>137090.95045967901</v>
      </c>
      <c r="D26646" s="56">
        <v>6.4081823374331062E-2</v>
      </c>
      <c r="E26646" s="224" t="s">
        <v>2</v>
      </c>
      <c r="G26646" s="52"/>
      <c r="H26646" s="56"/>
      <c r="I26646" s="224"/>
    </row>
    <row r="26647" spans="1:9" x14ac:dyDescent="0.25">
      <c r="A26647" s="515">
        <v>77476</v>
      </c>
      <c r="B26647" s="515" t="s">
        <v>314</v>
      </c>
      <c r="C26647" s="52">
        <v>388325.83944389003</v>
      </c>
      <c r="D26647" s="56">
        <v>5.166118599965773E-2</v>
      </c>
      <c r="E26647" s="224" t="s">
        <v>2</v>
      </c>
      <c r="G26647" s="52"/>
      <c r="H26647" s="56"/>
      <c r="I26647" s="224"/>
    </row>
    <row r="26648" spans="1:9" x14ac:dyDescent="0.25">
      <c r="A26648" s="515">
        <v>17080</v>
      </c>
      <c r="B26648" s="515" t="s">
        <v>428</v>
      </c>
      <c r="C26648" s="52">
        <v>135727.63309872299</v>
      </c>
      <c r="D26648" s="56">
        <v>0.16845654064756801</v>
      </c>
      <c r="E26648" s="224" t="s">
        <v>2</v>
      </c>
      <c r="G26648" s="52"/>
      <c r="H26648" s="56"/>
      <c r="I26648" s="224"/>
    </row>
    <row r="26649" spans="1:9" x14ac:dyDescent="0.25">
      <c r="A26649" s="515">
        <v>2652</v>
      </c>
      <c r="B26649" s="515" t="s">
        <v>427</v>
      </c>
      <c r="C26649" s="52">
        <v>790451.16771472502</v>
      </c>
      <c r="D26649" s="56">
        <v>7.6975839567624979E-2</v>
      </c>
      <c r="E26649" s="224" t="s">
        <v>2</v>
      </c>
      <c r="G26649" s="52"/>
      <c r="H26649" s="56"/>
      <c r="I26649" s="224"/>
    </row>
    <row r="26650" spans="1:9" x14ac:dyDescent="0.25">
      <c r="A26650" s="515">
        <v>51340</v>
      </c>
      <c r="B26650" s="515" t="s">
        <v>426</v>
      </c>
      <c r="C26650" s="52">
        <v>121187.59604256001</v>
      </c>
      <c r="D26650" s="56">
        <v>0</v>
      </c>
      <c r="E26650" s="224" t="s">
        <v>2</v>
      </c>
      <c r="G26650" s="52"/>
      <c r="H26650" s="56"/>
      <c r="I26650" s="224"/>
    </row>
    <row r="26651" spans="1:9" x14ac:dyDescent="0.25">
      <c r="A26651" s="515">
        <v>13345</v>
      </c>
      <c r="C26651" s="52">
        <v>207330.596805134</v>
      </c>
      <c r="D26651" s="56">
        <v>0.10499930898947375</v>
      </c>
      <c r="E26651" s="224" t="s">
        <v>2</v>
      </c>
      <c r="G26651" s="52"/>
      <c r="H26651" s="56"/>
      <c r="I26651" s="224"/>
    </row>
    <row r="26652" spans="1:9" x14ac:dyDescent="0.25">
      <c r="A26652" s="515">
        <v>50465</v>
      </c>
      <c r="C26652" s="52">
        <v>43767.100704893797</v>
      </c>
      <c r="D26652" s="56">
        <v>0</v>
      </c>
      <c r="E26652" s="224" t="s">
        <v>2</v>
      </c>
      <c r="G26652" s="52"/>
      <c r="H26652" s="56"/>
      <c r="I26652" s="224"/>
    </row>
    <row r="26653" spans="1:9" x14ac:dyDescent="0.25">
      <c r="A26653" s="515">
        <v>99782</v>
      </c>
      <c r="C26653" s="52">
        <v>172455.76142324501</v>
      </c>
      <c r="D26653" s="56">
        <v>-1.4557106289365527E-2</v>
      </c>
      <c r="E26653" s="224" t="s">
        <v>2</v>
      </c>
      <c r="G26653" s="52"/>
      <c r="H26653" s="56"/>
      <c r="I26653" s="224"/>
    </row>
    <row r="26654" spans="1:9" x14ac:dyDescent="0.25">
      <c r="A26654" s="515">
        <v>79078</v>
      </c>
      <c r="B26654" s="515" t="s">
        <v>425</v>
      </c>
      <c r="C26654" s="52">
        <v>53313.586410880198</v>
      </c>
      <c r="D26654" s="56">
        <v>0</v>
      </c>
      <c r="E26654" s="224" t="s">
        <v>2</v>
      </c>
      <c r="G26654" s="52"/>
      <c r="H26654" s="56"/>
      <c r="I26654" s="224"/>
    </row>
    <row r="26655" spans="1:9" x14ac:dyDescent="0.25">
      <c r="A26655" s="515">
        <v>59926</v>
      </c>
      <c r="B26655" s="515" t="s">
        <v>459</v>
      </c>
      <c r="C26655" s="52">
        <v>482526.14053196699</v>
      </c>
      <c r="D26655" s="56">
        <v>0.10351992042137688</v>
      </c>
      <c r="E26655" s="224" t="s">
        <v>2</v>
      </c>
      <c r="G26655" s="52"/>
      <c r="H26655" s="56"/>
      <c r="I26655" s="224"/>
    </row>
    <row r="26656" spans="1:9" x14ac:dyDescent="0.25">
      <c r="A26656" s="515">
        <v>43151</v>
      </c>
      <c r="B26656" s="515" t="s">
        <v>345</v>
      </c>
      <c r="C26656" s="52">
        <v>133801.13318648099</v>
      </c>
      <c r="D26656" s="56">
        <v>9.3084229672210056E-2</v>
      </c>
      <c r="E26656" s="224" t="s">
        <v>2</v>
      </c>
      <c r="G26656" s="52"/>
      <c r="H26656" s="56"/>
      <c r="I26656" s="224"/>
    </row>
    <row r="26657" spans="1:9" x14ac:dyDescent="0.25">
      <c r="A26657" s="515">
        <v>12811</v>
      </c>
      <c r="B26657" s="515" t="s">
        <v>422</v>
      </c>
      <c r="C26657" s="52">
        <v>200406.82597703199</v>
      </c>
      <c r="D26657" s="56">
        <v>7.8739541628109519E-2</v>
      </c>
      <c r="E26657" s="224" t="s">
        <v>2</v>
      </c>
      <c r="G26657" s="52"/>
      <c r="H26657" s="56"/>
      <c r="I26657" s="224"/>
    </row>
    <row r="26658" spans="1:9" x14ac:dyDescent="0.25">
      <c r="A26658" s="515">
        <v>46393</v>
      </c>
      <c r="B26658" s="515" t="s">
        <v>394</v>
      </c>
      <c r="C26658" s="52">
        <v>189554.749364249</v>
      </c>
      <c r="D26658" s="56">
        <v>0.14275633759994652</v>
      </c>
      <c r="E26658" s="224" t="s">
        <v>2</v>
      </c>
      <c r="G26658" s="52"/>
      <c r="H26658" s="56"/>
      <c r="I26658" s="224"/>
    </row>
    <row r="26659" spans="1:9" x14ac:dyDescent="0.25">
      <c r="A26659" s="515">
        <v>46958</v>
      </c>
      <c r="B26659" s="515" t="s">
        <v>547</v>
      </c>
      <c r="C26659" s="52">
        <v>129086.05557692899</v>
      </c>
      <c r="D26659" s="56">
        <v>4.7409303783241222E-2</v>
      </c>
      <c r="E26659" s="224" t="s">
        <v>2</v>
      </c>
      <c r="G26659" s="52"/>
      <c r="H26659" s="56"/>
      <c r="I26659" s="224"/>
    </row>
    <row r="26660" spans="1:9" x14ac:dyDescent="0.25">
      <c r="A26660" s="515">
        <v>88065</v>
      </c>
      <c r="B26660" s="515" t="s">
        <v>423</v>
      </c>
      <c r="C26660" s="52">
        <v>173133.79678475601</v>
      </c>
      <c r="D26660" s="56">
        <v>8.3857172872053423E-2</v>
      </c>
      <c r="E26660" s="224" t="s">
        <v>2</v>
      </c>
      <c r="G26660" s="52"/>
      <c r="H26660" s="56"/>
      <c r="I26660" s="224"/>
    </row>
    <row r="26661" spans="1:9" x14ac:dyDescent="0.25">
      <c r="A26661" s="515">
        <v>95721</v>
      </c>
      <c r="B26661" s="515" t="s">
        <v>355</v>
      </c>
      <c r="C26661" s="52">
        <v>421419.02712265402</v>
      </c>
      <c r="D26661" s="56">
        <v>-2.6219643347396598E-2</v>
      </c>
      <c r="E26661" s="224" t="s">
        <v>2</v>
      </c>
      <c r="G26661" s="52"/>
      <c r="H26661" s="56"/>
      <c r="I26661" s="224"/>
    </row>
    <row r="26662" spans="1:9" x14ac:dyDescent="0.25">
      <c r="A26662" s="515">
        <v>46959</v>
      </c>
      <c r="B26662" s="515" t="s">
        <v>547</v>
      </c>
      <c r="C26662" s="52">
        <v>71539.453917835199</v>
      </c>
      <c r="D26662" s="56">
        <v>6.1115055863333392E-2</v>
      </c>
      <c r="E26662" s="224" t="s">
        <v>2</v>
      </c>
      <c r="G26662" s="52"/>
      <c r="H26662" s="56"/>
      <c r="I26662" s="224"/>
    </row>
    <row r="26663" spans="1:9" x14ac:dyDescent="0.25">
      <c r="A26663" s="515">
        <v>15663</v>
      </c>
      <c r="B26663" s="515" t="s">
        <v>297</v>
      </c>
      <c r="C26663" s="52">
        <v>153376.15555555499</v>
      </c>
      <c r="D26663" s="56">
        <v>0</v>
      </c>
      <c r="E26663" s="224" t="s">
        <v>2</v>
      </c>
      <c r="G26663" s="52"/>
      <c r="H26663" s="56"/>
      <c r="I26663" s="224"/>
    </row>
    <row r="26664" spans="1:9" x14ac:dyDescent="0.25">
      <c r="A26664" s="515">
        <v>43565</v>
      </c>
      <c r="B26664" s="515" t="s">
        <v>300</v>
      </c>
      <c r="C26664" s="52">
        <v>151604.426394471</v>
      </c>
      <c r="D26664" s="56">
        <v>-3.7087040047108295E-3</v>
      </c>
      <c r="E26664" s="224" t="s">
        <v>2</v>
      </c>
      <c r="G26664" s="52"/>
      <c r="H26664" s="56"/>
      <c r="I26664" s="224"/>
    </row>
    <row r="26665" spans="1:9" x14ac:dyDescent="0.25">
      <c r="A26665" s="515">
        <v>28017</v>
      </c>
      <c r="B26665" s="515" t="s">
        <v>310</v>
      </c>
      <c r="C26665" s="52">
        <v>183937.05720918099</v>
      </c>
      <c r="D26665" s="56">
        <v>0</v>
      </c>
      <c r="E26665" s="224" t="s">
        <v>2</v>
      </c>
      <c r="G26665" s="52"/>
      <c r="H26665" s="56"/>
      <c r="I26665" s="224"/>
    </row>
    <row r="26666" spans="1:9" x14ac:dyDescent="0.25">
      <c r="A26666" s="515">
        <v>46915</v>
      </c>
      <c r="B26666" s="515" t="s">
        <v>433</v>
      </c>
      <c r="C26666" s="52">
        <v>157743.46958155301</v>
      </c>
      <c r="D26666" s="56">
        <v>8.7509087575498953E-2</v>
      </c>
      <c r="E26666" s="224" t="s">
        <v>2</v>
      </c>
      <c r="G26666" s="52"/>
      <c r="H26666" s="56"/>
      <c r="I26666" s="224"/>
    </row>
    <row r="26667" spans="1:9" x14ac:dyDescent="0.25">
      <c r="A26667" s="515">
        <v>97634</v>
      </c>
      <c r="B26667" s="515" t="s">
        <v>545</v>
      </c>
      <c r="C26667" s="52">
        <v>282600.489130462</v>
      </c>
      <c r="D26667" s="56">
        <v>9.2604997677709577E-2</v>
      </c>
      <c r="E26667" s="224" t="s">
        <v>2</v>
      </c>
      <c r="G26667" s="52"/>
      <c r="H26667" s="56"/>
      <c r="I26667" s="224"/>
    </row>
    <row r="26668" spans="1:9" x14ac:dyDescent="0.25">
      <c r="A26668" s="515">
        <v>45354</v>
      </c>
      <c r="B26668" s="515" t="s">
        <v>340</v>
      </c>
      <c r="C26668" s="52">
        <v>134192.001702874</v>
      </c>
      <c r="D26668" s="56">
        <v>0.10190287620452841</v>
      </c>
      <c r="E26668" s="224" t="s">
        <v>2</v>
      </c>
      <c r="G26668" s="52"/>
      <c r="H26668" s="56"/>
      <c r="I26668" s="224"/>
    </row>
    <row r="26669" spans="1:9" x14ac:dyDescent="0.25">
      <c r="A26669" s="515">
        <v>63828</v>
      </c>
      <c r="C26669" s="52">
        <v>49203.173123135501</v>
      </c>
      <c r="D26669" s="56">
        <v>0.20709657828996586</v>
      </c>
      <c r="E26669" s="224" t="s">
        <v>2</v>
      </c>
      <c r="G26669" s="52"/>
      <c r="H26669" s="56"/>
      <c r="I26669" s="224"/>
    </row>
    <row r="26670" spans="1:9" x14ac:dyDescent="0.25">
      <c r="A26670" s="515">
        <v>51637</v>
      </c>
      <c r="C26670" s="52">
        <v>69392.451870930105</v>
      </c>
      <c r="D26670" s="56">
        <v>0</v>
      </c>
      <c r="E26670" s="224" t="s">
        <v>2</v>
      </c>
      <c r="G26670" s="52"/>
      <c r="H26670" s="56"/>
      <c r="I26670" s="224"/>
    </row>
    <row r="26671" spans="1:9" x14ac:dyDescent="0.25">
      <c r="A26671" s="515">
        <v>78558</v>
      </c>
      <c r="B26671" s="515" t="s">
        <v>550</v>
      </c>
      <c r="C26671" s="52">
        <v>134553.37037036999</v>
      </c>
      <c r="D26671" s="56">
        <v>0</v>
      </c>
      <c r="E26671" s="224" t="s">
        <v>2</v>
      </c>
      <c r="G26671" s="52"/>
      <c r="H26671" s="56"/>
      <c r="I26671" s="224"/>
    </row>
    <row r="26672" spans="1:9" x14ac:dyDescent="0.25">
      <c r="A26672" s="515">
        <v>88053</v>
      </c>
      <c r="B26672" s="515" t="s">
        <v>423</v>
      </c>
      <c r="C26672" s="52">
        <v>201484.11223334199</v>
      </c>
      <c r="D26672" s="56">
        <v>0.11953530339391985</v>
      </c>
      <c r="E26672" s="224" t="s">
        <v>2</v>
      </c>
      <c r="G26672" s="52"/>
      <c r="H26672" s="56"/>
      <c r="I26672" s="224"/>
    </row>
    <row r="26673" spans="1:9" x14ac:dyDescent="0.25">
      <c r="A26673" s="515">
        <v>63770</v>
      </c>
      <c r="B26673" s="515" t="s">
        <v>424</v>
      </c>
      <c r="C26673" s="52">
        <v>121454.785714285</v>
      </c>
      <c r="D26673" s="56">
        <v>0</v>
      </c>
      <c r="E26673" s="224" t="s">
        <v>2</v>
      </c>
      <c r="G26673" s="52"/>
      <c r="H26673" s="56"/>
      <c r="I26673" s="224"/>
    </row>
    <row r="26674" spans="1:9" x14ac:dyDescent="0.25">
      <c r="A26674" s="515">
        <v>12886</v>
      </c>
      <c r="B26674" s="515" t="s">
        <v>422</v>
      </c>
      <c r="C26674" s="52">
        <v>236102.03176708301</v>
      </c>
      <c r="D26674" s="56">
        <v>4.2828716174632263E-2</v>
      </c>
      <c r="E26674" s="224" t="s">
        <v>2</v>
      </c>
      <c r="G26674" s="52"/>
      <c r="H26674" s="56"/>
      <c r="I26674" s="224"/>
    </row>
    <row r="26675" spans="1:9" x14ac:dyDescent="0.25">
      <c r="A26675" s="515">
        <v>47388</v>
      </c>
      <c r="B26675" s="515" t="s">
        <v>421</v>
      </c>
      <c r="C26675" s="52">
        <v>136772.02416582499</v>
      </c>
      <c r="D26675" s="56">
        <v>6.4968913399945705E-2</v>
      </c>
      <c r="E26675" s="224" t="s">
        <v>2</v>
      </c>
      <c r="G26675" s="52"/>
      <c r="H26675" s="56"/>
      <c r="I26675" s="224"/>
    </row>
    <row r="26676" spans="1:9" x14ac:dyDescent="0.25">
      <c r="A26676" s="515">
        <v>93222</v>
      </c>
      <c r="B26676" s="515" t="s">
        <v>419</v>
      </c>
      <c r="C26676" s="52">
        <v>386190.31910106202</v>
      </c>
      <c r="D26676" s="56">
        <v>2.3338482967504678E-2</v>
      </c>
      <c r="E26676" s="224" t="s">
        <v>2</v>
      </c>
      <c r="G26676" s="52"/>
      <c r="H26676" s="56"/>
      <c r="I26676" s="224"/>
    </row>
    <row r="26677" spans="1:9" x14ac:dyDescent="0.25">
      <c r="A26677" s="515">
        <v>56376</v>
      </c>
      <c r="B26677" s="515" t="s">
        <v>418</v>
      </c>
      <c r="C26677" s="52">
        <v>207791.72251337999</v>
      </c>
      <c r="D26677" s="56">
        <v>2.7435676589874516E-2</v>
      </c>
      <c r="E26677" s="224" t="s">
        <v>2</v>
      </c>
      <c r="G26677" s="52"/>
      <c r="H26677" s="56"/>
      <c r="I26677" s="224"/>
    </row>
    <row r="26678" spans="1:9" x14ac:dyDescent="0.25">
      <c r="A26678" s="515">
        <v>3293</v>
      </c>
      <c r="B26678" s="515" t="s">
        <v>420</v>
      </c>
      <c r="C26678" s="52">
        <v>330538.20729335601</v>
      </c>
      <c r="D26678" s="56">
        <v>0.12708422724931595</v>
      </c>
      <c r="E26678" s="224" t="s">
        <v>2</v>
      </c>
      <c r="G26678" s="52"/>
      <c r="H26678" s="56"/>
      <c r="I26678" s="224"/>
    </row>
    <row r="26679" spans="1:9" x14ac:dyDescent="0.25">
      <c r="A26679" s="515">
        <v>25162</v>
      </c>
      <c r="B26679" s="515" t="s">
        <v>322</v>
      </c>
      <c r="C26679" s="52">
        <v>116956.355798266</v>
      </c>
      <c r="D26679" s="56">
        <v>8.7996808860481168E-2</v>
      </c>
      <c r="E26679" s="224" t="s">
        <v>2</v>
      </c>
      <c r="G26679" s="52"/>
      <c r="H26679" s="56"/>
      <c r="I26679" s="224"/>
    </row>
    <row r="26680" spans="1:9" x14ac:dyDescent="0.25">
      <c r="A26680" s="515">
        <v>15082</v>
      </c>
      <c r="B26680" s="515" t="s">
        <v>297</v>
      </c>
      <c r="C26680" s="52">
        <v>165015.608333982</v>
      </c>
      <c r="D26680" s="56">
        <v>7.5039105609496212E-2</v>
      </c>
      <c r="E26680" s="224" t="s">
        <v>2</v>
      </c>
      <c r="G26680" s="52"/>
      <c r="H26680" s="56"/>
      <c r="I26680" s="224"/>
    </row>
    <row r="26681" spans="1:9" x14ac:dyDescent="0.25">
      <c r="A26681" s="515">
        <v>33867</v>
      </c>
      <c r="B26681" s="515" t="s">
        <v>517</v>
      </c>
      <c r="C26681" s="52">
        <v>82587.071033894594</v>
      </c>
      <c r="D26681" s="56">
        <v>0.15181633941106823</v>
      </c>
      <c r="E26681" s="224" t="s">
        <v>2</v>
      </c>
      <c r="G26681" s="52"/>
      <c r="H26681" s="56"/>
      <c r="I26681" s="224"/>
    </row>
    <row r="26682" spans="1:9" x14ac:dyDescent="0.25">
      <c r="A26682" s="515">
        <v>97020</v>
      </c>
      <c r="B26682" s="515" t="s">
        <v>416</v>
      </c>
      <c r="C26682" s="52">
        <v>430944.38361307798</v>
      </c>
      <c r="D26682" s="56">
        <v>2.5266726587474159E-2</v>
      </c>
      <c r="E26682" s="224" t="s">
        <v>2</v>
      </c>
      <c r="G26682" s="52"/>
      <c r="H26682" s="56"/>
      <c r="I26682" s="224"/>
    </row>
    <row r="26683" spans="1:9" x14ac:dyDescent="0.25">
      <c r="A26683" s="515">
        <v>96037</v>
      </c>
      <c r="C26683" s="52">
        <v>289927.87899939797</v>
      </c>
      <c r="D26683" s="56">
        <v>4.9638117260561818E-2</v>
      </c>
      <c r="E26683" s="224" t="s">
        <v>2</v>
      </c>
      <c r="G26683" s="52"/>
      <c r="H26683" s="56"/>
      <c r="I26683" s="224"/>
    </row>
    <row r="26684" spans="1:9" x14ac:dyDescent="0.25">
      <c r="A26684" s="515">
        <v>24457</v>
      </c>
      <c r="C26684" s="52">
        <v>82769.223592191105</v>
      </c>
      <c r="D26684" s="56">
        <v>8.356651154676753E-2</v>
      </c>
      <c r="E26684" s="224" t="s">
        <v>2</v>
      </c>
      <c r="G26684" s="52"/>
      <c r="H26684" s="56"/>
      <c r="I26684" s="224"/>
    </row>
    <row r="26685" spans="1:9" x14ac:dyDescent="0.25">
      <c r="A26685" s="515">
        <v>74350</v>
      </c>
      <c r="C26685" s="52">
        <v>189380.55917333299</v>
      </c>
      <c r="D26685" s="56">
        <v>4.394937903646743E-2</v>
      </c>
      <c r="E26685" s="224" t="s">
        <v>2</v>
      </c>
      <c r="G26685" s="52"/>
      <c r="H26685" s="56"/>
      <c r="I26685" s="224"/>
    </row>
    <row r="26686" spans="1:9" x14ac:dyDescent="0.25">
      <c r="A26686" s="515">
        <v>25972</v>
      </c>
      <c r="C26686" s="52">
        <v>44367.416666666599</v>
      </c>
      <c r="D26686" s="56">
        <v>0</v>
      </c>
      <c r="E26686" s="224" t="s">
        <v>2</v>
      </c>
      <c r="G26686" s="52"/>
      <c r="H26686" s="56"/>
      <c r="I26686" s="224"/>
    </row>
    <row r="26687" spans="1:9" x14ac:dyDescent="0.25">
      <c r="A26687" s="515">
        <v>26209</v>
      </c>
      <c r="C26687" s="52">
        <v>170651.27466278899</v>
      </c>
      <c r="D26687" s="56">
        <v>-3.9978261216230125E-2</v>
      </c>
      <c r="E26687" s="224" t="s">
        <v>2</v>
      </c>
      <c r="G26687" s="52"/>
      <c r="H26687" s="56"/>
      <c r="I26687" s="224"/>
    </row>
    <row r="26688" spans="1:9" x14ac:dyDescent="0.25">
      <c r="A26688" s="515">
        <v>46379</v>
      </c>
      <c r="B26688" s="515" t="s">
        <v>394</v>
      </c>
      <c r="C26688" s="52">
        <v>101231.60454951299</v>
      </c>
      <c r="D26688" s="56">
        <v>0.12924145515091079</v>
      </c>
      <c r="E26688" s="224" t="s">
        <v>2</v>
      </c>
      <c r="G26688" s="52"/>
      <c r="H26688" s="56"/>
      <c r="I26688" s="224"/>
    </row>
    <row r="26689" spans="1:9" x14ac:dyDescent="0.25">
      <c r="A26689" s="515">
        <v>13435</v>
      </c>
      <c r="B26689" s="515" t="s">
        <v>543</v>
      </c>
      <c r="C26689" s="52">
        <v>147107.10892098301</v>
      </c>
      <c r="D26689" s="56">
        <v>0.13192425017309301</v>
      </c>
      <c r="E26689" s="224" t="s">
        <v>2</v>
      </c>
      <c r="G26689" s="52"/>
      <c r="H26689" s="56"/>
      <c r="I26689" s="224"/>
    </row>
    <row r="26690" spans="1:9" x14ac:dyDescent="0.25">
      <c r="A26690" s="515">
        <v>56080</v>
      </c>
      <c r="B26690" s="515" t="s">
        <v>542</v>
      </c>
      <c r="C26690" s="52">
        <v>216707.28751505099</v>
      </c>
      <c r="D26690" s="56">
        <v>9.4011334601208557E-2</v>
      </c>
      <c r="E26690" s="224" t="s">
        <v>2</v>
      </c>
      <c r="G26690" s="52"/>
      <c r="H26690" s="56"/>
      <c r="I26690" s="224"/>
    </row>
    <row r="26691" spans="1:9" x14ac:dyDescent="0.25">
      <c r="A26691" s="515">
        <v>15078</v>
      </c>
      <c r="B26691" s="515" t="s">
        <v>297</v>
      </c>
      <c r="C26691" s="52">
        <v>111872.033617311</v>
      </c>
      <c r="D26691" s="56">
        <v>0.10829164641063976</v>
      </c>
      <c r="E26691" s="224" t="s">
        <v>2</v>
      </c>
      <c r="G26691" s="52"/>
      <c r="H26691" s="56"/>
      <c r="I26691" s="224"/>
    </row>
    <row r="26692" spans="1:9" x14ac:dyDescent="0.25">
      <c r="A26692" s="515">
        <v>80131</v>
      </c>
      <c r="B26692" s="515" t="s">
        <v>401</v>
      </c>
      <c r="C26692" s="52">
        <v>520243.75193282601</v>
      </c>
      <c r="D26692" s="56">
        <v>2.5670440646438416E-2</v>
      </c>
      <c r="E26692" s="224" t="s">
        <v>2</v>
      </c>
      <c r="G26692" s="52"/>
      <c r="H26692" s="56"/>
      <c r="I26692" s="224"/>
    </row>
    <row r="26693" spans="1:9" x14ac:dyDescent="0.25">
      <c r="A26693" s="515">
        <v>43463</v>
      </c>
      <c r="B26693" s="515" t="s">
        <v>300</v>
      </c>
      <c r="C26693" s="52">
        <v>122022.895036519</v>
      </c>
      <c r="D26693" s="56">
        <v>9.1964579647911382E-2</v>
      </c>
      <c r="E26693" s="224" t="s">
        <v>2</v>
      </c>
      <c r="G26693" s="52"/>
      <c r="H26693" s="56"/>
      <c r="I26693" s="224"/>
    </row>
    <row r="26694" spans="1:9" x14ac:dyDescent="0.25">
      <c r="A26694" s="515">
        <v>16634</v>
      </c>
      <c r="B26694" s="515" t="s">
        <v>539</v>
      </c>
      <c r="C26694" s="52">
        <v>79645.010510695094</v>
      </c>
      <c r="D26694" s="56">
        <v>0</v>
      </c>
      <c r="E26694" s="224" t="s">
        <v>2</v>
      </c>
      <c r="G26694" s="52"/>
      <c r="H26694" s="56"/>
      <c r="I26694" s="224"/>
    </row>
    <row r="26695" spans="1:9" x14ac:dyDescent="0.25">
      <c r="A26695" s="515">
        <v>45372</v>
      </c>
      <c r="B26695" s="515" t="s">
        <v>398</v>
      </c>
      <c r="C26695" s="52">
        <v>99577.872461663603</v>
      </c>
      <c r="D26695" s="56">
        <v>0.16943271850685349</v>
      </c>
      <c r="E26695" s="224" t="s">
        <v>2</v>
      </c>
      <c r="G26695" s="52"/>
      <c r="H26695" s="56"/>
      <c r="I26695" s="224"/>
    </row>
    <row r="26696" spans="1:9" x14ac:dyDescent="0.25">
      <c r="A26696" s="515">
        <v>64686</v>
      </c>
      <c r="C26696" s="52">
        <v>95286.846059431293</v>
      </c>
      <c r="D26696" s="56">
        <v>6.6945234448497953E-2</v>
      </c>
      <c r="E26696" s="224" t="s">
        <v>2</v>
      </c>
      <c r="G26696" s="52"/>
      <c r="H26696" s="56"/>
      <c r="I26696" s="224"/>
    </row>
    <row r="26697" spans="1:9" x14ac:dyDescent="0.25">
      <c r="A26697" s="515">
        <v>74951</v>
      </c>
      <c r="C26697" s="52">
        <v>92949.833795278202</v>
      </c>
      <c r="D26697" s="56">
        <v>0.16651338407910779</v>
      </c>
      <c r="E26697" s="224" t="s">
        <v>2</v>
      </c>
      <c r="G26697" s="52"/>
      <c r="H26697" s="56"/>
      <c r="I26697" s="224"/>
    </row>
    <row r="26698" spans="1:9" x14ac:dyDescent="0.25">
      <c r="A26698" s="515">
        <v>43717</v>
      </c>
      <c r="C26698" s="52">
        <v>73307.185914640504</v>
      </c>
      <c r="D26698" s="56">
        <v>0.15202594804894401</v>
      </c>
      <c r="E26698" s="224" t="s">
        <v>2</v>
      </c>
      <c r="G26698" s="52"/>
      <c r="H26698" s="56"/>
      <c r="I26698" s="224"/>
    </row>
    <row r="26699" spans="1:9" x14ac:dyDescent="0.25">
      <c r="A26699" s="515">
        <v>24448</v>
      </c>
      <c r="C26699" s="52">
        <v>89507.019167757404</v>
      </c>
      <c r="D26699" s="56">
        <v>6.6934874107931502E-2</v>
      </c>
      <c r="E26699" s="224" t="s">
        <v>2</v>
      </c>
      <c r="G26699" s="52"/>
      <c r="H26699" s="56"/>
      <c r="I26699" s="224"/>
    </row>
    <row r="26700" spans="1:9" x14ac:dyDescent="0.25">
      <c r="A26700" s="515">
        <v>51651</v>
      </c>
      <c r="C26700" s="52">
        <v>64672.52</v>
      </c>
      <c r="D26700" s="56">
        <v>0</v>
      </c>
      <c r="E26700" s="224" t="s">
        <v>2</v>
      </c>
      <c r="G26700" s="52"/>
      <c r="H26700" s="56"/>
      <c r="I26700" s="224"/>
    </row>
    <row r="26701" spans="1:9" x14ac:dyDescent="0.25">
      <c r="A26701" s="515">
        <v>62514</v>
      </c>
      <c r="B26701" s="515" t="s">
        <v>540</v>
      </c>
      <c r="C26701" s="52">
        <v>78384.5</v>
      </c>
      <c r="D26701" s="56">
        <v>0</v>
      </c>
      <c r="E26701" s="224" t="s">
        <v>2</v>
      </c>
      <c r="G26701" s="52"/>
      <c r="H26701" s="56"/>
      <c r="I26701" s="224"/>
    </row>
    <row r="26702" spans="1:9" x14ac:dyDescent="0.25">
      <c r="A26702" s="515">
        <v>47382</v>
      </c>
      <c r="C26702" s="52">
        <v>61922.3728568468</v>
      </c>
      <c r="D26702" s="56">
        <v>0.1989343117417039</v>
      </c>
      <c r="E26702" s="224" t="s">
        <v>2</v>
      </c>
      <c r="G26702" s="52"/>
      <c r="H26702" s="56"/>
      <c r="I26702" s="224"/>
    </row>
    <row r="26703" spans="1:9" x14ac:dyDescent="0.25">
      <c r="A26703" s="515">
        <v>73455</v>
      </c>
      <c r="C26703" s="52">
        <v>112774.512282392</v>
      </c>
      <c r="D26703" s="56">
        <v>0.64766716127697987</v>
      </c>
      <c r="E26703" s="224" t="s">
        <v>2</v>
      </c>
      <c r="G26703" s="52"/>
      <c r="H26703" s="56"/>
      <c r="I26703" s="224"/>
    </row>
    <row r="26704" spans="1:9" x14ac:dyDescent="0.25">
      <c r="A26704" s="515">
        <v>24836</v>
      </c>
      <c r="C26704" s="52">
        <v>26032.605633802799</v>
      </c>
      <c r="D26704" s="56">
        <v>0</v>
      </c>
      <c r="E26704" s="224" t="s">
        <v>2</v>
      </c>
      <c r="G26704" s="52"/>
      <c r="H26704" s="56"/>
      <c r="I26704" s="224"/>
    </row>
    <row r="26705" spans="1:9" x14ac:dyDescent="0.25">
      <c r="A26705" s="515">
        <v>5034</v>
      </c>
      <c r="B26705" s="515" t="s">
        <v>420</v>
      </c>
      <c r="C26705" s="52">
        <v>358656.76666666602</v>
      </c>
      <c r="D26705" s="56">
        <v>0</v>
      </c>
      <c r="E26705" s="224" t="s">
        <v>2</v>
      </c>
      <c r="G26705" s="52"/>
      <c r="H26705" s="56"/>
      <c r="I26705" s="224"/>
    </row>
    <row r="26706" spans="1:9" x14ac:dyDescent="0.25">
      <c r="A26706" s="515">
        <v>74463</v>
      </c>
      <c r="B26706" s="515" t="s">
        <v>538</v>
      </c>
      <c r="C26706" s="52">
        <v>56350.445339372498</v>
      </c>
      <c r="D26706" s="56">
        <v>0.38923935206539712</v>
      </c>
      <c r="E26706" s="224" t="s">
        <v>2</v>
      </c>
      <c r="G26706" s="52"/>
      <c r="H26706" s="56"/>
      <c r="I26706" s="224"/>
    </row>
    <row r="26707" spans="1:9" x14ac:dyDescent="0.25">
      <c r="A26707" s="515">
        <v>20629</v>
      </c>
      <c r="B26707" s="515" t="s">
        <v>321</v>
      </c>
      <c r="C26707" s="52">
        <v>461570.46209666203</v>
      </c>
      <c r="D26707" s="56">
        <v>5.6393728566647337E-2</v>
      </c>
      <c r="E26707" s="224" t="s">
        <v>2</v>
      </c>
      <c r="G26707" s="52"/>
      <c r="H26707" s="56"/>
      <c r="I26707" s="224"/>
    </row>
    <row r="26708" spans="1:9" x14ac:dyDescent="0.25">
      <c r="A26708" s="515">
        <v>28136</v>
      </c>
      <c r="B26708" s="515" t="s">
        <v>310</v>
      </c>
      <c r="C26708" s="52">
        <v>96163.797988519</v>
      </c>
      <c r="D26708" s="56">
        <v>0</v>
      </c>
      <c r="E26708" s="224" t="s">
        <v>2</v>
      </c>
      <c r="G26708" s="52"/>
      <c r="H26708" s="56"/>
      <c r="I26708" s="224"/>
    </row>
    <row r="26709" spans="1:9" x14ac:dyDescent="0.25">
      <c r="A26709" s="515">
        <v>45358</v>
      </c>
      <c r="B26709" s="515" t="s">
        <v>316</v>
      </c>
      <c r="C26709" s="52">
        <v>150743.89006668399</v>
      </c>
      <c r="D26709" s="56">
        <v>-8.1624750901078923E-3</v>
      </c>
      <c r="E26709" s="224" t="s">
        <v>2</v>
      </c>
      <c r="G26709" s="52"/>
      <c r="H26709" s="56"/>
      <c r="I26709" s="224"/>
    </row>
    <row r="26710" spans="1:9" x14ac:dyDescent="0.25">
      <c r="A26710" s="515">
        <v>83025</v>
      </c>
      <c r="B26710" s="515" t="s">
        <v>490</v>
      </c>
      <c r="C26710" s="52">
        <v>1694364.1209393099</v>
      </c>
      <c r="D26710" s="56">
        <v>0.10550520096520923</v>
      </c>
      <c r="E26710" s="224" t="s">
        <v>2</v>
      </c>
      <c r="G26710" s="52"/>
      <c r="H26710" s="56"/>
      <c r="I26710" s="224"/>
    </row>
    <row r="26711" spans="1:9" x14ac:dyDescent="0.25">
      <c r="A26711" s="515">
        <v>16263</v>
      </c>
      <c r="B26711" s="515" t="s">
        <v>297</v>
      </c>
      <c r="C26711" s="52">
        <v>84252.433282304701</v>
      </c>
      <c r="D26711" s="56">
        <v>0.20493571410805739</v>
      </c>
      <c r="E26711" s="224" t="s">
        <v>2</v>
      </c>
      <c r="G26711" s="52"/>
      <c r="H26711" s="56"/>
      <c r="I26711" s="224"/>
    </row>
    <row r="26712" spans="1:9" x14ac:dyDescent="0.25">
      <c r="A26712" s="515">
        <v>17581</v>
      </c>
      <c r="B26712" s="515" t="s">
        <v>537</v>
      </c>
      <c r="C26712" s="52">
        <v>278097.57487667399</v>
      </c>
      <c r="D26712" s="56">
        <v>0.10537711438866745</v>
      </c>
      <c r="E26712" s="224" t="s">
        <v>2</v>
      </c>
      <c r="G26712" s="52"/>
      <c r="H26712" s="56"/>
      <c r="I26712" s="224"/>
    </row>
    <row r="26713" spans="1:9" x14ac:dyDescent="0.25">
      <c r="A26713" s="515">
        <v>80469</v>
      </c>
      <c r="B26713" s="515" t="s">
        <v>536</v>
      </c>
      <c r="C26713" s="52">
        <v>373990.41570946801</v>
      </c>
      <c r="D26713" s="56">
        <v>7.5482996809023498E-2</v>
      </c>
      <c r="E26713" s="224" t="s">
        <v>2</v>
      </c>
      <c r="G26713" s="52"/>
      <c r="H26713" s="56"/>
      <c r="I26713" s="224"/>
    </row>
    <row r="26714" spans="1:9" x14ac:dyDescent="0.25">
      <c r="A26714" s="515">
        <v>44815</v>
      </c>
      <c r="B26714" s="515" t="s">
        <v>463</v>
      </c>
      <c r="C26714" s="52">
        <v>108833.650220968</v>
      </c>
      <c r="D26714" s="56">
        <v>6.9516427362293021E-2</v>
      </c>
      <c r="E26714" s="224" t="s">
        <v>2</v>
      </c>
      <c r="G26714" s="52"/>
      <c r="H26714" s="56"/>
      <c r="I26714" s="224"/>
    </row>
    <row r="26715" spans="1:9" x14ac:dyDescent="0.25">
      <c r="A26715" s="515">
        <v>45716</v>
      </c>
      <c r="B26715" s="515" t="s">
        <v>578</v>
      </c>
      <c r="C26715" s="52">
        <v>78925.258971789604</v>
      </c>
      <c r="D26715" s="56">
        <v>0.12140603351048125</v>
      </c>
      <c r="E26715" s="224" t="s">
        <v>2</v>
      </c>
      <c r="G26715" s="52"/>
      <c r="H26715" s="56"/>
      <c r="I26715" s="224"/>
    </row>
    <row r="26716" spans="1:9" x14ac:dyDescent="0.25">
      <c r="A26716" s="515">
        <v>78594</v>
      </c>
      <c r="B26716" s="515" t="s">
        <v>482</v>
      </c>
      <c r="C26716" s="52">
        <v>104421.248926424</v>
      </c>
      <c r="D26716" s="56">
        <v>0</v>
      </c>
      <c r="E26716" s="224" t="s">
        <v>2</v>
      </c>
      <c r="G26716" s="52"/>
      <c r="H26716" s="56"/>
      <c r="I26716" s="224"/>
    </row>
    <row r="26717" spans="1:9" x14ac:dyDescent="0.25">
      <c r="A26717" s="515">
        <v>46102</v>
      </c>
      <c r="B26717" s="515" t="s">
        <v>403</v>
      </c>
      <c r="C26717" s="52">
        <v>177743.83836632199</v>
      </c>
      <c r="D26717" s="56">
        <v>0.11997953724096536</v>
      </c>
      <c r="E26717" s="224" t="s">
        <v>2</v>
      </c>
      <c r="G26717" s="52"/>
      <c r="H26717" s="56"/>
      <c r="I26717" s="224"/>
    </row>
    <row r="26718" spans="1:9" x14ac:dyDescent="0.25">
      <c r="A26718" s="515">
        <v>79367</v>
      </c>
      <c r="B26718" s="515" t="s">
        <v>434</v>
      </c>
      <c r="C26718" s="52">
        <v>126246.82206014299</v>
      </c>
      <c r="D26718" s="56">
        <v>0</v>
      </c>
      <c r="E26718" s="224" t="s">
        <v>2</v>
      </c>
      <c r="G26718" s="52"/>
      <c r="H26718" s="56"/>
      <c r="I26718" s="224"/>
    </row>
    <row r="26719" spans="1:9" x14ac:dyDescent="0.25">
      <c r="A26719" s="515">
        <v>1718</v>
      </c>
      <c r="B26719" s="515" t="s">
        <v>534</v>
      </c>
      <c r="C26719" s="52">
        <v>425052.80519430002</v>
      </c>
      <c r="D26719" s="56">
        <v>5.991030356590079E-2</v>
      </c>
      <c r="E26719" s="224" t="s">
        <v>2</v>
      </c>
      <c r="G26719" s="52"/>
      <c r="H26719" s="56"/>
      <c r="I26719" s="224"/>
    </row>
    <row r="26720" spans="1:9" x14ac:dyDescent="0.25">
      <c r="A26720" s="515">
        <v>43010</v>
      </c>
      <c r="B26720" s="515" t="s">
        <v>398</v>
      </c>
      <c r="C26720" s="52">
        <v>134044.45281720601</v>
      </c>
      <c r="D26720" s="56">
        <v>0.1063228698189904</v>
      </c>
      <c r="E26720" s="224" t="s">
        <v>2</v>
      </c>
      <c r="G26720" s="52"/>
      <c r="H26720" s="56"/>
      <c r="I26720" s="224"/>
    </row>
    <row r="26721" spans="1:9" x14ac:dyDescent="0.25">
      <c r="A26721" s="515">
        <v>55085</v>
      </c>
      <c r="B26721" s="515" t="s">
        <v>532</v>
      </c>
      <c r="C26721" s="52">
        <v>301784.054402871</v>
      </c>
      <c r="D26721" s="56">
        <v>2.4658619682710155E-2</v>
      </c>
      <c r="E26721" s="224" t="s">
        <v>2</v>
      </c>
      <c r="G26721" s="52"/>
      <c r="H26721" s="56"/>
      <c r="I26721" s="224"/>
    </row>
    <row r="26722" spans="1:9" x14ac:dyDescent="0.25">
      <c r="A26722" s="515">
        <v>75642</v>
      </c>
      <c r="B26722" s="515" t="s">
        <v>319</v>
      </c>
      <c r="C26722" s="52">
        <v>182988.13693752899</v>
      </c>
      <c r="D26722" s="56">
        <v>0</v>
      </c>
      <c r="E26722" s="224" t="s">
        <v>2</v>
      </c>
      <c r="G26722" s="52"/>
      <c r="H26722" s="56"/>
      <c r="I26722" s="224"/>
    </row>
    <row r="26723" spans="1:9" x14ac:dyDescent="0.25">
      <c r="A26723" s="515">
        <v>52752</v>
      </c>
      <c r="C26723" s="52">
        <v>132199.63929376399</v>
      </c>
      <c r="D26723" s="56">
        <v>8.338457251264067E-2</v>
      </c>
      <c r="E26723" s="224" t="s">
        <v>2</v>
      </c>
      <c r="G26723" s="52"/>
      <c r="H26723" s="56"/>
      <c r="I26723" s="224"/>
    </row>
    <row r="26724" spans="1:9" x14ac:dyDescent="0.25">
      <c r="A26724" s="515">
        <v>49902</v>
      </c>
      <c r="C26724" s="52">
        <v>54043.402512828601</v>
      </c>
      <c r="D26724" s="56">
        <v>1.2957932698978851E-2</v>
      </c>
      <c r="E26724" s="224" t="s">
        <v>2</v>
      </c>
      <c r="G26724" s="52"/>
      <c r="H26724" s="56"/>
      <c r="I26724" s="224"/>
    </row>
    <row r="26725" spans="1:9" x14ac:dyDescent="0.25">
      <c r="A26725" s="515">
        <v>49910</v>
      </c>
      <c r="C26725" s="52">
        <v>132489.656307937</v>
      </c>
      <c r="D26725" s="56">
        <v>4.2546207828749634E-2</v>
      </c>
      <c r="E26725" s="224" t="s">
        <v>2</v>
      </c>
      <c r="G26725" s="52"/>
      <c r="H26725" s="56"/>
      <c r="I26725" s="224"/>
    </row>
    <row r="26726" spans="1:9" x14ac:dyDescent="0.25">
      <c r="A26726" s="515">
        <v>46931</v>
      </c>
      <c r="C26726" s="52">
        <v>87050.334633278399</v>
      </c>
      <c r="D26726" s="56">
        <v>0.10223330510302492</v>
      </c>
      <c r="E26726" s="224" t="s">
        <v>2</v>
      </c>
      <c r="G26726" s="52"/>
      <c r="H26726" s="56"/>
      <c r="I26726" s="224"/>
    </row>
    <row r="26727" spans="1:9" x14ac:dyDescent="0.25">
      <c r="A26727" s="515">
        <v>15635</v>
      </c>
      <c r="B26727" s="515" t="s">
        <v>297</v>
      </c>
      <c r="C26727" s="52">
        <v>83607.666666666599</v>
      </c>
      <c r="D26727" s="56">
        <v>0</v>
      </c>
      <c r="E26727" s="224" t="s">
        <v>2</v>
      </c>
      <c r="G26727" s="52"/>
      <c r="H26727" s="56"/>
      <c r="I26727" s="224"/>
    </row>
    <row r="26728" spans="1:9" x14ac:dyDescent="0.25">
      <c r="A26728" s="515">
        <v>62695</v>
      </c>
      <c r="B26728" s="515" t="s">
        <v>531</v>
      </c>
      <c r="C26728" s="52">
        <v>104953.156862745</v>
      </c>
      <c r="D26728" s="56">
        <v>0</v>
      </c>
      <c r="E26728" s="224" t="s">
        <v>2</v>
      </c>
      <c r="G26728" s="52"/>
      <c r="H26728" s="56"/>
      <c r="I26728" s="224"/>
    </row>
    <row r="26729" spans="1:9" x14ac:dyDescent="0.25">
      <c r="A26729" s="515">
        <v>43322</v>
      </c>
      <c r="B26729" s="515" t="s">
        <v>530</v>
      </c>
      <c r="C26729" s="52">
        <v>134403.767734736</v>
      </c>
      <c r="D26729" s="56">
        <v>9.6610208523271499E-2</v>
      </c>
      <c r="E26729" s="224" t="s">
        <v>2</v>
      </c>
      <c r="G26729" s="52"/>
      <c r="H26729" s="56"/>
      <c r="I26729" s="224"/>
    </row>
    <row r="26730" spans="1:9" x14ac:dyDescent="0.25">
      <c r="A26730" s="515">
        <v>62248</v>
      </c>
      <c r="B26730" s="515" t="s">
        <v>498</v>
      </c>
      <c r="C26730" s="52">
        <v>155101.14878214599</v>
      </c>
      <c r="D26730" s="56">
        <v>0</v>
      </c>
      <c r="E26730" s="224" t="s">
        <v>2</v>
      </c>
      <c r="G26730" s="52"/>
      <c r="H26730" s="56"/>
      <c r="I26730" s="224"/>
    </row>
    <row r="26731" spans="1:9" x14ac:dyDescent="0.25">
      <c r="A26731" s="515">
        <v>49871</v>
      </c>
      <c r="B26731" s="515" t="s">
        <v>440</v>
      </c>
      <c r="C26731" s="52">
        <v>89911.333333333299</v>
      </c>
      <c r="D26731" s="56">
        <v>0</v>
      </c>
      <c r="E26731" s="224" t="s">
        <v>2</v>
      </c>
      <c r="G26731" s="52"/>
      <c r="H26731" s="56"/>
      <c r="I26731" s="224"/>
    </row>
    <row r="26732" spans="1:9" x14ac:dyDescent="0.25">
      <c r="A26732" s="515">
        <v>12574</v>
      </c>
      <c r="B26732" s="515" t="s">
        <v>529</v>
      </c>
      <c r="C26732" s="52">
        <v>529197.16196973796</v>
      </c>
      <c r="D26732" s="56">
        <v>0.11781952554948323</v>
      </c>
      <c r="E26732" s="224" t="s">
        <v>2</v>
      </c>
      <c r="G26732" s="52"/>
      <c r="H26732" s="56"/>
      <c r="I26732" s="224"/>
    </row>
    <row r="26733" spans="1:9" x14ac:dyDescent="0.25">
      <c r="A26733" s="515">
        <v>48853</v>
      </c>
      <c r="B26733" s="515" t="s">
        <v>528</v>
      </c>
      <c r="C26733" s="52">
        <v>130145.81360260199</v>
      </c>
      <c r="D26733" s="56">
        <v>5.7058875626979984E-2</v>
      </c>
      <c r="E26733" s="224" t="s">
        <v>2</v>
      </c>
      <c r="G26733" s="52"/>
      <c r="H26733" s="56"/>
      <c r="I26733" s="224"/>
    </row>
    <row r="26734" spans="1:9" x14ac:dyDescent="0.25">
      <c r="A26734" s="515">
        <v>98530</v>
      </c>
      <c r="B26734" s="515" t="s">
        <v>527</v>
      </c>
      <c r="C26734" s="52">
        <v>276376.09090377198</v>
      </c>
      <c r="D26734" s="56">
        <v>4.3148184762644946E-2</v>
      </c>
      <c r="E26734" s="224" t="s">
        <v>2</v>
      </c>
      <c r="G26734" s="52"/>
      <c r="H26734" s="56"/>
      <c r="I26734" s="224"/>
    </row>
    <row r="26735" spans="1:9" x14ac:dyDescent="0.25">
      <c r="A26735" s="515">
        <v>45349</v>
      </c>
      <c r="B26735" s="515" t="s">
        <v>398</v>
      </c>
      <c r="C26735" s="52">
        <v>143434.61020565699</v>
      </c>
      <c r="D26735" s="56">
        <v>0.11843653971312611</v>
      </c>
      <c r="E26735" s="224" t="s">
        <v>2</v>
      </c>
      <c r="G26735" s="52"/>
      <c r="H26735" s="56"/>
      <c r="I26735" s="224"/>
    </row>
    <row r="26736" spans="1:9" x14ac:dyDescent="0.25">
      <c r="A26736" s="515">
        <v>47282</v>
      </c>
      <c r="B26736" s="515" t="s">
        <v>526</v>
      </c>
      <c r="C26736" s="52">
        <v>125708.953654114</v>
      </c>
      <c r="D26736" s="56">
        <v>6.7794361090489558E-2</v>
      </c>
      <c r="E26736" s="224" t="s">
        <v>2</v>
      </c>
      <c r="G26736" s="52"/>
      <c r="H26736" s="56"/>
      <c r="I26736" s="224"/>
    </row>
    <row r="26737" spans="1:9" x14ac:dyDescent="0.25">
      <c r="A26737" s="515">
        <v>45328</v>
      </c>
      <c r="B26737" s="515" t="s">
        <v>316</v>
      </c>
      <c r="C26737" s="52">
        <v>120748.463361749</v>
      </c>
      <c r="D26737" s="56">
        <v>4.0100554745860955E-3</v>
      </c>
      <c r="E26737" s="224" t="s">
        <v>2</v>
      </c>
      <c r="G26737" s="52"/>
      <c r="H26737" s="56"/>
      <c r="I26737" s="224"/>
    </row>
    <row r="26738" spans="1:9" x14ac:dyDescent="0.25">
      <c r="A26738" s="515">
        <v>17731</v>
      </c>
      <c r="C26738" s="52">
        <v>447455.14043542702</v>
      </c>
      <c r="D26738" s="56">
        <v>0.1289409186034155</v>
      </c>
      <c r="E26738" s="224" t="s">
        <v>2</v>
      </c>
      <c r="G26738" s="52"/>
      <c r="H26738" s="56"/>
      <c r="I26738" s="224"/>
    </row>
    <row r="26739" spans="1:9" x14ac:dyDescent="0.25">
      <c r="A26739" s="515">
        <v>77615</v>
      </c>
      <c r="C26739" s="52">
        <v>150136.92306271699</v>
      </c>
      <c r="D26739" s="56">
        <v>0</v>
      </c>
      <c r="E26739" s="224" t="s">
        <v>2</v>
      </c>
      <c r="G26739" s="52"/>
      <c r="H26739" s="56"/>
      <c r="I26739" s="224"/>
    </row>
    <row r="26740" spans="1:9" x14ac:dyDescent="0.25">
      <c r="A26740" s="515">
        <v>95675</v>
      </c>
      <c r="C26740" s="52">
        <v>223492.24002657001</v>
      </c>
      <c r="D26740" s="56">
        <v>8.6570216302707739E-2</v>
      </c>
      <c r="E26740" s="224" t="s">
        <v>2</v>
      </c>
      <c r="G26740" s="52"/>
      <c r="H26740" s="56"/>
      <c r="I26740" s="224"/>
    </row>
    <row r="26741" spans="1:9" x14ac:dyDescent="0.25">
      <c r="A26741" s="515">
        <v>18626</v>
      </c>
      <c r="C26741" s="52">
        <v>210558.993518212</v>
      </c>
      <c r="D26741" s="56">
        <v>9.8309756655646049E-2</v>
      </c>
      <c r="E26741" s="224" t="s">
        <v>2</v>
      </c>
      <c r="G26741" s="52"/>
      <c r="H26741" s="56"/>
      <c r="I26741" s="224"/>
    </row>
    <row r="26742" spans="1:9" x14ac:dyDescent="0.25">
      <c r="A26742" s="515">
        <v>16839</v>
      </c>
      <c r="B26742" s="515" t="s">
        <v>876</v>
      </c>
      <c r="C26742" s="52">
        <v>73917.240506329093</v>
      </c>
      <c r="D26742" s="56">
        <v>0</v>
      </c>
      <c r="E26742" s="224" t="s">
        <v>2</v>
      </c>
      <c r="G26742" s="52"/>
      <c r="H26742" s="56"/>
      <c r="I26742" s="224"/>
    </row>
    <row r="26743" spans="1:9" x14ac:dyDescent="0.25">
      <c r="A26743" s="515">
        <v>95653</v>
      </c>
      <c r="B26743" s="515" t="s">
        <v>355</v>
      </c>
      <c r="C26743" s="52">
        <v>369230.23611074098</v>
      </c>
      <c r="D26743" s="56">
        <v>7.0745088457224131E-2</v>
      </c>
      <c r="E26743" s="224" t="s">
        <v>2</v>
      </c>
      <c r="G26743" s="52"/>
      <c r="H26743" s="56"/>
      <c r="I26743" s="224"/>
    </row>
    <row r="26744" spans="1:9" x14ac:dyDescent="0.25">
      <c r="A26744" s="515">
        <v>98283</v>
      </c>
      <c r="B26744" s="515" t="s">
        <v>412</v>
      </c>
      <c r="C26744" s="52">
        <v>362954.15883056802</v>
      </c>
      <c r="D26744" s="56">
        <v>9.3770211472443646E-2</v>
      </c>
      <c r="E26744" s="224" t="s">
        <v>2</v>
      </c>
      <c r="G26744" s="52"/>
      <c r="H26744" s="56"/>
      <c r="I26744" s="224"/>
    </row>
    <row r="26745" spans="1:9" x14ac:dyDescent="0.25">
      <c r="A26745" s="515">
        <v>8739</v>
      </c>
      <c r="B26745" s="515" t="s">
        <v>324</v>
      </c>
      <c r="C26745" s="52">
        <v>1343491.12566287</v>
      </c>
      <c r="D26745" s="56">
        <v>0.13298275526859105</v>
      </c>
      <c r="E26745" s="224" t="s">
        <v>2</v>
      </c>
      <c r="G26745" s="52"/>
      <c r="H26745" s="56"/>
      <c r="I26745" s="224"/>
    </row>
    <row r="26746" spans="1:9" x14ac:dyDescent="0.25">
      <c r="A26746" s="515">
        <v>27936</v>
      </c>
      <c r="B26746" s="515" t="s">
        <v>407</v>
      </c>
      <c r="C26746" s="52">
        <v>470493.26211605902</v>
      </c>
      <c r="D26746" s="56">
        <v>0.13122340633785973</v>
      </c>
      <c r="E26746" s="224" t="s">
        <v>2</v>
      </c>
      <c r="G26746" s="52"/>
      <c r="H26746" s="56"/>
      <c r="I26746" s="224"/>
    </row>
    <row r="26747" spans="1:9" x14ac:dyDescent="0.25">
      <c r="A26747" s="515">
        <v>83454</v>
      </c>
      <c r="B26747" s="515" t="s">
        <v>409</v>
      </c>
      <c r="C26747" s="52">
        <v>312440.92587554897</v>
      </c>
      <c r="D26747" s="56">
        <v>-1.7669672447215162E-2</v>
      </c>
      <c r="E26747" s="224" t="s">
        <v>2</v>
      </c>
      <c r="G26747" s="52"/>
      <c r="H26747" s="56"/>
      <c r="I26747" s="224"/>
    </row>
    <row r="26748" spans="1:9" x14ac:dyDescent="0.25">
      <c r="A26748" s="515">
        <v>43077</v>
      </c>
      <c r="B26748" s="515" t="s">
        <v>345</v>
      </c>
      <c r="C26748" s="52">
        <v>166713.16366520899</v>
      </c>
      <c r="D26748" s="56">
        <v>2.3845672906972055E-2</v>
      </c>
      <c r="E26748" s="224" t="s">
        <v>2</v>
      </c>
      <c r="G26748" s="52"/>
      <c r="H26748" s="56"/>
      <c r="I26748" s="224"/>
    </row>
    <row r="26749" spans="1:9" x14ac:dyDescent="0.25">
      <c r="A26749" s="515">
        <v>15447</v>
      </c>
      <c r="B26749" s="515" t="s">
        <v>297</v>
      </c>
      <c r="C26749" s="52">
        <v>32827.142001539498</v>
      </c>
      <c r="D26749" s="56">
        <v>4.6770923359724183E-4</v>
      </c>
      <c r="E26749" s="224" t="s">
        <v>2</v>
      </c>
      <c r="G26749" s="52"/>
      <c r="H26749" s="56"/>
      <c r="I26749" s="224"/>
    </row>
    <row r="26750" spans="1:9" x14ac:dyDescent="0.25">
      <c r="A26750" s="515">
        <v>98224</v>
      </c>
      <c r="B26750" s="515" t="s">
        <v>384</v>
      </c>
      <c r="C26750" s="52">
        <v>419495.96564968303</v>
      </c>
      <c r="D26750" s="56">
        <v>8.926744837721827E-2</v>
      </c>
      <c r="E26750" s="224" t="s">
        <v>2</v>
      </c>
      <c r="G26750" s="52"/>
      <c r="H26750" s="56"/>
      <c r="I26750" s="224"/>
    </row>
    <row r="26751" spans="1:9" x14ac:dyDescent="0.25">
      <c r="A26751" s="515">
        <v>68063</v>
      </c>
      <c r="B26751" s="515" t="s">
        <v>334</v>
      </c>
      <c r="C26751" s="52">
        <v>134277.838090481</v>
      </c>
      <c r="D26751" s="56">
        <v>0.1511451206103524</v>
      </c>
      <c r="E26751" s="224" t="s">
        <v>2</v>
      </c>
      <c r="G26751" s="52"/>
      <c r="H26751" s="56"/>
      <c r="I26751" s="224"/>
    </row>
    <row r="26752" spans="1:9" x14ac:dyDescent="0.25">
      <c r="A26752" s="515">
        <v>87083</v>
      </c>
      <c r="B26752" s="515" t="s">
        <v>406</v>
      </c>
      <c r="C26752" s="52">
        <v>249148.67294469601</v>
      </c>
      <c r="D26752" s="56">
        <v>7.9140692500316606E-2</v>
      </c>
      <c r="E26752" s="224" t="s">
        <v>2</v>
      </c>
      <c r="G26752" s="52"/>
      <c r="H26752" s="56"/>
      <c r="I26752" s="224"/>
    </row>
    <row r="26753" spans="1:9" x14ac:dyDescent="0.25">
      <c r="A26753" s="515">
        <v>27972</v>
      </c>
      <c r="B26753" s="515" t="s">
        <v>407</v>
      </c>
      <c r="C26753" s="52">
        <v>623283.05013873498</v>
      </c>
      <c r="D26753" s="56">
        <v>0.11517801738481466</v>
      </c>
      <c r="E26753" s="224" t="s">
        <v>2</v>
      </c>
      <c r="G26753" s="52"/>
      <c r="H26753" s="56"/>
      <c r="I26753" s="224"/>
    </row>
    <row r="26754" spans="1:9" x14ac:dyDescent="0.25">
      <c r="A26754" s="515">
        <v>99663</v>
      </c>
      <c r="C26754" s="52">
        <v>266548.94182368799</v>
      </c>
      <c r="D26754" s="56">
        <v>8.6229721081679273E-3</v>
      </c>
      <c r="E26754" s="224" t="s">
        <v>2</v>
      </c>
      <c r="G26754" s="52"/>
      <c r="H26754" s="56"/>
      <c r="I26754" s="224"/>
    </row>
    <row r="26755" spans="1:9" x14ac:dyDescent="0.25">
      <c r="A26755" s="515">
        <v>99147</v>
      </c>
      <c r="C26755" s="52">
        <v>479479.15625</v>
      </c>
      <c r="D26755" s="56">
        <v>0</v>
      </c>
      <c r="E26755" s="224" t="s">
        <v>2</v>
      </c>
      <c r="G26755" s="52"/>
      <c r="H26755" s="56"/>
      <c r="I26755" s="224"/>
    </row>
    <row r="26756" spans="1:9" x14ac:dyDescent="0.25">
      <c r="A26756" s="515">
        <v>59856</v>
      </c>
      <c r="C26756" s="52">
        <v>239044.21282617599</v>
      </c>
      <c r="D26756" s="56">
        <v>5.2430486548350537E-2</v>
      </c>
      <c r="E26756" s="224" t="s">
        <v>2</v>
      </c>
      <c r="G26756" s="52"/>
      <c r="H26756" s="56"/>
      <c r="I26756" s="224"/>
    </row>
    <row r="26757" spans="1:9" x14ac:dyDescent="0.25">
      <c r="A26757" s="515">
        <v>61955</v>
      </c>
      <c r="C26757" s="52">
        <v>42307.938127460002</v>
      </c>
      <c r="D26757" s="56">
        <v>-0.10699282916646949</v>
      </c>
      <c r="E26757" s="224" t="s">
        <v>2</v>
      </c>
      <c r="G26757" s="52"/>
      <c r="H26757" s="56"/>
      <c r="I26757" s="224"/>
    </row>
    <row r="26758" spans="1:9" x14ac:dyDescent="0.25">
      <c r="A26758" s="515">
        <v>47965</v>
      </c>
      <c r="B26758" s="515" t="s">
        <v>408</v>
      </c>
      <c r="C26758" s="52">
        <v>150124.44</v>
      </c>
      <c r="D26758" s="56">
        <v>0</v>
      </c>
      <c r="E26758" s="224" t="s">
        <v>2</v>
      </c>
      <c r="G26758" s="52"/>
      <c r="H26758" s="56"/>
      <c r="I26758" s="224"/>
    </row>
    <row r="26759" spans="1:9" x14ac:dyDescent="0.25">
      <c r="A26759" s="515">
        <v>52351</v>
      </c>
      <c r="B26759" s="515" t="s">
        <v>404</v>
      </c>
      <c r="C26759" s="52">
        <v>292283.494493087</v>
      </c>
      <c r="D26759" s="56">
        <v>5.2836034153634359E-2</v>
      </c>
      <c r="E26759" s="224" t="s">
        <v>2</v>
      </c>
      <c r="G26759" s="52"/>
      <c r="H26759" s="56"/>
      <c r="I26759" s="224"/>
    </row>
    <row r="26760" spans="1:9" x14ac:dyDescent="0.25">
      <c r="A26760" s="515">
        <v>46103</v>
      </c>
      <c r="B26760" s="515" t="s">
        <v>403</v>
      </c>
      <c r="C26760" s="52">
        <v>174181.22564212201</v>
      </c>
      <c r="D26760" s="56">
        <v>9.1066254011620204E-2</v>
      </c>
      <c r="E26760" s="224" t="s">
        <v>2</v>
      </c>
      <c r="G26760" s="52"/>
      <c r="H26760" s="56"/>
      <c r="I26760" s="224"/>
    </row>
    <row r="26761" spans="1:9" x14ac:dyDescent="0.25">
      <c r="A26761" s="515">
        <v>80444</v>
      </c>
      <c r="B26761" s="515" t="s">
        <v>401</v>
      </c>
      <c r="C26761" s="52">
        <v>518606.42008330597</v>
      </c>
      <c r="D26761" s="56">
        <v>0.11169836875810031</v>
      </c>
      <c r="E26761" s="224" t="s">
        <v>2</v>
      </c>
      <c r="G26761" s="52"/>
      <c r="H26761" s="56"/>
      <c r="I26761" s="224"/>
    </row>
    <row r="26762" spans="1:9" x14ac:dyDescent="0.25">
      <c r="A26762" s="515">
        <v>96710</v>
      </c>
      <c r="B26762" s="515" t="s">
        <v>399</v>
      </c>
      <c r="C26762" s="52">
        <v>953389.04203113203</v>
      </c>
      <c r="D26762" s="56">
        <v>6.6301787417046787E-2</v>
      </c>
      <c r="E26762" s="224" t="s">
        <v>2</v>
      </c>
      <c r="G26762" s="52"/>
      <c r="H26762" s="56"/>
      <c r="I26762" s="224"/>
    </row>
    <row r="26763" spans="1:9" x14ac:dyDescent="0.25">
      <c r="A26763" s="515">
        <v>96757</v>
      </c>
      <c r="B26763" s="515" t="s">
        <v>400</v>
      </c>
      <c r="C26763" s="52">
        <v>326768.76595744601</v>
      </c>
      <c r="D26763" s="56">
        <v>0</v>
      </c>
      <c r="E26763" s="224" t="s">
        <v>2</v>
      </c>
      <c r="G26763" s="52"/>
      <c r="H26763" s="56"/>
      <c r="I26763" s="224"/>
    </row>
    <row r="26764" spans="1:9" x14ac:dyDescent="0.25">
      <c r="A26764" s="515">
        <v>44619</v>
      </c>
      <c r="B26764" s="515" t="s">
        <v>397</v>
      </c>
      <c r="C26764" s="52">
        <v>139934.847682283</v>
      </c>
      <c r="D26764" s="56">
        <v>7.5281211093226288E-2</v>
      </c>
      <c r="E26764" s="224" t="s">
        <v>2</v>
      </c>
      <c r="G26764" s="52"/>
      <c r="H26764" s="56"/>
      <c r="I26764" s="224"/>
    </row>
    <row r="26765" spans="1:9" x14ac:dyDescent="0.25">
      <c r="A26765" s="515">
        <v>26030</v>
      </c>
      <c r="B26765" s="515" t="s">
        <v>389</v>
      </c>
      <c r="C26765" s="52">
        <v>56953.120211912901</v>
      </c>
      <c r="D26765" s="56">
        <v>0.16279065097901282</v>
      </c>
      <c r="E26765" s="224" t="s">
        <v>2</v>
      </c>
      <c r="G26765" s="52"/>
      <c r="H26765" s="56"/>
      <c r="I26765" s="224"/>
    </row>
    <row r="26766" spans="1:9" x14ac:dyDescent="0.25">
      <c r="A26766" s="515">
        <v>91948</v>
      </c>
      <c r="B26766" s="515" t="s">
        <v>396</v>
      </c>
      <c r="C26766" s="52">
        <v>524148.21099474397</v>
      </c>
      <c r="D26766" s="56">
        <v>0</v>
      </c>
      <c r="E26766" s="224" t="s">
        <v>2</v>
      </c>
      <c r="G26766" s="52"/>
      <c r="H26766" s="56"/>
      <c r="I26766" s="224"/>
    </row>
    <row r="26767" spans="1:9" x14ac:dyDescent="0.25">
      <c r="A26767" s="515">
        <v>49886</v>
      </c>
      <c r="B26767" s="515" t="s">
        <v>923</v>
      </c>
      <c r="C26767" s="52">
        <v>123388.8711019</v>
      </c>
      <c r="D26767" s="56">
        <v>0</v>
      </c>
      <c r="E26767" s="224" t="s">
        <v>2</v>
      </c>
      <c r="G26767" s="52"/>
      <c r="H26767" s="56"/>
      <c r="I26767" s="224"/>
    </row>
    <row r="26768" spans="1:9" x14ac:dyDescent="0.25">
      <c r="A26768" s="515">
        <v>12978</v>
      </c>
      <c r="B26768" s="515" t="s">
        <v>395</v>
      </c>
      <c r="C26768" s="52">
        <v>124886.52490849</v>
      </c>
      <c r="D26768" s="56">
        <v>0.14317504150542418</v>
      </c>
      <c r="E26768" s="224" t="s">
        <v>2</v>
      </c>
      <c r="G26768" s="52"/>
      <c r="H26768" s="56"/>
      <c r="I26768" s="224"/>
    </row>
    <row r="26769" spans="1:9" x14ac:dyDescent="0.25">
      <c r="A26769" s="515">
        <v>22623</v>
      </c>
      <c r="B26769" s="515" t="s">
        <v>321</v>
      </c>
      <c r="C26769" s="52">
        <v>282888.47268000001</v>
      </c>
      <c r="D26769" s="56">
        <v>6.9399103773651119E-2</v>
      </c>
      <c r="E26769" s="224" t="s">
        <v>2</v>
      </c>
      <c r="G26769" s="52"/>
      <c r="H26769" s="56"/>
      <c r="I26769" s="224"/>
    </row>
    <row r="26770" spans="1:9" x14ac:dyDescent="0.25">
      <c r="A26770" s="515">
        <v>60474</v>
      </c>
      <c r="B26770" s="515" t="s">
        <v>394</v>
      </c>
      <c r="C26770" s="52">
        <v>152126.58694681601</v>
      </c>
      <c r="D26770" s="56">
        <v>4.3210654658775917E-2</v>
      </c>
      <c r="E26770" s="224" t="s">
        <v>2</v>
      </c>
      <c r="G26770" s="52"/>
      <c r="H26770" s="56"/>
      <c r="I26770" s="224"/>
    </row>
    <row r="26771" spans="1:9" x14ac:dyDescent="0.25">
      <c r="A26771" s="515">
        <v>45070</v>
      </c>
      <c r="C26771" s="52">
        <v>100707.501884732</v>
      </c>
      <c r="D26771" s="56">
        <v>9.0829983150196247E-2</v>
      </c>
      <c r="E26771" s="224" t="s">
        <v>2</v>
      </c>
      <c r="G26771" s="52"/>
      <c r="H26771" s="56"/>
      <c r="I26771" s="224"/>
    </row>
    <row r="26772" spans="1:9" x14ac:dyDescent="0.25">
      <c r="A26772" s="515">
        <v>52168</v>
      </c>
      <c r="C26772" s="52">
        <v>131013.27394146701</v>
      </c>
      <c r="D26772" s="56">
        <v>0</v>
      </c>
      <c r="E26772" s="224" t="s">
        <v>2</v>
      </c>
      <c r="G26772" s="52"/>
      <c r="H26772" s="56"/>
      <c r="I26772" s="224"/>
    </row>
    <row r="26773" spans="1:9" x14ac:dyDescent="0.25">
      <c r="A26773" s="515">
        <v>18934</v>
      </c>
      <c r="B26773" s="515" t="s">
        <v>294</v>
      </c>
      <c r="C26773" s="52">
        <v>666768.04774204094</v>
      </c>
      <c r="D26773" s="56">
        <v>7.1598921114934225E-2</v>
      </c>
      <c r="E26773" s="224" t="s">
        <v>2</v>
      </c>
      <c r="G26773" s="52"/>
      <c r="H26773" s="56"/>
      <c r="I26773" s="224"/>
    </row>
    <row r="26774" spans="1:9" x14ac:dyDescent="0.25">
      <c r="A26774" s="515">
        <v>31722</v>
      </c>
      <c r="B26774" s="515" t="s">
        <v>392</v>
      </c>
      <c r="C26774" s="52">
        <v>51126.420542628402</v>
      </c>
      <c r="D26774" s="56">
        <v>0</v>
      </c>
      <c r="E26774" s="224" t="s">
        <v>2</v>
      </c>
      <c r="G26774" s="52"/>
      <c r="H26774" s="56"/>
      <c r="I26774" s="224"/>
    </row>
    <row r="26775" spans="1:9" x14ac:dyDescent="0.25">
      <c r="A26775" s="515">
        <v>75573</v>
      </c>
      <c r="B26775" s="515" t="s">
        <v>390</v>
      </c>
      <c r="C26775" s="52">
        <v>128949.68080884501</v>
      </c>
      <c r="D26775" s="56">
        <v>0</v>
      </c>
      <c r="E26775" s="224" t="s">
        <v>2</v>
      </c>
      <c r="G26775" s="52"/>
      <c r="H26775" s="56"/>
      <c r="I26775" s="224"/>
    </row>
    <row r="26776" spans="1:9" x14ac:dyDescent="0.25">
      <c r="A26776" s="515">
        <v>79350</v>
      </c>
      <c r="B26776" s="515" t="s">
        <v>354</v>
      </c>
      <c r="C26776" s="52">
        <v>127548.950521527</v>
      </c>
      <c r="D26776" s="56">
        <v>6.3900167573982106E-2</v>
      </c>
      <c r="E26776" s="224" t="s">
        <v>2</v>
      </c>
      <c r="G26776" s="52"/>
      <c r="H26776" s="56"/>
      <c r="I26776" s="224"/>
    </row>
    <row r="26777" spans="1:9" x14ac:dyDescent="0.25">
      <c r="A26777" s="515">
        <v>54927</v>
      </c>
      <c r="B26777" s="515" t="s">
        <v>383</v>
      </c>
      <c r="C26777" s="52">
        <v>259952.81977254199</v>
      </c>
      <c r="D26777" s="56">
        <v>2.493480444661151E-2</v>
      </c>
      <c r="E26777" s="224" t="s">
        <v>2</v>
      </c>
      <c r="G26777" s="52"/>
      <c r="H26777" s="56"/>
      <c r="I26777" s="224"/>
    </row>
    <row r="26778" spans="1:9" x14ac:dyDescent="0.25">
      <c r="A26778" s="515">
        <v>74026</v>
      </c>
      <c r="B26778" s="515" t="s">
        <v>385</v>
      </c>
      <c r="C26778" s="52">
        <v>95433.480070463993</v>
      </c>
      <c r="D26778" s="56">
        <v>9.2807062771881707E-2</v>
      </c>
      <c r="E26778" s="224" t="s">
        <v>2</v>
      </c>
      <c r="G26778" s="52"/>
      <c r="H26778" s="56"/>
      <c r="I26778" s="224"/>
    </row>
    <row r="26779" spans="1:9" x14ac:dyDescent="0.25">
      <c r="A26779" s="515">
        <v>95728</v>
      </c>
      <c r="B26779" s="515" t="s">
        <v>387</v>
      </c>
      <c r="C26779" s="52">
        <v>705769.13118765701</v>
      </c>
      <c r="D26779" s="56">
        <v>5.0494426345158813E-2</v>
      </c>
      <c r="E26779" s="224" t="s">
        <v>2</v>
      </c>
      <c r="G26779" s="52"/>
      <c r="H26779" s="56"/>
      <c r="I26779" s="224"/>
    </row>
    <row r="26780" spans="1:9" x14ac:dyDescent="0.25">
      <c r="A26780" s="515">
        <v>98164</v>
      </c>
      <c r="B26780" s="515" t="s">
        <v>384</v>
      </c>
      <c r="C26780" s="52">
        <v>682695.42721802497</v>
      </c>
      <c r="D26780" s="56">
        <v>-5.5949723250298268E-2</v>
      </c>
      <c r="E26780" s="224" t="s">
        <v>2</v>
      </c>
      <c r="G26780" s="52"/>
      <c r="H26780" s="56"/>
      <c r="I26780" s="224"/>
    </row>
    <row r="26781" spans="1:9" x14ac:dyDescent="0.25">
      <c r="A26781" s="515">
        <v>62570</v>
      </c>
      <c r="B26781" s="515" t="s">
        <v>386</v>
      </c>
      <c r="C26781" s="52">
        <v>67678.712835240498</v>
      </c>
      <c r="D26781" s="56">
        <v>0.12374718018551463</v>
      </c>
      <c r="E26781" s="224" t="s">
        <v>2</v>
      </c>
      <c r="G26781" s="52"/>
      <c r="H26781" s="56"/>
      <c r="I26781" s="224"/>
    </row>
    <row r="26782" spans="1:9" x14ac:dyDescent="0.25">
      <c r="A26782" s="515">
        <v>80623</v>
      </c>
      <c r="B26782" s="515" t="s">
        <v>382</v>
      </c>
      <c r="C26782" s="52">
        <v>345606.95342125901</v>
      </c>
      <c r="D26782" s="56">
        <v>7.492268438230712E-2</v>
      </c>
      <c r="E26782" s="224" t="s">
        <v>2</v>
      </c>
      <c r="G26782" s="52"/>
      <c r="H26782" s="56"/>
      <c r="I26782" s="224"/>
    </row>
    <row r="26783" spans="1:9" x14ac:dyDescent="0.25">
      <c r="A26783" s="515">
        <v>43157</v>
      </c>
      <c r="B26783" s="515" t="s">
        <v>345</v>
      </c>
      <c r="C26783" s="52">
        <v>152119.275236952</v>
      </c>
      <c r="D26783" s="56">
        <v>0.12766974537525141</v>
      </c>
      <c r="E26783" s="224" t="s">
        <v>2</v>
      </c>
      <c r="G26783" s="52"/>
      <c r="H26783" s="56"/>
      <c r="I26783" s="224"/>
    </row>
    <row r="26784" spans="1:9" x14ac:dyDescent="0.25">
      <c r="A26784" s="515">
        <v>34140</v>
      </c>
      <c r="B26784" s="515" t="s">
        <v>365</v>
      </c>
      <c r="C26784" s="52">
        <v>579489.02889269299</v>
      </c>
      <c r="D26784" s="56">
        <v>0.17568271443799055</v>
      </c>
      <c r="E26784" s="224" t="s">
        <v>2</v>
      </c>
      <c r="G26784" s="52"/>
      <c r="H26784" s="56"/>
      <c r="I26784" s="224"/>
    </row>
    <row r="26785" spans="1:9" x14ac:dyDescent="0.25">
      <c r="A26785" s="515">
        <v>15646</v>
      </c>
      <c r="B26785" s="515" t="s">
        <v>297</v>
      </c>
      <c r="C26785" s="52">
        <v>162730.3125</v>
      </c>
      <c r="D26785" s="56">
        <v>0</v>
      </c>
      <c r="E26785" s="224" t="s">
        <v>2</v>
      </c>
      <c r="G26785" s="52"/>
      <c r="H26785" s="56"/>
      <c r="I26785" s="224"/>
    </row>
    <row r="26786" spans="1:9" x14ac:dyDescent="0.25">
      <c r="A26786" s="515">
        <v>78661</v>
      </c>
      <c r="B26786" s="515" t="s">
        <v>380</v>
      </c>
      <c r="C26786" s="52">
        <v>214969.535162327</v>
      </c>
      <c r="D26786" s="56">
        <v>0</v>
      </c>
      <c r="E26786" s="224" t="s">
        <v>2</v>
      </c>
      <c r="G26786" s="52"/>
      <c r="H26786" s="56"/>
      <c r="I26786" s="224"/>
    </row>
    <row r="26787" spans="1:9" x14ac:dyDescent="0.25">
      <c r="A26787" s="515">
        <v>77863</v>
      </c>
      <c r="B26787" s="515" t="s">
        <v>346</v>
      </c>
      <c r="C26787" s="52">
        <v>180983.04200612899</v>
      </c>
      <c r="D26787" s="56">
        <v>0</v>
      </c>
      <c r="E26787" s="224" t="s">
        <v>2</v>
      </c>
      <c r="G26787" s="52"/>
      <c r="H26787" s="56"/>
      <c r="I26787" s="224"/>
    </row>
    <row r="26788" spans="1:9" x14ac:dyDescent="0.25">
      <c r="A26788" s="515">
        <v>13410</v>
      </c>
      <c r="B26788" s="515" t="s">
        <v>378</v>
      </c>
      <c r="C26788" s="52">
        <v>118177.839327222</v>
      </c>
      <c r="D26788" s="56">
        <v>0.21592029245275254</v>
      </c>
      <c r="E26788" s="224" t="s">
        <v>2</v>
      </c>
      <c r="G26788" s="52"/>
      <c r="H26788" s="56"/>
      <c r="I26788" s="224"/>
    </row>
    <row r="26789" spans="1:9" x14ac:dyDescent="0.25">
      <c r="A26789" s="515">
        <v>89004</v>
      </c>
      <c r="B26789" s="515" t="s">
        <v>323</v>
      </c>
      <c r="C26789" s="52">
        <v>622075.65872391302</v>
      </c>
      <c r="D26789" s="56">
        <v>3.4418940191212742E-2</v>
      </c>
      <c r="E26789" s="224" t="s">
        <v>2</v>
      </c>
      <c r="G26789" s="52"/>
      <c r="H26789" s="56"/>
      <c r="I26789" s="224"/>
    </row>
    <row r="26790" spans="1:9" x14ac:dyDescent="0.25">
      <c r="A26790" s="515">
        <v>87562</v>
      </c>
      <c r="B26790" s="515" t="s">
        <v>767</v>
      </c>
      <c r="C26790" s="52">
        <v>307138.40219426202</v>
      </c>
      <c r="D26790" s="56">
        <v>0</v>
      </c>
      <c r="E26790" s="224" t="s">
        <v>2</v>
      </c>
      <c r="G26790" s="52"/>
      <c r="H26790" s="56"/>
      <c r="I26790" s="224"/>
    </row>
    <row r="26791" spans="1:9" x14ac:dyDescent="0.25">
      <c r="A26791" s="515">
        <v>81141</v>
      </c>
      <c r="C26791" s="52">
        <v>152109.94086454</v>
      </c>
      <c r="D26791" s="56">
        <v>-9.1846758559505168E-4</v>
      </c>
      <c r="E26791" s="224" t="s">
        <v>2</v>
      </c>
      <c r="G26791" s="52"/>
      <c r="H26791" s="56"/>
      <c r="I26791" s="224"/>
    </row>
    <row r="26792" spans="1:9" x14ac:dyDescent="0.25">
      <c r="A26792" s="515">
        <v>24474</v>
      </c>
      <c r="C26792" s="52">
        <v>90882.054087534096</v>
      </c>
      <c r="D26792" s="56">
        <v>5.8559142936558978E-2</v>
      </c>
      <c r="E26792" s="224" t="s">
        <v>2</v>
      </c>
      <c r="G26792" s="52"/>
      <c r="H26792" s="56"/>
      <c r="I26792" s="224"/>
    </row>
    <row r="26793" spans="1:9" x14ac:dyDescent="0.25">
      <c r="A26793" s="515">
        <v>53537</v>
      </c>
      <c r="B26793" s="515" t="s">
        <v>379</v>
      </c>
      <c r="C26793" s="52">
        <v>182208.38983050801</v>
      </c>
      <c r="D26793" s="56">
        <v>0</v>
      </c>
      <c r="E26793" s="224" t="s">
        <v>2</v>
      </c>
      <c r="G26793" s="52"/>
      <c r="H26793" s="56"/>
      <c r="I26793" s="224"/>
    </row>
    <row r="26794" spans="1:9" x14ac:dyDescent="0.25">
      <c r="A26794" s="515">
        <v>34139</v>
      </c>
      <c r="B26794" s="515" t="s">
        <v>365</v>
      </c>
      <c r="C26794" s="52">
        <v>306066.64753215702</v>
      </c>
      <c r="D26794" s="56">
        <v>0.14610905606209296</v>
      </c>
      <c r="E26794" s="224" t="s">
        <v>2</v>
      </c>
      <c r="G26794" s="52"/>
      <c r="H26794" s="56"/>
      <c r="I26794" s="224"/>
    </row>
    <row r="26795" spans="1:9" x14ac:dyDescent="0.25">
      <c r="A26795" s="515">
        <v>42032</v>
      </c>
      <c r="C26795" s="52">
        <v>63182.036317410697</v>
      </c>
      <c r="D26795" s="56">
        <v>0.23265913877584088</v>
      </c>
      <c r="E26795" s="224" t="s">
        <v>2</v>
      </c>
      <c r="G26795" s="52"/>
      <c r="H26795" s="56"/>
      <c r="I26795" s="224"/>
    </row>
    <row r="26796" spans="1:9" x14ac:dyDescent="0.25">
      <c r="A26796" s="515">
        <v>26451</v>
      </c>
      <c r="B26796" s="515" t="s">
        <v>347</v>
      </c>
      <c r="C26796" s="52">
        <v>130549.96755995799</v>
      </c>
      <c r="D26796" s="56">
        <v>3.6216185693124986E-2</v>
      </c>
      <c r="E26796" s="224" t="s">
        <v>2</v>
      </c>
      <c r="G26796" s="52"/>
      <c r="H26796" s="56"/>
      <c r="I26796" s="224"/>
    </row>
    <row r="26797" spans="1:9" x14ac:dyDescent="0.25">
      <c r="A26797" s="515">
        <v>61936</v>
      </c>
      <c r="B26797" s="515" t="s">
        <v>417</v>
      </c>
      <c r="C26797" s="52">
        <v>87069.444444444394</v>
      </c>
      <c r="D26797" s="56">
        <v>0</v>
      </c>
      <c r="E26797" s="224" t="s">
        <v>2</v>
      </c>
      <c r="G26797" s="52"/>
      <c r="H26797" s="56"/>
      <c r="I26797" s="224"/>
    </row>
    <row r="26798" spans="1:9" x14ac:dyDescent="0.25">
      <c r="A26798" s="515">
        <v>15624</v>
      </c>
      <c r="B26798" s="515" t="s">
        <v>297</v>
      </c>
      <c r="C26798" s="52">
        <v>80900.419354838697</v>
      </c>
      <c r="D26798" s="56">
        <v>0</v>
      </c>
      <c r="E26798" s="224" t="s">
        <v>2</v>
      </c>
      <c r="G26798" s="52"/>
      <c r="H26798" s="56"/>
      <c r="I26798" s="224"/>
    </row>
    <row r="26799" spans="1:9" x14ac:dyDescent="0.25">
      <c r="A26799" s="515">
        <v>66024</v>
      </c>
      <c r="B26799" s="515" t="s">
        <v>371</v>
      </c>
      <c r="C26799" s="52">
        <v>87220.475244352099</v>
      </c>
      <c r="D26799" s="56">
        <v>2.6126650157078404E-2</v>
      </c>
      <c r="E26799" s="224" t="s">
        <v>2</v>
      </c>
      <c r="G26799" s="52"/>
      <c r="H26799" s="56"/>
      <c r="I26799" s="224"/>
    </row>
    <row r="26800" spans="1:9" x14ac:dyDescent="0.25">
      <c r="A26800" s="515">
        <v>59477</v>
      </c>
      <c r="B26800" s="515" t="s">
        <v>373</v>
      </c>
      <c r="C26800" s="52">
        <v>283448.93227038998</v>
      </c>
      <c r="D26800" s="56">
        <v>0.10112041615190552</v>
      </c>
      <c r="E26800" s="224" t="s">
        <v>2</v>
      </c>
      <c r="G26800" s="52"/>
      <c r="H26800" s="56"/>
      <c r="I26800" s="224"/>
    </row>
    <row r="26801" spans="1:9" x14ac:dyDescent="0.25">
      <c r="A26801" s="515">
        <v>15502</v>
      </c>
      <c r="B26801" s="515" t="s">
        <v>370</v>
      </c>
      <c r="C26801" s="52">
        <v>264320.32257158001</v>
      </c>
      <c r="D26801" s="56">
        <v>7.7324943116196962E-2</v>
      </c>
      <c r="E26801" s="224" t="s">
        <v>2</v>
      </c>
      <c r="G26801" s="52"/>
      <c r="H26801" s="56"/>
      <c r="I26801" s="224"/>
    </row>
    <row r="26802" spans="1:9" x14ac:dyDescent="0.25">
      <c r="A26802" s="515">
        <v>47881</v>
      </c>
      <c r="B26802" s="515" t="s">
        <v>318</v>
      </c>
      <c r="C26802" s="52">
        <v>116476.41989592501</v>
      </c>
      <c r="D26802" s="56">
        <v>9.9754648891140704E-2</v>
      </c>
      <c r="E26802" s="224" t="s">
        <v>2</v>
      </c>
      <c r="G26802" s="52"/>
      <c r="H26802" s="56"/>
      <c r="I26802" s="224"/>
    </row>
    <row r="26803" spans="1:9" x14ac:dyDescent="0.25">
      <c r="A26803" s="515">
        <v>85619</v>
      </c>
      <c r="B26803" s="515" t="s">
        <v>368</v>
      </c>
      <c r="C26803" s="52">
        <v>475171.96695605101</v>
      </c>
      <c r="D26803" s="56">
        <v>0.10246772980843158</v>
      </c>
      <c r="E26803" s="224" t="s">
        <v>2</v>
      </c>
      <c r="G26803" s="52"/>
      <c r="H26803" s="56"/>
      <c r="I26803" s="224"/>
    </row>
    <row r="26804" spans="1:9" x14ac:dyDescent="0.25">
      <c r="A26804" s="515">
        <v>38760</v>
      </c>
      <c r="B26804" s="515" t="s">
        <v>1204</v>
      </c>
      <c r="C26804" s="52">
        <v>75230.717339372903</v>
      </c>
      <c r="D26804" s="56">
        <v>0</v>
      </c>
      <c r="E26804" s="224" t="s">
        <v>2</v>
      </c>
      <c r="G26804" s="52"/>
      <c r="H26804" s="56"/>
      <c r="I26804" s="224"/>
    </row>
    <row r="26805" spans="1:9" x14ac:dyDescent="0.25">
      <c r="A26805" s="515">
        <v>15866</v>
      </c>
      <c r="B26805" s="515" t="s">
        <v>876</v>
      </c>
      <c r="C26805" s="52">
        <v>93099.857142857101</v>
      </c>
      <c r="D26805" s="56">
        <v>0</v>
      </c>
      <c r="E26805" s="224" t="s">
        <v>2</v>
      </c>
      <c r="G26805" s="52"/>
      <c r="H26805" s="56"/>
      <c r="I26805" s="224"/>
    </row>
    <row r="26806" spans="1:9" x14ac:dyDescent="0.25">
      <c r="A26806" s="515">
        <v>73567</v>
      </c>
      <c r="B26806" s="515" t="s">
        <v>364</v>
      </c>
      <c r="C26806" s="52">
        <v>110984.92058325</v>
      </c>
      <c r="D26806" s="56">
        <v>9.6163515960509205E-2</v>
      </c>
      <c r="E26806" s="224" t="s">
        <v>2</v>
      </c>
      <c r="G26806" s="52"/>
      <c r="H26806" s="56"/>
      <c r="I26806" s="224"/>
    </row>
    <row r="26807" spans="1:9" x14ac:dyDescent="0.25">
      <c r="A26807" s="515">
        <v>88024</v>
      </c>
      <c r="B26807" s="515" t="s">
        <v>317</v>
      </c>
      <c r="C26807" s="52">
        <v>202680.90196865299</v>
      </c>
      <c r="D26807" s="56">
        <v>9.5636468039614439E-2</v>
      </c>
      <c r="E26807" s="224" t="s">
        <v>2</v>
      </c>
      <c r="G26807" s="52"/>
      <c r="H26807" s="56"/>
      <c r="I26807" s="224"/>
    </row>
    <row r="26808" spans="1:9" x14ac:dyDescent="0.25">
      <c r="A26808" s="515">
        <v>34138</v>
      </c>
      <c r="B26808" s="515" t="s">
        <v>365</v>
      </c>
      <c r="C26808" s="52">
        <v>185380.49375076601</v>
      </c>
      <c r="D26808" s="56">
        <v>0</v>
      </c>
      <c r="E26808" s="224" t="s">
        <v>2</v>
      </c>
      <c r="G26808" s="52"/>
      <c r="H26808" s="56"/>
      <c r="I26808" s="224"/>
    </row>
    <row r="26809" spans="1:9" x14ac:dyDescent="0.25">
      <c r="A26809" s="515">
        <v>73557</v>
      </c>
      <c r="B26809" s="515" t="s">
        <v>364</v>
      </c>
      <c r="C26809" s="52">
        <v>224819.71544015399</v>
      </c>
      <c r="D26809" s="56">
        <v>0.10790997057792188</v>
      </c>
      <c r="E26809" s="224" t="s">
        <v>2</v>
      </c>
      <c r="G26809" s="52"/>
      <c r="H26809" s="56"/>
      <c r="I26809" s="224"/>
    </row>
    <row r="26810" spans="1:9" x14ac:dyDescent="0.25">
      <c r="A26810" s="515">
        <v>3832</v>
      </c>
      <c r="C26810" s="52">
        <v>448092.916793774</v>
      </c>
      <c r="D26810" s="56">
        <v>0.21999702907330787</v>
      </c>
      <c r="E26810" s="224" t="s">
        <v>2</v>
      </c>
      <c r="G26810" s="52"/>
      <c r="H26810" s="56"/>
      <c r="I26810" s="224"/>
    </row>
    <row r="26811" spans="1:9" x14ac:dyDescent="0.25">
      <c r="A26811" s="515">
        <v>52030</v>
      </c>
      <c r="C26811" s="52">
        <v>127217.567459816</v>
      </c>
      <c r="D26811" s="56">
        <v>0</v>
      </c>
      <c r="E26811" s="224" t="s">
        <v>2</v>
      </c>
      <c r="G26811" s="52"/>
      <c r="H26811" s="56"/>
      <c r="I26811" s="224"/>
    </row>
    <row r="26812" spans="1:9" x14ac:dyDescent="0.25">
      <c r="A26812" s="515">
        <v>36371</v>
      </c>
      <c r="B26812" s="515" t="s">
        <v>369</v>
      </c>
      <c r="C26812" s="52">
        <v>116012.45283018801</v>
      </c>
      <c r="D26812" s="56">
        <v>0</v>
      </c>
      <c r="E26812" s="224" t="s">
        <v>2</v>
      </c>
      <c r="G26812" s="52"/>
      <c r="H26812" s="56"/>
      <c r="I26812" s="224"/>
    </row>
    <row r="26813" spans="1:9" x14ac:dyDescent="0.25">
      <c r="A26813" s="515">
        <v>85349</v>
      </c>
      <c r="B26813" s="515" t="s">
        <v>524</v>
      </c>
      <c r="C26813" s="52">
        <v>234440.52687235101</v>
      </c>
      <c r="D26813" s="56">
        <v>0.13334743397076182</v>
      </c>
      <c r="E26813" s="224" t="s">
        <v>2</v>
      </c>
      <c r="G26813" s="52"/>
      <c r="H26813" s="56"/>
      <c r="I26813" s="224"/>
    </row>
    <row r="26814" spans="1:9" x14ac:dyDescent="0.25">
      <c r="A26814" s="515">
        <v>43525</v>
      </c>
      <c r="B26814" s="515" t="s">
        <v>300</v>
      </c>
      <c r="C26814" s="52">
        <v>244130.14901596599</v>
      </c>
      <c r="D26814" s="56">
        <v>5.9392526581670158E-2</v>
      </c>
      <c r="E26814" s="224" t="s">
        <v>2</v>
      </c>
      <c r="G26814" s="52"/>
      <c r="H26814" s="56"/>
      <c r="I26814" s="224"/>
    </row>
    <row r="26815" spans="1:9" x14ac:dyDescent="0.25">
      <c r="A26815" s="515">
        <v>43547</v>
      </c>
      <c r="B26815" s="515" t="s">
        <v>300</v>
      </c>
      <c r="C26815" s="52">
        <v>127278.36708515399</v>
      </c>
      <c r="D26815" s="56">
        <v>0.14723556082695433</v>
      </c>
      <c r="E26815" s="224" t="s">
        <v>2</v>
      </c>
      <c r="G26815" s="52"/>
      <c r="H26815" s="56"/>
      <c r="I26815" s="224"/>
    </row>
    <row r="26816" spans="1:9" x14ac:dyDescent="0.25">
      <c r="A26816" s="515">
        <v>15647</v>
      </c>
      <c r="B26816" s="515" t="s">
        <v>297</v>
      </c>
      <c r="C26816" s="52">
        <v>114775.85</v>
      </c>
      <c r="D26816" s="56">
        <v>0</v>
      </c>
      <c r="E26816" s="224" t="s">
        <v>2</v>
      </c>
      <c r="G26816" s="52"/>
      <c r="H26816" s="56"/>
      <c r="I26816" s="224"/>
    </row>
    <row r="26817" spans="1:9" x14ac:dyDescent="0.25">
      <c r="A26817" s="515">
        <v>47884</v>
      </c>
      <c r="B26817" s="515" t="s">
        <v>318</v>
      </c>
      <c r="C26817" s="52">
        <v>64404.833053235103</v>
      </c>
      <c r="D26817" s="56">
        <v>4.5890630354666083E-2</v>
      </c>
      <c r="E26817" s="224" t="s">
        <v>2</v>
      </c>
      <c r="G26817" s="52"/>
      <c r="H26817" s="56"/>
      <c r="I26817" s="224"/>
    </row>
    <row r="26818" spans="1:9" x14ac:dyDescent="0.25">
      <c r="A26818" s="515">
        <v>84763</v>
      </c>
      <c r="B26818" s="515" t="s">
        <v>522</v>
      </c>
      <c r="C26818" s="52">
        <v>664672.58391123405</v>
      </c>
      <c r="D26818" s="56">
        <v>9.4997293315403908E-2</v>
      </c>
      <c r="E26818" s="224" t="s">
        <v>2</v>
      </c>
      <c r="G26818" s="52"/>
      <c r="H26818" s="56"/>
      <c r="I26818" s="224"/>
    </row>
    <row r="26819" spans="1:9" x14ac:dyDescent="0.25">
      <c r="A26819" s="515">
        <v>60933</v>
      </c>
      <c r="C26819" s="52">
        <v>85162.208372392604</v>
      </c>
      <c r="D26819" s="56">
        <v>1.706090246427865E-2</v>
      </c>
      <c r="E26819" s="224" t="s">
        <v>2</v>
      </c>
      <c r="G26819" s="52"/>
      <c r="H26819" s="56"/>
      <c r="I26819" s="224"/>
    </row>
    <row r="26820" spans="1:9" x14ac:dyDescent="0.25">
      <c r="A26820" s="515">
        <v>99747</v>
      </c>
      <c r="C26820" s="52">
        <v>180008.93981451099</v>
      </c>
      <c r="D26820" s="56">
        <v>-5.8555482124764508E-3</v>
      </c>
      <c r="E26820" s="224" t="s">
        <v>2</v>
      </c>
      <c r="G26820" s="52"/>
      <c r="H26820" s="56"/>
      <c r="I26820" s="224"/>
    </row>
    <row r="26821" spans="1:9" x14ac:dyDescent="0.25">
      <c r="A26821" s="515">
        <v>19731</v>
      </c>
      <c r="B26821" s="515" t="s">
        <v>294</v>
      </c>
      <c r="C26821" s="52">
        <v>222482.832196498</v>
      </c>
      <c r="D26821" s="56">
        <v>9.5631703527769146E-2</v>
      </c>
      <c r="E26821" s="224" t="s">
        <v>2</v>
      </c>
      <c r="G26821" s="52"/>
      <c r="H26821" s="56"/>
      <c r="I26821" s="224"/>
    </row>
    <row r="26822" spans="1:9" x14ac:dyDescent="0.25">
      <c r="A26822" s="515">
        <v>12791</v>
      </c>
      <c r="C26822" s="52">
        <v>243489.934086122</v>
      </c>
      <c r="D26822" s="56">
        <v>0.23462754219532933</v>
      </c>
      <c r="E26822" s="224" t="s">
        <v>2</v>
      </c>
      <c r="G26822" s="52"/>
      <c r="H26822" s="56"/>
      <c r="I26822" s="224"/>
    </row>
    <row r="26823" spans="1:9" x14ac:dyDescent="0.25">
      <c r="A26823" s="515">
        <v>95424</v>
      </c>
      <c r="B26823" s="515" t="s">
        <v>363</v>
      </c>
      <c r="C26823" s="52">
        <v>310811.44936033699</v>
      </c>
      <c r="D26823" s="56">
        <v>-3.5645817008752724E-2</v>
      </c>
      <c r="E26823" s="224" t="s">
        <v>2</v>
      </c>
      <c r="G26823" s="52"/>
      <c r="H26823" s="56"/>
      <c r="I26823" s="224"/>
    </row>
    <row r="26824" spans="1:9" x14ac:dyDescent="0.25">
      <c r="A26824" s="515">
        <v>26750</v>
      </c>
      <c r="B26824" s="515" t="s">
        <v>362</v>
      </c>
      <c r="C26824" s="52">
        <v>37175.871933328002</v>
      </c>
      <c r="D26824" s="56">
        <v>0.10177008672910562</v>
      </c>
      <c r="E26824" s="224" t="s">
        <v>2</v>
      </c>
      <c r="G26824" s="52"/>
      <c r="H26824" s="56"/>
      <c r="I26824" s="224"/>
    </row>
    <row r="26825" spans="1:9" x14ac:dyDescent="0.25">
      <c r="A26825" s="515">
        <v>13314</v>
      </c>
      <c r="B26825" s="515" t="s">
        <v>361</v>
      </c>
      <c r="C26825" s="52">
        <v>111750.812118271</v>
      </c>
      <c r="D26825" s="56">
        <v>0.12025164459948665</v>
      </c>
      <c r="E26825" s="224" t="s">
        <v>2</v>
      </c>
      <c r="G26825" s="52"/>
      <c r="H26825" s="56"/>
      <c r="I26825" s="224"/>
    </row>
    <row r="26826" spans="1:9" x14ac:dyDescent="0.25">
      <c r="A26826" s="515">
        <v>15736</v>
      </c>
      <c r="B26826" s="515" t="s">
        <v>297</v>
      </c>
      <c r="C26826" s="52">
        <v>140521.91256800899</v>
      </c>
      <c r="D26826" s="56">
        <v>0.11059689428324808</v>
      </c>
      <c r="E26826" s="224" t="s">
        <v>2</v>
      </c>
      <c r="G26826" s="52"/>
      <c r="H26826" s="56"/>
      <c r="I26826" s="224"/>
    </row>
    <row r="26827" spans="1:9" x14ac:dyDescent="0.25">
      <c r="A26827" s="515">
        <v>33855</v>
      </c>
      <c r="B26827" s="515" t="s">
        <v>359</v>
      </c>
      <c r="C26827" s="52">
        <v>259859.58474926799</v>
      </c>
      <c r="D26827" s="56">
        <v>0.12691334697508411</v>
      </c>
      <c r="E26827" s="224" t="s">
        <v>2</v>
      </c>
      <c r="G26827" s="52"/>
      <c r="H26827" s="56"/>
      <c r="I26827" s="224"/>
    </row>
    <row r="26828" spans="1:9" x14ac:dyDescent="0.25">
      <c r="A26828" s="515">
        <v>19733</v>
      </c>
      <c r="B26828" s="515" t="s">
        <v>294</v>
      </c>
      <c r="C26828" s="52">
        <v>257093.420974168</v>
      </c>
      <c r="D26828" s="56">
        <v>2.6183038071824163E-2</v>
      </c>
      <c r="E26828" s="224" t="s">
        <v>2</v>
      </c>
      <c r="G26828" s="52"/>
      <c r="H26828" s="56"/>
      <c r="I26828" s="224"/>
    </row>
    <row r="26829" spans="1:9" x14ac:dyDescent="0.25">
      <c r="A26829" s="515">
        <v>15313</v>
      </c>
      <c r="B26829" s="515" t="s">
        <v>297</v>
      </c>
      <c r="C26829" s="52">
        <v>125775.266696632</v>
      </c>
      <c r="D26829" s="56">
        <v>7.8957534649037667E-2</v>
      </c>
      <c r="E26829" s="224" t="s">
        <v>2</v>
      </c>
      <c r="G26829" s="52"/>
      <c r="H26829" s="56"/>
      <c r="I26829" s="224"/>
    </row>
    <row r="26830" spans="1:9" x14ac:dyDescent="0.25">
      <c r="A26830" s="515">
        <v>21913</v>
      </c>
      <c r="B26830" s="515" t="s">
        <v>294</v>
      </c>
      <c r="C26830" s="52">
        <v>253715.65556766401</v>
      </c>
      <c r="D26830" s="56">
        <v>5.0851808573010035E-3</v>
      </c>
      <c r="E26830" s="224" t="s">
        <v>2</v>
      </c>
      <c r="G26830" s="52"/>
      <c r="H26830" s="56"/>
      <c r="I26830" s="224"/>
    </row>
    <row r="26831" spans="1:9" x14ac:dyDescent="0.25">
      <c r="A26831" s="515">
        <v>38631</v>
      </c>
      <c r="B26831" s="515" t="s">
        <v>822</v>
      </c>
      <c r="C26831" s="52">
        <v>68254.259780804496</v>
      </c>
      <c r="D26831" s="56">
        <v>0</v>
      </c>
      <c r="E26831" s="224" t="s">
        <v>2</v>
      </c>
      <c r="G26831" s="52"/>
      <c r="H26831" s="56"/>
      <c r="I26831" s="224"/>
    </row>
    <row r="26832" spans="1:9" x14ac:dyDescent="0.25">
      <c r="A26832" s="515">
        <v>48627</v>
      </c>
      <c r="C26832" s="52">
        <v>291820.57464129699</v>
      </c>
      <c r="D26832" s="56">
        <v>0.441618035762122</v>
      </c>
      <c r="E26832" s="224" t="s">
        <v>2</v>
      </c>
      <c r="G26832" s="52"/>
      <c r="H26832" s="56"/>
      <c r="I26832" s="224"/>
    </row>
    <row r="26833" spans="1:9" x14ac:dyDescent="0.25">
      <c r="A26833" s="515">
        <v>42369</v>
      </c>
      <c r="C26833" s="52">
        <v>88594.456235158796</v>
      </c>
      <c r="D26833" s="56">
        <v>0.230857998460029</v>
      </c>
      <c r="E26833" s="224" t="s">
        <v>2</v>
      </c>
      <c r="G26833" s="52"/>
      <c r="H26833" s="56"/>
      <c r="I26833" s="224"/>
    </row>
    <row r="26834" spans="1:9" x14ac:dyDescent="0.25">
      <c r="A26834" s="515">
        <v>67053</v>
      </c>
      <c r="C26834" s="52">
        <v>110872.468620441</v>
      </c>
      <c r="D26834" s="56">
        <v>0.1143517197223069</v>
      </c>
      <c r="E26834" s="224" t="s">
        <v>2</v>
      </c>
      <c r="G26834" s="52"/>
      <c r="H26834" s="56"/>
      <c r="I26834" s="224"/>
    </row>
    <row r="26835" spans="1:9" x14ac:dyDescent="0.25">
      <c r="A26835" s="515">
        <v>77614</v>
      </c>
      <c r="C26835" s="52">
        <v>140576.48311216201</v>
      </c>
      <c r="D26835" s="56">
        <v>2.715758008468841E-2</v>
      </c>
      <c r="E26835" s="224" t="s">
        <v>2</v>
      </c>
      <c r="G26835" s="52"/>
      <c r="H26835" s="56"/>
      <c r="I26835" s="224"/>
    </row>
    <row r="26836" spans="1:9" x14ac:dyDescent="0.25">
      <c r="A26836" s="515">
        <v>16847</v>
      </c>
      <c r="B26836" s="515" t="s">
        <v>876</v>
      </c>
      <c r="C26836" s="52">
        <v>113277</v>
      </c>
      <c r="D26836" s="56">
        <v>0</v>
      </c>
      <c r="E26836" s="224" t="s">
        <v>2</v>
      </c>
      <c r="G26836" s="52"/>
      <c r="H26836" s="56"/>
      <c r="I26836" s="224"/>
    </row>
    <row r="26837" spans="1:9" x14ac:dyDescent="0.25">
      <c r="A26837" s="515">
        <v>43437</v>
      </c>
      <c r="B26837" s="515" t="s">
        <v>300</v>
      </c>
      <c r="C26837" s="52">
        <v>115893.882011682</v>
      </c>
      <c r="D26837" s="56">
        <v>-2.011982993280137E-2</v>
      </c>
      <c r="E26837" s="224" t="s">
        <v>2</v>
      </c>
      <c r="G26837" s="52"/>
      <c r="H26837" s="56"/>
      <c r="I26837" s="224"/>
    </row>
    <row r="26838" spans="1:9" x14ac:dyDescent="0.25">
      <c r="A26838" s="515">
        <v>95433</v>
      </c>
      <c r="B26838" s="515" t="s">
        <v>331</v>
      </c>
      <c r="C26838" s="52">
        <v>649157.83133204503</v>
      </c>
      <c r="D26838" s="56">
        <v>0.13058318627131041</v>
      </c>
      <c r="E26838" s="224" t="s">
        <v>2</v>
      </c>
      <c r="G26838" s="52"/>
      <c r="H26838" s="56"/>
      <c r="I26838" s="224"/>
    </row>
    <row r="26839" spans="1:9" x14ac:dyDescent="0.25">
      <c r="A26839" s="515">
        <v>79366</v>
      </c>
      <c r="B26839" s="515" t="s">
        <v>354</v>
      </c>
      <c r="C26839" s="52">
        <v>348019.96888054698</v>
      </c>
      <c r="D26839" s="56">
        <v>4.431415142554132E-2</v>
      </c>
      <c r="E26839" s="224" t="s">
        <v>2</v>
      </c>
      <c r="G26839" s="52"/>
      <c r="H26839" s="56"/>
      <c r="I26839" s="224"/>
    </row>
    <row r="26840" spans="1:9" x14ac:dyDescent="0.25">
      <c r="A26840" s="515">
        <v>31307</v>
      </c>
      <c r="B26840" s="515" t="s">
        <v>351</v>
      </c>
      <c r="C26840" s="52">
        <v>192338.48927896001</v>
      </c>
      <c r="D26840" s="56">
        <v>0</v>
      </c>
      <c r="E26840" s="224" t="s">
        <v>2</v>
      </c>
      <c r="G26840" s="52"/>
      <c r="H26840" s="56"/>
      <c r="I26840" s="224"/>
    </row>
    <row r="26841" spans="1:9" x14ac:dyDescent="0.25">
      <c r="A26841" s="515">
        <v>82055</v>
      </c>
      <c r="B26841" s="515" t="s">
        <v>353</v>
      </c>
      <c r="C26841" s="52">
        <v>356417.01781627402</v>
      </c>
      <c r="D26841" s="56">
        <v>0.10669798057314257</v>
      </c>
      <c r="E26841" s="224" t="s">
        <v>2</v>
      </c>
      <c r="G26841" s="52"/>
      <c r="H26841" s="56"/>
      <c r="I26841" s="224"/>
    </row>
    <row r="26842" spans="1:9" x14ac:dyDescent="0.25">
      <c r="A26842" s="515">
        <v>95553</v>
      </c>
      <c r="B26842" s="515" t="s">
        <v>352</v>
      </c>
      <c r="C26842" s="52">
        <v>417733.92918959301</v>
      </c>
      <c r="D26842" s="56">
        <v>-7.0326445369291751E-2</v>
      </c>
      <c r="E26842" s="224" t="s">
        <v>2</v>
      </c>
      <c r="G26842" s="52"/>
      <c r="H26842" s="56"/>
      <c r="I26842" s="224"/>
    </row>
    <row r="26843" spans="1:9" x14ac:dyDescent="0.25">
      <c r="A26843" s="515">
        <v>45351</v>
      </c>
      <c r="B26843" s="515" t="s">
        <v>316</v>
      </c>
      <c r="C26843" s="52">
        <v>223407.52737662499</v>
      </c>
      <c r="D26843" s="56">
        <v>4.7705085908310435E-3</v>
      </c>
      <c r="E26843" s="224" t="s">
        <v>2</v>
      </c>
      <c r="G26843" s="52"/>
      <c r="H26843" s="56"/>
      <c r="I26843" s="224"/>
    </row>
    <row r="26844" spans="1:9" x14ac:dyDescent="0.25">
      <c r="A26844" s="515">
        <v>55609</v>
      </c>
      <c r="B26844" s="515" t="s">
        <v>350</v>
      </c>
      <c r="C26844" s="52">
        <v>330555.96172279399</v>
      </c>
      <c r="D26844" s="56">
        <v>4.7538018649526427E-2</v>
      </c>
      <c r="E26844" s="224" t="s">
        <v>2</v>
      </c>
      <c r="G26844" s="52"/>
      <c r="H26844" s="56"/>
      <c r="I26844" s="224"/>
    </row>
    <row r="26845" spans="1:9" x14ac:dyDescent="0.25">
      <c r="A26845" s="515">
        <v>74052</v>
      </c>
      <c r="B26845" s="515" t="s">
        <v>348</v>
      </c>
      <c r="C26845" s="52">
        <v>86393.408373447397</v>
      </c>
      <c r="D26845" s="56">
        <v>-1.4846117594151765E-2</v>
      </c>
      <c r="E26845" s="224" t="s">
        <v>2</v>
      </c>
      <c r="G26845" s="52"/>
      <c r="H26845" s="56"/>
      <c r="I26845" s="224"/>
    </row>
    <row r="26846" spans="1:9" x14ac:dyDescent="0.25">
      <c r="A26846" s="515">
        <v>26563</v>
      </c>
      <c r="B26846" s="515" t="s">
        <v>302</v>
      </c>
      <c r="C26846" s="52">
        <v>72027.104757441994</v>
      </c>
      <c r="D26846" s="56">
        <v>0.21312140037157906</v>
      </c>
      <c r="E26846" s="224" t="s">
        <v>2</v>
      </c>
      <c r="G26846" s="52"/>
      <c r="H26846" s="56"/>
      <c r="I26846" s="224"/>
    </row>
    <row r="26847" spans="1:9" x14ac:dyDescent="0.25">
      <c r="A26847" s="515">
        <v>16372</v>
      </c>
      <c r="B26847" s="515" t="s">
        <v>349</v>
      </c>
      <c r="C26847" s="52">
        <v>101762.083204995</v>
      </c>
      <c r="D26847" s="56">
        <v>1.1603772303867914E-2</v>
      </c>
      <c r="E26847" s="224" t="s">
        <v>2</v>
      </c>
      <c r="G26847" s="52"/>
      <c r="H26847" s="56"/>
      <c r="I26847" s="224"/>
    </row>
    <row r="26848" spans="1:9" x14ac:dyDescent="0.25">
      <c r="A26848" s="515">
        <v>61848</v>
      </c>
      <c r="B26848" s="515" t="s">
        <v>999</v>
      </c>
      <c r="C26848" s="52">
        <v>67323.025580953894</v>
      </c>
      <c r="D26848" s="56">
        <v>3.7734862678992939E-2</v>
      </c>
      <c r="E26848" s="224" t="s">
        <v>2</v>
      </c>
      <c r="G26848" s="52"/>
      <c r="H26848" s="56"/>
      <c r="I26848" s="224"/>
    </row>
    <row r="26849" spans="1:9" x14ac:dyDescent="0.25">
      <c r="A26849" s="515">
        <v>77878</v>
      </c>
      <c r="B26849" s="515" t="s">
        <v>346</v>
      </c>
      <c r="C26849" s="52">
        <v>234625.54893460299</v>
      </c>
      <c r="D26849" s="56">
        <v>0</v>
      </c>
      <c r="E26849" s="224" t="s">
        <v>2</v>
      </c>
      <c r="G26849" s="52"/>
      <c r="H26849" s="56"/>
      <c r="I26849" s="224"/>
    </row>
    <row r="26850" spans="1:9" x14ac:dyDescent="0.25">
      <c r="A26850" s="515">
        <v>26560</v>
      </c>
      <c r="B26850" s="515" t="s">
        <v>302</v>
      </c>
      <c r="C26850" s="52">
        <v>61026.585151570798</v>
      </c>
      <c r="D26850" s="56">
        <v>0.14052752746112401</v>
      </c>
      <c r="E26850" s="224" t="s">
        <v>2</v>
      </c>
      <c r="G26850" s="52"/>
      <c r="H26850" s="56"/>
      <c r="I26850" s="224"/>
    </row>
    <row r="26851" spans="1:9" x14ac:dyDescent="0.25">
      <c r="A26851" s="515">
        <v>12724</v>
      </c>
      <c r="C26851" s="52">
        <v>304358.89500296302</v>
      </c>
      <c r="D26851" s="56">
        <v>0.19354649885568448</v>
      </c>
      <c r="E26851" s="224" t="s">
        <v>2</v>
      </c>
      <c r="G26851" s="52"/>
      <c r="H26851" s="56"/>
      <c r="I26851" s="224"/>
    </row>
    <row r="26852" spans="1:9" x14ac:dyDescent="0.25">
      <c r="A26852" s="515">
        <v>50652</v>
      </c>
      <c r="C26852" s="52">
        <v>95267</v>
      </c>
      <c r="D26852" s="56">
        <v>0</v>
      </c>
      <c r="E26852" s="224" t="s">
        <v>2</v>
      </c>
      <c r="G26852" s="52"/>
      <c r="H26852" s="56"/>
      <c r="I26852" s="224"/>
    </row>
    <row r="26853" spans="1:9" x14ac:dyDescent="0.25">
      <c r="A26853" s="515">
        <v>45378</v>
      </c>
      <c r="C26853" s="52">
        <v>118531.10797071</v>
      </c>
      <c r="D26853" s="56">
        <v>0.13157718261795603</v>
      </c>
      <c r="E26853" s="224" t="s">
        <v>2</v>
      </c>
      <c r="G26853" s="52"/>
      <c r="H26853" s="56"/>
      <c r="I26853" s="224"/>
    </row>
    <row r="26854" spans="1:9" x14ac:dyDescent="0.25">
      <c r="A26854" s="515">
        <v>63866</v>
      </c>
      <c r="C26854" s="52">
        <v>70257.222533869295</v>
      </c>
      <c r="D26854" s="56">
        <v>4.1992640411421714E-2</v>
      </c>
      <c r="E26854" s="224" t="s">
        <v>2</v>
      </c>
      <c r="G26854" s="52"/>
      <c r="H26854" s="56"/>
      <c r="I26854" s="224"/>
    </row>
    <row r="26855" spans="1:9" x14ac:dyDescent="0.25">
      <c r="A26855" s="515">
        <v>43018</v>
      </c>
      <c r="B26855" s="515" t="s">
        <v>345</v>
      </c>
      <c r="C26855" s="52">
        <v>190059.63132571999</v>
      </c>
      <c r="D26855" s="56">
        <v>0.18049999356164076</v>
      </c>
      <c r="E26855" s="224" t="s">
        <v>2</v>
      </c>
      <c r="G26855" s="52"/>
      <c r="H26855" s="56"/>
      <c r="I26855" s="224"/>
    </row>
    <row r="26856" spans="1:9" x14ac:dyDescent="0.25">
      <c r="A26856" s="515">
        <v>49796</v>
      </c>
      <c r="C26856" s="52">
        <v>577167.30045626801</v>
      </c>
      <c r="D26856" s="56">
        <v>6.3317837244891068E-2</v>
      </c>
      <c r="E26856" s="224" t="s">
        <v>2</v>
      </c>
      <c r="G26856" s="52"/>
      <c r="H26856" s="56"/>
      <c r="I26856" s="224"/>
    </row>
    <row r="26857" spans="1:9" x14ac:dyDescent="0.25">
      <c r="A26857" s="515">
        <v>62997</v>
      </c>
      <c r="C26857" s="52">
        <v>41363.555429942498</v>
      </c>
      <c r="D26857" s="56">
        <v>0.10606142795666298</v>
      </c>
      <c r="E26857" s="224" t="s">
        <v>2</v>
      </c>
      <c r="G26857" s="52"/>
      <c r="H26857" s="56"/>
      <c r="I26857" s="224"/>
    </row>
    <row r="26858" spans="1:9" x14ac:dyDescent="0.25">
      <c r="A26858" s="515">
        <v>85940</v>
      </c>
      <c r="C26858" s="52">
        <v>343345.29804122401</v>
      </c>
      <c r="D26858" s="56">
        <v>6.8903460073689721E-2</v>
      </c>
      <c r="E26858" s="224" t="s">
        <v>2</v>
      </c>
      <c r="G26858" s="52"/>
      <c r="H26858" s="56"/>
      <c r="I26858" s="224"/>
    </row>
    <row r="26859" spans="1:9" x14ac:dyDescent="0.25">
      <c r="A26859" s="515">
        <v>80453</v>
      </c>
      <c r="B26859" s="515" t="s">
        <v>401</v>
      </c>
      <c r="C26859" s="52">
        <v>545986.36119798606</v>
      </c>
      <c r="D26859" s="56">
        <v>-3.5099475246138288E-2</v>
      </c>
      <c r="E26859" s="224" t="s">
        <v>2</v>
      </c>
      <c r="G26859" s="52"/>
      <c r="H26859" s="56"/>
      <c r="I26859" s="224"/>
    </row>
    <row r="26860" spans="1:9" x14ac:dyDescent="0.25">
      <c r="A26860" s="515">
        <v>26574</v>
      </c>
      <c r="B26860" s="515" t="s">
        <v>302</v>
      </c>
      <c r="C26860" s="52">
        <v>75301.967659709</v>
      </c>
      <c r="D26860" s="56">
        <v>4.7994212405426062E-2</v>
      </c>
      <c r="E26860" s="224" t="s">
        <v>2</v>
      </c>
      <c r="G26860" s="52"/>
      <c r="H26860" s="56"/>
      <c r="I26860" s="224"/>
    </row>
    <row r="26861" spans="1:9" x14ac:dyDescent="0.25">
      <c r="A26861" s="515">
        <v>68016</v>
      </c>
      <c r="B26861" s="515" t="s">
        <v>367</v>
      </c>
      <c r="C26861" s="52">
        <v>318603.13951606402</v>
      </c>
      <c r="D26861" s="56">
        <v>7.3441768360580556E-2</v>
      </c>
      <c r="E26861" s="224" t="s">
        <v>2</v>
      </c>
      <c r="G26861" s="52"/>
      <c r="H26861" s="56"/>
      <c r="I26861" s="224"/>
    </row>
    <row r="26862" spans="1:9" x14ac:dyDescent="0.25">
      <c r="A26862" s="515">
        <v>44049</v>
      </c>
      <c r="B26862" s="515" t="s">
        <v>520</v>
      </c>
      <c r="C26862" s="52">
        <v>125991.233082541</v>
      </c>
      <c r="D26862" s="56">
        <v>0.16624072673028931</v>
      </c>
      <c r="E26862" s="224" t="s">
        <v>2</v>
      </c>
      <c r="G26862" s="52"/>
      <c r="H26862" s="56"/>
      <c r="I26862" s="224"/>
    </row>
    <row r="26863" spans="1:9" x14ac:dyDescent="0.25">
      <c r="A26863" s="515">
        <v>68330</v>
      </c>
      <c r="B26863" s="515" t="s">
        <v>486</v>
      </c>
      <c r="C26863" s="52">
        <v>130745.138496442</v>
      </c>
      <c r="D26863" s="56">
        <v>0</v>
      </c>
      <c r="E26863" s="224" t="s">
        <v>2</v>
      </c>
      <c r="G26863" s="52"/>
      <c r="H26863" s="56"/>
      <c r="I26863" s="224"/>
    </row>
    <row r="26864" spans="1:9" x14ac:dyDescent="0.25">
      <c r="A26864" s="515">
        <v>43735</v>
      </c>
      <c r="B26864" s="515" t="s">
        <v>518</v>
      </c>
      <c r="C26864" s="52">
        <v>118711.60786264</v>
      </c>
      <c r="D26864" s="56">
        <v>0.2600518957108946</v>
      </c>
      <c r="E26864" s="224" t="s">
        <v>2</v>
      </c>
      <c r="G26864" s="52"/>
      <c r="H26864" s="56"/>
      <c r="I26864" s="224"/>
    </row>
    <row r="26865" spans="1:9" x14ac:dyDescent="0.25">
      <c r="A26865" s="515">
        <v>33848</v>
      </c>
      <c r="B26865" s="515" t="s">
        <v>517</v>
      </c>
      <c r="C26865" s="52">
        <v>206064.23848042599</v>
      </c>
      <c r="D26865" s="56">
        <v>0.19412738048753778</v>
      </c>
      <c r="E26865" s="224" t="s">
        <v>2</v>
      </c>
      <c r="G26865" s="52"/>
      <c r="H26865" s="56"/>
      <c r="I26865" s="224"/>
    </row>
    <row r="26866" spans="1:9" x14ac:dyDescent="0.25">
      <c r="A26866" s="515">
        <v>21523</v>
      </c>
      <c r="C26866" s="52">
        <v>110713.196062562</v>
      </c>
      <c r="D26866" s="56">
        <v>0</v>
      </c>
      <c r="E26866" s="224" t="s">
        <v>2</v>
      </c>
      <c r="G26866" s="52"/>
      <c r="H26866" s="56"/>
      <c r="I26866" s="224"/>
    </row>
    <row r="26867" spans="1:9" x14ac:dyDescent="0.25">
      <c r="A26867" s="515">
        <v>15617</v>
      </c>
      <c r="B26867" s="515" t="s">
        <v>297</v>
      </c>
      <c r="C26867" s="52">
        <v>108541.02040816301</v>
      </c>
      <c r="D26867" s="56">
        <v>0</v>
      </c>
      <c r="E26867" s="224" t="s">
        <v>2</v>
      </c>
      <c r="G26867" s="52"/>
      <c r="H26867" s="56"/>
      <c r="I26867" s="224"/>
    </row>
    <row r="26868" spans="1:9" x14ac:dyDescent="0.25">
      <c r="A26868" s="515">
        <v>18913</v>
      </c>
      <c r="B26868" s="515" t="s">
        <v>294</v>
      </c>
      <c r="C26868" s="52">
        <v>861560.74873917596</v>
      </c>
      <c r="D26868" s="56">
        <v>8.0370444227206142E-2</v>
      </c>
      <c r="E26868" s="224" t="s">
        <v>2</v>
      </c>
      <c r="G26868" s="52"/>
      <c r="H26868" s="56"/>
      <c r="I26868" s="224"/>
    </row>
    <row r="26869" spans="1:9" x14ac:dyDescent="0.25">
      <c r="A26869" s="515">
        <v>47855</v>
      </c>
      <c r="B26869" s="515" t="s">
        <v>318</v>
      </c>
      <c r="C26869" s="52">
        <v>76479.143303447199</v>
      </c>
      <c r="D26869" s="56">
        <v>0.11732451698791574</v>
      </c>
      <c r="E26869" s="224" t="s">
        <v>2</v>
      </c>
      <c r="G26869" s="52"/>
      <c r="H26869" s="56"/>
      <c r="I26869" s="224"/>
    </row>
    <row r="26870" spans="1:9" x14ac:dyDescent="0.25">
      <c r="A26870" s="515">
        <v>18030</v>
      </c>
      <c r="B26870" s="515" t="s">
        <v>327</v>
      </c>
      <c r="C26870" s="52">
        <v>199779.06711767899</v>
      </c>
      <c r="D26870" s="56">
        <v>0.11075420727182814</v>
      </c>
      <c r="E26870" s="224" t="s">
        <v>2</v>
      </c>
      <c r="G26870" s="52"/>
      <c r="H26870" s="56"/>
      <c r="I26870" s="224"/>
    </row>
    <row r="26871" spans="1:9" x14ac:dyDescent="0.25">
      <c r="A26871" s="515">
        <v>96084</v>
      </c>
      <c r="B26871" s="515" t="s">
        <v>514</v>
      </c>
      <c r="C26871" s="52">
        <v>305595.528294802</v>
      </c>
      <c r="D26871" s="56">
        <v>3.8887171427353217E-3</v>
      </c>
      <c r="E26871" s="224" t="s">
        <v>2</v>
      </c>
      <c r="G26871" s="52"/>
      <c r="H26871" s="56"/>
      <c r="I26871" s="224"/>
    </row>
    <row r="26872" spans="1:9" x14ac:dyDescent="0.25">
      <c r="A26872" s="515">
        <v>40348</v>
      </c>
      <c r="B26872" s="515" t="s">
        <v>515</v>
      </c>
      <c r="C26872" s="52">
        <v>137749.90407969299</v>
      </c>
      <c r="D26872" s="56">
        <v>0.19143940396457651</v>
      </c>
      <c r="E26872" s="224" t="s">
        <v>2</v>
      </c>
      <c r="G26872" s="52"/>
      <c r="H26872" s="56"/>
      <c r="I26872" s="224"/>
    </row>
    <row r="26873" spans="1:9" x14ac:dyDescent="0.25">
      <c r="A26873" s="515">
        <v>62953</v>
      </c>
      <c r="B26873" s="515" t="s">
        <v>846</v>
      </c>
      <c r="C26873" s="52">
        <v>26710.2012361938</v>
      </c>
      <c r="D26873" s="56">
        <v>0</v>
      </c>
      <c r="E26873" s="224" t="s">
        <v>2</v>
      </c>
      <c r="G26873" s="52"/>
      <c r="H26873" s="56"/>
      <c r="I26873" s="224"/>
    </row>
    <row r="26874" spans="1:9" x14ac:dyDescent="0.25">
      <c r="A26874" s="515">
        <v>68058</v>
      </c>
      <c r="B26874" s="515" t="s">
        <v>367</v>
      </c>
      <c r="C26874" s="52">
        <v>328300.147751168</v>
      </c>
      <c r="D26874" s="56">
        <v>5.8444212439710562E-2</v>
      </c>
      <c r="E26874" s="224" t="s">
        <v>2</v>
      </c>
      <c r="G26874" s="52"/>
      <c r="H26874" s="56"/>
      <c r="I26874" s="224"/>
    </row>
    <row r="26875" spans="1:9" x14ac:dyDescent="0.25">
      <c r="A26875" s="515">
        <v>12973</v>
      </c>
      <c r="B26875" s="515" t="s">
        <v>511</v>
      </c>
      <c r="C26875" s="52">
        <v>102831.868781429</v>
      </c>
      <c r="D26875" s="56">
        <v>5.5354443078409983E-2</v>
      </c>
      <c r="E26875" s="224" t="s">
        <v>2</v>
      </c>
      <c r="G26875" s="52"/>
      <c r="H26875" s="56"/>
      <c r="I26875" s="224"/>
    </row>
    <row r="26876" spans="1:9" x14ac:dyDescent="0.25">
      <c r="A26876" s="515">
        <v>18219</v>
      </c>
      <c r="B26876" s="515" t="s">
        <v>512</v>
      </c>
      <c r="C26876" s="52">
        <v>221175.80811065901</v>
      </c>
      <c r="D26876" s="56">
        <v>4.3060522721393588E-2</v>
      </c>
      <c r="E26876" s="224" t="s">
        <v>2</v>
      </c>
      <c r="G26876" s="52"/>
      <c r="H26876" s="56"/>
      <c r="I26876" s="224"/>
    </row>
    <row r="26877" spans="1:9" x14ac:dyDescent="0.25">
      <c r="A26877" s="515">
        <v>46144</v>
      </c>
      <c r="B26877" s="515" t="s">
        <v>403</v>
      </c>
      <c r="C26877" s="52">
        <v>136070.470542922</v>
      </c>
      <c r="D26877" s="56">
        <v>0</v>
      </c>
      <c r="E26877" s="224" t="s">
        <v>2</v>
      </c>
      <c r="G26877" s="52"/>
      <c r="H26877" s="56"/>
      <c r="I26877" s="224"/>
    </row>
    <row r="26878" spans="1:9" x14ac:dyDescent="0.25">
      <c r="A26878" s="515">
        <v>80705</v>
      </c>
      <c r="B26878" s="515" t="s">
        <v>510</v>
      </c>
      <c r="C26878" s="52">
        <v>178539.21550585699</v>
      </c>
      <c r="D26878" s="56">
        <v>8.432678081343141E-2</v>
      </c>
      <c r="E26878" s="224" t="s">
        <v>2</v>
      </c>
      <c r="G26878" s="52"/>
      <c r="H26878" s="56"/>
      <c r="I26878" s="224"/>
    </row>
    <row r="26879" spans="1:9" x14ac:dyDescent="0.25">
      <c r="A26879" s="515">
        <v>21762</v>
      </c>
      <c r="B26879" s="515" t="s">
        <v>321</v>
      </c>
      <c r="C26879" s="52">
        <v>271798.96425123903</v>
      </c>
      <c r="D26879" s="56">
        <v>0</v>
      </c>
      <c r="E26879" s="224" t="s">
        <v>2</v>
      </c>
      <c r="G26879" s="52"/>
      <c r="H26879" s="56"/>
      <c r="I26879" s="224"/>
    </row>
    <row r="26880" spans="1:9" x14ac:dyDescent="0.25">
      <c r="A26880" s="515">
        <v>63874</v>
      </c>
      <c r="C26880" s="52">
        <v>75502.731086482294</v>
      </c>
      <c r="D26880" s="56">
        <v>9.1631316792981823E-2</v>
      </c>
      <c r="E26880" s="224" t="s">
        <v>2</v>
      </c>
      <c r="G26880" s="52"/>
      <c r="H26880" s="56"/>
      <c r="I26880" s="224"/>
    </row>
    <row r="26881" spans="1:9" x14ac:dyDescent="0.25">
      <c r="A26881" s="515">
        <v>95956</v>
      </c>
      <c r="C26881" s="52">
        <v>300470.21679316403</v>
      </c>
      <c r="D26881" s="56">
        <v>3.9818624277906667E-2</v>
      </c>
      <c r="E26881" s="224" t="s">
        <v>2</v>
      </c>
      <c r="G26881" s="52"/>
      <c r="H26881" s="56"/>
      <c r="I26881" s="224"/>
    </row>
    <row r="26882" spans="1:9" x14ac:dyDescent="0.25">
      <c r="A26882" s="515">
        <v>95950</v>
      </c>
      <c r="C26882" s="52">
        <v>274422.99655811302</v>
      </c>
      <c r="D26882" s="56">
        <v>6.4179472210622174E-2</v>
      </c>
      <c r="E26882" s="224" t="s">
        <v>2</v>
      </c>
      <c r="G26882" s="52"/>
      <c r="H26882" s="56"/>
      <c r="I26882" s="224"/>
    </row>
    <row r="26883" spans="1:9" x14ac:dyDescent="0.25">
      <c r="A26883" s="515">
        <v>59081</v>
      </c>
      <c r="C26883" s="52">
        <v>658155.24927488202</v>
      </c>
      <c r="D26883" s="56">
        <v>3.1015296469950545E-2</v>
      </c>
      <c r="E26883" s="224" t="s">
        <v>2</v>
      </c>
      <c r="G26883" s="52"/>
      <c r="H26883" s="56"/>
      <c r="I26883" s="224"/>
    </row>
    <row r="26884" spans="1:9" x14ac:dyDescent="0.25">
      <c r="A26884" s="515">
        <v>13784</v>
      </c>
      <c r="B26884" s="515" t="s">
        <v>507</v>
      </c>
      <c r="C26884" s="52">
        <v>141500.932744091</v>
      </c>
      <c r="D26884" s="56">
        <v>-2.4350370648243526E-3</v>
      </c>
      <c r="E26884" s="224" t="s">
        <v>2</v>
      </c>
      <c r="G26884" s="52"/>
      <c r="H26884" s="56"/>
      <c r="I26884" s="224"/>
    </row>
    <row r="26885" spans="1:9" x14ac:dyDescent="0.25">
      <c r="A26885" s="515">
        <v>45062</v>
      </c>
      <c r="B26885" s="515" t="s">
        <v>344</v>
      </c>
      <c r="C26885" s="52">
        <v>172864.712111247</v>
      </c>
      <c r="D26885" s="56">
        <v>7.6828001748989738E-2</v>
      </c>
      <c r="E26885" s="224" t="s">
        <v>2</v>
      </c>
      <c r="G26885" s="52"/>
      <c r="H26885" s="56"/>
      <c r="I26885" s="224"/>
    </row>
    <row r="26886" spans="1:9" x14ac:dyDescent="0.25">
      <c r="A26886" s="515">
        <v>26323</v>
      </c>
      <c r="B26886" s="515" t="s">
        <v>347</v>
      </c>
      <c r="C26886" s="52">
        <v>61275.485174156704</v>
      </c>
      <c r="D26886" s="56">
        <v>0.23959469443320178</v>
      </c>
      <c r="E26886" s="224" t="s">
        <v>2</v>
      </c>
      <c r="G26886" s="52"/>
      <c r="H26886" s="56"/>
      <c r="I26886" s="224"/>
    </row>
    <row r="26887" spans="1:9" x14ac:dyDescent="0.25">
      <c r="A26887" s="515">
        <v>67340</v>
      </c>
      <c r="B26887" s="515" t="s">
        <v>377</v>
      </c>
      <c r="C26887" s="52">
        <v>58302.680089777801</v>
      </c>
      <c r="D26887" s="56">
        <v>8.0097058951206973E-2</v>
      </c>
      <c r="E26887" s="224" t="s">
        <v>2</v>
      </c>
      <c r="G26887" s="52"/>
      <c r="H26887" s="56"/>
      <c r="I26887" s="224"/>
    </row>
    <row r="26888" spans="1:9" x14ac:dyDescent="0.25">
      <c r="A26888" s="515">
        <v>55087</v>
      </c>
      <c r="B26888" s="515" t="s">
        <v>504</v>
      </c>
      <c r="C26888" s="52">
        <v>219282.044952453</v>
      </c>
      <c r="D26888" s="56">
        <v>5.1398231296863904E-2</v>
      </c>
      <c r="E26888" s="224" t="s">
        <v>2</v>
      </c>
      <c r="G26888" s="52"/>
      <c r="H26888" s="56"/>
      <c r="I26888" s="224"/>
    </row>
    <row r="26889" spans="1:9" x14ac:dyDescent="0.25">
      <c r="A26889" s="515">
        <v>31648</v>
      </c>
      <c r="B26889" s="515" t="s">
        <v>505</v>
      </c>
      <c r="C26889" s="52">
        <v>67731.988640368407</v>
      </c>
      <c r="D26889" s="56">
        <v>-2.862655036011582E-2</v>
      </c>
      <c r="E26889" s="224" t="s">
        <v>2</v>
      </c>
      <c r="G26889" s="52"/>
      <c r="H26889" s="56"/>
      <c r="I26889" s="224"/>
    </row>
    <row r="26890" spans="1:9" x14ac:dyDescent="0.25">
      <c r="A26890" s="515">
        <v>21524</v>
      </c>
      <c r="B26890" s="515" t="s">
        <v>362</v>
      </c>
      <c r="C26890" s="52">
        <v>160831.96683095899</v>
      </c>
      <c r="D26890" s="56">
        <v>0</v>
      </c>
      <c r="E26890" s="224" t="s">
        <v>2</v>
      </c>
      <c r="G26890" s="52"/>
      <c r="H26890" s="56"/>
      <c r="I26890" s="224"/>
    </row>
    <row r="26891" spans="1:9" x14ac:dyDescent="0.25">
      <c r="A26891" s="515">
        <v>84033</v>
      </c>
      <c r="B26891" s="515" t="s">
        <v>502</v>
      </c>
      <c r="C26891" s="52">
        <v>552468.36933883396</v>
      </c>
      <c r="D26891" s="56">
        <v>0</v>
      </c>
      <c r="E26891" s="224" t="s">
        <v>2</v>
      </c>
      <c r="G26891" s="52"/>
      <c r="H26891" s="56"/>
      <c r="I26891" s="224"/>
    </row>
    <row r="26892" spans="1:9" x14ac:dyDescent="0.25">
      <c r="A26892" s="515">
        <v>77456</v>
      </c>
      <c r="B26892" s="515" t="s">
        <v>333</v>
      </c>
      <c r="C26892" s="52">
        <v>145530.336411111</v>
      </c>
      <c r="D26892" s="56">
        <v>0</v>
      </c>
      <c r="E26892" s="224" t="s">
        <v>2</v>
      </c>
      <c r="G26892" s="52"/>
      <c r="H26892" s="56"/>
      <c r="I26892" s="224"/>
    </row>
    <row r="26893" spans="1:9" x14ac:dyDescent="0.25">
      <c r="A26893" s="515">
        <v>19437</v>
      </c>
      <c r="B26893" s="515" t="s">
        <v>294</v>
      </c>
      <c r="C26893" s="52">
        <v>891115.20301173104</v>
      </c>
      <c r="D26893" s="56">
        <v>6.0250205949522795E-2</v>
      </c>
      <c r="E26893" s="224" t="s">
        <v>2</v>
      </c>
      <c r="G26893" s="52"/>
      <c r="H26893" s="56"/>
      <c r="I26893" s="224"/>
    </row>
    <row r="26894" spans="1:9" x14ac:dyDescent="0.25">
      <c r="A26894" s="515">
        <v>43156</v>
      </c>
      <c r="B26894" s="515" t="s">
        <v>345</v>
      </c>
      <c r="C26894" s="52">
        <v>132570.60077600501</v>
      </c>
      <c r="D26894" s="56">
        <v>-4.2760431883132645E-2</v>
      </c>
      <c r="E26894" s="224" t="s">
        <v>2</v>
      </c>
      <c r="G26894" s="52"/>
      <c r="H26894" s="56"/>
      <c r="I26894" s="224"/>
    </row>
    <row r="26895" spans="1:9" x14ac:dyDescent="0.25">
      <c r="A26895" s="515">
        <v>33930</v>
      </c>
      <c r="B26895" s="515" t="s">
        <v>501</v>
      </c>
      <c r="C26895" s="52">
        <v>422005.87974768301</v>
      </c>
      <c r="D26895" s="56">
        <v>0.20291873521596138</v>
      </c>
      <c r="E26895" s="224" t="s">
        <v>2</v>
      </c>
      <c r="G26895" s="52"/>
      <c r="H26895" s="56"/>
      <c r="I26895" s="224"/>
    </row>
    <row r="26896" spans="1:9" x14ac:dyDescent="0.25">
      <c r="A26896" s="515">
        <v>83656</v>
      </c>
      <c r="B26896" s="515" t="s">
        <v>500</v>
      </c>
      <c r="C26896" s="52">
        <v>298766.664993093</v>
      </c>
      <c r="D26896" s="56">
        <v>3.9666418025366176E-2</v>
      </c>
      <c r="E26896" s="224" t="s">
        <v>2</v>
      </c>
      <c r="G26896" s="52"/>
      <c r="H26896" s="56"/>
      <c r="I26896" s="224"/>
    </row>
    <row r="26897" spans="1:9" x14ac:dyDescent="0.25">
      <c r="A26897" s="515">
        <v>67016</v>
      </c>
      <c r="B26897" s="515" t="s">
        <v>485</v>
      </c>
      <c r="C26897" s="52">
        <v>157901.15238572899</v>
      </c>
      <c r="D26897" s="56">
        <v>7.717704577418906E-2</v>
      </c>
      <c r="E26897" s="224" t="s">
        <v>2</v>
      </c>
      <c r="G26897" s="52"/>
      <c r="H26897" s="56"/>
      <c r="I26897" s="224"/>
    </row>
    <row r="26898" spans="1:9" x14ac:dyDescent="0.25">
      <c r="A26898" s="515">
        <v>49674</v>
      </c>
      <c r="B26898" s="515" t="s">
        <v>366</v>
      </c>
      <c r="C26898" s="52">
        <v>750300.58720829803</v>
      </c>
      <c r="D26898" s="56">
        <v>0.1178099067768284</v>
      </c>
      <c r="E26898" s="224" t="s">
        <v>2</v>
      </c>
      <c r="G26898" s="52"/>
      <c r="H26898" s="56"/>
      <c r="I26898" s="224"/>
    </row>
    <row r="26899" spans="1:9" x14ac:dyDescent="0.25">
      <c r="A26899" s="515">
        <v>52166</v>
      </c>
      <c r="C26899" s="52">
        <v>106546.014807014</v>
      </c>
      <c r="D26899" s="56">
        <v>0</v>
      </c>
      <c r="E26899" s="224" t="s">
        <v>2</v>
      </c>
      <c r="G26899" s="52"/>
      <c r="H26899" s="56"/>
      <c r="I26899" s="224"/>
    </row>
    <row r="26900" spans="1:9" x14ac:dyDescent="0.25">
      <c r="A26900" s="515">
        <v>62093</v>
      </c>
      <c r="B26900" s="515" t="s">
        <v>498</v>
      </c>
      <c r="C26900" s="52">
        <v>40611.173803854901</v>
      </c>
      <c r="D26900" s="56">
        <v>6.1944202883589946E-3</v>
      </c>
      <c r="E26900" s="224" t="s">
        <v>2</v>
      </c>
      <c r="G26900" s="52"/>
      <c r="H26900" s="56"/>
      <c r="I26900" s="224"/>
    </row>
    <row r="26901" spans="1:9" x14ac:dyDescent="0.25">
      <c r="A26901" s="515">
        <v>63868</v>
      </c>
      <c r="C26901" s="52">
        <v>71470.748756594898</v>
      </c>
      <c r="D26901" s="56">
        <v>0.11406492196721657</v>
      </c>
      <c r="E26901" s="224" t="s">
        <v>2</v>
      </c>
      <c r="G26901" s="52"/>
      <c r="H26901" s="56"/>
      <c r="I26901" s="224"/>
    </row>
    <row r="26902" spans="1:9" x14ac:dyDescent="0.25">
      <c r="A26902" s="515">
        <v>25646</v>
      </c>
      <c r="B26902" s="515" t="s">
        <v>464</v>
      </c>
      <c r="C26902" s="52">
        <v>95434.278682878503</v>
      </c>
      <c r="D26902" s="56">
        <v>0.21409169188346955</v>
      </c>
      <c r="E26902" s="224" t="s">
        <v>2</v>
      </c>
      <c r="G26902" s="52"/>
      <c r="H26902" s="56"/>
      <c r="I26902" s="224"/>
    </row>
    <row r="26903" spans="1:9" x14ac:dyDescent="0.25">
      <c r="A26903" s="515">
        <v>49791</v>
      </c>
      <c r="C26903" s="52">
        <v>166065.18824986601</v>
      </c>
      <c r="D26903" s="56">
        <v>3.4724258165859646E-2</v>
      </c>
      <c r="E26903" s="224" t="s">
        <v>2</v>
      </c>
      <c r="G26903" s="52"/>
      <c r="H26903" s="56"/>
      <c r="I26903" s="224"/>
    </row>
    <row r="26904" spans="1:9" x14ac:dyDescent="0.25">
      <c r="A26904" s="515">
        <v>81030</v>
      </c>
      <c r="C26904" s="52">
        <v>174581.93463275101</v>
      </c>
      <c r="D26904" s="56">
        <v>7.6428794064188302E-2</v>
      </c>
      <c r="E26904" s="224" t="s">
        <v>2</v>
      </c>
      <c r="G26904" s="52"/>
      <c r="H26904" s="56"/>
      <c r="I26904" s="224"/>
    </row>
    <row r="26905" spans="1:9" x14ac:dyDescent="0.25">
      <c r="A26905" s="515">
        <v>23440</v>
      </c>
      <c r="C26905" s="52">
        <v>115080.457446808</v>
      </c>
      <c r="D26905" s="56">
        <v>0</v>
      </c>
      <c r="E26905" s="224" t="s">
        <v>2</v>
      </c>
      <c r="G26905" s="52"/>
      <c r="H26905" s="56"/>
      <c r="I26905" s="224"/>
    </row>
    <row r="26906" spans="1:9" x14ac:dyDescent="0.25">
      <c r="A26906" s="515">
        <v>85362</v>
      </c>
      <c r="B26906" s="515" t="s">
        <v>332</v>
      </c>
      <c r="C26906" s="52">
        <v>228541.96914933401</v>
      </c>
      <c r="D26906" s="56">
        <v>3.2769756732045553E-2</v>
      </c>
      <c r="E26906" s="224" t="s">
        <v>2</v>
      </c>
      <c r="G26906" s="52"/>
      <c r="H26906" s="56"/>
      <c r="I26906" s="224"/>
    </row>
    <row r="26907" spans="1:9" x14ac:dyDescent="0.25">
      <c r="A26907" s="515">
        <v>47966</v>
      </c>
      <c r="B26907" s="515" t="s">
        <v>318</v>
      </c>
      <c r="C26907" s="52">
        <v>78397.691970481304</v>
      </c>
      <c r="D26907" s="56">
        <v>0.12162837268525953</v>
      </c>
      <c r="E26907" s="224" t="s">
        <v>2</v>
      </c>
      <c r="G26907" s="52"/>
      <c r="H26907" s="56"/>
      <c r="I26907" s="224"/>
    </row>
    <row r="26908" spans="1:9" x14ac:dyDescent="0.25">
      <c r="A26908" s="515">
        <v>93932</v>
      </c>
      <c r="B26908" s="515" t="s">
        <v>443</v>
      </c>
      <c r="C26908" s="52">
        <v>697300.60566078301</v>
      </c>
      <c r="D26908" s="56">
        <v>-4.3718788466358321E-2</v>
      </c>
      <c r="E26908" s="224" t="s">
        <v>2</v>
      </c>
      <c r="G26908" s="52"/>
      <c r="H26908" s="56"/>
      <c r="I26908" s="224"/>
    </row>
    <row r="26909" spans="1:9" x14ac:dyDescent="0.25">
      <c r="A26909" s="515">
        <v>1224</v>
      </c>
      <c r="B26909" s="515" t="s">
        <v>497</v>
      </c>
      <c r="C26909" s="52">
        <v>260869.53537399601</v>
      </c>
      <c r="D26909" s="56">
        <v>0.10578134307537927</v>
      </c>
      <c r="E26909" s="224" t="s">
        <v>2</v>
      </c>
      <c r="G26909" s="52"/>
      <c r="H26909" s="56"/>
      <c r="I26909" s="224"/>
    </row>
    <row r="26910" spans="1:9" x14ac:dyDescent="0.25">
      <c r="A26910" s="515">
        <v>14592</v>
      </c>
      <c r="B26910" s="515" t="s">
        <v>337</v>
      </c>
      <c r="C26910" s="52">
        <v>173985.34712627099</v>
      </c>
      <c r="D26910" s="56">
        <v>6.8275605994768201E-2</v>
      </c>
      <c r="E26910" s="224" t="s">
        <v>2</v>
      </c>
      <c r="G26910" s="52"/>
      <c r="H26910" s="56"/>
      <c r="I26910" s="224"/>
    </row>
    <row r="26911" spans="1:9" x14ac:dyDescent="0.25">
      <c r="A26911" s="515">
        <v>49320</v>
      </c>
      <c r="B26911" s="515" t="s">
        <v>494</v>
      </c>
      <c r="C26911" s="52">
        <v>158579.86056894501</v>
      </c>
      <c r="D26911" s="56">
        <v>9.7629496468810098E-2</v>
      </c>
      <c r="E26911" s="224" t="s">
        <v>2</v>
      </c>
      <c r="G26911" s="52"/>
      <c r="H26911" s="56"/>
      <c r="I26911" s="224"/>
    </row>
    <row r="26912" spans="1:9" x14ac:dyDescent="0.25">
      <c r="A26912" s="515">
        <v>77978</v>
      </c>
      <c r="B26912" s="515" t="s">
        <v>495</v>
      </c>
      <c r="C26912" s="52">
        <v>108593.420443643</v>
      </c>
      <c r="D26912" s="56">
        <v>3.790530499646183E-2</v>
      </c>
      <c r="E26912" s="224" t="s">
        <v>2</v>
      </c>
      <c r="G26912" s="52"/>
      <c r="H26912" s="56"/>
      <c r="I26912" s="224"/>
    </row>
    <row r="26913" spans="1:9" x14ac:dyDescent="0.25">
      <c r="A26913" s="515">
        <v>87044</v>
      </c>
      <c r="B26913" s="515" t="s">
        <v>406</v>
      </c>
      <c r="C26913" s="52">
        <v>242030.657142857</v>
      </c>
      <c r="D26913" s="56">
        <v>0</v>
      </c>
      <c r="E26913" s="224" t="s">
        <v>2</v>
      </c>
      <c r="G26913" s="52"/>
      <c r="H26913" s="56"/>
      <c r="I26913" s="224"/>
    </row>
    <row r="26914" spans="1:9" x14ac:dyDescent="0.25">
      <c r="A26914" s="515">
        <v>52624</v>
      </c>
      <c r="B26914" s="515" t="s">
        <v>496</v>
      </c>
      <c r="C26914" s="52">
        <v>127624.84163566399</v>
      </c>
      <c r="D26914" s="56">
        <v>0</v>
      </c>
      <c r="E26914" s="224" t="s">
        <v>2</v>
      </c>
      <c r="G26914" s="52"/>
      <c r="H26914" s="56"/>
      <c r="I26914" s="224"/>
    </row>
    <row r="26915" spans="1:9" x14ac:dyDescent="0.25">
      <c r="A26915" s="515">
        <v>61416</v>
      </c>
      <c r="B26915" s="515" t="s">
        <v>493</v>
      </c>
      <c r="C26915" s="52">
        <v>34202.633333333302</v>
      </c>
      <c r="D26915" s="56">
        <v>0</v>
      </c>
      <c r="E26915" s="224" t="s">
        <v>2</v>
      </c>
      <c r="G26915" s="52"/>
      <c r="H26915" s="56"/>
      <c r="I26915" s="224"/>
    </row>
    <row r="26916" spans="1:9" x14ac:dyDescent="0.25">
      <c r="A26916" s="515">
        <v>28042</v>
      </c>
      <c r="B26916" s="515" t="s">
        <v>310</v>
      </c>
      <c r="C26916" s="52">
        <v>157934.191081328</v>
      </c>
      <c r="D26916" s="56">
        <v>0</v>
      </c>
      <c r="E26916" s="224" t="s">
        <v>2</v>
      </c>
      <c r="G26916" s="52"/>
      <c r="H26916" s="56"/>
      <c r="I26916" s="224"/>
    </row>
    <row r="26917" spans="1:9" x14ac:dyDescent="0.25">
      <c r="A26917" s="515">
        <v>77663</v>
      </c>
      <c r="B26917" s="515" t="s">
        <v>492</v>
      </c>
      <c r="C26917" s="52">
        <v>195428.58351935699</v>
      </c>
      <c r="D26917" s="56">
        <v>1.5037396516561816E-2</v>
      </c>
      <c r="E26917" s="224" t="s">
        <v>2</v>
      </c>
      <c r="G26917" s="52"/>
      <c r="H26917" s="56"/>
      <c r="I26917" s="224"/>
    </row>
    <row r="26918" spans="1:9" x14ac:dyDescent="0.25">
      <c r="A26918" s="515">
        <v>24737</v>
      </c>
      <c r="B26918" s="515" t="s">
        <v>306</v>
      </c>
      <c r="C26918" s="52">
        <v>47575.75</v>
      </c>
      <c r="D26918" s="56">
        <v>0</v>
      </c>
      <c r="E26918" s="224" t="s">
        <v>2</v>
      </c>
      <c r="G26918" s="52"/>
      <c r="H26918" s="56"/>
      <c r="I26918" s="224"/>
    </row>
    <row r="26919" spans="1:9" x14ac:dyDescent="0.25">
      <c r="A26919" s="515">
        <v>78943</v>
      </c>
      <c r="C26919" s="52">
        <v>142614.97164721601</v>
      </c>
      <c r="D26919" s="56">
        <v>-3.8207114492504767E-3</v>
      </c>
      <c r="E26919" s="224" t="s">
        <v>2</v>
      </c>
      <c r="G26919" s="52"/>
      <c r="H26919" s="56"/>
      <c r="I26919" s="224"/>
    </row>
    <row r="26920" spans="1:9" x14ac:dyDescent="0.25">
      <c r="A26920" s="515">
        <v>59918</v>
      </c>
      <c r="C26920" s="52">
        <v>464489.34636694699</v>
      </c>
      <c r="D26920" s="56">
        <v>9.5881928801107727E-2</v>
      </c>
      <c r="E26920" s="224" t="s">
        <v>2</v>
      </c>
      <c r="G26920" s="52"/>
      <c r="H26920" s="56"/>
      <c r="I26920" s="224"/>
    </row>
    <row r="26921" spans="1:9" x14ac:dyDescent="0.25">
      <c r="A26921" s="515">
        <v>52220</v>
      </c>
      <c r="C26921" s="52">
        <v>188047.53056839301</v>
      </c>
      <c r="D26921" s="56">
        <v>0</v>
      </c>
      <c r="E26921" s="224" t="s">
        <v>2</v>
      </c>
      <c r="G26921" s="52"/>
      <c r="H26921" s="56"/>
      <c r="I26921" s="224"/>
    </row>
    <row r="26922" spans="1:9" x14ac:dyDescent="0.25">
      <c r="A26922" s="515">
        <v>77475</v>
      </c>
      <c r="C26922" s="52">
        <v>174983.32461413401</v>
      </c>
      <c r="D26922" s="56">
        <v>-5.7107516915661335E-2</v>
      </c>
      <c r="E26922" s="224" t="s">
        <v>2</v>
      </c>
      <c r="G26922" s="52"/>
      <c r="H26922" s="56"/>
      <c r="I26922" s="224"/>
    </row>
    <row r="26923" spans="1:9" x14ac:dyDescent="0.25">
      <c r="A26923" s="515">
        <v>14130</v>
      </c>
      <c r="C26923" s="52">
        <v>85002.951668507798</v>
      </c>
      <c r="D26923" s="56">
        <v>0.10887747065433938</v>
      </c>
      <c r="E26923" s="224" t="s">
        <v>2</v>
      </c>
      <c r="G26923" s="52"/>
      <c r="H26923" s="56"/>
      <c r="I26923" s="224"/>
    </row>
    <row r="26924" spans="1:9" x14ac:dyDescent="0.25">
      <c r="A26924" s="515">
        <v>88348</v>
      </c>
      <c r="B26924" s="515" t="s">
        <v>616</v>
      </c>
      <c r="C26924" s="52">
        <v>242465.17021276499</v>
      </c>
      <c r="D26924" s="56">
        <v>0</v>
      </c>
      <c r="E26924" s="224" t="s">
        <v>2</v>
      </c>
      <c r="G26924" s="52"/>
      <c r="H26924" s="56"/>
      <c r="I26924" s="224"/>
    </row>
    <row r="26925" spans="1:9" x14ac:dyDescent="0.25">
      <c r="A26925" s="515">
        <v>28707</v>
      </c>
      <c r="B26925" s="515" t="s">
        <v>487</v>
      </c>
      <c r="C26925" s="52">
        <v>294217.79054247501</v>
      </c>
      <c r="D26925" s="56">
        <v>0.17324837377315788</v>
      </c>
      <c r="E26925" s="224" t="s">
        <v>2</v>
      </c>
      <c r="G26925" s="52"/>
      <c r="H26925" s="56"/>
      <c r="I26925" s="224"/>
    </row>
    <row r="26926" spans="1:9" x14ac:dyDescent="0.25">
      <c r="A26926" s="515">
        <v>15455</v>
      </c>
      <c r="B26926" s="515" t="s">
        <v>297</v>
      </c>
      <c r="C26926" s="52">
        <v>54626.582620214103</v>
      </c>
      <c r="D26926" s="56">
        <v>8.7946248160909429E-2</v>
      </c>
      <c r="E26926" s="224" t="s">
        <v>2</v>
      </c>
      <c r="G26926" s="52"/>
      <c r="H26926" s="56"/>
      <c r="I26926" s="224"/>
    </row>
    <row r="26927" spans="1:9" x14ac:dyDescent="0.25">
      <c r="A26927" s="515">
        <v>68419</v>
      </c>
      <c r="B26927" s="515" t="s">
        <v>486</v>
      </c>
      <c r="C26927" s="52">
        <v>232345.51157229699</v>
      </c>
      <c r="D26927" s="56">
        <v>8.2517795799356475E-2</v>
      </c>
      <c r="E26927" s="224" t="s">
        <v>2</v>
      </c>
      <c r="G26927" s="52"/>
      <c r="H26927" s="56"/>
      <c r="I26927" s="224"/>
    </row>
    <row r="26928" spans="1:9" x14ac:dyDescent="0.25">
      <c r="A26928" s="515">
        <v>33854</v>
      </c>
      <c r="B26928" s="515" t="s">
        <v>359</v>
      </c>
      <c r="C26928" s="52">
        <v>78830.6402297397</v>
      </c>
      <c r="D26928" s="56">
        <v>0.12998646263603925</v>
      </c>
      <c r="E26928" s="224" t="s">
        <v>2</v>
      </c>
      <c r="G26928" s="52"/>
      <c r="H26928" s="56"/>
      <c r="I26928" s="224"/>
    </row>
    <row r="26929" spans="1:9" x14ac:dyDescent="0.25">
      <c r="A26929" s="515">
        <v>27982</v>
      </c>
      <c r="B26929" s="515" t="s">
        <v>407</v>
      </c>
      <c r="C26929" s="52">
        <v>604351.14259597997</v>
      </c>
      <c r="D26929" s="56">
        <v>0.11613947169947271</v>
      </c>
      <c r="E26929" s="224" t="s">
        <v>2</v>
      </c>
      <c r="G26929" s="52"/>
      <c r="H26929" s="56"/>
      <c r="I26929" s="224"/>
    </row>
    <row r="26930" spans="1:9" x14ac:dyDescent="0.25">
      <c r="A26930" s="515">
        <v>46984</v>
      </c>
      <c r="B26930" s="515" t="s">
        <v>435</v>
      </c>
      <c r="C26930" s="52">
        <v>169048.73507176799</v>
      </c>
      <c r="D26930" s="56">
        <v>3.7149268183802722E-2</v>
      </c>
      <c r="E26930" s="224" t="s">
        <v>2</v>
      </c>
      <c r="G26930" s="52"/>
      <c r="H26930" s="56"/>
      <c r="I26930" s="224"/>
    </row>
    <row r="26931" spans="1:9" x14ac:dyDescent="0.25">
      <c r="A26931" s="515">
        <v>25109</v>
      </c>
      <c r="B26931" s="515" t="s">
        <v>602</v>
      </c>
      <c r="C26931" s="52">
        <v>95725.813714973803</v>
      </c>
      <c r="D26931" s="56">
        <v>0.16481933583876973</v>
      </c>
      <c r="E26931" s="224" t="s">
        <v>2</v>
      </c>
      <c r="G26931" s="52"/>
      <c r="H26931" s="56"/>
      <c r="I26931" s="224"/>
    </row>
    <row r="26932" spans="1:9" x14ac:dyDescent="0.25">
      <c r="A26932" s="515">
        <v>38839</v>
      </c>
      <c r="C26932" s="52">
        <v>77581.915555698899</v>
      </c>
      <c r="D26932" s="56">
        <v>2.4992499746048263E-2</v>
      </c>
      <c r="E26932" s="224" t="s">
        <v>2</v>
      </c>
      <c r="G26932" s="52"/>
      <c r="H26932" s="56"/>
      <c r="I26932" s="224"/>
    </row>
    <row r="26933" spans="1:9" x14ac:dyDescent="0.25">
      <c r="A26933" s="515">
        <v>50432</v>
      </c>
      <c r="C26933" s="52">
        <v>76666.487580490793</v>
      </c>
      <c r="D26933" s="56">
        <v>8.5473326085276385E-2</v>
      </c>
      <c r="E26933" s="224" t="s">
        <v>2</v>
      </c>
      <c r="G26933" s="52"/>
      <c r="H26933" s="56"/>
      <c r="I26933" s="224"/>
    </row>
    <row r="26934" spans="1:9" x14ac:dyDescent="0.25">
      <c r="A26934" s="515">
        <v>79788</v>
      </c>
      <c r="C26934" s="52">
        <v>69751.790540507398</v>
      </c>
      <c r="D26934" s="56">
        <v>0</v>
      </c>
      <c r="E26934" s="224" t="s">
        <v>2</v>
      </c>
      <c r="G26934" s="52"/>
      <c r="H26934" s="56"/>
      <c r="I26934" s="224"/>
    </row>
    <row r="26935" spans="1:9" x14ac:dyDescent="0.25">
      <c r="A26935" s="515">
        <v>78561</v>
      </c>
      <c r="B26935" s="515" t="s">
        <v>482</v>
      </c>
      <c r="C26935" s="52">
        <v>113890.810409871</v>
      </c>
      <c r="D26935" s="56">
        <v>0</v>
      </c>
      <c r="E26935" s="224" t="s">
        <v>2</v>
      </c>
      <c r="G26935" s="52"/>
      <c r="H26935" s="56"/>
      <c r="I26935" s="224"/>
    </row>
    <row r="26936" spans="1:9" x14ac:dyDescent="0.25">
      <c r="A26936" s="515">
        <v>15006</v>
      </c>
      <c r="B26936" s="515" t="s">
        <v>297</v>
      </c>
      <c r="C26936" s="52">
        <v>150259.45035904899</v>
      </c>
      <c r="D26936" s="56">
        <v>4.0239004297637278E-2</v>
      </c>
      <c r="E26936" s="224" t="s">
        <v>2</v>
      </c>
      <c r="G26936" s="52"/>
      <c r="H26936" s="56"/>
      <c r="I26936" s="224"/>
    </row>
    <row r="26937" spans="1:9" x14ac:dyDescent="0.25">
      <c r="A26937" s="515">
        <v>45819</v>
      </c>
      <c r="B26937" s="515" t="s">
        <v>480</v>
      </c>
      <c r="C26937" s="52">
        <v>105771.325499397</v>
      </c>
      <c r="D26937" s="56">
        <v>0.15549612880507435</v>
      </c>
      <c r="E26937" s="224" t="s">
        <v>2</v>
      </c>
      <c r="G26937" s="52"/>
      <c r="H26937" s="56"/>
      <c r="I26937" s="224"/>
    </row>
    <row r="26938" spans="1:9" x14ac:dyDescent="0.25">
      <c r="A26938" s="515">
        <v>16238</v>
      </c>
      <c r="B26938" s="515" t="s">
        <v>297</v>
      </c>
      <c r="C26938" s="52">
        <v>96907.975168860794</v>
      </c>
      <c r="D26938" s="56">
        <v>0.11706116551069827</v>
      </c>
      <c r="E26938" s="224" t="s">
        <v>2</v>
      </c>
      <c r="G26938" s="52"/>
      <c r="H26938" s="56"/>
      <c r="I26938" s="224"/>
    </row>
    <row r="26939" spans="1:9" x14ac:dyDescent="0.25">
      <c r="A26939" s="515">
        <v>52056</v>
      </c>
      <c r="B26939" s="515" t="s">
        <v>478</v>
      </c>
      <c r="C26939" s="52">
        <v>178268.96688313101</v>
      </c>
      <c r="D26939" s="56">
        <v>3.1308333452283413E-2</v>
      </c>
      <c r="E26939" s="224" t="s">
        <v>2</v>
      </c>
      <c r="G26939" s="52"/>
      <c r="H26939" s="56"/>
      <c r="I26939" s="224"/>
    </row>
    <row r="26940" spans="1:9" x14ac:dyDescent="0.25">
      <c r="A26940" s="515">
        <v>52534</v>
      </c>
      <c r="B26940" s="515" t="s">
        <v>477</v>
      </c>
      <c r="C26940" s="52">
        <v>92835.346500183499</v>
      </c>
      <c r="D26940" s="56">
        <v>0</v>
      </c>
      <c r="E26940" s="224" t="s">
        <v>2</v>
      </c>
      <c r="G26940" s="52"/>
      <c r="H26940" s="56"/>
      <c r="I26940" s="224"/>
    </row>
    <row r="26941" spans="1:9" x14ac:dyDescent="0.25">
      <c r="A26941" s="515">
        <v>95697</v>
      </c>
      <c r="B26941" s="515" t="s">
        <v>355</v>
      </c>
      <c r="C26941" s="52">
        <v>436970.46117834398</v>
      </c>
      <c r="D26941" s="56">
        <v>5.5881518688616551E-2</v>
      </c>
      <c r="E26941" s="224" t="s">
        <v>2</v>
      </c>
      <c r="G26941" s="52"/>
      <c r="H26941" s="56"/>
      <c r="I26941" s="224"/>
    </row>
    <row r="26942" spans="1:9" x14ac:dyDescent="0.25">
      <c r="A26942" s="515">
        <v>12792</v>
      </c>
      <c r="C26942" s="52">
        <v>270743.20996297302</v>
      </c>
      <c r="D26942" s="56">
        <v>0.14185445247544082</v>
      </c>
      <c r="E26942" s="224" t="s">
        <v>2</v>
      </c>
      <c r="G26942" s="52"/>
      <c r="H26942" s="56"/>
      <c r="I26942" s="224"/>
    </row>
    <row r="26943" spans="1:9" x14ac:dyDescent="0.25">
      <c r="A26943" s="515">
        <v>77470</v>
      </c>
      <c r="C26943" s="52">
        <v>118021.157617013</v>
      </c>
      <c r="D26943" s="56">
        <v>-4.0099238432616709E-2</v>
      </c>
      <c r="E26943" s="224" t="s">
        <v>2</v>
      </c>
      <c r="G26943" s="52"/>
      <c r="H26943" s="56"/>
      <c r="I26943" s="224"/>
    </row>
    <row r="26944" spans="1:9" x14ac:dyDescent="0.25">
      <c r="A26944" s="515">
        <v>36702</v>
      </c>
      <c r="B26944" s="515" t="s">
        <v>483</v>
      </c>
      <c r="C26944" s="52">
        <v>64989.9</v>
      </c>
      <c r="D26944" s="56">
        <v>0</v>
      </c>
      <c r="E26944" s="224" t="s">
        <v>2</v>
      </c>
      <c r="G26944" s="52"/>
      <c r="H26944" s="56"/>
      <c r="I26944" s="224"/>
    </row>
    <row r="26945" spans="1:9" x14ac:dyDescent="0.25">
      <c r="A26945" s="515">
        <v>87558</v>
      </c>
      <c r="B26945" s="515" t="s">
        <v>481</v>
      </c>
      <c r="C26945" s="52">
        <v>337269.67605633801</v>
      </c>
      <c r="D26945" s="56">
        <v>0</v>
      </c>
      <c r="E26945" s="224" t="s">
        <v>2</v>
      </c>
      <c r="G26945" s="52"/>
      <c r="H26945" s="56"/>
      <c r="I26945" s="224"/>
    </row>
    <row r="26946" spans="1:9" x14ac:dyDescent="0.25">
      <c r="A26946" s="515">
        <v>56356</v>
      </c>
      <c r="B26946" s="515" t="s">
        <v>418</v>
      </c>
      <c r="C26946" s="52">
        <v>181383.51156878701</v>
      </c>
      <c r="D26946" s="56">
        <v>9.1608024351089112E-2</v>
      </c>
      <c r="E26946" s="224" t="s">
        <v>2</v>
      </c>
      <c r="G26946" s="52"/>
      <c r="H26946" s="56"/>
      <c r="I26946" s="224"/>
    </row>
    <row r="26947" spans="1:9" x14ac:dyDescent="0.25">
      <c r="A26947" s="515">
        <v>73491</v>
      </c>
      <c r="B26947" s="515" t="s">
        <v>474</v>
      </c>
      <c r="C26947" s="52">
        <v>109524.685050824</v>
      </c>
      <c r="D26947" s="56">
        <v>7.0419873350760068E-2</v>
      </c>
      <c r="E26947" s="224" t="s">
        <v>2</v>
      </c>
      <c r="G26947" s="52"/>
      <c r="H26947" s="56"/>
      <c r="I26947" s="224"/>
    </row>
    <row r="26948" spans="1:9" x14ac:dyDescent="0.25">
      <c r="A26948" s="515">
        <v>32664</v>
      </c>
      <c r="B26948" s="515" t="s">
        <v>475</v>
      </c>
      <c r="C26948" s="52">
        <v>299800.27921043598</v>
      </c>
      <c r="D26948" s="56">
        <v>0.18884840514800946</v>
      </c>
      <c r="E26948" s="224" t="s">
        <v>2</v>
      </c>
      <c r="G26948" s="52"/>
      <c r="H26948" s="56"/>
      <c r="I26948" s="224"/>
    </row>
    <row r="26949" spans="1:9" x14ac:dyDescent="0.25">
      <c r="A26949" s="515">
        <v>16620</v>
      </c>
      <c r="B26949" s="515" t="s">
        <v>876</v>
      </c>
      <c r="C26949" s="52">
        <v>79199.92</v>
      </c>
      <c r="D26949" s="56">
        <v>0</v>
      </c>
      <c r="E26949" s="224" t="s">
        <v>2</v>
      </c>
      <c r="G26949" s="52"/>
      <c r="H26949" s="56"/>
      <c r="I26949" s="224"/>
    </row>
    <row r="26950" spans="1:9" x14ac:dyDescent="0.25">
      <c r="A26950" s="515">
        <v>38639</v>
      </c>
      <c r="B26950" s="515" t="s">
        <v>822</v>
      </c>
      <c r="C26950" s="52">
        <v>55539.790548628502</v>
      </c>
      <c r="D26950" s="56">
        <v>0</v>
      </c>
      <c r="E26950" s="224" t="s">
        <v>2</v>
      </c>
      <c r="G26950" s="52"/>
      <c r="H26950" s="56"/>
      <c r="I26950" s="224"/>
    </row>
    <row r="26951" spans="1:9" x14ac:dyDescent="0.25">
      <c r="A26951" s="515">
        <v>98934</v>
      </c>
      <c r="B26951" s="515" t="s">
        <v>473</v>
      </c>
      <c r="C26951" s="52">
        <v>311440.41924010002</v>
      </c>
      <c r="D26951" s="56">
        <v>6.2209899758942241E-2</v>
      </c>
      <c r="E26951" s="224" t="s">
        <v>2</v>
      </c>
      <c r="G26951" s="52"/>
      <c r="H26951" s="56"/>
      <c r="I26951" s="224"/>
    </row>
    <row r="26952" spans="1:9" x14ac:dyDescent="0.25">
      <c r="A26952" s="515">
        <v>17850</v>
      </c>
      <c r="B26952" s="515" t="s">
        <v>939</v>
      </c>
      <c r="C26952" s="52">
        <v>112779.191512805</v>
      </c>
      <c r="D26952" s="56">
        <v>0</v>
      </c>
      <c r="E26952" s="224" t="s">
        <v>2</v>
      </c>
      <c r="G26952" s="52"/>
      <c r="H26952" s="56"/>
      <c r="I26952" s="224"/>
    </row>
    <row r="26953" spans="1:9" x14ac:dyDescent="0.25">
      <c r="A26953" s="515">
        <v>95720</v>
      </c>
      <c r="B26953" s="515" t="s">
        <v>355</v>
      </c>
      <c r="C26953" s="52">
        <v>384661.30803865701</v>
      </c>
      <c r="D26953" s="56">
        <v>3.945342614281052E-2</v>
      </c>
      <c r="E26953" s="224" t="s">
        <v>2</v>
      </c>
      <c r="G26953" s="52"/>
      <c r="H26953" s="56"/>
      <c r="I26953" s="224"/>
    </row>
    <row r="26954" spans="1:9" x14ac:dyDescent="0.25">
      <c r="A26954" s="515">
        <v>46987</v>
      </c>
      <c r="B26954" s="515" t="s">
        <v>472</v>
      </c>
      <c r="C26954" s="52">
        <v>153827.95807384001</v>
      </c>
      <c r="D26954" s="56">
        <v>6.8168600925312114E-2</v>
      </c>
      <c r="E26954" s="224" t="s">
        <v>2</v>
      </c>
      <c r="G26954" s="52"/>
      <c r="H26954" s="56"/>
      <c r="I26954" s="224"/>
    </row>
    <row r="26955" spans="1:9" x14ac:dyDescent="0.25">
      <c r="A26955" s="515">
        <v>17763</v>
      </c>
      <c r="B26955" s="515" t="s">
        <v>296</v>
      </c>
      <c r="C26955" s="52">
        <v>107482.386838055</v>
      </c>
      <c r="D26955" s="56">
        <v>5.6628916321577599E-2</v>
      </c>
      <c r="E26955" s="224" t="s">
        <v>2</v>
      </c>
      <c r="G26955" s="52"/>
      <c r="H26955" s="56"/>
      <c r="I26955" s="224"/>
    </row>
    <row r="26956" spans="1:9" x14ac:dyDescent="0.25">
      <c r="A26956" s="515">
        <v>12975</v>
      </c>
      <c r="C26956" s="52">
        <v>234196.192147686</v>
      </c>
      <c r="D26956" s="56">
        <v>6.6778200081097278E-2</v>
      </c>
      <c r="E26956" s="224" t="s">
        <v>2</v>
      </c>
      <c r="G26956" s="52"/>
      <c r="H26956" s="56"/>
      <c r="I26956" s="224"/>
    </row>
    <row r="26957" spans="1:9" x14ac:dyDescent="0.25">
      <c r="A26957" s="515">
        <v>77661</v>
      </c>
      <c r="B26957" s="515" t="s">
        <v>314</v>
      </c>
      <c r="C26957" s="52">
        <v>179858.00367414099</v>
      </c>
      <c r="D26957" s="56">
        <v>0</v>
      </c>
      <c r="E26957" s="224" t="s">
        <v>2</v>
      </c>
      <c r="G26957" s="52"/>
      <c r="H26957" s="56"/>
      <c r="I26957" s="224"/>
    </row>
    <row r="26958" spans="1:9" x14ac:dyDescent="0.25">
      <c r="A26958" s="515">
        <v>95233</v>
      </c>
      <c r="C26958" s="52">
        <v>377525.96709515998</v>
      </c>
      <c r="D26958" s="56">
        <v>8.7742848702938615E-3</v>
      </c>
      <c r="E26958" s="224" t="s">
        <v>2</v>
      </c>
      <c r="G26958" s="52"/>
      <c r="H26958" s="56"/>
      <c r="I26958" s="224"/>
    </row>
    <row r="26959" spans="1:9" x14ac:dyDescent="0.25">
      <c r="A26959" s="515">
        <v>46537</v>
      </c>
      <c r="B26959" s="515" t="s">
        <v>342</v>
      </c>
      <c r="C26959" s="52">
        <v>120000.476628174</v>
      </c>
      <c r="D26959" s="56">
        <v>8.1368808591814251E-2</v>
      </c>
      <c r="E26959" s="224" t="s">
        <v>2</v>
      </c>
      <c r="G26959" s="52"/>
      <c r="H26959" s="56"/>
      <c r="I26959" s="224"/>
    </row>
    <row r="26960" spans="1:9" x14ac:dyDescent="0.25">
      <c r="A26960" s="515">
        <v>45032</v>
      </c>
      <c r="B26960" s="515" t="s">
        <v>344</v>
      </c>
      <c r="C26960" s="52">
        <v>177786.616206526</v>
      </c>
      <c r="D26960" s="56">
        <v>9.7035053244028155E-2</v>
      </c>
      <c r="E26960" s="224" t="s">
        <v>2</v>
      </c>
      <c r="G26960" s="52"/>
      <c r="H26960" s="56"/>
      <c r="I26960" s="224"/>
    </row>
    <row r="26961" spans="1:9" x14ac:dyDescent="0.25">
      <c r="A26961" s="515">
        <v>15731</v>
      </c>
      <c r="B26961" s="515" t="s">
        <v>343</v>
      </c>
      <c r="C26961" s="52">
        <v>73347.066703377699</v>
      </c>
      <c r="D26961" s="56">
        <v>0.13152749276755757</v>
      </c>
      <c r="E26961" s="224" t="s">
        <v>2</v>
      </c>
      <c r="G26961" s="52"/>
      <c r="H26961" s="56"/>
      <c r="I26961" s="224"/>
    </row>
    <row r="26962" spans="1:9" x14ac:dyDescent="0.25">
      <c r="A26962" s="515">
        <v>43037</v>
      </c>
      <c r="B26962" s="515" t="s">
        <v>341</v>
      </c>
      <c r="C26962" s="52">
        <v>135977.332335057</v>
      </c>
      <c r="D26962" s="56">
        <v>9.4663901576692341E-2</v>
      </c>
      <c r="E26962" s="224" t="s">
        <v>2</v>
      </c>
      <c r="G26962" s="52"/>
      <c r="H26962" s="56"/>
      <c r="I26962" s="224"/>
    </row>
    <row r="26963" spans="1:9" x14ac:dyDescent="0.25">
      <c r="A26963" s="515">
        <v>45307</v>
      </c>
      <c r="B26963" s="515" t="s">
        <v>340</v>
      </c>
      <c r="C26963" s="52">
        <v>110335.37989622301</v>
      </c>
      <c r="D26963" s="56">
        <v>-9.1948627488631016E-3</v>
      </c>
      <c r="E26963" s="224" t="s">
        <v>2</v>
      </c>
      <c r="G26963" s="52"/>
      <c r="H26963" s="56"/>
      <c r="I26963" s="224"/>
    </row>
    <row r="26964" spans="1:9" x14ac:dyDescent="0.25">
      <c r="A26964" s="515">
        <v>15422</v>
      </c>
      <c r="B26964" s="515" t="s">
        <v>297</v>
      </c>
      <c r="C26964" s="52">
        <v>33773.9598783619</v>
      </c>
      <c r="D26964" s="56">
        <v>9.3037161514840372E-2</v>
      </c>
      <c r="E26964" s="224" t="s">
        <v>2</v>
      </c>
      <c r="G26964" s="52"/>
      <c r="H26964" s="56"/>
      <c r="I26964" s="224"/>
    </row>
    <row r="26965" spans="1:9" x14ac:dyDescent="0.25">
      <c r="A26965" s="515">
        <v>18323</v>
      </c>
      <c r="B26965" s="515" t="s">
        <v>338</v>
      </c>
      <c r="C26965" s="52">
        <v>449000.189953377</v>
      </c>
      <c r="D26965" s="56">
        <v>5.1357963463003378E-2</v>
      </c>
      <c r="E26965" s="224" t="s">
        <v>2</v>
      </c>
      <c r="G26965" s="52"/>
      <c r="H26965" s="56"/>
      <c r="I26965" s="224"/>
    </row>
    <row r="26966" spans="1:9" x14ac:dyDescent="0.25">
      <c r="A26966" s="515">
        <v>14134</v>
      </c>
      <c r="B26966" s="515" t="s">
        <v>336</v>
      </c>
      <c r="C26966" s="52">
        <v>204748.585622543</v>
      </c>
      <c r="D26966" s="56">
        <v>8.2176584615075488E-2</v>
      </c>
      <c r="E26966" s="224" t="s">
        <v>2</v>
      </c>
      <c r="G26966" s="52"/>
      <c r="H26966" s="56"/>
      <c r="I26966" s="224"/>
    </row>
    <row r="26967" spans="1:9" x14ac:dyDescent="0.25">
      <c r="A26967" s="515">
        <v>15053</v>
      </c>
      <c r="B26967" s="515" t="s">
        <v>297</v>
      </c>
      <c r="C26967" s="52">
        <v>136223.899731813</v>
      </c>
      <c r="D26967" s="56">
        <v>1.2573087826914006E-2</v>
      </c>
      <c r="E26967" s="224" t="s">
        <v>2</v>
      </c>
      <c r="G26967" s="52"/>
      <c r="H26967" s="56"/>
      <c r="I26967" s="224"/>
    </row>
    <row r="26968" spans="1:9" x14ac:dyDescent="0.25">
      <c r="A26968" s="515">
        <v>32355</v>
      </c>
      <c r="B26968" s="515" t="s">
        <v>335</v>
      </c>
      <c r="C26968" s="52">
        <v>236158.75520242401</v>
      </c>
      <c r="D26968" s="56">
        <v>8.0890979591630496E-2</v>
      </c>
      <c r="E26968" s="224" t="s">
        <v>2</v>
      </c>
      <c r="G26968" s="52"/>
      <c r="H26968" s="56"/>
      <c r="I26968" s="224"/>
    </row>
    <row r="26969" spans="1:9" x14ac:dyDescent="0.25">
      <c r="A26969" s="515">
        <v>86343</v>
      </c>
      <c r="B26969" s="515" t="s">
        <v>332</v>
      </c>
      <c r="C26969" s="52">
        <v>269161.746534748</v>
      </c>
      <c r="D26969" s="56">
        <v>7.2559508996926203E-2</v>
      </c>
      <c r="E26969" s="224" t="s">
        <v>2</v>
      </c>
      <c r="G26969" s="52"/>
      <c r="H26969" s="56"/>
      <c r="I26969" s="224"/>
    </row>
    <row r="26970" spans="1:9" x14ac:dyDescent="0.25">
      <c r="A26970" s="515">
        <v>95419</v>
      </c>
      <c r="B26970" s="515" t="s">
        <v>331</v>
      </c>
      <c r="C26970" s="52">
        <v>430022.94429983199</v>
      </c>
      <c r="D26970" s="56">
        <v>2.8428552633282637E-2</v>
      </c>
      <c r="E26970" s="224" t="s">
        <v>2</v>
      </c>
      <c r="G26970" s="52"/>
      <c r="H26970" s="56"/>
      <c r="I26970" s="224"/>
    </row>
    <row r="26971" spans="1:9" x14ac:dyDescent="0.25">
      <c r="A26971" s="515">
        <v>52757</v>
      </c>
      <c r="B26971" s="515" t="s">
        <v>330</v>
      </c>
      <c r="C26971" s="52">
        <v>132759.775530613</v>
      </c>
      <c r="D26971" s="56">
        <v>5.6041143204324059E-2</v>
      </c>
      <c r="E26971" s="224" t="s">
        <v>2</v>
      </c>
      <c r="G26971" s="52"/>
      <c r="H26971" s="56"/>
      <c r="I26971" s="224"/>
    </row>
    <row r="26972" spans="1:9" x14ac:dyDescent="0.25">
      <c r="A26972" s="515">
        <v>77415</v>
      </c>
      <c r="B26972" s="515" t="s">
        <v>333</v>
      </c>
      <c r="C26972" s="52">
        <v>199202.09907410399</v>
      </c>
      <c r="D26972" s="56">
        <v>0</v>
      </c>
      <c r="E26972" s="224" t="s">
        <v>2</v>
      </c>
      <c r="G26972" s="52"/>
      <c r="H26972" s="56"/>
      <c r="I26972" s="224"/>
    </row>
    <row r="26973" spans="1:9" x14ac:dyDescent="0.25">
      <c r="A26973" s="515">
        <v>45360</v>
      </c>
      <c r="B26973" s="515" t="s">
        <v>329</v>
      </c>
      <c r="C26973" s="52">
        <v>95843.594799489205</v>
      </c>
      <c r="D26973" s="56">
        <v>6.7478162505546516E-2</v>
      </c>
      <c r="E26973" s="224" t="s">
        <v>2</v>
      </c>
      <c r="G26973" s="52"/>
      <c r="H26973" s="56"/>
      <c r="I26973" s="224"/>
    </row>
    <row r="26974" spans="1:9" x14ac:dyDescent="0.25">
      <c r="A26974" s="515">
        <v>15443</v>
      </c>
      <c r="B26974" s="515" t="s">
        <v>297</v>
      </c>
      <c r="C26974" s="52">
        <v>30197.242483577698</v>
      </c>
      <c r="D26974" s="56">
        <v>-9.8612294762917663E-2</v>
      </c>
      <c r="E26974" s="224" t="s">
        <v>2</v>
      </c>
      <c r="G26974" s="52"/>
      <c r="H26974" s="56"/>
      <c r="I26974" s="224"/>
    </row>
    <row r="26975" spans="1:9" x14ac:dyDescent="0.25">
      <c r="A26975" s="515">
        <v>68664</v>
      </c>
      <c r="B26975" s="515" t="s">
        <v>334</v>
      </c>
      <c r="C26975" s="52">
        <v>121849.17387404801</v>
      </c>
      <c r="D26975" s="56">
        <v>0</v>
      </c>
      <c r="E26975" s="224" t="s">
        <v>2</v>
      </c>
      <c r="G26975" s="52"/>
      <c r="H26975" s="56"/>
      <c r="I26975" s="224"/>
    </row>
    <row r="26976" spans="1:9" x14ac:dyDescent="0.25">
      <c r="A26976" s="515">
        <v>81077</v>
      </c>
      <c r="C26976" s="52">
        <v>207522.84793342199</v>
      </c>
      <c r="D26976" s="56">
        <v>9.9294180351784903E-2</v>
      </c>
      <c r="E26976" s="224" t="s">
        <v>2</v>
      </c>
      <c r="G26976" s="52"/>
      <c r="H26976" s="56"/>
      <c r="I26976" s="224"/>
    </row>
    <row r="26977" spans="1:9" x14ac:dyDescent="0.25">
      <c r="A26977" s="515">
        <v>23427</v>
      </c>
      <c r="C26977" s="52">
        <v>116880.42105263101</v>
      </c>
      <c r="D26977" s="56">
        <v>0</v>
      </c>
      <c r="E26977" s="224" t="s">
        <v>2</v>
      </c>
      <c r="G26977" s="52"/>
      <c r="H26977" s="56"/>
      <c r="I26977" s="224"/>
    </row>
    <row r="26978" spans="1:9" x14ac:dyDescent="0.25">
      <c r="A26978" s="515">
        <v>28038</v>
      </c>
      <c r="B26978" s="515" t="s">
        <v>310</v>
      </c>
      <c r="C26978" s="52">
        <v>105873.21358386699</v>
      </c>
      <c r="D26978" s="56">
        <v>0</v>
      </c>
      <c r="E26978" s="224" t="s">
        <v>2</v>
      </c>
      <c r="G26978" s="52"/>
      <c r="H26978" s="56"/>
      <c r="I26978" s="224"/>
    </row>
    <row r="26979" spans="1:9" x14ac:dyDescent="0.25">
      <c r="A26979" s="515">
        <v>76370</v>
      </c>
      <c r="B26979" s="515" t="s">
        <v>328</v>
      </c>
      <c r="C26979" s="52">
        <v>62479.431234198397</v>
      </c>
      <c r="D26979" s="56">
        <v>0</v>
      </c>
      <c r="E26979" s="224" t="s">
        <v>2</v>
      </c>
      <c r="G26979" s="52"/>
      <c r="H26979" s="56"/>
      <c r="I26979" s="224"/>
    </row>
    <row r="26980" spans="1:9" x14ac:dyDescent="0.25">
      <c r="A26980" s="515">
        <v>18063</v>
      </c>
      <c r="B26980" s="515" t="s">
        <v>327</v>
      </c>
      <c r="C26980" s="52">
        <v>243527.51296565801</v>
      </c>
      <c r="D26980" s="56">
        <v>9.3664587637499699E-2</v>
      </c>
      <c r="E26980" s="224" t="s">
        <v>2</v>
      </c>
      <c r="G26980" s="52"/>
      <c r="H26980" s="56"/>
      <c r="I26980" s="224"/>
    </row>
    <row r="26981" spans="1:9" x14ac:dyDescent="0.25">
      <c r="A26981" s="515">
        <v>45809</v>
      </c>
      <c r="B26981" s="515" t="s">
        <v>299</v>
      </c>
      <c r="C26981" s="52">
        <v>131388.763430063</v>
      </c>
      <c r="D26981" s="56">
        <v>0.11451107178714898</v>
      </c>
      <c r="E26981" s="224" t="s">
        <v>2</v>
      </c>
      <c r="G26981" s="52"/>
      <c r="H26981" s="56"/>
      <c r="I26981" s="224"/>
    </row>
    <row r="26982" spans="1:9" x14ac:dyDescent="0.25">
      <c r="A26982" s="515">
        <v>2575</v>
      </c>
      <c r="B26982" s="515" t="s">
        <v>325</v>
      </c>
      <c r="C26982" s="52">
        <v>1338898.1721495399</v>
      </c>
      <c r="D26982" s="56">
        <v>0.14622170882109459</v>
      </c>
      <c r="E26982" s="224" t="s">
        <v>2</v>
      </c>
      <c r="G26982" s="52"/>
      <c r="H26982" s="56"/>
      <c r="I26982" s="224"/>
    </row>
    <row r="26983" spans="1:9" x14ac:dyDescent="0.25">
      <c r="A26983" s="515">
        <v>89155</v>
      </c>
      <c r="B26983" s="515" t="s">
        <v>323</v>
      </c>
      <c r="C26983" s="52">
        <v>475179.37902789802</v>
      </c>
      <c r="D26983" s="56">
        <v>1.2685024269126918E-2</v>
      </c>
      <c r="E26983" s="224" t="s">
        <v>2</v>
      </c>
      <c r="G26983" s="52"/>
      <c r="H26983" s="56"/>
      <c r="I26983" s="224"/>
    </row>
    <row r="26984" spans="1:9" x14ac:dyDescent="0.25">
      <c r="A26984" s="515">
        <v>77453</v>
      </c>
      <c r="B26984" s="515" t="s">
        <v>320</v>
      </c>
      <c r="C26984" s="52">
        <v>153446.657142857</v>
      </c>
      <c r="D26984" s="56">
        <v>0</v>
      </c>
      <c r="E26984" s="224" t="s">
        <v>2</v>
      </c>
      <c r="G26984" s="52"/>
      <c r="H26984" s="56"/>
      <c r="I26984" s="224"/>
    </row>
    <row r="26985" spans="1:9" x14ac:dyDescent="0.25">
      <c r="A26985" s="515">
        <v>18653</v>
      </c>
      <c r="B26985" s="515" t="s">
        <v>512</v>
      </c>
      <c r="C26985" s="52">
        <v>140186.818940681</v>
      </c>
      <c r="D26985" s="56">
        <v>0</v>
      </c>
      <c r="E26985" s="224" t="s">
        <v>2</v>
      </c>
      <c r="G26985" s="52"/>
      <c r="H26985" s="56"/>
      <c r="I26985" s="224"/>
    </row>
    <row r="26986" spans="1:9" x14ac:dyDescent="0.25">
      <c r="A26986" s="515">
        <v>22722</v>
      </c>
      <c r="B26986" s="515" t="s">
        <v>321</v>
      </c>
      <c r="C26986" s="52">
        <v>324140.50609500398</v>
      </c>
      <c r="D26986" s="56">
        <v>5.2019996759136704E-2</v>
      </c>
      <c r="E26986" s="224" t="s">
        <v>2</v>
      </c>
      <c r="G26986" s="52"/>
      <c r="H26986" s="56"/>
      <c r="I26986" s="224"/>
    </row>
    <row r="26987" spans="1:9" x14ac:dyDescent="0.25">
      <c r="A26987" s="515">
        <v>16734</v>
      </c>
      <c r="B26987" s="515" t="s">
        <v>954</v>
      </c>
      <c r="C26987" s="52">
        <v>65539.956321339094</v>
      </c>
      <c r="D26987" s="56">
        <v>2.4123011430504562E-2</v>
      </c>
      <c r="E26987" s="224" t="s">
        <v>2</v>
      </c>
      <c r="G26987" s="52"/>
      <c r="H26987" s="56"/>
      <c r="I26987" s="224"/>
    </row>
    <row r="26988" spans="1:9" x14ac:dyDescent="0.25">
      <c r="A26988" s="515">
        <v>77448</v>
      </c>
      <c r="B26988" s="515" t="s">
        <v>320</v>
      </c>
      <c r="C26988" s="52">
        <v>156821.49438202201</v>
      </c>
      <c r="D26988" s="56">
        <v>0</v>
      </c>
      <c r="E26988" s="224" t="s">
        <v>2</v>
      </c>
      <c r="G26988" s="52"/>
      <c r="H26988" s="56"/>
      <c r="I26988" s="224"/>
    </row>
    <row r="26989" spans="1:9" x14ac:dyDescent="0.25">
      <c r="A26989" s="515">
        <v>50673</v>
      </c>
      <c r="B26989" s="515" t="s">
        <v>315</v>
      </c>
      <c r="C26989" s="52">
        <v>122445.75758144799</v>
      </c>
      <c r="D26989" s="56">
        <v>0.11470065222757195</v>
      </c>
      <c r="E26989" s="224" t="s">
        <v>2</v>
      </c>
      <c r="G26989" s="52"/>
      <c r="H26989" s="56"/>
      <c r="I26989" s="224"/>
    </row>
    <row r="26990" spans="1:9" x14ac:dyDescent="0.25">
      <c r="A26990" s="515">
        <v>79379</v>
      </c>
      <c r="C26990" s="52">
        <v>76164.057240572496</v>
      </c>
      <c r="D26990" s="56">
        <v>0</v>
      </c>
      <c r="E26990" s="224" t="s">
        <v>2</v>
      </c>
      <c r="G26990" s="52"/>
      <c r="H26990" s="56"/>
      <c r="I26990" s="224"/>
    </row>
    <row r="26991" spans="1:9" x14ac:dyDescent="0.25">
      <c r="A26991" s="515">
        <v>58565</v>
      </c>
      <c r="C26991" s="52">
        <v>153760.018681154</v>
      </c>
      <c r="D26991" s="56">
        <v>2.8345683371461827E-2</v>
      </c>
      <c r="E26991" s="224" t="s">
        <v>2</v>
      </c>
      <c r="G26991" s="52"/>
      <c r="H26991" s="56"/>
      <c r="I26991" s="224"/>
    </row>
    <row r="26992" spans="1:9" x14ac:dyDescent="0.25">
      <c r="A26992" s="515">
        <v>15827</v>
      </c>
      <c r="B26992" s="515" t="s">
        <v>954</v>
      </c>
      <c r="C26992" s="52">
        <v>63923.2493336466</v>
      </c>
      <c r="D26992" s="56">
        <v>2.5488948069038883E-2</v>
      </c>
      <c r="E26992" s="224" t="s">
        <v>2</v>
      </c>
      <c r="G26992" s="52"/>
      <c r="H26992" s="56"/>
      <c r="I26992" s="224"/>
    </row>
    <row r="26993" spans="1:9" x14ac:dyDescent="0.25">
      <c r="A26993" s="515">
        <v>82515</v>
      </c>
      <c r="B26993" s="515" t="s">
        <v>308</v>
      </c>
      <c r="C26993" s="52">
        <v>178777.94646437</v>
      </c>
      <c r="D26993" s="56">
        <v>6.8392775807472148E-2</v>
      </c>
      <c r="E26993" s="224" t="s">
        <v>2</v>
      </c>
      <c r="G26993" s="52"/>
      <c r="H26993" s="56"/>
      <c r="I26993" s="224"/>
    </row>
    <row r="26994" spans="1:9" x14ac:dyDescent="0.25">
      <c r="A26994" s="515">
        <v>12420</v>
      </c>
      <c r="B26994" s="515" t="s">
        <v>307</v>
      </c>
      <c r="C26994" s="52">
        <v>377562.03726298403</v>
      </c>
      <c r="D26994" s="56">
        <v>7.0153635473453838E-2</v>
      </c>
      <c r="E26994" s="224" t="s">
        <v>2</v>
      </c>
      <c r="G26994" s="52"/>
      <c r="H26994" s="56"/>
      <c r="I26994" s="224"/>
    </row>
    <row r="26995" spans="1:9" x14ac:dyDescent="0.25">
      <c r="A26995" s="515">
        <v>24724</v>
      </c>
      <c r="B26995" s="515" t="s">
        <v>306</v>
      </c>
      <c r="C26995" s="52">
        <v>48643.666666666599</v>
      </c>
      <c r="D26995" s="56">
        <v>0</v>
      </c>
      <c r="E26995" s="224" t="s">
        <v>2</v>
      </c>
      <c r="G26995" s="52"/>
      <c r="H26995" s="56"/>
      <c r="I26995" s="224"/>
    </row>
    <row r="26996" spans="1:9" x14ac:dyDescent="0.25">
      <c r="A26996" s="515">
        <v>56384</v>
      </c>
      <c r="C26996" s="52">
        <v>173464.511957226</v>
      </c>
      <c r="D26996" s="56">
        <v>8.6136436648945422E-2</v>
      </c>
      <c r="E26996" s="224" t="s">
        <v>2</v>
      </c>
      <c r="G26996" s="52"/>
      <c r="H26996" s="56"/>
      <c r="I26996" s="224"/>
    </row>
    <row r="26997" spans="1:9" x14ac:dyDescent="0.25">
      <c r="A26997" s="515">
        <v>44838</v>
      </c>
      <c r="B26997" s="515" t="s">
        <v>305</v>
      </c>
      <c r="C26997" s="52">
        <v>150141.37892063</v>
      </c>
      <c r="D26997" s="56">
        <v>9.6710190312072702E-2</v>
      </c>
      <c r="E26997" s="224" t="s">
        <v>2</v>
      </c>
      <c r="G26997" s="52"/>
      <c r="H26997" s="56"/>
      <c r="I26997" s="224"/>
    </row>
    <row r="26998" spans="1:9" x14ac:dyDescent="0.25">
      <c r="A26998" s="515">
        <v>98628</v>
      </c>
      <c r="C26998" s="52">
        <v>184042.00317329401</v>
      </c>
      <c r="D26998" s="56">
        <v>2.3777593415113086E-2</v>
      </c>
      <c r="E26998" s="224" t="s">
        <v>2</v>
      </c>
      <c r="G26998" s="52"/>
      <c r="H26998" s="56"/>
      <c r="I26998" s="224"/>
    </row>
    <row r="26999" spans="1:9" x14ac:dyDescent="0.25">
      <c r="A26999" s="515">
        <v>74358</v>
      </c>
      <c r="B26999" s="515" t="s">
        <v>469</v>
      </c>
      <c r="C26999" s="52">
        <v>50055.800803451602</v>
      </c>
      <c r="D26999" s="56">
        <v>0.12217285722814121</v>
      </c>
      <c r="E26999" s="224" t="s">
        <v>2</v>
      </c>
      <c r="G26999" s="52"/>
      <c r="H26999" s="56"/>
      <c r="I26999" s="224"/>
    </row>
    <row r="27000" spans="1:9" x14ac:dyDescent="0.25">
      <c r="A27000" s="515">
        <v>15350</v>
      </c>
      <c r="B27000" s="515" t="s">
        <v>297</v>
      </c>
      <c r="C27000" s="52">
        <v>70427.339397128104</v>
      </c>
      <c r="D27000" s="56">
        <v>0.28778929573191597</v>
      </c>
      <c r="E27000" s="224" t="s">
        <v>2</v>
      </c>
      <c r="G27000" s="52"/>
      <c r="H27000" s="56"/>
      <c r="I27000" s="224"/>
    </row>
    <row r="27001" spans="1:9" x14ac:dyDescent="0.25">
      <c r="A27001" s="515">
        <v>14441</v>
      </c>
      <c r="B27001" s="515" t="s">
        <v>337</v>
      </c>
      <c r="C27001" s="52">
        <v>185218.38856521901</v>
      </c>
      <c r="D27001" s="56">
        <v>3.3354124583476669E-2</v>
      </c>
      <c r="E27001" s="224" t="s">
        <v>2</v>
      </c>
      <c r="G27001" s="52"/>
      <c r="H27001" s="56"/>
      <c r="I27001" s="224"/>
    </row>
    <row r="27002" spans="1:9" x14ac:dyDescent="0.25">
      <c r="A27002" s="515">
        <v>15449</v>
      </c>
      <c r="B27002" s="515" t="s">
        <v>297</v>
      </c>
      <c r="C27002" s="52">
        <v>65821.288843715301</v>
      </c>
      <c r="D27002" s="56">
        <v>9.0598040457674459E-2</v>
      </c>
      <c r="E27002" s="224" t="s">
        <v>2</v>
      </c>
      <c r="G27002" s="52"/>
      <c r="H27002" s="56"/>
      <c r="I27002" s="224"/>
    </row>
    <row r="27003" spans="1:9" x14ac:dyDescent="0.25">
      <c r="A27003" s="515">
        <v>16682</v>
      </c>
      <c r="B27003" s="515" t="s">
        <v>1086</v>
      </c>
      <c r="C27003" s="52">
        <v>80962.887477243101</v>
      </c>
      <c r="D27003" s="56">
        <v>0</v>
      </c>
      <c r="E27003" s="224" t="s">
        <v>2</v>
      </c>
      <c r="G27003" s="52"/>
      <c r="H27003" s="56"/>
      <c r="I27003" s="224"/>
    </row>
    <row r="27004" spans="1:9" x14ac:dyDescent="0.25">
      <c r="A27004" s="515">
        <v>19481</v>
      </c>
      <c r="B27004" s="515" t="s">
        <v>294</v>
      </c>
      <c r="C27004" s="52">
        <v>606461.75666832202</v>
      </c>
      <c r="D27004" s="56">
        <v>8.7671830487072056E-2</v>
      </c>
      <c r="E27004" s="224" t="s">
        <v>2</v>
      </c>
      <c r="G27004" s="52"/>
      <c r="H27004" s="56"/>
      <c r="I27004" s="224"/>
    </row>
    <row r="27005" spans="1:9" x14ac:dyDescent="0.25">
      <c r="A27005" s="515">
        <v>34250</v>
      </c>
      <c r="B27005" s="515" t="s">
        <v>466</v>
      </c>
      <c r="C27005" s="52">
        <v>777903.30746285606</v>
      </c>
      <c r="D27005" s="56">
        <v>0.17446365666120414</v>
      </c>
      <c r="E27005" s="224" t="s">
        <v>2</v>
      </c>
      <c r="G27005" s="52"/>
      <c r="H27005" s="56"/>
      <c r="I27005" s="224"/>
    </row>
    <row r="27006" spans="1:9" x14ac:dyDescent="0.25">
      <c r="A27006" s="515">
        <v>33877</v>
      </c>
      <c r="B27006" s="515" t="s">
        <v>359</v>
      </c>
      <c r="C27006" s="52">
        <v>119490.389876428</v>
      </c>
      <c r="D27006" s="56">
        <v>0.33193504074130575</v>
      </c>
      <c r="E27006" s="224" t="s">
        <v>2</v>
      </c>
      <c r="G27006" s="52"/>
      <c r="H27006" s="56"/>
      <c r="I27006" s="224"/>
    </row>
    <row r="27007" spans="1:9" x14ac:dyDescent="0.25">
      <c r="A27007" s="515">
        <v>12489</v>
      </c>
      <c r="B27007" s="515" t="s">
        <v>307</v>
      </c>
      <c r="C27007" s="52">
        <v>224436.03658091501</v>
      </c>
      <c r="D27007" s="56">
        <v>9.504314227501573E-2</v>
      </c>
      <c r="E27007" s="224" t="s">
        <v>2</v>
      </c>
      <c r="G27007" s="52"/>
      <c r="H27007" s="56"/>
      <c r="I27007" s="224"/>
    </row>
    <row r="27008" spans="1:9" x14ac:dyDescent="0.25">
      <c r="A27008" s="515">
        <v>22731</v>
      </c>
      <c r="B27008" s="515" t="s">
        <v>321</v>
      </c>
      <c r="C27008" s="52">
        <v>331546.41136871098</v>
      </c>
      <c r="D27008" s="56">
        <v>7.2757015037216641E-2</v>
      </c>
      <c r="E27008" s="224" t="s">
        <v>2</v>
      </c>
      <c r="G27008" s="52"/>
      <c r="H27008" s="56"/>
      <c r="I27008" s="224"/>
    </row>
    <row r="27009" spans="1:9" x14ac:dyDescent="0.25">
      <c r="A27009" s="515">
        <v>77451</v>
      </c>
      <c r="B27009" s="515" t="s">
        <v>314</v>
      </c>
      <c r="C27009" s="52">
        <v>171712.75455956301</v>
      </c>
      <c r="D27009" s="56">
        <v>0.116602893556548</v>
      </c>
      <c r="E27009" s="224" t="s">
        <v>2</v>
      </c>
      <c r="G27009" s="52"/>
      <c r="H27009" s="56"/>
      <c r="I27009" s="224"/>
    </row>
    <row r="27010" spans="1:9" x14ac:dyDescent="0.25">
      <c r="A27010" s="515">
        <v>46799</v>
      </c>
      <c r="B27010" s="515" t="s">
        <v>465</v>
      </c>
      <c r="C27010" s="52">
        <v>168747.90096851101</v>
      </c>
      <c r="D27010" s="56">
        <v>5.3152192562162213E-2</v>
      </c>
      <c r="E27010" s="224" t="s">
        <v>2</v>
      </c>
      <c r="G27010" s="52"/>
      <c r="H27010" s="56"/>
      <c r="I27010" s="224"/>
    </row>
    <row r="27011" spans="1:9" x14ac:dyDescent="0.25">
      <c r="A27011" s="515">
        <v>52163</v>
      </c>
      <c r="C27011" s="52">
        <v>99064.9495769895</v>
      </c>
      <c r="D27011" s="56">
        <v>0</v>
      </c>
      <c r="E27011" s="224" t="s">
        <v>2</v>
      </c>
      <c r="G27011" s="52"/>
      <c r="H27011" s="56"/>
      <c r="I27011" s="224"/>
    </row>
    <row r="27012" spans="1:9" x14ac:dyDescent="0.25">
      <c r="A27012" s="515">
        <v>62362</v>
      </c>
      <c r="C27012" s="52">
        <v>48369.024390243903</v>
      </c>
      <c r="D27012" s="56">
        <v>0</v>
      </c>
      <c r="E27012" s="224" t="s">
        <v>2</v>
      </c>
      <c r="G27012" s="52"/>
      <c r="H27012" s="56"/>
      <c r="I27012" s="224"/>
    </row>
    <row r="27013" spans="1:9" x14ac:dyDescent="0.25">
      <c r="A27013" s="515">
        <v>61563</v>
      </c>
      <c r="B27013" s="515" t="s">
        <v>303</v>
      </c>
      <c r="C27013" s="52">
        <v>62649.728863105302</v>
      </c>
      <c r="D27013" s="56">
        <v>2.2376609346318355E-2</v>
      </c>
      <c r="E27013" s="224" t="s">
        <v>2</v>
      </c>
      <c r="G27013" s="52"/>
      <c r="H27013" s="56"/>
      <c r="I27013" s="224"/>
    </row>
    <row r="27014" spans="1:9" x14ac:dyDescent="0.25">
      <c r="A27014" s="515">
        <v>26576</v>
      </c>
      <c r="B27014" s="515" t="s">
        <v>302</v>
      </c>
      <c r="C27014" s="52">
        <v>98925.477209722696</v>
      </c>
      <c r="D27014" s="56">
        <v>0.10446691859791132</v>
      </c>
      <c r="E27014" s="224" t="s">
        <v>2</v>
      </c>
      <c r="G27014" s="52"/>
      <c r="H27014" s="56"/>
      <c r="I27014" s="224"/>
    </row>
    <row r="27015" spans="1:9" x14ac:dyDescent="0.25">
      <c r="A27015" s="515">
        <v>17762</v>
      </c>
      <c r="B27015" s="515" t="s">
        <v>296</v>
      </c>
      <c r="C27015" s="52">
        <v>154820.56764877401</v>
      </c>
      <c r="D27015" s="56">
        <v>1.5002729940835187E-2</v>
      </c>
      <c r="E27015" s="224" t="s">
        <v>2</v>
      </c>
      <c r="G27015" s="52"/>
      <c r="H27015" s="56"/>
      <c r="I27015" s="224"/>
    </row>
    <row r="27016" spans="1:9" x14ac:dyDescent="0.25">
      <c r="A27016" s="515">
        <v>45808</v>
      </c>
      <c r="B27016" s="515" t="s">
        <v>299</v>
      </c>
      <c r="C27016" s="52">
        <v>98508.056744349698</v>
      </c>
      <c r="D27016" s="56">
        <v>6.853873575172828E-2</v>
      </c>
      <c r="E27016" s="224" t="s">
        <v>2</v>
      </c>
      <c r="G27016" s="52"/>
      <c r="H27016" s="56"/>
      <c r="I27016" s="224"/>
    </row>
    <row r="27017" spans="1:9" x14ac:dyDescent="0.25">
      <c r="A27017" s="515">
        <v>16245</v>
      </c>
      <c r="B27017" s="515" t="s">
        <v>297</v>
      </c>
      <c r="C27017" s="52">
        <v>78727.202010634093</v>
      </c>
      <c r="D27017" s="56">
        <v>0.2471845565787619</v>
      </c>
      <c r="E27017" s="224" t="s">
        <v>2</v>
      </c>
      <c r="G27017" s="52"/>
      <c r="H27017" s="56"/>
      <c r="I27017" s="224"/>
    </row>
    <row r="27018" spans="1:9" x14ac:dyDescent="0.25">
      <c r="A27018" s="515">
        <v>38946</v>
      </c>
      <c r="B27018" s="515" t="s">
        <v>293</v>
      </c>
      <c r="C27018" s="52">
        <v>95688.518518518496</v>
      </c>
      <c r="D27018" s="56">
        <v>0</v>
      </c>
      <c r="E27018" s="224" t="s">
        <v>2</v>
      </c>
      <c r="G27018" s="52"/>
      <c r="H27018" s="56"/>
      <c r="I27018" s="224"/>
    </row>
    <row r="27019" spans="1:9" x14ac:dyDescent="0.25">
      <c r="A27019" s="515">
        <v>75475</v>
      </c>
      <c r="B27019" s="515" t="s">
        <v>298</v>
      </c>
      <c r="C27019" s="52">
        <v>130003.56818926</v>
      </c>
      <c r="D27019" s="56">
        <v>0</v>
      </c>
      <c r="E27019" s="224" t="s">
        <v>2</v>
      </c>
      <c r="G27019" s="52"/>
      <c r="H27019" s="56"/>
      <c r="I27019" s="224"/>
    </row>
    <row r="27020" spans="1:9" x14ac:dyDescent="0.25">
      <c r="A27020" s="515">
        <v>50160</v>
      </c>
      <c r="B27020" s="515" t="s">
        <v>295</v>
      </c>
      <c r="C27020" s="52">
        <v>183876.49219052101</v>
      </c>
      <c r="D27020" s="56">
        <v>8.0916048083786732E-2</v>
      </c>
      <c r="E27020" s="224" t="s">
        <v>2</v>
      </c>
      <c r="G27020" s="52"/>
      <c r="H27020" s="56"/>
      <c r="I27020" s="224"/>
    </row>
    <row r="27021" spans="1:9" x14ac:dyDescent="0.25">
      <c r="A27021" s="515">
        <v>48434</v>
      </c>
      <c r="C27021" s="52">
        <v>130356.92652769299</v>
      </c>
      <c r="D27021" s="56">
        <v>0</v>
      </c>
      <c r="E27021" s="224" t="s">
        <v>2</v>
      </c>
      <c r="G27021" s="52"/>
      <c r="H27021" s="56"/>
      <c r="I27021" s="224"/>
    </row>
    <row r="27022" spans="1:9" x14ac:dyDescent="0.25">
      <c r="A27022" s="515">
        <v>51009</v>
      </c>
      <c r="C27022" s="52">
        <v>81440.559403980296</v>
      </c>
      <c r="D27022" s="56">
        <v>0</v>
      </c>
      <c r="E27022" s="224" t="s">
        <v>2</v>
      </c>
      <c r="G27022" s="52"/>
      <c r="H27022" s="56"/>
      <c r="I27022" s="224"/>
    </row>
  </sheetData>
  <sheetProtection algorithmName="SHA-512" hashValue="WHv1fs1Tv5WEtk1m/zYWYRypPkLxAkGeNNPLOmSUC1pSXDwwAJQ8znBn5Kv0MVzEGaVv5mu7JeDRcESJECK0lA==" saltValue="dlYyjCBcPsWnkhG4P6Oy8g==" spinCount="100000" sheet="1" objects="1" scenarios="1" selectLockedCells="1" selectUnlockedCells="1"/>
  <mergeCells count="7">
    <mergeCell ref="K28:M28"/>
    <mergeCell ref="K29:M29"/>
    <mergeCell ref="K22:M22"/>
    <mergeCell ref="K23:M23"/>
    <mergeCell ref="K24:M24"/>
    <mergeCell ref="K25:M25"/>
    <mergeCell ref="K27:M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23</vt:i4>
      </vt:variant>
    </vt:vector>
  </HeadingPairs>
  <TitlesOfParts>
    <vt:vector size="45" baseType="lpstr">
      <vt:lpstr>GUC</vt:lpstr>
      <vt:lpstr>GUC (Loan Calc)</vt:lpstr>
      <vt:lpstr>GUC (Legend)</vt:lpstr>
      <vt:lpstr>RTL</vt:lpstr>
      <vt:lpstr>RTL (Loan Calc)</vt:lpstr>
      <vt:lpstr>RTL (Legend)</vt:lpstr>
      <vt:lpstr>DSCR (Single Asset)</vt:lpstr>
      <vt:lpstr>DSCR (Loan Calc)</vt:lpstr>
      <vt:lpstr>DSCR (LLPA)</vt:lpstr>
      <vt:lpstr>DSCR (Legend)</vt:lpstr>
      <vt:lpstr>DSCR (Portfolio)</vt:lpstr>
      <vt:lpstr>DSCR (Port Loan)</vt:lpstr>
      <vt:lpstr>DSCR (Port Calc)</vt:lpstr>
      <vt:lpstr>DSCR (Port LLPA)</vt:lpstr>
      <vt:lpstr>DSCR (Port Legend)</vt:lpstr>
      <vt:lpstr>Investor Portfolio (IRP)</vt:lpstr>
      <vt:lpstr>IRP (Calc)</vt:lpstr>
      <vt:lpstr>IRP (LLPA)</vt:lpstr>
      <vt:lpstr>IRP (Legend)</vt:lpstr>
      <vt:lpstr>DSCR (Quote Sheet)</vt:lpstr>
      <vt:lpstr>IRP (QuoteSheet)</vt:lpstr>
      <vt:lpstr>Market</vt:lpstr>
      <vt:lpstr>GUCProp1to4</vt:lpstr>
      <vt:lpstr>GUCProp5</vt:lpstr>
      <vt:lpstr>IRPTerm</vt:lpstr>
      <vt:lpstr>MultiAmort</vt:lpstr>
      <vt:lpstr>MultiIO</vt:lpstr>
      <vt:lpstr>MultiPPP</vt:lpstr>
      <vt:lpstr>MultiRebate</vt:lpstr>
      <vt:lpstr>MultiTerm</vt:lpstr>
      <vt:lpstr>PPP10Y</vt:lpstr>
      <vt:lpstr>PPP3Y</vt:lpstr>
      <vt:lpstr>PPP5Y</vt:lpstr>
      <vt:lpstr>PPP7Y</vt:lpstr>
      <vt:lpstr>'DSCR (Single Asset)'!Print_Area</vt:lpstr>
      <vt:lpstr>GUC!Print_Area</vt:lpstr>
      <vt:lpstr>Rebate10Y</vt:lpstr>
      <vt:lpstr>Rebate3Y</vt:lpstr>
      <vt:lpstr>Rebate5Y</vt:lpstr>
      <vt:lpstr>Rebate7Y</vt:lpstr>
      <vt:lpstr>SFRAmort</vt:lpstr>
      <vt:lpstr>SFRIO</vt:lpstr>
      <vt:lpstr>SFRPPP</vt:lpstr>
      <vt:lpstr>SFRRebate</vt:lpstr>
      <vt:lpstr>SFRTerm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Parker</dc:creator>
  <cp:lastModifiedBy>Justin Parker</cp:lastModifiedBy>
  <dcterms:created xsi:type="dcterms:W3CDTF">2023-02-16T14:22:54Z</dcterms:created>
  <dcterms:modified xsi:type="dcterms:W3CDTF">2023-06-09T11:33:29Z</dcterms:modified>
</cp:coreProperties>
</file>